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hubudfilesv01\Oktatás\MetLife\Oktatás_2019\1 napos képzések\"/>
    </mc:Choice>
  </mc:AlternateContent>
  <xr:revisionPtr revIDLastSave="0" documentId="8_{0D1CE3C8-AA44-4E8E-BBFC-6CF51B2853D6}" xr6:coauthVersionLast="36" xr6:coauthVersionMax="36" xr10:uidLastSave="{00000000-0000-0000-0000-000000000000}"/>
  <workbookProtection workbookPassword="D9D3" lockStructure="1"/>
  <bookViews>
    <workbookView xWindow="0" yWindow="120" windowWidth="14220" windowHeight="6540" xr2:uid="{00000000-000D-0000-FFFF-FFFF00000000}"/>
  </bookViews>
  <sheets>
    <sheet name="Ajánlat" sheetId="1" r:id="rId1"/>
    <sheet name="Tranzakciók" sheetId="10" r:id="rId2"/>
    <sheet name="Számítás_UL" sheetId="2" state="hidden" r:id="rId3"/>
    <sheet name="Számítás_Ny" sheetId="5" state="hidden" r:id="rId4"/>
    <sheet name="Paraméterek" sheetId="4" state="hidden" r:id="rId5"/>
    <sheet name="Segédlet" sheetId="3" state="hidden" r:id="rId6"/>
    <sheet name="Manhattan kivonat" sheetId="6" r:id="rId7"/>
    <sheet name="Manhattan teljes" sheetId="7" r:id="rId8"/>
    <sheet name="MNyP kivonat" sheetId="8" r:id="rId9"/>
    <sheet name="MNyP teljes" sheetId="9" r:id="rId10"/>
  </sheets>
  <externalReferences>
    <externalReference r:id="rId11"/>
  </externalReferences>
  <definedNames>
    <definedName name="Deviza">Paraméterek!$D$4:$D$5</definedName>
    <definedName name="Díj_Gyak">Paraméterek!$B$4:$B$8</definedName>
    <definedName name="Díj_Mód">Paraméterek!$C$4:$C$7</definedName>
    <definedName name="Ea_Kínálat">Paraméterek!$E$4:$E$5</definedName>
    <definedName name="fizgyak" hidden="1">[1]Jellemzők!$A$37</definedName>
    <definedName name="Index">Paraméterek!$F$4:$F$7</definedName>
    <definedName name="_xlnm.Print_Area" localSheetId="0">Ajánlat!$B$1:$S$43</definedName>
    <definedName name="_xlnm.Print_Area" localSheetId="6">'Manhattan kivonat'!$B$1:$M$55</definedName>
    <definedName name="_xlnm.Print_Area" localSheetId="7">'Manhattan teljes'!$B$1:$M$99</definedName>
    <definedName name="_xlnm.Print_Area" localSheetId="8">'MNyP kivonat'!$B$1:$M$45</definedName>
    <definedName name="_xlnm.Print_Area" localSheetId="9">'MNyP teljes'!$B$1:$M$81</definedName>
    <definedName name="_xlnm.Print_Area" localSheetId="1">Tranzakciók!$B$1:$S$115</definedName>
    <definedName name="Portfólió">Paraméterek!$G$4:$G$7</definedName>
    <definedName name="Portfólió_PP">Paraméterek!$G$4:$G$8</definedName>
    <definedName name="Választás">Paraméterek!$H$4:$H$5</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20" i="9" l="1"/>
  <c r="I20" i="8"/>
  <c r="I20" i="7"/>
  <c r="I20" i="6"/>
  <c r="J5" i="1" l="1"/>
  <c r="G21" i="9" l="1"/>
  <c r="I19" i="9"/>
  <c r="E16" i="9"/>
  <c r="E15" i="9"/>
  <c r="E8" i="9"/>
  <c r="G21" i="8"/>
  <c r="E16" i="8"/>
  <c r="E15" i="8"/>
  <c r="E8" i="8"/>
  <c r="I19" i="7"/>
  <c r="E16" i="7"/>
  <c r="E15" i="7"/>
  <c r="E8" i="7"/>
  <c r="E16" i="6"/>
  <c r="E15" i="6"/>
  <c r="E8" i="6"/>
  <c r="C12" i="10"/>
  <c r="D12" i="10"/>
  <c r="E12" i="10"/>
  <c r="F12" i="10"/>
  <c r="C13" i="10"/>
  <c r="D13" i="10"/>
  <c r="E13" i="10"/>
  <c r="F13" i="10"/>
  <c r="C14" i="10"/>
  <c r="D14" i="10"/>
  <c r="E14" i="10"/>
  <c r="F14" i="10"/>
  <c r="C15" i="10"/>
  <c r="D15" i="10"/>
  <c r="E15" i="10"/>
  <c r="F15" i="10"/>
  <c r="C16" i="10"/>
  <c r="D16" i="10"/>
  <c r="E16" i="10"/>
  <c r="F16" i="10"/>
  <c r="C17" i="10"/>
  <c r="D17" i="10"/>
  <c r="E17" i="10"/>
  <c r="F17" i="10"/>
  <c r="C18" i="10"/>
  <c r="D18" i="10"/>
  <c r="E18" i="10"/>
  <c r="F18" i="10"/>
  <c r="C19" i="10"/>
  <c r="D19" i="10"/>
  <c r="E19" i="10"/>
  <c r="F19" i="10"/>
  <c r="C20" i="10"/>
  <c r="D20" i="10"/>
  <c r="E20" i="10"/>
  <c r="F20" i="10"/>
  <c r="C21" i="10"/>
  <c r="D21" i="10"/>
  <c r="E21" i="10"/>
  <c r="F21" i="10"/>
  <c r="C22" i="10"/>
  <c r="D22" i="10"/>
  <c r="E22" i="10"/>
  <c r="F22" i="10"/>
  <c r="C23" i="10"/>
  <c r="D23" i="10"/>
  <c r="E23" i="10"/>
  <c r="F23" i="10"/>
  <c r="C24" i="10"/>
  <c r="D24" i="10"/>
  <c r="E24" i="10"/>
  <c r="F24" i="10"/>
  <c r="C25" i="10"/>
  <c r="D25" i="10"/>
  <c r="E25" i="10"/>
  <c r="F25" i="10"/>
  <c r="L5" i="3"/>
  <c r="N17" i="1" l="1"/>
  <c r="L8" i="6" l="1"/>
  <c r="L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28" i="7"/>
  <c r="A29" i="6"/>
  <c r="A30" i="6"/>
  <c r="A31" i="6"/>
  <c r="A32" i="6"/>
  <c r="A33" i="6"/>
  <c r="A34" i="6"/>
  <c r="A35" i="6"/>
  <c r="A36" i="6"/>
  <c r="A37" i="6"/>
  <c r="A38" i="6"/>
  <c r="A39" i="6"/>
  <c r="A40" i="6"/>
  <c r="A41" i="6"/>
  <c r="A42" i="6"/>
  <c r="A43" i="6"/>
  <c r="A44" i="6"/>
  <c r="A45" i="6"/>
  <c r="A46" i="6"/>
  <c r="A47" i="6"/>
  <c r="A48" i="6"/>
  <c r="A28" i="6"/>
  <c r="I19" i="8" l="1"/>
  <c r="I19" i="6"/>
  <c r="L10" i="10" l="1"/>
  <c r="I2" i="10"/>
  <c r="B1" i="10"/>
  <c r="L9" i="10"/>
  <c r="F11" i="10"/>
  <c r="E11" i="10"/>
  <c r="D11" i="10"/>
  <c r="C11" i="10"/>
  <c r="B8" i="5" l="1"/>
  <c r="B8" i="2"/>
  <c r="B20" i="1"/>
  <c r="L23" i="1" l="1"/>
  <c r="L24" i="1"/>
  <c r="B14" i="5" l="1"/>
  <c r="B9" i="5"/>
  <c r="B7" i="5"/>
  <c r="B6" i="5"/>
  <c r="B5" i="5"/>
  <c r="B4" i="5"/>
  <c r="B3" i="5"/>
  <c r="B2" i="5"/>
  <c r="B1" i="5"/>
  <c r="B6" i="2"/>
  <c r="B5" i="2"/>
  <c r="B4" i="2"/>
  <c r="B3" i="2"/>
  <c r="B2" i="2"/>
  <c r="D285" i="4" l="1"/>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20" i="5"/>
  <c r="D14" i="5" l="1"/>
  <c r="L8" i="9" l="1"/>
  <c r="L8" i="8"/>
  <c r="BG20" i="5"/>
  <c r="BH21" i="5"/>
  <c r="BH25" i="5"/>
  <c r="BH29" i="5"/>
  <c r="BH33" i="5"/>
  <c r="BH37" i="5"/>
  <c r="BH41" i="5"/>
  <c r="BH45" i="5"/>
  <c r="BH49" i="5"/>
  <c r="BH53" i="5"/>
  <c r="BH57" i="5"/>
  <c r="BH61" i="5"/>
  <c r="BH65" i="5"/>
  <c r="BH69" i="5"/>
  <c r="BH73" i="5"/>
  <c r="BH77" i="5"/>
  <c r="BH81" i="5"/>
  <c r="BH85" i="5"/>
  <c r="BH89" i="5"/>
  <c r="BH93" i="5"/>
  <c r="BH97" i="5"/>
  <c r="BH101" i="5"/>
  <c r="BH105" i="5"/>
  <c r="BH109" i="5"/>
  <c r="BH113" i="5"/>
  <c r="BH117" i="5"/>
  <c r="BH121" i="5"/>
  <c r="BH125" i="5"/>
  <c r="BH129" i="5"/>
  <c r="BH133" i="5"/>
  <c r="BH137" i="5"/>
  <c r="BH141" i="5"/>
  <c r="BH145" i="5"/>
  <c r="BH149" i="5"/>
  <c r="BH153" i="5"/>
  <c r="BH157" i="5"/>
  <c r="BH161" i="5"/>
  <c r="BH165" i="5"/>
  <c r="BH169" i="5"/>
  <c r="BH173" i="5"/>
  <c r="BH177" i="5"/>
  <c r="BH181" i="5"/>
  <c r="BH185" i="5"/>
  <c r="BH189" i="5"/>
  <c r="BH193" i="5"/>
  <c r="BH197" i="5"/>
  <c r="BH201" i="5"/>
  <c r="BH205" i="5"/>
  <c r="BH209" i="5"/>
  <c r="BH213" i="5"/>
  <c r="BH217" i="5"/>
  <c r="BH221" i="5"/>
  <c r="BH225" i="5"/>
  <c r="BH229" i="5"/>
  <c r="BH233" i="5"/>
  <c r="BH237" i="5"/>
  <c r="BH241" i="5"/>
  <c r="BH245" i="5"/>
  <c r="BH249" i="5"/>
  <c r="BH253" i="5"/>
  <c r="BH257" i="5"/>
  <c r="BH261" i="5"/>
  <c r="BH265" i="5"/>
  <c r="BH269" i="5"/>
  <c r="BH273" i="5"/>
  <c r="BH277" i="5"/>
  <c r="BH281" i="5"/>
  <c r="BH285" i="5"/>
  <c r="BH289" i="5"/>
  <c r="BH293" i="5"/>
  <c r="BH297" i="5"/>
  <c r="BH301" i="5"/>
  <c r="BH305" i="5"/>
  <c r="BH309" i="5"/>
  <c r="BH313" i="5"/>
  <c r="BH317" i="5"/>
  <c r="BH321" i="5"/>
  <c r="BH325" i="5"/>
  <c r="BH329" i="5"/>
  <c r="BH333" i="5"/>
  <c r="BH337" i="5"/>
  <c r="BH341" i="5"/>
  <c r="BH345" i="5"/>
  <c r="BH349" i="5"/>
  <c r="BH353" i="5"/>
  <c r="BH357" i="5"/>
  <c r="BH361" i="5"/>
  <c r="BH365" i="5"/>
  <c r="BH369" i="5"/>
  <c r="BH373" i="5"/>
  <c r="BH377" i="5"/>
  <c r="BH381" i="5"/>
  <c r="BH385" i="5"/>
  <c r="BH389" i="5"/>
  <c r="BH393" i="5"/>
  <c r="BH397" i="5"/>
  <c r="BH401" i="5"/>
  <c r="BH405" i="5"/>
  <c r="BH409" i="5"/>
  <c r="BH413" i="5"/>
  <c r="BH417" i="5"/>
  <c r="BH421" i="5"/>
  <c r="BH425" i="5"/>
  <c r="BH429" i="5"/>
  <c r="BH433" i="5"/>
  <c r="BH437" i="5"/>
  <c r="BH441" i="5"/>
  <c r="BH445" i="5"/>
  <c r="BH449" i="5"/>
  <c r="BH453" i="5"/>
  <c r="BH457" i="5"/>
  <c r="BH461" i="5"/>
  <c r="BH465" i="5"/>
  <c r="BH469" i="5"/>
  <c r="BH473" i="5"/>
  <c r="BH477" i="5"/>
  <c r="BH481" i="5"/>
  <c r="BH485" i="5"/>
  <c r="BH489" i="5"/>
  <c r="BH493" i="5"/>
  <c r="BH497" i="5"/>
  <c r="BH501" i="5"/>
  <c r="BH505" i="5"/>
  <c r="BH509" i="5"/>
  <c r="BH513" i="5"/>
  <c r="BH517" i="5"/>
  <c r="BH521" i="5"/>
  <c r="BH525" i="5"/>
  <c r="BH529" i="5"/>
  <c r="BH533" i="5"/>
  <c r="BH537" i="5"/>
  <c r="BH541" i="5"/>
  <c r="BH545" i="5"/>
  <c r="BH549" i="5"/>
  <c r="BH553" i="5"/>
  <c r="BH557" i="5"/>
  <c r="BH561" i="5"/>
  <c r="BH565" i="5"/>
  <c r="BH569" i="5"/>
  <c r="BH573" i="5"/>
  <c r="BH577" i="5"/>
  <c r="BH581" i="5"/>
  <c r="BH585" i="5"/>
  <c r="BH589" i="5"/>
  <c r="BH593" i="5"/>
  <c r="BH597" i="5"/>
  <c r="BH601" i="5"/>
  <c r="BH605" i="5"/>
  <c r="BH609" i="5"/>
  <c r="BH613" i="5"/>
  <c r="BH617" i="5"/>
  <c r="BH621" i="5"/>
  <c r="BH625" i="5"/>
  <c r="BH629" i="5"/>
  <c r="BH633" i="5"/>
  <c r="BH637" i="5"/>
  <c r="BH641" i="5"/>
  <c r="BH645" i="5"/>
  <c r="BH649" i="5"/>
  <c r="BH653" i="5"/>
  <c r="BH657" i="5"/>
  <c r="BH661" i="5"/>
  <c r="BH665" i="5"/>
  <c r="BH669" i="5"/>
  <c r="BH673" i="5"/>
  <c r="BH677" i="5"/>
  <c r="BH681" i="5"/>
  <c r="BH685" i="5"/>
  <c r="BH689" i="5"/>
  <c r="BH693" i="5"/>
  <c r="BH697" i="5"/>
  <c r="BH701" i="5"/>
  <c r="BH705" i="5"/>
  <c r="BH709" i="5"/>
  <c r="BH713" i="5"/>
  <c r="BH717" i="5"/>
  <c r="BH721" i="5"/>
  <c r="BH725" i="5"/>
  <c r="BH729" i="5"/>
  <c r="BH733" i="5"/>
  <c r="BH737" i="5"/>
  <c r="BH741" i="5"/>
  <c r="BH745" i="5"/>
  <c r="BH749" i="5"/>
  <c r="BH753" i="5"/>
  <c r="BH757" i="5"/>
  <c r="BH761" i="5"/>
  <c r="BH765" i="5"/>
  <c r="BH769" i="5"/>
  <c r="BH773" i="5"/>
  <c r="BH777" i="5"/>
  <c r="BH781" i="5"/>
  <c r="BH785" i="5"/>
  <c r="BH789" i="5"/>
  <c r="BH793" i="5"/>
  <c r="BH797" i="5"/>
  <c r="BH801" i="5"/>
  <c r="BH805" i="5"/>
  <c r="BH809" i="5"/>
  <c r="BH813" i="5"/>
  <c r="BH817" i="5"/>
  <c r="BH821" i="5"/>
  <c r="BH825" i="5"/>
  <c r="BH829" i="5"/>
  <c r="BH833" i="5"/>
  <c r="BH837" i="5"/>
  <c r="BH841" i="5"/>
  <c r="BH845" i="5"/>
  <c r="BH849" i="5"/>
  <c r="BH853" i="5"/>
  <c r="BH857" i="5"/>
  <c r="BH861" i="5"/>
  <c r="BH865" i="5"/>
  <c r="BH869" i="5"/>
  <c r="BH873" i="5"/>
  <c r="BH877" i="5"/>
  <c r="BH881" i="5"/>
  <c r="BH885" i="5"/>
  <c r="BH889" i="5"/>
  <c r="BH893" i="5"/>
  <c r="BH897" i="5"/>
  <c r="BH901" i="5"/>
  <c r="BH905" i="5"/>
  <c r="BH909" i="5"/>
  <c r="BH913" i="5"/>
  <c r="BH917" i="5"/>
  <c r="BH921" i="5"/>
  <c r="BH925" i="5"/>
  <c r="BH929" i="5"/>
  <c r="BH933" i="5"/>
  <c r="BH937" i="5"/>
  <c r="BH941" i="5"/>
  <c r="BH945" i="5"/>
  <c r="BH949" i="5"/>
  <c r="BH953" i="5"/>
  <c r="BH957" i="5"/>
  <c r="BH961" i="5"/>
  <c r="BH965" i="5"/>
  <c r="BH969" i="5"/>
  <c r="BH973" i="5"/>
  <c r="BH977" i="5"/>
  <c r="BH981" i="5"/>
  <c r="BH985" i="5"/>
  <c r="BH989" i="5"/>
  <c r="BH993" i="5"/>
  <c r="BH997" i="5"/>
  <c r="BH1001" i="5"/>
  <c r="BH1005" i="5"/>
  <c r="BH1009" i="5"/>
  <c r="BH1013" i="5"/>
  <c r="BH1017" i="5"/>
  <c r="BH1021" i="5"/>
  <c r="BH1025" i="5"/>
  <c r="BH22" i="5"/>
  <c r="BH26" i="5"/>
  <c r="BH30" i="5"/>
  <c r="BH34" i="5"/>
  <c r="BH38" i="5"/>
  <c r="BH42" i="5"/>
  <c r="BH46" i="5"/>
  <c r="BH50" i="5"/>
  <c r="BH54" i="5"/>
  <c r="BH58" i="5"/>
  <c r="BH62" i="5"/>
  <c r="BH66" i="5"/>
  <c r="BH70" i="5"/>
  <c r="BH74" i="5"/>
  <c r="BH78" i="5"/>
  <c r="BH82" i="5"/>
  <c r="BH86" i="5"/>
  <c r="BH90" i="5"/>
  <c r="BH94" i="5"/>
  <c r="BH98" i="5"/>
  <c r="BH102" i="5"/>
  <c r="BH106" i="5"/>
  <c r="BH110" i="5"/>
  <c r="BH114" i="5"/>
  <c r="BH118" i="5"/>
  <c r="BH122" i="5"/>
  <c r="BH126" i="5"/>
  <c r="BH130" i="5"/>
  <c r="BH134" i="5"/>
  <c r="BH138" i="5"/>
  <c r="BH142" i="5"/>
  <c r="BH146" i="5"/>
  <c r="BH150" i="5"/>
  <c r="BH154" i="5"/>
  <c r="BH158" i="5"/>
  <c r="BH162" i="5"/>
  <c r="BH166" i="5"/>
  <c r="BH170" i="5"/>
  <c r="BH174" i="5"/>
  <c r="BH178" i="5"/>
  <c r="BH182" i="5"/>
  <c r="BH186" i="5"/>
  <c r="BH190" i="5"/>
  <c r="BH194" i="5"/>
  <c r="BH198" i="5"/>
  <c r="BH202" i="5"/>
  <c r="BH206" i="5"/>
  <c r="BH210" i="5"/>
  <c r="BH214" i="5"/>
  <c r="BH218" i="5"/>
  <c r="BH222" i="5"/>
  <c r="BH226" i="5"/>
  <c r="BH230" i="5"/>
  <c r="BH234" i="5"/>
  <c r="BH238" i="5"/>
  <c r="BH242" i="5"/>
  <c r="BH246" i="5"/>
  <c r="BH250" i="5"/>
  <c r="BH254" i="5"/>
  <c r="BH258" i="5"/>
  <c r="BH262" i="5"/>
  <c r="BH266" i="5"/>
  <c r="BH270" i="5"/>
  <c r="BH274" i="5"/>
  <c r="BH278" i="5"/>
  <c r="BH282" i="5"/>
  <c r="BH286" i="5"/>
  <c r="BH290" i="5"/>
  <c r="BH294" i="5"/>
  <c r="BH298" i="5"/>
  <c r="BH302" i="5"/>
  <c r="BH306" i="5"/>
  <c r="BH310" i="5"/>
  <c r="BH314" i="5"/>
  <c r="BH318" i="5"/>
  <c r="BH322" i="5"/>
  <c r="BH326" i="5"/>
  <c r="BH330" i="5"/>
  <c r="BH334" i="5"/>
  <c r="BH338" i="5"/>
  <c r="BH342" i="5"/>
  <c r="BH346" i="5"/>
  <c r="BH350" i="5"/>
  <c r="BH354" i="5"/>
  <c r="BH358" i="5"/>
  <c r="BH362" i="5"/>
  <c r="BH366" i="5"/>
  <c r="BH370" i="5"/>
  <c r="BH374" i="5"/>
  <c r="BH378" i="5"/>
  <c r="BH382" i="5"/>
  <c r="BH386" i="5"/>
  <c r="BH390" i="5"/>
  <c r="BH394" i="5"/>
  <c r="BH398" i="5"/>
  <c r="BH402" i="5"/>
  <c r="BH406" i="5"/>
  <c r="BH410" i="5"/>
  <c r="BH414" i="5"/>
  <c r="BH418" i="5"/>
  <c r="BH422" i="5"/>
  <c r="BH426" i="5"/>
  <c r="BH430" i="5"/>
  <c r="BH434" i="5"/>
  <c r="BH438" i="5"/>
  <c r="BH442" i="5"/>
  <c r="BH446" i="5"/>
  <c r="BH450" i="5"/>
  <c r="BH454" i="5"/>
  <c r="BH458" i="5"/>
  <c r="BH462" i="5"/>
  <c r="BH466" i="5"/>
  <c r="BH470" i="5"/>
  <c r="BH474" i="5"/>
  <c r="BH478" i="5"/>
  <c r="BH482" i="5"/>
  <c r="BH486" i="5"/>
  <c r="BH490" i="5"/>
  <c r="BH494" i="5"/>
  <c r="BH498" i="5"/>
  <c r="BH502" i="5"/>
  <c r="BH506" i="5"/>
  <c r="BH510" i="5"/>
  <c r="BH514" i="5"/>
  <c r="BH518" i="5"/>
  <c r="BH522" i="5"/>
  <c r="BH526" i="5"/>
  <c r="BH530" i="5"/>
  <c r="BH534" i="5"/>
  <c r="BH538" i="5"/>
  <c r="BH542" i="5"/>
  <c r="BH546" i="5"/>
  <c r="BH550" i="5"/>
  <c r="BH554" i="5"/>
  <c r="BH558" i="5"/>
  <c r="BH562" i="5"/>
  <c r="BH566" i="5"/>
  <c r="BH570" i="5"/>
  <c r="BH574" i="5"/>
  <c r="BH578" i="5"/>
  <c r="BH582" i="5"/>
  <c r="BH586" i="5"/>
  <c r="BH590" i="5"/>
  <c r="BH594" i="5"/>
  <c r="BH598" i="5"/>
  <c r="BH602" i="5"/>
  <c r="BH606" i="5"/>
  <c r="BH610" i="5"/>
  <c r="BH614" i="5"/>
  <c r="BH618" i="5"/>
  <c r="BH622" i="5"/>
  <c r="BH626" i="5"/>
  <c r="BH630" i="5"/>
  <c r="BH634" i="5"/>
  <c r="BH638" i="5"/>
  <c r="BH642" i="5"/>
  <c r="BH646" i="5"/>
  <c r="BH650" i="5"/>
  <c r="BH654" i="5"/>
  <c r="BH658" i="5"/>
  <c r="BH662" i="5"/>
  <c r="BH666" i="5"/>
  <c r="BH670" i="5"/>
  <c r="BH674" i="5"/>
  <c r="BH678" i="5"/>
  <c r="BH682" i="5"/>
  <c r="BH686" i="5"/>
  <c r="BH690" i="5"/>
  <c r="BH694" i="5"/>
  <c r="BH698" i="5"/>
  <c r="BH702" i="5"/>
  <c r="BH706" i="5"/>
  <c r="BH710" i="5"/>
  <c r="BH714" i="5"/>
  <c r="BH718" i="5"/>
  <c r="BH722" i="5"/>
  <c r="BH726" i="5"/>
  <c r="BH730" i="5"/>
  <c r="BH734" i="5"/>
  <c r="BH738" i="5"/>
  <c r="BH742" i="5"/>
  <c r="BH746" i="5"/>
  <c r="BH750" i="5"/>
  <c r="BH754" i="5"/>
  <c r="BH758" i="5"/>
  <c r="BH762" i="5"/>
  <c r="BH766" i="5"/>
  <c r="BH770" i="5"/>
  <c r="BH774" i="5"/>
  <c r="BH778" i="5"/>
  <c r="BH782" i="5"/>
  <c r="BH786" i="5"/>
  <c r="BH790" i="5"/>
  <c r="BH794" i="5"/>
  <c r="BH798" i="5"/>
  <c r="BH802" i="5"/>
  <c r="BH806" i="5"/>
  <c r="BH810" i="5"/>
  <c r="BH814" i="5"/>
  <c r="BH818" i="5"/>
  <c r="BH822" i="5"/>
  <c r="BH826" i="5"/>
  <c r="BH830" i="5"/>
  <c r="BH834" i="5"/>
  <c r="BH838" i="5"/>
  <c r="BH842" i="5"/>
  <c r="BH846" i="5"/>
  <c r="BH850" i="5"/>
  <c r="BH854" i="5"/>
  <c r="BH858" i="5"/>
  <c r="BH862" i="5"/>
  <c r="BH866" i="5"/>
  <c r="BH870" i="5"/>
  <c r="BH874" i="5"/>
  <c r="BH878" i="5"/>
  <c r="BH882" i="5"/>
  <c r="BH886" i="5"/>
  <c r="BH890" i="5"/>
  <c r="BH894" i="5"/>
  <c r="BH898" i="5"/>
  <c r="BH902" i="5"/>
  <c r="BH906" i="5"/>
  <c r="BH910" i="5"/>
  <c r="BH914" i="5"/>
  <c r="BH918" i="5"/>
  <c r="BH922" i="5"/>
  <c r="BH926" i="5"/>
  <c r="BH930" i="5"/>
  <c r="BH934" i="5"/>
  <c r="BH938" i="5"/>
  <c r="BH942" i="5"/>
  <c r="BH946" i="5"/>
  <c r="BH950" i="5"/>
  <c r="BH954" i="5"/>
  <c r="BH958" i="5"/>
  <c r="BH962" i="5"/>
  <c r="BH966" i="5"/>
  <c r="BH970" i="5"/>
  <c r="BH974" i="5"/>
  <c r="BH978" i="5"/>
  <c r="BH982" i="5"/>
  <c r="BH986" i="5"/>
  <c r="BH990" i="5"/>
  <c r="BH994" i="5"/>
  <c r="BH998" i="5"/>
  <c r="BH1002" i="5"/>
  <c r="BH1006" i="5"/>
  <c r="BH1010" i="5"/>
  <c r="BH1014" i="5"/>
  <c r="BH1018" i="5"/>
  <c r="BH1022" i="5"/>
  <c r="BH1026" i="5"/>
  <c r="BH23" i="5"/>
  <c r="BH27" i="5"/>
  <c r="BI27" i="5" s="1"/>
  <c r="BH31" i="5"/>
  <c r="BH35" i="5"/>
  <c r="BH39" i="5"/>
  <c r="BI39" i="5" s="1"/>
  <c r="BH43" i="5"/>
  <c r="BH47" i="5"/>
  <c r="BH51" i="5"/>
  <c r="BI51" i="5" s="1"/>
  <c r="BH55" i="5"/>
  <c r="BH59" i="5"/>
  <c r="BH63" i="5"/>
  <c r="BI63" i="5" s="1"/>
  <c r="BH67" i="5"/>
  <c r="BH71" i="5"/>
  <c r="BH75" i="5"/>
  <c r="BI75" i="5" s="1"/>
  <c r="BH79" i="5"/>
  <c r="BH83" i="5"/>
  <c r="BH87" i="5"/>
  <c r="BI87" i="5" s="1"/>
  <c r="BH91" i="5"/>
  <c r="BH95" i="5"/>
  <c r="BH99" i="5"/>
  <c r="BI99" i="5" s="1"/>
  <c r="BH103" i="5"/>
  <c r="BH107" i="5"/>
  <c r="BH111" i="5"/>
  <c r="BI111" i="5" s="1"/>
  <c r="BH115" i="5"/>
  <c r="BH119" i="5"/>
  <c r="BH123" i="5"/>
  <c r="BI123" i="5" s="1"/>
  <c r="BH127" i="5"/>
  <c r="BH131" i="5"/>
  <c r="BH135" i="5"/>
  <c r="BI135" i="5" s="1"/>
  <c r="BH139" i="5"/>
  <c r="BH143" i="5"/>
  <c r="BH147" i="5"/>
  <c r="BI147" i="5" s="1"/>
  <c r="BH151" i="5"/>
  <c r="BH155" i="5"/>
  <c r="BH159" i="5"/>
  <c r="BI159" i="5" s="1"/>
  <c r="BH163" i="5"/>
  <c r="BH167" i="5"/>
  <c r="BH171" i="5"/>
  <c r="BI171" i="5" s="1"/>
  <c r="BH175" i="5"/>
  <c r="BH179" i="5"/>
  <c r="BH183" i="5"/>
  <c r="BI183" i="5" s="1"/>
  <c r="BH187" i="5"/>
  <c r="BH191" i="5"/>
  <c r="BH195" i="5"/>
  <c r="BI195" i="5" s="1"/>
  <c r="BH199" i="5"/>
  <c r="BH203" i="5"/>
  <c r="BH207" i="5"/>
  <c r="BI207" i="5" s="1"/>
  <c r="BH211" i="5"/>
  <c r="BH215" i="5"/>
  <c r="BH219" i="5"/>
  <c r="BI219" i="5" s="1"/>
  <c r="BH223" i="5"/>
  <c r="BH227" i="5"/>
  <c r="BH231" i="5"/>
  <c r="BI231" i="5" s="1"/>
  <c r="BH235" i="5"/>
  <c r="BH239" i="5"/>
  <c r="BH243" i="5"/>
  <c r="BI243" i="5" s="1"/>
  <c r="BH247" i="5"/>
  <c r="BH251" i="5"/>
  <c r="BH255" i="5"/>
  <c r="BI255" i="5" s="1"/>
  <c r="BH259" i="5"/>
  <c r="BH263" i="5"/>
  <c r="BH267" i="5"/>
  <c r="BI267" i="5" s="1"/>
  <c r="BH271" i="5"/>
  <c r="BH275" i="5"/>
  <c r="BH279" i="5"/>
  <c r="BI279" i="5" s="1"/>
  <c r="BH283" i="5"/>
  <c r="BH287" i="5"/>
  <c r="BH291" i="5"/>
  <c r="BI291" i="5" s="1"/>
  <c r="BH295" i="5"/>
  <c r="BH299" i="5"/>
  <c r="BH303" i="5"/>
  <c r="BI303" i="5" s="1"/>
  <c r="BH307" i="5"/>
  <c r="BH311" i="5"/>
  <c r="BH315" i="5"/>
  <c r="BI315" i="5" s="1"/>
  <c r="BH319" i="5"/>
  <c r="BH323" i="5"/>
  <c r="BH327" i="5"/>
  <c r="BI327" i="5" s="1"/>
  <c r="BH331" i="5"/>
  <c r="BH335" i="5"/>
  <c r="BH339" i="5"/>
  <c r="BI339" i="5" s="1"/>
  <c r="BH343" i="5"/>
  <c r="BH347" i="5"/>
  <c r="BH351" i="5"/>
  <c r="BI351" i="5" s="1"/>
  <c r="BH355" i="5"/>
  <c r="BH359" i="5"/>
  <c r="BH363" i="5"/>
  <c r="BI363" i="5" s="1"/>
  <c r="BH367" i="5"/>
  <c r="BH371" i="5"/>
  <c r="BH375" i="5"/>
  <c r="BI375" i="5" s="1"/>
  <c r="BH379" i="5"/>
  <c r="BH383" i="5"/>
  <c r="BH387" i="5"/>
  <c r="BI387" i="5" s="1"/>
  <c r="BH391" i="5"/>
  <c r="BH395" i="5"/>
  <c r="BH399" i="5"/>
  <c r="BI399" i="5" s="1"/>
  <c r="BH403" i="5"/>
  <c r="BH407" i="5"/>
  <c r="BH411" i="5"/>
  <c r="BI411" i="5" s="1"/>
  <c r="BH415" i="5"/>
  <c r="BH419" i="5"/>
  <c r="BH423" i="5"/>
  <c r="BI423" i="5" s="1"/>
  <c r="BH427" i="5"/>
  <c r="BH431" i="5"/>
  <c r="BH435" i="5"/>
  <c r="BI435" i="5" s="1"/>
  <c r="BH439" i="5"/>
  <c r="BH443" i="5"/>
  <c r="BH447" i="5"/>
  <c r="BI447" i="5" s="1"/>
  <c r="BH451" i="5"/>
  <c r="BH455" i="5"/>
  <c r="BH459" i="5"/>
  <c r="BI459" i="5" s="1"/>
  <c r="BH463" i="5"/>
  <c r="BH467" i="5"/>
  <c r="BH471" i="5"/>
  <c r="BI471" i="5" s="1"/>
  <c r="BH475" i="5"/>
  <c r="BH479" i="5"/>
  <c r="BH483" i="5"/>
  <c r="BI483" i="5" s="1"/>
  <c r="BH487" i="5"/>
  <c r="BH491" i="5"/>
  <c r="BH495" i="5"/>
  <c r="BI495" i="5" s="1"/>
  <c r="BH499" i="5"/>
  <c r="BH503" i="5"/>
  <c r="BH507" i="5"/>
  <c r="BI507" i="5" s="1"/>
  <c r="BH511" i="5"/>
  <c r="BH515" i="5"/>
  <c r="BH519" i="5"/>
  <c r="BI519" i="5" s="1"/>
  <c r="BH523" i="5"/>
  <c r="BH527" i="5"/>
  <c r="BH531" i="5"/>
  <c r="BI531" i="5" s="1"/>
  <c r="BH535" i="5"/>
  <c r="BH539" i="5"/>
  <c r="BH543" i="5"/>
  <c r="BI543" i="5" s="1"/>
  <c r="BH547" i="5"/>
  <c r="BH551" i="5"/>
  <c r="BH555" i="5"/>
  <c r="BI555" i="5" s="1"/>
  <c r="BH559" i="5"/>
  <c r="BH563" i="5"/>
  <c r="BH567" i="5"/>
  <c r="BI567" i="5" s="1"/>
  <c r="BH571" i="5"/>
  <c r="BH575" i="5"/>
  <c r="BH579" i="5"/>
  <c r="BI579" i="5" s="1"/>
  <c r="BH583" i="5"/>
  <c r="BH587" i="5"/>
  <c r="BH591" i="5"/>
  <c r="BI591" i="5" s="1"/>
  <c r="BH595" i="5"/>
  <c r="BH599" i="5"/>
  <c r="BH603" i="5"/>
  <c r="BI603" i="5" s="1"/>
  <c r="BH607" i="5"/>
  <c r="BH611" i="5"/>
  <c r="BH615" i="5"/>
  <c r="BI615" i="5" s="1"/>
  <c r="BH619" i="5"/>
  <c r="BH623" i="5"/>
  <c r="BH627" i="5"/>
  <c r="BI627" i="5" s="1"/>
  <c r="BH631" i="5"/>
  <c r="BH635" i="5"/>
  <c r="BH639" i="5"/>
  <c r="BI639" i="5" s="1"/>
  <c r="BH643" i="5"/>
  <c r="BH647" i="5"/>
  <c r="BH651" i="5"/>
  <c r="BI651" i="5" s="1"/>
  <c r="BH655" i="5"/>
  <c r="BH659" i="5"/>
  <c r="BH663" i="5"/>
  <c r="BI663" i="5" s="1"/>
  <c r="BH667" i="5"/>
  <c r="BH671" i="5"/>
  <c r="BH675" i="5"/>
  <c r="BI675" i="5" s="1"/>
  <c r="BH679" i="5"/>
  <c r="BH683" i="5"/>
  <c r="BH687" i="5"/>
  <c r="BI687" i="5" s="1"/>
  <c r="BH691" i="5"/>
  <c r="BH695" i="5"/>
  <c r="BH699" i="5"/>
  <c r="BI699" i="5" s="1"/>
  <c r="BH703" i="5"/>
  <c r="BH707" i="5"/>
  <c r="BH711" i="5"/>
  <c r="BI711" i="5" s="1"/>
  <c r="BH715" i="5"/>
  <c r="BH719" i="5"/>
  <c r="BH723" i="5"/>
  <c r="BI723" i="5" s="1"/>
  <c r="BH727" i="5"/>
  <c r="BH731" i="5"/>
  <c r="BH735" i="5"/>
  <c r="BI735" i="5" s="1"/>
  <c r="BH739" i="5"/>
  <c r="BH743" i="5"/>
  <c r="BH747" i="5"/>
  <c r="BI747" i="5" s="1"/>
  <c r="BH751" i="5"/>
  <c r="BH755" i="5"/>
  <c r="BH759" i="5"/>
  <c r="BI759" i="5" s="1"/>
  <c r="BH763" i="5"/>
  <c r="BH767" i="5"/>
  <c r="BH771" i="5"/>
  <c r="BI771" i="5" s="1"/>
  <c r="BH775" i="5"/>
  <c r="BH779" i="5"/>
  <c r="BH783" i="5"/>
  <c r="BI783" i="5" s="1"/>
  <c r="BH787" i="5"/>
  <c r="BH791" i="5"/>
  <c r="BH795" i="5"/>
  <c r="BI795" i="5" s="1"/>
  <c r="BH799" i="5"/>
  <c r="BH803" i="5"/>
  <c r="BH807" i="5"/>
  <c r="BI807" i="5" s="1"/>
  <c r="BH811" i="5"/>
  <c r="BH815" i="5"/>
  <c r="BH819" i="5"/>
  <c r="BI819" i="5" s="1"/>
  <c r="BH823" i="5"/>
  <c r="BH827" i="5"/>
  <c r="BH831" i="5"/>
  <c r="BI831" i="5" s="1"/>
  <c r="BH835" i="5"/>
  <c r="BH839" i="5"/>
  <c r="BH843" i="5"/>
  <c r="BI843" i="5" s="1"/>
  <c r="BH847" i="5"/>
  <c r="BH851" i="5"/>
  <c r="BH855" i="5"/>
  <c r="BI855" i="5" s="1"/>
  <c r="BH859" i="5"/>
  <c r="BH863" i="5"/>
  <c r="BH867" i="5"/>
  <c r="BI867" i="5" s="1"/>
  <c r="BH871" i="5"/>
  <c r="BH875" i="5"/>
  <c r="BH879" i="5"/>
  <c r="BI879" i="5" s="1"/>
  <c r="BH883" i="5"/>
  <c r="BH887" i="5"/>
  <c r="BH891" i="5"/>
  <c r="BI891" i="5" s="1"/>
  <c r="BH895" i="5"/>
  <c r="BH899" i="5"/>
  <c r="BH903" i="5"/>
  <c r="BI903" i="5" s="1"/>
  <c r="BH907" i="5"/>
  <c r="BH911" i="5"/>
  <c r="BH915" i="5"/>
  <c r="BI915" i="5" s="1"/>
  <c r="BH919" i="5"/>
  <c r="BH923" i="5"/>
  <c r="BH927" i="5"/>
  <c r="BI927" i="5" s="1"/>
  <c r="BH931" i="5"/>
  <c r="BH935" i="5"/>
  <c r="BH939" i="5"/>
  <c r="BI939" i="5" s="1"/>
  <c r="BH943" i="5"/>
  <c r="BH947" i="5"/>
  <c r="BH951" i="5"/>
  <c r="BI951" i="5" s="1"/>
  <c r="BH955" i="5"/>
  <c r="BH959" i="5"/>
  <c r="BH963" i="5"/>
  <c r="BI963" i="5" s="1"/>
  <c r="BH967" i="5"/>
  <c r="BH971" i="5"/>
  <c r="BH975" i="5"/>
  <c r="BI975" i="5" s="1"/>
  <c r="BH979" i="5"/>
  <c r="BH983" i="5"/>
  <c r="BH987" i="5"/>
  <c r="BI987" i="5" s="1"/>
  <c r="BH991" i="5"/>
  <c r="BH995" i="5"/>
  <c r="BH999" i="5"/>
  <c r="BI999" i="5" s="1"/>
  <c r="BH1003" i="5"/>
  <c r="BH1007" i="5"/>
  <c r="BH1011" i="5"/>
  <c r="BI1011" i="5" s="1"/>
  <c r="BH1015" i="5"/>
  <c r="BH1019" i="5"/>
  <c r="BH1023" i="5"/>
  <c r="BI1023" i="5" s="1"/>
  <c r="BH1027" i="5"/>
  <c r="BH24" i="5"/>
  <c r="BH28" i="5"/>
  <c r="BH32" i="5"/>
  <c r="BH36" i="5"/>
  <c r="BH40" i="5"/>
  <c r="BH44" i="5"/>
  <c r="BH48" i="5"/>
  <c r="BH52" i="5"/>
  <c r="BH56" i="5"/>
  <c r="BH60" i="5"/>
  <c r="BH64" i="5"/>
  <c r="BH68" i="5"/>
  <c r="BH72" i="5"/>
  <c r="BH76" i="5"/>
  <c r="BH80" i="5"/>
  <c r="BH84" i="5"/>
  <c r="BH88" i="5"/>
  <c r="BH92" i="5"/>
  <c r="BH96" i="5"/>
  <c r="BH100" i="5"/>
  <c r="BH104" i="5"/>
  <c r="BH108" i="5"/>
  <c r="BH112" i="5"/>
  <c r="BH116" i="5"/>
  <c r="BH120" i="5"/>
  <c r="BH124" i="5"/>
  <c r="BH128" i="5"/>
  <c r="BH132" i="5"/>
  <c r="BH136" i="5"/>
  <c r="BH140" i="5"/>
  <c r="BH144" i="5"/>
  <c r="BH148" i="5"/>
  <c r="BH152" i="5"/>
  <c r="BH156" i="5"/>
  <c r="BH160" i="5"/>
  <c r="BH164" i="5"/>
  <c r="BH168" i="5"/>
  <c r="BH172" i="5"/>
  <c r="BH176" i="5"/>
  <c r="BH180" i="5"/>
  <c r="BH184" i="5"/>
  <c r="BH188" i="5"/>
  <c r="BH192" i="5"/>
  <c r="BH196" i="5"/>
  <c r="BH200" i="5"/>
  <c r="BH204" i="5"/>
  <c r="BH208" i="5"/>
  <c r="BH212" i="5"/>
  <c r="BH216" i="5"/>
  <c r="BH220" i="5"/>
  <c r="BH224" i="5"/>
  <c r="BH228" i="5"/>
  <c r="BH232" i="5"/>
  <c r="BH236" i="5"/>
  <c r="BH240" i="5"/>
  <c r="BH244" i="5"/>
  <c r="BH248" i="5"/>
  <c r="BH252" i="5"/>
  <c r="BH256" i="5"/>
  <c r="BH260" i="5"/>
  <c r="BH264" i="5"/>
  <c r="BH268" i="5"/>
  <c r="BH272" i="5"/>
  <c r="BH276" i="5"/>
  <c r="BH280" i="5"/>
  <c r="BH284" i="5"/>
  <c r="BH288" i="5"/>
  <c r="BH292" i="5"/>
  <c r="BH296" i="5"/>
  <c r="BH300" i="5"/>
  <c r="BH304" i="5"/>
  <c r="BH308" i="5"/>
  <c r="BH312" i="5"/>
  <c r="BH316" i="5"/>
  <c r="BH320" i="5"/>
  <c r="BH324" i="5"/>
  <c r="BH328" i="5"/>
  <c r="BH332" i="5"/>
  <c r="BH336" i="5"/>
  <c r="BH340" i="5"/>
  <c r="BH344" i="5"/>
  <c r="BH348" i="5"/>
  <c r="BH352" i="5"/>
  <c r="BH356" i="5"/>
  <c r="BH360" i="5"/>
  <c r="BH364" i="5"/>
  <c r="BH368" i="5"/>
  <c r="BH372" i="5"/>
  <c r="BH376" i="5"/>
  <c r="BH380" i="5"/>
  <c r="BH384" i="5"/>
  <c r="BH388" i="5"/>
  <c r="BH392" i="5"/>
  <c r="BH396" i="5"/>
  <c r="BH400" i="5"/>
  <c r="BH404" i="5"/>
  <c r="BH408" i="5"/>
  <c r="BH412" i="5"/>
  <c r="BH416" i="5"/>
  <c r="BH420" i="5"/>
  <c r="BH424" i="5"/>
  <c r="BH428" i="5"/>
  <c r="BH432" i="5"/>
  <c r="BH436" i="5"/>
  <c r="BH440" i="5"/>
  <c r="BH444" i="5"/>
  <c r="BH448" i="5"/>
  <c r="BH452" i="5"/>
  <c r="BH456" i="5"/>
  <c r="BH460" i="5"/>
  <c r="BH464" i="5"/>
  <c r="BH468" i="5"/>
  <c r="BH472" i="5"/>
  <c r="BH476" i="5"/>
  <c r="BH480" i="5"/>
  <c r="BH484" i="5"/>
  <c r="BH488" i="5"/>
  <c r="BH492" i="5"/>
  <c r="BH496" i="5"/>
  <c r="BH500" i="5"/>
  <c r="BH504" i="5"/>
  <c r="BH508" i="5"/>
  <c r="BH512" i="5"/>
  <c r="BH516" i="5"/>
  <c r="BH520" i="5"/>
  <c r="BH524" i="5"/>
  <c r="BH528" i="5"/>
  <c r="BH532" i="5"/>
  <c r="BH536" i="5"/>
  <c r="BH540" i="5"/>
  <c r="BH544" i="5"/>
  <c r="BH548" i="5"/>
  <c r="BH552" i="5"/>
  <c r="BH556" i="5"/>
  <c r="BH560" i="5"/>
  <c r="BH564" i="5"/>
  <c r="BH568" i="5"/>
  <c r="BH572" i="5"/>
  <c r="BH576" i="5"/>
  <c r="BH580" i="5"/>
  <c r="BH584" i="5"/>
  <c r="BH588" i="5"/>
  <c r="BH592" i="5"/>
  <c r="BH596" i="5"/>
  <c r="BH600" i="5"/>
  <c r="BH604" i="5"/>
  <c r="BH608" i="5"/>
  <c r="BH612" i="5"/>
  <c r="BH616" i="5"/>
  <c r="BH620" i="5"/>
  <c r="BH624" i="5"/>
  <c r="BH628" i="5"/>
  <c r="BH632" i="5"/>
  <c r="BH636" i="5"/>
  <c r="BH640" i="5"/>
  <c r="BH644" i="5"/>
  <c r="BH648" i="5"/>
  <c r="BH652" i="5"/>
  <c r="BH656" i="5"/>
  <c r="BH660" i="5"/>
  <c r="BH664" i="5"/>
  <c r="BH668" i="5"/>
  <c r="BH672" i="5"/>
  <c r="BH676" i="5"/>
  <c r="BH680" i="5"/>
  <c r="BH684" i="5"/>
  <c r="BH688" i="5"/>
  <c r="BH692" i="5"/>
  <c r="BH696" i="5"/>
  <c r="BH700" i="5"/>
  <c r="BH704" i="5"/>
  <c r="BH708" i="5"/>
  <c r="BH712" i="5"/>
  <c r="BH716" i="5"/>
  <c r="BH720" i="5"/>
  <c r="BH724" i="5"/>
  <c r="BH728" i="5"/>
  <c r="BH732" i="5"/>
  <c r="BH736" i="5"/>
  <c r="BH740" i="5"/>
  <c r="BH744" i="5"/>
  <c r="BH748" i="5"/>
  <c r="BH752" i="5"/>
  <c r="BH756" i="5"/>
  <c r="BH760" i="5"/>
  <c r="BH764" i="5"/>
  <c r="BH768" i="5"/>
  <c r="BH772" i="5"/>
  <c r="BH776" i="5"/>
  <c r="BH780" i="5"/>
  <c r="BH784" i="5"/>
  <c r="BH788" i="5"/>
  <c r="BH792" i="5"/>
  <c r="BH796" i="5"/>
  <c r="BH800" i="5"/>
  <c r="BH804" i="5"/>
  <c r="BH808" i="5"/>
  <c r="BH812" i="5"/>
  <c r="BH816" i="5"/>
  <c r="BH820" i="5"/>
  <c r="BH824" i="5"/>
  <c r="BH828" i="5"/>
  <c r="BH832" i="5"/>
  <c r="BH836" i="5"/>
  <c r="BH840" i="5"/>
  <c r="BH844" i="5"/>
  <c r="BH848" i="5"/>
  <c r="BH852" i="5"/>
  <c r="BH856" i="5"/>
  <c r="BH860" i="5"/>
  <c r="BH864" i="5"/>
  <c r="BH868" i="5"/>
  <c r="BH872" i="5"/>
  <c r="BH876" i="5"/>
  <c r="BH880" i="5"/>
  <c r="BH884" i="5"/>
  <c r="BH888" i="5"/>
  <c r="BH892" i="5"/>
  <c r="BH896" i="5"/>
  <c r="BH900" i="5"/>
  <c r="BH904" i="5"/>
  <c r="BH908" i="5"/>
  <c r="BH912" i="5"/>
  <c r="BH916" i="5"/>
  <c r="BH920" i="5"/>
  <c r="BH924" i="5"/>
  <c r="BH928" i="5"/>
  <c r="BH932" i="5"/>
  <c r="BH936" i="5"/>
  <c r="BH940" i="5"/>
  <c r="BH944" i="5"/>
  <c r="BH948" i="5"/>
  <c r="BH952" i="5"/>
  <c r="BH956" i="5"/>
  <c r="BH960" i="5"/>
  <c r="BH964" i="5"/>
  <c r="BH968" i="5"/>
  <c r="BH972" i="5"/>
  <c r="BH976" i="5"/>
  <c r="BH980" i="5"/>
  <c r="BH984" i="5"/>
  <c r="BH988" i="5"/>
  <c r="BH992" i="5"/>
  <c r="BH996" i="5"/>
  <c r="BH1000" i="5"/>
  <c r="BH1004" i="5"/>
  <c r="BH1008" i="5"/>
  <c r="BH1012" i="5"/>
  <c r="BH1016" i="5"/>
  <c r="BH1020" i="5"/>
  <c r="BH1024" i="5"/>
  <c r="BH20" i="5"/>
  <c r="AX1027" i="5"/>
  <c r="U1027" i="5"/>
  <c r="AR1016" i="5"/>
  <c r="G1016" i="5"/>
  <c r="AX1015" i="5"/>
  <c r="U1015" i="5"/>
  <c r="AR1004" i="5"/>
  <c r="G1004" i="5"/>
  <c r="AX1003" i="5"/>
  <c r="U1003" i="5"/>
  <c r="AR992" i="5"/>
  <c r="G992" i="5"/>
  <c r="AX991" i="5"/>
  <c r="U991" i="5"/>
  <c r="AR980" i="5"/>
  <c r="G980" i="5"/>
  <c r="AX979" i="5"/>
  <c r="U979" i="5"/>
  <c r="AR968" i="5"/>
  <c r="G968" i="5"/>
  <c r="AX967" i="5"/>
  <c r="U967" i="5"/>
  <c r="AR956" i="5"/>
  <c r="G956" i="5"/>
  <c r="AX955" i="5"/>
  <c r="U955" i="5"/>
  <c r="AR944" i="5"/>
  <c r="G944" i="5"/>
  <c r="AX943" i="5"/>
  <c r="U943" i="5"/>
  <c r="AR932" i="5"/>
  <c r="G932" i="5"/>
  <c r="AX931" i="5"/>
  <c r="U931" i="5"/>
  <c r="AR920" i="5"/>
  <c r="G920" i="5"/>
  <c r="AX919" i="5"/>
  <c r="U919" i="5"/>
  <c r="AR908" i="5"/>
  <c r="G908" i="5"/>
  <c r="AX907" i="5"/>
  <c r="U907" i="5"/>
  <c r="AR896" i="5"/>
  <c r="G896" i="5"/>
  <c r="AX895" i="5"/>
  <c r="U895" i="5"/>
  <c r="AR884" i="5"/>
  <c r="G884" i="5"/>
  <c r="AX883" i="5"/>
  <c r="U883" i="5"/>
  <c r="AR872" i="5"/>
  <c r="G872" i="5"/>
  <c r="AX871" i="5"/>
  <c r="U871" i="5"/>
  <c r="AR860" i="5"/>
  <c r="G860" i="5"/>
  <c r="AX859" i="5"/>
  <c r="U859" i="5"/>
  <c r="AR848" i="5"/>
  <c r="G848" i="5"/>
  <c r="AX847" i="5"/>
  <c r="U847" i="5"/>
  <c r="AR836" i="5"/>
  <c r="G836" i="5"/>
  <c r="AX835" i="5"/>
  <c r="U835" i="5"/>
  <c r="AR824" i="5"/>
  <c r="G824" i="5"/>
  <c r="AX823" i="5"/>
  <c r="U823" i="5"/>
  <c r="AR812" i="5"/>
  <c r="G812" i="5"/>
  <c r="AX811" i="5"/>
  <c r="U811" i="5"/>
  <c r="AR800" i="5"/>
  <c r="G800" i="5"/>
  <c r="AX799" i="5"/>
  <c r="U799" i="5"/>
  <c r="AR788" i="5"/>
  <c r="G788" i="5"/>
  <c r="AX787" i="5"/>
  <c r="U787" i="5"/>
  <c r="AR776" i="5"/>
  <c r="G776" i="5"/>
  <c r="AX775" i="5"/>
  <c r="U775" i="5"/>
  <c r="AR764" i="5"/>
  <c r="G764" i="5"/>
  <c r="AX763" i="5"/>
  <c r="U763" i="5"/>
  <c r="AR752" i="5"/>
  <c r="G752" i="5"/>
  <c r="AX751" i="5"/>
  <c r="U751" i="5"/>
  <c r="AR740" i="5"/>
  <c r="G740" i="5"/>
  <c r="AX739" i="5"/>
  <c r="U739" i="5"/>
  <c r="AR728" i="5"/>
  <c r="G728" i="5"/>
  <c r="AX727" i="5"/>
  <c r="U727" i="5"/>
  <c r="AR716" i="5"/>
  <c r="G716" i="5"/>
  <c r="AX715" i="5"/>
  <c r="U715" i="5"/>
  <c r="AR704" i="5"/>
  <c r="G704" i="5"/>
  <c r="AX703" i="5"/>
  <c r="U703" i="5"/>
  <c r="AR692" i="5"/>
  <c r="G692" i="5"/>
  <c r="AX691" i="5"/>
  <c r="U691" i="5"/>
  <c r="AR680" i="5"/>
  <c r="G680" i="5"/>
  <c r="AX679" i="5"/>
  <c r="U679" i="5"/>
  <c r="AR668" i="5"/>
  <c r="G668" i="5"/>
  <c r="AX667" i="5"/>
  <c r="U667" i="5"/>
  <c r="AR656" i="5"/>
  <c r="G656" i="5"/>
  <c r="AX655" i="5"/>
  <c r="U655" i="5"/>
  <c r="AR644" i="5"/>
  <c r="G644" i="5"/>
  <c r="AX643" i="5"/>
  <c r="U643" i="5"/>
  <c r="AR632" i="5"/>
  <c r="G632" i="5"/>
  <c r="AX631" i="5"/>
  <c r="U631" i="5"/>
  <c r="AR620" i="5"/>
  <c r="G620" i="5"/>
  <c r="AX619" i="5"/>
  <c r="U619" i="5"/>
  <c r="AR608" i="5"/>
  <c r="G608" i="5"/>
  <c r="AX607" i="5"/>
  <c r="U607" i="5"/>
  <c r="AR596" i="5"/>
  <c r="G596" i="5"/>
  <c r="AX595" i="5"/>
  <c r="U595" i="5"/>
  <c r="AR584" i="5"/>
  <c r="G584" i="5"/>
  <c r="AX583" i="5"/>
  <c r="U583" i="5"/>
  <c r="AR572" i="5"/>
  <c r="G572" i="5"/>
  <c r="AX571" i="5"/>
  <c r="U571" i="5"/>
  <c r="AR560" i="5"/>
  <c r="G560" i="5"/>
  <c r="AX559" i="5"/>
  <c r="U559" i="5"/>
  <c r="AR548" i="5"/>
  <c r="G548" i="5"/>
  <c r="AX547" i="5"/>
  <c r="U547" i="5"/>
  <c r="AR536" i="5"/>
  <c r="G536" i="5"/>
  <c r="AX535" i="5"/>
  <c r="U535" i="5"/>
  <c r="AR524" i="5"/>
  <c r="G524" i="5"/>
  <c r="AX523" i="5"/>
  <c r="U523" i="5"/>
  <c r="AR512" i="5"/>
  <c r="G512" i="5"/>
  <c r="AX511" i="5"/>
  <c r="U511" i="5"/>
  <c r="AR500" i="5"/>
  <c r="G500" i="5"/>
  <c r="AX499" i="5"/>
  <c r="U499" i="5"/>
  <c r="AR488" i="5"/>
  <c r="G488" i="5"/>
  <c r="AX487" i="5"/>
  <c r="U487" i="5"/>
  <c r="AR476" i="5"/>
  <c r="G476" i="5"/>
  <c r="AX475" i="5"/>
  <c r="U475" i="5"/>
  <c r="AR464" i="5"/>
  <c r="G464" i="5"/>
  <c r="AX463" i="5"/>
  <c r="U463" i="5"/>
  <c r="AR452" i="5"/>
  <c r="G452" i="5"/>
  <c r="AX451" i="5"/>
  <c r="U451" i="5"/>
  <c r="AR440" i="5"/>
  <c r="G440" i="5"/>
  <c r="AX439" i="5"/>
  <c r="U439" i="5"/>
  <c r="AR428" i="5"/>
  <c r="G428" i="5"/>
  <c r="AX427" i="5"/>
  <c r="U427" i="5"/>
  <c r="AR416" i="5"/>
  <c r="G416" i="5"/>
  <c r="AX415" i="5"/>
  <c r="U415" i="5"/>
  <c r="AR404" i="5"/>
  <c r="G404" i="5"/>
  <c r="AX403" i="5"/>
  <c r="U403" i="5"/>
  <c r="AR392" i="5"/>
  <c r="G392" i="5"/>
  <c r="AX391" i="5"/>
  <c r="U391" i="5"/>
  <c r="AR380" i="5"/>
  <c r="G380" i="5"/>
  <c r="AX379" i="5"/>
  <c r="U379" i="5"/>
  <c r="AR368" i="5"/>
  <c r="G368" i="5"/>
  <c r="AX367" i="5"/>
  <c r="U367" i="5"/>
  <c r="AR356" i="5"/>
  <c r="G356" i="5"/>
  <c r="AX355" i="5"/>
  <c r="U355" i="5"/>
  <c r="AR344" i="5"/>
  <c r="G344" i="5"/>
  <c r="AX343" i="5"/>
  <c r="U343" i="5"/>
  <c r="AR332" i="5"/>
  <c r="G332" i="5"/>
  <c r="AX331" i="5"/>
  <c r="U331" i="5"/>
  <c r="AR320" i="5"/>
  <c r="G320" i="5"/>
  <c r="AX319" i="5"/>
  <c r="U319" i="5"/>
  <c r="AR308" i="5"/>
  <c r="G308" i="5"/>
  <c r="AX307" i="5"/>
  <c r="U307" i="5"/>
  <c r="AR296" i="5"/>
  <c r="G296" i="5"/>
  <c r="AX295" i="5"/>
  <c r="U295" i="5"/>
  <c r="AR284" i="5"/>
  <c r="G284" i="5"/>
  <c r="AX283" i="5"/>
  <c r="U283" i="5"/>
  <c r="AR272" i="5"/>
  <c r="G272" i="5"/>
  <c r="AX271" i="5"/>
  <c r="U271" i="5"/>
  <c r="AR260" i="5"/>
  <c r="G260" i="5"/>
  <c r="AX259" i="5"/>
  <c r="U259" i="5"/>
  <c r="AR248" i="5"/>
  <c r="G248" i="5"/>
  <c r="AX247" i="5"/>
  <c r="U247" i="5"/>
  <c r="AR236" i="5"/>
  <c r="G236" i="5"/>
  <c r="AX235" i="5"/>
  <c r="U235" i="5"/>
  <c r="AR224" i="5"/>
  <c r="G224" i="5"/>
  <c r="AX223" i="5"/>
  <c r="U223" i="5"/>
  <c r="AR212" i="5"/>
  <c r="G212" i="5"/>
  <c r="AX211" i="5"/>
  <c r="U211" i="5"/>
  <c r="AR200" i="5"/>
  <c r="G200" i="5"/>
  <c r="AX199" i="5"/>
  <c r="U199" i="5"/>
  <c r="AR188" i="5"/>
  <c r="G188" i="5"/>
  <c r="AX187" i="5"/>
  <c r="U187" i="5"/>
  <c r="AR176" i="5"/>
  <c r="G176" i="5"/>
  <c r="AX175" i="5"/>
  <c r="U175" i="5"/>
  <c r="AR164" i="5"/>
  <c r="G164" i="5"/>
  <c r="AX163" i="5"/>
  <c r="U163" i="5"/>
  <c r="AR152" i="5"/>
  <c r="G152" i="5"/>
  <c r="AX151" i="5"/>
  <c r="U151" i="5"/>
  <c r="AR140" i="5"/>
  <c r="G140" i="5"/>
  <c r="AX139" i="5"/>
  <c r="U139" i="5"/>
  <c r="AR128" i="5"/>
  <c r="G128" i="5"/>
  <c r="AX127" i="5"/>
  <c r="U127" i="5"/>
  <c r="AR116" i="5"/>
  <c r="G116" i="5"/>
  <c r="AX115" i="5"/>
  <c r="U115" i="5"/>
  <c r="AR104" i="5"/>
  <c r="G104" i="5"/>
  <c r="AX103" i="5"/>
  <c r="U103" i="5"/>
  <c r="AR92" i="5"/>
  <c r="G92" i="5"/>
  <c r="AX91" i="5"/>
  <c r="U91" i="5"/>
  <c r="AR80" i="5"/>
  <c r="G80" i="5"/>
  <c r="AX79" i="5"/>
  <c r="U79" i="5"/>
  <c r="AR68" i="5"/>
  <c r="G68" i="5"/>
  <c r="AX67" i="5"/>
  <c r="U67" i="5"/>
  <c r="AR56" i="5"/>
  <c r="G56" i="5"/>
  <c r="AX55" i="5"/>
  <c r="U55" i="5"/>
  <c r="AR44" i="5"/>
  <c r="G44" i="5"/>
  <c r="AX43" i="5"/>
  <c r="U43" i="5"/>
  <c r="AR32" i="5"/>
  <c r="G32" i="5"/>
  <c r="AX31" i="5"/>
  <c r="U31" i="5"/>
  <c r="AR20" i="5"/>
  <c r="AT20" i="5" s="1"/>
  <c r="G20" i="5"/>
  <c r="D9" i="5"/>
  <c r="D8" i="5"/>
  <c r="D7" i="5"/>
  <c r="D6" i="5"/>
  <c r="D5" i="5"/>
  <c r="D4" i="5"/>
  <c r="D3" i="5"/>
  <c r="M2" i="5"/>
  <c r="D2" i="5"/>
  <c r="D1" i="5"/>
  <c r="E9" i="9" l="1"/>
  <c r="M10" i="5"/>
  <c r="O11" i="5" s="1"/>
  <c r="Q11" i="5" s="1"/>
  <c r="S11" i="5" s="1"/>
  <c r="M11" i="5" s="1"/>
  <c r="BG21" i="5"/>
  <c r="L9" i="9"/>
  <c r="B11" i="9" s="1"/>
  <c r="L9" i="8"/>
  <c r="B11" i="8" s="1"/>
  <c r="G20" i="9"/>
  <c r="G20" i="8"/>
  <c r="E12" i="9"/>
  <c r="E12" i="8"/>
  <c r="L10" i="8"/>
  <c r="L10" i="9"/>
  <c r="L11" i="9"/>
  <c r="L11" i="8"/>
  <c r="E9" i="8"/>
  <c r="B65" i="3"/>
  <c r="C65" i="3" s="1"/>
  <c r="D54" i="3"/>
  <c r="M4" i="5"/>
  <c r="D46" i="3"/>
  <c r="E46" i="3" s="1"/>
  <c r="B46" i="3" s="1"/>
  <c r="D44" i="3"/>
  <c r="E44" i="3" s="1"/>
  <c r="B44" i="3" s="1"/>
  <c r="D45" i="3"/>
  <c r="E45" i="3" s="1"/>
  <c r="B45" i="3" s="1"/>
  <c r="D48" i="3"/>
  <c r="E48" i="3" s="1"/>
  <c r="B48" i="3" s="1"/>
  <c r="D43" i="3"/>
  <c r="D47" i="3"/>
  <c r="E47" i="3" s="1"/>
  <c r="B47" i="3" s="1"/>
  <c r="AZ125" i="5"/>
  <c r="M1" i="5"/>
  <c r="M3" i="5"/>
  <c r="E11" i="9" s="1"/>
  <c r="AZ123" i="5"/>
  <c r="M5" i="5"/>
  <c r="AZ121" i="5"/>
  <c r="AZ119" i="5"/>
  <c r="AZ117" i="5"/>
  <c r="O20" i="5"/>
  <c r="AZ131" i="5"/>
  <c r="AZ135" i="5"/>
  <c r="AZ129" i="5"/>
  <c r="AZ133" i="5"/>
  <c r="AZ137" i="5"/>
  <c r="AZ152" i="5"/>
  <c r="E7" i="5"/>
  <c r="AZ31" i="5"/>
  <c r="AZ43" i="5"/>
  <c r="AZ55" i="5"/>
  <c r="AZ67" i="5"/>
  <c r="AZ79" i="5"/>
  <c r="AZ91" i="5"/>
  <c r="AZ103" i="5"/>
  <c r="AZ106" i="5"/>
  <c r="AZ108" i="5"/>
  <c r="AZ110" i="5"/>
  <c r="AZ112" i="5"/>
  <c r="AZ114" i="5"/>
  <c r="AZ141" i="5"/>
  <c r="AZ143" i="5"/>
  <c r="AZ145" i="5"/>
  <c r="AZ147" i="5"/>
  <c r="AZ149" i="5"/>
  <c r="AZ116" i="5"/>
  <c r="AZ118" i="5"/>
  <c r="AZ120" i="5"/>
  <c r="AZ122" i="5"/>
  <c r="AZ124" i="5"/>
  <c r="AZ126" i="5"/>
  <c r="AZ128" i="5"/>
  <c r="AZ130" i="5"/>
  <c r="AZ132" i="5"/>
  <c r="AZ134" i="5"/>
  <c r="AZ136" i="5"/>
  <c r="AZ138" i="5"/>
  <c r="AZ1026" i="5"/>
  <c r="AZ1025" i="5"/>
  <c r="AZ1024" i="5"/>
  <c r="AZ1023" i="5"/>
  <c r="AZ1022" i="5"/>
  <c r="AZ1021" i="5"/>
  <c r="AZ1020" i="5"/>
  <c r="AZ1019" i="5"/>
  <c r="AZ1018" i="5"/>
  <c r="AZ1017" i="5"/>
  <c r="AZ1016" i="5"/>
  <c r="AZ1027" i="5"/>
  <c r="AZ1014" i="5"/>
  <c r="AZ1013" i="5"/>
  <c r="AZ1012" i="5"/>
  <c r="AZ1011" i="5"/>
  <c r="AZ1010" i="5"/>
  <c r="AZ1009" i="5"/>
  <c r="AZ1008" i="5"/>
  <c r="AZ1007" i="5"/>
  <c r="AZ1006" i="5"/>
  <c r="AZ1005" i="5"/>
  <c r="AZ1004" i="5"/>
  <c r="AZ1015" i="5"/>
  <c r="AZ1003" i="5"/>
  <c r="AZ991" i="5"/>
  <c r="AZ1002" i="5"/>
  <c r="AZ1001" i="5"/>
  <c r="AZ1000" i="5"/>
  <c r="AZ999" i="5"/>
  <c r="AZ998" i="5"/>
  <c r="AZ997" i="5"/>
  <c r="AZ996" i="5"/>
  <c r="AZ995" i="5"/>
  <c r="AZ994" i="5"/>
  <c r="AZ993" i="5"/>
  <c r="AZ985" i="5"/>
  <c r="AZ989" i="5"/>
  <c r="AZ984" i="5"/>
  <c r="AZ979" i="5"/>
  <c r="AZ992" i="5"/>
  <c r="AZ987" i="5"/>
  <c r="AZ983" i="5"/>
  <c r="AZ990" i="5"/>
  <c r="AZ988" i="5"/>
  <c r="AZ986" i="5"/>
  <c r="AZ982" i="5"/>
  <c r="AZ981" i="5"/>
  <c r="AZ980" i="5"/>
  <c r="AZ978" i="5"/>
  <c r="AZ977" i="5"/>
  <c r="AZ976" i="5"/>
  <c r="AZ975" i="5"/>
  <c r="AZ974" i="5"/>
  <c r="AZ967" i="5"/>
  <c r="AZ955" i="5"/>
  <c r="AZ973" i="5"/>
  <c r="AZ972" i="5"/>
  <c r="AZ971" i="5"/>
  <c r="AZ970" i="5"/>
  <c r="AZ969" i="5"/>
  <c r="AZ968" i="5"/>
  <c r="AZ966" i="5"/>
  <c r="AZ965" i="5"/>
  <c r="AZ964" i="5"/>
  <c r="AZ963" i="5"/>
  <c r="AZ962" i="5"/>
  <c r="AZ961" i="5"/>
  <c r="AZ960" i="5"/>
  <c r="AZ958" i="5"/>
  <c r="AZ956" i="5"/>
  <c r="AZ953" i="5"/>
  <c r="AZ949" i="5"/>
  <c r="AZ943" i="5"/>
  <c r="AZ931" i="5"/>
  <c r="AZ952" i="5"/>
  <c r="AZ948" i="5"/>
  <c r="AZ959" i="5"/>
  <c r="AZ957" i="5"/>
  <c r="AZ951" i="5"/>
  <c r="AZ947" i="5"/>
  <c r="AZ946" i="5"/>
  <c r="AZ945" i="5"/>
  <c r="AZ944" i="5"/>
  <c r="AZ942" i="5"/>
  <c r="AZ941" i="5"/>
  <c r="AZ940" i="5"/>
  <c r="AZ954" i="5"/>
  <c r="AZ950" i="5"/>
  <c r="AZ937" i="5"/>
  <c r="AZ935" i="5"/>
  <c r="AZ933" i="5"/>
  <c r="AZ929" i="5"/>
  <c r="AZ925" i="5"/>
  <c r="AZ938" i="5"/>
  <c r="AZ928" i="5"/>
  <c r="AZ924" i="5"/>
  <c r="AZ922" i="5"/>
  <c r="AZ921" i="5"/>
  <c r="AZ920" i="5"/>
  <c r="AZ918" i="5"/>
  <c r="AZ917" i="5"/>
  <c r="AZ916" i="5"/>
  <c r="AZ915" i="5"/>
  <c r="AZ914" i="5"/>
  <c r="AZ913" i="5"/>
  <c r="AZ912" i="5"/>
  <c r="AZ911" i="5"/>
  <c r="AZ910" i="5"/>
  <c r="AZ909" i="5"/>
  <c r="AZ908" i="5"/>
  <c r="AZ939" i="5"/>
  <c r="AZ934" i="5"/>
  <c r="AZ932" i="5"/>
  <c r="AZ927" i="5"/>
  <c r="AZ923" i="5"/>
  <c r="AZ936" i="5"/>
  <c r="AZ930" i="5"/>
  <c r="AZ926" i="5"/>
  <c r="AZ919" i="5"/>
  <c r="AZ907" i="5"/>
  <c r="AZ903" i="5"/>
  <c r="AZ899" i="5"/>
  <c r="AZ902" i="5"/>
  <c r="AZ898" i="5"/>
  <c r="AZ895" i="5"/>
  <c r="AZ883" i="5"/>
  <c r="AZ905" i="5"/>
  <c r="AZ901" i="5"/>
  <c r="AZ906" i="5"/>
  <c r="AZ904" i="5"/>
  <c r="AZ900" i="5"/>
  <c r="AZ897" i="5"/>
  <c r="AZ896" i="5"/>
  <c r="AZ894" i="5"/>
  <c r="AZ893" i="5"/>
  <c r="AZ892" i="5"/>
  <c r="AZ891" i="5"/>
  <c r="AZ890" i="5"/>
  <c r="AZ889" i="5"/>
  <c r="AZ888" i="5"/>
  <c r="AZ887" i="5"/>
  <c r="AZ886" i="5"/>
  <c r="AZ885" i="5"/>
  <c r="AZ884" i="5"/>
  <c r="AZ882" i="5"/>
  <c r="AZ881" i="5"/>
  <c r="AZ880" i="5"/>
  <c r="AZ879" i="5"/>
  <c r="AZ878" i="5"/>
  <c r="AZ877" i="5"/>
  <c r="AZ876" i="5"/>
  <c r="AZ875" i="5"/>
  <c r="AZ859" i="5"/>
  <c r="AZ847" i="5"/>
  <c r="AZ835" i="5"/>
  <c r="AZ874" i="5"/>
  <c r="AZ870" i="5"/>
  <c r="AZ873" i="5"/>
  <c r="AZ871" i="5"/>
  <c r="AZ869" i="5"/>
  <c r="AZ868" i="5"/>
  <c r="AZ867" i="5"/>
  <c r="AZ866" i="5"/>
  <c r="AZ865" i="5"/>
  <c r="AZ864" i="5"/>
  <c r="AZ863" i="5"/>
  <c r="AZ862" i="5"/>
  <c r="AZ861" i="5"/>
  <c r="AZ860" i="5"/>
  <c r="AZ858" i="5"/>
  <c r="AZ857" i="5"/>
  <c r="AZ856" i="5"/>
  <c r="AZ855" i="5"/>
  <c r="AZ854" i="5"/>
  <c r="AZ853" i="5"/>
  <c r="AZ852" i="5"/>
  <c r="AZ872" i="5"/>
  <c r="AZ851" i="5"/>
  <c r="AZ846" i="5"/>
  <c r="AZ842" i="5"/>
  <c r="AZ840" i="5"/>
  <c r="AZ838" i="5"/>
  <c r="AZ836" i="5"/>
  <c r="AZ833" i="5"/>
  <c r="AZ829" i="5"/>
  <c r="AZ848" i="5"/>
  <c r="AZ843" i="5"/>
  <c r="AZ832" i="5"/>
  <c r="AZ828" i="5"/>
  <c r="AZ825" i="5"/>
  <c r="AZ824" i="5"/>
  <c r="AZ822" i="5"/>
  <c r="AZ821" i="5"/>
  <c r="AZ820" i="5"/>
  <c r="AZ819" i="5"/>
  <c r="AZ818" i="5"/>
  <c r="AZ817" i="5"/>
  <c r="AZ816" i="5"/>
  <c r="AZ815" i="5"/>
  <c r="AZ814" i="5"/>
  <c r="AZ813" i="5"/>
  <c r="AZ812" i="5"/>
  <c r="AZ810" i="5"/>
  <c r="AZ809" i="5"/>
  <c r="AZ808" i="5"/>
  <c r="AZ807" i="5"/>
  <c r="AZ806" i="5"/>
  <c r="AZ805" i="5"/>
  <c r="AZ804" i="5"/>
  <c r="AZ803" i="5"/>
  <c r="AZ802" i="5"/>
  <c r="AZ849" i="5"/>
  <c r="AZ844" i="5"/>
  <c r="AZ839" i="5"/>
  <c r="AZ837" i="5"/>
  <c r="AZ831" i="5"/>
  <c r="AZ827" i="5"/>
  <c r="AZ850" i="5"/>
  <c r="AZ845" i="5"/>
  <c r="AZ841" i="5"/>
  <c r="AZ834" i="5"/>
  <c r="AZ830" i="5"/>
  <c r="AZ826" i="5"/>
  <c r="AZ823" i="5"/>
  <c r="AZ811" i="5"/>
  <c r="AZ799" i="5"/>
  <c r="AZ801" i="5"/>
  <c r="AZ787" i="5"/>
  <c r="AZ775" i="5"/>
  <c r="AZ763" i="5"/>
  <c r="AZ751" i="5"/>
  <c r="AZ739" i="5"/>
  <c r="AZ727" i="5"/>
  <c r="AZ797" i="5"/>
  <c r="AZ795" i="5"/>
  <c r="AZ793" i="5"/>
  <c r="AZ791" i="5"/>
  <c r="AZ789" i="5"/>
  <c r="AZ788" i="5"/>
  <c r="AZ800" i="5"/>
  <c r="AZ786" i="5"/>
  <c r="AZ785" i="5"/>
  <c r="AZ784" i="5"/>
  <c r="AZ783" i="5"/>
  <c r="AZ782" i="5"/>
  <c r="AZ781" i="5"/>
  <c r="AZ780" i="5"/>
  <c r="AZ779" i="5"/>
  <c r="AZ778" i="5"/>
  <c r="AZ777" i="5"/>
  <c r="AZ776" i="5"/>
  <c r="AZ774" i="5"/>
  <c r="AZ773" i="5"/>
  <c r="AZ772" i="5"/>
  <c r="AZ771" i="5"/>
  <c r="AZ770" i="5"/>
  <c r="AZ769" i="5"/>
  <c r="AZ768" i="5"/>
  <c r="AZ767" i="5"/>
  <c r="AZ766" i="5"/>
  <c r="AZ765" i="5"/>
  <c r="AZ764" i="5"/>
  <c r="AZ762" i="5"/>
  <c r="AZ761" i="5"/>
  <c r="AZ760" i="5"/>
  <c r="AZ759" i="5"/>
  <c r="AZ758" i="5"/>
  <c r="AZ757" i="5"/>
  <c r="AZ756" i="5"/>
  <c r="AZ798" i="5"/>
  <c r="AZ796" i="5"/>
  <c r="AZ794" i="5"/>
  <c r="AZ792" i="5"/>
  <c r="AZ790" i="5"/>
  <c r="AZ753" i="5"/>
  <c r="AZ747" i="5"/>
  <c r="AZ745" i="5"/>
  <c r="AZ743" i="5"/>
  <c r="AZ741" i="5"/>
  <c r="AZ731" i="5"/>
  <c r="AZ724" i="5"/>
  <c r="AZ754" i="5"/>
  <c r="AZ748" i="5"/>
  <c r="AZ737" i="5"/>
  <c r="AZ735" i="5"/>
  <c r="AZ734" i="5"/>
  <c r="AZ730" i="5"/>
  <c r="AZ723" i="5"/>
  <c r="AZ722" i="5"/>
  <c r="AZ721" i="5"/>
  <c r="AZ720" i="5"/>
  <c r="AZ719" i="5"/>
  <c r="AZ718" i="5"/>
  <c r="AZ717" i="5"/>
  <c r="AZ716" i="5"/>
  <c r="AZ714" i="5"/>
  <c r="AZ713" i="5"/>
  <c r="AZ712" i="5"/>
  <c r="AZ711" i="5"/>
  <c r="AZ710" i="5"/>
  <c r="AZ709" i="5"/>
  <c r="AZ708" i="5"/>
  <c r="AZ707" i="5"/>
  <c r="AZ706" i="5"/>
  <c r="AZ705" i="5"/>
  <c r="AZ704" i="5"/>
  <c r="AZ702" i="5"/>
  <c r="AZ701" i="5"/>
  <c r="AZ700" i="5"/>
  <c r="AZ699" i="5"/>
  <c r="AZ698" i="5"/>
  <c r="AZ697" i="5"/>
  <c r="AZ696" i="5"/>
  <c r="AZ695" i="5"/>
  <c r="AZ694" i="5"/>
  <c r="AZ693" i="5"/>
  <c r="AZ692" i="5"/>
  <c r="AZ690" i="5"/>
  <c r="AZ755" i="5"/>
  <c r="AZ749" i="5"/>
  <c r="AZ746" i="5"/>
  <c r="AZ744" i="5"/>
  <c r="AZ742" i="5"/>
  <c r="AZ740" i="5"/>
  <c r="AZ733" i="5"/>
  <c r="AZ729" i="5"/>
  <c r="AZ726" i="5"/>
  <c r="AZ752" i="5"/>
  <c r="AZ750" i="5"/>
  <c r="AZ738" i="5"/>
  <c r="AZ736" i="5"/>
  <c r="AZ732" i="5"/>
  <c r="AZ728" i="5"/>
  <c r="AZ725" i="5"/>
  <c r="AZ715" i="5"/>
  <c r="AZ703" i="5"/>
  <c r="AZ691" i="5"/>
  <c r="AZ679" i="5"/>
  <c r="AZ677" i="5"/>
  <c r="AZ673" i="5"/>
  <c r="AZ688" i="5"/>
  <c r="AZ686" i="5"/>
  <c r="AZ684" i="5"/>
  <c r="AZ682" i="5"/>
  <c r="AZ680" i="5"/>
  <c r="AZ676" i="5"/>
  <c r="AZ672" i="5"/>
  <c r="AZ671" i="5"/>
  <c r="AZ670" i="5"/>
  <c r="AZ669" i="5"/>
  <c r="AZ668" i="5"/>
  <c r="AZ666" i="5"/>
  <c r="AZ665" i="5"/>
  <c r="AZ664" i="5"/>
  <c r="AZ663" i="5"/>
  <c r="AZ662" i="5"/>
  <c r="AZ661" i="5"/>
  <c r="AZ660" i="5"/>
  <c r="AZ659" i="5"/>
  <c r="AZ658" i="5"/>
  <c r="AZ657" i="5"/>
  <c r="AZ656" i="5"/>
  <c r="AZ654" i="5"/>
  <c r="AZ653" i="5"/>
  <c r="AZ652" i="5"/>
  <c r="AZ651" i="5"/>
  <c r="AZ650" i="5"/>
  <c r="AZ649" i="5"/>
  <c r="AZ648" i="5"/>
  <c r="AZ647" i="5"/>
  <c r="AZ646" i="5"/>
  <c r="AZ645" i="5"/>
  <c r="AZ644" i="5"/>
  <c r="AZ642" i="5"/>
  <c r="AZ641" i="5"/>
  <c r="AZ640" i="5"/>
  <c r="AZ639" i="5"/>
  <c r="AZ638" i="5"/>
  <c r="AZ637" i="5"/>
  <c r="AZ636" i="5"/>
  <c r="AZ635" i="5"/>
  <c r="AZ634" i="5"/>
  <c r="AZ633" i="5"/>
  <c r="AZ632" i="5"/>
  <c r="AZ630" i="5"/>
  <c r="AZ629" i="5"/>
  <c r="AZ628" i="5"/>
  <c r="AZ627" i="5"/>
  <c r="AZ626" i="5"/>
  <c r="AZ625" i="5"/>
  <c r="AZ624" i="5"/>
  <c r="AZ623" i="5"/>
  <c r="AZ622" i="5"/>
  <c r="AZ621" i="5"/>
  <c r="AZ620" i="5"/>
  <c r="AZ618" i="5"/>
  <c r="AZ617" i="5"/>
  <c r="AZ616" i="5"/>
  <c r="AZ615" i="5"/>
  <c r="AZ614" i="5"/>
  <c r="AZ613" i="5"/>
  <c r="AZ612" i="5"/>
  <c r="AZ678" i="5"/>
  <c r="AZ675" i="5"/>
  <c r="AZ689" i="5"/>
  <c r="AZ687" i="5"/>
  <c r="AZ685" i="5"/>
  <c r="AZ683" i="5"/>
  <c r="AZ681" i="5"/>
  <c r="AZ674" i="5"/>
  <c r="AZ667" i="5"/>
  <c r="AZ655" i="5"/>
  <c r="AZ643" i="5"/>
  <c r="AZ631" i="5"/>
  <c r="AZ619" i="5"/>
  <c r="AZ607" i="5"/>
  <c r="AZ595" i="5"/>
  <c r="AZ591" i="5"/>
  <c r="AZ587" i="5"/>
  <c r="AZ611" i="5"/>
  <c r="AZ609" i="5"/>
  <c r="AZ606" i="5"/>
  <c r="AZ604" i="5"/>
  <c r="AZ602" i="5"/>
  <c r="AZ600" i="5"/>
  <c r="AZ598" i="5"/>
  <c r="AZ596" i="5"/>
  <c r="AZ594" i="5"/>
  <c r="AZ590" i="5"/>
  <c r="AZ586" i="5"/>
  <c r="AZ584" i="5"/>
  <c r="AZ582" i="5"/>
  <c r="AZ581" i="5"/>
  <c r="AZ580" i="5"/>
  <c r="AZ579" i="5"/>
  <c r="AZ578" i="5"/>
  <c r="AZ577" i="5"/>
  <c r="AZ576" i="5"/>
  <c r="AZ575" i="5"/>
  <c r="AZ574" i="5"/>
  <c r="AZ573" i="5"/>
  <c r="AZ572" i="5"/>
  <c r="AZ570" i="5"/>
  <c r="AZ569" i="5"/>
  <c r="AZ568" i="5"/>
  <c r="AZ567" i="5"/>
  <c r="AZ566" i="5"/>
  <c r="AZ565" i="5"/>
  <c r="AZ564" i="5"/>
  <c r="AZ563" i="5"/>
  <c r="AZ562" i="5"/>
  <c r="AZ561" i="5"/>
  <c r="AZ560" i="5"/>
  <c r="AZ558" i="5"/>
  <c r="AZ557" i="5"/>
  <c r="AZ556" i="5"/>
  <c r="AZ555" i="5"/>
  <c r="AZ554" i="5"/>
  <c r="AZ553" i="5"/>
  <c r="AZ552" i="5"/>
  <c r="AZ551" i="5"/>
  <c r="AZ550" i="5"/>
  <c r="AZ549" i="5"/>
  <c r="AZ548" i="5"/>
  <c r="AZ546" i="5"/>
  <c r="AZ545" i="5"/>
  <c r="AZ544" i="5"/>
  <c r="AZ543" i="5"/>
  <c r="AZ542" i="5"/>
  <c r="AZ593" i="5"/>
  <c r="AZ589" i="5"/>
  <c r="AZ585" i="5"/>
  <c r="AZ610" i="5"/>
  <c r="AZ608" i="5"/>
  <c r="AZ605" i="5"/>
  <c r="AZ603" i="5"/>
  <c r="AZ601" i="5"/>
  <c r="AZ599" i="5"/>
  <c r="AZ597" i="5"/>
  <c r="AZ592" i="5"/>
  <c r="AZ588" i="5"/>
  <c r="AZ583" i="5"/>
  <c r="AZ571" i="5"/>
  <c r="AZ559" i="5"/>
  <c r="AZ547" i="5"/>
  <c r="AZ535" i="5"/>
  <c r="AZ523" i="5"/>
  <c r="AZ511" i="5"/>
  <c r="AZ539" i="5"/>
  <c r="AZ533" i="5"/>
  <c r="AZ529" i="5"/>
  <c r="AZ525" i="5"/>
  <c r="AZ519" i="5"/>
  <c r="AZ515" i="5"/>
  <c r="AZ509" i="5"/>
  <c r="AZ507" i="5"/>
  <c r="AZ505" i="5"/>
  <c r="AZ503" i="5"/>
  <c r="AZ499" i="5"/>
  <c r="AZ487" i="5"/>
  <c r="AZ475" i="5"/>
  <c r="AZ463" i="5"/>
  <c r="AZ451" i="5"/>
  <c r="AZ439" i="5"/>
  <c r="AZ427" i="5"/>
  <c r="AZ415" i="5"/>
  <c r="AZ403" i="5"/>
  <c r="AZ391" i="5"/>
  <c r="AZ540" i="5"/>
  <c r="AZ536" i="5"/>
  <c r="AZ534" i="5"/>
  <c r="AZ530" i="5"/>
  <c r="AZ526" i="5"/>
  <c r="AZ520" i="5"/>
  <c r="AZ516" i="5"/>
  <c r="AZ512" i="5"/>
  <c r="AZ541" i="5"/>
  <c r="AZ537" i="5"/>
  <c r="AZ531" i="5"/>
  <c r="AZ527" i="5"/>
  <c r="AZ521" i="5"/>
  <c r="AZ517" i="5"/>
  <c r="AZ513" i="5"/>
  <c r="AZ510" i="5"/>
  <c r="AZ508" i="5"/>
  <c r="AZ506" i="5"/>
  <c r="AZ504" i="5"/>
  <c r="AZ502" i="5"/>
  <c r="AZ501" i="5"/>
  <c r="AZ500" i="5"/>
  <c r="AZ498" i="5"/>
  <c r="AZ497" i="5"/>
  <c r="AZ496" i="5"/>
  <c r="AZ495" i="5"/>
  <c r="AZ494" i="5"/>
  <c r="AZ493" i="5"/>
  <c r="AZ492" i="5"/>
  <c r="AZ491" i="5"/>
  <c r="AZ490" i="5"/>
  <c r="AZ489" i="5"/>
  <c r="AZ488" i="5"/>
  <c r="AZ486" i="5"/>
  <c r="AZ485" i="5"/>
  <c r="AZ484" i="5"/>
  <c r="AZ483" i="5"/>
  <c r="AZ482" i="5"/>
  <c r="AZ481" i="5"/>
  <c r="AZ480" i="5"/>
  <c r="AZ479" i="5"/>
  <c r="AZ478" i="5"/>
  <c r="AZ477" i="5"/>
  <c r="AZ476" i="5"/>
  <c r="AZ474" i="5"/>
  <c r="AZ473" i="5"/>
  <c r="AZ472" i="5"/>
  <c r="AZ471" i="5"/>
  <c r="AZ470" i="5"/>
  <c r="AZ469" i="5"/>
  <c r="AZ468" i="5"/>
  <c r="AZ467" i="5"/>
  <c r="AZ466" i="5"/>
  <c r="AZ465" i="5"/>
  <c r="AZ464" i="5"/>
  <c r="AZ462" i="5"/>
  <c r="AZ461" i="5"/>
  <c r="AZ460" i="5"/>
  <c r="AZ459" i="5"/>
  <c r="AZ458" i="5"/>
  <c r="AZ457" i="5"/>
  <c r="AZ456" i="5"/>
  <c r="AZ455" i="5"/>
  <c r="AZ454" i="5"/>
  <c r="AZ453" i="5"/>
  <c r="AZ452" i="5"/>
  <c r="AZ450" i="5"/>
  <c r="AZ449" i="5"/>
  <c r="AZ448" i="5"/>
  <c r="AZ447" i="5"/>
  <c r="AZ446" i="5"/>
  <c r="AZ445" i="5"/>
  <c r="AZ444" i="5"/>
  <c r="AZ443" i="5"/>
  <c r="AZ442" i="5"/>
  <c r="AZ441" i="5"/>
  <c r="AZ440" i="5"/>
  <c r="AZ438" i="5"/>
  <c r="AZ437" i="5"/>
  <c r="AZ436" i="5"/>
  <c r="AZ435" i="5"/>
  <c r="AZ538" i="5"/>
  <c r="AZ532" i="5"/>
  <c r="AZ528" i="5"/>
  <c r="AZ524" i="5"/>
  <c r="AZ522" i="5"/>
  <c r="AZ518" i="5"/>
  <c r="AZ514" i="5"/>
  <c r="AZ431" i="5"/>
  <c r="AZ426" i="5"/>
  <c r="AZ422" i="5"/>
  <c r="AZ418" i="5"/>
  <c r="AZ413" i="5"/>
  <c r="AZ411" i="5"/>
  <c r="AZ409" i="5"/>
  <c r="AZ407" i="5"/>
  <c r="AZ405" i="5"/>
  <c r="AZ399" i="5"/>
  <c r="AZ395" i="5"/>
  <c r="AZ388" i="5"/>
  <c r="AZ384" i="5"/>
  <c r="AZ380" i="5"/>
  <c r="AZ378" i="5"/>
  <c r="AZ377" i="5"/>
  <c r="AZ376" i="5"/>
  <c r="AZ375" i="5"/>
  <c r="AZ374" i="5"/>
  <c r="AZ373" i="5"/>
  <c r="AZ372" i="5"/>
  <c r="AZ371" i="5"/>
  <c r="AZ370" i="5"/>
  <c r="AZ369" i="5"/>
  <c r="AZ368" i="5"/>
  <c r="AZ366" i="5"/>
  <c r="AZ365" i="5"/>
  <c r="AZ364" i="5"/>
  <c r="AZ363" i="5"/>
  <c r="AZ362" i="5"/>
  <c r="AZ361" i="5"/>
  <c r="AZ360" i="5"/>
  <c r="AZ359" i="5"/>
  <c r="AZ358" i="5"/>
  <c r="AZ357" i="5"/>
  <c r="AZ356" i="5"/>
  <c r="AZ354" i="5"/>
  <c r="AZ353" i="5"/>
  <c r="AZ352" i="5"/>
  <c r="AZ351" i="5"/>
  <c r="AZ350" i="5"/>
  <c r="AZ349" i="5"/>
  <c r="AZ348" i="5"/>
  <c r="AZ347" i="5"/>
  <c r="AZ346" i="5"/>
  <c r="AZ345" i="5"/>
  <c r="AZ344" i="5"/>
  <c r="AZ342" i="5"/>
  <c r="AZ341" i="5"/>
  <c r="AZ340" i="5"/>
  <c r="AZ339" i="5"/>
  <c r="AZ338" i="5"/>
  <c r="AZ337" i="5"/>
  <c r="AZ336" i="5"/>
  <c r="AZ335" i="5"/>
  <c r="AZ334" i="5"/>
  <c r="AZ333" i="5"/>
  <c r="AZ332" i="5"/>
  <c r="AZ330" i="5"/>
  <c r="AZ329" i="5"/>
  <c r="AZ328" i="5"/>
  <c r="AZ327" i="5"/>
  <c r="AZ326" i="5"/>
  <c r="AZ325" i="5"/>
  <c r="AZ324" i="5"/>
  <c r="AZ323" i="5"/>
  <c r="AZ322" i="5"/>
  <c r="AZ321" i="5"/>
  <c r="AZ320" i="5"/>
  <c r="AZ318" i="5"/>
  <c r="AZ317" i="5"/>
  <c r="AZ316" i="5"/>
  <c r="AZ315" i="5"/>
  <c r="AZ314" i="5"/>
  <c r="AZ313" i="5"/>
  <c r="AZ312" i="5"/>
  <c r="AZ311" i="5"/>
  <c r="AZ310" i="5"/>
  <c r="AZ309" i="5"/>
  <c r="AZ308" i="5"/>
  <c r="AZ306" i="5"/>
  <c r="AZ305" i="5"/>
  <c r="AZ304" i="5"/>
  <c r="AZ303" i="5"/>
  <c r="AZ302" i="5"/>
  <c r="AZ301" i="5"/>
  <c r="AZ300" i="5"/>
  <c r="AZ299" i="5"/>
  <c r="AZ298" i="5"/>
  <c r="AZ297" i="5"/>
  <c r="AZ296" i="5"/>
  <c r="AZ294" i="5"/>
  <c r="AZ293" i="5"/>
  <c r="AZ292" i="5"/>
  <c r="AZ291" i="5"/>
  <c r="AZ290" i="5"/>
  <c r="AZ289" i="5"/>
  <c r="AZ288" i="5"/>
  <c r="AZ287" i="5"/>
  <c r="AZ286" i="5"/>
  <c r="AZ285" i="5"/>
  <c r="AZ284" i="5"/>
  <c r="AZ282" i="5"/>
  <c r="AZ281" i="5"/>
  <c r="AZ280" i="5"/>
  <c r="AZ279" i="5"/>
  <c r="AZ278" i="5"/>
  <c r="AZ277" i="5"/>
  <c r="AZ276" i="5"/>
  <c r="AZ275" i="5"/>
  <c r="AZ432" i="5"/>
  <c r="AZ428" i="5"/>
  <c r="AZ423" i="5"/>
  <c r="AZ419" i="5"/>
  <c r="AZ402" i="5"/>
  <c r="AZ398" i="5"/>
  <c r="AZ394" i="5"/>
  <c r="AZ387" i="5"/>
  <c r="AZ383" i="5"/>
  <c r="AZ433" i="5"/>
  <c r="AZ429" i="5"/>
  <c r="AZ424" i="5"/>
  <c r="AZ420" i="5"/>
  <c r="AZ416" i="5"/>
  <c r="AZ414" i="5"/>
  <c r="AZ412" i="5"/>
  <c r="AZ410" i="5"/>
  <c r="AZ408" i="5"/>
  <c r="AZ406" i="5"/>
  <c r="AZ404" i="5"/>
  <c r="AZ401" i="5"/>
  <c r="AZ397" i="5"/>
  <c r="AZ393" i="5"/>
  <c r="AZ390" i="5"/>
  <c r="AZ386" i="5"/>
  <c r="AZ382" i="5"/>
  <c r="AZ379" i="5"/>
  <c r="AZ367" i="5"/>
  <c r="AZ355" i="5"/>
  <c r="AZ343" i="5"/>
  <c r="AZ331" i="5"/>
  <c r="AZ319" i="5"/>
  <c r="AZ434" i="5"/>
  <c r="AZ430" i="5"/>
  <c r="AZ425" i="5"/>
  <c r="AZ421" i="5"/>
  <c r="AZ417" i="5"/>
  <c r="AZ400" i="5"/>
  <c r="AZ396" i="5"/>
  <c r="AZ392" i="5"/>
  <c r="AZ389" i="5"/>
  <c r="AZ385" i="5"/>
  <c r="AZ381" i="5"/>
  <c r="AZ307" i="5"/>
  <c r="AZ283" i="5"/>
  <c r="AZ271" i="5"/>
  <c r="AZ259" i="5"/>
  <c r="AZ247" i="5"/>
  <c r="AZ235" i="5"/>
  <c r="AZ223" i="5"/>
  <c r="AZ211" i="5"/>
  <c r="AZ199" i="5"/>
  <c r="AZ187" i="5"/>
  <c r="AZ175" i="5"/>
  <c r="AZ163" i="5"/>
  <c r="AZ151" i="5"/>
  <c r="AZ139" i="5"/>
  <c r="AZ127" i="5"/>
  <c r="AZ115" i="5"/>
  <c r="AZ274" i="5"/>
  <c r="AZ273" i="5"/>
  <c r="AZ272" i="5"/>
  <c r="AZ270" i="5"/>
  <c r="AZ269" i="5"/>
  <c r="AZ268" i="5"/>
  <c r="AZ267" i="5"/>
  <c r="AZ266" i="5"/>
  <c r="AZ265" i="5"/>
  <c r="AZ264" i="5"/>
  <c r="AZ263" i="5"/>
  <c r="AZ262" i="5"/>
  <c r="AZ261" i="5"/>
  <c r="AZ260" i="5"/>
  <c r="AZ258" i="5"/>
  <c r="AZ257" i="5"/>
  <c r="AZ256" i="5"/>
  <c r="AZ255" i="5"/>
  <c r="AZ254" i="5"/>
  <c r="AZ253" i="5"/>
  <c r="AZ252" i="5"/>
  <c r="AZ251" i="5"/>
  <c r="AZ250" i="5"/>
  <c r="AZ249" i="5"/>
  <c r="AZ248" i="5"/>
  <c r="AZ246" i="5"/>
  <c r="AZ245" i="5"/>
  <c r="AZ244" i="5"/>
  <c r="AZ243" i="5"/>
  <c r="AZ242" i="5"/>
  <c r="AZ241" i="5"/>
  <c r="AZ240" i="5"/>
  <c r="AZ239" i="5"/>
  <c r="AZ238" i="5"/>
  <c r="AZ237" i="5"/>
  <c r="AZ236" i="5"/>
  <c r="AZ234" i="5"/>
  <c r="AZ233" i="5"/>
  <c r="AZ232" i="5"/>
  <c r="AZ231" i="5"/>
  <c r="AZ230" i="5"/>
  <c r="AZ229" i="5"/>
  <c r="AZ228" i="5"/>
  <c r="AZ227" i="5"/>
  <c r="AZ226" i="5"/>
  <c r="AZ225" i="5"/>
  <c r="AZ224" i="5"/>
  <c r="AZ222" i="5"/>
  <c r="AZ221" i="5"/>
  <c r="AZ220" i="5"/>
  <c r="AZ219" i="5"/>
  <c r="AZ218" i="5"/>
  <c r="AZ217" i="5"/>
  <c r="AZ216" i="5"/>
  <c r="AZ215" i="5"/>
  <c r="AZ214" i="5"/>
  <c r="AZ213" i="5"/>
  <c r="AZ212" i="5"/>
  <c r="AZ210" i="5"/>
  <c r="AZ209" i="5"/>
  <c r="AZ208" i="5"/>
  <c r="AZ207" i="5"/>
  <c r="AZ206" i="5"/>
  <c r="AZ205" i="5"/>
  <c r="AZ204" i="5"/>
  <c r="AZ203" i="5"/>
  <c r="AZ202" i="5"/>
  <c r="AZ201" i="5"/>
  <c r="AZ200" i="5"/>
  <c r="AZ198" i="5"/>
  <c r="AZ197" i="5"/>
  <c r="AZ196" i="5"/>
  <c r="AZ195" i="5"/>
  <c r="AZ194" i="5"/>
  <c r="AZ193" i="5"/>
  <c r="AZ192" i="5"/>
  <c r="AZ191" i="5"/>
  <c r="AZ190" i="5"/>
  <c r="AZ189" i="5"/>
  <c r="AZ188" i="5"/>
  <c r="AZ186" i="5"/>
  <c r="AZ185" i="5"/>
  <c r="AZ184" i="5"/>
  <c r="AZ183" i="5"/>
  <c r="AZ182" i="5"/>
  <c r="AZ181" i="5"/>
  <c r="AZ180" i="5"/>
  <c r="AZ179" i="5"/>
  <c r="AZ178" i="5"/>
  <c r="AZ177" i="5"/>
  <c r="AZ176" i="5"/>
  <c r="AZ174" i="5"/>
  <c r="AZ173" i="5"/>
  <c r="AZ172" i="5"/>
  <c r="AZ171" i="5"/>
  <c r="AZ170" i="5"/>
  <c r="AZ169" i="5"/>
  <c r="AZ168" i="5"/>
  <c r="AZ167" i="5"/>
  <c r="AZ166" i="5"/>
  <c r="AZ165" i="5"/>
  <c r="AZ164" i="5"/>
  <c r="AZ162" i="5"/>
  <c r="AZ161" i="5"/>
  <c r="AZ160" i="5"/>
  <c r="AZ159" i="5"/>
  <c r="AZ158" i="5"/>
  <c r="AZ157" i="5"/>
  <c r="AZ156" i="5"/>
  <c r="AZ155" i="5"/>
  <c r="AZ154" i="5"/>
  <c r="AZ153" i="5"/>
  <c r="AZ20" i="5"/>
  <c r="AZ21" i="5"/>
  <c r="AZ22" i="5"/>
  <c r="AZ23" i="5"/>
  <c r="AZ24" i="5"/>
  <c r="AZ25" i="5"/>
  <c r="AZ26" i="5"/>
  <c r="AZ27" i="5"/>
  <c r="AZ28" i="5"/>
  <c r="AZ29" i="5"/>
  <c r="AZ30" i="5"/>
  <c r="AZ32" i="5"/>
  <c r="AZ33" i="5"/>
  <c r="AZ34" i="5"/>
  <c r="AZ35" i="5"/>
  <c r="AZ36" i="5"/>
  <c r="AZ37" i="5"/>
  <c r="AZ38" i="5"/>
  <c r="AZ39" i="5"/>
  <c r="AZ40" i="5"/>
  <c r="AZ41" i="5"/>
  <c r="AZ42" i="5"/>
  <c r="AZ44" i="5"/>
  <c r="AZ45" i="5"/>
  <c r="AZ46" i="5"/>
  <c r="AZ47" i="5"/>
  <c r="AZ48" i="5"/>
  <c r="AZ49" i="5"/>
  <c r="AZ50" i="5"/>
  <c r="AZ51" i="5"/>
  <c r="AZ52" i="5"/>
  <c r="AZ53" i="5"/>
  <c r="AZ54" i="5"/>
  <c r="AZ56" i="5"/>
  <c r="AZ57" i="5"/>
  <c r="AZ58" i="5"/>
  <c r="AZ59" i="5"/>
  <c r="AZ60" i="5"/>
  <c r="AZ61" i="5"/>
  <c r="AZ62" i="5"/>
  <c r="AZ63" i="5"/>
  <c r="AZ64" i="5"/>
  <c r="AZ65" i="5"/>
  <c r="AZ66" i="5"/>
  <c r="AZ68" i="5"/>
  <c r="AZ69" i="5"/>
  <c r="AZ70" i="5"/>
  <c r="AZ71" i="5"/>
  <c r="AZ72" i="5"/>
  <c r="AZ73" i="5"/>
  <c r="AZ74" i="5"/>
  <c r="AZ75" i="5"/>
  <c r="AZ76" i="5"/>
  <c r="AZ77" i="5"/>
  <c r="AZ78" i="5"/>
  <c r="AZ80" i="5"/>
  <c r="AZ81" i="5"/>
  <c r="AZ82" i="5"/>
  <c r="AZ83" i="5"/>
  <c r="AZ84" i="5"/>
  <c r="AZ85" i="5"/>
  <c r="AZ86" i="5"/>
  <c r="AZ87" i="5"/>
  <c r="AZ88" i="5"/>
  <c r="AZ89" i="5"/>
  <c r="AZ90" i="5"/>
  <c r="AZ92" i="5"/>
  <c r="AZ93" i="5"/>
  <c r="AZ94" i="5"/>
  <c r="AZ95" i="5"/>
  <c r="AZ96" i="5"/>
  <c r="AZ97" i="5"/>
  <c r="AZ98" i="5"/>
  <c r="AZ99" i="5"/>
  <c r="AZ100" i="5"/>
  <c r="AZ101" i="5"/>
  <c r="AZ102" i="5"/>
  <c r="AZ104" i="5"/>
  <c r="AZ105" i="5"/>
  <c r="AZ107" i="5"/>
  <c r="AZ109" i="5"/>
  <c r="AZ111" i="5"/>
  <c r="AZ113" i="5"/>
  <c r="AZ140" i="5"/>
  <c r="AZ142" i="5"/>
  <c r="AZ144" i="5"/>
  <c r="AZ146" i="5"/>
  <c r="AZ148" i="5"/>
  <c r="AZ150" i="5"/>
  <c r="AZ295" i="5"/>
  <c r="O12" i="5" l="1"/>
  <c r="M12" i="5" s="1"/>
  <c r="P20" i="5"/>
  <c r="BG22" i="5"/>
  <c r="E11" i="8"/>
  <c r="B4" i="9"/>
  <c r="B4" i="8"/>
  <c r="G2" i="5"/>
  <c r="E10" i="9"/>
  <c r="E10" i="8"/>
  <c r="E43" i="3"/>
  <c r="B43" i="3" s="1"/>
  <c r="Q12" i="5" l="1"/>
  <c r="S12" i="5" s="1"/>
  <c r="M13" i="5" s="1"/>
  <c r="D412" i="5" s="1"/>
  <c r="D250" i="5"/>
  <c r="D47" i="5"/>
  <c r="D105" i="5"/>
  <c r="D39" i="5"/>
  <c r="D165" i="5"/>
  <c r="D647" i="5"/>
  <c r="D368" i="5"/>
  <c r="D456" i="5"/>
  <c r="D584" i="5"/>
  <c r="D292" i="5"/>
  <c r="D373" i="5"/>
  <c r="D247" i="5"/>
  <c r="D342" i="5"/>
  <c r="D712" i="5"/>
  <c r="D20" i="5"/>
  <c r="D891" i="5"/>
  <c r="D984" i="5"/>
  <c r="D993" i="5"/>
  <c r="D895" i="5"/>
  <c r="D29" i="5"/>
  <c r="D93" i="5"/>
  <c r="D157" i="5"/>
  <c r="D221" i="5"/>
  <c r="D285" i="5"/>
  <c r="D349" i="5"/>
  <c r="D74" i="5"/>
  <c r="D138" i="5"/>
  <c r="D202" i="5"/>
  <c r="D27" i="5"/>
  <c r="D91" i="5"/>
  <c r="D40" i="5"/>
  <c r="D104" i="5"/>
  <c r="D168" i="5"/>
  <c r="D232" i="5"/>
  <c r="D263" i="5"/>
  <c r="D690" i="5"/>
  <c r="D932" i="5"/>
  <c r="D1021" i="5"/>
  <c r="D957" i="5"/>
  <c r="D738" i="5"/>
  <c r="D65" i="5"/>
  <c r="D129" i="5"/>
  <c r="D193" i="5"/>
  <c r="D257" i="5"/>
  <c r="D321" i="5"/>
  <c r="D46" i="5"/>
  <c r="D110" i="5"/>
  <c r="D174" i="5"/>
  <c r="D238" i="5"/>
  <c r="D63" i="5"/>
  <c r="D127" i="5"/>
  <c r="D76" i="5"/>
  <c r="D140" i="5"/>
  <c r="D204" i="5"/>
  <c r="D155" i="5"/>
  <c r="D311" i="5"/>
  <c r="D843" i="5"/>
  <c r="D972" i="5"/>
  <c r="D626" i="5"/>
  <c r="D965" i="5"/>
  <c r="D781" i="5"/>
  <c r="D57" i="5"/>
  <c r="D121" i="5"/>
  <c r="D185" i="5"/>
  <c r="D249" i="5"/>
  <c r="D313" i="5"/>
  <c r="D38" i="5"/>
  <c r="D102" i="5"/>
  <c r="D166" i="5"/>
  <c r="D230" i="5"/>
  <c r="D55" i="5"/>
  <c r="D119" i="5"/>
  <c r="D68" i="5"/>
  <c r="D132" i="5"/>
  <c r="D196" i="5"/>
  <c r="D260" i="5"/>
  <c r="D996" i="5"/>
  <c r="D964" i="5"/>
  <c r="D1020" i="5"/>
  <c r="D859" i="5"/>
  <c r="D977" i="5"/>
  <c r="D831" i="5"/>
  <c r="D45" i="5"/>
  <c r="D109" i="5"/>
  <c r="D173" i="5"/>
  <c r="D237" i="5"/>
  <c r="D301" i="5"/>
  <c r="D26" i="5"/>
  <c r="D90" i="5"/>
  <c r="D154" i="5"/>
  <c r="D218" i="5"/>
  <c r="D43" i="5"/>
  <c r="D107" i="5"/>
  <c r="D56" i="5"/>
  <c r="D120" i="5"/>
  <c r="D184" i="5"/>
  <c r="D248" i="5"/>
  <c r="D284" i="5"/>
  <c r="D976" i="5"/>
  <c r="D648" i="5"/>
  <c r="D1005" i="5"/>
  <c r="D935" i="5"/>
  <c r="D653" i="5"/>
  <c r="D81" i="5"/>
  <c r="D145" i="5"/>
  <c r="D209" i="5"/>
  <c r="D273" i="5"/>
  <c r="D337" i="5"/>
  <c r="D62" i="5"/>
  <c r="D126" i="5"/>
  <c r="D190" i="5"/>
  <c r="D254" i="5"/>
  <c r="D79" i="5"/>
  <c r="D28" i="5"/>
  <c r="D92" i="5"/>
  <c r="D156" i="5"/>
  <c r="D220" i="5"/>
  <c r="D219" i="5"/>
  <c r="D332" i="5"/>
  <c r="D1008" i="5"/>
  <c r="D811" i="5"/>
  <c r="D1013" i="5"/>
  <c r="D947" i="5"/>
  <c r="D696" i="5"/>
  <c r="D73" i="5"/>
  <c r="D137" i="5"/>
  <c r="D201" i="5"/>
  <c r="D265" i="5"/>
  <c r="D329" i="5"/>
  <c r="D54" i="5"/>
  <c r="D776" i="5"/>
  <c r="D956" i="5"/>
  <c r="D1025" i="5"/>
  <c r="D961" i="5"/>
  <c r="D760" i="5"/>
  <c r="D61" i="5"/>
  <c r="D125" i="5"/>
  <c r="D189" i="5"/>
  <c r="D253" i="5"/>
  <c r="D317" i="5"/>
  <c r="D42" i="5"/>
  <c r="D106" i="5"/>
  <c r="D170" i="5"/>
  <c r="D234" i="5"/>
  <c r="D59" i="5"/>
  <c r="D123" i="5"/>
  <c r="D72" i="5"/>
  <c r="D136" i="5"/>
  <c r="D200" i="5"/>
  <c r="D139" i="5"/>
  <c r="D1012" i="5"/>
  <c r="D827" i="5"/>
  <c r="D968" i="5"/>
  <c r="D989" i="5"/>
  <c r="D879" i="5"/>
  <c r="D33" i="5"/>
  <c r="D97" i="5"/>
  <c r="D161" i="5"/>
  <c r="D225" i="5"/>
  <c r="D289" i="5"/>
  <c r="D353" i="5"/>
  <c r="D78" i="5"/>
  <c r="D142" i="5"/>
  <c r="D206" i="5"/>
  <c r="D31" i="5"/>
  <c r="D95" i="5"/>
  <c r="D44" i="5"/>
  <c r="D108" i="5"/>
  <c r="D172" i="5"/>
  <c r="D236" i="5"/>
  <c r="D268" i="5"/>
  <c r="D354" i="5"/>
  <c r="D940" i="5"/>
  <c r="D1000" i="5"/>
  <c r="D997" i="5"/>
  <c r="D911" i="5"/>
  <c r="D25" i="5"/>
  <c r="D89" i="5"/>
  <c r="D153" i="5"/>
  <c r="D217" i="5"/>
  <c r="D281" i="5"/>
  <c r="D345" i="5"/>
  <c r="D70" i="5"/>
  <c r="D134" i="5"/>
  <c r="D198" i="5"/>
  <c r="D23" i="5"/>
  <c r="D87" i="5"/>
  <c r="D36" i="5"/>
  <c r="D100" i="5"/>
  <c r="D164" i="5"/>
  <c r="D228" i="5"/>
  <c r="D118" i="5"/>
  <c r="D135" i="5"/>
  <c r="D187" i="5"/>
  <c r="D863" i="5"/>
  <c r="D293" i="5"/>
  <c r="D35" i="5"/>
  <c r="D274" i="5"/>
  <c r="D399" i="5"/>
  <c r="D503" i="5"/>
  <c r="D599" i="5"/>
  <c r="D679" i="5"/>
  <c r="D759" i="5"/>
  <c r="D307" i="5"/>
  <c r="D400" i="5"/>
  <c r="D504" i="5"/>
  <c r="D163" i="5"/>
  <c r="D335" i="5"/>
  <c r="D183" i="5"/>
  <c r="D362" i="5"/>
  <c r="D799" i="5"/>
  <c r="D245" i="5"/>
  <c r="D162" i="5"/>
  <c r="D64" i="5"/>
  <c r="D295" i="5"/>
  <c r="D387" i="5"/>
  <c r="D475" i="5"/>
  <c r="D539" i="5"/>
  <c r="D603" i="5"/>
  <c r="D667" i="5"/>
  <c r="D731" i="5"/>
  <c r="D159" i="5"/>
  <c r="D312" i="5"/>
  <c r="D388" i="5"/>
  <c r="D476" i="5"/>
  <c r="D540" i="5"/>
  <c r="D179" i="5"/>
  <c r="D319" i="5"/>
  <c r="D393" i="5"/>
  <c r="D283" i="5"/>
  <c r="D366" i="5"/>
  <c r="D1001" i="5"/>
  <c r="D149" i="5"/>
  <c r="D66" i="5"/>
  <c r="D83" i="5"/>
  <c r="D224" i="5"/>
  <c r="D363" i="5"/>
  <c r="D451" i="5"/>
  <c r="D515" i="5"/>
  <c r="D579" i="5"/>
  <c r="D643" i="5"/>
  <c r="D707" i="5"/>
  <c r="D771" i="5"/>
  <c r="D280" i="5"/>
  <c r="D364" i="5"/>
  <c r="D452" i="5"/>
  <c r="D516" i="5"/>
  <c r="D580" i="5"/>
  <c r="D287" i="5"/>
  <c r="D369" i="5"/>
  <c r="D231" i="5"/>
  <c r="D336" i="5"/>
  <c r="D717" i="5"/>
  <c r="D300" i="5"/>
  <c r="D607" i="5"/>
  <c r="D318" i="5"/>
  <c r="D195" i="5"/>
  <c r="D370" i="5"/>
  <c r="D466" i="5"/>
  <c r="D469" i="5"/>
  <c r="D613" i="5"/>
  <c r="D698" i="5"/>
  <c r="D784" i="5"/>
  <c r="D849" i="5"/>
  <c r="D913" i="5"/>
  <c r="D521" i="5"/>
  <c r="D630" i="5"/>
  <c r="D716" i="5"/>
  <c r="D798" i="5"/>
  <c r="D862" i="5"/>
  <c r="D926" i="5"/>
  <c r="D578" i="5"/>
  <c r="D565" i="5"/>
  <c r="D660" i="5"/>
  <c r="D745" i="5"/>
  <c r="D820" i="5"/>
  <c r="D884" i="5"/>
  <c r="D1007" i="5"/>
  <c r="D939" i="5"/>
  <c r="D664" i="5"/>
  <c r="D974" i="5"/>
  <c r="D819" i="5"/>
  <c r="D639" i="5"/>
  <c r="D458" i="5"/>
  <c r="D666" i="5"/>
  <c r="D889" i="5"/>
  <c r="D684" i="5"/>
  <c r="D918" i="5"/>
  <c r="D692" i="5"/>
  <c r="D924" i="5"/>
  <c r="D1014" i="5"/>
  <c r="D69" i="5"/>
  <c r="D327" i="5"/>
  <c r="D623" i="5"/>
  <c r="D339" i="5"/>
  <c r="D259" i="5"/>
  <c r="D182" i="5"/>
  <c r="D84" i="5"/>
  <c r="D251" i="5"/>
  <c r="D37" i="5"/>
  <c r="D357" i="5"/>
  <c r="D48" i="5"/>
  <c r="D316" i="5"/>
  <c r="D439" i="5"/>
  <c r="D535" i="5"/>
  <c r="D615" i="5"/>
  <c r="D695" i="5"/>
  <c r="D143" i="5"/>
  <c r="D328" i="5"/>
  <c r="D440" i="5"/>
  <c r="D536" i="5"/>
  <c r="D227" i="5"/>
  <c r="D356" i="5"/>
  <c r="D278" i="5"/>
  <c r="D907" i="5"/>
  <c r="D53" i="5"/>
  <c r="D309" i="5"/>
  <c r="D226" i="5"/>
  <c r="D128" i="5"/>
  <c r="D322" i="5"/>
  <c r="D403" i="5"/>
  <c r="D491" i="5"/>
  <c r="D555" i="5"/>
  <c r="D619" i="5"/>
  <c r="D683" i="5"/>
  <c r="D747" i="5"/>
  <c r="D223" i="5"/>
  <c r="D334" i="5"/>
  <c r="D428" i="5"/>
  <c r="D492" i="5"/>
  <c r="D556" i="5"/>
  <c r="D243" i="5"/>
  <c r="D340" i="5"/>
  <c r="D433" i="5"/>
  <c r="D304" i="5"/>
  <c r="D382" i="5"/>
  <c r="D927" i="5"/>
  <c r="D213" i="5"/>
  <c r="D130" i="5"/>
  <c r="D32" i="5"/>
  <c r="D235" i="5"/>
  <c r="D379" i="5"/>
  <c r="D467" i="5"/>
  <c r="D531" i="5"/>
  <c r="D595" i="5"/>
  <c r="D659" i="5"/>
  <c r="D723" i="5"/>
  <c r="D787" i="5"/>
  <c r="D302" i="5"/>
  <c r="D380" i="5"/>
  <c r="D468" i="5"/>
  <c r="D532" i="5"/>
  <c r="D147" i="5"/>
  <c r="D308" i="5"/>
  <c r="D385" i="5"/>
  <c r="D272" i="5"/>
  <c r="D358" i="5"/>
  <c r="D261" i="5"/>
  <c r="D391" i="5"/>
  <c r="D671" i="5"/>
  <c r="D392" i="5"/>
  <c r="D324" i="5"/>
  <c r="D394" i="5"/>
  <c r="D482" i="5"/>
  <c r="D526" i="5"/>
  <c r="D634" i="5"/>
  <c r="D720" i="5"/>
  <c r="D801" i="5"/>
  <c r="D865" i="5"/>
  <c r="D929" i="5"/>
  <c r="D553" i="5"/>
  <c r="D652" i="5"/>
  <c r="D737" i="5"/>
  <c r="D814" i="5"/>
  <c r="D878" i="5"/>
  <c r="D445" i="5"/>
  <c r="D605" i="5"/>
  <c r="D596" i="5"/>
  <c r="D681" i="5"/>
  <c r="D766" i="5"/>
  <c r="D836" i="5"/>
  <c r="D246" i="5"/>
  <c r="D148" i="5"/>
  <c r="D754" i="5"/>
  <c r="D101" i="5"/>
  <c r="D146" i="5"/>
  <c r="D112" i="5"/>
  <c r="D343" i="5"/>
  <c r="D471" i="5"/>
  <c r="D551" i="5"/>
  <c r="D631" i="5"/>
  <c r="D727" i="5"/>
  <c r="D207" i="5"/>
  <c r="D350" i="5"/>
  <c r="D472" i="5"/>
  <c r="D552" i="5"/>
  <c r="D271" i="5"/>
  <c r="D389" i="5"/>
  <c r="D299" i="5"/>
  <c r="D988" i="5"/>
  <c r="D117" i="5"/>
  <c r="D34" i="5"/>
  <c r="D51" i="5"/>
  <c r="D192" i="5"/>
  <c r="D348" i="5"/>
  <c r="D443" i="5"/>
  <c r="D507" i="5"/>
  <c r="D571" i="5"/>
  <c r="D635" i="5"/>
  <c r="D699" i="5"/>
  <c r="D763" i="5"/>
  <c r="D270" i="5"/>
  <c r="D355" i="5"/>
  <c r="D444" i="5"/>
  <c r="D508" i="5"/>
  <c r="D572" i="5"/>
  <c r="D276" i="5"/>
  <c r="D361" i="5"/>
  <c r="D199" i="5"/>
  <c r="D326" i="5"/>
  <c r="D960" i="5"/>
  <c r="D21" i="5"/>
  <c r="D277" i="5"/>
  <c r="D194" i="5"/>
  <c r="D96" i="5"/>
  <c r="D306" i="5"/>
  <c r="D395" i="5"/>
  <c r="D483" i="5"/>
  <c r="D547" i="5"/>
  <c r="D611" i="5"/>
  <c r="D675" i="5"/>
  <c r="D739" i="5"/>
  <c r="D191" i="5"/>
  <c r="D323" i="5"/>
  <c r="D396" i="5"/>
  <c r="D484" i="5"/>
  <c r="D548" i="5"/>
  <c r="D211" i="5"/>
  <c r="D330" i="5"/>
  <c r="D401" i="5"/>
  <c r="D294" i="5"/>
  <c r="D374" i="5"/>
  <c r="D178" i="5"/>
  <c r="D479" i="5"/>
  <c r="D735" i="5"/>
  <c r="D480" i="5"/>
  <c r="D397" i="5"/>
  <c r="D434" i="5"/>
  <c r="D498" i="5"/>
  <c r="D71" i="5"/>
  <c r="D212" i="5"/>
  <c r="D951" i="5"/>
  <c r="D229" i="5"/>
  <c r="D210" i="5"/>
  <c r="D176" i="5"/>
  <c r="D383" i="5"/>
  <c r="D487" i="5"/>
  <c r="D567" i="5"/>
  <c r="D663" i="5"/>
  <c r="D743" i="5"/>
  <c r="D264" i="5"/>
  <c r="D384" i="5"/>
  <c r="D488" i="5"/>
  <c r="D568" i="5"/>
  <c r="D314" i="5"/>
  <c r="D429" i="5"/>
  <c r="D320" i="5"/>
  <c r="D969" i="5"/>
  <c r="D181" i="5"/>
  <c r="D98" i="5"/>
  <c r="D115" i="5"/>
  <c r="D256" i="5"/>
  <c r="D371" i="5"/>
  <c r="D459" i="5"/>
  <c r="D523" i="5"/>
  <c r="D587" i="5"/>
  <c r="D651" i="5"/>
  <c r="D715" i="5"/>
  <c r="D779" i="5"/>
  <c r="D291" i="5"/>
  <c r="D372" i="5"/>
  <c r="D460" i="5"/>
  <c r="D524" i="5"/>
  <c r="D588" i="5"/>
  <c r="D298" i="5"/>
  <c r="D377" i="5"/>
  <c r="D262" i="5"/>
  <c r="D347" i="5"/>
  <c r="D1016" i="5"/>
  <c r="D85" i="5"/>
  <c r="D341" i="5"/>
  <c r="D258" i="5"/>
  <c r="D160" i="5"/>
  <c r="D338" i="5"/>
  <c r="D435" i="5"/>
  <c r="D499" i="5"/>
  <c r="D563" i="5"/>
  <c r="D627" i="5"/>
  <c r="D691" i="5"/>
  <c r="D755" i="5"/>
  <c r="D255" i="5"/>
  <c r="D344" i="5"/>
  <c r="D436" i="5"/>
  <c r="D500" i="5"/>
  <c r="D564" i="5"/>
  <c r="D266" i="5"/>
  <c r="D351" i="5"/>
  <c r="D167" i="5"/>
  <c r="D315" i="5"/>
  <c r="D1024" i="5"/>
  <c r="D80" i="5"/>
  <c r="D543" i="5"/>
  <c r="D175" i="5"/>
  <c r="D544" i="5"/>
  <c r="D288" i="5"/>
  <c r="D450" i="5"/>
  <c r="D514" i="5"/>
  <c r="D590" i="5"/>
  <c r="D677" i="5"/>
  <c r="D762" i="5"/>
  <c r="D833" i="5"/>
  <c r="D897" i="5"/>
  <c r="D457" i="5"/>
  <c r="D609" i="5"/>
  <c r="D694" i="5"/>
  <c r="D780" i="5"/>
  <c r="D846" i="5"/>
  <c r="D910" i="5"/>
  <c r="D546" i="5"/>
  <c r="D533" i="5"/>
  <c r="D638" i="5"/>
  <c r="D724" i="5"/>
  <c r="D558" i="5"/>
  <c r="D881" i="5"/>
  <c r="D758" i="5"/>
  <c r="D481" i="5"/>
  <c r="D804" i="5"/>
  <c r="D916" i="5"/>
  <c r="D959" i="5"/>
  <c r="D1022" i="5"/>
  <c r="D936" i="5"/>
  <c r="D447" i="5"/>
  <c r="D490" i="5"/>
  <c r="D793" i="5"/>
  <c r="D641" i="5"/>
  <c r="D530" i="5"/>
  <c r="D812" i="5"/>
  <c r="D706" i="5"/>
  <c r="D325" i="5"/>
  <c r="D495" i="5"/>
  <c r="D239" i="5"/>
  <c r="D346" i="5"/>
  <c r="D398" i="5"/>
  <c r="D486" i="5"/>
  <c r="D534" i="5"/>
  <c r="D640" i="5"/>
  <c r="D725" i="5"/>
  <c r="D805" i="5"/>
  <c r="D869" i="5"/>
  <c r="D933" i="5"/>
  <c r="D561" i="5"/>
  <c r="D657" i="5"/>
  <c r="D742" i="5"/>
  <c r="D818" i="5"/>
  <c r="D882" i="5"/>
  <c r="D461" i="5"/>
  <c r="D610" i="5"/>
  <c r="D601" i="5"/>
  <c r="D686" i="5"/>
  <c r="D772" i="5"/>
  <c r="D840" i="5"/>
  <c r="D904" i="5"/>
  <c r="D987" i="5"/>
  <c r="D871" i="5"/>
  <c r="D1018" i="5"/>
  <c r="D954" i="5"/>
  <c r="D722" i="5"/>
  <c r="D575" i="5"/>
  <c r="D386" i="5"/>
  <c r="D645" i="5"/>
  <c r="D873" i="5"/>
  <c r="D705" i="5"/>
  <c r="D902" i="5"/>
  <c r="D670" i="5"/>
  <c r="D892" i="5"/>
  <c r="D621" i="5"/>
  <c r="D767" i="5"/>
  <c r="D952" i="5"/>
  <c r="D171" i="5"/>
  <c r="D591" i="5"/>
  <c r="D296" i="5"/>
  <c r="D592" i="5"/>
  <c r="D352" i="5"/>
  <c r="D462" i="5"/>
  <c r="D453" i="5"/>
  <c r="D608" i="5"/>
  <c r="D693" i="5"/>
  <c r="D778" i="5"/>
  <c r="D845" i="5"/>
  <c r="D909" i="5"/>
  <c r="D505" i="5"/>
  <c r="D625" i="5"/>
  <c r="D710" i="5"/>
  <c r="D794" i="5"/>
  <c r="D858" i="5"/>
  <c r="D922" i="5"/>
  <c r="D570" i="5"/>
  <c r="D557" i="5"/>
  <c r="D654" i="5"/>
  <c r="D740" i="5"/>
  <c r="D816" i="5"/>
  <c r="D880" i="5"/>
  <c r="D1011" i="5"/>
  <c r="D944" i="5"/>
  <c r="D685" i="5"/>
  <c r="D978" i="5"/>
  <c r="D835" i="5"/>
  <c r="D1017" i="5"/>
  <c r="D703" i="5"/>
  <c r="D402" i="5"/>
  <c r="D624" i="5"/>
  <c r="D857" i="5"/>
  <c r="D662" i="5"/>
  <c r="D854" i="5"/>
  <c r="D581" i="5"/>
  <c r="D828" i="5"/>
  <c r="D950" i="5"/>
  <c r="D701" i="5"/>
  <c r="D656" i="5"/>
  <c r="D945" i="5"/>
  <c r="D830" i="5"/>
  <c r="D617" i="5"/>
  <c r="D852" i="5"/>
  <c r="D1023" i="5"/>
  <c r="D887" i="5"/>
  <c r="D1006" i="5"/>
  <c r="D883" i="5"/>
  <c r="D360" i="5"/>
  <c r="D437" i="5"/>
  <c r="D841" i="5"/>
  <c r="D748" i="5"/>
  <c r="D449" i="5"/>
  <c r="D876" i="5"/>
  <c r="D966" i="5"/>
  <c r="D242" i="5"/>
  <c r="D559" i="5"/>
  <c r="D432" i="5"/>
  <c r="D151" i="5"/>
  <c r="D438" i="5"/>
  <c r="D502" i="5"/>
  <c r="D566" i="5"/>
  <c r="D661" i="5"/>
  <c r="D746" i="5"/>
  <c r="D821" i="5"/>
  <c r="D885" i="5"/>
  <c r="D949" i="5"/>
  <c r="D593" i="5"/>
  <c r="D678" i="5"/>
  <c r="D764" i="5"/>
  <c r="D834" i="5"/>
  <c r="D898" i="5"/>
  <c r="D522" i="5"/>
  <c r="D497" i="5"/>
  <c r="D622" i="5"/>
  <c r="D708" i="5"/>
  <c r="D792" i="5"/>
  <c r="D856" i="5"/>
  <c r="D920" i="5"/>
  <c r="D971" i="5"/>
  <c r="D807" i="5"/>
  <c r="D1002" i="5"/>
  <c r="D928" i="5"/>
  <c r="D637" i="5"/>
  <c r="D275" i="5"/>
  <c r="D442" i="5"/>
  <c r="D730" i="5"/>
  <c r="D937" i="5"/>
  <c r="D790" i="5"/>
  <c r="D477" i="5"/>
  <c r="D734" i="5"/>
  <c r="D1015" i="5"/>
  <c r="D948" i="5"/>
  <c r="D905" i="5"/>
  <c r="D197" i="5"/>
  <c r="D375" i="5"/>
  <c r="D655" i="5"/>
  <c r="D376" i="5"/>
  <c r="D303" i="5"/>
  <c r="D390" i="5"/>
  <c r="D478" i="5"/>
  <c r="D517" i="5"/>
  <c r="D629" i="5"/>
  <c r="D714" i="5"/>
  <c r="D797" i="5"/>
  <c r="D861" i="5"/>
  <c r="D925" i="5"/>
  <c r="D545" i="5"/>
  <c r="D646" i="5"/>
  <c r="D732" i="5"/>
  <c r="D810" i="5"/>
  <c r="D874" i="5"/>
  <c r="D938" i="5"/>
  <c r="D600" i="5"/>
  <c r="D589" i="5"/>
  <c r="D676" i="5"/>
  <c r="D761" i="5"/>
  <c r="D832" i="5"/>
  <c r="D896" i="5"/>
  <c r="D995" i="5"/>
  <c r="D903" i="5"/>
  <c r="D1026" i="5"/>
  <c r="D962" i="5"/>
  <c r="D765" i="5"/>
  <c r="D67" i="5"/>
  <c r="D741" i="5"/>
  <c r="D585" i="5"/>
  <c r="D894" i="5"/>
  <c r="D702" i="5"/>
  <c r="D868" i="5"/>
  <c r="D991" i="5"/>
  <c r="D823" i="5"/>
  <c r="D990" i="5"/>
  <c r="D744" i="5"/>
  <c r="D282" i="5"/>
  <c r="D574" i="5"/>
  <c r="D953" i="5"/>
  <c r="D838" i="5"/>
  <c r="D549" i="5"/>
  <c r="D967" i="5"/>
  <c r="D851" i="5"/>
  <c r="D144" i="5"/>
  <c r="D687" i="5"/>
  <c r="D496" i="5"/>
  <c r="D310" i="5"/>
  <c r="D454" i="5"/>
  <c r="D518" i="5"/>
  <c r="D597" i="5"/>
  <c r="D682" i="5"/>
  <c r="D768" i="5"/>
  <c r="D837" i="5"/>
  <c r="D901" i="5"/>
  <c r="D473" i="5"/>
  <c r="D614" i="5"/>
  <c r="D700" i="5"/>
  <c r="D785" i="5"/>
  <c r="D850" i="5"/>
  <c r="D914" i="5"/>
  <c r="D554" i="5"/>
  <c r="D541" i="5"/>
  <c r="D644" i="5"/>
  <c r="D729" i="5"/>
  <c r="D808" i="5"/>
  <c r="D872" i="5"/>
  <c r="D1019" i="5"/>
  <c r="D955" i="5"/>
  <c r="D728" i="5"/>
  <c r="D986" i="5"/>
  <c r="D867" i="5"/>
  <c r="D133" i="5"/>
  <c r="D512" i="5"/>
  <c r="D474" i="5"/>
  <c r="D773" i="5"/>
  <c r="D537" i="5"/>
  <c r="D822" i="5"/>
  <c r="D594" i="5"/>
  <c r="D796" i="5"/>
  <c r="D983" i="5"/>
  <c r="D786" i="5"/>
  <c r="D649" i="5"/>
  <c r="D114" i="5"/>
  <c r="D463" i="5"/>
  <c r="D719" i="5"/>
  <c r="D464" i="5"/>
  <c r="D381" i="5"/>
  <c r="D430" i="5"/>
  <c r="D494" i="5"/>
  <c r="D550" i="5"/>
  <c r="D650" i="5"/>
  <c r="D736" i="5"/>
  <c r="D813" i="5"/>
  <c r="D877" i="5"/>
  <c r="D941" i="5"/>
  <c r="D817" i="5"/>
  <c r="D673" i="5"/>
  <c r="D509" i="5"/>
  <c r="D788" i="5"/>
  <c r="D900" i="5"/>
  <c r="D975" i="5"/>
  <c r="D749" i="5"/>
  <c r="D958" i="5"/>
  <c r="D50" i="5"/>
  <c r="D331" i="5"/>
  <c r="D709" i="5"/>
  <c r="D569" i="5"/>
  <c r="D886" i="5"/>
  <c r="D756" i="5"/>
  <c r="D919" i="5"/>
  <c r="D875" i="5"/>
  <c r="D431" i="5"/>
  <c r="D751" i="5"/>
  <c r="D560" i="5"/>
  <c r="D378" i="5"/>
  <c r="D470" i="5"/>
  <c r="D485" i="5"/>
  <c r="D618" i="5"/>
  <c r="D704" i="5"/>
  <c r="D789" i="5"/>
  <c r="D853" i="5"/>
  <c r="D917" i="5"/>
  <c r="D529" i="5"/>
  <c r="D636" i="5"/>
  <c r="D721" i="5"/>
  <c r="D802" i="5"/>
  <c r="D866" i="5"/>
  <c r="D930" i="5"/>
  <c r="D586" i="5"/>
  <c r="D573" i="5"/>
  <c r="D665" i="5"/>
  <c r="D750" i="5"/>
  <c r="D824" i="5"/>
  <c r="D888" i="5"/>
  <c r="D1003" i="5"/>
  <c r="D931" i="5"/>
  <c r="D642" i="5"/>
  <c r="D970" i="5"/>
  <c r="D803" i="5"/>
  <c r="D359" i="5"/>
  <c r="D365" i="5"/>
  <c r="D542" i="5"/>
  <c r="D825" i="5"/>
  <c r="D620" i="5"/>
  <c r="D870" i="5"/>
  <c r="D606" i="5"/>
  <c r="D844" i="5"/>
  <c r="D855" i="5"/>
  <c r="D616" i="5"/>
  <c r="D998" i="5"/>
  <c r="D131" i="5"/>
  <c r="D527" i="5"/>
  <c r="D783" i="5"/>
  <c r="D528" i="5"/>
  <c r="D267" i="5"/>
  <c r="D446" i="5"/>
  <c r="D510" i="5"/>
  <c r="D582" i="5"/>
  <c r="D672" i="5"/>
  <c r="D757" i="5"/>
  <c r="D829" i="5"/>
  <c r="D893" i="5"/>
  <c r="D441" i="5"/>
  <c r="D604" i="5"/>
  <c r="D689" i="5"/>
  <c r="D774" i="5"/>
  <c r="D842" i="5"/>
  <c r="D906" i="5"/>
  <c r="D538" i="5"/>
  <c r="D525" i="5"/>
  <c r="D633" i="5"/>
  <c r="D718" i="5"/>
  <c r="D800" i="5"/>
  <c r="D864" i="5"/>
  <c r="D1027" i="5"/>
  <c r="D963" i="5"/>
  <c r="D770" i="5"/>
  <c r="D994" i="5"/>
  <c r="D899" i="5"/>
  <c r="D658" i="5"/>
  <c r="D577" i="5"/>
  <c r="D890" i="5"/>
  <c r="D697" i="5"/>
  <c r="D979" i="5"/>
  <c r="D680" i="5"/>
  <c r="D576" i="5"/>
  <c r="D602" i="5"/>
  <c r="D921" i="5"/>
  <c r="D769" i="5"/>
  <c r="D513" i="5"/>
  <c r="D860" i="5"/>
  <c r="D982" i="5"/>
  <c r="D668" i="5"/>
  <c r="D493" i="5"/>
  <c r="D782" i="5"/>
  <c r="D839" i="5"/>
  <c r="D208" i="5"/>
  <c r="D215" i="5"/>
  <c r="D688" i="5"/>
  <c r="D489" i="5"/>
  <c r="D806" i="5"/>
  <c r="D628" i="5"/>
  <c r="D908" i="5"/>
  <c r="D915" i="5"/>
  <c r="D753" i="5"/>
  <c r="D465" i="5"/>
  <c r="D848" i="5"/>
  <c r="D1010" i="5"/>
  <c r="D511" i="5"/>
  <c r="D506" i="5"/>
  <c r="D752" i="5"/>
  <c r="D598" i="5"/>
  <c r="D934" i="5"/>
  <c r="D713" i="5"/>
  <c r="D999" i="5"/>
  <c r="D826" i="5"/>
  <c r="D612" i="5"/>
  <c r="D912" i="5"/>
  <c r="D943" i="5"/>
  <c r="D448" i="5"/>
  <c r="D501" i="5"/>
  <c r="D809" i="5"/>
  <c r="D726" i="5"/>
  <c r="D562" i="5"/>
  <c r="D777" i="5"/>
  <c r="D791" i="5"/>
  <c r="BG23" i="5"/>
  <c r="J2" i="1"/>
  <c r="AV1027" i="2"/>
  <c r="AV1015" i="2"/>
  <c r="AV1003" i="2"/>
  <c r="AV991" i="2"/>
  <c r="AV979" i="2"/>
  <c r="AV967" i="2"/>
  <c r="AV955" i="2"/>
  <c r="AV943" i="2"/>
  <c r="AV931" i="2"/>
  <c r="AV919" i="2"/>
  <c r="AV907" i="2"/>
  <c r="AV895" i="2"/>
  <c r="AV883" i="2"/>
  <c r="AV871" i="2"/>
  <c r="AV859" i="2"/>
  <c r="AV847" i="2"/>
  <c r="AV835" i="2"/>
  <c r="AV823" i="2"/>
  <c r="AV811" i="2"/>
  <c r="AV799" i="2"/>
  <c r="AV787" i="2"/>
  <c r="AV775" i="2"/>
  <c r="AV763" i="2"/>
  <c r="AV751" i="2"/>
  <c r="AV739" i="2"/>
  <c r="AV727" i="2"/>
  <c r="AV715" i="2"/>
  <c r="AV703" i="2"/>
  <c r="AV691" i="2"/>
  <c r="AV679" i="2"/>
  <c r="AV667" i="2"/>
  <c r="AV655" i="2"/>
  <c r="AV643" i="2"/>
  <c r="AV631" i="2"/>
  <c r="AV619" i="2"/>
  <c r="AV607" i="2"/>
  <c r="AV595" i="2"/>
  <c r="AV583" i="2"/>
  <c r="AV571" i="2"/>
  <c r="AV559" i="2"/>
  <c r="AV547" i="2"/>
  <c r="AV535" i="2"/>
  <c r="AV523" i="2"/>
  <c r="AV511" i="2"/>
  <c r="AV499" i="2"/>
  <c r="AV487" i="2"/>
  <c r="AV475" i="2"/>
  <c r="AV463" i="2"/>
  <c r="AV451" i="2"/>
  <c r="AV439" i="2"/>
  <c r="AV427" i="2"/>
  <c r="AV415" i="2"/>
  <c r="AV403" i="2"/>
  <c r="AV391" i="2"/>
  <c r="AV379" i="2"/>
  <c r="AV367" i="2"/>
  <c r="AV355" i="2"/>
  <c r="AV343" i="2"/>
  <c r="AV331" i="2"/>
  <c r="AV319" i="2"/>
  <c r="AV307" i="2"/>
  <c r="AV295" i="2"/>
  <c r="AV283" i="2"/>
  <c r="AV271" i="2"/>
  <c r="AV259" i="2"/>
  <c r="AV247" i="2"/>
  <c r="AV235" i="2"/>
  <c r="AV223" i="2"/>
  <c r="AV211" i="2"/>
  <c r="AV199" i="2"/>
  <c r="AV187" i="2"/>
  <c r="AV175" i="2"/>
  <c r="AV163" i="2"/>
  <c r="AV151" i="2"/>
  <c r="AV139" i="2"/>
  <c r="AV127" i="2"/>
  <c r="AV115" i="2"/>
  <c r="AV103" i="2"/>
  <c r="AV91" i="2"/>
  <c r="AV79" i="2"/>
  <c r="AV67" i="2"/>
  <c r="AV55" i="2"/>
  <c r="AV43" i="2"/>
  <c r="AV31"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20" i="2"/>
  <c r="D413" i="5" l="1"/>
  <c r="D426" i="5"/>
  <c r="H113" i="10"/>
  <c r="D424" i="5"/>
  <c r="O93" i="10"/>
  <c r="H36" i="10"/>
  <c r="D416" i="5"/>
  <c r="O55" i="10"/>
  <c r="O85" i="10"/>
  <c r="H100" i="10"/>
  <c r="H49" i="10"/>
  <c r="O74" i="10"/>
  <c r="D419" i="5"/>
  <c r="D425" i="5"/>
  <c r="H54" i="10"/>
  <c r="O76" i="10"/>
  <c r="D417" i="5"/>
  <c r="H38" i="10"/>
  <c r="O45" i="10"/>
  <c r="H84" i="10"/>
  <c r="H97" i="10"/>
  <c r="O65" i="10"/>
  <c r="O39" i="10"/>
  <c r="H47" i="10"/>
  <c r="H68" i="10"/>
  <c r="H94" i="10"/>
  <c r="H87" i="10"/>
  <c r="H81" i="10"/>
  <c r="O83" i="10"/>
  <c r="O108" i="10"/>
  <c r="O44" i="10"/>
  <c r="O106" i="10"/>
  <c r="O42" i="10"/>
  <c r="O32" i="10"/>
  <c r="H91" i="10"/>
  <c r="H71" i="10"/>
  <c r="H33" i="10"/>
  <c r="O60" i="10"/>
  <c r="O58" i="10"/>
  <c r="H90" i="10"/>
  <c r="H52" i="10"/>
  <c r="H70" i="10"/>
  <c r="H39" i="10"/>
  <c r="H65" i="10"/>
  <c r="O109" i="10"/>
  <c r="O92" i="10"/>
  <c r="O99" i="10"/>
  <c r="O90" i="10"/>
  <c r="O95" i="10"/>
  <c r="H32" i="10"/>
  <c r="H79" i="10"/>
  <c r="H35" i="10"/>
  <c r="H112" i="10"/>
  <c r="H96" i="10"/>
  <c r="H80" i="10"/>
  <c r="H64" i="10"/>
  <c r="H48" i="10"/>
  <c r="H107" i="10"/>
  <c r="H55" i="10"/>
  <c r="H86" i="10"/>
  <c r="H66" i="10"/>
  <c r="H50" i="10"/>
  <c r="H34" i="10"/>
  <c r="H75" i="10"/>
  <c r="H114" i="10"/>
  <c r="H109" i="10"/>
  <c r="H93" i="10"/>
  <c r="H77" i="10"/>
  <c r="H61" i="10"/>
  <c r="H45" i="10"/>
  <c r="O111" i="10"/>
  <c r="O71" i="10"/>
  <c r="O105" i="10"/>
  <c r="O81" i="10"/>
  <c r="O57" i="10"/>
  <c r="O104" i="10"/>
  <c r="O88" i="10"/>
  <c r="O72" i="10"/>
  <c r="O56" i="10"/>
  <c r="O40" i="10"/>
  <c r="O87" i="10"/>
  <c r="O51" i="10"/>
  <c r="O35" i="10"/>
  <c r="O102" i="10"/>
  <c r="O86" i="10"/>
  <c r="O70" i="10"/>
  <c r="O54" i="10"/>
  <c r="O38" i="10"/>
  <c r="O79" i="10"/>
  <c r="O77" i="10"/>
  <c r="O41" i="10"/>
  <c r="C54" i="3"/>
  <c r="B54" i="3" s="1"/>
  <c r="D409" i="5"/>
  <c r="D415" i="5"/>
  <c r="H115" i="10"/>
  <c r="H67" i="10"/>
  <c r="H110" i="10"/>
  <c r="H108" i="10"/>
  <c r="H92" i="10"/>
  <c r="H76" i="10"/>
  <c r="H60" i="10"/>
  <c r="H44" i="10"/>
  <c r="H95" i="10"/>
  <c r="H43" i="10"/>
  <c r="H78" i="10"/>
  <c r="H62" i="10"/>
  <c r="H46" i="10"/>
  <c r="H111" i="10"/>
  <c r="H63" i="10"/>
  <c r="H102" i="10"/>
  <c r="H105" i="10"/>
  <c r="H89" i="10"/>
  <c r="H73" i="10"/>
  <c r="H57" i="10"/>
  <c r="H41" i="10"/>
  <c r="O103" i="10"/>
  <c r="O59" i="10"/>
  <c r="O97" i="10"/>
  <c r="O73" i="10"/>
  <c r="O49" i="10"/>
  <c r="O100" i="10"/>
  <c r="O84" i="10"/>
  <c r="O68" i="10"/>
  <c r="O52" i="10"/>
  <c r="O36" i="10"/>
  <c r="O75" i="10"/>
  <c r="O47" i="10"/>
  <c r="O114" i="10"/>
  <c r="O98" i="10"/>
  <c r="O82" i="10"/>
  <c r="O66" i="10"/>
  <c r="O50" i="10"/>
  <c r="O34" i="10"/>
  <c r="O63" i="10"/>
  <c r="O61" i="10"/>
  <c r="O37" i="10"/>
  <c r="D408" i="5"/>
  <c r="H103" i="10"/>
  <c r="H59" i="10"/>
  <c r="H98" i="10"/>
  <c r="H104" i="10"/>
  <c r="H88" i="10"/>
  <c r="H72" i="10"/>
  <c r="H56" i="10"/>
  <c r="H40" i="10"/>
  <c r="H83" i="10"/>
  <c r="H106" i="10"/>
  <c r="H74" i="10"/>
  <c r="H58" i="10"/>
  <c r="H42" i="10"/>
  <c r="H99" i="10"/>
  <c r="H51" i="10"/>
  <c r="H82" i="10"/>
  <c r="H101" i="10"/>
  <c r="H85" i="10"/>
  <c r="H69" i="10"/>
  <c r="H53" i="10"/>
  <c r="H37" i="10"/>
  <c r="O91" i="10"/>
  <c r="O113" i="10"/>
  <c r="O89" i="10"/>
  <c r="O69" i="10"/>
  <c r="O112" i="10"/>
  <c r="O96" i="10"/>
  <c r="O80" i="10"/>
  <c r="O64" i="10"/>
  <c r="O48" i="10"/>
  <c r="O115" i="10"/>
  <c r="O67" i="10"/>
  <c r="O43" i="10"/>
  <c r="O110" i="10"/>
  <c r="O94" i="10"/>
  <c r="O78" i="10"/>
  <c r="O62" i="10"/>
  <c r="O46" i="10"/>
  <c r="O107" i="10"/>
  <c r="O101" i="10"/>
  <c r="O53" i="10"/>
  <c r="O33" i="10"/>
  <c r="D406" i="5"/>
  <c r="D405" i="5"/>
  <c r="D180" i="5"/>
  <c r="D252" i="5"/>
  <c r="D77" i="5"/>
  <c r="D520" i="5"/>
  <c r="D367" i="5"/>
  <c r="D22" i="5"/>
  <c r="D113" i="5"/>
  <c r="D923" i="5"/>
  <c r="D946" i="5"/>
  <c r="D711" i="5"/>
  <c r="D455" i="5"/>
  <c r="D82" i="5"/>
  <c r="D244" i="5"/>
  <c r="D103" i="5"/>
  <c r="D86" i="5"/>
  <c r="D169" i="5"/>
  <c r="D981" i="5"/>
  <c r="D290" i="5"/>
  <c r="D111" i="5"/>
  <c r="D305" i="5"/>
  <c r="D1004" i="5"/>
  <c r="D75" i="5"/>
  <c r="D269" i="5"/>
  <c r="D414" i="5"/>
  <c r="D286" i="5"/>
  <c r="D583" i="5"/>
  <c r="D240" i="5"/>
  <c r="D985" i="5"/>
  <c r="D116" i="5"/>
  <c r="D214" i="5"/>
  <c r="D297" i="5"/>
  <c r="D41" i="5"/>
  <c r="D669" i="5"/>
  <c r="D188" i="5"/>
  <c r="D158" i="5"/>
  <c r="D49" i="5"/>
  <c r="D216" i="5"/>
  <c r="D58" i="5"/>
  <c r="D674" i="5"/>
  <c r="D775" i="5"/>
  <c r="D519" i="5"/>
  <c r="D99" i="5"/>
  <c r="D279" i="5"/>
  <c r="D52" i="5"/>
  <c r="D150" i="5"/>
  <c r="D233" i="5"/>
  <c r="D847" i="5"/>
  <c r="D980" i="5"/>
  <c r="D60" i="5"/>
  <c r="D30" i="5"/>
  <c r="D815" i="5"/>
  <c r="D88" i="5"/>
  <c r="D333" i="5"/>
  <c r="D1009" i="5"/>
  <c r="D124" i="5"/>
  <c r="D222" i="5"/>
  <c r="D241" i="5"/>
  <c r="D795" i="5"/>
  <c r="D152" i="5"/>
  <c r="D186" i="5"/>
  <c r="D141" i="5"/>
  <c r="D733" i="5"/>
  <c r="D411" i="5"/>
  <c r="D94" i="5"/>
  <c r="D177" i="5"/>
  <c r="D973" i="5"/>
  <c r="D203" i="5"/>
  <c r="D24" i="5"/>
  <c r="D122" i="5"/>
  <c r="D205" i="5"/>
  <c r="D942" i="5"/>
  <c r="D421" i="5"/>
  <c r="D407" i="5"/>
  <c r="D420" i="5"/>
  <c r="D404" i="5"/>
  <c r="B70" i="3"/>
  <c r="G73" i="3" s="1"/>
  <c r="B30" i="9" s="1"/>
  <c r="D992" i="5"/>
  <c r="D418" i="5"/>
  <c r="D422" i="5"/>
  <c r="D410" i="5"/>
  <c r="D632" i="5"/>
  <c r="D423" i="5"/>
  <c r="D427" i="5"/>
  <c r="J417" i="5"/>
  <c r="Q328" i="5"/>
  <c r="J327" i="5"/>
  <c r="E330" i="5"/>
  <c r="I330" i="5" s="1"/>
  <c r="E323" i="5"/>
  <c r="I323" i="5" s="1"/>
  <c r="J322" i="5"/>
  <c r="J320" i="5"/>
  <c r="J325" i="5"/>
  <c r="E438" i="5"/>
  <c r="I438" i="5" s="1"/>
  <c r="BJ437" i="5"/>
  <c r="E434" i="5"/>
  <c r="I434" i="5" s="1"/>
  <c r="BJ433" i="5"/>
  <c r="BJ436" i="5"/>
  <c r="BJ430" i="5"/>
  <c r="BJ429" i="5"/>
  <c r="Q432" i="5"/>
  <c r="BJ439" i="5"/>
  <c r="E428" i="5"/>
  <c r="I428" i="5" s="1"/>
  <c r="BJ1013" i="5"/>
  <c r="BJ1011" i="5"/>
  <c r="BJ1023" i="5"/>
  <c r="BJ1021" i="5"/>
  <c r="BJ1025" i="5"/>
  <c r="BJ1015" i="5"/>
  <c r="BJ975" i="5"/>
  <c r="BJ931" i="5"/>
  <c r="BJ895" i="5"/>
  <c r="BJ879" i="5"/>
  <c r="BJ831" i="5"/>
  <c r="BJ799" i="5"/>
  <c r="BJ783" i="5"/>
  <c r="BJ751" i="5"/>
  <c r="BJ735" i="5"/>
  <c r="BJ987" i="5"/>
  <c r="BJ943" i="5"/>
  <c r="BJ915" i="5"/>
  <c r="BJ883" i="5"/>
  <c r="BJ867" i="5"/>
  <c r="BJ835" i="5"/>
  <c r="BJ819" i="5"/>
  <c r="BJ787" i="5"/>
  <c r="BJ771" i="5"/>
  <c r="BJ739" i="5"/>
  <c r="BJ723" i="5"/>
  <c r="BJ691" i="5"/>
  <c r="BJ675" i="5"/>
  <c r="BJ646" i="5"/>
  <c r="BJ614" i="5"/>
  <c r="BJ991" i="5"/>
  <c r="BJ967" i="5"/>
  <c r="BJ939" i="5"/>
  <c r="BJ1022" i="5"/>
  <c r="BJ1006" i="5"/>
  <c r="BJ990" i="5"/>
  <c r="BJ974" i="5"/>
  <c r="BJ958" i="5"/>
  <c r="BJ926" i="5"/>
  <c r="BJ910" i="5"/>
  <c r="BJ894" i="5"/>
  <c r="BJ878" i="5"/>
  <c r="BJ862" i="5"/>
  <c r="BJ846" i="5"/>
  <c r="BJ830" i="5"/>
  <c r="BJ814" i="5"/>
  <c r="BJ798" i="5"/>
  <c r="BJ782" i="5"/>
  <c r="BJ766" i="5"/>
  <c r="BJ750" i="5"/>
  <c r="BJ734" i="5"/>
  <c r="BJ718" i="5"/>
  <c r="BJ702" i="5"/>
  <c r="BJ686" i="5"/>
  <c r="BJ668" i="5"/>
  <c r="BJ594" i="5"/>
  <c r="BJ969" i="5"/>
  <c r="BJ945" i="5"/>
  <c r="BJ929" i="5"/>
  <c r="BJ913" i="5"/>
  <c r="BJ897" i="5"/>
  <c r="BJ881" i="5"/>
  <c r="BJ865" i="5"/>
  <c r="BJ849" i="5"/>
  <c r="BJ833" i="5"/>
  <c r="BJ817" i="5"/>
  <c r="BJ801" i="5"/>
  <c r="BJ785" i="5"/>
  <c r="BJ769" i="5"/>
  <c r="BJ753" i="5"/>
  <c r="BJ737" i="5"/>
  <c r="BJ721" i="5"/>
  <c r="BJ705" i="5"/>
  <c r="BJ689" i="5"/>
  <c r="BJ642" i="5"/>
  <c r="BJ606" i="5"/>
  <c r="BJ993" i="5"/>
  <c r="BJ965" i="5"/>
  <c r="BJ1016" i="5"/>
  <c r="BJ1000" i="5"/>
  <c r="BJ968" i="5"/>
  <c r="BJ952" i="5"/>
  <c r="BJ920" i="5"/>
  <c r="BJ904" i="5"/>
  <c r="BJ872" i="5"/>
  <c r="BJ856" i="5"/>
  <c r="BJ824" i="5"/>
  <c r="BJ808" i="5"/>
  <c r="BJ776" i="5"/>
  <c r="BJ760" i="5"/>
  <c r="BJ728" i="5"/>
  <c r="BJ712" i="5"/>
  <c r="BJ680" i="5"/>
  <c r="BJ656" i="5"/>
  <c r="BJ582" i="5"/>
  <c r="BJ566" i="5"/>
  <c r="BJ534" i="5"/>
  <c r="BJ518" i="5"/>
  <c r="BJ502" i="5"/>
  <c r="BJ486" i="5"/>
  <c r="BJ470" i="5"/>
  <c r="BJ454" i="5"/>
  <c r="BJ661" i="5"/>
  <c r="BJ645" i="5"/>
  <c r="BJ629" i="5"/>
  <c r="BJ613" i="5"/>
  <c r="BJ597" i="5"/>
  <c r="BJ581" i="5"/>
  <c r="BJ565" i="5"/>
  <c r="BJ533" i="5"/>
  <c r="BJ517" i="5"/>
  <c r="BJ501" i="5"/>
  <c r="BJ485" i="5"/>
  <c r="BJ469" i="5"/>
  <c r="BJ453" i="5"/>
  <c r="BJ584" i="5"/>
  <c r="BJ568" i="5"/>
  <c r="BJ536" i="5"/>
  <c r="BJ488" i="5"/>
  <c r="BJ472" i="5"/>
  <c r="BJ440" i="5"/>
  <c r="BJ655" i="5"/>
  <c r="BJ639" i="5"/>
  <c r="BJ607" i="5"/>
  <c r="BJ591" i="5"/>
  <c r="BJ543" i="5"/>
  <c r="BJ511" i="5"/>
  <c r="BJ495" i="5"/>
  <c r="BJ463" i="5"/>
  <c r="BJ447" i="5"/>
  <c r="BJ399" i="5"/>
  <c r="BJ231" i="5"/>
  <c r="BJ183" i="5"/>
  <c r="BJ135" i="5"/>
  <c r="BJ87" i="5"/>
  <c r="BJ39" i="5"/>
  <c r="BJ703" i="5"/>
  <c r="BJ687" i="5"/>
  <c r="BJ670" i="5"/>
  <c r="BJ638" i="5"/>
  <c r="BJ598" i="5"/>
  <c r="BJ1018" i="5"/>
  <c r="BJ1002" i="5"/>
  <c r="BJ986" i="5"/>
  <c r="BJ970" i="5"/>
  <c r="BJ954" i="5"/>
  <c r="BJ938" i="5"/>
  <c r="BJ922" i="5"/>
  <c r="BJ906" i="5"/>
  <c r="BJ890" i="5"/>
  <c r="BJ874" i="5"/>
  <c r="BJ858" i="5"/>
  <c r="BJ842" i="5"/>
  <c r="BJ826" i="5"/>
  <c r="BJ810" i="5"/>
  <c r="BJ794" i="5"/>
  <c r="BJ778" i="5"/>
  <c r="BJ762" i="5"/>
  <c r="BJ746" i="5"/>
  <c r="BJ730" i="5"/>
  <c r="BJ714" i="5"/>
  <c r="BJ698" i="5"/>
  <c r="BJ682" i="5"/>
  <c r="BJ628" i="5"/>
  <c r="BJ997" i="5"/>
  <c r="BJ961" i="5"/>
  <c r="BJ941" i="5"/>
  <c r="BJ925" i="5"/>
  <c r="BJ909" i="5"/>
  <c r="BJ893" i="5"/>
  <c r="BJ877" i="5"/>
  <c r="BJ861" i="5"/>
  <c r="BJ845" i="5"/>
  <c r="BJ829" i="5"/>
  <c r="BJ813" i="5"/>
  <c r="BJ797" i="5"/>
  <c r="BJ781" i="5"/>
  <c r="BJ765" i="5"/>
  <c r="BJ749" i="5"/>
  <c r="BJ717" i="5"/>
  <c r="BJ701" i="5"/>
  <c r="BJ685" i="5"/>
  <c r="BJ666" i="5"/>
  <c r="BJ634" i="5"/>
  <c r="BJ590" i="5"/>
  <c r="BJ989" i="5"/>
  <c r="BJ957" i="5"/>
  <c r="BJ1012" i="5"/>
  <c r="BJ964" i="5"/>
  <c r="BJ932" i="5"/>
  <c r="BJ916" i="5"/>
  <c r="BJ884" i="5"/>
  <c r="BJ868" i="5"/>
  <c r="BJ836" i="5"/>
  <c r="BJ820" i="5"/>
  <c r="BJ788" i="5"/>
  <c r="BJ772" i="5"/>
  <c r="BJ740" i="5"/>
  <c r="BJ724" i="5"/>
  <c r="BJ692" i="5"/>
  <c r="BJ676" i="5"/>
  <c r="BJ616" i="5"/>
  <c r="BJ578" i="5"/>
  <c r="BJ562" i="5"/>
  <c r="BJ546" i="5"/>
  <c r="BJ530" i="5"/>
  <c r="BJ514" i="5"/>
  <c r="BJ498" i="5"/>
  <c r="BJ482" i="5"/>
  <c r="BJ466" i="5"/>
  <c r="BJ450" i="5"/>
  <c r="BJ673" i="5"/>
  <c r="BJ657" i="5"/>
  <c r="BJ641" i="5"/>
  <c r="BJ625" i="5"/>
  <c r="BJ609" i="5"/>
  <c r="BJ593" i="5"/>
  <c r="BJ577" i="5"/>
  <c r="BJ561" i="5"/>
  <c r="BJ545" i="5"/>
  <c r="BJ529" i="5"/>
  <c r="BJ513" i="5"/>
  <c r="BJ497" i="5"/>
  <c r="BJ481" i="5"/>
  <c r="BJ465" i="5"/>
  <c r="BJ449" i="5"/>
  <c r="BJ596" i="5"/>
  <c r="BJ580" i="5"/>
  <c r="BJ532" i="5"/>
  <c r="BJ500" i="5"/>
  <c r="BJ484" i="5"/>
  <c r="BJ452" i="5"/>
  <c r="BJ667" i="5"/>
  <c r="BJ651" i="5"/>
  <c r="BJ619" i="5"/>
  <c r="BJ603" i="5"/>
  <c r="BJ571" i="5"/>
  <c r="BJ523" i="5"/>
  <c r="BJ507" i="5"/>
  <c r="BJ475" i="5"/>
  <c r="BJ459" i="5"/>
  <c r="BJ339" i="5"/>
  <c r="BJ291" i="5"/>
  <c r="BJ243" i="5"/>
  <c r="BJ195" i="5"/>
  <c r="BJ147" i="5"/>
  <c r="BJ51" i="5"/>
  <c r="BJ1027" i="5"/>
  <c r="BJ1017" i="5"/>
  <c r="BJ963" i="5"/>
  <c r="BJ907" i="5"/>
  <c r="BJ891" i="5"/>
  <c r="BJ859" i="5"/>
  <c r="BJ843" i="5"/>
  <c r="BJ811" i="5"/>
  <c r="BJ763" i="5"/>
  <c r="BJ747" i="5"/>
  <c r="BJ715" i="5"/>
  <c r="BJ699" i="5"/>
  <c r="BJ662" i="5"/>
  <c r="BJ630" i="5"/>
  <c r="BJ999" i="5"/>
  <c r="BJ979" i="5"/>
  <c r="BJ955" i="5"/>
  <c r="BJ927" i="5"/>
  <c r="BJ1014" i="5"/>
  <c r="BJ998" i="5"/>
  <c r="BJ982" i="5"/>
  <c r="BJ966" i="5"/>
  <c r="BJ950" i="5"/>
  <c r="BJ934" i="5"/>
  <c r="BJ918" i="5"/>
  <c r="BJ902" i="5"/>
  <c r="BJ886" i="5"/>
  <c r="BJ870" i="5"/>
  <c r="BJ854" i="5"/>
  <c r="BJ838" i="5"/>
  <c r="BJ822" i="5"/>
  <c r="BJ806" i="5"/>
  <c r="BJ790" i="5"/>
  <c r="BJ774" i="5"/>
  <c r="BJ758" i="5"/>
  <c r="BJ742" i="5"/>
  <c r="BJ726" i="5"/>
  <c r="BJ710" i="5"/>
  <c r="BJ694" i="5"/>
  <c r="BJ678" i="5"/>
  <c r="BJ652" i="5"/>
  <c r="BJ620" i="5"/>
  <c r="BJ953" i="5"/>
  <c r="BJ937" i="5"/>
  <c r="BJ921" i="5"/>
  <c r="BJ905" i="5"/>
  <c r="BJ889" i="5"/>
  <c r="BJ873" i="5"/>
  <c r="BJ857" i="5"/>
  <c r="BJ841" i="5"/>
  <c r="BJ825" i="5"/>
  <c r="BJ809" i="5"/>
  <c r="BJ793" i="5"/>
  <c r="BJ777" i="5"/>
  <c r="BJ761" i="5"/>
  <c r="BJ745" i="5"/>
  <c r="BJ729" i="5"/>
  <c r="BJ713" i="5"/>
  <c r="BJ697" i="5"/>
  <c r="BJ681" i="5"/>
  <c r="BJ658" i="5"/>
  <c r="BJ626" i="5"/>
  <c r="BJ1005" i="5"/>
  <c r="BJ1024" i="5"/>
  <c r="BJ976" i="5"/>
  <c r="BJ944" i="5"/>
  <c r="BJ928" i="5"/>
  <c r="BJ896" i="5"/>
  <c r="BJ880" i="5"/>
  <c r="BJ848" i="5"/>
  <c r="BJ832" i="5"/>
  <c r="BJ800" i="5"/>
  <c r="BJ784" i="5"/>
  <c r="BJ752" i="5"/>
  <c r="BJ736" i="5"/>
  <c r="BJ704" i="5"/>
  <c r="BJ688" i="5"/>
  <c r="BJ640" i="5"/>
  <c r="BJ602" i="5"/>
  <c r="BJ574" i="5"/>
  <c r="BJ542" i="5"/>
  <c r="BJ526" i="5"/>
  <c r="BJ510" i="5"/>
  <c r="BJ494" i="5"/>
  <c r="BJ478" i="5"/>
  <c r="BJ462" i="5"/>
  <c r="BJ446" i="5"/>
  <c r="BJ653" i="5"/>
  <c r="BJ637" i="5"/>
  <c r="BJ621" i="5"/>
  <c r="BJ605" i="5"/>
  <c r="BJ589" i="5"/>
  <c r="BJ573" i="5"/>
  <c r="BJ541" i="5"/>
  <c r="BJ525" i="5"/>
  <c r="BJ509" i="5"/>
  <c r="BJ493" i="5"/>
  <c r="BJ477" i="5"/>
  <c r="BJ461" i="5"/>
  <c r="BJ445" i="5"/>
  <c r="BJ608" i="5"/>
  <c r="BJ592" i="5"/>
  <c r="BJ560" i="5"/>
  <c r="BJ544" i="5"/>
  <c r="BJ512" i="5"/>
  <c r="BJ496" i="5"/>
  <c r="BJ464" i="5"/>
  <c r="BJ448" i="5"/>
  <c r="BJ663" i="5"/>
  <c r="BJ631" i="5"/>
  <c r="BJ615" i="5"/>
  <c r="BJ567" i="5"/>
  <c r="BJ535" i="5"/>
  <c r="BJ487" i="5"/>
  <c r="BJ471" i="5"/>
  <c r="BJ375" i="5"/>
  <c r="BJ303" i="5"/>
  <c r="BJ255" i="5"/>
  <c r="BJ207" i="5"/>
  <c r="BJ159" i="5"/>
  <c r="BJ63" i="5"/>
  <c r="BJ1003" i="5"/>
  <c r="BJ951" i="5"/>
  <c r="BJ919" i="5"/>
  <c r="BJ903" i="5"/>
  <c r="BJ871" i="5"/>
  <c r="BJ855" i="5"/>
  <c r="BJ823" i="5"/>
  <c r="BJ807" i="5"/>
  <c r="BJ759" i="5"/>
  <c r="BJ727" i="5"/>
  <c r="BJ679" i="5"/>
  <c r="BJ654" i="5"/>
  <c r="BJ622" i="5"/>
  <c r="BJ1026" i="5"/>
  <c r="BJ1010" i="5"/>
  <c r="BJ994" i="5"/>
  <c r="BJ978" i="5"/>
  <c r="BJ962" i="5"/>
  <c r="BJ930" i="5"/>
  <c r="BJ914" i="5"/>
  <c r="BJ898" i="5"/>
  <c r="BJ882" i="5"/>
  <c r="BJ866" i="5"/>
  <c r="BJ850" i="5"/>
  <c r="BJ834" i="5"/>
  <c r="BJ818" i="5"/>
  <c r="BJ802" i="5"/>
  <c r="BJ786" i="5"/>
  <c r="BJ770" i="5"/>
  <c r="BJ754" i="5"/>
  <c r="BJ738" i="5"/>
  <c r="BJ722" i="5"/>
  <c r="BJ706" i="5"/>
  <c r="BJ690" i="5"/>
  <c r="BJ644" i="5"/>
  <c r="BJ610" i="5"/>
  <c r="BJ977" i="5"/>
  <c r="BJ949" i="5"/>
  <c r="BJ933" i="5"/>
  <c r="BJ917" i="5"/>
  <c r="BJ901" i="5"/>
  <c r="BJ885" i="5"/>
  <c r="BJ869" i="5"/>
  <c r="BJ853" i="5"/>
  <c r="BJ837" i="5"/>
  <c r="BJ821" i="5"/>
  <c r="BJ805" i="5"/>
  <c r="BJ789" i="5"/>
  <c r="BJ773" i="5"/>
  <c r="BJ757" i="5"/>
  <c r="BJ741" i="5"/>
  <c r="BJ725" i="5"/>
  <c r="BJ709" i="5"/>
  <c r="BJ693" i="5"/>
  <c r="BJ677" i="5"/>
  <c r="BJ650" i="5"/>
  <c r="BJ618" i="5"/>
  <c r="BJ1001" i="5"/>
  <c r="BJ988" i="5"/>
  <c r="BJ956" i="5"/>
  <c r="BJ940" i="5"/>
  <c r="BJ908" i="5"/>
  <c r="BJ892" i="5"/>
  <c r="BJ860" i="5"/>
  <c r="BJ844" i="5"/>
  <c r="BJ812" i="5"/>
  <c r="BJ796" i="5"/>
  <c r="BJ764" i="5"/>
  <c r="BJ748" i="5"/>
  <c r="BJ716" i="5"/>
  <c r="BJ700" i="5"/>
  <c r="BJ664" i="5"/>
  <c r="BJ586" i="5"/>
  <c r="BJ570" i="5"/>
  <c r="BJ538" i="5"/>
  <c r="BJ522" i="5"/>
  <c r="BJ506" i="5"/>
  <c r="BJ490" i="5"/>
  <c r="BJ474" i="5"/>
  <c r="BJ458" i="5"/>
  <c r="BJ442" i="5"/>
  <c r="BJ665" i="5"/>
  <c r="BJ649" i="5"/>
  <c r="BJ633" i="5"/>
  <c r="BJ617" i="5"/>
  <c r="BJ601" i="5"/>
  <c r="BJ585" i="5"/>
  <c r="BJ569" i="5"/>
  <c r="BJ537" i="5"/>
  <c r="BJ521" i="5"/>
  <c r="BJ505" i="5"/>
  <c r="BJ489" i="5"/>
  <c r="BJ473" i="5"/>
  <c r="BJ457" i="5"/>
  <c r="BJ441" i="5"/>
  <c r="BJ604" i="5"/>
  <c r="BJ572" i="5"/>
  <c r="BJ524" i="5"/>
  <c r="BJ508" i="5"/>
  <c r="BJ476" i="5"/>
  <c r="BJ460" i="5"/>
  <c r="BJ643" i="5"/>
  <c r="BJ627" i="5"/>
  <c r="BJ595" i="5"/>
  <c r="BJ579" i="5"/>
  <c r="BJ547" i="5"/>
  <c r="BJ531" i="5"/>
  <c r="BJ499" i="5"/>
  <c r="BJ483" i="5"/>
  <c r="BJ451" i="5"/>
  <c r="BJ435" i="5"/>
  <c r="BJ387" i="5"/>
  <c r="BJ315" i="5"/>
  <c r="BJ267" i="5"/>
  <c r="BJ219" i="5"/>
  <c r="BJ171" i="5"/>
  <c r="BJ123" i="5"/>
  <c r="BJ27" i="5"/>
  <c r="AI196" i="5"/>
  <c r="BG24" i="5"/>
  <c r="BJ550" i="5"/>
  <c r="BJ559" i="5"/>
  <c r="BJ363" i="5"/>
  <c r="BJ555" i="5"/>
  <c r="BJ556" i="5"/>
  <c r="BJ557" i="5"/>
  <c r="BJ553" i="5"/>
  <c r="BJ548" i="5"/>
  <c r="BJ554" i="5"/>
  <c r="BJ549" i="5"/>
  <c r="BJ558" i="5"/>
  <c r="I7" i="1"/>
  <c r="AI841" i="5"/>
  <c r="AI1018" i="5"/>
  <c r="AI962" i="5"/>
  <c r="AI902" i="5"/>
  <c r="AI846" i="5"/>
  <c r="AI782" i="5"/>
  <c r="AI722" i="5"/>
  <c r="AI634" i="5"/>
  <c r="AI474" i="5"/>
  <c r="AI993" i="5"/>
  <c r="AI573" i="5"/>
  <c r="AI998" i="5"/>
  <c r="AI938" i="5"/>
  <c r="AI878" i="5"/>
  <c r="AI822" i="5"/>
  <c r="AI762" i="5"/>
  <c r="AI698" i="5"/>
  <c r="AI570" i="5"/>
  <c r="AI252" i="5"/>
  <c r="AI873" i="5"/>
  <c r="AI990" i="5"/>
  <c r="AI930" i="5"/>
  <c r="AI874" i="5"/>
  <c r="AI814" i="5"/>
  <c r="AI754" i="5"/>
  <c r="AI690" i="5"/>
  <c r="AI554" i="5"/>
  <c r="AI124" i="5"/>
  <c r="AI1026" i="5"/>
  <c r="AI966" i="5"/>
  <c r="AI910" i="5"/>
  <c r="AI854" i="5"/>
  <c r="AI790" i="5"/>
  <c r="AI730" i="5"/>
  <c r="AI650" i="5"/>
  <c r="AI490" i="5"/>
  <c r="AI1001" i="5"/>
  <c r="AI613" i="5"/>
  <c r="AI1006" i="5"/>
  <c r="AI974" i="5"/>
  <c r="AI946" i="5"/>
  <c r="AI918" i="5"/>
  <c r="AI886" i="5"/>
  <c r="AI858" i="5"/>
  <c r="AI830" i="5"/>
  <c r="AI798" i="5"/>
  <c r="AI770" i="5"/>
  <c r="AI738" i="5"/>
  <c r="AI706" i="5"/>
  <c r="AI666" i="5"/>
  <c r="AI602" i="5"/>
  <c r="AI506" i="5"/>
  <c r="AI316" i="5"/>
  <c r="AI1009" i="5"/>
  <c r="AI945" i="5"/>
  <c r="AI713" i="5"/>
  <c r="AI1002" i="5"/>
  <c r="AI1014" i="5"/>
  <c r="AI982" i="5"/>
  <c r="AI954" i="5"/>
  <c r="AI922" i="5"/>
  <c r="AI894" i="5"/>
  <c r="AI866" i="5"/>
  <c r="AI834" i="5"/>
  <c r="AI806" i="5"/>
  <c r="AI778" i="5"/>
  <c r="AI746" i="5"/>
  <c r="AI714" i="5"/>
  <c r="AI678" i="5"/>
  <c r="AI618" i="5"/>
  <c r="AI534" i="5"/>
  <c r="AI364" i="5"/>
  <c r="AI60" i="5"/>
  <c r="AI961" i="5"/>
  <c r="AI745" i="5"/>
  <c r="AI360" i="5"/>
  <c r="AI1025" i="5"/>
  <c r="AI977" i="5"/>
  <c r="AI905" i="5"/>
  <c r="AI777" i="5"/>
  <c r="AI649" i="5"/>
  <c r="AI477" i="5"/>
  <c r="AI794" i="5"/>
  <c r="AI929" i="5"/>
  <c r="AI809" i="5"/>
  <c r="AI681" i="5"/>
  <c r="AI509" i="5"/>
  <c r="AI934" i="5"/>
  <c r="AI932" i="5"/>
  <c r="AI104" i="5"/>
  <c r="AI694" i="5"/>
  <c r="AI558" i="5"/>
  <c r="AI541" i="5"/>
  <c r="AI232" i="5"/>
  <c r="AI862" i="5"/>
  <c r="AI284" i="5"/>
  <c r="AI868" i="5"/>
  <c r="AI796" i="5"/>
  <c r="AI616" i="5"/>
  <c r="AI996" i="5"/>
  <c r="AI708" i="5"/>
  <c r="AI372" i="5"/>
  <c r="AI532" i="5"/>
  <c r="AI735" i="5"/>
  <c r="AI1023" i="5"/>
  <c r="AI586" i="5"/>
  <c r="AI518" i="5"/>
  <c r="AI1017" i="5"/>
  <c r="AI985" i="5"/>
  <c r="AI953" i="5"/>
  <c r="AI921" i="5"/>
  <c r="AI857" i="5"/>
  <c r="AI793" i="5"/>
  <c r="AI729" i="5"/>
  <c r="AI665" i="5"/>
  <c r="AI589" i="5"/>
  <c r="AI525" i="5"/>
  <c r="AI440" i="5"/>
  <c r="AI168" i="5"/>
  <c r="AI970" i="5"/>
  <c r="AI826" i="5"/>
  <c r="AI622" i="5"/>
  <c r="AI20" i="5"/>
  <c r="AI900" i="5"/>
  <c r="AI748" i="5"/>
  <c r="AI572" i="5"/>
  <c r="AI271" i="5"/>
  <c r="AI671" i="5"/>
  <c r="AI927" i="5"/>
  <c r="AI1015" i="5"/>
  <c r="AI132" i="5"/>
  <c r="AI324" i="5"/>
  <c r="AI476" i="5"/>
  <c r="AI516" i="5"/>
  <c r="AI564" i="5"/>
  <c r="AI608" i="5"/>
  <c r="AI652" i="5"/>
  <c r="AI700" i="5"/>
  <c r="AI740" i="5"/>
  <c r="AI780" i="5"/>
  <c r="AI828" i="5"/>
  <c r="AI860" i="5"/>
  <c r="AI892" i="5"/>
  <c r="AI924" i="5"/>
  <c r="AI956" i="5"/>
  <c r="AI988" i="5"/>
  <c r="AI1020" i="5"/>
  <c r="AI204" i="5"/>
  <c r="AI470" i="5"/>
  <c r="AI542" i="5"/>
  <c r="AI606" i="5"/>
  <c r="AI674" i="5"/>
  <c r="AI742" i="5"/>
  <c r="AI786" i="5"/>
  <c r="AI818" i="5"/>
  <c r="AI850" i="5"/>
  <c r="AI890" i="5"/>
  <c r="AI926" i="5"/>
  <c r="AI958" i="5"/>
  <c r="AI994" i="5"/>
  <c r="AI24" i="5"/>
  <c r="AI88" i="5"/>
  <c r="AI152" i="5"/>
  <c r="AI216" i="5"/>
  <c r="AI280" i="5"/>
  <c r="AI344" i="5"/>
  <c r="AI473" i="5"/>
  <c r="AI489" i="5"/>
  <c r="AI505" i="5"/>
  <c r="AI521" i="5"/>
  <c r="AI537" i="5"/>
  <c r="AI553" i="5"/>
  <c r="AI569" i="5"/>
  <c r="AI585" i="5"/>
  <c r="AI605" i="5"/>
  <c r="AI629" i="5"/>
  <c r="AI645" i="5"/>
  <c r="AI661" i="5"/>
  <c r="AI677" i="5"/>
  <c r="AI693" i="5"/>
  <c r="AI709" i="5"/>
  <c r="AI725" i="5"/>
  <c r="AI741" i="5"/>
  <c r="AI757" i="5"/>
  <c r="AI773" i="5"/>
  <c r="AI789" i="5"/>
  <c r="AI805" i="5"/>
  <c r="AI821" i="5"/>
  <c r="AI837" i="5"/>
  <c r="AI853" i="5"/>
  <c r="AI869" i="5"/>
  <c r="AI885" i="5"/>
  <c r="AI901" i="5"/>
  <c r="AI917" i="5"/>
  <c r="AI933" i="5"/>
  <c r="AI949" i="5"/>
  <c r="AI965" i="5"/>
  <c r="AI981" i="5"/>
  <c r="AI997" i="5"/>
  <c r="AI1013" i="5"/>
  <c r="AI28" i="5"/>
  <c r="AI156" i="5"/>
  <c r="AI268" i="5"/>
  <c r="AI396" i="5"/>
  <c r="AI482" i="5"/>
  <c r="AI510" i="5"/>
  <c r="AI546" i="5"/>
  <c r="AI578" i="5"/>
  <c r="AI610" i="5"/>
  <c r="AI642" i="5"/>
  <c r="AI670" i="5"/>
  <c r="AI879" i="5"/>
  <c r="AI991" i="5"/>
  <c r="AI52" i="5"/>
  <c r="AI228" i="5"/>
  <c r="AI404" i="5"/>
  <c r="AI500" i="5"/>
  <c r="AI540" i="5"/>
  <c r="AI580" i="5"/>
  <c r="AI636" i="5"/>
  <c r="AI676" i="5"/>
  <c r="AI716" i="5"/>
  <c r="AI764" i="5"/>
  <c r="AI804" i="5"/>
  <c r="AI844" i="5"/>
  <c r="AI876" i="5"/>
  <c r="AI908" i="5"/>
  <c r="AI940" i="5"/>
  <c r="AI972" i="5"/>
  <c r="AI1004" i="5"/>
  <c r="AI76" i="5"/>
  <c r="AI332" i="5"/>
  <c r="AI502" i="5"/>
  <c r="AI574" i="5"/>
  <c r="AI638" i="5"/>
  <c r="AI710" i="5"/>
  <c r="AI766" i="5"/>
  <c r="AI802" i="5"/>
  <c r="AI838" i="5"/>
  <c r="AI870" i="5"/>
  <c r="AI906" i="5"/>
  <c r="AI942" i="5"/>
  <c r="AI978" i="5"/>
  <c r="AI1010" i="5"/>
  <c r="AI56" i="5"/>
  <c r="AI120" i="5"/>
  <c r="AI184" i="5"/>
  <c r="AI248" i="5"/>
  <c r="AI312" i="5"/>
  <c r="AI392" i="5"/>
  <c r="AI456" i="5"/>
  <c r="AI481" i="5"/>
  <c r="AI497" i="5"/>
  <c r="AI513" i="5"/>
  <c r="AI529" i="5"/>
  <c r="AI545" i="5"/>
  <c r="AI561" i="5"/>
  <c r="AI577" i="5"/>
  <c r="AI593" i="5"/>
  <c r="AI617" i="5"/>
  <c r="AI637" i="5"/>
  <c r="AI653" i="5"/>
  <c r="AI669" i="5"/>
  <c r="AI685" i="5"/>
  <c r="AI701" i="5"/>
  <c r="AI717" i="5"/>
  <c r="AI733" i="5"/>
  <c r="AI749" i="5"/>
  <c r="AI765" i="5"/>
  <c r="AI781" i="5"/>
  <c r="AI797" i="5"/>
  <c r="AI813" i="5"/>
  <c r="AI829" i="5"/>
  <c r="AI845" i="5"/>
  <c r="AI861" i="5"/>
  <c r="AI877" i="5"/>
  <c r="AI893" i="5"/>
  <c r="AI909" i="5"/>
  <c r="AI925" i="5"/>
  <c r="AI941" i="5"/>
  <c r="AI957" i="5"/>
  <c r="AI973" i="5"/>
  <c r="AI989" i="5"/>
  <c r="AI1005" i="5"/>
  <c r="AI1021" i="5"/>
  <c r="AI92" i="5"/>
  <c r="AI220" i="5"/>
  <c r="AI348" i="5"/>
  <c r="AI460" i="5"/>
  <c r="AI498" i="5"/>
  <c r="AI526" i="5"/>
  <c r="AI562" i="5"/>
  <c r="AI594" i="5"/>
  <c r="AI626" i="5"/>
  <c r="AI658" i="5"/>
  <c r="AI686" i="5"/>
  <c r="AI53" i="5"/>
  <c r="AI911" i="5"/>
  <c r="AI1007" i="5"/>
  <c r="AI100" i="5"/>
  <c r="AI260" i="5"/>
  <c r="AI468" i="5"/>
  <c r="AI508" i="5"/>
  <c r="AI548" i="5"/>
  <c r="AI596" i="5"/>
  <c r="AI644" i="5"/>
  <c r="AI684" i="5"/>
  <c r="AI732" i="5"/>
  <c r="AI772" i="5"/>
  <c r="AI812" i="5"/>
  <c r="AI852" i="5"/>
  <c r="AI884" i="5"/>
  <c r="AI916" i="5"/>
  <c r="AI948" i="5"/>
  <c r="AI980" i="5"/>
  <c r="AI1012" i="5"/>
  <c r="AI140" i="5"/>
  <c r="AI412" i="5"/>
  <c r="AI522" i="5"/>
  <c r="AI590" i="5"/>
  <c r="AI654" i="5"/>
  <c r="AI726" i="5"/>
  <c r="AI774" i="5"/>
  <c r="AI810" i="5"/>
  <c r="AI842" i="5"/>
  <c r="AI882" i="5"/>
  <c r="AI914" i="5"/>
  <c r="AI950" i="5"/>
  <c r="AI986" i="5"/>
  <c r="AI1022" i="5"/>
  <c r="AI72" i="5"/>
  <c r="AI136" i="5"/>
  <c r="AI200" i="5"/>
  <c r="AI264" i="5"/>
  <c r="AI408" i="5"/>
  <c r="AI469" i="5"/>
  <c r="AI485" i="5"/>
  <c r="AI501" i="5"/>
  <c r="AI517" i="5"/>
  <c r="AI533" i="5"/>
  <c r="AI549" i="5"/>
  <c r="AI565" i="5"/>
  <c r="AI581" i="5"/>
  <c r="AI601" i="5"/>
  <c r="AI625" i="5"/>
  <c r="AI641" i="5"/>
  <c r="AI657" i="5"/>
  <c r="AI673" i="5"/>
  <c r="AI689" i="5"/>
  <c r="AI705" i="5"/>
  <c r="AI721" i="5"/>
  <c r="AI737" i="5"/>
  <c r="AI753" i="5"/>
  <c r="AI769" i="5"/>
  <c r="AI785" i="5"/>
  <c r="AI801" i="5"/>
  <c r="AI817" i="5"/>
  <c r="AI833" i="5"/>
  <c r="AI849" i="5"/>
  <c r="AI865" i="5"/>
  <c r="AI881" i="5"/>
  <c r="AI897" i="5"/>
  <c r="AI913" i="5"/>
  <c r="AI969" i="5"/>
  <c r="AI937" i="5"/>
  <c r="AI889" i="5"/>
  <c r="AI825" i="5"/>
  <c r="AI761" i="5"/>
  <c r="AI697" i="5"/>
  <c r="AI633" i="5"/>
  <c r="AI557" i="5"/>
  <c r="AI493" i="5"/>
  <c r="AI296" i="5"/>
  <c r="AI40" i="5"/>
  <c r="AI898" i="5"/>
  <c r="AI758" i="5"/>
  <c r="AI486" i="5"/>
  <c r="AI964" i="5"/>
  <c r="AI836" i="5"/>
  <c r="AI668" i="5"/>
  <c r="AI484" i="5"/>
  <c r="AI983" i="5"/>
  <c r="AI543" i="5"/>
  <c r="AI975" i="5"/>
  <c r="AI799" i="5"/>
  <c r="AI464" i="5"/>
  <c r="AI185" i="5"/>
  <c r="AI943" i="5"/>
  <c r="AI863" i="5"/>
  <c r="AI607" i="5"/>
  <c r="AI313" i="5"/>
  <c r="AI445" i="5"/>
  <c r="AI371" i="5"/>
  <c r="AI820" i="5"/>
  <c r="AI788" i="5"/>
  <c r="AI756" i="5"/>
  <c r="AI724" i="5"/>
  <c r="AI692" i="5"/>
  <c r="AI660" i="5"/>
  <c r="AI628" i="5"/>
  <c r="AI588" i="5"/>
  <c r="AI556" i="5"/>
  <c r="AI524" i="5"/>
  <c r="AI492" i="5"/>
  <c r="AI436" i="5"/>
  <c r="AI292" i="5"/>
  <c r="AI164" i="5"/>
  <c r="AI538" i="5"/>
  <c r="AI999" i="5"/>
  <c r="AI959" i="5"/>
  <c r="AI895" i="5"/>
  <c r="AI831" i="5"/>
  <c r="AI767" i="5"/>
  <c r="AI703" i="5"/>
  <c r="AI639" i="5"/>
  <c r="AI575" i="5"/>
  <c r="AI511" i="5"/>
  <c r="AI208" i="5"/>
  <c r="AI381" i="5"/>
  <c r="AI249" i="5"/>
  <c r="AI121" i="5"/>
  <c r="AI303" i="5"/>
  <c r="AI446" i="5"/>
  <c r="AI815" i="5"/>
  <c r="AI751" i="5"/>
  <c r="AI687" i="5"/>
  <c r="AI623" i="5"/>
  <c r="AI559" i="5"/>
  <c r="AI495" i="5"/>
  <c r="AI64" i="5"/>
  <c r="AI345" i="5"/>
  <c r="AI89" i="5"/>
  <c r="AI403" i="5"/>
  <c r="AI118" i="5"/>
  <c r="AI159" i="5"/>
  <c r="AI263" i="5"/>
  <c r="AI395" i="5"/>
  <c r="AI459" i="5"/>
  <c r="AI81" i="5"/>
  <c r="AI145" i="5"/>
  <c r="AI209" i="5"/>
  <c r="AI337" i="5"/>
  <c r="AI32" i="5"/>
  <c r="AI304" i="5"/>
  <c r="AI491" i="5"/>
  <c r="AI523" i="5"/>
  <c r="AI555" i="5"/>
  <c r="AI587" i="5"/>
  <c r="AI619" i="5"/>
  <c r="AI651" i="5"/>
  <c r="AI683" i="5"/>
  <c r="AI715" i="5"/>
  <c r="AI747" i="5"/>
  <c r="AI779" i="5"/>
  <c r="AI811" i="5"/>
  <c r="AI843" i="5"/>
  <c r="AI875" i="5"/>
  <c r="AI907" i="5"/>
  <c r="AI939" i="5"/>
  <c r="AI971" i="5"/>
  <c r="AI987" i="5"/>
  <c r="AI1003" i="5"/>
  <c r="AI1019" i="5"/>
  <c r="AI36" i="5"/>
  <c r="AI116" i="5"/>
  <c r="AI180" i="5"/>
  <c r="AI244" i="5"/>
  <c r="AI308" i="5"/>
  <c r="AI388" i="5"/>
  <c r="AI452" i="5"/>
  <c r="AI480" i="5"/>
  <c r="AI496" i="5"/>
  <c r="AI512" i="5"/>
  <c r="AI528" i="5"/>
  <c r="AI544" i="5"/>
  <c r="AI560" i="5"/>
  <c r="AI576" i="5"/>
  <c r="AI592" i="5"/>
  <c r="AI612" i="5"/>
  <c r="AI632" i="5"/>
  <c r="AI648" i="5"/>
  <c r="AI664" i="5"/>
  <c r="AI680" i="5"/>
  <c r="AI696" i="5"/>
  <c r="AI712" i="5"/>
  <c r="AI728" i="5"/>
  <c r="AI744" i="5"/>
  <c r="AI760" i="5"/>
  <c r="AI776" i="5"/>
  <c r="AI792" i="5"/>
  <c r="AI808" i="5"/>
  <c r="AI824" i="5"/>
  <c r="AI840" i="5"/>
  <c r="AI856" i="5"/>
  <c r="AI872" i="5"/>
  <c r="AI888" i="5"/>
  <c r="AI904" i="5"/>
  <c r="AI920" i="5"/>
  <c r="AI936" i="5"/>
  <c r="AI952" i="5"/>
  <c r="AI968" i="5"/>
  <c r="AI984" i="5"/>
  <c r="AI1000" i="5"/>
  <c r="AI1016" i="5"/>
  <c r="AI44" i="5"/>
  <c r="AI172" i="5"/>
  <c r="AI300" i="5"/>
  <c r="AI444" i="5"/>
  <c r="AI494" i="5"/>
  <c r="AI530" i="5"/>
  <c r="AI566" i="5"/>
  <c r="AI598" i="5"/>
  <c r="AI630" i="5"/>
  <c r="AI662" i="5"/>
  <c r="AI702" i="5"/>
  <c r="AI734" i="5"/>
  <c r="AI207" i="5"/>
  <c r="AI295" i="5"/>
  <c r="AI363" i="5"/>
  <c r="AI41" i="5"/>
  <c r="AI113" i="5"/>
  <c r="AI177" i="5"/>
  <c r="AI241" i="5"/>
  <c r="AI305" i="5"/>
  <c r="AI373" i="5"/>
  <c r="AI437" i="5"/>
  <c r="AI507" i="5"/>
  <c r="AI539" i="5"/>
  <c r="AI571" i="5"/>
  <c r="AI603" i="5"/>
  <c r="AI635" i="5"/>
  <c r="AI667" i="5"/>
  <c r="AI699" i="5"/>
  <c r="AI731" i="5"/>
  <c r="AI763" i="5"/>
  <c r="AI795" i="5"/>
  <c r="AI827" i="5"/>
  <c r="AI859" i="5"/>
  <c r="AI891" i="5"/>
  <c r="AI923" i="5"/>
  <c r="AI955" i="5"/>
  <c r="AI979" i="5"/>
  <c r="AI995" i="5"/>
  <c r="AI1011" i="5"/>
  <c r="AI1027" i="5"/>
  <c r="AI84" i="5"/>
  <c r="AI148" i="5"/>
  <c r="AI212" i="5"/>
  <c r="AI276" i="5"/>
  <c r="AI340" i="5"/>
  <c r="AI420" i="5"/>
  <c r="AI472" i="5"/>
  <c r="AI488" i="5"/>
  <c r="AI504" i="5"/>
  <c r="AI520" i="5"/>
  <c r="AI536" i="5"/>
  <c r="AI568" i="5"/>
  <c r="AI584" i="5"/>
  <c r="AI604" i="5"/>
  <c r="AI624" i="5"/>
  <c r="AI640" i="5"/>
  <c r="AI656" i="5"/>
  <c r="AI672" i="5"/>
  <c r="AI688" i="5"/>
  <c r="AI704" i="5"/>
  <c r="AI720" i="5"/>
  <c r="AI736" i="5"/>
  <c r="AI752" i="5"/>
  <c r="AI768" i="5"/>
  <c r="AI784" i="5"/>
  <c r="AI800" i="5"/>
  <c r="AI816" i="5"/>
  <c r="AI832" i="5"/>
  <c r="AI848" i="5"/>
  <c r="AI864" i="5"/>
  <c r="AI880" i="5"/>
  <c r="AI896" i="5"/>
  <c r="AI912" i="5"/>
  <c r="AI928" i="5"/>
  <c r="AI944" i="5"/>
  <c r="AI960" i="5"/>
  <c r="AI976" i="5"/>
  <c r="AI992" i="5"/>
  <c r="AI1008" i="5"/>
  <c r="AI1024" i="5"/>
  <c r="AI108" i="5"/>
  <c r="AI236" i="5"/>
  <c r="AI380" i="5"/>
  <c r="AI478" i="5"/>
  <c r="AI514" i="5"/>
  <c r="AI550" i="5"/>
  <c r="AI582" i="5"/>
  <c r="AI614" i="5"/>
  <c r="AI646" i="5"/>
  <c r="AI682" i="5"/>
  <c r="AI718" i="5"/>
  <c r="AI750" i="5"/>
  <c r="AI847" i="5"/>
  <c r="AI783" i="5"/>
  <c r="AI719" i="5"/>
  <c r="AI655" i="5"/>
  <c r="AI591" i="5"/>
  <c r="AI527" i="5"/>
  <c r="AI336" i="5"/>
  <c r="AI281" i="5"/>
  <c r="AI153" i="5"/>
  <c r="AI467" i="5"/>
  <c r="AI335" i="5"/>
  <c r="AI167" i="5"/>
  <c r="AI231" i="5"/>
  <c r="AI95" i="5"/>
  <c r="AI199" i="5"/>
  <c r="AI454" i="5"/>
  <c r="AI278" i="5"/>
  <c r="AI127" i="5"/>
  <c r="AI318" i="5"/>
  <c r="AI967" i="5"/>
  <c r="AI951" i="5"/>
  <c r="AI935" i="5"/>
  <c r="AI919" i="5"/>
  <c r="AI903" i="5"/>
  <c r="AI887" i="5"/>
  <c r="AI871" i="5"/>
  <c r="AI855" i="5"/>
  <c r="AI839" i="5"/>
  <c r="AI823" i="5"/>
  <c r="AI807" i="5"/>
  <c r="AI791" i="5"/>
  <c r="AI775" i="5"/>
  <c r="AI759" i="5"/>
  <c r="AI743" i="5"/>
  <c r="AI727" i="5"/>
  <c r="AI711" i="5"/>
  <c r="AI695" i="5"/>
  <c r="AI679" i="5"/>
  <c r="AI663" i="5"/>
  <c r="AI647" i="5"/>
  <c r="AI631" i="5"/>
  <c r="AI615" i="5"/>
  <c r="AI599" i="5"/>
  <c r="AI583" i="5"/>
  <c r="AI567" i="5"/>
  <c r="AI551" i="5"/>
  <c r="AI535" i="5"/>
  <c r="AI519" i="5"/>
  <c r="AI503" i="5"/>
  <c r="AI483" i="5"/>
  <c r="AI144" i="5"/>
  <c r="AI461" i="5"/>
  <c r="AI429" i="5"/>
  <c r="AI397" i="5"/>
  <c r="AI365" i="5"/>
  <c r="AI329" i="5"/>
  <c r="AI297" i="5"/>
  <c r="AI265" i="5"/>
  <c r="AI233" i="5"/>
  <c r="AI201" i="5"/>
  <c r="AI169" i="5"/>
  <c r="AI137" i="5"/>
  <c r="AI105" i="5"/>
  <c r="AI73" i="5"/>
  <c r="AI33" i="5"/>
  <c r="AI451" i="5"/>
  <c r="AI387" i="5"/>
  <c r="AI319" i="5"/>
  <c r="AI287" i="5"/>
  <c r="AI255" i="5"/>
  <c r="AI223" i="5"/>
  <c r="AI191" i="5"/>
  <c r="AI151" i="5"/>
  <c r="AI87" i="5"/>
  <c r="AI130" i="5"/>
  <c r="AI963" i="5"/>
  <c r="AI947" i="5"/>
  <c r="AI931" i="5"/>
  <c r="AI915" i="5"/>
  <c r="AI899" i="5"/>
  <c r="AI883" i="5"/>
  <c r="AI867" i="5"/>
  <c r="AI851" i="5"/>
  <c r="AI835" i="5"/>
  <c r="AI819" i="5"/>
  <c r="AI803" i="5"/>
  <c r="AI787" i="5"/>
  <c r="AI771" i="5"/>
  <c r="AI755" i="5"/>
  <c r="AI739" i="5"/>
  <c r="AI723" i="5"/>
  <c r="AI707" i="5"/>
  <c r="AI691" i="5"/>
  <c r="AI675" i="5"/>
  <c r="AI659" i="5"/>
  <c r="AI643" i="5"/>
  <c r="AI627" i="5"/>
  <c r="AI611" i="5"/>
  <c r="AI595" i="5"/>
  <c r="AI579" i="5"/>
  <c r="AI563" i="5"/>
  <c r="AI547" i="5"/>
  <c r="AI531" i="5"/>
  <c r="AI515" i="5"/>
  <c r="AI499" i="5"/>
  <c r="AI475" i="5"/>
  <c r="AI368" i="5"/>
  <c r="AI240" i="5"/>
  <c r="AI112" i="5"/>
  <c r="AI453" i="5"/>
  <c r="AI389" i="5"/>
  <c r="AI357" i="5"/>
  <c r="AI321" i="5"/>
  <c r="AI289" i="5"/>
  <c r="AI257" i="5"/>
  <c r="AI225" i="5"/>
  <c r="AI193" i="5"/>
  <c r="AI161" i="5"/>
  <c r="AI129" i="5"/>
  <c r="AI97" i="5"/>
  <c r="AI65" i="5"/>
  <c r="AI25" i="5"/>
  <c r="AI443" i="5"/>
  <c r="AI411" i="5"/>
  <c r="AI379" i="5"/>
  <c r="AI311" i="5"/>
  <c r="AI279" i="5"/>
  <c r="AI247" i="5"/>
  <c r="AI215" i="5"/>
  <c r="AI183" i="5"/>
  <c r="AI135" i="5"/>
  <c r="AI55" i="5"/>
  <c r="AI358" i="5"/>
  <c r="AI119" i="5"/>
  <c r="AI39" i="5"/>
  <c r="AI230" i="5"/>
  <c r="AI190" i="5"/>
  <c r="AI103" i="5"/>
  <c r="AI63" i="5"/>
  <c r="AI23" i="5"/>
  <c r="AI382" i="5"/>
  <c r="AI342" i="5"/>
  <c r="AI294" i="5"/>
  <c r="AI254" i="5"/>
  <c r="AI162" i="5"/>
  <c r="AI38" i="5"/>
  <c r="AI374" i="5"/>
  <c r="AI326" i="5"/>
  <c r="AI286" i="5"/>
  <c r="AI246" i="5"/>
  <c r="AI198" i="5"/>
  <c r="AI150" i="5"/>
  <c r="AI71" i="5"/>
  <c r="AI31" i="5"/>
  <c r="AI438" i="5"/>
  <c r="AI390" i="5"/>
  <c r="AI350" i="5"/>
  <c r="AI310" i="5"/>
  <c r="AI262" i="5"/>
  <c r="AI222" i="5"/>
  <c r="AI182" i="5"/>
  <c r="AI94" i="5"/>
  <c r="AI175" i="5"/>
  <c r="AI143" i="5"/>
  <c r="AI111" i="5"/>
  <c r="AI79" i="5"/>
  <c r="AI47" i="5"/>
  <c r="AI462" i="5"/>
  <c r="AI430" i="5"/>
  <c r="AI366" i="5"/>
  <c r="AI334" i="5"/>
  <c r="AI302" i="5"/>
  <c r="AI238" i="5"/>
  <c r="AI206" i="5"/>
  <c r="AI170" i="5"/>
  <c r="AI26" i="5"/>
  <c r="AI50" i="5"/>
  <c r="AI98" i="5"/>
  <c r="AI146" i="5"/>
  <c r="AI166" i="5"/>
  <c r="AI186" i="5"/>
  <c r="AI202" i="5"/>
  <c r="AI234" i="5"/>
  <c r="AI250" i="5"/>
  <c r="AI282" i="5"/>
  <c r="AI298" i="5"/>
  <c r="AI314" i="5"/>
  <c r="AI330" i="5"/>
  <c r="AI346" i="5"/>
  <c r="AI362" i="5"/>
  <c r="AI378" i="5"/>
  <c r="AI394" i="5"/>
  <c r="AI410" i="5"/>
  <c r="AI442" i="5"/>
  <c r="AI458" i="5"/>
  <c r="AI27" i="5"/>
  <c r="AI43" i="5"/>
  <c r="AI59" i="5"/>
  <c r="AI75" i="5"/>
  <c r="AI91" i="5"/>
  <c r="AI107" i="5"/>
  <c r="AI123" i="5"/>
  <c r="AI139" i="5"/>
  <c r="AI155" i="5"/>
  <c r="AI171" i="5"/>
  <c r="AI203" i="5"/>
  <c r="AI219" i="5"/>
  <c r="AI235" i="5"/>
  <c r="AI251" i="5"/>
  <c r="AI267" i="5"/>
  <c r="AI283" i="5"/>
  <c r="AI299" i="5"/>
  <c r="AI315" i="5"/>
  <c r="AI331" i="5"/>
  <c r="AI347" i="5"/>
  <c r="AI367" i="5"/>
  <c r="AI383" i="5"/>
  <c r="AI399" i="5"/>
  <c r="AI431" i="5"/>
  <c r="AI447" i="5"/>
  <c r="AI463" i="5"/>
  <c r="AI29" i="5"/>
  <c r="AI49" i="5"/>
  <c r="AI69" i="5"/>
  <c r="AI85" i="5"/>
  <c r="AI101" i="5"/>
  <c r="AI117" i="5"/>
  <c r="AI133" i="5"/>
  <c r="AI149" i="5"/>
  <c r="AI181" i="5"/>
  <c r="AI197" i="5"/>
  <c r="AI213" i="5"/>
  <c r="AI245" i="5"/>
  <c r="AI261" i="5"/>
  <c r="AI277" i="5"/>
  <c r="AI293" i="5"/>
  <c r="AI309" i="5"/>
  <c r="AI325" i="5"/>
  <c r="AI341" i="5"/>
  <c r="AI361" i="5"/>
  <c r="AI377" i="5"/>
  <c r="AI393" i="5"/>
  <c r="AI425" i="5"/>
  <c r="AI441" i="5"/>
  <c r="AI457" i="5"/>
  <c r="AI48" i="5"/>
  <c r="AI128" i="5"/>
  <c r="AI192" i="5"/>
  <c r="AI256" i="5"/>
  <c r="AI320" i="5"/>
  <c r="AI384" i="5"/>
  <c r="AI448" i="5"/>
  <c r="AI479" i="5"/>
  <c r="AI78" i="5"/>
  <c r="AI122" i="5"/>
  <c r="AI154" i="5"/>
  <c r="AI178" i="5"/>
  <c r="AI194" i="5"/>
  <c r="AI210" i="5"/>
  <c r="AI226" i="5"/>
  <c r="AI242" i="5"/>
  <c r="AI258" i="5"/>
  <c r="AI274" i="5"/>
  <c r="AI290" i="5"/>
  <c r="AI306" i="5"/>
  <c r="AI322" i="5"/>
  <c r="AI338" i="5"/>
  <c r="AI370" i="5"/>
  <c r="AI386" i="5"/>
  <c r="AI402" i="5"/>
  <c r="AI434" i="5"/>
  <c r="AI450" i="5"/>
  <c r="AI466" i="5"/>
  <c r="AI35" i="5"/>
  <c r="AI51" i="5"/>
  <c r="AI67" i="5"/>
  <c r="AI83" i="5"/>
  <c r="AI99" i="5"/>
  <c r="AI115" i="5"/>
  <c r="AI131" i="5"/>
  <c r="AI147" i="5"/>
  <c r="AI163" i="5"/>
  <c r="AI179" i="5"/>
  <c r="AI195" i="5"/>
  <c r="AI211" i="5"/>
  <c r="AI243" i="5"/>
  <c r="AI259" i="5"/>
  <c r="AI275" i="5"/>
  <c r="AI291" i="5"/>
  <c r="AI307" i="5"/>
  <c r="AI323" i="5"/>
  <c r="AI339" i="5"/>
  <c r="AI359" i="5"/>
  <c r="AI375" i="5"/>
  <c r="AI391" i="5"/>
  <c r="AI407" i="5"/>
  <c r="AI439" i="5"/>
  <c r="AI455" i="5"/>
  <c r="AI21" i="5"/>
  <c r="AI37" i="5"/>
  <c r="AI61" i="5"/>
  <c r="AI77" i="5"/>
  <c r="AI93" i="5"/>
  <c r="AI109" i="5"/>
  <c r="AI125" i="5"/>
  <c r="AI141" i="5"/>
  <c r="AI157" i="5"/>
  <c r="AI173" i="5"/>
  <c r="AI205" i="5"/>
  <c r="AI221" i="5"/>
  <c r="AI237" i="5"/>
  <c r="AI253" i="5"/>
  <c r="AI269" i="5"/>
  <c r="AI285" i="5"/>
  <c r="AI301" i="5"/>
  <c r="AI317" i="5"/>
  <c r="AI333" i="5"/>
  <c r="AI349" i="5"/>
  <c r="AI369" i="5"/>
  <c r="AI385" i="5"/>
  <c r="AI401" i="5"/>
  <c r="AI433" i="5"/>
  <c r="AI449" i="5"/>
  <c r="AI465" i="5"/>
  <c r="AI96" i="5"/>
  <c r="AI160" i="5"/>
  <c r="AI224" i="5"/>
  <c r="AI288" i="5"/>
  <c r="AI352" i="5"/>
  <c r="AI471" i="5"/>
  <c r="AI487" i="5"/>
  <c r="AI62" i="5"/>
  <c r="AI174" i="5"/>
  <c r="AI158" i="5"/>
  <c r="AI138" i="5"/>
  <c r="AI102" i="5"/>
  <c r="AI70" i="5"/>
  <c r="AI34" i="5"/>
  <c r="AI134" i="5"/>
  <c r="AI114" i="5"/>
  <c r="AI82" i="5"/>
  <c r="AI30" i="5"/>
  <c r="AI142" i="5"/>
  <c r="AI126" i="5"/>
  <c r="AI110" i="5"/>
  <c r="AI86" i="5"/>
  <c r="AI46" i="5"/>
  <c r="AI106" i="5"/>
  <c r="AI74" i="5"/>
  <c r="AI58" i="5"/>
  <c r="AI42" i="5"/>
  <c r="Q891" i="5"/>
  <c r="J891" i="5"/>
  <c r="E891" i="5"/>
  <c r="I891" i="5" s="1"/>
  <c r="Q747" i="5"/>
  <c r="J747" i="5"/>
  <c r="E747" i="5"/>
  <c r="I747" i="5" s="1"/>
  <c r="Q595" i="5"/>
  <c r="J595" i="5"/>
  <c r="E595" i="5"/>
  <c r="I595" i="5" s="1"/>
  <c r="Q1024" i="5"/>
  <c r="E1024" i="5"/>
  <c r="I1024" i="5" s="1"/>
  <c r="J1024" i="5"/>
  <c r="Q1008" i="5"/>
  <c r="E1008" i="5"/>
  <c r="I1008" i="5" s="1"/>
  <c r="J1008" i="5"/>
  <c r="Q976" i="5"/>
  <c r="E976" i="5"/>
  <c r="I976" i="5" s="1"/>
  <c r="J976" i="5"/>
  <c r="Q944" i="5"/>
  <c r="E944" i="5"/>
  <c r="I944" i="5" s="1"/>
  <c r="J944" i="5"/>
  <c r="Q912" i="5"/>
  <c r="E912" i="5"/>
  <c r="I912" i="5" s="1"/>
  <c r="J912" i="5"/>
  <c r="Q880" i="5"/>
  <c r="E880" i="5"/>
  <c r="I880" i="5" s="1"/>
  <c r="J880" i="5"/>
  <c r="Q832" i="5"/>
  <c r="E832" i="5"/>
  <c r="J832" i="5"/>
  <c r="Q800" i="5"/>
  <c r="E800" i="5"/>
  <c r="I800" i="5" s="1"/>
  <c r="J800" i="5"/>
  <c r="Q768" i="5"/>
  <c r="E768" i="5"/>
  <c r="I768" i="5" s="1"/>
  <c r="J768" i="5"/>
  <c r="Q736" i="5"/>
  <c r="E736" i="5"/>
  <c r="I736" i="5" s="1"/>
  <c r="J736" i="5"/>
  <c r="Q704" i="5"/>
  <c r="E704" i="5"/>
  <c r="I704" i="5" s="1"/>
  <c r="J704" i="5"/>
  <c r="Q672" i="5"/>
  <c r="E672" i="5"/>
  <c r="I672" i="5" s="1"/>
  <c r="J672" i="5"/>
  <c r="Q640" i="5"/>
  <c r="E640" i="5"/>
  <c r="I640" i="5" s="1"/>
  <c r="J640" i="5"/>
  <c r="Q608" i="5"/>
  <c r="E608" i="5"/>
  <c r="I608" i="5" s="1"/>
  <c r="J608" i="5"/>
  <c r="Q576" i="5"/>
  <c r="E576" i="5"/>
  <c r="I576" i="5" s="1"/>
  <c r="J576" i="5"/>
  <c r="Q544" i="5"/>
  <c r="J544" i="5"/>
  <c r="E544" i="5"/>
  <c r="I544" i="5" s="1"/>
  <c r="Q512" i="5"/>
  <c r="J512" i="5"/>
  <c r="E512" i="5"/>
  <c r="I512" i="5" s="1"/>
  <c r="Q480" i="5"/>
  <c r="J480" i="5"/>
  <c r="E480" i="5"/>
  <c r="I480" i="5" s="1"/>
  <c r="Q448" i="5"/>
  <c r="J448" i="5"/>
  <c r="E448" i="5"/>
  <c r="I448" i="5" s="1"/>
  <c r="Q384" i="5"/>
  <c r="J384" i="5"/>
  <c r="E384" i="5"/>
  <c r="I384" i="5" s="1"/>
  <c r="Q288" i="5"/>
  <c r="J288" i="5"/>
  <c r="E288" i="5"/>
  <c r="I288" i="5" s="1"/>
  <c r="Q256" i="5"/>
  <c r="J256" i="5"/>
  <c r="E256" i="5"/>
  <c r="I256" i="5" s="1"/>
  <c r="Q144" i="5"/>
  <c r="J144" i="5"/>
  <c r="E144" i="5"/>
  <c r="I144" i="5" s="1"/>
  <c r="Q112" i="5"/>
  <c r="J112" i="5"/>
  <c r="E112" i="5"/>
  <c r="I112" i="5" s="1"/>
  <c r="Q32" i="5"/>
  <c r="J32" i="5"/>
  <c r="E32" i="5"/>
  <c r="I32" i="5" s="1"/>
  <c r="Q903" i="5"/>
  <c r="J903" i="5"/>
  <c r="E903" i="5"/>
  <c r="Q727" i="5"/>
  <c r="J727" i="5"/>
  <c r="E727" i="5"/>
  <c r="Q119" i="5"/>
  <c r="J119" i="5"/>
  <c r="E119" i="5"/>
  <c r="I119" i="5" s="1"/>
  <c r="Q79" i="5"/>
  <c r="J79" i="5"/>
  <c r="E79" i="5"/>
  <c r="I79" i="5" s="1"/>
  <c r="Q47" i="5"/>
  <c r="J47" i="5"/>
  <c r="E47" i="5"/>
  <c r="I47" i="5" s="1"/>
  <c r="Q947" i="5"/>
  <c r="J947" i="5"/>
  <c r="E947" i="5"/>
  <c r="I947" i="5" s="1"/>
  <c r="Q827" i="5"/>
  <c r="J827" i="5"/>
  <c r="E827" i="5"/>
  <c r="I827" i="5" s="1"/>
  <c r="Q699" i="5"/>
  <c r="J699" i="5"/>
  <c r="E699" i="5"/>
  <c r="I699" i="5" s="1"/>
  <c r="Q567" i="5"/>
  <c r="J567" i="5"/>
  <c r="E567" i="5"/>
  <c r="I567" i="5" s="1"/>
  <c r="Q339" i="5"/>
  <c r="J339" i="5"/>
  <c r="E339" i="5"/>
  <c r="I339" i="5" s="1"/>
  <c r="Q1006" i="5"/>
  <c r="J1006" i="5"/>
  <c r="E1006" i="5"/>
  <c r="I1006" i="5" s="1"/>
  <c r="Q518" i="5"/>
  <c r="J518" i="5"/>
  <c r="E518" i="5"/>
  <c r="I518" i="5" s="1"/>
  <c r="Q482" i="5"/>
  <c r="J482" i="5"/>
  <c r="E482" i="5"/>
  <c r="I482" i="5" s="1"/>
  <c r="Q450" i="5"/>
  <c r="J450" i="5"/>
  <c r="E450" i="5"/>
  <c r="I450" i="5" s="1"/>
  <c r="Q386" i="5"/>
  <c r="J386" i="5"/>
  <c r="E386" i="5"/>
  <c r="I386" i="5" s="1"/>
  <c r="Q274" i="5"/>
  <c r="J274" i="5"/>
  <c r="E274" i="5"/>
  <c r="I274" i="5" s="1"/>
  <c r="Q210" i="5"/>
  <c r="J210" i="5"/>
  <c r="E210" i="5"/>
  <c r="I210" i="5" s="1"/>
  <c r="Q178" i="5"/>
  <c r="J178" i="5"/>
  <c r="E178" i="5"/>
  <c r="I178" i="5" s="1"/>
  <c r="Q146" i="5"/>
  <c r="J146" i="5"/>
  <c r="E146" i="5"/>
  <c r="I146" i="5" s="1"/>
  <c r="Q114" i="5"/>
  <c r="J114" i="5"/>
  <c r="E114" i="5"/>
  <c r="I114" i="5" s="1"/>
  <c r="Q34" i="5"/>
  <c r="J34" i="5"/>
  <c r="E34" i="5"/>
  <c r="I34" i="5" s="1"/>
  <c r="Q983" i="5"/>
  <c r="J983" i="5"/>
  <c r="E983" i="5"/>
  <c r="I983" i="5" s="1"/>
  <c r="Q887" i="5"/>
  <c r="J887" i="5"/>
  <c r="E887" i="5"/>
  <c r="I887" i="5" s="1"/>
  <c r="Q803" i="5"/>
  <c r="J803" i="5"/>
  <c r="E803" i="5"/>
  <c r="I803" i="5" s="1"/>
  <c r="Q703" i="5"/>
  <c r="J703" i="5"/>
  <c r="E703" i="5"/>
  <c r="I703" i="5" s="1"/>
  <c r="Q615" i="5"/>
  <c r="J615" i="5"/>
  <c r="E615" i="5"/>
  <c r="I615" i="5" s="1"/>
  <c r="Q527" i="5"/>
  <c r="J527" i="5"/>
  <c r="E527" i="5"/>
  <c r="I527" i="5" s="1"/>
  <c r="Q451" i="5"/>
  <c r="J451" i="5"/>
  <c r="E451" i="5"/>
  <c r="I451" i="5" s="1"/>
  <c r="Q371" i="5"/>
  <c r="J371" i="5"/>
  <c r="E371" i="5"/>
  <c r="I371" i="5" s="1"/>
  <c r="Q311" i="5"/>
  <c r="J311" i="5"/>
  <c r="E311" i="5"/>
  <c r="I311" i="5" s="1"/>
  <c r="Q147" i="5"/>
  <c r="J147" i="5"/>
  <c r="E147" i="5"/>
  <c r="I147" i="5" s="1"/>
  <c r="Q998" i="5"/>
  <c r="J998" i="5"/>
  <c r="E998" i="5"/>
  <c r="I998" i="5" s="1"/>
  <c r="Q958" i="5"/>
  <c r="J958" i="5"/>
  <c r="E958" i="5"/>
  <c r="I958" i="5" s="1"/>
  <c r="Q922" i="5"/>
  <c r="J922" i="5"/>
  <c r="E922" i="5"/>
  <c r="I922" i="5" s="1"/>
  <c r="Q874" i="5"/>
  <c r="J874" i="5"/>
  <c r="E874" i="5"/>
  <c r="I874" i="5" s="1"/>
  <c r="Q842" i="5"/>
  <c r="J842" i="5"/>
  <c r="E842" i="5"/>
  <c r="I842" i="5" s="1"/>
  <c r="Q810" i="5"/>
  <c r="J810" i="5"/>
  <c r="E810" i="5"/>
  <c r="I810" i="5" s="1"/>
  <c r="Q778" i="5"/>
  <c r="J778" i="5"/>
  <c r="E778" i="5"/>
  <c r="I778" i="5" s="1"/>
  <c r="Q746" i="5"/>
  <c r="J746" i="5"/>
  <c r="E746" i="5"/>
  <c r="I746" i="5" s="1"/>
  <c r="Q714" i="5"/>
  <c r="J714" i="5"/>
  <c r="E714" i="5"/>
  <c r="I714" i="5" s="1"/>
  <c r="Q682" i="5"/>
  <c r="J682" i="5"/>
  <c r="E682" i="5"/>
  <c r="Q650" i="5"/>
  <c r="J650" i="5"/>
  <c r="E650" i="5"/>
  <c r="I650" i="5" s="1"/>
  <c r="Q618" i="5"/>
  <c r="J618" i="5"/>
  <c r="E618" i="5"/>
  <c r="I618" i="5" s="1"/>
  <c r="Q586" i="5"/>
  <c r="J586" i="5"/>
  <c r="E586" i="5"/>
  <c r="I586" i="5" s="1"/>
  <c r="Q1017" i="5"/>
  <c r="J1017" i="5"/>
  <c r="E1017" i="5"/>
  <c r="I1017" i="5" s="1"/>
  <c r="Q953" i="5"/>
  <c r="J953" i="5"/>
  <c r="E953" i="5"/>
  <c r="I953" i="5" s="1"/>
  <c r="Q921" i="5"/>
  <c r="J921" i="5"/>
  <c r="E921" i="5"/>
  <c r="I921" i="5" s="1"/>
  <c r="Q889" i="5"/>
  <c r="J889" i="5"/>
  <c r="E889" i="5"/>
  <c r="I889" i="5" s="1"/>
  <c r="Q857" i="5"/>
  <c r="J857" i="5"/>
  <c r="E857" i="5"/>
  <c r="I857" i="5" s="1"/>
  <c r="Q825" i="5"/>
  <c r="J825" i="5"/>
  <c r="E825" i="5"/>
  <c r="I825" i="5" s="1"/>
  <c r="Q793" i="5"/>
  <c r="J793" i="5"/>
  <c r="E793" i="5"/>
  <c r="Q761" i="5"/>
  <c r="J761" i="5"/>
  <c r="E761" i="5"/>
  <c r="I761" i="5" s="1"/>
  <c r="Q729" i="5"/>
  <c r="J729" i="5"/>
  <c r="E729" i="5"/>
  <c r="I729" i="5" s="1"/>
  <c r="Q697" i="5"/>
  <c r="J697" i="5"/>
  <c r="E697" i="5"/>
  <c r="I697" i="5" s="1"/>
  <c r="Q665" i="5"/>
  <c r="J665" i="5"/>
  <c r="E665" i="5"/>
  <c r="I665" i="5" s="1"/>
  <c r="Q633" i="5"/>
  <c r="J633" i="5"/>
  <c r="E633" i="5"/>
  <c r="I633" i="5" s="1"/>
  <c r="Q601" i="5"/>
  <c r="J601" i="5"/>
  <c r="E601" i="5"/>
  <c r="I601" i="5" s="1"/>
  <c r="Q569" i="5"/>
  <c r="J569" i="5"/>
  <c r="E569" i="5"/>
  <c r="I569" i="5" s="1"/>
  <c r="Q537" i="5"/>
  <c r="E537" i="5"/>
  <c r="I537" i="5" s="1"/>
  <c r="J537" i="5"/>
  <c r="Q505" i="5"/>
  <c r="E505" i="5"/>
  <c r="I505" i="5" s="1"/>
  <c r="J505" i="5"/>
  <c r="Q457" i="5"/>
  <c r="E457" i="5"/>
  <c r="I457" i="5" s="1"/>
  <c r="J457" i="5"/>
  <c r="Q313" i="5"/>
  <c r="J313" i="5"/>
  <c r="E313" i="5"/>
  <c r="I313" i="5" s="1"/>
  <c r="Q281" i="5"/>
  <c r="J281" i="5"/>
  <c r="E281" i="5"/>
  <c r="I281" i="5" s="1"/>
  <c r="Q201" i="5"/>
  <c r="J201" i="5"/>
  <c r="E201" i="5"/>
  <c r="I201" i="5" s="1"/>
  <c r="Q25" i="5"/>
  <c r="J25" i="5"/>
  <c r="E25" i="5"/>
  <c r="I25" i="5" s="1"/>
  <c r="Q959" i="5"/>
  <c r="J959" i="5"/>
  <c r="E959" i="5"/>
  <c r="I959" i="5" s="1"/>
  <c r="Q867" i="5"/>
  <c r="J867" i="5"/>
  <c r="E867" i="5"/>
  <c r="I867" i="5" s="1"/>
  <c r="Q723" i="5"/>
  <c r="J723" i="5"/>
  <c r="E723" i="5"/>
  <c r="I723" i="5" s="1"/>
  <c r="Q659" i="5"/>
  <c r="J659" i="5"/>
  <c r="E659" i="5"/>
  <c r="I659" i="5" s="1"/>
  <c r="Q575" i="5"/>
  <c r="J575" i="5"/>
  <c r="E575" i="5"/>
  <c r="I575" i="5" s="1"/>
  <c r="Q495" i="5"/>
  <c r="J495" i="5"/>
  <c r="E495" i="5"/>
  <c r="I495" i="5" s="1"/>
  <c r="Q1020" i="5"/>
  <c r="J1020" i="5"/>
  <c r="E1020" i="5"/>
  <c r="I1020" i="5" s="1"/>
  <c r="Q988" i="5"/>
  <c r="J988" i="5"/>
  <c r="E988" i="5"/>
  <c r="I988" i="5" s="1"/>
  <c r="Q972" i="5"/>
  <c r="J972" i="5"/>
  <c r="E972" i="5"/>
  <c r="I972" i="5" s="1"/>
  <c r="Q956" i="5"/>
  <c r="J956" i="5"/>
  <c r="E956" i="5"/>
  <c r="I956" i="5" s="1"/>
  <c r="Q940" i="5"/>
  <c r="J940" i="5"/>
  <c r="E940" i="5"/>
  <c r="I940" i="5" s="1"/>
  <c r="Q924" i="5"/>
  <c r="J924" i="5"/>
  <c r="E924" i="5"/>
  <c r="I924" i="5" s="1"/>
  <c r="Q908" i="5"/>
  <c r="J908" i="5"/>
  <c r="E908" i="5"/>
  <c r="Q892" i="5"/>
  <c r="J892" i="5"/>
  <c r="E892" i="5"/>
  <c r="I892" i="5" s="1"/>
  <c r="Q876" i="5"/>
  <c r="J876" i="5"/>
  <c r="E876" i="5"/>
  <c r="I876" i="5" s="1"/>
  <c r="Q860" i="5"/>
  <c r="J860" i="5"/>
  <c r="E860" i="5"/>
  <c r="I860" i="5" s="1"/>
  <c r="Q844" i="5"/>
  <c r="J844" i="5"/>
  <c r="E844" i="5"/>
  <c r="I844" i="5" s="1"/>
  <c r="Q828" i="5"/>
  <c r="J828" i="5"/>
  <c r="E828" i="5"/>
  <c r="I828" i="5" s="1"/>
  <c r="Q812" i="5"/>
  <c r="J812" i="5"/>
  <c r="E812" i="5"/>
  <c r="I812" i="5" s="1"/>
  <c r="Q796" i="5"/>
  <c r="J796" i="5"/>
  <c r="E796" i="5"/>
  <c r="I796" i="5" s="1"/>
  <c r="Q780" i="5"/>
  <c r="J780" i="5"/>
  <c r="E780" i="5"/>
  <c r="I780" i="5" s="1"/>
  <c r="Q764" i="5"/>
  <c r="J764" i="5"/>
  <c r="E764" i="5"/>
  <c r="I764" i="5" s="1"/>
  <c r="Q748" i="5"/>
  <c r="J748" i="5"/>
  <c r="E748" i="5"/>
  <c r="I748" i="5" s="1"/>
  <c r="Q732" i="5"/>
  <c r="J732" i="5"/>
  <c r="E732" i="5"/>
  <c r="I732" i="5" s="1"/>
  <c r="Q716" i="5"/>
  <c r="J716" i="5"/>
  <c r="E716" i="5"/>
  <c r="I716" i="5" s="1"/>
  <c r="Q700" i="5"/>
  <c r="J700" i="5"/>
  <c r="E700" i="5"/>
  <c r="I700" i="5" s="1"/>
  <c r="Q684" i="5"/>
  <c r="J684" i="5"/>
  <c r="E684" i="5"/>
  <c r="Q668" i="5"/>
  <c r="J668" i="5"/>
  <c r="E668" i="5"/>
  <c r="I668" i="5" s="1"/>
  <c r="Q652" i="5"/>
  <c r="J652" i="5"/>
  <c r="E652" i="5"/>
  <c r="Q636" i="5"/>
  <c r="J636" i="5"/>
  <c r="E636" i="5"/>
  <c r="I636" i="5" s="1"/>
  <c r="Q620" i="5"/>
  <c r="J620" i="5"/>
  <c r="E620" i="5"/>
  <c r="I620" i="5" s="1"/>
  <c r="Q604" i="5"/>
  <c r="J604" i="5"/>
  <c r="E604" i="5"/>
  <c r="I604" i="5" s="1"/>
  <c r="Q588" i="5"/>
  <c r="J588" i="5"/>
  <c r="E588" i="5"/>
  <c r="I588" i="5" s="1"/>
  <c r="Q572" i="5"/>
  <c r="J572" i="5"/>
  <c r="E572" i="5"/>
  <c r="I572" i="5" s="1"/>
  <c r="Q540" i="5"/>
  <c r="J540" i="5"/>
  <c r="E540" i="5"/>
  <c r="I540" i="5" s="1"/>
  <c r="Q524" i="5"/>
  <c r="J524" i="5"/>
  <c r="E524" i="5"/>
  <c r="I524" i="5" s="1"/>
  <c r="Q508" i="5"/>
  <c r="J508" i="5"/>
  <c r="E508" i="5"/>
  <c r="I508" i="5" s="1"/>
  <c r="Q492" i="5"/>
  <c r="J492" i="5"/>
  <c r="E492" i="5"/>
  <c r="I492" i="5" s="1"/>
  <c r="Q476" i="5"/>
  <c r="J476" i="5"/>
  <c r="E476" i="5"/>
  <c r="I476" i="5" s="1"/>
  <c r="Q460" i="5"/>
  <c r="J460" i="5"/>
  <c r="E460" i="5"/>
  <c r="I460" i="5" s="1"/>
  <c r="Q444" i="5"/>
  <c r="J444" i="5"/>
  <c r="E444" i="5"/>
  <c r="I444" i="5" s="1"/>
  <c r="Q380" i="5"/>
  <c r="J380" i="5"/>
  <c r="E380" i="5"/>
  <c r="I380" i="5" s="1"/>
  <c r="Q332" i="5"/>
  <c r="J332" i="5"/>
  <c r="E332" i="5"/>
  <c r="I332" i="5" s="1"/>
  <c r="Q316" i="5"/>
  <c r="J316" i="5"/>
  <c r="E316" i="5"/>
  <c r="I316" i="5" s="1"/>
  <c r="Q300" i="5"/>
  <c r="J300" i="5"/>
  <c r="E300" i="5"/>
  <c r="I300" i="5" s="1"/>
  <c r="Q284" i="5"/>
  <c r="J284" i="5"/>
  <c r="E284" i="5"/>
  <c r="I284" i="5" s="1"/>
  <c r="Q268" i="5"/>
  <c r="J268" i="5"/>
  <c r="E268" i="5"/>
  <c r="I268" i="5" s="1"/>
  <c r="Q236" i="5"/>
  <c r="J236" i="5"/>
  <c r="E236" i="5"/>
  <c r="I236" i="5" s="1"/>
  <c r="Q204" i="5"/>
  <c r="J204" i="5"/>
  <c r="E204" i="5"/>
  <c r="I204" i="5" s="1"/>
  <c r="Q156" i="5"/>
  <c r="J156" i="5"/>
  <c r="E156" i="5"/>
  <c r="I156" i="5" s="1"/>
  <c r="Q140" i="5"/>
  <c r="J140" i="5"/>
  <c r="E140" i="5"/>
  <c r="I140" i="5" s="1"/>
  <c r="Q108" i="5"/>
  <c r="J108" i="5"/>
  <c r="E108" i="5"/>
  <c r="I108" i="5" s="1"/>
  <c r="Q92" i="5"/>
  <c r="J92" i="5"/>
  <c r="E92" i="5"/>
  <c r="I92" i="5" s="1"/>
  <c r="Q76" i="5"/>
  <c r="J76" i="5"/>
  <c r="E76" i="5"/>
  <c r="I76" i="5" s="1"/>
  <c r="Q28" i="5"/>
  <c r="J28" i="5"/>
  <c r="E28" i="5"/>
  <c r="I28" i="5" s="1"/>
  <c r="Q967" i="5"/>
  <c r="J967" i="5"/>
  <c r="E967" i="5"/>
  <c r="I967" i="5" s="1"/>
  <c r="Q879" i="5"/>
  <c r="J879" i="5"/>
  <c r="E879" i="5"/>
  <c r="Q787" i="5"/>
  <c r="J787" i="5"/>
  <c r="E787" i="5"/>
  <c r="I787" i="5" s="1"/>
  <c r="Q627" i="5"/>
  <c r="J627" i="5"/>
  <c r="E627" i="5"/>
  <c r="I627" i="5" s="1"/>
  <c r="Q535" i="5"/>
  <c r="J535" i="5"/>
  <c r="E535" i="5"/>
  <c r="I535" i="5" s="1"/>
  <c r="Q447" i="5"/>
  <c r="J447" i="5"/>
  <c r="E447" i="5"/>
  <c r="I447" i="5" s="1"/>
  <c r="Q391" i="5"/>
  <c r="J391" i="5"/>
  <c r="E391" i="5"/>
  <c r="I391" i="5" s="1"/>
  <c r="Q299" i="5"/>
  <c r="J299" i="5"/>
  <c r="E299" i="5"/>
  <c r="I299" i="5" s="1"/>
  <c r="Q143" i="5"/>
  <c r="J143" i="5"/>
  <c r="E143" i="5"/>
  <c r="I143" i="5" s="1"/>
  <c r="Q115" i="5"/>
  <c r="J115" i="5"/>
  <c r="E115" i="5"/>
  <c r="I115" i="5" s="1"/>
  <c r="Q43" i="5"/>
  <c r="J43" i="5"/>
  <c r="E43" i="5"/>
  <c r="I43" i="5" s="1"/>
  <c r="Q27" i="5"/>
  <c r="J27" i="5"/>
  <c r="E27" i="5"/>
  <c r="I27" i="5" s="1"/>
  <c r="Q991" i="5"/>
  <c r="J991" i="5"/>
  <c r="E991" i="5"/>
  <c r="I991" i="5" s="1"/>
  <c r="Q939" i="5"/>
  <c r="J939" i="5"/>
  <c r="E939" i="5"/>
  <c r="I939" i="5" s="1"/>
  <c r="Q883" i="5"/>
  <c r="J883" i="5"/>
  <c r="E883" i="5"/>
  <c r="Q811" i="5"/>
  <c r="J811" i="5"/>
  <c r="E811" i="5"/>
  <c r="I811" i="5" s="1"/>
  <c r="Q755" i="5"/>
  <c r="J755" i="5"/>
  <c r="E755" i="5"/>
  <c r="I755" i="5" s="1"/>
  <c r="Q683" i="5"/>
  <c r="J683" i="5"/>
  <c r="E683" i="5"/>
  <c r="I683" i="5" s="1"/>
  <c r="Q619" i="5"/>
  <c r="J619" i="5"/>
  <c r="E619" i="5"/>
  <c r="I619" i="5" s="1"/>
  <c r="Q491" i="5"/>
  <c r="J491" i="5"/>
  <c r="E491" i="5"/>
  <c r="I491" i="5" s="1"/>
  <c r="Q443" i="5"/>
  <c r="J443" i="5"/>
  <c r="E443" i="5"/>
  <c r="I443" i="5" s="1"/>
  <c r="Q383" i="5"/>
  <c r="J383" i="5"/>
  <c r="E383" i="5"/>
  <c r="I383" i="5" s="1"/>
  <c r="Q287" i="5"/>
  <c r="J287" i="5"/>
  <c r="E287" i="5"/>
  <c r="I287" i="5" s="1"/>
  <c r="Q179" i="5"/>
  <c r="J179" i="5"/>
  <c r="E179" i="5"/>
  <c r="I179" i="5" s="1"/>
  <c r="Q95" i="5"/>
  <c r="J95" i="5"/>
  <c r="E95" i="5"/>
  <c r="I95" i="5" s="1"/>
  <c r="Q994" i="5"/>
  <c r="J994" i="5"/>
  <c r="E994" i="5"/>
  <c r="I994" i="5" s="1"/>
  <c r="Q574" i="5"/>
  <c r="J574" i="5"/>
  <c r="E574" i="5"/>
  <c r="I574" i="5" s="1"/>
  <c r="Q546" i="5"/>
  <c r="J546" i="5"/>
  <c r="E546" i="5"/>
  <c r="I546" i="5" s="1"/>
  <c r="Q530" i="5"/>
  <c r="J530" i="5"/>
  <c r="E530" i="5"/>
  <c r="I530" i="5" s="1"/>
  <c r="Q514" i="5"/>
  <c r="J514" i="5"/>
  <c r="E514" i="5"/>
  <c r="I514" i="5" s="1"/>
  <c r="Q494" i="5"/>
  <c r="J494" i="5"/>
  <c r="E494" i="5"/>
  <c r="I494" i="5" s="1"/>
  <c r="Q478" i="5"/>
  <c r="J478" i="5"/>
  <c r="E478" i="5"/>
  <c r="I478" i="5" s="1"/>
  <c r="Q462" i="5"/>
  <c r="J462" i="5"/>
  <c r="E462" i="5"/>
  <c r="I462" i="5" s="1"/>
  <c r="Q446" i="5"/>
  <c r="J446" i="5"/>
  <c r="E446" i="5"/>
  <c r="I446" i="5" s="1"/>
  <c r="Q382" i="5"/>
  <c r="J382" i="5"/>
  <c r="E382" i="5"/>
  <c r="I382" i="5" s="1"/>
  <c r="Q334" i="5"/>
  <c r="J334" i="5"/>
  <c r="E334" i="5"/>
  <c r="I334" i="5" s="1"/>
  <c r="Q318" i="5"/>
  <c r="J318" i="5"/>
  <c r="E318" i="5"/>
  <c r="I318" i="5" s="1"/>
  <c r="Q302" i="5"/>
  <c r="J302" i="5"/>
  <c r="E302" i="5"/>
  <c r="I302" i="5" s="1"/>
  <c r="Q270" i="5"/>
  <c r="J270" i="5"/>
  <c r="E270" i="5"/>
  <c r="I270" i="5" s="1"/>
  <c r="Q254" i="5"/>
  <c r="J254" i="5"/>
  <c r="E254" i="5"/>
  <c r="I254" i="5" s="1"/>
  <c r="Q238" i="5"/>
  <c r="J238" i="5"/>
  <c r="E238" i="5"/>
  <c r="I238" i="5" s="1"/>
  <c r="Q206" i="5"/>
  <c r="J206" i="5"/>
  <c r="E206" i="5"/>
  <c r="I206" i="5" s="1"/>
  <c r="Q142" i="5"/>
  <c r="J142" i="5"/>
  <c r="E142" i="5"/>
  <c r="I142" i="5" s="1"/>
  <c r="Q126" i="5"/>
  <c r="J126" i="5"/>
  <c r="E126" i="5"/>
  <c r="I126" i="5" s="1"/>
  <c r="Q110" i="5"/>
  <c r="J110" i="5"/>
  <c r="E110" i="5"/>
  <c r="I110" i="5" s="1"/>
  <c r="Q78" i="5"/>
  <c r="J78" i="5"/>
  <c r="E78" i="5"/>
  <c r="I78" i="5" s="1"/>
  <c r="Q1011" i="5"/>
  <c r="J1011" i="5"/>
  <c r="E1011" i="5"/>
  <c r="Q971" i="5"/>
  <c r="J971" i="5"/>
  <c r="E971" i="5"/>
  <c r="I971" i="5" s="1"/>
  <c r="Q919" i="5"/>
  <c r="J919" i="5"/>
  <c r="E919" i="5"/>
  <c r="Q875" i="5"/>
  <c r="J875" i="5"/>
  <c r="E875" i="5"/>
  <c r="I875" i="5" s="1"/>
  <c r="Q835" i="5"/>
  <c r="J835" i="5"/>
  <c r="E835" i="5"/>
  <c r="Q791" i="5"/>
  <c r="J791" i="5"/>
  <c r="E791" i="5"/>
  <c r="Q739" i="5"/>
  <c r="J739" i="5"/>
  <c r="E739" i="5"/>
  <c r="I739" i="5" s="1"/>
  <c r="Q695" i="5"/>
  <c r="J695" i="5"/>
  <c r="E695" i="5"/>
  <c r="Q647" i="5"/>
  <c r="J647" i="5"/>
  <c r="E647" i="5"/>
  <c r="Q603" i="5"/>
  <c r="J603" i="5"/>
  <c r="E603" i="5"/>
  <c r="I603" i="5" s="1"/>
  <c r="Q563" i="5"/>
  <c r="J563" i="5"/>
  <c r="E563" i="5"/>
  <c r="I563" i="5" s="1"/>
  <c r="Q515" i="5"/>
  <c r="J515" i="5"/>
  <c r="E515" i="5"/>
  <c r="I515" i="5" s="1"/>
  <c r="Q479" i="5"/>
  <c r="J479" i="5"/>
  <c r="E479" i="5"/>
  <c r="I479" i="5" s="1"/>
  <c r="Q335" i="5"/>
  <c r="J335" i="5"/>
  <c r="E335" i="5"/>
  <c r="I335" i="5" s="1"/>
  <c r="Q303" i="5"/>
  <c r="J303" i="5"/>
  <c r="E303" i="5"/>
  <c r="I303" i="5" s="1"/>
  <c r="Q267" i="5"/>
  <c r="J267" i="5"/>
  <c r="E267" i="5"/>
  <c r="I267" i="5" s="1"/>
  <c r="Q163" i="5"/>
  <c r="J163" i="5"/>
  <c r="E163" i="5"/>
  <c r="I163" i="5" s="1"/>
  <c r="Q135" i="5"/>
  <c r="J135" i="5"/>
  <c r="E135" i="5"/>
  <c r="I135" i="5" s="1"/>
  <c r="Q1018" i="5"/>
  <c r="J1018" i="5"/>
  <c r="E1018" i="5"/>
  <c r="I1018" i="5" s="1"/>
  <c r="Q990" i="5"/>
  <c r="J990" i="5"/>
  <c r="E990" i="5"/>
  <c r="I990" i="5" s="1"/>
  <c r="Q970" i="5"/>
  <c r="J970" i="5"/>
  <c r="E970" i="5"/>
  <c r="Q954" i="5"/>
  <c r="J954" i="5"/>
  <c r="E954" i="5"/>
  <c r="Q938" i="5"/>
  <c r="J938" i="5"/>
  <c r="E938" i="5"/>
  <c r="I938" i="5" s="1"/>
  <c r="Q918" i="5"/>
  <c r="J918" i="5"/>
  <c r="E918" i="5"/>
  <c r="I918" i="5" s="1"/>
  <c r="Q902" i="5"/>
  <c r="J902" i="5"/>
  <c r="E902" i="5"/>
  <c r="Q886" i="5"/>
  <c r="J886" i="5"/>
  <c r="E886" i="5"/>
  <c r="Q870" i="5"/>
  <c r="J870" i="5"/>
  <c r="E870" i="5"/>
  <c r="I870" i="5" s="1"/>
  <c r="Q854" i="5"/>
  <c r="J854" i="5"/>
  <c r="E854" i="5"/>
  <c r="I854" i="5" s="1"/>
  <c r="Q838" i="5"/>
  <c r="J838" i="5"/>
  <c r="E838" i="5"/>
  <c r="Q822" i="5"/>
  <c r="J822" i="5"/>
  <c r="E822" i="5"/>
  <c r="Q806" i="5"/>
  <c r="J806" i="5"/>
  <c r="E806" i="5"/>
  <c r="I806" i="5" s="1"/>
  <c r="Q790" i="5"/>
  <c r="J790" i="5"/>
  <c r="E790" i="5"/>
  <c r="I790" i="5" s="1"/>
  <c r="Q774" i="5"/>
  <c r="J774" i="5"/>
  <c r="E774" i="5"/>
  <c r="Q758" i="5"/>
  <c r="J758" i="5"/>
  <c r="E758" i="5"/>
  <c r="Q742" i="5"/>
  <c r="J742" i="5"/>
  <c r="E742" i="5"/>
  <c r="I742" i="5" s="1"/>
  <c r="Q726" i="5"/>
  <c r="J726" i="5"/>
  <c r="E726" i="5"/>
  <c r="I726" i="5" s="1"/>
  <c r="Q710" i="5"/>
  <c r="J710" i="5"/>
  <c r="E710" i="5"/>
  <c r="Q694" i="5"/>
  <c r="J694" i="5"/>
  <c r="E694" i="5"/>
  <c r="Q678" i="5"/>
  <c r="J678" i="5"/>
  <c r="E678" i="5"/>
  <c r="I678" i="5" s="1"/>
  <c r="Q662" i="5"/>
  <c r="J662" i="5"/>
  <c r="E662" i="5"/>
  <c r="I662" i="5" s="1"/>
  <c r="Q646" i="5"/>
  <c r="J646" i="5"/>
  <c r="E646" i="5"/>
  <c r="Q630" i="5"/>
  <c r="J630" i="5"/>
  <c r="E630" i="5"/>
  <c r="Q614" i="5"/>
  <c r="J614" i="5"/>
  <c r="E614" i="5"/>
  <c r="I614" i="5" s="1"/>
  <c r="Q598" i="5"/>
  <c r="J598" i="5"/>
  <c r="E598" i="5"/>
  <c r="I598" i="5" s="1"/>
  <c r="Q582" i="5"/>
  <c r="J582" i="5"/>
  <c r="E582" i="5"/>
  <c r="I582" i="5" s="1"/>
  <c r="Q510" i="5"/>
  <c r="J510" i="5"/>
  <c r="E510" i="5"/>
  <c r="I510" i="5" s="1"/>
  <c r="Q1013" i="5"/>
  <c r="J1013" i="5"/>
  <c r="E1013" i="5"/>
  <c r="I1013" i="5" s="1"/>
  <c r="Q997" i="5"/>
  <c r="J997" i="5"/>
  <c r="E997" i="5"/>
  <c r="I997" i="5" s="1"/>
  <c r="Q965" i="5"/>
  <c r="J965" i="5"/>
  <c r="E965" i="5"/>
  <c r="Q949" i="5"/>
  <c r="J949" i="5"/>
  <c r="E949" i="5"/>
  <c r="Q933" i="5"/>
  <c r="J933" i="5"/>
  <c r="E933" i="5"/>
  <c r="Q917" i="5"/>
  <c r="J917" i="5"/>
  <c r="E917" i="5"/>
  <c r="Q901" i="5"/>
  <c r="J901" i="5"/>
  <c r="E901" i="5"/>
  <c r="Q885" i="5"/>
  <c r="J885" i="5"/>
  <c r="E885" i="5"/>
  <c r="I885" i="5" s="1"/>
  <c r="Q869" i="5"/>
  <c r="J869" i="5"/>
  <c r="E869" i="5"/>
  <c r="I869" i="5" s="1"/>
  <c r="Q853" i="5"/>
  <c r="J853" i="5"/>
  <c r="E853" i="5"/>
  <c r="I853" i="5" s="1"/>
  <c r="Q837" i="5"/>
  <c r="J837" i="5"/>
  <c r="E837" i="5"/>
  <c r="I837" i="5" s="1"/>
  <c r="Q821" i="5"/>
  <c r="J821" i="5"/>
  <c r="E821" i="5"/>
  <c r="I821" i="5" s="1"/>
  <c r="Q805" i="5"/>
  <c r="J805" i="5"/>
  <c r="E805" i="5"/>
  <c r="I805" i="5" s="1"/>
  <c r="Q789" i="5"/>
  <c r="J789" i="5"/>
  <c r="E789" i="5"/>
  <c r="I789" i="5" s="1"/>
  <c r="Q773" i="5"/>
  <c r="J773" i="5"/>
  <c r="E773" i="5"/>
  <c r="I773" i="5" s="1"/>
  <c r="Q757" i="5"/>
  <c r="J757" i="5"/>
  <c r="E757" i="5"/>
  <c r="Q741" i="5"/>
  <c r="J741" i="5"/>
  <c r="E741" i="5"/>
  <c r="I741" i="5" s="1"/>
  <c r="Q725" i="5"/>
  <c r="J725" i="5"/>
  <c r="E725" i="5"/>
  <c r="I725" i="5" s="1"/>
  <c r="Q709" i="5"/>
  <c r="J709" i="5"/>
  <c r="E709" i="5"/>
  <c r="I709" i="5" s="1"/>
  <c r="Q693" i="5"/>
  <c r="J693" i="5"/>
  <c r="E693" i="5"/>
  <c r="I693" i="5" s="1"/>
  <c r="Q677" i="5"/>
  <c r="J677" i="5"/>
  <c r="E677" i="5"/>
  <c r="I677" i="5" s="1"/>
  <c r="Q661" i="5"/>
  <c r="J661" i="5"/>
  <c r="E661" i="5"/>
  <c r="I661" i="5" s="1"/>
  <c r="Q645" i="5"/>
  <c r="J645" i="5"/>
  <c r="E645" i="5"/>
  <c r="I645" i="5" s="1"/>
  <c r="Q629" i="5"/>
  <c r="J629" i="5"/>
  <c r="E629" i="5"/>
  <c r="I629" i="5" s="1"/>
  <c r="Q613" i="5"/>
  <c r="J613" i="5"/>
  <c r="E613" i="5"/>
  <c r="I613" i="5" s="1"/>
  <c r="Q597" i="5"/>
  <c r="J597" i="5"/>
  <c r="E597" i="5"/>
  <c r="I597" i="5" s="1"/>
  <c r="Q581" i="5"/>
  <c r="J581" i="5"/>
  <c r="E581" i="5"/>
  <c r="I581" i="5" s="1"/>
  <c r="Q565" i="5"/>
  <c r="J565" i="5"/>
  <c r="E565" i="5"/>
  <c r="I565" i="5" s="1"/>
  <c r="Q533" i="5"/>
  <c r="J533" i="5"/>
  <c r="E533" i="5"/>
  <c r="I533" i="5" s="1"/>
  <c r="Q517" i="5"/>
  <c r="J517" i="5"/>
  <c r="E517" i="5"/>
  <c r="I517" i="5" s="1"/>
  <c r="Q501" i="5"/>
  <c r="J501" i="5"/>
  <c r="E501" i="5"/>
  <c r="I501" i="5" s="1"/>
  <c r="Q485" i="5"/>
  <c r="J485" i="5"/>
  <c r="E485" i="5"/>
  <c r="I485" i="5" s="1"/>
  <c r="Q469" i="5"/>
  <c r="J469" i="5"/>
  <c r="E469" i="5"/>
  <c r="I469" i="5" s="1"/>
  <c r="Q453" i="5"/>
  <c r="J453" i="5"/>
  <c r="E453" i="5"/>
  <c r="I453" i="5" s="1"/>
  <c r="Q389" i="5"/>
  <c r="J389" i="5"/>
  <c r="E389" i="5"/>
  <c r="I389" i="5" s="1"/>
  <c r="Q373" i="5"/>
  <c r="J373" i="5"/>
  <c r="E373" i="5"/>
  <c r="I373" i="5" s="1"/>
  <c r="Q341" i="5"/>
  <c r="J341" i="5"/>
  <c r="E341" i="5"/>
  <c r="I341" i="5" s="1"/>
  <c r="Q309" i="5"/>
  <c r="J309" i="5"/>
  <c r="E309" i="5"/>
  <c r="I309" i="5" s="1"/>
  <c r="Q293" i="5"/>
  <c r="J293" i="5"/>
  <c r="E293" i="5"/>
  <c r="I293" i="5" s="1"/>
  <c r="Q277" i="5"/>
  <c r="J277" i="5"/>
  <c r="E277" i="5"/>
  <c r="I277" i="5" s="1"/>
  <c r="Q261" i="5"/>
  <c r="J261" i="5"/>
  <c r="E261" i="5"/>
  <c r="I261" i="5" s="1"/>
  <c r="Q181" i="5"/>
  <c r="J181" i="5"/>
  <c r="E181" i="5"/>
  <c r="I181" i="5" s="1"/>
  <c r="Q149" i="5"/>
  <c r="J149" i="5"/>
  <c r="E149" i="5"/>
  <c r="I149" i="5" s="1"/>
  <c r="Q133" i="5"/>
  <c r="J133" i="5"/>
  <c r="E133" i="5"/>
  <c r="I133" i="5" s="1"/>
  <c r="Q117" i="5"/>
  <c r="J117" i="5"/>
  <c r="E117" i="5"/>
  <c r="I117" i="5" s="1"/>
  <c r="Q101" i="5"/>
  <c r="J101" i="5"/>
  <c r="E101" i="5"/>
  <c r="I101" i="5" s="1"/>
  <c r="Q69" i="5"/>
  <c r="J69" i="5"/>
  <c r="E69" i="5"/>
  <c r="I69" i="5" s="1"/>
  <c r="Q37" i="5"/>
  <c r="J37" i="5"/>
  <c r="E37" i="5"/>
  <c r="I37" i="5" s="1"/>
  <c r="Q21" i="5"/>
  <c r="J21" i="5"/>
  <c r="E21" i="5"/>
  <c r="I21" i="5" s="1"/>
  <c r="Q979" i="5"/>
  <c r="J979" i="5"/>
  <c r="E979" i="5"/>
  <c r="I979" i="5" s="1"/>
  <c r="Q819" i="5"/>
  <c r="J819" i="5"/>
  <c r="E819" i="5"/>
  <c r="I819" i="5" s="1"/>
  <c r="Q675" i="5"/>
  <c r="J675" i="5"/>
  <c r="E675" i="5"/>
  <c r="I675" i="5" s="1"/>
  <c r="Q960" i="5"/>
  <c r="E960" i="5"/>
  <c r="I960" i="5" s="1"/>
  <c r="J960" i="5"/>
  <c r="Q928" i="5"/>
  <c r="E928" i="5"/>
  <c r="I928" i="5" s="1"/>
  <c r="J928" i="5"/>
  <c r="Q896" i="5"/>
  <c r="E896" i="5"/>
  <c r="J896" i="5"/>
  <c r="Q864" i="5"/>
  <c r="E864" i="5"/>
  <c r="I864" i="5" s="1"/>
  <c r="J864" i="5"/>
  <c r="Q848" i="5"/>
  <c r="E848" i="5"/>
  <c r="I848" i="5" s="1"/>
  <c r="J848" i="5"/>
  <c r="Q816" i="5"/>
  <c r="E816" i="5"/>
  <c r="I816" i="5" s="1"/>
  <c r="J816" i="5"/>
  <c r="Q784" i="5"/>
  <c r="E784" i="5"/>
  <c r="I784" i="5" s="1"/>
  <c r="J784" i="5"/>
  <c r="Q752" i="5"/>
  <c r="E752" i="5"/>
  <c r="I752" i="5" s="1"/>
  <c r="J752" i="5"/>
  <c r="Q720" i="5"/>
  <c r="E720" i="5"/>
  <c r="I720" i="5" s="1"/>
  <c r="J720" i="5"/>
  <c r="Q688" i="5"/>
  <c r="E688" i="5"/>
  <c r="I688" i="5" s="1"/>
  <c r="J688" i="5"/>
  <c r="Q656" i="5"/>
  <c r="E656" i="5"/>
  <c r="I656" i="5" s="1"/>
  <c r="J656" i="5"/>
  <c r="Q624" i="5"/>
  <c r="E624" i="5"/>
  <c r="I624" i="5" s="1"/>
  <c r="J624" i="5"/>
  <c r="Q592" i="5"/>
  <c r="E592" i="5"/>
  <c r="I592" i="5" s="1"/>
  <c r="J592" i="5"/>
  <c r="Q560" i="5"/>
  <c r="J560" i="5"/>
  <c r="E560" i="5"/>
  <c r="I560" i="5" s="1"/>
  <c r="Q528" i="5"/>
  <c r="J528" i="5"/>
  <c r="E528" i="5"/>
  <c r="I528" i="5" s="1"/>
  <c r="Q496" i="5"/>
  <c r="J496" i="5"/>
  <c r="E496" i="5"/>
  <c r="I496" i="5" s="1"/>
  <c r="Q464" i="5"/>
  <c r="J464" i="5"/>
  <c r="E464" i="5"/>
  <c r="I464" i="5" s="1"/>
  <c r="Q368" i="5"/>
  <c r="J368" i="5"/>
  <c r="E368" i="5"/>
  <c r="I368" i="5" s="1"/>
  <c r="Q336" i="5"/>
  <c r="J336" i="5"/>
  <c r="E336" i="5"/>
  <c r="I336" i="5" s="1"/>
  <c r="Q304" i="5"/>
  <c r="J304" i="5"/>
  <c r="E304" i="5"/>
  <c r="I304" i="5" s="1"/>
  <c r="Q272" i="5"/>
  <c r="J272" i="5"/>
  <c r="E272" i="5"/>
  <c r="I272" i="5" s="1"/>
  <c r="Q208" i="5"/>
  <c r="J208" i="5"/>
  <c r="E208" i="5"/>
  <c r="I208" i="5" s="1"/>
  <c r="Q176" i="5"/>
  <c r="J176" i="5"/>
  <c r="E176" i="5"/>
  <c r="I176" i="5" s="1"/>
  <c r="Q160" i="5"/>
  <c r="J160" i="5"/>
  <c r="E160" i="5"/>
  <c r="I160" i="5" s="1"/>
  <c r="Q128" i="5"/>
  <c r="J128" i="5"/>
  <c r="E128" i="5"/>
  <c r="I128" i="5" s="1"/>
  <c r="Q96" i="5"/>
  <c r="J96" i="5"/>
  <c r="E96" i="5"/>
  <c r="I96" i="5" s="1"/>
  <c r="Q995" i="5"/>
  <c r="J995" i="5"/>
  <c r="E995" i="5"/>
  <c r="Q651" i="5"/>
  <c r="J651" i="5"/>
  <c r="E651" i="5"/>
  <c r="I651" i="5" s="1"/>
  <c r="Q471" i="5"/>
  <c r="J471" i="5"/>
  <c r="E471" i="5"/>
  <c r="I471" i="5" s="1"/>
  <c r="Q31" i="5"/>
  <c r="J31" i="5"/>
  <c r="E31" i="5"/>
  <c r="I31" i="5" s="1"/>
  <c r="Q1007" i="5"/>
  <c r="J1007" i="5"/>
  <c r="E1007" i="5"/>
  <c r="I1007" i="5" s="1"/>
  <c r="Q895" i="5"/>
  <c r="J895" i="5"/>
  <c r="E895" i="5"/>
  <c r="Q771" i="5"/>
  <c r="J771" i="5"/>
  <c r="E771" i="5"/>
  <c r="Q631" i="5"/>
  <c r="J631" i="5"/>
  <c r="E631" i="5"/>
  <c r="I631" i="5" s="1"/>
  <c r="Q507" i="5"/>
  <c r="J507" i="5"/>
  <c r="E507" i="5"/>
  <c r="I507" i="5" s="1"/>
  <c r="Q295" i="5"/>
  <c r="J295" i="5"/>
  <c r="E295" i="5"/>
  <c r="I295" i="5" s="1"/>
  <c r="Q139" i="5"/>
  <c r="J139" i="5"/>
  <c r="E139" i="5"/>
  <c r="I139" i="5" s="1"/>
  <c r="Q578" i="5"/>
  <c r="J578" i="5"/>
  <c r="E578" i="5"/>
  <c r="I578" i="5" s="1"/>
  <c r="Q534" i="5"/>
  <c r="J534" i="5"/>
  <c r="E534" i="5"/>
  <c r="I534" i="5" s="1"/>
  <c r="Q498" i="5"/>
  <c r="J498" i="5"/>
  <c r="E498" i="5"/>
  <c r="I498" i="5" s="1"/>
  <c r="Q466" i="5"/>
  <c r="J466" i="5"/>
  <c r="E466" i="5"/>
  <c r="I466" i="5" s="1"/>
  <c r="Q370" i="5"/>
  <c r="J370" i="5"/>
  <c r="E370" i="5"/>
  <c r="I370" i="5" s="1"/>
  <c r="Q338" i="5"/>
  <c r="J338" i="5"/>
  <c r="E338" i="5"/>
  <c r="I338" i="5" s="1"/>
  <c r="Q306" i="5"/>
  <c r="J306" i="5"/>
  <c r="E306" i="5"/>
  <c r="I306" i="5" s="1"/>
  <c r="Q258" i="5"/>
  <c r="J258" i="5"/>
  <c r="E258" i="5"/>
  <c r="I258" i="5" s="1"/>
  <c r="Q162" i="5"/>
  <c r="J162" i="5"/>
  <c r="E162" i="5"/>
  <c r="I162" i="5" s="1"/>
  <c r="Q130" i="5"/>
  <c r="J130" i="5"/>
  <c r="E130" i="5"/>
  <c r="I130" i="5" s="1"/>
  <c r="Q98" i="5"/>
  <c r="J98" i="5"/>
  <c r="E98" i="5"/>
  <c r="I98" i="5" s="1"/>
  <c r="Q1019" i="5"/>
  <c r="J1019" i="5"/>
  <c r="E1019" i="5"/>
  <c r="I1019" i="5" s="1"/>
  <c r="Q935" i="5"/>
  <c r="J935" i="5"/>
  <c r="E935" i="5"/>
  <c r="I935" i="5" s="1"/>
  <c r="Q843" i="5"/>
  <c r="J843" i="5"/>
  <c r="E843" i="5"/>
  <c r="I843" i="5" s="1"/>
  <c r="Q751" i="5"/>
  <c r="J751" i="5"/>
  <c r="E751" i="5"/>
  <c r="Q655" i="5"/>
  <c r="J655" i="5"/>
  <c r="E655" i="5"/>
  <c r="I655" i="5" s="1"/>
  <c r="Q571" i="5"/>
  <c r="J571" i="5"/>
  <c r="E571" i="5"/>
  <c r="I571" i="5" s="1"/>
  <c r="Q487" i="5"/>
  <c r="J487" i="5"/>
  <c r="E487" i="5"/>
  <c r="I487" i="5" s="1"/>
  <c r="Q343" i="5"/>
  <c r="J343" i="5"/>
  <c r="E343" i="5"/>
  <c r="I343" i="5" s="1"/>
  <c r="Q275" i="5"/>
  <c r="J275" i="5"/>
  <c r="E275" i="5"/>
  <c r="I275" i="5" s="1"/>
  <c r="Q211" i="5"/>
  <c r="J211" i="5"/>
  <c r="E211" i="5"/>
  <c r="I211" i="5" s="1"/>
  <c r="Q1022" i="5"/>
  <c r="J1022" i="5"/>
  <c r="E1022" i="5"/>
  <c r="I1022" i="5" s="1"/>
  <c r="Q974" i="5"/>
  <c r="J974" i="5"/>
  <c r="E974" i="5"/>
  <c r="Q906" i="5"/>
  <c r="J906" i="5"/>
  <c r="E906" i="5"/>
  <c r="I906" i="5" s="1"/>
  <c r="Q890" i="5"/>
  <c r="J890" i="5"/>
  <c r="E890" i="5"/>
  <c r="I890" i="5" s="1"/>
  <c r="Q858" i="5"/>
  <c r="J858" i="5"/>
  <c r="E858" i="5"/>
  <c r="Q826" i="5"/>
  <c r="J826" i="5"/>
  <c r="E826" i="5"/>
  <c r="I826" i="5" s="1"/>
  <c r="Q794" i="5"/>
  <c r="J794" i="5"/>
  <c r="E794" i="5"/>
  <c r="I794" i="5" s="1"/>
  <c r="Q762" i="5"/>
  <c r="J762" i="5"/>
  <c r="E762" i="5"/>
  <c r="I762" i="5" s="1"/>
  <c r="Q730" i="5"/>
  <c r="J730" i="5"/>
  <c r="E730" i="5"/>
  <c r="Q698" i="5"/>
  <c r="J698" i="5"/>
  <c r="E698" i="5"/>
  <c r="I698" i="5" s="1"/>
  <c r="Q666" i="5"/>
  <c r="J666" i="5"/>
  <c r="E666" i="5"/>
  <c r="I666" i="5" s="1"/>
  <c r="Q634" i="5"/>
  <c r="J634" i="5"/>
  <c r="E634" i="5"/>
  <c r="I634" i="5" s="1"/>
  <c r="Q602" i="5"/>
  <c r="J602" i="5"/>
  <c r="E602" i="5"/>
  <c r="I602" i="5" s="1"/>
  <c r="Q1001" i="5"/>
  <c r="J1001" i="5"/>
  <c r="E1001" i="5"/>
  <c r="I1001" i="5" s="1"/>
  <c r="Q969" i="5"/>
  <c r="J969" i="5"/>
  <c r="E969" i="5"/>
  <c r="I969" i="5" s="1"/>
  <c r="Q937" i="5"/>
  <c r="J937" i="5"/>
  <c r="E937" i="5"/>
  <c r="I937" i="5" s="1"/>
  <c r="Q905" i="5"/>
  <c r="J905" i="5"/>
  <c r="E905" i="5"/>
  <c r="I905" i="5" s="1"/>
  <c r="Q873" i="5"/>
  <c r="J873" i="5"/>
  <c r="E873" i="5"/>
  <c r="I873" i="5" s="1"/>
  <c r="Q841" i="5"/>
  <c r="J841" i="5"/>
  <c r="E841" i="5"/>
  <c r="I841" i="5" s="1"/>
  <c r="Q809" i="5"/>
  <c r="J809" i="5"/>
  <c r="E809" i="5"/>
  <c r="I809" i="5" s="1"/>
  <c r="Q777" i="5"/>
  <c r="J777" i="5"/>
  <c r="E777" i="5"/>
  <c r="I777" i="5" s="1"/>
  <c r="Q745" i="5"/>
  <c r="J745" i="5"/>
  <c r="E745" i="5"/>
  <c r="I745" i="5" s="1"/>
  <c r="Q713" i="5"/>
  <c r="J713" i="5"/>
  <c r="E713" i="5"/>
  <c r="I713" i="5" s="1"/>
  <c r="Q681" i="5"/>
  <c r="J681" i="5"/>
  <c r="E681" i="5"/>
  <c r="Q649" i="5"/>
  <c r="J649" i="5"/>
  <c r="E649" i="5"/>
  <c r="I649" i="5" s="1"/>
  <c r="Q617" i="5"/>
  <c r="J617" i="5"/>
  <c r="E617" i="5"/>
  <c r="I617" i="5" s="1"/>
  <c r="Q585" i="5"/>
  <c r="J585" i="5"/>
  <c r="E585" i="5"/>
  <c r="I585" i="5" s="1"/>
  <c r="Q521" i="5"/>
  <c r="E521" i="5"/>
  <c r="I521" i="5" s="1"/>
  <c r="J521" i="5"/>
  <c r="Q489" i="5"/>
  <c r="E489" i="5"/>
  <c r="I489" i="5" s="1"/>
  <c r="J489" i="5"/>
  <c r="Q473" i="5"/>
  <c r="E473" i="5"/>
  <c r="I473" i="5" s="1"/>
  <c r="J473" i="5"/>
  <c r="Q441" i="5"/>
  <c r="E441" i="5"/>
  <c r="I441" i="5" s="1"/>
  <c r="J441" i="5"/>
  <c r="Q377" i="5"/>
  <c r="E377" i="5"/>
  <c r="I377" i="5" s="1"/>
  <c r="J377" i="5"/>
  <c r="Q265" i="5"/>
  <c r="J265" i="5"/>
  <c r="E265" i="5"/>
  <c r="I265" i="5" s="1"/>
  <c r="Q249" i="5"/>
  <c r="J249" i="5"/>
  <c r="E249" i="5"/>
  <c r="I249" i="5" s="1"/>
  <c r="Q185" i="5"/>
  <c r="J185" i="5"/>
  <c r="E185" i="5"/>
  <c r="I185" i="5" s="1"/>
  <c r="Q153" i="5"/>
  <c r="J153" i="5"/>
  <c r="E153" i="5"/>
  <c r="I153" i="5" s="1"/>
  <c r="Q137" i="5"/>
  <c r="J137" i="5"/>
  <c r="E137" i="5"/>
  <c r="I137" i="5" s="1"/>
  <c r="Q121" i="5"/>
  <c r="J121" i="5"/>
  <c r="E121" i="5"/>
  <c r="I121" i="5" s="1"/>
  <c r="Q105" i="5"/>
  <c r="J105" i="5"/>
  <c r="E105" i="5"/>
  <c r="I105" i="5" s="1"/>
  <c r="Q73" i="5"/>
  <c r="J73" i="5"/>
  <c r="E73" i="5"/>
  <c r="I73" i="5" s="1"/>
  <c r="Q1015" i="5"/>
  <c r="J1015" i="5"/>
  <c r="E1015" i="5"/>
  <c r="I1015" i="5" s="1"/>
  <c r="Q931" i="5"/>
  <c r="J931" i="5"/>
  <c r="E931" i="5"/>
  <c r="I931" i="5" s="1"/>
  <c r="Q779" i="5"/>
  <c r="J779" i="5"/>
  <c r="E779" i="5"/>
  <c r="I779" i="5" s="1"/>
  <c r="Q707" i="5"/>
  <c r="J707" i="5"/>
  <c r="E707" i="5"/>
  <c r="I707" i="5" s="1"/>
  <c r="Q635" i="5"/>
  <c r="J635" i="5"/>
  <c r="E635" i="5"/>
  <c r="I635" i="5" s="1"/>
  <c r="Q1016" i="5"/>
  <c r="E1016" i="5"/>
  <c r="I1016" i="5" s="1"/>
  <c r="J1016" i="5"/>
  <c r="Q1000" i="5"/>
  <c r="E1000" i="5"/>
  <c r="I1000" i="5" s="1"/>
  <c r="J1000" i="5"/>
  <c r="Q984" i="5"/>
  <c r="E984" i="5"/>
  <c r="I984" i="5" s="1"/>
  <c r="J984" i="5"/>
  <c r="Q968" i="5"/>
  <c r="E968" i="5"/>
  <c r="I968" i="5" s="1"/>
  <c r="J968" i="5"/>
  <c r="Q952" i="5"/>
  <c r="E952" i="5"/>
  <c r="J952" i="5"/>
  <c r="Q936" i="5"/>
  <c r="E936" i="5"/>
  <c r="I936" i="5" s="1"/>
  <c r="J936" i="5"/>
  <c r="Q920" i="5"/>
  <c r="E920" i="5"/>
  <c r="I920" i="5" s="1"/>
  <c r="J920" i="5"/>
  <c r="Q904" i="5"/>
  <c r="E904" i="5"/>
  <c r="I904" i="5" s="1"/>
  <c r="J904" i="5"/>
  <c r="Q888" i="5"/>
  <c r="E888" i="5"/>
  <c r="I888" i="5" s="1"/>
  <c r="J888" i="5"/>
  <c r="Q872" i="5"/>
  <c r="E872" i="5"/>
  <c r="I872" i="5" s="1"/>
  <c r="J872" i="5"/>
  <c r="Q856" i="5"/>
  <c r="E856" i="5"/>
  <c r="I856" i="5" s="1"/>
  <c r="J856" i="5"/>
  <c r="Q840" i="5"/>
  <c r="E840" i="5"/>
  <c r="I840" i="5" s="1"/>
  <c r="J840" i="5"/>
  <c r="Q824" i="5"/>
  <c r="E824" i="5"/>
  <c r="I824" i="5" s="1"/>
  <c r="J824" i="5"/>
  <c r="Q808" i="5"/>
  <c r="E808" i="5"/>
  <c r="I808" i="5" s="1"/>
  <c r="J808" i="5"/>
  <c r="Q792" i="5"/>
  <c r="E792" i="5"/>
  <c r="I792" i="5" s="1"/>
  <c r="J792" i="5"/>
  <c r="Q776" i="5"/>
  <c r="E776" i="5"/>
  <c r="I776" i="5" s="1"/>
  <c r="J776" i="5"/>
  <c r="Q760" i="5"/>
  <c r="E760" i="5"/>
  <c r="I760" i="5" s="1"/>
  <c r="J760" i="5"/>
  <c r="Q744" i="5"/>
  <c r="E744" i="5"/>
  <c r="I744" i="5" s="1"/>
  <c r="J744" i="5"/>
  <c r="Q728" i="5"/>
  <c r="E728" i="5"/>
  <c r="I728" i="5" s="1"/>
  <c r="J728" i="5"/>
  <c r="Q712" i="5"/>
  <c r="E712" i="5"/>
  <c r="I712" i="5" s="1"/>
  <c r="J712" i="5"/>
  <c r="Q696" i="5"/>
  <c r="E696" i="5"/>
  <c r="I696" i="5" s="1"/>
  <c r="J696" i="5"/>
  <c r="Q680" i="5"/>
  <c r="E680" i="5"/>
  <c r="I680" i="5" s="1"/>
  <c r="J680" i="5"/>
  <c r="Q664" i="5"/>
  <c r="E664" i="5"/>
  <c r="I664" i="5" s="1"/>
  <c r="J664" i="5"/>
  <c r="Q648" i="5"/>
  <c r="E648" i="5"/>
  <c r="I648" i="5" s="1"/>
  <c r="J648" i="5"/>
  <c r="Q616" i="5"/>
  <c r="E616" i="5"/>
  <c r="I616" i="5" s="1"/>
  <c r="J616" i="5"/>
  <c r="Q600" i="5"/>
  <c r="E600" i="5"/>
  <c r="I600" i="5" s="1"/>
  <c r="J600" i="5"/>
  <c r="Q584" i="5"/>
  <c r="E584" i="5"/>
  <c r="I584" i="5" s="1"/>
  <c r="J584" i="5"/>
  <c r="Q568" i="5"/>
  <c r="E568" i="5"/>
  <c r="I568" i="5" s="1"/>
  <c r="J568" i="5"/>
  <c r="Q536" i="5"/>
  <c r="J536" i="5"/>
  <c r="E536" i="5"/>
  <c r="I536" i="5" s="1"/>
  <c r="Q504" i="5"/>
  <c r="J504" i="5"/>
  <c r="E504" i="5"/>
  <c r="I504" i="5" s="1"/>
  <c r="Q488" i="5"/>
  <c r="J488" i="5"/>
  <c r="E488" i="5"/>
  <c r="I488" i="5" s="1"/>
  <c r="Q472" i="5"/>
  <c r="J472" i="5"/>
  <c r="E472" i="5"/>
  <c r="I472" i="5" s="1"/>
  <c r="Q456" i="5"/>
  <c r="J456" i="5"/>
  <c r="E456" i="5"/>
  <c r="I456" i="5" s="1"/>
  <c r="Q440" i="5"/>
  <c r="J440" i="5"/>
  <c r="E440" i="5"/>
  <c r="I440" i="5" s="1"/>
  <c r="Q376" i="5"/>
  <c r="J376" i="5"/>
  <c r="E376" i="5"/>
  <c r="I376" i="5" s="1"/>
  <c r="Q312" i="5"/>
  <c r="J312" i="5"/>
  <c r="E312" i="5"/>
  <c r="I312" i="5" s="1"/>
  <c r="Q296" i="5"/>
  <c r="J296" i="5"/>
  <c r="E296" i="5"/>
  <c r="I296" i="5" s="1"/>
  <c r="Q280" i="5"/>
  <c r="J280" i="5"/>
  <c r="E280" i="5"/>
  <c r="I280" i="5" s="1"/>
  <c r="Q264" i="5"/>
  <c r="J264" i="5"/>
  <c r="E264" i="5"/>
  <c r="I264" i="5" s="1"/>
  <c r="Q248" i="5"/>
  <c r="J248" i="5"/>
  <c r="E248" i="5"/>
  <c r="I248" i="5" s="1"/>
  <c r="Q200" i="5"/>
  <c r="J200" i="5"/>
  <c r="E200" i="5"/>
  <c r="I200" i="5" s="1"/>
  <c r="Q184" i="5"/>
  <c r="J184" i="5"/>
  <c r="E184" i="5"/>
  <c r="I184" i="5" s="1"/>
  <c r="Q136" i="5"/>
  <c r="J136" i="5"/>
  <c r="E136" i="5"/>
  <c r="I136" i="5" s="1"/>
  <c r="Q120" i="5"/>
  <c r="J120" i="5"/>
  <c r="E120" i="5"/>
  <c r="I120" i="5" s="1"/>
  <c r="Q104" i="5"/>
  <c r="J104" i="5"/>
  <c r="E104" i="5"/>
  <c r="I104" i="5" s="1"/>
  <c r="Q72" i="5"/>
  <c r="J72" i="5"/>
  <c r="E72" i="5"/>
  <c r="I72" i="5" s="1"/>
  <c r="Q40" i="5"/>
  <c r="J40" i="5"/>
  <c r="E40" i="5"/>
  <c r="I40" i="5" s="1"/>
  <c r="Q951" i="5"/>
  <c r="J951" i="5"/>
  <c r="E951" i="5"/>
  <c r="Q859" i="5"/>
  <c r="J859" i="5"/>
  <c r="E859" i="5"/>
  <c r="I859" i="5" s="1"/>
  <c r="Q767" i="5"/>
  <c r="J767" i="5"/>
  <c r="E767" i="5"/>
  <c r="Q687" i="5"/>
  <c r="J687" i="5"/>
  <c r="E687" i="5"/>
  <c r="I687" i="5" s="1"/>
  <c r="Q607" i="5"/>
  <c r="J607" i="5"/>
  <c r="E607" i="5"/>
  <c r="I607" i="5" s="1"/>
  <c r="Q511" i="5"/>
  <c r="J511" i="5"/>
  <c r="E511" i="5"/>
  <c r="I511" i="5" s="1"/>
  <c r="Q435" i="5"/>
  <c r="J435" i="5"/>
  <c r="E435" i="5"/>
  <c r="I435" i="5" s="1"/>
  <c r="Q283" i="5"/>
  <c r="J283" i="5"/>
  <c r="E283" i="5"/>
  <c r="I283" i="5" s="1"/>
  <c r="Q127" i="5"/>
  <c r="J127" i="5"/>
  <c r="E127" i="5"/>
  <c r="I127" i="5" s="1"/>
  <c r="Q71" i="5"/>
  <c r="J71" i="5"/>
  <c r="E71" i="5"/>
  <c r="I71" i="5" s="1"/>
  <c r="Q39" i="5"/>
  <c r="J39" i="5"/>
  <c r="E39" i="5"/>
  <c r="I39" i="5" s="1"/>
  <c r="Q23" i="5"/>
  <c r="J23" i="5"/>
  <c r="E23" i="5"/>
  <c r="I23" i="5" s="1"/>
  <c r="Q975" i="5"/>
  <c r="J975" i="5"/>
  <c r="E975" i="5"/>
  <c r="Q927" i="5"/>
  <c r="J927" i="5"/>
  <c r="E927" i="5"/>
  <c r="I927" i="5" s="1"/>
  <c r="Q871" i="5"/>
  <c r="J871" i="5"/>
  <c r="E871" i="5"/>
  <c r="Q799" i="5"/>
  <c r="J799" i="5"/>
  <c r="E799" i="5"/>
  <c r="I799" i="5" s="1"/>
  <c r="Q735" i="5"/>
  <c r="J735" i="5"/>
  <c r="E735" i="5"/>
  <c r="Q663" i="5"/>
  <c r="J663" i="5"/>
  <c r="E663" i="5"/>
  <c r="I663" i="5" s="1"/>
  <c r="Q599" i="5"/>
  <c r="J599" i="5"/>
  <c r="E599" i="5"/>
  <c r="I599" i="5" s="1"/>
  <c r="Q539" i="5"/>
  <c r="J539" i="5"/>
  <c r="E539" i="5"/>
  <c r="I539" i="5" s="1"/>
  <c r="Q475" i="5"/>
  <c r="J475" i="5"/>
  <c r="E475" i="5"/>
  <c r="I475" i="5" s="1"/>
  <c r="Q375" i="5"/>
  <c r="J375" i="5"/>
  <c r="E375" i="5"/>
  <c r="I375" i="5" s="1"/>
  <c r="Q319" i="5"/>
  <c r="J319" i="5"/>
  <c r="E319" i="5"/>
  <c r="I319" i="5" s="1"/>
  <c r="Q271" i="5"/>
  <c r="J271" i="5"/>
  <c r="E271" i="5"/>
  <c r="I271" i="5" s="1"/>
  <c r="Q1026" i="5"/>
  <c r="J1026" i="5"/>
  <c r="E1026" i="5"/>
  <c r="Q978" i="5"/>
  <c r="J978" i="5"/>
  <c r="E978" i="5"/>
  <c r="I978" i="5" s="1"/>
  <c r="Q566" i="5"/>
  <c r="J566" i="5"/>
  <c r="E566" i="5"/>
  <c r="I566" i="5" s="1"/>
  <c r="Q542" i="5"/>
  <c r="J542" i="5"/>
  <c r="E542" i="5"/>
  <c r="I542" i="5" s="1"/>
  <c r="Q526" i="5"/>
  <c r="J526" i="5"/>
  <c r="E526" i="5"/>
  <c r="I526" i="5" s="1"/>
  <c r="Q506" i="5"/>
  <c r="J506" i="5"/>
  <c r="E506" i="5"/>
  <c r="I506" i="5" s="1"/>
  <c r="Q490" i="5"/>
  <c r="J490" i="5"/>
  <c r="E490" i="5"/>
  <c r="I490" i="5" s="1"/>
  <c r="Q474" i="5"/>
  <c r="J474" i="5"/>
  <c r="E474" i="5"/>
  <c r="I474" i="5" s="1"/>
  <c r="Q458" i="5"/>
  <c r="J458" i="5"/>
  <c r="E458" i="5"/>
  <c r="I458" i="5" s="1"/>
  <c r="Q442" i="5"/>
  <c r="J442" i="5"/>
  <c r="E442" i="5"/>
  <c r="I442" i="5" s="1"/>
  <c r="Q378" i="5"/>
  <c r="J378" i="5"/>
  <c r="E378" i="5"/>
  <c r="I378" i="5" s="1"/>
  <c r="Q314" i="5"/>
  <c r="J314" i="5"/>
  <c r="E314" i="5"/>
  <c r="I314" i="5" s="1"/>
  <c r="Q298" i="5"/>
  <c r="J298" i="5"/>
  <c r="E298" i="5"/>
  <c r="I298" i="5" s="1"/>
  <c r="Q282" i="5"/>
  <c r="J282" i="5"/>
  <c r="E282" i="5"/>
  <c r="I282" i="5" s="1"/>
  <c r="Q266" i="5"/>
  <c r="J266" i="5"/>
  <c r="E266" i="5"/>
  <c r="I266" i="5" s="1"/>
  <c r="Q250" i="5"/>
  <c r="J250" i="5"/>
  <c r="E250" i="5"/>
  <c r="I250" i="5" s="1"/>
  <c r="Q202" i="5"/>
  <c r="J202" i="5"/>
  <c r="E202" i="5"/>
  <c r="I202" i="5" s="1"/>
  <c r="Q154" i="5"/>
  <c r="J154" i="5"/>
  <c r="E154" i="5"/>
  <c r="I154" i="5" s="1"/>
  <c r="Q138" i="5"/>
  <c r="J138" i="5"/>
  <c r="E138" i="5"/>
  <c r="I138" i="5" s="1"/>
  <c r="Q106" i="5"/>
  <c r="J106" i="5"/>
  <c r="E106" i="5"/>
  <c r="I106" i="5" s="1"/>
  <c r="Q74" i="5"/>
  <c r="J74" i="5"/>
  <c r="E74" i="5"/>
  <c r="I74" i="5" s="1"/>
  <c r="Q42" i="5"/>
  <c r="J42" i="5"/>
  <c r="E42" i="5"/>
  <c r="I42" i="5" s="1"/>
  <c r="Q26" i="5"/>
  <c r="J26" i="5"/>
  <c r="E26" i="5"/>
  <c r="I26" i="5" s="1"/>
  <c r="Q1003" i="5"/>
  <c r="J1003" i="5"/>
  <c r="E1003" i="5"/>
  <c r="Q955" i="5"/>
  <c r="J955" i="5"/>
  <c r="E955" i="5"/>
  <c r="I955" i="5" s="1"/>
  <c r="Q915" i="5"/>
  <c r="J915" i="5"/>
  <c r="E915" i="5"/>
  <c r="I915" i="5" s="1"/>
  <c r="Q863" i="5"/>
  <c r="J863" i="5"/>
  <c r="E863" i="5"/>
  <c r="I863" i="5" s="1"/>
  <c r="Q823" i="5"/>
  <c r="J823" i="5"/>
  <c r="E823" i="5"/>
  <c r="Q731" i="5"/>
  <c r="J731" i="5"/>
  <c r="E731" i="5"/>
  <c r="I731" i="5" s="1"/>
  <c r="Q679" i="5"/>
  <c r="J679" i="5"/>
  <c r="E679" i="5"/>
  <c r="I679" i="5" s="1"/>
  <c r="Q639" i="5"/>
  <c r="J639" i="5"/>
  <c r="E639" i="5"/>
  <c r="Q591" i="5"/>
  <c r="J591" i="5"/>
  <c r="E591" i="5"/>
  <c r="I591" i="5" s="1"/>
  <c r="Q547" i="5"/>
  <c r="J547" i="5"/>
  <c r="E547" i="5"/>
  <c r="I547" i="5" s="1"/>
  <c r="Q503" i="5"/>
  <c r="J503" i="5"/>
  <c r="E503" i="5"/>
  <c r="I503" i="5" s="1"/>
  <c r="Q467" i="5"/>
  <c r="J467" i="5"/>
  <c r="E467" i="5"/>
  <c r="I467" i="5" s="1"/>
  <c r="Q387" i="5"/>
  <c r="J387" i="5"/>
  <c r="E387" i="5"/>
  <c r="I387" i="5" s="1"/>
  <c r="Q291" i="5"/>
  <c r="J291" i="5"/>
  <c r="E291" i="5"/>
  <c r="I291" i="5" s="1"/>
  <c r="Q255" i="5"/>
  <c r="J255" i="5"/>
  <c r="E255" i="5"/>
  <c r="I255" i="5" s="1"/>
  <c r="Q155" i="5"/>
  <c r="J155" i="5"/>
  <c r="E155" i="5"/>
  <c r="I155" i="5" s="1"/>
  <c r="Q131" i="5"/>
  <c r="J131" i="5"/>
  <c r="E131" i="5"/>
  <c r="I131" i="5" s="1"/>
  <c r="Q1010" i="5"/>
  <c r="J1010" i="5"/>
  <c r="E1010" i="5"/>
  <c r="I1010" i="5" s="1"/>
  <c r="Q986" i="5"/>
  <c r="J986" i="5"/>
  <c r="E986" i="5"/>
  <c r="I986" i="5" s="1"/>
  <c r="Q966" i="5"/>
  <c r="J966" i="5"/>
  <c r="E966" i="5"/>
  <c r="Q950" i="5"/>
  <c r="J950" i="5"/>
  <c r="E950" i="5"/>
  <c r="Q934" i="5"/>
  <c r="J934" i="5"/>
  <c r="E934" i="5"/>
  <c r="Q914" i="5"/>
  <c r="J914" i="5"/>
  <c r="E914" i="5"/>
  <c r="Q898" i="5"/>
  <c r="J898" i="5"/>
  <c r="E898" i="5"/>
  <c r="Q882" i="5"/>
  <c r="J882" i="5"/>
  <c r="E882" i="5"/>
  <c r="Q866" i="5"/>
  <c r="J866" i="5"/>
  <c r="E866" i="5"/>
  <c r="I866" i="5" s="1"/>
  <c r="Q850" i="5"/>
  <c r="J850" i="5"/>
  <c r="E850" i="5"/>
  <c r="I850" i="5" s="1"/>
  <c r="Q834" i="5"/>
  <c r="J834" i="5"/>
  <c r="E834" i="5"/>
  <c r="Q818" i="5"/>
  <c r="J818" i="5"/>
  <c r="E818" i="5"/>
  <c r="Q802" i="5"/>
  <c r="J802" i="5"/>
  <c r="E802" i="5"/>
  <c r="Q786" i="5"/>
  <c r="J786" i="5"/>
  <c r="E786" i="5"/>
  <c r="I786" i="5" s="1"/>
  <c r="Q770" i="5"/>
  <c r="J770" i="5"/>
  <c r="E770" i="5"/>
  <c r="Q754" i="5"/>
  <c r="J754" i="5"/>
  <c r="E754" i="5"/>
  <c r="Q738" i="5"/>
  <c r="J738" i="5"/>
  <c r="E738" i="5"/>
  <c r="Q722" i="5"/>
  <c r="J722" i="5"/>
  <c r="E722" i="5"/>
  <c r="I722" i="5" s="1"/>
  <c r="Q706" i="5"/>
  <c r="J706" i="5"/>
  <c r="E706" i="5"/>
  <c r="Q690" i="5"/>
  <c r="J690" i="5"/>
  <c r="E690" i="5"/>
  <c r="I690" i="5" s="1"/>
  <c r="Q658" i="5"/>
  <c r="J658" i="5"/>
  <c r="E658" i="5"/>
  <c r="Q642" i="5"/>
  <c r="J642" i="5"/>
  <c r="E642" i="5"/>
  <c r="Q626" i="5"/>
  <c r="J626" i="5"/>
  <c r="E626" i="5"/>
  <c r="I626" i="5" s="1"/>
  <c r="Q610" i="5"/>
  <c r="J610" i="5"/>
  <c r="E610" i="5"/>
  <c r="I610" i="5" s="1"/>
  <c r="Q594" i="5"/>
  <c r="J594" i="5"/>
  <c r="E594" i="5"/>
  <c r="I594" i="5" s="1"/>
  <c r="Q570" i="5"/>
  <c r="J570" i="5"/>
  <c r="E570" i="5"/>
  <c r="I570" i="5" s="1"/>
  <c r="Q1025" i="5"/>
  <c r="J1025" i="5"/>
  <c r="E1025" i="5"/>
  <c r="I1025" i="5" s="1"/>
  <c r="Q993" i="5"/>
  <c r="J993" i="5"/>
  <c r="E993" i="5"/>
  <c r="I993" i="5" s="1"/>
  <c r="Q977" i="5"/>
  <c r="J977" i="5"/>
  <c r="E977" i="5"/>
  <c r="I977" i="5" s="1"/>
  <c r="Q961" i="5"/>
  <c r="J961" i="5"/>
  <c r="E961" i="5"/>
  <c r="I961" i="5" s="1"/>
  <c r="Q945" i="5"/>
  <c r="J945" i="5"/>
  <c r="E945" i="5"/>
  <c r="I945" i="5" s="1"/>
  <c r="Q929" i="5"/>
  <c r="J929" i="5"/>
  <c r="E929" i="5"/>
  <c r="I929" i="5" s="1"/>
  <c r="Q913" i="5"/>
  <c r="J913" i="5"/>
  <c r="E913" i="5"/>
  <c r="I913" i="5" s="1"/>
  <c r="Q897" i="5"/>
  <c r="J897" i="5"/>
  <c r="E897" i="5"/>
  <c r="I897" i="5" s="1"/>
  <c r="Q881" i="5"/>
  <c r="J881" i="5"/>
  <c r="E881" i="5"/>
  <c r="I881" i="5" s="1"/>
  <c r="Q865" i="5"/>
  <c r="J865" i="5"/>
  <c r="E865" i="5"/>
  <c r="I865" i="5" s="1"/>
  <c r="Q849" i="5"/>
  <c r="J849" i="5"/>
  <c r="E849" i="5"/>
  <c r="Q833" i="5"/>
  <c r="J833" i="5"/>
  <c r="E833" i="5"/>
  <c r="I833" i="5" s="1"/>
  <c r="Q817" i="5"/>
  <c r="J817" i="5"/>
  <c r="E817" i="5"/>
  <c r="I817" i="5" s="1"/>
  <c r="Q801" i="5"/>
  <c r="J801" i="5"/>
  <c r="E801" i="5"/>
  <c r="I801" i="5" s="1"/>
  <c r="Q785" i="5"/>
  <c r="J785" i="5"/>
  <c r="E785" i="5"/>
  <c r="Q769" i="5"/>
  <c r="J769" i="5"/>
  <c r="E769" i="5"/>
  <c r="I769" i="5" s="1"/>
  <c r="Q753" i="5"/>
  <c r="J753" i="5"/>
  <c r="E753" i="5"/>
  <c r="I753" i="5" s="1"/>
  <c r="Q737" i="5"/>
  <c r="J737" i="5"/>
  <c r="E737" i="5"/>
  <c r="I737" i="5" s="1"/>
  <c r="Q721" i="5"/>
  <c r="J721" i="5"/>
  <c r="E721" i="5"/>
  <c r="I721" i="5" s="1"/>
  <c r="Q705" i="5"/>
  <c r="J705" i="5"/>
  <c r="E705" i="5"/>
  <c r="I705" i="5" s="1"/>
  <c r="Q689" i="5"/>
  <c r="J689" i="5"/>
  <c r="E689" i="5"/>
  <c r="I689" i="5" s="1"/>
  <c r="Q673" i="5"/>
  <c r="J673" i="5"/>
  <c r="E673" i="5"/>
  <c r="I673" i="5" s="1"/>
  <c r="Q657" i="5"/>
  <c r="J657" i="5"/>
  <c r="E657" i="5"/>
  <c r="I657" i="5" s="1"/>
  <c r="Q641" i="5"/>
  <c r="J641" i="5"/>
  <c r="E641" i="5"/>
  <c r="I641" i="5" s="1"/>
  <c r="Q625" i="5"/>
  <c r="J625" i="5"/>
  <c r="E625" i="5"/>
  <c r="I625" i="5" s="1"/>
  <c r="Q609" i="5"/>
  <c r="J609" i="5"/>
  <c r="E609" i="5"/>
  <c r="I609" i="5" s="1"/>
  <c r="Q593" i="5"/>
  <c r="J593" i="5"/>
  <c r="E593" i="5"/>
  <c r="I593" i="5" s="1"/>
  <c r="Q577" i="5"/>
  <c r="J577" i="5"/>
  <c r="E577" i="5"/>
  <c r="I577" i="5" s="1"/>
  <c r="Q561" i="5"/>
  <c r="J561" i="5"/>
  <c r="E561" i="5"/>
  <c r="I561" i="5" s="1"/>
  <c r="Q545" i="5"/>
  <c r="E545" i="5"/>
  <c r="I545" i="5" s="1"/>
  <c r="J545" i="5"/>
  <c r="Q529" i="5"/>
  <c r="E529" i="5"/>
  <c r="I529" i="5" s="1"/>
  <c r="J529" i="5"/>
  <c r="Q513" i="5"/>
  <c r="E513" i="5"/>
  <c r="I513" i="5" s="1"/>
  <c r="J513" i="5"/>
  <c r="Q497" i="5"/>
  <c r="E497" i="5"/>
  <c r="I497" i="5" s="1"/>
  <c r="J497" i="5"/>
  <c r="Q481" i="5"/>
  <c r="E481" i="5"/>
  <c r="I481" i="5" s="1"/>
  <c r="J481" i="5"/>
  <c r="Q465" i="5"/>
  <c r="E465" i="5"/>
  <c r="I465" i="5" s="1"/>
  <c r="J465" i="5"/>
  <c r="Q449" i="5"/>
  <c r="E449" i="5"/>
  <c r="I449" i="5" s="1"/>
  <c r="J449" i="5"/>
  <c r="Q385" i="5"/>
  <c r="E385" i="5"/>
  <c r="I385" i="5" s="1"/>
  <c r="J385" i="5"/>
  <c r="Q369" i="5"/>
  <c r="J369" i="5"/>
  <c r="E369" i="5"/>
  <c r="I369" i="5" s="1"/>
  <c r="Q337" i="5"/>
  <c r="J337" i="5"/>
  <c r="E337" i="5"/>
  <c r="I337" i="5" s="1"/>
  <c r="Q289" i="5"/>
  <c r="J289" i="5"/>
  <c r="E289" i="5"/>
  <c r="I289" i="5" s="1"/>
  <c r="Q273" i="5"/>
  <c r="J273" i="5"/>
  <c r="E273" i="5"/>
  <c r="I273" i="5" s="1"/>
  <c r="Q257" i="5"/>
  <c r="J257" i="5"/>
  <c r="E257" i="5"/>
  <c r="I257" i="5" s="1"/>
  <c r="Q225" i="5"/>
  <c r="J225" i="5"/>
  <c r="E225" i="5"/>
  <c r="I225" i="5" s="1"/>
  <c r="Q209" i="5"/>
  <c r="J209" i="5"/>
  <c r="E209" i="5"/>
  <c r="I209" i="5" s="1"/>
  <c r="Q161" i="5"/>
  <c r="J161" i="5"/>
  <c r="E161" i="5"/>
  <c r="I161" i="5" s="1"/>
  <c r="Q145" i="5"/>
  <c r="J145" i="5"/>
  <c r="E145" i="5"/>
  <c r="I145" i="5" s="1"/>
  <c r="Q129" i="5"/>
  <c r="J129" i="5"/>
  <c r="E129" i="5"/>
  <c r="I129" i="5" s="1"/>
  <c r="Q97" i="5"/>
  <c r="J97" i="5"/>
  <c r="E97" i="5"/>
  <c r="I97" i="5" s="1"/>
  <c r="Q33" i="5"/>
  <c r="J33" i="5"/>
  <c r="E33" i="5"/>
  <c r="I33" i="5" s="1"/>
  <c r="Q999" i="5"/>
  <c r="J999" i="5"/>
  <c r="E999" i="5"/>
  <c r="I999" i="5" s="1"/>
  <c r="Q911" i="5"/>
  <c r="J911" i="5"/>
  <c r="E911" i="5"/>
  <c r="I911" i="5" s="1"/>
  <c r="Q831" i="5"/>
  <c r="J831" i="5"/>
  <c r="E831" i="5"/>
  <c r="I831" i="5" s="1"/>
  <c r="Q763" i="5"/>
  <c r="J763" i="5"/>
  <c r="E763" i="5"/>
  <c r="I763" i="5" s="1"/>
  <c r="Q691" i="5"/>
  <c r="J691" i="5"/>
  <c r="E691" i="5"/>
  <c r="Q611" i="5"/>
  <c r="J611" i="5"/>
  <c r="E611" i="5"/>
  <c r="I611" i="5" s="1"/>
  <c r="Q531" i="5"/>
  <c r="J531" i="5"/>
  <c r="E531" i="5"/>
  <c r="I531" i="5" s="1"/>
  <c r="Q20" i="5"/>
  <c r="J20" i="5"/>
  <c r="E20" i="5"/>
  <c r="Q1012" i="5"/>
  <c r="E1012" i="5"/>
  <c r="I1012" i="5" s="1"/>
  <c r="J1012" i="5"/>
  <c r="Q996" i="5"/>
  <c r="E996" i="5"/>
  <c r="I996" i="5" s="1"/>
  <c r="J996" i="5"/>
  <c r="Q964" i="5"/>
  <c r="E964" i="5"/>
  <c r="I964" i="5" s="1"/>
  <c r="J964" i="5"/>
  <c r="Q948" i="5"/>
  <c r="E948" i="5"/>
  <c r="I948" i="5" s="1"/>
  <c r="J948" i="5"/>
  <c r="Q932" i="5"/>
  <c r="E932" i="5"/>
  <c r="I932" i="5" s="1"/>
  <c r="J932" i="5"/>
  <c r="Q916" i="5"/>
  <c r="E916" i="5"/>
  <c r="I916" i="5" s="1"/>
  <c r="J916" i="5"/>
  <c r="Q900" i="5"/>
  <c r="E900" i="5"/>
  <c r="I900" i="5" s="1"/>
  <c r="J900" i="5"/>
  <c r="Q884" i="5"/>
  <c r="E884" i="5"/>
  <c r="I884" i="5" s="1"/>
  <c r="J884" i="5"/>
  <c r="Q868" i="5"/>
  <c r="E868" i="5"/>
  <c r="I868" i="5" s="1"/>
  <c r="J868" i="5"/>
  <c r="Q852" i="5"/>
  <c r="E852" i="5"/>
  <c r="I852" i="5" s="1"/>
  <c r="J852" i="5"/>
  <c r="Q836" i="5"/>
  <c r="E836" i="5"/>
  <c r="I836" i="5" s="1"/>
  <c r="J836" i="5"/>
  <c r="Q820" i="5"/>
  <c r="E820" i="5"/>
  <c r="I820" i="5" s="1"/>
  <c r="J820" i="5"/>
  <c r="Q804" i="5"/>
  <c r="E804" i="5"/>
  <c r="I804" i="5" s="1"/>
  <c r="J804" i="5"/>
  <c r="Q788" i="5"/>
  <c r="E788" i="5"/>
  <c r="I788" i="5" s="1"/>
  <c r="J788" i="5"/>
  <c r="Q772" i="5"/>
  <c r="J772" i="5"/>
  <c r="E772" i="5"/>
  <c r="I772" i="5" s="1"/>
  <c r="Q756" i="5"/>
  <c r="J756" i="5"/>
  <c r="E756" i="5"/>
  <c r="I756" i="5" s="1"/>
  <c r="Q740" i="5"/>
  <c r="J740" i="5"/>
  <c r="E740" i="5"/>
  <c r="Q724" i="5"/>
  <c r="J724" i="5"/>
  <c r="E724" i="5"/>
  <c r="I724" i="5" s="1"/>
  <c r="Q708" i="5"/>
  <c r="J708" i="5"/>
  <c r="E708" i="5"/>
  <c r="I708" i="5" s="1"/>
  <c r="Q692" i="5"/>
  <c r="J692" i="5"/>
  <c r="E692" i="5"/>
  <c r="I692" i="5" s="1"/>
  <c r="Q676" i="5"/>
  <c r="J676" i="5"/>
  <c r="E676" i="5"/>
  <c r="I676" i="5" s="1"/>
  <c r="Q660" i="5"/>
  <c r="J660" i="5"/>
  <c r="E660" i="5"/>
  <c r="I660" i="5" s="1"/>
  <c r="Q644" i="5"/>
  <c r="J644" i="5"/>
  <c r="E644" i="5"/>
  <c r="I644" i="5" s="1"/>
  <c r="Q628" i="5"/>
  <c r="J628" i="5"/>
  <c r="E628" i="5"/>
  <c r="I628" i="5" s="1"/>
  <c r="Q612" i="5"/>
  <c r="E612" i="5"/>
  <c r="I612" i="5" s="1"/>
  <c r="J612" i="5"/>
  <c r="Q596" i="5"/>
  <c r="E596" i="5"/>
  <c r="I596" i="5" s="1"/>
  <c r="J596" i="5"/>
  <c r="Q580" i="5"/>
  <c r="E580" i="5"/>
  <c r="I580" i="5" s="1"/>
  <c r="J580" i="5"/>
  <c r="Q564" i="5"/>
  <c r="E564" i="5"/>
  <c r="I564" i="5" s="1"/>
  <c r="J564" i="5"/>
  <c r="Q532" i="5"/>
  <c r="J532" i="5"/>
  <c r="E532" i="5"/>
  <c r="I532" i="5" s="1"/>
  <c r="Q516" i="5"/>
  <c r="J516" i="5"/>
  <c r="E516" i="5"/>
  <c r="I516" i="5" s="1"/>
  <c r="Q500" i="5"/>
  <c r="J500" i="5"/>
  <c r="E500" i="5"/>
  <c r="I500" i="5" s="1"/>
  <c r="Q484" i="5"/>
  <c r="J484" i="5"/>
  <c r="E484" i="5"/>
  <c r="I484" i="5" s="1"/>
  <c r="Q468" i="5"/>
  <c r="J468" i="5"/>
  <c r="E468" i="5"/>
  <c r="I468" i="5" s="1"/>
  <c r="Q452" i="5"/>
  <c r="J452" i="5"/>
  <c r="E452" i="5"/>
  <c r="I452" i="5" s="1"/>
  <c r="Q388" i="5"/>
  <c r="J388" i="5"/>
  <c r="E388" i="5"/>
  <c r="I388" i="5" s="1"/>
  <c r="Q372" i="5"/>
  <c r="J372" i="5"/>
  <c r="E372" i="5"/>
  <c r="I372" i="5" s="1"/>
  <c r="Q340" i="5"/>
  <c r="J340" i="5"/>
  <c r="E340" i="5"/>
  <c r="I340" i="5" s="1"/>
  <c r="Q308" i="5"/>
  <c r="J308" i="5"/>
  <c r="E308" i="5"/>
  <c r="I308" i="5" s="1"/>
  <c r="Q292" i="5"/>
  <c r="J292" i="5"/>
  <c r="E292" i="5"/>
  <c r="I292" i="5" s="1"/>
  <c r="Q276" i="5"/>
  <c r="J276" i="5"/>
  <c r="E276" i="5"/>
  <c r="I276" i="5" s="1"/>
  <c r="Q260" i="5"/>
  <c r="J260" i="5"/>
  <c r="E260" i="5"/>
  <c r="I260" i="5" s="1"/>
  <c r="Q148" i="5"/>
  <c r="J148" i="5"/>
  <c r="E148" i="5"/>
  <c r="I148" i="5" s="1"/>
  <c r="Q132" i="5"/>
  <c r="J132" i="5"/>
  <c r="E132" i="5"/>
  <c r="I132" i="5" s="1"/>
  <c r="Q100" i="5"/>
  <c r="J100" i="5"/>
  <c r="E100" i="5"/>
  <c r="I100" i="5" s="1"/>
  <c r="Q68" i="5"/>
  <c r="J68" i="5"/>
  <c r="E68" i="5"/>
  <c r="I68" i="5" s="1"/>
  <c r="Q36" i="5"/>
  <c r="J36" i="5"/>
  <c r="E36" i="5"/>
  <c r="I36" i="5" s="1"/>
  <c r="Q1023" i="5"/>
  <c r="J1023" i="5"/>
  <c r="E1023" i="5"/>
  <c r="I1023" i="5" s="1"/>
  <c r="Q839" i="5"/>
  <c r="J839" i="5"/>
  <c r="E839" i="5"/>
  <c r="I839" i="5" s="1"/>
  <c r="Q743" i="5"/>
  <c r="J743" i="5"/>
  <c r="E743" i="5"/>
  <c r="I743" i="5" s="1"/>
  <c r="Q667" i="5"/>
  <c r="J667" i="5"/>
  <c r="E667" i="5"/>
  <c r="I667" i="5" s="1"/>
  <c r="Q483" i="5"/>
  <c r="J483" i="5"/>
  <c r="E483" i="5"/>
  <c r="I483" i="5" s="1"/>
  <c r="Q263" i="5"/>
  <c r="J263" i="5"/>
  <c r="E263" i="5"/>
  <c r="I263" i="5" s="1"/>
  <c r="Q187" i="5"/>
  <c r="J187" i="5"/>
  <c r="E187" i="5"/>
  <c r="I187" i="5" s="1"/>
  <c r="Q123" i="5"/>
  <c r="J123" i="5"/>
  <c r="E123" i="5"/>
  <c r="I123" i="5" s="1"/>
  <c r="Q107" i="5"/>
  <c r="J107" i="5"/>
  <c r="E107" i="5"/>
  <c r="I107" i="5" s="1"/>
  <c r="Q35" i="5"/>
  <c r="J35" i="5"/>
  <c r="E35" i="5"/>
  <c r="I35" i="5" s="1"/>
  <c r="Q1027" i="5"/>
  <c r="J1027" i="5"/>
  <c r="E1027" i="5"/>
  <c r="I1027" i="5" s="1"/>
  <c r="Q963" i="5"/>
  <c r="J963" i="5"/>
  <c r="E963" i="5"/>
  <c r="I963" i="5" s="1"/>
  <c r="Q907" i="5"/>
  <c r="J907" i="5"/>
  <c r="E907" i="5"/>
  <c r="I907" i="5" s="1"/>
  <c r="Q851" i="5"/>
  <c r="J851" i="5"/>
  <c r="E851" i="5"/>
  <c r="I851" i="5" s="1"/>
  <c r="Q783" i="5"/>
  <c r="J783" i="5"/>
  <c r="E783" i="5"/>
  <c r="I783" i="5" s="1"/>
  <c r="Q715" i="5"/>
  <c r="J715" i="5"/>
  <c r="E715" i="5"/>
  <c r="I715" i="5" s="1"/>
  <c r="Q643" i="5"/>
  <c r="J643" i="5"/>
  <c r="E643" i="5"/>
  <c r="Q587" i="5"/>
  <c r="J587" i="5"/>
  <c r="E587" i="5"/>
  <c r="I587" i="5" s="1"/>
  <c r="Q523" i="5"/>
  <c r="J523" i="5"/>
  <c r="E523" i="5"/>
  <c r="I523" i="5" s="1"/>
  <c r="Q463" i="5"/>
  <c r="J463" i="5"/>
  <c r="E463" i="5"/>
  <c r="I463" i="5" s="1"/>
  <c r="Q307" i="5"/>
  <c r="J307" i="5"/>
  <c r="E307" i="5"/>
  <c r="I307" i="5" s="1"/>
  <c r="Q259" i="5"/>
  <c r="J259" i="5"/>
  <c r="E259" i="5"/>
  <c r="I259" i="5" s="1"/>
  <c r="Q207" i="5"/>
  <c r="J207" i="5"/>
  <c r="E207" i="5"/>
  <c r="I207" i="5" s="1"/>
  <c r="Q159" i="5"/>
  <c r="J159" i="5"/>
  <c r="E159" i="5"/>
  <c r="I159" i="5" s="1"/>
  <c r="Q1014" i="5"/>
  <c r="J1014" i="5"/>
  <c r="E1014" i="5"/>
  <c r="Q930" i="5"/>
  <c r="J930" i="5"/>
  <c r="E930" i="5"/>
  <c r="I930" i="5" s="1"/>
  <c r="Q538" i="5"/>
  <c r="J538" i="5"/>
  <c r="E538" i="5"/>
  <c r="I538" i="5" s="1"/>
  <c r="Q522" i="5"/>
  <c r="J522" i="5"/>
  <c r="E522" i="5"/>
  <c r="I522" i="5" s="1"/>
  <c r="Q502" i="5"/>
  <c r="J502" i="5"/>
  <c r="E502" i="5"/>
  <c r="I502" i="5" s="1"/>
  <c r="Q486" i="5"/>
  <c r="J486" i="5"/>
  <c r="E486" i="5"/>
  <c r="I486" i="5" s="1"/>
  <c r="Q470" i="5"/>
  <c r="J470" i="5"/>
  <c r="E470" i="5"/>
  <c r="I470" i="5" s="1"/>
  <c r="Q454" i="5"/>
  <c r="J454" i="5"/>
  <c r="E454" i="5"/>
  <c r="I454" i="5" s="1"/>
  <c r="Q390" i="5"/>
  <c r="J390" i="5"/>
  <c r="E390" i="5"/>
  <c r="I390" i="5" s="1"/>
  <c r="Q374" i="5"/>
  <c r="J374" i="5"/>
  <c r="E374" i="5"/>
  <c r="I374" i="5" s="1"/>
  <c r="Q342" i="5"/>
  <c r="J342" i="5"/>
  <c r="E342" i="5"/>
  <c r="I342" i="5" s="1"/>
  <c r="Q310" i="5"/>
  <c r="J310" i="5"/>
  <c r="E310" i="5"/>
  <c r="I310" i="5" s="1"/>
  <c r="Q294" i="5"/>
  <c r="J294" i="5"/>
  <c r="E294" i="5"/>
  <c r="I294" i="5" s="1"/>
  <c r="Q278" i="5"/>
  <c r="J278" i="5"/>
  <c r="E278" i="5"/>
  <c r="I278" i="5" s="1"/>
  <c r="Q262" i="5"/>
  <c r="J262" i="5"/>
  <c r="E262" i="5"/>
  <c r="I262" i="5" s="1"/>
  <c r="Q182" i="5"/>
  <c r="J182" i="5"/>
  <c r="E182" i="5"/>
  <c r="I182" i="5" s="1"/>
  <c r="Q166" i="5"/>
  <c r="J166" i="5"/>
  <c r="E166" i="5"/>
  <c r="I166" i="5" s="1"/>
  <c r="Q134" i="5"/>
  <c r="J134" i="5"/>
  <c r="E134" i="5"/>
  <c r="I134" i="5" s="1"/>
  <c r="Q118" i="5"/>
  <c r="J118" i="5"/>
  <c r="E118" i="5"/>
  <c r="I118" i="5" s="1"/>
  <c r="Q102" i="5"/>
  <c r="J102" i="5"/>
  <c r="E102" i="5"/>
  <c r="I102" i="5" s="1"/>
  <c r="Q70" i="5"/>
  <c r="J70" i="5"/>
  <c r="E70" i="5"/>
  <c r="I70" i="5" s="1"/>
  <c r="Q38" i="5"/>
  <c r="J38" i="5"/>
  <c r="E38" i="5"/>
  <c r="I38" i="5" s="1"/>
  <c r="Q987" i="5"/>
  <c r="J987" i="5"/>
  <c r="E987" i="5"/>
  <c r="I987" i="5" s="1"/>
  <c r="Q943" i="5"/>
  <c r="J943" i="5"/>
  <c r="E943" i="5"/>
  <c r="I943" i="5" s="1"/>
  <c r="Q899" i="5"/>
  <c r="J899" i="5"/>
  <c r="E899" i="5"/>
  <c r="I899" i="5" s="1"/>
  <c r="Q855" i="5"/>
  <c r="J855" i="5"/>
  <c r="E855" i="5"/>
  <c r="Q807" i="5"/>
  <c r="J807" i="5"/>
  <c r="E807" i="5"/>
  <c r="Q759" i="5"/>
  <c r="J759" i="5"/>
  <c r="E759" i="5"/>
  <c r="I759" i="5" s="1"/>
  <c r="Q719" i="5"/>
  <c r="J719" i="5"/>
  <c r="E719" i="5"/>
  <c r="I719" i="5" s="1"/>
  <c r="Q671" i="5"/>
  <c r="J671" i="5"/>
  <c r="E671" i="5"/>
  <c r="I671" i="5" s="1"/>
  <c r="Q623" i="5"/>
  <c r="J623" i="5"/>
  <c r="E623" i="5"/>
  <c r="I623" i="5" s="1"/>
  <c r="Q579" i="5"/>
  <c r="J579" i="5"/>
  <c r="E579" i="5"/>
  <c r="I579" i="5" s="1"/>
  <c r="Q543" i="5"/>
  <c r="J543" i="5"/>
  <c r="E543" i="5"/>
  <c r="I543" i="5" s="1"/>
  <c r="Q499" i="5"/>
  <c r="J499" i="5"/>
  <c r="E499" i="5"/>
  <c r="I499" i="5" s="1"/>
  <c r="Q459" i="5"/>
  <c r="J459" i="5"/>
  <c r="E459" i="5"/>
  <c r="I459" i="5" s="1"/>
  <c r="Q379" i="5"/>
  <c r="J379" i="5"/>
  <c r="E379" i="5"/>
  <c r="I379" i="5" s="1"/>
  <c r="Q315" i="5"/>
  <c r="J315" i="5"/>
  <c r="E315" i="5"/>
  <c r="I315" i="5" s="1"/>
  <c r="Q251" i="5"/>
  <c r="J251" i="5"/>
  <c r="E251" i="5"/>
  <c r="I251" i="5" s="1"/>
  <c r="Q183" i="5"/>
  <c r="J183" i="5"/>
  <c r="E183" i="5"/>
  <c r="I183" i="5" s="1"/>
  <c r="Q151" i="5"/>
  <c r="J151" i="5"/>
  <c r="E151" i="5"/>
  <c r="I151" i="5" s="1"/>
  <c r="Q1002" i="5"/>
  <c r="J1002" i="5"/>
  <c r="E1002" i="5"/>
  <c r="I1002" i="5" s="1"/>
  <c r="Q982" i="5"/>
  <c r="J982" i="5"/>
  <c r="E982" i="5"/>
  <c r="Q962" i="5"/>
  <c r="J962" i="5"/>
  <c r="E962" i="5"/>
  <c r="I962" i="5" s="1"/>
  <c r="Q926" i="5"/>
  <c r="J926" i="5"/>
  <c r="E926" i="5"/>
  <c r="I926" i="5" s="1"/>
  <c r="Q910" i="5"/>
  <c r="J910" i="5"/>
  <c r="E910" i="5"/>
  <c r="I910" i="5" s="1"/>
  <c r="Q894" i="5"/>
  <c r="J894" i="5"/>
  <c r="E894" i="5"/>
  <c r="I894" i="5" s="1"/>
  <c r="Q878" i="5"/>
  <c r="J878" i="5"/>
  <c r="E878" i="5"/>
  <c r="I878" i="5" s="1"/>
  <c r="Q862" i="5"/>
  <c r="J862" i="5"/>
  <c r="E862" i="5"/>
  <c r="I862" i="5" s="1"/>
  <c r="Q846" i="5"/>
  <c r="J846" i="5"/>
  <c r="E846" i="5"/>
  <c r="I846" i="5" s="1"/>
  <c r="Q830" i="5"/>
  <c r="J830" i="5"/>
  <c r="E830" i="5"/>
  <c r="I830" i="5" s="1"/>
  <c r="Q814" i="5"/>
  <c r="J814" i="5"/>
  <c r="E814" i="5"/>
  <c r="Q798" i="5"/>
  <c r="J798" i="5"/>
  <c r="E798" i="5"/>
  <c r="Q782" i="5"/>
  <c r="J782" i="5"/>
  <c r="E782" i="5"/>
  <c r="Q766" i="5"/>
  <c r="J766" i="5"/>
  <c r="E766" i="5"/>
  <c r="I766" i="5" s="1"/>
  <c r="Q750" i="5"/>
  <c r="J750" i="5"/>
  <c r="E750" i="5"/>
  <c r="Q734" i="5"/>
  <c r="J734" i="5"/>
  <c r="E734" i="5"/>
  <c r="I734" i="5" s="1"/>
  <c r="Q718" i="5"/>
  <c r="J718" i="5"/>
  <c r="E718" i="5"/>
  <c r="I718" i="5" s="1"/>
  <c r="Q702" i="5"/>
  <c r="J702" i="5"/>
  <c r="E702" i="5"/>
  <c r="I702" i="5" s="1"/>
  <c r="Q686" i="5"/>
  <c r="J686" i="5"/>
  <c r="E686" i="5"/>
  <c r="Q670" i="5"/>
  <c r="J670" i="5"/>
  <c r="E670" i="5"/>
  <c r="Q654" i="5"/>
  <c r="J654" i="5"/>
  <c r="E654" i="5"/>
  <c r="Q638" i="5"/>
  <c r="J638" i="5"/>
  <c r="E638" i="5"/>
  <c r="I638" i="5" s="1"/>
  <c r="Q622" i="5"/>
  <c r="J622" i="5"/>
  <c r="E622" i="5"/>
  <c r="Q606" i="5"/>
  <c r="J606" i="5"/>
  <c r="E606" i="5"/>
  <c r="I606" i="5" s="1"/>
  <c r="Q590" i="5"/>
  <c r="J590" i="5"/>
  <c r="E590" i="5"/>
  <c r="I590" i="5" s="1"/>
  <c r="Q562" i="5"/>
  <c r="E562" i="5"/>
  <c r="I562" i="5" s="1"/>
  <c r="J562" i="5"/>
  <c r="Q1021" i="5"/>
  <c r="J1021" i="5"/>
  <c r="E1021" i="5"/>
  <c r="Q1005" i="5"/>
  <c r="J1005" i="5"/>
  <c r="E1005" i="5"/>
  <c r="I1005" i="5" s="1"/>
  <c r="Q989" i="5"/>
  <c r="J989" i="5"/>
  <c r="E989" i="5"/>
  <c r="I989" i="5" s="1"/>
  <c r="Q957" i="5"/>
  <c r="J957" i="5"/>
  <c r="E957" i="5"/>
  <c r="I957" i="5" s="1"/>
  <c r="Q941" i="5"/>
  <c r="J941" i="5"/>
  <c r="E941" i="5"/>
  <c r="I941" i="5" s="1"/>
  <c r="Q925" i="5"/>
  <c r="J925" i="5"/>
  <c r="E925" i="5"/>
  <c r="I925" i="5" s="1"/>
  <c r="Q909" i="5"/>
  <c r="J909" i="5"/>
  <c r="E909" i="5"/>
  <c r="I909" i="5" s="1"/>
  <c r="Q893" i="5"/>
  <c r="J893" i="5"/>
  <c r="E893" i="5"/>
  <c r="I893" i="5" s="1"/>
  <c r="Q877" i="5"/>
  <c r="J877" i="5"/>
  <c r="E877" i="5"/>
  <c r="I877" i="5" s="1"/>
  <c r="Q861" i="5"/>
  <c r="J861" i="5"/>
  <c r="E861" i="5"/>
  <c r="I861" i="5" s="1"/>
  <c r="Q845" i="5"/>
  <c r="J845" i="5"/>
  <c r="E845" i="5"/>
  <c r="I845" i="5" s="1"/>
  <c r="Q829" i="5"/>
  <c r="J829" i="5"/>
  <c r="E829" i="5"/>
  <c r="I829" i="5" s="1"/>
  <c r="Q813" i="5"/>
  <c r="J813" i="5"/>
  <c r="E813" i="5"/>
  <c r="I813" i="5" s="1"/>
  <c r="Q797" i="5"/>
  <c r="J797" i="5"/>
  <c r="E797" i="5"/>
  <c r="I797" i="5" s="1"/>
  <c r="Q781" i="5"/>
  <c r="J781" i="5"/>
  <c r="E781" i="5"/>
  <c r="I781" i="5" s="1"/>
  <c r="Q765" i="5"/>
  <c r="J765" i="5"/>
  <c r="E765" i="5"/>
  <c r="Q749" i="5"/>
  <c r="J749" i="5"/>
  <c r="E749" i="5"/>
  <c r="Q717" i="5"/>
  <c r="J717" i="5"/>
  <c r="E717" i="5"/>
  <c r="I717" i="5" s="1"/>
  <c r="Q701" i="5"/>
  <c r="J701" i="5"/>
  <c r="E701" i="5"/>
  <c r="Q685" i="5"/>
  <c r="J685" i="5"/>
  <c r="E685" i="5"/>
  <c r="I685" i="5" s="1"/>
  <c r="Q653" i="5"/>
  <c r="J653" i="5"/>
  <c r="E653" i="5"/>
  <c r="I653" i="5" s="1"/>
  <c r="Q637" i="5"/>
  <c r="J637" i="5"/>
  <c r="E637" i="5"/>
  <c r="Q621" i="5"/>
  <c r="J621" i="5"/>
  <c r="E621" i="5"/>
  <c r="I621" i="5" s="1"/>
  <c r="Q605" i="5"/>
  <c r="J605" i="5"/>
  <c r="E605" i="5"/>
  <c r="I605" i="5" s="1"/>
  <c r="Q589" i="5"/>
  <c r="J589" i="5"/>
  <c r="E589" i="5"/>
  <c r="I589" i="5" s="1"/>
  <c r="Q573" i="5"/>
  <c r="J573" i="5"/>
  <c r="E573" i="5"/>
  <c r="I573" i="5" s="1"/>
  <c r="Q541" i="5"/>
  <c r="J541" i="5"/>
  <c r="E541" i="5"/>
  <c r="I541" i="5" s="1"/>
  <c r="Q525" i="5"/>
  <c r="J525" i="5"/>
  <c r="E525" i="5"/>
  <c r="I525" i="5" s="1"/>
  <c r="Q509" i="5"/>
  <c r="J509" i="5"/>
  <c r="E509" i="5"/>
  <c r="I509" i="5" s="1"/>
  <c r="Q493" i="5"/>
  <c r="J493" i="5"/>
  <c r="E493" i="5"/>
  <c r="I493" i="5" s="1"/>
  <c r="Q477" i="5"/>
  <c r="J477" i="5"/>
  <c r="E477" i="5"/>
  <c r="I477" i="5" s="1"/>
  <c r="Q461" i="5"/>
  <c r="J461" i="5"/>
  <c r="E461" i="5"/>
  <c r="I461" i="5" s="1"/>
  <c r="Q445" i="5"/>
  <c r="J445" i="5"/>
  <c r="E445" i="5"/>
  <c r="I445" i="5" s="1"/>
  <c r="Q381" i="5"/>
  <c r="J381" i="5"/>
  <c r="E381" i="5"/>
  <c r="I381" i="5" s="1"/>
  <c r="Q317" i="5"/>
  <c r="J317" i="5"/>
  <c r="E317" i="5"/>
  <c r="I317" i="5" s="1"/>
  <c r="Q301" i="5"/>
  <c r="J301" i="5"/>
  <c r="E301" i="5"/>
  <c r="I301" i="5" s="1"/>
  <c r="Q285" i="5"/>
  <c r="J285" i="5"/>
  <c r="E285" i="5"/>
  <c r="I285" i="5" s="1"/>
  <c r="Q253" i="5"/>
  <c r="J253" i="5"/>
  <c r="E253" i="5"/>
  <c r="I253" i="5" s="1"/>
  <c r="Q157" i="5"/>
  <c r="J157" i="5"/>
  <c r="E157" i="5"/>
  <c r="I157" i="5" s="1"/>
  <c r="Q125" i="5"/>
  <c r="J125" i="5"/>
  <c r="E125" i="5"/>
  <c r="I125" i="5" s="1"/>
  <c r="Q109" i="5"/>
  <c r="J109" i="5"/>
  <c r="E109" i="5"/>
  <c r="I109" i="5" s="1"/>
  <c r="Q93" i="5"/>
  <c r="J93" i="5"/>
  <c r="E93" i="5"/>
  <c r="I93" i="5" s="1"/>
  <c r="Q29" i="5"/>
  <c r="J29" i="5"/>
  <c r="E29" i="5"/>
  <c r="I29" i="5" s="1"/>
  <c r="AP1016" i="2"/>
  <c r="AP1004" i="2"/>
  <c r="AP992" i="2"/>
  <c r="AP980" i="2"/>
  <c r="AP968" i="2"/>
  <c r="AP956" i="2"/>
  <c r="AP944" i="2"/>
  <c r="AP932" i="2"/>
  <c r="AP920" i="2"/>
  <c r="AP908" i="2"/>
  <c r="AP896" i="2"/>
  <c r="AP884" i="2"/>
  <c r="AP872" i="2"/>
  <c r="AP860" i="2"/>
  <c r="AP848" i="2"/>
  <c r="AP836" i="2"/>
  <c r="AP824" i="2"/>
  <c r="AP812" i="2"/>
  <c r="AP800" i="2"/>
  <c r="AP788" i="2"/>
  <c r="AP776" i="2"/>
  <c r="AP764" i="2"/>
  <c r="AP752" i="2"/>
  <c r="AP740" i="2"/>
  <c r="AP728" i="2"/>
  <c r="AP716" i="2"/>
  <c r="AP704" i="2"/>
  <c r="AP692" i="2"/>
  <c r="AP680" i="2"/>
  <c r="AP668" i="2"/>
  <c r="AP656" i="2"/>
  <c r="AP644" i="2"/>
  <c r="AP632" i="2"/>
  <c r="AP620" i="2"/>
  <c r="AP608" i="2"/>
  <c r="AP596" i="2"/>
  <c r="AP584" i="2"/>
  <c r="AP572" i="2"/>
  <c r="AP560" i="2"/>
  <c r="AP548" i="2"/>
  <c r="AP536" i="2"/>
  <c r="AP524" i="2"/>
  <c r="AP512" i="2"/>
  <c r="AP500" i="2"/>
  <c r="AP488" i="2"/>
  <c r="AP476" i="2"/>
  <c r="AP464" i="2"/>
  <c r="AP452" i="2"/>
  <c r="AP440" i="2"/>
  <c r="AP428" i="2"/>
  <c r="AP416" i="2"/>
  <c r="AP404" i="2"/>
  <c r="AP392" i="2"/>
  <c r="AP380" i="2"/>
  <c r="AP368" i="2"/>
  <c r="AP356" i="2"/>
  <c r="AP344" i="2"/>
  <c r="AP332" i="2"/>
  <c r="AP320" i="2"/>
  <c r="AP308" i="2"/>
  <c r="AP296" i="2"/>
  <c r="AP284" i="2"/>
  <c r="AP272" i="2"/>
  <c r="AP260" i="2"/>
  <c r="AP248" i="2"/>
  <c r="AP236" i="2"/>
  <c r="AP224" i="2"/>
  <c r="AP212" i="2"/>
  <c r="AP200" i="2"/>
  <c r="AP188" i="2"/>
  <c r="AP176" i="2"/>
  <c r="AP164" i="2"/>
  <c r="AP152" i="2"/>
  <c r="AP140" i="2"/>
  <c r="AP128" i="2"/>
  <c r="AP116" i="2"/>
  <c r="AP104" i="2"/>
  <c r="AP92" i="2"/>
  <c r="AP80" i="2"/>
  <c r="AP68" i="2"/>
  <c r="AP56" i="2"/>
  <c r="AP44" i="2"/>
  <c r="AP32" i="2"/>
  <c r="AP20" i="2"/>
  <c r="AR20" i="2" s="1"/>
  <c r="E632" i="5" l="1"/>
  <c r="I632" i="5" s="1"/>
  <c r="BJ992" i="5"/>
  <c r="Q122" i="5"/>
  <c r="Q177" i="5"/>
  <c r="Q141" i="5"/>
  <c r="J241" i="5"/>
  <c r="E333" i="5"/>
  <c r="I333" i="5" s="1"/>
  <c r="J150" i="5"/>
  <c r="Q519" i="5"/>
  <c r="BJ669" i="5"/>
  <c r="J116" i="5"/>
  <c r="J286" i="5"/>
  <c r="E1004" i="5"/>
  <c r="I1004" i="5" s="1"/>
  <c r="Q981" i="5"/>
  <c r="BJ946" i="5"/>
  <c r="E180" i="5"/>
  <c r="I180" i="5" s="1"/>
  <c r="J425" i="5"/>
  <c r="Q426" i="5"/>
  <c r="BJ421" i="5"/>
  <c r="E24" i="5"/>
  <c r="I24" i="5" s="1"/>
  <c r="J94" i="5"/>
  <c r="J186" i="5"/>
  <c r="E980" i="5"/>
  <c r="I980" i="5" s="1"/>
  <c r="E775" i="5"/>
  <c r="I775" i="5" s="1"/>
  <c r="Q49" i="5"/>
  <c r="Q41" i="5"/>
  <c r="BJ985" i="5"/>
  <c r="J305" i="5"/>
  <c r="Q923" i="5"/>
  <c r="Q520" i="5"/>
  <c r="Q417" i="5"/>
  <c r="E419" i="5"/>
  <c r="I419" i="5" s="1"/>
  <c r="BJ427" i="5"/>
  <c r="J422" i="5"/>
  <c r="BJ942" i="5"/>
  <c r="Q203" i="5"/>
  <c r="BJ411" i="5"/>
  <c r="J152" i="5"/>
  <c r="E124" i="5"/>
  <c r="I124" i="5" s="1"/>
  <c r="E815" i="5"/>
  <c r="I815" i="5" s="1"/>
  <c r="BJ847" i="5"/>
  <c r="BJ279" i="5"/>
  <c r="BJ674" i="5"/>
  <c r="Q158" i="5"/>
  <c r="J297" i="5"/>
  <c r="E269" i="5"/>
  <c r="I269" i="5" s="1"/>
  <c r="BJ111" i="5"/>
  <c r="J455" i="5"/>
  <c r="E113" i="5"/>
  <c r="I113" i="5" s="1"/>
  <c r="J77" i="5"/>
  <c r="BJ424" i="5"/>
  <c r="E423" i="5"/>
  <c r="I423" i="5" s="1"/>
  <c r="J418" i="5"/>
  <c r="E420" i="5"/>
  <c r="I420" i="5" s="1"/>
  <c r="Q205" i="5"/>
  <c r="Q973" i="5"/>
  <c r="BJ733" i="5"/>
  <c r="BJ795" i="5"/>
  <c r="BJ1009" i="5"/>
  <c r="Q30" i="5"/>
  <c r="BJ99" i="5"/>
  <c r="BJ583" i="5"/>
  <c r="Q75" i="5"/>
  <c r="Q290" i="5"/>
  <c r="E103" i="5"/>
  <c r="I103" i="5" s="1"/>
  <c r="BJ711" i="5"/>
  <c r="J22" i="5"/>
  <c r="E252" i="5"/>
  <c r="I252" i="5" s="1"/>
  <c r="Q416" i="5"/>
  <c r="J426" i="5"/>
  <c r="J424" i="5"/>
  <c r="J419" i="5"/>
  <c r="Q992" i="5"/>
  <c r="J180" i="5"/>
  <c r="Q286" i="5"/>
  <c r="J203" i="5"/>
  <c r="E847" i="5"/>
  <c r="I847" i="5" s="1"/>
  <c r="Q269" i="5"/>
  <c r="Q113" i="5"/>
  <c r="Q942" i="5"/>
  <c r="Q815" i="5"/>
  <c r="J674" i="5"/>
  <c r="J158" i="5"/>
  <c r="K718" i="5"/>
  <c r="BJ520" i="5"/>
  <c r="K1022" i="5"/>
  <c r="K844" i="5"/>
  <c r="K983" i="5"/>
  <c r="K734" i="5"/>
  <c r="K720" i="5"/>
  <c r="K784" i="5"/>
  <c r="Q455" i="5"/>
  <c r="K856" i="5"/>
  <c r="K805" i="5"/>
  <c r="K868" i="5"/>
  <c r="K893" i="5"/>
  <c r="K671" i="5"/>
  <c r="K851" i="5"/>
  <c r="K1023" i="5"/>
  <c r="K900" i="5"/>
  <c r="K964" i="5"/>
  <c r="K850" i="5"/>
  <c r="K866" i="5"/>
  <c r="K848" i="5"/>
  <c r="K755" i="5"/>
  <c r="K967" i="5"/>
  <c r="K623" i="5"/>
  <c r="K932" i="5"/>
  <c r="K685" i="5"/>
  <c r="K957" i="5"/>
  <c r="K1005" i="5"/>
  <c r="K846" i="5"/>
  <c r="K910" i="5"/>
  <c r="K676" i="5"/>
  <c r="K897" i="5"/>
  <c r="K913" i="5"/>
  <c r="K824" i="5"/>
  <c r="K725" i="5"/>
  <c r="K789" i="5"/>
  <c r="K869" i="5"/>
  <c r="K1013" i="5"/>
  <c r="K742" i="5"/>
  <c r="K870" i="5"/>
  <c r="K729" i="5"/>
  <c r="K857" i="5"/>
  <c r="K889" i="5"/>
  <c r="K947" i="5"/>
  <c r="K961" i="5"/>
  <c r="K977" i="5"/>
  <c r="K690" i="5"/>
  <c r="K986" i="5"/>
  <c r="K1010" i="5"/>
  <c r="K799" i="5"/>
  <c r="K859" i="5"/>
  <c r="K664" i="5"/>
  <c r="K888" i="5"/>
  <c r="K937" i="5"/>
  <c r="K634" i="5"/>
  <c r="K762" i="5"/>
  <c r="K675" i="5"/>
  <c r="K997" i="5"/>
  <c r="K726" i="5"/>
  <c r="K854" i="5"/>
  <c r="K990" i="5"/>
  <c r="K1018" i="5"/>
  <c r="K739" i="5"/>
  <c r="K700" i="5"/>
  <c r="K764" i="5"/>
  <c r="K780" i="5"/>
  <c r="K803" i="5"/>
  <c r="K704" i="5"/>
  <c r="K679" i="5"/>
  <c r="K696" i="5"/>
  <c r="K920" i="5"/>
  <c r="K931" i="5"/>
  <c r="K745" i="5"/>
  <c r="K905" i="5"/>
  <c r="K1019" i="5"/>
  <c r="K656" i="5"/>
  <c r="K629" i="5"/>
  <c r="K693" i="5"/>
  <c r="K627" i="5"/>
  <c r="K956" i="5"/>
  <c r="K665" i="5"/>
  <c r="K778" i="5"/>
  <c r="K922" i="5"/>
  <c r="K958" i="5"/>
  <c r="K703" i="5"/>
  <c r="K845" i="5"/>
  <c r="K926" i="5"/>
  <c r="K943" i="5"/>
  <c r="K999" i="5"/>
  <c r="K641" i="5"/>
  <c r="K657" i="5"/>
  <c r="K721" i="5"/>
  <c r="I740" i="5"/>
  <c r="K740" i="5" s="1"/>
  <c r="K839" i="5"/>
  <c r="K660" i="5"/>
  <c r="K831" i="5"/>
  <c r="K705" i="5"/>
  <c r="I914" i="5"/>
  <c r="K914" i="5" s="1"/>
  <c r="I681" i="5"/>
  <c r="K681" i="5" s="1"/>
  <c r="I974" i="5"/>
  <c r="K974" i="5" s="1"/>
  <c r="I751" i="5"/>
  <c r="K751" i="5" s="1"/>
  <c r="I896" i="5"/>
  <c r="K896" i="5" s="1"/>
  <c r="I933" i="5"/>
  <c r="K933" i="5" s="1"/>
  <c r="I652" i="5"/>
  <c r="K652" i="5" s="1"/>
  <c r="I727" i="5"/>
  <c r="K727" i="5" s="1"/>
  <c r="I798" i="5"/>
  <c r="K798" i="5" s="1"/>
  <c r="I982" i="5"/>
  <c r="K982" i="5" s="1"/>
  <c r="I1014" i="5"/>
  <c r="K1014" i="5" s="1"/>
  <c r="I643" i="5"/>
  <c r="K643" i="5" s="1"/>
  <c r="K836" i="5"/>
  <c r="I691" i="5"/>
  <c r="K691" i="5" s="1"/>
  <c r="I658" i="5"/>
  <c r="K658" i="5" s="1"/>
  <c r="I754" i="5"/>
  <c r="K754" i="5" s="1"/>
  <c r="K792" i="5"/>
  <c r="I895" i="5"/>
  <c r="K895" i="5" s="1"/>
  <c r="I995" i="5"/>
  <c r="K995" i="5" s="1"/>
  <c r="I919" i="5"/>
  <c r="K919" i="5" s="1"/>
  <c r="I908" i="5"/>
  <c r="K908" i="5" s="1"/>
  <c r="I682" i="5"/>
  <c r="K682" i="5" s="1"/>
  <c r="I749" i="5"/>
  <c r="K749" i="5" s="1"/>
  <c r="I670" i="5"/>
  <c r="K670" i="5" s="1"/>
  <c r="I807" i="5"/>
  <c r="K807" i="5" s="1"/>
  <c r="I654" i="5"/>
  <c r="K654" i="5" s="1"/>
  <c r="K829" i="5"/>
  <c r="I782" i="5"/>
  <c r="K782" i="5" s="1"/>
  <c r="I855" i="5"/>
  <c r="K855" i="5" s="1"/>
  <c r="I802" i="5"/>
  <c r="K802" i="5" s="1"/>
  <c r="I952" i="5"/>
  <c r="K952" i="5" s="1"/>
  <c r="I730" i="5"/>
  <c r="K730" i="5" s="1"/>
  <c r="I858" i="5"/>
  <c r="K858" i="5" s="1"/>
  <c r="I771" i="5"/>
  <c r="K771" i="5" s="1"/>
  <c r="I757" i="5"/>
  <c r="K757" i="5" s="1"/>
  <c r="I793" i="5"/>
  <c r="K793" i="5" s="1"/>
  <c r="I832" i="5"/>
  <c r="K832" i="5" s="1"/>
  <c r="I785" i="5"/>
  <c r="K785" i="5" s="1"/>
  <c r="I849" i="5"/>
  <c r="K849" i="5" s="1"/>
  <c r="I934" i="5"/>
  <c r="K934" i="5" s="1"/>
  <c r="I949" i="5"/>
  <c r="K949" i="5" s="1"/>
  <c r="I903" i="5"/>
  <c r="K903" i="5" s="1"/>
  <c r="K724" i="5"/>
  <c r="K722" i="5"/>
  <c r="K863" i="5"/>
  <c r="K635" i="5"/>
  <c r="K890" i="5"/>
  <c r="K843" i="5"/>
  <c r="K994" i="5"/>
  <c r="K683" i="5"/>
  <c r="K939" i="5"/>
  <c r="K828" i="5"/>
  <c r="K1020" i="5"/>
  <c r="K723" i="5"/>
  <c r="K827" i="5"/>
  <c r="K1002" i="5"/>
  <c r="K769" i="5"/>
  <c r="K927" i="5"/>
  <c r="K853" i="5"/>
  <c r="K909" i="5"/>
  <c r="K862" i="5"/>
  <c r="K804" i="5"/>
  <c r="K996" i="5"/>
  <c r="K833" i="5"/>
  <c r="K1025" i="5"/>
  <c r="K786" i="5"/>
  <c r="K728" i="5"/>
  <c r="K760" i="5"/>
  <c r="K984" i="5"/>
  <c r="K1016" i="5"/>
  <c r="K809" i="5"/>
  <c r="K960" i="5"/>
  <c r="K661" i="5"/>
  <c r="K875" i="5"/>
  <c r="K636" i="5"/>
  <c r="K892" i="5"/>
  <c r="K650" i="5"/>
  <c r="K976" i="5"/>
  <c r="K662" i="5"/>
  <c r="K678" i="5"/>
  <c r="K790" i="5"/>
  <c r="K806" i="5"/>
  <c r="K918" i="5"/>
  <c r="K938" i="5"/>
  <c r="K716" i="5"/>
  <c r="K972" i="5"/>
  <c r="K810" i="5"/>
  <c r="K747" i="5"/>
  <c r="K891" i="5"/>
  <c r="J583" i="5"/>
  <c r="J30" i="5"/>
  <c r="E973" i="5"/>
  <c r="I973" i="5" s="1"/>
  <c r="E22" i="5"/>
  <c r="I22" i="5" s="1"/>
  <c r="E1009" i="5"/>
  <c r="I1009" i="5" s="1"/>
  <c r="J290" i="5"/>
  <c r="J75" i="5"/>
  <c r="E795" i="5"/>
  <c r="I795" i="5" s="1"/>
  <c r="E41" i="5"/>
  <c r="I41" i="5" s="1"/>
  <c r="Q94" i="5"/>
  <c r="J775" i="5"/>
  <c r="K775" i="5" s="1"/>
  <c r="J24" i="5"/>
  <c r="Q124" i="5"/>
  <c r="Q116" i="5"/>
  <c r="BJ1004" i="5"/>
  <c r="BJ519" i="5"/>
  <c r="E669" i="5"/>
  <c r="I669" i="5" s="1"/>
  <c r="J333" i="5"/>
  <c r="K333" i="5" s="1"/>
  <c r="Q241" i="5"/>
  <c r="E122" i="5"/>
  <c r="I122" i="5" s="1"/>
  <c r="Q632" i="5"/>
  <c r="E141" i="5"/>
  <c r="I141" i="5" s="1"/>
  <c r="E946" i="5"/>
  <c r="I946" i="5" s="1"/>
  <c r="Q150" i="5"/>
  <c r="J1004" i="5"/>
  <c r="K1004" i="5" s="1"/>
  <c r="J141" i="5"/>
  <c r="Q180" i="5"/>
  <c r="E177" i="5"/>
  <c r="I177" i="5" s="1"/>
  <c r="J122" i="5"/>
  <c r="E519" i="5"/>
  <c r="I519" i="5" s="1"/>
  <c r="Q1004" i="5"/>
  <c r="BJ981" i="5"/>
  <c r="Q333" i="5"/>
  <c r="J669" i="5"/>
  <c r="E981" i="5"/>
  <c r="I981" i="5" s="1"/>
  <c r="Q669" i="5"/>
  <c r="Q946" i="5"/>
  <c r="E150" i="5"/>
  <c r="I150" i="5" s="1"/>
  <c r="E116" i="5"/>
  <c r="I116" i="5" s="1"/>
  <c r="J177" i="5"/>
  <c r="E241" i="5"/>
  <c r="I241" i="5" s="1"/>
  <c r="J632" i="5"/>
  <c r="K632" i="5" s="1"/>
  <c r="J992" i="5"/>
  <c r="J519" i="5"/>
  <c r="J981" i="5"/>
  <c r="E286" i="5"/>
  <c r="I286" i="5" s="1"/>
  <c r="BJ632" i="5"/>
  <c r="J946" i="5"/>
  <c r="E992" i="5"/>
  <c r="I992" i="5" s="1"/>
  <c r="Q711" i="5"/>
  <c r="Q99" i="5"/>
  <c r="Q305" i="5"/>
  <c r="Q186" i="5"/>
  <c r="B72" i="3"/>
  <c r="B29" i="8" s="1"/>
  <c r="E923" i="5"/>
  <c r="I923" i="5" s="1"/>
  <c r="Q980" i="5"/>
  <c r="Q985" i="5"/>
  <c r="G91" i="3"/>
  <c r="B48" i="9" s="1"/>
  <c r="G101" i="3"/>
  <c r="B58" i="9" s="1"/>
  <c r="E49" i="5"/>
  <c r="I49" i="5" s="1"/>
  <c r="Q775" i="5"/>
  <c r="Q24" i="5"/>
  <c r="E520" i="5"/>
  <c r="I520" i="5" s="1"/>
  <c r="J41" i="5"/>
  <c r="G108" i="3"/>
  <c r="B65" i="9" s="1"/>
  <c r="G75" i="3"/>
  <c r="B32" i="9" s="1"/>
  <c r="G71" i="3"/>
  <c r="B28" i="9" s="1"/>
  <c r="BJ775" i="5"/>
  <c r="BJ980" i="5"/>
  <c r="J923" i="5"/>
  <c r="J980" i="5"/>
  <c r="K980" i="5" s="1"/>
  <c r="J49" i="5"/>
  <c r="E305" i="5"/>
  <c r="I305" i="5" s="1"/>
  <c r="E186" i="5"/>
  <c r="I186" i="5" s="1"/>
  <c r="J520" i="5"/>
  <c r="E94" i="5"/>
  <c r="I94" i="5" s="1"/>
  <c r="E985" i="5"/>
  <c r="I985" i="5" s="1"/>
  <c r="G92" i="3"/>
  <c r="B49" i="9" s="1"/>
  <c r="G86" i="3"/>
  <c r="B43" i="9" s="1"/>
  <c r="J985" i="5"/>
  <c r="B78" i="3"/>
  <c r="B35" i="8" s="1"/>
  <c r="G107" i="3"/>
  <c r="B64" i="9" s="1"/>
  <c r="G117" i="3"/>
  <c r="B74" i="9" s="1"/>
  <c r="Q77" i="5"/>
  <c r="J269" i="5"/>
  <c r="K269" i="5" s="1"/>
  <c r="Q279" i="5"/>
  <c r="J113" i="5"/>
  <c r="E674" i="5"/>
  <c r="I674" i="5" s="1"/>
  <c r="Q111" i="5"/>
  <c r="E203" i="5"/>
  <c r="I203" i="5" s="1"/>
  <c r="Q152" i="5"/>
  <c r="Q847" i="5"/>
  <c r="Q297" i="5"/>
  <c r="J942" i="5"/>
  <c r="J815" i="5"/>
  <c r="K815" i="5" s="1"/>
  <c r="E158" i="5"/>
  <c r="I158" i="5" s="1"/>
  <c r="J124" i="5"/>
  <c r="E455" i="5"/>
  <c r="I455" i="5" s="1"/>
  <c r="E77" i="5"/>
  <c r="I77" i="5" s="1"/>
  <c r="E279" i="5"/>
  <c r="I279" i="5" s="1"/>
  <c r="Q674" i="5"/>
  <c r="E111" i="5"/>
  <c r="I111" i="5" s="1"/>
  <c r="E152" i="5"/>
  <c r="I152" i="5" s="1"/>
  <c r="J847" i="5"/>
  <c r="K847" i="5" s="1"/>
  <c r="E297" i="5"/>
  <c r="I297" i="5" s="1"/>
  <c r="J279" i="5"/>
  <c r="J111" i="5"/>
  <c r="E942" i="5"/>
  <c r="I942" i="5" s="1"/>
  <c r="Q22" i="5"/>
  <c r="Q1009" i="5"/>
  <c r="J103" i="5"/>
  <c r="E99" i="5"/>
  <c r="I99" i="5" s="1"/>
  <c r="E711" i="5"/>
  <c r="I711" i="5" s="1"/>
  <c r="J252" i="5"/>
  <c r="E583" i="5"/>
  <c r="I583" i="5" s="1"/>
  <c r="E290" i="5"/>
  <c r="I290" i="5" s="1"/>
  <c r="Q103" i="5"/>
  <c r="E30" i="5"/>
  <c r="E75" i="5"/>
  <c r="I75" i="5" s="1"/>
  <c r="J99" i="5"/>
  <c r="J711" i="5"/>
  <c r="Q252" i="5"/>
  <c r="BJ75" i="5"/>
  <c r="Q583" i="5"/>
  <c r="J1009" i="5"/>
  <c r="B73" i="3"/>
  <c r="B30" i="8" s="1"/>
  <c r="G76" i="3"/>
  <c r="B33" i="9" s="1"/>
  <c r="G102" i="3"/>
  <c r="B59" i="9" s="1"/>
  <c r="G85" i="3"/>
  <c r="B42" i="9" s="1"/>
  <c r="J795" i="5"/>
  <c r="BJ973" i="5"/>
  <c r="E205" i="5"/>
  <c r="I205" i="5" s="1"/>
  <c r="E733" i="5"/>
  <c r="I733" i="5" s="1"/>
  <c r="J205" i="5"/>
  <c r="J733" i="5"/>
  <c r="J973" i="5"/>
  <c r="Q733" i="5"/>
  <c r="Q795" i="5"/>
  <c r="B74" i="3"/>
  <c r="B31" i="8" s="1"/>
  <c r="B75" i="3"/>
  <c r="B32" i="8" s="1"/>
  <c r="B71" i="3"/>
  <c r="B28" i="8" s="1"/>
  <c r="G104" i="3"/>
  <c r="B61" i="9" s="1"/>
  <c r="G88" i="3"/>
  <c r="B45" i="9" s="1"/>
  <c r="G72" i="3"/>
  <c r="B29" i="9" s="1"/>
  <c r="G103" i="3"/>
  <c r="B60" i="9" s="1"/>
  <c r="G87" i="3"/>
  <c r="B44" i="9" s="1"/>
  <c r="G114" i="3"/>
  <c r="B71" i="9" s="1"/>
  <c r="G98" i="3"/>
  <c r="B55" i="9" s="1"/>
  <c r="G82" i="3"/>
  <c r="B39" i="9" s="1"/>
  <c r="G113" i="3"/>
  <c r="B70" i="9" s="1"/>
  <c r="G97" i="3"/>
  <c r="B54" i="9" s="1"/>
  <c r="G81" i="3"/>
  <c r="B38" i="9" s="1"/>
  <c r="B81" i="3"/>
  <c r="B38" i="8" s="1"/>
  <c r="B80" i="3"/>
  <c r="B37" i="8" s="1"/>
  <c r="G116" i="3"/>
  <c r="B73" i="9" s="1"/>
  <c r="G100" i="3"/>
  <c r="B57" i="9" s="1"/>
  <c r="G84" i="3"/>
  <c r="B41" i="9" s="1"/>
  <c r="G115" i="3"/>
  <c r="B72" i="9" s="1"/>
  <c r="G99" i="3"/>
  <c r="B56" i="9" s="1"/>
  <c r="G83" i="3"/>
  <c r="B40" i="9" s="1"/>
  <c r="G110" i="3"/>
  <c r="B67" i="9" s="1"/>
  <c r="G94" i="3"/>
  <c r="B51" i="9" s="1"/>
  <c r="G78" i="3"/>
  <c r="B35" i="9" s="1"/>
  <c r="G109" i="3"/>
  <c r="B66" i="9" s="1"/>
  <c r="G93" i="3"/>
  <c r="B50" i="9" s="1"/>
  <c r="G77" i="3"/>
  <c r="B34" i="9" s="1"/>
  <c r="B79" i="3"/>
  <c r="B36" i="8" s="1"/>
  <c r="B77" i="3"/>
  <c r="B34" i="8" s="1"/>
  <c r="B76" i="3"/>
  <c r="B33" i="8" s="1"/>
  <c r="G112" i="3"/>
  <c r="B69" i="9" s="1"/>
  <c r="G96" i="3"/>
  <c r="B53" i="9" s="1"/>
  <c r="G80" i="3"/>
  <c r="B37" i="9" s="1"/>
  <c r="G111" i="3"/>
  <c r="B68" i="9" s="1"/>
  <c r="G95" i="3"/>
  <c r="B52" i="9" s="1"/>
  <c r="G79" i="3"/>
  <c r="B36" i="9" s="1"/>
  <c r="G106" i="3"/>
  <c r="B63" i="9" s="1"/>
  <c r="G90" i="3"/>
  <c r="B47" i="9" s="1"/>
  <c r="G74" i="3"/>
  <c r="B31" i="9" s="1"/>
  <c r="G105" i="3"/>
  <c r="B62" i="9" s="1"/>
  <c r="G89" i="3"/>
  <c r="B46" i="9" s="1"/>
  <c r="I765" i="5"/>
  <c r="K765" i="5"/>
  <c r="I701" i="5"/>
  <c r="K701" i="5" s="1"/>
  <c r="I1021" i="5"/>
  <c r="K1021" i="5" s="1"/>
  <c r="I686" i="5"/>
  <c r="K686" i="5"/>
  <c r="I750" i="5"/>
  <c r="K750" i="5" s="1"/>
  <c r="I814" i="5"/>
  <c r="K814" i="5" s="1"/>
  <c r="I622" i="5"/>
  <c r="K622" i="5" s="1"/>
  <c r="I637" i="5"/>
  <c r="K637" i="5" s="1"/>
  <c r="I950" i="5"/>
  <c r="K950" i="5" s="1"/>
  <c r="I823" i="5"/>
  <c r="I975" i="5"/>
  <c r="K975" i="5" s="1"/>
  <c r="I767" i="5"/>
  <c r="K767" i="5" s="1"/>
  <c r="K797" i="5"/>
  <c r="K813" i="5"/>
  <c r="K877" i="5"/>
  <c r="K941" i="5"/>
  <c r="K638" i="5"/>
  <c r="K702" i="5"/>
  <c r="K766" i="5"/>
  <c r="K830" i="5"/>
  <c r="K894" i="5"/>
  <c r="K962" i="5"/>
  <c r="K987" i="5"/>
  <c r="K930" i="5"/>
  <c r="K907" i="5"/>
  <c r="K788" i="5"/>
  <c r="K852" i="5"/>
  <c r="K916" i="5"/>
  <c r="K911" i="5"/>
  <c r="I818" i="5"/>
  <c r="K818" i="5" s="1"/>
  <c r="I882" i="5"/>
  <c r="K882" i="5" s="1"/>
  <c r="K731" i="5"/>
  <c r="K955" i="5"/>
  <c r="I1003" i="5"/>
  <c r="K1003" i="5" s="1"/>
  <c r="I735" i="5"/>
  <c r="K735" i="5" s="1"/>
  <c r="K653" i="5"/>
  <c r="K717" i="5"/>
  <c r="K781" i="5"/>
  <c r="K878" i="5"/>
  <c r="K719" i="5"/>
  <c r="K899" i="5"/>
  <c r="K783" i="5"/>
  <c r="K1027" i="5"/>
  <c r="K743" i="5"/>
  <c r="K644" i="5"/>
  <c r="K708" i="5"/>
  <c r="K772" i="5"/>
  <c r="K763" i="5"/>
  <c r="K625" i="5"/>
  <c r="K689" i="5"/>
  <c r="K753" i="5"/>
  <c r="K817" i="5"/>
  <c r="K881" i="5"/>
  <c r="K945" i="5"/>
  <c r="I898" i="5"/>
  <c r="K898" i="5" s="1"/>
  <c r="I966" i="5"/>
  <c r="K966" i="5" s="1"/>
  <c r="K823" i="5"/>
  <c r="K915" i="5"/>
  <c r="I1026" i="5"/>
  <c r="K1026" i="5" s="1"/>
  <c r="I871" i="5"/>
  <c r="K871" i="5" s="1"/>
  <c r="K861" i="5"/>
  <c r="K925" i="5"/>
  <c r="K989" i="5"/>
  <c r="K759" i="5"/>
  <c r="K715" i="5"/>
  <c r="K963" i="5"/>
  <c r="K667" i="5"/>
  <c r="K628" i="5"/>
  <c r="K692" i="5"/>
  <c r="K756" i="5"/>
  <c r="K820" i="5"/>
  <c r="K884" i="5"/>
  <c r="K948" i="5"/>
  <c r="K1012" i="5"/>
  <c r="K673" i="5"/>
  <c r="K737" i="5"/>
  <c r="K801" i="5"/>
  <c r="K865" i="5"/>
  <c r="K929" i="5"/>
  <c r="K993" i="5"/>
  <c r="K626" i="5"/>
  <c r="I642" i="5"/>
  <c r="K642" i="5" s="1"/>
  <c r="I706" i="5"/>
  <c r="K706" i="5" s="1"/>
  <c r="I738" i="5"/>
  <c r="K738" i="5" s="1"/>
  <c r="I770" i="5"/>
  <c r="K770" i="5" s="1"/>
  <c r="I834" i="5"/>
  <c r="K834" i="5" s="1"/>
  <c r="I639" i="5"/>
  <c r="K639" i="5" s="1"/>
  <c r="I951" i="5"/>
  <c r="K951" i="5" s="1"/>
  <c r="K707" i="5"/>
  <c r="K969" i="5"/>
  <c r="K666" i="5"/>
  <c r="K794" i="5"/>
  <c r="K906" i="5"/>
  <c r="K651" i="5"/>
  <c r="K837" i="5"/>
  <c r="I917" i="5"/>
  <c r="K917" i="5" s="1"/>
  <c r="I646" i="5"/>
  <c r="K646" i="5" s="1"/>
  <c r="I710" i="5"/>
  <c r="K710" i="5" s="1"/>
  <c r="I774" i="5"/>
  <c r="K774" i="5" s="1"/>
  <c r="I838" i="5"/>
  <c r="K838" i="5" s="1"/>
  <c r="I902" i="5"/>
  <c r="K902" i="5" s="1"/>
  <c r="I970" i="5"/>
  <c r="K970" i="5" s="1"/>
  <c r="I883" i="5"/>
  <c r="K883" i="5" s="1"/>
  <c r="K648" i="5"/>
  <c r="K712" i="5"/>
  <c r="K776" i="5"/>
  <c r="K840" i="5"/>
  <c r="K904" i="5"/>
  <c r="K968" i="5"/>
  <c r="K1015" i="5"/>
  <c r="K713" i="5"/>
  <c r="K841" i="5"/>
  <c r="K1001" i="5"/>
  <c r="K935" i="5"/>
  <c r="K631" i="5"/>
  <c r="K1007" i="5"/>
  <c r="K688" i="5"/>
  <c r="K816" i="5"/>
  <c r="K928" i="5"/>
  <c r="K819" i="5"/>
  <c r="K645" i="5"/>
  <c r="K709" i="5"/>
  <c r="K773" i="5"/>
  <c r="K821" i="5"/>
  <c r="K885" i="5"/>
  <c r="K971" i="5"/>
  <c r="I1011" i="5"/>
  <c r="K1011" i="5" s="1"/>
  <c r="I879" i="5"/>
  <c r="K879" i="5" s="1"/>
  <c r="I901" i="5"/>
  <c r="K901" i="5" s="1"/>
  <c r="I965" i="5"/>
  <c r="K965" i="5" s="1"/>
  <c r="I630" i="5"/>
  <c r="K630" i="5" s="1"/>
  <c r="I694" i="5"/>
  <c r="K694" i="5" s="1"/>
  <c r="I758" i="5"/>
  <c r="K758" i="5" s="1"/>
  <c r="I822" i="5"/>
  <c r="K822" i="5" s="1"/>
  <c r="I886" i="5"/>
  <c r="K886" i="5" s="1"/>
  <c r="I954" i="5"/>
  <c r="K954" i="5" s="1"/>
  <c r="I647" i="5"/>
  <c r="K647" i="5" s="1"/>
  <c r="I791" i="5"/>
  <c r="K791" i="5" s="1"/>
  <c r="I684" i="5"/>
  <c r="K684" i="5" s="1"/>
  <c r="K978" i="5"/>
  <c r="K663" i="5"/>
  <c r="K687" i="5"/>
  <c r="K680" i="5"/>
  <c r="K744" i="5"/>
  <c r="K808" i="5"/>
  <c r="K872" i="5"/>
  <c r="K936" i="5"/>
  <c r="K1000" i="5"/>
  <c r="K779" i="5"/>
  <c r="K649" i="5"/>
  <c r="K777" i="5"/>
  <c r="K873" i="5"/>
  <c r="K698" i="5"/>
  <c r="K826" i="5"/>
  <c r="K655" i="5"/>
  <c r="K624" i="5"/>
  <c r="K752" i="5"/>
  <c r="K864" i="5"/>
  <c r="K979" i="5"/>
  <c r="K677" i="5"/>
  <c r="K741" i="5"/>
  <c r="I695" i="5"/>
  <c r="K695" i="5" s="1"/>
  <c r="I835" i="5"/>
  <c r="K835" i="5" s="1"/>
  <c r="K811" i="5"/>
  <c r="K787" i="5"/>
  <c r="K860" i="5"/>
  <c r="K924" i="5"/>
  <c r="K988" i="5"/>
  <c r="K867" i="5"/>
  <c r="K959" i="5"/>
  <c r="K697" i="5"/>
  <c r="K921" i="5"/>
  <c r="K1017" i="5"/>
  <c r="K714" i="5"/>
  <c r="K842" i="5"/>
  <c r="K998" i="5"/>
  <c r="K887" i="5"/>
  <c r="K736" i="5"/>
  <c r="K880" i="5"/>
  <c r="K1008" i="5"/>
  <c r="K991" i="5"/>
  <c r="K668" i="5"/>
  <c r="K732" i="5"/>
  <c r="K796" i="5"/>
  <c r="K633" i="5"/>
  <c r="K761" i="5"/>
  <c r="K672" i="5"/>
  <c r="K800" i="5"/>
  <c r="K944" i="5"/>
  <c r="K748" i="5"/>
  <c r="K812" i="5"/>
  <c r="K876" i="5"/>
  <c r="K940" i="5"/>
  <c r="K659" i="5"/>
  <c r="K825" i="5"/>
  <c r="K953" i="5"/>
  <c r="K746" i="5"/>
  <c r="K874" i="5"/>
  <c r="K1006" i="5"/>
  <c r="K699" i="5"/>
  <c r="K640" i="5"/>
  <c r="K768" i="5"/>
  <c r="K912" i="5"/>
  <c r="K1024" i="5"/>
  <c r="J423" i="5"/>
  <c r="K423" i="5" s="1"/>
  <c r="E427" i="5"/>
  <c r="I427" i="5" s="1"/>
  <c r="Q420" i="5"/>
  <c r="E426" i="5"/>
  <c r="I426" i="5" s="1"/>
  <c r="E424" i="5"/>
  <c r="I424" i="5" s="1"/>
  <c r="Q418" i="5"/>
  <c r="E416" i="5"/>
  <c r="I416" i="5" s="1"/>
  <c r="J420" i="5"/>
  <c r="K420" i="5" s="1"/>
  <c r="Q424" i="5"/>
  <c r="Q421" i="5"/>
  <c r="E417" i="5"/>
  <c r="I417" i="5" s="1"/>
  <c r="Q419" i="5"/>
  <c r="E425" i="5"/>
  <c r="I425" i="5" s="1"/>
  <c r="Q326" i="5"/>
  <c r="Q422" i="5"/>
  <c r="E421" i="5"/>
  <c r="I421" i="5" s="1"/>
  <c r="J421" i="5"/>
  <c r="BJ425" i="5"/>
  <c r="J416" i="5"/>
  <c r="BJ416" i="5"/>
  <c r="J330" i="5"/>
  <c r="K330" i="5" s="1"/>
  <c r="E418" i="5"/>
  <c r="I418" i="5" s="1"/>
  <c r="BJ418" i="5"/>
  <c r="E422" i="5"/>
  <c r="I422" i="5" s="1"/>
  <c r="Q423" i="5"/>
  <c r="J427" i="5"/>
  <c r="Q425" i="5"/>
  <c r="BJ423" i="5"/>
  <c r="Q427" i="5"/>
  <c r="E326" i="5"/>
  <c r="I326" i="5" s="1"/>
  <c r="J436" i="5"/>
  <c r="J328" i="5"/>
  <c r="J439" i="5"/>
  <c r="BJ428" i="5"/>
  <c r="J331" i="5"/>
  <c r="E325" i="5"/>
  <c r="I325" i="5" s="1"/>
  <c r="J438" i="5"/>
  <c r="K438" i="5" s="1"/>
  <c r="Q330" i="5"/>
  <c r="E320" i="5"/>
  <c r="I320" i="5" s="1"/>
  <c r="J326" i="5"/>
  <c r="Q320" i="5"/>
  <c r="Q324" i="5"/>
  <c r="E321" i="5"/>
  <c r="I321" i="5" s="1"/>
  <c r="Q329" i="5"/>
  <c r="Q327" i="5"/>
  <c r="E331" i="5"/>
  <c r="I331" i="5" s="1"/>
  <c r="Q322" i="5"/>
  <c r="J431" i="5"/>
  <c r="E327" i="5"/>
  <c r="I327" i="5" s="1"/>
  <c r="Q331" i="5"/>
  <c r="J428" i="5"/>
  <c r="K428" i="5" s="1"/>
  <c r="E322" i="5"/>
  <c r="I322" i="5" s="1"/>
  <c r="BJ327" i="5"/>
  <c r="Q431" i="5"/>
  <c r="Q430" i="5"/>
  <c r="Q428" i="5"/>
  <c r="Q323" i="5"/>
  <c r="Q325" i="5"/>
  <c r="E436" i="5"/>
  <c r="I436" i="5" s="1"/>
  <c r="E328" i="5"/>
  <c r="I328" i="5" s="1"/>
  <c r="E439" i="5"/>
  <c r="I439" i="5" s="1"/>
  <c r="J323" i="5"/>
  <c r="K323" i="5" s="1"/>
  <c r="Q439" i="5"/>
  <c r="J321" i="5"/>
  <c r="E324" i="5"/>
  <c r="I324" i="5" s="1"/>
  <c r="J324" i="5"/>
  <c r="Q321" i="5"/>
  <c r="E329" i="5"/>
  <c r="I329" i="5" s="1"/>
  <c r="J329" i="5"/>
  <c r="J434" i="5"/>
  <c r="K434" i="5" s="1"/>
  <c r="Q434" i="5"/>
  <c r="BJ434" i="5"/>
  <c r="E430" i="5"/>
  <c r="I430" i="5" s="1"/>
  <c r="Q436" i="5"/>
  <c r="E431" i="5"/>
  <c r="I431" i="5" s="1"/>
  <c r="J430" i="5"/>
  <c r="E432" i="5"/>
  <c r="I432" i="5" s="1"/>
  <c r="Q438" i="5"/>
  <c r="J432" i="5"/>
  <c r="BJ438" i="5"/>
  <c r="BJ351" i="5"/>
  <c r="BG25" i="5"/>
  <c r="Q358" i="5"/>
  <c r="Q366" i="5"/>
  <c r="J361" i="5"/>
  <c r="E367" i="5"/>
  <c r="I367" i="5" s="1"/>
  <c r="Q549" i="5"/>
  <c r="Q359" i="5"/>
  <c r="Q363" i="5"/>
  <c r="Q360" i="5"/>
  <c r="E364" i="5"/>
  <c r="I364" i="5" s="1"/>
  <c r="Q365" i="5"/>
  <c r="Q362" i="5"/>
  <c r="J356" i="5"/>
  <c r="Q357" i="5"/>
  <c r="E358" i="5"/>
  <c r="I358" i="5" s="1"/>
  <c r="J358" i="5"/>
  <c r="E357" i="5"/>
  <c r="I357" i="5" s="1"/>
  <c r="Q356" i="5"/>
  <c r="J357" i="5"/>
  <c r="J366" i="5"/>
  <c r="J365" i="5"/>
  <c r="E356" i="5"/>
  <c r="I356" i="5" s="1"/>
  <c r="E549" i="5"/>
  <c r="I549" i="5" s="1"/>
  <c r="E359" i="5"/>
  <c r="I359" i="5" s="1"/>
  <c r="J367" i="5"/>
  <c r="E366" i="5"/>
  <c r="I366" i="5" s="1"/>
  <c r="J359" i="5"/>
  <c r="E360" i="5"/>
  <c r="I360" i="5" s="1"/>
  <c r="J549" i="5"/>
  <c r="E363" i="5"/>
  <c r="I363" i="5" s="1"/>
  <c r="J360" i="5"/>
  <c r="J363" i="5"/>
  <c r="J364" i="5"/>
  <c r="E361" i="5"/>
  <c r="I361" i="5" s="1"/>
  <c r="Q361" i="5"/>
  <c r="Q367" i="5"/>
  <c r="Q364" i="5"/>
  <c r="E362" i="5"/>
  <c r="I362" i="5" s="1"/>
  <c r="E365" i="5"/>
  <c r="I365" i="5" s="1"/>
  <c r="J362" i="5"/>
  <c r="E550" i="5"/>
  <c r="I550" i="5" s="1"/>
  <c r="Q548" i="5"/>
  <c r="E556" i="5"/>
  <c r="I556" i="5" s="1"/>
  <c r="Q550" i="5"/>
  <c r="J550" i="5"/>
  <c r="E239" i="5"/>
  <c r="I239" i="5" s="1"/>
  <c r="Q245" i="5"/>
  <c r="J227" i="5"/>
  <c r="J234" i="5"/>
  <c r="J54" i="5"/>
  <c r="E90" i="5"/>
  <c r="I90" i="5" s="1"/>
  <c r="E91" i="5"/>
  <c r="I91" i="5" s="1"/>
  <c r="Q403" i="5"/>
  <c r="E410" i="5"/>
  <c r="I410" i="5" s="1"/>
  <c r="J414" i="5"/>
  <c r="Q188" i="5"/>
  <c r="J189" i="5"/>
  <c r="Q198" i="5"/>
  <c r="E215" i="5"/>
  <c r="I215" i="5" s="1"/>
  <c r="Q220" i="5"/>
  <c r="E175" i="5"/>
  <c r="I175" i="5" s="1"/>
  <c r="J164" i="5"/>
  <c r="Q345" i="5"/>
  <c r="E349" i="5"/>
  <c r="I349" i="5" s="1"/>
  <c r="E353" i="5"/>
  <c r="I353" i="5" s="1"/>
  <c r="Q244" i="5"/>
  <c r="Q242" i="5"/>
  <c r="Q230" i="5"/>
  <c r="E235" i="5"/>
  <c r="I235" i="5" s="1"/>
  <c r="J50" i="5"/>
  <c r="Q66" i="5"/>
  <c r="Q398" i="5"/>
  <c r="Q402" i="5"/>
  <c r="E415" i="5"/>
  <c r="I415" i="5" s="1"/>
  <c r="J197" i="5"/>
  <c r="E199" i="5"/>
  <c r="I199" i="5" s="1"/>
  <c r="Q194" i="5"/>
  <c r="J222" i="5"/>
  <c r="J165" i="5"/>
  <c r="J174" i="5"/>
  <c r="Q168" i="5"/>
  <c r="Q558" i="5"/>
  <c r="Q554" i="5"/>
  <c r="E354" i="5"/>
  <c r="I354" i="5" s="1"/>
  <c r="J355" i="5"/>
  <c r="Q246" i="5"/>
  <c r="J228" i="5"/>
  <c r="J55" i="5"/>
  <c r="Q67" i="5"/>
  <c r="J86" i="5"/>
  <c r="E191" i="5"/>
  <c r="I191" i="5" s="1"/>
  <c r="Q190" i="5"/>
  <c r="Q196" i="5"/>
  <c r="J213" i="5"/>
  <c r="Q219" i="5"/>
  <c r="E223" i="5"/>
  <c r="I223" i="5" s="1"/>
  <c r="Q173" i="5"/>
  <c r="E170" i="5"/>
  <c r="I170" i="5" s="1"/>
  <c r="J172" i="5"/>
  <c r="J559" i="5"/>
  <c r="E352" i="5"/>
  <c r="I352" i="5" s="1"/>
  <c r="J350" i="5"/>
  <c r="J347" i="5"/>
  <c r="Q247" i="5"/>
  <c r="Q229" i="5"/>
  <c r="J62" i="5"/>
  <c r="Q218" i="5"/>
  <c r="J221" i="5"/>
  <c r="J216" i="5"/>
  <c r="J169" i="5"/>
  <c r="J167" i="5"/>
  <c r="Q551" i="5"/>
  <c r="E551" i="5"/>
  <c r="I551" i="5" s="1"/>
  <c r="Q553" i="5"/>
  <c r="J551" i="5"/>
  <c r="E437" i="5"/>
  <c r="I437" i="5" s="1"/>
  <c r="E552" i="5"/>
  <c r="I552" i="5" s="1"/>
  <c r="J437" i="5"/>
  <c r="J552" i="5"/>
  <c r="Q437" i="5"/>
  <c r="Q552" i="5"/>
  <c r="Q559" i="5"/>
  <c r="J556" i="5"/>
  <c r="Q556" i="5"/>
  <c r="J558" i="5"/>
  <c r="E554" i="5"/>
  <c r="I554" i="5" s="1"/>
  <c r="E559" i="5"/>
  <c r="I559" i="5" s="1"/>
  <c r="E558" i="5"/>
  <c r="I558" i="5" s="1"/>
  <c r="E433" i="5"/>
  <c r="I433" i="5" s="1"/>
  <c r="Q433" i="5"/>
  <c r="J554" i="5"/>
  <c r="J433" i="5"/>
  <c r="E429" i="5"/>
  <c r="I429" i="5" s="1"/>
  <c r="E557" i="5"/>
  <c r="I557" i="5" s="1"/>
  <c r="Q555" i="5"/>
  <c r="J555" i="5"/>
  <c r="J429" i="5"/>
  <c r="J557" i="5"/>
  <c r="Q429" i="5"/>
  <c r="Q557" i="5"/>
  <c r="E555" i="5"/>
  <c r="I555" i="5" s="1"/>
  <c r="E548" i="5"/>
  <c r="I548" i="5" s="1"/>
  <c r="J553" i="5"/>
  <c r="J548" i="5"/>
  <c r="E553" i="5"/>
  <c r="I553" i="5" s="1"/>
  <c r="Q167" i="5"/>
  <c r="Q169" i="5"/>
  <c r="Q164" i="5"/>
  <c r="J175" i="5"/>
  <c r="Q172" i="5"/>
  <c r="J170" i="5"/>
  <c r="E172" i="5"/>
  <c r="I172" i="5" s="1"/>
  <c r="Q170" i="5"/>
  <c r="Q175" i="5"/>
  <c r="E164" i="5"/>
  <c r="I164" i="5" s="1"/>
  <c r="E168" i="5"/>
  <c r="I168" i="5" s="1"/>
  <c r="Q165" i="5"/>
  <c r="Q174" i="5"/>
  <c r="E165" i="5"/>
  <c r="I165" i="5" s="1"/>
  <c r="E174" i="5"/>
  <c r="I174" i="5" s="1"/>
  <c r="J168" i="5"/>
  <c r="E171" i="5"/>
  <c r="I171" i="5" s="1"/>
  <c r="J171" i="5"/>
  <c r="E167" i="5"/>
  <c r="I167" i="5" s="1"/>
  <c r="Q171" i="5"/>
  <c r="E169" i="5"/>
  <c r="I169" i="5" s="1"/>
  <c r="J173" i="5"/>
  <c r="E173" i="5"/>
  <c r="I173" i="5" s="1"/>
  <c r="J215" i="5"/>
  <c r="E217" i="5"/>
  <c r="I217" i="5" s="1"/>
  <c r="Q215" i="5"/>
  <c r="J220" i="5"/>
  <c r="E220" i="5"/>
  <c r="I220" i="5" s="1"/>
  <c r="E221" i="5"/>
  <c r="I221" i="5" s="1"/>
  <c r="J219" i="5"/>
  <c r="E213" i="5"/>
  <c r="I213" i="5" s="1"/>
  <c r="Q216" i="5"/>
  <c r="Q221" i="5"/>
  <c r="E218" i="5"/>
  <c r="I218" i="5" s="1"/>
  <c r="E216" i="5"/>
  <c r="I216" i="5" s="1"/>
  <c r="Q223" i="5"/>
  <c r="J212" i="5"/>
  <c r="Q212" i="5"/>
  <c r="Q214" i="5"/>
  <c r="E212" i="5"/>
  <c r="I212" i="5" s="1"/>
  <c r="J223" i="5"/>
  <c r="Q213" i="5"/>
  <c r="E214" i="5"/>
  <c r="I214" i="5" s="1"/>
  <c r="Q222" i="5"/>
  <c r="Q217" i="5"/>
  <c r="E219" i="5"/>
  <c r="I219" i="5" s="1"/>
  <c r="J217" i="5"/>
  <c r="J214" i="5"/>
  <c r="E222" i="5"/>
  <c r="I222" i="5" s="1"/>
  <c r="J218" i="5"/>
  <c r="Q189" i="5"/>
  <c r="E198" i="5"/>
  <c r="I198" i="5" s="1"/>
  <c r="J193" i="5"/>
  <c r="E193" i="5"/>
  <c r="I193" i="5" s="1"/>
  <c r="Q193" i="5"/>
  <c r="J190" i="5"/>
  <c r="J196" i="5"/>
  <c r="Q191" i="5"/>
  <c r="J198" i="5"/>
  <c r="E188" i="5"/>
  <c r="I188" i="5" s="1"/>
  <c r="E189" i="5"/>
  <c r="I189" i="5" s="1"/>
  <c r="J188" i="5"/>
  <c r="J199" i="5"/>
  <c r="Q197" i="5"/>
  <c r="E196" i="5"/>
  <c r="I196" i="5" s="1"/>
  <c r="J191" i="5"/>
  <c r="E190" i="5"/>
  <c r="I190" i="5" s="1"/>
  <c r="E194" i="5"/>
  <c r="I194" i="5" s="1"/>
  <c r="Q199" i="5"/>
  <c r="J194" i="5"/>
  <c r="E197" i="5"/>
  <c r="I197" i="5" s="1"/>
  <c r="E195" i="5"/>
  <c r="I195" i="5" s="1"/>
  <c r="E192" i="5"/>
  <c r="I192" i="5" s="1"/>
  <c r="J195" i="5"/>
  <c r="J192" i="5"/>
  <c r="Q195" i="5"/>
  <c r="Q192" i="5"/>
  <c r="Q412" i="5"/>
  <c r="Q404" i="5"/>
  <c r="Q409" i="5"/>
  <c r="J405" i="5"/>
  <c r="E404" i="5"/>
  <c r="I404" i="5" s="1"/>
  <c r="J409" i="5"/>
  <c r="J411" i="5"/>
  <c r="E407" i="5"/>
  <c r="I407" i="5" s="1"/>
  <c r="E406" i="5"/>
  <c r="I406" i="5" s="1"/>
  <c r="J410" i="5"/>
  <c r="J406" i="5"/>
  <c r="Q410" i="5"/>
  <c r="E414" i="5"/>
  <c r="I414" i="5" s="1"/>
  <c r="Q406" i="5"/>
  <c r="Q414" i="5"/>
  <c r="J415" i="5"/>
  <c r="Q408" i="5"/>
  <c r="E409" i="5"/>
  <c r="I409" i="5" s="1"/>
  <c r="Q405" i="5"/>
  <c r="J404" i="5"/>
  <c r="E405" i="5"/>
  <c r="I405" i="5" s="1"/>
  <c r="J413" i="5"/>
  <c r="Q413" i="5"/>
  <c r="Q415" i="5"/>
  <c r="E408" i="5"/>
  <c r="I408" i="5" s="1"/>
  <c r="E413" i="5"/>
  <c r="I413" i="5" s="1"/>
  <c r="J408" i="5"/>
  <c r="Q411" i="5"/>
  <c r="Q407" i="5"/>
  <c r="J400" i="5"/>
  <c r="E412" i="5"/>
  <c r="I412" i="5" s="1"/>
  <c r="J407" i="5"/>
  <c r="E411" i="5"/>
  <c r="I411" i="5" s="1"/>
  <c r="J412" i="5"/>
  <c r="E402" i="5"/>
  <c r="I402" i="5" s="1"/>
  <c r="E398" i="5"/>
  <c r="I398" i="5" s="1"/>
  <c r="Q394" i="5"/>
  <c r="Q397" i="5"/>
  <c r="J402" i="5"/>
  <c r="J398" i="5"/>
  <c r="J393" i="5"/>
  <c r="E397" i="5"/>
  <c r="I397" i="5" s="1"/>
  <c r="J394" i="5"/>
  <c r="E400" i="5"/>
  <c r="I400" i="5" s="1"/>
  <c r="E396" i="5"/>
  <c r="I396" i="5" s="1"/>
  <c r="E393" i="5"/>
  <c r="I393" i="5" s="1"/>
  <c r="Q400" i="5"/>
  <c r="J396" i="5"/>
  <c r="E394" i="5"/>
  <c r="I394" i="5" s="1"/>
  <c r="Q396" i="5"/>
  <c r="E401" i="5"/>
  <c r="I401" i="5" s="1"/>
  <c r="J399" i="5"/>
  <c r="Q401" i="5"/>
  <c r="Q399" i="5"/>
  <c r="J397" i="5"/>
  <c r="J401" i="5"/>
  <c r="E399" i="5"/>
  <c r="I399" i="5" s="1"/>
  <c r="Q392" i="5"/>
  <c r="E395" i="5"/>
  <c r="I395" i="5" s="1"/>
  <c r="E403" i="5"/>
  <c r="I403" i="5" s="1"/>
  <c r="E392" i="5"/>
  <c r="I392" i="5" s="1"/>
  <c r="J395" i="5"/>
  <c r="J403" i="5"/>
  <c r="J392" i="5"/>
  <c r="Q395" i="5"/>
  <c r="Q393" i="5"/>
  <c r="I20" i="5"/>
  <c r="K20" i="5" s="1"/>
  <c r="G3" i="5"/>
  <c r="E84" i="5"/>
  <c r="I84" i="5" s="1"/>
  <c r="J84" i="5"/>
  <c r="E81" i="5"/>
  <c r="I81" i="5" s="1"/>
  <c r="J63" i="5"/>
  <c r="E86" i="5"/>
  <c r="I86" i="5" s="1"/>
  <c r="Q84" i="5"/>
  <c r="J81" i="5"/>
  <c r="Q86" i="5"/>
  <c r="J85" i="5"/>
  <c r="J83" i="5"/>
  <c r="G70" i="3"/>
  <c r="J88" i="5"/>
  <c r="E66" i="5"/>
  <c r="J87" i="5"/>
  <c r="J91" i="5"/>
  <c r="J90" i="5"/>
  <c r="E80" i="5"/>
  <c r="I80" i="5" s="1"/>
  <c r="E89" i="5"/>
  <c r="Q80" i="5"/>
  <c r="E83" i="5"/>
  <c r="I83" i="5" s="1"/>
  <c r="Q81" i="5"/>
  <c r="E88" i="5"/>
  <c r="I88" i="5" s="1"/>
  <c r="E85" i="5"/>
  <c r="I85" i="5" s="1"/>
  <c r="J82" i="5"/>
  <c r="Q83" i="5"/>
  <c r="Q88" i="5"/>
  <c r="Q85" i="5"/>
  <c r="Q87" i="5"/>
  <c r="Q89" i="5"/>
  <c r="Q82" i="5"/>
  <c r="E87" i="5"/>
  <c r="I87" i="5" s="1"/>
  <c r="J89" i="5"/>
  <c r="E82" i="5"/>
  <c r="I82" i="5" s="1"/>
  <c r="J80" i="5"/>
  <c r="Q90" i="5"/>
  <c r="Q91" i="5"/>
  <c r="Q57" i="5"/>
  <c r="E57" i="5"/>
  <c r="I57" i="5" s="1"/>
  <c r="J57" i="5"/>
  <c r="Q59" i="5"/>
  <c r="E61" i="5"/>
  <c r="I61" i="5" s="1"/>
  <c r="J61" i="5"/>
  <c r="Q63" i="5"/>
  <c r="J64" i="5"/>
  <c r="Q62" i="5"/>
  <c r="Q61" i="5"/>
  <c r="E54" i="5"/>
  <c r="I54" i="5" s="1"/>
  <c r="E63" i="5"/>
  <c r="I63" i="5" s="1"/>
  <c r="Q64" i="5"/>
  <c r="E62" i="5"/>
  <c r="I62" i="5" s="1"/>
  <c r="E64" i="5"/>
  <c r="I64" i="5" s="1"/>
  <c r="E59" i="5"/>
  <c r="I59" i="5" s="1"/>
  <c r="J59" i="5"/>
  <c r="E52" i="5"/>
  <c r="J66" i="5"/>
  <c r="Q51" i="5"/>
  <c r="E65" i="5"/>
  <c r="I65" i="5" s="1"/>
  <c r="E60" i="5"/>
  <c r="I60" i="5" s="1"/>
  <c r="E51" i="5"/>
  <c r="I51" i="5" s="1"/>
  <c r="Q65" i="5"/>
  <c r="Q60" i="5"/>
  <c r="E50" i="5"/>
  <c r="I50" i="5" s="1"/>
  <c r="J65" i="5"/>
  <c r="J60" i="5"/>
  <c r="J51" i="5"/>
  <c r="Q58" i="5"/>
  <c r="E46" i="5"/>
  <c r="I46" i="5" s="1"/>
  <c r="E45" i="5"/>
  <c r="I45" i="5" s="1"/>
  <c r="Q56" i="5"/>
  <c r="Q55" i="5"/>
  <c r="Q44" i="5"/>
  <c r="J45" i="5"/>
  <c r="Q54" i="5"/>
  <c r="Q52" i="5"/>
  <c r="J58" i="5"/>
  <c r="J56" i="5"/>
  <c r="Q46" i="5"/>
  <c r="Q48" i="5"/>
  <c r="J53" i="5"/>
  <c r="Q45" i="5"/>
  <c r="J52" i="5"/>
  <c r="E58" i="5"/>
  <c r="I58" i="5" s="1"/>
  <c r="E56" i="5"/>
  <c r="I56" i="5" s="1"/>
  <c r="J46" i="5"/>
  <c r="E48" i="5"/>
  <c r="I48" i="5" s="1"/>
  <c r="E67" i="5"/>
  <c r="I67" i="5" s="1"/>
  <c r="J67" i="5"/>
  <c r="E55" i="5"/>
  <c r="I55" i="5" s="1"/>
  <c r="E44" i="5"/>
  <c r="I44" i="5" s="1"/>
  <c r="J44" i="5"/>
  <c r="Q50" i="5"/>
  <c r="E53" i="5"/>
  <c r="I53" i="5" s="1"/>
  <c r="J48" i="5"/>
  <c r="Q53" i="5"/>
  <c r="E230" i="5"/>
  <c r="I230" i="5" s="1"/>
  <c r="E229" i="5"/>
  <c r="I229" i="5" s="1"/>
  <c r="E226" i="5"/>
  <c r="I226" i="5" s="1"/>
  <c r="E233" i="5"/>
  <c r="E237" i="5"/>
  <c r="I237" i="5" s="1"/>
  <c r="Q227" i="5"/>
  <c r="J230" i="5"/>
  <c r="E244" i="5"/>
  <c r="I244" i="5" s="1"/>
  <c r="J235" i="5"/>
  <c r="E242" i="5"/>
  <c r="I242" i="5" s="1"/>
  <c r="J224" i="5"/>
  <c r="J247" i="5"/>
  <c r="E231" i="5"/>
  <c r="I231" i="5" s="1"/>
  <c r="E243" i="5"/>
  <c r="I243" i="5" s="1"/>
  <c r="J237" i="5"/>
  <c r="E246" i="5"/>
  <c r="I246" i="5" s="1"/>
  <c r="J232" i="5"/>
  <c r="Q240" i="5"/>
  <c r="J246" i="5"/>
  <c r="Q228" i="5"/>
  <c r="Q234" i="5"/>
  <c r="Q232" i="5"/>
  <c r="E247" i="5"/>
  <c r="I247" i="5" s="1"/>
  <c r="J229" i="5"/>
  <c r="J231" i="5"/>
  <c r="J233" i="5"/>
  <c r="J243" i="5"/>
  <c r="Q231" i="5"/>
  <c r="Q233" i="5"/>
  <c r="Q243" i="5"/>
  <c r="E228" i="5"/>
  <c r="I228" i="5" s="1"/>
  <c r="E240" i="5"/>
  <c r="I240" i="5" s="1"/>
  <c r="Q237" i="5"/>
  <c r="E232" i="5"/>
  <c r="I232" i="5" s="1"/>
  <c r="J240" i="5"/>
  <c r="E227" i="5"/>
  <c r="I227" i="5" s="1"/>
  <c r="E234" i="5"/>
  <c r="I234" i="5" s="1"/>
  <c r="Q226" i="5"/>
  <c r="J239" i="5"/>
  <c r="J226" i="5"/>
  <c r="Q235" i="5"/>
  <c r="J242" i="5"/>
  <c r="Q224" i="5"/>
  <c r="J244" i="5"/>
  <c r="E224" i="5"/>
  <c r="I224" i="5" s="1"/>
  <c r="E245" i="5"/>
  <c r="I245" i="5" s="1"/>
  <c r="Q239" i="5"/>
  <c r="J245" i="5"/>
  <c r="J348" i="5"/>
  <c r="Q348" i="5"/>
  <c r="Q346" i="5"/>
  <c r="E348" i="5"/>
  <c r="I348" i="5" s="1"/>
  <c r="Q351" i="5"/>
  <c r="E355" i="5"/>
  <c r="Q355" i="5"/>
  <c r="E351" i="5"/>
  <c r="I351" i="5" s="1"/>
  <c r="J351" i="5"/>
  <c r="Q350" i="5"/>
  <c r="Q352" i="5"/>
  <c r="J344" i="5"/>
  <c r="E344" i="5"/>
  <c r="I344" i="5" s="1"/>
  <c r="Q344" i="5"/>
  <c r="E346" i="5"/>
  <c r="I346" i="5" s="1"/>
  <c r="E350" i="5"/>
  <c r="I350" i="5" s="1"/>
  <c r="Q347" i="5"/>
  <c r="J346" i="5"/>
  <c r="J352" i="5"/>
  <c r="E347" i="5"/>
  <c r="I347" i="5" s="1"/>
  <c r="J349" i="5"/>
  <c r="J353" i="5"/>
  <c r="Q349" i="5"/>
  <c r="Q353" i="5"/>
  <c r="E345" i="5"/>
  <c r="J345" i="5"/>
  <c r="J354" i="5"/>
  <c r="Q354" i="5"/>
  <c r="K610" i="5"/>
  <c r="K620" i="5"/>
  <c r="K618" i="5"/>
  <c r="K605" i="5"/>
  <c r="K621" i="5"/>
  <c r="K607" i="5"/>
  <c r="K615" i="5"/>
  <c r="K603" i="5"/>
  <c r="K609" i="5"/>
  <c r="K608" i="5"/>
  <c r="K606" i="5"/>
  <c r="K613" i="5"/>
  <c r="K601" i="5"/>
  <c r="K612" i="5"/>
  <c r="K611" i="5"/>
  <c r="K616" i="5"/>
  <c r="K617" i="5"/>
  <c r="K614" i="5"/>
  <c r="K619" i="5"/>
  <c r="K604" i="5"/>
  <c r="K602" i="5"/>
  <c r="K474" i="5"/>
  <c r="K542" i="5"/>
  <c r="K578" i="5"/>
  <c r="K469" i="5"/>
  <c r="K382" i="5"/>
  <c r="K446" i="5"/>
  <c r="K491" i="5"/>
  <c r="K390" i="5"/>
  <c r="K388" i="5"/>
  <c r="K493" i="5"/>
  <c r="K509" i="5"/>
  <c r="K456" i="5"/>
  <c r="K540" i="5"/>
  <c r="K386" i="5"/>
  <c r="K482" i="5"/>
  <c r="K508" i="5"/>
  <c r="K561" i="5"/>
  <c r="K381" i="5"/>
  <c r="K562" i="5"/>
  <c r="K472" i="5"/>
  <c r="K522" i="5"/>
  <c r="K538" i="5"/>
  <c r="K516" i="5"/>
  <c r="K532" i="5"/>
  <c r="K569" i="5"/>
  <c r="K449" i="5"/>
  <c r="K526" i="5"/>
  <c r="K600" i="5"/>
  <c r="K441" i="5"/>
  <c r="K380" i="5"/>
  <c r="K457" i="5"/>
  <c r="K544" i="5"/>
  <c r="K576" i="5"/>
  <c r="K590" i="5"/>
  <c r="K499" i="5"/>
  <c r="K523" i="5"/>
  <c r="K596" i="5"/>
  <c r="K531" i="5"/>
  <c r="K513" i="5"/>
  <c r="K594" i="5"/>
  <c r="K467" i="5"/>
  <c r="K539" i="5"/>
  <c r="K520" i="5"/>
  <c r="K536" i="5"/>
  <c r="K571" i="5"/>
  <c r="K528" i="5"/>
  <c r="K597" i="5"/>
  <c r="K582" i="5"/>
  <c r="K444" i="5"/>
  <c r="K470" i="5"/>
  <c r="K587" i="5"/>
  <c r="K452" i="5"/>
  <c r="K534" i="5"/>
  <c r="K485" i="5"/>
  <c r="K445" i="5"/>
  <c r="K573" i="5"/>
  <c r="K454" i="5"/>
  <c r="K468" i="5"/>
  <c r="K599" i="5"/>
  <c r="K385" i="5"/>
  <c r="K497" i="5"/>
  <c r="K458" i="5"/>
  <c r="K533" i="5"/>
  <c r="K515" i="5"/>
  <c r="K535" i="5"/>
  <c r="K476" i="5"/>
  <c r="K572" i="5"/>
  <c r="K448" i="5"/>
  <c r="K595" i="5"/>
  <c r="K547" i="5"/>
  <c r="K379" i="5"/>
  <c r="K459" i="5"/>
  <c r="K419" i="5"/>
  <c r="K564" i="5"/>
  <c r="K593" i="5"/>
  <c r="K591" i="5"/>
  <c r="K475" i="5"/>
  <c r="K435" i="5"/>
  <c r="K488" i="5"/>
  <c r="K473" i="5"/>
  <c r="K487" i="5"/>
  <c r="K471" i="5"/>
  <c r="K492" i="5"/>
  <c r="K387" i="5"/>
  <c r="K466" i="5"/>
  <c r="K560" i="5"/>
  <c r="K495" i="5"/>
  <c r="K477" i="5"/>
  <c r="K541" i="5"/>
  <c r="K461" i="5"/>
  <c r="K525" i="5"/>
  <c r="K463" i="5"/>
  <c r="K483" i="5"/>
  <c r="K580" i="5"/>
  <c r="K465" i="5"/>
  <c r="K529" i="5"/>
  <c r="K490" i="5"/>
  <c r="K566" i="5"/>
  <c r="K511" i="5"/>
  <c r="K440" i="5"/>
  <c r="K504" i="5"/>
  <c r="K521" i="5"/>
  <c r="K592" i="5"/>
  <c r="K502" i="5"/>
  <c r="K436" i="5"/>
  <c r="K500" i="5"/>
  <c r="K577" i="5"/>
  <c r="K584" i="5"/>
  <c r="K589" i="5"/>
  <c r="K543" i="5"/>
  <c r="K579" i="5"/>
  <c r="K486" i="5"/>
  <c r="K484" i="5"/>
  <c r="K481" i="5"/>
  <c r="K545" i="5"/>
  <c r="K570" i="5"/>
  <c r="K378" i="5"/>
  <c r="K442" i="5"/>
  <c r="K506" i="5"/>
  <c r="K568" i="5"/>
  <c r="K496" i="5"/>
  <c r="K574" i="5"/>
  <c r="K443" i="5"/>
  <c r="K480" i="5"/>
  <c r="K501" i="5"/>
  <c r="K565" i="5"/>
  <c r="K510" i="5"/>
  <c r="K494" i="5"/>
  <c r="K460" i="5"/>
  <c r="K556" i="5"/>
  <c r="K518" i="5"/>
  <c r="K503" i="5"/>
  <c r="K377" i="5"/>
  <c r="K489" i="5"/>
  <c r="K498" i="5"/>
  <c r="K563" i="5"/>
  <c r="K514" i="5"/>
  <c r="K391" i="5"/>
  <c r="K524" i="5"/>
  <c r="K588" i="5"/>
  <c r="K505" i="5"/>
  <c r="K586" i="5"/>
  <c r="K451" i="5"/>
  <c r="K384" i="5"/>
  <c r="K585" i="5"/>
  <c r="K507" i="5"/>
  <c r="K464" i="5"/>
  <c r="K389" i="5"/>
  <c r="K453" i="5"/>
  <c r="K517" i="5"/>
  <c r="K581" i="5"/>
  <c r="K598" i="5"/>
  <c r="K479" i="5"/>
  <c r="K462" i="5"/>
  <c r="K530" i="5"/>
  <c r="K546" i="5"/>
  <c r="K447" i="5"/>
  <c r="K450" i="5"/>
  <c r="K512" i="5"/>
  <c r="K478" i="5"/>
  <c r="K383" i="5"/>
  <c r="K575" i="5"/>
  <c r="K537" i="5"/>
  <c r="K527" i="5"/>
  <c r="K567" i="5"/>
  <c r="K97" i="5"/>
  <c r="K161" i="5"/>
  <c r="K118" i="5"/>
  <c r="K310" i="5"/>
  <c r="K102" i="5"/>
  <c r="K294" i="5"/>
  <c r="K202" i="5"/>
  <c r="K283" i="5"/>
  <c r="K126" i="5"/>
  <c r="K100" i="5"/>
  <c r="K292" i="5"/>
  <c r="K255" i="5"/>
  <c r="K179" i="5"/>
  <c r="K101" i="5"/>
  <c r="K278" i="5"/>
  <c r="K308" i="5"/>
  <c r="K293" i="5"/>
  <c r="K274" i="5"/>
  <c r="K182" i="5"/>
  <c r="K374" i="5"/>
  <c r="K104" i="5"/>
  <c r="K38" i="5"/>
  <c r="K117" i="5"/>
  <c r="K181" i="5"/>
  <c r="K309" i="5"/>
  <c r="K36" i="5"/>
  <c r="K225" i="5"/>
  <c r="K159" i="5"/>
  <c r="K128" i="5"/>
  <c r="K368" i="5"/>
  <c r="K74" i="5"/>
  <c r="K250" i="5"/>
  <c r="K266" i="5"/>
  <c r="K40" i="5"/>
  <c r="K162" i="5"/>
  <c r="K306" i="5"/>
  <c r="K208" i="5"/>
  <c r="K280" i="5"/>
  <c r="K296" i="5"/>
  <c r="K272" i="5"/>
  <c r="K335" i="5"/>
  <c r="K95" i="5"/>
  <c r="K238" i="5"/>
  <c r="K254" i="5"/>
  <c r="K318" i="5"/>
  <c r="K206" i="5"/>
  <c r="K302" i="5"/>
  <c r="K92" i="5"/>
  <c r="K236" i="5"/>
  <c r="K300" i="5"/>
  <c r="K337" i="5"/>
  <c r="K106" i="5"/>
  <c r="K154" i="5"/>
  <c r="K71" i="5"/>
  <c r="K139" i="5"/>
  <c r="K29" i="5"/>
  <c r="K93" i="5"/>
  <c r="K157" i="5"/>
  <c r="K145" i="5"/>
  <c r="K291" i="5"/>
  <c r="K26" i="5"/>
  <c r="K127" i="5"/>
  <c r="K105" i="5"/>
  <c r="K265" i="5"/>
  <c r="K275" i="5"/>
  <c r="K343" i="5"/>
  <c r="K341" i="5"/>
  <c r="K135" i="5"/>
  <c r="K78" i="5"/>
  <c r="K110" i="5"/>
  <c r="K299" i="5"/>
  <c r="K28" i="5"/>
  <c r="K140" i="5"/>
  <c r="K156" i="5"/>
  <c r="K201" i="5"/>
  <c r="K281" i="5"/>
  <c r="K311" i="5"/>
  <c r="K34" i="5"/>
  <c r="K114" i="5"/>
  <c r="K339" i="5"/>
  <c r="K142" i="5"/>
  <c r="K270" i="5"/>
  <c r="K210" i="5"/>
  <c r="K79" i="5"/>
  <c r="K285" i="5"/>
  <c r="K301" i="5"/>
  <c r="K151" i="5"/>
  <c r="K183" i="5"/>
  <c r="K251" i="5"/>
  <c r="K166" i="5"/>
  <c r="K342" i="5"/>
  <c r="K307" i="5"/>
  <c r="K187" i="5"/>
  <c r="K263" i="5"/>
  <c r="K372" i="5"/>
  <c r="K33" i="5"/>
  <c r="K273" i="5"/>
  <c r="K289" i="5"/>
  <c r="K369" i="5"/>
  <c r="K131" i="5"/>
  <c r="K138" i="5"/>
  <c r="K271" i="5"/>
  <c r="K319" i="5"/>
  <c r="K73" i="5"/>
  <c r="K121" i="5"/>
  <c r="K137" i="5"/>
  <c r="K185" i="5"/>
  <c r="K176" i="5"/>
  <c r="K37" i="5"/>
  <c r="K373" i="5"/>
  <c r="K303" i="5"/>
  <c r="K287" i="5"/>
  <c r="K43" i="5"/>
  <c r="K115" i="5"/>
  <c r="K143" i="5"/>
  <c r="K108" i="5"/>
  <c r="K332" i="5"/>
  <c r="K119" i="5"/>
  <c r="K123" i="5"/>
  <c r="K136" i="5"/>
  <c r="K184" i="5"/>
  <c r="K315" i="5"/>
  <c r="K276" i="5"/>
  <c r="K209" i="5"/>
  <c r="K282" i="5"/>
  <c r="K314" i="5"/>
  <c r="K23" i="5"/>
  <c r="K264" i="5"/>
  <c r="K312" i="5"/>
  <c r="K370" i="5"/>
  <c r="K96" i="5"/>
  <c r="K304" i="5"/>
  <c r="K336" i="5"/>
  <c r="K133" i="5"/>
  <c r="K261" i="5"/>
  <c r="K27" i="5"/>
  <c r="K204" i="5"/>
  <c r="K109" i="5"/>
  <c r="K125" i="5"/>
  <c r="K259" i="5"/>
  <c r="K35" i="5"/>
  <c r="K107" i="5"/>
  <c r="K340" i="5"/>
  <c r="K42" i="5"/>
  <c r="K298" i="5"/>
  <c r="K375" i="5"/>
  <c r="K200" i="5"/>
  <c r="K248" i="5"/>
  <c r="K130" i="5"/>
  <c r="K258" i="5"/>
  <c r="K338" i="5"/>
  <c r="K295" i="5"/>
  <c r="K21" i="5"/>
  <c r="K69" i="5"/>
  <c r="K277" i="5"/>
  <c r="K334" i="5"/>
  <c r="K76" i="5"/>
  <c r="K284" i="5"/>
  <c r="K178" i="5"/>
  <c r="K47" i="5"/>
  <c r="K288" i="5"/>
  <c r="K268" i="5"/>
  <c r="K147" i="5"/>
  <c r="K371" i="5"/>
  <c r="K144" i="5"/>
  <c r="K148" i="5"/>
  <c r="K155" i="5"/>
  <c r="K39" i="5"/>
  <c r="K72" i="5"/>
  <c r="K120" i="5"/>
  <c r="K376" i="5"/>
  <c r="K153" i="5"/>
  <c r="K249" i="5"/>
  <c r="K211" i="5"/>
  <c r="K31" i="5"/>
  <c r="K160" i="5"/>
  <c r="K149" i="5"/>
  <c r="K163" i="5"/>
  <c r="K267" i="5"/>
  <c r="K32" i="5"/>
  <c r="K98" i="5"/>
  <c r="K253" i="5"/>
  <c r="K317" i="5"/>
  <c r="K70" i="5"/>
  <c r="K134" i="5"/>
  <c r="K262" i="5"/>
  <c r="K207" i="5"/>
  <c r="K68" i="5"/>
  <c r="K132" i="5"/>
  <c r="K260" i="5"/>
  <c r="K129" i="5"/>
  <c r="K257" i="5"/>
  <c r="K316" i="5"/>
  <c r="K25" i="5"/>
  <c r="K313" i="5"/>
  <c r="K146" i="5"/>
  <c r="K112" i="5"/>
  <c r="K256" i="5"/>
  <c r="T1027" i="2"/>
  <c r="T1015" i="2"/>
  <c r="T1003" i="2"/>
  <c r="T991" i="2"/>
  <c r="T979" i="2"/>
  <c r="T967" i="2"/>
  <c r="T955" i="2"/>
  <c r="T943" i="2"/>
  <c r="T931" i="2"/>
  <c r="T919" i="2"/>
  <c r="T907" i="2"/>
  <c r="T895" i="2"/>
  <c r="T883" i="2"/>
  <c r="T871" i="2"/>
  <c r="T859" i="2"/>
  <c r="T847" i="2"/>
  <c r="T835" i="2"/>
  <c r="T823" i="2"/>
  <c r="T811" i="2"/>
  <c r="T799" i="2"/>
  <c r="T787" i="2"/>
  <c r="T775" i="2"/>
  <c r="T763" i="2"/>
  <c r="T751" i="2"/>
  <c r="T739" i="2"/>
  <c r="T727" i="2"/>
  <c r="T715" i="2"/>
  <c r="T703" i="2"/>
  <c r="T691" i="2"/>
  <c r="T679" i="2"/>
  <c r="T667" i="2"/>
  <c r="T655" i="2"/>
  <c r="T643" i="2"/>
  <c r="T631" i="2"/>
  <c r="T619" i="2"/>
  <c r="T607" i="2"/>
  <c r="T595" i="2"/>
  <c r="T583" i="2"/>
  <c r="T571" i="2"/>
  <c r="T559" i="2"/>
  <c r="T547" i="2"/>
  <c r="T535" i="2"/>
  <c r="T523" i="2"/>
  <c r="T511" i="2"/>
  <c r="T499" i="2"/>
  <c r="T487" i="2"/>
  <c r="T475" i="2"/>
  <c r="T463" i="2"/>
  <c r="T451" i="2"/>
  <c r="T439" i="2"/>
  <c r="T427" i="2"/>
  <c r="T415" i="2"/>
  <c r="T403" i="2"/>
  <c r="T391" i="2"/>
  <c r="T379" i="2"/>
  <c r="T367" i="2"/>
  <c r="T355" i="2"/>
  <c r="T343" i="2"/>
  <c r="T331" i="2"/>
  <c r="T319" i="2"/>
  <c r="T307" i="2"/>
  <c r="T295" i="2"/>
  <c r="T283" i="2"/>
  <c r="T271" i="2"/>
  <c r="T259" i="2"/>
  <c r="T247" i="2"/>
  <c r="T235" i="2"/>
  <c r="T223" i="2"/>
  <c r="T211" i="2"/>
  <c r="T199" i="2"/>
  <c r="T187" i="2"/>
  <c r="T175" i="2"/>
  <c r="T163" i="2"/>
  <c r="T151" i="2"/>
  <c r="T139" i="2"/>
  <c r="T127" i="2"/>
  <c r="T115" i="2"/>
  <c r="T103" i="2"/>
  <c r="T91" i="2"/>
  <c r="T79" i="2"/>
  <c r="T67" i="2"/>
  <c r="T55" i="2"/>
  <c r="T43" i="2"/>
  <c r="T31" i="2"/>
  <c r="F1016" i="2"/>
  <c r="F1004" i="2"/>
  <c r="F992" i="2"/>
  <c r="F980" i="2"/>
  <c r="F968" i="2"/>
  <c r="F956" i="2"/>
  <c r="F944" i="2"/>
  <c r="F932" i="2"/>
  <c r="F920" i="2"/>
  <c r="F908" i="2"/>
  <c r="F896" i="2"/>
  <c r="F884" i="2"/>
  <c r="F872" i="2"/>
  <c r="F860" i="2"/>
  <c r="F848" i="2"/>
  <c r="F836" i="2"/>
  <c r="F824" i="2"/>
  <c r="F812" i="2"/>
  <c r="F800" i="2"/>
  <c r="F788" i="2"/>
  <c r="F776" i="2"/>
  <c r="F764" i="2"/>
  <c r="F752" i="2"/>
  <c r="F740" i="2"/>
  <c r="F728" i="2"/>
  <c r="F716" i="2"/>
  <c r="F704" i="2"/>
  <c r="F692" i="2"/>
  <c r="F680" i="2"/>
  <c r="F668" i="2"/>
  <c r="F656" i="2"/>
  <c r="F644" i="2"/>
  <c r="F632" i="2"/>
  <c r="F620" i="2"/>
  <c r="F608" i="2"/>
  <c r="F596" i="2"/>
  <c r="F584" i="2"/>
  <c r="F572" i="2"/>
  <c r="F560" i="2"/>
  <c r="F548" i="2"/>
  <c r="F536" i="2"/>
  <c r="F524" i="2"/>
  <c r="F512" i="2"/>
  <c r="F500" i="2"/>
  <c r="F488" i="2"/>
  <c r="F476" i="2"/>
  <c r="F464" i="2"/>
  <c r="F452" i="2"/>
  <c r="F440" i="2"/>
  <c r="F428" i="2"/>
  <c r="F416" i="2"/>
  <c r="F404" i="2"/>
  <c r="F392" i="2"/>
  <c r="F380" i="2"/>
  <c r="F368" i="2"/>
  <c r="F356" i="2"/>
  <c r="F344" i="2"/>
  <c r="F332" i="2"/>
  <c r="F320" i="2"/>
  <c r="F308" i="2"/>
  <c r="F296" i="2"/>
  <c r="F284" i="2"/>
  <c r="F272" i="2"/>
  <c r="F260" i="2"/>
  <c r="F248" i="2"/>
  <c r="F236" i="2"/>
  <c r="F224" i="2"/>
  <c r="F212" i="2"/>
  <c r="F200" i="2"/>
  <c r="F188" i="2"/>
  <c r="F176" i="2"/>
  <c r="F164" i="2"/>
  <c r="F152" i="2"/>
  <c r="F140" i="2"/>
  <c r="F128" i="2"/>
  <c r="F116" i="2"/>
  <c r="F104" i="2"/>
  <c r="F92" i="2"/>
  <c r="F80" i="2"/>
  <c r="F68" i="2"/>
  <c r="F56" i="2"/>
  <c r="F44" i="2"/>
  <c r="F32" i="2"/>
  <c r="F20" i="2"/>
  <c r="K124" i="5" l="1"/>
  <c r="K103" i="5"/>
  <c r="K113" i="5"/>
  <c r="K180" i="5"/>
  <c r="K252" i="5"/>
  <c r="K24" i="5"/>
  <c r="K942" i="5"/>
  <c r="K519" i="5"/>
  <c r="K795" i="5"/>
  <c r="L45" i="5"/>
  <c r="M45" i="5" s="1"/>
  <c r="K583" i="5"/>
  <c r="K553" i="5"/>
  <c r="K1009" i="5"/>
  <c r="K439" i="5"/>
  <c r="K555" i="5"/>
  <c r="K669" i="5"/>
  <c r="K946" i="5"/>
  <c r="K973" i="5"/>
  <c r="K455" i="5"/>
  <c r="K286" i="5"/>
  <c r="K427" i="5"/>
  <c r="K558" i="5"/>
  <c r="K992" i="5"/>
  <c r="K981" i="5"/>
  <c r="K923" i="5"/>
  <c r="K985" i="5"/>
  <c r="K674" i="5"/>
  <c r="K711" i="5"/>
  <c r="A74" i="9"/>
  <c r="K733" i="5"/>
  <c r="L968" i="5"/>
  <c r="M968" i="5" s="1"/>
  <c r="L746" i="5"/>
  <c r="M746" i="5" s="1"/>
  <c r="L913" i="5"/>
  <c r="M913" i="5" s="1"/>
  <c r="L332" i="5"/>
  <c r="M332" i="5" s="1"/>
  <c r="L990" i="5"/>
  <c r="M990" i="5" s="1"/>
  <c r="L820" i="5"/>
  <c r="M820" i="5" s="1"/>
  <c r="L560" i="5"/>
  <c r="M560" i="5" s="1"/>
  <c r="L1013" i="5"/>
  <c r="M1013" i="5" s="1"/>
  <c r="L355" i="5"/>
  <c r="M355" i="5" s="1"/>
  <c r="L152" i="5"/>
  <c r="M152" i="5" s="1"/>
  <c r="L1019" i="5"/>
  <c r="M1019" i="5" s="1"/>
  <c r="L922" i="5"/>
  <c r="M922" i="5" s="1"/>
  <c r="L723" i="5"/>
  <c r="M723" i="5" s="1"/>
  <c r="L860" i="5"/>
  <c r="M860" i="5" s="1"/>
  <c r="L428" i="5"/>
  <c r="M428" i="5" s="1"/>
  <c r="L892" i="5"/>
  <c r="M892" i="5" s="1"/>
  <c r="L955" i="5"/>
  <c r="M955" i="5" s="1"/>
  <c r="L683" i="5"/>
  <c r="M683" i="5" s="1"/>
  <c r="L770" i="5"/>
  <c r="M770" i="5" s="1"/>
  <c r="L764" i="5"/>
  <c r="M764" i="5" s="1"/>
  <c r="L308" i="5"/>
  <c r="M308" i="5" s="1"/>
  <c r="L429" i="5"/>
  <c r="L635" i="5"/>
  <c r="M635" i="5" s="1"/>
  <c r="L910" i="5"/>
  <c r="M910" i="5" s="1"/>
  <c r="L777" i="5"/>
  <c r="M777" i="5" s="1"/>
  <c r="L1016" i="5"/>
  <c r="M1016" i="5" s="1"/>
  <c r="L932" i="5"/>
  <c r="M932" i="5" s="1"/>
  <c r="L824" i="5"/>
  <c r="M824" i="5" s="1"/>
  <c r="L728" i="5"/>
  <c r="M728" i="5" s="1"/>
  <c r="L644" i="5"/>
  <c r="M644" i="5" s="1"/>
  <c r="L512" i="5"/>
  <c r="M512" i="5" s="1"/>
  <c r="L380" i="5"/>
  <c r="M380" i="5" s="1"/>
  <c r="L236" i="5"/>
  <c r="M236" i="5" s="1"/>
  <c r="L104" i="5"/>
  <c r="M104" i="5" s="1"/>
  <c r="L970" i="5"/>
  <c r="M970" i="5" s="1"/>
  <c r="L961" i="5"/>
  <c r="M961" i="5" s="1"/>
  <c r="L907" i="5"/>
  <c r="M907" i="5" s="1"/>
  <c r="L475" i="5"/>
  <c r="M475" i="5" s="1"/>
  <c r="L862" i="5"/>
  <c r="M862" i="5" s="1"/>
  <c r="L885" i="5"/>
  <c r="M885" i="5" s="1"/>
  <c r="L699" i="5"/>
  <c r="M699" i="5" s="1"/>
  <c r="L960" i="5"/>
  <c r="M960" i="5" s="1"/>
  <c r="L794" i="5"/>
  <c r="M794" i="5" s="1"/>
  <c r="L689" i="5"/>
  <c r="M689" i="5" s="1"/>
  <c r="L612" i="5"/>
  <c r="M612" i="5" s="1"/>
  <c r="L750" i="5"/>
  <c r="M750" i="5" s="1"/>
  <c r="L795" i="5"/>
  <c r="M795" i="5" s="1"/>
  <c r="L996" i="5"/>
  <c r="M996" i="5" s="1"/>
  <c r="L690" i="5"/>
  <c r="M690" i="5" s="1"/>
  <c r="L729" i="5"/>
  <c r="M729" i="5" s="1"/>
  <c r="L448" i="5"/>
  <c r="M448" i="5" s="1"/>
  <c r="K158" i="5"/>
  <c r="L992" i="5"/>
  <c r="M992" i="5" s="1"/>
  <c r="L908" i="5"/>
  <c r="M908" i="5" s="1"/>
  <c r="L812" i="5"/>
  <c r="M812" i="5" s="1"/>
  <c r="L716" i="5"/>
  <c r="M716" i="5" s="1"/>
  <c r="L620" i="5"/>
  <c r="M620" i="5" s="1"/>
  <c r="L500" i="5"/>
  <c r="M500" i="5" s="1"/>
  <c r="L368" i="5"/>
  <c r="M368" i="5" s="1"/>
  <c r="L212" i="5"/>
  <c r="M212" i="5" s="1"/>
  <c r="L92" i="5"/>
  <c r="M92" i="5" s="1"/>
  <c r="L938" i="5"/>
  <c r="M938" i="5" s="1"/>
  <c r="L929" i="5"/>
  <c r="M929" i="5" s="1"/>
  <c r="L779" i="5"/>
  <c r="M779" i="5" s="1"/>
  <c r="L550" i="5"/>
  <c r="M550" i="5" s="1"/>
  <c r="L830" i="5"/>
  <c r="M830" i="5" s="1"/>
  <c r="L769" i="5"/>
  <c r="M769" i="5" s="1"/>
  <c r="L637" i="5"/>
  <c r="M637" i="5" s="1"/>
  <c r="L940" i="5"/>
  <c r="M940" i="5" s="1"/>
  <c r="L730" i="5"/>
  <c r="M730" i="5" s="1"/>
  <c r="L844" i="5"/>
  <c r="M844" i="5" s="1"/>
  <c r="L276" i="5"/>
  <c r="M276" i="5" s="1"/>
  <c r="L997" i="5"/>
  <c r="M997" i="5" s="1"/>
  <c r="L605" i="5"/>
  <c r="M605" i="5" s="1"/>
  <c r="L946" i="5"/>
  <c r="M946" i="5" s="1"/>
  <c r="L985" i="5"/>
  <c r="M985" i="5" s="1"/>
  <c r="L808" i="5"/>
  <c r="M808" i="5" s="1"/>
  <c r="L876" i="5"/>
  <c r="M876" i="5" s="1"/>
  <c r="K94" i="5"/>
  <c r="K49" i="5"/>
  <c r="K177" i="5"/>
  <c r="K22" i="5"/>
  <c r="L956" i="5"/>
  <c r="M956" i="5" s="1"/>
  <c r="L872" i="5"/>
  <c r="M872" i="5" s="1"/>
  <c r="L776" i="5"/>
  <c r="M776" i="5" s="1"/>
  <c r="L680" i="5"/>
  <c r="M680" i="5" s="1"/>
  <c r="L572" i="5"/>
  <c r="M572" i="5" s="1"/>
  <c r="L452" i="5"/>
  <c r="M452" i="5" s="1"/>
  <c r="L356" i="5"/>
  <c r="M356" i="5" s="1"/>
  <c r="L164" i="5"/>
  <c r="M164" i="5" s="1"/>
  <c r="L44" i="5"/>
  <c r="M44" i="5" s="1"/>
  <c r="L1024" i="5"/>
  <c r="M1024" i="5" s="1"/>
  <c r="L810" i="5"/>
  <c r="M810" i="5" s="1"/>
  <c r="L721" i="5"/>
  <c r="M721" i="5" s="1"/>
  <c r="L513" i="5"/>
  <c r="M513" i="5" s="1"/>
  <c r="L984" i="5"/>
  <c r="M984" i="5" s="1"/>
  <c r="L702" i="5"/>
  <c r="M702" i="5" s="1"/>
  <c r="L676" i="5"/>
  <c r="M676" i="5" s="1"/>
  <c r="L640" i="5"/>
  <c r="M640" i="5" s="1"/>
  <c r="L954" i="5"/>
  <c r="M954" i="5" s="1"/>
  <c r="L945" i="5"/>
  <c r="M945" i="5" s="1"/>
  <c r="L875" i="5"/>
  <c r="M875" i="5" s="1"/>
  <c r="L1006" i="5"/>
  <c r="M1006" i="5" s="1"/>
  <c r="L801" i="5"/>
  <c r="M801" i="5" s="1"/>
  <c r="L376" i="5"/>
  <c r="M376" i="5" s="1"/>
  <c r="L898" i="5"/>
  <c r="M898" i="5" s="1"/>
  <c r="L857" i="5"/>
  <c r="M857" i="5" s="1"/>
  <c r="L979" i="5"/>
  <c r="M979" i="5" s="1"/>
  <c r="L726" i="5"/>
  <c r="M726" i="5" s="1"/>
  <c r="K141" i="5"/>
  <c r="K41" i="5"/>
  <c r="L851" i="5"/>
  <c r="M851" i="5" s="1"/>
  <c r="L837" i="5"/>
  <c r="M837" i="5" s="1"/>
  <c r="L871" i="5"/>
  <c r="M871" i="5" s="1"/>
  <c r="L688" i="5"/>
  <c r="M688" i="5" s="1"/>
  <c r="L629" i="5"/>
  <c r="M629" i="5" s="1"/>
  <c r="L492" i="5"/>
  <c r="M492" i="5" s="1"/>
  <c r="L1026" i="5"/>
  <c r="M1026" i="5" s="1"/>
  <c r="L818" i="5"/>
  <c r="M818" i="5" s="1"/>
  <c r="L905" i="5"/>
  <c r="M905" i="5" s="1"/>
  <c r="L880" i="5"/>
  <c r="M880" i="5" s="1"/>
  <c r="L899" i="5"/>
  <c r="M899" i="5" s="1"/>
  <c r="L441" i="5"/>
  <c r="M441" i="5" s="1"/>
  <c r="L641" i="5"/>
  <c r="M641" i="5" s="1"/>
  <c r="K203" i="5"/>
  <c r="K122" i="5"/>
  <c r="K116" i="5"/>
  <c r="K150" i="5"/>
  <c r="A28" i="9"/>
  <c r="AG657" i="5"/>
  <c r="AJ657" i="5" s="1"/>
  <c r="AK657" i="5" s="1"/>
  <c r="L147" i="5"/>
  <c r="M147" i="5" s="1"/>
  <c r="L528" i="5"/>
  <c r="M528" i="5" s="1"/>
  <c r="L717" i="5"/>
  <c r="M717" i="5" s="1"/>
  <c r="L982" i="5"/>
  <c r="M982" i="5" s="1"/>
  <c r="L652" i="5"/>
  <c r="M652" i="5" s="1"/>
  <c r="L895" i="5"/>
  <c r="M895" i="5" s="1"/>
  <c r="L709" i="5"/>
  <c r="M709" i="5" s="1"/>
  <c r="L378" i="5"/>
  <c r="M378" i="5" s="1"/>
  <c r="L628" i="5"/>
  <c r="M628" i="5" s="1"/>
  <c r="L525" i="5"/>
  <c r="M525" i="5" s="1"/>
  <c r="L661" i="5"/>
  <c r="M661" i="5" s="1"/>
  <c r="L787" i="5"/>
  <c r="M787" i="5" s="1"/>
  <c r="L867" i="5"/>
  <c r="M867" i="5" s="1"/>
  <c r="L931" i="5"/>
  <c r="M931" i="5" s="1"/>
  <c r="L995" i="5"/>
  <c r="M995" i="5" s="1"/>
  <c r="L736" i="5"/>
  <c r="M736" i="5" s="1"/>
  <c r="L832" i="5"/>
  <c r="M832" i="5" s="1"/>
  <c r="L681" i="5"/>
  <c r="M681" i="5" s="1"/>
  <c r="L745" i="5"/>
  <c r="M745" i="5" s="1"/>
  <c r="L809" i="5"/>
  <c r="M809" i="5" s="1"/>
  <c r="L873" i="5"/>
  <c r="M873" i="5" s="1"/>
  <c r="L937" i="5"/>
  <c r="M937" i="5" s="1"/>
  <c r="L1001" i="5"/>
  <c r="M1001" i="5" s="1"/>
  <c r="L722" i="5"/>
  <c r="M722" i="5" s="1"/>
  <c r="L786" i="5"/>
  <c r="M786" i="5" s="1"/>
  <c r="L850" i="5"/>
  <c r="M850" i="5" s="1"/>
  <c r="L914" i="5"/>
  <c r="M914" i="5" s="1"/>
  <c r="L978" i="5"/>
  <c r="M978" i="5" s="1"/>
  <c r="L1025" i="5"/>
  <c r="M1025" i="5" s="1"/>
  <c r="L1027" i="5"/>
  <c r="M1027" i="5" s="1"/>
  <c r="L614" i="5"/>
  <c r="M614" i="5" s="1"/>
  <c r="L365" i="5"/>
  <c r="M365" i="5" s="1"/>
  <c r="L669" i="5"/>
  <c r="M669" i="5" s="1"/>
  <c r="L923" i="5"/>
  <c r="M923" i="5" s="1"/>
  <c r="L673" i="5"/>
  <c r="M673" i="5" s="1"/>
  <c r="L901" i="5"/>
  <c r="M901" i="5" s="1"/>
  <c r="L686" i="5"/>
  <c r="M686" i="5" s="1"/>
  <c r="L814" i="5"/>
  <c r="M814" i="5" s="1"/>
  <c r="L942" i="5"/>
  <c r="M942" i="5" s="1"/>
  <c r="L1022" i="5"/>
  <c r="M1022" i="5" s="1"/>
  <c r="L603" i="5"/>
  <c r="M603" i="5" s="1"/>
  <c r="L473" i="5"/>
  <c r="M473" i="5" s="1"/>
  <c r="L747" i="5"/>
  <c r="M747" i="5" s="1"/>
  <c r="AG647" i="5"/>
  <c r="AJ647" i="5" s="1"/>
  <c r="AK647" i="5" s="1"/>
  <c r="L349" i="5"/>
  <c r="M349" i="5" s="1"/>
  <c r="L662" i="5"/>
  <c r="M662" i="5" s="1"/>
  <c r="L1005" i="5"/>
  <c r="M1005" i="5" s="1"/>
  <c r="L23" i="5"/>
  <c r="M23" i="5" s="1"/>
  <c r="L577" i="5"/>
  <c r="M577" i="5" s="1"/>
  <c r="L684" i="5"/>
  <c r="M684" i="5" s="1"/>
  <c r="L773" i="5"/>
  <c r="M773" i="5" s="1"/>
  <c r="L379" i="5"/>
  <c r="M379" i="5" s="1"/>
  <c r="L397" i="5"/>
  <c r="M397" i="5" s="1"/>
  <c r="L565" i="5"/>
  <c r="M565" i="5" s="1"/>
  <c r="L691" i="5"/>
  <c r="M691" i="5" s="1"/>
  <c r="L819" i="5"/>
  <c r="M819" i="5" s="1"/>
  <c r="L883" i="5"/>
  <c r="M883" i="5" s="1"/>
  <c r="L947" i="5"/>
  <c r="M947" i="5" s="1"/>
  <c r="L1011" i="5"/>
  <c r="M1011" i="5" s="1"/>
  <c r="L760" i="5"/>
  <c r="M760" i="5" s="1"/>
  <c r="L856" i="5"/>
  <c r="M856" i="5" s="1"/>
  <c r="L697" i="5"/>
  <c r="M697" i="5" s="1"/>
  <c r="L761" i="5"/>
  <c r="M761" i="5" s="1"/>
  <c r="L825" i="5"/>
  <c r="M825" i="5" s="1"/>
  <c r="L889" i="5"/>
  <c r="M889" i="5" s="1"/>
  <c r="L953" i="5"/>
  <c r="M953" i="5" s="1"/>
  <c r="L674" i="5"/>
  <c r="M674" i="5" s="1"/>
  <c r="L738" i="5"/>
  <c r="M738" i="5" s="1"/>
  <c r="L802" i="5"/>
  <c r="M802" i="5" s="1"/>
  <c r="L866" i="5"/>
  <c r="M866" i="5" s="1"/>
  <c r="L930" i="5"/>
  <c r="M930" i="5" s="1"/>
  <c r="L994" i="5"/>
  <c r="M994" i="5" s="1"/>
  <c r="L1000" i="5"/>
  <c r="M1000" i="5" s="1"/>
  <c r="L1008" i="5"/>
  <c r="M1008" i="5" s="1"/>
  <c r="L539" i="5"/>
  <c r="M539" i="5" s="1"/>
  <c r="L449" i="5"/>
  <c r="M449" i="5" s="1"/>
  <c r="L731" i="5"/>
  <c r="M731" i="5" s="1"/>
  <c r="L987" i="5"/>
  <c r="M987" i="5" s="1"/>
  <c r="L737" i="5"/>
  <c r="M737" i="5" s="1"/>
  <c r="L933" i="5"/>
  <c r="M933" i="5" s="1"/>
  <c r="L718" i="5"/>
  <c r="M718" i="5" s="1"/>
  <c r="L846" i="5"/>
  <c r="M846" i="5" s="1"/>
  <c r="L974" i="5"/>
  <c r="M974" i="5" s="1"/>
  <c r="L1023" i="5"/>
  <c r="M1023" i="5" s="1"/>
  <c r="L424" i="5"/>
  <c r="M424" i="5" s="1"/>
  <c r="L557" i="5"/>
  <c r="M557" i="5" s="1"/>
  <c r="L811" i="5"/>
  <c r="M811" i="5" s="1"/>
  <c r="L748" i="5"/>
  <c r="M748" i="5" s="1"/>
  <c r="L817" i="5"/>
  <c r="M817" i="5" s="1"/>
  <c r="L977" i="5"/>
  <c r="M977" i="5" s="1"/>
  <c r="L762" i="5"/>
  <c r="M762" i="5" s="1"/>
  <c r="L890" i="5"/>
  <c r="M890" i="5" s="1"/>
  <c r="L948" i="5"/>
  <c r="M948" i="5" s="1"/>
  <c r="L298" i="5"/>
  <c r="M298" i="5" s="1"/>
  <c r="L472" i="5"/>
  <c r="M472" i="5" s="1"/>
  <c r="L573" i="5"/>
  <c r="M573" i="5" s="1"/>
  <c r="L827" i="5"/>
  <c r="M827" i="5" s="1"/>
  <c r="L772" i="5"/>
  <c r="M772" i="5" s="1"/>
  <c r="L833" i="5"/>
  <c r="M833" i="5" s="1"/>
  <c r="L981" i="5"/>
  <c r="M981" i="5" s="1"/>
  <c r="L766" i="5"/>
  <c r="M766" i="5" s="1"/>
  <c r="L894" i="5"/>
  <c r="M894" i="5" s="1"/>
  <c r="L964" i="5"/>
  <c r="M964" i="5" s="1"/>
  <c r="L215" i="5"/>
  <c r="M215" i="5" s="1"/>
  <c r="L520" i="5"/>
  <c r="M520" i="5" s="1"/>
  <c r="L589" i="5"/>
  <c r="M589" i="5" s="1"/>
  <c r="L843" i="5"/>
  <c r="M843" i="5" s="1"/>
  <c r="L796" i="5"/>
  <c r="M796" i="5" s="1"/>
  <c r="L849" i="5"/>
  <c r="M849" i="5" s="1"/>
  <c r="L993" i="5"/>
  <c r="M993" i="5" s="1"/>
  <c r="L778" i="5"/>
  <c r="M778" i="5" s="1"/>
  <c r="L906" i="5"/>
  <c r="M906" i="5" s="1"/>
  <c r="L1017" i="5"/>
  <c r="M1017" i="5" s="1"/>
  <c r="L204" i="5"/>
  <c r="M204" i="5" s="1"/>
  <c r="L32" i="5"/>
  <c r="M32" i="5" s="1"/>
  <c r="L80" i="5"/>
  <c r="M80" i="5" s="1"/>
  <c r="L128" i="5"/>
  <c r="M128" i="5" s="1"/>
  <c r="L176" i="5"/>
  <c r="M176" i="5" s="1"/>
  <c r="L224" i="5"/>
  <c r="M224" i="5" s="1"/>
  <c r="L260" i="5"/>
  <c r="M260" i="5" s="1"/>
  <c r="L296" i="5"/>
  <c r="M296" i="5" s="1"/>
  <c r="L392" i="5"/>
  <c r="M392" i="5" s="1"/>
  <c r="L440" i="5"/>
  <c r="M440" i="5" s="1"/>
  <c r="L488" i="5"/>
  <c r="M488" i="5" s="1"/>
  <c r="L536" i="5"/>
  <c r="M536" i="5" s="1"/>
  <c r="L584" i="5"/>
  <c r="M584" i="5" s="1"/>
  <c r="L632" i="5"/>
  <c r="M632" i="5" s="1"/>
  <c r="L284" i="5"/>
  <c r="M284" i="5" s="1"/>
  <c r="L944" i="5"/>
  <c r="M944" i="5" s="1"/>
  <c r="L920" i="5"/>
  <c r="M920" i="5" s="1"/>
  <c r="L896" i="5"/>
  <c r="M896" i="5" s="1"/>
  <c r="L848" i="5"/>
  <c r="M848" i="5" s="1"/>
  <c r="L800" i="5"/>
  <c r="M800" i="5" s="1"/>
  <c r="L752" i="5"/>
  <c r="M752" i="5" s="1"/>
  <c r="L704" i="5"/>
  <c r="M704" i="5" s="1"/>
  <c r="L668" i="5"/>
  <c r="M668" i="5" s="1"/>
  <c r="L608" i="5"/>
  <c r="M608" i="5" s="1"/>
  <c r="L548" i="5"/>
  <c r="M548" i="5" s="1"/>
  <c r="L476" i="5"/>
  <c r="M476" i="5" s="1"/>
  <c r="L416" i="5"/>
  <c r="M416" i="5" s="1"/>
  <c r="L344" i="5"/>
  <c r="M344" i="5" s="1"/>
  <c r="L320" i="5"/>
  <c r="M320" i="5" s="1"/>
  <c r="L200" i="5"/>
  <c r="M200" i="5" s="1"/>
  <c r="L140" i="5"/>
  <c r="M140" i="5" s="1"/>
  <c r="L68" i="5"/>
  <c r="M68" i="5" s="1"/>
  <c r="L1018" i="5"/>
  <c r="M1018" i="5" s="1"/>
  <c r="L874" i="5"/>
  <c r="M874" i="5" s="1"/>
  <c r="L714" i="5"/>
  <c r="M714" i="5" s="1"/>
  <c r="L897" i="5"/>
  <c r="M897" i="5" s="1"/>
  <c r="L700" i="5"/>
  <c r="M700" i="5" s="1"/>
  <c r="L715" i="5"/>
  <c r="M715" i="5" s="1"/>
  <c r="L268" i="5"/>
  <c r="M268" i="5" s="1"/>
  <c r="L976" i="5"/>
  <c r="M976" i="5" s="1"/>
  <c r="L958" i="5"/>
  <c r="M958" i="5" s="1"/>
  <c r="L798" i="5"/>
  <c r="M798" i="5" s="1"/>
  <c r="L949" i="5"/>
  <c r="M949" i="5" s="1"/>
  <c r="L705" i="5"/>
  <c r="M705" i="5" s="1"/>
  <c r="L891" i="5"/>
  <c r="M891" i="5" s="1"/>
  <c r="L493" i="5"/>
  <c r="M493" i="5" s="1"/>
  <c r="L411" i="5"/>
  <c r="M411" i="5" s="1"/>
  <c r="L952" i="5"/>
  <c r="M952" i="5" s="1"/>
  <c r="L858" i="5"/>
  <c r="M858" i="5" s="1"/>
  <c r="L698" i="5"/>
  <c r="M698" i="5" s="1"/>
  <c r="L881" i="5"/>
  <c r="M881" i="5" s="1"/>
  <c r="L1003" i="5"/>
  <c r="M1003" i="5" s="1"/>
  <c r="L621" i="5"/>
  <c r="M621" i="5" s="1"/>
  <c r="L42" i="5"/>
  <c r="M42" i="5" s="1"/>
  <c r="L878" i="5"/>
  <c r="M878" i="5" s="1"/>
  <c r="L965" i="5"/>
  <c r="M965" i="5" s="1"/>
  <c r="L724" i="5"/>
  <c r="M724" i="5" s="1"/>
  <c r="L537" i="5"/>
  <c r="M537" i="5" s="1"/>
  <c r="L125" i="5"/>
  <c r="M125" i="5" s="1"/>
  <c r="L1010" i="5"/>
  <c r="M1010" i="5" s="1"/>
  <c r="L882" i="5"/>
  <c r="M882" i="5" s="1"/>
  <c r="L754" i="5"/>
  <c r="M754" i="5" s="1"/>
  <c r="L969" i="5"/>
  <c r="M969" i="5" s="1"/>
  <c r="L841" i="5"/>
  <c r="M841" i="5" s="1"/>
  <c r="L713" i="5"/>
  <c r="M713" i="5" s="1"/>
  <c r="L784" i="5"/>
  <c r="M784" i="5" s="1"/>
  <c r="L963" i="5"/>
  <c r="M963" i="5" s="1"/>
  <c r="L835" i="5"/>
  <c r="M835" i="5" s="1"/>
  <c r="L597" i="5"/>
  <c r="M597" i="5" s="1"/>
  <c r="L619" i="5"/>
  <c r="M619" i="5" s="1"/>
  <c r="L780" i="5"/>
  <c r="M780" i="5" s="1"/>
  <c r="L474" i="5"/>
  <c r="M474" i="5" s="1"/>
  <c r="L529" i="5"/>
  <c r="M529" i="5" s="1"/>
  <c r="K241" i="5"/>
  <c r="L20" i="5"/>
  <c r="M20" i="5" s="1"/>
  <c r="N20" i="5" s="1"/>
  <c r="L1004" i="5"/>
  <c r="M1004" i="5" s="1"/>
  <c r="L980" i="5"/>
  <c r="M980" i="5" s="1"/>
  <c r="L884" i="5"/>
  <c r="M884" i="5" s="1"/>
  <c r="L836" i="5"/>
  <c r="M836" i="5" s="1"/>
  <c r="L788" i="5"/>
  <c r="M788" i="5" s="1"/>
  <c r="L740" i="5"/>
  <c r="M740" i="5" s="1"/>
  <c r="L692" i="5"/>
  <c r="M692" i="5" s="1"/>
  <c r="L656" i="5"/>
  <c r="M656" i="5" s="1"/>
  <c r="L596" i="5"/>
  <c r="M596" i="5" s="1"/>
  <c r="L524" i="5"/>
  <c r="M524" i="5" s="1"/>
  <c r="L464" i="5"/>
  <c r="M464" i="5" s="1"/>
  <c r="L404" i="5"/>
  <c r="M404" i="5" s="1"/>
  <c r="L248" i="5"/>
  <c r="M248" i="5" s="1"/>
  <c r="L272" i="5"/>
  <c r="M272" i="5" s="1"/>
  <c r="L188" i="5"/>
  <c r="M188" i="5" s="1"/>
  <c r="L116" i="5"/>
  <c r="M116" i="5" s="1"/>
  <c r="L56" i="5"/>
  <c r="M56" i="5" s="1"/>
  <c r="L1002" i="5"/>
  <c r="M1002" i="5" s="1"/>
  <c r="L842" i="5"/>
  <c r="M842" i="5" s="1"/>
  <c r="L682" i="5"/>
  <c r="M682" i="5" s="1"/>
  <c r="L785" i="5"/>
  <c r="M785" i="5" s="1"/>
  <c r="L971" i="5"/>
  <c r="M971" i="5" s="1"/>
  <c r="L653" i="5"/>
  <c r="M653" i="5" s="1"/>
  <c r="L667" i="5"/>
  <c r="M667" i="5" s="1"/>
  <c r="L972" i="5"/>
  <c r="M972" i="5" s="1"/>
  <c r="L926" i="5"/>
  <c r="M926" i="5" s="1"/>
  <c r="L734" i="5"/>
  <c r="M734" i="5" s="1"/>
  <c r="L917" i="5"/>
  <c r="M917" i="5" s="1"/>
  <c r="L868" i="5"/>
  <c r="M868" i="5" s="1"/>
  <c r="L763" i="5"/>
  <c r="M763" i="5" s="1"/>
  <c r="L409" i="5"/>
  <c r="M409" i="5" s="1"/>
  <c r="L442" i="5"/>
  <c r="M442" i="5" s="1"/>
  <c r="L986" i="5"/>
  <c r="M986" i="5" s="1"/>
  <c r="L826" i="5"/>
  <c r="M826" i="5" s="1"/>
  <c r="L1009" i="5"/>
  <c r="M1009" i="5" s="1"/>
  <c r="L753" i="5"/>
  <c r="M753" i="5" s="1"/>
  <c r="L939" i="5"/>
  <c r="M939" i="5" s="1"/>
  <c r="L385" i="5"/>
  <c r="M385" i="5" s="1"/>
  <c r="L1021" i="5"/>
  <c r="M1021" i="5" s="1"/>
  <c r="L782" i="5"/>
  <c r="M782" i="5" s="1"/>
  <c r="L865" i="5"/>
  <c r="M865" i="5" s="1"/>
  <c r="L859" i="5"/>
  <c r="M859" i="5" s="1"/>
  <c r="L568" i="5"/>
  <c r="M568" i="5" s="1"/>
  <c r="L988" i="5"/>
  <c r="M988" i="5" s="1"/>
  <c r="L962" i="5"/>
  <c r="M962" i="5" s="1"/>
  <c r="L834" i="5"/>
  <c r="M834" i="5" s="1"/>
  <c r="L706" i="5"/>
  <c r="M706" i="5" s="1"/>
  <c r="L921" i="5"/>
  <c r="M921" i="5" s="1"/>
  <c r="L793" i="5"/>
  <c r="M793" i="5" s="1"/>
  <c r="L904" i="5"/>
  <c r="M904" i="5" s="1"/>
  <c r="L712" i="5"/>
  <c r="M712" i="5" s="1"/>
  <c r="L915" i="5"/>
  <c r="M915" i="5" s="1"/>
  <c r="L755" i="5"/>
  <c r="M755" i="5" s="1"/>
  <c r="L481" i="5"/>
  <c r="M481" i="5" s="1"/>
  <c r="L170" i="5"/>
  <c r="M170" i="5" s="1"/>
  <c r="L831" i="5"/>
  <c r="M831" i="5" s="1"/>
  <c r="L918" i="5"/>
  <c r="M918" i="5" s="1"/>
  <c r="L39" i="5"/>
  <c r="M39" i="5" s="1"/>
  <c r="L797" i="5"/>
  <c r="M797" i="5" s="1"/>
  <c r="L967" i="5"/>
  <c r="M967" i="5" s="1"/>
  <c r="L617" i="5"/>
  <c r="M617" i="5" s="1"/>
  <c r="L372" i="5"/>
  <c r="M372" i="5" s="1"/>
  <c r="L373" i="5"/>
  <c r="M373" i="5" s="1"/>
  <c r="L478" i="5"/>
  <c r="M478" i="5" s="1"/>
  <c r="L311" i="5"/>
  <c r="M311" i="5" s="1"/>
  <c r="L180" i="5"/>
  <c r="M180" i="5" s="1"/>
  <c r="L110" i="5"/>
  <c r="M110" i="5" s="1"/>
  <c r="AG207" i="5"/>
  <c r="AJ207" i="5" s="1"/>
  <c r="AK207" i="5" s="1"/>
  <c r="AG505" i="5"/>
  <c r="AJ505" i="5" s="1"/>
  <c r="AK505" i="5" s="1"/>
  <c r="AG740" i="5"/>
  <c r="AJ740" i="5" s="1"/>
  <c r="AK740" i="5" s="1"/>
  <c r="AG785" i="5"/>
  <c r="AJ785" i="5" s="1"/>
  <c r="AK785" i="5" s="1"/>
  <c r="AG941" i="5"/>
  <c r="AJ941" i="5" s="1"/>
  <c r="AK941" i="5" s="1"/>
  <c r="AG969" i="5"/>
  <c r="AJ969" i="5" s="1"/>
  <c r="AK969" i="5" s="1"/>
  <c r="L325" i="5"/>
  <c r="M325" i="5" s="1"/>
  <c r="L57" i="5"/>
  <c r="M57" i="5" s="1"/>
  <c r="L230" i="5"/>
  <c r="M230" i="5" s="1"/>
  <c r="L193" i="5"/>
  <c r="M193" i="5" s="1"/>
  <c r="L27" i="5"/>
  <c r="M27" i="5" s="1"/>
  <c r="L96" i="5"/>
  <c r="M96" i="5" s="1"/>
  <c r="L498" i="5"/>
  <c r="M498" i="5" s="1"/>
  <c r="L183" i="5"/>
  <c r="M183" i="5" s="1"/>
  <c r="L542" i="5"/>
  <c r="M542" i="5" s="1"/>
  <c r="L467" i="5"/>
  <c r="M467" i="5" s="1"/>
  <c r="L412" i="5"/>
  <c r="M412" i="5" s="1"/>
  <c r="L218" i="5"/>
  <c r="M218" i="5" s="1"/>
  <c r="L398" i="5"/>
  <c r="M398" i="5" s="1"/>
  <c r="L391" i="5"/>
  <c r="M391" i="5" s="1"/>
  <c r="L205" i="5"/>
  <c r="M205" i="5" s="1"/>
  <c r="L64" i="5"/>
  <c r="M64" i="5" s="1"/>
  <c r="L634" i="5"/>
  <c r="M634" i="5" s="1"/>
  <c r="L543" i="5"/>
  <c r="M543" i="5" s="1"/>
  <c r="L360" i="5"/>
  <c r="M360" i="5" s="1"/>
  <c r="L648" i="5"/>
  <c r="M648" i="5" s="1"/>
  <c r="L437" i="5"/>
  <c r="M437" i="5" s="1"/>
  <c r="L549" i="5"/>
  <c r="M549" i="5" s="1"/>
  <c r="L534" i="5"/>
  <c r="M534" i="5" s="1"/>
  <c r="L587" i="5"/>
  <c r="M587" i="5" s="1"/>
  <c r="L516" i="5"/>
  <c r="M516" i="5" s="1"/>
  <c r="L361" i="5"/>
  <c r="M361" i="5" s="1"/>
  <c r="L465" i="5"/>
  <c r="M465" i="5" s="1"/>
  <c r="L585" i="5"/>
  <c r="M585" i="5" s="1"/>
  <c r="L665" i="5"/>
  <c r="M665" i="5" s="1"/>
  <c r="L743" i="5"/>
  <c r="M743" i="5" s="1"/>
  <c r="L839" i="5"/>
  <c r="M839" i="5" s="1"/>
  <c r="L919" i="5"/>
  <c r="M919" i="5" s="1"/>
  <c r="L999" i="5"/>
  <c r="M999" i="5" s="1"/>
  <c r="L792" i="5"/>
  <c r="M792" i="5" s="1"/>
  <c r="L912" i="5"/>
  <c r="M912" i="5" s="1"/>
  <c r="L749" i="5"/>
  <c r="M749" i="5" s="1"/>
  <c r="L845" i="5"/>
  <c r="M845" i="5" s="1"/>
  <c r="L909" i="5"/>
  <c r="M909" i="5" s="1"/>
  <c r="L973" i="5"/>
  <c r="M973" i="5" s="1"/>
  <c r="L694" i="5"/>
  <c r="M694" i="5" s="1"/>
  <c r="L758" i="5"/>
  <c r="M758" i="5" s="1"/>
  <c r="L822" i="5"/>
  <c r="M822" i="5" s="1"/>
  <c r="L886" i="5"/>
  <c r="M886" i="5" s="1"/>
  <c r="L950" i="5"/>
  <c r="M950" i="5" s="1"/>
  <c r="L916" i="5"/>
  <c r="M916" i="5" s="1"/>
  <c r="L924" i="5"/>
  <c r="M924" i="5" s="1"/>
  <c r="L189" i="5"/>
  <c r="M189" i="5" s="1"/>
  <c r="L60" i="5"/>
  <c r="M60" i="5" s="1"/>
  <c r="L630" i="5"/>
  <c r="M630" i="5" s="1"/>
  <c r="L555" i="5"/>
  <c r="M555" i="5" s="1"/>
  <c r="L396" i="5"/>
  <c r="M396" i="5" s="1"/>
  <c r="L588" i="5"/>
  <c r="M588" i="5" s="1"/>
  <c r="L369" i="5"/>
  <c r="M369" i="5" s="1"/>
  <c r="L457" i="5"/>
  <c r="M457" i="5" s="1"/>
  <c r="L541" i="5"/>
  <c r="M541" i="5" s="1"/>
  <c r="L609" i="5"/>
  <c r="M609" i="5" s="1"/>
  <c r="L671" i="5"/>
  <c r="M671" i="5" s="1"/>
  <c r="L735" i="5"/>
  <c r="M735" i="5" s="1"/>
  <c r="L799" i="5"/>
  <c r="M799" i="5" s="1"/>
  <c r="L863" i="5"/>
  <c r="M863" i="5" s="1"/>
  <c r="L927" i="5"/>
  <c r="M927" i="5" s="1"/>
  <c r="L991" i="5"/>
  <c r="M991" i="5" s="1"/>
  <c r="L732" i="5"/>
  <c r="M732" i="5" s="1"/>
  <c r="L828" i="5"/>
  <c r="M828" i="5" s="1"/>
  <c r="L677" i="5"/>
  <c r="M677" i="5" s="1"/>
  <c r="L741" i="5"/>
  <c r="M741" i="5" s="1"/>
  <c r="L805" i="5"/>
  <c r="M805" i="5" s="1"/>
  <c r="L869" i="5"/>
  <c r="M869" i="5" s="1"/>
  <c r="L291" i="5"/>
  <c r="M291" i="5" s="1"/>
  <c r="L582" i="5"/>
  <c r="M582" i="5" s="1"/>
  <c r="L507" i="5"/>
  <c r="M507" i="5" s="1"/>
  <c r="L328" i="5"/>
  <c r="M328" i="5" s="1"/>
  <c r="L544" i="5"/>
  <c r="M544" i="5" s="1"/>
  <c r="L316" i="5"/>
  <c r="M316" i="5" s="1"/>
  <c r="AG114" i="5"/>
  <c r="AJ114" i="5" s="1"/>
  <c r="AK114" i="5" s="1"/>
  <c r="AG438" i="5"/>
  <c r="AJ438" i="5" s="1"/>
  <c r="AK438" i="5" s="1"/>
  <c r="AG900" i="5"/>
  <c r="AJ900" i="5" s="1"/>
  <c r="AK900" i="5" s="1"/>
  <c r="AG913" i="5"/>
  <c r="AJ913" i="5" s="1"/>
  <c r="AK913" i="5" s="1"/>
  <c r="AG1007" i="5"/>
  <c r="AJ1007" i="5" s="1"/>
  <c r="AK1007" i="5" s="1"/>
  <c r="L242" i="5"/>
  <c r="M242" i="5" s="1"/>
  <c r="L185" i="5"/>
  <c r="M185" i="5" s="1"/>
  <c r="L358" i="5"/>
  <c r="M358" i="5" s="1"/>
  <c r="L321" i="5"/>
  <c r="M321" i="5" s="1"/>
  <c r="L155" i="5"/>
  <c r="M155" i="5" s="1"/>
  <c r="L336" i="5"/>
  <c r="M336" i="5" s="1"/>
  <c r="L285" i="5"/>
  <c r="M285" i="5" s="1"/>
  <c r="L132" i="5"/>
  <c r="M132" i="5" s="1"/>
  <c r="L654" i="5"/>
  <c r="M654" i="5" s="1"/>
  <c r="L579" i="5"/>
  <c r="M579" i="5" s="1"/>
  <c r="L580" i="5"/>
  <c r="M580" i="5" s="1"/>
  <c r="L279" i="5"/>
  <c r="M279" i="5" s="1"/>
  <c r="L578" i="5"/>
  <c r="M578" i="5" s="1"/>
  <c r="L503" i="5"/>
  <c r="M503" i="5" s="1"/>
  <c r="L314" i="5"/>
  <c r="M314" i="5" s="1"/>
  <c r="L446" i="5"/>
  <c r="M446" i="5" s="1"/>
  <c r="L415" i="5"/>
  <c r="M415" i="5" s="1"/>
  <c r="L559" i="5"/>
  <c r="M559" i="5" s="1"/>
  <c r="L456" i="5"/>
  <c r="M456" i="5" s="1"/>
  <c r="L348" i="5"/>
  <c r="M348" i="5" s="1"/>
  <c r="L453" i="5"/>
  <c r="M453" i="5" s="1"/>
  <c r="L317" i="5"/>
  <c r="M317" i="5" s="1"/>
  <c r="L598" i="5"/>
  <c r="M598" i="5" s="1"/>
  <c r="L663" i="5"/>
  <c r="M663" i="5" s="1"/>
  <c r="L564" i="5"/>
  <c r="M564" i="5" s="1"/>
  <c r="L381" i="5"/>
  <c r="M381" i="5" s="1"/>
  <c r="L509" i="5"/>
  <c r="M509" i="5" s="1"/>
  <c r="L601" i="5"/>
  <c r="M601" i="5" s="1"/>
  <c r="L679" i="5"/>
  <c r="M679" i="5" s="1"/>
  <c r="L775" i="5"/>
  <c r="M775" i="5" s="1"/>
  <c r="L855" i="5"/>
  <c r="M855" i="5" s="1"/>
  <c r="L935" i="5"/>
  <c r="M935" i="5" s="1"/>
  <c r="L696" i="5"/>
  <c r="M696" i="5" s="1"/>
  <c r="L816" i="5"/>
  <c r="M816" i="5" s="1"/>
  <c r="L685" i="5"/>
  <c r="M685" i="5" s="1"/>
  <c r="L781" i="5"/>
  <c r="M781" i="5" s="1"/>
  <c r="L861" i="5"/>
  <c r="M861" i="5" s="1"/>
  <c r="L925" i="5"/>
  <c r="M925" i="5" s="1"/>
  <c r="L989" i="5"/>
  <c r="M989" i="5" s="1"/>
  <c r="L710" i="5"/>
  <c r="M710" i="5" s="1"/>
  <c r="L774" i="5"/>
  <c r="M774" i="5" s="1"/>
  <c r="L838" i="5"/>
  <c r="M838" i="5" s="1"/>
  <c r="L902" i="5"/>
  <c r="M902" i="5" s="1"/>
  <c r="L966" i="5"/>
  <c r="M966" i="5" s="1"/>
  <c r="L1012" i="5"/>
  <c r="M1012" i="5" s="1"/>
  <c r="L1015" i="5"/>
  <c r="M1015" i="5" s="1"/>
  <c r="L106" i="5"/>
  <c r="M106" i="5" s="1"/>
  <c r="L288" i="5"/>
  <c r="M288" i="5" s="1"/>
  <c r="L363" i="5"/>
  <c r="M363" i="5" s="1"/>
  <c r="L615" i="5"/>
  <c r="M615" i="5" s="1"/>
  <c r="L444" i="5"/>
  <c r="M444" i="5" s="1"/>
  <c r="L616" i="5"/>
  <c r="M616" i="5" s="1"/>
  <c r="L393" i="5"/>
  <c r="M393" i="5" s="1"/>
  <c r="L477" i="5"/>
  <c r="M477" i="5" s="1"/>
  <c r="L561" i="5"/>
  <c r="M561" i="5" s="1"/>
  <c r="L625" i="5"/>
  <c r="M625" i="5" s="1"/>
  <c r="L687" i="5"/>
  <c r="M687" i="5" s="1"/>
  <c r="L751" i="5"/>
  <c r="M751" i="5" s="1"/>
  <c r="L815" i="5"/>
  <c r="M815" i="5" s="1"/>
  <c r="L879" i="5"/>
  <c r="M879" i="5" s="1"/>
  <c r="L943" i="5"/>
  <c r="M943" i="5" s="1"/>
  <c r="L1007" i="5"/>
  <c r="M1007" i="5" s="1"/>
  <c r="L756" i="5"/>
  <c r="M756" i="5" s="1"/>
  <c r="L852" i="5"/>
  <c r="M852" i="5" s="1"/>
  <c r="L693" i="5"/>
  <c r="M693" i="5" s="1"/>
  <c r="L757" i="5"/>
  <c r="M757" i="5" s="1"/>
  <c r="L821" i="5"/>
  <c r="M821" i="5" s="1"/>
  <c r="L253" i="5"/>
  <c r="M253" i="5" s="1"/>
  <c r="L108" i="5"/>
  <c r="M108" i="5" s="1"/>
  <c r="L646" i="5"/>
  <c r="M646" i="5" s="1"/>
  <c r="L571" i="5"/>
  <c r="M571" i="5" s="1"/>
  <c r="L400" i="5"/>
  <c r="M400" i="5" s="1"/>
  <c r="L592" i="5"/>
  <c r="M592" i="5" s="1"/>
  <c r="L377" i="5"/>
  <c r="M377" i="5" s="1"/>
  <c r="L461" i="5"/>
  <c r="M461" i="5" s="1"/>
  <c r="L545" i="5"/>
  <c r="M545" i="5" s="1"/>
  <c r="L613" i="5"/>
  <c r="M613" i="5" s="1"/>
  <c r="L675" i="5"/>
  <c r="M675" i="5" s="1"/>
  <c r="L739" i="5"/>
  <c r="M739" i="5" s="1"/>
  <c r="L803" i="5"/>
  <c r="M803" i="5" s="1"/>
  <c r="AG520" i="5"/>
  <c r="AJ520" i="5" s="1"/>
  <c r="AK520" i="5" s="1"/>
  <c r="AG891" i="5"/>
  <c r="AJ891" i="5" s="1"/>
  <c r="AK891" i="5" s="1"/>
  <c r="AG721" i="5"/>
  <c r="AJ721" i="5" s="1"/>
  <c r="AK721" i="5" s="1"/>
  <c r="AG750" i="5"/>
  <c r="AJ750" i="5" s="1"/>
  <c r="AK750" i="5" s="1"/>
  <c r="AG999" i="5"/>
  <c r="AJ999" i="5" s="1"/>
  <c r="AK999" i="5" s="1"/>
  <c r="L69" i="5"/>
  <c r="M69" i="5" s="1"/>
  <c r="L438" i="5"/>
  <c r="M438" i="5" s="1"/>
  <c r="L102" i="5"/>
  <c r="M102" i="5" s="1"/>
  <c r="L65" i="5"/>
  <c r="M65" i="5" s="1"/>
  <c r="L238" i="5"/>
  <c r="M238" i="5" s="1"/>
  <c r="L72" i="5"/>
  <c r="M72" i="5" s="1"/>
  <c r="L482" i="5"/>
  <c r="M482" i="5" s="1"/>
  <c r="L119" i="5"/>
  <c r="M119" i="5" s="1"/>
  <c r="L522" i="5"/>
  <c r="M522" i="5" s="1"/>
  <c r="L451" i="5"/>
  <c r="M451" i="5" s="1"/>
  <c r="L388" i="5"/>
  <c r="M388" i="5" s="1"/>
  <c r="L154" i="5"/>
  <c r="M154" i="5" s="1"/>
  <c r="L366" i="5"/>
  <c r="M366" i="5" s="1"/>
  <c r="L375" i="5"/>
  <c r="M375" i="5" s="1"/>
  <c r="L141" i="5"/>
  <c r="M141" i="5" s="1"/>
  <c r="L359" i="5"/>
  <c r="M359" i="5" s="1"/>
  <c r="L618" i="5"/>
  <c r="M618" i="5" s="1"/>
  <c r="L495" i="5"/>
  <c r="M495" i="5" s="1"/>
  <c r="L264" i="5"/>
  <c r="M264" i="5" s="1"/>
  <c r="L552" i="5"/>
  <c r="M552" i="5" s="1"/>
  <c r="L421" i="5"/>
  <c r="L517" i="5"/>
  <c r="M517" i="5" s="1"/>
  <c r="L323" i="5"/>
  <c r="M323" i="5" s="1"/>
  <c r="L523" i="5"/>
  <c r="M523" i="5" s="1"/>
  <c r="L420" i="5"/>
  <c r="M420" i="5" s="1"/>
  <c r="L664" i="5"/>
  <c r="M664" i="5" s="1"/>
  <c r="L445" i="5"/>
  <c r="M445" i="5" s="1"/>
  <c r="L553" i="5"/>
  <c r="M553" i="5" s="1"/>
  <c r="L649" i="5"/>
  <c r="M649" i="5" s="1"/>
  <c r="L727" i="5"/>
  <c r="M727" i="5" s="1"/>
  <c r="L807" i="5"/>
  <c r="M807" i="5" s="1"/>
  <c r="L903" i="5"/>
  <c r="M903" i="5" s="1"/>
  <c r="L983" i="5"/>
  <c r="M983" i="5" s="1"/>
  <c r="L744" i="5"/>
  <c r="M744" i="5" s="1"/>
  <c r="L888" i="5"/>
  <c r="M888" i="5" s="1"/>
  <c r="L733" i="5"/>
  <c r="M733" i="5" s="1"/>
  <c r="L813" i="5"/>
  <c r="M813" i="5" s="1"/>
  <c r="L893" i="5"/>
  <c r="M893" i="5" s="1"/>
  <c r="L957" i="5"/>
  <c r="M957" i="5" s="1"/>
  <c r="L678" i="5"/>
  <c r="M678" i="5" s="1"/>
  <c r="L742" i="5"/>
  <c r="M742" i="5" s="1"/>
  <c r="L806" i="5"/>
  <c r="M806" i="5" s="1"/>
  <c r="L870" i="5"/>
  <c r="M870" i="5" s="1"/>
  <c r="L934" i="5"/>
  <c r="M934" i="5" s="1"/>
  <c r="L998" i="5"/>
  <c r="M998" i="5" s="1"/>
  <c r="L1014" i="5"/>
  <c r="M1014" i="5" s="1"/>
  <c r="L1020" i="5"/>
  <c r="M1020" i="5" s="1"/>
  <c r="L259" i="5"/>
  <c r="M259" i="5" s="1"/>
  <c r="L566" i="5"/>
  <c r="M566" i="5" s="1"/>
  <c r="L491" i="5"/>
  <c r="M491" i="5" s="1"/>
  <c r="L312" i="5"/>
  <c r="M312" i="5" s="1"/>
  <c r="L540" i="5"/>
  <c r="M540" i="5" s="1"/>
  <c r="L300" i="5"/>
  <c r="M300" i="5" s="1"/>
  <c r="L433" i="5"/>
  <c r="M433" i="5" s="1"/>
  <c r="L521" i="5"/>
  <c r="M521" i="5" s="1"/>
  <c r="L593" i="5"/>
  <c r="M593" i="5" s="1"/>
  <c r="L657" i="5"/>
  <c r="M657" i="5" s="1"/>
  <c r="L719" i="5"/>
  <c r="M719" i="5" s="1"/>
  <c r="L783" i="5"/>
  <c r="M783" i="5" s="1"/>
  <c r="L847" i="5"/>
  <c r="M847" i="5" s="1"/>
  <c r="L911" i="5"/>
  <c r="M911" i="5" s="1"/>
  <c r="L975" i="5"/>
  <c r="M975" i="5" s="1"/>
  <c r="L708" i="5"/>
  <c r="M708" i="5" s="1"/>
  <c r="L804" i="5"/>
  <c r="M804" i="5" s="1"/>
  <c r="L900" i="5"/>
  <c r="M900" i="5" s="1"/>
  <c r="L725" i="5"/>
  <c r="M725" i="5" s="1"/>
  <c r="L789" i="5"/>
  <c r="M789" i="5" s="1"/>
  <c r="L853" i="5"/>
  <c r="M853" i="5" s="1"/>
  <c r="L87" i="5"/>
  <c r="M87" i="5" s="1"/>
  <c r="L506" i="5"/>
  <c r="M506" i="5" s="1"/>
  <c r="L443" i="5"/>
  <c r="M443" i="5" s="1"/>
  <c r="L651" i="5"/>
  <c r="M651" i="5" s="1"/>
  <c r="L496" i="5"/>
  <c r="M496" i="5" s="1"/>
  <c r="L660" i="5"/>
  <c r="M660" i="5" s="1"/>
  <c r="L417" i="5"/>
  <c r="M417" i="5" s="1"/>
  <c r="L505" i="5"/>
  <c r="M505" i="5" s="1"/>
  <c r="L581" i="5"/>
  <c r="M581" i="5" s="1"/>
  <c r="L645" i="5"/>
  <c r="M645" i="5" s="1"/>
  <c r="L707" i="5"/>
  <c r="M707" i="5" s="1"/>
  <c r="L771" i="5"/>
  <c r="M771" i="5" s="1"/>
  <c r="L767" i="5"/>
  <c r="M767" i="5" s="1"/>
  <c r="L497" i="5"/>
  <c r="M497" i="5" s="1"/>
  <c r="L647" i="5"/>
  <c r="M647" i="5" s="1"/>
  <c r="L928" i="5"/>
  <c r="M928" i="5" s="1"/>
  <c r="L854" i="5"/>
  <c r="M854" i="5" s="1"/>
  <c r="L941" i="5"/>
  <c r="M941" i="5" s="1"/>
  <c r="L840" i="5"/>
  <c r="M840" i="5" s="1"/>
  <c r="L791" i="5"/>
  <c r="M791" i="5" s="1"/>
  <c r="L425" i="5"/>
  <c r="M425" i="5" s="1"/>
  <c r="L151" i="5"/>
  <c r="M151" i="5" s="1"/>
  <c r="L623" i="5"/>
  <c r="M623" i="5" s="1"/>
  <c r="L519" i="5"/>
  <c r="M519" i="5" s="1"/>
  <c r="L595" i="5"/>
  <c r="M595" i="5" s="1"/>
  <c r="L370" i="5"/>
  <c r="M370" i="5" s="1"/>
  <c r="L313" i="5"/>
  <c r="M313" i="5" s="1"/>
  <c r="AG977" i="5"/>
  <c r="AJ977" i="5" s="1"/>
  <c r="AK977" i="5" s="1"/>
  <c r="AG204" i="5"/>
  <c r="AJ204" i="5" s="1"/>
  <c r="AK204" i="5" s="1"/>
  <c r="L959" i="5"/>
  <c r="M959" i="5" s="1"/>
  <c r="L703" i="5"/>
  <c r="M703" i="5" s="1"/>
  <c r="L413" i="5"/>
  <c r="M413" i="5" s="1"/>
  <c r="L427" i="5"/>
  <c r="M427" i="5" s="1"/>
  <c r="L936" i="5"/>
  <c r="M936" i="5" s="1"/>
  <c r="L790" i="5"/>
  <c r="M790" i="5" s="1"/>
  <c r="L877" i="5"/>
  <c r="M877" i="5" s="1"/>
  <c r="L720" i="5"/>
  <c r="M720" i="5" s="1"/>
  <c r="L711" i="5"/>
  <c r="M711" i="5" s="1"/>
  <c r="L604" i="5"/>
  <c r="M604" i="5" s="1"/>
  <c r="L501" i="5"/>
  <c r="M501" i="5" s="1"/>
  <c r="L431" i="5"/>
  <c r="L594" i="5"/>
  <c r="M594" i="5" s="1"/>
  <c r="L670" i="5"/>
  <c r="M670" i="5" s="1"/>
  <c r="L283" i="5"/>
  <c r="M283" i="5" s="1"/>
  <c r="L100" i="5"/>
  <c r="M100" i="5" s="1"/>
  <c r="AG686" i="5"/>
  <c r="AJ686" i="5" s="1"/>
  <c r="AK686" i="5" s="1"/>
  <c r="K279" i="5"/>
  <c r="K99" i="5"/>
  <c r="K305" i="5"/>
  <c r="K297" i="5"/>
  <c r="K111" i="5"/>
  <c r="K290" i="5"/>
  <c r="K186" i="5"/>
  <c r="AG836" i="5"/>
  <c r="AJ836" i="5" s="1"/>
  <c r="AK836" i="5" s="1"/>
  <c r="AG747" i="5"/>
  <c r="AJ747" i="5" s="1"/>
  <c r="AK747" i="5" s="1"/>
  <c r="AG347" i="5"/>
  <c r="AJ347" i="5" s="1"/>
  <c r="AK347" i="5" s="1"/>
  <c r="AG224" i="5"/>
  <c r="AJ224" i="5" s="1"/>
  <c r="AK224" i="5" s="1"/>
  <c r="AG25" i="5"/>
  <c r="AJ25" i="5" s="1"/>
  <c r="AK25" i="5" s="1"/>
  <c r="L159" i="5"/>
  <c r="M159" i="5" s="1"/>
  <c r="AG1016" i="5"/>
  <c r="AJ1016" i="5" s="1"/>
  <c r="AK1016" i="5" s="1"/>
  <c r="AG814" i="5"/>
  <c r="AJ814" i="5" s="1"/>
  <c r="AK814" i="5" s="1"/>
  <c r="AG849" i="5"/>
  <c r="AJ849" i="5" s="1"/>
  <c r="AK849" i="5" s="1"/>
  <c r="AG964" i="5"/>
  <c r="AJ964" i="5" s="1"/>
  <c r="AK964" i="5" s="1"/>
  <c r="AG672" i="5"/>
  <c r="AJ672" i="5" s="1"/>
  <c r="AK672" i="5" s="1"/>
  <c r="AG546" i="5"/>
  <c r="AJ546" i="5" s="1"/>
  <c r="AK546" i="5" s="1"/>
  <c r="AG280" i="5"/>
  <c r="AJ280" i="5" s="1"/>
  <c r="AK280" i="5" s="1"/>
  <c r="AG149" i="5"/>
  <c r="AJ149" i="5" s="1"/>
  <c r="AK149" i="5" s="1"/>
  <c r="AG153" i="5"/>
  <c r="AJ153" i="5" s="1"/>
  <c r="AK153" i="5" s="1"/>
  <c r="AG238" i="5"/>
  <c r="AJ238" i="5" s="1"/>
  <c r="AK238" i="5" s="1"/>
  <c r="AG215" i="5"/>
  <c r="AJ215" i="5" s="1"/>
  <c r="AK215" i="5" s="1"/>
  <c r="AG363" i="5"/>
  <c r="AJ363" i="5" s="1"/>
  <c r="AK363" i="5" s="1"/>
  <c r="AG384" i="5"/>
  <c r="AJ384" i="5" s="1"/>
  <c r="AK384" i="5" s="1"/>
  <c r="AG524" i="5"/>
  <c r="AJ524" i="5" s="1"/>
  <c r="AK524" i="5" s="1"/>
  <c r="AG377" i="5"/>
  <c r="AJ377" i="5" s="1"/>
  <c r="AK377" i="5" s="1"/>
  <c r="AG565" i="5"/>
  <c r="AJ565" i="5" s="1"/>
  <c r="AK565" i="5" s="1"/>
  <c r="AG352" i="5"/>
  <c r="AJ352" i="5" s="1"/>
  <c r="AK352" i="5" s="1"/>
  <c r="AG482" i="5"/>
  <c r="AJ482" i="5" s="1"/>
  <c r="AK482" i="5" s="1"/>
  <c r="AG574" i="5"/>
  <c r="AJ574" i="5" s="1"/>
  <c r="AK574" i="5" s="1"/>
  <c r="AG651" i="5"/>
  <c r="AJ651" i="5" s="1"/>
  <c r="AK651" i="5" s="1"/>
  <c r="AG795" i="5"/>
  <c r="AJ795" i="5" s="1"/>
  <c r="AK795" i="5" s="1"/>
  <c r="AG935" i="5"/>
  <c r="AJ935" i="5" s="1"/>
  <c r="AK935" i="5" s="1"/>
  <c r="AG676" i="5"/>
  <c r="AJ676" i="5" s="1"/>
  <c r="AK676" i="5" s="1"/>
  <c r="AG772" i="5"/>
  <c r="AJ772" i="5" s="1"/>
  <c r="AK772" i="5" s="1"/>
  <c r="AG864" i="5"/>
  <c r="AJ864" i="5" s="1"/>
  <c r="AK864" i="5" s="1"/>
  <c r="AG928" i="5"/>
  <c r="AJ928" i="5" s="1"/>
  <c r="AK928" i="5" s="1"/>
  <c r="AG992" i="5"/>
  <c r="AJ992" i="5" s="1"/>
  <c r="AK992" i="5" s="1"/>
  <c r="AG685" i="5"/>
  <c r="AJ685" i="5" s="1"/>
  <c r="AK685" i="5" s="1"/>
  <c r="AG749" i="5"/>
  <c r="AJ749" i="5" s="1"/>
  <c r="AK749" i="5" s="1"/>
  <c r="AG813" i="5"/>
  <c r="AJ813" i="5" s="1"/>
  <c r="AK813" i="5" s="1"/>
  <c r="AG877" i="5"/>
  <c r="AJ877" i="5" s="1"/>
  <c r="AK877" i="5" s="1"/>
  <c r="AG650" i="5"/>
  <c r="AJ650" i="5" s="1"/>
  <c r="AK650" i="5" s="1"/>
  <c r="AG714" i="5"/>
  <c r="AJ714" i="5" s="1"/>
  <c r="AK714" i="5" s="1"/>
  <c r="AG778" i="5"/>
  <c r="AJ778" i="5" s="1"/>
  <c r="AK778" i="5" s="1"/>
  <c r="AG842" i="5"/>
  <c r="AJ842" i="5" s="1"/>
  <c r="AK842" i="5" s="1"/>
  <c r="AG986" i="5"/>
  <c r="AJ986" i="5" s="1"/>
  <c r="AK986" i="5" s="1"/>
  <c r="AG902" i="5"/>
  <c r="AJ902" i="5" s="1"/>
  <c r="AK902" i="5" s="1"/>
  <c r="AG1010" i="5"/>
  <c r="AJ1010" i="5" s="1"/>
  <c r="AK1010" i="5" s="1"/>
  <c r="AG937" i="5"/>
  <c r="AJ937" i="5" s="1"/>
  <c r="AK937" i="5" s="1"/>
  <c r="AG878" i="5"/>
  <c r="AJ878" i="5" s="1"/>
  <c r="AK878" i="5" s="1"/>
  <c r="L181" i="5"/>
  <c r="M181" i="5" s="1"/>
  <c r="L98" i="5"/>
  <c r="M98" i="5" s="1"/>
  <c r="L354" i="5"/>
  <c r="M354" i="5" s="1"/>
  <c r="L271" i="5"/>
  <c r="M271" i="5" s="1"/>
  <c r="L352" i="5"/>
  <c r="M352" i="5" s="1"/>
  <c r="L486" i="5"/>
  <c r="M486" i="5" s="1"/>
  <c r="L105" i="5"/>
  <c r="M105" i="5" s="1"/>
  <c r="L233" i="5"/>
  <c r="M233" i="5" s="1"/>
  <c r="L22" i="5"/>
  <c r="M22" i="5" s="1"/>
  <c r="L150" i="5"/>
  <c r="M150" i="5" s="1"/>
  <c r="L278" i="5"/>
  <c r="M278" i="5" s="1"/>
  <c r="L67" i="5"/>
  <c r="M67" i="5" s="1"/>
  <c r="L195" i="5"/>
  <c r="M195" i="5" s="1"/>
  <c r="L113" i="5"/>
  <c r="M113" i="5" s="1"/>
  <c r="L241" i="5"/>
  <c r="M241" i="5" s="1"/>
  <c r="L30" i="5"/>
  <c r="M30" i="5" s="1"/>
  <c r="L158" i="5"/>
  <c r="M158" i="5" s="1"/>
  <c r="L286" i="5"/>
  <c r="M286" i="5" s="1"/>
  <c r="L75" i="5"/>
  <c r="M75" i="5" s="1"/>
  <c r="L203" i="5"/>
  <c r="M203" i="5" s="1"/>
  <c r="L331" i="5"/>
  <c r="M331" i="5" s="1"/>
  <c r="L168" i="5"/>
  <c r="M168" i="5" s="1"/>
  <c r="L418" i="5"/>
  <c r="M418" i="5" s="1"/>
  <c r="L29" i="5"/>
  <c r="M29" i="5" s="1"/>
  <c r="L202" i="5"/>
  <c r="M202" i="5" s="1"/>
  <c r="L307" i="5"/>
  <c r="M307" i="5" s="1"/>
  <c r="L394" i="5"/>
  <c r="M394" i="5" s="1"/>
  <c r="L590" i="5"/>
  <c r="M590" i="5" s="1"/>
  <c r="L387" i="5"/>
  <c r="M387" i="5" s="1"/>
  <c r="L515" i="5"/>
  <c r="M515" i="5" s="1"/>
  <c r="L643" i="5"/>
  <c r="M643" i="5" s="1"/>
  <c r="L484" i="5"/>
  <c r="M484" i="5" s="1"/>
  <c r="L237" i="5"/>
  <c r="M237" i="5" s="1"/>
  <c r="L71" i="5"/>
  <c r="M71" i="5" s="1"/>
  <c r="L88" i="5"/>
  <c r="M88" i="5" s="1"/>
  <c r="L494" i="5"/>
  <c r="M494" i="5" s="1"/>
  <c r="L642" i="5"/>
  <c r="M642" i="5" s="1"/>
  <c r="L439" i="5"/>
  <c r="M439" i="5" s="1"/>
  <c r="L567" i="5"/>
  <c r="M567" i="5" s="1"/>
  <c r="L58" i="5"/>
  <c r="M58" i="5" s="1"/>
  <c r="L231" i="5"/>
  <c r="M231" i="5" s="1"/>
  <c r="L208" i="5"/>
  <c r="M208" i="5" s="1"/>
  <c r="L554" i="5"/>
  <c r="M554" i="5" s="1"/>
  <c r="L292" i="5"/>
  <c r="M292" i="5" s="1"/>
  <c r="L479" i="5"/>
  <c r="M479" i="5" s="1"/>
  <c r="L607" i="5"/>
  <c r="M607" i="5" s="1"/>
  <c r="L432" i="5"/>
  <c r="M432" i="5" s="1"/>
  <c r="L624" i="5"/>
  <c r="M624" i="5" s="1"/>
  <c r="L389" i="5"/>
  <c r="M389" i="5" s="1"/>
  <c r="L485" i="5"/>
  <c r="M485" i="5" s="1"/>
  <c r="L61" i="5"/>
  <c r="M61" i="5" s="1"/>
  <c r="L156" i="5"/>
  <c r="M156" i="5" s="1"/>
  <c r="L459" i="5"/>
  <c r="M459" i="5" s="1"/>
  <c r="AG277" i="5"/>
  <c r="AJ277" i="5" s="1"/>
  <c r="AK277" i="5" s="1"/>
  <c r="AG242" i="5"/>
  <c r="AJ242" i="5" s="1"/>
  <c r="AK242" i="5" s="1"/>
  <c r="AG112" i="5"/>
  <c r="AJ112" i="5" s="1"/>
  <c r="AK112" i="5" s="1"/>
  <c r="AG483" i="5"/>
  <c r="AJ483" i="5" s="1"/>
  <c r="AK483" i="5" s="1"/>
  <c r="AG388" i="5"/>
  <c r="AJ388" i="5" s="1"/>
  <c r="AK388" i="5" s="1"/>
  <c r="AG588" i="5"/>
  <c r="AJ588" i="5" s="1"/>
  <c r="AK588" i="5" s="1"/>
  <c r="AG437" i="5"/>
  <c r="AJ437" i="5" s="1"/>
  <c r="AK437" i="5" s="1"/>
  <c r="AG569" i="5"/>
  <c r="AJ569" i="5" s="1"/>
  <c r="AK569" i="5" s="1"/>
  <c r="AG398" i="5"/>
  <c r="AJ398" i="5" s="1"/>
  <c r="AG510" i="5"/>
  <c r="AJ510" i="5" s="1"/>
  <c r="AK510" i="5" s="1"/>
  <c r="AG578" i="5"/>
  <c r="AJ578" i="5" s="1"/>
  <c r="AK578" i="5" s="1"/>
  <c r="AG699" i="5"/>
  <c r="AJ699" i="5" s="1"/>
  <c r="AK699" i="5" s="1"/>
  <c r="AG839" i="5"/>
  <c r="AJ839" i="5" s="1"/>
  <c r="AK839" i="5" s="1"/>
  <c r="AG939" i="5"/>
  <c r="AJ939" i="5" s="1"/>
  <c r="AK939" i="5" s="1"/>
  <c r="AG708" i="5"/>
  <c r="AJ708" i="5" s="1"/>
  <c r="AK708" i="5" s="1"/>
  <c r="AG800" i="5"/>
  <c r="AJ800" i="5" s="1"/>
  <c r="AK800" i="5" s="1"/>
  <c r="AG868" i="5"/>
  <c r="AJ868" i="5" s="1"/>
  <c r="AK868" i="5" s="1"/>
  <c r="AG932" i="5"/>
  <c r="AJ932" i="5" s="1"/>
  <c r="AK932" i="5" s="1"/>
  <c r="AG996" i="5"/>
  <c r="AJ996" i="5" s="1"/>
  <c r="AK996" i="5" s="1"/>
  <c r="AG689" i="5"/>
  <c r="AJ689" i="5" s="1"/>
  <c r="AK689" i="5" s="1"/>
  <c r="AG753" i="5"/>
  <c r="AJ753" i="5" s="1"/>
  <c r="AK753" i="5" s="1"/>
  <c r="AG817" i="5"/>
  <c r="AJ817" i="5" s="1"/>
  <c r="AK817" i="5" s="1"/>
  <c r="AG881" i="5"/>
  <c r="AJ881" i="5" s="1"/>
  <c r="AK881" i="5" s="1"/>
  <c r="AG654" i="5"/>
  <c r="AJ654" i="5" s="1"/>
  <c r="AK654" i="5" s="1"/>
  <c r="AG718" i="5"/>
  <c r="AJ718" i="5" s="1"/>
  <c r="AK718" i="5" s="1"/>
  <c r="AG782" i="5"/>
  <c r="AJ782" i="5" s="1"/>
  <c r="AK782" i="5" s="1"/>
  <c r="AG846" i="5"/>
  <c r="AJ846" i="5" s="1"/>
  <c r="AK846" i="5" s="1"/>
  <c r="AG997" i="5"/>
  <c r="AJ997" i="5" s="1"/>
  <c r="AK997" i="5" s="1"/>
  <c r="AG918" i="5"/>
  <c r="AJ918" i="5" s="1"/>
  <c r="AK918" i="5" s="1"/>
  <c r="AG1014" i="5"/>
  <c r="AJ1014" i="5" s="1"/>
  <c r="AK1014" i="5" s="1"/>
  <c r="AG945" i="5"/>
  <c r="AJ945" i="5" s="1"/>
  <c r="AK945" i="5" s="1"/>
  <c r="AG894" i="5"/>
  <c r="AJ894" i="5" s="1"/>
  <c r="AK894" i="5" s="1"/>
  <c r="L197" i="5"/>
  <c r="M197" i="5" s="1"/>
  <c r="L114" i="5"/>
  <c r="M114" i="5" s="1"/>
  <c r="L31" i="5"/>
  <c r="M31" i="5" s="1"/>
  <c r="L287" i="5"/>
  <c r="M287" i="5" s="1"/>
  <c r="L374" i="5"/>
  <c r="M374" i="5" s="1"/>
  <c r="L502" i="5"/>
  <c r="M502" i="5" s="1"/>
  <c r="L121" i="5"/>
  <c r="M121" i="5" s="1"/>
  <c r="L249" i="5"/>
  <c r="M249" i="5" s="1"/>
  <c r="L38" i="5"/>
  <c r="M38" i="5" s="1"/>
  <c r="L166" i="5"/>
  <c r="M166" i="5" s="1"/>
  <c r="L294" i="5"/>
  <c r="M294" i="5" s="1"/>
  <c r="L83" i="5"/>
  <c r="M83" i="5" s="1"/>
  <c r="L211" i="5"/>
  <c r="M211" i="5" s="1"/>
  <c r="L129" i="5"/>
  <c r="M129" i="5" s="1"/>
  <c r="L257" i="5"/>
  <c r="M257" i="5" s="1"/>
  <c r="L46" i="5"/>
  <c r="M46" i="5" s="1"/>
  <c r="L174" i="5"/>
  <c r="M174" i="5" s="1"/>
  <c r="L302" i="5"/>
  <c r="M302" i="5" s="1"/>
  <c r="L91" i="5"/>
  <c r="M91" i="5" s="1"/>
  <c r="L219" i="5"/>
  <c r="M219" i="5" s="1"/>
  <c r="L347" i="5"/>
  <c r="M347" i="5" s="1"/>
  <c r="L192" i="5"/>
  <c r="M192" i="5" s="1"/>
  <c r="L434" i="5"/>
  <c r="M434" i="5" s="1"/>
  <c r="L93" i="5"/>
  <c r="M93" i="5" s="1"/>
  <c r="L266" i="5"/>
  <c r="M266" i="5" s="1"/>
  <c r="L339" i="5"/>
  <c r="M339" i="5" s="1"/>
  <c r="L426" i="5"/>
  <c r="M426" i="5" s="1"/>
  <c r="L606" i="5"/>
  <c r="M606" i="5" s="1"/>
  <c r="L403" i="5"/>
  <c r="M403" i="5" s="1"/>
  <c r="L531" i="5"/>
  <c r="M531" i="5" s="1"/>
  <c r="L659" i="5"/>
  <c r="M659" i="5" s="1"/>
  <c r="L508" i="5"/>
  <c r="M508" i="5" s="1"/>
  <c r="L301" i="5"/>
  <c r="M301" i="5" s="1"/>
  <c r="L135" i="5"/>
  <c r="M135" i="5" s="1"/>
  <c r="L136" i="5"/>
  <c r="M136" i="5" s="1"/>
  <c r="L526" i="5"/>
  <c r="M526" i="5" s="1"/>
  <c r="L658" i="5"/>
  <c r="M658" i="5" s="1"/>
  <c r="L455" i="5"/>
  <c r="M455" i="5" s="1"/>
  <c r="L583" i="5"/>
  <c r="M583" i="5" s="1"/>
  <c r="L122" i="5"/>
  <c r="M122" i="5" s="1"/>
  <c r="L263" i="5"/>
  <c r="M263" i="5" s="1"/>
  <c r="L304" i="5"/>
  <c r="M304" i="5" s="1"/>
  <c r="L570" i="5"/>
  <c r="M570" i="5" s="1"/>
  <c r="L367" i="5"/>
  <c r="M367" i="5" s="1"/>
  <c r="AG21" i="5"/>
  <c r="AJ21" i="5" s="1"/>
  <c r="AK21" i="5" s="1"/>
  <c r="AG281" i="5"/>
  <c r="AJ281" i="5" s="1"/>
  <c r="AK281" i="5" s="1"/>
  <c r="AG31" i="5"/>
  <c r="AJ31" i="5" s="1"/>
  <c r="AK31" i="5" s="1"/>
  <c r="AG196" i="5"/>
  <c r="AJ196" i="5" s="1"/>
  <c r="AK196" i="5" s="1"/>
  <c r="AG491" i="5"/>
  <c r="AJ491" i="5" s="1"/>
  <c r="AK491" i="5" s="1"/>
  <c r="AG460" i="5"/>
  <c r="AJ460" i="5" s="1"/>
  <c r="AK460" i="5" s="1"/>
  <c r="AG272" i="5"/>
  <c r="AJ272" i="5" s="1"/>
  <c r="AG441" i="5"/>
  <c r="AJ441" i="5" s="1"/>
  <c r="AK441" i="5" s="1"/>
  <c r="AG232" i="5"/>
  <c r="AJ232" i="5" s="1"/>
  <c r="AK232" i="5" s="1"/>
  <c r="AG434" i="5"/>
  <c r="AJ434" i="5" s="1"/>
  <c r="AK434" i="5" s="1"/>
  <c r="AG514" i="5"/>
  <c r="AJ514" i="5" s="1"/>
  <c r="AK514" i="5" s="1"/>
  <c r="AG610" i="5"/>
  <c r="AJ610" i="5" s="1"/>
  <c r="AK610" i="5" s="1"/>
  <c r="AG743" i="5"/>
  <c r="AJ743" i="5" s="1"/>
  <c r="AK743" i="5" s="1"/>
  <c r="AG843" i="5"/>
  <c r="AJ843" i="5" s="1"/>
  <c r="AK843" i="5" s="1"/>
  <c r="AG644" i="5"/>
  <c r="AJ644" i="5" s="1"/>
  <c r="AK644" i="5" s="1"/>
  <c r="AG736" i="5"/>
  <c r="AJ736" i="5" s="1"/>
  <c r="AK736" i="5" s="1"/>
  <c r="AG804" i="5"/>
  <c r="AJ804" i="5" s="1"/>
  <c r="AK804" i="5" s="1"/>
  <c r="AG896" i="5"/>
  <c r="AJ896" i="5" s="1"/>
  <c r="AK896" i="5" s="1"/>
  <c r="AG960" i="5"/>
  <c r="AJ960" i="5" s="1"/>
  <c r="AK960" i="5" s="1"/>
  <c r="AG653" i="5"/>
  <c r="AJ653" i="5" s="1"/>
  <c r="AK653" i="5" s="1"/>
  <c r="AG717" i="5"/>
  <c r="AJ717" i="5" s="1"/>
  <c r="AK717" i="5" s="1"/>
  <c r="AG781" i="5"/>
  <c r="AJ781" i="5" s="1"/>
  <c r="AK781" i="5" s="1"/>
  <c r="AG845" i="5"/>
  <c r="AJ845" i="5" s="1"/>
  <c r="AK845" i="5" s="1"/>
  <c r="AG909" i="5"/>
  <c r="AJ909" i="5" s="1"/>
  <c r="AK909" i="5" s="1"/>
  <c r="AG682" i="5"/>
  <c r="AJ682" i="5" s="1"/>
  <c r="AK682" i="5" s="1"/>
  <c r="AG746" i="5"/>
  <c r="AJ746" i="5" s="1"/>
  <c r="AK746" i="5" s="1"/>
  <c r="AG810" i="5"/>
  <c r="AJ810" i="5" s="1"/>
  <c r="AK810" i="5" s="1"/>
  <c r="AG933" i="5"/>
  <c r="AJ933" i="5" s="1"/>
  <c r="AK933" i="5" s="1"/>
  <c r="AG1025" i="5"/>
  <c r="AJ1025" i="5" s="1"/>
  <c r="AK1025" i="5" s="1"/>
  <c r="AG971" i="5"/>
  <c r="AJ971" i="5" s="1"/>
  <c r="AK971" i="5" s="1"/>
  <c r="AG1004" i="5"/>
  <c r="AJ1004" i="5" s="1"/>
  <c r="AK1004" i="5" s="1"/>
  <c r="AG994" i="5"/>
  <c r="AJ994" i="5" s="1"/>
  <c r="AK994" i="5" s="1"/>
  <c r="AG962" i="5"/>
  <c r="AJ962" i="5" s="1"/>
  <c r="AK962" i="5" s="1"/>
  <c r="L53" i="5"/>
  <c r="M53" i="5" s="1"/>
  <c r="L309" i="5"/>
  <c r="M309" i="5" s="1"/>
  <c r="L226" i="5"/>
  <c r="M226" i="5" s="1"/>
  <c r="L143" i="5"/>
  <c r="M143" i="5" s="1"/>
  <c r="L76" i="5"/>
  <c r="M76" i="5" s="1"/>
  <c r="L422" i="5"/>
  <c r="M422" i="5" s="1"/>
  <c r="L41" i="5"/>
  <c r="M41" i="5" s="1"/>
  <c r="L169" i="5"/>
  <c r="M169" i="5" s="1"/>
  <c r="L297" i="5"/>
  <c r="M297" i="5" s="1"/>
  <c r="L86" i="5"/>
  <c r="M86" i="5" s="1"/>
  <c r="L214" i="5"/>
  <c r="M214" i="5" s="1"/>
  <c r="L342" i="5"/>
  <c r="M342" i="5" s="1"/>
  <c r="L131" i="5"/>
  <c r="M131" i="5" s="1"/>
  <c r="L49" i="5"/>
  <c r="M49" i="5" s="1"/>
  <c r="L177" i="5"/>
  <c r="M177" i="5" s="1"/>
  <c r="L305" i="5"/>
  <c r="M305" i="5" s="1"/>
  <c r="L94" i="5"/>
  <c r="M94" i="5" s="1"/>
  <c r="L222" i="5"/>
  <c r="M222" i="5" s="1"/>
  <c r="L350" i="5"/>
  <c r="M350" i="5" s="1"/>
  <c r="L139" i="5"/>
  <c r="M139" i="5" s="1"/>
  <c r="L267" i="5"/>
  <c r="M267" i="5" s="1"/>
  <c r="K77" i="5"/>
  <c r="K152" i="5"/>
  <c r="AG832" i="5"/>
  <c r="AJ832" i="5" s="1"/>
  <c r="AK832" i="5" s="1"/>
  <c r="AG768" i="5"/>
  <c r="AJ768" i="5" s="1"/>
  <c r="AK768" i="5" s="1"/>
  <c r="AG704" i="5"/>
  <c r="AJ704" i="5" s="1"/>
  <c r="AK704" i="5" s="1"/>
  <c r="AG640" i="5"/>
  <c r="AJ640" i="5" s="1"/>
  <c r="AK640" i="5" s="1"/>
  <c r="AG887" i="5"/>
  <c r="AJ887" i="5" s="1"/>
  <c r="AK887" i="5" s="1"/>
  <c r="AG791" i="5"/>
  <c r="AJ791" i="5" s="1"/>
  <c r="AK791" i="5" s="1"/>
  <c r="AG695" i="5"/>
  <c r="AJ695" i="5" s="1"/>
  <c r="AK695" i="5" s="1"/>
  <c r="AG606" i="5"/>
  <c r="AJ606" i="5" s="1"/>
  <c r="AK606" i="5" s="1"/>
  <c r="AG542" i="5"/>
  <c r="AJ542" i="5" s="1"/>
  <c r="AK542" i="5" s="1"/>
  <c r="AG478" i="5"/>
  <c r="AJ478" i="5" s="1"/>
  <c r="AK478" i="5" s="1"/>
  <c r="AG390" i="5"/>
  <c r="AJ390" i="5" s="1"/>
  <c r="AK390" i="5" s="1"/>
  <c r="AG629" i="5"/>
  <c r="AJ629" i="5" s="1"/>
  <c r="AK629" i="5" s="1"/>
  <c r="AG501" i="5"/>
  <c r="AJ501" i="5" s="1"/>
  <c r="AK501" i="5" s="1"/>
  <c r="AG373" i="5"/>
  <c r="AJ373" i="5" s="1"/>
  <c r="AK373" i="5" s="1"/>
  <c r="AG584" i="5"/>
  <c r="AJ584" i="5" s="1"/>
  <c r="AK584" i="5" s="1"/>
  <c r="AG456" i="5"/>
  <c r="AJ456" i="5" s="1"/>
  <c r="AK456" i="5" s="1"/>
  <c r="AG611" i="5"/>
  <c r="AJ611" i="5" s="1"/>
  <c r="AK611" i="5" s="1"/>
  <c r="AG359" i="5"/>
  <c r="AJ359" i="5" s="1"/>
  <c r="AK359" i="5" s="1"/>
  <c r="AG108" i="5"/>
  <c r="AJ108" i="5" s="1"/>
  <c r="AK108" i="5" s="1"/>
  <c r="AG27" i="5"/>
  <c r="AJ27" i="5" s="1"/>
  <c r="AK27" i="5" s="1"/>
  <c r="AG110" i="5"/>
  <c r="AJ110" i="5" s="1"/>
  <c r="AK110" i="5" s="1"/>
  <c r="I30" i="5"/>
  <c r="K30" i="5" s="1"/>
  <c r="AG29" i="5"/>
  <c r="AJ29" i="5" s="1"/>
  <c r="AK29" i="5" s="1"/>
  <c r="AG45" i="5"/>
  <c r="AJ45" i="5" s="1"/>
  <c r="AG61" i="5"/>
  <c r="AJ61" i="5" s="1"/>
  <c r="AK61" i="5" s="1"/>
  <c r="AG77" i="5"/>
  <c r="AJ77" i="5" s="1"/>
  <c r="AK77" i="5" s="1"/>
  <c r="AG93" i="5"/>
  <c r="AJ93" i="5" s="1"/>
  <c r="AK93" i="5" s="1"/>
  <c r="AG109" i="5"/>
  <c r="AJ109" i="5" s="1"/>
  <c r="AK109" i="5" s="1"/>
  <c r="AG125" i="5"/>
  <c r="AJ125" i="5" s="1"/>
  <c r="AK125" i="5" s="1"/>
  <c r="AG141" i="5"/>
  <c r="AJ141" i="5" s="1"/>
  <c r="AK141" i="5" s="1"/>
  <c r="AG157" i="5"/>
  <c r="AJ157" i="5" s="1"/>
  <c r="AK157" i="5" s="1"/>
  <c r="AG173" i="5"/>
  <c r="AJ173" i="5" s="1"/>
  <c r="AK173" i="5" s="1"/>
  <c r="AG189" i="5"/>
  <c r="AJ189" i="5" s="1"/>
  <c r="AG205" i="5"/>
  <c r="AJ205" i="5" s="1"/>
  <c r="AK205" i="5" s="1"/>
  <c r="AG221" i="5"/>
  <c r="AJ221" i="5" s="1"/>
  <c r="AK221" i="5" s="1"/>
  <c r="AG237" i="5"/>
  <c r="AJ237" i="5" s="1"/>
  <c r="AK237" i="5" s="1"/>
  <c r="AG253" i="5"/>
  <c r="AJ253" i="5" s="1"/>
  <c r="AK253" i="5" s="1"/>
  <c r="AG269" i="5"/>
  <c r="AJ269" i="5" s="1"/>
  <c r="AK269" i="5" s="1"/>
  <c r="AG285" i="5"/>
  <c r="AJ285" i="5" s="1"/>
  <c r="AK285" i="5" s="1"/>
  <c r="AG301" i="5"/>
  <c r="AJ301" i="5" s="1"/>
  <c r="AK301" i="5" s="1"/>
  <c r="AG22" i="5"/>
  <c r="AJ22" i="5" s="1"/>
  <c r="AG38" i="5"/>
  <c r="AJ38" i="5" s="1"/>
  <c r="AK38" i="5" s="1"/>
  <c r="AG54" i="5"/>
  <c r="AJ54" i="5" s="1"/>
  <c r="AG70" i="5"/>
  <c r="AJ70" i="5" s="1"/>
  <c r="AK70" i="5" s="1"/>
  <c r="AG86" i="5"/>
  <c r="AJ86" i="5" s="1"/>
  <c r="AK86" i="5" s="1"/>
  <c r="AG102" i="5"/>
  <c r="AJ102" i="5" s="1"/>
  <c r="AK102" i="5" s="1"/>
  <c r="AG118" i="5"/>
  <c r="AJ118" i="5" s="1"/>
  <c r="AK118" i="5" s="1"/>
  <c r="AG134" i="5"/>
  <c r="AH134" i="5" s="1"/>
  <c r="AG150" i="5"/>
  <c r="AJ150" i="5" s="1"/>
  <c r="AK150" i="5" s="1"/>
  <c r="AG166" i="5"/>
  <c r="AJ166" i="5" s="1"/>
  <c r="AK166" i="5" s="1"/>
  <c r="AG182" i="5"/>
  <c r="AJ182" i="5" s="1"/>
  <c r="AK182" i="5" s="1"/>
  <c r="AG198" i="5"/>
  <c r="AJ198" i="5" s="1"/>
  <c r="AK198" i="5" s="1"/>
  <c r="AG214" i="5"/>
  <c r="AJ214" i="5" s="1"/>
  <c r="AG230" i="5"/>
  <c r="AJ230" i="5" s="1"/>
  <c r="AK230" i="5" s="1"/>
  <c r="AG246" i="5"/>
  <c r="AJ246" i="5" s="1"/>
  <c r="AK246" i="5" s="1"/>
  <c r="AG262" i="5"/>
  <c r="AJ262" i="5" s="1"/>
  <c r="AK262" i="5" s="1"/>
  <c r="AG278" i="5"/>
  <c r="AJ278" i="5" s="1"/>
  <c r="AK278" i="5" s="1"/>
  <c r="AG294" i="5"/>
  <c r="AJ294" i="5" s="1"/>
  <c r="AK294" i="5" s="1"/>
  <c r="AG310" i="5"/>
  <c r="AJ310" i="5" s="1"/>
  <c r="AK310" i="5" s="1"/>
  <c r="AG326" i="5"/>
  <c r="AJ326" i="5" s="1"/>
  <c r="AK326" i="5" s="1"/>
  <c r="AG342" i="5"/>
  <c r="AJ342" i="5" s="1"/>
  <c r="AK342" i="5" s="1"/>
  <c r="AG358" i="5"/>
  <c r="AJ358" i="5" s="1"/>
  <c r="AK358" i="5" s="1"/>
  <c r="AG35" i="5"/>
  <c r="AJ35" i="5" s="1"/>
  <c r="AK35" i="5" s="1"/>
  <c r="AG51" i="5"/>
  <c r="AJ51" i="5" s="1"/>
  <c r="AK51" i="5" s="1"/>
  <c r="AG75" i="5"/>
  <c r="AJ75" i="5" s="1"/>
  <c r="AK75" i="5" s="1"/>
  <c r="AG99" i="5"/>
  <c r="AJ99" i="5" s="1"/>
  <c r="AK99" i="5" s="1"/>
  <c r="AG123" i="5"/>
  <c r="AJ123" i="5" s="1"/>
  <c r="AK123" i="5" s="1"/>
  <c r="AG147" i="5"/>
  <c r="AJ147" i="5" s="1"/>
  <c r="AK147" i="5" s="1"/>
  <c r="AG171" i="5"/>
  <c r="AJ171" i="5" s="1"/>
  <c r="AK171" i="5" s="1"/>
  <c r="AG195" i="5"/>
  <c r="AJ195" i="5" s="1"/>
  <c r="AK195" i="5" s="1"/>
  <c r="AG219" i="5"/>
  <c r="AJ219" i="5" s="1"/>
  <c r="AK219" i="5" s="1"/>
  <c r="AG243" i="5"/>
  <c r="AJ243" i="5" s="1"/>
  <c r="AK243" i="5" s="1"/>
  <c r="AG267" i="5"/>
  <c r="AJ267" i="5" s="1"/>
  <c r="AK267" i="5" s="1"/>
  <c r="AG36" i="5"/>
  <c r="AJ36" i="5" s="1"/>
  <c r="AK36" i="5" s="1"/>
  <c r="AG52" i="5"/>
  <c r="AJ52" i="5" s="1"/>
  <c r="AK52" i="5" s="1"/>
  <c r="AG68" i="5"/>
  <c r="AJ68" i="5" s="1"/>
  <c r="AG84" i="5"/>
  <c r="AJ84" i="5" s="1"/>
  <c r="AK84" i="5" s="1"/>
  <c r="AG100" i="5"/>
  <c r="AJ100" i="5" s="1"/>
  <c r="AK100" i="5" s="1"/>
  <c r="AG116" i="5"/>
  <c r="AJ116" i="5" s="1"/>
  <c r="AK116" i="5" s="1"/>
  <c r="AG33" i="5"/>
  <c r="AJ33" i="5" s="1"/>
  <c r="AK33" i="5" s="1"/>
  <c r="AG49" i="5"/>
  <c r="AJ49" i="5" s="1"/>
  <c r="AK49" i="5" s="1"/>
  <c r="AG65" i="5"/>
  <c r="AJ65" i="5" s="1"/>
  <c r="AK65" i="5" s="1"/>
  <c r="AG81" i="5"/>
  <c r="AJ81" i="5" s="1"/>
  <c r="AK81" i="5" s="1"/>
  <c r="AG97" i="5"/>
  <c r="AJ97" i="5" s="1"/>
  <c r="AK97" i="5" s="1"/>
  <c r="AG113" i="5"/>
  <c r="AJ113" i="5" s="1"/>
  <c r="AK113" i="5" s="1"/>
  <c r="AG129" i="5"/>
  <c r="AG145" i="5"/>
  <c r="AJ145" i="5" s="1"/>
  <c r="AK145" i="5" s="1"/>
  <c r="AG161" i="5"/>
  <c r="AJ161" i="5" s="1"/>
  <c r="AK161" i="5" s="1"/>
  <c r="AG177" i="5"/>
  <c r="AJ177" i="5" s="1"/>
  <c r="AK177" i="5" s="1"/>
  <c r="AG193" i="5"/>
  <c r="AJ193" i="5" s="1"/>
  <c r="AK193" i="5" s="1"/>
  <c r="AG209" i="5"/>
  <c r="AJ209" i="5" s="1"/>
  <c r="AK209" i="5" s="1"/>
  <c r="AG225" i="5"/>
  <c r="AJ225" i="5" s="1"/>
  <c r="AK225" i="5" s="1"/>
  <c r="AG241" i="5"/>
  <c r="AJ241" i="5" s="1"/>
  <c r="AK241" i="5" s="1"/>
  <c r="AG257" i="5"/>
  <c r="AJ257" i="5" s="1"/>
  <c r="AK257" i="5" s="1"/>
  <c r="AG273" i="5"/>
  <c r="AJ273" i="5" s="1"/>
  <c r="AG289" i="5"/>
  <c r="AJ289" i="5" s="1"/>
  <c r="AK289" i="5" s="1"/>
  <c r="AG305" i="5"/>
  <c r="AJ305" i="5" s="1"/>
  <c r="AK305" i="5" s="1"/>
  <c r="AG26" i="5"/>
  <c r="AJ26" i="5" s="1"/>
  <c r="AK26" i="5" s="1"/>
  <c r="AG42" i="5"/>
  <c r="AJ42" i="5" s="1"/>
  <c r="AK42" i="5" s="1"/>
  <c r="AG58" i="5"/>
  <c r="AJ58" i="5" s="1"/>
  <c r="AK58" i="5" s="1"/>
  <c r="AG74" i="5"/>
  <c r="AJ74" i="5" s="1"/>
  <c r="AK74" i="5" s="1"/>
  <c r="AG90" i="5"/>
  <c r="AJ90" i="5" s="1"/>
  <c r="AG106" i="5"/>
  <c r="AJ106" i="5" s="1"/>
  <c r="AK106" i="5" s="1"/>
  <c r="AG122" i="5"/>
  <c r="AJ122" i="5" s="1"/>
  <c r="AK122" i="5" s="1"/>
  <c r="AG138" i="5"/>
  <c r="AH138" i="5" s="1"/>
  <c r="AG154" i="5"/>
  <c r="AJ154" i="5" s="1"/>
  <c r="AK154" i="5" s="1"/>
  <c r="AG170" i="5"/>
  <c r="AJ170" i="5" s="1"/>
  <c r="AK170" i="5" s="1"/>
  <c r="AG186" i="5"/>
  <c r="AJ186" i="5" s="1"/>
  <c r="AK186" i="5" s="1"/>
  <c r="AG202" i="5"/>
  <c r="AJ202" i="5" s="1"/>
  <c r="AK202" i="5" s="1"/>
  <c r="AG218" i="5"/>
  <c r="AJ218" i="5" s="1"/>
  <c r="AG234" i="5"/>
  <c r="AJ234" i="5" s="1"/>
  <c r="AK234" i="5" s="1"/>
  <c r="AG250" i="5"/>
  <c r="AJ250" i="5" s="1"/>
  <c r="AK250" i="5" s="1"/>
  <c r="AG266" i="5"/>
  <c r="AJ266" i="5" s="1"/>
  <c r="AG282" i="5"/>
  <c r="AJ282" i="5" s="1"/>
  <c r="AK282" i="5" s="1"/>
  <c r="AG298" i="5"/>
  <c r="AJ298" i="5" s="1"/>
  <c r="AK298" i="5" s="1"/>
  <c r="AG314" i="5"/>
  <c r="AJ314" i="5" s="1"/>
  <c r="AK314" i="5" s="1"/>
  <c r="AG330" i="5"/>
  <c r="AJ330" i="5" s="1"/>
  <c r="AK330" i="5" s="1"/>
  <c r="AG346" i="5"/>
  <c r="AJ346" i="5" s="1"/>
  <c r="AK346" i="5" s="1"/>
  <c r="AG23" i="5"/>
  <c r="AJ23" i="5" s="1"/>
  <c r="AK23" i="5" s="1"/>
  <c r="AG39" i="5"/>
  <c r="AJ39" i="5" s="1"/>
  <c r="AK39" i="5" s="1"/>
  <c r="AG59" i="5"/>
  <c r="AJ59" i="5" s="1"/>
  <c r="AK59" i="5" s="1"/>
  <c r="AG83" i="5"/>
  <c r="AJ83" i="5" s="1"/>
  <c r="AK83" i="5" s="1"/>
  <c r="AG107" i="5"/>
  <c r="AJ107" i="5" s="1"/>
  <c r="AK107" i="5" s="1"/>
  <c r="AG131" i="5"/>
  <c r="AJ131" i="5" s="1"/>
  <c r="AG155" i="5"/>
  <c r="AJ155" i="5" s="1"/>
  <c r="AK155" i="5" s="1"/>
  <c r="AG179" i="5"/>
  <c r="AJ179" i="5" s="1"/>
  <c r="AK179" i="5" s="1"/>
  <c r="AG203" i="5"/>
  <c r="AJ203" i="5" s="1"/>
  <c r="AK203" i="5" s="1"/>
  <c r="AG227" i="5"/>
  <c r="AJ227" i="5" s="1"/>
  <c r="AG251" i="5"/>
  <c r="AJ251" i="5" s="1"/>
  <c r="AK251" i="5" s="1"/>
  <c r="AG24" i="5"/>
  <c r="AJ24" i="5" s="1"/>
  <c r="AK24" i="5" s="1"/>
  <c r="AG40" i="5"/>
  <c r="AJ40" i="5" s="1"/>
  <c r="AK40" i="5" s="1"/>
  <c r="AG56" i="5"/>
  <c r="AJ56" i="5" s="1"/>
  <c r="AK56" i="5" s="1"/>
  <c r="AG72" i="5"/>
  <c r="AJ72" i="5" s="1"/>
  <c r="AK72" i="5" s="1"/>
  <c r="AG88" i="5"/>
  <c r="AJ88" i="5" s="1"/>
  <c r="AK88" i="5" s="1"/>
  <c r="AG104" i="5"/>
  <c r="AJ104" i="5" s="1"/>
  <c r="AK104" i="5" s="1"/>
  <c r="AG120" i="5"/>
  <c r="AJ120" i="5" s="1"/>
  <c r="AK120" i="5" s="1"/>
  <c r="AG136" i="5"/>
  <c r="AH136" i="5" s="1"/>
  <c r="AG152" i="5"/>
  <c r="AJ152" i="5" s="1"/>
  <c r="AK152" i="5" s="1"/>
  <c r="AG168" i="5"/>
  <c r="AJ168" i="5" s="1"/>
  <c r="AK168" i="5" s="1"/>
  <c r="AG184" i="5"/>
  <c r="AJ184" i="5" s="1"/>
  <c r="AK184" i="5" s="1"/>
  <c r="AG200" i="5"/>
  <c r="AJ200" i="5" s="1"/>
  <c r="AK200" i="5" s="1"/>
  <c r="AG216" i="5"/>
  <c r="AJ216" i="5" s="1"/>
  <c r="AK216" i="5" s="1"/>
  <c r="AG268" i="5"/>
  <c r="AJ268" i="5" s="1"/>
  <c r="AK268" i="5" s="1"/>
  <c r="AG300" i="5"/>
  <c r="AJ300" i="5" s="1"/>
  <c r="AK300" i="5" s="1"/>
  <c r="AG327" i="5"/>
  <c r="AJ327" i="5" s="1"/>
  <c r="AG353" i="5"/>
  <c r="AJ353" i="5" s="1"/>
  <c r="AG375" i="5"/>
  <c r="AJ375" i="5" s="1"/>
  <c r="AK375" i="5" s="1"/>
  <c r="AG399" i="5"/>
  <c r="AJ399" i="5" s="1"/>
  <c r="AK399" i="5" s="1"/>
  <c r="AG423" i="5"/>
  <c r="AJ423" i="5" s="1"/>
  <c r="AG447" i="5"/>
  <c r="AJ447" i="5" s="1"/>
  <c r="AK447" i="5" s="1"/>
  <c r="AG471" i="5"/>
  <c r="AJ471" i="5" s="1"/>
  <c r="AK471" i="5" s="1"/>
  <c r="AG495" i="5"/>
  <c r="AJ495" i="5" s="1"/>
  <c r="AK495" i="5" s="1"/>
  <c r="AG519" i="5"/>
  <c r="AJ519" i="5" s="1"/>
  <c r="AK519" i="5" s="1"/>
  <c r="AG543" i="5"/>
  <c r="AJ543" i="5" s="1"/>
  <c r="AK543" i="5" s="1"/>
  <c r="AG567" i="5"/>
  <c r="AJ567" i="5" s="1"/>
  <c r="AK567" i="5" s="1"/>
  <c r="AG591" i="5"/>
  <c r="AJ591" i="5" s="1"/>
  <c r="AK591" i="5" s="1"/>
  <c r="AG615" i="5"/>
  <c r="AJ615" i="5" s="1"/>
  <c r="AK615" i="5" s="1"/>
  <c r="AG279" i="5"/>
  <c r="AJ279" i="5" s="1"/>
  <c r="AK279" i="5" s="1"/>
  <c r="AG317" i="5"/>
  <c r="AJ317" i="5" s="1"/>
  <c r="AK317" i="5" s="1"/>
  <c r="AG339" i="5"/>
  <c r="AJ339" i="5" s="1"/>
  <c r="AK339" i="5" s="1"/>
  <c r="AG364" i="5"/>
  <c r="AJ364" i="5" s="1"/>
  <c r="AK364" i="5" s="1"/>
  <c r="AG380" i="5"/>
  <c r="AJ380" i="5" s="1"/>
  <c r="AK380" i="5" s="1"/>
  <c r="AG396" i="5"/>
  <c r="AJ396" i="5" s="1"/>
  <c r="AK396" i="5" s="1"/>
  <c r="AG412" i="5"/>
  <c r="AJ412" i="5" s="1"/>
  <c r="AK412" i="5" s="1"/>
  <c r="AG37" i="5"/>
  <c r="AJ37" i="5" s="1"/>
  <c r="AK37" i="5" s="1"/>
  <c r="AG69" i="5"/>
  <c r="AJ69" i="5" s="1"/>
  <c r="AK69" i="5" s="1"/>
  <c r="AG101" i="5"/>
  <c r="AJ101" i="5" s="1"/>
  <c r="AK101" i="5" s="1"/>
  <c r="AG133" i="5"/>
  <c r="AJ133" i="5" s="1"/>
  <c r="AG165" i="5"/>
  <c r="AJ165" i="5" s="1"/>
  <c r="AG197" i="5"/>
  <c r="AJ197" i="5" s="1"/>
  <c r="AK197" i="5" s="1"/>
  <c r="AG229" i="5"/>
  <c r="AJ229" i="5" s="1"/>
  <c r="AG261" i="5"/>
  <c r="AJ261" i="5" s="1"/>
  <c r="AK261" i="5" s="1"/>
  <c r="AG293" i="5"/>
  <c r="AJ293" i="5" s="1"/>
  <c r="AK293" i="5" s="1"/>
  <c r="AG30" i="5"/>
  <c r="AJ30" i="5" s="1"/>
  <c r="AK30" i="5" s="1"/>
  <c r="AG62" i="5"/>
  <c r="AJ62" i="5" s="1"/>
  <c r="AK62" i="5" s="1"/>
  <c r="AG94" i="5"/>
  <c r="AJ94" i="5" s="1"/>
  <c r="AK94" i="5" s="1"/>
  <c r="AG126" i="5"/>
  <c r="AJ126" i="5" s="1"/>
  <c r="AK126" i="5" s="1"/>
  <c r="AG158" i="5"/>
  <c r="AJ158" i="5" s="1"/>
  <c r="AK158" i="5" s="1"/>
  <c r="AG190" i="5"/>
  <c r="AJ190" i="5" s="1"/>
  <c r="AK190" i="5" s="1"/>
  <c r="AG222" i="5"/>
  <c r="AJ222" i="5" s="1"/>
  <c r="AK222" i="5" s="1"/>
  <c r="AG254" i="5"/>
  <c r="AJ254" i="5" s="1"/>
  <c r="AK254" i="5" s="1"/>
  <c r="AG286" i="5"/>
  <c r="AJ286" i="5" s="1"/>
  <c r="AK286" i="5" s="1"/>
  <c r="AG318" i="5"/>
  <c r="AJ318" i="5" s="1"/>
  <c r="AK318" i="5" s="1"/>
  <c r="AG350" i="5"/>
  <c r="AJ350" i="5" s="1"/>
  <c r="AK350" i="5" s="1"/>
  <c r="AG43" i="5"/>
  <c r="AJ43" i="5" s="1"/>
  <c r="AK43" i="5" s="1"/>
  <c r="AG87" i="5"/>
  <c r="AJ87" i="5" s="1"/>
  <c r="AK87" i="5" s="1"/>
  <c r="AG135" i="5"/>
  <c r="AH135" i="5" s="1"/>
  <c r="AG183" i="5"/>
  <c r="AJ183" i="5" s="1"/>
  <c r="AK183" i="5" s="1"/>
  <c r="AG231" i="5"/>
  <c r="AJ231" i="5" s="1"/>
  <c r="AK231" i="5" s="1"/>
  <c r="AG28" i="5"/>
  <c r="AJ28" i="5" s="1"/>
  <c r="AK28" i="5" s="1"/>
  <c r="AG60" i="5"/>
  <c r="AJ60" i="5" s="1"/>
  <c r="AK60" i="5" s="1"/>
  <c r="AG92" i="5"/>
  <c r="AJ92" i="5" s="1"/>
  <c r="AK92" i="5" s="1"/>
  <c r="AG124" i="5"/>
  <c r="AJ124" i="5" s="1"/>
  <c r="AK124" i="5" s="1"/>
  <c r="AG144" i="5"/>
  <c r="AJ144" i="5" s="1"/>
  <c r="AK144" i="5" s="1"/>
  <c r="AG164" i="5"/>
  <c r="AJ164" i="5" s="1"/>
  <c r="AK164" i="5" s="1"/>
  <c r="AG188" i="5"/>
  <c r="AJ188" i="5" s="1"/>
  <c r="AG208" i="5"/>
  <c r="AJ208" i="5" s="1"/>
  <c r="AK208" i="5" s="1"/>
  <c r="AG252" i="5"/>
  <c r="AJ252" i="5" s="1"/>
  <c r="AK252" i="5" s="1"/>
  <c r="AG308" i="5"/>
  <c r="AJ308" i="5" s="1"/>
  <c r="AK308" i="5" s="1"/>
  <c r="AG337" i="5"/>
  <c r="AJ337" i="5" s="1"/>
  <c r="AK337" i="5" s="1"/>
  <c r="AG371" i="5"/>
  <c r="AJ371" i="5" s="1"/>
  <c r="AK371" i="5" s="1"/>
  <c r="AG407" i="5"/>
  <c r="AJ407" i="5" s="1"/>
  <c r="AK407" i="5" s="1"/>
  <c r="AG435" i="5"/>
  <c r="AJ435" i="5" s="1"/>
  <c r="AG467" i="5"/>
  <c r="AJ467" i="5" s="1"/>
  <c r="AK467" i="5" s="1"/>
  <c r="AG503" i="5"/>
  <c r="AJ503" i="5" s="1"/>
  <c r="AK503" i="5" s="1"/>
  <c r="AG531" i="5"/>
  <c r="AJ531" i="5" s="1"/>
  <c r="AK531" i="5" s="1"/>
  <c r="AG563" i="5"/>
  <c r="AJ563" i="5" s="1"/>
  <c r="AK563" i="5" s="1"/>
  <c r="AG599" i="5"/>
  <c r="AJ599" i="5" s="1"/>
  <c r="AK599" i="5" s="1"/>
  <c r="AG240" i="5"/>
  <c r="AJ240" i="5" s="1"/>
  <c r="AK240" i="5" s="1"/>
  <c r="AG311" i="5"/>
  <c r="AJ311" i="5" s="1"/>
  <c r="AK311" i="5" s="1"/>
  <c r="AG344" i="5"/>
  <c r="AJ344" i="5" s="1"/>
  <c r="AK344" i="5" s="1"/>
  <c r="AG372" i="5"/>
  <c r="AJ372" i="5" s="1"/>
  <c r="AK372" i="5" s="1"/>
  <c r="AG392" i="5"/>
  <c r="AJ392" i="5" s="1"/>
  <c r="AK392" i="5" s="1"/>
  <c r="AG416" i="5"/>
  <c r="AJ416" i="5" s="1"/>
  <c r="AG432" i="5"/>
  <c r="AJ432" i="5" s="1"/>
  <c r="AG448" i="5"/>
  <c r="AJ448" i="5" s="1"/>
  <c r="AK448" i="5" s="1"/>
  <c r="AG464" i="5"/>
  <c r="AJ464" i="5" s="1"/>
  <c r="AK464" i="5" s="1"/>
  <c r="AG480" i="5"/>
  <c r="AJ480" i="5" s="1"/>
  <c r="AK480" i="5" s="1"/>
  <c r="AG496" i="5"/>
  <c r="AJ496" i="5" s="1"/>
  <c r="AK496" i="5" s="1"/>
  <c r="AG512" i="5"/>
  <c r="AJ512" i="5" s="1"/>
  <c r="AK512" i="5" s="1"/>
  <c r="AG528" i="5"/>
  <c r="AJ528" i="5" s="1"/>
  <c r="AK528" i="5" s="1"/>
  <c r="AG544" i="5"/>
  <c r="AJ544" i="5" s="1"/>
  <c r="AK544" i="5" s="1"/>
  <c r="AG560" i="5"/>
  <c r="AJ560" i="5" s="1"/>
  <c r="AK560" i="5" s="1"/>
  <c r="AG576" i="5"/>
  <c r="AJ576" i="5" s="1"/>
  <c r="AK576" i="5" s="1"/>
  <c r="AG592" i="5"/>
  <c r="AJ592" i="5" s="1"/>
  <c r="AK592" i="5" s="1"/>
  <c r="AG608" i="5"/>
  <c r="AJ608" i="5" s="1"/>
  <c r="AK608" i="5" s="1"/>
  <c r="AG624" i="5"/>
  <c r="AJ624" i="5" s="1"/>
  <c r="AK624" i="5" s="1"/>
  <c r="AG244" i="5"/>
  <c r="AJ244" i="5" s="1"/>
  <c r="AK244" i="5" s="1"/>
  <c r="AG288" i="5"/>
  <c r="AJ288" i="5" s="1"/>
  <c r="AK288" i="5" s="1"/>
  <c r="AG324" i="5"/>
  <c r="AJ324" i="5" s="1"/>
  <c r="AK324" i="5" s="1"/>
  <c r="AG345" i="5"/>
  <c r="AJ345" i="5" s="1"/>
  <c r="AK345" i="5" s="1"/>
  <c r="AG365" i="5"/>
  <c r="AJ365" i="5" s="1"/>
  <c r="AK365" i="5" s="1"/>
  <c r="AG381" i="5"/>
  <c r="AJ381" i="5" s="1"/>
  <c r="AK381" i="5" s="1"/>
  <c r="AG397" i="5"/>
  <c r="AJ397" i="5" s="1"/>
  <c r="AK397" i="5" s="1"/>
  <c r="AG413" i="5"/>
  <c r="AJ413" i="5" s="1"/>
  <c r="AG429" i="5"/>
  <c r="AJ429" i="5" s="1"/>
  <c r="AK429" i="5" s="1"/>
  <c r="AG445" i="5"/>
  <c r="AJ445" i="5" s="1"/>
  <c r="AK445" i="5" s="1"/>
  <c r="AG461" i="5"/>
  <c r="AJ461" i="5" s="1"/>
  <c r="AK461" i="5" s="1"/>
  <c r="AG477" i="5"/>
  <c r="AJ477" i="5" s="1"/>
  <c r="AK477" i="5" s="1"/>
  <c r="AG493" i="5"/>
  <c r="AJ493" i="5" s="1"/>
  <c r="AK493" i="5" s="1"/>
  <c r="AG509" i="5"/>
  <c r="AJ509" i="5" s="1"/>
  <c r="AK509" i="5" s="1"/>
  <c r="AG525" i="5"/>
  <c r="AJ525" i="5" s="1"/>
  <c r="AK525" i="5" s="1"/>
  <c r="AG541" i="5"/>
  <c r="AJ541" i="5" s="1"/>
  <c r="AK541" i="5" s="1"/>
  <c r="AG557" i="5"/>
  <c r="AJ557" i="5" s="1"/>
  <c r="AK557" i="5" s="1"/>
  <c r="AG573" i="5"/>
  <c r="AJ573" i="5" s="1"/>
  <c r="AK573" i="5" s="1"/>
  <c r="AG589" i="5"/>
  <c r="AJ589" i="5" s="1"/>
  <c r="AK589" i="5" s="1"/>
  <c r="AG605" i="5"/>
  <c r="AJ605" i="5" s="1"/>
  <c r="AK605" i="5" s="1"/>
  <c r="AG621" i="5"/>
  <c r="AJ621" i="5" s="1"/>
  <c r="AG248" i="5"/>
  <c r="AJ248" i="5" s="1"/>
  <c r="AK248" i="5" s="1"/>
  <c r="AG41" i="5"/>
  <c r="AJ41" i="5" s="1"/>
  <c r="AK41" i="5" s="1"/>
  <c r="AG73" i="5"/>
  <c r="AJ73" i="5" s="1"/>
  <c r="AK73" i="5" s="1"/>
  <c r="AG105" i="5"/>
  <c r="AJ105" i="5" s="1"/>
  <c r="AK105" i="5" s="1"/>
  <c r="AG137" i="5"/>
  <c r="AH137" i="5" s="1"/>
  <c r="AG169" i="5"/>
  <c r="AJ169" i="5" s="1"/>
  <c r="AK169" i="5" s="1"/>
  <c r="AG201" i="5"/>
  <c r="AJ201" i="5" s="1"/>
  <c r="AK201" i="5" s="1"/>
  <c r="AG233" i="5"/>
  <c r="AJ233" i="5" s="1"/>
  <c r="AK233" i="5" s="1"/>
  <c r="AG265" i="5"/>
  <c r="AJ265" i="5" s="1"/>
  <c r="AK265" i="5" s="1"/>
  <c r="AG297" i="5"/>
  <c r="AJ297" i="5" s="1"/>
  <c r="AK297" i="5" s="1"/>
  <c r="AG34" i="5"/>
  <c r="AJ34" i="5" s="1"/>
  <c r="AK34" i="5" s="1"/>
  <c r="AG66" i="5"/>
  <c r="AJ66" i="5" s="1"/>
  <c r="AG98" i="5"/>
  <c r="AJ98" i="5" s="1"/>
  <c r="AK98" i="5" s="1"/>
  <c r="AG130" i="5"/>
  <c r="AH130" i="5" s="1"/>
  <c r="AG162" i="5"/>
  <c r="AJ162" i="5" s="1"/>
  <c r="AK162" i="5" s="1"/>
  <c r="AG194" i="5"/>
  <c r="AJ194" i="5" s="1"/>
  <c r="AK194" i="5" s="1"/>
  <c r="AG226" i="5"/>
  <c r="AJ226" i="5" s="1"/>
  <c r="AK226" i="5" s="1"/>
  <c r="AG258" i="5"/>
  <c r="AJ258" i="5" s="1"/>
  <c r="AK258" i="5" s="1"/>
  <c r="AG290" i="5"/>
  <c r="AJ290" i="5" s="1"/>
  <c r="AK290" i="5" s="1"/>
  <c r="AG322" i="5"/>
  <c r="AJ322" i="5" s="1"/>
  <c r="AK322" i="5" s="1"/>
  <c r="AG354" i="5"/>
  <c r="AJ354" i="5" s="1"/>
  <c r="AG47" i="5"/>
  <c r="AJ47" i="5" s="1"/>
  <c r="AK47" i="5" s="1"/>
  <c r="AG95" i="5"/>
  <c r="AJ95" i="5" s="1"/>
  <c r="AK95" i="5" s="1"/>
  <c r="AG143" i="5"/>
  <c r="AJ143" i="5" s="1"/>
  <c r="AK143" i="5" s="1"/>
  <c r="AG191" i="5"/>
  <c r="AJ191" i="5" s="1"/>
  <c r="AK191" i="5" s="1"/>
  <c r="AG239" i="5"/>
  <c r="AJ239" i="5" s="1"/>
  <c r="AG32" i="5"/>
  <c r="AJ32" i="5" s="1"/>
  <c r="AK32" i="5" s="1"/>
  <c r="AG64" i="5"/>
  <c r="AJ64" i="5" s="1"/>
  <c r="AK64" i="5" s="1"/>
  <c r="AG96" i="5"/>
  <c r="AJ96" i="5" s="1"/>
  <c r="AK96" i="5" s="1"/>
  <c r="AG128" i="5"/>
  <c r="AH128" i="5" s="1"/>
  <c r="AG148" i="5"/>
  <c r="AJ148" i="5" s="1"/>
  <c r="AK148" i="5" s="1"/>
  <c r="AG172" i="5"/>
  <c r="AJ172" i="5" s="1"/>
  <c r="AK172" i="5" s="1"/>
  <c r="AG192" i="5"/>
  <c r="AJ192" i="5" s="1"/>
  <c r="AK192" i="5" s="1"/>
  <c r="AG212" i="5"/>
  <c r="AG276" i="5"/>
  <c r="AJ276" i="5" s="1"/>
  <c r="AK276" i="5" s="1"/>
  <c r="AG316" i="5"/>
  <c r="AJ316" i="5" s="1"/>
  <c r="AK316" i="5" s="1"/>
  <c r="AG348" i="5"/>
  <c r="AJ348" i="5" s="1"/>
  <c r="AK348" i="5" s="1"/>
  <c r="AG383" i="5"/>
  <c r="AJ383" i="5" s="1"/>
  <c r="AK383" i="5" s="1"/>
  <c r="AG411" i="5"/>
  <c r="AJ411" i="5" s="1"/>
  <c r="AK411" i="5" s="1"/>
  <c r="AG443" i="5"/>
  <c r="AJ443" i="5" s="1"/>
  <c r="AK443" i="5" s="1"/>
  <c r="AG479" i="5"/>
  <c r="AJ479" i="5" s="1"/>
  <c r="AK479" i="5" s="1"/>
  <c r="AG507" i="5"/>
  <c r="AJ507" i="5" s="1"/>
  <c r="AK507" i="5" s="1"/>
  <c r="AG539" i="5"/>
  <c r="AJ539" i="5" s="1"/>
  <c r="AK539" i="5" s="1"/>
  <c r="AG575" i="5"/>
  <c r="AJ575" i="5" s="1"/>
  <c r="AK575" i="5" s="1"/>
  <c r="AG603" i="5"/>
  <c r="AJ603" i="5" s="1"/>
  <c r="AK603" i="5" s="1"/>
  <c r="AG256" i="5"/>
  <c r="AJ256" i="5" s="1"/>
  <c r="AK256" i="5" s="1"/>
  <c r="AG323" i="5"/>
  <c r="AJ323" i="5" s="1"/>
  <c r="AK323" i="5" s="1"/>
  <c r="AG349" i="5"/>
  <c r="AJ349" i="5" s="1"/>
  <c r="AK349" i="5" s="1"/>
  <c r="AG376" i="5"/>
  <c r="AJ376" i="5" s="1"/>
  <c r="AG400" i="5"/>
  <c r="AJ400" i="5" s="1"/>
  <c r="AG420" i="5"/>
  <c r="AJ420" i="5" s="1"/>
  <c r="AK420" i="5" s="1"/>
  <c r="AG436" i="5"/>
  <c r="AJ436" i="5" s="1"/>
  <c r="AK436" i="5" s="1"/>
  <c r="AG452" i="5"/>
  <c r="AJ452" i="5" s="1"/>
  <c r="AK452" i="5" s="1"/>
  <c r="AG468" i="5"/>
  <c r="AJ468" i="5" s="1"/>
  <c r="AK468" i="5" s="1"/>
  <c r="AG484" i="5"/>
  <c r="AJ484" i="5" s="1"/>
  <c r="AK484" i="5" s="1"/>
  <c r="AG500" i="5"/>
  <c r="AJ500" i="5" s="1"/>
  <c r="AK500" i="5" s="1"/>
  <c r="AG516" i="5"/>
  <c r="AJ516" i="5" s="1"/>
  <c r="AK516" i="5" s="1"/>
  <c r="AG532" i="5"/>
  <c r="AJ532" i="5" s="1"/>
  <c r="AK532" i="5" s="1"/>
  <c r="AG548" i="5"/>
  <c r="AJ548" i="5" s="1"/>
  <c r="AK548" i="5" s="1"/>
  <c r="AG564" i="5"/>
  <c r="AJ564" i="5" s="1"/>
  <c r="AK564" i="5" s="1"/>
  <c r="AG580" i="5"/>
  <c r="AJ580" i="5" s="1"/>
  <c r="AK580" i="5" s="1"/>
  <c r="AG596" i="5"/>
  <c r="AJ596" i="5" s="1"/>
  <c r="AK596" i="5" s="1"/>
  <c r="AG612" i="5"/>
  <c r="AJ612" i="5" s="1"/>
  <c r="AK612" i="5" s="1"/>
  <c r="AG628" i="5"/>
  <c r="AJ628" i="5" s="1"/>
  <c r="AK628" i="5" s="1"/>
  <c r="AG260" i="5"/>
  <c r="AJ260" i="5" s="1"/>
  <c r="AK260" i="5" s="1"/>
  <c r="AG296" i="5"/>
  <c r="AJ296" i="5" s="1"/>
  <c r="AK296" i="5" s="1"/>
  <c r="AG329" i="5"/>
  <c r="AJ329" i="5" s="1"/>
  <c r="AK329" i="5" s="1"/>
  <c r="AG351" i="5"/>
  <c r="AJ351" i="5" s="1"/>
  <c r="AG369" i="5"/>
  <c r="AJ369" i="5" s="1"/>
  <c r="AK369" i="5" s="1"/>
  <c r="AG385" i="5"/>
  <c r="AJ385" i="5" s="1"/>
  <c r="AK385" i="5" s="1"/>
  <c r="AG401" i="5"/>
  <c r="AJ401" i="5" s="1"/>
  <c r="AK401" i="5" s="1"/>
  <c r="AG417" i="5"/>
  <c r="AJ417" i="5" s="1"/>
  <c r="AG433" i="5"/>
  <c r="AJ433" i="5" s="1"/>
  <c r="AK433" i="5" s="1"/>
  <c r="AG449" i="5"/>
  <c r="AJ449" i="5" s="1"/>
  <c r="AK449" i="5" s="1"/>
  <c r="AG465" i="5"/>
  <c r="AJ465" i="5" s="1"/>
  <c r="AK465" i="5" s="1"/>
  <c r="AG481" i="5"/>
  <c r="AJ481" i="5" s="1"/>
  <c r="AK481" i="5" s="1"/>
  <c r="AG497" i="5"/>
  <c r="AJ497" i="5" s="1"/>
  <c r="AK497" i="5" s="1"/>
  <c r="AG513" i="5"/>
  <c r="AJ513" i="5" s="1"/>
  <c r="AK513" i="5" s="1"/>
  <c r="AG529" i="5"/>
  <c r="AJ529" i="5" s="1"/>
  <c r="AK529" i="5" s="1"/>
  <c r="AG545" i="5"/>
  <c r="AJ545" i="5" s="1"/>
  <c r="AK545" i="5" s="1"/>
  <c r="AG561" i="5"/>
  <c r="AJ561" i="5" s="1"/>
  <c r="AK561" i="5" s="1"/>
  <c r="AG577" i="5"/>
  <c r="AJ577" i="5" s="1"/>
  <c r="AK577" i="5" s="1"/>
  <c r="AG593" i="5"/>
  <c r="AJ593" i="5" s="1"/>
  <c r="AK593" i="5" s="1"/>
  <c r="AG609" i="5"/>
  <c r="AJ609" i="5" s="1"/>
  <c r="AG625" i="5"/>
  <c r="AJ625" i="5" s="1"/>
  <c r="AK625" i="5" s="1"/>
  <c r="AG264" i="5"/>
  <c r="AJ264" i="5" s="1"/>
  <c r="AK264" i="5" s="1"/>
  <c r="AG315" i="5"/>
  <c r="AJ315" i="5" s="1"/>
  <c r="AK315" i="5" s="1"/>
  <c r="AG341" i="5"/>
  <c r="AJ341" i="5" s="1"/>
  <c r="AK341" i="5" s="1"/>
  <c r="AG362" i="5"/>
  <c r="AJ362" i="5" s="1"/>
  <c r="AK362" i="5" s="1"/>
  <c r="AG378" i="5"/>
  <c r="AJ378" i="5" s="1"/>
  <c r="AK378" i="5" s="1"/>
  <c r="AG394" i="5"/>
  <c r="AJ394" i="5" s="1"/>
  <c r="AK394" i="5" s="1"/>
  <c r="AG410" i="5"/>
  <c r="AJ410" i="5" s="1"/>
  <c r="AK410" i="5" s="1"/>
  <c r="AG426" i="5"/>
  <c r="AJ426" i="5" s="1"/>
  <c r="AG442" i="5"/>
  <c r="AJ442" i="5" s="1"/>
  <c r="AK442" i="5" s="1"/>
  <c r="AG458" i="5"/>
  <c r="AJ458" i="5" s="1"/>
  <c r="AK458" i="5" s="1"/>
  <c r="AG474" i="5"/>
  <c r="AJ474" i="5" s="1"/>
  <c r="AK474" i="5" s="1"/>
  <c r="AG53" i="5"/>
  <c r="AJ53" i="5" s="1"/>
  <c r="AK53" i="5" s="1"/>
  <c r="AG117" i="5"/>
  <c r="AJ117" i="5" s="1"/>
  <c r="AK117" i="5" s="1"/>
  <c r="AG181" i="5"/>
  <c r="AJ181" i="5" s="1"/>
  <c r="AK181" i="5" s="1"/>
  <c r="AG245" i="5"/>
  <c r="AJ245" i="5" s="1"/>
  <c r="AK245" i="5" s="1"/>
  <c r="AG309" i="5"/>
  <c r="AJ309" i="5" s="1"/>
  <c r="AK309" i="5" s="1"/>
  <c r="AG78" i="5"/>
  <c r="AJ78" i="5" s="1"/>
  <c r="AK78" i="5" s="1"/>
  <c r="AG142" i="5"/>
  <c r="AJ142" i="5" s="1"/>
  <c r="AK142" i="5" s="1"/>
  <c r="AG206" i="5"/>
  <c r="AJ206" i="5" s="1"/>
  <c r="AK206" i="5" s="1"/>
  <c r="AG270" i="5"/>
  <c r="AJ270" i="5" s="1"/>
  <c r="AG334" i="5"/>
  <c r="AJ334" i="5" s="1"/>
  <c r="AK334" i="5" s="1"/>
  <c r="AG63" i="5"/>
  <c r="AJ63" i="5" s="1"/>
  <c r="AK63" i="5" s="1"/>
  <c r="AG159" i="5"/>
  <c r="AJ159" i="5" s="1"/>
  <c r="AK159" i="5" s="1"/>
  <c r="AG255" i="5"/>
  <c r="AJ255" i="5" s="1"/>
  <c r="AK255" i="5" s="1"/>
  <c r="AG76" i="5"/>
  <c r="AJ76" i="5" s="1"/>
  <c r="AK76" i="5" s="1"/>
  <c r="AG132" i="5"/>
  <c r="AJ132" i="5" s="1"/>
  <c r="AG176" i="5"/>
  <c r="AJ176" i="5" s="1"/>
  <c r="AG220" i="5"/>
  <c r="AJ220" i="5" s="1"/>
  <c r="AK220" i="5" s="1"/>
  <c r="AG321" i="5"/>
  <c r="AJ321" i="5" s="1"/>
  <c r="AK321" i="5" s="1"/>
  <c r="AG387" i="5"/>
  <c r="AJ387" i="5" s="1"/>
  <c r="AK387" i="5" s="1"/>
  <c r="AG455" i="5"/>
  <c r="AJ455" i="5" s="1"/>
  <c r="AK455" i="5" s="1"/>
  <c r="AG515" i="5"/>
  <c r="AJ515" i="5" s="1"/>
  <c r="AK515" i="5" s="1"/>
  <c r="AG579" i="5"/>
  <c r="AJ579" i="5" s="1"/>
  <c r="AK579" i="5" s="1"/>
  <c r="AG287" i="5"/>
  <c r="AJ287" i="5" s="1"/>
  <c r="AK287" i="5" s="1"/>
  <c r="AG360" i="5"/>
  <c r="AJ360" i="5" s="1"/>
  <c r="AK360" i="5" s="1"/>
  <c r="AG404" i="5"/>
  <c r="AG440" i="5"/>
  <c r="AJ440" i="5" s="1"/>
  <c r="AK440" i="5" s="1"/>
  <c r="AG472" i="5"/>
  <c r="AJ472" i="5" s="1"/>
  <c r="AK472" i="5" s="1"/>
  <c r="AG504" i="5"/>
  <c r="AJ504" i="5" s="1"/>
  <c r="AK504" i="5" s="1"/>
  <c r="AG536" i="5"/>
  <c r="AJ536" i="5" s="1"/>
  <c r="AK536" i="5" s="1"/>
  <c r="AG568" i="5"/>
  <c r="AJ568" i="5" s="1"/>
  <c r="AK568" i="5" s="1"/>
  <c r="AG600" i="5"/>
  <c r="AJ600" i="5" s="1"/>
  <c r="AG632" i="5"/>
  <c r="AJ632" i="5" s="1"/>
  <c r="AK632" i="5" s="1"/>
  <c r="AG304" i="5"/>
  <c r="AJ304" i="5" s="1"/>
  <c r="AK304" i="5" s="1"/>
  <c r="AG356" i="5"/>
  <c r="AJ356" i="5" s="1"/>
  <c r="AG389" i="5"/>
  <c r="AJ389" i="5" s="1"/>
  <c r="AK389" i="5" s="1"/>
  <c r="AG421" i="5"/>
  <c r="AJ421" i="5" s="1"/>
  <c r="AG453" i="5"/>
  <c r="AJ453" i="5" s="1"/>
  <c r="AK453" i="5" s="1"/>
  <c r="AG485" i="5"/>
  <c r="AJ485" i="5" s="1"/>
  <c r="AK485" i="5" s="1"/>
  <c r="AG517" i="5"/>
  <c r="AJ517" i="5" s="1"/>
  <c r="AK517" i="5" s="1"/>
  <c r="AG549" i="5"/>
  <c r="AJ549" i="5" s="1"/>
  <c r="AK549" i="5" s="1"/>
  <c r="AG581" i="5"/>
  <c r="AJ581" i="5" s="1"/>
  <c r="AK581" i="5" s="1"/>
  <c r="AG613" i="5"/>
  <c r="AJ613" i="5" s="1"/>
  <c r="AK613" i="5" s="1"/>
  <c r="AG275" i="5"/>
  <c r="AJ275" i="5" s="1"/>
  <c r="AK275" i="5" s="1"/>
  <c r="AG325" i="5"/>
  <c r="AJ325" i="5" s="1"/>
  <c r="AK325" i="5" s="1"/>
  <c r="AG357" i="5"/>
  <c r="AJ357" i="5" s="1"/>
  <c r="AK357" i="5" s="1"/>
  <c r="AG382" i="5"/>
  <c r="AJ382" i="5" s="1"/>
  <c r="AK382" i="5" s="1"/>
  <c r="AG402" i="5"/>
  <c r="AJ402" i="5" s="1"/>
  <c r="AK402" i="5" s="1"/>
  <c r="AG422" i="5"/>
  <c r="AJ422" i="5" s="1"/>
  <c r="AG446" i="5"/>
  <c r="AJ446" i="5" s="1"/>
  <c r="AK446" i="5" s="1"/>
  <c r="AG466" i="5"/>
  <c r="AJ466" i="5" s="1"/>
  <c r="AK466" i="5" s="1"/>
  <c r="AG486" i="5"/>
  <c r="AJ486" i="5" s="1"/>
  <c r="AK486" i="5" s="1"/>
  <c r="AG502" i="5"/>
  <c r="AJ502" i="5" s="1"/>
  <c r="AK502" i="5" s="1"/>
  <c r="AG518" i="5"/>
  <c r="AJ518" i="5" s="1"/>
  <c r="AK518" i="5" s="1"/>
  <c r="AG534" i="5"/>
  <c r="AJ534" i="5" s="1"/>
  <c r="AK534" i="5" s="1"/>
  <c r="AG550" i="5"/>
  <c r="AJ550" i="5" s="1"/>
  <c r="AK550" i="5" s="1"/>
  <c r="AG566" i="5"/>
  <c r="AJ566" i="5" s="1"/>
  <c r="AK566" i="5" s="1"/>
  <c r="AG582" i="5"/>
  <c r="AJ582" i="5" s="1"/>
  <c r="AK582" i="5" s="1"/>
  <c r="AG598" i="5"/>
  <c r="AJ598" i="5" s="1"/>
  <c r="AK598" i="5" s="1"/>
  <c r="AG614" i="5"/>
  <c r="AJ614" i="5" s="1"/>
  <c r="AK614" i="5" s="1"/>
  <c r="AG635" i="5"/>
  <c r="AJ635" i="5" s="1"/>
  <c r="AK635" i="5" s="1"/>
  <c r="AG659" i="5"/>
  <c r="AJ659" i="5" s="1"/>
  <c r="AK659" i="5" s="1"/>
  <c r="AG683" i="5"/>
  <c r="AJ683" i="5" s="1"/>
  <c r="AK683" i="5" s="1"/>
  <c r="AG707" i="5"/>
  <c r="AJ707" i="5" s="1"/>
  <c r="AK707" i="5" s="1"/>
  <c r="AG731" i="5"/>
  <c r="AJ731" i="5" s="1"/>
  <c r="AK731" i="5" s="1"/>
  <c r="AG755" i="5"/>
  <c r="AJ755" i="5" s="1"/>
  <c r="AK755" i="5" s="1"/>
  <c r="AG779" i="5"/>
  <c r="AJ779" i="5" s="1"/>
  <c r="AK779" i="5" s="1"/>
  <c r="AG803" i="5"/>
  <c r="AJ803" i="5" s="1"/>
  <c r="AK803" i="5" s="1"/>
  <c r="AG827" i="5"/>
  <c r="AJ827" i="5" s="1"/>
  <c r="AK827" i="5" s="1"/>
  <c r="AG851" i="5"/>
  <c r="AJ851" i="5" s="1"/>
  <c r="AK851" i="5" s="1"/>
  <c r="AG875" i="5"/>
  <c r="AJ875" i="5" s="1"/>
  <c r="AK875" i="5" s="1"/>
  <c r="AG899" i="5"/>
  <c r="AJ899" i="5" s="1"/>
  <c r="AK899" i="5" s="1"/>
  <c r="AG923" i="5"/>
  <c r="AJ923" i="5" s="1"/>
  <c r="AK923" i="5" s="1"/>
  <c r="AG947" i="5"/>
  <c r="AJ947" i="5" s="1"/>
  <c r="AK947" i="5" s="1"/>
  <c r="AG623" i="5"/>
  <c r="AJ623" i="5" s="1"/>
  <c r="AK623" i="5" s="1"/>
  <c r="AG648" i="5"/>
  <c r="AJ648" i="5" s="1"/>
  <c r="AK648" i="5" s="1"/>
  <c r="AG664" i="5"/>
  <c r="AJ664" i="5" s="1"/>
  <c r="AK664" i="5" s="1"/>
  <c r="AG680" i="5"/>
  <c r="AJ680" i="5" s="1"/>
  <c r="AK680" i="5" s="1"/>
  <c r="AG696" i="5"/>
  <c r="AJ696" i="5" s="1"/>
  <c r="AK696" i="5" s="1"/>
  <c r="AG712" i="5"/>
  <c r="AJ712" i="5" s="1"/>
  <c r="AK712" i="5" s="1"/>
  <c r="AG728" i="5"/>
  <c r="AJ728" i="5" s="1"/>
  <c r="AK728" i="5" s="1"/>
  <c r="AG744" i="5"/>
  <c r="AJ744" i="5" s="1"/>
  <c r="AK744" i="5" s="1"/>
  <c r="AG760" i="5"/>
  <c r="AJ760" i="5" s="1"/>
  <c r="AK760" i="5" s="1"/>
  <c r="AG776" i="5"/>
  <c r="AJ776" i="5" s="1"/>
  <c r="AK776" i="5" s="1"/>
  <c r="AG792" i="5"/>
  <c r="AJ792" i="5" s="1"/>
  <c r="AK792" i="5" s="1"/>
  <c r="AG808" i="5"/>
  <c r="AJ808" i="5" s="1"/>
  <c r="AK808" i="5" s="1"/>
  <c r="AG824" i="5"/>
  <c r="AJ824" i="5" s="1"/>
  <c r="AK824" i="5" s="1"/>
  <c r="AG840" i="5"/>
  <c r="AJ840" i="5" s="1"/>
  <c r="AK840" i="5" s="1"/>
  <c r="AG856" i="5"/>
  <c r="AJ856" i="5" s="1"/>
  <c r="AK856" i="5" s="1"/>
  <c r="AG872" i="5"/>
  <c r="AJ872" i="5" s="1"/>
  <c r="AK872" i="5" s="1"/>
  <c r="AG888" i="5"/>
  <c r="AJ888" i="5" s="1"/>
  <c r="AK888" i="5" s="1"/>
  <c r="AG904" i="5"/>
  <c r="AJ904" i="5" s="1"/>
  <c r="AK904" i="5" s="1"/>
  <c r="AG920" i="5"/>
  <c r="AJ920" i="5" s="1"/>
  <c r="AK920" i="5" s="1"/>
  <c r="AG936" i="5"/>
  <c r="AJ936" i="5" s="1"/>
  <c r="AK936" i="5" s="1"/>
  <c r="AG952" i="5"/>
  <c r="AJ952" i="5" s="1"/>
  <c r="AK952" i="5" s="1"/>
  <c r="AG968" i="5"/>
  <c r="AJ968" i="5" s="1"/>
  <c r="AK968" i="5" s="1"/>
  <c r="AG984" i="5"/>
  <c r="AJ984" i="5" s="1"/>
  <c r="AK984" i="5" s="1"/>
  <c r="AG626" i="5"/>
  <c r="AJ626" i="5" s="1"/>
  <c r="AK626" i="5" s="1"/>
  <c r="AG645" i="5"/>
  <c r="AJ645" i="5" s="1"/>
  <c r="AK645" i="5" s="1"/>
  <c r="AG661" i="5"/>
  <c r="AJ661" i="5" s="1"/>
  <c r="AK661" i="5" s="1"/>
  <c r="AG677" i="5"/>
  <c r="AJ677" i="5" s="1"/>
  <c r="AK677" i="5" s="1"/>
  <c r="AG693" i="5"/>
  <c r="AJ693" i="5" s="1"/>
  <c r="AK693" i="5" s="1"/>
  <c r="AG709" i="5"/>
  <c r="AJ709" i="5" s="1"/>
  <c r="AK709" i="5" s="1"/>
  <c r="AG725" i="5"/>
  <c r="AJ725" i="5" s="1"/>
  <c r="AK725" i="5" s="1"/>
  <c r="AG741" i="5"/>
  <c r="AJ741" i="5" s="1"/>
  <c r="AK741" i="5" s="1"/>
  <c r="AG757" i="5"/>
  <c r="AJ757" i="5" s="1"/>
  <c r="AK757" i="5" s="1"/>
  <c r="AG773" i="5"/>
  <c r="AJ773" i="5" s="1"/>
  <c r="AK773" i="5" s="1"/>
  <c r="AG789" i="5"/>
  <c r="AJ789" i="5" s="1"/>
  <c r="AK789" i="5" s="1"/>
  <c r="AG805" i="5"/>
  <c r="AJ805" i="5" s="1"/>
  <c r="AK805" i="5" s="1"/>
  <c r="AG821" i="5"/>
  <c r="AJ821" i="5" s="1"/>
  <c r="AK821" i="5" s="1"/>
  <c r="AG837" i="5"/>
  <c r="AJ837" i="5" s="1"/>
  <c r="AK837" i="5" s="1"/>
  <c r="AG853" i="5"/>
  <c r="AJ853" i="5" s="1"/>
  <c r="AK853" i="5" s="1"/>
  <c r="AG869" i="5"/>
  <c r="AJ869" i="5" s="1"/>
  <c r="AK869" i="5" s="1"/>
  <c r="AG885" i="5"/>
  <c r="AJ885" i="5" s="1"/>
  <c r="AK885" i="5" s="1"/>
  <c r="AG901" i="5"/>
  <c r="AJ901" i="5" s="1"/>
  <c r="AK901" i="5" s="1"/>
  <c r="AG917" i="5"/>
  <c r="AJ917" i="5" s="1"/>
  <c r="AK917" i="5" s="1"/>
  <c r="AG642" i="5"/>
  <c r="AJ642" i="5" s="1"/>
  <c r="AK642" i="5" s="1"/>
  <c r="AG658" i="5"/>
  <c r="AJ658" i="5" s="1"/>
  <c r="AK658" i="5" s="1"/>
  <c r="AG674" i="5"/>
  <c r="AJ674" i="5" s="1"/>
  <c r="AK674" i="5" s="1"/>
  <c r="AG690" i="5"/>
  <c r="AJ690" i="5" s="1"/>
  <c r="AK690" i="5" s="1"/>
  <c r="AG706" i="5"/>
  <c r="AJ706" i="5" s="1"/>
  <c r="AK706" i="5" s="1"/>
  <c r="AG722" i="5"/>
  <c r="AJ722" i="5" s="1"/>
  <c r="AK722" i="5" s="1"/>
  <c r="AG738" i="5"/>
  <c r="AJ738" i="5" s="1"/>
  <c r="AK738" i="5" s="1"/>
  <c r="AG754" i="5"/>
  <c r="AJ754" i="5" s="1"/>
  <c r="AK754" i="5" s="1"/>
  <c r="AG770" i="5"/>
  <c r="AJ770" i="5" s="1"/>
  <c r="AK770" i="5" s="1"/>
  <c r="AG786" i="5"/>
  <c r="AJ786" i="5" s="1"/>
  <c r="AK786" i="5" s="1"/>
  <c r="AG802" i="5"/>
  <c r="AJ802" i="5" s="1"/>
  <c r="AK802" i="5" s="1"/>
  <c r="AG818" i="5"/>
  <c r="AJ818" i="5" s="1"/>
  <c r="AK818" i="5" s="1"/>
  <c r="AG834" i="5"/>
  <c r="AJ834" i="5" s="1"/>
  <c r="AK834" i="5" s="1"/>
  <c r="AG850" i="5"/>
  <c r="AJ850" i="5" s="1"/>
  <c r="AK850" i="5" s="1"/>
  <c r="AG914" i="5"/>
  <c r="AJ914" i="5" s="1"/>
  <c r="AK914" i="5" s="1"/>
  <c r="AG949" i="5"/>
  <c r="AJ949" i="5" s="1"/>
  <c r="AK949" i="5" s="1"/>
  <c r="AG975" i="5"/>
  <c r="AJ975" i="5" s="1"/>
  <c r="AK975" i="5" s="1"/>
  <c r="AG1001" i="5"/>
  <c r="AJ1001" i="5" s="1"/>
  <c r="AK1001" i="5" s="1"/>
  <c r="AG1017" i="5"/>
  <c r="AJ1017" i="5" s="1"/>
  <c r="AK1017" i="5" s="1"/>
  <c r="AG995" i="5"/>
  <c r="AJ995" i="5" s="1"/>
  <c r="AK995" i="5" s="1"/>
  <c r="AG870" i="5"/>
  <c r="AJ870" i="5" s="1"/>
  <c r="AK870" i="5" s="1"/>
  <c r="AG926" i="5"/>
  <c r="AJ926" i="5" s="1"/>
  <c r="AK926" i="5" s="1"/>
  <c r="AG958" i="5"/>
  <c r="AJ958" i="5" s="1"/>
  <c r="AK958" i="5" s="1"/>
  <c r="AG982" i="5"/>
  <c r="AJ982" i="5" s="1"/>
  <c r="AK982" i="5" s="1"/>
  <c r="AG1002" i="5"/>
  <c r="AJ1002" i="5" s="1"/>
  <c r="AK1002" i="5" s="1"/>
  <c r="AG1018" i="5"/>
  <c r="AJ1018" i="5" s="1"/>
  <c r="AK1018" i="5" s="1"/>
  <c r="AG1023" i="5"/>
  <c r="AJ1023" i="5" s="1"/>
  <c r="AK1023" i="5" s="1"/>
  <c r="AG858" i="5"/>
  <c r="AJ858" i="5" s="1"/>
  <c r="AK858" i="5" s="1"/>
  <c r="AG921" i="5"/>
  <c r="AJ921" i="5" s="1"/>
  <c r="AK921" i="5" s="1"/>
  <c r="AG953" i="5"/>
  <c r="AJ953" i="5" s="1"/>
  <c r="AK953" i="5" s="1"/>
  <c r="AG983" i="5"/>
  <c r="AJ983" i="5" s="1"/>
  <c r="AK983" i="5" s="1"/>
  <c r="AG1019" i="5"/>
  <c r="AJ1019" i="5" s="1"/>
  <c r="AK1019" i="5" s="1"/>
  <c r="AG1020" i="5"/>
  <c r="AJ1020" i="5" s="1"/>
  <c r="AK1020" i="5" s="1"/>
  <c r="AG910" i="5"/>
  <c r="AJ910" i="5" s="1"/>
  <c r="AK910" i="5" s="1"/>
  <c r="AG946" i="5"/>
  <c r="AJ946" i="5" s="1"/>
  <c r="AK946" i="5" s="1"/>
  <c r="AG974" i="5"/>
  <c r="AJ974" i="5" s="1"/>
  <c r="AK974" i="5" s="1"/>
  <c r="L21" i="5"/>
  <c r="M21" i="5" s="1"/>
  <c r="L85" i="5"/>
  <c r="M85" i="5" s="1"/>
  <c r="L149" i="5"/>
  <c r="M149" i="5" s="1"/>
  <c r="L213" i="5"/>
  <c r="M213" i="5" s="1"/>
  <c r="L277" i="5"/>
  <c r="M277" i="5" s="1"/>
  <c r="L341" i="5"/>
  <c r="M341" i="5" s="1"/>
  <c r="L66" i="5"/>
  <c r="M66" i="5" s="1"/>
  <c r="L130" i="5"/>
  <c r="M130" i="5" s="1"/>
  <c r="L194" i="5"/>
  <c r="M194" i="5" s="1"/>
  <c r="L258" i="5"/>
  <c r="M258" i="5" s="1"/>
  <c r="L322" i="5"/>
  <c r="M322" i="5" s="1"/>
  <c r="L47" i="5"/>
  <c r="M47" i="5" s="1"/>
  <c r="L111" i="5"/>
  <c r="M111" i="5" s="1"/>
  <c r="L175" i="5"/>
  <c r="M175" i="5" s="1"/>
  <c r="L239" i="5"/>
  <c r="M239" i="5" s="1"/>
  <c r="L303" i="5"/>
  <c r="M303" i="5" s="1"/>
  <c r="L28" i="5"/>
  <c r="M28" i="5" s="1"/>
  <c r="L124" i="5"/>
  <c r="M124" i="5" s="1"/>
  <c r="L220" i="5"/>
  <c r="M220" i="5" s="1"/>
  <c r="AG57" i="5"/>
  <c r="AJ57" i="5" s="1"/>
  <c r="AG121" i="5"/>
  <c r="AJ121" i="5" s="1"/>
  <c r="AK121" i="5" s="1"/>
  <c r="AG185" i="5"/>
  <c r="AJ185" i="5" s="1"/>
  <c r="AK185" i="5" s="1"/>
  <c r="AG249" i="5"/>
  <c r="AJ249" i="5" s="1"/>
  <c r="AK249" i="5" s="1"/>
  <c r="AG313" i="5"/>
  <c r="AJ313" i="5" s="1"/>
  <c r="AK313" i="5" s="1"/>
  <c r="AG82" i="5"/>
  <c r="AJ82" i="5" s="1"/>
  <c r="AK82" i="5" s="1"/>
  <c r="AG146" i="5"/>
  <c r="AJ146" i="5" s="1"/>
  <c r="AK146" i="5" s="1"/>
  <c r="AG210" i="5"/>
  <c r="AJ210" i="5" s="1"/>
  <c r="AK210" i="5" s="1"/>
  <c r="AG274" i="5"/>
  <c r="AJ274" i="5" s="1"/>
  <c r="AK274" i="5" s="1"/>
  <c r="AG338" i="5"/>
  <c r="AJ338" i="5" s="1"/>
  <c r="AK338" i="5" s="1"/>
  <c r="AG71" i="5"/>
  <c r="AJ71" i="5" s="1"/>
  <c r="AK71" i="5" s="1"/>
  <c r="AG167" i="5"/>
  <c r="AJ167" i="5" s="1"/>
  <c r="AK167" i="5" s="1"/>
  <c r="AG263" i="5"/>
  <c r="AJ263" i="5" s="1"/>
  <c r="AK263" i="5" s="1"/>
  <c r="AG80" i="5"/>
  <c r="AJ80" i="5" s="1"/>
  <c r="AG140" i="5"/>
  <c r="AJ140" i="5" s="1"/>
  <c r="AK140" i="5" s="1"/>
  <c r="AG180" i="5"/>
  <c r="AJ180" i="5" s="1"/>
  <c r="AK180" i="5" s="1"/>
  <c r="AG236" i="5"/>
  <c r="AJ236" i="5" s="1"/>
  <c r="AK236" i="5" s="1"/>
  <c r="AG332" i="5"/>
  <c r="AJ332" i="5" s="1"/>
  <c r="AK332" i="5" s="1"/>
  <c r="AG395" i="5"/>
  <c r="AJ395" i="5" s="1"/>
  <c r="AK395" i="5" s="1"/>
  <c r="AG459" i="5"/>
  <c r="AJ459" i="5" s="1"/>
  <c r="AK459" i="5" s="1"/>
  <c r="AG527" i="5"/>
  <c r="AJ527" i="5" s="1"/>
  <c r="AK527" i="5" s="1"/>
  <c r="AG587" i="5"/>
  <c r="AJ587" i="5" s="1"/>
  <c r="AK587" i="5" s="1"/>
  <c r="AG303" i="5"/>
  <c r="AJ303" i="5" s="1"/>
  <c r="AK303" i="5" s="1"/>
  <c r="AG368" i="5"/>
  <c r="AJ368" i="5" s="1"/>
  <c r="AK368" i="5" s="1"/>
  <c r="AG408" i="5"/>
  <c r="AJ408" i="5" s="1"/>
  <c r="AK408" i="5" s="1"/>
  <c r="AG444" i="5"/>
  <c r="AJ444" i="5" s="1"/>
  <c r="AK444" i="5" s="1"/>
  <c r="AG476" i="5"/>
  <c r="AJ476" i="5" s="1"/>
  <c r="AK476" i="5" s="1"/>
  <c r="AG508" i="5"/>
  <c r="AJ508" i="5" s="1"/>
  <c r="AK508" i="5" s="1"/>
  <c r="AG540" i="5"/>
  <c r="AJ540" i="5" s="1"/>
  <c r="AK540" i="5" s="1"/>
  <c r="AG572" i="5"/>
  <c r="AJ572" i="5" s="1"/>
  <c r="AK572" i="5" s="1"/>
  <c r="AG604" i="5"/>
  <c r="AJ604" i="5" s="1"/>
  <c r="AK604" i="5" s="1"/>
  <c r="AG228" i="5"/>
  <c r="AJ228" i="5" s="1"/>
  <c r="AK228" i="5" s="1"/>
  <c r="AG312" i="5"/>
  <c r="AJ312" i="5" s="1"/>
  <c r="AK312" i="5" s="1"/>
  <c r="AG361" i="5"/>
  <c r="AJ361" i="5" s="1"/>
  <c r="AK361" i="5" s="1"/>
  <c r="AG393" i="5"/>
  <c r="AJ393" i="5" s="1"/>
  <c r="AK393" i="5" s="1"/>
  <c r="AG425" i="5"/>
  <c r="AJ425" i="5" s="1"/>
  <c r="AK425" i="5" s="1"/>
  <c r="AG457" i="5"/>
  <c r="AJ457" i="5" s="1"/>
  <c r="AK457" i="5" s="1"/>
  <c r="AG489" i="5"/>
  <c r="AJ489" i="5" s="1"/>
  <c r="AK489" i="5" s="1"/>
  <c r="AG521" i="5"/>
  <c r="AJ521" i="5" s="1"/>
  <c r="AK521" i="5" s="1"/>
  <c r="AG553" i="5"/>
  <c r="AJ553" i="5" s="1"/>
  <c r="AK553" i="5" s="1"/>
  <c r="AG585" i="5"/>
  <c r="AJ585" i="5" s="1"/>
  <c r="AK585" i="5" s="1"/>
  <c r="AG617" i="5"/>
  <c r="AJ617" i="5" s="1"/>
  <c r="AK617" i="5" s="1"/>
  <c r="AG291" i="5"/>
  <c r="AJ291" i="5" s="1"/>
  <c r="AK291" i="5" s="1"/>
  <c r="AG336" i="5"/>
  <c r="AJ336" i="5" s="1"/>
  <c r="AK336" i="5" s="1"/>
  <c r="AG366" i="5"/>
  <c r="AJ366" i="5" s="1"/>
  <c r="AK366" i="5" s="1"/>
  <c r="AG386" i="5"/>
  <c r="AJ386" i="5" s="1"/>
  <c r="AK386" i="5" s="1"/>
  <c r="AG406" i="5"/>
  <c r="AJ406" i="5" s="1"/>
  <c r="AG430" i="5"/>
  <c r="AJ430" i="5" s="1"/>
  <c r="AK430" i="5" s="1"/>
  <c r="AG450" i="5"/>
  <c r="AJ450" i="5" s="1"/>
  <c r="AK450" i="5" s="1"/>
  <c r="AG470" i="5"/>
  <c r="AJ470" i="5" s="1"/>
  <c r="AK470" i="5" s="1"/>
  <c r="AG490" i="5"/>
  <c r="AJ490" i="5" s="1"/>
  <c r="AK490" i="5" s="1"/>
  <c r="AG506" i="5"/>
  <c r="AJ506" i="5" s="1"/>
  <c r="AK506" i="5" s="1"/>
  <c r="AG522" i="5"/>
  <c r="AJ522" i="5" s="1"/>
  <c r="AK522" i="5" s="1"/>
  <c r="AG538" i="5"/>
  <c r="AJ538" i="5" s="1"/>
  <c r="AK538" i="5" s="1"/>
  <c r="AG554" i="5"/>
  <c r="AJ554" i="5" s="1"/>
  <c r="AK554" i="5" s="1"/>
  <c r="AG570" i="5"/>
  <c r="AJ570" i="5" s="1"/>
  <c r="AK570" i="5" s="1"/>
  <c r="AG586" i="5"/>
  <c r="AJ586" i="5" s="1"/>
  <c r="AK586" i="5" s="1"/>
  <c r="AG602" i="5"/>
  <c r="AJ602" i="5" s="1"/>
  <c r="AK602" i="5" s="1"/>
  <c r="AG618" i="5"/>
  <c r="AJ618" i="5" s="1"/>
  <c r="AK618" i="5" s="1"/>
  <c r="AG639" i="5"/>
  <c r="AJ639" i="5" s="1"/>
  <c r="AK639" i="5" s="1"/>
  <c r="AG663" i="5"/>
  <c r="AJ663" i="5" s="1"/>
  <c r="AK663" i="5" s="1"/>
  <c r="AG687" i="5"/>
  <c r="AJ687" i="5" s="1"/>
  <c r="AK687" i="5" s="1"/>
  <c r="AG711" i="5"/>
  <c r="AJ711" i="5" s="1"/>
  <c r="AK711" i="5" s="1"/>
  <c r="AG735" i="5"/>
  <c r="AJ735" i="5" s="1"/>
  <c r="AK735" i="5" s="1"/>
  <c r="AG759" i="5"/>
  <c r="AJ759" i="5" s="1"/>
  <c r="AK759" i="5" s="1"/>
  <c r="AG783" i="5"/>
  <c r="AJ783" i="5" s="1"/>
  <c r="AK783" i="5" s="1"/>
  <c r="AG807" i="5"/>
  <c r="AJ807" i="5" s="1"/>
  <c r="AK807" i="5" s="1"/>
  <c r="AG831" i="5"/>
  <c r="AJ831" i="5" s="1"/>
  <c r="AK831" i="5" s="1"/>
  <c r="AG855" i="5"/>
  <c r="AJ855" i="5" s="1"/>
  <c r="AK855" i="5" s="1"/>
  <c r="AG879" i="5"/>
  <c r="AJ879" i="5" s="1"/>
  <c r="AK879" i="5" s="1"/>
  <c r="AG903" i="5"/>
  <c r="AJ903" i="5" s="1"/>
  <c r="AK903" i="5" s="1"/>
  <c r="AG927" i="5"/>
  <c r="AJ927" i="5" s="1"/>
  <c r="AK927" i="5" s="1"/>
  <c r="AG951" i="5"/>
  <c r="AJ951" i="5" s="1"/>
  <c r="AK951" i="5" s="1"/>
  <c r="AG636" i="5"/>
  <c r="AJ636" i="5" s="1"/>
  <c r="AK636" i="5" s="1"/>
  <c r="AG652" i="5"/>
  <c r="AJ652" i="5" s="1"/>
  <c r="AK652" i="5" s="1"/>
  <c r="AG668" i="5"/>
  <c r="AJ668" i="5" s="1"/>
  <c r="AK668" i="5" s="1"/>
  <c r="AG684" i="5"/>
  <c r="AJ684" i="5" s="1"/>
  <c r="AK684" i="5" s="1"/>
  <c r="AG700" i="5"/>
  <c r="AJ700" i="5" s="1"/>
  <c r="AK700" i="5" s="1"/>
  <c r="AG716" i="5"/>
  <c r="AJ716" i="5" s="1"/>
  <c r="AK716" i="5" s="1"/>
  <c r="AG732" i="5"/>
  <c r="AJ732" i="5" s="1"/>
  <c r="AK732" i="5" s="1"/>
  <c r="AG748" i="5"/>
  <c r="AJ748" i="5" s="1"/>
  <c r="AK748" i="5" s="1"/>
  <c r="AG764" i="5"/>
  <c r="AJ764" i="5" s="1"/>
  <c r="AK764" i="5" s="1"/>
  <c r="AG780" i="5"/>
  <c r="AJ780" i="5" s="1"/>
  <c r="AK780" i="5" s="1"/>
  <c r="AG796" i="5"/>
  <c r="AJ796" i="5" s="1"/>
  <c r="AK796" i="5" s="1"/>
  <c r="AG812" i="5"/>
  <c r="AJ812" i="5" s="1"/>
  <c r="AK812" i="5" s="1"/>
  <c r="AG828" i="5"/>
  <c r="AJ828" i="5" s="1"/>
  <c r="AK828" i="5" s="1"/>
  <c r="AG844" i="5"/>
  <c r="AJ844" i="5" s="1"/>
  <c r="AK844" i="5" s="1"/>
  <c r="AG860" i="5"/>
  <c r="AJ860" i="5" s="1"/>
  <c r="AK860" i="5" s="1"/>
  <c r="AG876" i="5"/>
  <c r="AJ876" i="5" s="1"/>
  <c r="AK876" i="5" s="1"/>
  <c r="AG892" i="5"/>
  <c r="AJ892" i="5" s="1"/>
  <c r="AK892" i="5" s="1"/>
  <c r="AG908" i="5"/>
  <c r="AJ908" i="5" s="1"/>
  <c r="AK908" i="5" s="1"/>
  <c r="AG924" i="5"/>
  <c r="AJ924" i="5" s="1"/>
  <c r="AK924" i="5" s="1"/>
  <c r="AG940" i="5"/>
  <c r="AJ940" i="5" s="1"/>
  <c r="AK940" i="5" s="1"/>
  <c r="AG956" i="5"/>
  <c r="AJ956" i="5" s="1"/>
  <c r="AK956" i="5" s="1"/>
  <c r="AG972" i="5"/>
  <c r="AJ972" i="5" s="1"/>
  <c r="AK972" i="5" s="1"/>
  <c r="AG988" i="5"/>
  <c r="AJ988" i="5" s="1"/>
  <c r="AK988" i="5" s="1"/>
  <c r="AG633" i="5"/>
  <c r="AJ633" i="5" s="1"/>
  <c r="AK633" i="5" s="1"/>
  <c r="AG649" i="5"/>
  <c r="AJ649" i="5" s="1"/>
  <c r="AK649" i="5" s="1"/>
  <c r="AG665" i="5"/>
  <c r="AJ665" i="5" s="1"/>
  <c r="AK665" i="5" s="1"/>
  <c r="AG681" i="5"/>
  <c r="AJ681" i="5" s="1"/>
  <c r="AK681" i="5" s="1"/>
  <c r="AG697" i="5"/>
  <c r="AJ697" i="5" s="1"/>
  <c r="AK697" i="5" s="1"/>
  <c r="AG713" i="5"/>
  <c r="AJ713" i="5" s="1"/>
  <c r="AK713" i="5" s="1"/>
  <c r="AG729" i="5"/>
  <c r="AJ729" i="5" s="1"/>
  <c r="AK729" i="5" s="1"/>
  <c r="AG745" i="5"/>
  <c r="AJ745" i="5" s="1"/>
  <c r="AK745" i="5" s="1"/>
  <c r="AG761" i="5"/>
  <c r="AJ761" i="5" s="1"/>
  <c r="AK761" i="5" s="1"/>
  <c r="AG777" i="5"/>
  <c r="AJ777" i="5" s="1"/>
  <c r="AK777" i="5" s="1"/>
  <c r="AG793" i="5"/>
  <c r="AJ793" i="5" s="1"/>
  <c r="AK793" i="5" s="1"/>
  <c r="AG809" i="5"/>
  <c r="AJ809" i="5" s="1"/>
  <c r="AK809" i="5" s="1"/>
  <c r="AG825" i="5"/>
  <c r="AJ825" i="5" s="1"/>
  <c r="AK825" i="5" s="1"/>
  <c r="AG841" i="5"/>
  <c r="AJ841" i="5" s="1"/>
  <c r="AK841" i="5" s="1"/>
  <c r="AG857" i="5"/>
  <c r="AJ857" i="5" s="1"/>
  <c r="AK857" i="5" s="1"/>
  <c r="AG873" i="5"/>
  <c r="AJ873" i="5" s="1"/>
  <c r="AK873" i="5" s="1"/>
  <c r="AG889" i="5"/>
  <c r="AJ889" i="5" s="1"/>
  <c r="AK889" i="5" s="1"/>
  <c r="AG905" i="5"/>
  <c r="AJ905" i="5" s="1"/>
  <c r="AK905" i="5" s="1"/>
  <c r="AG627" i="5"/>
  <c r="AJ627" i="5" s="1"/>
  <c r="AK627" i="5" s="1"/>
  <c r="AG646" i="5"/>
  <c r="AJ646" i="5" s="1"/>
  <c r="AK646" i="5" s="1"/>
  <c r="AG662" i="5"/>
  <c r="AJ662" i="5" s="1"/>
  <c r="AK662" i="5" s="1"/>
  <c r="AG678" i="5"/>
  <c r="AJ678" i="5" s="1"/>
  <c r="AK678" i="5" s="1"/>
  <c r="AG694" i="5"/>
  <c r="AJ694" i="5" s="1"/>
  <c r="AK694" i="5" s="1"/>
  <c r="AG710" i="5"/>
  <c r="AJ710" i="5" s="1"/>
  <c r="AK710" i="5" s="1"/>
  <c r="AG726" i="5"/>
  <c r="AJ726" i="5" s="1"/>
  <c r="AK726" i="5" s="1"/>
  <c r="AG742" i="5"/>
  <c r="AJ742" i="5" s="1"/>
  <c r="AK742" i="5" s="1"/>
  <c r="AG758" i="5"/>
  <c r="AJ758" i="5" s="1"/>
  <c r="AK758" i="5" s="1"/>
  <c r="AG774" i="5"/>
  <c r="AJ774" i="5" s="1"/>
  <c r="AK774" i="5" s="1"/>
  <c r="AG790" i="5"/>
  <c r="AJ790" i="5" s="1"/>
  <c r="AK790" i="5" s="1"/>
  <c r="AG806" i="5"/>
  <c r="AJ806" i="5" s="1"/>
  <c r="AK806" i="5" s="1"/>
  <c r="AG822" i="5"/>
  <c r="AJ822" i="5" s="1"/>
  <c r="AK822" i="5" s="1"/>
  <c r="AG838" i="5"/>
  <c r="AJ838" i="5" s="1"/>
  <c r="AK838" i="5" s="1"/>
  <c r="AG866" i="5"/>
  <c r="AJ866" i="5" s="1"/>
  <c r="AK866" i="5" s="1"/>
  <c r="AG925" i="5"/>
  <c r="AJ925" i="5" s="1"/>
  <c r="AK925" i="5" s="1"/>
  <c r="AG957" i="5"/>
  <c r="AJ957" i="5" s="1"/>
  <c r="AK957" i="5" s="1"/>
  <c r="AG981" i="5"/>
  <c r="AJ981" i="5" s="1"/>
  <c r="AK981" i="5" s="1"/>
  <c r="AG1005" i="5"/>
  <c r="AJ1005" i="5" s="1"/>
  <c r="AK1005" i="5" s="1"/>
  <c r="AG1021" i="5"/>
  <c r="AJ1021" i="5" s="1"/>
  <c r="AK1021" i="5" s="1"/>
  <c r="AG1012" i="5"/>
  <c r="AJ1012" i="5" s="1"/>
  <c r="AK1012" i="5" s="1"/>
  <c r="AG886" i="5"/>
  <c r="AJ886" i="5" s="1"/>
  <c r="AK886" i="5" s="1"/>
  <c r="AG934" i="5"/>
  <c r="AJ934" i="5" s="1"/>
  <c r="AK934" i="5" s="1"/>
  <c r="AG966" i="5"/>
  <c r="AJ966" i="5" s="1"/>
  <c r="AK966" i="5" s="1"/>
  <c r="AG987" i="5"/>
  <c r="AJ987" i="5" s="1"/>
  <c r="AK987" i="5" s="1"/>
  <c r="AG1006" i="5"/>
  <c r="AJ1006" i="5" s="1"/>
  <c r="AK1006" i="5" s="1"/>
  <c r="AG1022" i="5"/>
  <c r="AJ1022" i="5" s="1"/>
  <c r="AK1022" i="5" s="1"/>
  <c r="AG990" i="5"/>
  <c r="AJ990" i="5" s="1"/>
  <c r="AK990" i="5" s="1"/>
  <c r="AG874" i="5"/>
  <c r="AJ874" i="5" s="1"/>
  <c r="AK874" i="5" s="1"/>
  <c r="AG929" i="5"/>
  <c r="AJ929" i="5" s="1"/>
  <c r="AK929" i="5" s="1"/>
  <c r="AG961" i="5"/>
  <c r="AJ961" i="5" s="1"/>
  <c r="AK961" i="5" s="1"/>
  <c r="AG989" i="5"/>
  <c r="AJ989" i="5" s="1"/>
  <c r="AK989" i="5" s="1"/>
  <c r="AG985" i="5"/>
  <c r="AJ985" i="5" s="1"/>
  <c r="AK985" i="5" s="1"/>
  <c r="AG862" i="5"/>
  <c r="AJ862" i="5" s="1"/>
  <c r="AK862" i="5" s="1"/>
  <c r="AG922" i="5"/>
  <c r="AJ922" i="5" s="1"/>
  <c r="AK922" i="5" s="1"/>
  <c r="AG954" i="5"/>
  <c r="AJ954" i="5" s="1"/>
  <c r="AK954" i="5" s="1"/>
  <c r="AG20" i="5"/>
  <c r="L37" i="5"/>
  <c r="M37" i="5" s="1"/>
  <c r="L101" i="5"/>
  <c r="M101" i="5" s="1"/>
  <c r="L165" i="5"/>
  <c r="M165" i="5" s="1"/>
  <c r="L229" i="5"/>
  <c r="M229" i="5" s="1"/>
  <c r="L293" i="5"/>
  <c r="M293" i="5" s="1"/>
  <c r="L357" i="5"/>
  <c r="M357" i="5" s="1"/>
  <c r="L82" i="5"/>
  <c r="M82" i="5" s="1"/>
  <c r="L146" i="5"/>
  <c r="M146" i="5" s="1"/>
  <c r="L210" i="5"/>
  <c r="M210" i="5" s="1"/>
  <c r="L274" i="5"/>
  <c r="M274" i="5" s="1"/>
  <c r="L338" i="5"/>
  <c r="M338" i="5" s="1"/>
  <c r="L63" i="5"/>
  <c r="M63" i="5" s="1"/>
  <c r="L127" i="5"/>
  <c r="M127" i="5" s="1"/>
  <c r="L191" i="5"/>
  <c r="M191" i="5" s="1"/>
  <c r="L255" i="5"/>
  <c r="M255" i="5" s="1"/>
  <c r="L319" i="5"/>
  <c r="M319" i="5" s="1"/>
  <c r="L52" i="5"/>
  <c r="M52" i="5" s="1"/>
  <c r="L148" i="5"/>
  <c r="M148" i="5" s="1"/>
  <c r="L256" i="5"/>
  <c r="M256" i="5" s="1"/>
  <c r="AG85" i="5"/>
  <c r="AJ85" i="5" s="1"/>
  <c r="AK85" i="5" s="1"/>
  <c r="AG213" i="5"/>
  <c r="AJ213" i="5" s="1"/>
  <c r="AK213" i="5" s="1"/>
  <c r="AG46" i="5"/>
  <c r="AJ46" i="5" s="1"/>
  <c r="AK46" i="5" s="1"/>
  <c r="AG174" i="5"/>
  <c r="AJ174" i="5" s="1"/>
  <c r="AK174" i="5" s="1"/>
  <c r="AG302" i="5"/>
  <c r="AJ302" i="5" s="1"/>
  <c r="AK302" i="5" s="1"/>
  <c r="AG111" i="5"/>
  <c r="AJ111" i="5" s="1"/>
  <c r="AK111" i="5" s="1"/>
  <c r="AG44" i="5"/>
  <c r="AJ44" i="5" s="1"/>
  <c r="AK44" i="5" s="1"/>
  <c r="AG156" i="5"/>
  <c r="AJ156" i="5" s="1"/>
  <c r="AK156" i="5" s="1"/>
  <c r="AG284" i="5"/>
  <c r="AJ284" i="5" s="1"/>
  <c r="AK284" i="5" s="1"/>
  <c r="AG419" i="5"/>
  <c r="AJ419" i="5" s="1"/>
  <c r="AG551" i="5"/>
  <c r="AJ551" i="5" s="1"/>
  <c r="AK551" i="5" s="1"/>
  <c r="AG328" i="5"/>
  <c r="AJ328" i="5" s="1"/>
  <c r="AG424" i="5"/>
  <c r="AJ424" i="5" s="1"/>
  <c r="AG488" i="5"/>
  <c r="AJ488" i="5" s="1"/>
  <c r="AK488" i="5" s="1"/>
  <c r="AG552" i="5"/>
  <c r="AJ552" i="5" s="1"/>
  <c r="AG616" i="5"/>
  <c r="AJ616" i="5" s="1"/>
  <c r="AK616" i="5" s="1"/>
  <c r="AG335" i="5"/>
  <c r="AJ335" i="5" s="1"/>
  <c r="AK335" i="5" s="1"/>
  <c r="AG405" i="5"/>
  <c r="AJ405" i="5" s="1"/>
  <c r="AG469" i="5"/>
  <c r="AJ469" i="5" s="1"/>
  <c r="AK469" i="5" s="1"/>
  <c r="AG533" i="5"/>
  <c r="AJ533" i="5" s="1"/>
  <c r="AK533" i="5" s="1"/>
  <c r="AG597" i="5"/>
  <c r="AJ597" i="5" s="1"/>
  <c r="AG299" i="5"/>
  <c r="AJ299" i="5" s="1"/>
  <c r="AK299" i="5" s="1"/>
  <c r="AG370" i="5"/>
  <c r="AJ370" i="5" s="1"/>
  <c r="AK370" i="5" s="1"/>
  <c r="AG414" i="5"/>
  <c r="AJ414" i="5" s="1"/>
  <c r="AG454" i="5"/>
  <c r="AJ454" i="5" s="1"/>
  <c r="AK454" i="5" s="1"/>
  <c r="AG494" i="5"/>
  <c r="AJ494" i="5" s="1"/>
  <c r="AK494" i="5" s="1"/>
  <c r="AG526" i="5"/>
  <c r="AJ526" i="5" s="1"/>
  <c r="AK526" i="5" s="1"/>
  <c r="AG558" i="5"/>
  <c r="AJ558" i="5" s="1"/>
  <c r="AK558" i="5" s="1"/>
  <c r="AG590" i="5"/>
  <c r="AJ590" i="5" s="1"/>
  <c r="AK590" i="5" s="1"/>
  <c r="AG622" i="5"/>
  <c r="AJ622" i="5" s="1"/>
  <c r="AK622" i="5" s="1"/>
  <c r="AG671" i="5"/>
  <c r="AJ671" i="5" s="1"/>
  <c r="AK671" i="5" s="1"/>
  <c r="AG719" i="5"/>
  <c r="AJ719" i="5" s="1"/>
  <c r="AK719" i="5" s="1"/>
  <c r="AG767" i="5"/>
  <c r="AJ767" i="5" s="1"/>
  <c r="AK767" i="5" s="1"/>
  <c r="AG815" i="5"/>
  <c r="AJ815" i="5" s="1"/>
  <c r="AK815" i="5" s="1"/>
  <c r="AG863" i="5"/>
  <c r="AJ863" i="5" s="1"/>
  <c r="AK863" i="5" s="1"/>
  <c r="AG911" i="5"/>
  <c r="AJ911" i="5" s="1"/>
  <c r="AK911" i="5" s="1"/>
  <c r="AG959" i="5"/>
  <c r="AJ959" i="5" s="1"/>
  <c r="AK959" i="5" s="1"/>
  <c r="AG656" i="5"/>
  <c r="AJ656" i="5" s="1"/>
  <c r="AK656" i="5" s="1"/>
  <c r="AG688" i="5"/>
  <c r="AJ688" i="5" s="1"/>
  <c r="AK688" i="5" s="1"/>
  <c r="AG720" i="5"/>
  <c r="AJ720" i="5" s="1"/>
  <c r="AK720" i="5" s="1"/>
  <c r="AG752" i="5"/>
  <c r="AJ752" i="5" s="1"/>
  <c r="AK752" i="5" s="1"/>
  <c r="AG784" i="5"/>
  <c r="AJ784" i="5" s="1"/>
  <c r="AK784" i="5" s="1"/>
  <c r="AG816" i="5"/>
  <c r="AJ816" i="5" s="1"/>
  <c r="AK816" i="5" s="1"/>
  <c r="AG848" i="5"/>
  <c r="AJ848" i="5" s="1"/>
  <c r="AK848" i="5" s="1"/>
  <c r="AG880" i="5"/>
  <c r="AJ880" i="5" s="1"/>
  <c r="AK880" i="5" s="1"/>
  <c r="AG912" i="5"/>
  <c r="AJ912" i="5" s="1"/>
  <c r="AK912" i="5" s="1"/>
  <c r="AG944" i="5"/>
  <c r="AJ944" i="5" s="1"/>
  <c r="AK944" i="5" s="1"/>
  <c r="AG976" i="5"/>
  <c r="AJ976" i="5" s="1"/>
  <c r="AK976" i="5" s="1"/>
  <c r="AG637" i="5"/>
  <c r="AJ637" i="5" s="1"/>
  <c r="AK637" i="5" s="1"/>
  <c r="AG669" i="5"/>
  <c r="AJ669" i="5" s="1"/>
  <c r="AK669" i="5" s="1"/>
  <c r="AG701" i="5"/>
  <c r="AJ701" i="5" s="1"/>
  <c r="AK701" i="5" s="1"/>
  <c r="AG733" i="5"/>
  <c r="AJ733" i="5" s="1"/>
  <c r="AK733" i="5" s="1"/>
  <c r="AG765" i="5"/>
  <c r="AJ765" i="5" s="1"/>
  <c r="AK765" i="5" s="1"/>
  <c r="AG797" i="5"/>
  <c r="AJ797" i="5" s="1"/>
  <c r="AK797" i="5" s="1"/>
  <c r="AG829" i="5"/>
  <c r="AJ829" i="5" s="1"/>
  <c r="AK829" i="5" s="1"/>
  <c r="AG861" i="5"/>
  <c r="AJ861" i="5" s="1"/>
  <c r="AK861" i="5" s="1"/>
  <c r="AG893" i="5"/>
  <c r="AJ893" i="5" s="1"/>
  <c r="AK893" i="5" s="1"/>
  <c r="AG634" i="5"/>
  <c r="AJ634" i="5" s="1"/>
  <c r="AK634" i="5" s="1"/>
  <c r="AG666" i="5"/>
  <c r="AJ666" i="5" s="1"/>
  <c r="AK666" i="5" s="1"/>
  <c r="AG698" i="5"/>
  <c r="AJ698" i="5" s="1"/>
  <c r="AK698" i="5" s="1"/>
  <c r="AG730" i="5"/>
  <c r="AJ730" i="5" s="1"/>
  <c r="AK730" i="5" s="1"/>
  <c r="AG762" i="5"/>
  <c r="AJ762" i="5" s="1"/>
  <c r="AK762" i="5" s="1"/>
  <c r="AG794" i="5"/>
  <c r="AJ794" i="5" s="1"/>
  <c r="AK794" i="5" s="1"/>
  <c r="AG826" i="5"/>
  <c r="AJ826" i="5" s="1"/>
  <c r="AK826" i="5" s="1"/>
  <c r="AG882" i="5"/>
  <c r="AJ882" i="5" s="1"/>
  <c r="AK882" i="5" s="1"/>
  <c r="AG965" i="5"/>
  <c r="AJ965" i="5" s="1"/>
  <c r="AK965" i="5" s="1"/>
  <c r="AG1009" i="5"/>
  <c r="AJ1009" i="5" s="1"/>
  <c r="AK1009" i="5" s="1"/>
  <c r="AG1024" i="5"/>
  <c r="AJ1024" i="5" s="1"/>
  <c r="AK1024" i="5" s="1"/>
  <c r="AG942" i="5"/>
  <c r="AJ942" i="5" s="1"/>
  <c r="AK942" i="5" s="1"/>
  <c r="AG993" i="5"/>
  <c r="AJ993" i="5" s="1"/>
  <c r="AK993" i="5" s="1"/>
  <c r="AG1026" i="5"/>
  <c r="AJ1026" i="5" s="1"/>
  <c r="AK1026" i="5" s="1"/>
  <c r="AG890" i="5"/>
  <c r="AJ890" i="5" s="1"/>
  <c r="AK890" i="5" s="1"/>
  <c r="AG973" i="5"/>
  <c r="AJ973" i="5" s="1"/>
  <c r="AK973" i="5" s="1"/>
  <c r="AG1000" i="5"/>
  <c r="AJ1000" i="5" s="1"/>
  <c r="AK1000" i="5" s="1"/>
  <c r="AG930" i="5"/>
  <c r="AJ930" i="5" s="1"/>
  <c r="AK930" i="5" s="1"/>
  <c r="L117" i="5"/>
  <c r="M117" i="5" s="1"/>
  <c r="L245" i="5"/>
  <c r="M245" i="5" s="1"/>
  <c r="L34" i="5"/>
  <c r="M34" i="5" s="1"/>
  <c r="L162" i="5"/>
  <c r="M162" i="5" s="1"/>
  <c r="L290" i="5"/>
  <c r="M290" i="5" s="1"/>
  <c r="L79" i="5"/>
  <c r="M79" i="5" s="1"/>
  <c r="L207" i="5"/>
  <c r="M207" i="5" s="1"/>
  <c r="L335" i="5"/>
  <c r="M335" i="5" s="1"/>
  <c r="L172" i="5"/>
  <c r="M172" i="5" s="1"/>
  <c r="L390" i="5"/>
  <c r="M390" i="5" s="1"/>
  <c r="L454" i="5"/>
  <c r="M454" i="5" s="1"/>
  <c r="L518" i="5"/>
  <c r="M518" i="5" s="1"/>
  <c r="L73" i="5"/>
  <c r="M73" i="5" s="1"/>
  <c r="L137" i="5"/>
  <c r="M137" i="5" s="1"/>
  <c r="L201" i="5"/>
  <c r="M201" i="5" s="1"/>
  <c r="L265" i="5"/>
  <c r="M265" i="5" s="1"/>
  <c r="L329" i="5"/>
  <c r="M329" i="5" s="1"/>
  <c r="L54" i="5"/>
  <c r="M54" i="5" s="1"/>
  <c r="L118" i="5"/>
  <c r="M118" i="5" s="1"/>
  <c r="L182" i="5"/>
  <c r="M182" i="5" s="1"/>
  <c r="L246" i="5"/>
  <c r="M246" i="5" s="1"/>
  <c r="L310" i="5"/>
  <c r="M310" i="5" s="1"/>
  <c r="L35" i="5"/>
  <c r="M35" i="5" s="1"/>
  <c r="L99" i="5"/>
  <c r="L163" i="5"/>
  <c r="M163" i="5" s="1"/>
  <c r="L227" i="5"/>
  <c r="M227" i="5" s="1"/>
  <c r="L81" i="5"/>
  <c r="M81" i="5" s="1"/>
  <c r="L145" i="5"/>
  <c r="M145" i="5" s="1"/>
  <c r="L209" i="5"/>
  <c r="M209" i="5" s="1"/>
  <c r="L273" i="5"/>
  <c r="M273" i="5" s="1"/>
  <c r="L337" i="5"/>
  <c r="M337" i="5" s="1"/>
  <c r="L62" i="5"/>
  <c r="M62" i="5" s="1"/>
  <c r="L126" i="5"/>
  <c r="M126" i="5" s="1"/>
  <c r="L190" i="5"/>
  <c r="M190" i="5" s="1"/>
  <c r="L254" i="5"/>
  <c r="M254" i="5" s="1"/>
  <c r="L318" i="5"/>
  <c r="M318" i="5" s="1"/>
  <c r="L43" i="5"/>
  <c r="M43" i="5" s="1"/>
  <c r="L107" i="5"/>
  <c r="M107" i="5" s="1"/>
  <c r="L171" i="5"/>
  <c r="M171" i="5" s="1"/>
  <c r="L235" i="5"/>
  <c r="M235" i="5" s="1"/>
  <c r="L299" i="5"/>
  <c r="M299" i="5" s="1"/>
  <c r="L24" i="5"/>
  <c r="M24" i="5" s="1"/>
  <c r="L120" i="5"/>
  <c r="M120" i="5" s="1"/>
  <c r="L216" i="5"/>
  <c r="M216" i="5" s="1"/>
  <c r="L386" i="5"/>
  <c r="M386" i="5" s="1"/>
  <c r="L450" i="5"/>
  <c r="M450" i="5" s="1"/>
  <c r="L514" i="5"/>
  <c r="M514" i="5" s="1"/>
  <c r="L157" i="5"/>
  <c r="M157" i="5" s="1"/>
  <c r="L74" i="5"/>
  <c r="M74" i="5" s="1"/>
  <c r="L330" i="5"/>
  <c r="M330" i="5" s="1"/>
  <c r="L243" i="5"/>
  <c r="M243" i="5" s="1"/>
  <c r="L36" i="5"/>
  <c r="M36" i="5" s="1"/>
  <c r="L228" i="5"/>
  <c r="M228" i="5" s="1"/>
  <c r="L458" i="5"/>
  <c r="M458" i="5" s="1"/>
  <c r="L558" i="5"/>
  <c r="M558" i="5" s="1"/>
  <c r="L622" i="5"/>
  <c r="M622" i="5" s="1"/>
  <c r="L324" i="5"/>
  <c r="M324" i="5" s="1"/>
  <c r="L419" i="5"/>
  <c r="M419" i="5" s="1"/>
  <c r="L483" i="5"/>
  <c r="M483" i="5" s="1"/>
  <c r="L547" i="5"/>
  <c r="M547" i="5" s="1"/>
  <c r="L611" i="5"/>
  <c r="M611" i="5" s="1"/>
  <c r="L280" i="5"/>
  <c r="M280" i="5" s="1"/>
  <c r="L436" i="5"/>
  <c r="M436" i="5" s="1"/>
  <c r="L532" i="5"/>
  <c r="M532" i="5" s="1"/>
  <c r="L109" i="5"/>
  <c r="M109" i="5" s="1"/>
  <c r="L26" i="5"/>
  <c r="M26" i="5" s="1"/>
  <c r="L282" i="5"/>
  <c r="M282" i="5" s="1"/>
  <c r="L199" i="5"/>
  <c r="M199" i="5" s="1"/>
  <c r="L343" i="5"/>
  <c r="M343" i="5" s="1"/>
  <c r="L184" i="5"/>
  <c r="M184" i="5" s="1"/>
  <c r="L430" i="5"/>
  <c r="M430" i="5" s="1"/>
  <c r="L546" i="5"/>
  <c r="M546" i="5" s="1"/>
  <c r="L610" i="5"/>
  <c r="M610" i="5" s="1"/>
  <c r="L244" i="5"/>
  <c r="M244" i="5" s="1"/>
  <c r="L407" i="5"/>
  <c r="M407" i="5" s="1"/>
  <c r="L471" i="5"/>
  <c r="M471" i="5" s="1"/>
  <c r="L535" i="5"/>
  <c r="M535" i="5" s="1"/>
  <c r="L599" i="5"/>
  <c r="M599" i="5" s="1"/>
  <c r="L269" i="5"/>
  <c r="M269" i="5" s="1"/>
  <c r="L186" i="5"/>
  <c r="M186" i="5" s="1"/>
  <c r="L103" i="5"/>
  <c r="M103" i="5" s="1"/>
  <c r="L295" i="5"/>
  <c r="M295" i="5" s="1"/>
  <c r="L112" i="5"/>
  <c r="M112" i="5" s="1"/>
  <c r="L382" i="5"/>
  <c r="M382" i="5" s="1"/>
  <c r="L510" i="5"/>
  <c r="M510" i="5" s="1"/>
  <c r="L586" i="5"/>
  <c r="M586" i="5" s="1"/>
  <c r="L650" i="5"/>
  <c r="M650" i="5" s="1"/>
  <c r="L383" i="5"/>
  <c r="M383" i="5" s="1"/>
  <c r="L447" i="5"/>
  <c r="M447" i="5" s="1"/>
  <c r="L511" i="5"/>
  <c r="M511" i="5" s="1"/>
  <c r="L575" i="5"/>
  <c r="M575" i="5" s="1"/>
  <c r="L639" i="5"/>
  <c r="M639" i="5" s="1"/>
  <c r="L384" i="5"/>
  <c r="M384" i="5" s="1"/>
  <c r="L480" i="5"/>
  <c r="M480" i="5" s="1"/>
  <c r="L576" i="5"/>
  <c r="M576" i="5" s="1"/>
  <c r="L252" i="5"/>
  <c r="M252" i="5" s="1"/>
  <c r="L405" i="5"/>
  <c r="M405" i="5" s="1"/>
  <c r="L469" i="5"/>
  <c r="M469" i="5" s="1"/>
  <c r="L533" i="5"/>
  <c r="M533" i="5" s="1"/>
  <c r="L234" i="5"/>
  <c r="M234" i="5" s="1"/>
  <c r="L410" i="5"/>
  <c r="M410" i="5" s="1"/>
  <c r="L395" i="5"/>
  <c r="M395" i="5" s="1"/>
  <c r="L631" i="5"/>
  <c r="M631" i="5" s="1"/>
  <c r="L468" i="5"/>
  <c r="M468" i="5" s="1"/>
  <c r="L636" i="5"/>
  <c r="M636" i="5" s="1"/>
  <c r="L401" i="5"/>
  <c r="M401" i="5" s="1"/>
  <c r="L489" i="5"/>
  <c r="M489" i="5" s="1"/>
  <c r="L569" i="5"/>
  <c r="M569" i="5" s="1"/>
  <c r="L633" i="5"/>
  <c r="M633" i="5" s="1"/>
  <c r="L695" i="5"/>
  <c r="M695" i="5" s="1"/>
  <c r="L759" i="5"/>
  <c r="M759" i="5" s="1"/>
  <c r="L823" i="5"/>
  <c r="M823" i="5" s="1"/>
  <c r="L887" i="5"/>
  <c r="M887" i="5" s="1"/>
  <c r="L951" i="5"/>
  <c r="M951" i="5" s="1"/>
  <c r="L672" i="5"/>
  <c r="M672" i="5" s="1"/>
  <c r="L768" i="5"/>
  <c r="M768" i="5" s="1"/>
  <c r="L864" i="5"/>
  <c r="M864" i="5" s="1"/>
  <c r="L701" i="5"/>
  <c r="M701" i="5" s="1"/>
  <c r="L765" i="5"/>
  <c r="M765" i="5" s="1"/>
  <c r="L829" i="5"/>
  <c r="M829" i="5" s="1"/>
  <c r="AG89" i="5"/>
  <c r="AJ89" i="5" s="1"/>
  <c r="AK89" i="5" s="1"/>
  <c r="AG217" i="5"/>
  <c r="AJ217" i="5" s="1"/>
  <c r="AG50" i="5"/>
  <c r="AJ50" i="5" s="1"/>
  <c r="AK50" i="5" s="1"/>
  <c r="AG178" i="5"/>
  <c r="AJ178" i="5" s="1"/>
  <c r="AK178" i="5" s="1"/>
  <c r="AG306" i="5"/>
  <c r="AJ306" i="5" s="1"/>
  <c r="AK306" i="5" s="1"/>
  <c r="AG119" i="5"/>
  <c r="AJ119" i="5" s="1"/>
  <c r="AK119" i="5" s="1"/>
  <c r="AG48" i="5"/>
  <c r="AJ48" i="5" s="1"/>
  <c r="AK48" i="5" s="1"/>
  <c r="AG160" i="5"/>
  <c r="AJ160" i="5" s="1"/>
  <c r="AK160" i="5" s="1"/>
  <c r="AG292" i="5"/>
  <c r="AJ292" i="5" s="1"/>
  <c r="AK292" i="5" s="1"/>
  <c r="AG431" i="5"/>
  <c r="AJ431" i="5" s="1"/>
  <c r="AK431" i="5" s="1"/>
  <c r="AG555" i="5"/>
  <c r="AJ555" i="5" s="1"/>
  <c r="AK555" i="5" s="1"/>
  <c r="AG333" i="5"/>
  <c r="AJ333" i="5" s="1"/>
  <c r="AK333" i="5" s="1"/>
  <c r="AG428" i="5"/>
  <c r="AJ428" i="5" s="1"/>
  <c r="AG492" i="5"/>
  <c r="AJ492" i="5" s="1"/>
  <c r="AK492" i="5" s="1"/>
  <c r="AG556" i="5"/>
  <c r="AJ556" i="5" s="1"/>
  <c r="AK556" i="5" s="1"/>
  <c r="AG620" i="5"/>
  <c r="AJ620" i="5" s="1"/>
  <c r="AG340" i="5"/>
  <c r="AJ340" i="5" s="1"/>
  <c r="AK340" i="5" s="1"/>
  <c r="AG409" i="5"/>
  <c r="AJ409" i="5" s="1"/>
  <c r="AG473" i="5"/>
  <c r="AJ473" i="5" s="1"/>
  <c r="AK473" i="5" s="1"/>
  <c r="AG537" i="5"/>
  <c r="AJ537" i="5" s="1"/>
  <c r="AK537" i="5" s="1"/>
  <c r="AG601" i="5"/>
  <c r="AJ601" i="5" s="1"/>
  <c r="AK601" i="5" s="1"/>
  <c r="AG320" i="5"/>
  <c r="AJ320" i="5" s="1"/>
  <c r="AK320" i="5" s="1"/>
  <c r="AG374" i="5"/>
  <c r="AJ374" i="5" s="1"/>
  <c r="AK374" i="5" s="1"/>
  <c r="AG418" i="5"/>
  <c r="AJ418" i="5" s="1"/>
  <c r="AG462" i="5"/>
  <c r="AJ462" i="5" s="1"/>
  <c r="AK462" i="5" s="1"/>
  <c r="AG498" i="5"/>
  <c r="AJ498" i="5" s="1"/>
  <c r="AK498" i="5" s="1"/>
  <c r="AG530" i="5"/>
  <c r="AJ530" i="5" s="1"/>
  <c r="AK530" i="5" s="1"/>
  <c r="AG562" i="5"/>
  <c r="AJ562" i="5" s="1"/>
  <c r="AK562" i="5" s="1"/>
  <c r="AG594" i="5"/>
  <c r="AJ594" i="5" s="1"/>
  <c r="AK594" i="5" s="1"/>
  <c r="AG630" i="5"/>
  <c r="AJ630" i="5" s="1"/>
  <c r="AK630" i="5" s="1"/>
  <c r="AG675" i="5"/>
  <c r="AJ675" i="5" s="1"/>
  <c r="AK675" i="5" s="1"/>
  <c r="AG723" i="5"/>
  <c r="AJ723" i="5" s="1"/>
  <c r="AK723" i="5" s="1"/>
  <c r="AG771" i="5"/>
  <c r="AJ771" i="5" s="1"/>
  <c r="AK771" i="5" s="1"/>
  <c r="AG819" i="5"/>
  <c r="AJ819" i="5" s="1"/>
  <c r="AK819" i="5" s="1"/>
  <c r="AG867" i="5"/>
  <c r="AJ867" i="5" s="1"/>
  <c r="AK867" i="5" s="1"/>
  <c r="AG915" i="5"/>
  <c r="AJ915" i="5" s="1"/>
  <c r="AK915" i="5" s="1"/>
  <c r="AG963" i="5"/>
  <c r="AJ963" i="5" s="1"/>
  <c r="AK963" i="5" s="1"/>
  <c r="AG660" i="5"/>
  <c r="AJ660" i="5" s="1"/>
  <c r="AK660" i="5" s="1"/>
  <c r="AG692" i="5"/>
  <c r="AJ692" i="5" s="1"/>
  <c r="AK692" i="5" s="1"/>
  <c r="AG724" i="5"/>
  <c r="AJ724" i="5" s="1"/>
  <c r="AK724" i="5" s="1"/>
  <c r="AG756" i="5"/>
  <c r="AJ756" i="5" s="1"/>
  <c r="AK756" i="5" s="1"/>
  <c r="AG788" i="5"/>
  <c r="AJ788" i="5" s="1"/>
  <c r="AK788" i="5" s="1"/>
  <c r="AG820" i="5"/>
  <c r="AJ820" i="5" s="1"/>
  <c r="AK820" i="5" s="1"/>
  <c r="AG852" i="5"/>
  <c r="AJ852" i="5" s="1"/>
  <c r="AK852" i="5" s="1"/>
  <c r="AG884" i="5"/>
  <c r="AJ884" i="5" s="1"/>
  <c r="AK884" i="5" s="1"/>
  <c r="AG916" i="5"/>
  <c r="AJ916" i="5" s="1"/>
  <c r="AK916" i="5" s="1"/>
  <c r="AG948" i="5"/>
  <c r="AJ948" i="5" s="1"/>
  <c r="AK948" i="5" s="1"/>
  <c r="AG980" i="5"/>
  <c r="AJ980" i="5" s="1"/>
  <c r="AK980" i="5" s="1"/>
  <c r="AG641" i="5"/>
  <c r="AJ641" i="5" s="1"/>
  <c r="AK641" i="5" s="1"/>
  <c r="AG673" i="5"/>
  <c r="AJ673" i="5" s="1"/>
  <c r="AK673" i="5" s="1"/>
  <c r="AG705" i="5"/>
  <c r="AJ705" i="5" s="1"/>
  <c r="AK705" i="5" s="1"/>
  <c r="AG737" i="5"/>
  <c r="AJ737" i="5" s="1"/>
  <c r="AK737" i="5" s="1"/>
  <c r="AG769" i="5"/>
  <c r="AJ769" i="5" s="1"/>
  <c r="AK769" i="5" s="1"/>
  <c r="AG801" i="5"/>
  <c r="AJ801" i="5" s="1"/>
  <c r="AK801" i="5" s="1"/>
  <c r="AG833" i="5"/>
  <c r="AJ833" i="5" s="1"/>
  <c r="AK833" i="5" s="1"/>
  <c r="AG865" i="5"/>
  <c r="AJ865" i="5" s="1"/>
  <c r="AK865" i="5" s="1"/>
  <c r="AG897" i="5"/>
  <c r="AJ897" i="5" s="1"/>
  <c r="AK897" i="5" s="1"/>
  <c r="AG638" i="5"/>
  <c r="AJ638" i="5" s="1"/>
  <c r="AK638" i="5" s="1"/>
  <c r="AG670" i="5"/>
  <c r="AJ670" i="5" s="1"/>
  <c r="AK670" i="5" s="1"/>
  <c r="AG702" i="5"/>
  <c r="AJ702" i="5" s="1"/>
  <c r="AK702" i="5" s="1"/>
  <c r="AG734" i="5"/>
  <c r="AJ734" i="5" s="1"/>
  <c r="AK734" i="5" s="1"/>
  <c r="AG766" i="5"/>
  <c r="AJ766" i="5" s="1"/>
  <c r="AK766" i="5" s="1"/>
  <c r="AG798" i="5"/>
  <c r="AJ798" i="5" s="1"/>
  <c r="AK798" i="5" s="1"/>
  <c r="AG830" i="5"/>
  <c r="AJ830" i="5" s="1"/>
  <c r="AK830" i="5" s="1"/>
  <c r="AG898" i="5"/>
  <c r="AJ898" i="5" s="1"/>
  <c r="AK898" i="5" s="1"/>
  <c r="AG970" i="5"/>
  <c r="AJ970" i="5" s="1"/>
  <c r="AK970" i="5" s="1"/>
  <c r="AG1013" i="5"/>
  <c r="AJ1013" i="5" s="1"/>
  <c r="AK1013" i="5" s="1"/>
  <c r="AG854" i="5"/>
  <c r="AJ854" i="5" s="1"/>
  <c r="AK854" i="5" s="1"/>
  <c r="AG950" i="5"/>
  <c r="AJ950" i="5" s="1"/>
  <c r="AK950" i="5" s="1"/>
  <c r="AG998" i="5"/>
  <c r="AJ998" i="5" s="1"/>
  <c r="AK998" i="5" s="1"/>
  <c r="AG1011" i="5"/>
  <c r="AJ1011" i="5" s="1"/>
  <c r="AK1011" i="5" s="1"/>
  <c r="AG906" i="5"/>
  <c r="AJ906" i="5" s="1"/>
  <c r="AK906" i="5" s="1"/>
  <c r="AG978" i="5"/>
  <c r="AJ978" i="5" s="1"/>
  <c r="AK978" i="5" s="1"/>
  <c r="AG1008" i="5"/>
  <c r="AJ1008" i="5" s="1"/>
  <c r="AK1008" i="5" s="1"/>
  <c r="AG938" i="5"/>
  <c r="AJ938" i="5" s="1"/>
  <c r="AK938" i="5" s="1"/>
  <c r="L133" i="5"/>
  <c r="M133" i="5" s="1"/>
  <c r="L261" i="5"/>
  <c r="M261" i="5" s="1"/>
  <c r="L50" i="5"/>
  <c r="M50" i="5" s="1"/>
  <c r="L178" i="5"/>
  <c r="M178" i="5" s="1"/>
  <c r="L306" i="5"/>
  <c r="M306" i="5" s="1"/>
  <c r="L95" i="5"/>
  <c r="M95" i="5" s="1"/>
  <c r="L223" i="5"/>
  <c r="M223" i="5" s="1"/>
  <c r="L351" i="5"/>
  <c r="M351" i="5" s="1"/>
  <c r="L196" i="5"/>
  <c r="M196" i="5" s="1"/>
  <c r="L406" i="5"/>
  <c r="M406" i="5" s="1"/>
  <c r="L470" i="5"/>
  <c r="M470" i="5" s="1"/>
  <c r="L25" i="5"/>
  <c r="M25" i="5" s="1"/>
  <c r="L89" i="5"/>
  <c r="M89" i="5" s="1"/>
  <c r="L153" i="5"/>
  <c r="M153" i="5" s="1"/>
  <c r="L217" i="5"/>
  <c r="M217" i="5" s="1"/>
  <c r="L281" i="5"/>
  <c r="M281" i="5" s="1"/>
  <c r="L345" i="5"/>
  <c r="M345" i="5" s="1"/>
  <c r="L70" i="5"/>
  <c r="M70" i="5" s="1"/>
  <c r="L134" i="5"/>
  <c r="M134" i="5" s="1"/>
  <c r="L198" i="5"/>
  <c r="M198" i="5" s="1"/>
  <c r="L262" i="5"/>
  <c r="M262" i="5" s="1"/>
  <c r="L326" i="5"/>
  <c r="M326" i="5" s="1"/>
  <c r="L51" i="5"/>
  <c r="M51" i="5" s="1"/>
  <c r="L115" i="5"/>
  <c r="M115" i="5" s="1"/>
  <c r="L179" i="5"/>
  <c r="M179" i="5" s="1"/>
  <c r="L33" i="5"/>
  <c r="M33" i="5" s="1"/>
  <c r="L97" i="5"/>
  <c r="M97" i="5" s="1"/>
  <c r="L161" i="5"/>
  <c r="M161" i="5" s="1"/>
  <c r="L225" i="5"/>
  <c r="M225" i="5" s="1"/>
  <c r="L289" i="5"/>
  <c r="M289" i="5" s="1"/>
  <c r="L353" i="5"/>
  <c r="M353" i="5" s="1"/>
  <c r="L78" i="5"/>
  <c r="M78" i="5" s="1"/>
  <c r="L142" i="5"/>
  <c r="M142" i="5" s="1"/>
  <c r="L206" i="5"/>
  <c r="M206" i="5" s="1"/>
  <c r="L270" i="5"/>
  <c r="M270" i="5" s="1"/>
  <c r="L334" i="5"/>
  <c r="M334" i="5" s="1"/>
  <c r="L59" i="5"/>
  <c r="M59" i="5" s="1"/>
  <c r="L123" i="5"/>
  <c r="M123" i="5" s="1"/>
  <c r="L187" i="5"/>
  <c r="M187" i="5" s="1"/>
  <c r="L251" i="5"/>
  <c r="M251" i="5" s="1"/>
  <c r="L315" i="5"/>
  <c r="M315" i="5" s="1"/>
  <c r="L48" i="5"/>
  <c r="M48" i="5" s="1"/>
  <c r="L144" i="5"/>
  <c r="M144" i="5" s="1"/>
  <c r="L240" i="5"/>
  <c r="M240" i="5" s="1"/>
  <c r="L402" i="5"/>
  <c r="M402" i="5" s="1"/>
  <c r="L466" i="5"/>
  <c r="M466" i="5" s="1"/>
  <c r="L530" i="5"/>
  <c r="M530" i="5" s="1"/>
  <c r="L221" i="5"/>
  <c r="M221" i="5" s="1"/>
  <c r="L138" i="5"/>
  <c r="M138" i="5" s="1"/>
  <c r="L55" i="5"/>
  <c r="M55" i="5" s="1"/>
  <c r="L275" i="5"/>
  <c r="M275" i="5" s="1"/>
  <c r="L84" i="5"/>
  <c r="M84" i="5" s="1"/>
  <c r="L362" i="5"/>
  <c r="M362" i="5" s="1"/>
  <c r="L490" i="5"/>
  <c r="M490" i="5" s="1"/>
  <c r="L574" i="5"/>
  <c r="M574" i="5" s="1"/>
  <c r="L638" i="5"/>
  <c r="M638" i="5" s="1"/>
  <c r="L371" i="5"/>
  <c r="M371" i="5" s="1"/>
  <c r="L435" i="5"/>
  <c r="M435" i="5" s="1"/>
  <c r="L499" i="5"/>
  <c r="M499" i="5" s="1"/>
  <c r="L563" i="5"/>
  <c r="M563" i="5" s="1"/>
  <c r="L627" i="5"/>
  <c r="M627" i="5" s="1"/>
  <c r="L364" i="5"/>
  <c r="M364" i="5" s="1"/>
  <c r="L460" i="5"/>
  <c r="M460" i="5" s="1"/>
  <c r="L556" i="5"/>
  <c r="M556" i="5" s="1"/>
  <c r="L173" i="5"/>
  <c r="M173" i="5" s="1"/>
  <c r="L90" i="5"/>
  <c r="M90" i="5" s="1"/>
  <c r="L346" i="5"/>
  <c r="M346" i="5" s="1"/>
  <c r="L247" i="5"/>
  <c r="M247" i="5" s="1"/>
  <c r="L40" i="5"/>
  <c r="M40" i="5" s="1"/>
  <c r="L232" i="5"/>
  <c r="M232" i="5" s="1"/>
  <c r="L462" i="5"/>
  <c r="M462" i="5" s="1"/>
  <c r="L562" i="5"/>
  <c r="M562" i="5" s="1"/>
  <c r="L626" i="5"/>
  <c r="M626" i="5" s="1"/>
  <c r="L340" i="5"/>
  <c r="M340" i="5" s="1"/>
  <c r="L423" i="5"/>
  <c r="M423" i="5" s="1"/>
  <c r="L487" i="5"/>
  <c r="M487" i="5" s="1"/>
  <c r="L551" i="5"/>
  <c r="M551" i="5" s="1"/>
  <c r="L77" i="5"/>
  <c r="M77" i="5" s="1"/>
  <c r="L333" i="5"/>
  <c r="M333" i="5" s="1"/>
  <c r="L250" i="5"/>
  <c r="M250" i="5" s="1"/>
  <c r="L167" i="5"/>
  <c r="M167" i="5" s="1"/>
  <c r="L327" i="5"/>
  <c r="M327" i="5" s="1"/>
  <c r="L160" i="5"/>
  <c r="M160" i="5" s="1"/>
  <c r="L414" i="5"/>
  <c r="M414" i="5" s="1"/>
  <c r="L538" i="5"/>
  <c r="M538" i="5" s="1"/>
  <c r="L602" i="5"/>
  <c r="M602" i="5" s="1"/>
  <c r="L666" i="5"/>
  <c r="M666" i="5" s="1"/>
  <c r="L399" i="5"/>
  <c r="M399" i="5" s="1"/>
  <c r="L463" i="5"/>
  <c r="M463" i="5" s="1"/>
  <c r="L527" i="5"/>
  <c r="M527" i="5" s="1"/>
  <c r="L591" i="5"/>
  <c r="M591" i="5" s="1"/>
  <c r="L655" i="5"/>
  <c r="M655" i="5" s="1"/>
  <c r="L408" i="5"/>
  <c r="M408" i="5" s="1"/>
  <c r="L504" i="5"/>
  <c r="M504" i="5" s="1"/>
  <c r="L600" i="5"/>
  <c r="M600" i="5" s="1"/>
  <c r="K75" i="5"/>
  <c r="M99" i="5"/>
  <c r="K205" i="5"/>
  <c r="AI418" i="5"/>
  <c r="K554" i="5"/>
  <c r="K557" i="5"/>
  <c r="K559" i="5"/>
  <c r="A73" i="9"/>
  <c r="K416" i="5"/>
  <c r="K426" i="5"/>
  <c r="K422" i="5"/>
  <c r="K424" i="5"/>
  <c r="K425" i="5"/>
  <c r="K417" i="5"/>
  <c r="K421" i="5"/>
  <c r="M421" i="5"/>
  <c r="K418" i="5"/>
  <c r="K326" i="5"/>
  <c r="K322" i="5"/>
  <c r="K321" i="5"/>
  <c r="K331" i="5"/>
  <c r="K328" i="5"/>
  <c r="K320" i="5"/>
  <c r="M431" i="5"/>
  <c r="K329" i="5"/>
  <c r="K431" i="5"/>
  <c r="K325" i="5"/>
  <c r="K327" i="5"/>
  <c r="K324" i="5"/>
  <c r="K432" i="5"/>
  <c r="K367" i="5"/>
  <c r="K430" i="5"/>
  <c r="K357" i="5"/>
  <c r="AG991" i="5"/>
  <c r="AJ991" i="5" s="1"/>
  <c r="AK991" i="5" s="1"/>
  <c r="AG919" i="5"/>
  <c r="AJ919" i="5" s="1"/>
  <c r="AK919" i="5" s="1"/>
  <c r="AG871" i="5"/>
  <c r="AJ871" i="5" s="1"/>
  <c r="AK871" i="5" s="1"/>
  <c r="AG823" i="5"/>
  <c r="AJ823" i="5" s="1"/>
  <c r="AK823" i="5" s="1"/>
  <c r="AG775" i="5"/>
  <c r="AJ775" i="5" s="1"/>
  <c r="AK775" i="5" s="1"/>
  <c r="AG727" i="5"/>
  <c r="AJ727" i="5" s="1"/>
  <c r="AK727" i="5" s="1"/>
  <c r="AG679" i="5"/>
  <c r="AJ679" i="5" s="1"/>
  <c r="AK679" i="5" s="1"/>
  <c r="AG331" i="5"/>
  <c r="AJ331" i="5" s="1"/>
  <c r="AK331" i="5" s="1"/>
  <c r="AG307" i="5"/>
  <c r="AJ307" i="5" s="1"/>
  <c r="AK307" i="5" s="1"/>
  <c r="AG295" i="5"/>
  <c r="AJ295" i="5" s="1"/>
  <c r="AK295" i="5" s="1"/>
  <c r="AG583" i="5"/>
  <c r="AJ583" i="5" s="1"/>
  <c r="AK583" i="5" s="1"/>
  <c r="AG535" i="5"/>
  <c r="AJ535" i="5" s="1"/>
  <c r="AK535" i="5" s="1"/>
  <c r="AG487" i="5"/>
  <c r="AJ487" i="5" s="1"/>
  <c r="AK487" i="5" s="1"/>
  <c r="AG439" i="5"/>
  <c r="AI435" i="5" s="1"/>
  <c r="AG391" i="5"/>
  <c r="AJ391" i="5" s="1"/>
  <c r="AK391" i="5" s="1"/>
  <c r="AG247" i="5"/>
  <c r="AJ247" i="5" s="1"/>
  <c r="AK247" i="5" s="1"/>
  <c r="AG199" i="5"/>
  <c r="AJ199" i="5" s="1"/>
  <c r="AK199" i="5" s="1"/>
  <c r="AG151" i="5"/>
  <c r="AJ151" i="5" s="1"/>
  <c r="AK151" i="5" s="1"/>
  <c r="AG103" i="5"/>
  <c r="AJ103" i="5" s="1"/>
  <c r="AK103" i="5" s="1"/>
  <c r="AG55" i="5"/>
  <c r="AJ55" i="5" s="1"/>
  <c r="AK55" i="5" s="1"/>
  <c r="AG979" i="5"/>
  <c r="AJ979" i="5" s="1"/>
  <c r="AK979" i="5" s="1"/>
  <c r="AG1027" i="5"/>
  <c r="AJ1027" i="5" s="1"/>
  <c r="AK1027" i="5" s="1"/>
  <c r="AG931" i="5"/>
  <c r="AJ931" i="5" s="1"/>
  <c r="AK931" i="5" s="1"/>
  <c r="AG883" i="5"/>
  <c r="AJ883" i="5" s="1"/>
  <c r="AK883" i="5" s="1"/>
  <c r="AG835" i="5"/>
  <c r="AJ835" i="5" s="1"/>
  <c r="AK835" i="5" s="1"/>
  <c r="AG787" i="5"/>
  <c r="AJ787" i="5" s="1"/>
  <c r="AK787" i="5" s="1"/>
  <c r="AG739" i="5"/>
  <c r="AJ739" i="5" s="1"/>
  <c r="AK739" i="5" s="1"/>
  <c r="AG691" i="5"/>
  <c r="AJ691" i="5" s="1"/>
  <c r="AK691" i="5" s="1"/>
  <c r="AG643" i="5"/>
  <c r="AJ643" i="5" s="1"/>
  <c r="AK643" i="5" s="1"/>
  <c r="AG595" i="5"/>
  <c r="AJ595" i="5" s="1"/>
  <c r="AK595" i="5" s="1"/>
  <c r="AG547" i="5"/>
  <c r="AJ547" i="5" s="1"/>
  <c r="AK547" i="5" s="1"/>
  <c r="AG499" i="5"/>
  <c r="AJ499" i="5" s="1"/>
  <c r="AK499" i="5" s="1"/>
  <c r="AG451" i="5"/>
  <c r="AJ451" i="5" s="1"/>
  <c r="AK451" i="5" s="1"/>
  <c r="AG403" i="5"/>
  <c r="AJ403" i="5" s="1"/>
  <c r="AK403" i="5" s="1"/>
  <c r="AG259" i="5"/>
  <c r="AJ259" i="5" s="1"/>
  <c r="AK259" i="5" s="1"/>
  <c r="AG211" i="5"/>
  <c r="AJ211" i="5" s="1"/>
  <c r="AK211" i="5" s="1"/>
  <c r="AG163" i="5"/>
  <c r="AJ163" i="5" s="1"/>
  <c r="AK163" i="5" s="1"/>
  <c r="AG115" i="5"/>
  <c r="AJ115" i="5" s="1"/>
  <c r="AK115" i="5" s="1"/>
  <c r="AG67" i="5"/>
  <c r="AJ67" i="5" s="1"/>
  <c r="AK67" i="5" s="1"/>
  <c r="AG967" i="5"/>
  <c r="AJ967" i="5" s="1"/>
  <c r="AK967" i="5" s="1"/>
  <c r="AG1015" i="5"/>
  <c r="AJ1015" i="5" s="1"/>
  <c r="AK1015" i="5" s="1"/>
  <c r="AG943" i="5"/>
  <c r="AJ943" i="5" s="1"/>
  <c r="AK943" i="5" s="1"/>
  <c r="AG895" i="5"/>
  <c r="AJ895" i="5" s="1"/>
  <c r="AK895" i="5" s="1"/>
  <c r="AG847" i="5"/>
  <c r="AJ847" i="5" s="1"/>
  <c r="AK847" i="5" s="1"/>
  <c r="AG799" i="5"/>
  <c r="AJ799" i="5" s="1"/>
  <c r="AK799" i="5" s="1"/>
  <c r="AG751" i="5"/>
  <c r="AJ751" i="5" s="1"/>
  <c r="AK751" i="5" s="1"/>
  <c r="AG703" i="5"/>
  <c r="AJ703" i="5" s="1"/>
  <c r="AK703" i="5" s="1"/>
  <c r="AG655" i="5"/>
  <c r="AJ655" i="5" s="1"/>
  <c r="AK655" i="5" s="1"/>
  <c r="AG355" i="5"/>
  <c r="AJ355" i="5" s="1"/>
  <c r="AG607" i="5"/>
  <c r="AJ607" i="5" s="1"/>
  <c r="AK607" i="5" s="1"/>
  <c r="AG559" i="5"/>
  <c r="AJ559" i="5" s="1"/>
  <c r="AK559" i="5" s="1"/>
  <c r="AG511" i="5"/>
  <c r="AJ511" i="5" s="1"/>
  <c r="AK511" i="5" s="1"/>
  <c r="AG463" i="5"/>
  <c r="AJ463" i="5" s="1"/>
  <c r="AK463" i="5" s="1"/>
  <c r="AG415" i="5"/>
  <c r="AJ415" i="5" s="1"/>
  <c r="AG367" i="5"/>
  <c r="AJ367" i="5" s="1"/>
  <c r="AK367" i="5" s="1"/>
  <c r="AG223" i="5"/>
  <c r="AJ223" i="5" s="1"/>
  <c r="AK223" i="5" s="1"/>
  <c r="AG175" i="5"/>
  <c r="AJ175" i="5" s="1"/>
  <c r="AK175" i="5" s="1"/>
  <c r="AG127" i="5"/>
  <c r="AJ127" i="5" s="1"/>
  <c r="AK127" i="5" s="1"/>
  <c r="AG79" i="5"/>
  <c r="AJ79" i="5" s="1"/>
  <c r="AK79" i="5" s="1"/>
  <c r="AG1003" i="5"/>
  <c r="AJ1003" i="5" s="1"/>
  <c r="AK1003" i="5" s="1"/>
  <c r="AG631" i="5"/>
  <c r="AJ631" i="5" s="1"/>
  <c r="AK631" i="5" s="1"/>
  <c r="AG955" i="5"/>
  <c r="AJ955" i="5" s="1"/>
  <c r="AK955" i="5" s="1"/>
  <c r="AG907" i="5"/>
  <c r="AJ907" i="5" s="1"/>
  <c r="AK907" i="5" s="1"/>
  <c r="AG859" i="5"/>
  <c r="AJ859" i="5" s="1"/>
  <c r="AK859" i="5" s="1"/>
  <c r="AG811" i="5"/>
  <c r="AJ811" i="5" s="1"/>
  <c r="AK811" i="5" s="1"/>
  <c r="AG763" i="5"/>
  <c r="AJ763" i="5" s="1"/>
  <c r="AK763" i="5" s="1"/>
  <c r="AG715" i="5"/>
  <c r="AJ715" i="5" s="1"/>
  <c r="AK715" i="5" s="1"/>
  <c r="AG667" i="5"/>
  <c r="AJ667" i="5" s="1"/>
  <c r="AK667" i="5" s="1"/>
  <c r="AG283" i="5"/>
  <c r="AJ283" i="5" s="1"/>
  <c r="AK283" i="5" s="1"/>
  <c r="AG319" i="5"/>
  <c r="AJ319" i="5" s="1"/>
  <c r="AK319" i="5" s="1"/>
  <c r="AG271" i="5"/>
  <c r="AJ271" i="5" s="1"/>
  <c r="AK271" i="5" s="1"/>
  <c r="AG619" i="5"/>
  <c r="AJ619" i="5" s="1"/>
  <c r="AK619" i="5" s="1"/>
  <c r="AG571" i="5"/>
  <c r="AJ571" i="5" s="1"/>
  <c r="AK571" i="5" s="1"/>
  <c r="AG523" i="5"/>
  <c r="AJ523" i="5" s="1"/>
  <c r="AK523" i="5" s="1"/>
  <c r="AG475" i="5"/>
  <c r="AJ475" i="5" s="1"/>
  <c r="AK475" i="5" s="1"/>
  <c r="AG427" i="5"/>
  <c r="AJ427" i="5" s="1"/>
  <c r="AG379" i="5"/>
  <c r="AJ379" i="5" s="1"/>
  <c r="AK379" i="5" s="1"/>
  <c r="AG343" i="5"/>
  <c r="AJ343" i="5" s="1"/>
  <c r="AG235" i="5"/>
  <c r="AG187" i="5"/>
  <c r="AJ187" i="5" s="1"/>
  <c r="AG139" i="5"/>
  <c r="AH139" i="5" s="1"/>
  <c r="AG91" i="5"/>
  <c r="AJ91" i="5" s="1"/>
  <c r="AK91" i="5" s="1"/>
  <c r="BG26" i="5"/>
  <c r="K364" i="5"/>
  <c r="K358" i="5"/>
  <c r="K366" i="5"/>
  <c r="K356" i="5"/>
  <c r="K361" i="5"/>
  <c r="K549" i="5"/>
  <c r="K363" i="5"/>
  <c r="K359" i="5"/>
  <c r="K360" i="5"/>
  <c r="K365" i="5"/>
  <c r="K362" i="5"/>
  <c r="K349" i="5"/>
  <c r="K550" i="5"/>
  <c r="K239" i="5"/>
  <c r="K90" i="5"/>
  <c r="K235" i="5"/>
  <c r="K552" i="5"/>
  <c r="K551" i="5"/>
  <c r="K170" i="5"/>
  <c r="K352" i="5"/>
  <c r="K215" i="5"/>
  <c r="K437" i="5"/>
  <c r="K223" i="5"/>
  <c r="K415" i="5"/>
  <c r="K354" i="5"/>
  <c r="K353" i="5"/>
  <c r="K91" i="5"/>
  <c r="K410" i="5"/>
  <c r="K191" i="5"/>
  <c r="K199" i="5"/>
  <c r="K175" i="5"/>
  <c r="K413" i="5"/>
  <c r="K548" i="5"/>
  <c r="K433" i="5"/>
  <c r="K171" i="5"/>
  <c r="K169" i="5"/>
  <c r="K221" i="5"/>
  <c r="K174" i="5"/>
  <c r="M429" i="5"/>
  <c r="K429" i="5"/>
  <c r="K408" i="5"/>
  <c r="K412" i="5"/>
  <c r="K218" i="5"/>
  <c r="K173" i="5"/>
  <c r="K407" i="5"/>
  <c r="K222" i="5"/>
  <c r="K217" i="5"/>
  <c r="K220" i="5"/>
  <c r="K219" i="5"/>
  <c r="K168" i="5"/>
  <c r="K409" i="5"/>
  <c r="A64" i="9"/>
  <c r="A69" i="9"/>
  <c r="A72" i="9"/>
  <c r="A68" i="9"/>
  <c r="A67" i="9"/>
  <c r="A71" i="9"/>
  <c r="A63" i="9"/>
  <c r="A66" i="9"/>
  <c r="A70" i="9"/>
  <c r="A65" i="9"/>
  <c r="K164" i="5"/>
  <c r="K404" i="5"/>
  <c r="K213" i="5"/>
  <c r="K216" i="5"/>
  <c r="K411" i="5"/>
  <c r="K414" i="5"/>
  <c r="K405" i="5"/>
  <c r="K406" i="5"/>
  <c r="A61" i="9"/>
  <c r="A62" i="9"/>
  <c r="K167" i="5"/>
  <c r="K172" i="5"/>
  <c r="K165" i="5"/>
  <c r="K212" i="5"/>
  <c r="K214" i="5"/>
  <c r="K189" i="5"/>
  <c r="K193" i="5"/>
  <c r="K194" i="5"/>
  <c r="K192" i="5"/>
  <c r="K196" i="5"/>
  <c r="K195" i="5"/>
  <c r="K190" i="5"/>
  <c r="K198" i="5"/>
  <c r="K197" i="5"/>
  <c r="K188" i="5"/>
  <c r="K396" i="5"/>
  <c r="K394" i="5"/>
  <c r="K392" i="5"/>
  <c r="K402" i="5"/>
  <c r="K395" i="5"/>
  <c r="K401" i="5"/>
  <c r="K397" i="5"/>
  <c r="K399" i="5"/>
  <c r="K393" i="5"/>
  <c r="K398" i="5"/>
  <c r="K403" i="5"/>
  <c r="K400" i="5"/>
  <c r="A60" i="9"/>
  <c r="A56" i="9"/>
  <c r="A58" i="9"/>
  <c r="A57" i="9"/>
  <c r="A59" i="9"/>
  <c r="K84" i="5"/>
  <c r="K86" i="5"/>
  <c r="I66" i="5"/>
  <c r="K66" i="5" s="1"/>
  <c r="I345" i="5"/>
  <c r="K345" i="5" s="1"/>
  <c r="I233" i="5"/>
  <c r="K233" i="5" s="1"/>
  <c r="I355" i="5"/>
  <c r="K355" i="5" s="1"/>
  <c r="I52" i="5"/>
  <c r="K52" i="5" s="1"/>
  <c r="I89" i="5"/>
  <c r="K89" i="5" s="1"/>
  <c r="K81" i="5"/>
  <c r="A37" i="8"/>
  <c r="A38" i="8"/>
  <c r="A34" i="8"/>
  <c r="A36" i="8"/>
  <c r="A42" i="9"/>
  <c r="A37" i="9"/>
  <c r="A38" i="9"/>
  <c r="A48" i="9"/>
  <c r="A34" i="9"/>
  <c r="A39" i="9"/>
  <c r="A46" i="9"/>
  <c r="A35" i="9"/>
  <c r="A44" i="9"/>
  <c r="A36" i="9"/>
  <c r="A40" i="9"/>
  <c r="A49" i="9"/>
  <c r="A52" i="9"/>
  <c r="A50" i="9"/>
  <c r="A41" i="9"/>
  <c r="A55" i="9"/>
  <c r="A35" i="8"/>
  <c r="A43" i="9"/>
  <c r="A47" i="9"/>
  <c r="A53" i="9"/>
  <c r="A51" i="9"/>
  <c r="A54" i="9"/>
  <c r="A45" i="9"/>
  <c r="A33" i="9"/>
  <c r="A30" i="9"/>
  <c r="A31" i="9"/>
  <c r="A32" i="9"/>
  <c r="A29" i="9"/>
  <c r="A31" i="8"/>
  <c r="A33" i="8"/>
  <c r="A29" i="8"/>
  <c r="A30" i="8"/>
  <c r="A32" i="8"/>
  <c r="A28" i="8"/>
  <c r="K80" i="5"/>
  <c r="K88" i="5"/>
  <c r="K83" i="5"/>
  <c r="K82" i="5"/>
  <c r="K87" i="5"/>
  <c r="K85" i="5"/>
  <c r="K63" i="5"/>
  <c r="K57" i="5"/>
  <c r="K50" i="5"/>
  <c r="K62" i="5"/>
  <c r="K61" i="5"/>
  <c r="K60" i="5"/>
  <c r="K64" i="5"/>
  <c r="K59" i="5"/>
  <c r="K54" i="5"/>
  <c r="K51" i="5"/>
  <c r="K65" i="5"/>
  <c r="K55" i="5"/>
  <c r="K46" i="5"/>
  <c r="K56" i="5"/>
  <c r="K45" i="5"/>
  <c r="K58" i="5"/>
  <c r="K53" i="5"/>
  <c r="K48" i="5"/>
  <c r="K44" i="5"/>
  <c r="K67" i="5"/>
  <c r="AI54" i="5"/>
  <c r="K230" i="5"/>
  <c r="K229" i="5"/>
  <c r="K226" i="5"/>
  <c r="K348" i="5"/>
  <c r="K247" i="5"/>
  <c r="K240" i="5"/>
  <c r="K243" i="5"/>
  <c r="K246" i="5"/>
  <c r="K237" i="5"/>
  <c r="K231" i="5"/>
  <c r="K244" i="5"/>
  <c r="K351" i="5"/>
  <c r="K245" i="5"/>
  <c r="K234" i="5"/>
  <c r="K242" i="5"/>
  <c r="K227" i="5"/>
  <c r="K232" i="5"/>
  <c r="K224" i="5"/>
  <c r="K228" i="5"/>
  <c r="AI229" i="5"/>
  <c r="AI227" i="5"/>
  <c r="AI239" i="5"/>
  <c r="K344" i="5"/>
  <c r="K350" i="5"/>
  <c r="K346" i="5"/>
  <c r="K347" i="5"/>
  <c r="AI45" i="5"/>
  <c r="AI57" i="5"/>
  <c r="AI68" i="5"/>
  <c r="AI80" i="5"/>
  <c r="AI621" i="5"/>
  <c r="AI597" i="5"/>
  <c r="AI609" i="5"/>
  <c r="AI356" i="5"/>
  <c r="AI620" i="5"/>
  <c r="AI600" i="5"/>
  <c r="AI376" i="5"/>
  <c r="M2" i="2"/>
  <c r="AI414" i="5" l="1"/>
  <c r="AK414" i="5" s="1"/>
  <c r="AJ404" i="5"/>
  <c r="AK404" i="5" s="1"/>
  <c r="AI406" i="5"/>
  <c r="AK406" i="5" s="1"/>
  <c r="AJ20" i="5"/>
  <c r="AK20" i="5" s="1"/>
  <c r="AI22" i="5"/>
  <c r="AK22" i="5" s="1"/>
  <c r="AI218" i="5"/>
  <c r="AK218" i="5" s="1"/>
  <c r="AH132" i="5"/>
  <c r="AK132" i="5" s="1"/>
  <c r="AH133" i="5"/>
  <c r="AK133" i="5" s="1"/>
  <c r="AJ135" i="5"/>
  <c r="AJ212" i="5"/>
  <c r="AK212" i="5" s="1"/>
  <c r="AI217" i="5"/>
  <c r="AK217" i="5" s="1"/>
  <c r="AJ128" i="5"/>
  <c r="AH129" i="5"/>
  <c r="AK129" i="5" s="1"/>
  <c r="AJ129" i="5"/>
  <c r="AJ130" i="5"/>
  <c r="AH131" i="5"/>
  <c r="AK131" i="5" s="1"/>
  <c r="AJ134" i="5"/>
  <c r="AJ137" i="5"/>
  <c r="AJ136" i="5"/>
  <c r="AJ138" i="5"/>
  <c r="AI427" i="5"/>
  <c r="AK427" i="5" s="1"/>
  <c r="AI187" i="5"/>
  <c r="AK187" i="5" s="1"/>
  <c r="AI176" i="5"/>
  <c r="AK176" i="5" s="1"/>
  <c r="AI188" i="5"/>
  <c r="AK188" i="5" s="1"/>
  <c r="AI409" i="5"/>
  <c r="AK409" i="5" s="1"/>
  <c r="AI343" i="5"/>
  <c r="AK343" i="5" s="1"/>
  <c r="AK418" i="5"/>
  <c r="AI419" i="5"/>
  <c r="AK419" i="5" s="1"/>
  <c r="AI421" i="5"/>
  <c r="AK421" i="5" s="1"/>
  <c r="AI270" i="5"/>
  <c r="AK270" i="5" s="1"/>
  <c r="AI273" i="5"/>
  <c r="AK273" i="5" s="1"/>
  <c r="AI272" i="5"/>
  <c r="AK272" i="5" s="1"/>
  <c r="AI266" i="5"/>
  <c r="AK266" i="5" s="1"/>
  <c r="AI422" i="5"/>
  <c r="AK422" i="5" s="1"/>
  <c r="AI423" i="5"/>
  <c r="AK423" i="5" s="1"/>
  <c r="AI413" i="5"/>
  <c r="AK413" i="5" s="1"/>
  <c r="AI417" i="5"/>
  <c r="AK417" i="5" s="1"/>
  <c r="AI415" i="5"/>
  <c r="AK415" i="5" s="1"/>
  <c r="AI416" i="5"/>
  <c r="AK416" i="5" s="1"/>
  <c r="AI424" i="5"/>
  <c r="AK424" i="5" s="1"/>
  <c r="AI426" i="5"/>
  <c r="AK426" i="5" s="1"/>
  <c r="AI428" i="5"/>
  <c r="AK428" i="5" s="1"/>
  <c r="AI328" i="5"/>
  <c r="AK328" i="5" s="1"/>
  <c r="AI327" i="5"/>
  <c r="AK327" i="5" s="1"/>
  <c r="AJ439" i="5"/>
  <c r="AK439" i="5" s="1"/>
  <c r="AK435" i="5"/>
  <c r="AI351" i="5"/>
  <c r="AK351" i="5" s="1"/>
  <c r="AI354" i="5"/>
  <c r="AK354" i="5" s="1"/>
  <c r="BG27" i="5"/>
  <c r="AI552" i="5"/>
  <c r="AK552" i="5" s="1"/>
  <c r="AI432" i="5"/>
  <c r="AK432" i="5" s="1"/>
  <c r="AI165" i="5"/>
  <c r="AK165" i="5" s="1"/>
  <c r="AI214" i="5"/>
  <c r="AK214" i="5" s="1"/>
  <c r="AI189" i="5"/>
  <c r="AK189" i="5" s="1"/>
  <c r="AI405" i="5"/>
  <c r="AK405" i="5" s="1"/>
  <c r="AI398" i="5"/>
  <c r="AK398" i="5" s="1"/>
  <c r="AI400" i="5"/>
  <c r="AK400" i="5" s="1"/>
  <c r="AK128" i="5"/>
  <c r="AK138" i="5"/>
  <c r="AK80" i="5"/>
  <c r="AK621" i="5"/>
  <c r="AK137" i="5"/>
  <c r="AK135" i="5"/>
  <c r="AK136" i="5"/>
  <c r="AK600" i="5"/>
  <c r="AK609" i="5"/>
  <c r="AK597" i="5"/>
  <c r="AK68" i="5"/>
  <c r="AK54" i="5"/>
  <c r="AK356" i="5"/>
  <c r="AK57" i="5"/>
  <c r="AK239" i="5"/>
  <c r="AK130" i="5"/>
  <c r="AK376" i="5"/>
  <c r="AK134" i="5"/>
  <c r="AK620" i="5"/>
  <c r="AK45" i="5"/>
  <c r="AK227" i="5"/>
  <c r="AK229" i="5"/>
  <c r="AI90" i="5"/>
  <c r="AK90" i="5" s="1"/>
  <c r="AJ139" i="5"/>
  <c r="AK139" i="5" s="1"/>
  <c r="AI66" i="5"/>
  <c r="AK66" i="5" s="1"/>
  <c r="AI353" i="5"/>
  <c r="AK353" i="5" s="1"/>
  <c r="AI355" i="5"/>
  <c r="AK355" i="5" s="1"/>
  <c r="AJ235" i="5"/>
  <c r="AK235" i="5" s="1"/>
  <c r="B9" i="2"/>
  <c r="D9" i="2" s="1"/>
  <c r="BG28" i="5" l="1"/>
  <c r="G20" i="7"/>
  <c r="G20" i="6"/>
  <c r="D6" i="2"/>
  <c r="D5" i="2"/>
  <c r="D4" i="2"/>
  <c r="D3" i="2"/>
  <c r="D2" i="2"/>
  <c r="M5" i="3"/>
  <c r="L7" i="3"/>
  <c r="D8" i="2"/>
  <c r="B7" i="2"/>
  <c r="D7" i="2" s="1"/>
  <c r="B1" i="2"/>
  <c r="D1" i="2" s="1"/>
  <c r="BG29" i="5" l="1"/>
  <c r="E12" i="7"/>
  <c r="E12" i="6"/>
  <c r="B15" i="1"/>
  <c r="L9" i="7"/>
  <c r="B11" i="7" s="1"/>
  <c r="L9" i="6"/>
  <c r="B11" i="6" s="1"/>
  <c r="L10" i="7"/>
  <c r="L10" i="6"/>
  <c r="L11" i="7"/>
  <c r="L11" i="6"/>
  <c r="E9" i="7"/>
  <c r="E9" i="6"/>
  <c r="B64" i="3"/>
  <c r="C64" i="3" s="1"/>
  <c r="J4" i="1"/>
  <c r="M4" i="2"/>
  <c r="E10" i="7" s="1"/>
  <c r="B53" i="3"/>
  <c r="J3" i="1" s="1"/>
  <c r="AX21" i="2"/>
  <c r="AX25" i="2"/>
  <c r="AX29" i="2"/>
  <c r="AX33" i="2"/>
  <c r="AX37" i="2"/>
  <c r="AX41" i="2"/>
  <c r="AX45" i="2"/>
  <c r="AX49" i="2"/>
  <c r="AX53" i="2"/>
  <c r="AX57" i="2"/>
  <c r="AX61" i="2"/>
  <c r="AX65" i="2"/>
  <c r="AX69" i="2"/>
  <c r="AX73" i="2"/>
  <c r="AX77" i="2"/>
  <c r="AX81" i="2"/>
  <c r="AX85" i="2"/>
  <c r="AX89" i="2"/>
  <c r="AX93" i="2"/>
  <c r="AX97" i="2"/>
  <c r="AX101" i="2"/>
  <c r="AX105" i="2"/>
  <c r="AX109" i="2"/>
  <c r="AX113" i="2"/>
  <c r="AX117" i="2"/>
  <c r="AX121" i="2"/>
  <c r="AX125" i="2"/>
  <c r="AX129" i="2"/>
  <c r="AX133" i="2"/>
  <c r="AX137" i="2"/>
  <c r="AX141" i="2"/>
  <c r="AX145" i="2"/>
  <c r="AX149" i="2"/>
  <c r="AX153" i="2"/>
  <c r="AX157" i="2"/>
  <c r="AX161" i="2"/>
  <c r="AX165" i="2"/>
  <c r="AX169" i="2"/>
  <c r="AX173" i="2"/>
  <c r="AX177" i="2"/>
  <c r="AX181" i="2"/>
  <c r="AX185" i="2"/>
  <c r="AX189" i="2"/>
  <c r="AX193" i="2"/>
  <c r="AX197" i="2"/>
  <c r="AX201" i="2"/>
  <c r="AX205" i="2"/>
  <c r="AX209" i="2"/>
  <c r="AX213" i="2"/>
  <c r="AX217" i="2"/>
  <c r="AX221" i="2"/>
  <c r="AX225" i="2"/>
  <c r="AX229" i="2"/>
  <c r="AX233" i="2"/>
  <c r="AX237" i="2"/>
  <c r="AX241" i="2"/>
  <c r="AX245" i="2"/>
  <c r="AX249" i="2"/>
  <c r="AX253" i="2"/>
  <c r="AX257" i="2"/>
  <c r="AX261" i="2"/>
  <c r="AX265" i="2"/>
  <c r="AX269" i="2"/>
  <c r="AX273" i="2"/>
  <c r="AX277" i="2"/>
  <c r="AX281" i="2"/>
  <c r="AX285" i="2"/>
  <c r="AX289" i="2"/>
  <c r="AX293" i="2"/>
  <c r="AX297" i="2"/>
  <c r="AX301" i="2"/>
  <c r="AX305" i="2"/>
  <c r="AX309" i="2"/>
  <c r="AX313" i="2"/>
  <c r="AX317" i="2"/>
  <c r="AX321" i="2"/>
  <c r="AX325" i="2"/>
  <c r="AX329" i="2"/>
  <c r="AX333" i="2"/>
  <c r="AX337" i="2"/>
  <c r="AX341" i="2"/>
  <c r="AX345" i="2"/>
  <c r="AX349" i="2"/>
  <c r="AX353" i="2"/>
  <c r="AX357" i="2"/>
  <c r="AX22" i="2"/>
  <c r="AX26" i="2"/>
  <c r="AX30" i="2"/>
  <c r="AX34" i="2"/>
  <c r="AX38" i="2"/>
  <c r="AX42" i="2"/>
  <c r="AX46" i="2"/>
  <c r="AX50" i="2"/>
  <c r="AX54" i="2"/>
  <c r="AX58" i="2"/>
  <c r="AX62" i="2"/>
  <c r="AX66" i="2"/>
  <c r="AX70" i="2"/>
  <c r="AX74" i="2"/>
  <c r="AX78" i="2"/>
  <c r="AX82" i="2"/>
  <c r="AX86" i="2"/>
  <c r="AX90" i="2"/>
  <c r="AX94" i="2"/>
  <c r="AX98" i="2"/>
  <c r="AX102" i="2"/>
  <c r="AX106" i="2"/>
  <c r="AX110" i="2"/>
  <c r="AX114" i="2"/>
  <c r="AX118" i="2"/>
  <c r="AX122" i="2"/>
  <c r="AX126" i="2"/>
  <c r="AX130" i="2"/>
  <c r="AX134" i="2"/>
  <c r="AX138" i="2"/>
  <c r="AX142" i="2"/>
  <c r="AX146" i="2"/>
  <c r="AX150" i="2"/>
  <c r="AX154" i="2"/>
  <c r="AX158" i="2"/>
  <c r="AX162" i="2"/>
  <c r="AX166" i="2"/>
  <c r="AX170" i="2"/>
  <c r="AX174" i="2"/>
  <c r="AX178" i="2"/>
  <c r="AX182" i="2"/>
  <c r="AX186" i="2"/>
  <c r="AX190" i="2"/>
  <c r="AX194" i="2"/>
  <c r="AX198" i="2"/>
  <c r="AX202" i="2"/>
  <c r="AX206" i="2"/>
  <c r="AX210" i="2"/>
  <c r="AX214" i="2"/>
  <c r="AX218" i="2"/>
  <c r="AX222" i="2"/>
  <c r="AX226" i="2"/>
  <c r="AX230" i="2"/>
  <c r="AX234" i="2"/>
  <c r="AX238" i="2"/>
  <c r="AX242" i="2"/>
  <c r="AX246" i="2"/>
  <c r="AX250" i="2"/>
  <c r="AX254" i="2"/>
  <c r="AX258" i="2"/>
  <c r="AX262" i="2"/>
  <c r="AX266" i="2"/>
  <c r="AX270" i="2"/>
  <c r="AX274" i="2"/>
  <c r="AX278" i="2"/>
  <c r="AX282" i="2"/>
  <c r="AX286" i="2"/>
  <c r="AX290" i="2"/>
  <c r="AX294" i="2"/>
  <c r="AX298" i="2"/>
  <c r="AX302" i="2"/>
  <c r="AX306" i="2"/>
  <c r="AX310" i="2"/>
  <c r="AX314" i="2"/>
  <c r="AX318" i="2"/>
  <c r="AX322" i="2"/>
  <c r="AX326" i="2"/>
  <c r="AX330" i="2"/>
  <c r="AX334" i="2"/>
  <c r="AX338" i="2"/>
  <c r="AX342" i="2"/>
  <c r="AX346" i="2"/>
  <c r="AX350" i="2"/>
  <c r="AX354" i="2"/>
  <c r="AX23" i="2"/>
  <c r="AX27" i="2"/>
  <c r="AX35" i="2"/>
  <c r="AX39" i="2"/>
  <c r="AX47" i="2"/>
  <c r="AX51" i="2"/>
  <c r="AX59" i="2"/>
  <c r="AX63" i="2"/>
  <c r="AX71" i="2"/>
  <c r="AX75" i="2"/>
  <c r="AX83" i="2"/>
  <c r="AX87" i="2"/>
  <c r="AX95" i="2"/>
  <c r="AX99" i="2"/>
  <c r="AX107" i="2"/>
  <c r="AX111" i="2"/>
  <c r="AX119" i="2"/>
  <c r="AX123" i="2"/>
  <c r="AX131" i="2"/>
  <c r="AX135" i="2"/>
  <c r="AX143" i="2"/>
  <c r="AX147" i="2"/>
  <c r="AX155" i="2"/>
  <c r="AX159" i="2"/>
  <c r="AX167" i="2"/>
  <c r="AX171" i="2"/>
  <c r="AX179" i="2"/>
  <c r="AX183" i="2"/>
  <c r="AX191" i="2"/>
  <c r="AX195" i="2"/>
  <c r="AX203" i="2"/>
  <c r="AX207" i="2"/>
  <c r="AX215" i="2"/>
  <c r="AX219" i="2"/>
  <c r="AX227" i="2"/>
  <c r="AX231" i="2"/>
  <c r="AX239" i="2"/>
  <c r="AX243" i="2"/>
  <c r="AX251" i="2"/>
  <c r="AX255" i="2"/>
  <c r="AX263" i="2"/>
  <c r="AX267" i="2"/>
  <c r="AX275" i="2"/>
  <c r="AX279" i="2"/>
  <c r="AX287" i="2"/>
  <c r="AX291" i="2"/>
  <c r="AX299" i="2"/>
  <c r="AX303" i="2"/>
  <c r="AX311" i="2"/>
  <c r="AX315" i="2"/>
  <c r="AX323" i="2"/>
  <c r="AX327" i="2"/>
  <c r="AX335" i="2"/>
  <c r="AX339" i="2"/>
  <c r="AX347" i="2"/>
  <c r="AX24" i="2"/>
  <c r="AX40" i="2"/>
  <c r="AX56" i="2"/>
  <c r="AX72" i="2"/>
  <c r="AX88" i="2"/>
  <c r="AX104" i="2"/>
  <c r="AX120" i="2"/>
  <c r="AX136" i="2"/>
  <c r="AX152" i="2"/>
  <c r="AX168" i="2"/>
  <c r="AX184" i="2"/>
  <c r="AX200" i="2"/>
  <c r="AX216" i="2"/>
  <c r="AX232" i="2"/>
  <c r="AX248" i="2"/>
  <c r="AX264" i="2"/>
  <c r="AX280" i="2"/>
  <c r="AX296" i="2"/>
  <c r="AX312" i="2"/>
  <c r="AX328" i="2"/>
  <c r="AX344" i="2"/>
  <c r="AX360" i="2"/>
  <c r="AX364" i="2"/>
  <c r="AX368" i="2"/>
  <c r="AX372" i="2"/>
  <c r="AX376" i="2"/>
  <c r="AX380" i="2"/>
  <c r="AX384" i="2"/>
  <c r="AX388" i="2"/>
  <c r="AX392" i="2"/>
  <c r="AX396" i="2"/>
  <c r="AX400" i="2"/>
  <c r="AX404" i="2"/>
  <c r="AX408" i="2"/>
  <c r="AX412" i="2"/>
  <c r="AX416" i="2"/>
  <c r="AX420" i="2"/>
  <c r="AX424" i="2"/>
  <c r="AX428" i="2"/>
  <c r="AX432" i="2"/>
  <c r="AX436" i="2"/>
  <c r="AX440" i="2"/>
  <c r="AX444" i="2"/>
  <c r="AX448" i="2"/>
  <c r="AX452" i="2"/>
  <c r="AX456" i="2"/>
  <c r="AX460" i="2"/>
  <c r="AX464" i="2"/>
  <c r="AX468" i="2"/>
  <c r="AX472" i="2"/>
  <c r="AX476" i="2"/>
  <c r="AX480" i="2"/>
  <c r="AX484" i="2"/>
  <c r="AX488" i="2"/>
  <c r="AX492" i="2"/>
  <c r="AX496" i="2"/>
  <c r="AX500" i="2"/>
  <c r="AX504" i="2"/>
  <c r="AX508" i="2"/>
  <c r="AX512" i="2"/>
  <c r="AX516" i="2"/>
  <c r="AX520" i="2"/>
  <c r="AX524" i="2"/>
  <c r="AX528" i="2"/>
  <c r="AX532" i="2"/>
  <c r="AX536" i="2"/>
  <c r="AX540" i="2"/>
  <c r="AX544" i="2"/>
  <c r="AX548" i="2"/>
  <c r="AX552" i="2"/>
  <c r="AX556" i="2"/>
  <c r="AX560" i="2"/>
  <c r="AX564" i="2"/>
  <c r="AX568" i="2"/>
  <c r="AX572" i="2"/>
  <c r="AX576" i="2"/>
  <c r="AX580" i="2"/>
  <c r="AX584" i="2"/>
  <c r="AX588" i="2"/>
  <c r="AX592" i="2"/>
  <c r="AX596" i="2"/>
  <c r="AX600" i="2"/>
  <c r="AX604" i="2"/>
  <c r="AX608" i="2"/>
  <c r="AX612" i="2"/>
  <c r="AX616" i="2"/>
  <c r="AX28" i="2"/>
  <c r="AX44" i="2"/>
  <c r="AX60" i="2"/>
  <c r="AX76" i="2"/>
  <c r="AX92" i="2"/>
  <c r="AX108" i="2"/>
  <c r="AX124" i="2"/>
  <c r="AX140" i="2"/>
  <c r="AX156" i="2"/>
  <c r="AX172" i="2"/>
  <c r="AX188" i="2"/>
  <c r="AX204" i="2"/>
  <c r="AX220" i="2"/>
  <c r="AX236" i="2"/>
  <c r="AX252" i="2"/>
  <c r="AX268" i="2"/>
  <c r="AX284" i="2"/>
  <c r="AX300" i="2"/>
  <c r="AX316" i="2"/>
  <c r="AX332" i="2"/>
  <c r="AX348" i="2"/>
  <c r="AX356" i="2"/>
  <c r="AX361" i="2"/>
  <c r="AX365" i="2"/>
  <c r="AX369" i="2"/>
  <c r="AX373" i="2"/>
  <c r="AX377" i="2"/>
  <c r="AX381" i="2"/>
  <c r="AX385" i="2"/>
  <c r="AX389" i="2"/>
  <c r="AX393" i="2"/>
  <c r="AX397" i="2"/>
  <c r="AX401" i="2"/>
  <c r="AX405" i="2"/>
  <c r="AX409" i="2"/>
  <c r="AX413" i="2"/>
  <c r="AX417" i="2"/>
  <c r="AX421" i="2"/>
  <c r="AX425" i="2"/>
  <c r="AX429" i="2"/>
  <c r="AX433" i="2"/>
  <c r="AX437" i="2"/>
  <c r="AX441" i="2"/>
  <c r="AX445" i="2"/>
  <c r="AX449" i="2"/>
  <c r="AX453" i="2"/>
  <c r="AX457" i="2"/>
  <c r="AX461" i="2"/>
  <c r="AX465" i="2"/>
  <c r="AX469" i="2"/>
  <c r="AX473" i="2"/>
  <c r="AX477" i="2"/>
  <c r="AX481" i="2"/>
  <c r="AX485" i="2"/>
  <c r="AX489" i="2"/>
  <c r="AX493" i="2"/>
  <c r="AX497" i="2"/>
  <c r="AX501" i="2"/>
  <c r="AX505" i="2"/>
  <c r="AX509" i="2"/>
  <c r="AX513" i="2"/>
  <c r="AX517" i="2"/>
  <c r="AX521" i="2"/>
  <c r="AX525" i="2"/>
  <c r="AX529" i="2"/>
  <c r="AX533" i="2"/>
  <c r="AX537" i="2"/>
  <c r="AX541" i="2"/>
  <c r="AX545" i="2"/>
  <c r="AX549" i="2"/>
  <c r="AX553" i="2"/>
  <c r="AX557" i="2"/>
  <c r="AX561" i="2"/>
  <c r="AX565" i="2"/>
  <c r="AX569" i="2"/>
  <c r="AX573" i="2"/>
  <c r="AX577" i="2"/>
  <c r="AX581" i="2"/>
  <c r="AX585" i="2"/>
  <c r="AX589" i="2"/>
  <c r="AX593" i="2"/>
  <c r="AX597" i="2"/>
  <c r="AX601" i="2"/>
  <c r="AX605" i="2"/>
  <c r="AX609" i="2"/>
  <c r="AX32" i="2"/>
  <c r="AX48" i="2"/>
  <c r="AX64" i="2"/>
  <c r="AX80" i="2"/>
  <c r="AX96" i="2"/>
  <c r="AX112" i="2"/>
  <c r="AX128" i="2"/>
  <c r="AX144" i="2"/>
  <c r="AX160" i="2"/>
  <c r="AX176" i="2"/>
  <c r="AX192" i="2"/>
  <c r="AX208" i="2"/>
  <c r="AX224" i="2"/>
  <c r="AX240" i="2"/>
  <c r="AX256" i="2"/>
  <c r="AX272" i="2"/>
  <c r="AX288" i="2"/>
  <c r="AX304" i="2"/>
  <c r="AX320" i="2"/>
  <c r="AX336" i="2"/>
  <c r="AX351" i="2"/>
  <c r="AX358" i="2"/>
  <c r="AX362" i="2"/>
  <c r="AX366" i="2"/>
  <c r="AX370" i="2"/>
  <c r="AX374" i="2"/>
  <c r="AX378" i="2"/>
  <c r="AX382" i="2"/>
  <c r="AX386" i="2"/>
  <c r="AX390" i="2"/>
  <c r="AX394" i="2"/>
  <c r="AX398" i="2"/>
  <c r="AX402" i="2"/>
  <c r="AX406" i="2"/>
  <c r="AX410" i="2"/>
  <c r="AX414" i="2"/>
  <c r="AX418" i="2"/>
  <c r="AX422" i="2"/>
  <c r="AX426" i="2"/>
  <c r="AX430" i="2"/>
  <c r="AX434" i="2"/>
  <c r="AX438" i="2"/>
  <c r="AX442" i="2"/>
  <c r="AX446" i="2"/>
  <c r="AX450" i="2"/>
  <c r="AX454" i="2"/>
  <c r="AX458" i="2"/>
  <c r="AX462" i="2"/>
  <c r="AX466" i="2"/>
  <c r="AX470" i="2"/>
  <c r="AX474" i="2"/>
  <c r="AX478" i="2"/>
  <c r="AX482" i="2"/>
  <c r="AX486" i="2"/>
  <c r="AX490" i="2"/>
  <c r="AX494" i="2"/>
  <c r="AX498" i="2"/>
  <c r="AX502" i="2"/>
  <c r="AX506" i="2"/>
  <c r="AX510" i="2"/>
  <c r="AX514" i="2"/>
  <c r="AX518" i="2"/>
  <c r="AX522" i="2"/>
  <c r="AX526" i="2"/>
  <c r="AX530" i="2"/>
  <c r="AX534" i="2"/>
  <c r="AX538" i="2"/>
  <c r="AX542" i="2"/>
  <c r="AX546" i="2"/>
  <c r="AX550" i="2"/>
  <c r="AX554" i="2"/>
  <c r="AX558" i="2"/>
  <c r="AX562" i="2"/>
  <c r="AX566" i="2"/>
  <c r="AX570" i="2"/>
  <c r="AX574" i="2"/>
  <c r="AX578" i="2"/>
  <c r="AX582" i="2"/>
  <c r="AX586" i="2"/>
  <c r="AX590" i="2"/>
  <c r="AX594" i="2"/>
  <c r="AX598" i="2"/>
  <c r="AX602" i="2"/>
  <c r="AX606" i="2"/>
  <c r="AX610" i="2"/>
  <c r="AX36" i="2"/>
  <c r="AX100" i="2"/>
  <c r="AX164" i="2"/>
  <c r="AX228" i="2"/>
  <c r="AX292" i="2"/>
  <c r="AX352" i="2"/>
  <c r="AX371" i="2"/>
  <c r="AX387" i="2"/>
  <c r="AX419" i="2"/>
  <c r="AX435" i="2"/>
  <c r="AX467" i="2"/>
  <c r="AX483" i="2"/>
  <c r="AX515" i="2"/>
  <c r="AX531" i="2"/>
  <c r="AX563" i="2"/>
  <c r="AX579" i="2"/>
  <c r="AX611" i="2"/>
  <c r="AX617" i="2"/>
  <c r="AX621" i="2"/>
  <c r="AX625" i="2"/>
  <c r="AX629" i="2"/>
  <c r="AX633" i="2"/>
  <c r="AX637" i="2"/>
  <c r="AX641" i="2"/>
  <c r="AX645" i="2"/>
  <c r="AX649" i="2"/>
  <c r="AX653" i="2"/>
  <c r="AX657" i="2"/>
  <c r="AX661" i="2"/>
  <c r="AX665" i="2"/>
  <c r="AX669" i="2"/>
  <c r="AX673" i="2"/>
  <c r="AX677" i="2"/>
  <c r="AX681" i="2"/>
  <c r="AX685" i="2"/>
  <c r="AX689" i="2"/>
  <c r="AX693" i="2"/>
  <c r="AX697" i="2"/>
  <c r="AX701" i="2"/>
  <c r="AX705" i="2"/>
  <c r="AX709" i="2"/>
  <c r="AX713" i="2"/>
  <c r="AX717" i="2"/>
  <c r="AX721" i="2"/>
  <c r="AX725" i="2"/>
  <c r="AX729" i="2"/>
  <c r="AX733" i="2"/>
  <c r="AX737" i="2"/>
  <c r="AX741" i="2"/>
  <c r="AX745" i="2"/>
  <c r="AX749" i="2"/>
  <c r="AX753" i="2"/>
  <c r="AX757" i="2"/>
  <c r="AX761" i="2"/>
  <c r="AX765" i="2"/>
  <c r="AX769" i="2"/>
  <c r="AX773" i="2"/>
  <c r="AX777" i="2"/>
  <c r="AX781" i="2"/>
  <c r="AX785" i="2"/>
  <c r="AX789" i="2"/>
  <c r="AX793" i="2"/>
  <c r="AX797" i="2"/>
  <c r="AX801" i="2"/>
  <c r="AX805" i="2"/>
  <c r="AX809" i="2"/>
  <c r="AX813" i="2"/>
  <c r="AX817" i="2"/>
  <c r="AX821" i="2"/>
  <c r="AX825" i="2"/>
  <c r="AX829" i="2"/>
  <c r="AX833" i="2"/>
  <c r="AX837" i="2"/>
  <c r="AX841" i="2"/>
  <c r="AX845" i="2"/>
  <c r="AX849" i="2"/>
  <c r="AX853" i="2"/>
  <c r="AX857" i="2"/>
  <c r="AX861" i="2"/>
  <c r="AX865" i="2"/>
  <c r="AX869" i="2"/>
  <c r="AX873" i="2"/>
  <c r="AX877" i="2"/>
  <c r="AX881" i="2"/>
  <c r="AX885" i="2"/>
  <c r="AX889" i="2"/>
  <c r="AX893" i="2"/>
  <c r="AX897" i="2"/>
  <c r="AX901" i="2"/>
  <c r="AX905" i="2"/>
  <c r="AX909" i="2"/>
  <c r="AX913" i="2"/>
  <c r="AX917" i="2"/>
  <c r="AX921" i="2"/>
  <c r="AX925" i="2"/>
  <c r="AX929" i="2"/>
  <c r="AX933" i="2"/>
  <c r="AX937" i="2"/>
  <c r="AX941" i="2"/>
  <c r="AX945" i="2"/>
  <c r="AX949" i="2"/>
  <c r="AX953" i="2"/>
  <c r="AX957" i="2"/>
  <c r="AX961" i="2"/>
  <c r="AX965" i="2"/>
  <c r="AX969" i="2"/>
  <c r="AX973" i="2"/>
  <c r="AX977" i="2"/>
  <c r="AX981" i="2"/>
  <c r="AX985" i="2"/>
  <c r="AX989" i="2"/>
  <c r="AX993" i="2"/>
  <c r="AX997" i="2"/>
  <c r="AX1001" i="2"/>
  <c r="AX1005" i="2"/>
  <c r="AX1009" i="2"/>
  <c r="AX1013" i="2"/>
  <c r="AX1017" i="2"/>
  <c r="AX1021" i="2"/>
  <c r="AX1025" i="2"/>
  <c r="AX212" i="2"/>
  <c r="AX624" i="2"/>
  <c r="AX636" i="2"/>
  <c r="AX640" i="2"/>
  <c r="AX652" i="2"/>
  <c r="AX664" i="2"/>
  <c r="AX676" i="2"/>
  <c r="AX688" i="2"/>
  <c r="AX700" i="2"/>
  <c r="AX704" i="2"/>
  <c r="AX716" i="2"/>
  <c r="AX724" i="2"/>
  <c r="AX732" i="2"/>
  <c r="AX744" i="2"/>
  <c r="AX748" i="2"/>
  <c r="AX756" i="2"/>
  <c r="AX764" i="2"/>
  <c r="AX776" i="2"/>
  <c r="AX784" i="2"/>
  <c r="AX792" i="2"/>
  <c r="AX800" i="2"/>
  <c r="AX808" i="2"/>
  <c r="AX816" i="2"/>
  <c r="AX824" i="2"/>
  <c r="AX832" i="2"/>
  <c r="AX840" i="2"/>
  <c r="AX848" i="2"/>
  <c r="AX860" i="2"/>
  <c r="AX868" i="2"/>
  <c r="AX876" i="2"/>
  <c r="AX884" i="2"/>
  <c r="AX896" i="2"/>
  <c r="AX904" i="2"/>
  <c r="AX912" i="2"/>
  <c r="AX920" i="2"/>
  <c r="AX928" i="2"/>
  <c r="AX936" i="2"/>
  <c r="AX52" i="2"/>
  <c r="AX116" i="2"/>
  <c r="AX180" i="2"/>
  <c r="AX244" i="2"/>
  <c r="AX308" i="2"/>
  <c r="AX359" i="2"/>
  <c r="AX375" i="2"/>
  <c r="AX407" i="2"/>
  <c r="AX423" i="2"/>
  <c r="AX455" i="2"/>
  <c r="AX471" i="2"/>
  <c r="AX503" i="2"/>
  <c r="AX519" i="2"/>
  <c r="AX551" i="2"/>
  <c r="AX567" i="2"/>
  <c r="AX599" i="2"/>
  <c r="AX613" i="2"/>
  <c r="AX618" i="2"/>
  <c r="AX622" i="2"/>
  <c r="AX626" i="2"/>
  <c r="AX630" i="2"/>
  <c r="AX634" i="2"/>
  <c r="AX638" i="2"/>
  <c r="AX642" i="2"/>
  <c r="AX646" i="2"/>
  <c r="AX650" i="2"/>
  <c r="AX654" i="2"/>
  <c r="AX658" i="2"/>
  <c r="AX662" i="2"/>
  <c r="AX666" i="2"/>
  <c r="AX670" i="2"/>
  <c r="AX674" i="2"/>
  <c r="AX678" i="2"/>
  <c r="AX682" i="2"/>
  <c r="AX686" i="2"/>
  <c r="AX690" i="2"/>
  <c r="AX694" i="2"/>
  <c r="AX698" i="2"/>
  <c r="AX702" i="2"/>
  <c r="AX706" i="2"/>
  <c r="AX710" i="2"/>
  <c r="AX714" i="2"/>
  <c r="AX718" i="2"/>
  <c r="AX722" i="2"/>
  <c r="AX726" i="2"/>
  <c r="AX730" i="2"/>
  <c r="AX734" i="2"/>
  <c r="AX738" i="2"/>
  <c r="AX742" i="2"/>
  <c r="AX746" i="2"/>
  <c r="AX750" i="2"/>
  <c r="AX754" i="2"/>
  <c r="AX758" i="2"/>
  <c r="AX762" i="2"/>
  <c r="AX766" i="2"/>
  <c r="AX770" i="2"/>
  <c r="AX774" i="2"/>
  <c r="AX778" i="2"/>
  <c r="AX782" i="2"/>
  <c r="AX786" i="2"/>
  <c r="AX790" i="2"/>
  <c r="AX794" i="2"/>
  <c r="AX798" i="2"/>
  <c r="AX802" i="2"/>
  <c r="AX806" i="2"/>
  <c r="AX810" i="2"/>
  <c r="AX814" i="2"/>
  <c r="AX818" i="2"/>
  <c r="AX822" i="2"/>
  <c r="AX826" i="2"/>
  <c r="AX830" i="2"/>
  <c r="AX834" i="2"/>
  <c r="AX838" i="2"/>
  <c r="AX842" i="2"/>
  <c r="AX846" i="2"/>
  <c r="AX850" i="2"/>
  <c r="AX854" i="2"/>
  <c r="AX858" i="2"/>
  <c r="AX862" i="2"/>
  <c r="AX866" i="2"/>
  <c r="AX870" i="2"/>
  <c r="AX874" i="2"/>
  <c r="AX878" i="2"/>
  <c r="AX882" i="2"/>
  <c r="AX886" i="2"/>
  <c r="AX890" i="2"/>
  <c r="AX894" i="2"/>
  <c r="AX898" i="2"/>
  <c r="AX902" i="2"/>
  <c r="AX906" i="2"/>
  <c r="AX910" i="2"/>
  <c r="AX914" i="2"/>
  <c r="AX918" i="2"/>
  <c r="AX922" i="2"/>
  <c r="AX926" i="2"/>
  <c r="AX930" i="2"/>
  <c r="AX934" i="2"/>
  <c r="AX938" i="2"/>
  <c r="AX942" i="2"/>
  <c r="AX946" i="2"/>
  <c r="AX950" i="2"/>
  <c r="AX954" i="2"/>
  <c r="AX958" i="2"/>
  <c r="AX962" i="2"/>
  <c r="AX966" i="2"/>
  <c r="AX970" i="2"/>
  <c r="AX974" i="2"/>
  <c r="AX978" i="2"/>
  <c r="AX982" i="2"/>
  <c r="AX986" i="2"/>
  <c r="AX990" i="2"/>
  <c r="AX994" i="2"/>
  <c r="AX998" i="2"/>
  <c r="AX1002" i="2"/>
  <c r="AX1006" i="2"/>
  <c r="AX1010" i="2"/>
  <c r="AX1014" i="2"/>
  <c r="AX1018" i="2"/>
  <c r="AX1022" i="2"/>
  <c r="AX1026" i="2"/>
  <c r="AX148" i="2"/>
  <c r="AX340" i="2"/>
  <c r="AX399" i="2"/>
  <c r="AX447" i="2"/>
  <c r="AX479" i="2"/>
  <c r="AX527" i="2"/>
  <c r="AX591" i="2"/>
  <c r="AX615" i="2"/>
  <c r="AX628" i="2"/>
  <c r="AX644" i="2"/>
  <c r="AX656" i="2"/>
  <c r="AX668" i="2"/>
  <c r="AX684" i="2"/>
  <c r="AX696" i="2"/>
  <c r="AX68" i="2"/>
  <c r="AX132" i="2"/>
  <c r="AX196" i="2"/>
  <c r="AX260" i="2"/>
  <c r="AX324" i="2"/>
  <c r="AX363" i="2"/>
  <c r="AX395" i="2"/>
  <c r="AX411" i="2"/>
  <c r="AX443" i="2"/>
  <c r="AX459" i="2"/>
  <c r="AX491" i="2"/>
  <c r="AX507" i="2"/>
  <c r="AX539" i="2"/>
  <c r="AX555" i="2"/>
  <c r="AX587" i="2"/>
  <c r="AX603" i="2"/>
  <c r="AX614" i="2"/>
  <c r="AX623" i="2"/>
  <c r="AX627" i="2"/>
  <c r="AX635" i="2"/>
  <c r="AX639" i="2"/>
  <c r="AX647" i="2"/>
  <c r="AX651" i="2"/>
  <c r="AX659" i="2"/>
  <c r="AX663" i="2"/>
  <c r="AX671" i="2"/>
  <c r="AX675" i="2"/>
  <c r="AX683" i="2"/>
  <c r="AX687" i="2"/>
  <c r="AX695" i="2"/>
  <c r="AX699" i="2"/>
  <c r="AX707" i="2"/>
  <c r="AX711" i="2"/>
  <c r="AX719" i="2"/>
  <c r="AX723" i="2"/>
  <c r="AX731" i="2"/>
  <c r="AX735" i="2"/>
  <c r="AX743" i="2"/>
  <c r="AX747" i="2"/>
  <c r="AX755" i="2"/>
  <c r="AX759" i="2"/>
  <c r="AX767" i="2"/>
  <c r="AX771" i="2"/>
  <c r="AX779" i="2"/>
  <c r="AX783" i="2"/>
  <c r="AX791" i="2"/>
  <c r="AX795" i="2"/>
  <c r="AX803" i="2"/>
  <c r="AX807" i="2"/>
  <c r="AX815" i="2"/>
  <c r="AX819" i="2"/>
  <c r="AX827" i="2"/>
  <c r="AX831" i="2"/>
  <c r="AX839" i="2"/>
  <c r="AX843" i="2"/>
  <c r="AX851" i="2"/>
  <c r="AX855" i="2"/>
  <c r="AX863" i="2"/>
  <c r="AX867" i="2"/>
  <c r="AX875" i="2"/>
  <c r="AX879" i="2"/>
  <c r="AX887" i="2"/>
  <c r="AX891" i="2"/>
  <c r="AX899" i="2"/>
  <c r="AX903" i="2"/>
  <c r="AX911" i="2"/>
  <c r="AX915" i="2"/>
  <c r="AX923" i="2"/>
  <c r="AX927" i="2"/>
  <c r="AX935" i="2"/>
  <c r="AX939" i="2"/>
  <c r="AX947" i="2"/>
  <c r="AX951" i="2"/>
  <c r="AX959" i="2"/>
  <c r="AX963" i="2"/>
  <c r="AX971" i="2"/>
  <c r="AX975" i="2"/>
  <c r="AX983" i="2"/>
  <c r="AX987" i="2"/>
  <c r="AX995" i="2"/>
  <c r="AX999" i="2"/>
  <c r="AX1007" i="2"/>
  <c r="AX1011" i="2"/>
  <c r="AX1019" i="2"/>
  <c r="AX1023" i="2"/>
  <c r="AX84" i="2"/>
  <c r="AX276" i="2"/>
  <c r="AX383" i="2"/>
  <c r="AX431" i="2"/>
  <c r="AX495" i="2"/>
  <c r="AX543" i="2"/>
  <c r="AX575" i="2"/>
  <c r="AX620" i="2"/>
  <c r="AX632" i="2"/>
  <c r="AX648" i="2"/>
  <c r="AX660" i="2"/>
  <c r="AX672" i="2"/>
  <c r="AX680" i="2"/>
  <c r="AX692" i="2"/>
  <c r="AX708" i="2"/>
  <c r="AX712" i="2"/>
  <c r="AX720" i="2"/>
  <c r="AX728" i="2"/>
  <c r="AX736" i="2"/>
  <c r="AX740" i="2"/>
  <c r="AX752" i="2"/>
  <c r="AX760" i="2"/>
  <c r="AX768" i="2"/>
  <c r="AX772" i="2"/>
  <c r="AX780" i="2"/>
  <c r="AX788" i="2"/>
  <c r="AX796" i="2"/>
  <c r="AX804" i="2"/>
  <c r="AX812" i="2"/>
  <c r="AX820" i="2"/>
  <c r="AX828" i="2"/>
  <c r="AX836" i="2"/>
  <c r="AX844" i="2"/>
  <c r="AX852" i="2"/>
  <c r="AX856" i="2"/>
  <c r="AX864" i="2"/>
  <c r="AX872" i="2"/>
  <c r="AX880" i="2"/>
  <c r="AX888" i="2"/>
  <c r="AX892" i="2"/>
  <c r="AX900" i="2"/>
  <c r="AX908" i="2"/>
  <c r="AX916" i="2"/>
  <c r="AX924" i="2"/>
  <c r="AX932" i="2"/>
  <c r="AX940" i="2"/>
  <c r="AX956" i="2"/>
  <c r="AX972" i="2"/>
  <c r="AX988" i="2"/>
  <c r="AX1004" i="2"/>
  <c r="AX1020" i="2"/>
  <c r="AX960" i="2"/>
  <c r="AX976" i="2"/>
  <c r="AX992" i="2"/>
  <c r="AX1008" i="2"/>
  <c r="AX968" i="2"/>
  <c r="AX1016" i="2"/>
  <c r="AX944" i="2"/>
  <c r="AX1024" i="2"/>
  <c r="AX1000" i="2"/>
  <c r="AX948" i="2"/>
  <c r="AX964" i="2"/>
  <c r="AX980" i="2"/>
  <c r="AX996" i="2"/>
  <c r="AX1012" i="2"/>
  <c r="AX20" i="2"/>
  <c r="AX952" i="2"/>
  <c r="AX984" i="2"/>
  <c r="AX211" i="2"/>
  <c r="AX643" i="2"/>
  <c r="AX127" i="2"/>
  <c r="AX991" i="2"/>
  <c r="AX187" i="2"/>
  <c r="AX379" i="2"/>
  <c r="AX571" i="2"/>
  <c r="AX763" i="2"/>
  <c r="AX955" i="2"/>
  <c r="AX259" i="2"/>
  <c r="AX595" i="2"/>
  <c r="AX931" i="2"/>
  <c r="AX175" i="2"/>
  <c r="AX511" i="2"/>
  <c r="AX703" i="2"/>
  <c r="AX895" i="2"/>
  <c r="AX151" i="2"/>
  <c r="AX343" i="2"/>
  <c r="AX535" i="2"/>
  <c r="AX727" i="2"/>
  <c r="AX919" i="2"/>
  <c r="AX271" i="2"/>
  <c r="AX943" i="2"/>
  <c r="AX199" i="2"/>
  <c r="AX583" i="2"/>
  <c r="AX775" i="2"/>
  <c r="AX403" i="2"/>
  <c r="AX835" i="2"/>
  <c r="AX319" i="2"/>
  <c r="AX91" i="2"/>
  <c r="AX283" i="2"/>
  <c r="AX475" i="2"/>
  <c r="AX667" i="2"/>
  <c r="AX859" i="2"/>
  <c r="AX67" i="2"/>
  <c r="AX367" i="2"/>
  <c r="AX799" i="2"/>
  <c r="AX247" i="2"/>
  <c r="AX631" i="2"/>
  <c r="AX823" i="2"/>
  <c r="AX1027" i="2"/>
  <c r="AX907" i="2"/>
  <c r="AX883" i="2"/>
  <c r="AX79" i="2"/>
  <c r="AX655" i="2"/>
  <c r="AX103" i="2"/>
  <c r="AX487" i="2"/>
  <c r="AX871" i="2"/>
  <c r="AX307" i="2"/>
  <c r="AX739" i="2"/>
  <c r="AX223" i="2"/>
  <c r="AX43" i="2"/>
  <c r="AX235" i="2"/>
  <c r="AX427" i="2"/>
  <c r="AX619" i="2"/>
  <c r="AX811" i="2"/>
  <c r="AX1003" i="2"/>
  <c r="AX355" i="2"/>
  <c r="AX691" i="2"/>
  <c r="AX979" i="2"/>
  <c r="AX559" i="2"/>
  <c r="AX751" i="2"/>
  <c r="AX391" i="2"/>
  <c r="AX967" i="2"/>
  <c r="AX451" i="2"/>
  <c r="AX787" i="2"/>
  <c r="AX31" i="2"/>
  <c r="AX607" i="2"/>
  <c r="AX55" i="2"/>
  <c r="AX439" i="2"/>
  <c r="AX1015" i="2"/>
  <c r="AX115" i="2"/>
  <c r="AX499" i="2"/>
  <c r="AX463" i="2"/>
  <c r="AX139" i="2"/>
  <c r="AX331" i="2"/>
  <c r="AX523" i="2"/>
  <c r="AX715" i="2"/>
  <c r="AX163" i="2"/>
  <c r="AX547" i="2"/>
  <c r="AX415" i="2"/>
  <c r="AX847" i="2"/>
  <c r="AX295" i="2"/>
  <c r="AX679" i="2"/>
  <c r="M5" i="2"/>
  <c r="M3" i="2"/>
  <c r="E11" i="7" s="1"/>
  <c r="M1" i="2"/>
  <c r="E7" i="2"/>
  <c r="M7" i="3"/>
  <c r="N7" i="3" s="1"/>
  <c r="L14" i="3"/>
  <c r="M14" i="3" s="1"/>
  <c r="N14" i="3" s="1"/>
  <c r="L18" i="3"/>
  <c r="L9" i="3"/>
  <c r="M9" i="3" s="1"/>
  <c r="L10" i="3"/>
  <c r="L6" i="3"/>
  <c r="M6" i="3" s="1"/>
  <c r="N6" i="3" s="1"/>
  <c r="L17" i="3"/>
  <c r="L13" i="3"/>
  <c r="M13" i="3" s="1"/>
  <c r="N13" i="3" s="1"/>
  <c r="L8" i="3"/>
  <c r="L20" i="3"/>
  <c r="M20" i="3" s="1"/>
  <c r="N20" i="3" s="1"/>
  <c r="L16" i="3"/>
  <c r="M16" i="3" s="1"/>
  <c r="L12" i="3"/>
  <c r="M12" i="3" s="1"/>
  <c r="N12" i="3" s="1"/>
  <c r="L19" i="3"/>
  <c r="M19" i="3" s="1"/>
  <c r="L15" i="3"/>
  <c r="M15" i="3" s="1"/>
  <c r="L11" i="3"/>
  <c r="M11" i="3" s="1"/>
  <c r="BG30" i="5" l="1"/>
  <c r="E11" i="6"/>
  <c r="B4" i="7"/>
  <c r="B4" i="6"/>
  <c r="G2" i="2"/>
  <c r="E10" i="6"/>
  <c r="B25" i="1"/>
  <c r="H25" i="1" s="1"/>
  <c r="B11" i="10"/>
  <c r="B26" i="1"/>
  <c r="G26" i="1" s="1"/>
  <c r="B12" i="10"/>
  <c r="B39" i="1"/>
  <c r="J39" i="1" s="1"/>
  <c r="B25" i="10"/>
  <c r="B31" i="1"/>
  <c r="G31" i="1" s="1"/>
  <c r="B17" i="10"/>
  <c r="B32" i="1"/>
  <c r="J32" i="1" s="1"/>
  <c r="B18" i="10"/>
  <c r="B33" i="1"/>
  <c r="G33" i="1" s="1"/>
  <c r="B19" i="10"/>
  <c r="G4" i="2"/>
  <c r="I9" i="1"/>
  <c r="G4" i="5"/>
  <c r="G1" i="5" s="1"/>
  <c r="G3" i="2"/>
  <c r="I15" i="1"/>
  <c r="G15" i="1"/>
  <c r="N20" i="2"/>
  <c r="O20" i="2" s="1"/>
  <c r="I114" i="2"/>
  <c r="I397" i="2"/>
  <c r="I570" i="2"/>
  <c r="I266" i="2"/>
  <c r="I548" i="2"/>
  <c r="I683" i="2"/>
  <c r="I196" i="2"/>
  <c r="I563" i="2"/>
  <c r="I700" i="2"/>
  <c r="I809" i="2"/>
  <c r="I937" i="2"/>
  <c r="D92" i="2"/>
  <c r="H92" i="2" s="1"/>
  <c r="D348" i="2"/>
  <c r="H348" i="2" s="1"/>
  <c r="I380" i="2"/>
  <c r="I820" i="2"/>
  <c r="D118" i="2"/>
  <c r="H118" i="2" s="1"/>
  <c r="D374" i="2"/>
  <c r="H374" i="2" s="1"/>
  <c r="D65" i="2"/>
  <c r="H65" i="2" s="1"/>
  <c r="D529" i="2"/>
  <c r="H529" i="2" s="1"/>
  <c r="D785" i="2"/>
  <c r="H785" i="2" s="1"/>
  <c r="D1014" i="2"/>
  <c r="H1014" i="2" s="1"/>
  <c r="D691" i="2"/>
  <c r="H691" i="2" s="1"/>
  <c r="D453" i="2"/>
  <c r="H453" i="2" s="1"/>
  <c r="D626" i="2"/>
  <c r="H626" i="2" s="1"/>
  <c r="D754" i="2"/>
  <c r="H754" i="2" s="1"/>
  <c r="D882" i="2"/>
  <c r="H882" i="2" s="1"/>
  <c r="D755" i="2"/>
  <c r="H755" i="2" s="1"/>
  <c r="D39" i="2"/>
  <c r="H39" i="2" s="1"/>
  <c r="D215" i="2"/>
  <c r="H215" i="2" s="1"/>
  <c r="I120" i="2"/>
  <c r="I441" i="2"/>
  <c r="I580" i="2"/>
  <c r="I715" i="2"/>
  <c r="I241" i="2"/>
  <c r="I467" i="2"/>
  <c r="I595" i="2"/>
  <c r="I732" i="2"/>
  <c r="I590" i="2"/>
  <c r="I841" i="2"/>
  <c r="I969" i="2"/>
  <c r="D156" i="2"/>
  <c r="H156" i="2" s="1"/>
  <c r="D412" i="2"/>
  <c r="H412" i="2" s="1"/>
  <c r="I628" i="2"/>
  <c r="I852" i="2"/>
  <c r="D182" i="2"/>
  <c r="H182" i="2" s="1"/>
  <c r="D438" i="2"/>
  <c r="H438" i="2" s="1"/>
  <c r="D193" i="2"/>
  <c r="H193" i="2" s="1"/>
  <c r="D593" i="2"/>
  <c r="H593" i="2" s="1"/>
  <c r="D849" i="2"/>
  <c r="H849" i="2" s="1"/>
  <c r="D855" i="2"/>
  <c r="H855" i="2" s="1"/>
  <c r="D75" i="2"/>
  <c r="H75" i="2" s="1"/>
  <c r="D530" i="2"/>
  <c r="H530" i="2" s="1"/>
  <c r="D658" i="2"/>
  <c r="H658" i="2" s="1"/>
  <c r="D786" i="2"/>
  <c r="H786" i="2" s="1"/>
  <c r="D914" i="2"/>
  <c r="H914" i="2" s="1"/>
  <c r="D197" i="2"/>
  <c r="H197" i="2" s="1"/>
  <c r="D879" i="2"/>
  <c r="H879" i="2" s="1"/>
  <c r="I962" i="2"/>
  <c r="D87" i="2"/>
  <c r="H87" i="2" s="1"/>
  <c r="D255" i="2"/>
  <c r="H255" i="2" s="1"/>
  <c r="D423" i="2"/>
  <c r="H423" i="2" s="1"/>
  <c r="D540" i="2"/>
  <c r="H540" i="2" s="1"/>
  <c r="D604" i="2"/>
  <c r="H604" i="2" s="1"/>
  <c r="I161" i="2"/>
  <c r="I484" i="2"/>
  <c r="I612" i="2"/>
  <c r="I747" i="2"/>
  <c r="I499" i="2"/>
  <c r="I636" i="2"/>
  <c r="I873" i="2"/>
  <c r="I1000" i="2"/>
  <c r="D220" i="2"/>
  <c r="H220" i="2" s="1"/>
  <c r="D476" i="2"/>
  <c r="H476" i="2" s="1"/>
  <c r="I598" i="2"/>
  <c r="I884" i="2"/>
  <c r="D246" i="2"/>
  <c r="H246" i="2" s="1"/>
  <c r="D321" i="2"/>
  <c r="H321" i="2" s="1"/>
  <c r="D657" i="2"/>
  <c r="H657" i="2" s="1"/>
  <c r="D913" i="2"/>
  <c r="H913" i="2" s="1"/>
  <c r="D285" i="2"/>
  <c r="H285" i="2" s="1"/>
  <c r="D1007" i="2"/>
  <c r="H1007" i="2" s="1"/>
  <c r="D203" i="2"/>
  <c r="H203" i="2" s="1"/>
  <c r="D562" i="2"/>
  <c r="H562" i="2" s="1"/>
  <c r="D690" i="2"/>
  <c r="H690" i="2" s="1"/>
  <c r="D818" i="2"/>
  <c r="H818" i="2" s="1"/>
  <c r="D946" i="2"/>
  <c r="H946" i="2" s="1"/>
  <c r="D475" i="2"/>
  <c r="H475" i="2" s="1"/>
  <c r="D1011" i="2"/>
  <c r="H1011" i="2" s="1"/>
  <c r="I997" i="2"/>
  <c r="D127" i="2"/>
  <c r="H127" i="2" s="1"/>
  <c r="D295" i="2"/>
  <c r="H295" i="2" s="1"/>
  <c r="D461" i="2"/>
  <c r="H461" i="2" s="1"/>
  <c r="D556" i="2"/>
  <c r="H556" i="2" s="1"/>
  <c r="D620" i="2"/>
  <c r="H620" i="2" s="1"/>
  <c r="D684" i="2"/>
  <c r="H684" i="2" s="1"/>
  <c r="D748" i="2"/>
  <c r="H748" i="2" s="1"/>
  <c r="D812" i="2"/>
  <c r="H812" i="2" s="1"/>
  <c r="D876" i="2"/>
  <c r="H876" i="2" s="1"/>
  <c r="D940" i="2"/>
  <c r="H940" i="2" s="1"/>
  <c r="D1004" i="2"/>
  <c r="H1004" i="2" s="1"/>
  <c r="D85" i="2"/>
  <c r="H85" i="2" s="1"/>
  <c r="D429" i="2"/>
  <c r="H429" i="2" s="1"/>
  <c r="D623" i="2"/>
  <c r="H623" i="2" s="1"/>
  <c r="D811" i="2"/>
  <c r="H811" i="2" s="1"/>
  <c r="D1003" i="2"/>
  <c r="H1003" i="2" s="1"/>
  <c r="I516" i="2"/>
  <c r="I531" i="2"/>
  <c r="I668" i="2"/>
  <c r="I905" i="2"/>
  <c r="D28" i="2"/>
  <c r="H28" i="2" s="1"/>
  <c r="D284" i="2"/>
  <c r="H284" i="2" s="1"/>
  <c r="I227" i="2"/>
  <c r="I788" i="2"/>
  <c r="I916" i="2"/>
  <c r="D54" i="2"/>
  <c r="H54" i="2" s="1"/>
  <c r="D446" i="2"/>
  <c r="H446" i="2" s="1"/>
  <c r="D721" i="2"/>
  <c r="H721" i="2" s="1"/>
  <c r="D977" i="2"/>
  <c r="H977" i="2" s="1"/>
  <c r="D331" i="2"/>
  <c r="H331" i="2" s="1"/>
  <c r="D594" i="2"/>
  <c r="H594" i="2" s="1"/>
  <c r="D722" i="2"/>
  <c r="H722" i="2" s="1"/>
  <c r="I651" i="2"/>
  <c r="I777" i="2"/>
  <c r="D310" i="2"/>
  <c r="H310" i="2" s="1"/>
  <c r="D539" i="2"/>
  <c r="H539" i="2" s="1"/>
  <c r="D627" i="2"/>
  <c r="H627" i="2" s="1"/>
  <c r="D907" i="2"/>
  <c r="H907" i="2" s="1"/>
  <c r="D349" i="2"/>
  <c r="H349" i="2" s="1"/>
  <c r="D859" i="2"/>
  <c r="H859" i="2" s="1"/>
  <c r="D583" i="2"/>
  <c r="H583" i="2" s="1"/>
  <c r="D253" i="2"/>
  <c r="H253" i="2" s="1"/>
  <c r="D988" i="2"/>
  <c r="H988" i="2" s="1"/>
  <c r="D908" i="2"/>
  <c r="H908" i="2" s="1"/>
  <c r="D828" i="2"/>
  <c r="H828" i="2" s="1"/>
  <c r="D732" i="2"/>
  <c r="H732" i="2" s="1"/>
  <c r="D652" i="2"/>
  <c r="H652" i="2" s="1"/>
  <c r="D514" i="2"/>
  <c r="H514" i="2" s="1"/>
  <c r="D167" i="2"/>
  <c r="H167" i="2" s="1"/>
  <c r="D771" i="2"/>
  <c r="H771" i="2" s="1"/>
  <c r="D535" i="2"/>
  <c r="H535" i="2" s="1"/>
  <c r="D173" i="2"/>
  <c r="H173" i="2" s="1"/>
  <c r="I614" i="2"/>
  <c r="D972" i="2"/>
  <c r="H972" i="2" s="1"/>
  <c r="D892" i="2"/>
  <c r="H892" i="2" s="1"/>
  <c r="D796" i="2"/>
  <c r="H796" i="2" s="1"/>
  <c r="D716" i="2"/>
  <c r="H716" i="2" s="1"/>
  <c r="D636" i="2"/>
  <c r="H636" i="2" s="1"/>
  <c r="D487" i="2"/>
  <c r="H487" i="2" s="1"/>
  <c r="D978" i="2"/>
  <c r="H978" i="2" s="1"/>
  <c r="D959" i="2"/>
  <c r="H959" i="2" s="1"/>
  <c r="D719" i="2"/>
  <c r="H719" i="2" s="1"/>
  <c r="D486" i="2"/>
  <c r="H486" i="2" s="1"/>
  <c r="I373" i="2"/>
  <c r="D956" i="2"/>
  <c r="H956" i="2" s="1"/>
  <c r="D860" i="2"/>
  <c r="H860" i="2" s="1"/>
  <c r="D780" i="2"/>
  <c r="H780" i="2" s="1"/>
  <c r="D700" i="2"/>
  <c r="H700" i="2" s="1"/>
  <c r="D588" i="2"/>
  <c r="H588" i="2" s="1"/>
  <c r="D383" i="2"/>
  <c r="H383" i="2" s="1"/>
  <c r="D850" i="2"/>
  <c r="H850" i="2" s="1"/>
  <c r="D671" i="2"/>
  <c r="H671" i="2" s="1"/>
  <c r="I973" i="2"/>
  <c r="D1020" i="2"/>
  <c r="H1020" i="2" s="1"/>
  <c r="D924" i="2"/>
  <c r="H924" i="2" s="1"/>
  <c r="D844" i="2"/>
  <c r="H844" i="2" s="1"/>
  <c r="D764" i="2"/>
  <c r="H764" i="2" s="1"/>
  <c r="D668" i="2"/>
  <c r="H668" i="2" s="1"/>
  <c r="D572" i="2"/>
  <c r="H572" i="2" s="1"/>
  <c r="D343" i="2"/>
  <c r="H343" i="2" s="1"/>
  <c r="I382" i="2"/>
  <c r="I28" i="2"/>
  <c r="I36" i="2"/>
  <c r="I44" i="2"/>
  <c r="I52" i="2"/>
  <c r="I60" i="2"/>
  <c r="I68" i="2"/>
  <c r="I76" i="2"/>
  <c r="I84" i="2"/>
  <c r="I92" i="2"/>
  <c r="I100" i="2"/>
  <c r="I108" i="2"/>
  <c r="I116" i="2"/>
  <c r="I124" i="2"/>
  <c r="I132" i="2"/>
  <c r="I140" i="2"/>
  <c r="I148" i="2"/>
  <c r="I156" i="2"/>
  <c r="I163" i="2"/>
  <c r="I171" i="2"/>
  <c r="I179" i="2"/>
  <c r="I187" i="2"/>
  <c r="I268" i="2"/>
  <c r="I296" i="2"/>
  <c r="I304" i="2"/>
  <c r="I312" i="2"/>
  <c r="I320" i="2"/>
  <c r="I328" i="2"/>
  <c r="I336" i="2"/>
  <c r="I344" i="2"/>
  <c r="I352" i="2"/>
  <c r="I360" i="2"/>
  <c r="I368" i="2"/>
  <c r="I376" i="2"/>
  <c r="I107" i="2"/>
  <c r="I115" i="2"/>
  <c r="I162" i="2"/>
  <c r="I170" i="2"/>
  <c r="I178" i="2"/>
  <c r="I21" i="2"/>
  <c r="I29" i="2"/>
  <c r="I37" i="2"/>
  <c r="I45" i="2"/>
  <c r="I53" i="2"/>
  <c r="I61" i="2"/>
  <c r="I69" i="2"/>
  <c r="I77" i="2"/>
  <c r="I85" i="2"/>
  <c r="I93" i="2"/>
  <c r="I101" i="2"/>
  <c r="I110" i="2"/>
  <c r="I117" i="2"/>
  <c r="I125" i="2"/>
  <c r="I133" i="2"/>
  <c r="I141" i="2"/>
  <c r="I149" i="2"/>
  <c r="I157" i="2"/>
  <c r="I186" i="2"/>
  <c r="I201" i="2"/>
  <c r="I212" i="2"/>
  <c r="I223" i="2"/>
  <c r="I244" i="2"/>
  <c r="I255" i="2"/>
  <c r="I313" i="2"/>
  <c r="I345" i="2"/>
  <c r="I22" i="2"/>
  <c r="I30" i="2"/>
  <c r="I38" i="2"/>
  <c r="I46" i="2"/>
  <c r="I54" i="2"/>
  <c r="I62" i="2"/>
  <c r="I70" i="2"/>
  <c r="I78" i="2"/>
  <c r="I86" i="2"/>
  <c r="I94" i="2"/>
  <c r="I102" i="2"/>
  <c r="I118" i="2"/>
  <c r="I126" i="2"/>
  <c r="I134" i="2"/>
  <c r="I142" i="2"/>
  <c r="I150" i="2"/>
  <c r="I158" i="2"/>
  <c r="I290" i="2"/>
  <c r="I298" i="2"/>
  <c r="I306" i="2"/>
  <c r="I314" i="2"/>
  <c r="I322" i="2"/>
  <c r="I330" i="2"/>
  <c r="I338" i="2"/>
  <c r="I346" i="2"/>
  <c r="I354" i="2"/>
  <c r="I362" i="2"/>
  <c r="I370" i="2"/>
  <c r="I23" i="2"/>
  <c r="I31" i="2"/>
  <c r="I39" i="2"/>
  <c r="I47" i="2"/>
  <c r="I55" i="2"/>
  <c r="I63" i="2"/>
  <c r="I71" i="2"/>
  <c r="I79" i="2"/>
  <c r="I87" i="2"/>
  <c r="I95" i="2"/>
  <c r="I103" i="2"/>
  <c r="I119" i="2"/>
  <c r="I127" i="2"/>
  <c r="I135" i="2"/>
  <c r="I143" i="2"/>
  <c r="I151" i="2"/>
  <c r="I159" i="2"/>
  <c r="I167" i="2"/>
  <c r="I175" i="2"/>
  <c r="I183" i="2"/>
  <c r="I26" i="2"/>
  <c r="I34" i="2"/>
  <c r="I42" i="2"/>
  <c r="I50" i="2"/>
  <c r="I58" i="2"/>
  <c r="I66" i="2"/>
  <c r="I74" i="2"/>
  <c r="I82" i="2"/>
  <c r="I90" i="2"/>
  <c r="I98" i="2"/>
  <c r="I122" i="2"/>
  <c r="I130" i="2"/>
  <c r="I138" i="2"/>
  <c r="I146" i="2"/>
  <c r="I154" i="2"/>
  <c r="I286" i="2"/>
  <c r="I294" i="2"/>
  <c r="I302" i="2"/>
  <c r="I310" i="2"/>
  <c r="I318" i="2"/>
  <c r="I326" i="2"/>
  <c r="I334" i="2"/>
  <c r="I342" i="2"/>
  <c r="I350" i="2"/>
  <c r="I358" i="2"/>
  <c r="I366" i="2"/>
  <c r="I374" i="2"/>
  <c r="J374" i="2" s="1"/>
  <c r="I27" i="2"/>
  <c r="I35" i="2"/>
  <c r="I43" i="2"/>
  <c r="I51" i="2"/>
  <c r="I59" i="2"/>
  <c r="I67" i="2"/>
  <c r="I75" i="2"/>
  <c r="I83" i="2"/>
  <c r="I91" i="2"/>
  <c r="I99" i="2"/>
  <c r="I123" i="2"/>
  <c r="I131" i="2"/>
  <c r="I139" i="2"/>
  <c r="I147" i="2"/>
  <c r="I155" i="2"/>
  <c r="I164" i="2"/>
  <c r="I172" i="2"/>
  <c r="I180" i="2"/>
  <c r="I188" i="2"/>
  <c r="I113" i="2"/>
  <c r="I197" i="2"/>
  <c r="I220" i="2"/>
  <c r="I231" i="2"/>
  <c r="I252" i="2"/>
  <c r="I263" i="2"/>
  <c r="I273" i="2"/>
  <c r="I281" i="2"/>
  <c r="I321" i="2"/>
  <c r="I353" i="2"/>
  <c r="I383" i="2"/>
  <c r="I391" i="2"/>
  <c r="I399" i="2"/>
  <c r="I407" i="2"/>
  <c r="I415" i="2"/>
  <c r="I423" i="2"/>
  <c r="I431" i="2"/>
  <c r="I439" i="2"/>
  <c r="I447" i="2"/>
  <c r="I40" i="2"/>
  <c r="I72" i="2"/>
  <c r="I104" i="2"/>
  <c r="I136" i="2"/>
  <c r="I168" i="2"/>
  <c r="I308" i="2"/>
  <c r="I340" i="2"/>
  <c r="I372" i="2"/>
  <c r="I165" i="2"/>
  <c r="I33" i="2"/>
  <c r="I65" i="2"/>
  <c r="I97" i="2"/>
  <c r="I129" i="2"/>
  <c r="I189" i="2"/>
  <c r="I215" i="2"/>
  <c r="I236" i="2"/>
  <c r="I277" i="2"/>
  <c r="I337" i="2"/>
  <c r="I369" i="2"/>
  <c r="I381" i="2"/>
  <c r="I393" i="2"/>
  <c r="I403" i="2"/>
  <c r="I413" i="2"/>
  <c r="I425" i="2"/>
  <c r="I435" i="2"/>
  <c r="I445" i="2"/>
  <c r="I573" i="2"/>
  <c r="I174" i="2"/>
  <c r="I194" i="2"/>
  <c r="I218" i="2"/>
  <c r="I229" i="2"/>
  <c r="I250" i="2"/>
  <c r="I261" i="2"/>
  <c r="I311" i="2"/>
  <c r="I343" i="2"/>
  <c r="I375" i="2"/>
  <c r="I456" i="2"/>
  <c r="I464" i="2"/>
  <c r="I472" i="2"/>
  <c r="I480" i="2"/>
  <c r="I488" i="2"/>
  <c r="I496" i="2"/>
  <c r="I504" i="2"/>
  <c r="I512" i="2"/>
  <c r="I520" i="2"/>
  <c r="I528" i="2"/>
  <c r="I536" i="2"/>
  <c r="I544" i="2"/>
  <c r="I552" i="2"/>
  <c r="I559" i="2"/>
  <c r="I567" i="2"/>
  <c r="I575" i="2"/>
  <c r="I583" i="2"/>
  <c r="I591" i="2"/>
  <c r="I599" i="2"/>
  <c r="I607" i="2"/>
  <c r="I615" i="2"/>
  <c r="I631" i="2"/>
  <c r="I639" i="2"/>
  <c r="I647" i="2"/>
  <c r="I655" i="2"/>
  <c r="I663" i="2"/>
  <c r="I671" i="2"/>
  <c r="I679" i="2"/>
  <c r="I687" i="2"/>
  <c r="I695" i="2"/>
  <c r="I703" i="2"/>
  <c r="I711" i="2"/>
  <c r="I719" i="2"/>
  <c r="I727" i="2"/>
  <c r="I735" i="2"/>
  <c r="I743" i="2"/>
  <c r="I751" i="2"/>
  <c r="I759" i="2"/>
  <c r="I214" i="2"/>
  <c r="I225" i="2"/>
  <c r="I246" i="2"/>
  <c r="I257" i="2"/>
  <c r="I289" i="2"/>
  <c r="I299" i="2"/>
  <c r="I331" i="2"/>
  <c r="I363" i="2"/>
  <c r="I455" i="2"/>
  <c r="I463" i="2"/>
  <c r="I471" i="2"/>
  <c r="I479" i="2"/>
  <c r="I487" i="2"/>
  <c r="I495" i="2"/>
  <c r="I503" i="2"/>
  <c r="I511" i="2"/>
  <c r="I519" i="2"/>
  <c r="I527" i="2"/>
  <c r="I535" i="2"/>
  <c r="I543" i="2"/>
  <c r="I551" i="2"/>
  <c r="I560" i="2"/>
  <c r="I568" i="2"/>
  <c r="I576" i="2"/>
  <c r="I584" i="2"/>
  <c r="I592" i="2"/>
  <c r="I600" i="2"/>
  <c r="I608" i="2"/>
  <c r="I616" i="2"/>
  <c r="I632" i="2"/>
  <c r="I640" i="2"/>
  <c r="I648" i="2"/>
  <c r="I656" i="2"/>
  <c r="I664" i="2"/>
  <c r="I672" i="2"/>
  <c r="I680" i="2"/>
  <c r="I688" i="2"/>
  <c r="I696" i="2"/>
  <c r="I704" i="2"/>
  <c r="I712" i="2"/>
  <c r="I720" i="2"/>
  <c r="I728" i="2"/>
  <c r="I736" i="2"/>
  <c r="I744" i="2"/>
  <c r="I752" i="2"/>
  <c r="I760" i="2"/>
  <c r="I264" i="2"/>
  <c r="I301" i="2"/>
  <c r="I384" i="2"/>
  <c r="I416" i="2"/>
  <c r="I448" i="2"/>
  <c r="I577" i="2"/>
  <c r="I609" i="2"/>
  <c r="I630" i="2"/>
  <c r="I765" i="2"/>
  <c r="I773" i="2"/>
  <c r="I781" i="2"/>
  <c r="I789" i="2"/>
  <c r="I797" i="2"/>
  <c r="I805" i="2"/>
  <c r="I813" i="2"/>
  <c r="I821" i="2"/>
  <c r="I829" i="2"/>
  <c r="I837" i="2"/>
  <c r="I845" i="2"/>
  <c r="I853" i="2"/>
  <c r="I861" i="2"/>
  <c r="I869" i="2"/>
  <c r="I877" i="2"/>
  <c r="I885" i="2"/>
  <c r="I893" i="2"/>
  <c r="I901" i="2"/>
  <c r="I909" i="2"/>
  <c r="I917" i="2"/>
  <c r="I925" i="2"/>
  <c r="I933" i="2"/>
  <c r="I972" i="2"/>
  <c r="I980" i="2"/>
  <c r="I988" i="2"/>
  <c r="I996" i="2"/>
  <c r="I1004" i="2"/>
  <c r="I1012" i="2"/>
  <c r="I1020" i="2"/>
  <c r="D36" i="2"/>
  <c r="H36" i="2" s="1"/>
  <c r="D52" i="2"/>
  <c r="H52" i="2" s="1"/>
  <c r="D68" i="2"/>
  <c r="H68" i="2" s="1"/>
  <c r="D84" i="2"/>
  <c r="H84" i="2" s="1"/>
  <c r="D100" i="2"/>
  <c r="H100" i="2" s="1"/>
  <c r="D116" i="2"/>
  <c r="H116" i="2" s="1"/>
  <c r="D132" i="2"/>
  <c r="H132" i="2" s="1"/>
  <c r="D148" i="2"/>
  <c r="H148" i="2" s="1"/>
  <c r="D164" i="2"/>
  <c r="H164" i="2" s="1"/>
  <c r="D180" i="2"/>
  <c r="H180" i="2" s="1"/>
  <c r="D196" i="2"/>
  <c r="H196" i="2" s="1"/>
  <c r="D212" i="2"/>
  <c r="H212" i="2" s="1"/>
  <c r="D228" i="2"/>
  <c r="H228" i="2" s="1"/>
  <c r="D244" i="2"/>
  <c r="H244" i="2" s="1"/>
  <c r="D260" i="2"/>
  <c r="H260" i="2" s="1"/>
  <c r="D276" i="2"/>
  <c r="H276" i="2" s="1"/>
  <c r="D292" i="2"/>
  <c r="H292" i="2" s="1"/>
  <c r="D308" i="2"/>
  <c r="H308" i="2" s="1"/>
  <c r="D324" i="2"/>
  <c r="H324" i="2" s="1"/>
  <c r="D340" i="2"/>
  <c r="H340" i="2" s="1"/>
  <c r="D356" i="2"/>
  <c r="H356" i="2" s="1"/>
  <c r="D372" i="2"/>
  <c r="H372" i="2" s="1"/>
  <c r="D388" i="2"/>
  <c r="H388" i="2" s="1"/>
  <c r="D404" i="2"/>
  <c r="H404" i="2" s="1"/>
  <c r="D420" i="2"/>
  <c r="H420" i="2" s="1"/>
  <c r="D436" i="2"/>
  <c r="H436" i="2" s="1"/>
  <c r="D452" i="2"/>
  <c r="H452" i="2" s="1"/>
  <c r="D468" i="2"/>
  <c r="H468" i="2" s="1"/>
  <c r="D484" i="2"/>
  <c r="H484" i="2" s="1"/>
  <c r="D500" i="2"/>
  <c r="H500" i="2" s="1"/>
  <c r="D516" i="2"/>
  <c r="H516" i="2" s="1"/>
  <c r="I235" i="2"/>
  <c r="I279" i="2"/>
  <c r="I357" i="2"/>
  <c r="I394" i="2"/>
  <c r="I426" i="2"/>
  <c r="I585" i="2"/>
  <c r="I617" i="2"/>
  <c r="I944" i="2"/>
  <c r="I952" i="2"/>
  <c r="I960" i="2"/>
  <c r="I968" i="2"/>
  <c r="I248" i="2"/>
  <c r="I317" i="2"/>
  <c r="I396" i="2"/>
  <c r="I428" i="2"/>
  <c r="I768" i="2"/>
  <c r="I776" i="2"/>
  <c r="I784" i="2"/>
  <c r="I792" i="2"/>
  <c r="I800" i="2"/>
  <c r="I808" i="2"/>
  <c r="I816" i="2"/>
  <c r="I824" i="2"/>
  <c r="I832" i="2"/>
  <c r="I840" i="2"/>
  <c r="I848" i="2"/>
  <c r="I856" i="2"/>
  <c r="I864" i="2"/>
  <c r="I872" i="2"/>
  <c r="I880" i="2"/>
  <c r="I888" i="2"/>
  <c r="I896" i="2"/>
  <c r="I904" i="2"/>
  <c r="I912" i="2"/>
  <c r="I920" i="2"/>
  <c r="I928" i="2"/>
  <c r="I936" i="2"/>
  <c r="D30" i="2"/>
  <c r="H30" i="2" s="1"/>
  <c r="D46" i="2"/>
  <c r="H46" i="2" s="1"/>
  <c r="D62" i="2"/>
  <c r="H62" i="2" s="1"/>
  <c r="D78" i="2"/>
  <c r="H78" i="2" s="1"/>
  <c r="D94" i="2"/>
  <c r="H94" i="2" s="1"/>
  <c r="D110" i="2"/>
  <c r="H110" i="2" s="1"/>
  <c r="D126" i="2"/>
  <c r="H126" i="2" s="1"/>
  <c r="D142" i="2"/>
  <c r="H142" i="2" s="1"/>
  <c r="D158" i="2"/>
  <c r="H158" i="2" s="1"/>
  <c r="D174" i="2"/>
  <c r="H174" i="2" s="1"/>
  <c r="D190" i="2"/>
  <c r="H190" i="2" s="1"/>
  <c r="D206" i="2"/>
  <c r="H206" i="2" s="1"/>
  <c r="D222" i="2"/>
  <c r="H222" i="2" s="1"/>
  <c r="D238" i="2"/>
  <c r="H238" i="2" s="1"/>
  <c r="D254" i="2"/>
  <c r="H254" i="2" s="1"/>
  <c r="D270" i="2"/>
  <c r="H270" i="2" s="1"/>
  <c r="D286" i="2"/>
  <c r="H286" i="2" s="1"/>
  <c r="D302" i="2"/>
  <c r="H302" i="2" s="1"/>
  <c r="D318" i="2"/>
  <c r="H318" i="2" s="1"/>
  <c r="D334" i="2"/>
  <c r="H334" i="2" s="1"/>
  <c r="D350" i="2"/>
  <c r="H350" i="2" s="1"/>
  <c r="D366" i="2"/>
  <c r="H366" i="2" s="1"/>
  <c r="D382" i="2"/>
  <c r="H382" i="2" s="1"/>
  <c r="D398" i="2"/>
  <c r="H398" i="2" s="1"/>
  <c r="D414" i="2"/>
  <c r="H414" i="2" s="1"/>
  <c r="D430" i="2"/>
  <c r="H430" i="2" s="1"/>
  <c r="I195" i="2"/>
  <c r="I601" i="2"/>
  <c r="I938" i="2"/>
  <c r="I970" i="2"/>
  <c r="I995" i="2"/>
  <c r="I1011" i="2"/>
  <c r="I1026" i="2"/>
  <c r="D49" i="2"/>
  <c r="H49" i="2" s="1"/>
  <c r="D81" i="2"/>
  <c r="H81" i="2" s="1"/>
  <c r="D113" i="2"/>
  <c r="H113" i="2" s="1"/>
  <c r="D145" i="2"/>
  <c r="H145" i="2" s="1"/>
  <c r="D177" i="2"/>
  <c r="H177" i="2" s="1"/>
  <c r="D209" i="2"/>
  <c r="H209" i="2" s="1"/>
  <c r="D241" i="2"/>
  <c r="H241" i="2" s="1"/>
  <c r="D273" i="2"/>
  <c r="H273" i="2" s="1"/>
  <c r="D305" i="2"/>
  <c r="H305" i="2" s="1"/>
  <c r="D337" i="2"/>
  <c r="H337" i="2" s="1"/>
  <c r="D369" i="2"/>
  <c r="H369" i="2" s="1"/>
  <c r="D401" i="2"/>
  <c r="H401" i="2" s="1"/>
  <c r="D433" i="2"/>
  <c r="H433" i="2" s="1"/>
  <c r="D457" i="2"/>
  <c r="H457" i="2" s="1"/>
  <c r="D478" i="2"/>
  <c r="H478" i="2" s="1"/>
  <c r="D499" i="2"/>
  <c r="H499" i="2" s="1"/>
  <c r="D521" i="2"/>
  <c r="H521" i="2" s="1"/>
  <c r="D537" i="2"/>
  <c r="H537" i="2" s="1"/>
  <c r="D553" i="2"/>
  <c r="H553" i="2" s="1"/>
  <c r="D569" i="2"/>
  <c r="H569" i="2" s="1"/>
  <c r="D585" i="2"/>
  <c r="H585" i="2" s="1"/>
  <c r="D601" i="2"/>
  <c r="H601" i="2" s="1"/>
  <c r="D617" i="2"/>
  <c r="H617" i="2" s="1"/>
  <c r="D633" i="2"/>
  <c r="H633" i="2" s="1"/>
  <c r="D649" i="2"/>
  <c r="H649" i="2" s="1"/>
  <c r="D665" i="2"/>
  <c r="H665" i="2" s="1"/>
  <c r="D681" i="2"/>
  <c r="H681" i="2" s="1"/>
  <c r="D697" i="2"/>
  <c r="H697" i="2" s="1"/>
  <c r="D713" i="2"/>
  <c r="H713" i="2" s="1"/>
  <c r="D729" i="2"/>
  <c r="H729" i="2" s="1"/>
  <c r="D745" i="2"/>
  <c r="H745" i="2" s="1"/>
  <c r="D761" i="2"/>
  <c r="H761" i="2" s="1"/>
  <c r="D777" i="2"/>
  <c r="H777" i="2" s="1"/>
  <c r="D793" i="2"/>
  <c r="H793" i="2" s="1"/>
  <c r="D809" i="2"/>
  <c r="H809" i="2" s="1"/>
  <c r="D825" i="2"/>
  <c r="H825" i="2" s="1"/>
  <c r="D841" i="2"/>
  <c r="H841" i="2" s="1"/>
  <c r="D857" i="2"/>
  <c r="H857" i="2" s="1"/>
  <c r="D873" i="2"/>
  <c r="H873" i="2" s="1"/>
  <c r="D889" i="2"/>
  <c r="H889" i="2" s="1"/>
  <c r="D905" i="2"/>
  <c r="H905" i="2" s="1"/>
  <c r="D921" i="2"/>
  <c r="H921" i="2" s="1"/>
  <c r="D937" i="2"/>
  <c r="H937" i="2" s="1"/>
  <c r="D953" i="2"/>
  <c r="H953" i="2" s="1"/>
  <c r="D969" i="2"/>
  <c r="H969" i="2" s="1"/>
  <c r="D985" i="2"/>
  <c r="H985" i="2" s="1"/>
  <c r="D1001" i="2"/>
  <c r="H1001" i="2" s="1"/>
  <c r="D1017" i="2"/>
  <c r="H1017" i="2" s="1"/>
  <c r="D1002" i="2"/>
  <c r="H1002" i="2" s="1"/>
  <c r="D1026" i="2"/>
  <c r="H1026" i="2" s="1"/>
  <c r="I406" i="2"/>
  <c r="I1007" i="2"/>
  <c r="D77" i="2"/>
  <c r="H77" i="2" s="1"/>
  <c r="D165" i="2"/>
  <c r="H165" i="2" s="1"/>
  <c r="D245" i="2"/>
  <c r="H245" i="2" s="1"/>
  <c r="D325" i="2"/>
  <c r="H325" i="2" s="1"/>
  <c r="D397" i="2"/>
  <c r="H397" i="2" s="1"/>
  <c r="D465" i="2"/>
  <c r="H465" i="2" s="1"/>
  <c r="D518" i="2"/>
  <c r="H518" i="2" s="1"/>
  <c r="D559" i="2"/>
  <c r="H559" i="2" s="1"/>
  <c r="D599" i="2"/>
  <c r="H599" i="2" s="1"/>
  <c r="D635" i="2"/>
  <c r="H635" i="2" s="1"/>
  <c r="D675" i="2"/>
  <c r="H675" i="2" s="1"/>
  <c r="D715" i="2"/>
  <c r="H715" i="2" s="1"/>
  <c r="D759" i="2"/>
  <c r="H759" i="2" s="1"/>
  <c r="D795" i="2"/>
  <c r="H795" i="2" s="1"/>
  <c r="D835" i="2"/>
  <c r="H835" i="2" s="1"/>
  <c r="D875" i="2"/>
  <c r="H875" i="2" s="1"/>
  <c r="D915" i="2"/>
  <c r="H915" i="2" s="1"/>
  <c r="D951" i="2"/>
  <c r="H951" i="2" s="1"/>
  <c r="D987" i="2"/>
  <c r="H987" i="2" s="1"/>
  <c r="D1023" i="2"/>
  <c r="H1023" i="2" s="1"/>
  <c r="I940" i="2"/>
  <c r="I977" i="2"/>
  <c r="D27" i="2"/>
  <c r="H27" i="2" s="1"/>
  <c r="D59" i="2"/>
  <c r="H59" i="2" s="1"/>
  <c r="D91" i="2"/>
  <c r="H91" i="2" s="1"/>
  <c r="D123" i="2"/>
  <c r="H123" i="2" s="1"/>
  <c r="D155" i="2"/>
  <c r="H155" i="2" s="1"/>
  <c r="D187" i="2"/>
  <c r="H187" i="2" s="1"/>
  <c r="D219" i="2"/>
  <c r="H219" i="2" s="1"/>
  <c r="D251" i="2"/>
  <c r="H251" i="2" s="1"/>
  <c r="D283" i="2"/>
  <c r="H283" i="2" s="1"/>
  <c r="D315" i="2"/>
  <c r="H315" i="2" s="1"/>
  <c r="D347" i="2"/>
  <c r="H347" i="2" s="1"/>
  <c r="D379" i="2"/>
  <c r="H379" i="2" s="1"/>
  <c r="D411" i="2"/>
  <c r="H411" i="2" s="1"/>
  <c r="D442" i="2"/>
  <c r="H442" i="2" s="1"/>
  <c r="D463" i="2"/>
  <c r="H463" i="2" s="1"/>
  <c r="D485" i="2"/>
  <c r="H485" i="2" s="1"/>
  <c r="D506" i="2"/>
  <c r="H506" i="2" s="1"/>
  <c r="D526" i="2"/>
  <c r="H526" i="2" s="1"/>
  <c r="D542" i="2"/>
  <c r="H542" i="2" s="1"/>
  <c r="D558" i="2"/>
  <c r="H558" i="2" s="1"/>
  <c r="D574" i="2"/>
  <c r="H574" i="2" s="1"/>
  <c r="D590" i="2"/>
  <c r="H590" i="2" s="1"/>
  <c r="D606" i="2"/>
  <c r="H606" i="2" s="1"/>
  <c r="D622" i="2"/>
  <c r="H622" i="2" s="1"/>
  <c r="D638" i="2"/>
  <c r="H638" i="2" s="1"/>
  <c r="D654" i="2"/>
  <c r="H654" i="2" s="1"/>
  <c r="D670" i="2"/>
  <c r="H670" i="2" s="1"/>
  <c r="D686" i="2"/>
  <c r="H686" i="2" s="1"/>
  <c r="D702" i="2"/>
  <c r="H702" i="2" s="1"/>
  <c r="D718" i="2"/>
  <c r="H718" i="2" s="1"/>
  <c r="D734" i="2"/>
  <c r="H734" i="2" s="1"/>
  <c r="D750" i="2"/>
  <c r="H750" i="2" s="1"/>
  <c r="D766" i="2"/>
  <c r="H766" i="2" s="1"/>
  <c r="D782" i="2"/>
  <c r="H782" i="2" s="1"/>
  <c r="D798" i="2"/>
  <c r="H798" i="2" s="1"/>
  <c r="D814" i="2"/>
  <c r="H814" i="2" s="1"/>
  <c r="D830" i="2"/>
  <c r="H830" i="2" s="1"/>
  <c r="D846" i="2"/>
  <c r="H846" i="2" s="1"/>
  <c r="D862" i="2"/>
  <c r="H862" i="2" s="1"/>
  <c r="D878" i="2"/>
  <c r="H878" i="2" s="1"/>
  <c r="D894" i="2"/>
  <c r="H894" i="2" s="1"/>
  <c r="D910" i="2"/>
  <c r="H910" i="2" s="1"/>
  <c r="D926" i="2"/>
  <c r="H926" i="2" s="1"/>
  <c r="D942" i="2"/>
  <c r="H942" i="2" s="1"/>
  <c r="D958" i="2"/>
  <c r="H958" i="2" s="1"/>
  <c r="D974" i="2"/>
  <c r="H974" i="2" s="1"/>
  <c r="D990" i="2"/>
  <c r="H990" i="2" s="1"/>
  <c r="D37" i="2"/>
  <c r="H37" i="2" s="1"/>
  <c r="D157" i="2"/>
  <c r="H157" i="2" s="1"/>
  <c r="D309" i="2"/>
  <c r="H309" i="2" s="1"/>
  <c r="D449" i="2"/>
  <c r="H449" i="2" s="1"/>
  <c r="D547" i="2"/>
  <c r="H547" i="2" s="1"/>
  <c r="D607" i="2"/>
  <c r="H607" i="2" s="1"/>
  <c r="D679" i="2"/>
  <c r="H679" i="2" s="1"/>
  <c r="D739" i="2"/>
  <c r="H739" i="2" s="1"/>
  <c r="D799" i="2"/>
  <c r="H799" i="2" s="1"/>
  <c r="D863" i="2"/>
  <c r="H863" i="2" s="1"/>
  <c r="D927" i="2"/>
  <c r="H927" i="2" s="1"/>
  <c r="D995" i="2"/>
  <c r="H995" i="2" s="1"/>
  <c r="I181" i="2"/>
  <c r="I341" i="2"/>
  <c r="I48" i="2"/>
  <c r="I80" i="2"/>
  <c r="I112" i="2"/>
  <c r="I144" i="2"/>
  <c r="I176" i="2"/>
  <c r="I316" i="2"/>
  <c r="I348" i="2"/>
  <c r="I111" i="2"/>
  <c r="I173" i="2"/>
  <c r="I41" i="2"/>
  <c r="I73" i="2"/>
  <c r="I106" i="2"/>
  <c r="I137" i="2"/>
  <c r="I193" i="2"/>
  <c r="I239" i="2"/>
  <c r="I260" i="2"/>
  <c r="I297" i="2"/>
  <c r="I385" i="2"/>
  <c r="I395" i="2"/>
  <c r="I405" i="2"/>
  <c r="I417" i="2"/>
  <c r="I427" i="2"/>
  <c r="I437" i="2"/>
  <c r="I565" i="2"/>
  <c r="I578" i="2"/>
  <c r="I586" i="2"/>
  <c r="I594" i="2"/>
  <c r="I602" i="2"/>
  <c r="I610" i="2"/>
  <c r="I618" i="2"/>
  <c r="I198" i="2"/>
  <c r="I210" i="2"/>
  <c r="I221" i="2"/>
  <c r="I242" i="2"/>
  <c r="I253" i="2"/>
  <c r="I272" i="2"/>
  <c r="I280" i="2"/>
  <c r="I303" i="2"/>
  <c r="I335" i="2"/>
  <c r="I367" i="2"/>
  <c r="I449" i="2"/>
  <c r="I458" i="2"/>
  <c r="I466" i="2"/>
  <c r="I474" i="2"/>
  <c r="I482" i="2"/>
  <c r="I490" i="2"/>
  <c r="I498" i="2"/>
  <c r="I506" i="2"/>
  <c r="I514" i="2"/>
  <c r="I522" i="2"/>
  <c r="I530" i="2"/>
  <c r="I538" i="2"/>
  <c r="I546" i="2"/>
  <c r="I554" i="2"/>
  <c r="I633" i="2"/>
  <c r="I641" i="2"/>
  <c r="I649" i="2"/>
  <c r="I657" i="2"/>
  <c r="I665" i="2"/>
  <c r="I673" i="2"/>
  <c r="I681" i="2"/>
  <c r="I689" i="2"/>
  <c r="I697" i="2"/>
  <c r="I705" i="2"/>
  <c r="I713" i="2"/>
  <c r="I721" i="2"/>
  <c r="I729" i="2"/>
  <c r="I737" i="2"/>
  <c r="I745" i="2"/>
  <c r="I753" i="2"/>
  <c r="I761" i="2"/>
  <c r="I177" i="2"/>
  <c r="I192" i="2"/>
  <c r="I206" i="2"/>
  <c r="I217" i="2"/>
  <c r="I238" i="2"/>
  <c r="I249" i="2"/>
  <c r="I274" i="2"/>
  <c r="I282" i="2"/>
  <c r="I291" i="2"/>
  <c r="I323" i="2"/>
  <c r="I355" i="2"/>
  <c r="I450" i="2"/>
  <c r="I457" i="2"/>
  <c r="I465" i="2"/>
  <c r="I473" i="2"/>
  <c r="I481" i="2"/>
  <c r="I489" i="2"/>
  <c r="I497" i="2"/>
  <c r="I505" i="2"/>
  <c r="I513" i="2"/>
  <c r="I521" i="2"/>
  <c r="I529" i="2"/>
  <c r="I537" i="2"/>
  <c r="I545" i="2"/>
  <c r="I553" i="2"/>
  <c r="I634" i="2"/>
  <c r="I642" i="2"/>
  <c r="I650" i="2"/>
  <c r="I658" i="2"/>
  <c r="I666" i="2"/>
  <c r="I674" i="2"/>
  <c r="I682" i="2"/>
  <c r="I690" i="2"/>
  <c r="I698" i="2"/>
  <c r="I706" i="2"/>
  <c r="I714" i="2"/>
  <c r="I722" i="2"/>
  <c r="I730" i="2"/>
  <c r="I738" i="2"/>
  <c r="I746" i="2"/>
  <c r="I754" i="2"/>
  <c r="I232" i="2"/>
  <c r="I392" i="2"/>
  <c r="I424" i="2"/>
  <c r="I767" i="2"/>
  <c r="I775" i="2"/>
  <c r="I783" i="2"/>
  <c r="I791" i="2"/>
  <c r="I799" i="2"/>
  <c r="I807" i="2"/>
  <c r="I815" i="2"/>
  <c r="I823" i="2"/>
  <c r="I831" i="2"/>
  <c r="I839" i="2"/>
  <c r="I847" i="2"/>
  <c r="I855" i="2"/>
  <c r="I863" i="2"/>
  <c r="I871" i="2"/>
  <c r="I879" i="2"/>
  <c r="I887" i="2"/>
  <c r="I895" i="2"/>
  <c r="I903" i="2"/>
  <c r="I911" i="2"/>
  <c r="I919" i="2"/>
  <c r="I927" i="2"/>
  <c r="I935" i="2"/>
  <c r="D24" i="2"/>
  <c r="H24" i="2" s="1"/>
  <c r="D40" i="2"/>
  <c r="H40" i="2" s="1"/>
  <c r="D56" i="2"/>
  <c r="H56" i="2" s="1"/>
  <c r="D72" i="2"/>
  <c r="H72" i="2" s="1"/>
  <c r="D88" i="2"/>
  <c r="H88" i="2" s="1"/>
  <c r="D104" i="2"/>
  <c r="H104" i="2" s="1"/>
  <c r="D120" i="2"/>
  <c r="H120" i="2" s="1"/>
  <c r="D136" i="2"/>
  <c r="H136" i="2" s="1"/>
  <c r="D152" i="2"/>
  <c r="H152" i="2" s="1"/>
  <c r="D168" i="2"/>
  <c r="H168" i="2" s="1"/>
  <c r="D184" i="2"/>
  <c r="H184" i="2" s="1"/>
  <c r="D200" i="2"/>
  <c r="H200" i="2" s="1"/>
  <c r="D216" i="2"/>
  <c r="H216" i="2" s="1"/>
  <c r="D232" i="2"/>
  <c r="H232" i="2" s="1"/>
  <c r="D248" i="2"/>
  <c r="H248" i="2" s="1"/>
  <c r="D264" i="2"/>
  <c r="H264" i="2" s="1"/>
  <c r="D280" i="2"/>
  <c r="H280" i="2" s="1"/>
  <c r="D296" i="2"/>
  <c r="H296" i="2" s="1"/>
  <c r="D312" i="2"/>
  <c r="H312" i="2" s="1"/>
  <c r="D328" i="2"/>
  <c r="H328" i="2" s="1"/>
  <c r="D344" i="2"/>
  <c r="H344" i="2" s="1"/>
  <c r="D360" i="2"/>
  <c r="H360" i="2" s="1"/>
  <c r="D376" i="2"/>
  <c r="H376" i="2" s="1"/>
  <c r="D392" i="2"/>
  <c r="H392" i="2" s="1"/>
  <c r="D408" i="2"/>
  <c r="H408" i="2" s="1"/>
  <c r="D424" i="2"/>
  <c r="H424" i="2" s="1"/>
  <c r="D440" i="2"/>
  <c r="H440" i="2" s="1"/>
  <c r="D456" i="2"/>
  <c r="H456" i="2" s="1"/>
  <c r="D472" i="2"/>
  <c r="H472" i="2" s="1"/>
  <c r="D488" i="2"/>
  <c r="H488" i="2" s="1"/>
  <c r="D504" i="2"/>
  <c r="H504" i="2" s="1"/>
  <c r="D520" i="2"/>
  <c r="H520" i="2" s="1"/>
  <c r="I203" i="2"/>
  <c r="I285" i="2"/>
  <c r="I325" i="2"/>
  <c r="I402" i="2"/>
  <c r="I434" i="2"/>
  <c r="I623" i="2"/>
  <c r="I939" i="2"/>
  <c r="I947" i="2"/>
  <c r="I955" i="2"/>
  <c r="I963" i="2"/>
  <c r="I971" i="2"/>
  <c r="I979" i="2"/>
  <c r="I987" i="2"/>
  <c r="I216" i="2"/>
  <c r="I259" i="2"/>
  <c r="I404" i="2"/>
  <c r="I436" i="2"/>
  <c r="I561" i="2"/>
  <c r="I593" i="2"/>
  <c r="I624" i="2"/>
  <c r="I762" i="2"/>
  <c r="I770" i="2"/>
  <c r="I778" i="2"/>
  <c r="I786" i="2"/>
  <c r="I794" i="2"/>
  <c r="I802" i="2"/>
  <c r="I810" i="2"/>
  <c r="I818" i="2"/>
  <c r="I826" i="2"/>
  <c r="I834" i="2"/>
  <c r="I842" i="2"/>
  <c r="I850" i="2"/>
  <c r="I858" i="2"/>
  <c r="I866" i="2"/>
  <c r="I874" i="2"/>
  <c r="I882" i="2"/>
  <c r="I890" i="2"/>
  <c r="I898" i="2"/>
  <c r="I906" i="2"/>
  <c r="I914" i="2"/>
  <c r="I922" i="2"/>
  <c r="I930" i="2"/>
  <c r="I978" i="2"/>
  <c r="I986" i="2"/>
  <c r="I994" i="2"/>
  <c r="I1002" i="2"/>
  <c r="I1010" i="2"/>
  <c r="I1018" i="2"/>
  <c r="D34" i="2"/>
  <c r="H34" i="2" s="1"/>
  <c r="D50" i="2"/>
  <c r="H50" i="2" s="1"/>
  <c r="D66" i="2"/>
  <c r="H66" i="2" s="1"/>
  <c r="D82" i="2"/>
  <c r="H82" i="2" s="1"/>
  <c r="D98" i="2"/>
  <c r="H98" i="2" s="1"/>
  <c r="D114" i="2"/>
  <c r="H114" i="2" s="1"/>
  <c r="D130" i="2"/>
  <c r="H130" i="2" s="1"/>
  <c r="D146" i="2"/>
  <c r="H146" i="2" s="1"/>
  <c r="D162" i="2"/>
  <c r="H162" i="2" s="1"/>
  <c r="D178" i="2"/>
  <c r="H178" i="2" s="1"/>
  <c r="D194" i="2"/>
  <c r="H194" i="2" s="1"/>
  <c r="D210" i="2"/>
  <c r="H210" i="2" s="1"/>
  <c r="D226" i="2"/>
  <c r="H226" i="2" s="1"/>
  <c r="D242" i="2"/>
  <c r="H242" i="2" s="1"/>
  <c r="D258" i="2"/>
  <c r="H258" i="2" s="1"/>
  <c r="D274" i="2"/>
  <c r="H274" i="2" s="1"/>
  <c r="D290" i="2"/>
  <c r="H290" i="2" s="1"/>
  <c r="D306" i="2"/>
  <c r="H306" i="2" s="1"/>
  <c r="D322" i="2"/>
  <c r="H322" i="2" s="1"/>
  <c r="D338" i="2"/>
  <c r="H338" i="2" s="1"/>
  <c r="D354" i="2"/>
  <c r="H354" i="2" s="1"/>
  <c r="D370" i="2"/>
  <c r="H370" i="2" s="1"/>
  <c r="D386" i="2"/>
  <c r="H386" i="2" s="1"/>
  <c r="D402" i="2"/>
  <c r="H402" i="2" s="1"/>
  <c r="D418" i="2"/>
  <c r="H418" i="2" s="1"/>
  <c r="D434" i="2"/>
  <c r="H434" i="2" s="1"/>
  <c r="I240" i="2"/>
  <c r="I390" i="2"/>
  <c r="I625" i="2"/>
  <c r="I981" i="2"/>
  <c r="D25" i="2"/>
  <c r="H25" i="2" s="1"/>
  <c r="D57" i="2"/>
  <c r="H57" i="2" s="1"/>
  <c r="D89" i="2"/>
  <c r="H89" i="2" s="1"/>
  <c r="D121" i="2"/>
  <c r="H121" i="2" s="1"/>
  <c r="D153" i="2"/>
  <c r="H153" i="2" s="1"/>
  <c r="D185" i="2"/>
  <c r="H185" i="2" s="1"/>
  <c r="D217" i="2"/>
  <c r="H217" i="2" s="1"/>
  <c r="D249" i="2"/>
  <c r="H249" i="2" s="1"/>
  <c r="D281" i="2"/>
  <c r="H281" i="2" s="1"/>
  <c r="D313" i="2"/>
  <c r="H313" i="2" s="1"/>
  <c r="D345" i="2"/>
  <c r="H345" i="2" s="1"/>
  <c r="D377" i="2"/>
  <c r="H377" i="2" s="1"/>
  <c r="D409" i="2"/>
  <c r="H409" i="2" s="1"/>
  <c r="D441" i="2"/>
  <c r="H441" i="2" s="1"/>
  <c r="D462" i="2"/>
  <c r="H462" i="2" s="1"/>
  <c r="D483" i="2"/>
  <c r="H483" i="2" s="1"/>
  <c r="D505" i="2"/>
  <c r="H505" i="2" s="1"/>
  <c r="D525" i="2"/>
  <c r="H525" i="2" s="1"/>
  <c r="D541" i="2"/>
  <c r="H541" i="2" s="1"/>
  <c r="D557" i="2"/>
  <c r="H557" i="2" s="1"/>
  <c r="D573" i="2"/>
  <c r="H573" i="2" s="1"/>
  <c r="D589" i="2"/>
  <c r="H589" i="2" s="1"/>
  <c r="D605" i="2"/>
  <c r="H605" i="2" s="1"/>
  <c r="D621" i="2"/>
  <c r="H621" i="2" s="1"/>
  <c r="D637" i="2"/>
  <c r="H637" i="2" s="1"/>
  <c r="D653" i="2"/>
  <c r="H653" i="2" s="1"/>
  <c r="D669" i="2"/>
  <c r="H669" i="2" s="1"/>
  <c r="D685" i="2"/>
  <c r="H685" i="2" s="1"/>
  <c r="D701" i="2"/>
  <c r="H701" i="2" s="1"/>
  <c r="D717" i="2"/>
  <c r="H717" i="2" s="1"/>
  <c r="D733" i="2"/>
  <c r="H733" i="2" s="1"/>
  <c r="D749" i="2"/>
  <c r="H749" i="2" s="1"/>
  <c r="D765" i="2"/>
  <c r="H765" i="2" s="1"/>
  <c r="D781" i="2"/>
  <c r="H781" i="2" s="1"/>
  <c r="D797" i="2"/>
  <c r="H797" i="2" s="1"/>
  <c r="D813" i="2"/>
  <c r="H813" i="2" s="1"/>
  <c r="D829" i="2"/>
  <c r="H829" i="2" s="1"/>
  <c r="D845" i="2"/>
  <c r="H845" i="2" s="1"/>
  <c r="D861" i="2"/>
  <c r="H861" i="2" s="1"/>
  <c r="D877" i="2"/>
  <c r="H877" i="2" s="1"/>
  <c r="D893" i="2"/>
  <c r="H893" i="2" s="1"/>
  <c r="D909" i="2"/>
  <c r="H909" i="2" s="1"/>
  <c r="D925" i="2"/>
  <c r="H925" i="2" s="1"/>
  <c r="D941" i="2"/>
  <c r="H941" i="2" s="1"/>
  <c r="D957" i="2"/>
  <c r="H957" i="2" s="1"/>
  <c r="D973" i="2"/>
  <c r="H973" i="2" s="1"/>
  <c r="D989" i="2"/>
  <c r="H989" i="2" s="1"/>
  <c r="D1005" i="2"/>
  <c r="H1005" i="2" s="1"/>
  <c r="D1021" i="2"/>
  <c r="H1021" i="2" s="1"/>
  <c r="D1006" i="2"/>
  <c r="H1006" i="2" s="1"/>
  <c r="I1015" i="2"/>
  <c r="D101" i="2"/>
  <c r="H101" i="2" s="1"/>
  <c r="D181" i="2"/>
  <c r="H181" i="2" s="1"/>
  <c r="D261" i="2"/>
  <c r="H261" i="2" s="1"/>
  <c r="D333" i="2"/>
  <c r="H333" i="2" s="1"/>
  <c r="D421" i="2"/>
  <c r="H421" i="2" s="1"/>
  <c r="D481" i="2"/>
  <c r="H481" i="2" s="1"/>
  <c r="D531" i="2"/>
  <c r="H531" i="2" s="1"/>
  <c r="D571" i="2"/>
  <c r="H571" i="2" s="1"/>
  <c r="D611" i="2"/>
  <c r="H611" i="2" s="1"/>
  <c r="D647" i="2"/>
  <c r="H647" i="2" s="1"/>
  <c r="D687" i="2"/>
  <c r="H687" i="2" s="1"/>
  <c r="D727" i="2"/>
  <c r="H727" i="2" s="1"/>
  <c r="D763" i="2"/>
  <c r="H763" i="2" s="1"/>
  <c r="D807" i="2"/>
  <c r="H807" i="2" s="1"/>
  <c r="D847" i="2"/>
  <c r="H847" i="2" s="1"/>
  <c r="D883" i="2"/>
  <c r="H883" i="2" s="1"/>
  <c r="D923" i="2"/>
  <c r="H923" i="2" s="1"/>
  <c r="D955" i="2"/>
  <c r="H955" i="2" s="1"/>
  <c r="D999" i="2"/>
  <c r="H999" i="2" s="1"/>
  <c r="I629" i="2"/>
  <c r="I946" i="2"/>
  <c r="I1001" i="2"/>
  <c r="I1017" i="2"/>
  <c r="D35" i="2"/>
  <c r="H35" i="2" s="1"/>
  <c r="D67" i="2"/>
  <c r="H67" i="2" s="1"/>
  <c r="D99" i="2"/>
  <c r="H99" i="2" s="1"/>
  <c r="D131" i="2"/>
  <c r="H131" i="2" s="1"/>
  <c r="D163" i="2"/>
  <c r="H163" i="2" s="1"/>
  <c r="D195" i="2"/>
  <c r="H195" i="2" s="1"/>
  <c r="D227" i="2"/>
  <c r="H227" i="2" s="1"/>
  <c r="D259" i="2"/>
  <c r="H259" i="2" s="1"/>
  <c r="D291" i="2"/>
  <c r="H291" i="2" s="1"/>
  <c r="D323" i="2"/>
  <c r="H323" i="2" s="1"/>
  <c r="D355" i="2"/>
  <c r="H355" i="2" s="1"/>
  <c r="D387" i="2"/>
  <c r="H387" i="2" s="1"/>
  <c r="D419" i="2"/>
  <c r="H419" i="2" s="1"/>
  <c r="D447" i="2"/>
  <c r="H447" i="2" s="1"/>
  <c r="D469" i="2"/>
  <c r="H469" i="2" s="1"/>
  <c r="D490" i="2"/>
  <c r="H490" i="2" s="1"/>
  <c r="D511" i="2"/>
  <c r="H511" i="2" s="1"/>
  <c r="I32" i="2"/>
  <c r="I64" i="2"/>
  <c r="I96" i="2"/>
  <c r="I128" i="2"/>
  <c r="I160" i="2"/>
  <c r="I300" i="2"/>
  <c r="I332" i="2"/>
  <c r="I364" i="2"/>
  <c r="I25" i="2"/>
  <c r="I57" i="2"/>
  <c r="I89" i="2"/>
  <c r="I121" i="2"/>
  <c r="I153" i="2"/>
  <c r="I166" i="2"/>
  <c r="I207" i="2"/>
  <c r="I228" i="2"/>
  <c r="I270" i="2"/>
  <c r="I329" i="2"/>
  <c r="I379" i="2"/>
  <c r="I389" i="2"/>
  <c r="I401" i="2"/>
  <c r="I411" i="2"/>
  <c r="I421" i="2"/>
  <c r="I433" i="2"/>
  <c r="I443" i="2"/>
  <c r="I562" i="2"/>
  <c r="I581" i="2"/>
  <c r="I589" i="2"/>
  <c r="I597" i="2"/>
  <c r="I605" i="2"/>
  <c r="I613" i="2"/>
  <c r="I621" i="2"/>
  <c r="I109" i="2"/>
  <c r="I190" i="2"/>
  <c r="I205" i="2"/>
  <c r="I226" i="2"/>
  <c r="J226" i="2" s="1"/>
  <c r="I237" i="2"/>
  <c r="I258" i="2"/>
  <c r="I276" i="2"/>
  <c r="I288" i="2"/>
  <c r="I319" i="2"/>
  <c r="I351" i="2"/>
  <c r="I454" i="2"/>
  <c r="I462" i="2"/>
  <c r="I470" i="2"/>
  <c r="I478" i="2"/>
  <c r="I486" i="2"/>
  <c r="I494" i="2"/>
  <c r="I502" i="2"/>
  <c r="I510" i="2"/>
  <c r="I518" i="2"/>
  <c r="I526" i="2"/>
  <c r="I534" i="2"/>
  <c r="I542" i="2"/>
  <c r="I550" i="2"/>
  <c r="I637" i="2"/>
  <c r="I645" i="2"/>
  <c r="I653" i="2"/>
  <c r="I661" i="2"/>
  <c r="I669" i="2"/>
  <c r="I677" i="2"/>
  <c r="I685" i="2"/>
  <c r="I693" i="2"/>
  <c r="I701" i="2"/>
  <c r="I709" i="2"/>
  <c r="I717" i="2"/>
  <c r="I725" i="2"/>
  <c r="I733" i="2"/>
  <c r="I741" i="2"/>
  <c r="I749" i="2"/>
  <c r="I757" i="2"/>
  <c r="I185" i="2"/>
  <c r="I200" i="2"/>
  <c r="I222" i="2"/>
  <c r="I233" i="2"/>
  <c r="I254" i="2"/>
  <c r="I265" i="2"/>
  <c r="I278" i="2"/>
  <c r="I287" i="2"/>
  <c r="I307" i="2"/>
  <c r="I339" i="2"/>
  <c r="I371" i="2"/>
  <c r="I453" i="2"/>
  <c r="I461" i="2"/>
  <c r="I469" i="2"/>
  <c r="I477" i="2"/>
  <c r="I485" i="2"/>
  <c r="I493" i="2"/>
  <c r="I501" i="2"/>
  <c r="I509" i="2"/>
  <c r="I517" i="2"/>
  <c r="I525" i="2"/>
  <c r="I533" i="2"/>
  <c r="I541" i="2"/>
  <c r="I549" i="2"/>
  <c r="I638" i="2"/>
  <c r="I646" i="2"/>
  <c r="I654" i="2"/>
  <c r="I662" i="2"/>
  <c r="I670" i="2"/>
  <c r="I678" i="2"/>
  <c r="I686" i="2"/>
  <c r="I694" i="2"/>
  <c r="I702" i="2"/>
  <c r="I710" i="2"/>
  <c r="I718" i="2"/>
  <c r="I726" i="2"/>
  <c r="I734" i="2"/>
  <c r="I742" i="2"/>
  <c r="I750" i="2"/>
  <c r="I758" i="2"/>
  <c r="I105" i="2"/>
  <c r="I211" i="2"/>
  <c r="I333" i="2"/>
  <c r="I408" i="2"/>
  <c r="I440" i="2"/>
  <c r="I626" i="2"/>
  <c r="I763" i="2"/>
  <c r="I771" i="2"/>
  <c r="I779" i="2"/>
  <c r="I787" i="2"/>
  <c r="I795" i="2"/>
  <c r="I803" i="2"/>
  <c r="I811" i="2"/>
  <c r="I819" i="2"/>
  <c r="I827" i="2"/>
  <c r="I835" i="2"/>
  <c r="I843" i="2"/>
  <c r="I851" i="2"/>
  <c r="I859" i="2"/>
  <c r="I867" i="2"/>
  <c r="I875" i="2"/>
  <c r="I883" i="2"/>
  <c r="I891" i="2"/>
  <c r="I899" i="2"/>
  <c r="I907" i="2"/>
  <c r="I915" i="2"/>
  <c r="I923" i="2"/>
  <c r="I931" i="2"/>
  <c r="D32" i="2"/>
  <c r="H32" i="2" s="1"/>
  <c r="D48" i="2"/>
  <c r="H48" i="2" s="1"/>
  <c r="D64" i="2"/>
  <c r="H64" i="2" s="1"/>
  <c r="D80" i="2"/>
  <c r="H80" i="2" s="1"/>
  <c r="D96" i="2"/>
  <c r="H96" i="2" s="1"/>
  <c r="D112" i="2"/>
  <c r="H112" i="2" s="1"/>
  <c r="D128" i="2"/>
  <c r="H128" i="2" s="1"/>
  <c r="D144" i="2"/>
  <c r="H144" i="2" s="1"/>
  <c r="D160" i="2"/>
  <c r="H160" i="2" s="1"/>
  <c r="D176" i="2"/>
  <c r="H176" i="2" s="1"/>
  <c r="D192" i="2"/>
  <c r="H192" i="2" s="1"/>
  <c r="D208" i="2"/>
  <c r="H208" i="2" s="1"/>
  <c r="D224" i="2"/>
  <c r="H224" i="2" s="1"/>
  <c r="D240" i="2"/>
  <c r="H240" i="2" s="1"/>
  <c r="D256" i="2"/>
  <c r="H256" i="2" s="1"/>
  <c r="D272" i="2"/>
  <c r="H272" i="2" s="1"/>
  <c r="D288" i="2"/>
  <c r="H288" i="2" s="1"/>
  <c r="D304" i="2"/>
  <c r="H304" i="2" s="1"/>
  <c r="D320" i="2"/>
  <c r="H320" i="2" s="1"/>
  <c r="D336" i="2"/>
  <c r="H336" i="2" s="1"/>
  <c r="D352" i="2"/>
  <c r="H352" i="2" s="1"/>
  <c r="D368" i="2"/>
  <c r="H368" i="2" s="1"/>
  <c r="D384" i="2"/>
  <c r="H384" i="2" s="1"/>
  <c r="D400" i="2"/>
  <c r="H400" i="2" s="1"/>
  <c r="D416" i="2"/>
  <c r="H416" i="2" s="1"/>
  <c r="D432" i="2"/>
  <c r="H432" i="2" s="1"/>
  <c r="D448" i="2"/>
  <c r="H448" i="2" s="1"/>
  <c r="D464" i="2"/>
  <c r="H464" i="2" s="1"/>
  <c r="D480" i="2"/>
  <c r="H480" i="2" s="1"/>
  <c r="D496" i="2"/>
  <c r="H496" i="2" s="1"/>
  <c r="D512" i="2"/>
  <c r="H512" i="2" s="1"/>
  <c r="I169" i="2"/>
  <c r="I224" i="2"/>
  <c r="I267" i="2"/>
  <c r="I386" i="2"/>
  <c r="I418" i="2"/>
  <c r="I942" i="2"/>
  <c r="I950" i="2"/>
  <c r="I958" i="2"/>
  <c r="I966" i="2"/>
  <c r="I975" i="2"/>
  <c r="I983" i="2"/>
  <c r="I191" i="2"/>
  <c r="I275" i="2"/>
  <c r="I349" i="2"/>
  <c r="I388" i="2"/>
  <c r="J388" i="2" s="1"/>
  <c r="I420" i="2"/>
  <c r="I451" i="2"/>
  <c r="I574" i="2"/>
  <c r="I606" i="2"/>
  <c r="I766" i="2"/>
  <c r="I774" i="2"/>
  <c r="I782" i="2"/>
  <c r="I790" i="2"/>
  <c r="I798" i="2"/>
  <c r="I806" i="2"/>
  <c r="I814" i="2"/>
  <c r="I822" i="2"/>
  <c r="I830" i="2"/>
  <c r="I838" i="2"/>
  <c r="I846" i="2"/>
  <c r="I854" i="2"/>
  <c r="I862" i="2"/>
  <c r="I870" i="2"/>
  <c r="I878" i="2"/>
  <c r="I886" i="2"/>
  <c r="I894" i="2"/>
  <c r="I902" i="2"/>
  <c r="I910" i="2"/>
  <c r="I918" i="2"/>
  <c r="I926" i="2"/>
  <c r="I934" i="2"/>
  <c r="I941" i="2"/>
  <c r="I949" i="2"/>
  <c r="I957" i="2"/>
  <c r="I965" i="2"/>
  <c r="I974" i="2"/>
  <c r="I982" i="2"/>
  <c r="I990" i="2"/>
  <c r="I998" i="2"/>
  <c r="I1006" i="2"/>
  <c r="I1014" i="2"/>
  <c r="D26" i="2"/>
  <c r="H26" i="2" s="1"/>
  <c r="D42" i="2"/>
  <c r="H42" i="2" s="1"/>
  <c r="D58" i="2"/>
  <c r="H58" i="2" s="1"/>
  <c r="D74" i="2"/>
  <c r="H74" i="2" s="1"/>
  <c r="D90" i="2"/>
  <c r="H90" i="2" s="1"/>
  <c r="D106" i="2"/>
  <c r="H106" i="2" s="1"/>
  <c r="D122" i="2"/>
  <c r="H122" i="2" s="1"/>
  <c r="D138" i="2"/>
  <c r="H138" i="2" s="1"/>
  <c r="D154" i="2"/>
  <c r="H154" i="2" s="1"/>
  <c r="D170" i="2"/>
  <c r="H170" i="2" s="1"/>
  <c r="D186" i="2"/>
  <c r="H186" i="2" s="1"/>
  <c r="D202" i="2"/>
  <c r="H202" i="2" s="1"/>
  <c r="D218" i="2"/>
  <c r="H218" i="2" s="1"/>
  <c r="D234" i="2"/>
  <c r="H234" i="2" s="1"/>
  <c r="D250" i="2"/>
  <c r="H250" i="2" s="1"/>
  <c r="D266" i="2"/>
  <c r="H266" i="2" s="1"/>
  <c r="D282" i="2"/>
  <c r="H282" i="2" s="1"/>
  <c r="D298" i="2"/>
  <c r="H298" i="2" s="1"/>
  <c r="D314" i="2"/>
  <c r="H314" i="2" s="1"/>
  <c r="D330" i="2"/>
  <c r="H330" i="2" s="1"/>
  <c r="D346" i="2"/>
  <c r="H346" i="2" s="1"/>
  <c r="D362" i="2"/>
  <c r="H362" i="2" s="1"/>
  <c r="D378" i="2"/>
  <c r="H378" i="2" s="1"/>
  <c r="D394" i="2"/>
  <c r="H394" i="2" s="1"/>
  <c r="D410" i="2"/>
  <c r="H410" i="2" s="1"/>
  <c r="D426" i="2"/>
  <c r="H426" i="2" s="1"/>
  <c r="I309" i="2"/>
  <c r="I964" i="2"/>
  <c r="I1022" i="2"/>
  <c r="D41" i="2"/>
  <c r="H41" i="2" s="1"/>
  <c r="D73" i="2"/>
  <c r="H73" i="2" s="1"/>
  <c r="D105" i="2"/>
  <c r="H105" i="2" s="1"/>
  <c r="D137" i="2"/>
  <c r="H137" i="2" s="1"/>
  <c r="D169" i="2"/>
  <c r="H169" i="2" s="1"/>
  <c r="D201" i="2"/>
  <c r="H201" i="2" s="1"/>
  <c r="D233" i="2"/>
  <c r="H233" i="2" s="1"/>
  <c r="D265" i="2"/>
  <c r="H265" i="2" s="1"/>
  <c r="D297" i="2"/>
  <c r="H297" i="2" s="1"/>
  <c r="D329" i="2"/>
  <c r="H329" i="2" s="1"/>
  <c r="D361" i="2"/>
  <c r="H361" i="2" s="1"/>
  <c r="D393" i="2"/>
  <c r="H393" i="2" s="1"/>
  <c r="D425" i="2"/>
  <c r="H425" i="2" s="1"/>
  <c r="D451" i="2"/>
  <c r="H451" i="2" s="1"/>
  <c r="D473" i="2"/>
  <c r="H473" i="2" s="1"/>
  <c r="D494" i="2"/>
  <c r="H494" i="2" s="1"/>
  <c r="D515" i="2"/>
  <c r="H515" i="2" s="1"/>
  <c r="D533" i="2"/>
  <c r="H533" i="2" s="1"/>
  <c r="D549" i="2"/>
  <c r="H549" i="2" s="1"/>
  <c r="D565" i="2"/>
  <c r="H565" i="2" s="1"/>
  <c r="D581" i="2"/>
  <c r="H581" i="2" s="1"/>
  <c r="D597" i="2"/>
  <c r="H597" i="2" s="1"/>
  <c r="D613" i="2"/>
  <c r="H613" i="2" s="1"/>
  <c r="D629" i="2"/>
  <c r="H629" i="2" s="1"/>
  <c r="D645" i="2"/>
  <c r="H645" i="2" s="1"/>
  <c r="D661" i="2"/>
  <c r="H661" i="2" s="1"/>
  <c r="D677" i="2"/>
  <c r="H677" i="2" s="1"/>
  <c r="D693" i="2"/>
  <c r="H693" i="2" s="1"/>
  <c r="D709" i="2"/>
  <c r="H709" i="2" s="1"/>
  <c r="D725" i="2"/>
  <c r="H725" i="2" s="1"/>
  <c r="D741" i="2"/>
  <c r="H741" i="2" s="1"/>
  <c r="D757" i="2"/>
  <c r="H757" i="2" s="1"/>
  <c r="D773" i="2"/>
  <c r="H773" i="2" s="1"/>
  <c r="D789" i="2"/>
  <c r="H789" i="2" s="1"/>
  <c r="D805" i="2"/>
  <c r="H805" i="2" s="1"/>
  <c r="D821" i="2"/>
  <c r="H821" i="2" s="1"/>
  <c r="D837" i="2"/>
  <c r="H837" i="2" s="1"/>
  <c r="D853" i="2"/>
  <c r="H853" i="2" s="1"/>
  <c r="D869" i="2"/>
  <c r="H869" i="2" s="1"/>
  <c r="D885" i="2"/>
  <c r="H885" i="2" s="1"/>
  <c r="D901" i="2"/>
  <c r="H901" i="2" s="1"/>
  <c r="D917" i="2"/>
  <c r="H917" i="2" s="1"/>
  <c r="D933" i="2"/>
  <c r="H933" i="2" s="1"/>
  <c r="D949" i="2"/>
  <c r="H949" i="2" s="1"/>
  <c r="D965" i="2"/>
  <c r="H965" i="2" s="1"/>
  <c r="D981" i="2"/>
  <c r="H981" i="2" s="1"/>
  <c r="D997" i="2"/>
  <c r="H997" i="2" s="1"/>
  <c r="D1013" i="2"/>
  <c r="H1013" i="2" s="1"/>
  <c r="D994" i="2"/>
  <c r="H994" i="2" s="1"/>
  <c r="D1018" i="2"/>
  <c r="H1018" i="2" s="1"/>
  <c r="D53" i="2"/>
  <c r="H53" i="2" s="1"/>
  <c r="D141" i="2"/>
  <c r="H141" i="2" s="1"/>
  <c r="D221" i="2"/>
  <c r="H221" i="2" s="1"/>
  <c r="D301" i="2"/>
  <c r="H301" i="2" s="1"/>
  <c r="D381" i="2"/>
  <c r="H381" i="2" s="1"/>
  <c r="D454" i="2"/>
  <c r="H454" i="2" s="1"/>
  <c r="D507" i="2"/>
  <c r="H507" i="2" s="1"/>
  <c r="D551" i="2"/>
  <c r="H551" i="2" s="1"/>
  <c r="D587" i="2"/>
  <c r="H587" i="2" s="1"/>
  <c r="D631" i="2"/>
  <c r="H631" i="2" s="1"/>
  <c r="D667" i="2"/>
  <c r="H667" i="2" s="1"/>
  <c r="D703" i="2"/>
  <c r="H703" i="2" s="1"/>
  <c r="D747" i="2"/>
  <c r="H747" i="2" s="1"/>
  <c r="D783" i="2"/>
  <c r="H783" i="2" s="1"/>
  <c r="D823" i="2"/>
  <c r="H823" i="2" s="1"/>
  <c r="D867" i="2"/>
  <c r="H867" i="2" s="1"/>
  <c r="D903" i="2"/>
  <c r="H903" i="2" s="1"/>
  <c r="D943" i="2"/>
  <c r="H943" i="2" s="1"/>
  <c r="D975" i="2"/>
  <c r="H975" i="2" s="1"/>
  <c r="D1015" i="2"/>
  <c r="H1015" i="2" s="1"/>
  <c r="I251" i="2"/>
  <c r="I430" i="2"/>
  <c r="I582" i="2"/>
  <c r="I959" i="2"/>
  <c r="I993" i="2"/>
  <c r="I1009" i="2"/>
  <c r="I1027" i="2"/>
  <c r="D51" i="2"/>
  <c r="H51" i="2" s="1"/>
  <c r="D83" i="2"/>
  <c r="H83" i="2" s="1"/>
  <c r="D115" i="2"/>
  <c r="H115" i="2" s="1"/>
  <c r="D147" i="2"/>
  <c r="H147" i="2" s="1"/>
  <c r="D179" i="2"/>
  <c r="H179" i="2" s="1"/>
  <c r="D211" i="2"/>
  <c r="H211" i="2" s="1"/>
  <c r="D243" i="2"/>
  <c r="H243" i="2" s="1"/>
  <c r="D275" i="2"/>
  <c r="H275" i="2" s="1"/>
  <c r="D307" i="2"/>
  <c r="H307" i="2" s="1"/>
  <c r="D339" i="2"/>
  <c r="H339" i="2" s="1"/>
  <c r="D371" i="2"/>
  <c r="H371" i="2" s="1"/>
  <c r="D403" i="2"/>
  <c r="H403" i="2" s="1"/>
  <c r="D435" i="2"/>
  <c r="H435" i="2" s="1"/>
  <c r="D458" i="2"/>
  <c r="H458" i="2" s="1"/>
  <c r="D479" i="2"/>
  <c r="H479" i="2" s="1"/>
  <c r="D501" i="2"/>
  <c r="H501" i="2" s="1"/>
  <c r="D522" i="2"/>
  <c r="H522" i="2" s="1"/>
  <c r="D538" i="2"/>
  <c r="H538" i="2" s="1"/>
  <c r="D554" i="2"/>
  <c r="H554" i="2" s="1"/>
  <c r="D570" i="2"/>
  <c r="H570" i="2" s="1"/>
  <c r="D586" i="2"/>
  <c r="H586" i="2" s="1"/>
  <c r="D602" i="2"/>
  <c r="H602" i="2" s="1"/>
  <c r="D618" i="2"/>
  <c r="H618" i="2" s="1"/>
  <c r="D634" i="2"/>
  <c r="H634" i="2" s="1"/>
  <c r="D650" i="2"/>
  <c r="H650" i="2" s="1"/>
  <c r="D666" i="2"/>
  <c r="H666" i="2" s="1"/>
  <c r="D682" i="2"/>
  <c r="H682" i="2" s="1"/>
  <c r="D698" i="2"/>
  <c r="H698" i="2" s="1"/>
  <c r="D714" i="2"/>
  <c r="H714" i="2" s="1"/>
  <c r="D730" i="2"/>
  <c r="H730" i="2" s="1"/>
  <c r="D746" i="2"/>
  <c r="H746" i="2" s="1"/>
  <c r="D762" i="2"/>
  <c r="H762" i="2" s="1"/>
  <c r="D778" i="2"/>
  <c r="H778" i="2" s="1"/>
  <c r="D794" i="2"/>
  <c r="H794" i="2" s="1"/>
  <c r="D810" i="2"/>
  <c r="H810" i="2" s="1"/>
  <c r="D826" i="2"/>
  <c r="H826" i="2" s="1"/>
  <c r="D842" i="2"/>
  <c r="H842" i="2" s="1"/>
  <c r="D858" i="2"/>
  <c r="H858" i="2" s="1"/>
  <c r="D874" i="2"/>
  <c r="H874" i="2" s="1"/>
  <c r="D890" i="2"/>
  <c r="H890" i="2" s="1"/>
  <c r="D906" i="2"/>
  <c r="H906" i="2" s="1"/>
  <c r="D922" i="2"/>
  <c r="H922" i="2" s="1"/>
  <c r="D938" i="2"/>
  <c r="H938" i="2" s="1"/>
  <c r="D954" i="2"/>
  <c r="H954" i="2" s="1"/>
  <c r="D970" i="2"/>
  <c r="H970" i="2" s="1"/>
  <c r="D986" i="2"/>
  <c r="H986" i="2" s="1"/>
  <c r="D1022" i="2"/>
  <c r="H1022" i="2" s="1"/>
  <c r="I967" i="2"/>
  <c r="I1024" i="2"/>
  <c r="D125" i="2"/>
  <c r="H125" i="2" s="1"/>
  <c r="D269" i="2"/>
  <c r="H269" i="2" s="1"/>
  <c r="D413" i="2"/>
  <c r="H413" i="2" s="1"/>
  <c r="D527" i="2"/>
  <c r="H527" i="2" s="1"/>
  <c r="D591" i="2"/>
  <c r="H591" i="2" s="1"/>
  <c r="D659" i="2"/>
  <c r="H659" i="2" s="1"/>
  <c r="D723" i="2"/>
  <c r="H723" i="2" s="1"/>
  <c r="D787" i="2"/>
  <c r="H787" i="2" s="1"/>
  <c r="D843" i="2"/>
  <c r="H843" i="2" s="1"/>
  <c r="D911" i="2"/>
  <c r="H911" i="2" s="1"/>
  <c r="D979" i="2"/>
  <c r="H979" i="2" s="1"/>
  <c r="I446" i="2"/>
  <c r="I569" i="2"/>
  <c r="I1025" i="2"/>
  <c r="D47" i="2"/>
  <c r="H47" i="2" s="1"/>
  <c r="D79" i="2"/>
  <c r="H79" i="2" s="1"/>
  <c r="D111" i="2"/>
  <c r="H111" i="2" s="1"/>
  <c r="D143" i="2"/>
  <c r="H143" i="2" s="1"/>
  <c r="D175" i="2"/>
  <c r="H175" i="2" s="1"/>
  <c r="D207" i="2"/>
  <c r="H207" i="2" s="1"/>
  <c r="D239" i="2"/>
  <c r="H239" i="2" s="1"/>
  <c r="D271" i="2"/>
  <c r="H271" i="2" s="1"/>
  <c r="D303" i="2"/>
  <c r="H303" i="2" s="1"/>
  <c r="D335" i="2"/>
  <c r="H335" i="2" s="1"/>
  <c r="D367" i="2"/>
  <c r="H367" i="2" s="1"/>
  <c r="D399" i="2"/>
  <c r="H399" i="2" s="1"/>
  <c r="D431" i="2"/>
  <c r="H431" i="2" s="1"/>
  <c r="D455" i="2"/>
  <c r="H455" i="2" s="1"/>
  <c r="D477" i="2"/>
  <c r="H477" i="2" s="1"/>
  <c r="D498" i="2"/>
  <c r="H498" i="2" s="1"/>
  <c r="D519" i="2"/>
  <c r="H519" i="2" s="1"/>
  <c r="D536" i="2"/>
  <c r="H536" i="2" s="1"/>
  <c r="D939" i="2"/>
  <c r="H939" i="2" s="1"/>
  <c r="D851" i="2"/>
  <c r="H851" i="2" s="1"/>
  <c r="D751" i="2"/>
  <c r="H751" i="2" s="1"/>
  <c r="D663" i="2"/>
  <c r="H663" i="2" s="1"/>
  <c r="D563" i="2"/>
  <c r="H563" i="2" s="1"/>
  <c r="D470" i="2"/>
  <c r="H470" i="2" s="1"/>
  <c r="D317" i="2"/>
  <c r="H317" i="2" s="1"/>
  <c r="D149" i="2"/>
  <c r="H149" i="2" s="1"/>
  <c r="D984" i="2"/>
  <c r="H984" i="2" s="1"/>
  <c r="D952" i="2"/>
  <c r="H952" i="2" s="1"/>
  <c r="D920" i="2"/>
  <c r="H920" i="2" s="1"/>
  <c r="D888" i="2"/>
  <c r="H888" i="2" s="1"/>
  <c r="D856" i="2"/>
  <c r="H856" i="2" s="1"/>
  <c r="D824" i="2"/>
  <c r="H824" i="2" s="1"/>
  <c r="D792" i="2"/>
  <c r="H792" i="2" s="1"/>
  <c r="D760" i="2"/>
  <c r="H760" i="2" s="1"/>
  <c r="D728" i="2"/>
  <c r="H728" i="2" s="1"/>
  <c r="D696" i="2"/>
  <c r="H696" i="2" s="1"/>
  <c r="D664" i="2"/>
  <c r="H664" i="2" s="1"/>
  <c r="D632" i="2"/>
  <c r="H632" i="2" s="1"/>
  <c r="D600" i="2"/>
  <c r="H600" i="2" s="1"/>
  <c r="D568" i="2"/>
  <c r="H568" i="2" s="1"/>
  <c r="D532" i="2"/>
  <c r="H532" i="2" s="1"/>
  <c r="D482" i="2"/>
  <c r="H482" i="2" s="1"/>
  <c r="D415" i="2"/>
  <c r="H415" i="2" s="1"/>
  <c r="D287" i="2"/>
  <c r="H287" i="2" s="1"/>
  <c r="D199" i="2"/>
  <c r="H199" i="2" s="1"/>
  <c r="D119" i="2"/>
  <c r="H119" i="2" s="1"/>
  <c r="I956" i="2"/>
  <c r="D963" i="2"/>
  <c r="H963" i="2" s="1"/>
  <c r="D707" i="2"/>
  <c r="H707" i="2" s="1"/>
  <c r="D373" i="2"/>
  <c r="H373" i="2" s="1"/>
  <c r="D966" i="2"/>
  <c r="H966" i="2" s="1"/>
  <c r="D902" i="2"/>
  <c r="H902" i="2" s="1"/>
  <c r="D838" i="2"/>
  <c r="H838" i="2" s="1"/>
  <c r="D774" i="2"/>
  <c r="H774" i="2" s="1"/>
  <c r="D710" i="2"/>
  <c r="H710" i="2" s="1"/>
  <c r="D646" i="2"/>
  <c r="H646" i="2" s="1"/>
  <c r="D582" i="2"/>
  <c r="H582" i="2" s="1"/>
  <c r="D517" i="2"/>
  <c r="H517" i="2" s="1"/>
  <c r="D171" i="2"/>
  <c r="H171" i="2" s="1"/>
  <c r="D967" i="2"/>
  <c r="H967" i="2" s="1"/>
  <c r="D655" i="2"/>
  <c r="H655" i="2" s="1"/>
  <c r="D205" i="2"/>
  <c r="H205" i="2" s="1"/>
  <c r="D1025" i="2"/>
  <c r="H1025" i="2" s="1"/>
  <c r="D897" i="2"/>
  <c r="H897" i="2" s="1"/>
  <c r="D769" i="2"/>
  <c r="H769" i="2" s="1"/>
  <c r="D641" i="2"/>
  <c r="H641" i="2" s="1"/>
  <c r="D510" i="2"/>
  <c r="H510" i="2" s="1"/>
  <c r="D289" i="2"/>
  <c r="H289" i="2" s="1"/>
  <c r="D33" i="2"/>
  <c r="H33" i="2" s="1"/>
  <c r="D422" i="2"/>
  <c r="H422" i="2" s="1"/>
  <c r="D294" i="2"/>
  <c r="H294" i="2" s="1"/>
  <c r="D166" i="2"/>
  <c r="H166" i="2" s="1"/>
  <c r="D38" i="2"/>
  <c r="H38" i="2" s="1"/>
  <c r="I908" i="2"/>
  <c r="I844" i="2"/>
  <c r="I780" i="2"/>
  <c r="I442" i="2"/>
  <c r="D396" i="2"/>
  <c r="H396" i="2" s="1"/>
  <c r="D268" i="2"/>
  <c r="H268" i="2" s="1"/>
  <c r="D140" i="2"/>
  <c r="H140" i="2" s="1"/>
  <c r="I961" i="2"/>
  <c r="I897" i="2"/>
  <c r="I833" i="2"/>
  <c r="I769" i="2"/>
  <c r="I558" i="2"/>
  <c r="I283" i="2"/>
  <c r="I724" i="2"/>
  <c r="I660" i="2"/>
  <c r="I587" i="2"/>
  <c r="I523" i="2"/>
  <c r="I459" i="2"/>
  <c r="I315" i="2"/>
  <c r="I230" i="2"/>
  <c r="I707" i="2"/>
  <c r="I643" i="2"/>
  <c r="I540" i="2"/>
  <c r="I476" i="2"/>
  <c r="I429" i="2"/>
  <c r="I387" i="2"/>
  <c r="I247" i="2"/>
  <c r="P21" i="2"/>
  <c r="P25" i="2"/>
  <c r="P29" i="2"/>
  <c r="P33" i="2"/>
  <c r="P37" i="2"/>
  <c r="P41" i="2"/>
  <c r="P45" i="2"/>
  <c r="P49" i="2"/>
  <c r="P53" i="2"/>
  <c r="P57" i="2"/>
  <c r="P61" i="2"/>
  <c r="P65" i="2"/>
  <c r="P69" i="2"/>
  <c r="P73" i="2"/>
  <c r="P77" i="2"/>
  <c r="P81" i="2"/>
  <c r="P85" i="2"/>
  <c r="P89" i="2"/>
  <c r="P93" i="2"/>
  <c r="P97" i="2"/>
  <c r="P101" i="2"/>
  <c r="P105" i="2"/>
  <c r="P109" i="2"/>
  <c r="P113" i="2"/>
  <c r="P23" i="2"/>
  <c r="P27" i="2"/>
  <c r="P31" i="2"/>
  <c r="P35" i="2"/>
  <c r="P39" i="2"/>
  <c r="P43" i="2"/>
  <c r="P47" i="2"/>
  <c r="P51" i="2"/>
  <c r="P55" i="2"/>
  <c r="P59" i="2"/>
  <c r="P63" i="2"/>
  <c r="P67" i="2"/>
  <c r="P71" i="2"/>
  <c r="P75" i="2"/>
  <c r="P79" i="2"/>
  <c r="P83" i="2"/>
  <c r="P87" i="2"/>
  <c r="P91" i="2"/>
  <c r="P22" i="2"/>
  <c r="P30" i="2"/>
  <c r="P38" i="2"/>
  <c r="P46" i="2"/>
  <c r="P54" i="2"/>
  <c r="P62" i="2"/>
  <c r="P70" i="2"/>
  <c r="P78" i="2"/>
  <c r="P86" i="2"/>
  <c r="P94" i="2"/>
  <c r="P99" i="2"/>
  <c r="P104" i="2"/>
  <c r="P110" i="2"/>
  <c r="P115" i="2"/>
  <c r="P119" i="2"/>
  <c r="P123" i="2"/>
  <c r="P127" i="2"/>
  <c r="P131" i="2"/>
  <c r="P135" i="2"/>
  <c r="P139" i="2"/>
  <c r="P143" i="2"/>
  <c r="P147" i="2"/>
  <c r="P151" i="2"/>
  <c r="P155" i="2"/>
  <c r="P159" i="2"/>
  <c r="P163" i="2"/>
  <c r="P167" i="2"/>
  <c r="P171" i="2"/>
  <c r="P175" i="2"/>
  <c r="P179" i="2"/>
  <c r="P183" i="2"/>
  <c r="P187" i="2"/>
  <c r="P191" i="2"/>
  <c r="P195" i="2"/>
  <c r="P199" i="2"/>
  <c r="P203" i="2"/>
  <c r="P207" i="2"/>
  <c r="P211" i="2"/>
  <c r="P215" i="2"/>
  <c r="P219" i="2"/>
  <c r="P223" i="2"/>
  <c r="P227" i="2"/>
  <c r="P231" i="2"/>
  <c r="P235" i="2"/>
  <c r="P239" i="2"/>
  <c r="P243" i="2"/>
  <c r="P247" i="2"/>
  <c r="P251" i="2"/>
  <c r="P255" i="2"/>
  <c r="P259" i="2"/>
  <c r="P263" i="2"/>
  <c r="P267" i="2"/>
  <c r="P271" i="2"/>
  <c r="P275" i="2"/>
  <c r="P279" i="2"/>
  <c r="P283" i="2"/>
  <c r="P287" i="2"/>
  <c r="P291" i="2"/>
  <c r="P295" i="2"/>
  <c r="P299" i="2"/>
  <c r="P303" i="2"/>
  <c r="P307" i="2"/>
  <c r="P311" i="2"/>
  <c r="P315" i="2"/>
  <c r="P319" i="2"/>
  <c r="P323" i="2"/>
  <c r="P327" i="2"/>
  <c r="P331" i="2"/>
  <c r="P335" i="2"/>
  <c r="P339" i="2"/>
  <c r="P343" i="2"/>
  <c r="P347" i="2"/>
  <c r="P351" i="2"/>
  <c r="P355" i="2"/>
  <c r="P359" i="2"/>
  <c r="P363" i="2"/>
  <c r="P367" i="2"/>
  <c r="P371" i="2"/>
  <c r="P375" i="2"/>
  <c r="P379" i="2"/>
  <c r="P383" i="2"/>
  <c r="P387" i="2"/>
  <c r="P391" i="2"/>
  <c r="P395" i="2"/>
  <c r="P399" i="2"/>
  <c r="P403" i="2"/>
  <c r="P407" i="2"/>
  <c r="P411" i="2"/>
  <c r="P415" i="2"/>
  <c r="P419" i="2"/>
  <c r="P423" i="2"/>
  <c r="P427" i="2"/>
  <c r="P431" i="2"/>
  <c r="P435" i="2"/>
  <c r="P439" i="2"/>
  <c r="P443" i="2"/>
  <c r="P447" i="2"/>
  <c r="P451" i="2"/>
  <c r="P455" i="2"/>
  <c r="P459" i="2"/>
  <c r="P463" i="2"/>
  <c r="P467" i="2"/>
  <c r="P471" i="2"/>
  <c r="P475" i="2"/>
  <c r="P479" i="2"/>
  <c r="P483" i="2"/>
  <c r="P487" i="2"/>
  <c r="P491" i="2"/>
  <c r="P495" i="2"/>
  <c r="P499" i="2"/>
  <c r="P503" i="2"/>
  <c r="P507" i="2"/>
  <c r="P511" i="2"/>
  <c r="P515" i="2"/>
  <c r="P519" i="2"/>
  <c r="P523" i="2"/>
  <c r="P527" i="2"/>
  <c r="P531" i="2"/>
  <c r="P535" i="2"/>
  <c r="P539" i="2"/>
  <c r="P543" i="2"/>
  <c r="P547" i="2"/>
  <c r="P551" i="2"/>
  <c r="P555" i="2"/>
  <c r="P559" i="2"/>
  <c r="P563" i="2"/>
  <c r="P567" i="2"/>
  <c r="P571" i="2"/>
  <c r="P575" i="2"/>
  <c r="P579" i="2"/>
  <c r="P583" i="2"/>
  <c r="P587" i="2"/>
  <c r="P591" i="2"/>
  <c r="P595" i="2"/>
  <c r="P599" i="2"/>
  <c r="P603" i="2"/>
  <c r="P607" i="2"/>
  <c r="P611" i="2"/>
  <c r="P615" i="2"/>
  <c r="P619" i="2"/>
  <c r="P623" i="2"/>
  <c r="P627" i="2"/>
  <c r="P631" i="2"/>
  <c r="P635" i="2"/>
  <c r="P639" i="2"/>
  <c r="P643" i="2"/>
  <c r="P24" i="2"/>
  <c r="P32" i="2"/>
  <c r="P40" i="2"/>
  <c r="P48" i="2"/>
  <c r="P56" i="2"/>
  <c r="P64" i="2"/>
  <c r="P72" i="2"/>
  <c r="P80" i="2"/>
  <c r="P88" i="2"/>
  <c r="P95" i="2"/>
  <c r="P100" i="2"/>
  <c r="P106" i="2"/>
  <c r="P111" i="2"/>
  <c r="P116" i="2"/>
  <c r="P120" i="2"/>
  <c r="P124" i="2"/>
  <c r="P128" i="2"/>
  <c r="P132" i="2"/>
  <c r="P136" i="2"/>
  <c r="P140" i="2"/>
  <c r="P144" i="2"/>
  <c r="P148" i="2"/>
  <c r="P152" i="2"/>
  <c r="P156" i="2"/>
  <c r="P160" i="2"/>
  <c r="P164" i="2"/>
  <c r="P168" i="2"/>
  <c r="P172" i="2"/>
  <c r="P176" i="2"/>
  <c r="P180" i="2"/>
  <c r="P184" i="2"/>
  <c r="P188" i="2"/>
  <c r="P192" i="2"/>
  <c r="P196" i="2"/>
  <c r="P200" i="2"/>
  <c r="P204" i="2"/>
  <c r="P208" i="2"/>
  <c r="P212" i="2"/>
  <c r="P216" i="2"/>
  <c r="P220" i="2"/>
  <c r="P224" i="2"/>
  <c r="P228" i="2"/>
  <c r="P232" i="2"/>
  <c r="P236" i="2"/>
  <c r="P240" i="2"/>
  <c r="P244" i="2"/>
  <c r="P248" i="2"/>
  <c r="P252" i="2"/>
  <c r="P256" i="2"/>
  <c r="P260" i="2"/>
  <c r="P264" i="2"/>
  <c r="P268" i="2"/>
  <c r="P272" i="2"/>
  <c r="P276" i="2"/>
  <c r="P280" i="2"/>
  <c r="P284" i="2"/>
  <c r="P288" i="2"/>
  <c r="P292" i="2"/>
  <c r="P296" i="2"/>
  <c r="P300" i="2"/>
  <c r="P304" i="2"/>
  <c r="P308" i="2"/>
  <c r="P312" i="2"/>
  <c r="P316" i="2"/>
  <c r="P320" i="2"/>
  <c r="P324" i="2"/>
  <c r="P328" i="2"/>
  <c r="P332" i="2"/>
  <c r="P336" i="2"/>
  <c r="P340" i="2"/>
  <c r="P344" i="2"/>
  <c r="P348" i="2"/>
  <c r="P352" i="2"/>
  <c r="P356" i="2"/>
  <c r="P360" i="2"/>
  <c r="P364" i="2"/>
  <c r="P368" i="2"/>
  <c r="P372" i="2"/>
  <c r="P376" i="2"/>
  <c r="P380" i="2"/>
  <c r="P384" i="2"/>
  <c r="P388" i="2"/>
  <c r="P392" i="2"/>
  <c r="P396" i="2"/>
  <c r="P400" i="2"/>
  <c r="P404" i="2"/>
  <c r="P408" i="2"/>
  <c r="P412" i="2"/>
  <c r="P416" i="2"/>
  <c r="P420" i="2"/>
  <c r="P424" i="2"/>
  <c r="P428" i="2"/>
  <c r="P432" i="2"/>
  <c r="P436" i="2"/>
  <c r="P440" i="2"/>
  <c r="P444" i="2"/>
  <c r="P448" i="2"/>
  <c r="P452" i="2"/>
  <c r="P456" i="2"/>
  <c r="P460" i="2"/>
  <c r="P464" i="2"/>
  <c r="P468" i="2"/>
  <c r="P472" i="2"/>
  <c r="P476" i="2"/>
  <c r="P480" i="2"/>
  <c r="P484" i="2"/>
  <c r="P488" i="2"/>
  <c r="P492" i="2"/>
  <c r="P496" i="2"/>
  <c r="P500" i="2"/>
  <c r="P504" i="2"/>
  <c r="P508" i="2"/>
  <c r="P512" i="2"/>
  <c r="P516" i="2"/>
  <c r="P520" i="2"/>
  <c r="P524" i="2"/>
  <c r="P528" i="2"/>
  <c r="P532" i="2"/>
  <c r="P536" i="2"/>
  <c r="P540" i="2"/>
  <c r="P544" i="2"/>
  <c r="P548" i="2"/>
  <c r="P552" i="2"/>
  <c r="P556" i="2"/>
  <c r="P560" i="2"/>
  <c r="P564" i="2"/>
  <c r="P568" i="2"/>
  <c r="P572" i="2"/>
  <c r="P576" i="2"/>
  <c r="P580" i="2"/>
  <c r="P584" i="2"/>
  <c r="P588" i="2"/>
  <c r="P28" i="2"/>
  <c r="P36" i="2"/>
  <c r="P44" i="2"/>
  <c r="P52" i="2"/>
  <c r="P60" i="2"/>
  <c r="P68" i="2"/>
  <c r="P76" i="2"/>
  <c r="P84" i="2"/>
  <c r="P92" i="2"/>
  <c r="P98" i="2"/>
  <c r="P103" i="2"/>
  <c r="P108" i="2"/>
  <c r="P114" i="2"/>
  <c r="P118" i="2"/>
  <c r="P122" i="2"/>
  <c r="P126" i="2"/>
  <c r="P130" i="2"/>
  <c r="P134" i="2"/>
  <c r="P138" i="2"/>
  <c r="P142" i="2"/>
  <c r="P146" i="2"/>
  <c r="P150" i="2"/>
  <c r="P154" i="2"/>
  <c r="P158" i="2"/>
  <c r="P162" i="2"/>
  <c r="P166" i="2"/>
  <c r="P170" i="2"/>
  <c r="P174" i="2"/>
  <c r="P178" i="2"/>
  <c r="P182" i="2"/>
  <c r="P186" i="2"/>
  <c r="P190" i="2"/>
  <c r="P194" i="2"/>
  <c r="P198" i="2"/>
  <c r="P202" i="2"/>
  <c r="P206" i="2"/>
  <c r="P210" i="2"/>
  <c r="P214" i="2"/>
  <c r="P218" i="2"/>
  <c r="P222" i="2"/>
  <c r="P226" i="2"/>
  <c r="P230" i="2"/>
  <c r="P234" i="2"/>
  <c r="P238" i="2"/>
  <c r="P242" i="2"/>
  <c r="P246" i="2"/>
  <c r="P250" i="2"/>
  <c r="P254" i="2"/>
  <c r="P258" i="2"/>
  <c r="P262" i="2"/>
  <c r="P266" i="2"/>
  <c r="P270" i="2"/>
  <c r="P274" i="2"/>
  <c r="P278" i="2"/>
  <c r="P282" i="2"/>
  <c r="P286" i="2"/>
  <c r="P290" i="2"/>
  <c r="P294" i="2"/>
  <c r="P298" i="2"/>
  <c r="P302" i="2"/>
  <c r="P306" i="2"/>
  <c r="P310" i="2"/>
  <c r="P314" i="2"/>
  <c r="P318" i="2"/>
  <c r="P322" i="2"/>
  <c r="P326" i="2"/>
  <c r="P330" i="2"/>
  <c r="P334" i="2"/>
  <c r="P338" i="2"/>
  <c r="P342" i="2"/>
  <c r="P346" i="2"/>
  <c r="P350" i="2"/>
  <c r="P354" i="2"/>
  <c r="P358" i="2"/>
  <c r="P362" i="2"/>
  <c r="P366" i="2"/>
  <c r="P370" i="2"/>
  <c r="P374" i="2"/>
  <c r="P378" i="2"/>
  <c r="P382" i="2"/>
  <c r="P386" i="2"/>
  <c r="P390" i="2"/>
  <c r="P394" i="2"/>
  <c r="P398" i="2"/>
  <c r="P402" i="2"/>
  <c r="P406" i="2"/>
  <c r="P410" i="2"/>
  <c r="P414" i="2"/>
  <c r="P418" i="2"/>
  <c r="P422" i="2"/>
  <c r="P426" i="2"/>
  <c r="P430" i="2"/>
  <c r="P434" i="2"/>
  <c r="P438" i="2"/>
  <c r="P442" i="2"/>
  <c r="P446" i="2"/>
  <c r="P450" i="2"/>
  <c r="P454" i="2"/>
  <c r="P458" i="2"/>
  <c r="P462" i="2"/>
  <c r="P466" i="2"/>
  <c r="P470" i="2"/>
  <c r="P474" i="2"/>
  <c r="P478" i="2"/>
  <c r="P482" i="2"/>
  <c r="P486" i="2"/>
  <c r="P490" i="2"/>
  <c r="P494" i="2"/>
  <c r="P498" i="2"/>
  <c r="P502" i="2"/>
  <c r="P506" i="2"/>
  <c r="P510" i="2"/>
  <c r="P514" i="2"/>
  <c r="P518" i="2"/>
  <c r="P522" i="2"/>
  <c r="P526" i="2"/>
  <c r="P530" i="2"/>
  <c r="P534" i="2"/>
  <c r="P538" i="2"/>
  <c r="P542" i="2"/>
  <c r="P546" i="2"/>
  <c r="P550" i="2"/>
  <c r="P554" i="2"/>
  <c r="P558" i="2"/>
  <c r="P562" i="2"/>
  <c r="P566" i="2"/>
  <c r="P570" i="2"/>
  <c r="P574" i="2"/>
  <c r="P578" i="2"/>
  <c r="P582" i="2"/>
  <c r="P586" i="2"/>
  <c r="P590" i="2"/>
  <c r="P594" i="2"/>
  <c r="P598" i="2"/>
  <c r="P602" i="2"/>
  <c r="P606" i="2"/>
  <c r="P34" i="2"/>
  <c r="P66" i="2"/>
  <c r="P96" i="2"/>
  <c r="P117" i="2"/>
  <c r="P133" i="2"/>
  <c r="P149" i="2"/>
  <c r="P165" i="2"/>
  <c r="P181" i="2"/>
  <c r="P197" i="2"/>
  <c r="P213" i="2"/>
  <c r="P229" i="2"/>
  <c r="P245" i="2"/>
  <c r="P261" i="2"/>
  <c r="P277" i="2"/>
  <c r="P293" i="2"/>
  <c r="P309" i="2"/>
  <c r="P325" i="2"/>
  <c r="P341" i="2"/>
  <c r="P357" i="2"/>
  <c r="P373" i="2"/>
  <c r="P389" i="2"/>
  <c r="P405" i="2"/>
  <c r="P421" i="2"/>
  <c r="P437" i="2"/>
  <c r="P453" i="2"/>
  <c r="P469" i="2"/>
  <c r="P485" i="2"/>
  <c r="P501" i="2"/>
  <c r="P517" i="2"/>
  <c r="P533" i="2"/>
  <c r="P549" i="2"/>
  <c r="P565" i="2"/>
  <c r="P581" i="2"/>
  <c r="P593" i="2"/>
  <c r="P601" i="2"/>
  <c r="P609" i="2"/>
  <c r="P614" i="2"/>
  <c r="P620" i="2"/>
  <c r="P625" i="2"/>
  <c r="P630" i="2"/>
  <c r="P636" i="2"/>
  <c r="P641" i="2"/>
  <c r="P646" i="2"/>
  <c r="P650" i="2"/>
  <c r="P654" i="2"/>
  <c r="P658" i="2"/>
  <c r="P662" i="2"/>
  <c r="P666" i="2"/>
  <c r="P670" i="2"/>
  <c r="P674" i="2"/>
  <c r="P678" i="2"/>
  <c r="P682" i="2"/>
  <c r="P686" i="2"/>
  <c r="P690" i="2"/>
  <c r="P694" i="2"/>
  <c r="P698" i="2"/>
  <c r="P702" i="2"/>
  <c r="P706" i="2"/>
  <c r="P710" i="2"/>
  <c r="P714" i="2"/>
  <c r="P718" i="2"/>
  <c r="P722" i="2"/>
  <c r="P726" i="2"/>
  <c r="P730" i="2"/>
  <c r="P734" i="2"/>
  <c r="P738" i="2"/>
  <c r="P742" i="2"/>
  <c r="P746" i="2"/>
  <c r="P750" i="2"/>
  <c r="P754" i="2"/>
  <c r="P758" i="2"/>
  <c r="P762" i="2"/>
  <c r="P766" i="2"/>
  <c r="P770" i="2"/>
  <c r="P774" i="2"/>
  <c r="P778" i="2"/>
  <c r="P782" i="2"/>
  <c r="P786" i="2"/>
  <c r="P790" i="2"/>
  <c r="P794" i="2"/>
  <c r="P798" i="2"/>
  <c r="P802" i="2"/>
  <c r="P806" i="2"/>
  <c r="P810" i="2"/>
  <c r="P814" i="2"/>
  <c r="P818" i="2"/>
  <c r="P822" i="2"/>
  <c r="P826" i="2"/>
  <c r="P830" i="2"/>
  <c r="P834" i="2"/>
  <c r="P838" i="2"/>
  <c r="P842" i="2"/>
  <c r="P846" i="2"/>
  <c r="P850" i="2"/>
  <c r="P854" i="2"/>
  <c r="P858" i="2"/>
  <c r="P862" i="2"/>
  <c r="P866" i="2"/>
  <c r="P870" i="2"/>
  <c r="P874" i="2"/>
  <c r="P878" i="2"/>
  <c r="P882" i="2"/>
  <c r="P886" i="2"/>
  <c r="P890" i="2"/>
  <c r="P894" i="2"/>
  <c r="P898" i="2"/>
  <c r="P902" i="2"/>
  <c r="P906" i="2"/>
  <c r="P910" i="2"/>
  <c r="P914" i="2"/>
  <c r="P918" i="2"/>
  <c r="P922" i="2"/>
  <c r="P926" i="2"/>
  <c r="P930" i="2"/>
  <c r="P934" i="2"/>
  <c r="P938" i="2"/>
  <c r="P942" i="2"/>
  <c r="P946" i="2"/>
  <c r="P950" i="2"/>
  <c r="P954" i="2"/>
  <c r="P958" i="2"/>
  <c r="P962" i="2"/>
  <c r="P966" i="2"/>
  <c r="P970" i="2"/>
  <c r="P974" i="2"/>
  <c r="P978" i="2"/>
  <c r="P982" i="2"/>
  <c r="P986" i="2"/>
  <c r="P990" i="2"/>
  <c r="P994" i="2"/>
  <c r="P998" i="2"/>
  <c r="P1002" i="2"/>
  <c r="P1006" i="2"/>
  <c r="P1010" i="2"/>
  <c r="P1014" i="2"/>
  <c r="P1018" i="2"/>
  <c r="P1022" i="2"/>
  <c r="P1026" i="2"/>
  <c r="P42" i="2"/>
  <c r="P74" i="2"/>
  <c r="P102" i="2"/>
  <c r="P121" i="2"/>
  <c r="P137" i="2"/>
  <c r="P153" i="2"/>
  <c r="P169" i="2"/>
  <c r="P185" i="2"/>
  <c r="P201" i="2"/>
  <c r="P217" i="2"/>
  <c r="P233" i="2"/>
  <c r="P249" i="2"/>
  <c r="P265" i="2"/>
  <c r="P281" i="2"/>
  <c r="P297" i="2"/>
  <c r="P313" i="2"/>
  <c r="P329" i="2"/>
  <c r="P345" i="2"/>
  <c r="P361" i="2"/>
  <c r="P377" i="2"/>
  <c r="P393" i="2"/>
  <c r="P409" i="2"/>
  <c r="P425" i="2"/>
  <c r="P441" i="2"/>
  <c r="P457" i="2"/>
  <c r="P473" i="2"/>
  <c r="P489" i="2"/>
  <c r="P505" i="2"/>
  <c r="P521" i="2"/>
  <c r="P537" i="2"/>
  <c r="P553" i="2"/>
  <c r="P569" i="2"/>
  <c r="P585" i="2"/>
  <c r="P596" i="2"/>
  <c r="P604" i="2"/>
  <c r="P610" i="2"/>
  <c r="P616" i="2"/>
  <c r="P621" i="2"/>
  <c r="P626" i="2"/>
  <c r="P632" i="2"/>
  <c r="P637" i="2"/>
  <c r="P642" i="2"/>
  <c r="P647" i="2"/>
  <c r="P651" i="2"/>
  <c r="P655" i="2"/>
  <c r="P659" i="2"/>
  <c r="P663" i="2"/>
  <c r="P667" i="2"/>
  <c r="P671" i="2"/>
  <c r="P675" i="2"/>
  <c r="P679" i="2"/>
  <c r="P683" i="2"/>
  <c r="P687" i="2"/>
  <c r="P691" i="2"/>
  <c r="P695" i="2"/>
  <c r="P699" i="2"/>
  <c r="P703" i="2"/>
  <c r="P707" i="2"/>
  <c r="P711" i="2"/>
  <c r="P715" i="2"/>
  <c r="P719" i="2"/>
  <c r="P723" i="2"/>
  <c r="P727" i="2"/>
  <c r="P731" i="2"/>
  <c r="P735" i="2"/>
  <c r="P739" i="2"/>
  <c r="P743" i="2"/>
  <c r="P747" i="2"/>
  <c r="P751" i="2"/>
  <c r="P755" i="2"/>
  <c r="P759" i="2"/>
  <c r="P763" i="2"/>
  <c r="P767" i="2"/>
  <c r="P771" i="2"/>
  <c r="P775" i="2"/>
  <c r="P779" i="2"/>
  <c r="P783" i="2"/>
  <c r="P787" i="2"/>
  <c r="P791" i="2"/>
  <c r="P795" i="2"/>
  <c r="P799" i="2"/>
  <c r="P803" i="2"/>
  <c r="P807" i="2"/>
  <c r="P811" i="2"/>
  <c r="P815" i="2"/>
  <c r="P819" i="2"/>
  <c r="P823" i="2"/>
  <c r="P827" i="2"/>
  <c r="P831" i="2"/>
  <c r="P835" i="2"/>
  <c r="P839" i="2"/>
  <c r="P843" i="2"/>
  <c r="P847" i="2"/>
  <c r="P851" i="2"/>
  <c r="P855" i="2"/>
  <c r="P859" i="2"/>
  <c r="P863" i="2"/>
  <c r="P867" i="2"/>
  <c r="P871" i="2"/>
  <c r="P875" i="2"/>
  <c r="P879" i="2"/>
  <c r="P883" i="2"/>
  <c r="P887" i="2"/>
  <c r="P891" i="2"/>
  <c r="P895" i="2"/>
  <c r="P899" i="2"/>
  <c r="P903" i="2"/>
  <c r="P907" i="2"/>
  <c r="P911" i="2"/>
  <c r="P915" i="2"/>
  <c r="P919" i="2"/>
  <c r="P923" i="2"/>
  <c r="P927" i="2"/>
  <c r="P931" i="2"/>
  <c r="P935" i="2"/>
  <c r="P939" i="2"/>
  <c r="P943" i="2"/>
  <c r="P947" i="2"/>
  <c r="P951" i="2"/>
  <c r="P955" i="2"/>
  <c r="P959" i="2"/>
  <c r="P963" i="2"/>
  <c r="P967" i="2"/>
  <c r="P971" i="2"/>
  <c r="P975" i="2"/>
  <c r="P979" i="2"/>
  <c r="P983" i="2"/>
  <c r="P987" i="2"/>
  <c r="P991" i="2"/>
  <c r="P995" i="2"/>
  <c r="P999" i="2"/>
  <c r="P1003" i="2"/>
  <c r="P1007" i="2"/>
  <c r="P1011" i="2"/>
  <c r="P1015" i="2"/>
  <c r="P1019" i="2"/>
  <c r="P1023" i="2"/>
  <c r="P1027" i="2"/>
  <c r="P50" i="2"/>
  <c r="P82" i="2"/>
  <c r="P107" i="2"/>
  <c r="P125" i="2"/>
  <c r="P141" i="2"/>
  <c r="P157" i="2"/>
  <c r="P173" i="2"/>
  <c r="P189" i="2"/>
  <c r="P205" i="2"/>
  <c r="P221" i="2"/>
  <c r="P237" i="2"/>
  <c r="P253" i="2"/>
  <c r="P269" i="2"/>
  <c r="P285" i="2"/>
  <c r="P301" i="2"/>
  <c r="P317" i="2"/>
  <c r="P333" i="2"/>
  <c r="P349" i="2"/>
  <c r="P365" i="2"/>
  <c r="P381" i="2"/>
  <c r="P397" i="2"/>
  <c r="P413" i="2"/>
  <c r="P429" i="2"/>
  <c r="P445" i="2"/>
  <c r="P461" i="2"/>
  <c r="P477" i="2"/>
  <c r="P493" i="2"/>
  <c r="P509" i="2"/>
  <c r="P525" i="2"/>
  <c r="P541" i="2"/>
  <c r="P557" i="2"/>
  <c r="P573" i="2"/>
  <c r="P589" i="2"/>
  <c r="P597" i="2"/>
  <c r="P605" i="2"/>
  <c r="P612" i="2"/>
  <c r="P617" i="2"/>
  <c r="P622" i="2"/>
  <c r="P628" i="2"/>
  <c r="P633" i="2"/>
  <c r="P638" i="2"/>
  <c r="P644" i="2"/>
  <c r="P648" i="2"/>
  <c r="P652" i="2"/>
  <c r="P656" i="2"/>
  <c r="P660" i="2"/>
  <c r="P664" i="2"/>
  <c r="P668" i="2"/>
  <c r="P672" i="2"/>
  <c r="P676" i="2"/>
  <c r="P680" i="2"/>
  <c r="P684" i="2"/>
  <c r="P688" i="2"/>
  <c r="P692" i="2"/>
  <c r="P696" i="2"/>
  <c r="P700" i="2"/>
  <c r="P704" i="2"/>
  <c r="P708" i="2"/>
  <c r="P712" i="2"/>
  <c r="P716" i="2"/>
  <c r="P720" i="2"/>
  <c r="P724" i="2"/>
  <c r="P728" i="2"/>
  <c r="P732" i="2"/>
  <c r="P736" i="2"/>
  <c r="P740" i="2"/>
  <c r="P744" i="2"/>
  <c r="P748" i="2"/>
  <c r="P752" i="2"/>
  <c r="P756" i="2"/>
  <c r="P760" i="2"/>
  <c r="P764" i="2"/>
  <c r="P768" i="2"/>
  <c r="P772" i="2"/>
  <c r="P776" i="2"/>
  <c r="P780" i="2"/>
  <c r="P784" i="2"/>
  <c r="P788" i="2"/>
  <c r="P792" i="2"/>
  <c r="P796" i="2"/>
  <c r="P800" i="2"/>
  <c r="P804" i="2"/>
  <c r="P808" i="2"/>
  <c r="P812" i="2"/>
  <c r="P816" i="2"/>
  <c r="P820" i="2"/>
  <c r="P824" i="2"/>
  <c r="P828" i="2"/>
  <c r="P832" i="2"/>
  <c r="P836" i="2"/>
  <c r="P840" i="2"/>
  <c r="P844" i="2"/>
  <c r="P848" i="2"/>
  <c r="P852" i="2"/>
  <c r="P856" i="2"/>
  <c r="P860" i="2"/>
  <c r="P864" i="2"/>
  <c r="P868" i="2"/>
  <c r="P872" i="2"/>
  <c r="P876" i="2"/>
  <c r="P880" i="2"/>
  <c r="P884" i="2"/>
  <c r="P888" i="2"/>
  <c r="P892" i="2"/>
  <c r="P896" i="2"/>
  <c r="P900" i="2"/>
  <c r="P904" i="2"/>
  <c r="P908" i="2"/>
  <c r="P912" i="2"/>
  <c r="P916" i="2"/>
  <c r="P920" i="2"/>
  <c r="P924" i="2"/>
  <c r="P928" i="2"/>
  <c r="P932" i="2"/>
  <c r="P936" i="2"/>
  <c r="P940" i="2"/>
  <c r="P944" i="2"/>
  <c r="P948" i="2"/>
  <c r="P952" i="2"/>
  <c r="P956" i="2"/>
  <c r="P960" i="2"/>
  <c r="P964" i="2"/>
  <c r="P968" i="2"/>
  <c r="P972" i="2"/>
  <c r="P976" i="2"/>
  <c r="P980" i="2"/>
  <c r="P984" i="2"/>
  <c r="P988" i="2"/>
  <c r="P992" i="2"/>
  <c r="P996" i="2"/>
  <c r="P1000" i="2"/>
  <c r="P1004" i="2"/>
  <c r="P1008" i="2"/>
  <c r="P1012" i="2"/>
  <c r="P1016" i="2"/>
  <c r="P1020" i="2"/>
  <c r="P1024" i="2"/>
  <c r="P90" i="2"/>
  <c r="P161" i="2"/>
  <c r="P225" i="2"/>
  <c r="P289" i="2"/>
  <c r="P353" i="2"/>
  <c r="P417" i="2"/>
  <c r="P481" i="2"/>
  <c r="P545" i="2"/>
  <c r="P600" i="2"/>
  <c r="P624" i="2"/>
  <c r="P645" i="2"/>
  <c r="P661" i="2"/>
  <c r="P677" i="2"/>
  <c r="P693" i="2"/>
  <c r="P709" i="2"/>
  <c r="P725" i="2"/>
  <c r="P741" i="2"/>
  <c r="P757" i="2"/>
  <c r="P773" i="2"/>
  <c r="P789" i="2"/>
  <c r="P805" i="2"/>
  <c r="P821" i="2"/>
  <c r="P837" i="2"/>
  <c r="P853" i="2"/>
  <c r="P869" i="2"/>
  <c r="P885" i="2"/>
  <c r="P901" i="2"/>
  <c r="P917" i="2"/>
  <c r="P933" i="2"/>
  <c r="P949" i="2"/>
  <c r="P965" i="2"/>
  <c r="P981" i="2"/>
  <c r="P997" i="2"/>
  <c r="P1013" i="2"/>
  <c r="P112" i="2"/>
  <c r="P177" i="2"/>
  <c r="P241" i="2"/>
  <c r="P305" i="2"/>
  <c r="P369" i="2"/>
  <c r="P433" i="2"/>
  <c r="P497" i="2"/>
  <c r="P561" i="2"/>
  <c r="P608" i="2"/>
  <c r="P629" i="2"/>
  <c r="P649" i="2"/>
  <c r="P665" i="2"/>
  <c r="P681" i="2"/>
  <c r="P697" i="2"/>
  <c r="P713" i="2"/>
  <c r="P729" i="2"/>
  <c r="P745" i="2"/>
  <c r="P761" i="2"/>
  <c r="P777" i="2"/>
  <c r="P793" i="2"/>
  <c r="P809" i="2"/>
  <c r="P825" i="2"/>
  <c r="P841" i="2"/>
  <c r="P857" i="2"/>
  <c r="P873" i="2"/>
  <c r="P889" i="2"/>
  <c r="P905" i="2"/>
  <c r="P921" i="2"/>
  <c r="P937" i="2"/>
  <c r="P953" i="2"/>
  <c r="P969" i="2"/>
  <c r="P985" i="2"/>
  <c r="P1001" i="2"/>
  <c r="P1017" i="2"/>
  <c r="P58" i="2"/>
  <c r="P145" i="2"/>
  <c r="P209" i="2"/>
  <c r="P273" i="2"/>
  <c r="P337" i="2"/>
  <c r="P401" i="2"/>
  <c r="P465" i="2"/>
  <c r="P529" i="2"/>
  <c r="P592" i="2"/>
  <c r="P618" i="2"/>
  <c r="P640" i="2"/>
  <c r="P657" i="2"/>
  <c r="P673" i="2"/>
  <c r="P689" i="2"/>
  <c r="P705" i="2"/>
  <c r="P721" i="2"/>
  <c r="P737" i="2"/>
  <c r="P753" i="2"/>
  <c r="P769" i="2"/>
  <c r="P785" i="2"/>
  <c r="P801" i="2"/>
  <c r="P817" i="2"/>
  <c r="P833" i="2"/>
  <c r="P849" i="2"/>
  <c r="P865" i="2"/>
  <c r="P881" i="2"/>
  <c r="P897" i="2"/>
  <c r="P913" i="2"/>
  <c r="P929" i="2"/>
  <c r="P945" i="2"/>
  <c r="P961" i="2"/>
  <c r="P977" i="2"/>
  <c r="P993" i="2"/>
  <c r="P1009" i="2"/>
  <c r="P1025" i="2"/>
  <c r="P129" i="2"/>
  <c r="P385" i="2"/>
  <c r="P613" i="2"/>
  <c r="P685" i="2"/>
  <c r="P749" i="2"/>
  <c r="P813" i="2"/>
  <c r="P877" i="2"/>
  <c r="P941" i="2"/>
  <c r="P1005" i="2"/>
  <c r="P193" i="2"/>
  <c r="P449" i="2"/>
  <c r="P634" i="2"/>
  <c r="P701" i="2"/>
  <c r="P765" i="2"/>
  <c r="P829" i="2"/>
  <c r="P893" i="2"/>
  <c r="P957" i="2"/>
  <c r="P1021" i="2"/>
  <c r="P257" i="2"/>
  <c r="P513" i="2"/>
  <c r="P653" i="2"/>
  <c r="P717" i="2"/>
  <c r="P781" i="2"/>
  <c r="P845" i="2"/>
  <c r="P909" i="2"/>
  <c r="P973" i="2"/>
  <c r="P669" i="2"/>
  <c r="P925" i="2"/>
  <c r="P26" i="2"/>
  <c r="P733" i="2"/>
  <c r="P989" i="2"/>
  <c r="P797" i="2"/>
  <c r="P577" i="2"/>
  <c r="P861" i="2"/>
  <c r="P321" i="2"/>
  <c r="D1019" i="2"/>
  <c r="H1019" i="2" s="1"/>
  <c r="D971" i="2"/>
  <c r="H971" i="2" s="1"/>
  <c r="D919" i="2"/>
  <c r="H919" i="2" s="1"/>
  <c r="D871" i="2"/>
  <c r="H871" i="2" s="1"/>
  <c r="D831" i="2"/>
  <c r="H831" i="2" s="1"/>
  <c r="D779" i="2"/>
  <c r="H779" i="2" s="1"/>
  <c r="D731" i="2"/>
  <c r="H731" i="2" s="1"/>
  <c r="D683" i="2"/>
  <c r="H683" i="2" s="1"/>
  <c r="D639" i="2"/>
  <c r="H639" i="2" s="1"/>
  <c r="D595" i="2"/>
  <c r="H595" i="2" s="1"/>
  <c r="D543" i="2"/>
  <c r="H543" i="2" s="1"/>
  <c r="D497" i="2"/>
  <c r="H497" i="2" s="1"/>
  <c r="D443" i="2"/>
  <c r="H443" i="2" s="1"/>
  <c r="D365" i="2"/>
  <c r="H365" i="2" s="1"/>
  <c r="D277" i="2"/>
  <c r="H277" i="2" s="1"/>
  <c r="D189" i="2"/>
  <c r="H189" i="2" s="1"/>
  <c r="D109" i="2"/>
  <c r="H109" i="2" s="1"/>
  <c r="D29" i="2"/>
  <c r="H29" i="2" s="1"/>
  <c r="I991" i="2"/>
  <c r="I948" i="2"/>
  <c r="I438" i="2"/>
  <c r="D1024" i="2"/>
  <c r="H1024" i="2" s="1"/>
  <c r="D1008" i="2"/>
  <c r="H1008" i="2" s="1"/>
  <c r="D992" i="2"/>
  <c r="H992" i="2" s="1"/>
  <c r="D976" i="2"/>
  <c r="H976" i="2" s="1"/>
  <c r="D960" i="2"/>
  <c r="H960" i="2" s="1"/>
  <c r="D944" i="2"/>
  <c r="H944" i="2" s="1"/>
  <c r="D928" i="2"/>
  <c r="H928" i="2" s="1"/>
  <c r="D912" i="2"/>
  <c r="H912" i="2" s="1"/>
  <c r="D896" i="2"/>
  <c r="H896" i="2" s="1"/>
  <c r="D880" i="2"/>
  <c r="H880" i="2" s="1"/>
  <c r="D864" i="2"/>
  <c r="H864" i="2" s="1"/>
  <c r="D848" i="2"/>
  <c r="H848" i="2" s="1"/>
  <c r="D832" i="2"/>
  <c r="H832" i="2" s="1"/>
  <c r="D816" i="2"/>
  <c r="H816" i="2" s="1"/>
  <c r="D800" i="2"/>
  <c r="H800" i="2" s="1"/>
  <c r="D784" i="2"/>
  <c r="H784" i="2" s="1"/>
  <c r="D768" i="2"/>
  <c r="H768" i="2" s="1"/>
  <c r="D752" i="2"/>
  <c r="H752" i="2" s="1"/>
  <c r="D736" i="2"/>
  <c r="H736" i="2" s="1"/>
  <c r="D720" i="2"/>
  <c r="H720" i="2" s="1"/>
  <c r="D704" i="2"/>
  <c r="H704" i="2" s="1"/>
  <c r="D688" i="2"/>
  <c r="H688" i="2" s="1"/>
  <c r="D672" i="2"/>
  <c r="H672" i="2" s="1"/>
  <c r="D656" i="2"/>
  <c r="H656" i="2" s="1"/>
  <c r="D640" i="2"/>
  <c r="H640" i="2" s="1"/>
  <c r="D624" i="2"/>
  <c r="H624" i="2" s="1"/>
  <c r="D608" i="2"/>
  <c r="H608" i="2" s="1"/>
  <c r="D592" i="2"/>
  <c r="H592" i="2" s="1"/>
  <c r="D576" i="2"/>
  <c r="H576" i="2" s="1"/>
  <c r="D560" i="2"/>
  <c r="H560" i="2" s="1"/>
  <c r="D544" i="2"/>
  <c r="H544" i="2" s="1"/>
  <c r="D524" i="2"/>
  <c r="H524" i="2" s="1"/>
  <c r="D493" i="2"/>
  <c r="H493" i="2" s="1"/>
  <c r="D466" i="2"/>
  <c r="H466" i="2" s="1"/>
  <c r="D439" i="2"/>
  <c r="H439" i="2" s="1"/>
  <c r="D391" i="2"/>
  <c r="H391" i="2" s="1"/>
  <c r="D351" i="2"/>
  <c r="H351" i="2" s="1"/>
  <c r="D311" i="2"/>
  <c r="H311" i="2" s="1"/>
  <c r="D263" i="2"/>
  <c r="H263" i="2" s="1"/>
  <c r="D223" i="2"/>
  <c r="H223" i="2" s="1"/>
  <c r="D183" i="2"/>
  <c r="H183" i="2" s="1"/>
  <c r="D135" i="2"/>
  <c r="H135" i="2" s="1"/>
  <c r="D95" i="2"/>
  <c r="H95" i="2" s="1"/>
  <c r="D55" i="2"/>
  <c r="H55" i="2" s="1"/>
  <c r="I1021" i="2"/>
  <c r="I414" i="2"/>
  <c r="D1027" i="2"/>
  <c r="H1027" i="2" s="1"/>
  <c r="D895" i="2"/>
  <c r="H895" i="2" s="1"/>
  <c r="D767" i="2"/>
  <c r="H767" i="2" s="1"/>
  <c r="D643" i="2"/>
  <c r="H643" i="2" s="1"/>
  <c r="D502" i="2"/>
  <c r="H502" i="2" s="1"/>
  <c r="D229" i="2"/>
  <c r="H229" i="2" s="1"/>
  <c r="D982" i="2"/>
  <c r="H982" i="2" s="1"/>
  <c r="D950" i="2"/>
  <c r="H950" i="2" s="1"/>
  <c r="D918" i="2"/>
  <c r="H918" i="2" s="1"/>
  <c r="D886" i="2"/>
  <c r="H886" i="2" s="1"/>
  <c r="D854" i="2"/>
  <c r="H854" i="2" s="1"/>
  <c r="D822" i="2"/>
  <c r="H822" i="2" s="1"/>
  <c r="D790" i="2"/>
  <c r="H790" i="2" s="1"/>
  <c r="D758" i="2"/>
  <c r="H758" i="2" s="1"/>
  <c r="D726" i="2"/>
  <c r="H726" i="2" s="1"/>
  <c r="D694" i="2"/>
  <c r="H694" i="2" s="1"/>
  <c r="D662" i="2"/>
  <c r="H662" i="2" s="1"/>
  <c r="D630" i="2"/>
  <c r="H630" i="2" s="1"/>
  <c r="D598" i="2"/>
  <c r="H598" i="2" s="1"/>
  <c r="D566" i="2"/>
  <c r="H566" i="2" s="1"/>
  <c r="D534" i="2"/>
  <c r="H534" i="2" s="1"/>
  <c r="D474" i="2"/>
  <c r="H474" i="2" s="1"/>
  <c r="D363" i="2"/>
  <c r="H363" i="2" s="1"/>
  <c r="D235" i="2"/>
  <c r="H235" i="2" s="1"/>
  <c r="D107" i="2"/>
  <c r="H107" i="2" s="1"/>
  <c r="I208" i="2"/>
  <c r="D891" i="2"/>
  <c r="H891" i="2" s="1"/>
  <c r="D735" i="2"/>
  <c r="H735" i="2" s="1"/>
  <c r="D575" i="2"/>
  <c r="H575" i="2" s="1"/>
  <c r="D357" i="2"/>
  <c r="H357" i="2" s="1"/>
  <c r="D21" i="2"/>
  <c r="H21" i="2" s="1"/>
  <c r="I219" i="2"/>
  <c r="J219" i="2" s="1"/>
  <c r="D993" i="2"/>
  <c r="H993" i="2" s="1"/>
  <c r="D929" i="2"/>
  <c r="H929" i="2" s="1"/>
  <c r="D865" i="2"/>
  <c r="H865" i="2" s="1"/>
  <c r="D801" i="2"/>
  <c r="H801" i="2" s="1"/>
  <c r="D737" i="2"/>
  <c r="H737" i="2" s="1"/>
  <c r="D673" i="2"/>
  <c r="H673" i="2" s="1"/>
  <c r="D609" i="2"/>
  <c r="H609" i="2" s="1"/>
  <c r="D545" i="2"/>
  <c r="H545" i="2" s="1"/>
  <c r="D467" i="2"/>
  <c r="H467" i="2" s="1"/>
  <c r="D353" i="2"/>
  <c r="H353" i="2" s="1"/>
  <c r="D225" i="2"/>
  <c r="H225" i="2" s="1"/>
  <c r="D97" i="2"/>
  <c r="H97" i="2" s="1"/>
  <c r="I1003" i="2"/>
  <c r="D390" i="2"/>
  <c r="H390" i="2" s="1"/>
  <c r="D326" i="2"/>
  <c r="H326" i="2" s="1"/>
  <c r="D262" i="2"/>
  <c r="H262" i="2" s="1"/>
  <c r="D198" i="2"/>
  <c r="H198" i="2" s="1"/>
  <c r="D134" i="2"/>
  <c r="H134" i="2" s="1"/>
  <c r="D70" i="2"/>
  <c r="H70" i="2" s="1"/>
  <c r="I924" i="2"/>
  <c r="I892" i="2"/>
  <c r="I860" i="2"/>
  <c r="I828" i="2"/>
  <c r="I796" i="2"/>
  <c r="I764" i="2"/>
  <c r="I412" i="2"/>
  <c r="I269" i="2"/>
  <c r="I627" i="2"/>
  <c r="J627" i="2" s="1"/>
  <c r="I378" i="2"/>
  <c r="D492" i="2"/>
  <c r="H492" i="2" s="1"/>
  <c r="D428" i="2"/>
  <c r="H428" i="2" s="1"/>
  <c r="D364" i="2"/>
  <c r="H364" i="2" s="1"/>
  <c r="D300" i="2"/>
  <c r="H300" i="2" s="1"/>
  <c r="D236" i="2"/>
  <c r="H236" i="2" s="1"/>
  <c r="D172" i="2"/>
  <c r="H172" i="2" s="1"/>
  <c r="D108" i="2"/>
  <c r="H108" i="2" s="1"/>
  <c r="D44" i="2"/>
  <c r="H44" i="2" s="1"/>
  <c r="I1008" i="2"/>
  <c r="I976" i="2"/>
  <c r="I945" i="2"/>
  <c r="I913" i="2"/>
  <c r="J913" i="2" s="1"/>
  <c r="I881" i="2"/>
  <c r="I849" i="2"/>
  <c r="I817" i="2"/>
  <c r="I785" i="2"/>
  <c r="I622" i="2"/>
  <c r="I365" i="2"/>
  <c r="I199" i="2"/>
  <c r="I740" i="2"/>
  <c r="I708" i="2"/>
  <c r="I676" i="2"/>
  <c r="I644" i="2"/>
  <c r="I603" i="2"/>
  <c r="I571" i="2"/>
  <c r="I539" i="2"/>
  <c r="I507" i="2"/>
  <c r="I475" i="2"/>
  <c r="I209" i="2"/>
  <c r="I755" i="2"/>
  <c r="I723" i="2"/>
  <c r="I691" i="2"/>
  <c r="I659" i="2"/>
  <c r="I620" i="2"/>
  <c r="I588" i="2"/>
  <c r="I556" i="2"/>
  <c r="I524" i="2"/>
  <c r="I492" i="2"/>
  <c r="I460" i="2"/>
  <c r="I359" i="2"/>
  <c r="I234" i="2"/>
  <c r="I452" i="2"/>
  <c r="I409" i="2"/>
  <c r="I361" i="2"/>
  <c r="I284" i="2"/>
  <c r="I204" i="2"/>
  <c r="I145" i="2"/>
  <c r="I292" i="2"/>
  <c r="I152" i="2"/>
  <c r="I24" i="2"/>
  <c r="D991" i="2"/>
  <c r="H991" i="2" s="1"/>
  <c r="D899" i="2"/>
  <c r="H899" i="2" s="1"/>
  <c r="D803" i="2"/>
  <c r="H803" i="2" s="1"/>
  <c r="D711" i="2"/>
  <c r="H711" i="2" s="1"/>
  <c r="D615" i="2"/>
  <c r="H615" i="2" s="1"/>
  <c r="D523" i="2"/>
  <c r="H523" i="2" s="1"/>
  <c r="D405" i="2"/>
  <c r="H405" i="2" s="1"/>
  <c r="D237" i="2"/>
  <c r="H237" i="2" s="1"/>
  <c r="D69" i="2"/>
  <c r="H69" i="2" s="1"/>
  <c r="D1016" i="2"/>
  <c r="H1016" i="2" s="1"/>
  <c r="D1000" i="2"/>
  <c r="H1000" i="2" s="1"/>
  <c r="D968" i="2"/>
  <c r="H968" i="2" s="1"/>
  <c r="D936" i="2"/>
  <c r="H936" i="2" s="1"/>
  <c r="D904" i="2"/>
  <c r="H904" i="2" s="1"/>
  <c r="D872" i="2"/>
  <c r="H872" i="2" s="1"/>
  <c r="D840" i="2"/>
  <c r="H840" i="2" s="1"/>
  <c r="D808" i="2"/>
  <c r="H808" i="2" s="1"/>
  <c r="D776" i="2"/>
  <c r="H776" i="2" s="1"/>
  <c r="D744" i="2"/>
  <c r="H744" i="2" s="1"/>
  <c r="D712" i="2"/>
  <c r="H712" i="2" s="1"/>
  <c r="D680" i="2"/>
  <c r="H680" i="2" s="1"/>
  <c r="D648" i="2"/>
  <c r="H648" i="2" s="1"/>
  <c r="D616" i="2"/>
  <c r="H616" i="2" s="1"/>
  <c r="D584" i="2"/>
  <c r="H584" i="2" s="1"/>
  <c r="D552" i="2"/>
  <c r="H552" i="2" s="1"/>
  <c r="D509" i="2"/>
  <c r="H509" i="2" s="1"/>
  <c r="D450" i="2"/>
  <c r="H450" i="2" s="1"/>
  <c r="D375" i="2"/>
  <c r="H375" i="2" s="1"/>
  <c r="D327" i="2"/>
  <c r="H327" i="2" s="1"/>
  <c r="D247" i="2"/>
  <c r="H247" i="2" s="1"/>
  <c r="D159" i="2"/>
  <c r="H159" i="2" s="1"/>
  <c r="D71" i="2"/>
  <c r="H71" i="2" s="1"/>
  <c r="D31" i="2"/>
  <c r="H31" i="2" s="1"/>
  <c r="I1013" i="2"/>
  <c r="I989" i="2"/>
  <c r="I271" i="2"/>
  <c r="D827" i="2"/>
  <c r="H827" i="2" s="1"/>
  <c r="D579" i="2"/>
  <c r="H579" i="2" s="1"/>
  <c r="D93" i="2"/>
  <c r="H93" i="2" s="1"/>
  <c r="D1010" i="2"/>
  <c r="H1010" i="2" s="1"/>
  <c r="D934" i="2"/>
  <c r="H934" i="2" s="1"/>
  <c r="D870" i="2"/>
  <c r="H870" i="2" s="1"/>
  <c r="D806" i="2"/>
  <c r="H806" i="2" s="1"/>
  <c r="D742" i="2"/>
  <c r="H742" i="2" s="1"/>
  <c r="D678" i="2"/>
  <c r="H678" i="2" s="1"/>
  <c r="D614" i="2"/>
  <c r="H614" i="2" s="1"/>
  <c r="D550" i="2"/>
  <c r="H550" i="2" s="1"/>
  <c r="D427" i="2"/>
  <c r="H427" i="2" s="1"/>
  <c r="D299" i="2"/>
  <c r="H299" i="2" s="1"/>
  <c r="D43" i="2"/>
  <c r="H43" i="2" s="1"/>
  <c r="D819" i="2"/>
  <c r="H819" i="2" s="1"/>
  <c r="D491" i="2"/>
  <c r="H491" i="2" s="1"/>
  <c r="D961" i="2"/>
  <c r="H961" i="2" s="1"/>
  <c r="D833" i="2"/>
  <c r="H833" i="2" s="1"/>
  <c r="D705" i="2"/>
  <c r="H705" i="2" s="1"/>
  <c r="D577" i="2"/>
  <c r="H577" i="2" s="1"/>
  <c r="D417" i="2"/>
  <c r="H417" i="2" s="1"/>
  <c r="D161" i="2"/>
  <c r="H161" i="2" s="1"/>
  <c r="I951" i="2"/>
  <c r="D358" i="2"/>
  <c r="H358" i="2" s="1"/>
  <c r="D230" i="2"/>
  <c r="H230" i="2" s="1"/>
  <c r="D102" i="2"/>
  <c r="H102" i="2" s="1"/>
  <c r="I876" i="2"/>
  <c r="I812" i="2"/>
  <c r="I566" i="2"/>
  <c r="I293" i="2"/>
  <c r="D460" i="2"/>
  <c r="H460" i="2" s="1"/>
  <c r="D332" i="2"/>
  <c r="H332" i="2" s="1"/>
  <c r="D204" i="2"/>
  <c r="H204" i="2" s="1"/>
  <c r="D76" i="2"/>
  <c r="H76" i="2" s="1"/>
  <c r="I992" i="2"/>
  <c r="I929" i="2"/>
  <c r="I865" i="2"/>
  <c r="I801" i="2"/>
  <c r="I432" i="2"/>
  <c r="I756" i="2"/>
  <c r="I692" i="2"/>
  <c r="I619" i="2"/>
  <c r="I555" i="2"/>
  <c r="I491" i="2"/>
  <c r="I182" i="2"/>
  <c r="I739" i="2"/>
  <c r="I675" i="2"/>
  <c r="I604" i="2"/>
  <c r="I572" i="2"/>
  <c r="I508" i="2"/>
  <c r="I295" i="2"/>
  <c r="I213" i="2"/>
  <c r="I557" i="2"/>
  <c r="I81" i="2"/>
  <c r="J81" i="2" s="1"/>
  <c r="I356" i="2"/>
  <c r="I88" i="2"/>
  <c r="D983" i="2"/>
  <c r="H983" i="2" s="1"/>
  <c r="D931" i="2"/>
  <c r="H931" i="2" s="1"/>
  <c r="D887" i="2"/>
  <c r="H887" i="2" s="1"/>
  <c r="D839" i="2"/>
  <c r="H839" i="2" s="1"/>
  <c r="D791" i="2"/>
  <c r="H791" i="2" s="1"/>
  <c r="D743" i="2"/>
  <c r="H743" i="2" s="1"/>
  <c r="D699" i="2"/>
  <c r="H699" i="2" s="1"/>
  <c r="D651" i="2"/>
  <c r="H651" i="2" s="1"/>
  <c r="D603" i="2"/>
  <c r="H603" i="2" s="1"/>
  <c r="D555" i="2"/>
  <c r="H555" i="2" s="1"/>
  <c r="D513" i="2"/>
  <c r="H513" i="2" s="1"/>
  <c r="D459" i="2"/>
  <c r="H459" i="2" s="1"/>
  <c r="D389" i="2"/>
  <c r="H389" i="2" s="1"/>
  <c r="D293" i="2"/>
  <c r="H293" i="2" s="1"/>
  <c r="D213" i="2"/>
  <c r="H213" i="2" s="1"/>
  <c r="D133" i="2"/>
  <c r="H133" i="2" s="1"/>
  <c r="D45" i="2"/>
  <c r="H45" i="2" s="1"/>
  <c r="I999" i="2"/>
  <c r="I954" i="2"/>
  <c r="D1012" i="2"/>
  <c r="H1012" i="2" s="1"/>
  <c r="D996" i="2"/>
  <c r="H996" i="2" s="1"/>
  <c r="D980" i="2"/>
  <c r="H980" i="2" s="1"/>
  <c r="D964" i="2"/>
  <c r="H964" i="2" s="1"/>
  <c r="D948" i="2"/>
  <c r="H948" i="2" s="1"/>
  <c r="D932" i="2"/>
  <c r="H932" i="2" s="1"/>
  <c r="D916" i="2"/>
  <c r="H916" i="2" s="1"/>
  <c r="D900" i="2"/>
  <c r="H900" i="2" s="1"/>
  <c r="D884" i="2"/>
  <c r="H884" i="2" s="1"/>
  <c r="D868" i="2"/>
  <c r="H868" i="2" s="1"/>
  <c r="D852" i="2"/>
  <c r="H852" i="2" s="1"/>
  <c r="D836" i="2"/>
  <c r="H836" i="2" s="1"/>
  <c r="D820" i="2"/>
  <c r="H820" i="2" s="1"/>
  <c r="D804" i="2"/>
  <c r="H804" i="2" s="1"/>
  <c r="D788" i="2"/>
  <c r="H788" i="2" s="1"/>
  <c r="D772" i="2"/>
  <c r="H772" i="2" s="1"/>
  <c r="D756" i="2"/>
  <c r="H756" i="2" s="1"/>
  <c r="D740" i="2"/>
  <c r="H740" i="2" s="1"/>
  <c r="D724" i="2"/>
  <c r="H724" i="2" s="1"/>
  <c r="D708" i="2"/>
  <c r="H708" i="2" s="1"/>
  <c r="D692" i="2"/>
  <c r="H692" i="2" s="1"/>
  <c r="D676" i="2"/>
  <c r="H676" i="2" s="1"/>
  <c r="D660" i="2"/>
  <c r="H660" i="2" s="1"/>
  <c r="D644" i="2"/>
  <c r="H644" i="2" s="1"/>
  <c r="D628" i="2"/>
  <c r="H628" i="2" s="1"/>
  <c r="D612" i="2"/>
  <c r="H612" i="2" s="1"/>
  <c r="D596" i="2"/>
  <c r="H596" i="2" s="1"/>
  <c r="D580" i="2"/>
  <c r="H580" i="2" s="1"/>
  <c r="D564" i="2"/>
  <c r="H564" i="2" s="1"/>
  <c r="D548" i="2"/>
  <c r="H548" i="2" s="1"/>
  <c r="D528" i="2"/>
  <c r="H528" i="2" s="1"/>
  <c r="D503" i="2"/>
  <c r="H503" i="2" s="1"/>
  <c r="D471" i="2"/>
  <c r="H471" i="2" s="1"/>
  <c r="D445" i="2"/>
  <c r="H445" i="2" s="1"/>
  <c r="D407" i="2"/>
  <c r="H407" i="2" s="1"/>
  <c r="D359" i="2"/>
  <c r="H359" i="2" s="1"/>
  <c r="D319" i="2"/>
  <c r="H319" i="2" s="1"/>
  <c r="D279" i="2"/>
  <c r="H279" i="2" s="1"/>
  <c r="D231" i="2"/>
  <c r="H231" i="2" s="1"/>
  <c r="D191" i="2"/>
  <c r="H191" i="2" s="1"/>
  <c r="D151" i="2"/>
  <c r="H151" i="2" s="1"/>
  <c r="D103" i="2"/>
  <c r="H103" i="2" s="1"/>
  <c r="D63" i="2"/>
  <c r="H63" i="2" s="1"/>
  <c r="D23" i="2"/>
  <c r="H23" i="2" s="1"/>
  <c r="I1005" i="2"/>
  <c r="I985" i="2"/>
  <c r="I943" i="2"/>
  <c r="D947" i="2"/>
  <c r="H947" i="2" s="1"/>
  <c r="D815" i="2"/>
  <c r="H815" i="2" s="1"/>
  <c r="D695" i="2"/>
  <c r="H695" i="2" s="1"/>
  <c r="D567" i="2"/>
  <c r="H567" i="2" s="1"/>
  <c r="D341" i="2"/>
  <c r="H341" i="2" s="1"/>
  <c r="D61" i="2"/>
  <c r="H61" i="2" s="1"/>
  <c r="D998" i="2"/>
  <c r="H998" i="2" s="1"/>
  <c r="D962" i="2"/>
  <c r="H962" i="2" s="1"/>
  <c r="D930" i="2"/>
  <c r="H930" i="2" s="1"/>
  <c r="D898" i="2"/>
  <c r="H898" i="2" s="1"/>
  <c r="D866" i="2"/>
  <c r="H866" i="2" s="1"/>
  <c r="D834" i="2"/>
  <c r="H834" i="2" s="1"/>
  <c r="D802" i="2"/>
  <c r="H802" i="2" s="1"/>
  <c r="D770" i="2"/>
  <c r="H770" i="2" s="1"/>
  <c r="D738" i="2"/>
  <c r="H738" i="2" s="1"/>
  <c r="D706" i="2"/>
  <c r="H706" i="2" s="1"/>
  <c r="D674" i="2"/>
  <c r="H674" i="2" s="1"/>
  <c r="D642" i="2"/>
  <c r="H642" i="2" s="1"/>
  <c r="D610" i="2"/>
  <c r="H610" i="2" s="1"/>
  <c r="D578" i="2"/>
  <c r="H578" i="2" s="1"/>
  <c r="D546" i="2"/>
  <c r="H546" i="2" s="1"/>
  <c r="D495" i="2"/>
  <c r="H495" i="2" s="1"/>
  <c r="D395" i="2"/>
  <c r="H395" i="2" s="1"/>
  <c r="D267" i="2"/>
  <c r="H267" i="2" s="1"/>
  <c r="D139" i="2"/>
  <c r="H139" i="2" s="1"/>
  <c r="I1023" i="2"/>
  <c r="I398" i="2"/>
  <c r="D935" i="2"/>
  <c r="H935" i="2" s="1"/>
  <c r="D775" i="2"/>
  <c r="H775" i="2" s="1"/>
  <c r="D619" i="2"/>
  <c r="H619" i="2" s="1"/>
  <c r="D437" i="2"/>
  <c r="H437" i="2" s="1"/>
  <c r="D117" i="2"/>
  <c r="H117" i="2" s="1"/>
  <c r="D1009" i="2"/>
  <c r="H1009" i="2" s="1"/>
  <c r="D945" i="2"/>
  <c r="H945" i="2" s="1"/>
  <c r="D881" i="2"/>
  <c r="H881" i="2" s="1"/>
  <c r="D817" i="2"/>
  <c r="H817" i="2" s="1"/>
  <c r="D753" i="2"/>
  <c r="H753" i="2" s="1"/>
  <c r="D689" i="2"/>
  <c r="H689" i="2" s="1"/>
  <c r="D625" i="2"/>
  <c r="H625" i="2" s="1"/>
  <c r="D561" i="2"/>
  <c r="H561" i="2" s="1"/>
  <c r="D489" i="2"/>
  <c r="H489" i="2" s="1"/>
  <c r="D385" i="2"/>
  <c r="H385" i="2" s="1"/>
  <c r="D257" i="2"/>
  <c r="H257" i="2" s="1"/>
  <c r="D129" i="2"/>
  <c r="H129" i="2" s="1"/>
  <c r="I1019" i="2"/>
  <c r="I422" i="2"/>
  <c r="D406" i="2"/>
  <c r="H406" i="2" s="1"/>
  <c r="D342" i="2"/>
  <c r="H342" i="2" s="1"/>
  <c r="D278" i="2"/>
  <c r="H278" i="2" s="1"/>
  <c r="D214" i="2"/>
  <c r="H214" i="2" s="1"/>
  <c r="D150" i="2"/>
  <c r="H150" i="2" s="1"/>
  <c r="D86" i="2"/>
  <c r="H86" i="2" s="1"/>
  <c r="D22" i="2"/>
  <c r="H22" i="2" s="1"/>
  <c r="I932" i="2"/>
  <c r="I900" i="2"/>
  <c r="I868" i="2"/>
  <c r="I836" i="2"/>
  <c r="I804" i="2"/>
  <c r="I772" i="2"/>
  <c r="I444" i="2"/>
  <c r="I410" i="2"/>
  <c r="I256" i="2"/>
  <c r="D508" i="2"/>
  <c r="H508" i="2" s="1"/>
  <c r="D444" i="2"/>
  <c r="H444" i="2" s="1"/>
  <c r="D380" i="2"/>
  <c r="H380" i="2" s="1"/>
  <c r="D316" i="2"/>
  <c r="H316" i="2" s="1"/>
  <c r="D252" i="2"/>
  <c r="H252" i="2" s="1"/>
  <c r="D188" i="2"/>
  <c r="H188" i="2" s="1"/>
  <c r="D124" i="2"/>
  <c r="H124" i="2" s="1"/>
  <c r="D60" i="2"/>
  <c r="H60" i="2" s="1"/>
  <c r="I1016" i="2"/>
  <c r="I984" i="2"/>
  <c r="I953" i="2"/>
  <c r="I921" i="2"/>
  <c r="I889" i="2"/>
  <c r="I857" i="2"/>
  <c r="J857" i="2" s="1"/>
  <c r="I825" i="2"/>
  <c r="I793" i="2"/>
  <c r="I400" i="2"/>
  <c r="I243" i="2"/>
  <c r="I748" i="2"/>
  <c r="I716" i="2"/>
  <c r="I684" i="2"/>
  <c r="I652" i="2"/>
  <c r="I611" i="2"/>
  <c r="I579" i="2"/>
  <c r="I547" i="2"/>
  <c r="I515" i="2"/>
  <c r="I483" i="2"/>
  <c r="I347" i="2"/>
  <c r="I262" i="2"/>
  <c r="I731" i="2"/>
  <c r="I699" i="2"/>
  <c r="I667" i="2"/>
  <c r="I635" i="2"/>
  <c r="I596" i="2"/>
  <c r="I564" i="2"/>
  <c r="I532" i="2"/>
  <c r="I500" i="2"/>
  <c r="I468" i="2"/>
  <c r="I327" i="2"/>
  <c r="I245" i="2"/>
  <c r="I202" i="2"/>
  <c r="I419" i="2"/>
  <c r="I377" i="2"/>
  <c r="I305" i="2"/>
  <c r="I49" i="2"/>
  <c r="J49" i="2" s="1"/>
  <c r="I324" i="2"/>
  <c r="I184" i="2"/>
  <c r="I56" i="2"/>
  <c r="P20" i="2"/>
  <c r="D20" i="2"/>
  <c r="I20" i="2"/>
  <c r="M10" i="3"/>
  <c r="N10" i="3" s="1"/>
  <c r="N11" i="3"/>
  <c r="N16" i="3"/>
  <c r="M8" i="3"/>
  <c r="N8" i="3" s="1"/>
  <c r="M17" i="3"/>
  <c r="N17" i="3" s="1"/>
  <c r="M18" i="3"/>
  <c r="N18" i="3" s="1"/>
  <c r="N15" i="3"/>
  <c r="N19" i="3"/>
  <c r="N9" i="3"/>
  <c r="J1023" i="2" l="1"/>
  <c r="BG31" i="5"/>
  <c r="J1011" i="2"/>
  <c r="G25" i="1"/>
  <c r="H32" i="1"/>
  <c r="G39" i="1"/>
  <c r="H26" i="1"/>
  <c r="G32" i="1"/>
  <c r="I32" i="1"/>
  <c r="I25" i="1"/>
  <c r="I39" i="1"/>
  <c r="J25" i="1"/>
  <c r="I31" i="1"/>
  <c r="H39" i="1"/>
  <c r="J33" i="1"/>
  <c r="B28" i="1"/>
  <c r="I28" i="1" s="1"/>
  <c r="B14" i="10"/>
  <c r="B29" i="1"/>
  <c r="J29" i="1" s="1"/>
  <c r="B15" i="10"/>
  <c r="H31" i="1"/>
  <c r="J26" i="1"/>
  <c r="I33" i="1"/>
  <c r="J19" i="10"/>
  <c r="I19" i="10"/>
  <c r="H19" i="10"/>
  <c r="G19" i="10"/>
  <c r="J17" i="10"/>
  <c r="I17" i="10"/>
  <c r="H17" i="10"/>
  <c r="G17" i="10"/>
  <c r="J12" i="10"/>
  <c r="I12" i="10"/>
  <c r="H12" i="10"/>
  <c r="G12" i="10"/>
  <c r="B27" i="1"/>
  <c r="G27" i="1" s="1"/>
  <c r="B13" i="10"/>
  <c r="J31" i="1"/>
  <c r="I26" i="1"/>
  <c r="H33" i="1"/>
  <c r="J18" i="10"/>
  <c r="I18" i="10"/>
  <c r="H18" i="10"/>
  <c r="G18" i="10"/>
  <c r="I25" i="10"/>
  <c r="H25" i="10"/>
  <c r="J25" i="10"/>
  <c r="G25" i="10"/>
  <c r="J11" i="10"/>
  <c r="I11" i="10"/>
  <c r="H11" i="10"/>
  <c r="G11" i="10"/>
  <c r="B36" i="1"/>
  <c r="H36" i="1" s="1"/>
  <c r="B22" i="10"/>
  <c r="B38" i="1"/>
  <c r="G38" i="1" s="1"/>
  <c r="B24" i="10"/>
  <c r="B34" i="1"/>
  <c r="G34" i="1" s="1"/>
  <c r="B20" i="10"/>
  <c r="B35" i="1"/>
  <c r="G35" i="1" s="1"/>
  <c r="B21" i="10"/>
  <c r="B37" i="1"/>
  <c r="H37" i="1" s="1"/>
  <c r="B23" i="10"/>
  <c r="B30" i="1"/>
  <c r="G30" i="1" s="1"/>
  <c r="B16" i="10"/>
  <c r="G36" i="1"/>
  <c r="G1" i="2"/>
  <c r="C29" i="9"/>
  <c r="C33" i="9"/>
  <c r="C37" i="9"/>
  <c r="C41" i="9"/>
  <c r="C45" i="9"/>
  <c r="C49" i="9"/>
  <c r="C53" i="9"/>
  <c r="C57" i="9"/>
  <c r="C61" i="9"/>
  <c r="C65" i="9"/>
  <c r="C69" i="9"/>
  <c r="C73" i="9"/>
  <c r="D66" i="9"/>
  <c r="D73" i="9"/>
  <c r="E66" i="9"/>
  <c r="D31" i="9"/>
  <c r="D35" i="9"/>
  <c r="D39" i="9"/>
  <c r="D43" i="9"/>
  <c r="D47" i="9"/>
  <c r="D51" i="9"/>
  <c r="D55" i="9"/>
  <c r="D59" i="9"/>
  <c r="D65" i="9"/>
  <c r="D74" i="9"/>
  <c r="E72" i="9"/>
  <c r="E34" i="9"/>
  <c r="E39" i="9"/>
  <c r="E43" i="9"/>
  <c r="E49" i="9"/>
  <c r="E53" i="9"/>
  <c r="E58" i="9"/>
  <c r="E69" i="9"/>
  <c r="D30" i="8"/>
  <c r="D38" i="8"/>
  <c r="D36" i="8"/>
  <c r="C32" i="8"/>
  <c r="C35" i="8"/>
  <c r="D31" i="8"/>
  <c r="D28" i="8"/>
  <c r="C30" i="9"/>
  <c r="C34" i="9"/>
  <c r="C38" i="9"/>
  <c r="C42" i="9"/>
  <c r="C46" i="9"/>
  <c r="C50" i="9"/>
  <c r="C54" i="9"/>
  <c r="C58" i="9"/>
  <c r="C62" i="9"/>
  <c r="C66" i="9"/>
  <c r="C70" i="9"/>
  <c r="C74" i="9"/>
  <c r="D68" i="9"/>
  <c r="E60" i="9"/>
  <c r="E68" i="9"/>
  <c r="D32" i="9"/>
  <c r="D36" i="9"/>
  <c r="D40" i="9"/>
  <c r="D44" i="9"/>
  <c r="D48" i="9"/>
  <c r="D52" i="9"/>
  <c r="D56" i="9"/>
  <c r="D60" i="9"/>
  <c r="D67" i="9"/>
  <c r="E63" i="9"/>
  <c r="E35" i="9"/>
  <c r="E40" i="9"/>
  <c r="E44" i="9"/>
  <c r="E50" i="9"/>
  <c r="E54" i="9"/>
  <c r="E59" i="9"/>
  <c r="E74" i="9"/>
  <c r="C28" i="9"/>
  <c r="C33" i="8"/>
  <c r="D37" i="8"/>
  <c r="C34" i="8"/>
  <c r="D33" i="8"/>
  <c r="D35" i="8"/>
  <c r="E28" i="8"/>
  <c r="C32" i="9"/>
  <c r="C36" i="9"/>
  <c r="C40" i="9"/>
  <c r="C44" i="9"/>
  <c r="C48" i="9"/>
  <c r="C52" i="9"/>
  <c r="C56" i="9"/>
  <c r="C60" i="9"/>
  <c r="C64" i="9"/>
  <c r="C68" i="9"/>
  <c r="C31" i="9"/>
  <c r="C35" i="9"/>
  <c r="C39" i="9"/>
  <c r="C43" i="9"/>
  <c r="C47" i="9"/>
  <c r="C51" i="9"/>
  <c r="C55" i="9"/>
  <c r="C59" i="9"/>
  <c r="C63" i="9"/>
  <c r="C67" i="9"/>
  <c r="C71" i="9"/>
  <c r="D62" i="9"/>
  <c r="D70" i="9"/>
  <c r="E62" i="9"/>
  <c r="E71" i="9"/>
  <c r="D29" i="9"/>
  <c r="D33" i="9"/>
  <c r="D37" i="9"/>
  <c r="D41" i="9"/>
  <c r="D45" i="9"/>
  <c r="D49" i="9"/>
  <c r="D53" i="9"/>
  <c r="D57" i="9"/>
  <c r="D61" i="9"/>
  <c r="D69" i="9"/>
  <c r="E67" i="9"/>
  <c r="E36" i="9"/>
  <c r="E41" i="9"/>
  <c r="E47" i="9"/>
  <c r="E51" i="9"/>
  <c r="E56" i="9"/>
  <c r="E61" i="9"/>
  <c r="D28" i="9"/>
  <c r="D34" i="8"/>
  <c r="E29" i="8"/>
  <c r="C38" i="8"/>
  <c r="C36" i="8"/>
  <c r="C72" i="9"/>
  <c r="E73" i="9"/>
  <c r="D42" i="9"/>
  <c r="D58" i="9"/>
  <c r="E29" i="9"/>
  <c r="E52" i="9"/>
  <c r="D64" i="9"/>
  <c r="D30" i="9"/>
  <c r="D46" i="9"/>
  <c r="D63" i="9"/>
  <c r="E38" i="9"/>
  <c r="E57" i="9"/>
  <c r="C37" i="8"/>
  <c r="C30" i="8"/>
  <c r="D71" i="9"/>
  <c r="D34" i="9"/>
  <c r="D50" i="9"/>
  <c r="D72" i="9"/>
  <c r="E42" i="9"/>
  <c r="E64" i="9"/>
  <c r="D32" i="8"/>
  <c r="C28" i="8"/>
  <c r="E65" i="9"/>
  <c r="D38" i="9"/>
  <c r="D54" i="9"/>
  <c r="E70" i="9"/>
  <c r="E48" i="9"/>
  <c r="E28" i="9"/>
  <c r="D29" i="8"/>
  <c r="C29" i="8"/>
  <c r="C31" i="8"/>
  <c r="E30" i="9"/>
  <c r="E31" i="9"/>
  <c r="E36" i="8"/>
  <c r="E45" i="9"/>
  <c r="E33" i="9"/>
  <c r="E33" i="8"/>
  <c r="E30" i="8"/>
  <c r="E34" i="8"/>
  <c r="E32" i="8"/>
  <c r="E31" i="8"/>
  <c r="E46" i="9"/>
  <c r="E32" i="9"/>
  <c r="E37" i="9"/>
  <c r="E35" i="8"/>
  <c r="E38" i="8"/>
  <c r="E55" i="9"/>
  <c r="E37" i="8"/>
  <c r="H20" i="2"/>
  <c r="AF21" i="2"/>
  <c r="AH21" i="2" s="1"/>
  <c r="AI21" i="2" s="1"/>
  <c r="AF37" i="2"/>
  <c r="AH37" i="2" s="1"/>
  <c r="AI37" i="2" s="1"/>
  <c r="AF53" i="2"/>
  <c r="AH53" i="2" s="1"/>
  <c r="AI53" i="2" s="1"/>
  <c r="AF69" i="2"/>
  <c r="AH69" i="2" s="1"/>
  <c r="AI69" i="2" s="1"/>
  <c r="AF85" i="2"/>
  <c r="AH85" i="2" s="1"/>
  <c r="AI85" i="2" s="1"/>
  <c r="AF101" i="2"/>
  <c r="AH101" i="2" s="1"/>
  <c r="AI101" i="2" s="1"/>
  <c r="AF117" i="2"/>
  <c r="AH117" i="2" s="1"/>
  <c r="AI117" i="2" s="1"/>
  <c r="AF133" i="2"/>
  <c r="AF149" i="2"/>
  <c r="AH149" i="2" s="1"/>
  <c r="AI149" i="2" s="1"/>
  <c r="AF165" i="2"/>
  <c r="AH165" i="2" s="1"/>
  <c r="AI165" i="2" s="1"/>
  <c r="AF181" i="2"/>
  <c r="AH181" i="2" s="1"/>
  <c r="AI181" i="2" s="1"/>
  <c r="AF197" i="2"/>
  <c r="AF213" i="2"/>
  <c r="AH213" i="2" s="1"/>
  <c r="AI213" i="2" s="1"/>
  <c r="AF229" i="2"/>
  <c r="AH229" i="2" s="1"/>
  <c r="AI229" i="2" s="1"/>
  <c r="AF245" i="2"/>
  <c r="AH245" i="2" s="1"/>
  <c r="AI245" i="2" s="1"/>
  <c r="AF261" i="2"/>
  <c r="AH261" i="2" s="1"/>
  <c r="AI261" i="2" s="1"/>
  <c r="AF277" i="2"/>
  <c r="AH277" i="2" s="1"/>
  <c r="AI277" i="2" s="1"/>
  <c r="AF293" i="2"/>
  <c r="AH293" i="2" s="1"/>
  <c r="AI293" i="2" s="1"/>
  <c r="AF309" i="2"/>
  <c r="AF325" i="2"/>
  <c r="AH325" i="2" s="1"/>
  <c r="AI325" i="2" s="1"/>
  <c r="AF341" i="2"/>
  <c r="AH341" i="2" s="1"/>
  <c r="AI341" i="2" s="1"/>
  <c r="AF357" i="2"/>
  <c r="AH357" i="2" s="1"/>
  <c r="AI357" i="2" s="1"/>
  <c r="AF35" i="2"/>
  <c r="AH35" i="2" s="1"/>
  <c r="AI35" i="2" s="1"/>
  <c r="AF51" i="2"/>
  <c r="AH51" i="2" s="1"/>
  <c r="AI51" i="2" s="1"/>
  <c r="AF67" i="2"/>
  <c r="AH67" i="2" s="1"/>
  <c r="AI67" i="2" s="1"/>
  <c r="AF83" i="2"/>
  <c r="AH83" i="2" s="1"/>
  <c r="AI83" i="2" s="1"/>
  <c r="AF99" i="2"/>
  <c r="AH99" i="2" s="1"/>
  <c r="AI99" i="2" s="1"/>
  <c r="AF115" i="2"/>
  <c r="AH115" i="2" s="1"/>
  <c r="AI115" i="2" s="1"/>
  <c r="AF131" i="2"/>
  <c r="AF147" i="2"/>
  <c r="AH147" i="2" s="1"/>
  <c r="AI147" i="2" s="1"/>
  <c r="AF163" i="2"/>
  <c r="AH163" i="2" s="1"/>
  <c r="AI163" i="2" s="1"/>
  <c r="AF179" i="2"/>
  <c r="AH179" i="2" s="1"/>
  <c r="AI179" i="2" s="1"/>
  <c r="AF28" i="2"/>
  <c r="AH28" i="2" s="1"/>
  <c r="AI28" i="2" s="1"/>
  <c r="AF44" i="2"/>
  <c r="AH44" i="2" s="1"/>
  <c r="AI44" i="2" s="1"/>
  <c r="AF60" i="2"/>
  <c r="AH60" i="2" s="1"/>
  <c r="AI60" i="2" s="1"/>
  <c r="AF76" i="2"/>
  <c r="AH76" i="2" s="1"/>
  <c r="AI76" i="2" s="1"/>
  <c r="AF92" i="2"/>
  <c r="AH92" i="2" s="1"/>
  <c r="AI92" i="2" s="1"/>
  <c r="AF108" i="2"/>
  <c r="AH108" i="2" s="1"/>
  <c r="AI108" i="2" s="1"/>
  <c r="AF124" i="2"/>
  <c r="AH124" i="2" s="1"/>
  <c r="AI124" i="2" s="1"/>
  <c r="AF140" i="2"/>
  <c r="AH140" i="2" s="1"/>
  <c r="AI140" i="2" s="1"/>
  <c r="AF156" i="2"/>
  <c r="AH156" i="2" s="1"/>
  <c r="AI156" i="2" s="1"/>
  <c r="AF172" i="2"/>
  <c r="AH172" i="2" s="1"/>
  <c r="AI172" i="2" s="1"/>
  <c r="AF188" i="2"/>
  <c r="AF54" i="2"/>
  <c r="AH54" i="2" s="1"/>
  <c r="AI54" i="2" s="1"/>
  <c r="AF118" i="2"/>
  <c r="AH118" i="2" s="1"/>
  <c r="AI118" i="2" s="1"/>
  <c r="AF182" i="2"/>
  <c r="AH182" i="2" s="1"/>
  <c r="AI182" i="2" s="1"/>
  <c r="AF210" i="2"/>
  <c r="AH210" i="2" s="1"/>
  <c r="AI210" i="2" s="1"/>
  <c r="AF231" i="2"/>
  <c r="AH231" i="2" s="1"/>
  <c r="AI231" i="2" s="1"/>
  <c r="AF252" i="2"/>
  <c r="AF274" i="2"/>
  <c r="AH274" i="2" s="1"/>
  <c r="AI274" i="2" s="1"/>
  <c r="AF295" i="2"/>
  <c r="AH295" i="2" s="1"/>
  <c r="AI295" i="2" s="1"/>
  <c r="AF316" i="2"/>
  <c r="AF338" i="2"/>
  <c r="AH338" i="2" s="1"/>
  <c r="AI338" i="2" s="1"/>
  <c r="AF359" i="2"/>
  <c r="AH359" i="2" s="1"/>
  <c r="AI359" i="2" s="1"/>
  <c r="AF375" i="2"/>
  <c r="AF391" i="2"/>
  <c r="AH391" i="2" s="1"/>
  <c r="AI391" i="2" s="1"/>
  <c r="AF407" i="2"/>
  <c r="AH407" i="2" s="1"/>
  <c r="AI407" i="2" s="1"/>
  <c r="AF423" i="2"/>
  <c r="AH423" i="2" s="1"/>
  <c r="AI423" i="2" s="1"/>
  <c r="AF439" i="2"/>
  <c r="AF25" i="2"/>
  <c r="AH25" i="2" s="1"/>
  <c r="AI25" i="2" s="1"/>
  <c r="AF41" i="2"/>
  <c r="AH41" i="2" s="1"/>
  <c r="AI41" i="2" s="1"/>
  <c r="AF57" i="2"/>
  <c r="AH57" i="2" s="1"/>
  <c r="AI57" i="2" s="1"/>
  <c r="AF73" i="2"/>
  <c r="AH73" i="2" s="1"/>
  <c r="AI73" i="2" s="1"/>
  <c r="AF89" i="2"/>
  <c r="AH89" i="2" s="1"/>
  <c r="AI89" i="2" s="1"/>
  <c r="AF105" i="2"/>
  <c r="AH105" i="2" s="1"/>
  <c r="AI105" i="2" s="1"/>
  <c r="AF121" i="2"/>
  <c r="AH121" i="2" s="1"/>
  <c r="AI121" i="2" s="1"/>
  <c r="AF137" i="2"/>
  <c r="AF153" i="2"/>
  <c r="AH153" i="2" s="1"/>
  <c r="AI153" i="2" s="1"/>
  <c r="AF169" i="2"/>
  <c r="AH169" i="2" s="1"/>
  <c r="AI169" i="2" s="1"/>
  <c r="AF185" i="2"/>
  <c r="AH185" i="2" s="1"/>
  <c r="AI185" i="2" s="1"/>
  <c r="AF201" i="2"/>
  <c r="AH201" i="2" s="1"/>
  <c r="AI201" i="2" s="1"/>
  <c r="AF217" i="2"/>
  <c r="AH217" i="2" s="1"/>
  <c r="AI217" i="2" s="1"/>
  <c r="AF233" i="2"/>
  <c r="AH233" i="2" s="1"/>
  <c r="AI233" i="2" s="1"/>
  <c r="AF249" i="2"/>
  <c r="AF265" i="2"/>
  <c r="AH265" i="2" s="1"/>
  <c r="AI265" i="2" s="1"/>
  <c r="AF281" i="2"/>
  <c r="AH281" i="2" s="1"/>
  <c r="AI281" i="2" s="1"/>
  <c r="AF297" i="2"/>
  <c r="AH297" i="2" s="1"/>
  <c r="AI297" i="2" s="1"/>
  <c r="AF313" i="2"/>
  <c r="AF329" i="2"/>
  <c r="AH329" i="2" s="1"/>
  <c r="AI329" i="2" s="1"/>
  <c r="AF345" i="2"/>
  <c r="AH345" i="2" s="1"/>
  <c r="AI345" i="2" s="1"/>
  <c r="AF23" i="2"/>
  <c r="AH23" i="2" s="1"/>
  <c r="AI23" i="2" s="1"/>
  <c r="AF39" i="2"/>
  <c r="AH39" i="2" s="1"/>
  <c r="AI39" i="2" s="1"/>
  <c r="AF55" i="2"/>
  <c r="AH55" i="2" s="1"/>
  <c r="AI55" i="2" s="1"/>
  <c r="AF71" i="2"/>
  <c r="AH71" i="2" s="1"/>
  <c r="AI71" i="2" s="1"/>
  <c r="AF87" i="2"/>
  <c r="AH87" i="2" s="1"/>
  <c r="AI87" i="2" s="1"/>
  <c r="AF103" i="2"/>
  <c r="AH103" i="2" s="1"/>
  <c r="AI103" i="2" s="1"/>
  <c r="AF119" i="2"/>
  <c r="AH119" i="2" s="1"/>
  <c r="AI119" i="2" s="1"/>
  <c r="AF135" i="2"/>
  <c r="AF151" i="2"/>
  <c r="AH151" i="2" s="1"/>
  <c r="AI151" i="2" s="1"/>
  <c r="AF167" i="2"/>
  <c r="AH167" i="2" s="1"/>
  <c r="AI167" i="2" s="1"/>
  <c r="AF183" i="2"/>
  <c r="AH183" i="2" s="1"/>
  <c r="AI183" i="2" s="1"/>
  <c r="AF32" i="2"/>
  <c r="AH32" i="2" s="1"/>
  <c r="AI32" i="2" s="1"/>
  <c r="AF48" i="2"/>
  <c r="AH48" i="2" s="1"/>
  <c r="AI48" i="2" s="1"/>
  <c r="AF64" i="2"/>
  <c r="AH64" i="2" s="1"/>
  <c r="AI64" i="2" s="1"/>
  <c r="AF80" i="2"/>
  <c r="AH80" i="2" s="1"/>
  <c r="AI80" i="2" s="1"/>
  <c r="AF96" i="2"/>
  <c r="AH96" i="2" s="1"/>
  <c r="AI96" i="2" s="1"/>
  <c r="AF112" i="2"/>
  <c r="AH112" i="2" s="1"/>
  <c r="AI112" i="2" s="1"/>
  <c r="AF128" i="2"/>
  <c r="AF144" i="2"/>
  <c r="AH144" i="2" s="1"/>
  <c r="AI144" i="2" s="1"/>
  <c r="AF160" i="2"/>
  <c r="AH160" i="2" s="1"/>
  <c r="AI160" i="2" s="1"/>
  <c r="AF176" i="2"/>
  <c r="AH176" i="2" s="1"/>
  <c r="AI176" i="2" s="1"/>
  <c r="AF192" i="2"/>
  <c r="AF70" i="2"/>
  <c r="AH70" i="2" s="1"/>
  <c r="AI70" i="2" s="1"/>
  <c r="AF134" i="2"/>
  <c r="AF194" i="2"/>
  <c r="AF215" i="2"/>
  <c r="AH215" i="2" s="1"/>
  <c r="AI215" i="2" s="1"/>
  <c r="AF236" i="2"/>
  <c r="AH236" i="2" s="1"/>
  <c r="AI236" i="2" s="1"/>
  <c r="AF258" i="2"/>
  <c r="AF279" i="2"/>
  <c r="AH279" i="2" s="1"/>
  <c r="AI279" i="2" s="1"/>
  <c r="AF300" i="2"/>
  <c r="AH300" i="2" s="1"/>
  <c r="AI300" i="2" s="1"/>
  <c r="AF322" i="2"/>
  <c r="AH322" i="2" s="1"/>
  <c r="AI322" i="2" s="1"/>
  <c r="AF343" i="2"/>
  <c r="AH343" i="2" s="1"/>
  <c r="AI343" i="2" s="1"/>
  <c r="AF363" i="2"/>
  <c r="AH363" i="2" s="1"/>
  <c r="AI363" i="2" s="1"/>
  <c r="AF379" i="2"/>
  <c r="AF395" i="2"/>
  <c r="AH395" i="2" s="1"/>
  <c r="AI395" i="2" s="1"/>
  <c r="AF411" i="2"/>
  <c r="AH411" i="2" s="1"/>
  <c r="AI411" i="2" s="1"/>
  <c r="AF427" i="2"/>
  <c r="AH427" i="2" s="1"/>
  <c r="AI427" i="2" s="1"/>
  <c r="AF443" i="2"/>
  <c r="AH443" i="2" s="1"/>
  <c r="AI443" i="2" s="1"/>
  <c r="AF459" i="2"/>
  <c r="AH459" i="2" s="1"/>
  <c r="AI459" i="2" s="1"/>
  <c r="AF475" i="2"/>
  <c r="AH475" i="2" s="1"/>
  <c r="AI475" i="2" s="1"/>
  <c r="AF491" i="2"/>
  <c r="AF507" i="2"/>
  <c r="AH507" i="2" s="1"/>
  <c r="AI507" i="2" s="1"/>
  <c r="AF523" i="2"/>
  <c r="AH523" i="2" s="1"/>
  <c r="AI523" i="2" s="1"/>
  <c r="AF539" i="2"/>
  <c r="AH539" i="2" s="1"/>
  <c r="AI539" i="2" s="1"/>
  <c r="AF555" i="2"/>
  <c r="AF571" i="2"/>
  <c r="AH571" i="2" s="1"/>
  <c r="AI571" i="2" s="1"/>
  <c r="AF587" i="2"/>
  <c r="AH587" i="2" s="1"/>
  <c r="AI587" i="2" s="1"/>
  <c r="AF603" i="2"/>
  <c r="AH603" i="2" s="1"/>
  <c r="AI603" i="2" s="1"/>
  <c r="AF619" i="2"/>
  <c r="AF635" i="2"/>
  <c r="AH635" i="2" s="1"/>
  <c r="AI635" i="2" s="1"/>
  <c r="AF651" i="2"/>
  <c r="AH651" i="2" s="1"/>
  <c r="AI651" i="2" s="1"/>
  <c r="AF667" i="2"/>
  <c r="AH667" i="2" s="1"/>
  <c r="AI667" i="2" s="1"/>
  <c r="AF683" i="2"/>
  <c r="AH683" i="2" s="1"/>
  <c r="AI683" i="2" s="1"/>
  <c r="AF699" i="2"/>
  <c r="AH699" i="2" s="1"/>
  <c r="AI699" i="2" s="1"/>
  <c r="AF715" i="2"/>
  <c r="AH715" i="2" s="1"/>
  <c r="AI715" i="2" s="1"/>
  <c r="AF731" i="2"/>
  <c r="AF747" i="2"/>
  <c r="AH747" i="2" s="1"/>
  <c r="AI747" i="2" s="1"/>
  <c r="AF763" i="2"/>
  <c r="AH763" i="2" s="1"/>
  <c r="AI763" i="2" s="1"/>
  <c r="AF779" i="2"/>
  <c r="AH779" i="2" s="1"/>
  <c r="AI779" i="2" s="1"/>
  <c r="AF795" i="2"/>
  <c r="AF811" i="2"/>
  <c r="AH811" i="2" s="1"/>
  <c r="AI811" i="2" s="1"/>
  <c r="AF827" i="2"/>
  <c r="AH827" i="2" s="1"/>
  <c r="AI827" i="2" s="1"/>
  <c r="AF843" i="2"/>
  <c r="AH843" i="2" s="1"/>
  <c r="AI843" i="2" s="1"/>
  <c r="AF859" i="2"/>
  <c r="AF46" i="2"/>
  <c r="AH46" i="2" s="1"/>
  <c r="AI46" i="2" s="1"/>
  <c r="AF110" i="2"/>
  <c r="AH110" i="2" s="1"/>
  <c r="AI110" i="2" s="1"/>
  <c r="AF174" i="2"/>
  <c r="AH174" i="2" s="1"/>
  <c r="AI174" i="2" s="1"/>
  <c r="AF207" i="2"/>
  <c r="AH207" i="2" s="1"/>
  <c r="AI207" i="2" s="1"/>
  <c r="AF228" i="2"/>
  <c r="AH228" i="2" s="1"/>
  <c r="AI228" i="2" s="1"/>
  <c r="AF250" i="2"/>
  <c r="AF271" i="2"/>
  <c r="AH271" i="2" s="1"/>
  <c r="AI271" i="2" s="1"/>
  <c r="AF292" i="2"/>
  <c r="AH292" i="2" s="1"/>
  <c r="AI292" i="2" s="1"/>
  <c r="AF314" i="2"/>
  <c r="AF335" i="2"/>
  <c r="AH335" i="2" s="1"/>
  <c r="AI335" i="2" s="1"/>
  <c r="AF356" i="2"/>
  <c r="AH356" i="2" s="1"/>
  <c r="AI356" i="2" s="1"/>
  <c r="AF373" i="2"/>
  <c r="AF389" i="2"/>
  <c r="AH389" i="2" s="1"/>
  <c r="AI389" i="2" s="1"/>
  <c r="AF405" i="2"/>
  <c r="AH405" i="2" s="1"/>
  <c r="AI405" i="2" s="1"/>
  <c r="AF421" i="2"/>
  <c r="AH421" i="2" s="1"/>
  <c r="AI421" i="2" s="1"/>
  <c r="AF437" i="2"/>
  <c r="AF453" i="2"/>
  <c r="AH453" i="2" s="1"/>
  <c r="AI453" i="2" s="1"/>
  <c r="AF469" i="2"/>
  <c r="AH469" i="2" s="1"/>
  <c r="AI469" i="2" s="1"/>
  <c r="AF485" i="2"/>
  <c r="AH485" i="2" s="1"/>
  <c r="AI485" i="2" s="1"/>
  <c r="AF501" i="2"/>
  <c r="AH501" i="2" s="1"/>
  <c r="AI501" i="2" s="1"/>
  <c r="AF517" i="2"/>
  <c r="AH517" i="2" s="1"/>
  <c r="AI517" i="2" s="1"/>
  <c r="AF34" i="2"/>
  <c r="AH34" i="2" s="1"/>
  <c r="AI34" i="2" s="1"/>
  <c r="AF98" i="2"/>
  <c r="AH98" i="2" s="1"/>
  <c r="AI98" i="2" s="1"/>
  <c r="AF162" i="2"/>
  <c r="AH162" i="2" s="1"/>
  <c r="AI162" i="2" s="1"/>
  <c r="AF203" i="2"/>
  <c r="AH203" i="2" s="1"/>
  <c r="AI203" i="2" s="1"/>
  <c r="AF224" i="2"/>
  <c r="AH224" i="2" s="1"/>
  <c r="AI224" i="2" s="1"/>
  <c r="AF246" i="2"/>
  <c r="AH246" i="2" s="1"/>
  <c r="AI246" i="2" s="1"/>
  <c r="AF267" i="2"/>
  <c r="AH267" i="2" s="1"/>
  <c r="AI267" i="2" s="1"/>
  <c r="AF288" i="2"/>
  <c r="AH288" i="2" s="1"/>
  <c r="AI288" i="2" s="1"/>
  <c r="AF310" i="2"/>
  <c r="AF331" i="2"/>
  <c r="AH331" i="2" s="1"/>
  <c r="AI331" i="2" s="1"/>
  <c r="AF352" i="2"/>
  <c r="AH352" i="2" s="1"/>
  <c r="AI352" i="2" s="1"/>
  <c r="AF370" i="2"/>
  <c r="AF386" i="2"/>
  <c r="AH386" i="2" s="1"/>
  <c r="AI386" i="2" s="1"/>
  <c r="AF402" i="2"/>
  <c r="AH402" i="2" s="1"/>
  <c r="AI402" i="2" s="1"/>
  <c r="AF418" i="2"/>
  <c r="AH418" i="2" s="1"/>
  <c r="AI418" i="2" s="1"/>
  <c r="AF434" i="2"/>
  <c r="AF450" i="2"/>
  <c r="AH450" i="2" s="1"/>
  <c r="AI450" i="2" s="1"/>
  <c r="AF466" i="2"/>
  <c r="AH466" i="2" s="1"/>
  <c r="AI466" i="2" s="1"/>
  <c r="AF482" i="2"/>
  <c r="AH482" i="2" s="1"/>
  <c r="AI482" i="2" s="1"/>
  <c r="AF498" i="2"/>
  <c r="AF514" i="2"/>
  <c r="AH514" i="2" s="1"/>
  <c r="AI514" i="2" s="1"/>
  <c r="AF530" i="2"/>
  <c r="AH530" i="2" s="1"/>
  <c r="AI530" i="2" s="1"/>
  <c r="AF200" i="2"/>
  <c r="AH200" i="2" s="1"/>
  <c r="AI200" i="2" s="1"/>
  <c r="AF286" i="2"/>
  <c r="AH286" i="2" s="1"/>
  <c r="AI286" i="2" s="1"/>
  <c r="AF368" i="2"/>
  <c r="AF432" i="2"/>
  <c r="AF496" i="2"/>
  <c r="AF541" i="2"/>
  <c r="AH541" i="2" s="1"/>
  <c r="AI541" i="2" s="1"/>
  <c r="AF562" i="2"/>
  <c r="AH562" i="2" s="1"/>
  <c r="AI562" i="2" s="1"/>
  <c r="AF584" i="2"/>
  <c r="AH584" i="2" s="1"/>
  <c r="AI584" i="2" s="1"/>
  <c r="AF605" i="2"/>
  <c r="AH605" i="2" s="1"/>
  <c r="AI605" i="2" s="1"/>
  <c r="AF626" i="2"/>
  <c r="AH626" i="2" s="1"/>
  <c r="AI626" i="2" s="1"/>
  <c r="AF648" i="2"/>
  <c r="AH648" i="2" s="1"/>
  <c r="AI648" i="2" s="1"/>
  <c r="AF669" i="2"/>
  <c r="AF690" i="2"/>
  <c r="AH690" i="2" s="1"/>
  <c r="AI690" i="2" s="1"/>
  <c r="AF712" i="2"/>
  <c r="AH712" i="2" s="1"/>
  <c r="AI712" i="2" s="1"/>
  <c r="AF733" i="2"/>
  <c r="AF754" i="2"/>
  <c r="AH754" i="2" s="1"/>
  <c r="AI754" i="2" s="1"/>
  <c r="AF776" i="2"/>
  <c r="AH776" i="2" s="1"/>
  <c r="AI776" i="2" s="1"/>
  <c r="AF797" i="2"/>
  <c r="AF818" i="2"/>
  <c r="AH818" i="2" s="1"/>
  <c r="AI818" i="2" s="1"/>
  <c r="AF840" i="2"/>
  <c r="AH840" i="2" s="1"/>
  <c r="AI840" i="2" s="1"/>
  <c r="AF861" i="2"/>
  <c r="AH861" i="2" s="1"/>
  <c r="AI861" i="2" s="1"/>
  <c r="AF879" i="2"/>
  <c r="AH879" i="2" s="1"/>
  <c r="AI879" i="2" s="1"/>
  <c r="AF895" i="2"/>
  <c r="AH895" i="2" s="1"/>
  <c r="AI895" i="2" s="1"/>
  <c r="AF911" i="2"/>
  <c r="AF927" i="2"/>
  <c r="AH927" i="2" s="1"/>
  <c r="AI927" i="2" s="1"/>
  <c r="AF943" i="2"/>
  <c r="AH943" i="2" s="1"/>
  <c r="AI943" i="2" s="1"/>
  <c r="AF959" i="2"/>
  <c r="AH959" i="2" s="1"/>
  <c r="AI959" i="2" s="1"/>
  <c r="AF975" i="2"/>
  <c r="AF991" i="2"/>
  <c r="AH991" i="2" s="1"/>
  <c r="AI991" i="2" s="1"/>
  <c r="AF1007" i="2"/>
  <c r="AH1007" i="2" s="1"/>
  <c r="AI1007" i="2" s="1"/>
  <c r="AF1023" i="2"/>
  <c r="AH1023" i="2" s="1"/>
  <c r="AI1023" i="2" s="1"/>
  <c r="AF170" i="2"/>
  <c r="AH170" i="2" s="1"/>
  <c r="AI170" i="2" s="1"/>
  <c r="AF29" i="2"/>
  <c r="AH29" i="2" s="1"/>
  <c r="AI29" i="2" s="1"/>
  <c r="AF45" i="2"/>
  <c r="AH45" i="2" s="1"/>
  <c r="AI45" i="2" s="1"/>
  <c r="AF61" i="2"/>
  <c r="AH61" i="2" s="1"/>
  <c r="AI61" i="2" s="1"/>
  <c r="AF77" i="2"/>
  <c r="AH77" i="2" s="1"/>
  <c r="AI77" i="2" s="1"/>
  <c r="AF93" i="2"/>
  <c r="AH93" i="2" s="1"/>
  <c r="AI93" i="2" s="1"/>
  <c r="AF109" i="2"/>
  <c r="AH109" i="2" s="1"/>
  <c r="AI109" i="2" s="1"/>
  <c r="AF125" i="2"/>
  <c r="AH125" i="2" s="1"/>
  <c r="AI125" i="2" s="1"/>
  <c r="AF141" i="2"/>
  <c r="AH141" i="2" s="1"/>
  <c r="AI141" i="2" s="1"/>
  <c r="AF157" i="2"/>
  <c r="AH157" i="2" s="1"/>
  <c r="AI157" i="2" s="1"/>
  <c r="AF173" i="2"/>
  <c r="AH173" i="2" s="1"/>
  <c r="AI173" i="2" s="1"/>
  <c r="AF189" i="2"/>
  <c r="AF205" i="2"/>
  <c r="AH205" i="2" s="1"/>
  <c r="AI205" i="2" s="1"/>
  <c r="AF221" i="2"/>
  <c r="AH221" i="2" s="1"/>
  <c r="AI221" i="2" s="1"/>
  <c r="AF237" i="2"/>
  <c r="AH237" i="2" s="1"/>
  <c r="AI237" i="2" s="1"/>
  <c r="AF253" i="2"/>
  <c r="AF269" i="2"/>
  <c r="AH269" i="2" s="1"/>
  <c r="AI269" i="2" s="1"/>
  <c r="AF285" i="2"/>
  <c r="AH285" i="2" s="1"/>
  <c r="AI285" i="2" s="1"/>
  <c r="AF301" i="2"/>
  <c r="AH301" i="2" s="1"/>
  <c r="AI301" i="2" s="1"/>
  <c r="AF317" i="2"/>
  <c r="AF333" i="2"/>
  <c r="AH333" i="2" s="1"/>
  <c r="AI333" i="2" s="1"/>
  <c r="AF349" i="2"/>
  <c r="AH349" i="2" s="1"/>
  <c r="AI349" i="2" s="1"/>
  <c r="AF27" i="2"/>
  <c r="AH27" i="2" s="1"/>
  <c r="AI27" i="2" s="1"/>
  <c r="AF43" i="2"/>
  <c r="AH43" i="2" s="1"/>
  <c r="AI43" i="2" s="1"/>
  <c r="AF59" i="2"/>
  <c r="AH59" i="2" s="1"/>
  <c r="AI59" i="2" s="1"/>
  <c r="AF75" i="2"/>
  <c r="AH75" i="2" s="1"/>
  <c r="AI75" i="2" s="1"/>
  <c r="AF91" i="2"/>
  <c r="AH91" i="2" s="1"/>
  <c r="AI91" i="2" s="1"/>
  <c r="AF107" i="2"/>
  <c r="AH107" i="2" s="1"/>
  <c r="AI107" i="2" s="1"/>
  <c r="AF123" i="2"/>
  <c r="AH123" i="2" s="1"/>
  <c r="AI123" i="2" s="1"/>
  <c r="AF139" i="2"/>
  <c r="AF155" i="2"/>
  <c r="AH155" i="2" s="1"/>
  <c r="AI155" i="2" s="1"/>
  <c r="AF171" i="2"/>
  <c r="AH171" i="2" s="1"/>
  <c r="AI171" i="2" s="1"/>
  <c r="AF187" i="2"/>
  <c r="AH187" i="2" s="1"/>
  <c r="AI187" i="2" s="1"/>
  <c r="AF36" i="2"/>
  <c r="AH36" i="2" s="1"/>
  <c r="AI36" i="2" s="1"/>
  <c r="AF52" i="2"/>
  <c r="AH52" i="2" s="1"/>
  <c r="AI52" i="2" s="1"/>
  <c r="AF68" i="2"/>
  <c r="AH68" i="2" s="1"/>
  <c r="AI68" i="2" s="1"/>
  <c r="AF84" i="2"/>
  <c r="AH84" i="2" s="1"/>
  <c r="AI84" i="2" s="1"/>
  <c r="AF100" i="2"/>
  <c r="AH100" i="2" s="1"/>
  <c r="AI100" i="2" s="1"/>
  <c r="AF116" i="2"/>
  <c r="AH116" i="2" s="1"/>
  <c r="AI116" i="2" s="1"/>
  <c r="AF132" i="2"/>
  <c r="AF148" i="2"/>
  <c r="AH148" i="2" s="1"/>
  <c r="AI148" i="2" s="1"/>
  <c r="AF164" i="2"/>
  <c r="AH164" i="2" s="1"/>
  <c r="AI164" i="2" s="1"/>
  <c r="AF180" i="2"/>
  <c r="AH180" i="2" s="1"/>
  <c r="AI180" i="2" s="1"/>
  <c r="AF22" i="2"/>
  <c r="AH22" i="2" s="1"/>
  <c r="AI22" i="2" s="1"/>
  <c r="AF86" i="2"/>
  <c r="AH86" i="2" s="1"/>
  <c r="AI86" i="2" s="1"/>
  <c r="AF150" i="2"/>
  <c r="AH150" i="2" s="1"/>
  <c r="AI150" i="2" s="1"/>
  <c r="AF199" i="2"/>
  <c r="AF220" i="2"/>
  <c r="AH220" i="2" s="1"/>
  <c r="AI220" i="2" s="1"/>
  <c r="AF242" i="2"/>
  <c r="AH242" i="2" s="1"/>
  <c r="AI242" i="2" s="1"/>
  <c r="AF263" i="2"/>
  <c r="AH263" i="2" s="1"/>
  <c r="AI263" i="2" s="1"/>
  <c r="AF284" i="2"/>
  <c r="AH284" i="2" s="1"/>
  <c r="AI284" i="2" s="1"/>
  <c r="AF306" i="2"/>
  <c r="AH306" i="2" s="1"/>
  <c r="AI306" i="2" s="1"/>
  <c r="AF327" i="2"/>
  <c r="AH327" i="2" s="1"/>
  <c r="AI327" i="2" s="1"/>
  <c r="AF348" i="2"/>
  <c r="AH348" i="2" s="1"/>
  <c r="AI348" i="2" s="1"/>
  <c r="AF367" i="2"/>
  <c r="AH367" i="2" s="1"/>
  <c r="AI367" i="2" s="1"/>
  <c r="AF383" i="2"/>
  <c r="AH383" i="2" s="1"/>
  <c r="AI383" i="2" s="1"/>
  <c r="AF399" i="2"/>
  <c r="AH399" i="2" s="1"/>
  <c r="AI399" i="2" s="1"/>
  <c r="AF415" i="2"/>
  <c r="AH415" i="2" s="1"/>
  <c r="AI415" i="2" s="1"/>
  <c r="AF431" i="2"/>
  <c r="AF447" i="2"/>
  <c r="AH447" i="2" s="1"/>
  <c r="AI447" i="2" s="1"/>
  <c r="AF463" i="2"/>
  <c r="AH463" i="2" s="1"/>
  <c r="AI463" i="2" s="1"/>
  <c r="AF479" i="2"/>
  <c r="AH479" i="2" s="1"/>
  <c r="AI479" i="2" s="1"/>
  <c r="AF495" i="2"/>
  <c r="AF511" i="2"/>
  <c r="AH511" i="2" s="1"/>
  <c r="AI511" i="2" s="1"/>
  <c r="AF527" i="2"/>
  <c r="AH527" i="2" s="1"/>
  <c r="AI527" i="2" s="1"/>
  <c r="AF543" i="2"/>
  <c r="AH543" i="2" s="1"/>
  <c r="AI543" i="2" s="1"/>
  <c r="AF559" i="2"/>
  <c r="AF575" i="2"/>
  <c r="AH575" i="2" s="1"/>
  <c r="AI575" i="2" s="1"/>
  <c r="AF591" i="2"/>
  <c r="AH591" i="2" s="1"/>
  <c r="AI591" i="2" s="1"/>
  <c r="AF607" i="2"/>
  <c r="AH607" i="2" s="1"/>
  <c r="AI607" i="2" s="1"/>
  <c r="AF623" i="2"/>
  <c r="AH623" i="2" s="1"/>
  <c r="AI623" i="2" s="1"/>
  <c r="AF639" i="2"/>
  <c r="AH639" i="2" s="1"/>
  <c r="AI639" i="2" s="1"/>
  <c r="AF655" i="2"/>
  <c r="AH655" i="2" s="1"/>
  <c r="AI655" i="2" s="1"/>
  <c r="AF671" i="2"/>
  <c r="AF687" i="2"/>
  <c r="AH687" i="2" s="1"/>
  <c r="AI687" i="2" s="1"/>
  <c r="AF703" i="2"/>
  <c r="AH703" i="2" s="1"/>
  <c r="AI703" i="2" s="1"/>
  <c r="AF719" i="2"/>
  <c r="AH719" i="2" s="1"/>
  <c r="AI719" i="2" s="1"/>
  <c r="AF735" i="2"/>
  <c r="AF751" i="2"/>
  <c r="AH751" i="2" s="1"/>
  <c r="AI751" i="2" s="1"/>
  <c r="AF767" i="2"/>
  <c r="AH767" i="2" s="1"/>
  <c r="AI767" i="2" s="1"/>
  <c r="AF783" i="2"/>
  <c r="AH783" i="2" s="1"/>
  <c r="AI783" i="2" s="1"/>
  <c r="AF799" i="2"/>
  <c r="AF815" i="2"/>
  <c r="AH815" i="2" s="1"/>
  <c r="AI815" i="2" s="1"/>
  <c r="AF831" i="2"/>
  <c r="AH831" i="2" s="1"/>
  <c r="AI831" i="2" s="1"/>
  <c r="AF847" i="2"/>
  <c r="AH847" i="2" s="1"/>
  <c r="AI847" i="2" s="1"/>
  <c r="AF863" i="2"/>
  <c r="AH863" i="2" s="1"/>
  <c r="AI863" i="2" s="1"/>
  <c r="AF62" i="2"/>
  <c r="AH62" i="2" s="1"/>
  <c r="AI62" i="2" s="1"/>
  <c r="AF126" i="2"/>
  <c r="AH126" i="2" s="1"/>
  <c r="AI126" i="2" s="1"/>
  <c r="AF190" i="2"/>
  <c r="AF212" i="2"/>
  <c r="AH212" i="2" s="1"/>
  <c r="AI212" i="2" s="1"/>
  <c r="AF234" i="2"/>
  <c r="AH234" i="2" s="1"/>
  <c r="AI234" i="2" s="1"/>
  <c r="AF255" i="2"/>
  <c r="AF276" i="2"/>
  <c r="AH276" i="2" s="1"/>
  <c r="AI276" i="2" s="1"/>
  <c r="AF298" i="2"/>
  <c r="AH298" i="2" s="1"/>
  <c r="AI298" i="2" s="1"/>
  <c r="AF319" i="2"/>
  <c r="AF340" i="2"/>
  <c r="AH340" i="2" s="1"/>
  <c r="AI340" i="2" s="1"/>
  <c r="AF361" i="2"/>
  <c r="AH361" i="2" s="1"/>
  <c r="AI361" i="2" s="1"/>
  <c r="AF377" i="2"/>
  <c r="AF393" i="2"/>
  <c r="AH393" i="2" s="1"/>
  <c r="AI393" i="2" s="1"/>
  <c r="AF409" i="2"/>
  <c r="AH409" i="2" s="1"/>
  <c r="AI409" i="2" s="1"/>
  <c r="AF425" i="2"/>
  <c r="AH425" i="2" s="1"/>
  <c r="AI425" i="2" s="1"/>
  <c r="AF441" i="2"/>
  <c r="AH441" i="2" s="1"/>
  <c r="AI441" i="2" s="1"/>
  <c r="AF457" i="2"/>
  <c r="AH457" i="2" s="1"/>
  <c r="AI457" i="2" s="1"/>
  <c r="AF473" i="2"/>
  <c r="AH473" i="2" s="1"/>
  <c r="AI473" i="2" s="1"/>
  <c r="AF489" i="2"/>
  <c r="AF505" i="2"/>
  <c r="AH505" i="2" s="1"/>
  <c r="AI505" i="2" s="1"/>
  <c r="AF521" i="2"/>
  <c r="AH521" i="2" s="1"/>
  <c r="AI521" i="2" s="1"/>
  <c r="AF50" i="2"/>
  <c r="AH50" i="2" s="1"/>
  <c r="AI50" i="2" s="1"/>
  <c r="AF114" i="2"/>
  <c r="AH114" i="2" s="1"/>
  <c r="AI114" i="2" s="1"/>
  <c r="AF178" i="2"/>
  <c r="AH178" i="2" s="1"/>
  <c r="AI178" i="2" s="1"/>
  <c r="AF208" i="2"/>
  <c r="AH208" i="2" s="1"/>
  <c r="AI208" i="2" s="1"/>
  <c r="AF230" i="2"/>
  <c r="AH230" i="2" s="1"/>
  <c r="AI230" i="2" s="1"/>
  <c r="AF251" i="2"/>
  <c r="AF272" i="2"/>
  <c r="AH272" i="2" s="1"/>
  <c r="AI272" i="2" s="1"/>
  <c r="AF294" i="2"/>
  <c r="AH294" i="2" s="1"/>
  <c r="AI294" i="2" s="1"/>
  <c r="AF315" i="2"/>
  <c r="AF336" i="2"/>
  <c r="AH336" i="2" s="1"/>
  <c r="AI336" i="2" s="1"/>
  <c r="AF358" i="2"/>
  <c r="AH358" i="2" s="1"/>
  <c r="AI358" i="2" s="1"/>
  <c r="AF374" i="2"/>
  <c r="AF390" i="2"/>
  <c r="AH390" i="2" s="1"/>
  <c r="AI390" i="2" s="1"/>
  <c r="AF406" i="2"/>
  <c r="AH406" i="2" s="1"/>
  <c r="AI406" i="2" s="1"/>
  <c r="AF422" i="2"/>
  <c r="AH422" i="2" s="1"/>
  <c r="AI422" i="2" s="1"/>
  <c r="AF438" i="2"/>
  <c r="AF454" i="2"/>
  <c r="AH454" i="2" s="1"/>
  <c r="AI454" i="2" s="1"/>
  <c r="AF470" i="2"/>
  <c r="AH470" i="2" s="1"/>
  <c r="AI470" i="2" s="1"/>
  <c r="AF486" i="2"/>
  <c r="AH486" i="2" s="1"/>
  <c r="AI486" i="2" s="1"/>
  <c r="AF502" i="2"/>
  <c r="AH502" i="2" s="1"/>
  <c r="AI502" i="2" s="1"/>
  <c r="AF518" i="2"/>
  <c r="AH518" i="2" s="1"/>
  <c r="AI518" i="2" s="1"/>
  <c r="AF26" i="2"/>
  <c r="AH26" i="2" s="1"/>
  <c r="AI26" i="2" s="1"/>
  <c r="AF222" i="2"/>
  <c r="AH222" i="2" s="1"/>
  <c r="AI222" i="2" s="1"/>
  <c r="AF307" i="2"/>
  <c r="AH307" i="2" s="1"/>
  <c r="AI307" i="2" s="1"/>
  <c r="AF384" i="2"/>
  <c r="AH384" i="2" s="1"/>
  <c r="AI384" i="2" s="1"/>
  <c r="AF448" i="2"/>
  <c r="AH448" i="2" s="1"/>
  <c r="AI448" i="2" s="1"/>
  <c r="AF512" i="2"/>
  <c r="AH512" i="2" s="1"/>
  <c r="AI512" i="2" s="1"/>
  <c r="AF546" i="2"/>
  <c r="AH546" i="2" s="1"/>
  <c r="AI546" i="2" s="1"/>
  <c r="AF568" i="2"/>
  <c r="AH568" i="2" s="1"/>
  <c r="AI568" i="2" s="1"/>
  <c r="AF589" i="2"/>
  <c r="AH589" i="2" s="1"/>
  <c r="AI589" i="2" s="1"/>
  <c r="AF610" i="2"/>
  <c r="AF632" i="2"/>
  <c r="AH632" i="2" s="1"/>
  <c r="AI632" i="2" s="1"/>
  <c r="AF653" i="2"/>
  <c r="AH653" i="2" s="1"/>
  <c r="AI653" i="2" s="1"/>
  <c r="AF674" i="2"/>
  <c r="AF696" i="2"/>
  <c r="AH696" i="2" s="1"/>
  <c r="AI696" i="2" s="1"/>
  <c r="AF717" i="2"/>
  <c r="AH717" i="2" s="1"/>
  <c r="AI717" i="2" s="1"/>
  <c r="AF738" i="2"/>
  <c r="AF760" i="2"/>
  <c r="AH760" i="2" s="1"/>
  <c r="AI760" i="2" s="1"/>
  <c r="AF781" i="2"/>
  <c r="AH781" i="2" s="1"/>
  <c r="AI781" i="2" s="1"/>
  <c r="AF802" i="2"/>
  <c r="AH802" i="2" s="1"/>
  <c r="AI802" i="2" s="1"/>
  <c r="AF824" i="2"/>
  <c r="AH824" i="2" s="1"/>
  <c r="AI824" i="2" s="1"/>
  <c r="AF845" i="2"/>
  <c r="AH845" i="2" s="1"/>
  <c r="AI845" i="2" s="1"/>
  <c r="AF866" i="2"/>
  <c r="AH866" i="2" s="1"/>
  <c r="AI866" i="2" s="1"/>
  <c r="AF883" i="2"/>
  <c r="AH883" i="2" s="1"/>
  <c r="AI883" i="2" s="1"/>
  <c r="AF899" i="2"/>
  <c r="AH899" i="2" s="1"/>
  <c r="AI899" i="2" s="1"/>
  <c r="AF915" i="2"/>
  <c r="AF931" i="2"/>
  <c r="AH931" i="2" s="1"/>
  <c r="AI931" i="2" s="1"/>
  <c r="AF947" i="2"/>
  <c r="AH947" i="2" s="1"/>
  <c r="AI947" i="2" s="1"/>
  <c r="AF963" i="2"/>
  <c r="AH963" i="2" s="1"/>
  <c r="AI963" i="2" s="1"/>
  <c r="AF979" i="2"/>
  <c r="AF995" i="2"/>
  <c r="AH995" i="2" s="1"/>
  <c r="AI995" i="2" s="1"/>
  <c r="AF1011" i="2"/>
  <c r="AH1011" i="2" s="1"/>
  <c r="AI1011" i="2" s="1"/>
  <c r="AF1027" i="2"/>
  <c r="AH1027" i="2" s="1"/>
  <c r="AI1027" i="2" s="1"/>
  <c r="AF206" i="2"/>
  <c r="AH206" i="2" s="1"/>
  <c r="AI206" i="2" s="1"/>
  <c r="AF291" i="2"/>
  <c r="AH291" i="2" s="1"/>
  <c r="AI291" i="2" s="1"/>
  <c r="AF372" i="2"/>
  <c r="AF436" i="2"/>
  <c r="AF500" i="2"/>
  <c r="AH500" i="2" s="1"/>
  <c r="AI500" i="2" s="1"/>
  <c r="AF542" i="2"/>
  <c r="AH542" i="2" s="1"/>
  <c r="AI542" i="2" s="1"/>
  <c r="AF564" i="2"/>
  <c r="AH564" i="2" s="1"/>
  <c r="AI564" i="2" s="1"/>
  <c r="AF585" i="2"/>
  <c r="AH585" i="2" s="1"/>
  <c r="AI585" i="2" s="1"/>
  <c r="AF186" i="2"/>
  <c r="AH186" i="2" s="1"/>
  <c r="AI186" i="2" s="1"/>
  <c r="AF275" i="2"/>
  <c r="AH275" i="2" s="1"/>
  <c r="AI275" i="2" s="1"/>
  <c r="AF360" i="2"/>
  <c r="AH360" i="2" s="1"/>
  <c r="AI360" i="2" s="1"/>
  <c r="AF33" i="2"/>
  <c r="AH33" i="2" s="1"/>
  <c r="AI33" i="2" s="1"/>
  <c r="AF97" i="2"/>
  <c r="AH97" i="2" s="1"/>
  <c r="AI97" i="2" s="1"/>
  <c r="AF161" i="2"/>
  <c r="AH161" i="2" s="1"/>
  <c r="AI161" i="2" s="1"/>
  <c r="AF225" i="2"/>
  <c r="AH225" i="2" s="1"/>
  <c r="AI225" i="2" s="1"/>
  <c r="AF289" i="2"/>
  <c r="AH289" i="2" s="1"/>
  <c r="AI289" i="2" s="1"/>
  <c r="AF353" i="2"/>
  <c r="AH353" i="2" s="1"/>
  <c r="AI353" i="2" s="1"/>
  <c r="AF79" i="2"/>
  <c r="AH79" i="2" s="1"/>
  <c r="AI79" i="2" s="1"/>
  <c r="AF143" i="2"/>
  <c r="AH143" i="2" s="1"/>
  <c r="AI143" i="2" s="1"/>
  <c r="AF40" i="2"/>
  <c r="AH40" i="2" s="1"/>
  <c r="AI40" i="2" s="1"/>
  <c r="AF104" i="2"/>
  <c r="AH104" i="2" s="1"/>
  <c r="AI104" i="2" s="1"/>
  <c r="AF168" i="2"/>
  <c r="AH168" i="2" s="1"/>
  <c r="AI168" i="2" s="1"/>
  <c r="AF166" i="2"/>
  <c r="AH166" i="2" s="1"/>
  <c r="AI166" i="2" s="1"/>
  <c r="AF268" i="2"/>
  <c r="AH268" i="2" s="1"/>
  <c r="AI268" i="2" s="1"/>
  <c r="AF354" i="2"/>
  <c r="AH354" i="2" s="1"/>
  <c r="AI354" i="2" s="1"/>
  <c r="AF419" i="2"/>
  <c r="AH419" i="2" s="1"/>
  <c r="AI419" i="2" s="1"/>
  <c r="AF467" i="2"/>
  <c r="AH467" i="2" s="1"/>
  <c r="AI467" i="2" s="1"/>
  <c r="AF499" i="2"/>
  <c r="AF531" i="2"/>
  <c r="AH531" i="2" s="1"/>
  <c r="AI531" i="2" s="1"/>
  <c r="AF563" i="2"/>
  <c r="AH563" i="2" s="1"/>
  <c r="AI563" i="2" s="1"/>
  <c r="AF595" i="2"/>
  <c r="AH595" i="2" s="1"/>
  <c r="AI595" i="2" s="1"/>
  <c r="AF627" i="2"/>
  <c r="AH627" i="2" s="1"/>
  <c r="AI627" i="2" s="1"/>
  <c r="AF659" i="2"/>
  <c r="AH659" i="2" s="1"/>
  <c r="AI659" i="2" s="1"/>
  <c r="AF691" i="2"/>
  <c r="AH691" i="2" s="1"/>
  <c r="AI691" i="2" s="1"/>
  <c r="AF723" i="2"/>
  <c r="AH723" i="2" s="1"/>
  <c r="AI723" i="2" s="1"/>
  <c r="AF755" i="2"/>
  <c r="AH755" i="2" s="1"/>
  <c r="AI755" i="2" s="1"/>
  <c r="AF787" i="2"/>
  <c r="AH787" i="2" s="1"/>
  <c r="AI787" i="2" s="1"/>
  <c r="AF819" i="2"/>
  <c r="AH819" i="2" s="1"/>
  <c r="AI819" i="2" s="1"/>
  <c r="AF851" i="2"/>
  <c r="AF78" i="2"/>
  <c r="AH78" i="2" s="1"/>
  <c r="AI78" i="2" s="1"/>
  <c r="AF196" i="2"/>
  <c r="AF239" i="2"/>
  <c r="AH239" i="2" s="1"/>
  <c r="AI239" i="2" s="1"/>
  <c r="AF282" i="2"/>
  <c r="AH282" i="2" s="1"/>
  <c r="AI282" i="2" s="1"/>
  <c r="AF324" i="2"/>
  <c r="AH324" i="2" s="1"/>
  <c r="AI324" i="2" s="1"/>
  <c r="AF365" i="2"/>
  <c r="AH365" i="2" s="1"/>
  <c r="AI365" i="2" s="1"/>
  <c r="AF397" i="2"/>
  <c r="AH397" i="2" s="1"/>
  <c r="AI397" i="2" s="1"/>
  <c r="AF429" i="2"/>
  <c r="AF461" i="2"/>
  <c r="AH461" i="2" s="1"/>
  <c r="AI461" i="2" s="1"/>
  <c r="AF493" i="2"/>
  <c r="AF525" i="2"/>
  <c r="AH525" i="2" s="1"/>
  <c r="AI525" i="2" s="1"/>
  <c r="AF130" i="2"/>
  <c r="AF214" i="2"/>
  <c r="AH214" i="2" s="1"/>
  <c r="AI214" i="2" s="1"/>
  <c r="AF256" i="2"/>
  <c r="AF299" i="2"/>
  <c r="AH299" i="2" s="1"/>
  <c r="AI299" i="2" s="1"/>
  <c r="AF342" i="2"/>
  <c r="AH342" i="2" s="1"/>
  <c r="AI342" i="2" s="1"/>
  <c r="AF378" i="2"/>
  <c r="AF410" i="2"/>
  <c r="AH410" i="2" s="1"/>
  <c r="AI410" i="2" s="1"/>
  <c r="AF442" i="2"/>
  <c r="AH442" i="2" s="1"/>
  <c r="AI442" i="2" s="1"/>
  <c r="AF474" i="2"/>
  <c r="AH474" i="2" s="1"/>
  <c r="AI474" i="2" s="1"/>
  <c r="AF506" i="2"/>
  <c r="AH506" i="2" s="1"/>
  <c r="AI506" i="2" s="1"/>
  <c r="AF90" i="2"/>
  <c r="AH90" i="2" s="1"/>
  <c r="AI90" i="2" s="1"/>
  <c r="AF328" i="2"/>
  <c r="AH328" i="2" s="1"/>
  <c r="AI328" i="2" s="1"/>
  <c r="AF464" i="2"/>
  <c r="AH464" i="2" s="1"/>
  <c r="AI464" i="2" s="1"/>
  <c r="AF552" i="2"/>
  <c r="AF594" i="2"/>
  <c r="AH594" i="2" s="1"/>
  <c r="AI594" i="2" s="1"/>
  <c r="AF637" i="2"/>
  <c r="AH637" i="2" s="1"/>
  <c r="AI637" i="2" s="1"/>
  <c r="AF680" i="2"/>
  <c r="AH680" i="2" s="1"/>
  <c r="AI680" i="2" s="1"/>
  <c r="AF722" i="2"/>
  <c r="AH722" i="2" s="1"/>
  <c r="AI722" i="2" s="1"/>
  <c r="AF765" i="2"/>
  <c r="AH765" i="2" s="1"/>
  <c r="AI765" i="2" s="1"/>
  <c r="AF808" i="2"/>
  <c r="AH808" i="2" s="1"/>
  <c r="AI808" i="2" s="1"/>
  <c r="AF850" i="2"/>
  <c r="AF887" i="2"/>
  <c r="AH887" i="2" s="1"/>
  <c r="AI887" i="2" s="1"/>
  <c r="AF919" i="2"/>
  <c r="AF951" i="2"/>
  <c r="AH951" i="2" s="1"/>
  <c r="AI951" i="2" s="1"/>
  <c r="AF983" i="2"/>
  <c r="AH983" i="2" s="1"/>
  <c r="AI983" i="2" s="1"/>
  <c r="AF1015" i="2"/>
  <c r="AH1015" i="2" s="1"/>
  <c r="AI1015" i="2" s="1"/>
  <c r="AF227" i="2"/>
  <c r="AH227" i="2" s="1"/>
  <c r="AI227" i="2" s="1"/>
  <c r="AF334" i="2"/>
  <c r="AH334" i="2" s="1"/>
  <c r="AI334" i="2" s="1"/>
  <c r="AF420" i="2"/>
  <c r="AH420" i="2" s="1"/>
  <c r="AI420" i="2" s="1"/>
  <c r="AF516" i="2"/>
  <c r="AH516" i="2" s="1"/>
  <c r="AI516" i="2" s="1"/>
  <c r="AF553" i="2"/>
  <c r="AF580" i="2"/>
  <c r="AH580" i="2" s="1"/>
  <c r="AI580" i="2" s="1"/>
  <c r="AF211" i="2"/>
  <c r="AH211" i="2" s="1"/>
  <c r="AI211" i="2" s="1"/>
  <c r="AF318" i="2"/>
  <c r="AF408" i="2"/>
  <c r="AH408" i="2" s="1"/>
  <c r="AI408" i="2" s="1"/>
  <c r="AF472" i="2"/>
  <c r="AH472" i="2" s="1"/>
  <c r="AI472" i="2" s="1"/>
  <c r="AF533" i="2"/>
  <c r="AH533" i="2" s="1"/>
  <c r="AI533" i="2" s="1"/>
  <c r="AF554" i="2"/>
  <c r="AF576" i="2"/>
  <c r="AH576" i="2" s="1"/>
  <c r="AI576" i="2" s="1"/>
  <c r="AF597" i="2"/>
  <c r="AH597" i="2" s="1"/>
  <c r="AI597" i="2" s="1"/>
  <c r="AF618" i="2"/>
  <c r="AF640" i="2"/>
  <c r="AH640" i="2" s="1"/>
  <c r="AI640" i="2" s="1"/>
  <c r="AF661" i="2"/>
  <c r="AH661" i="2" s="1"/>
  <c r="AI661" i="2" s="1"/>
  <c r="AF682" i="2"/>
  <c r="AH682" i="2" s="1"/>
  <c r="AI682" i="2" s="1"/>
  <c r="AF704" i="2"/>
  <c r="AH704" i="2" s="1"/>
  <c r="AI704" i="2" s="1"/>
  <c r="AF725" i="2"/>
  <c r="AH725" i="2" s="1"/>
  <c r="AI725" i="2" s="1"/>
  <c r="AF746" i="2"/>
  <c r="AH746" i="2" s="1"/>
  <c r="AI746" i="2" s="1"/>
  <c r="AF768" i="2"/>
  <c r="AH768" i="2" s="1"/>
  <c r="AI768" i="2" s="1"/>
  <c r="AF789" i="2"/>
  <c r="AF810" i="2"/>
  <c r="AH810" i="2" s="1"/>
  <c r="AI810" i="2" s="1"/>
  <c r="AF832" i="2"/>
  <c r="AH832" i="2" s="1"/>
  <c r="AI832" i="2" s="1"/>
  <c r="AF853" i="2"/>
  <c r="AF74" i="2"/>
  <c r="AH74" i="2" s="1"/>
  <c r="AI74" i="2" s="1"/>
  <c r="AF238" i="2"/>
  <c r="AH238" i="2" s="1"/>
  <c r="AI238" i="2" s="1"/>
  <c r="AF323" i="2"/>
  <c r="AH323" i="2" s="1"/>
  <c r="AI323" i="2" s="1"/>
  <c r="AF396" i="2"/>
  <c r="AH396" i="2" s="1"/>
  <c r="AI396" i="2" s="1"/>
  <c r="AF460" i="2"/>
  <c r="AH460" i="2" s="1"/>
  <c r="AI460" i="2" s="1"/>
  <c r="AF524" i="2"/>
  <c r="AH524" i="2" s="1"/>
  <c r="AI524" i="2" s="1"/>
  <c r="AF550" i="2"/>
  <c r="AF572" i="2"/>
  <c r="AH572" i="2" s="1"/>
  <c r="AI572" i="2" s="1"/>
  <c r="AF593" i="2"/>
  <c r="AH593" i="2" s="1"/>
  <c r="AI593" i="2" s="1"/>
  <c r="AF614" i="2"/>
  <c r="AF636" i="2"/>
  <c r="AH636" i="2" s="1"/>
  <c r="AI636" i="2" s="1"/>
  <c r="AF657" i="2"/>
  <c r="AH657" i="2" s="1"/>
  <c r="AI657" i="2" s="1"/>
  <c r="AF678" i="2"/>
  <c r="AF700" i="2"/>
  <c r="AH700" i="2" s="1"/>
  <c r="AI700" i="2" s="1"/>
  <c r="AF721" i="2"/>
  <c r="AH721" i="2" s="1"/>
  <c r="AI721" i="2" s="1"/>
  <c r="AF742" i="2"/>
  <c r="AH742" i="2" s="1"/>
  <c r="AI742" i="2" s="1"/>
  <c r="AF764" i="2"/>
  <c r="AH764" i="2" s="1"/>
  <c r="AI764" i="2" s="1"/>
  <c r="AF785" i="2"/>
  <c r="AH785" i="2" s="1"/>
  <c r="AI785" i="2" s="1"/>
  <c r="AF806" i="2"/>
  <c r="AH806" i="2" s="1"/>
  <c r="AI806" i="2" s="1"/>
  <c r="AF828" i="2"/>
  <c r="AH828" i="2" s="1"/>
  <c r="AI828" i="2" s="1"/>
  <c r="AF849" i="2"/>
  <c r="AF870" i="2"/>
  <c r="AH870" i="2" s="1"/>
  <c r="AI870" i="2" s="1"/>
  <c r="AF660" i="2"/>
  <c r="AH660" i="2" s="1"/>
  <c r="AI660" i="2" s="1"/>
  <c r="AF745" i="2"/>
  <c r="AH745" i="2" s="1"/>
  <c r="AI745" i="2" s="1"/>
  <c r="AF830" i="2"/>
  <c r="AH830" i="2" s="1"/>
  <c r="AI830" i="2" s="1"/>
  <c r="AF882" i="2"/>
  <c r="AH882" i="2" s="1"/>
  <c r="AI882" i="2" s="1"/>
  <c r="AF904" i="2"/>
  <c r="AH904" i="2" s="1"/>
  <c r="AI904" i="2" s="1"/>
  <c r="AF925" i="2"/>
  <c r="AH925" i="2" s="1"/>
  <c r="AI925" i="2" s="1"/>
  <c r="AF978" i="2"/>
  <c r="AF20" i="2"/>
  <c r="AH20" i="2" s="1"/>
  <c r="AI20" i="2" s="1"/>
  <c r="AF665" i="2"/>
  <c r="AH665" i="2" s="1"/>
  <c r="AI665" i="2" s="1"/>
  <c r="AF750" i="2"/>
  <c r="AH750" i="2" s="1"/>
  <c r="AI750" i="2" s="1"/>
  <c r="AF836" i="2"/>
  <c r="AH836" i="2" s="1"/>
  <c r="AI836" i="2" s="1"/>
  <c r="AF884" i="2"/>
  <c r="AH884" i="2" s="1"/>
  <c r="AI884" i="2" s="1"/>
  <c r="AF905" i="2"/>
  <c r="AH905" i="2" s="1"/>
  <c r="AI905" i="2" s="1"/>
  <c r="AF926" i="2"/>
  <c r="AH926" i="2" s="1"/>
  <c r="AI926" i="2" s="1"/>
  <c r="AF958" i="2"/>
  <c r="AH958" i="2" s="1"/>
  <c r="AI958" i="2" s="1"/>
  <c r="AF628" i="2"/>
  <c r="AH628" i="2" s="1"/>
  <c r="AI628" i="2" s="1"/>
  <c r="AF713" i="2"/>
  <c r="AH713" i="2" s="1"/>
  <c r="AI713" i="2" s="1"/>
  <c r="AF798" i="2"/>
  <c r="AF874" i="2"/>
  <c r="AH874" i="2" s="1"/>
  <c r="AI874" i="2" s="1"/>
  <c r="AF896" i="2"/>
  <c r="AH896" i="2" s="1"/>
  <c r="AI896" i="2" s="1"/>
  <c r="AF917" i="2"/>
  <c r="AF938" i="2"/>
  <c r="AH938" i="2" s="1"/>
  <c r="AI938" i="2" s="1"/>
  <c r="AF960" i="2"/>
  <c r="AH960" i="2" s="1"/>
  <c r="AI960" i="2" s="1"/>
  <c r="AF981" i="2"/>
  <c r="AH981" i="2" s="1"/>
  <c r="AI981" i="2" s="1"/>
  <c r="AF1002" i="2"/>
  <c r="AH1002" i="2" s="1"/>
  <c r="AI1002" i="2" s="1"/>
  <c r="AF1024" i="2"/>
  <c r="AH1024" i="2" s="1"/>
  <c r="AI1024" i="2" s="1"/>
  <c r="AF1025" i="2"/>
  <c r="AH1025" i="2" s="1"/>
  <c r="AI1025" i="2" s="1"/>
  <c r="AF989" i="2"/>
  <c r="AH989" i="2" s="1"/>
  <c r="AI989" i="2" s="1"/>
  <c r="AF953" i="2"/>
  <c r="AH953" i="2" s="1"/>
  <c r="AI953" i="2" s="1"/>
  <c r="AF1017" i="2"/>
  <c r="AH1017" i="2" s="1"/>
  <c r="AI1017" i="2" s="1"/>
  <c r="AF676" i="2"/>
  <c r="AF761" i="2"/>
  <c r="AH761" i="2" s="1"/>
  <c r="AI761" i="2" s="1"/>
  <c r="AF846" i="2"/>
  <c r="AH846" i="2" s="1"/>
  <c r="AI846" i="2" s="1"/>
  <c r="AF886" i="2"/>
  <c r="AH886" i="2" s="1"/>
  <c r="AI886" i="2" s="1"/>
  <c r="AF908" i="2"/>
  <c r="AF929" i="2"/>
  <c r="AH929" i="2" s="1"/>
  <c r="AI929" i="2" s="1"/>
  <c r="AF950" i="2"/>
  <c r="AH950" i="2" s="1"/>
  <c r="AI950" i="2" s="1"/>
  <c r="AF972" i="2"/>
  <c r="AF998" i="2"/>
  <c r="AH998" i="2" s="1"/>
  <c r="AI998" i="2" s="1"/>
  <c r="AF957" i="2"/>
  <c r="AH957" i="2" s="1"/>
  <c r="AI957" i="2" s="1"/>
  <c r="AF1010" i="2"/>
  <c r="AH1010" i="2" s="1"/>
  <c r="AI1010" i="2" s="1"/>
  <c r="AF980" i="2"/>
  <c r="AH980" i="2" s="1"/>
  <c r="AI980" i="2" s="1"/>
  <c r="AF49" i="2"/>
  <c r="AH49" i="2" s="1"/>
  <c r="AI49" i="2" s="1"/>
  <c r="AF113" i="2"/>
  <c r="AH113" i="2" s="1"/>
  <c r="AI113" i="2" s="1"/>
  <c r="AF177" i="2"/>
  <c r="AH177" i="2" s="1"/>
  <c r="AI177" i="2" s="1"/>
  <c r="AF241" i="2"/>
  <c r="AH241" i="2" s="1"/>
  <c r="AI241" i="2" s="1"/>
  <c r="AF305" i="2"/>
  <c r="AH305" i="2" s="1"/>
  <c r="AI305" i="2" s="1"/>
  <c r="AF31" i="2"/>
  <c r="AH31" i="2" s="1"/>
  <c r="AI31" i="2" s="1"/>
  <c r="AF95" i="2"/>
  <c r="AH95" i="2" s="1"/>
  <c r="AI95" i="2" s="1"/>
  <c r="AF159" i="2"/>
  <c r="AH159" i="2" s="1"/>
  <c r="AI159" i="2" s="1"/>
  <c r="AF56" i="2"/>
  <c r="AH56" i="2" s="1"/>
  <c r="AI56" i="2" s="1"/>
  <c r="AF120" i="2"/>
  <c r="AH120" i="2" s="1"/>
  <c r="AI120" i="2" s="1"/>
  <c r="AF184" i="2"/>
  <c r="AH184" i="2" s="1"/>
  <c r="AI184" i="2" s="1"/>
  <c r="AF204" i="2"/>
  <c r="AH204" i="2" s="1"/>
  <c r="AI204" i="2" s="1"/>
  <c r="AF290" i="2"/>
  <c r="AH290" i="2" s="1"/>
  <c r="AI290" i="2" s="1"/>
  <c r="AF371" i="2"/>
  <c r="AF435" i="2"/>
  <c r="AF471" i="2"/>
  <c r="AH471" i="2" s="1"/>
  <c r="AI471" i="2" s="1"/>
  <c r="AF503" i="2"/>
  <c r="AH503" i="2" s="1"/>
  <c r="AI503" i="2" s="1"/>
  <c r="AF535" i="2"/>
  <c r="AH535" i="2" s="1"/>
  <c r="AI535" i="2" s="1"/>
  <c r="AF567" i="2"/>
  <c r="AH567" i="2" s="1"/>
  <c r="AI567" i="2" s="1"/>
  <c r="AF599" i="2"/>
  <c r="AH599" i="2" s="1"/>
  <c r="AI599" i="2" s="1"/>
  <c r="AF631" i="2"/>
  <c r="AH631" i="2" s="1"/>
  <c r="AI631" i="2" s="1"/>
  <c r="AF663" i="2"/>
  <c r="AH663" i="2" s="1"/>
  <c r="AI663" i="2" s="1"/>
  <c r="AF695" i="2"/>
  <c r="AH695" i="2" s="1"/>
  <c r="AI695" i="2" s="1"/>
  <c r="AF727" i="2"/>
  <c r="AH727" i="2" s="1"/>
  <c r="AI727" i="2" s="1"/>
  <c r="AF759" i="2"/>
  <c r="AH759" i="2" s="1"/>
  <c r="AI759" i="2" s="1"/>
  <c r="AF791" i="2"/>
  <c r="AF823" i="2"/>
  <c r="AH823" i="2" s="1"/>
  <c r="AI823" i="2" s="1"/>
  <c r="AF855" i="2"/>
  <c r="AF94" i="2"/>
  <c r="AH94" i="2" s="1"/>
  <c r="AI94" i="2" s="1"/>
  <c r="AF202" i="2"/>
  <c r="AH202" i="2" s="1"/>
  <c r="AI202" i="2" s="1"/>
  <c r="AF244" i="2"/>
  <c r="AH244" i="2" s="1"/>
  <c r="AI244" i="2" s="1"/>
  <c r="AF287" i="2"/>
  <c r="AH287" i="2" s="1"/>
  <c r="AI287" i="2" s="1"/>
  <c r="AF330" i="2"/>
  <c r="AH330" i="2" s="1"/>
  <c r="AI330" i="2" s="1"/>
  <c r="AF369" i="2"/>
  <c r="AF401" i="2"/>
  <c r="AH401" i="2" s="1"/>
  <c r="AI401" i="2" s="1"/>
  <c r="AF433" i="2"/>
  <c r="AF465" i="2"/>
  <c r="AH465" i="2" s="1"/>
  <c r="AI465" i="2" s="1"/>
  <c r="AF497" i="2"/>
  <c r="AF529" i="2"/>
  <c r="AH529" i="2" s="1"/>
  <c r="AI529" i="2" s="1"/>
  <c r="AF146" i="2"/>
  <c r="AH146" i="2" s="1"/>
  <c r="AI146" i="2" s="1"/>
  <c r="AF219" i="2"/>
  <c r="AH219" i="2" s="1"/>
  <c r="AI219" i="2" s="1"/>
  <c r="AF262" i="2"/>
  <c r="AH262" i="2" s="1"/>
  <c r="AI262" i="2" s="1"/>
  <c r="AF304" i="2"/>
  <c r="AH304" i="2" s="1"/>
  <c r="AI304" i="2" s="1"/>
  <c r="AF347" i="2"/>
  <c r="AH347" i="2" s="1"/>
  <c r="AI347" i="2" s="1"/>
  <c r="AF382" i="2"/>
  <c r="AH382" i="2" s="1"/>
  <c r="AI382" i="2" s="1"/>
  <c r="AF414" i="2"/>
  <c r="AH414" i="2" s="1"/>
  <c r="AI414" i="2" s="1"/>
  <c r="AF446" i="2"/>
  <c r="AH446" i="2" s="1"/>
  <c r="AI446" i="2" s="1"/>
  <c r="AF478" i="2"/>
  <c r="AH478" i="2" s="1"/>
  <c r="AI478" i="2" s="1"/>
  <c r="AF510" i="2"/>
  <c r="AH510" i="2" s="1"/>
  <c r="AI510" i="2" s="1"/>
  <c r="AF154" i="2"/>
  <c r="AH154" i="2" s="1"/>
  <c r="AI154" i="2" s="1"/>
  <c r="AF350" i="2"/>
  <c r="AH350" i="2" s="1"/>
  <c r="AI350" i="2" s="1"/>
  <c r="AF480" i="2"/>
  <c r="AH480" i="2" s="1"/>
  <c r="AI480" i="2" s="1"/>
  <c r="AF557" i="2"/>
  <c r="AF600" i="2"/>
  <c r="AH600" i="2" s="1"/>
  <c r="AI600" i="2" s="1"/>
  <c r="AF642" i="2"/>
  <c r="AH642" i="2" s="1"/>
  <c r="AI642" i="2" s="1"/>
  <c r="AF685" i="2"/>
  <c r="AH685" i="2" s="1"/>
  <c r="AI685" i="2" s="1"/>
  <c r="AF728" i="2"/>
  <c r="AF770" i="2"/>
  <c r="AH770" i="2" s="1"/>
  <c r="AI770" i="2" s="1"/>
  <c r="AF813" i="2"/>
  <c r="AH813" i="2" s="1"/>
  <c r="AI813" i="2" s="1"/>
  <c r="AF856" i="2"/>
  <c r="AF891" i="2"/>
  <c r="AH891" i="2" s="1"/>
  <c r="AI891" i="2" s="1"/>
  <c r="AF923" i="2"/>
  <c r="AH923" i="2" s="1"/>
  <c r="AI923" i="2" s="1"/>
  <c r="AF955" i="2"/>
  <c r="AH955" i="2" s="1"/>
  <c r="AI955" i="2" s="1"/>
  <c r="AF987" i="2"/>
  <c r="AH987" i="2" s="1"/>
  <c r="AI987" i="2" s="1"/>
  <c r="AF1019" i="2"/>
  <c r="AH1019" i="2" s="1"/>
  <c r="AI1019" i="2" s="1"/>
  <c r="AF248" i="2"/>
  <c r="AF355" i="2"/>
  <c r="AH355" i="2" s="1"/>
  <c r="AI355" i="2" s="1"/>
  <c r="AF452" i="2"/>
  <c r="AH452" i="2" s="1"/>
  <c r="AI452" i="2" s="1"/>
  <c r="AF532" i="2"/>
  <c r="AH532" i="2" s="1"/>
  <c r="AI532" i="2" s="1"/>
  <c r="AF558" i="2"/>
  <c r="AF590" i="2"/>
  <c r="AH590" i="2" s="1"/>
  <c r="AI590" i="2" s="1"/>
  <c r="AF232" i="2"/>
  <c r="AH232" i="2" s="1"/>
  <c r="AI232" i="2" s="1"/>
  <c r="AF339" i="2"/>
  <c r="AH339" i="2" s="1"/>
  <c r="AI339" i="2" s="1"/>
  <c r="AF424" i="2"/>
  <c r="AH424" i="2" s="1"/>
  <c r="AI424" i="2" s="1"/>
  <c r="AF488" i="2"/>
  <c r="AF538" i="2"/>
  <c r="AH538" i="2" s="1"/>
  <c r="AI538" i="2" s="1"/>
  <c r="AF560" i="2"/>
  <c r="AH560" i="2" s="1"/>
  <c r="AI560" i="2" s="1"/>
  <c r="AF581" i="2"/>
  <c r="AH581" i="2" s="1"/>
  <c r="AI581" i="2" s="1"/>
  <c r="AF602" i="2"/>
  <c r="AH602" i="2" s="1"/>
  <c r="AI602" i="2" s="1"/>
  <c r="AF624" i="2"/>
  <c r="AH624" i="2" s="1"/>
  <c r="AI624" i="2" s="1"/>
  <c r="AF645" i="2"/>
  <c r="AH645" i="2" s="1"/>
  <c r="AI645" i="2" s="1"/>
  <c r="AF666" i="2"/>
  <c r="AH666" i="2" s="1"/>
  <c r="AI666" i="2" s="1"/>
  <c r="AF688" i="2"/>
  <c r="AH688" i="2" s="1"/>
  <c r="AI688" i="2" s="1"/>
  <c r="AF709" i="2"/>
  <c r="AH709" i="2" s="1"/>
  <c r="AI709" i="2" s="1"/>
  <c r="AF730" i="2"/>
  <c r="AF752" i="2"/>
  <c r="AH752" i="2" s="1"/>
  <c r="AI752" i="2" s="1"/>
  <c r="AF773" i="2"/>
  <c r="AH773" i="2" s="1"/>
  <c r="AI773" i="2" s="1"/>
  <c r="AF794" i="2"/>
  <c r="AF816" i="2"/>
  <c r="AH816" i="2" s="1"/>
  <c r="AI816" i="2" s="1"/>
  <c r="AF837" i="2"/>
  <c r="AH837" i="2" s="1"/>
  <c r="AI837" i="2" s="1"/>
  <c r="AF858" i="2"/>
  <c r="AF138" i="2"/>
  <c r="AF259" i="2"/>
  <c r="AF344" i="2"/>
  <c r="AH344" i="2" s="1"/>
  <c r="AI344" i="2" s="1"/>
  <c r="AF412" i="2"/>
  <c r="AH412" i="2" s="1"/>
  <c r="AI412" i="2" s="1"/>
  <c r="AF476" i="2"/>
  <c r="AH476" i="2" s="1"/>
  <c r="AI476" i="2" s="1"/>
  <c r="AF534" i="2"/>
  <c r="AH534" i="2" s="1"/>
  <c r="AI534" i="2" s="1"/>
  <c r="AF556" i="2"/>
  <c r="AF577" i="2"/>
  <c r="AH577" i="2" s="1"/>
  <c r="AI577" i="2" s="1"/>
  <c r="AF598" i="2"/>
  <c r="AH598" i="2" s="1"/>
  <c r="AI598" i="2" s="1"/>
  <c r="AF620" i="2"/>
  <c r="AH620" i="2" s="1"/>
  <c r="AI620" i="2" s="1"/>
  <c r="AF641" i="2"/>
  <c r="AH641" i="2" s="1"/>
  <c r="AI641" i="2" s="1"/>
  <c r="AF662" i="2"/>
  <c r="AH662" i="2" s="1"/>
  <c r="AI662" i="2" s="1"/>
  <c r="AF684" i="2"/>
  <c r="AH684" i="2" s="1"/>
  <c r="AI684" i="2" s="1"/>
  <c r="AF705" i="2"/>
  <c r="AH705" i="2" s="1"/>
  <c r="AI705" i="2" s="1"/>
  <c r="AF726" i="2"/>
  <c r="AH726" i="2" s="1"/>
  <c r="AI726" i="2" s="1"/>
  <c r="AF748" i="2"/>
  <c r="AH748" i="2" s="1"/>
  <c r="AI748" i="2" s="1"/>
  <c r="AF769" i="2"/>
  <c r="AH769" i="2" s="1"/>
  <c r="AI769" i="2" s="1"/>
  <c r="AF790" i="2"/>
  <c r="AF812" i="2"/>
  <c r="AH812" i="2" s="1"/>
  <c r="AI812" i="2" s="1"/>
  <c r="AF833" i="2"/>
  <c r="AH833" i="2" s="1"/>
  <c r="AI833" i="2" s="1"/>
  <c r="AF854" i="2"/>
  <c r="AF596" i="2"/>
  <c r="AH596" i="2" s="1"/>
  <c r="AI596" i="2" s="1"/>
  <c r="AF681" i="2"/>
  <c r="AH681" i="2" s="1"/>
  <c r="AI681" i="2" s="1"/>
  <c r="AF766" i="2"/>
  <c r="AH766" i="2" s="1"/>
  <c r="AI766" i="2" s="1"/>
  <c r="AF852" i="2"/>
  <c r="AF888" i="2"/>
  <c r="AH888" i="2" s="1"/>
  <c r="AI888" i="2" s="1"/>
  <c r="AF909" i="2"/>
  <c r="AF930" i="2"/>
  <c r="AH930" i="2" s="1"/>
  <c r="AI930" i="2" s="1"/>
  <c r="AF1005" i="2"/>
  <c r="AH1005" i="2" s="1"/>
  <c r="AI1005" i="2" s="1"/>
  <c r="AF601" i="2"/>
  <c r="AH601" i="2" s="1"/>
  <c r="AI601" i="2" s="1"/>
  <c r="AF686" i="2"/>
  <c r="AH686" i="2" s="1"/>
  <c r="AI686" i="2" s="1"/>
  <c r="AF772" i="2"/>
  <c r="AH772" i="2" s="1"/>
  <c r="AI772" i="2" s="1"/>
  <c r="AF857" i="2"/>
  <c r="AF889" i="2"/>
  <c r="AH889" i="2" s="1"/>
  <c r="AI889" i="2" s="1"/>
  <c r="AF910" i="2"/>
  <c r="AF932" i="2"/>
  <c r="AH932" i="2" s="1"/>
  <c r="AI932" i="2" s="1"/>
  <c r="AF990" i="2"/>
  <c r="AH990" i="2" s="1"/>
  <c r="AI990" i="2" s="1"/>
  <c r="AF649" i="2"/>
  <c r="AH649" i="2" s="1"/>
  <c r="AI649" i="2" s="1"/>
  <c r="AF734" i="2"/>
  <c r="AF820" i="2"/>
  <c r="AH820" i="2" s="1"/>
  <c r="AI820" i="2" s="1"/>
  <c r="AF880" i="2"/>
  <c r="AH880" i="2" s="1"/>
  <c r="AI880" i="2" s="1"/>
  <c r="AF901" i="2"/>
  <c r="AH901" i="2" s="1"/>
  <c r="AI901" i="2" s="1"/>
  <c r="AF922" i="2"/>
  <c r="AH922" i="2" s="1"/>
  <c r="AI922" i="2" s="1"/>
  <c r="AF944" i="2"/>
  <c r="AH944" i="2" s="1"/>
  <c r="AI944" i="2" s="1"/>
  <c r="AF965" i="2"/>
  <c r="AH965" i="2" s="1"/>
  <c r="AI965" i="2" s="1"/>
  <c r="AF986" i="2"/>
  <c r="AH986" i="2" s="1"/>
  <c r="AI986" i="2" s="1"/>
  <c r="AF1008" i="2"/>
  <c r="AH1008" i="2" s="1"/>
  <c r="AI1008" i="2" s="1"/>
  <c r="AF993" i="2"/>
  <c r="AH993" i="2" s="1"/>
  <c r="AI993" i="2" s="1"/>
  <c r="AF946" i="2"/>
  <c r="AH946" i="2" s="1"/>
  <c r="AI946" i="2" s="1"/>
  <c r="AF1000" i="2"/>
  <c r="AH1000" i="2" s="1"/>
  <c r="AI1000" i="2" s="1"/>
  <c r="AF974" i="2"/>
  <c r="AF612" i="2"/>
  <c r="AF697" i="2"/>
  <c r="AH697" i="2" s="1"/>
  <c r="AI697" i="2" s="1"/>
  <c r="AF782" i="2"/>
  <c r="AH782" i="2" s="1"/>
  <c r="AI782" i="2" s="1"/>
  <c r="AF868" i="2"/>
  <c r="AH868" i="2" s="1"/>
  <c r="AI868" i="2" s="1"/>
  <c r="AF892" i="2"/>
  <c r="AH892" i="2" s="1"/>
  <c r="AI892" i="2" s="1"/>
  <c r="AF913" i="2"/>
  <c r="AF934" i="2"/>
  <c r="AH934" i="2" s="1"/>
  <c r="AI934" i="2" s="1"/>
  <c r="AF956" i="2"/>
  <c r="AH956" i="2" s="1"/>
  <c r="AI956" i="2" s="1"/>
  <c r="AF977" i="2"/>
  <c r="AF1009" i="2"/>
  <c r="AH1009" i="2" s="1"/>
  <c r="AI1009" i="2" s="1"/>
  <c r="AF968" i="2"/>
  <c r="AF1021" i="2"/>
  <c r="AH1021" i="2" s="1"/>
  <c r="AI1021" i="2" s="1"/>
  <c r="AF1001" i="2"/>
  <c r="AH1001" i="2" s="1"/>
  <c r="AI1001" i="2" s="1"/>
  <c r="AF81" i="2"/>
  <c r="AH81" i="2" s="1"/>
  <c r="AI81" i="2" s="1"/>
  <c r="AF145" i="2"/>
  <c r="AH145" i="2" s="1"/>
  <c r="AI145" i="2" s="1"/>
  <c r="AF209" i="2"/>
  <c r="AH209" i="2" s="1"/>
  <c r="AI209" i="2" s="1"/>
  <c r="AF273" i="2"/>
  <c r="AH273" i="2" s="1"/>
  <c r="AI273" i="2" s="1"/>
  <c r="AF337" i="2"/>
  <c r="AH337" i="2" s="1"/>
  <c r="AI337" i="2" s="1"/>
  <c r="AF63" i="2"/>
  <c r="AH63" i="2" s="1"/>
  <c r="AI63" i="2" s="1"/>
  <c r="AF127" i="2"/>
  <c r="AH127" i="2" s="1"/>
  <c r="AI127" i="2" s="1"/>
  <c r="AF24" i="2"/>
  <c r="AH24" i="2" s="1"/>
  <c r="AI24" i="2" s="1"/>
  <c r="AF88" i="2"/>
  <c r="AH88" i="2" s="1"/>
  <c r="AI88" i="2" s="1"/>
  <c r="AF152" i="2"/>
  <c r="AH152" i="2" s="1"/>
  <c r="AI152" i="2" s="1"/>
  <c r="AF247" i="2"/>
  <c r="AH247" i="2" s="1"/>
  <c r="AI247" i="2" s="1"/>
  <c r="AF332" i="2"/>
  <c r="AH332" i="2" s="1"/>
  <c r="AI332" i="2" s="1"/>
  <c r="AF403" i="2"/>
  <c r="AH403" i="2" s="1"/>
  <c r="AI403" i="2" s="1"/>
  <c r="AF455" i="2"/>
  <c r="AH455" i="2" s="1"/>
  <c r="AI455" i="2" s="1"/>
  <c r="AF487" i="2"/>
  <c r="AH487" i="2" s="1"/>
  <c r="AI487" i="2" s="1"/>
  <c r="AF65" i="2"/>
  <c r="AH65" i="2" s="1"/>
  <c r="AI65" i="2" s="1"/>
  <c r="AF129" i="2"/>
  <c r="AF193" i="2"/>
  <c r="AF257" i="2"/>
  <c r="AF321" i="2"/>
  <c r="AH321" i="2" s="1"/>
  <c r="AI321" i="2" s="1"/>
  <c r="AF47" i="2"/>
  <c r="AH47" i="2" s="1"/>
  <c r="AI47" i="2" s="1"/>
  <c r="AF111" i="2"/>
  <c r="AH111" i="2" s="1"/>
  <c r="AI111" i="2" s="1"/>
  <c r="AF175" i="2"/>
  <c r="AH175" i="2" s="1"/>
  <c r="AI175" i="2" s="1"/>
  <c r="AF72" i="2"/>
  <c r="AH72" i="2" s="1"/>
  <c r="AI72" i="2" s="1"/>
  <c r="AF136" i="2"/>
  <c r="AF38" i="2"/>
  <c r="AH38" i="2" s="1"/>
  <c r="AI38" i="2" s="1"/>
  <c r="AF226" i="2"/>
  <c r="AH226" i="2" s="1"/>
  <c r="AI226" i="2" s="1"/>
  <c r="AF311" i="2"/>
  <c r="AF387" i="2"/>
  <c r="AH387" i="2" s="1"/>
  <c r="AI387" i="2" s="1"/>
  <c r="AF451" i="2"/>
  <c r="AH451" i="2" s="1"/>
  <c r="AI451" i="2" s="1"/>
  <c r="AF483" i="2"/>
  <c r="AH483" i="2" s="1"/>
  <c r="AI483" i="2" s="1"/>
  <c r="AF515" i="2"/>
  <c r="AH515" i="2" s="1"/>
  <c r="AI515" i="2" s="1"/>
  <c r="AF547" i="2"/>
  <c r="AH547" i="2" s="1"/>
  <c r="AI547" i="2" s="1"/>
  <c r="AF579" i="2"/>
  <c r="AH579" i="2" s="1"/>
  <c r="AI579" i="2" s="1"/>
  <c r="AF611" i="2"/>
  <c r="AF643" i="2"/>
  <c r="AH643" i="2" s="1"/>
  <c r="AI643" i="2" s="1"/>
  <c r="AF675" i="2"/>
  <c r="AF707" i="2"/>
  <c r="AH707" i="2" s="1"/>
  <c r="AI707" i="2" s="1"/>
  <c r="AF739" i="2"/>
  <c r="AF771" i="2"/>
  <c r="AH771" i="2" s="1"/>
  <c r="AI771" i="2" s="1"/>
  <c r="AF803" i="2"/>
  <c r="AH803" i="2" s="1"/>
  <c r="AI803" i="2" s="1"/>
  <c r="AF835" i="2"/>
  <c r="AH835" i="2" s="1"/>
  <c r="AI835" i="2" s="1"/>
  <c r="AF867" i="2"/>
  <c r="AH867" i="2" s="1"/>
  <c r="AI867" i="2" s="1"/>
  <c r="AF142" i="2"/>
  <c r="AH142" i="2" s="1"/>
  <c r="AI142" i="2" s="1"/>
  <c r="AF218" i="2"/>
  <c r="AH218" i="2" s="1"/>
  <c r="AI218" i="2" s="1"/>
  <c r="AF260" i="2"/>
  <c r="AH260" i="2" s="1"/>
  <c r="AI260" i="2" s="1"/>
  <c r="AF303" i="2"/>
  <c r="AH303" i="2" s="1"/>
  <c r="AI303" i="2" s="1"/>
  <c r="AF346" i="2"/>
  <c r="AH346" i="2" s="1"/>
  <c r="AI346" i="2" s="1"/>
  <c r="AF381" i="2"/>
  <c r="AH381" i="2" s="1"/>
  <c r="AI381" i="2" s="1"/>
  <c r="AF413" i="2"/>
  <c r="AH413" i="2" s="1"/>
  <c r="AI413" i="2" s="1"/>
  <c r="AF445" i="2"/>
  <c r="AH445" i="2" s="1"/>
  <c r="AI445" i="2" s="1"/>
  <c r="AF477" i="2"/>
  <c r="AH477" i="2" s="1"/>
  <c r="AI477" i="2" s="1"/>
  <c r="AF509" i="2"/>
  <c r="AH509" i="2" s="1"/>
  <c r="AI509" i="2" s="1"/>
  <c r="AF66" i="2"/>
  <c r="AH66" i="2" s="1"/>
  <c r="AI66" i="2" s="1"/>
  <c r="AF191" i="2"/>
  <c r="AF235" i="2"/>
  <c r="AH235" i="2" s="1"/>
  <c r="AI235" i="2" s="1"/>
  <c r="AF278" i="2"/>
  <c r="AH278" i="2" s="1"/>
  <c r="AI278" i="2" s="1"/>
  <c r="AF320" i="2"/>
  <c r="AH320" i="2" s="1"/>
  <c r="AI320" i="2" s="1"/>
  <c r="AF362" i="2"/>
  <c r="AH362" i="2" s="1"/>
  <c r="AI362" i="2" s="1"/>
  <c r="AF394" i="2"/>
  <c r="AH394" i="2" s="1"/>
  <c r="AI394" i="2" s="1"/>
  <c r="AF426" i="2"/>
  <c r="AH426" i="2" s="1"/>
  <c r="AI426" i="2" s="1"/>
  <c r="AF458" i="2"/>
  <c r="AH458" i="2" s="1"/>
  <c r="AI458" i="2" s="1"/>
  <c r="AF490" i="2"/>
  <c r="AF522" i="2"/>
  <c r="AH522" i="2" s="1"/>
  <c r="AI522" i="2" s="1"/>
  <c r="AF243" i="2"/>
  <c r="AH243" i="2" s="1"/>
  <c r="AI243" i="2" s="1"/>
  <c r="AF400" i="2"/>
  <c r="AH400" i="2" s="1"/>
  <c r="AI400" i="2" s="1"/>
  <c r="AF528" i="2"/>
  <c r="AH528" i="2" s="1"/>
  <c r="AI528" i="2" s="1"/>
  <c r="AF573" i="2"/>
  <c r="AH573" i="2" s="1"/>
  <c r="AI573" i="2" s="1"/>
  <c r="AF616" i="2"/>
  <c r="AF658" i="2"/>
  <c r="AH658" i="2" s="1"/>
  <c r="AI658" i="2" s="1"/>
  <c r="AF701" i="2"/>
  <c r="AH701" i="2" s="1"/>
  <c r="AI701" i="2" s="1"/>
  <c r="AF744" i="2"/>
  <c r="AH744" i="2" s="1"/>
  <c r="AI744" i="2" s="1"/>
  <c r="AF786" i="2"/>
  <c r="AH786" i="2" s="1"/>
  <c r="AI786" i="2" s="1"/>
  <c r="AF829" i="2"/>
  <c r="AH829" i="2" s="1"/>
  <c r="AI829" i="2" s="1"/>
  <c r="AF871" i="2"/>
  <c r="AH871" i="2" s="1"/>
  <c r="AI871" i="2" s="1"/>
  <c r="AF903" i="2"/>
  <c r="AH903" i="2" s="1"/>
  <c r="AI903" i="2" s="1"/>
  <c r="AF935" i="2"/>
  <c r="AH935" i="2" s="1"/>
  <c r="AI935" i="2" s="1"/>
  <c r="AF967" i="2"/>
  <c r="AH967" i="2" s="1"/>
  <c r="AI967" i="2" s="1"/>
  <c r="AF999" i="2"/>
  <c r="AH999" i="2" s="1"/>
  <c r="AI999" i="2" s="1"/>
  <c r="AF42" i="2"/>
  <c r="AH42" i="2" s="1"/>
  <c r="AI42" i="2" s="1"/>
  <c r="AF270" i="2"/>
  <c r="AH270" i="2" s="1"/>
  <c r="AI270" i="2" s="1"/>
  <c r="AF388" i="2"/>
  <c r="AH388" i="2" s="1"/>
  <c r="AI388" i="2" s="1"/>
  <c r="AF468" i="2"/>
  <c r="AH468" i="2" s="1"/>
  <c r="AI468" i="2" s="1"/>
  <c r="AF537" i="2"/>
  <c r="AH537" i="2" s="1"/>
  <c r="AI537" i="2" s="1"/>
  <c r="AF569" i="2"/>
  <c r="AH569" i="2" s="1"/>
  <c r="AI569" i="2" s="1"/>
  <c r="AF58" i="2"/>
  <c r="AH58" i="2" s="1"/>
  <c r="AI58" i="2" s="1"/>
  <c r="AF254" i="2"/>
  <c r="AF376" i="2"/>
  <c r="AF440" i="2"/>
  <c r="AH440" i="2" s="1"/>
  <c r="AI440" i="2" s="1"/>
  <c r="AF504" i="2"/>
  <c r="AH504" i="2" s="1"/>
  <c r="AI504" i="2" s="1"/>
  <c r="AF544" i="2"/>
  <c r="AH544" i="2" s="1"/>
  <c r="AI544" i="2" s="1"/>
  <c r="AF565" i="2"/>
  <c r="AH565" i="2" s="1"/>
  <c r="AI565" i="2" s="1"/>
  <c r="AF586" i="2"/>
  <c r="AH586" i="2" s="1"/>
  <c r="AI586" i="2" s="1"/>
  <c r="AF608" i="2"/>
  <c r="AF629" i="2"/>
  <c r="AH629" i="2" s="1"/>
  <c r="AI629" i="2" s="1"/>
  <c r="AF650" i="2"/>
  <c r="AH650" i="2" s="1"/>
  <c r="AI650" i="2" s="1"/>
  <c r="AF672" i="2"/>
  <c r="AF693" i="2"/>
  <c r="AH693" i="2" s="1"/>
  <c r="AI693" i="2" s="1"/>
  <c r="AF714" i="2"/>
  <c r="AH714" i="2" s="1"/>
  <c r="AI714" i="2" s="1"/>
  <c r="AF736" i="2"/>
  <c r="AF757" i="2"/>
  <c r="AH757" i="2" s="1"/>
  <c r="AI757" i="2" s="1"/>
  <c r="AF778" i="2"/>
  <c r="AH778" i="2" s="1"/>
  <c r="AI778" i="2" s="1"/>
  <c r="AF800" i="2"/>
  <c r="AH800" i="2" s="1"/>
  <c r="AI800" i="2" s="1"/>
  <c r="AF821" i="2"/>
  <c r="AH821" i="2" s="1"/>
  <c r="AI821" i="2" s="1"/>
  <c r="AF842" i="2"/>
  <c r="AH842" i="2" s="1"/>
  <c r="AI842" i="2" s="1"/>
  <c r="AF864" i="2"/>
  <c r="AH864" i="2" s="1"/>
  <c r="AI864" i="2" s="1"/>
  <c r="AF195" i="2"/>
  <c r="AF280" i="2"/>
  <c r="AH280" i="2" s="1"/>
  <c r="AI280" i="2" s="1"/>
  <c r="AF364" i="2"/>
  <c r="AH364" i="2" s="1"/>
  <c r="AI364" i="2" s="1"/>
  <c r="AF428" i="2"/>
  <c r="AF492" i="2"/>
  <c r="AF540" i="2"/>
  <c r="AH540" i="2" s="1"/>
  <c r="AI540" i="2" s="1"/>
  <c r="AF561" i="2"/>
  <c r="AH561" i="2" s="1"/>
  <c r="AI561" i="2" s="1"/>
  <c r="AF582" i="2"/>
  <c r="AH582" i="2" s="1"/>
  <c r="AI582" i="2" s="1"/>
  <c r="AF604" i="2"/>
  <c r="AH604" i="2" s="1"/>
  <c r="AI604" i="2" s="1"/>
  <c r="AF625" i="2"/>
  <c r="AH625" i="2" s="1"/>
  <c r="AI625" i="2" s="1"/>
  <c r="AF646" i="2"/>
  <c r="AH646" i="2" s="1"/>
  <c r="AI646" i="2" s="1"/>
  <c r="AF668" i="2"/>
  <c r="AF689" i="2"/>
  <c r="AH689" i="2" s="1"/>
  <c r="AI689" i="2" s="1"/>
  <c r="AF710" i="2"/>
  <c r="AH710" i="2" s="1"/>
  <c r="AI710" i="2" s="1"/>
  <c r="AF732" i="2"/>
  <c r="AF753" i="2"/>
  <c r="AH753" i="2" s="1"/>
  <c r="AI753" i="2" s="1"/>
  <c r="AF774" i="2"/>
  <c r="AH774" i="2" s="1"/>
  <c r="AI774" i="2" s="1"/>
  <c r="AF796" i="2"/>
  <c r="AF817" i="2"/>
  <c r="AH817" i="2" s="1"/>
  <c r="AI817" i="2" s="1"/>
  <c r="AF838" i="2"/>
  <c r="AH838" i="2" s="1"/>
  <c r="AI838" i="2" s="1"/>
  <c r="AF860" i="2"/>
  <c r="AH860" i="2" s="1"/>
  <c r="AI860" i="2" s="1"/>
  <c r="AF617" i="2"/>
  <c r="AF702" i="2"/>
  <c r="AH702" i="2" s="1"/>
  <c r="AI702" i="2" s="1"/>
  <c r="AF788" i="2"/>
  <c r="AF872" i="2"/>
  <c r="AH872" i="2" s="1"/>
  <c r="AI872" i="2" s="1"/>
  <c r="AF893" i="2"/>
  <c r="AH893" i="2" s="1"/>
  <c r="AI893" i="2" s="1"/>
  <c r="AF914" i="2"/>
  <c r="AF936" i="2"/>
  <c r="AH936" i="2" s="1"/>
  <c r="AI936" i="2" s="1"/>
  <c r="AF964" i="2"/>
  <c r="AH964" i="2" s="1"/>
  <c r="AI964" i="2" s="1"/>
  <c r="AF622" i="2"/>
  <c r="AH622" i="2" s="1"/>
  <c r="AI622" i="2" s="1"/>
  <c r="AF708" i="2"/>
  <c r="AH708" i="2" s="1"/>
  <c r="AI708" i="2" s="1"/>
  <c r="AF793" i="2"/>
  <c r="AF873" i="2"/>
  <c r="AH873" i="2" s="1"/>
  <c r="AI873" i="2" s="1"/>
  <c r="AF894" i="2"/>
  <c r="AH894" i="2" s="1"/>
  <c r="AI894" i="2" s="1"/>
  <c r="AF916" i="2"/>
  <c r="AF937" i="2"/>
  <c r="AH937" i="2" s="1"/>
  <c r="AI937" i="2" s="1"/>
  <c r="AF1022" i="2"/>
  <c r="AH1022" i="2" s="1"/>
  <c r="AI1022" i="2" s="1"/>
  <c r="AF670" i="2"/>
  <c r="AF756" i="2"/>
  <c r="AH756" i="2" s="1"/>
  <c r="AI756" i="2" s="1"/>
  <c r="AF841" i="2"/>
  <c r="AH841" i="2" s="1"/>
  <c r="AI841" i="2" s="1"/>
  <c r="AF885" i="2"/>
  <c r="AH885" i="2" s="1"/>
  <c r="AI885" i="2" s="1"/>
  <c r="AF906" i="2"/>
  <c r="AH906" i="2" s="1"/>
  <c r="AI906" i="2" s="1"/>
  <c r="AF928" i="2"/>
  <c r="AH928" i="2" s="1"/>
  <c r="AI928" i="2" s="1"/>
  <c r="AF949" i="2"/>
  <c r="AH949" i="2" s="1"/>
  <c r="AI949" i="2" s="1"/>
  <c r="AF970" i="2"/>
  <c r="AF992" i="2"/>
  <c r="AH992" i="2" s="1"/>
  <c r="AI992" i="2" s="1"/>
  <c r="AF1013" i="2"/>
  <c r="AH1013" i="2" s="1"/>
  <c r="AI1013" i="2" s="1"/>
  <c r="AF1004" i="2"/>
  <c r="AH1004" i="2" s="1"/>
  <c r="AI1004" i="2" s="1"/>
  <c r="AF962" i="2"/>
  <c r="AH962" i="2" s="1"/>
  <c r="AI962" i="2" s="1"/>
  <c r="AF1016" i="2"/>
  <c r="AH1016" i="2" s="1"/>
  <c r="AI1016" i="2" s="1"/>
  <c r="AF985" i="2"/>
  <c r="AH985" i="2" s="1"/>
  <c r="AI985" i="2" s="1"/>
  <c r="AF633" i="2"/>
  <c r="AH633" i="2" s="1"/>
  <c r="AI633" i="2" s="1"/>
  <c r="AF718" i="2"/>
  <c r="AH718" i="2" s="1"/>
  <c r="AI718" i="2" s="1"/>
  <c r="AF804" i="2"/>
  <c r="AH804" i="2" s="1"/>
  <c r="AI804" i="2" s="1"/>
  <c r="AF876" i="2"/>
  <c r="AH876" i="2" s="1"/>
  <c r="AI876" i="2" s="1"/>
  <c r="AF897" i="2"/>
  <c r="AH897" i="2" s="1"/>
  <c r="AI897" i="2" s="1"/>
  <c r="AF918" i="2"/>
  <c r="AF940" i="2"/>
  <c r="AH940" i="2" s="1"/>
  <c r="AI940" i="2" s="1"/>
  <c r="AF961" i="2"/>
  <c r="AH961" i="2" s="1"/>
  <c r="AI961" i="2" s="1"/>
  <c r="AF982" i="2"/>
  <c r="AH982" i="2" s="1"/>
  <c r="AI982" i="2" s="1"/>
  <c r="AF1020" i="2"/>
  <c r="AH1020" i="2" s="1"/>
  <c r="AI1020" i="2" s="1"/>
  <c r="AF984" i="2"/>
  <c r="AH984" i="2" s="1"/>
  <c r="AI984" i="2" s="1"/>
  <c r="AF948" i="2"/>
  <c r="AH948" i="2" s="1"/>
  <c r="AI948" i="2" s="1"/>
  <c r="AF1012" i="2"/>
  <c r="AH1012" i="2" s="1"/>
  <c r="AI1012" i="2" s="1"/>
  <c r="AF102" i="2"/>
  <c r="AH102" i="2" s="1"/>
  <c r="AI102" i="2" s="1"/>
  <c r="AF615" i="2"/>
  <c r="AF743" i="2"/>
  <c r="AH743" i="2" s="1"/>
  <c r="AI743" i="2" s="1"/>
  <c r="AF30" i="2"/>
  <c r="AH30" i="2" s="1"/>
  <c r="AI30" i="2" s="1"/>
  <c r="AF308" i="2"/>
  <c r="AF449" i="2"/>
  <c r="AH449" i="2" s="1"/>
  <c r="AI449" i="2" s="1"/>
  <c r="AF198" i="2"/>
  <c r="AF366" i="2"/>
  <c r="AH366" i="2" s="1"/>
  <c r="AI366" i="2" s="1"/>
  <c r="AF494" i="2"/>
  <c r="AF536" i="2"/>
  <c r="AH536" i="2" s="1"/>
  <c r="AI536" i="2" s="1"/>
  <c r="AF706" i="2"/>
  <c r="AH706" i="2" s="1"/>
  <c r="AI706" i="2" s="1"/>
  <c r="AF875" i="2"/>
  <c r="AH875" i="2" s="1"/>
  <c r="AI875" i="2" s="1"/>
  <c r="AF1003" i="2"/>
  <c r="AH1003" i="2" s="1"/>
  <c r="AI1003" i="2" s="1"/>
  <c r="AF484" i="2"/>
  <c r="AH484" i="2" s="1"/>
  <c r="AI484" i="2" s="1"/>
  <c r="AF296" i="2"/>
  <c r="AH296" i="2" s="1"/>
  <c r="AI296" i="2" s="1"/>
  <c r="AF549" i="2"/>
  <c r="AF634" i="2"/>
  <c r="AH634" i="2" s="1"/>
  <c r="AI634" i="2" s="1"/>
  <c r="AF720" i="2"/>
  <c r="AH720" i="2" s="1"/>
  <c r="AI720" i="2" s="1"/>
  <c r="AF805" i="2"/>
  <c r="AH805" i="2" s="1"/>
  <c r="AI805" i="2" s="1"/>
  <c r="AF216" i="2"/>
  <c r="AH216" i="2" s="1"/>
  <c r="AI216" i="2" s="1"/>
  <c r="AF508" i="2"/>
  <c r="AH508" i="2" s="1"/>
  <c r="AI508" i="2" s="1"/>
  <c r="AF609" i="2"/>
  <c r="AF694" i="2"/>
  <c r="AH694" i="2" s="1"/>
  <c r="AI694" i="2" s="1"/>
  <c r="AF780" i="2"/>
  <c r="AH780" i="2" s="1"/>
  <c r="AI780" i="2" s="1"/>
  <c r="AF865" i="2"/>
  <c r="AH865" i="2" s="1"/>
  <c r="AI865" i="2" s="1"/>
  <c r="AF877" i="2"/>
  <c r="AH877" i="2" s="1"/>
  <c r="AI877" i="2" s="1"/>
  <c r="AF996" i="2"/>
  <c r="AH996" i="2" s="1"/>
  <c r="AI996" i="2" s="1"/>
  <c r="AF878" i="2"/>
  <c r="AH878" i="2" s="1"/>
  <c r="AI878" i="2" s="1"/>
  <c r="AF606" i="2"/>
  <c r="AH606" i="2" s="1"/>
  <c r="AI606" i="2" s="1"/>
  <c r="AF890" i="2"/>
  <c r="AH890" i="2" s="1"/>
  <c r="AI890" i="2" s="1"/>
  <c r="AF976" i="2"/>
  <c r="AF973" i="2"/>
  <c r="AF740" i="2"/>
  <c r="AH740" i="2" s="1"/>
  <c r="AI740" i="2" s="1"/>
  <c r="AF924" i="2"/>
  <c r="AH924" i="2" s="1"/>
  <c r="AI924" i="2" s="1"/>
  <c r="AF941" i="2"/>
  <c r="AH941" i="2" s="1"/>
  <c r="AI941" i="2" s="1"/>
  <c r="AF519" i="2"/>
  <c r="AH519" i="2" s="1"/>
  <c r="AI519" i="2" s="1"/>
  <c r="AF775" i="2"/>
  <c r="AH775" i="2" s="1"/>
  <c r="AI775" i="2" s="1"/>
  <c r="AF158" i="2"/>
  <c r="AH158" i="2" s="1"/>
  <c r="AI158" i="2" s="1"/>
  <c r="AF351" i="2"/>
  <c r="AH351" i="2" s="1"/>
  <c r="AI351" i="2" s="1"/>
  <c r="AF481" i="2"/>
  <c r="AH481" i="2" s="1"/>
  <c r="AI481" i="2" s="1"/>
  <c r="AF240" i="2"/>
  <c r="AH240" i="2" s="1"/>
  <c r="AI240" i="2" s="1"/>
  <c r="AF398" i="2"/>
  <c r="AH398" i="2" s="1"/>
  <c r="AI398" i="2" s="1"/>
  <c r="AF526" i="2"/>
  <c r="AH526" i="2" s="1"/>
  <c r="AI526" i="2" s="1"/>
  <c r="AF578" i="2"/>
  <c r="AH578" i="2" s="1"/>
  <c r="AI578" i="2" s="1"/>
  <c r="AF907" i="2"/>
  <c r="AH907" i="2" s="1"/>
  <c r="AI907" i="2" s="1"/>
  <c r="AF548" i="2"/>
  <c r="AF570" i="2"/>
  <c r="AH570" i="2" s="1"/>
  <c r="AI570" i="2" s="1"/>
  <c r="AF741" i="2"/>
  <c r="AH741" i="2" s="1"/>
  <c r="AI741" i="2" s="1"/>
  <c r="AF302" i="2"/>
  <c r="AH302" i="2" s="1"/>
  <c r="AI302" i="2" s="1"/>
  <c r="AF630" i="2"/>
  <c r="AH630" i="2" s="1"/>
  <c r="AI630" i="2" s="1"/>
  <c r="AF801" i="2"/>
  <c r="AH801" i="2" s="1"/>
  <c r="AI801" i="2" s="1"/>
  <c r="AF898" i="2"/>
  <c r="AH898" i="2" s="1"/>
  <c r="AI898" i="2" s="1"/>
  <c r="AF900" i="2"/>
  <c r="AH900" i="2" s="1"/>
  <c r="AI900" i="2" s="1"/>
  <c r="AF912" i="2"/>
  <c r="AF1026" i="2"/>
  <c r="AH1026" i="2" s="1"/>
  <c r="AI1026" i="2" s="1"/>
  <c r="AF994" i="2"/>
  <c r="AH994" i="2" s="1"/>
  <c r="AI994" i="2" s="1"/>
  <c r="AF551" i="2"/>
  <c r="AF679" i="2"/>
  <c r="AF807" i="2"/>
  <c r="AH807" i="2" s="1"/>
  <c r="AI807" i="2" s="1"/>
  <c r="AF223" i="2"/>
  <c r="AH223" i="2" s="1"/>
  <c r="AI223" i="2" s="1"/>
  <c r="AF385" i="2"/>
  <c r="AH385" i="2" s="1"/>
  <c r="AI385" i="2" s="1"/>
  <c r="AF513" i="2"/>
  <c r="AH513" i="2" s="1"/>
  <c r="AI513" i="2" s="1"/>
  <c r="AF283" i="2"/>
  <c r="AH283" i="2" s="1"/>
  <c r="AI283" i="2" s="1"/>
  <c r="AF430" i="2"/>
  <c r="AF264" i="2"/>
  <c r="AH264" i="2" s="1"/>
  <c r="AI264" i="2" s="1"/>
  <c r="AF621" i="2"/>
  <c r="AH621" i="2" s="1"/>
  <c r="AI621" i="2" s="1"/>
  <c r="AF792" i="2"/>
  <c r="AF939" i="2"/>
  <c r="AH939" i="2" s="1"/>
  <c r="AI939" i="2" s="1"/>
  <c r="AF312" i="2"/>
  <c r="AF574" i="2"/>
  <c r="AH574" i="2" s="1"/>
  <c r="AI574" i="2" s="1"/>
  <c r="AF456" i="2"/>
  <c r="AH456" i="2" s="1"/>
  <c r="AI456" i="2" s="1"/>
  <c r="AF592" i="2"/>
  <c r="AH592" i="2" s="1"/>
  <c r="AI592" i="2" s="1"/>
  <c r="AF677" i="2"/>
  <c r="AF762" i="2"/>
  <c r="AH762" i="2" s="1"/>
  <c r="AI762" i="2" s="1"/>
  <c r="AF848" i="2"/>
  <c r="AF380" i="2"/>
  <c r="AH380" i="2" s="1"/>
  <c r="AI380" i="2" s="1"/>
  <c r="AF566" i="2"/>
  <c r="AH566" i="2" s="1"/>
  <c r="AI566" i="2" s="1"/>
  <c r="AF652" i="2"/>
  <c r="AH652" i="2" s="1"/>
  <c r="AI652" i="2" s="1"/>
  <c r="AF737" i="2"/>
  <c r="AF822" i="2"/>
  <c r="AH822" i="2" s="1"/>
  <c r="AI822" i="2" s="1"/>
  <c r="AF724" i="2"/>
  <c r="AH724" i="2" s="1"/>
  <c r="AI724" i="2" s="1"/>
  <c r="AF920" i="2"/>
  <c r="AH920" i="2" s="1"/>
  <c r="AI920" i="2" s="1"/>
  <c r="AF729" i="2"/>
  <c r="AF921" i="2"/>
  <c r="AH921" i="2" s="1"/>
  <c r="AI921" i="2" s="1"/>
  <c r="AF777" i="2"/>
  <c r="AH777" i="2" s="1"/>
  <c r="AI777" i="2" s="1"/>
  <c r="AF933" i="2"/>
  <c r="AH933" i="2" s="1"/>
  <c r="AI933" i="2" s="1"/>
  <c r="AF1018" i="2"/>
  <c r="AH1018" i="2" s="1"/>
  <c r="AI1018" i="2" s="1"/>
  <c r="AF1006" i="2"/>
  <c r="AH1006" i="2" s="1"/>
  <c r="AI1006" i="2" s="1"/>
  <c r="AF881" i="2"/>
  <c r="AH881" i="2" s="1"/>
  <c r="AI881" i="2" s="1"/>
  <c r="AF966" i="2"/>
  <c r="AH966" i="2" s="1"/>
  <c r="AI966" i="2" s="1"/>
  <c r="AF969" i="2"/>
  <c r="AF647" i="2"/>
  <c r="AH647" i="2" s="1"/>
  <c r="AI647" i="2" s="1"/>
  <c r="AF749" i="2"/>
  <c r="AH749" i="2" s="1"/>
  <c r="AI749" i="2" s="1"/>
  <c r="AF106" i="2"/>
  <c r="AH106" i="2" s="1"/>
  <c r="AI106" i="2" s="1"/>
  <c r="AF392" i="2"/>
  <c r="AH392" i="2" s="1"/>
  <c r="AI392" i="2" s="1"/>
  <c r="AF656" i="2"/>
  <c r="AH656" i="2" s="1"/>
  <c r="AI656" i="2" s="1"/>
  <c r="AF826" i="2"/>
  <c r="AH826" i="2" s="1"/>
  <c r="AI826" i="2" s="1"/>
  <c r="AF545" i="2"/>
  <c r="AH545" i="2" s="1"/>
  <c r="AI545" i="2" s="1"/>
  <c r="AF716" i="2"/>
  <c r="AH716" i="2" s="1"/>
  <c r="AI716" i="2" s="1"/>
  <c r="AF638" i="2"/>
  <c r="AH638" i="2" s="1"/>
  <c r="AI638" i="2" s="1"/>
  <c r="AF644" i="2"/>
  <c r="AH644" i="2" s="1"/>
  <c r="AI644" i="2" s="1"/>
  <c r="AF692" i="2"/>
  <c r="AH692" i="2" s="1"/>
  <c r="AI692" i="2" s="1"/>
  <c r="AF997" i="2"/>
  <c r="AH997" i="2" s="1"/>
  <c r="AI997" i="2" s="1"/>
  <c r="AF825" i="2"/>
  <c r="AH825" i="2" s="1"/>
  <c r="AI825" i="2" s="1"/>
  <c r="AF583" i="2"/>
  <c r="AH583" i="2" s="1"/>
  <c r="AI583" i="2" s="1"/>
  <c r="AF711" i="2"/>
  <c r="AH711" i="2" s="1"/>
  <c r="AI711" i="2" s="1"/>
  <c r="AF839" i="2"/>
  <c r="AH839" i="2" s="1"/>
  <c r="AI839" i="2" s="1"/>
  <c r="AF266" i="2"/>
  <c r="AH266" i="2" s="1"/>
  <c r="AI266" i="2" s="1"/>
  <c r="AF417" i="2"/>
  <c r="AH417" i="2" s="1"/>
  <c r="AI417" i="2" s="1"/>
  <c r="AF82" i="2"/>
  <c r="AH82" i="2" s="1"/>
  <c r="AI82" i="2" s="1"/>
  <c r="AF326" i="2"/>
  <c r="AH326" i="2" s="1"/>
  <c r="AI326" i="2" s="1"/>
  <c r="AF462" i="2"/>
  <c r="AH462" i="2" s="1"/>
  <c r="AI462" i="2" s="1"/>
  <c r="AF416" i="2"/>
  <c r="AH416" i="2" s="1"/>
  <c r="AI416" i="2" s="1"/>
  <c r="AF664" i="2"/>
  <c r="AH664" i="2" s="1"/>
  <c r="AI664" i="2" s="1"/>
  <c r="AF834" i="2"/>
  <c r="AH834" i="2" s="1"/>
  <c r="AI834" i="2" s="1"/>
  <c r="AF971" i="2"/>
  <c r="AF404" i="2"/>
  <c r="AH404" i="2" s="1"/>
  <c r="AI404" i="2" s="1"/>
  <c r="AF122" i="2"/>
  <c r="AH122" i="2" s="1"/>
  <c r="AI122" i="2" s="1"/>
  <c r="AF520" i="2"/>
  <c r="AH520" i="2" s="1"/>
  <c r="AI520" i="2" s="1"/>
  <c r="AF613" i="2"/>
  <c r="AF698" i="2"/>
  <c r="AH698" i="2" s="1"/>
  <c r="AI698" i="2" s="1"/>
  <c r="AF784" i="2"/>
  <c r="AH784" i="2" s="1"/>
  <c r="AI784" i="2" s="1"/>
  <c r="AF869" i="2"/>
  <c r="AH869" i="2" s="1"/>
  <c r="AI869" i="2" s="1"/>
  <c r="AF444" i="2"/>
  <c r="AH444" i="2" s="1"/>
  <c r="AI444" i="2" s="1"/>
  <c r="AF588" i="2"/>
  <c r="AH588" i="2" s="1"/>
  <c r="AI588" i="2" s="1"/>
  <c r="AF673" i="2"/>
  <c r="AF758" i="2"/>
  <c r="AH758" i="2" s="1"/>
  <c r="AI758" i="2" s="1"/>
  <c r="AF844" i="2"/>
  <c r="AH844" i="2" s="1"/>
  <c r="AI844" i="2" s="1"/>
  <c r="AF809" i="2"/>
  <c r="AH809" i="2" s="1"/>
  <c r="AI809" i="2" s="1"/>
  <c r="AF952" i="2"/>
  <c r="AH952" i="2" s="1"/>
  <c r="AI952" i="2" s="1"/>
  <c r="AF814" i="2"/>
  <c r="AH814" i="2" s="1"/>
  <c r="AI814" i="2" s="1"/>
  <c r="AF942" i="2"/>
  <c r="AH942" i="2" s="1"/>
  <c r="AI942" i="2" s="1"/>
  <c r="AF862" i="2"/>
  <c r="AH862" i="2" s="1"/>
  <c r="AI862" i="2" s="1"/>
  <c r="AF954" i="2"/>
  <c r="AH954" i="2" s="1"/>
  <c r="AI954" i="2" s="1"/>
  <c r="AF1014" i="2"/>
  <c r="AH1014" i="2" s="1"/>
  <c r="AI1014" i="2" s="1"/>
  <c r="AF654" i="2"/>
  <c r="AH654" i="2" s="1"/>
  <c r="AI654" i="2" s="1"/>
  <c r="AF902" i="2"/>
  <c r="AH902" i="2" s="1"/>
  <c r="AI902" i="2" s="1"/>
  <c r="AF988" i="2"/>
  <c r="AH988" i="2" s="1"/>
  <c r="AI988" i="2" s="1"/>
  <c r="AF945" i="2"/>
  <c r="AH945" i="2" s="1"/>
  <c r="AI945" i="2" s="1"/>
  <c r="J203" i="2"/>
  <c r="J315" i="2"/>
  <c r="J222" i="2"/>
  <c r="J999" i="2"/>
  <c r="J608" i="2"/>
  <c r="J1014" i="2"/>
  <c r="J400" i="2"/>
  <c r="J889" i="2"/>
  <c r="J974" i="2"/>
  <c r="J910" i="2"/>
  <c r="J846" i="2"/>
  <c r="J782" i="2"/>
  <c r="J884" i="2"/>
  <c r="J468" i="2"/>
  <c r="J153" i="2"/>
  <c r="J25" i="2"/>
  <c r="J285" i="2"/>
  <c r="J594" i="2"/>
  <c r="J398" i="2"/>
  <c r="J987" i="2"/>
  <c r="J487" i="2"/>
  <c r="J486" i="2"/>
  <c r="J921" i="2"/>
  <c r="J951" i="2"/>
  <c r="J284" i="2"/>
  <c r="J209" i="2"/>
  <c r="J927" i="2"/>
  <c r="J937" i="2"/>
  <c r="J635" i="2"/>
  <c r="J985" i="2"/>
  <c r="J254" i="2"/>
  <c r="J793" i="2"/>
  <c r="J989" i="2"/>
  <c r="J152" i="2"/>
  <c r="J571" i="2"/>
  <c r="J764" i="2"/>
  <c r="J946" i="2"/>
  <c r="J620" i="2"/>
  <c r="J969" i="2"/>
  <c r="J602" i="2"/>
  <c r="J121" i="2"/>
  <c r="K924" i="2"/>
  <c r="L924" i="2" s="1"/>
  <c r="J516" i="2"/>
  <c r="J167" i="2"/>
  <c r="K587" i="2"/>
  <c r="L587" i="2" s="1"/>
  <c r="K403" i="2"/>
  <c r="L403" i="2" s="1"/>
  <c r="K532" i="2"/>
  <c r="L532" i="2" s="1"/>
  <c r="K489" i="2"/>
  <c r="L489" i="2" s="1"/>
  <c r="K619" i="2"/>
  <c r="L619" i="2" s="1"/>
  <c r="K834" i="2"/>
  <c r="L834" i="2" s="1"/>
  <c r="K124" i="2"/>
  <c r="L124" i="2" s="1"/>
  <c r="K129" i="2"/>
  <c r="L129" i="2" s="1"/>
  <c r="K775" i="2"/>
  <c r="L775" i="2" s="1"/>
  <c r="K395" i="2"/>
  <c r="L395" i="2" s="1"/>
  <c r="K738" i="2"/>
  <c r="L738" i="2" s="1"/>
  <c r="K279" i="2"/>
  <c r="L279" i="2" s="1"/>
  <c r="K445" i="2"/>
  <c r="L445" i="2" s="1"/>
  <c r="K676" i="2"/>
  <c r="L676" i="2" s="1"/>
  <c r="K804" i="2"/>
  <c r="L804" i="2" s="1"/>
  <c r="K868" i="2"/>
  <c r="L868" i="2" s="1"/>
  <c r="K25" i="2"/>
  <c r="L25" i="2" s="1"/>
  <c r="K1009" i="2"/>
  <c r="L1009" i="2" s="1"/>
  <c r="K796" i="2"/>
  <c r="L796" i="2" s="1"/>
  <c r="K567" i="2"/>
  <c r="L567" i="2" s="1"/>
  <c r="K435" i="2"/>
  <c r="L435" i="2" s="1"/>
  <c r="K817" i="2"/>
  <c r="L817" i="2" s="1"/>
  <c r="K39" i="2"/>
  <c r="L39" i="2" s="1"/>
  <c r="K755" i="2"/>
  <c r="L755" i="2" s="1"/>
  <c r="K246" i="2"/>
  <c r="L246" i="2" s="1"/>
  <c r="K28" i="2"/>
  <c r="L28" i="2" s="1"/>
  <c r="K383" i="2"/>
  <c r="L383" i="2" s="1"/>
  <c r="K438" i="2"/>
  <c r="L438" i="2" s="1"/>
  <c r="K879" i="2"/>
  <c r="L879" i="2" s="1"/>
  <c r="K324" i="2"/>
  <c r="L324" i="2" s="1"/>
  <c r="K433" i="2"/>
  <c r="L433" i="2" s="1"/>
  <c r="K75" i="2"/>
  <c r="L75" i="2" s="1"/>
  <c r="K593" i="2"/>
  <c r="L593" i="2" s="1"/>
  <c r="K486" i="2"/>
  <c r="L486" i="2" s="1"/>
  <c r="K959" i="2"/>
  <c r="L959" i="2" s="1"/>
  <c r="K793" i="2"/>
  <c r="L793" i="2" s="1"/>
  <c r="K849" i="2"/>
  <c r="L849" i="2" s="1"/>
  <c r="K913" i="2"/>
  <c r="L913" i="2" s="1"/>
  <c r="K649" i="2"/>
  <c r="L649" i="2" s="1"/>
  <c r="K786" i="2"/>
  <c r="L786" i="2" s="1"/>
  <c r="K249" i="2"/>
  <c r="L249" i="2" s="1"/>
  <c r="K366" i="2"/>
  <c r="L366" i="2" s="1"/>
  <c r="K453" i="2"/>
  <c r="L453" i="2" s="1"/>
  <c r="K529" i="2"/>
  <c r="L529" i="2" s="1"/>
  <c r="K700" i="2"/>
  <c r="L700" i="2" s="1"/>
  <c r="K340" i="2"/>
  <c r="L340" i="2" s="1"/>
  <c r="K429" i="2"/>
  <c r="L429" i="2" s="1"/>
  <c r="K605" i="2"/>
  <c r="L605" i="2" s="1"/>
  <c r="K157" i="2"/>
  <c r="L157" i="2" s="1"/>
  <c r="K349" i="2"/>
  <c r="L349" i="2" s="1"/>
  <c r="K420" i="2"/>
  <c r="L420" i="2" s="1"/>
  <c r="K985" i="2"/>
  <c r="L985" i="2" s="1"/>
  <c r="K220" i="2"/>
  <c r="L220" i="2" s="1"/>
  <c r="K197" i="2"/>
  <c r="L197" i="2" s="1"/>
  <c r="K156" i="2"/>
  <c r="L156" i="2" s="1"/>
  <c r="K310" i="2"/>
  <c r="L310" i="2" s="1"/>
  <c r="K343" i="2"/>
  <c r="L343" i="2" s="1"/>
  <c r="K780" i="2"/>
  <c r="L780" i="2" s="1"/>
  <c r="K78" i="2"/>
  <c r="L78" i="2" s="1"/>
  <c r="K623" i="2"/>
  <c r="L623" i="2" s="1"/>
  <c r="K583" i="2"/>
  <c r="L583" i="2" s="1"/>
  <c r="K679" i="2"/>
  <c r="L679" i="2" s="1"/>
  <c r="K809" i="2"/>
  <c r="L809" i="2" s="1"/>
  <c r="K857" i="2"/>
  <c r="L857" i="2" s="1"/>
  <c r="K713" i="2"/>
  <c r="L713" i="2" s="1"/>
  <c r="K953" i="2"/>
  <c r="L953" i="2" s="1"/>
  <c r="K1026" i="2"/>
  <c r="L1026" i="2" s="1"/>
  <c r="K850" i="2"/>
  <c r="L850" i="2" s="1"/>
  <c r="K30" i="2"/>
  <c r="L30" i="2" s="1"/>
  <c r="K465" i="2"/>
  <c r="L465" i="2" s="1"/>
  <c r="K539" i="2"/>
  <c r="L539" i="2" s="1"/>
  <c r="K215" i="2"/>
  <c r="L215" i="2" s="1"/>
  <c r="K621" i="2"/>
  <c r="L621" i="2" s="1"/>
  <c r="K1017" i="2"/>
  <c r="L1017" i="2" s="1"/>
  <c r="K797" i="2"/>
  <c r="L797" i="2" s="1"/>
  <c r="K877" i="2"/>
  <c r="L877" i="2" s="1"/>
  <c r="K306" i="2"/>
  <c r="L306" i="2" s="1"/>
  <c r="K633" i="2"/>
  <c r="L633" i="2" s="1"/>
  <c r="K754" i="2"/>
  <c r="L754" i="2" s="1"/>
  <c r="K331" i="2"/>
  <c r="L331" i="2" s="1"/>
  <c r="K535" i="2"/>
  <c r="L535" i="2" s="1"/>
  <c r="K203" i="2"/>
  <c r="L203" i="2" s="1"/>
  <c r="K855" i="2"/>
  <c r="L855" i="2" s="1"/>
  <c r="K715" i="2"/>
  <c r="L715" i="2" s="1"/>
  <c r="K876" i="2"/>
  <c r="L876" i="2" s="1"/>
  <c r="K988" i="2"/>
  <c r="L988" i="2" s="1"/>
  <c r="K401" i="2"/>
  <c r="L401" i="2" s="1"/>
  <c r="K585" i="2"/>
  <c r="L585" i="2" s="1"/>
  <c r="K559" i="2"/>
  <c r="L559" i="2" s="1"/>
  <c r="K777" i="2"/>
  <c r="L777" i="2" s="1"/>
  <c r="K841" i="2"/>
  <c r="L841" i="2" s="1"/>
  <c r="K905" i="2"/>
  <c r="L905" i="2" s="1"/>
  <c r="K123" i="2"/>
  <c r="L123" i="2" s="1"/>
  <c r="K126" i="2"/>
  <c r="L126" i="2" s="1"/>
  <c r="K485" i="2"/>
  <c r="L485" i="2" s="1"/>
  <c r="K571" i="2"/>
  <c r="L571" i="2" s="1"/>
  <c r="K684" i="2"/>
  <c r="L684" i="2" s="1"/>
  <c r="K397" i="2"/>
  <c r="L397" i="2" s="1"/>
  <c r="K573" i="2"/>
  <c r="L573" i="2" s="1"/>
  <c r="K91" i="2"/>
  <c r="L91" i="2" s="1"/>
  <c r="K412" i="2"/>
  <c r="L412" i="2" s="1"/>
  <c r="K604" i="2"/>
  <c r="L604" i="2" s="1"/>
  <c r="K748" i="2"/>
  <c r="L748" i="2" s="1"/>
  <c r="K977" i="2"/>
  <c r="L977" i="2" s="1"/>
  <c r="K829" i="2"/>
  <c r="L829" i="2" s="1"/>
  <c r="K925" i="2"/>
  <c r="L925" i="2" s="1"/>
  <c r="K697" i="2"/>
  <c r="L697" i="2" s="1"/>
  <c r="K658" i="2"/>
  <c r="L658" i="2" s="1"/>
  <c r="K844" i="2"/>
  <c r="L844" i="2" s="1"/>
  <c r="K627" i="2"/>
  <c r="L627" i="2" s="1"/>
  <c r="K292" i="2"/>
  <c r="L292" i="2" s="1"/>
  <c r="K569" i="2"/>
  <c r="L569" i="2" s="1"/>
  <c r="K475" i="2"/>
  <c r="L475" i="2" s="1"/>
  <c r="K652" i="2"/>
  <c r="L652" i="2" s="1"/>
  <c r="K372" i="2"/>
  <c r="L372" i="2" s="1"/>
  <c r="K388" i="2"/>
  <c r="L388" i="2" s="1"/>
  <c r="K946" i="2"/>
  <c r="L946" i="2" s="1"/>
  <c r="K813" i="2"/>
  <c r="L813" i="2" s="1"/>
  <c r="K514" i="2"/>
  <c r="L514" i="2" s="1"/>
  <c r="K729" i="2"/>
  <c r="L729" i="2" s="1"/>
  <c r="K330" i="2"/>
  <c r="L330" i="2" s="1"/>
  <c r="K65" i="2"/>
  <c r="L65" i="2" s="1"/>
  <c r="K508" i="2"/>
  <c r="L508" i="2" s="1"/>
  <c r="K826" i="2"/>
  <c r="L826" i="2" s="1"/>
  <c r="K599" i="2"/>
  <c r="L599" i="2" s="1"/>
  <c r="K255" i="2"/>
  <c r="L255" i="2" s="1"/>
  <c r="K888" i="2"/>
  <c r="L888" i="2" s="1"/>
  <c r="K955" i="2"/>
  <c r="L955" i="2" s="1"/>
  <c r="K787" i="2"/>
  <c r="L787" i="2" s="1"/>
  <c r="K348" i="2"/>
  <c r="L348" i="2" s="1"/>
  <c r="K1011" i="2"/>
  <c r="L1011" i="2" s="1"/>
  <c r="K487" i="2"/>
  <c r="L487" i="2" s="1"/>
  <c r="K761" i="2"/>
  <c r="L761" i="2" s="1"/>
  <c r="K286" i="2"/>
  <c r="L286" i="2" s="1"/>
  <c r="K516" i="2"/>
  <c r="L516" i="2" s="1"/>
  <c r="K94" i="2"/>
  <c r="L94" i="2" s="1"/>
  <c r="K328" i="2"/>
  <c r="L328" i="2" s="1"/>
  <c r="K685" i="2"/>
  <c r="L685" i="2" s="1"/>
  <c r="K1025" i="2"/>
  <c r="L1025" i="2" s="1"/>
  <c r="K49" i="2"/>
  <c r="L49" i="2" s="1"/>
  <c r="K861" i="2"/>
  <c r="L861" i="2" s="1"/>
  <c r="K57" i="2"/>
  <c r="L57" i="2" s="1"/>
  <c r="K766" i="2"/>
  <c r="L766" i="2" s="1"/>
  <c r="K828" i="2"/>
  <c r="L828" i="2" s="1"/>
  <c r="K687" i="2"/>
  <c r="L687" i="2" s="1"/>
  <c r="K51" i="2"/>
  <c r="L51" i="2" s="1"/>
  <c r="K714" i="2"/>
  <c r="L714" i="2" s="1"/>
  <c r="K759" i="2"/>
  <c r="L759" i="2" s="1"/>
  <c r="K85" i="2"/>
  <c r="L85" i="2" s="1"/>
  <c r="K825" i="2"/>
  <c r="L825" i="2" s="1"/>
  <c r="K969" i="2"/>
  <c r="L969" i="2" s="1"/>
  <c r="K167" i="2"/>
  <c r="L167" i="2" s="1"/>
  <c r="K557" i="2"/>
  <c r="L557" i="2" s="1"/>
  <c r="K588" i="2"/>
  <c r="L588" i="2" s="1"/>
  <c r="K917" i="2"/>
  <c r="L917" i="2" s="1"/>
  <c r="K862" i="2"/>
  <c r="L862" i="2" s="1"/>
  <c r="K261" i="2"/>
  <c r="L261" i="2" s="1"/>
  <c r="K1023" i="2"/>
  <c r="L1023" i="2" s="1"/>
  <c r="K394" i="2"/>
  <c r="L394" i="2" s="1"/>
  <c r="K411" i="2"/>
  <c r="L411" i="2" s="1"/>
  <c r="K515" i="2"/>
  <c r="L515" i="2" s="1"/>
  <c r="K118" i="2"/>
  <c r="L118" i="2" s="1"/>
  <c r="K1002" i="2"/>
  <c r="L1002" i="2" s="1"/>
  <c r="K594" i="2"/>
  <c r="L594" i="2" s="1"/>
  <c r="K762" i="2"/>
  <c r="L762" i="2" s="1"/>
  <c r="K1019" i="2"/>
  <c r="L1019" i="2" s="1"/>
  <c r="K915" i="2"/>
  <c r="L915" i="2" s="1"/>
  <c r="K442" i="2"/>
  <c r="L442" i="2" s="1"/>
  <c r="K251" i="2"/>
  <c r="L251" i="2" s="1"/>
  <c r="K537" i="2"/>
  <c r="L537" i="2" s="1"/>
  <c r="K54" i="2"/>
  <c r="L54" i="2" s="1"/>
  <c r="K889" i="2"/>
  <c r="L889" i="2" s="1"/>
  <c r="K285" i="2"/>
  <c r="L285" i="2" s="1"/>
  <c r="K789" i="2"/>
  <c r="L789" i="2" s="1"/>
  <c r="K337" i="2"/>
  <c r="L337" i="2" s="1"/>
  <c r="K216" i="2"/>
  <c r="L216" i="2" s="1"/>
  <c r="K838" i="2"/>
  <c r="L838" i="2" s="1"/>
  <c r="K883" i="2"/>
  <c r="L883" i="2" s="1"/>
  <c r="K293" i="2"/>
  <c r="L293" i="2" s="1"/>
  <c r="K493" i="2"/>
  <c r="L493" i="2" s="1"/>
  <c r="K931" i="2"/>
  <c r="L931" i="2" s="1"/>
  <c r="K275" i="2"/>
  <c r="L275" i="2" s="1"/>
  <c r="K379" i="2"/>
  <c r="L379" i="2" s="1"/>
  <c r="K1014" i="2"/>
  <c r="L1014" i="2" s="1"/>
  <c r="K635" i="2"/>
  <c r="L635" i="2" s="1"/>
  <c r="K882" i="2"/>
  <c r="L882" i="2" s="1"/>
  <c r="K468" i="2"/>
  <c r="L468" i="2" s="1"/>
  <c r="K657" i="2"/>
  <c r="L657" i="2" s="1"/>
  <c r="K749" i="2"/>
  <c r="L749" i="2" s="1"/>
  <c r="K741" i="2"/>
  <c r="L741" i="2" s="1"/>
  <c r="K273" i="2"/>
  <c r="L273" i="2" s="1"/>
  <c r="K675" i="2"/>
  <c r="L675" i="2" s="1"/>
  <c r="K867" i="2"/>
  <c r="L867" i="2" s="1"/>
  <c r="K473" i="2"/>
  <c r="L473" i="2" s="1"/>
  <c r="K870" i="2"/>
  <c r="L870" i="2" s="1"/>
  <c r="K995" i="2"/>
  <c r="L995" i="2" s="1"/>
  <c r="K859" i="2"/>
  <c r="L859" i="2" s="1"/>
  <c r="K149" i="2"/>
  <c r="L149" i="2" s="1"/>
  <c r="K103" i="2"/>
  <c r="L103" i="2" s="1"/>
  <c r="K505" i="2"/>
  <c r="L505" i="2" s="1"/>
  <c r="K790" i="2"/>
  <c r="L790" i="2" s="1"/>
  <c r="K643" i="2"/>
  <c r="L643" i="2" s="1"/>
  <c r="K910" i="2"/>
  <c r="L910" i="2" s="1"/>
  <c r="K963" i="2"/>
  <c r="L963" i="2" s="1"/>
  <c r="K645" i="2"/>
  <c r="L645" i="2" s="1"/>
  <c r="K304" i="2"/>
  <c r="L304" i="2" s="1"/>
  <c r="K281" i="2"/>
  <c r="L281" i="2" s="1"/>
  <c r="K706" i="2"/>
  <c r="L706" i="2" s="1"/>
  <c r="K461" i="2"/>
  <c r="L461" i="2" s="1"/>
  <c r="K178" i="2"/>
  <c r="L178" i="2" s="1"/>
  <c r="K745" i="2"/>
  <c r="L745" i="2" s="1"/>
  <c r="K978" i="2"/>
  <c r="L978" i="2" s="1"/>
  <c r="K276" i="2"/>
  <c r="L276" i="2" s="1"/>
  <c r="K504" i="2"/>
  <c r="L504" i="2" s="1"/>
  <c r="K634" i="2"/>
  <c r="L634" i="2" s="1"/>
  <c r="K939" i="2"/>
  <c r="L939" i="2" s="1"/>
  <c r="K426" i="2"/>
  <c r="L426" i="2" s="1"/>
  <c r="K245" i="2"/>
  <c r="L245" i="2" s="1"/>
  <c r="K892" i="2"/>
  <c r="L892" i="2" s="1"/>
  <c r="K987" i="2"/>
  <c r="L987" i="2" s="1"/>
  <c r="K378" i="2"/>
  <c r="L378" i="2" s="1"/>
  <c r="K562" i="2"/>
  <c r="L562" i="2" s="1"/>
  <c r="K1003" i="2"/>
  <c r="L1003" i="2" s="1"/>
  <c r="K721" i="2"/>
  <c r="L721" i="2" s="1"/>
  <c r="K771" i="2"/>
  <c r="L771" i="2" s="1"/>
  <c r="K37" i="2"/>
  <c r="L37" i="2" s="1"/>
  <c r="K295" i="2"/>
  <c r="L295" i="2" s="1"/>
  <c r="K795" i="2"/>
  <c r="L795" i="2" s="1"/>
  <c r="K127" i="2"/>
  <c r="L127" i="2" s="1"/>
  <c r="K59" i="2"/>
  <c r="L59" i="2" s="1"/>
  <c r="K665" i="2"/>
  <c r="L665" i="2" s="1"/>
  <c r="K691" i="2"/>
  <c r="L691" i="2" s="1"/>
  <c r="K928" i="2"/>
  <c r="L928" i="2" s="1"/>
  <c r="K336" i="2"/>
  <c r="L336" i="2" s="1"/>
  <c r="K846" i="2"/>
  <c r="L846" i="2" s="1"/>
  <c r="K474" i="2"/>
  <c r="L474" i="2" s="1"/>
  <c r="K443" i="2"/>
  <c r="L443" i="2" s="1"/>
  <c r="K682" i="2"/>
  <c r="L682" i="2" s="1"/>
  <c r="K229" i="2"/>
  <c r="L229" i="2" s="1"/>
  <c r="K418" i="2"/>
  <c r="L418" i="2" s="1"/>
  <c r="K444" i="2"/>
  <c r="L444" i="2" s="1"/>
  <c r="K655" i="2"/>
  <c r="L655" i="2" s="1"/>
  <c r="K753" i="2"/>
  <c r="L753" i="2" s="1"/>
  <c r="K342" i="2"/>
  <c r="L342" i="2" s="1"/>
  <c r="K561" i="2"/>
  <c r="L561" i="2" s="1"/>
  <c r="K547" i="2"/>
  <c r="L547" i="2" s="1"/>
  <c r="K219" i="2"/>
  <c r="L219" i="2" s="1"/>
  <c r="K451" i="2"/>
  <c r="L451" i="2" s="1"/>
  <c r="K526" i="2"/>
  <c r="L526" i="2" s="1"/>
  <c r="K891" i="2"/>
  <c r="L891" i="2" s="1"/>
  <c r="K341" i="2"/>
  <c r="L341" i="2" s="1"/>
  <c r="K471" i="2"/>
  <c r="L471" i="2" s="1"/>
  <c r="K628" i="2"/>
  <c r="L628" i="2" s="1"/>
  <c r="K756" i="2"/>
  <c r="L756" i="2" s="1"/>
  <c r="K1012" i="2"/>
  <c r="L1012" i="2" s="1"/>
  <c r="K743" i="2"/>
  <c r="L743" i="2" s="1"/>
  <c r="K204" i="2"/>
  <c r="L204" i="2" s="1"/>
  <c r="K358" i="2"/>
  <c r="L358" i="2" s="1"/>
  <c r="K678" i="2"/>
  <c r="L678" i="2" s="1"/>
  <c r="K827" i="2"/>
  <c r="L827" i="2" s="1"/>
  <c r="K509" i="2"/>
  <c r="L509" i="2" s="1"/>
  <c r="K803" i="2"/>
  <c r="L803" i="2" s="1"/>
  <c r="K364" i="2"/>
  <c r="L364" i="2" s="1"/>
  <c r="K198" i="2"/>
  <c r="L198" i="2" s="1"/>
  <c r="K33" i="2"/>
  <c r="L33" i="2" s="1"/>
  <c r="K723" i="2"/>
  <c r="L723" i="2" s="1"/>
  <c r="K501" i="2"/>
  <c r="L501" i="2" s="1"/>
  <c r="K703" i="2"/>
  <c r="L703" i="2" s="1"/>
  <c r="K301" i="2"/>
  <c r="L301" i="2" s="1"/>
  <c r="K252" i="2"/>
  <c r="L252" i="2" s="1"/>
  <c r="K257" i="2"/>
  <c r="L257" i="2" s="1"/>
  <c r="K881" i="2"/>
  <c r="L881" i="2" s="1"/>
  <c r="K935" i="2"/>
  <c r="L935" i="2" s="1"/>
  <c r="K495" i="2"/>
  <c r="L495" i="2" s="1"/>
  <c r="K695" i="2"/>
  <c r="L695" i="2" s="1"/>
  <c r="K23" i="2"/>
  <c r="L23" i="2" s="1"/>
  <c r="K359" i="2"/>
  <c r="L359" i="2" s="1"/>
  <c r="K708" i="2"/>
  <c r="L708" i="2" s="1"/>
  <c r="K900" i="2"/>
  <c r="L900" i="2" s="1"/>
  <c r="K45" i="2"/>
  <c r="L45" i="2" s="1"/>
  <c r="K983" i="2"/>
  <c r="L983" i="2" s="1"/>
  <c r="K705" i="2"/>
  <c r="L705" i="2" s="1"/>
  <c r="K491" i="2"/>
  <c r="L491" i="2" s="1"/>
  <c r="K427" i="2"/>
  <c r="L427" i="2" s="1"/>
  <c r="K742" i="2"/>
  <c r="L742" i="2" s="1"/>
  <c r="K31" i="2"/>
  <c r="L31" i="2" s="1"/>
  <c r="K327" i="2"/>
  <c r="L327" i="2" s="1"/>
  <c r="K552" i="2"/>
  <c r="L552" i="2" s="1"/>
  <c r="K808" i="2"/>
  <c r="L808" i="2" s="1"/>
  <c r="K936" i="2"/>
  <c r="L936" i="2" s="1"/>
  <c r="K523" i="2"/>
  <c r="L523" i="2" s="1"/>
  <c r="K899" i="2"/>
  <c r="L899" i="2" s="1"/>
  <c r="K737" i="2"/>
  <c r="L737" i="2" s="1"/>
  <c r="K575" i="2"/>
  <c r="L575" i="2" s="1"/>
  <c r="K851" i="2"/>
  <c r="L851" i="2" s="1"/>
  <c r="K498" i="2"/>
  <c r="L498" i="2" s="1"/>
  <c r="K399" i="2"/>
  <c r="L399" i="2" s="1"/>
  <c r="K271" i="2"/>
  <c r="L271" i="2" s="1"/>
  <c r="K143" i="2"/>
  <c r="L143" i="2" s="1"/>
  <c r="K853" i="2"/>
  <c r="L853" i="2" s="1"/>
  <c r="K725" i="2"/>
  <c r="L725" i="2" s="1"/>
  <c r="K661" i="2"/>
  <c r="L661" i="2" s="1"/>
  <c r="K597" i="2"/>
  <c r="L597" i="2" s="1"/>
  <c r="K533" i="2"/>
  <c r="L533" i="2" s="1"/>
  <c r="K329" i="2"/>
  <c r="L329" i="2" s="1"/>
  <c r="K201" i="2"/>
  <c r="L201" i="2" s="1"/>
  <c r="K250" i="2"/>
  <c r="L250" i="2" s="1"/>
  <c r="K58" i="2"/>
  <c r="L58" i="2" s="1"/>
  <c r="K424" i="2"/>
  <c r="L424" i="2" s="1"/>
  <c r="K360" i="2"/>
  <c r="L360" i="2" s="1"/>
  <c r="K232" i="2"/>
  <c r="L232" i="2" s="1"/>
  <c r="K40" i="2"/>
  <c r="L40" i="2" s="1"/>
  <c r="K151" i="2"/>
  <c r="L151" i="2" s="1"/>
  <c r="K319" i="2"/>
  <c r="L319" i="2" s="1"/>
  <c r="K564" i="2"/>
  <c r="L564" i="2" s="1"/>
  <c r="K948" i="2"/>
  <c r="L948" i="2" s="1"/>
  <c r="K555" i="2"/>
  <c r="L555" i="2" s="1"/>
  <c r="K577" i="2"/>
  <c r="L577" i="2" s="1"/>
  <c r="K299" i="2"/>
  <c r="L299" i="2" s="1"/>
  <c r="K934" i="2"/>
  <c r="L934" i="2" s="1"/>
  <c r="K247" i="2"/>
  <c r="L247" i="2" s="1"/>
  <c r="K648" i="2"/>
  <c r="L648" i="2" s="1"/>
  <c r="K904" i="2"/>
  <c r="L904" i="2" s="1"/>
  <c r="K405" i="2"/>
  <c r="L405" i="2" s="1"/>
  <c r="K769" i="2"/>
  <c r="L769" i="2" s="1"/>
  <c r="K413" i="2"/>
  <c r="L413" i="2" s="1"/>
  <c r="K954" i="2"/>
  <c r="L954" i="2" s="1"/>
  <c r="K147" i="2"/>
  <c r="L147" i="2" s="1"/>
  <c r="K551" i="2"/>
  <c r="L551" i="2" s="1"/>
  <c r="K406" i="2"/>
  <c r="L406" i="2" s="1"/>
  <c r="K625" i="2"/>
  <c r="L625" i="2" s="1"/>
  <c r="K117" i="2"/>
  <c r="L117" i="2" s="1"/>
  <c r="K642" i="2"/>
  <c r="L642" i="2" s="1"/>
  <c r="K898" i="2"/>
  <c r="L898" i="2" s="1"/>
  <c r="K191" i="2"/>
  <c r="L191" i="2" s="1"/>
  <c r="K503" i="2"/>
  <c r="L503" i="2" s="1"/>
  <c r="K772" i="2"/>
  <c r="L772" i="2" s="1"/>
  <c r="K389" i="2"/>
  <c r="L389" i="2" s="1"/>
  <c r="K791" i="2"/>
  <c r="L791" i="2" s="1"/>
  <c r="K60" i="2"/>
  <c r="L60" i="2" s="1"/>
  <c r="K316" i="2"/>
  <c r="L316" i="2" s="1"/>
  <c r="K214" i="2"/>
  <c r="L214" i="2" s="1"/>
  <c r="K385" i="2"/>
  <c r="L385" i="2" s="1"/>
  <c r="K689" i="2"/>
  <c r="L689" i="2" s="1"/>
  <c r="K437" i="2"/>
  <c r="L437" i="2" s="1"/>
  <c r="K546" i="2"/>
  <c r="L546" i="2" s="1"/>
  <c r="K802" i="2"/>
  <c r="L802" i="2" s="1"/>
  <c r="K930" i="2"/>
  <c r="L930" i="2" s="1"/>
  <c r="K61" i="2"/>
  <c r="L61" i="2" s="1"/>
  <c r="K815" i="2"/>
  <c r="L815" i="2" s="1"/>
  <c r="K63" i="2"/>
  <c r="L63" i="2" s="1"/>
  <c r="K231" i="2"/>
  <c r="L231" i="2" s="1"/>
  <c r="K407" i="2"/>
  <c r="L407" i="2" s="1"/>
  <c r="K528" i="2"/>
  <c r="L528" i="2" s="1"/>
  <c r="K660" i="2"/>
  <c r="L660" i="2" s="1"/>
  <c r="K724" i="2"/>
  <c r="L724" i="2" s="1"/>
  <c r="K133" i="2"/>
  <c r="L133" i="2" s="1"/>
  <c r="K459" i="2"/>
  <c r="L459" i="2" s="1"/>
  <c r="K839" i="2"/>
  <c r="L839" i="2" s="1"/>
  <c r="K460" i="2"/>
  <c r="L460" i="2" s="1"/>
  <c r="K102" i="2"/>
  <c r="L102" i="2" s="1"/>
  <c r="K833" i="2"/>
  <c r="L833" i="2" s="1"/>
  <c r="K819" i="2"/>
  <c r="L819" i="2" s="1"/>
  <c r="K550" i="2"/>
  <c r="L550" i="2" s="1"/>
  <c r="K93" i="2"/>
  <c r="L93" i="2" s="1"/>
  <c r="K71" i="2"/>
  <c r="L71" i="2" s="1"/>
  <c r="K492" i="2"/>
  <c r="L492" i="2" s="1"/>
  <c r="K70" i="2"/>
  <c r="L70" i="2" s="1"/>
  <c r="K415" i="2"/>
  <c r="L415" i="2" s="1"/>
  <c r="K856" i="2"/>
  <c r="L856" i="2" s="1"/>
  <c r="K496" i="2"/>
  <c r="L496" i="2" s="1"/>
  <c r="K999" i="2"/>
  <c r="L999" i="2" s="1"/>
  <c r="K847" i="2"/>
  <c r="L847" i="2" s="1"/>
  <c r="K531" i="2"/>
  <c r="L531" i="2" s="1"/>
  <c r="K989" i="2"/>
  <c r="L989" i="2" s="1"/>
  <c r="K733" i="2"/>
  <c r="L733" i="2" s="1"/>
  <c r="K669" i="2"/>
  <c r="L669" i="2" s="1"/>
  <c r="K541" i="2"/>
  <c r="L541" i="2" s="1"/>
  <c r="K462" i="2"/>
  <c r="L462" i="2" s="1"/>
  <c r="K345" i="2"/>
  <c r="L345" i="2" s="1"/>
  <c r="K217" i="2"/>
  <c r="L217" i="2" s="1"/>
  <c r="K89" i="2"/>
  <c r="L89" i="2" s="1"/>
  <c r="K942" i="2"/>
  <c r="L942" i="2" s="1"/>
  <c r="K814" i="2"/>
  <c r="L814" i="2" s="1"/>
  <c r="K750" i="2"/>
  <c r="L750" i="2" s="1"/>
  <c r="K622" i="2"/>
  <c r="L622" i="2" s="1"/>
  <c r="K558" i="2"/>
  <c r="L558" i="2" s="1"/>
  <c r="K213" i="2"/>
  <c r="L213" i="2" s="1"/>
  <c r="K513" i="2"/>
  <c r="L513" i="2" s="1"/>
  <c r="K699" i="2"/>
  <c r="L699" i="2" s="1"/>
  <c r="K887" i="2"/>
  <c r="L887" i="2" s="1"/>
  <c r="K76" i="2"/>
  <c r="L76" i="2" s="1"/>
  <c r="K417" i="2"/>
  <c r="L417" i="2" s="1"/>
  <c r="K961" i="2"/>
  <c r="L961" i="2" s="1"/>
  <c r="K43" i="2"/>
  <c r="L43" i="2" s="1"/>
  <c r="K579" i="2"/>
  <c r="L579" i="2" s="1"/>
  <c r="K744" i="2"/>
  <c r="L744" i="2" s="1"/>
  <c r="K1000" i="2"/>
  <c r="L1000" i="2" s="1"/>
  <c r="K237" i="2"/>
  <c r="L237" i="2" s="1"/>
  <c r="K711" i="2"/>
  <c r="L711" i="2" s="1"/>
  <c r="K225" i="2"/>
  <c r="L225" i="2" s="1"/>
  <c r="K609" i="2"/>
  <c r="L609" i="2" s="1"/>
  <c r="K865" i="2"/>
  <c r="L865" i="2" s="1"/>
  <c r="K235" i="2"/>
  <c r="L235" i="2" s="1"/>
  <c r="K694" i="2"/>
  <c r="L694" i="2" s="1"/>
  <c r="K822" i="2"/>
  <c r="L822" i="2" s="1"/>
  <c r="K95" i="2"/>
  <c r="L95" i="2" s="1"/>
  <c r="K263" i="2"/>
  <c r="L263" i="2" s="1"/>
  <c r="K439" i="2"/>
  <c r="L439" i="2" s="1"/>
  <c r="K544" i="2"/>
  <c r="L544" i="2" s="1"/>
  <c r="K672" i="2"/>
  <c r="L672" i="2" s="1"/>
  <c r="K736" i="2"/>
  <c r="L736" i="2" s="1"/>
  <c r="K864" i="2"/>
  <c r="L864" i="2" s="1"/>
  <c r="K639" i="2"/>
  <c r="L639" i="2" s="1"/>
  <c r="K831" i="2"/>
  <c r="L831" i="2" s="1"/>
  <c r="K396" i="2"/>
  <c r="L396" i="2" s="1"/>
  <c r="K517" i="2"/>
  <c r="L517" i="2" s="1"/>
  <c r="K774" i="2"/>
  <c r="L774" i="2" s="1"/>
  <c r="K375" i="2"/>
  <c r="L375" i="2" s="1"/>
  <c r="K712" i="2"/>
  <c r="L712" i="2" s="1"/>
  <c r="K840" i="2"/>
  <c r="L840" i="2" s="1"/>
  <c r="K69" i="2"/>
  <c r="L69" i="2" s="1"/>
  <c r="K615" i="2"/>
  <c r="L615" i="2" s="1"/>
  <c r="K262" i="2"/>
  <c r="L262" i="2" s="1"/>
  <c r="K353" i="2"/>
  <c r="L353" i="2" s="1"/>
  <c r="K673" i="2"/>
  <c r="L673" i="2" s="1"/>
  <c r="K929" i="2"/>
  <c r="L929" i="2" s="1"/>
  <c r="K357" i="2"/>
  <c r="L357" i="2" s="1"/>
  <c r="K363" i="2"/>
  <c r="L363" i="2" s="1"/>
  <c r="K726" i="2"/>
  <c r="L726" i="2" s="1"/>
  <c r="K767" i="2"/>
  <c r="L767" i="2" s="1"/>
  <c r="K135" i="2"/>
  <c r="L135" i="2" s="1"/>
  <c r="K311" i="2"/>
  <c r="L311" i="2" s="1"/>
  <c r="K466" i="2"/>
  <c r="L466" i="2" s="1"/>
  <c r="K624" i="2"/>
  <c r="L624" i="2" s="1"/>
  <c r="K688" i="2"/>
  <c r="L688" i="2" s="1"/>
  <c r="K816" i="2"/>
  <c r="L816" i="2" s="1"/>
  <c r="K1008" i="2"/>
  <c r="L1008" i="2" s="1"/>
  <c r="K189" i="2"/>
  <c r="L189" i="2" s="1"/>
  <c r="K497" i="2"/>
  <c r="L497" i="2" s="1"/>
  <c r="K871" i="2"/>
  <c r="L871" i="2" s="1"/>
  <c r="K294" i="2"/>
  <c r="L294" i="2" s="1"/>
  <c r="K897" i="2"/>
  <c r="L897" i="2" s="1"/>
  <c r="K967" i="2"/>
  <c r="L967" i="2" s="1"/>
  <c r="K707" i="2"/>
  <c r="L707" i="2" s="1"/>
  <c r="K119" i="2"/>
  <c r="L119" i="2" s="1"/>
  <c r="K760" i="2"/>
  <c r="L760" i="2" s="1"/>
  <c r="K477" i="2"/>
  <c r="L477" i="2" s="1"/>
  <c r="K367" i="2"/>
  <c r="L367" i="2" s="1"/>
  <c r="K239" i="2"/>
  <c r="L239" i="2" s="1"/>
  <c r="K911" i="2"/>
  <c r="L911" i="2" s="1"/>
  <c r="K659" i="2"/>
  <c r="L659" i="2" s="1"/>
  <c r="K269" i="2"/>
  <c r="L269" i="2" s="1"/>
  <c r="K874" i="2"/>
  <c r="L874" i="2" s="1"/>
  <c r="K810" i="2"/>
  <c r="L810" i="2" s="1"/>
  <c r="K479" i="2"/>
  <c r="L479" i="2" s="1"/>
  <c r="K371" i="2"/>
  <c r="L371" i="2" s="1"/>
  <c r="K243" i="2"/>
  <c r="L243" i="2" s="1"/>
  <c r="K823" i="2"/>
  <c r="L823" i="2" s="1"/>
  <c r="K667" i="2"/>
  <c r="L667" i="2" s="1"/>
  <c r="K507" i="2"/>
  <c r="L507" i="2" s="1"/>
  <c r="K221" i="2"/>
  <c r="L221" i="2" s="1"/>
  <c r="K994" i="2"/>
  <c r="L994" i="2" s="1"/>
  <c r="K901" i="2"/>
  <c r="L901" i="2" s="1"/>
  <c r="K837" i="2"/>
  <c r="L837" i="2" s="1"/>
  <c r="K773" i="2"/>
  <c r="L773" i="2" s="1"/>
  <c r="K581" i="2"/>
  <c r="L581" i="2" s="1"/>
  <c r="K425" i="2"/>
  <c r="L425" i="2" s="1"/>
  <c r="K469" i="2"/>
  <c r="L469" i="2" s="1"/>
  <c r="K355" i="2"/>
  <c r="L355" i="2" s="1"/>
  <c r="K227" i="2"/>
  <c r="L227" i="2" s="1"/>
  <c r="K99" i="2"/>
  <c r="L99" i="2" s="1"/>
  <c r="K927" i="2"/>
  <c r="L927" i="2" s="1"/>
  <c r="K309" i="2"/>
  <c r="L309" i="2" s="1"/>
  <c r="K334" i="2"/>
  <c r="L334" i="2" s="1"/>
  <c r="K270" i="2"/>
  <c r="L270" i="2" s="1"/>
  <c r="K142" i="2"/>
  <c r="L142" i="2" s="1"/>
  <c r="K886" i="2"/>
  <c r="L886" i="2" s="1"/>
  <c r="K895" i="2"/>
  <c r="L895" i="2" s="1"/>
  <c r="K183" i="2"/>
  <c r="L183" i="2" s="1"/>
  <c r="K351" i="2"/>
  <c r="L351" i="2" s="1"/>
  <c r="K640" i="2"/>
  <c r="L640" i="2" s="1"/>
  <c r="K768" i="2"/>
  <c r="L768" i="2" s="1"/>
  <c r="K1024" i="2"/>
  <c r="L1024" i="2" s="1"/>
  <c r="K277" i="2"/>
  <c r="L277" i="2" s="1"/>
  <c r="K543" i="2"/>
  <c r="L543" i="2" s="1"/>
  <c r="K731" i="2"/>
  <c r="L731" i="2" s="1"/>
  <c r="K919" i="2"/>
  <c r="L919" i="2" s="1"/>
  <c r="K510" i="2"/>
  <c r="L510" i="2" s="1"/>
  <c r="K646" i="2"/>
  <c r="L646" i="2" s="1"/>
  <c r="K199" i="2"/>
  <c r="L199" i="2" s="1"/>
  <c r="K664" i="2"/>
  <c r="L664" i="2" s="1"/>
  <c r="K663" i="2"/>
  <c r="L663" i="2" s="1"/>
  <c r="K455" i="2"/>
  <c r="L455" i="2" s="1"/>
  <c r="K335" i="2"/>
  <c r="L335" i="2" s="1"/>
  <c r="K207" i="2"/>
  <c r="L207" i="2" s="1"/>
  <c r="K79" i="2"/>
  <c r="L79" i="2" s="1"/>
  <c r="K843" i="2"/>
  <c r="L843" i="2" s="1"/>
  <c r="K591" i="2"/>
  <c r="L591" i="2" s="1"/>
  <c r="K125" i="2"/>
  <c r="L125" i="2" s="1"/>
  <c r="K922" i="2"/>
  <c r="L922" i="2" s="1"/>
  <c r="K730" i="2"/>
  <c r="L730" i="2" s="1"/>
  <c r="K666" i="2"/>
  <c r="L666" i="2" s="1"/>
  <c r="K538" i="2"/>
  <c r="L538" i="2" s="1"/>
  <c r="K339" i="2"/>
  <c r="L339" i="2" s="1"/>
  <c r="K211" i="2"/>
  <c r="L211" i="2" s="1"/>
  <c r="K943" i="2"/>
  <c r="L943" i="2" s="1"/>
  <c r="K783" i="2"/>
  <c r="L783" i="2" s="1"/>
  <c r="K631" i="2"/>
  <c r="L631" i="2" s="1"/>
  <c r="K454" i="2"/>
  <c r="L454" i="2" s="1"/>
  <c r="K141" i="2"/>
  <c r="L141" i="2" s="1"/>
  <c r="K1013" i="2"/>
  <c r="L1013" i="2" s="1"/>
  <c r="K949" i="2"/>
  <c r="L949" i="2" s="1"/>
  <c r="K885" i="2"/>
  <c r="L885" i="2" s="1"/>
  <c r="K821" i="2"/>
  <c r="L821" i="2" s="1"/>
  <c r="K757" i="2"/>
  <c r="L757" i="2" s="1"/>
  <c r="K693" i="2"/>
  <c r="L693" i="2" s="1"/>
  <c r="K629" i="2"/>
  <c r="L629" i="2" s="1"/>
  <c r="K565" i="2"/>
  <c r="L565" i="2" s="1"/>
  <c r="K393" i="2"/>
  <c r="L393" i="2" s="1"/>
  <c r="K265" i="2"/>
  <c r="L265" i="2" s="1"/>
  <c r="K137" i="2"/>
  <c r="L137" i="2" s="1"/>
  <c r="K346" i="2"/>
  <c r="L346" i="2" s="1"/>
  <c r="K282" i="2"/>
  <c r="L282" i="2" s="1"/>
  <c r="K154" i="2"/>
  <c r="L154" i="2" s="1"/>
  <c r="K90" i="2"/>
  <c r="L90" i="2" s="1"/>
  <c r="K400" i="2"/>
  <c r="L400" i="2" s="1"/>
  <c r="K208" i="2"/>
  <c r="L208" i="2" s="1"/>
  <c r="K144" i="2"/>
  <c r="L144" i="2" s="1"/>
  <c r="J750" i="2"/>
  <c r="J686" i="2"/>
  <c r="K354" i="2"/>
  <c r="L354" i="2" s="1"/>
  <c r="K226" i="2"/>
  <c r="L226" i="2" s="1"/>
  <c r="K34" i="2"/>
  <c r="L34" i="2" s="1"/>
  <c r="K951" i="2"/>
  <c r="L951" i="2" s="1"/>
  <c r="K165" i="2"/>
  <c r="L165" i="2" s="1"/>
  <c r="K921" i="2"/>
  <c r="L921" i="2" s="1"/>
  <c r="K601" i="2"/>
  <c r="L601" i="2" s="1"/>
  <c r="K457" i="2"/>
  <c r="L457" i="2" s="1"/>
  <c r="K209" i="2"/>
  <c r="L209" i="2" s="1"/>
  <c r="K81" i="2"/>
  <c r="L81" i="2" s="1"/>
  <c r="K940" i="2"/>
  <c r="L940" i="2" s="1"/>
  <c r="K423" i="2"/>
  <c r="L423" i="2" s="1"/>
  <c r="K300" i="2"/>
  <c r="L300" i="2" s="1"/>
  <c r="K390" i="2"/>
  <c r="L390" i="2" s="1"/>
  <c r="K97" i="2"/>
  <c r="L97" i="2" s="1"/>
  <c r="K545" i="2"/>
  <c r="L545" i="2" s="1"/>
  <c r="K801" i="2"/>
  <c r="L801" i="2" s="1"/>
  <c r="K735" i="2"/>
  <c r="L735" i="2" s="1"/>
  <c r="K534" i="2"/>
  <c r="L534" i="2" s="1"/>
  <c r="K502" i="2"/>
  <c r="L502" i="2" s="1"/>
  <c r="K1027" i="2"/>
  <c r="L1027" i="2" s="1"/>
  <c r="K55" i="2"/>
  <c r="L55" i="2" s="1"/>
  <c r="K391" i="2"/>
  <c r="L391" i="2" s="1"/>
  <c r="K720" i="2"/>
  <c r="L720" i="2" s="1"/>
  <c r="K784" i="2"/>
  <c r="L784" i="2" s="1"/>
  <c r="K912" i="2"/>
  <c r="L912" i="2" s="1"/>
  <c r="K29" i="2"/>
  <c r="L29" i="2" s="1"/>
  <c r="K365" i="2"/>
  <c r="L365" i="2" s="1"/>
  <c r="K595" i="2"/>
  <c r="L595" i="2" s="1"/>
  <c r="K779" i="2"/>
  <c r="L779" i="2" s="1"/>
  <c r="K971" i="2"/>
  <c r="L971" i="2" s="1"/>
  <c r="K268" i="2"/>
  <c r="L268" i="2" s="1"/>
  <c r="K641" i="2"/>
  <c r="L641" i="2" s="1"/>
  <c r="K205" i="2"/>
  <c r="L205" i="2" s="1"/>
  <c r="K171" i="2"/>
  <c r="L171" i="2" s="1"/>
  <c r="K966" i="2"/>
  <c r="L966" i="2" s="1"/>
  <c r="K287" i="2"/>
  <c r="L287" i="2" s="1"/>
  <c r="K696" i="2"/>
  <c r="L696" i="2" s="1"/>
  <c r="K317" i="2"/>
  <c r="L317" i="2" s="1"/>
  <c r="K751" i="2"/>
  <c r="L751" i="2" s="1"/>
  <c r="K519" i="2"/>
  <c r="L519" i="2" s="1"/>
  <c r="K431" i="2"/>
  <c r="L431" i="2" s="1"/>
  <c r="K303" i="2"/>
  <c r="L303" i="2" s="1"/>
  <c r="K175" i="2"/>
  <c r="L175" i="2" s="1"/>
  <c r="K47" i="2"/>
  <c r="L47" i="2" s="1"/>
  <c r="K527" i="2"/>
  <c r="L527" i="2" s="1"/>
  <c r="K970" i="2"/>
  <c r="L970" i="2" s="1"/>
  <c r="K906" i="2"/>
  <c r="L906" i="2" s="1"/>
  <c r="K778" i="2"/>
  <c r="L778" i="2" s="1"/>
  <c r="K522" i="2"/>
  <c r="L522" i="2" s="1"/>
  <c r="K307" i="2"/>
  <c r="L307" i="2" s="1"/>
  <c r="K179" i="2"/>
  <c r="L179" i="2" s="1"/>
  <c r="K903" i="2"/>
  <c r="L903" i="2" s="1"/>
  <c r="K747" i="2"/>
  <c r="L747" i="2" s="1"/>
  <c r="K381" i="2"/>
  <c r="L381" i="2" s="1"/>
  <c r="K53" i="2"/>
  <c r="L53" i="2" s="1"/>
  <c r="K933" i="2"/>
  <c r="L933" i="2" s="1"/>
  <c r="K869" i="2"/>
  <c r="L869" i="2" s="1"/>
  <c r="K805" i="2"/>
  <c r="L805" i="2" s="1"/>
  <c r="K677" i="2"/>
  <c r="L677" i="2" s="1"/>
  <c r="K613" i="2"/>
  <c r="L613" i="2" s="1"/>
  <c r="K549" i="2"/>
  <c r="L549" i="2" s="1"/>
  <c r="K361" i="2"/>
  <c r="L361" i="2" s="1"/>
  <c r="K233" i="2"/>
  <c r="L233" i="2" s="1"/>
  <c r="K436" i="2"/>
  <c r="L436" i="2" s="1"/>
  <c r="K244" i="2"/>
  <c r="L244" i="2" s="1"/>
  <c r="K180" i="2"/>
  <c r="L180" i="2" s="1"/>
  <c r="K52" i="2"/>
  <c r="L52" i="2" s="1"/>
  <c r="K671" i="2"/>
  <c r="L671" i="2" s="1"/>
  <c r="K173" i="2"/>
  <c r="L173" i="2" s="1"/>
  <c r="K297" i="2"/>
  <c r="L297" i="2" s="1"/>
  <c r="K169" i="2"/>
  <c r="L169" i="2" s="1"/>
  <c r="K41" i="2"/>
  <c r="L41" i="2" s="1"/>
  <c r="K298" i="2"/>
  <c r="L298" i="2" s="1"/>
  <c r="K234" i="2"/>
  <c r="L234" i="2" s="1"/>
  <c r="K106" i="2"/>
  <c r="L106" i="2" s="1"/>
  <c r="K42" i="2"/>
  <c r="L42" i="2" s="1"/>
  <c r="K480" i="2"/>
  <c r="L480" i="2" s="1"/>
  <c r="K352" i="2"/>
  <c r="L352" i="2" s="1"/>
  <c r="K96" i="2"/>
  <c r="L96" i="2" s="1"/>
  <c r="K490" i="2"/>
  <c r="L490" i="2" s="1"/>
  <c r="K259" i="2"/>
  <c r="L259" i="2" s="1"/>
  <c r="K131" i="2"/>
  <c r="L131" i="2" s="1"/>
  <c r="K727" i="2"/>
  <c r="L727" i="2" s="1"/>
  <c r="K333" i="2"/>
  <c r="L333" i="2" s="1"/>
  <c r="K941" i="2"/>
  <c r="L941" i="2" s="1"/>
  <c r="K377" i="2"/>
  <c r="L377" i="2" s="1"/>
  <c r="K121" i="2"/>
  <c r="L121" i="2" s="1"/>
  <c r="K370" i="2"/>
  <c r="L370" i="2" s="1"/>
  <c r="K376" i="2"/>
  <c r="L376" i="2" s="1"/>
  <c r="K312" i="2"/>
  <c r="L312" i="2" s="1"/>
  <c r="K184" i="2"/>
  <c r="L184" i="2" s="1"/>
  <c r="K120" i="2"/>
  <c r="L120" i="2" s="1"/>
  <c r="K449" i="2"/>
  <c r="L449" i="2" s="1"/>
  <c r="K958" i="2"/>
  <c r="L958" i="2" s="1"/>
  <c r="K894" i="2"/>
  <c r="L894" i="2" s="1"/>
  <c r="K702" i="2"/>
  <c r="L702" i="2" s="1"/>
  <c r="K574" i="2"/>
  <c r="L574" i="2" s="1"/>
  <c r="K283" i="2"/>
  <c r="L283" i="2" s="1"/>
  <c r="K155" i="2"/>
  <c r="L155" i="2" s="1"/>
  <c r="K27" i="2"/>
  <c r="L27" i="2" s="1"/>
  <c r="K835" i="2"/>
  <c r="L835" i="2" s="1"/>
  <c r="K1001" i="2"/>
  <c r="L1001" i="2" s="1"/>
  <c r="K873" i="2"/>
  <c r="L873" i="2" s="1"/>
  <c r="K681" i="2"/>
  <c r="L681" i="2" s="1"/>
  <c r="K617" i="2"/>
  <c r="L617" i="2" s="1"/>
  <c r="K553" i="2"/>
  <c r="L553" i="2" s="1"/>
  <c r="K478" i="2"/>
  <c r="L478" i="2" s="1"/>
  <c r="K369" i="2"/>
  <c r="L369" i="2" s="1"/>
  <c r="K414" i="2"/>
  <c r="L414" i="2" s="1"/>
  <c r="K222" i="2"/>
  <c r="L222" i="2" s="1"/>
  <c r="K196" i="2"/>
  <c r="L196" i="2" s="1"/>
  <c r="K132" i="2"/>
  <c r="L132" i="2" s="1"/>
  <c r="K690" i="2"/>
  <c r="L690" i="2" s="1"/>
  <c r="K540" i="2"/>
  <c r="L540" i="2" s="1"/>
  <c r="K202" i="2"/>
  <c r="L202" i="2" s="1"/>
  <c r="K138" i="2"/>
  <c r="L138" i="2" s="1"/>
  <c r="K384" i="2"/>
  <c r="L384" i="2" s="1"/>
  <c r="K256" i="2"/>
  <c r="L256" i="2" s="1"/>
  <c r="K192" i="2"/>
  <c r="L192" i="2" s="1"/>
  <c r="K64" i="2"/>
  <c r="L64" i="2" s="1"/>
  <c r="K447" i="2"/>
  <c r="L447" i="2" s="1"/>
  <c r="K323" i="2"/>
  <c r="L323" i="2" s="1"/>
  <c r="K195" i="2"/>
  <c r="L195" i="2" s="1"/>
  <c r="K67" i="2"/>
  <c r="L67" i="2" s="1"/>
  <c r="K807" i="2"/>
  <c r="L807" i="2" s="1"/>
  <c r="K647" i="2"/>
  <c r="L647" i="2" s="1"/>
  <c r="K481" i="2"/>
  <c r="L481" i="2" s="1"/>
  <c r="K181" i="2"/>
  <c r="L181" i="2" s="1"/>
  <c r="K1006" i="2"/>
  <c r="L1006" i="2" s="1"/>
  <c r="K909" i="2"/>
  <c r="L909" i="2" s="1"/>
  <c r="K845" i="2"/>
  <c r="L845" i="2" s="1"/>
  <c r="K781" i="2"/>
  <c r="L781" i="2" s="1"/>
  <c r="K717" i="2"/>
  <c r="L717" i="2" s="1"/>
  <c r="K653" i="2"/>
  <c r="L653" i="2" s="1"/>
  <c r="K589" i="2"/>
  <c r="L589" i="2" s="1"/>
  <c r="K525" i="2"/>
  <c r="L525" i="2" s="1"/>
  <c r="K441" i="2"/>
  <c r="L441" i="2" s="1"/>
  <c r="K313" i="2"/>
  <c r="L313" i="2" s="1"/>
  <c r="K185" i="2"/>
  <c r="L185" i="2" s="1"/>
  <c r="K402" i="2"/>
  <c r="L402" i="2" s="1"/>
  <c r="K274" i="2"/>
  <c r="L274" i="2" s="1"/>
  <c r="K210" i="2"/>
  <c r="L210" i="2" s="1"/>
  <c r="K82" i="2"/>
  <c r="L82" i="2" s="1"/>
  <c r="K408" i="2"/>
  <c r="L408" i="2" s="1"/>
  <c r="K280" i="2"/>
  <c r="L280" i="2" s="1"/>
  <c r="K88" i="2"/>
  <c r="L88" i="2" s="1"/>
  <c r="K24" i="2"/>
  <c r="L24" i="2" s="1"/>
  <c r="K863" i="2"/>
  <c r="L863" i="2" s="1"/>
  <c r="K607" i="2"/>
  <c r="L607" i="2" s="1"/>
  <c r="K990" i="2"/>
  <c r="L990" i="2" s="1"/>
  <c r="K798" i="2"/>
  <c r="L798" i="2" s="1"/>
  <c r="K670" i="2"/>
  <c r="L670" i="2" s="1"/>
  <c r="K606" i="2"/>
  <c r="L606" i="2" s="1"/>
  <c r="K463" i="2"/>
  <c r="L463" i="2" s="1"/>
  <c r="K347" i="2"/>
  <c r="L347" i="2" s="1"/>
  <c r="K77" i="2"/>
  <c r="L77" i="2" s="1"/>
  <c r="K521" i="2"/>
  <c r="L521" i="2" s="1"/>
  <c r="K177" i="2"/>
  <c r="L177" i="2" s="1"/>
  <c r="K382" i="2"/>
  <c r="L382" i="2" s="1"/>
  <c r="K318" i="2"/>
  <c r="L318" i="2" s="1"/>
  <c r="K190" i="2"/>
  <c r="L190" i="2" s="1"/>
  <c r="K484" i="2"/>
  <c r="L484" i="2" s="1"/>
  <c r="K228" i="2"/>
  <c r="L228" i="2" s="1"/>
  <c r="K100" i="2"/>
  <c r="L100" i="2" s="1"/>
  <c r="K36" i="2"/>
  <c r="L36" i="2" s="1"/>
  <c r="K432" i="2"/>
  <c r="L432" i="2" s="1"/>
  <c r="K240" i="2"/>
  <c r="L240" i="2" s="1"/>
  <c r="K48" i="2"/>
  <c r="L48" i="2" s="1"/>
  <c r="K511" i="2"/>
  <c r="L511" i="2" s="1"/>
  <c r="K419" i="2"/>
  <c r="L419" i="2" s="1"/>
  <c r="K291" i="2"/>
  <c r="L291" i="2" s="1"/>
  <c r="K163" i="2"/>
  <c r="L163" i="2" s="1"/>
  <c r="K35" i="2"/>
  <c r="L35" i="2" s="1"/>
  <c r="K923" i="2"/>
  <c r="L923" i="2" s="1"/>
  <c r="K763" i="2"/>
  <c r="L763" i="2" s="1"/>
  <c r="K611" i="2"/>
  <c r="L611" i="2" s="1"/>
  <c r="K421" i="2"/>
  <c r="L421" i="2" s="1"/>
  <c r="K101" i="2"/>
  <c r="L101" i="2" s="1"/>
  <c r="K1021" i="2"/>
  <c r="L1021" i="2" s="1"/>
  <c r="K957" i="2"/>
  <c r="L957" i="2" s="1"/>
  <c r="K893" i="2"/>
  <c r="L893" i="2" s="1"/>
  <c r="K765" i="2"/>
  <c r="L765" i="2" s="1"/>
  <c r="K701" i="2"/>
  <c r="L701" i="2" s="1"/>
  <c r="K637" i="2"/>
  <c r="L637" i="2" s="1"/>
  <c r="K409" i="2"/>
  <c r="L409" i="2" s="1"/>
  <c r="K153" i="2"/>
  <c r="L153" i="2" s="1"/>
  <c r="K258" i="2"/>
  <c r="L258" i="2" s="1"/>
  <c r="K130" i="2"/>
  <c r="L130" i="2" s="1"/>
  <c r="K66" i="2"/>
  <c r="L66" i="2" s="1"/>
  <c r="K520" i="2"/>
  <c r="L520" i="2" s="1"/>
  <c r="K456" i="2"/>
  <c r="L456" i="2" s="1"/>
  <c r="K264" i="2"/>
  <c r="L264" i="2" s="1"/>
  <c r="K136" i="2"/>
  <c r="L136" i="2" s="1"/>
  <c r="K72" i="2"/>
  <c r="L72" i="2" s="1"/>
  <c r="K799" i="2"/>
  <c r="L799" i="2" s="1"/>
  <c r="K718" i="2"/>
  <c r="L718" i="2" s="1"/>
  <c r="K654" i="2"/>
  <c r="L654" i="2" s="1"/>
  <c r="K315" i="2"/>
  <c r="L315" i="2" s="1"/>
  <c r="K187" i="2"/>
  <c r="L187" i="2" s="1"/>
  <c r="K325" i="2"/>
  <c r="L325" i="2" s="1"/>
  <c r="K145" i="2"/>
  <c r="L145" i="2" s="1"/>
  <c r="K430" i="2"/>
  <c r="L430" i="2" s="1"/>
  <c r="K238" i="2"/>
  <c r="L238" i="2" s="1"/>
  <c r="K174" i="2"/>
  <c r="L174" i="2" s="1"/>
  <c r="K46" i="2"/>
  <c r="L46" i="2" s="1"/>
  <c r="K148" i="2"/>
  <c r="L148" i="2" s="1"/>
  <c r="K84" i="2"/>
  <c r="L84" i="2" s="1"/>
  <c r="K1020" i="2"/>
  <c r="L1020" i="2" s="1"/>
  <c r="K719" i="2"/>
  <c r="L719" i="2" s="1"/>
  <c r="K636" i="2"/>
  <c r="L636" i="2" s="1"/>
  <c r="K732" i="2"/>
  <c r="L732" i="2" s="1"/>
  <c r="K253" i="2"/>
  <c r="L253" i="2" s="1"/>
  <c r="K907" i="2"/>
  <c r="L907" i="2" s="1"/>
  <c r="K811" i="2"/>
  <c r="L811" i="2" s="1"/>
  <c r="K556" i="2"/>
  <c r="L556" i="2" s="1"/>
  <c r="K1007" i="2"/>
  <c r="L1007" i="2" s="1"/>
  <c r="K321" i="2"/>
  <c r="L321" i="2" s="1"/>
  <c r="K87" i="2"/>
  <c r="L87" i="2" s="1"/>
  <c r="K193" i="2"/>
  <c r="L193" i="2" s="1"/>
  <c r="K785" i="2"/>
  <c r="L785" i="2" s="1"/>
  <c r="J652" i="2"/>
  <c r="J548" i="2"/>
  <c r="J876" i="2"/>
  <c r="J924" i="2"/>
  <c r="J1003" i="2"/>
  <c r="J580" i="2"/>
  <c r="J852" i="2"/>
  <c r="J572" i="2"/>
  <c r="J892" i="2"/>
  <c r="J530" i="2"/>
  <c r="J446" i="2"/>
  <c r="J349" i="2"/>
  <c r="J850" i="2"/>
  <c r="J593" i="2"/>
  <c r="J657" i="2"/>
  <c r="J780" i="2"/>
  <c r="J754" i="2"/>
  <c r="J348" i="2"/>
  <c r="J535" i="2"/>
  <c r="J700" i="2"/>
  <c r="J988" i="2"/>
  <c r="J255" i="2"/>
  <c r="J636" i="2"/>
  <c r="J441" i="2"/>
  <c r="J324" i="2"/>
  <c r="J962" i="2"/>
  <c r="J614" i="2"/>
  <c r="J245" i="2"/>
  <c r="J716" i="2"/>
  <c r="J820" i="2"/>
  <c r="J748" i="2"/>
  <c r="J755" i="2"/>
  <c r="J412" i="2"/>
  <c r="J828" i="2"/>
  <c r="J438" i="2"/>
  <c r="J184" i="2"/>
  <c r="J916" i="2"/>
  <c r="J588" i="2"/>
  <c r="J206" i="2"/>
  <c r="J286" i="2"/>
  <c r="J227" i="2"/>
  <c r="J952" i="2"/>
  <c r="J251" i="2"/>
  <c r="J485" i="2"/>
  <c r="J379" i="2"/>
  <c r="J270" i="2"/>
  <c r="J514" i="2"/>
  <c r="J397" i="2"/>
  <c r="J905" i="2"/>
  <c r="J309" i="2"/>
  <c r="J878" i="2"/>
  <c r="J814" i="2"/>
  <c r="J942" i="2"/>
  <c r="J795" i="2"/>
  <c r="J777" i="2"/>
  <c r="J531" i="2"/>
  <c r="J812" i="2"/>
  <c r="J968" i="2"/>
  <c r="J556" i="2"/>
  <c r="J54" i="2"/>
  <c r="J547" i="2"/>
  <c r="J825" i="2"/>
  <c r="J612" i="2"/>
  <c r="J604" i="2"/>
  <c r="J145" i="2"/>
  <c r="J409" i="2"/>
  <c r="J1021" i="2"/>
  <c r="J576" i="2"/>
  <c r="J785" i="2"/>
  <c r="J586" i="2"/>
  <c r="J997" i="2"/>
  <c r="J448" i="2"/>
  <c r="J626" i="2"/>
  <c r="J841" i="2"/>
  <c r="J537" i="2"/>
  <c r="J476" i="2"/>
  <c r="J461" i="2"/>
  <c r="J786" i="2"/>
  <c r="J529" i="2"/>
  <c r="J1004" i="2"/>
  <c r="J246" i="2"/>
  <c r="J540" i="2"/>
  <c r="J959" i="2"/>
  <c r="J453" i="2"/>
  <c r="J973" i="2"/>
  <c r="J855" i="2"/>
  <c r="J977" i="2"/>
  <c r="J583" i="2"/>
  <c r="J668" i="2"/>
  <c r="J515" i="2"/>
  <c r="J243" i="2"/>
  <c r="J956" i="2"/>
  <c r="J570" i="2"/>
  <c r="J623" i="2"/>
  <c r="J690" i="2"/>
  <c r="J590" i="2"/>
  <c r="J215" i="2"/>
  <c r="J197" i="2"/>
  <c r="J127" i="2"/>
  <c r="J85" i="2"/>
  <c r="J732" i="2"/>
  <c r="J715" i="2"/>
  <c r="J539" i="2"/>
  <c r="J429" i="2"/>
  <c r="J420" i="2"/>
  <c r="J859" i="2"/>
  <c r="J879" i="2"/>
  <c r="J722" i="2"/>
  <c r="J658" i="2"/>
  <c r="J292" i="2"/>
  <c r="J305" i="2"/>
  <c r="J347" i="2"/>
  <c r="J788" i="2"/>
  <c r="J88" i="2"/>
  <c r="J295" i="2"/>
  <c r="J182" i="2"/>
  <c r="J584" i="2"/>
  <c r="J484" i="2"/>
  <c r="J691" i="2"/>
  <c r="J849" i="2"/>
  <c r="J683" i="2"/>
  <c r="J844" i="2"/>
  <c r="J569" i="2"/>
  <c r="J401" i="2"/>
  <c r="J1017" i="2"/>
  <c r="J404" i="2"/>
  <c r="J382" i="2"/>
  <c r="K86" i="2"/>
  <c r="L86" i="2" s="1"/>
  <c r="J684" i="2"/>
  <c r="J380" i="2"/>
  <c r="J1019" i="2"/>
  <c r="J954" i="2"/>
  <c r="J356" i="2"/>
  <c r="J24" i="2"/>
  <c r="J475" i="2"/>
  <c r="J796" i="2"/>
  <c r="J908" i="2"/>
  <c r="J430" i="2"/>
  <c r="J990" i="2"/>
  <c r="J926" i="2"/>
  <c r="J862" i="2"/>
  <c r="J798" i="2"/>
  <c r="J875" i="2"/>
  <c r="J200" i="2"/>
  <c r="J526" i="2"/>
  <c r="J562" i="2"/>
  <c r="J882" i="2"/>
  <c r="J964" i="2"/>
  <c r="J734" i="2"/>
  <c r="J670" i="2"/>
  <c r="J940" i="2"/>
  <c r="J499" i="2"/>
  <c r="J199" i="2"/>
  <c r="J365" i="2"/>
  <c r="J256" i="2"/>
  <c r="J945" i="2"/>
  <c r="J595" i="2"/>
  <c r="J361" i="2"/>
  <c r="J418" i="2"/>
  <c r="J915" i="2"/>
  <c r="J408" i="2"/>
  <c r="J469" i="2"/>
  <c r="J190" i="2"/>
  <c r="J228" i="2"/>
  <c r="J978" i="2"/>
  <c r="J173" i="2"/>
  <c r="J809" i="2"/>
  <c r="J671" i="2"/>
  <c r="J220" i="2"/>
  <c r="J433" i="2"/>
  <c r="J1002" i="2"/>
  <c r="J863" i="2"/>
  <c r="J721" i="2"/>
  <c r="J343" i="2"/>
  <c r="J65" i="2"/>
  <c r="J423" i="2"/>
  <c r="J578" i="2"/>
  <c r="J557" i="2"/>
  <c r="J120" i="2"/>
  <c r="J1008" i="2"/>
  <c r="J960" i="2"/>
  <c r="J894" i="2"/>
  <c r="J830" i="2"/>
  <c r="J766" i="2"/>
  <c r="J958" i="2"/>
  <c r="J333" i="2"/>
  <c r="J914" i="2"/>
  <c r="J818" i="2"/>
  <c r="J260" i="2"/>
  <c r="J972" i="2"/>
  <c r="J610" i="2"/>
  <c r="J196" i="2"/>
  <c r="J266" i="2"/>
  <c r="J835" i="2"/>
  <c r="J771" i="2"/>
  <c r="J621" i="2"/>
  <c r="J377" i="2"/>
  <c r="J56" i="2"/>
  <c r="J483" i="2"/>
  <c r="J739" i="2"/>
  <c r="J860" i="2"/>
  <c r="J414" i="2"/>
  <c r="J702" i="2"/>
  <c r="J638" i="2"/>
  <c r="J685" i="2"/>
  <c r="J478" i="2"/>
  <c r="J411" i="2"/>
  <c r="J506" i="2"/>
  <c r="K960" i="2"/>
  <c r="L960" i="2" s="1"/>
  <c r="K937" i="2"/>
  <c r="L937" i="2" s="1"/>
  <c r="J253" i="2"/>
  <c r="J193" i="2"/>
  <c r="J331" i="2"/>
  <c r="J321" i="2"/>
  <c r="J87" i="2"/>
  <c r="J118" i="2"/>
  <c r="J419" i="2"/>
  <c r="J202" i="2"/>
  <c r="J500" i="2"/>
  <c r="J1006" i="2"/>
  <c r="J185" i="2"/>
  <c r="J701" i="2"/>
  <c r="J637" i="2"/>
  <c r="J258" i="2"/>
  <c r="J1001" i="2"/>
  <c r="J1020" i="2"/>
  <c r="J719" i="2"/>
  <c r="J383" i="2"/>
  <c r="J410" i="2"/>
  <c r="J675" i="2"/>
  <c r="J1013" i="2"/>
  <c r="J747" i="2"/>
  <c r="J873" i="2"/>
  <c r="J560" i="2"/>
  <c r="J944" i="2"/>
  <c r="J587" i="2"/>
  <c r="K952" i="2"/>
  <c r="L952" i="2" s="1"/>
  <c r="J907" i="2"/>
  <c r="J811" i="2"/>
  <c r="J525" i="2"/>
  <c r="J518" i="2"/>
  <c r="J436" i="2"/>
  <c r="J238" i="2"/>
  <c r="J713" i="2"/>
  <c r="J649" i="2"/>
  <c r="J1007" i="2"/>
  <c r="J75" i="2"/>
  <c r="J39" i="2"/>
  <c r="J156" i="2"/>
  <c r="J92" i="2"/>
  <c r="J579" i="2"/>
  <c r="J881" i="2"/>
  <c r="J992" i="2"/>
  <c r="J568" i="2"/>
  <c r="K568" i="2"/>
  <c r="L568" i="2" s="1"/>
  <c r="K105" i="2"/>
  <c r="L105" i="2" s="1"/>
  <c r="J886" i="2"/>
  <c r="K112" i="2"/>
  <c r="L112" i="2" s="1"/>
  <c r="K580" i="2"/>
  <c r="L580" i="2" s="1"/>
  <c r="J589" i="2"/>
  <c r="K852" i="2"/>
  <c r="L852" i="2" s="1"/>
  <c r="K483" i="2"/>
  <c r="L483" i="2" s="1"/>
  <c r="K139" i="2"/>
  <c r="L139" i="2" s="1"/>
  <c r="K996" i="2"/>
  <c r="L996" i="2" s="1"/>
  <c r="K603" i="2"/>
  <c r="L603" i="2" s="1"/>
  <c r="K159" i="2"/>
  <c r="L159" i="2" s="1"/>
  <c r="J450" i="2"/>
  <c r="K450" i="2"/>
  <c r="L450" i="2" s="1"/>
  <c r="J616" i="2"/>
  <c r="K616" i="2"/>
  <c r="L616" i="2" s="1"/>
  <c r="K991" i="2"/>
  <c r="L991" i="2" s="1"/>
  <c r="J566" i="2"/>
  <c r="K223" i="2"/>
  <c r="L223" i="2" s="1"/>
  <c r="J592" i="2"/>
  <c r="K592" i="2"/>
  <c r="L592" i="2" s="1"/>
  <c r="J444" i="2"/>
  <c r="J804" i="2"/>
  <c r="J932" i="2"/>
  <c r="J267" i="2"/>
  <c r="K267" i="2"/>
  <c r="L267" i="2" s="1"/>
  <c r="K947" i="2"/>
  <c r="L947" i="2" s="1"/>
  <c r="K651" i="2"/>
  <c r="L651" i="2" s="1"/>
  <c r="J234" i="2"/>
  <c r="J659" i="2"/>
  <c r="J507" i="2"/>
  <c r="J467" i="2"/>
  <c r="K467" i="2"/>
  <c r="L467" i="2" s="1"/>
  <c r="J598" i="2"/>
  <c r="K598" i="2"/>
  <c r="L598" i="2" s="1"/>
  <c r="K166" i="2"/>
  <c r="L166" i="2" s="1"/>
  <c r="J600" i="2"/>
  <c r="K600" i="2"/>
  <c r="L600" i="2" s="1"/>
  <c r="K984" i="2"/>
  <c r="L984" i="2" s="1"/>
  <c r="K979" i="2"/>
  <c r="L979" i="2" s="1"/>
  <c r="K1018" i="2"/>
  <c r="L1018" i="2" s="1"/>
  <c r="K73" i="2"/>
  <c r="L73" i="2" s="1"/>
  <c r="J169" i="2"/>
  <c r="J288" i="2"/>
  <c r="K288" i="2"/>
  <c r="L288" i="2" s="1"/>
  <c r="K160" i="2"/>
  <c r="L160" i="2" s="1"/>
  <c r="J758" i="2"/>
  <c r="K612" i="2"/>
  <c r="L612" i="2" s="1"/>
  <c r="J717" i="2"/>
  <c r="J653" i="2"/>
  <c r="J454" i="2"/>
  <c r="K982" i="2"/>
  <c r="L982" i="2" s="1"/>
  <c r="K820" i="2"/>
  <c r="L820" i="2" s="1"/>
  <c r="J240" i="2"/>
  <c r="K322" i="2"/>
  <c r="L322" i="2" s="1"/>
  <c r="J216" i="2"/>
  <c r="K981" i="2"/>
  <c r="L981" i="2" s="1"/>
  <c r="K586" i="2"/>
  <c r="L586" i="2" s="1"/>
  <c r="K150" i="2"/>
  <c r="L150" i="2" s="1"/>
  <c r="K108" i="2"/>
  <c r="L108" i="2" s="1"/>
  <c r="J630" i="2"/>
  <c r="K630" i="2"/>
  <c r="L630" i="2" s="1"/>
  <c r="K880" i="2"/>
  <c r="L880" i="2" s="1"/>
  <c r="J618" i="2"/>
  <c r="K618" i="2"/>
  <c r="L618" i="2" s="1"/>
  <c r="K115" i="2"/>
  <c r="L115" i="2" s="1"/>
  <c r="K975" i="2"/>
  <c r="L975" i="2" s="1"/>
  <c r="J965" i="2"/>
  <c r="K965" i="2"/>
  <c r="L965" i="2" s="1"/>
  <c r="K709" i="2"/>
  <c r="L709" i="2" s="1"/>
  <c r="K683" i="2"/>
  <c r="L683" i="2" s="1"/>
  <c r="K993" i="2"/>
  <c r="L993" i="2" s="1"/>
  <c r="K114" i="2"/>
  <c r="L114" i="2" s="1"/>
  <c r="K945" i="2"/>
  <c r="L945" i="2" s="1"/>
  <c r="K168" i="2"/>
  <c r="L168" i="2" s="1"/>
  <c r="K1005" i="2"/>
  <c r="L1005" i="2" s="1"/>
  <c r="K973" i="2"/>
  <c r="L973" i="2" s="1"/>
  <c r="K1015" i="2"/>
  <c r="L1015" i="2" s="1"/>
  <c r="K976" i="2"/>
  <c r="L976" i="2" s="1"/>
  <c r="K22" i="2"/>
  <c r="L22" i="2" s="1"/>
  <c r="J161" i="2"/>
  <c r="K161" i="2"/>
  <c r="L161" i="2" s="1"/>
  <c r="K964" i="2"/>
  <c r="L964" i="2" s="1"/>
  <c r="J289" i="2"/>
  <c r="K289" i="2"/>
  <c r="L289" i="2" s="1"/>
  <c r="J204" i="2"/>
  <c r="J976" i="2"/>
  <c r="K172" i="2"/>
  <c r="L172" i="2" s="1"/>
  <c r="K896" i="2"/>
  <c r="L896" i="2" s="1"/>
  <c r="K21" i="2"/>
  <c r="L21" i="2" s="1"/>
  <c r="K107" i="2"/>
  <c r="L107" i="2" s="1"/>
  <c r="K918" i="2"/>
  <c r="L918" i="2" s="1"/>
  <c r="K832" i="2"/>
  <c r="L832" i="2" s="1"/>
  <c r="K109" i="2"/>
  <c r="L109" i="2" s="1"/>
  <c r="J724" i="2"/>
  <c r="J582" i="2"/>
  <c r="K582" i="2"/>
  <c r="L582" i="2" s="1"/>
  <c r="J373" i="2"/>
  <c r="K373" i="2"/>
  <c r="L373" i="2" s="1"/>
  <c r="K792" i="2"/>
  <c r="L792" i="2" s="1"/>
  <c r="J563" i="2"/>
  <c r="K563" i="2"/>
  <c r="L563" i="2" s="1"/>
  <c r="K111" i="2"/>
  <c r="L111" i="2" s="1"/>
  <c r="K858" i="2"/>
  <c r="L858" i="2" s="1"/>
  <c r="K83" i="2"/>
  <c r="L83" i="2" s="1"/>
  <c r="J975" i="2"/>
  <c r="K610" i="2"/>
  <c r="L610" i="2" s="1"/>
  <c r="J779" i="2"/>
  <c r="K570" i="2"/>
  <c r="L570" i="2" s="1"/>
  <c r="K186" i="2"/>
  <c r="L186" i="2" s="1"/>
  <c r="J57" i="2"/>
  <c r="K387" i="2"/>
  <c r="L387" i="2" s="1"/>
  <c r="K916" i="2"/>
  <c r="L916" i="2" s="1"/>
  <c r="K162" i="2"/>
  <c r="L162" i="2" s="1"/>
  <c r="K472" i="2"/>
  <c r="L472" i="2" s="1"/>
  <c r="K997" i="2"/>
  <c r="L997" i="2" s="1"/>
  <c r="K576" i="2"/>
  <c r="L576" i="2" s="1"/>
  <c r="K448" i="2"/>
  <c r="L448" i="2" s="1"/>
  <c r="J241" i="2"/>
  <c r="K241" i="2"/>
  <c r="L241" i="2" s="1"/>
  <c r="K113" i="2"/>
  <c r="L113" i="2" s="1"/>
  <c r="J465" i="2"/>
  <c r="J745" i="2"/>
  <c r="J681" i="2"/>
  <c r="K739" i="2"/>
  <c r="L739" i="2" s="1"/>
  <c r="K875" i="2"/>
  <c r="L875" i="2" s="1"/>
  <c r="K972" i="2"/>
  <c r="L972" i="2" s="1"/>
  <c r="K305" i="2"/>
  <c r="L305" i="2" s="1"/>
  <c r="K499" i="2"/>
  <c r="L499" i="2" s="1"/>
  <c r="J291" i="2"/>
  <c r="J262" i="2"/>
  <c r="J501" i="2"/>
  <c r="J890" i="2"/>
  <c r="J826" i="2"/>
  <c r="J762" i="2"/>
  <c r="J740" i="2"/>
  <c r="J868" i="2"/>
  <c r="K524" i="2"/>
  <c r="L524" i="2" s="1"/>
  <c r="J491" i="2"/>
  <c r="J865" i="2"/>
  <c r="J524" i="2"/>
  <c r="J550" i="2"/>
  <c r="J351" i="2"/>
  <c r="K98" i="2"/>
  <c r="L98" i="2" s="1"/>
  <c r="J327" i="2"/>
  <c r="J731" i="2"/>
  <c r="J984" i="2"/>
  <c r="J943" i="2"/>
  <c r="J555" i="2"/>
  <c r="J432" i="2"/>
  <c r="J929" i="2"/>
  <c r="J961" i="2"/>
  <c r="J707" i="2"/>
  <c r="J769" i="2"/>
  <c r="J442" i="2"/>
  <c r="J440" i="2"/>
  <c r="J718" i="2"/>
  <c r="J654" i="2"/>
  <c r="J371" i="2"/>
  <c r="J233" i="2"/>
  <c r="J741" i="2"/>
  <c r="J677" i="2"/>
  <c r="J542" i="2"/>
  <c r="J89" i="2"/>
  <c r="J911" i="2"/>
  <c r="J847" i="2"/>
  <c r="J783" i="2"/>
  <c r="J553" i="2"/>
  <c r="J521" i="2"/>
  <c r="J177" i="2"/>
  <c r="J449" i="2"/>
  <c r="J310" i="2"/>
  <c r="J28" i="2"/>
  <c r="J843" i="2"/>
  <c r="J389" i="2"/>
  <c r="J617" i="2"/>
  <c r="J603" i="2"/>
  <c r="J1024" i="2"/>
  <c r="J982" i="2"/>
  <c r="J918" i="2"/>
  <c r="J854" i="2"/>
  <c r="J790" i="2"/>
  <c r="J966" i="2"/>
  <c r="J105" i="2"/>
  <c r="J364" i="2"/>
  <c r="J64" i="2"/>
  <c r="J941" i="2"/>
  <c r="J505" i="2"/>
  <c r="J249" i="2"/>
  <c r="J995" i="2"/>
  <c r="K326" i="2"/>
  <c r="L326" i="2" s="1"/>
  <c r="K1016" i="2"/>
  <c r="L1016" i="2" s="1"/>
  <c r="K914" i="2"/>
  <c r="L914" i="2" s="1"/>
  <c r="J390" i="2"/>
  <c r="J274" i="2"/>
  <c r="J994" i="2"/>
  <c r="J930" i="2"/>
  <c r="J898" i="2"/>
  <c r="J866" i="2"/>
  <c r="J834" i="2"/>
  <c r="J802" i="2"/>
  <c r="J770" i="2"/>
  <c r="J561" i="2"/>
  <c r="J955" i="2"/>
  <c r="J402" i="2"/>
  <c r="J919" i="2"/>
  <c r="J887" i="2"/>
  <c r="J823" i="2"/>
  <c r="J791" i="2"/>
  <c r="K518" i="2"/>
  <c r="L518" i="2" s="1"/>
  <c r="J392" i="2"/>
  <c r="J232" i="2"/>
  <c r="J746" i="2"/>
  <c r="J714" i="2"/>
  <c r="J682" i="2"/>
  <c r="J650" i="2"/>
  <c r="J545" i="2"/>
  <c r="J513" i="2"/>
  <c r="J481" i="2"/>
  <c r="K416" i="2"/>
  <c r="L416" i="2" s="1"/>
  <c r="K344" i="2"/>
  <c r="L344" i="2" s="1"/>
  <c r="J217" i="2"/>
  <c r="J761" i="2"/>
  <c r="J729" i="2"/>
  <c r="J697" i="2"/>
  <c r="J665" i="2"/>
  <c r="J633" i="2"/>
  <c r="K560" i="2"/>
  <c r="L560" i="2" s="1"/>
  <c r="J498" i="2"/>
  <c r="J466" i="2"/>
  <c r="J367" i="2"/>
  <c r="J242" i="2"/>
  <c r="J198" i="2"/>
  <c r="K704" i="2"/>
  <c r="L704" i="2" s="1"/>
  <c r="J417" i="2"/>
  <c r="J297" i="2"/>
  <c r="K170" i="2"/>
  <c r="L170" i="2" s="1"/>
  <c r="J41" i="2"/>
  <c r="K284" i="2"/>
  <c r="L284" i="2" s="1"/>
  <c r="J144" i="2"/>
  <c r="J341" i="2"/>
  <c r="J622" i="2"/>
  <c r="J558" i="2"/>
  <c r="K908" i="2"/>
  <c r="L908" i="2" s="1"/>
  <c r="J406" i="2"/>
  <c r="J928" i="2"/>
  <c r="J896" i="2"/>
  <c r="J864" i="2"/>
  <c r="J832" i="2"/>
  <c r="J800" i="2"/>
  <c r="J768" i="2"/>
  <c r="K554" i="2"/>
  <c r="L554" i="2" s="1"/>
  <c r="J428" i="2"/>
  <c r="J394" i="2"/>
  <c r="J235" i="2"/>
  <c r="J1012" i="2"/>
  <c r="J980" i="2"/>
  <c r="J917" i="2"/>
  <c r="J885" i="2"/>
  <c r="J853" i="2"/>
  <c r="J821" i="2"/>
  <c r="J789" i="2"/>
  <c r="K752" i="2"/>
  <c r="L752" i="2" s="1"/>
  <c r="J384" i="2"/>
  <c r="J744" i="2"/>
  <c r="J712" i="2"/>
  <c r="J680" i="2"/>
  <c r="J648" i="2"/>
  <c r="J543" i="2"/>
  <c r="J511" i="2"/>
  <c r="J479" i="2"/>
  <c r="K446" i="2"/>
  <c r="L446" i="2" s="1"/>
  <c r="J299" i="2"/>
  <c r="J257" i="2"/>
  <c r="J214" i="2"/>
  <c r="J759" i="2"/>
  <c r="J727" i="2"/>
  <c r="J695" i="2"/>
  <c r="J663" i="2"/>
  <c r="J631" i="2"/>
  <c r="J591" i="2"/>
  <c r="J559" i="2"/>
  <c r="J528" i="2"/>
  <c r="J496" i="2"/>
  <c r="J464" i="2"/>
  <c r="J194" i="2"/>
  <c r="K734" i="2"/>
  <c r="L734" i="2" s="1"/>
  <c r="K638" i="2"/>
  <c r="L638" i="2" s="1"/>
  <c r="K614" i="2"/>
  <c r="L614" i="2" s="1"/>
  <c r="J413" i="2"/>
  <c r="J369" i="2"/>
  <c r="J33" i="2"/>
  <c r="J308" i="2"/>
  <c r="J168" i="2"/>
  <c r="J40" i="2"/>
  <c r="J391" i="2"/>
  <c r="J353" i="2"/>
  <c r="J231" i="2"/>
  <c r="J172" i="2"/>
  <c r="J139" i="2"/>
  <c r="J43" i="2"/>
  <c r="K104" i="2"/>
  <c r="L104" i="2" s="1"/>
  <c r="J366" i="2"/>
  <c r="J334" i="2"/>
  <c r="J302" i="2"/>
  <c r="K194" i="2"/>
  <c r="L194" i="2" s="1"/>
  <c r="J130" i="2"/>
  <c r="J98" i="2"/>
  <c r="J66" i="2"/>
  <c r="J34" i="2"/>
  <c r="J183" i="2"/>
  <c r="J151" i="2"/>
  <c r="J119" i="2"/>
  <c r="J55" i="2"/>
  <c r="J23" i="2"/>
  <c r="K92" i="2"/>
  <c r="L92" i="2" s="1"/>
  <c r="J346" i="2"/>
  <c r="J314" i="2"/>
  <c r="K206" i="2"/>
  <c r="L206" i="2" s="1"/>
  <c r="J142" i="2"/>
  <c r="J78" i="2"/>
  <c r="J46" i="2"/>
  <c r="J345" i="2"/>
  <c r="K302" i="2"/>
  <c r="L302" i="2" s="1"/>
  <c r="J223" i="2"/>
  <c r="J141" i="2"/>
  <c r="J110" i="2"/>
  <c r="J77" i="2"/>
  <c r="J45" i="2"/>
  <c r="J178" i="2"/>
  <c r="K146" i="2"/>
  <c r="L146" i="2" s="1"/>
  <c r="J115" i="2"/>
  <c r="K50" i="2"/>
  <c r="L50" i="2" s="1"/>
  <c r="J376" i="2"/>
  <c r="J344" i="2"/>
  <c r="J312" i="2"/>
  <c r="J268" i="2"/>
  <c r="K236" i="2"/>
  <c r="L236" i="2" s="1"/>
  <c r="J171" i="2"/>
  <c r="J140" i="2"/>
  <c r="J108" i="2"/>
  <c r="J76" i="2"/>
  <c r="J44" i="2"/>
  <c r="J114" i="2"/>
  <c r="J459" i="2"/>
  <c r="K872" i="2"/>
  <c r="L872" i="2" s="1"/>
  <c r="K536" i="2"/>
  <c r="L536" i="2" s="1"/>
  <c r="J596" i="2"/>
  <c r="K500" i="2"/>
  <c r="L500" i="2" s="1"/>
  <c r="J644" i="2"/>
  <c r="K980" i="2"/>
  <c r="L980" i="2" s="1"/>
  <c r="K974" i="2"/>
  <c r="L974" i="2" s="1"/>
  <c r="J991" i="2"/>
  <c r="J230" i="2"/>
  <c r="K836" i="2"/>
  <c r="L836" i="2" s="1"/>
  <c r="K482" i="2"/>
  <c r="L482" i="2" s="1"/>
  <c r="J191" i="2"/>
  <c r="K578" i="2"/>
  <c r="L578" i="2" s="1"/>
  <c r="J272" i="2"/>
  <c r="K962" i="2"/>
  <c r="L962" i="2" s="1"/>
  <c r="J931" i="2"/>
  <c r="J899" i="2"/>
  <c r="J867" i="2"/>
  <c r="J803" i="2"/>
  <c r="K290" i="2"/>
  <c r="L290" i="2" s="1"/>
  <c r="J726" i="2"/>
  <c r="J694" i="2"/>
  <c r="J662" i="2"/>
  <c r="K620" i="2"/>
  <c r="L620" i="2" s="1"/>
  <c r="J493" i="2"/>
  <c r="K428" i="2"/>
  <c r="L428" i="2" s="1"/>
  <c r="J709" i="2"/>
  <c r="J645" i="2"/>
  <c r="J510" i="2"/>
  <c r="K740" i="2"/>
  <c r="L740" i="2" s="1"/>
  <c r="K644" i="2"/>
  <c r="L644" i="2" s="1"/>
  <c r="J421" i="2"/>
  <c r="J332" i="2"/>
  <c r="K884" i="2"/>
  <c r="L884" i="2" s="1"/>
  <c r="J1015" i="2"/>
  <c r="J1018" i="2"/>
  <c r="J986" i="2"/>
  <c r="J922" i="2"/>
  <c r="J858" i="2"/>
  <c r="J794" i="2"/>
  <c r="K530" i="2"/>
  <c r="L530" i="2" s="1"/>
  <c r="J259" i="2"/>
  <c r="J979" i="2"/>
  <c r="J947" i="2"/>
  <c r="J815" i="2"/>
  <c r="J738" i="2"/>
  <c r="J706" i="2"/>
  <c r="J674" i="2"/>
  <c r="J642" i="2"/>
  <c r="J473" i="2"/>
  <c r="K440" i="2"/>
  <c r="L440" i="2" s="1"/>
  <c r="J753" i="2"/>
  <c r="J689" i="2"/>
  <c r="K584" i="2"/>
  <c r="L584" i="2" s="1"/>
  <c r="J554" i="2"/>
  <c r="J522" i="2"/>
  <c r="J490" i="2"/>
  <c r="J458" i="2"/>
  <c r="K356" i="2"/>
  <c r="L356" i="2" s="1"/>
  <c r="K728" i="2"/>
  <c r="L728" i="2" s="1"/>
  <c r="K632" i="2"/>
  <c r="L632" i="2" s="1"/>
  <c r="J405" i="2"/>
  <c r="K278" i="2"/>
  <c r="L278" i="2" s="1"/>
  <c r="J137" i="2"/>
  <c r="J112" i="2"/>
  <c r="J181" i="2"/>
  <c r="J606" i="2"/>
  <c r="K998" i="2"/>
  <c r="L998" i="2" s="1"/>
  <c r="J195" i="2"/>
  <c r="K950" i="2"/>
  <c r="L950" i="2" s="1"/>
  <c r="J920" i="2"/>
  <c r="J888" i="2"/>
  <c r="J856" i="2"/>
  <c r="J824" i="2"/>
  <c r="J792" i="2"/>
  <c r="K758" i="2"/>
  <c r="L758" i="2" s="1"/>
  <c r="J396" i="2"/>
  <c r="J248" i="2"/>
  <c r="K488" i="2"/>
  <c r="L488" i="2" s="1"/>
  <c r="J357" i="2"/>
  <c r="J909" i="2"/>
  <c r="J877" i="2"/>
  <c r="J845" i="2"/>
  <c r="J813" i="2"/>
  <c r="J781" i="2"/>
  <c r="J609" i="2"/>
  <c r="J736" i="2"/>
  <c r="J704" i="2"/>
  <c r="J672" i="2"/>
  <c r="J640" i="2"/>
  <c r="J503" i="2"/>
  <c r="J471" i="2"/>
  <c r="J751" i="2"/>
  <c r="J687" i="2"/>
  <c r="J655" i="2"/>
  <c r="J615" i="2"/>
  <c r="J552" i="2"/>
  <c r="J520" i="2"/>
  <c r="J488" i="2"/>
  <c r="J456" i="2"/>
  <c r="J311" i="2"/>
  <c r="J229" i="2"/>
  <c r="J174" i="2"/>
  <c r="K662" i="2"/>
  <c r="L662" i="2" s="1"/>
  <c r="J573" i="2"/>
  <c r="J445" i="2"/>
  <c r="J403" i="2"/>
  <c r="J189" i="2"/>
  <c r="J129" i="2"/>
  <c r="J165" i="2"/>
  <c r="K38" i="2"/>
  <c r="L38" i="2" s="1"/>
  <c r="J136" i="2"/>
  <c r="J447" i="2"/>
  <c r="J415" i="2"/>
  <c r="J263" i="2"/>
  <c r="J164" i="2"/>
  <c r="J131" i="2"/>
  <c r="J99" i="2"/>
  <c r="J67" i="2"/>
  <c r="J35" i="2"/>
  <c r="K128" i="2"/>
  <c r="L128" i="2" s="1"/>
  <c r="K32" i="2"/>
  <c r="L32" i="2" s="1"/>
  <c r="J358" i="2"/>
  <c r="J326" i="2"/>
  <c r="J294" i="2"/>
  <c r="K218" i="2"/>
  <c r="L218" i="2" s="1"/>
  <c r="J154" i="2"/>
  <c r="J122" i="2"/>
  <c r="J90" i="2"/>
  <c r="J58" i="2"/>
  <c r="J26" i="2"/>
  <c r="J175" i="2"/>
  <c r="J143" i="2"/>
  <c r="J79" i="2"/>
  <c r="J47" i="2"/>
  <c r="K116" i="2"/>
  <c r="L116" i="2" s="1"/>
  <c r="J370" i="2"/>
  <c r="J338" i="2"/>
  <c r="J306" i="2"/>
  <c r="K230" i="2"/>
  <c r="L230" i="2" s="1"/>
  <c r="J134" i="2"/>
  <c r="J102" i="2"/>
  <c r="J70" i="2"/>
  <c r="J38" i="2"/>
  <c r="J212" i="2"/>
  <c r="J133" i="2"/>
  <c r="J101" i="2"/>
  <c r="J69" i="2"/>
  <c r="J37" i="2"/>
  <c r="J170" i="2"/>
  <c r="J107" i="2"/>
  <c r="K74" i="2"/>
  <c r="L74" i="2" s="1"/>
  <c r="J368" i="2"/>
  <c r="J336" i="2"/>
  <c r="J304" i="2"/>
  <c r="K260" i="2"/>
  <c r="L260" i="2" s="1"/>
  <c r="J163" i="2"/>
  <c r="J132" i="2"/>
  <c r="J100" i="2"/>
  <c r="J68" i="2"/>
  <c r="J36" i="2"/>
  <c r="K338" i="2"/>
  <c r="L338" i="2" s="1"/>
  <c r="K992" i="2"/>
  <c r="L992" i="2" s="1"/>
  <c r="K866" i="2"/>
  <c r="L866" i="2" s="1"/>
  <c r="K602" i="2"/>
  <c r="L602" i="2" s="1"/>
  <c r="K470" i="2"/>
  <c r="L470" i="2" s="1"/>
  <c r="K596" i="2"/>
  <c r="L596" i="2" s="1"/>
  <c r="J533" i="2"/>
  <c r="K404" i="2"/>
  <c r="L404" i="2" s="1"/>
  <c r="J749" i="2"/>
  <c r="J597" i="2"/>
  <c r="J96" i="2"/>
  <c r="K788" i="2"/>
  <c r="L788" i="2" s="1"/>
  <c r="K674" i="2"/>
  <c r="L674" i="2" s="1"/>
  <c r="J619" i="2"/>
  <c r="K800" i="2"/>
  <c r="L800" i="2" s="1"/>
  <c r="J277" i="2"/>
  <c r="J247" i="2"/>
  <c r="J523" i="2"/>
  <c r="J897" i="2"/>
  <c r="K968" i="2"/>
  <c r="L968" i="2" s="1"/>
  <c r="J967" i="2"/>
  <c r="J532" i="2"/>
  <c r="J667" i="2"/>
  <c r="K386" i="2"/>
  <c r="L386" i="2" s="1"/>
  <c r="J1016" i="2"/>
  <c r="J422" i="2"/>
  <c r="J279" i="2"/>
  <c r="J213" i="2"/>
  <c r="J508" i="2"/>
  <c r="J692" i="2"/>
  <c r="J801" i="2"/>
  <c r="J293" i="2"/>
  <c r="K548" i="2"/>
  <c r="L548" i="2" s="1"/>
  <c r="K824" i="2"/>
  <c r="L824" i="2" s="1"/>
  <c r="J651" i="2"/>
  <c r="J1000" i="2"/>
  <c r="J460" i="2"/>
  <c r="J723" i="2"/>
  <c r="K410" i="2"/>
  <c r="L410" i="2" s="1"/>
  <c r="J676" i="2"/>
  <c r="K830" i="2"/>
  <c r="L830" i="2" s="1"/>
  <c r="K848" i="2"/>
  <c r="L848" i="2" s="1"/>
  <c r="J624" i="2"/>
  <c r="J387" i="2"/>
  <c r="K650" i="2"/>
  <c r="L650" i="2" s="1"/>
  <c r="J643" i="2"/>
  <c r="J287" i="2"/>
  <c r="K902" i="2"/>
  <c r="L902" i="2" s="1"/>
  <c r="J271" i="2"/>
  <c r="J1025" i="2"/>
  <c r="J269" i="2"/>
  <c r="K854" i="2"/>
  <c r="L854" i="2" s="1"/>
  <c r="J275" i="2"/>
  <c r="J1027" i="2"/>
  <c r="K932" i="2"/>
  <c r="L932" i="2" s="1"/>
  <c r="J949" i="2"/>
  <c r="J629" i="2"/>
  <c r="J1022" i="2"/>
  <c r="K452" i="2"/>
  <c r="L452" i="2" s="1"/>
  <c r="J282" i="2"/>
  <c r="J998" i="2"/>
  <c r="J934" i="2"/>
  <c r="J902" i="2"/>
  <c r="J870" i="2"/>
  <c r="J838" i="2"/>
  <c r="J806" i="2"/>
  <c r="J774" i="2"/>
  <c r="J451" i="2"/>
  <c r="J923" i="2"/>
  <c r="J891" i="2"/>
  <c r="J827" i="2"/>
  <c r="J763" i="2"/>
  <c r="J549" i="2"/>
  <c r="J517" i="2"/>
  <c r="J307" i="2"/>
  <c r="J265" i="2"/>
  <c r="J733" i="2"/>
  <c r="J669" i="2"/>
  <c r="J534" i="2"/>
  <c r="J502" i="2"/>
  <c r="J470" i="2"/>
  <c r="J205" i="2"/>
  <c r="J109" i="2"/>
  <c r="K668" i="2"/>
  <c r="L668" i="2" s="1"/>
  <c r="J613" i="2"/>
  <c r="J581" i="2"/>
  <c r="J207" i="2"/>
  <c r="K62" i="2"/>
  <c r="L62" i="2" s="1"/>
  <c r="J300" i="2"/>
  <c r="J160" i="2"/>
  <c r="J32" i="2"/>
  <c r="J981" i="2"/>
  <c r="J1010" i="2"/>
  <c r="J971" i="2"/>
  <c r="J939" i="2"/>
  <c r="K464" i="2"/>
  <c r="L464" i="2" s="1"/>
  <c r="J325" i="2"/>
  <c r="K110" i="2"/>
  <c r="L110" i="2" s="1"/>
  <c r="J280" i="2"/>
  <c r="J935" i="2"/>
  <c r="J903" i="2"/>
  <c r="J871" i="2"/>
  <c r="J839" i="2"/>
  <c r="J807" i="2"/>
  <c r="J775" i="2"/>
  <c r="J730" i="2"/>
  <c r="J698" i="2"/>
  <c r="J666" i="2"/>
  <c r="J634" i="2"/>
  <c r="J497" i="2"/>
  <c r="J323" i="2"/>
  <c r="J192" i="2"/>
  <c r="K608" i="2"/>
  <c r="L608" i="2" s="1"/>
  <c r="J546" i="2"/>
  <c r="J482" i="2"/>
  <c r="J303" i="2"/>
  <c r="J221" i="2"/>
  <c r="K656" i="2"/>
  <c r="L656" i="2" s="1"/>
  <c r="J565" i="2"/>
  <c r="J437" i="2"/>
  <c r="J395" i="2"/>
  <c r="J106" i="2"/>
  <c r="J80" i="2"/>
  <c r="K878" i="2"/>
  <c r="L878" i="2" s="1"/>
  <c r="J970" i="2"/>
  <c r="K842" i="2"/>
  <c r="L842" i="2" s="1"/>
  <c r="J601" i="2"/>
  <c r="J912" i="2"/>
  <c r="J880" i="2"/>
  <c r="J848" i="2"/>
  <c r="J816" i="2"/>
  <c r="J784" i="2"/>
  <c r="J585" i="2"/>
  <c r="K314" i="2"/>
  <c r="L314" i="2" s="1"/>
  <c r="J276" i="2"/>
  <c r="J996" i="2"/>
  <c r="J933" i="2"/>
  <c r="J901" i="2"/>
  <c r="J869" i="2"/>
  <c r="J837" i="2"/>
  <c r="J805" i="2"/>
  <c r="J773" i="2"/>
  <c r="J577" i="2"/>
  <c r="J301" i="2"/>
  <c r="J760" i="2"/>
  <c r="J728" i="2"/>
  <c r="J696" i="2"/>
  <c r="J664" i="2"/>
  <c r="J632" i="2"/>
  <c r="J527" i="2"/>
  <c r="J495" i="2"/>
  <c r="J463" i="2"/>
  <c r="K398" i="2"/>
  <c r="L398" i="2" s="1"/>
  <c r="J363" i="2"/>
  <c r="K320" i="2"/>
  <c r="L320" i="2" s="1"/>
  <c r="K188" i="2"/>
  <c r="L188" i="2" s="1"/>
  <c r="J743" i="2"/>
  <c r="J711" i="2"/>
  <c r="J679" i="2"/>
  <c r="J647" i="2"/>
  <c r="J607" i="2"/>
  <c r="J575" i="2"/>
  <c r="J544" i="2"/>
  <c r="J512" i="2"/>
  <c r="J480" i="2"/>
  <c r="J261" i="2"/>
  <c r="J218" i="2"/>
  <c r="K686" i="2"/>
  <c r="L686" i="2" s="1"/>
  <c r="K626" i="2"/>
  <c r="L626" i="2" s="1"/>
  <c r="J435" i="2"/>
  <c r="J393" i="2"/>
  <c r="J337" i="2"/>
  <c r="J97" i="2"/>
  <c r="K134" i="2"/>
  <c r="L134" i="2" s="1"/>
  <c r="J372" i="2"/>
  <c r="J104" i="2"/>
  <c r="K566" i="2"/>
  <c r="L566" i="2" s="1"/>
  <c r="J439" i="2"/>
  <c r="J407" i="2"/>
  <c r="K374" i="2"/>
  <c r="L374" i="2" s="1"/>
  <c r="J252" i="2"/>
  <c r="J113" i="2"/>
  <c r="J188" i="2"/>
  <c r="J155" i="2"/>
  <c r="J123" i="2"/>
  <c r="J91" i="2"/>
  <c r="J59" i="2"/>
  <c r="J27" i="2"/>
  <c r="K152" i="2"/>
  <c r="L152" i="2" s="1"/>
  <c r="K56" i="2"/>
  <c r="L56" i="2" s="1"/>
  <c r="J350" i="2"/>
  <c r="J318" i="2"/>
  <c r="K242" i="2"/>
  <c r="L242" i="2" s="1"/>
  <c r="J146" i="2"/>
  <c r="J82" i="2"/>
  <c r="J50" i="2"/>
  <c r="J135" i="2"/>
  <c r="J103" i="2"/>
  <c r="J71" i="2"/>
  <c r="K140" i="2"/>
  <c r="L140" i="2" s="1"/>
  <c r="K44" i="2"/>
  <c r="L44" i="2" s="1"/>
  <c r="J362" i="2"/>
  <c r="J330" i="2"/>
  <c r="J298" i="2"/>
  <c r="K254" i="2"/>
  <c r="L254" i="2" s="1"/>
  <c r="J158" i="2"/>
  <c r="J126" i="2"/>
  <c r="J94" i="2"/>
  <c r="J62" i="2"/>
  <c r="J30" i="2"/>
  <c r="J244" i="2"/>
  <c r="J201" i="2"/>
  <c r="J157" i="2"/>
  <c r="J125" i="2"/>
  <c r="J93" i="2"/>
  <c r="J61" i="2"/>
  <c r="J29" i="2"/>
  <c r="J162" i="2"/>
  <c r="J360" i="2"/>
  <c r="J328" i="2"/>
  <c r="J296" i="2"/>
  <c r="J187" i="2"/>
  <c r="J124" i="2"/>
  <c r="J60" i="2"/>
  <c r="K698" i="2"/>
  <c r="L698" i="2" s="1"/>
  <c r="K764" i="2"/>
  <c r="L764" i="2" s="1"/>
  <c r="J833" i="2"/>
  <c r="J993" i="2"/>
  <c r="J822" i="2"/>
  <c r="K938" i="2"/>
  <c r="L938" i="2" s="1"/>
  <c r="K308" i="2"/>
  <c r="L308" i="2" s="1"/>
  <c r="K716" i="2"/>
  <c r="L716" i="2" s="1"/>
  <c r="J329" i="2"/>
  <c r="K224" i="2"/>
  <c r="L224" i="2" s="1"/>
  <c r="K362" i="2"/>
  <c r="L362" i="2" s="1"/>
  <c r="J611" i="2"/>
  <c r="K956" i="2"/>
  <c r="L956" i="2" s="1"/>
  <c r="J836" i="2"/>
  <c r="K746" i="2"/>
  <c r="L746" i="2" s="1"/>
  <c r="K248" i="2"/>
  <c r="L248" i="2" s="1"/>
  <c r="K722" i="2"/>
  <c r="L722" i="2" s="1"/>
  <c r="K986" i="2"/>
  <c r="L986" i="2" s="1"/>
  <c r="K782" i="2"/>
  <c r="L782" i="2" s="1"/>
  <c r="K920" i="2"/>
  <c r="L920" i="2" s="1"/>
  <c r="K368" i="2"/>
  <c r="L368" i="2" s="1"/>
  <c r="K434" i="2"/>
  <c r="L434" i="2" s="1"/>
  <c r="K506" i="2"/>
  <c r="L506" i="2" s="1"/>
  <c r="K860" i="2"/>
  <c r="L860" i="2" s="1"/>
  <c r="K926" i="2"/>
  <c r="L926" i="2" s="1"/>
  <c r="J699" i="2"/>
  <c r="J772" i="2"/>
  <c r="J900" i="2"/>
  <c r="J278" i="2"/>
  <c r="K794" i="2"/>
  <c r="L794" i="2" s="1"/>
  <c r="J625" i="2"/>
  <c r="K476" i="2"/>
  <c r="L476" i="2" s="1"/>
  <c r="J1005" i="2"/>
  <c r="J564" i="2"/>
  <c r="J628" i="2"/>
  <c r="J948" i="2"/>
  <c r="J756" i="2"/>
  <c r="K806" i="2"/>
  <c r="L806" i="2" s="1"/>
  <c r="J359" i="2"/>
  <c r="J492" i="2"/>
  <c r="J708" i="2"/>
  <c r="K494" i="2"/>
  <c r="L494" i="2" s="1"/>
  <c r="J817" i="2"/>
  <c r="J378" i="2"/>
  <c r="K890" i="2"/>
  <c r="L890" i="2" s="1"/>
  <c r="J208" i="2"/>
  <c r="J660" i="2"/>
  <c r="K1004" i="2"/>
  <c r="L1004" i="2" s="1"/>
  <c r="K1010" i="2"/>
  <c r="L1010" i="2" s="1"/>
  <c r="K776" i="2"/>
  <c r="L776" i="2" s="1"/>
  <c r="J1009" i="2"/>
  <c r="K770" i="2"/>
  <c r="L770" i="2" s="1"/>
  <c r="K1022" i="2"/>
  <c r="L1022" i="2" s="1"/>
  <c r="J983" i="2"/>
  <c r="J950" i="2"/>
  <c r="K512" i="2"/>
  <c r="L512" i="2" s="1"/>
  <c r="J386" i="2"/>
  <c r="J224" i="2"/>
  <c r="J883" i="2"/>
  <c r="J851" i="2"/>
  <c r="J819" i="2"/>
  <c r="J787" i="2"/>
  <c r="J211" i="2"/>
  <c r="J742" i="2"/>
  <c r="J710" i="2"/>
  <c r="J678" i="2"/>
  <c r="J646" i="2"/>
  <c r="K572" i="2"/>
  <c r="L572" i="2" s="1"/>
  <c r="J541" i="2"/>
  <c r="J509" i="2"/>
  <c r="J477" i="2"/>
  <c r="K380" i="2"/>
  <c r="L380" i="2" s="1"/>
  <c r="J339" i="2"/>
  <c r="K296" i="2"/>
  <c r="L296" i="2" s="1"/>
  <c r="J757" i="2"/>
  <c r="J725" i="2"/>
  <c r="J693" i="2"/>
  <c r="J661" i="2"/>
  <c r="J494" i="2"/>
  <c r="J462" i="2"/>
  <c r="J319" i="2"/>
  <c r="J237" i="2"/>
  <c r="K692" i="2"/>
  <c r="L692" i="2" s="1"/>
  <c r="J605" i="2"/>
  <c r="J443" i="2"/>
  <c r="K350" i="2"/>
  <c r="L350" i="2" s="1"/>
  <c r="J166" i="2"/>
  <c r="K158" i="2"/>
  <c r="L158" i="2" s="1"/>
  <c r="J128" i="2"/>
  <c r="J957" i="2"/>
  <c r="J281" i="2"/>
  <c r="K944" i="2"/>
  <c r="L944" i="2" s="1"/>
  <c r="K818" i="2"/>
  <c r="L818" i="2" s="1"/>
  <c r="J906" i="2"/>
  <c r="J874" i="2"/>
  <c r="J842" i="2"/>
  <c r="J810" i="2"/>
  <c r="J778" i="2"/>
  <c r="J963" i="2"/>
  <c r="J434" i="2"/>
  <c r="J895" i="2"/>
  <c r="J831" i="2"/>
  <c r="J799" i="2"/>
  <c r="J767" i="2"/>
  <c r="J424" i="2"/>
  <c r="K272" i="2"/>
  <c r="L272" i="2" s="1"/>
  <c r="J489" i="2"/>
  <c r="J457" i="2"/>
  <c r="K392" i="2"/>
  <c r="L392" i="2" s="1"/>
  <c r="J355" i="2"/>
  <c r="J737" i="2"/>
  <c r="J705" i="2"/>
  <c r="J673" i="2"/>
  <c r="J641" i="2"/>
  <c r="J538" i="2"/>
  <c r="J474" i="2"/>
  <c r="J335" i="2"/>
  <c r="J210" i="2"/>
  <c r="K680" i="2"/>
  <c r="L680" i="2" s="1"/>
  <c r="J427" i="2"/>
  <c r="J385" i="2"/>
  <c r="J239" i="2"/>
  <c r="J73" i="2"/>
  <c r="J111" i="2"/>
  <c r="J316" i="2"/>
  <c r="J176" i="2"/>
  <c r="J48" i="2"/>
  <c r="J574" i="2"/>
  <c r="J283" i="2"/>
  <c r="K812" i="2"/>
  <c r="L812" i="2" s="1"/>
  <c r="J953" i="2"/>
  <c r="J273" i="2"/>
  <c r="J1026" i="2"/>
  <c r="J938" i="2"/>
  <c r="J936" i="2"/>
  <c r="J904" i="2"/>
  <c r="J872" i="2"/>
  <c r="J840" i="2"/>
  <c r="J808" i="2"/>
  <c r="J776" i="2"/>
  <c r="K458" i="2"/>
  <c r="L458" i="2" s="1"/>
  <c r="J317" i="2"/>
  <c r="J426" i="2"/>
  <c r="J452" i="2"/>
  <c r="J925" i="2"/>
  <c r="J893" i="2"/>
  <c r="J861" i="2"/>
  <c r="J829" i="2"/>
  <c r="J797" i="2"/>
  <c r="J765" i="2"/>
  <c r="K542" i="2"/>
  <c r="L542" i="2" s="1"/>
  <c r="J416" i="2"/>
  <c r="J264" i="2"/>
  <c r="J752" i="2"/>
  <c r="J720" i="2"/>
  <c r="J688" i="2"/>
  <c r="J656" i="2"/>
  <c r="J551" i="2"/>
  <c r="J519" i="2"/>
  <c r="J455" i="2"/>
  <c r="K422" i="2"/>
  <c r="L422" i="2" s="1"/>
  <c r="J225" i="2"/>
  <c r="K164" i="2"/>
  <c r="L164" i="2" s="1"/>
  <c r="J735" i="2"/>
  <c r="J703" i="2"/>
  <c r="J639" i="2"/>
  <c r="J599" i="2"/>
  <c r="J567" i="2"/>
  <c r="J536" i="2"/>
  <c r="J504" i="2"/>
  <c r="J472" i="2"/>
  <c r="J375" i="2"/>
  <c r="K332" i="2"/>
  <c r="L332" i="2" s="1"/>
  <c r="J250" i="2"/>
  <c r="K710" i="2"/>
  <c r="L710" i="2" s="1"/>
  <c r="K590" i="2"/>
  <c r="L590" i="2" s="1"/>
  <c r="J425" i="2"/>
  <c r="J381" i="2"/>
  <c r="J236" i="2"/>
  <c r="J340" i="2"/>
  <c r="K200" i="2"/>
  <c r="L200" i="2" s="1"/>
  <c r="J72" i="2"/>
  <c r="J431" i="2"/>
  <c r="J399" i="2"/>
  <c r="J180" i="2"/>
  <c r="J147" i="2"/>
  <c r="J83" i="2"/>
  <c r="J51" i="2"/>
  <c r="K176" i="2"/>
  <c r="L176" i="2" s="1"/>
  <c r="K80" i="2"/>
  <c r="L80" i="2" s="1"/>
  <c r="J342" i="2"/>
  <c r="K266" i="2"/>
  <c r="L266" i="2" s="1"/>
  <c r="J138" i="2"/>
  <c r="J74" i="2"/>
  <c r="J42" i="2"/>
  <c r="J159" i="2"/>
  <c r="J95" i="2"/>
  <c r="J63" i="2"/>
  <c r="J31" i="2"/>
  <c r="K68" i="2"/>
  <c r="L68" i="2" s="1"/>
  <c r="J354" i="2"/>
  <c r="J322" i="2"/>
  <c r="J290" i="2"/>
  <c r="K182" i="2"/>
  <c r="L182" i="2" s="1"/>
  <c r="J150" i="2"/>
  <c r="J86" i="2"/>
  <c r="J22" i="2"/>
  <c r="J313" i="2"/>
  <c r="J186" i="2"/>
  <c r="J149" i="2"/>
  <c r="J117" i="2"/>
  <c r="J53" i="2"/>
  <c r="J21" i="2"/>
  <c r="K122" i="2"/>
  <c r="L122" i="2" s="1"/>
  <c r="K26" i="2"/>
  <c r="L26" i="2" s="1"/>
  <c r="J352" i="2"/>
  <c r="J320" i="2"/>
  <c r="K212" i="2"/>
  <c r="L212" i="2" s="1"/>
  <c r="J179" i="2"/>
  <c r="J148" i="2"/>
  <c r="J116" i="2"/>
  <c r="J84" i="2"/>
  <c r="J52" i="2"/>
  <c r="K20" i="2"/>
  <c r="L20" i="2" s="1"/>
  <c r="D28" i="6" l="1"/>
  <c r="BG32" i="5"/>
  <c r="H27" i="1"/>
  <c r="H29" i="1"/>
  <c r="H35" i="1"/>
  <c r="I30" i="1"/>
  <c r="I29" i="1"/>
  <c r="H38" i="1"/>
  <c r="G29" i="1"/>
  <c r="J28" i="1"/>
  <c r="I35" i="1"/>
  <c r="G28" i="1"/>
  <c r="J37" i="1"/>
  <c r="I38" i="1"/>
  <c r="I27" i="1"/>
  <c r="J27" i="1"/>
  <c r="I37" i="1"/>
  <c r="J34" i="1"/>
  <c r="J36" i="1"/>
  <c r="J38" i="1"/>
  <c r="H28" i="1"/>
  <c r="J30" i="1"/>
  <c r="G37" i="1"/>
  <c r="H34" i="1"/>
  <c r="I34" i="1"/>
  <c r="I36" i="1"/>
  <c r="H30" i="1"/>
  <c r="J35" i="1"/>
  <c r="G21" i="7"/>
  <c r="G21" i="6"/>
  <c r="J16" i="10"/>
  <c r="H16" i="10"/>
  <c r="G16" i="10"/>
  <c r="I16" i="10"/>
  <c r="J21" i="10"/>
  <c r="I21" i="10"/>
  <c r="H21" i="10"/>
  <c r="G21" i="10"/>
  <c r="J24" i="10"/>
  <c r="I24" i="10"/>
  <c r="H24" i="10"/>
  <c r="G24" i="10"/>
  <c r="J15" i="10"/>
  <c r="I15" i="10"/>
  <c r="H15" i="10"/>
  <c r="G15" i="10"/>
  <c r="J23" i="10"/>
  <c r="I23" i="10"/>
  <c r="H23" i="10"/>
  <c r="G23" i="10"/>
  <c r="J20" i="10"/>
  <c r="I20" i="10"/>
  <c r="H20" i="10"/>
  <c r="G20" i="10"/>
  <c r="J22" i="10"/>
  <c r="I22" i="10"/>
  <c r="H22" i="10"/>
  <c r="G22" i="10"/>
  <c r="J14" i="10"/>
  <c r="I14" i="10"/>
  <c r="H14" i="10"/>
  <c r="G14" i="10"/>
  <c r="J13" i="10"/>
  <c r="H13" i="10"/>
  <c r="G13" i="10"/>
  <c r="I13" i="10"/>
  <c r="D83" i="7"/>
  <c r="D91" i="7"/>
  <c r="D87" i="7"/>
  <c r="D46" i="6"/>
  <c r="D50" i="7"/>
  <c r="D44" i="6"/>
  <c r="D59" i="7"/>
  <c r="D60" i="7"/>
  <c r="D57" i="7"/>
  <c r="D82" i="7"/>
  <c r="D41" i="6"/>
  <c r="D43" i="7"/>
  <c r="D44" i="7"/>
  <c r="D41" i="7"/>
  <c r="D66" i="7"/>
  <c r="D31" i="6"/>
  <c r="D30" i="6"/>
  <c r="D76" i="7"/>
  <c r="D73" i="7"/>
  <c r="D85" i="7"/>
  <c r="D34" i="7"/>
  <c r="D47" i="6"/>
  <c r="D45" i="6"/>
  <c r="D40" i="6"/>
  <c r="D37" i="6"/>
  <c r="D42" i="6"/>
  <c r="D28" i="7"/>
  <c r="D55" i="7"/>
  <c r="D39" i="7"/>
  <c r="D92" i="7"/>
  <c r="D56" i="7"/>
  <c r="D40" i="7"/>
  <c r="D67" i="7"/>
  <c r="D69" i="7"/>
  <c r="D53" i="7"/>
  <c r="D37" i="7"/>
  <c r="D79" i="7"/>
  <c r="D81" i="7"/>
  <c r="D78" i="7"/>
  <c r="D62" i="7"/>
  <c r="D46" i="7"/>
  <c r="D30" i="7"/>
  <c r="D39" i="6"/>
  <c r="D43" i="6"/>
  <c r="D36" i="6"/>
  <c r="D33" i="6"/>
  <c r="D38" i="6"/>
  <c r="D71" i="7"/>
  <c r="D51" i="7"/>
  <c r="D35" i="7"/>
  <c r="D84" i="7"/>
  <c r="D68" i="7"/>
  <c r="D52" i="7"/>
  <c r="D36" i="7"/>
  <c r="D89" i="7"/>
  <c r="D65" i="7"/>
  <c r="D49" i="7"/>
  <c r="D33" i="7"/>
  <c r="D75" i="7"/>
  <c r="D90" i="7"/>
  <c r="D74" i="7"/>
  <c r="D58" i="7"/>
  <c r="D42" i="7"/>
  <c r="D35" i="6"/>
  <c r="D48" i="6"/>
  <c r="D32" i="6"/>
  <c r="D29" i="6"/>
  <c r="D34" i="6"/>
  <c r="D63" i="7"/>
  <c r="D47" i="7"/>
  <c r="D31" i="7"/>
  <c r="D80" i="7"/>
  <c r="D64" i="7"/>
  <c r="D48" i="7"/>
  <c r="D32" i="7"/>
  <c r="D77" i="7"/>
  <c r="D61" i="7"/>
  <c r="D45" i="7"/>
  <c r="D29" i="7"/>
  <c r="D88" i="7"/>
  <c r="D86" i="7"/>
  <c r="D70" i="7"/>
  <c r="D54" i="7"/>
  <c r="D38" i="7"/>
  <c r="D72" i="7"/>
  <c r="J20" i="2"/>
  <c r="C28" i="7" s="1"/>
  <c r="E36" i="7"/>
  <c r="E76" i="7"/>
  <c r="C36" i="7"/>
  <c r="C71" i="7"/>
  <c r="C81" i="7"/>
  <c r="C51" i="7"/>
  <c r="C30" i="7"/>
  <c r="C53" i="7"/>
  <c r="C89" i="7"/>
  <c r="E28" i="7"/>
  <c r="E44" i="7"/>
  <c r="C50" i="7"/>
  <c r="E64" i="7"/>
  <c r="C66" i="7"/>
  <c r="E53" i="7"/>
  <c r="C79" i="7"/>
  <c r="C83" i="7"/>
  <c r="C63" i="7"/>
  <c r="C88" i="7"/>
  <c r="C73" i="7"/>
  <c r="C31" i="7"/>
  <c r="C58" i="7"/>
  <c r="C60" i="7"/>
  <c r="E78" i="7"/>
  <c r="E73" i="7"/>
  <c r="C49" i="7"/>
  <c r="C61" i="7"/>
  <c r="C91" i="7"/>
  <c r="C34" i="7"/>
  <c r="C44" i="7"/>
  <c r="C80" i="7"/>
  <c r="C59" i="7"/>
  <c r="C48" i="7"/>
  <c r="C56" i="7"/>
  <c r="C75" i="7"/>
  <c r="C92" i="7"/>
  <c r="C82" i="7"/>
  <c r="C90" i="7"/>
  <c r="C77" i="7"/>
  <c r="C47" i="7"/>
  <c r="C55" i="7"/>
  <c r="C64" i="7"/>
  <c r="C85" i="7"/>
  <c r="C43" i="7"/>
  <c r="C35" i="7"/>
  <c r="C69" i="7"/>
  <c r="C57" i="7"/>
  <c r="C37" i="7"/>
  <c r="C54" i="7"/>
  <c r="C46" i="7"/>
  <c r="C42" i="7"/>
  <c r="C33" i="7"/>
  <c r="C29" i="7"/>
  <c r="C40" i="7"/>
  <c r="C52" i="7"/>
  <c r="C65" i="7"/>
  <c r="C62" i="7"/>
  <c r="C86" i="7"/>
  <c r="E68" i="7"/>
  <c r="C41" i="7"/>
  <c r="C45" i="7"/>
  <c r="C87" i="7"/>
  <c r="C84" i="7"/>
  <c r="C32" i="7"/>
  <c r="C67" i="7"/>
  <c r="C76" i="7"/>
  <c r="C38" i="7"/>
  <c r="C70" i="7"/>
  <c r="C68" i="7"/>
  <c r="C74" i="7"/>
  <c r="C72" i="7"/>
  <c r="C78" i="7"/>
  <c r="C39" i="7"/>
  <c r="E89" i="7"/>
  <c r="E58" i="7"/>
  <c r="E34" i="7"/>
  <c r="E54" i="7"/>
  <c r="E49" i="7"/>
  <c r="E39" i="7"/>
  <c r="E30" i="7"/>
  <c r="E90" i="7"/>
  <c r="E85" i="7"/>
  <c r="E80" i="7"/>
  <c r="E65" i="7"/>
  <c r="E70" i="7"/>
  <c r="E71" i="7"/>
  <c r="E59" i="7"/>
  <c r="E60" i="7"/>
  <c r="E74" i="7"/>
  <c r="E69" i="7"/>
  <c r="E55" i="7"/>
  <c r="E50" i="7"/>
  <c r="E45" i="7"/>
  <c r="E40" i="7"/>
  <c r="E35" i="7"/>
  <c r="E31" i="7"/>
  <c r="E84" i="7"/>
  <c r="E91" i="7"/>
  <c r="E86" i="7"/>
  <c r="E81" i="7"/>
  <c r="E63" i="7"/>
  <c r="E56" i="7"/>
  <c r="E51" i="7"/>
  <c r="E46" i="7"/>
  <c r="E41" i="7"/>
  <c r="E32" i="7"/>
  <c r="E88" i="7"/>
  <c r="E83" i="7"/>
  <c r="E79" i="7"/>
  <c r="E61" i="7"/>
  <c r="E66" i="7"/>
  <c r="E75" i="7"/>
  <c r="E48" i="7"/>
  <c r="E43" i="7"/>
  <c r="E38" i="7"/>
  <c r="E33" i="7"/>
  <c r="E29" i="7"/>
  <c r="E36" i="6"/>
  <c r="E30" i="6"/>
  <c r="E29" i="6"/>
  <c r="E34" i="6"/>
  <c r="E28" i="6"/>
  <c r="E33" i="6"/>
  <c r="E31" i="6"/>
  <c r="C38" i="6"/>
  <c r="E32" i="6"/>
  <c r="E35" i="6"/>
  <c r="L31" i="1"/>
  <c r="L17" i="10" s="1"/>
  <c r="L26" i="1"/>
  <c r="L12" i="10" s="1"/>
  <c r="L39" i="1"/>
  <c r="L25" i="10" s="1"/>
  <c r="L25" i="1"/>
  <c r="L11" i="10" s="1"/>
  <c r="L33" i="1"/>
  <c r="L19" i="10" s="1"/>
  <c r="L32" i="1"/>
  <c r="L18" i="10" s="1"/>
  <c r="L27" i="1"/>
  <c r="AH368" i="2"/>
  <c r="AG368" i="2"/>
  <c r="AH609" i="2"/>
  <c r="AG609" i="2"/>
  <c r="AH432" i="2"/>
  <c r="AG432" i="2"/>
  <c r="AH194" i="2"/>
  <c r="AG194" i="2"/>
  <c r="AH968" i="2"/>
  <c r="AG968" i="2"/>
  <c r="AH910" i="2"/>
  <c r="AG910" i="2"/>
  <c r="AH728" i="2"/>
  <c r="AG728" i="2"/>
  <c r="AH250" i="2"/>
  <c r="AG250" i="2"/>
  <c r="AH436" i="2"/>
  <c r="AG436" i="2"/>
  <c r="AH373" i="2"/>
  <c r="AG373" i="2"/>
  <c r="AH495" i="2"/>
  <c r="AG495" i="2"/>
  <c r="AH431" i="2"/>
  <c r="AG431" i="2"/>
  <c r="AH312" i="2"/>
  <c r="AG312" i="2"/>
  <c r="AH190" i="2"/>
  <c r="AG190" i="2"/>
  <c r="AH858" i="2"/>
  <c r="AG858" i="2"/>
  <c r="AH731" i="2"/>
  <c r="AG731" i="2"/>
  <c r="AH911" i="2"/>
  <c r="AG911" i="2"/>
  <c r="AH613" i="2"/>
  <c r="AG613" i="2"/>
  <c r="AH552" i="2"/>
  <c r="AG552" i="2"/>
  <c r="AH489" i="2"/>
  <c r="AG489" i="2"/>
  <c r="AH256" i="2"/>
  <c r="AG256" i="2"/>
  <c r="AH314" i="2"/>
  <c r="AG314" i="2"/>
  <c r="AH196" i="2"/>
  <c r="AG196" i="2"/>
  <c r="AH133" i="2"/>
  <c r="AG133" i="2"/>
  <c r="AH137" i="2"/>
  <c r="AG137" i="2"/>
  <c r="AH197" i="2"/>
  <c r="AG197" i="2"/>
  <c r="AH612" i="2"/>
  <c r="AG612" i="2"/>
  <c r="AH672" i="2"/>
  <c r="AG672" i="2"/>
  <c r="AH856" i="2"/>
  <c r="AG856" i="2"/>
  <c r="AH434" i="2"/>
  <c r="AG434" i="2"/>
  <c r="AH369" i="2"/>
  <c r="AG369" i="2"/>
  <c r="AH138" i="2"/>
  <c r="AG138" i="2"/>
  <c r="AH679" i="2"/>
  <c r="AG679" i="2"/>
  <c r="AH614" i="2"/>
  <c r="AG614" i="2"/>
  <c r="AH191" i="2"/>
  <c r="AG191" i="2"/>
  <c r="AH132" i="2"/>
  <c r="AG132" i="2"/>
  <c r="AH791" i="2"/>
  <c r="AG791" i="2"/>
  <c r="AH378" i="2"/>
  <c r="AG378" i="2"/>
  <c r="AH551" i="2"/>
  <c r="AG551" i="2"/>
  <c r="AH738" i="2"/>
  <c r="AG738" i="2"/>
  <c r="AH790" i="2"/>
  <c r="AG790" i="2"/>
  <c r="AH851" i="2"/>
  <c r="AG851" i="2"/>
  <c r="AH857" i="2"/>
  <c r="AG857" i="2"/>
  <c r="AH792" i="2"/>
  <c r="AG792" i="2"/>
  <c r="AH977" i="2"/>
  <c r="AG977" i="2"/>
  <c r="AH737" i="2"/>
  <c r="AG737" i="2"/>
  <c r="AH318" i="2"/>
  <c r="AG318" i="2"/>
  <c r="AH257" i="2"/>
  <c r="AG257" i="2"/>
  <c r="AH128" i="2"/>
  <c r="AG128" i="2"/>
  <c r="AH971" i="2"/>
  <c r="AG971" i="2"/>
  <c r="AH918" i="2"/>
  <c r="AG918" i="2"/>
  <c r="AH252" i="2"/>
  <c r="AG252" i="2"/>
  <c r="AH315" i="2"/>
  <c r="AG315" i="2"/>
  <c r="AH909" i="2"/>
  <c r="AG909" i="2"/>
  <c r="AH736" i="2"/>
  <c r="AG736" i="2"/>
  <c r="AH556" i="2"/>
  <c r="AG556" i="2"/>
  <c r="AH499" i="2"/>
  <c r="AG499" i="2"/>
  <c r="AH491" i="2"/>
  <c r="AG491" i="2"/>
  <c r="AH917" i="2"/>
  <c r="AG917" i="2"/>
  <c r="AH976" i="2"/>
  <c r="AG976" i="2"/>
  <c r="AH912" i="2"/>
  <c r="AG912" i="2"/>
  <c r="AH972" i="2"/>
  <c r="AG972" i="2"/>
  <c r="AH849" i="2"/>
  <c r="AG849" i="2"/>
  <c r="AH789" i="2"/>
  <c r="AG789" i="2"/>
  <c r="AH793" i="2"/>
  <c r="AG793" i="2"/>
  <c r="AH732" i="2"/>
  <c r="AG732" i="2"/>
  <c r="AH668" i="2"/>
  <c r="AG668" i="2"/>
  <c r="AH372" i="2"/>
  <c r="AG372" i="2"/>
  <c r="AH437" i="2"/>
  <c r="AG437" i="2"/>
  <c r="AH371" i="2"/>
  <c r="AG371" i="2"/>
  <c r="AH189" i="2"/>
  <c r="AG189" i="2"/>
  <c r="AH913" i="2"/>
  <c r="AG913" i="2"/>
  <c r="AH677" i="2"/>
  <c r="AG677" i="2"/>
  <c r="AH616" i="2"/>
  <c r="AG616" i="2"/>
  <c r="AH550" i="2"/>
  <c r="AG550" i="2"/>
  <c r="AH558" i="2"/>
  <c r="AG558" i="2"/>
  <c r="AH492" i="2"/>
  <c r="AG492" i="2"/>
  <c r="AH428" i="2"/>
  <c r="AG428" i="2"/>
  <c r="AH548" i="2"/>
  <c r="AG548" i="2"/>
  <c r="AH259" i="2"/>
  <c r="AG259" i="2"/>
  <c r="AH308" i="2"/>
  <c r="AG308" i="2"/>
  <c r="AH317" i="2"/>
  <c r="AG317" i="2"/>
  <c r="AH199" i="2"/>
  <c r="AG199" i="2"/>
  <c r="AH139" i="2"/>
  <c r="AG139" i="2"/>
  <c r="AH136" i="2"/>
  <c r="AG136" i="2"/>
  <c r="AH674" i="2"/>
  <c r="AG674" i="2"/>
  <c r="AH798" i="2"/>
  <c r="AG798" i="2"/>
  <c r="AH729" i="2"/>
  <c r="AG729" i="2"/>
  <c r="AH615" i="2"/>
  <c r="AG615" i="2"/>
  <c r="AH254" i="2"/>
  <c r="AG254" i="2"/>
  <c r="AH490" i="2"/>
  <c r="AG490" i="2"/>
  <c r="AH429" i="2"/>
  <c r="AG429" i="2"/>
  <c r="AH739" i="2"/>
  <c r="AG739" i="2"/>
  <c r="AH969" i="2"/>
  <c r="AG969" i="2"/>
  <c r="AH916" i="2"/>
  <c r="AG916" i="2"/>
  <c r="AH493" i="2"/>
  <c r="AG493" i="2"/>
  <c r="AH675" i="2"/>
  <c r="AG675" i="2"/>
  <c r="AH733" i="2"/>
  <c r="AG733" i="2"/>
  <c r="AH788" i="2"/>
  <c r="AG788" i="2"/>
  <c r="AH853" i="2"/>
  <c r="AG853" i="2"/>
  <c r="AH673" i="2"/>
  <c r="AG673" i="2"/>
  <c r="AH251" i="2"/>
  <c r="AG251" i="2"/>
  <c r="AH973" i="2"/>
  <c r="AG973" i="2"/>
  <c r="AH795" i="2"/>
  <c r="AG795" i="2"/>
  <c r="AH498" i="2"/>
  <c r="AG498" i="2"/>
  <c r="AH610" i="2"/>
  <c r="AG610" i="2"/>
  <c r="AH435" i="2"/>
  <c r="AG435" i="2"/>
  <c r="AH311" i="2"/>
  <c r="AG311" i="2"/>
  <c r="AH919" i="2"/>
  <c r="AG919" i="2"/>
  <c r="AH619" i="2"/>
  <c r="AG619" i="2"/>
  <c r="AH438" i="2"/>
  <c r="AG438" i="2"/>
  <c r="AH374" i="2"/>
  <c r="AG374" i="2"/>
  <c r="AH554" i="2"/>
  <c r="AG554" i="2"/>
  <c r="AH494" i="2"/>
  <c r="AG494" i="2"/>
  <c r="AH430" i="2"/>
  <c r="AG430" i="2"/>
  <c r="AH555" i="2"/>
  <c r="AG555" i="2"/>
  <c r="AH313" i="2"/>
  <c r="AG313" i="2"/>
  <c r="AH131" i="2"/>
  <c r="AG131" i="2"/>
  <c r="AH974" i="2"/>
  <c r="AG974" i="2"/>
  <c r="AH850" i="2"/>
  <c r="AG850" i="2"/>
  <c r="AH734" i="2"/>
  <c r="AG734" i="2"/>
  <c r="AH670" i="2"/>
  <c r="AG670" i="2"/>
  <c r="AH439" i="2"/>
  <c r="AG439" i="2"/>
  <c r="AH608" i="2"/>
  <c r="AG608" i="2"/>
  <c r="AH255" i="2"/>
  <c r="AG255" i="2"/>
  <c r="AH188" i="2"/>
  <c r="AG188" i="2"/>
  <c r="AH248" i="2"/>
  <c r="AG248" i="2"/>
  <c r="AH129" i="2"/>
  <c r="AG129" i="2"/>
  <c r="AH978" i="2"/>
  <c r="AG978" i="2"/>
  <c r="AH979" i="2"/>
  <c r="AG979" i="2"/>
  <c r="AH915" i="2"/>
  <c r="AG915" i="2"/>
  <c r="AH375" i="2"/>
  <c r="AG375" i="2"/>
  <c r="AH975" i="2"/>
  <c r="AG975" i="2"/>
  <c r="AH852" i="2"/>
  <c r="AG852" i="2"/>
  <c r="AH794" i="2"/>
  <c r="AG794" i="2"/>
  <c r="AH796" i="2"/>
  <c r="AG796" i="2"/>
  <c r="AH735" i="2"/>
  <c r="AG735" i="2"/>
  <c r="AH671" i="2"/>
  <c r="AG671" i="2"/>
  <c r="AH310" i="2"/>
  <c r="AG310" i="2"/>
  <c r="AH376" i="2"/>
  <c r="AG376" i="2"/>
  <c r="AH249" i="2"/>
  <c r="AG249" i="2"/>
  <c r="AH192" i="2"/>
  <c r="AG192" i="2"/>
  <c r="AH669" i="2"/>
  <c r="AG669" i="2"/>
  <c r="AH559" i="2"/>
  <c r="AG559" i="2"/>
  <c r="AH908" i="2"/>
  <c r="AG908" i="2"/>
  <c r="AH859" i="2"/>
  <c r="AG859" i="2"/>
  <c r="AH678" i="2"/>
  <c r="AG678" i="2"/>
  <c r="AH611" i="2"/>
  <c r="AG611" i="2"/>
  <c r="AH496" i="2"/>
  <c r="AG496" i="2"/>
  <c r="AH617" i="2"/>
  <c r="AG617" i="2"/>
  <c r="AH549" i="2"/>
  <c r="AG549" i="2"/>
  <c r="AH193" i="2"/>
  <c r="AG193" i="2"/>
  <c r="AH253" i="2"/>
  <c r="AG253" i="2"/>
  <c r="AH130" i="2"/>
  <c r="AG130" i="2"/>
  <c r="AH134" i="2"/>
  <c r="AG134" i="2"/>
  <c r="AH618" i="2"/>
  <c r="AG618" i="2"/>
  <c r="AH848" i="2"/>
  <c r="AG848" i="2"/>
  <c r="AH855" i="2"/>
  <c r="AG855" i="2"/>
  <c r="AH797" i="2"/>
  <c r="AG797" i="2"/>
  <c r="AH730" i="2"/>
  <c r="AG730" i="2"/>
  <c r="AH854" i="2"/>
  <c r="AG854" i="2"/>
  <c r="AH799" i="2"/>
  <c r="AG799" i="2"/>
  <c r="AH676" i="2"/>
  <c r="AG676" i="2"/>
  <c r="AH553" i="2"/>
  <c r="AG553" i="2"/>
  <c r="AH316" i="2"/>
  <c r="AG316" i="2"/>
  <c r="AH379" i="2"/>
  <c r="AG379" i="2"/>
  <c r="AH198" i="2"/>
  <c r="AG198" i="2"/>
  <c r="AH258" i="2"/>
  <c r="AG258" i="2"/>
  <c r="AH195" i="2"/>
  <c r="AG195" i="2"/>
  <c r="AH970" i="2"/>
  <c r="AG970" i="2"/>
  <c r="AH914" i="2"/>
  <c r="AG914" i="2"/>
  <c r="AH377" i="2"/>
  <c r="AG377" i="2"/>
  <c r="AH497" i="2"/>
  <c r="AG497" i="2"/>
  <c r="AH433" i="2"/>
  <c r="AG433" i="2"/>
  <c r="AH370" i="2"/>
  <c r="AG370" i="2"/>
  <c r="AH557" i="2"/>
  <c r="AG557" i="2"/>
  <c r="AH488" i="2"/>
  <c r="AG488" i="2"/>
  <c r="AH309" i="2"/>
  <c r="AG309" i="2"/>
  <c r="AH319" i="2"/>
  <c r="AG319" i="2"/>
  <c r="AH135" i="2"/>
  <c r="AG135" i="2"/>
  <c r="M20" i="2"/>
  <c r="BG33" i="5" l="1"/>
  <c r="C39" i="6"/>
  <c r="C29" i="6"/>
  <c r="G29" i="6" s="1"/>
  <c r="C41" i="6"/>
  <c r="C30" i="6"/>
  <c r="G30" i="6" s="1"/>
  <c r="C36" i="6"/>
  <c r="G36" i="6" s="1"/>
  <c r="C43" i="6"/>
  <c r="C37" i="6"/>
  <c r="C33" i="6"/>
  <c r="G33" i="6" s="1"/>
  <c r="C28" i="6"/>
  <c r="G28" i="6" s="1"/>
  <c r="C31" i="6"/>
  <c r="G31" i="6" s="1"/>
  <c r="C32" i="6"/>
  <c r="G32" i="6" s="1"/>
  <c r="C35" i="6"/>
  <c r="G35" i="6" s="1"/>
  <c r="C45" i="6"/>
  <c r="C47" i="6"/>
  <c r="C44" i="6"/>
  <c r="C34" i="6"/>
  <c r="G34" i="6" s="1"/>
  <c r="C40" i="6"/>
  <c r="C42" i="6"/>
  <c r="N15" i="1"/>
  <c r="N7" i="10" s="1"/>
  <c r="B11" i="5" s="1"/>
  <c r="C48" i="6"/>
  <c r="C46" i="6"/>
  <c r="G28" i="7"/>
  <c r="G36" i="7"/>
  <c r="G35" i="7"/>
  <c r="G30" i="7"/>
  <c r="G29" i="7"/>
  <c r="G34" i="7"/>
  <c r="G31" i="7"/>
  <c r="G32" i="7"/>
  <c r="G33" i="7"/>
  <c r="L13" i="10"/>
  <c r="L29" i="1"/>
  <c r="L15" i="10" s="1"/>
  <c r="L35" i="1"/>
  <c r="L21" i="10" s="1"/>
  <c r="L37" i="1"/>
  <c r="L23" i="10" s="1"/>
  <c r="AI368" i="2"/>
  <c r="L34" i="1"/>
  <c r="L20" i="10" s="1"/>
  <c r="L28" i="1"/>
  <c r="L14" i="10" s="1"/>
  <c r="L38" i="1"/>
  <c r="L24" i="10" s="1"/>
  <c r="L36" i="1"/>
  <c r="L22" i="10" s="1"/>
  <c r="L30" i="1"/>
  <c r="L16" i="10" s="1"/>
  <c r="AI135" i="2"/>
  <c r="AI557" i="2"/>
  <c r="AI433" i="2"/>
  <c r="AI377" i="2"/>
  <c r="AI258" i="2"/>
  <c r="AI730" i="2"/>
  <c r="AI618" i="2"/>
  <c r="AI617" i="2"/>
  <c r="AI859" i="2"/>
  <c r="AI192" i="2"/>
  <c r="AI671" i="2"/>
  <c r="AI852" i="2"/>
  <c r="AI375" i="2"/>
  <c r="AI608" i="2"/>
  <c r="AI670" i="2"/>
  <c r="AI131" i="2"/>
  <c r="AI374" i="2"/>
  <c r="AI311" i="2"/>
  <c r="AI853" i="2"/>
  <c r="AI969" i="2"/>
  <c r="AI729" i="2"/>
  <c r="AI139" i="2"/>
  <c r="AI259" i="2"/>
  <c r="AI558" i="2"/>
  <c r="AI616" i="2"/>
  <c r="AI371" i="2"/>
  <c r="AI732" i="2"/>
  <c r="AI972" i="2"/>
  <c r="AI909" i="2"/>
  <c r="AI257" i="2"/>
  <c r="AI792" i="2"/>
  <c r="AI851" i="2"/>
  <c r="AI378" i="2"/>
  <c r="AI614" i="2"/>
  <c r="AI138" i="2"/>
  <c r="AI434" i="2"/>
  <c r="AI672" i="2"/>
  <c r="AI197" i="2"/>
  <c r="AI314" i="2"/>
  <c r="AI489" i="2"/>
  <c r="AI613" i="2"/>
  <c r="AI731" i="2"/>
  <c r="AI431" i="2"/>
  <c r="AI373" i="2"/>
  <c r="AI910" i="2"/>
  <c r="AI194" i="2"/>
  <c r="AI609" i="2"/>
  <c r="AI309" i="2"/>
  <c r="AI970" i="2"/>
  <c r="AI379" i="2"/>
  <c r="AI553" i="2"/>
  <c r="AI799" i="2"/>
  <c r="AI855" i="2"/>
  <c r="AI130" i="2"/>
  <c r="AI193" i="2"/>
  <c r="AI611" i="2"/>
  <c r="AI559" i="2"/>
  <c r="AI376" i="2"/>
  <c r="AI796" i="2"/>
  <c r="AI979" i="2"/>
  <c r="AI129" i="2"/>
  <c r="AI188" i="2"/>
  <c r="AI850" i="2"/>
  <c r="AI494" i="2"/>
  <c r="AI610" i="2"/>
  <c r="AI251" i="2"/>
  <c r="AI733" i="2"/>
  <c r="AI429" i="2"/>
  <c r="AI254" i="2"/>
  <c r="AI674" i="2"/>
  <c r="AI317" i="2"/>
  <c r="AI428" i="2"/>
  <c r="AI913" i="2"/>
  <c r="AI372" i="2"/>
  <c r="AI789" i="2"/>
  <c r="AI976" i="2"/>
  <c r="AI491" i="2"/>
  <c r="AI252" i="2"/>
  <c r="AI737" i="2"/>
  <c r="AI738" i="2"/>
  <c r="AI132" i="2"/>
  <c r="AI914" i="2"/>
  <c r="AI677" i="2"/>
  <c r="AI793" i="2"/>
  <c r="AI369" i="2"/>
  <c r="AI856" i="2"/>
  <c r="AI196" i="2"/>
  <c r="AI858" i="2"/>
  <c r="AI495" i="2"/>
  <c r="AI728" i="2"/>
  <c r="AI319" i="2"/>
  <c r="AI488" i="2"/>
  <c r="AI370" i="2"/>
  <c r="AI497" i="2"/>
  <c r="AI195" i="2"/>
  <c r="AI198" i="2"/>
  <c r="AI316" i="2"/>
  <c r="AI676" i="2"/>
  <c r="AI854" i="2"/>
  <c r="AI797" i="2"/>
  <c r="AI848" i="2"/>
  <c r="AI134" i="2"/>
  <c r="AI253" i="2"/>
  <c r="AI549" i="2"/>
  <c r="AI496" i="2"/>
  <c r="AI678" i="2"/>
  <c r="AI908" i="2"/>
  <c r="AI669" i="2"/>
  <c r="AI249" i="2"/>
  <c r="AI310" i="2"/>
  <c r="AI735" i="2"/>
  <c r="AI794" i="2"/>
  <c r="AI975" i="2"/>
  <c r="AI915" i="2"/>
  <c r="AI978" i="2"/>
  <c r="AI248" i="2"/>
  <c r="AI255" i="2"/>
  <c r="AI439" i="2"/>
  <c r="AI734" i="2"/>
  <c r="AI974" i="2"/>
  <c r="AI313" i="2"/>
  <c r="AI430" i="2"/>
  <c r="AI554" i="2"/>
  <c r="AI438" i="2"/>
  <c r="AI919" i="2"/>
  <c r="AI435" i="2"/>
  <c r="AI498" i="2"/>
  <c r="AI973" i="2"/>
  <c r="AI673" i="2"/>
  <c r="AI788" i="2"/>
  <c r="AI675" i="2"/>
  <c r="AI916" i="2"/>
  <c r="AI739" i="2"/>
  <c r="AI490" i="2"/>
  <c r="AI615" i="2"/>
  <c r="AI798" i="2"/>
  <c r="AI136" i="2"/>
  <c r="AI199" i="2"/>
  <c r="AI308" i="2"/>
  <c r="AI548" i="2"/>
  <c r="AI492" i="2"/>
  <c r="AI550" i="2"/>
  <c r="AI189" i="2"/>
  <c r="AI437" i="2"/>
  <c r="AI668" i="2"/>
  <c r="AI849" i="2"/>
  <c r="AI912" i="2"/>
  <c r="AI917" i="2"/>
  <c r="AI499" i="2"/>
  <c r="AI736" i="2"/>
  <c r="AI315" i="2"/>
  <c r="AI918" i="2"/>
  <c r="AI128" i="2"/>
  <c r="AI318" i="2"/>
  <c r="AI977" i="2"/>
  <c r="AI857" i="2"/>
  <c r="AI790" i="2"/>
  <c r="AI551" i="2"/>
  <c r="AI791" i="2"/>
  <c r="AI191" i="2"/>
  <c r="AI679" i="2"/>
  <c r="AI612" i="2"/>
  <c r="AI137" i="2"/>
  <c r="AI256" i="2"/>
  <c r="AI552" i="2"/>
  <c r="AI911" i="2"/>
  <c r="AI312" i="2"/>
  <c r="AI436" i="2"/>
  <c r="AI968" i="2"/>
  <c r="AI432" i="2"/>
  <c r="AI555" i="2"/>
  <c r="AI619" i="2"/>
  <c r="AI795" i="2"/>
  <c r="AI493" i="2"/>
  <c r="AI556" i="2"/>
  <c r="AI971" i="2"/>
  <c r="AI133" i="2"/>
  <c r="AI190" i="2"/>
  <c r="AI250" i="2"/>
  <c r="BG34" i="5" l="1"/>
  <c r="E72" i="7"/>
  <c r="G72" i="7" s="1"/>
  <c r="E67" i="7"/>
  <c r="G67" i="7" s="1"/>
  <c r="E62" i="7"/>
  <c r="G62" i="7" s="1"/>
  <c r="E52" i="7"/>
  <c r="G52" i="7" s="1"/>
  <c r="E57" i="7"/>
  <c r="G57" i="7" s="1"/>
  <c r="E92" i="7"/>
  <c r="G92" i="7" s="1"/>
  <c r="E87" i="7"/>
  <c r="G87" i="7" s="1"/>
  <c r="E42" i="7"/>
  <c r="G42" i="7" s="1"/>
  <c r="E77" i="7"/>
  <c r="G77" i="7" s="1"/>
  <c r="E47" i="7"/>
  <c r="G47" i="7" s="1"/>
  <c r="E37" i="7"/>
  <c r="G37" i="7" s="1"/>
  <c r="E82" i="7"/>
  <c r="G82" i="7" s="1"/>
  <c r="G55" i="7"/>
  <c r="G56" i="7"/>
  <c r="G60" i="7"/>
  <c r="G38" i="7"/>
  <c r="E44" i="6"/>
  <c r="G44" i="6" s="1"/>
  <c r="E41" i="6"/>
  <c r="G41" i="6" s="1"/>
  <c r="G63" i="7"/>
  <c r="G85" i="7"/>
  <c r="G80" i="7"/>
  <c r="G48" i="7"/>
  <c r="G41" i="7"/>
  <c r="E46" i="6"/>
  <c r="G46" i="6" s="1"/>
  <c r="G89" i="7"/>
  <c r="G86" i="7"/>
  <c r="G54" i="7"/>
  <c r="G51" i="7"/>
  <c r="G46" i="7"/>
  <c r="G74" i="7"/>
  <c r="G65" i="7"/>
  <c r="G76" i="7"/>
  <c r="E37" i="6"/>
  <c r="G37" i="6" s="1"/>
  <c r="G84" i="7"/>
  <c r="G69" i="7"/>
  <c r="G39" i="7"/>
  <c r="G43" i="7"/>
  <c r="G90" i="7"/>
  <c r="G81" i="7"/>
  <c r="E43" i="6"/>
  <c r="G43" i="6" s="1"/>
  <c r="G59" i="7"/>
  <c r="G79" i="7"/>
  <c r="G40" i="7"/>
  <c r="G58" i="7"/>
  <c r="G53" i="7"/>
  <c r="G75" i="7"/>
  <c r="E39" i="6"/>
  <c r="G39" i="6" s="1"/>
  <c r="G88" i="7"/>
  <c r="E40" i="6"/>
  <c r="G40" i="6" s="1"/>
  <c r="E38" i="6"/>
  <c r="G38" i="6" s="1"/>
  <c r="G78" i="7"/>
  <c r="G49" i="7"/>
  <c r="E42" i="6"/>
  <c r="G42" i="6" s="1"/>
  <c r="G66" i="7"/>
  <c r="G61" i="7"/>
  <c r="E45" i="6"/>
  <c r="G45" i="6" s="1"/>
  <c r="G71" i="7"/>
  <c r="G68" i="7"/>
  <c r="E47" i="6"/>
  <c r="G47" i="6" s="1"/>
  <c r="G91" i="7"/>
  <c r="G73" i="7"/>
  <c r="G70" i="7"/>
  <c r="G50" i="7"/>
  <c r="G45" i="7"/>
  <c r="G83" i="7"/>
  <c r="G44" i="7"/>
  <c r="E48" i="6"/>
  <c r="G48" i="6" s="1"/>
  <c r="G64" i="7"/>
  <c r="B10" i="5"/>
  <c r="D10" i="5" s="1"/>
  <c r="B11" i="2"/>
  <c r="B12" i="5"/>
  <c r="D12" i="5" s="1"/>
  <c r="M8" i="5" s="1"/>
  <c r="AE20" i="5" s="1"/>
  <c r="AF20" i="5" s="1"/>
  <c r="B10" i="2"/>
  <c r="D10" i="2" s="1"/>
  <c r="BG35" i="5" l="1"/>
  <c r="L15" i="8"/>
  <c r="L15" i="9"/>
  <c r="L15" i="6"/>
  <c r="L15" i="7"/>
  <c r="M6" i="2"/>
  <c r="R20" i="2" s="1"/>
  <c r="M6" i="5"/>
  <c r="B13" i="5"/>
  <c r="D13" i="5" s="1"/>
  <c r="M9" i="5" s="1"/>
  <c r="B13" i="2"/>
  <c r="D13" i="2" s="1"/>
  <c r="M9" i="2" s="1"/>
  <c r="D11" i="5"/>
  <c r="S20" i="2" l="1"/>
  <c r="V20" i="2" s="1"/>
  <c r="S20" i="5"/>
  <c r="BG36" i="5"/>
  <c r="AL20" i="5"/>
  <c r="L16" i="9"/>
  <c r="L16" i="8"/>
  <c r="M7" i="5"/>
  <c r="AV20" i="5" s="1"/>
  <c r="D11" i="2"/>
  <c r="B12" i="2"/>
  <c r="D12" i="2" s="1"/>
  <c r="M8" i="2" s="1"/>
  <c r="AD20" i="2" s="1"/>
  <c r="AE20" i="2" s="1"/>
  <c r="AJ20" i="2" s="1"/>
  <c r="AW20" i="5" l="1"/>
  <c r="BA20" i="5" s="1"/>
  <c r="T20" i="5"/>
  <c r="N21" i="2"/>
  <c r="O21" i="2" s="1"/>
  <c r="M21" i="2"/>
  <c r="W20" i="2"/>
  <c r="BG37" i="5"/>
  <c r="AM20" i="5"/>
  <c r="AC21" i="5"/>
  <c r="AE21" i="5" s="1"/>
  <c r="AF21" i="5" s="1"/>
  <c r="L16" i="7"/>
  <c r="L16" i="6"/>
  <c r="AB21" i="2"/>
  <c r="AD21" i="2" s="1"/>
  <c r="AE21" i="2" s="1"/>
  <c r="AJ21" i="2" s="1"/>
  <c r="M7" i="2"/>
  <c r="AT20" i="2" s="1"/>
  <c r="AK20" i="2"/>
  <c r="AU20" i="2" l="1"/>
  <c r="AY20" i="2" s="1"/>
  <c r="AZ20" i="2" s="1"/>
  <c r="W20" i="5"/>
  <c r="N21" i="5" s="1"/>
  <c r="R21" i="2"/>
  <c r="S21" i="2" s="1"/>
  <c r="BG38" i="5"/>
  <c r="AB22" i="2"/>
  <c r="AK21" i="2"/>
  <c r="AR21" i="2" l="1"/>
  <c r="AT21" i="2" s="1"/>
  <c r="AU21" i="2" s="1"/>
  <c r="V21" i="2"/>
  <c r="W21" i="2" s="1"/>
  <c r="O21" i="5"/>
  <c r="P21" i="5" s="1"/>
  <c r="S21" i="5" s="1"/>
  <c r="T21" i="5" s="1"/>
  <c r="X20" i="5"/>
  <c r="BG39" i="5"/>
  <c r="AT21" i="5"/>
  <c r="BB20" i="5"/>
  <c r="AL21" i="5"/>
  <c r="AD22" i="2"/>
  <c r="AE22" i="2" s="1"/>
  <c r="AY21" i="2" l="1"/>
  <c r="AZ21" i="2" s="1"/>
  <c r="W21" i="5"/>
  <c r="X21" i="5" s="1"/>
  <c r="N22" i="2"/>
  <c r="O22" i="2" s="1"/>
  <c r="M22" i="2"/>
  <c r="AV21" i="5"/>
  <c r="AW21" i="5" s="1"/>
  <c r="BG40" i="5"/>
  <c r="AM21" i="5"/>
  <c r="AC22" i="5"/>
  <c r="AJ22" i="2"/>
  <c r="AR22" i="2" l="1"/>
  <c r="AT22" i="2" s="1"/>
  <c r="AU22" i="2" s="1"/>
  <c r="BA21" i="5"/>
  <c r="O22" i="5"/>
  <c r="P22" i="5" s="1"/>
  <c r="N22" i="5"/>
  <c r="R22" i="2"/>
  <c r="S22" i="2" s="1"/>
  <c r="AE22" i="5"/>
  <c r="AF22" i="5" s="1"/>
  <c r="BG41" i="5"/>
  <c r="AK22" i="2"/>
  <c r="AB23" i="2"/>
  <c r="AD23" i="2" s="1"/>
  <c r="AE23" i="2" s="1"/>
  <c r="AJ23" i="2" s="1"/>
  <c r="AY22" i="2" l="1"/>
  <c r="AZ22" i="2" s="1"/>
  <c r="S22" i="5"/>
  <c r="T22" i="5" s="1"/>
  <c r="W22" i="5" s="1"/>
  <c r="X22" i="5" s="1"/>
  <c r="V22" i="2"/>
  <c r="M23" i="2" s="1"/>
  <c r="BG42" i="5"/>
  <c r="AT22" i="5"/>
  <c r="BB21" i="5"/>
  <c r="AL22" i="5"/>
  <c r="AK23" i="2"/>
  <c r="AB24" i="2"/>
  <c r="AR23" i="2" l="1"/>
  <c r="AT23" i="2" s="1"/>
  <c r="AU23" i="2" s="1"/>
  <c r="W22" i="2"/>
  <c r="N23" i="2"/>
  <c r="O23" i="2" s="1"/>
  <c r="R23" i="2" s="1"/>
  <c r="S23" i="2" s="1"/>
  <c r="AV22" i="5"/>
  <c r="AW22" i="5" s="1"/>
  <c r="BG43" i="5"/>
  <c r="AM22" i="5"/>
  <c r="AC23" i="5"/>
  <c r="O23" i="5"/>
  <c r="P23" i="5" s="1"/>
  <c r="N23" i="5"/>
  <c r="AD24" i="2"/>
  <c r="AE24" i="2" s="1"/>
  <c r="BA22" i="5" l="1"/>
  <c r="AY23" i="2"/>
  <c r="V23" i="2"/>
  <c r="W23" i="2" s="1"/>
  <c r="AE23" i="5"/>
  <c r="AF23" i="5" s="1"/>
  <c r="S23" i="5"/>
  <c r="T23" i="5" s="1"/>
  <c r="BG44" i="5"/>
  <c r="AJ24" i="2"/>
  <c r="AZ23" i="2" l="1"/>
  <c r="AR24" i="2"/>
  <c r="AT24" i="2" s="1"/>
  <c r="AU24" i="2" s="1"/>
  <c r="W23" i="5"/>
  <c r="X23" i="5" s="1"/>
  <c r="N24" i="2"/>
  <c r="O24" i="2" s="1"/>
  <c r="M24" i="2"/>
  <c r="BG45" i="5"/>
  <c r="AT23" i="5"/>
  <c r="BB22" i="5"/>
  <c r="AL23" i="5"/>
  <c r="AK24" i="2"/>
  <c r="AB25" i="2"/>
  <c r="AD25" i="2" s="1"/>
  <c r="AE25" i="2" s="1"/>
  <c r="AJ25" i="2" s="1"/>
  <c r="AY24" i="2" l="1"/>
  <c r="R24" i="2"/>
  <c r="S24" i="2" s="1"/>
  <c r="AV23" i="5"/>
  <c r="AW23" i="5" s="1"/>
  <c r="BG46" i="5"/>
  <c r="AC24" i="5"/>
  <c r="AM23" i="5"/>
  <c r="N24" i="5"/>
  <c r="AB26" i="2"/>
  <c r="AD26" i="2" s="1"/>
  <c r="O24" i="5"/>
  <c r="P24" i="5" s="1"/>
  <c r="AK25" i="2"/>
  <c r="BA23" i="5" l="1"/>
  <c r="AZ24" i="2"/>
  <c r="AR25" i="2"/>
  <c r="V24" i="2"/>
  <c r="W24" i="2" s="1"/>
  <c r="AE24" i="5"/>
  <c r="AF24" i="5" s="1"/>
  <c r="S24" i="5"/>
  <c r="T24" i="5" s="1"/>
  <c r="BG47" i="5"/>
  <c r="AE26" i="2"/>
  <c r="AJ26" i="2" s="1"/>
  <c r="AT25" i="2" l="1"/>
  <c r="AU25" i="2" s="1"/>
  <c r="M25" i="2"/>
  <c r="N25" i="2"/>
  <c r="O25" i="2" s="1"/>
  <c r="W24" i="5"/>
  <c r="X24" i="5" s="1"/>
  <c r="BG48" i="5"/>
  <c r="AT24" i="5"/>
  <c r="BB23" i="5"/>
  <c r="AL24" i="5"/>
  <c r="AK26" i="2"/>
  <c r="AB27" i="2"/>
  <c r="AD27" i="2" s="1"/>
  <c r="AE27" i="2" s="1"/>
  <c r="AJ27" i="2" s="1"/>
  <c r="AY25" i="2" l="1"/>
  <c r="R25" i="2"/>
  <c r="S25" i="2" s="1"/>
  <c r="V25" i="2" s="1"/>
  <c r="AV24" i="5"/>
  <c r="AW24" i="5" s="1"/>
  <c r="BG49" i="5"/>
  <c r="AM24" i="5"/>
  <c r="AC25" i="5"/>
  <c r="N25" i="5"/>
  <c r="O25" i="5"/>
  <c r="P25" i="5" s="1"/>
  <c r="AB28" i="2"/>
  <c r="AD28" i="2" s="1"/>
  <c r="AK27" i="2"/>
  <c r="AR26" i="2" l="1"/>
  <c r="AT26" i="2" s="1"/>
  <c r="AU26" i="2" s="1"/>
  <c r="AZ25" i="2"/>
  <c r="BA24" i="5"/>
  <c r="AE25" i="5"/>
  <c r="AF25" i="5" s="1"/>
  <c r="S25" i="5"/>
  <c r="T25" i="5" s="1"/>
  <c r="BG50" i="5"/>
  <c r="W25" i="2"/>
  <c r="N26" i="2"/>
  <c r="O26" i="2" s="1"/>
  <c r="M26" i="2"/>
  <c r="AY26" i="2" l="1"/>
  <c r="W25" i="5"/>
  <c r="X25" i="5" s="1"/>
  <c r="BG51" i="5"/>
  <c r="BB24" i="5"/>
  <c r="AT25" i="5"/>
  <c r="AL25" i="5"/>
  <c r="R26" i="2"/>
  <c r="S26" i="2" s="1"/>
  <c r="AE28" i="2"/>
  <c r="AJ28" i="2" s="1"/>
  <c r="AR27" i="2" l="1"/>
  <c r="AZ26" i="2"/>
  <c r="V26" i="2"/>
  <c r="AV25" i="5"/>
  <c r="AW25" i="5" s="1"/>
  <c r="N26" i="5"/>
  <c r="O26" i="5"/>
  <c r="P26" i="5" s="1"/>
  <c r="BG52" i="5"/>
  <c r="AM25" i="5"/>
  <c r="AC26" i="5"/>
  <c r="AB29" i="2"/>
  <c r="AD29" i="2" s="1"/>
  <c r="AK28" i="2"/>
  <c r="BA25" i="5" l="1"/>
  <c r="AT27" i="2"/>
  <c r="S26" i="5"/>
  <c r="T26" i="5" s="1"/>
  <c r="AE26" i="5"/>
  <c r="AF26" i="5" s="1"/>
  <c r="BG53" i="5"/>
  <c r="W26" i="2"/>
  <c r="N27" i="2"/>
  <c r="O27" i="2" s="1"/>
  <c r="M27" i="2"/>
  <c r="AE29" i="2"/>
  <c r="AJ29" i="2" s="1"/>
  <c r="AU27" i="2" l="1"/>
  <c r="AY27" i="2" s="1"/>
  <c r="W26" i="5"/>
  <c r="X26" i="5" s="1"/>
  <c r="BG54" i="5"/>
  <c r="AT26" i="5"/>
  <c r="BB25" i="5"/>
  <c r="AL26" i="5"/>
  <c r="R27" i="2"/>
  <c r="S27" i="2" s="1"/>
  <c r="AB30" i="2"/>
  <c r="AD30" i="2" s="1"/>
  <c r="AK29" i="2"/>
  <c r="AR28" i="2" l="1"/>
  <c r="AT28" i="2" s="1"/>
  <c r="AU28" i="2" s="1"/>
  <c r="AZ27" i="2"/>
  <c r="V27" i="2"/>
  <c r="O27" i="5"/>
  <c r="P27" i="5" s="1"/>
  <c r="N27" i="5"/>
  <c r="AV26" i="5"/>
  <c r="AW26" i="5" s="1"/>
  <c r="BG55" i="5"/>
  <c r="AC27" i="5"/>
  <c r="AM26" i="5"/>
  <c r="BA26" i="5" l="1"/>
  <c r="AY28" i="2"/>
  <c r="S27" i="5"/>
  <c r="T27" i="5" s="1"/>
  <c r="W27" i="5" s="1"/>
  <c r="AE27" i="5"/>
  <c r="AF27" i="5" s="1"/>
  <c r="BG56" i="5"/>
  <c r="W27" i="2"/>
  <c r="N28" i="2"/>
  <c r="O28" i="2" s="1"/>
  <c r="M28" i="2"/>
  <c r="AE30" i="2"/>
  <c r="AJ30" i="2" s="1"/>
  <c r="AR29" i="2" l="1"/>
  <c r="AZ28" i="2"/>
  <c r="X27" i="5"/>
  <c r="N28" i="5"/>
  <c r="O28" i="5"/>
  <c r="P28" i="5" s="1"/>
  <c r="BG57" i="5"/>
  <c r="AT27" i="5"/>
  <c r="BB26" i="5"/>
  <c r="AL27" i="5"/>
  <c r="R28" i="2"/>
  <c r="S28" i="2" s="1"/>
  <c r="AB31" i="2"/>
  <c r="AD31" i="2" s="1"/>
  <c r="AK30" i="2"/>
  <c r="AT29" i="2" l="1"/>
  <c r="AU29" i="2" s="1"/>
  <c r="V28" i="2"/>
  <c r="W28" i="2" s="1"/>
  <c r="AV27" i="5"/>
  <c r="AW27" i="5" s="1"/>
  <c r="S28" i="5"/>
  <c r="T28" i="5" s="1"/>
  <c r="BG58" i="5"/>
  <c r="AM27" i="5"/>
  <c r="AC28" i="5"/>
  <c r="AE31" i="2"/>
  <c r="AJ31" i="2" s="1"/>
  <c r="BA27" i="5" l="1"/>
  <c r="AY29" i="2"/>
  <c r="W28" i="5"/>
  <c r="X28" i="5" s="1"/>
  <c r="N29" i="2"/>
  <c r="O29" i="2" s="1"/>
  <c r="M29" i="2"/>
  <c r="AE28" i="5"/>
  <c r="AF28" i="5" s="1"/>
  <c r="BG59" i="5"/>
  <c r="J28" i="7"/>
  <c r="J28" i="6"/>
  <c r="AK31" i="2"/>
  <c r="AB32" i="2"/>
  <c r="AD32" i="2" s="1"/>
  <c r="AZ29" i="2" l="1"/>
  <c r="AR30" i="2"/>
  <c r="N29" i="5"/>
  <c r="O29" i="5"/>
  <c r="P29" i="5" s="1"/>
  <c r="R29" i="2"/>
  <c r="S29" i="2" s="1"/>
  <c r="BG60" i="5"/>
  <c r="BB27" i="5"/>
  <c r="AT28" i="5"/>
  <c r="AL28" i="5"/>
  <c r="AE32" i="2"/>
  <c r="AJ32" i="2" s="1"/>
  <c r="AT30" i="2" l="1"/>
  <c r="AU30" i="2" s="1"/>
  <c r="S29" i="5"/>
  <c r="T29" i="5" s="1"/>
  <c r="V29" i="2"/>
  <c r="M30" i="2" s="1"/>
  <c r="AV28" i="5"/>
  <c r="AW28" i="5" s="1"/>
  <c r="BG61" i="5"/>
  <c r="AM28" i="5"/>
  <c r="AC29" i="5"/>
  <c r="AK32" i="2"/>
  <c r="AB33" i="2"/>
  <c r="AD33" i="2" s="1"/>
  <c r="BA28" i="5" l="1"/>
  <c r="AY30" i="2"/>
  <c r="N30" i="2"/>
  <c r="O30" i="2" s="1"/>
  <c r="W29" i="2"/>
  <c r="W29" i="5"/>
  <c r="X29" i="5" s="1"/>
  <c r="AE29" i="5"/>
  <c r="AF29" i="5" s="1"/>
  <c r="BG62" i="5"/>
  <c r="AE33" i="2"/>
  <c r="AR31" i="2" l="1"/>
  <c r="AZ30" i="2"/>
  <c r="O30" i="5"/>
  <c r="P30" i="5" s="1"/>
  <c r="R30" i="2"/>
  <c r="S30" i="2" s="1"/>
  <c r="N30" i="5"/>
  <c r="BG63" i="5"/>
  <c r="AT29" i="5"/>
  <c r="BB28" i="5"/>
  <c r="AL29" i="5"/>
  <c r="AJ33" i="2"/>
  <c r="AT31" i="2" l="1"/>
  <c r="S30" i="5"/>
  <c r="T30" i="5" s="1"/>
  <c r="V30" i="2"/>
  <c r="M31" i="2" s="1"/>
  <c r="AV29" i="5"/>
  <c r="AW29" i="5" s="1"/>
  <c r="BG64" i="5"/>
  <c r="AC30" i="5"/>
  <c r="AM29" i="5"/>
  <c r="AB34" i="2"/>
  <c r="AD34" i="2" s="1"/>
  <c r="AK33" i="2"/>
  <c r="BA29" i="5" l="1"/>
  <c r="AU31" i="2"/>
  <c r="AY31" i="2" s="1"/>
  <c r="W30" i="5"/>
  <c r="X30" i="5" s="1"/>
  <c r="W30" i="2"/>
  <c r="N31" i="2"/>
  <c r="O31" i="2" s="1"/>
  <c r="AE30" i="5"/>
  <c r="AF30" i="5" s="1"/>
  <c r="BG65" i="5"/>
  <c r="AE34" i="2"/>
  <c r="N31" i="5" l="1"/>
  <c r="O31" i="5"/>
  <c r="P31" i="5" s="1"/>
  <c r="R31" i="2"/>
  <c r="S31" i="2" s="1"/>
  <c r="AL30" i="5"/>
  <c r="BG66" i="5"/>
  <c r="AT30" i="5"/>
  <c r="BB29" i="5"/>
  <c r="AJ34" i="2"/>
  <c r="AZ31" i="2" l="1"/>
  <c r="AR32" i="2"/>
  <c r="I28" i="6"/>
  <c r="I28" i="7"/>
  <c r="S31" i="5"/>
  <c r="T31" i="5" s="1"/>
  <c r="W31" i="5" s="1"/>
  <c r="V31" i="2"/>
  <c r="AM30" i="5"/>
  <c r="AC31" i="5"/>
  <c r="AE31" i="5" s="1"/>
  <c r="AF31" i="5" s="1"/>
  <c r="AV30" i="5"/>
  <c r="AW30" i="5" s="1"/>
  <c r="BG67" i="5"/>
  <c r="AB35" i="2"/>
  <c r="AD35" i="2" s="1"/>
  <c r="AK34" i="2"/>
  <c r="BA30" i="5" l="1"/>
  <c r="AT32" i="2"/>
  <c r="AU32" i="2" s="1"/>
  <c r="X31" i="5"/>
  <c r="H28" i="9"/>
  <c r="N32" i="5"/>
  <c r="O32" i="5"/>
  <c r="P32" i="5" s="1"/>
  <c r="H28" i="8"/>
  <c r="H28" i="6"/>
  <c r="L28" i="6" s="1"/>
  <c r="M32" i="2"/>
  <c r="N32" i="2"/>
  <c r="O32" i="2" s="1"/>
  <c r="H28" i="7"/>
  <c r="L28" i="7" s="1"/>
  <c r="W31" i="2"/>
  <c r="M28" i="6" s="1"/>
  <c r="BG68" i="5"/>
  <c r="AL31" i="5"/>
  <c r="AE35" i="2"/>
  <c r="AJ35" i="2" s="1"/>
  <c r="AY32" i="2" l="1"/>
  <c r="R32" i="2"/>
  <c r="S32" i="2" s="1"/>
  <c r="V32" i="2" s="1"/>
  <c r="S32" i="5"/>
  <c r="T32" i="5" s="1"/>
  <c r="M28" i="7"/>
  <c r="BG69" i="5"/>
  <c r="AT31" i="5"/>
  <c r="BB30" i="5"/>
  <c r="AC32" i="5"/>
  <c r="J28" i="8"/>
  <c r="AM31" i="5"/>
  <c r="J28" i="9"/>
  <c r="AK35" i="2"/>
  <c r="AB36" i="2"/>
  <c r="AD36" i="2" s="1"/>
  <c r="AZ32" i="2" l="1"/>
  <c r="AR33" i="2"/>
  <c r="W32" i="5"/>
  <c r="X32" i="5" s="1"/>
  <c r="AV31" i="5"/>
  <c r="AW31" i="5" s="1"/>
  <c r="AE32" i="5"/>
  <c r="AF32" i="5" s="1"/>
  <c r="BG70" i="5"/>
  <c r="W32" i="2"/>
  <c r="M33" i="2"/>
  <c r="N33" i="2"/>
  <c r="O33" i="2" s="1"/>
  <c r="BA31" i="5" l="1"/>
  <c r="AT33" i="2"/>
  <c r="O33" i="5"/>
  <c r="P33" i="5" s="1"/>
  <c r="N33" i="5"/>
  <c r="BG71" i="5"/>
  <c r="AL32" i="5"/>
  <c r="R33" i="2"/>
  <c r="S33" i="2" s="1"/>
  <c r="AE36" i="2"/>
  <c r="AJ36" i="2" s="1"/>
  <c r="AU33" i="2" l="1"/>
  <c r="AY33" i="2" s="1"/>
  <c r="S33" i="5"/>
  <c r="T33" i="5" s="1"/>
  <c r="V33" i="2"/>
  <c r="BG72" i="5"/>
  <c r="BB31" i="5"/>
  <c r="I28" i="9"/>
  <c r="AT32" i="5"/>
  <c r="I28" i="8"/>
  <c r="AM32" i="5"/>
  <c r="AC33" i="5"/>
  <c r="AK36" i="2"/>
  <c r="AB37" i="2"/>
  <c r="AD37" i="2" s="1"/>
  <c r="AR34" i="2" l="1"/>
  <c r="AZ33" i="2"/>
  <c r="W33" i="5"/>
  <c r="X33" i="5" s="1"/>
  <c r="AV32" i="5"/>
  <c r="AW32" i="5" s="1"/>
  <c r="AE33" i="5"/>
  <c r="AF33" i="5" s="1"/>
  <c r="BG73" i="5"/>
  <c r="W33" i="2"/>
  <c r="N34" i="2"/>
  <c r="O34" i="2" s="1"/>
  <c r="M34" i="2"/>
  <c r="BA32" i="5" l="1"/>
  <c r="AT34" i="2"/>
  <c r="AU34" i="2" s="1"/>
  <c r="N34" i="5"/>
  <c r="O34" i="5"/>
  <c r="P34" i="5" s="1"/>
  <c r="BG74" i="5"/>
  <c r="AL33" i="5"/>
  <c r="R34" i="2"/>
  <c r="S34" i="2" s="1"/>
  <c r="AE37" i="2"/>
  <c r="AJ37" i="2" s="1"/>
  <c r="AY34" i="2" l="1"/>
  <c r="S34" i="5"/>
  <c r="T34" i="5" s="1"/>
  <c r="W34" i="5" s="1"/>
  <c r="V34" i="2"/>
  <c r="AT33" i="5"/>
  <c r="BB32" i="5"/>
  <c r="BG75" i="5"/>
  <c r="AM33" i="5"/>
  <c r="AC34" i="5"/>
  <c r="AK37" i="2"/>
  <c r="AB38" i="2"/>
  <c r="AD38" i="2" s="1"/>
  <c r="AR35" i="2" l="1"/>
  <c r="AZ34" i="2"/>
  <c r="AV33" i="5"/>
  <c r="AW33" i="5" s="1"/>
  <c r="AE34" i="5"/>
  <c r="AF34" i="5" s="1"/>
  <c r="X34" i="5"/>
  <c r="O35" i="5"/>
  <c r="P35" i="5" s="1"/>
  <c r="N35" i="5"/>
  <c r="BG76" i="5"/>
  <c r="W34" i="2"/>
  <c r="N35" i="2"/>
  <c r="O35" i="2" s="1"/>
  <c r="M35" i="2"/>
  <c r="BA33" i="5" l="1"/>
  <c r="AT34" i="5" s="1"/>
  <c r="AT35" i="2"/>
  <c r="S35" i="5"/>
  <c r="T35" i="5" s="1"/>
  <c r="BG77" i="5"/>
  <c r="AL34" i="5"/>
  <c r="R35" i="2"/>
  <c r="S35" i="2" s="1"/>
  <c r="AE38" i="2"/>
  <c r="AJ38" i="2" s="1"/>
  <c r="AU35" i="2" l="1"/>
  <c r="AY35" i="2" s="1"/>
  <c r="BB33" i="5"/>
  <c r="V35" i="2"/>
  <c r="W35" i="5"/>
  <c r="N36" i="5" s="1"/>
  <c r="AV34" i="5"/>
  <c r="AW34" i="5" s="1"/>
  <c r="BG78" i="5"/>
  <c r="AC35" i="5"/>
  <c r="AM34" i="5"/>
  <c r="AK38" i="2"/>
  <c r="AB39" i="2"/>
  <c r="AD39" i="2" s="1"/>
  <c r="BA34" i="5" l="1"/>
  <c r="AR36" i="2"/>
  <c r="AZ35" i="2"/>
  <c r="O36" i="5"/>
  <c r="P36" i="5" s="1"/>
  <c r="X35" i="5"/>
  <c r="AE35" i="5"/>
  <c r="AF35" i="5" s="1"/>
  <c r="BG79" i="5"/>
  <c r="W35" i="2"/>
  <c r="N36" i="2"/>
  <c r="O36" i="2" s="1"/>
  <c r="M36" i="2"/>
  <c r="AT36" i="2" l="1"/>
  <c r="AU36" i="2" s="1"/>
  <c r="S36" i="5"/>
  <c r="T36" i="5" s="1"/>
  <c r="BG80" i="5"/>
  <c r="BB34" i="5"/>
  <c r="AT35" i="5"/>
  <c r="AL35" i="5"/>
  <c r="R36" i="2"/>
  <c r="S36" i="2" s="1"/>
  <c r="AE39" i="2"/>
  <c r="AJ39" i="2" s="1"/>
  <c r="AY36" i="2" l="1"/>
  <c r="AZ36" i="2" s="1"/>
  <c r="V36" i="2"/>
  <c r="W36" i="5"/>
  <c r="AV35" i="5"/>
  <c r="AW35" i="5" s="1"/>
  <c r="BG81" i="5"/>
  <c r="AM35" i="5"/>
  <c r="AC36" i="5"/>
  <c r="AK39" i="2"/>
  <c r="AB40" i="2"/>
  <c r="AD40" i="2" s="1"/>
  <c r="AR37" i="2" l="1"/>
  <c r="AT37" i="2" s="1"/>
  <c r="AU37" i="2" s="1"/>
  <c r="BA35" i="5"/>
  <c r="AT36" i="5" s="1"/>
  <c r="O37" i="5"/>
  <c r="P37" i="5" s="1"/>
  <c r="N37" i="5"/>
  <c r="X36" i="5"/>
  <c r="AE36" i="5"/>
  <c r="AF36" i="5" s="1"/>
  <c r="BG82" i="5"/>
  <c r="W36" i="2"/>
  <c r="N37" i="2"/>
  <c r="O37" i="2" s="1"/>
  <c r="M37" i="2"/>
  <c r="AY37" i="2" l="1"/>
  <c r="BB35" i="5"/>
  <c r="S37" i="5"/>
  <c r="T37" i="5" s="1"/>
  <c r="AV36" i="5"/>
  <c r="AW36" i="5" s="1"/>
  <c r="BG83" i="5"/>
  <c r="AL36" i="5"/>
  <c r="R37" i="2"/>
  <c r="S37" i="2" s="1"/>
  <c r="AE40" i="2"/>
  <c r="AJ40" i="2" s="1"/>
  <c r="BA36" i="5" l="1"/>
  <c r="AZ37" i="2"/>
  <c r="AR38" i="2"/>
  <c r="V37" i="2"/>
  <c r="W37" i="5"/>
  <c r="BG84" i="5"/>
  <c r="AC37" i="5"/>
  <c r="AM36" i="5"/>
  <c r="AB41" i="2"/>
  <c r="AD41" i="2" s="1"/>
  <c r="AK40" i="2"/>
  <c r="AT38" i="2" l="1"/>
  <c r="X37" i="5"/>
  <c r="O38" i="5"/>
  <c r="P38" i="5" s="1"/>
  <c r="N38" i="5"/>
  <c r="AE37" i="5"/>
  <c r="AF37" i="5" s="1"/>
  <c r="BG85" i="5"/>
  <c r="BB36" i="5"/>
  <c r="AT37" i="5"/>
  <c r="W37" i="2"/>
  <c r="N38" i="2"/>
  <c r="O38" i="2" s="1"/>
  <c r="M38" i="2"/>
  <c r="AE41" i="2"/>
  <c r="AU38" i="2" l="1"/>
  <c r="AY38" i="2" s="1"/>
  <c r="S38" i="5"/>
  <c r="T38" i="5" s="1"/>
  <c r="AV37" i="5"/>
  <c r="AW37" i="5" s="1"/>
  <c r="BG86" i="5"/>
  <c r="AL37" i="5"/>
  <c r="R38" i="2"/>
  <c r="S38" i="2" s="1"/>
  <c r="AJ41" i="2"/>
  <c r="BA37" i="5" l="1"/>
  <c r="AR39" i="2"/>
  <c r="AT39" i="2" s="1"/>
  <c r="AZ38" i="2"/>
  <c r="V38" i="2"/>
  <c r="W38" i="2" s="1"/>
  <c r="W38" i="5"/>
  <c r="BG87" i="5"/>
  <c r="AC38" i="5"/>
  <c r="AM37" i="5"/>
  <c r="AK41" i="2"/>
  <c r="AB42" i="2"/>
  <c r="AD42" i="2" s="1"/>
  <c r="AU39" i="2" l="1"/>
  <c r="AY39" i="2" s="1"/>
  <c r="X38" i="5"/>
  <c r="O39" i="5"/>
  <c r="P39" i="5" s="1"/>
  <c r="N39" i="5"/>
  <c r="M39" i="2"/>
  <c r="N39" i="2"/>
  <c r="O39" i="2" s="1"/>
  <c r="AE38" i="5"/>
  <c r="AF38" i="5" s="1"/>
  <c r="BG88" i="5"/>
  <c r="BB37" i="5"/>
  <c r="AT38" i="5"/>
  <c r="R39" i="2" l="1"/>
  <c r="S39" i="2" s="1"/>
  <c r="S39" i="5"/>
  <c r="T39" i="5" s="1"/>
  <c r="AV38" i="5"/>
  <c r="AW38" i="5" s="1"/>
  <c r="BG89" i="5"/>
  <c r="AL38" i="5"/>
  <c r="AE42" i="2"/>
  <c r="AJ42" i="2" s="1"/>
  <c r="BA38" i="5" l="1"/>
  <c r="AZ39" i="2"/>
  <c r="AR40" i="2"/>
  <c r="V39" i="2"/>
  <c r="M40" i="2" s="1"/>
  <c r="W39" i="5"/>
  <c r="BG90" i="5"/>
  <c r="AM38" i="5"/>
  <c r="AC39" i="5"/>
  <c r="AK42" i="2"/>
  <c r="AB43" i="2"/>
  <c r="AD43" i="2" s="1"/>
  <c r="AT40" i="2" l="1"/>
  <c r="AU40" i="2" s="1"/>
  <c r="W39" i="2"/>
  <c r="N40" i="2"/>
  <c r="O40" i="2" s="1"/>
  <c r="R40" i="2" s="1"/>
  <c r="X39" i="5"/>
  <c r="O40" i="5"/>
  <c r="P40" i="5" s="1"/>
  <c r="N40" i="5"/>
  <c r="AE39" i="5"/>
  <c r="AF39" i="5" s="1"/>
  <c r="BG91" i="5"/>
  <c r="BB38" i="5"/>
  <c r="AT39" i="5"/>
  <c r="AY40" i="2" l="1"/>
  <c r="S40" i="5"/>
  <c r="T40" i="5" s="1"/>
  <c r="AV39" i="5"/>
  <c r="AW39" i="5" s="1"/>
  <c r="BG92" i="5"/>
  <c r="AL39" i="5"/>
  <c r="AE43" i="2"/>
  <c r="AJ43" i="2" s="1"/>
  <c r="S40" i="2"/>
  <c r="V40" i="2" s="1"/>
  <c r="AZ40" i="2" l="1"/>
  <c r="AR41" i="2"/>
  <c r="AT41" i="2" s="1"/>
  <c r="AU41" i="2" s="1"/>
  <c r="BA39" i="5"/>
  <c r="W40" i="5"/>
  <c r="BG93" i="5"/>
  <c r="AM39" i="5"/>
  <c r="AC40" i="5"/>
  <c r="J29" i="7"/>
  <c r="J29" i="6"/>
  <c r="AK43" i="2"/>
  <c r="AB44" i="2"/>
  <c r="AD44" i="2" s="1"/>
  <c r="AY41" i="2" l="1"/>
  <c r="AR42" i="2" s="1"/>
  <c r="X40" i="5"/>
  <c r="N41" i="5"/>
  <c r="O41" i="5"/>
  <c r="P41" i="5" s="1"/>
  <c r="W40" i="2"/>
  <c r="AE40" i="5"/>
  <c r="AF40" i="5" s="1"/>
  <c r="BG94" i="5"/>
  <c r="BB39" i="5"/>
  <c r="AT40" i="5"/>
  <c r="M41" i="2"/>
  <c r="N41" i="2"/>
  <c r="O41" i="2" s="1"/>
  <c r="AZ41" i="2" l="1"/>
  <c r="AT42" i="2"/>
  <c r="AU42" i="2" s="1"/>
  <c r="S41" i="5"/>
  <c r="T41" i="5" s="1"/>
  <c r="AV40" i="5"/>
  <c r="AW40" i="5" s="1"/>
  <c r="BG95" i="5"/>
  <c r="AL40" i="5"/>
  <c r="R41" i="2"/>
  <c r="S41" i="2" s="1"/>
  <c r="AE44" i="2"/>
  <c r="AJ44" i="2" s="1"/>
  <c r="BA40" i="5" l="1"/>
  <c r="AT41" i="5" s="1"/>
  <c r="AY42" i="2"/>
  <c r="V41" i="2"/>
  <c r="W41" i="5"/>
  <c r="BG96" i="5"/>
  <c r="AC41" i="5"/>
  <c r="AM40" i="5"/>
  <c r="AB45" i="2"/>
  <c r="AD45" i="2" s="1"/>
  <c r="AK44" i="2"/>
  <c r="AZ42" i="2" l="1"/>
  <c r="AR43" i="2"/>
  <c r="X41" i="5"/>
  <c r="O42" i="5"/>
  <c r="P42" i="5" s="1"/>
  <c r="N42" i="5"/>
  <c r="AV41" i="5"/>
  <c r="AW41" i="5" s="1"/>
  <c r="AE41" i="5"/>
  <c r="AF41" i="5" s="1"/>
  <c r="AL41" i="5" s="1"/>
  <c r="BG97" i="5"/>
  <c r="BB40" i="5"/>
  <c r="W41" i="2"/>
  <c r="M42" i="2"/>
  <c r="N42" i="2"/>
  <c r="O42" i="2" s="1"/>
  <c r="BA41" i="5" l="1"/>
  <c r="AT43" i="2"/>
  <c r="S42" i="5"/>
  <c r="T42" i="5" s="1"/>
  <c r="BG98" i="5"/>
  <c r="AC42" i="5"/>
  <c r="AM41" i="5"/>
  <c r="R42" i="2"/>
  <c r="S42" i="2" s="1"/>
  <c r="AE45" i="2"/>
  <c r="AJ45" i="2" s="1"/>
  <c r="AU43" i="2" l="1"/>
  <c r="AY43" i="2" s="1"/>
  <c r="V42" i="2"/>
  <c r="M43" i="2" s="1"/>
  <c r="W42" i="5"/>
  <c r="AE42" i="5"/>
  <c r="AF42" i="5" s="1"/>
  <c r="BG99" i="5"/>
  <c r="AT42" i="5"/>
  <c r="BB41" i="5"/>
  <c r="AB46" i="2"/>
  <c r="AD46" i="2" s="1"/>
  <c r="AK45" i="2"/>
  <c r="I29" i="6" l="1"/>
  <c r="I29" i="7"/>
  <c r="AZ43" i="2"/>
  <c r="AR44" i="2"/>
  <c r="X42" i="5"/>
  <c r="N43" i="5"/>
  <c r="O43" i="5"/>
  <c r="P43" i="5" s="1"/>
  <c r="W42" i="2"/>
  <c r="N43" i="2"/>
  <c r="O43" i="2" s="1"/>
  <c r="R43" i="2" s="1"/>
  <c r="S43" i="2" s="1"/>
  <c r="AV42" i="5"/>
  <c r="AW42" i="5" s="1"/>
  <c r="BG100" i="5"/>
  <c r="AL42" i="5"/>
  <c r="BA42" i="5" l="1"/>
  <c r="BB42" i="5" s="1"/>
  <c r="AT44" i="2"/>
  <c r="V43" i="2"/>
  <c r="S43" i="5"/>
  <c r="T43" i="5" s="1"/>
  <c r="BG101" i="5"/>
  <c r="AM42" i="5"/>
  <c r="AC43" i="5"/>
  <c r="AE46" i="2"/>
  <c r="AJ46" i="2" s="1"/>
  <c r="AU44" i="2" l="1"/>
  <c r="AY44" i="2" s="1"/>
  <c r="AT43" i="5"/>
  <c r="AV43" i="5" s="1"/>
  <c r="AW43" i="5" s="1"/>
  <c r="W43" i="5"/>
  <c r="X43" i="5" s="1"/>
  <c r="H29" i="7"/>
  <c r="L29" i="7" s="1"/>
  <c r="N44" i="2"/>
  <c r="O44" i="2" s="1"/>
  <c r="W43" i="2"/>
  <c r="M29" i="6" s="1"/>
  <c r="M44" i="2"/>
  <c r="H29" i="6"/>
  <c r="L29" i="6" s="1"/>
  <c r="AE43" i="5"/>
  <c r="AF43" i="5" s="1"/>
  <c r="BG102" i="5"/>
  <c r="AB47" i="2"/>
  <c r="AD47" i="2" s="1"/>
  <c r="AK46" i="2"/>
  <c r="BA43" i="5" l="1"/>
  <c r="AR45" i="2"/>
  <c r="AT45" i="2" s="1"/>
  <c r="AZ44" i="2"/>
  <c r="H29" i="8"/>
  <c r="O44" i="5"/>
  <c r="P44" i="5" s="1"/>
  <c r="N44" i="5"/>
  <c r="H29" i="9"/>
  <c r="R44" i="2"/>
  <c r="S44" i="2" s="1"/>
  <c r="M29" i="7"/>
  <c r="BG103" i="5"/>
  <c r="AL43" i="5"/>
  <c r="AU45" i="2" l="1"/>
  <c r="AY45" i="2" s="1"/>
  <c r="S44" i="5"/>
  <c r="T44" i="5" s="1"/>
  <c r="V44" i="2"/>
  <c r="M45" i="2" s="1"/>
  <c r="I29" i="8"/>
  <c r="I29" i="9"/>
  <c r="BB43" i="5"/>
  <c r="AT44" i="5"/>
  <c r="BG104" i="5"/>
  <c r="J29" i="9"/>
  <c r="AM43" i="5"/>
  <c r="J29" i="8"/>
  <c r="AC44" i="5"/>
  <c r="AE47" i="2"/>
  <c r="AJ47" i="2" s="1"/>
  <c r="AZ45" i="2" l="1"/>
  <c r="AR46" i="2"/>
  <c r="AT46" i="2" s="1"/>
  <c r="AV44" i="5"/>
  <c r="AW44" i="5" s="1"/>
  <c r="N45" i="2"/>
  <c r="O45" i="2" s="1"/>
  <c r="W44" i="2"/>
  <c r="W44" i="5"/>
  <c r="AE44" i="5"/>
  <c r="AF44" i="5" s="1"/>
  <c r="BG105" i="5"/>
  <c r="AK47" i="2"/>
  <c r="AB48" i="2"/>
  <c r="AD48" i="2" s="1"/>
  <c r="BA44" i="5" l="1"/>
  <c r="BB44" i="5" s="1"/>
  <c r="AU46" i="2"/>
  <c r="AY46" i="2" s="1"/>
  <c r="R45" i="2"/>
  <c r="S45" i="2" s="1"/>
  <c r="X44" i="5"/>
  <c r="N45" i="5"/>
  <c r="O45" i="5"/>
  <c r="P45" i="5" s="1"/>
  <c r="BG106" i="5"/>
  <c r="AL44" i="5"/>
  <c r="AT45" i="5" l="1"/>
  <c r="AV45" i="5" s="1"/>
  <c r="AW45" i="5" s="1"/>
  <c r="AZ46" i="2"/>
  <c r="AR47" i="2"/>
  <c r="AT47" i="2" s="1"/>
  <c r="AU47" i="2" s="1"/>
  <c r="S45" i="5"/>
  <c r="T45" i="5" s="1"/>
  <c r="V45" i="2"/>
  <c r="BG107" i="5"/>
  <c r="AC45" i="5"/>
  <c r="AM44" i="5"/>
  <c r="AE48" i="2"/>
  <c r="AJ48" i="2" s="1"/>
  <c r="BA45" i="5" l="1"/>
  <c r="AY47" i="2"/>
  <c r="N46" i="2"/>
  <c r="O46" i="2" s="1"/>
  <c r="W45" i="2"/>
  <c r="M46" i="2"/>
  <c r="W45" i="5"/>
  <c r="AE45" i="5"/>
  <c r="AF45" i="5" s="1"/>
  <c r="BG108" i="5"/>
  <c r="AK48" i="2"/>
  <c r="AB49" i="2"/>
  <c r="AD49" i="2" s="1"/>
  <c r="AT46" i="5" l="1"/>
  <c r="AV46" i="5" s="1"/>
  <c r="AW46" i="5" s="1"/>
  <c r="BB45" i="5"/>
  <c r="AR48" i="2"/>
  <c r="AZ47" i="2"/>
  <c r="R46" i="2"/>
  <c r="S46" i="2" s="1"/>
  <c r="V46" i="2" s="1"/>
  <c r="X45" i="5"/>
  <c r="N46" i="5"/>
  <c r="O46" i="5"/>
  <c r="P46" i="5" s="1"/>
  <c r="BG109" i="5"/>
  <c r="AL45" i="5"/>
  <c r="AC46" i="5" s="1"/>
  <c r="BA46" i="5" l="1"/>
  <c r="BB46" i="5" s="1"/>
  <c r="AT48" i="2"/>
  <c r="S46" i="5"/>
  <c r="T46" i="5" s="1"/>
  <c r="W46" i="5" s="1"/>
  <c r="X46" i="5" s="1"/>
  <c r="AE46" i="5"/>
  <c r="AF46" i="5" s="1"/>
  <c r="BG110" i="5"/>
  <c r="AM45" i="5"/>
  <c r="W46" i="2"/>
  <c r="N47" i="2"/>
  <c r="O47" i="2" s="1"/>
  <c r="M47" i="2"/>
  <c r="AE49" i="2"/>
  <c r="AJ49" i="2" s="1"/>
  <c r="AU48" i="2" l="1"/>
  <c r="AY48" i="2" s="1"/>
  <c r="N47" i="5"/>
  <c r="O47" i="5"/>
  <c r="P47" i="5" s="1"/>
  <c r="AT47" i="5"/>
  <c r="BG111" i="5"/>
  <c r="AL46" i="5"/>
  <c r="R47" i="2"/>
  <c r="S47" i="2" s="1"/>
  <c r="AK49" i="2"/>
  <c r="AB50" i="2"/>
  <c r="AD50" i="2" s="1"/>
  <c r="AZ48" i="2" l="1"/>
  <c r="AR49" i="2"/>
  <c r="S47" i="5"/>
  <c r="T47" i="5" s="1"/>
  <c r="V47" i="2"/>
  <c r="AV47" i="5"/>
  <c r="AW47" i="5" s="1"/>
  <c r="BG112" i="5"/>
  <c r="AC47" i="5"/>
  <c r="AM46" i="5"/>
  <c r="BA47" i="5" l="1"/>
  <c r="AT48" i="5" s="1"/>
  <c r="AT49" i="2"/>
  <c r="AU49" i="2" s="1"/>
  <c r="W47" i="5"/>
  <c r="X47" i="5" s="1"/>
  <c r="AE47" i="5"/>
  <c r="AF47" i="5" s="1"/>
  <c r="AL47" i="5" s="1"/>
  <c r="AM47" i="5" s="1"/>
  <c r="BG113" i="5"/>
  <c r="W47" i="2"/>
  <c r="N48" i="2"/>
  <c r="O48" i="2" s="1"/>
  <c r="M48" i="2"/>
  <c r="AE50" i="2"/>
  <c r="AJ50" i="2" s="1"/>
  <c r="AY49" i="2" l="1"/>
  <c r="AR50" i="2" s="1"/>
  <c r="N48" i="5"/>
  <c r="O48" i="5"/>
  <c r="P48" i="5" s="1"/>
  <c r="BB47" i="5"/>
  <c r="AV48" i="5"/>
  <c r="AW48" i="5" s="1"/>
  <c r="BG114" i="5"/>
  <c r="AC48" i="5"/>
  <c r="R48" i="2"/>
  <c r="S48" i="2" s="1"/>
  <c r="AK50" i="2"/>
  <c r="AB51" i="2"/>
  <c r="AD51" i="2" s="1"/>
  <c r="AZ49" i="2" l="1"/>
  <c r="BA48" i="5"/>
  <c r="AT50" i="2"/>
  <c r="AU50" i="2" s="1"/>
  <c r="S48" i="5"/>
  <c r="T48" i="5" s="1"/>
  <c r="W48" i="5" s="1"/>
  <c r="V48" i="2"/>
  <c r="AE48" i="5"/>
  <c r="AF48" i="5" s="1"/>
  <c r="AL48" i="5" s="1"/>
  <c r="BG115" i="5"/>
  <c r="AY50" i="2" l="1"/>
  <c r="AZ50" i="2" s="1"/>
  <c r="X48" i="5"/>
  <c r="O49" i="5"/>
  <c r="P49" i="5" s="1"/>
  <c r="N49" i="5"/>
  <c r="BG116" i="5"/>
  <c r="BB48" i="5"/>
  <c r="AT49" i="5"/>
  <c r="AM48" i="5"/>
  <c r="AC49" i="5"/>
  <c r="W48" i="2"/>
  <c r="N49" i="2"/>
  <c r="O49" i="2" s="1"/>
  <c r="M49" i="2"/>
  <c r="AE51" i="2"/>
  <c r="AJ51" i="2" s="1"/>
  <c r="AR51" i="2" l="1"/>
  <c r="AT51" i="2" s="1"/>
  <c r="AV49" i="5"/>
  <c r="AW49" i="5" s="1"/>
  <c r="AE49" i="5"/>
  <c r="AF49" i="5" s="1"/>
  <c r="AL49" i="5" s="1"/>
  <c r="S49" i="5"/>
  <c r="T49" i="5" s="1"/>
  <c r="BG117" i="5"/>
  <c r="R49" i="2"/>
  <c r="S49" i="2" s="1"/>
  <c r="AK51" i="2"/>
  <c r="AB52" i="2"/>
  <c r="AD52" i="2" s="1"/>
  <c r="BA49" i="5" l="1"/>
  <c r="AU51" i="2"/>
  <c r="AY51" i="2" s="1"/>
  <c r="V49" i="2"/>
  <c r="W49" i="5"/>
  <c r="X49" i="5" s="1"/>
  <c r="BG118" i="5"/>
  <c r="AC50" i="5"/>
  <c r="AM49" i="5"/>
  <c r="AZ51" i="2" l="1"/>
  <c r="AR52" i="2"/>
  <c r="AE50" i="5"/>
  <c r="AF50" i="5" s="1"/>
  <c r="N50" i="5"/>
  <c r="O50" i="5"/>
  <c r="P50" i="5" s="1"/>
  <c r="BG119" i="5"/>
  <c r="AT50" i="5"/>
  <c r="BB49" i="5"/>
  <c r="W49" i="2"/>
  <c r="N50" i="2"/>
  <c r="O50" i="2" s="1"/>
  <c r="M50" i="2"/>
  <c r="AE52" i="2"/>
  <c r="AJ52" i="2" s="1"/>
  <c r="AT52" i="2" l="1"/>
  <c r="S50" i="5"/>
  <c r="T50" i="5" s="1"/>
  <c r="AL50" i="5"/>
  <c r="AC51" i="5" s="1"/>
  <c r="AV50" i="5"/>
  <c r="AW50" i="5" s="1"/>
  <c r="BG120" i="5"/>
  <c r="R50" i="2"/>
  <c r="S50" i="2" s="1"/>
  <c r="AK52" i="2"/>
  <c r="AB53" i="2"/>
  <c r="AD53" i="2" s="1"/>
  <c r="BA50" i="5" l="1"/>
  <c r="AU52" i="2"/>
  <c r="AY52" i="2" s="1"/>
  <c r="V50" i="2"/>
  <c r="W50" i="5"/>
  <c r="X50" i="5" s="1"/>
  <c r="AM50" i="5"/>
  <c r="AE51" i="5"/>
  <c r="AF51" i="5" s="1"/>
  <c r="BG121" i="5"/>
  <c r="AZ52" i="2" l="1"/>
  <c r="AR53" i="2"/>
  <c r="N51" i="5"/>
  <c r="O51" i="5"/>
  <c r="P51" i="5" s="1"/>
  <c r="BG122" i="5"/>
  <c r="BB50" i="5"/>
  <c r="AT51" i="5"/>
  <c r="AL51" i="5"/>
  <c r="W50" i="2"/>
  <c r="M51" i="2"/>
  <c r="N51" i="2"/>
  <c r="O51" i="2" s="1"/>
  <c r="AE53" i="2"/>
  <c r="AJ53" i="2" s="1"/>
  <c r="AT53" i="2" l="1"/>
  <c r="AU53" i="2" s="1"/>
  <c r="S51" i="5"/>
  <c r="T51" i="5" s="1"/>
  <c r="AV51" i="5"/>
  <c r="AW51" i="5" s="1"/>
  <c r="BG123" i="5"/>
  <c r="AM51" i="5"/>
  <c r="AC52" i="5"/>
  <c r="R51" i="2"/>
  <c r="S51" i="2" s="1"/>
  <c r="AK53" i="2"/>
  <c r="AB54" i="2"/>
  <c r="AD54" i="2" s="1"/>
  <c r="AY53" i="2" l="1"/>
  <c r="BA51" i="5"/>
  <c r="BB51" i="5" s="1"/>
  <c r="W51" i="5"/>
  <c r="X51" i="5" s="1"/>
  <c r="V51" i="2"/>
  <c r="AE52" i="5"/>
  <c r="AF52" i="5" s="1"/>
  <c r="BG124" i="5"/>
  <c r="AR54" i="2" l="1"/>
  <c r="AT54" i="2" s="1"/>
  <c r="AU54" i="2" s="1"/>
  <c r="AZ53" i="2"/>
  <c r="O52" i="5"/>
  <c r="P52" i="5" s="1"/>
  <c r="N52" i="5"/>
  <c r="BG125" i="5"/>
  <c r="AT52" i="5"/>
  <c r="AL52" i="5"/>
  <c r="W51" i="2"/>
  <c r="M52" i="2"/>
  <c r="N52" i="2"/>
  <c r="O52" i="2" s="1"/>
  <c r="AE54" i="2"/>
  <c r="AJ54" i="2" s="1"/>
  <c r="AY54" i="2" l="1"/>
  <c r="AR55" i="2" s="1"/>
  <c r="S52" i="5"/>
  <c r="T52" i="5" s="1"/>
  <c r="AV52" i="5"/>
  <c r="AW52" i="5" s="1"/>
  <c r="BG126" i="5"/>
  <c r="AM52" i="5"/>
  <c r="AC53" i="5"/>
  <c r="R52" i="2"/>
  <c r="S52" i="2" s="1"/>
  <c r="AK54" i="2"/>
  <c r="AB55" i="2"/>
  <c r="AD55" i="2" s="1"/>
  <c r="AZ54" i="2" l="1"/>
  <c r="BA52" i="5"/>
  <c r="BB52" i="5" s="1"/>
  <c r="AT55" i="2"/>
  <c r="AU55" i="2" s="1"/>
  <c r="W52" i="5"/>
  <c r="X52" i="5" s="1"/>
  <c r="V52" i="2"/>
  <c r="AE53" i="5"/>
  <c r="AF53" i="5" s="1"/>
  <c r="BG127" i="5"/>
  <c r="AT53" i="5" l="1"/>
  <c r="AV53" i="5" s="1"/>
  <c r="AW53" i="5" s="1"/>
  <c r="AY55" i="2"/>
  <c r="O53" i="5"/>
  <c r="P53" i="5" s="1"/>
  <c r="N53" i="5"/>
  <c r="AL53" i="5"/>
  <c r="BG128" i="5"/>
  <c r="W52" i="2"/>
  <c r="N53" i="2"/>
  <c r="O53" i="2" s="1"/>
  <c r="M53" i="2"/>
  <c r="AE55" i="2"/>
  <c r="AJ55" i="2" s="1"/>
  <c r="BA53" i="5" l="1"/>
  <c r="BB53" i="5" s="1"/>
  <c r="AZ55" i="2"/>
  <c r="I30" i="7"/>
  <c r="AR56" i="2"/>
  <c r="I30" i="6"/>
  <c r="S53" i="5"/>
  <c r="T53" i="5" s="1"/>
  <c r="W53" i="5" s="1"/>
  <c r="X53" i="5" s="1"/>
  <c r="AM53" i="5"/>
  <c r="AC54" i="5"/>
  <c r="AE54" i="5" s="1"/>
  <c r="AF54" i="5" s="1"/>
  <c r="BG129" i="5"/>
  <c r="J30" i="7"/>
  <c r="J30" i="6"/>
  <c r="R53" i="2"/>
  <c r="S53" i="2" s="1"/>
  <c r="AK55" i="2"/>
  <c r="AB56" i="2"/>
  <c r="AD56" i="2" s="1"/>
  <c r="AT56" i="2" l="1"/>
  <c r="AU56" i="2" s="1"/>
  <c r="AY56" i="2" s="1"/>
  <c r="V53" i="2"/>
  <c r="W53" i="2" s="1"/>
  <c r="AT54" i="5"/>
  <c r="BG130" i="5"/>
  <c r="AL54" i="5"/>
  <c r="N54" i="5"/>
  <c r="O54" i="5"/>
  <c r="P54" i="5" s="1"/>
  <c r="AR57" i="2" l="1"/>
  <c r="AZ56" i="2"/>
  <c r="AV54" i="5"/>
  <c r="AW54" i="5" s="1"/>
  <c r="N54" i="2"/>
  <c r="O54" i="2" s="1"/>
  <c r="M54" i="2"/>
  <c r="S54" i="5"/>
  <c r="BG131" i="5"/>
  <c r="AC55" i="5"/>
  <c r="AM54" i="5"/>
  <c r="AE56" i="2"/>
  <c r="AJ56" i="2" s="1"/>
  <c r="BA54" i="5" l="1"/>
  <c r="AT55" i="5" s="1"/>
  <c r="AT57" i="2"/>
  <c r="R54" i="2"/>
  <c r="S54" i="2" s="1"/>
  <c r="AE55" i="5"/>
  <c r="AF55" i="5" s="1"/>
  <c r="AL55" i="5" s="1"/>
  <c r="T54" i="5"/>
  <c r="W54" i="5" s="1"/>
  <c r="BG132" i="5"/>
  <c r="AB57" i="2"/>
  <c r="AD57" i="2" s="1"/>
  <c r="AK56" i="2"/>
  <c r="BB54" i="5" l="1"/>
  <c r="AU57" i="2"/>
  <c r="AY57" i="2" s="1"/>
  <c r="V54" i="2"/>
  <c r="W54" i="2" s="1"/>
  <c r="AV55" i="5"/>
  <c r="AW55" i="5" s="1"/>
  <c r="X54" i="5"/>
  <c r="N55" i="5"/>
  <c r="O55" i="5"/>
  <c r="P55" i="5" s="1"/>
  <c r="BG133" i="5"/>
  <c r="AC56" i="5"/>
  <c r="AM55" i="5"/>
  <c r="J30" i="9"/>
  <c r="J30" i="8"/>
  <c r="BA55" i="5" l="1"/>
  <c r="M55" i="2"/>
  <c r="N55" i="2"/>
  <c r="O55" i="2" s="1"/>
  <c r="S55" i="5"/>
  <c r="T55" i="5" s="1"/>
  <c r="AE56" i="5"/>
  <c r="AF56" i="5" s="1"/>
  <c r="AL56" i="5" s="1"/>
  <c r="BG134" i="5"/>
  <c r="AE57" i="2"/>
  <c r="AJ57" i="2" s="1"/>
  <c r="AR58" i="2" l="1"/>
  <c r="AZ57" i="2"/>
  <c r="R55" i="2"/>
  <c r="S55" i="2" s="1"/>
  <c r="V55" i="2" s="1"/>
  <c r="W55" i="5"/>
  <c r="X55" i="5" s="1"/>
  <c r="BG135" i="5"/>
  <c r="AC57" i="5"/>
  <c r="AM56" i="5"/>
  <c r="I30" i="8"/>
  <c r="BB55" i="5"/>
  <c r="AT56" i="5"/>
  <c r="I30" i="9"/>
  <c r="AK57" i="2"/>
  <c r="AB58" i="2"/>
  <c r="AD58" i="2" s="1"/>
  <c r="AT58" i="2" l="1"/>
  <c r="O56" i="5"/>
  <c r="P56" i="5" s="1"/>
  <c r="N56" i="5"/>
  <c r="H30" i="8"/>
  <c r="H30" i="9"/>
  <c r="AV56" i="5"/>
  <c r="AW56" i="5" s="1"/>
  <c r="AE57" i="5"/>
  <c r="AF57" i="5" s="1"/>
  <c r="AL57" i="5" s="1"/>
  <c r="AC58" i="5" s="1"/>
  <c r="BG136" i="5"/>
  <c r="H30" i="7"/>
  <c r="L30" i="7" s="1"/>
  <c r="H30" i="6"/>
  <c r="L30" i="6" s="1"/>
  <c r="W55" i="2"/>
  <c r="M56" i="2"/>
  <c r="N56" i="2"/>
  <c r="O56" i="2" s="1"/>
  <c r="BA56" i="5" l="1"/>
  <c r="AT57" i="5" s="1"/>
  <c r="AU58" i="2"/>
  <c r="AY58" i="2" s="1"/>
  <c r="S56" i="5"/>
  <c r="T56" i="5" s="1"/>
  <c r="W56" i="5" s="1"/>
  <c r="X56" i="5" s="1"/>
  <c r="AE58" i="5"/>
  <c r="AF58" i="5" s="1"/>
  <c r="BG137" i="5"/>
  <c r="AM57" i="5"/>
  <c r="M30" i="6"/>
  <c r="M30" i="7"/>
  <c r="R56" i="2"/>
  <c r="S56" i="2" s="1"/>
  <c r="AE58" i="2"/>
  <c r="AJ58" i="2" s="1"/>
  <c r="V56" i="2" l="1"/>
  <c r="BB56" i="5"/>
  <c r="AV57" i="5"/>
  <c r="AW57" i="5" s="1"/>
  <c r="BG138" i="5"/>
  <c r="AL58" i="5"/>
  <c r="N57" i="5"/>
  <c r="O57" i="5"/>
  <c r="P57" i="5" s="1"/>
  <c r="AK58" i="2"/>
  <c r="AB59" i="2"/>
  <c r="AD59" i="2" s="1"/>
  <c r="BA57" i="5" l="1"/>
  <c r="BB57" i="5" s="1"/>
  <c r="AR59" i="2"/>
  <c r="AZ58" i="2"/>
  <c r="S57" i="5"/>
  <c r="T57" i="5" s="1"/>
  <c r="BG139" i="5"/>
  <c r="AC59" i="5"/>
  <c r="AM58" i="5"/>
  <c r="W56" i="2"/>
  <c r="M57" i="2"/>
  <c r="N57" i="2"/>
  <c r="O57" i="2" s="1"/>
  <c r="AT58" i="5" l="1"/>
  <c r="AV58" i="5" s="1"/>
  <c r="AW58" i="5" s="1"/>
  <c r="AT59" i="2"/>
  <c r="W57" i="5"/>
  <c r="X57" i="5" s="1"/>
  <c r="AE59" i="5"/>
  <c r="AF59" i="5" s="1"/>
  <c r="AL59" i="5" s="1"/>
  <c r="BG140" i="5"/>
  <c r="R57" i="2"/>
  <c r="S57" i="2" s="1"/>
  <c r="AE59" i="2"/>
  <c r="AJ59" i="2" s="1"/>
  <c r="BA58" i="5" l="1"/>
  <c r="BB58" i="5" s="1"/>
  <c r="AU59" i="2"/>
  <c r="AY59" i="2" s="1"/>
  <c r="V57" i="2"/>
  <c r="BG141" i="5"/>
  <c r="AC60" i="5"/>
  <c r="AM59" i="5"/>
  <c r="N58" i="5"/>
  <c r="O58" i="5"/>
  <c r="P58" i="5" s="1"/>
  <c r="AK59" i="2"/>
  <c r="AB60" i="2"/>
  <c r="AD60" i="2" s="1"/>
  <c r="AT59" i="5" l="1"/>
  <c r="AE60" i="5"/>
  <c r="AF60" i="5" s="1"/>
  <c r="AL60" i="5" s="1"/>
  <c r="S58" i="5"/>
  <c r="T58" i="5" s="1"/>
  <c r="BG142" i="5"/>
  <c r="W57" i="2"/>
  <c r="N58" i="2"/>
  <c r="O58" i="2" s="1"/>
  <c r="M58" i="2"/>
  <c r="AR60" i="2" l="1"/>
  <c r="AZ59" i="2"/>
  <c r="AV59" i="5"/>
  <c r="AW59" i="5" s="1"/>
  <c r="W58" i="5"/>
  <c r="X58" i="5" s="1"/>
  <c r="BG143" i="5"/>
  <c r="AC61" i="5"/>
  <c r="AM60" i="5"/>
  <c r="R58" i="2"/>
  <c r="S58" i="2" s="1"/>
  <c r="AE60" i="2"/>
  <c r="AJ60" i="2" s="1"/>
  <c r="BA59" i="5" l="1"/>
  <c r="BB59" i="5" s="1"/>
  <c r="AT60" i="2"/>
  <c r="V58" i="2"/>
  <c r="AE61" i="5"/>
  <c r="AF61" i="5" s="1"/>
  <c r="N59" i="5"/>
  <c r="O59" i="5"/>
  <c r="P59" i="5" s="1"/>
  <c r="BG144" i="5"/>
  <c r="AK60" i="2"/>
  <c r="AB61" i="2"/>
  <c r="AD61" i="2" s="1"/>
  <c r="AT60" i="5" l="1"/>
  <c r="AV60" i="5" s="1"/>
  <c r="AU60" i="2"/>
  <c r="AY60" i="2" s="1"/>
  <c r="AL61" i="5"/>
  <c r="AC62" i="5" s="1"/>
  <c r="S59" i="5"/>
  <c r="T59" i="5" s="1"/>
  <c r="BG145" i="5"/>
  <c r="W58" i="2"/>
  <c r="M59" i="2"/>
  <c r="N59" i="2"/>
  <c r="O59" i="2" s="1"/>
  <c r="AR61" i="2" l="1"/>
  <c r="AZ60" i="2"/>
  <c r="W59" i="5"/>
  <c r="X59" i="5" s="1"/>
  <c r="AM61" i="5"/>
  <c r="AW60" i="5"/>
  <c r="BA60" i="5" s="1"/>
  <c r="AE62" i="5"/>
  <c r="AF62" i="5" s="1"/>
  <c r="AL62" i="5" s="1"/>
  <c r="BG146" i="5"/>
  <c r="R59" i="2"/>
  <c r="S59" i="2" s="1"/>
  <c r="AE61" i="2"/>
  <c r="AJ61" i="2" s="1"/>
  <c r="AT61" i="2" l="1"/>
  <c r="V59" i="2"/>
  <c r="W59" i="2" s="1"/>
  <c r="O60" i="5"/>
  <c r="P60" i="5" s="1"/>
  <c r="N60" i="5"/>
  <c r="AT61" i="5"/>
  <c r="BB60" i="5"/>
  <c r="BG147" i="5"/>
  <c r="AC63" i="5"/>
  <c r="AM62" i="5"/>
  <c r="AB62" i="2"/>
  <c r="AD62" i="2" s="1"/>
  <c r="AK61" i="2"/>
  <c r="AU61" i="2" l="1"/>
  <c r="AY61" i="2" s="1"/>
  <c r="S60" i="5"/>
  <c r="T60" i="5" s="1"/>
  <c r="W60" i="5" s="1"/>
  <c r="X60" i="5" s="1"/>
  <c r="N60" i="2"/>
  <c r="O60" i="2" s="1"/>
  <c r="M60" i="2"/>
  <c r="AV61" i="5"/>
  <c r="AW61" i="5" s="1"/>
  <c r="AE63" i="5"/>
  <c r="AF63" i="5" s="1"/>
  <c r="AL63" i="5" s="1"/>
  <c r="BG148" i="5"/>
  <c r="BA61" i="5" l="1"/>
  <c r="AZ61" i="2"/>
  <c r="AR62" i="2"/>
  <c r="AT62" i="2" s="1"/>
  <c r="R60" i="2"/>
  <c r="S60" i="2" s="1"/>
  <c r="O61" i="5"/>
  <c r="P61" i="5" s="1"/>
  <c r="N61" i="5"/>
  <c r="BG149" i="5"/>
  <c r="AM63" i="5"/>
  <c r="AC64" i="5"/>
  <c r="AE62" i="2"/>
  <c r="AJ62" i="2" s="1"/>
  <c r="AU62" i="2" l="1"/>
  <c r="AY62" i="2" s="1"/>
  <c r="V60" i="2"/>
  <c r="M61" i="2" s="1"/>
  <c r="BB61" i="5"/>
  <c r="AT62" i="5"/>
  <c r="AE64" i="5"/>
  <c r="AF64" i="5" s="1"/>
  <c r="S61" i="5"/>
  <c r="T61" i="5" s="1"/>
  <c r="BG150" i="5"/>
  <c r="AK62" i="2"/>
  <c r="AB63" i="2"/>
  <c r="AD63" i="2" s="1"/>
  <c r="AR63" i="2" l="1"/>
  <c r="AT63" i="2" s="1"/>
  <c r="AZ62" i="2"/>
  <c r="N61" i="2"/>
  <c r="O61" i="2" s="1"/>
  <c r="W60" i="2"/>
  <c r="W61" i="5"/>
  <c r="X61" i="5" s="1"/>
  <c r="AV62" i="5"/>
  <c r="AW62" i="5" s="1"/>
  <c r="BG151" i="5"/>
  <c r="AL64" i="5"/>
  <c r="AU63" i="2" l="1"/>
  <c r="AY63" i="2" s="1"/>
  <c r="BA62" i="5"/>
  <c r="R61" i="2"/>
  <c r="S61" i="2" s="1"/>
  <c r="O62" i="5"/>
  <c r="P62" i="5" s="1"/>
  <c r="N62" i="5"/>
  <c r="BG152" i="5"/>
  <c r="AM64" i="5"/>
  <c r="AC65" i="5"/>
  <c r="AE63" i="2"/>
  <c r="AJ63" i="2" s="1"/>
  <c r="AR64" i="2" l="1"/>
  <c r="AZ63" i="2"/>
  <c r="BB62" i="5"/>
  <c r="AT63" i="5"/>
  <c r="V61" i="2"/>
  <c r="S62" i="5"/>
  <c r="T62" i="5" s="1"/>
  <c r="AE65" i="5"/>
  <c r="AF65" i="5" s="1"/>
  <c r="AL65" i="5" s="1"/>
  <c r="BG153" i="5"/>
  <c r="AK63" i="2"/>
  <c r="AB64" i="2"/>
  <c r="AD64" i="2" s="1"/>
  <c r="AT64" i="2" l="1"/>
  <c r="AU64" i="2" s="1"/>
  <c r="AV63" i="5"/>
  <c r="AW63" i="5" s="1"/>
  <c r="W61" i="2"/>
  <c r="M62" i="2"/>
  <c r="N62" i="2"/>
  <c r="O62" i="2" s="1"/>
  <c r="W62" i="5"/>
  <c r="X62" i="5" s="1"/>
  <c r="BG154" i="5"/>
  <c r="AM65" i="5"/>
  <c r="AC66" i="5"/>
  <c r="AY64" i="2" l="1"/>
  <c r="AR65" i="2" s="1"/>
  <c r="BA63" i="5"/>
  <c r="BB63" i="5" s="1"/>
  <c r="R62" i="2"/>
  <c r="S62" i="2" s="1"/>
  <c r="N63" i="5"/>
  <c r="O63" i="5"/>
  <c r="P63" i="5" s="1"/>
  <c r="AE66" i="5"/>
  <c r="AF66" i="5" s="1"/>
  <c r="AL66" i="5" s="1"/>
  <c r="BG155" i="5"/>
  <c r="AE64" i="2"/>
  <c r="AJ64" i="2" s="1"/>
  <c r="AZ64" i="2" l="1"/>
  <c r="AT64" i="5"/>
  <c r="AV64" i="5" s="1"/>
  <c r="AW64" i="5" s="1"/>
  <c r="AT65" i="2"/>
  <c r="V62" i="2"/>
  <c r="N63" i="2" s="1"/>
  <c r="O63" i="2" s="1"/>
  <c r="S63" i="5"/>
  <c r="T63" i="5" s="1"/>
  <c r="BG156" i="5"/>
  <c r="AM66" i="5"/>
  <c r="AC67" i="5"/>
  <c r="AB65" i="2"/>
  <c r="AD65" i="2" s="1"/>
  <c r="AK64" i="2"/>
  <c r="BA64" i="5" l="1"/>
  <c r="AT65" i="5" s="1"/>
  <c r="AU65" i="2"/>
  <c r="AY65" i="2" s="1"/>
  <c r="M63" i="2"/>
  <c r="R63" i="2" s="1"/>
  <c r="S63" i="2" s="1"/>
  <c r="W62" i="2"/>
  <c r="W63" i="5"/>
  <c r="X63" i="5" s="1"/>
  <c r="AE67" i="5"/>
  <c r="AF67" i="5" s="1"/>
  <c r="BG157" i="5"/>
  <c r="BB64" i="5" l="1"/>
  <c r="O64" i="5"/>
  <c r="P64" i="5" s="1"/>
  <c r="N64" i="5"/>
  <c r="V63" i="2"/>
  <c r="AV65" i="5"/>
  <c r="AW65" i="5" s="1"/>
  <c r="BG158" i="5"/>
  <c r="AL67" i="5"/>
  <c r="AE65" i="2"/>
  <c r="AJ65" i="2" s="1"/>
  <c r="BA65" i="5" l="1"/>
  <c r="AT66" i="5" s="1"/>
  <c r="AZ65" i="2"/>
  <c r="AR66" i="2"/>
  <c r="S64" i="5"/>
  <c r="T64" i="5" s="1"/>
  <c r="BG159" i="5"/>
  <c r="AC68" i="5"/>
  <c r="J31" i="9"/>
  <c r="AM67" i="5"/>
  <c r="J31" i="8"/>
  <c r="W63" i="2"/>
  <c r="M64" i="2"/>
  <c r="N64" i="2"/>
  <c r="O64" i="2" s="1"/>
  <c r="AK65" i="2"/>
  <c r="AB66" i="2"/>
  <c r="AD66" i="2" s="1"/>
  <c r="BB65" i="5" l="1"/>
  <c r="AT66" i="2"/>
  <c r="AU66" i="2" s="1"/>
  <c r="W64" i="5"/>
  <c r="X64" i="5" s="1"/>
  <c r="AV66" i="5"/>
  <c r="AW66" i="5" s="1"/>
  <c r="AE68" i="5"/>
  <c r="AF68" i="5" s="1"/>
  <c r="AL68" i="5" s="1"/>
  <c r="BG160" i="5"/>
  <c r="R64" i="2"/>
  <c r="S64" i="2" s="1"/>
  <c r="BA66" i="5" l="1"/>
  <c r="AT67" i="5" s="1"/>
  <c r="AY66" i="2"/>
  <c r="O65" i="5"/>
  <c r="P65" i="5" s="1"/>
  <c r="N65" i="5"/>
  <c r="V64" i="2"/>
  <c r="BG161" i="5"/>
  <c r="AM68" i="5"/>
  <c r="AC69" i="5"/>
  <c r="AE66" i="2"/>
  <c r="AJ66" i="2" s="1"/>
  <c r="BB66" i="5" l="1"/>
  <c r="AR67" i="2"/>
  <c r="AZ66" i="2"/>
  <c r="S65" i="5"/>
  <c r="T65" i="5" s="1"/>
  <c r="AV67" i="5"/>
  <c r="AW67" i="5" s="1"/>
  <c r="AE69" i="5"/>
  <c r="AF69" i="5" s="1"/>
  <c r="AL69" i="5" s="1"/>
  <c r="BG162" i="5"/>
  <c r="W64" i="2"/>
  <c r="M65" i="2"/>
  <c r="N65" i="2"/>
  <c r="O65" i="2" s="1"/>
  <c r="AK66" i="2"/>
  <c r="AB67" i="2"/>
  <c r="AD67" i="2" s="1"/>
  <c r="BA67" i="5" l="1"/>
  <c r="AT67" i="2"/>
  <c r="W65" i="5"/>
  <c r="X65" i="5" s="1"/>
  <c r="BG163" i="5"/>
  <c r="AM69" i="5"/>
  <c r="AC70" i="5"/>
  <c r="R65" i="2"/>
  <c r="S65" i="2" s="1"/>
  <c r="AU67" i="2" l="1"/>
  <c r="AY67" i="2" s="1"/>
  <c r="O66" i="5"/>
  <c r="P66" i="5" s="1"/>
  <c r="N66" i="5"/>
  <c r="V65" i="2"/>
  <c r="AT68" i="5"/>
  <c r="BB67" i="5"/>
  <c r="I31" i="8"/>
  <c r="I31" i="9"/>
  <c r="AE70" i="5"/>
  <c r="AF70" i="5" s="1"/>
  <c r="AL70" i="5" s="1"/>
  <c r="BG164" i="5"/>
  <c r="AE67" i="2"/>
  <c r="AJ67" i="2" s="1"/>
  <c r="S66" i="5" l="1"/>
  <c r="T66" i="5" s="1"/>
  <c r="N66" i="2"/>
  <c r="O66" i="2" s="1"/>
  <c r="M66" i="2"/>
  <c r="W65" i="2"/>
  <c r="AV68" i="5"/>
  <c r="AW68" i="5" s="1"/>
  <c r="BG165" i="5"/>
  <c r="AM70" i="5"/>
  <c r="AC71" i="5"/>
  <c r="J31" i="7"/>
  <c r="J31" i="6"/>
  <c r="AK67" i="2"/>
  <c r="AB68" i="2"/>
  <c r="AD68" i="2" s="1"/>
  <c r="BA68" i="5" l="1"/>
  <c r="BB68" i="5" s="1"/>
  <c r="AR68" i="2"/>
  <c r="AZ67" i="2"/>
  <c r="I31" i="7"/>
  <c r="I31" i="6"/>
  <c r="W66" i="5"/>
  <c r="X66" i="5" s="1"/>
  <c r="R66" i="2"/>
  <c r="S66" i="2" s="1"/>
  <c r="AE71" i="5"/>
  <c r="AF71" i="5" s="1"/>
  <c r="BG166" i="5"/>
  <c r="AT69" i="5" l="1"/>
  <c r="AV69" i="5" s="1"/>
  <c r="AW69" i="5" s="1"/>
  <c r="AT68" i="2"/>
  <c r="AU68" i="2" s="1"/>
  <c r="N67" i="5"/>
  <c r="O67" i="5"/>
  <c r="P67" i="5" s="1"/>
  <c r="V66" i="2"/>
  <c r="BG167" i="5"/>
  <c r="AL71" i="5"/>
  <c r="AM71" i="5" s="1"/>
  <c r="AE68" i="2"/>
  <c r="AJ68" i="2" s="1"/>
  <c r="BA69" i="5" l="1"/>
  <c r="BB69" i="5" s="1"/>
  <c r="AY68" i="2"/>
  <c r="S67" i="5"/>
  <c r="T67" i="5" s="1"/>
  <c r="W67" i="5" s="1"/>
  <c r="X67" i="5" s="1"/>
  <c r="W66" i="2"/>
  <c r="N67" i="2"/>
  <c r="O67" i="2" s="1"/>
  <c r="M67" i="2"/>
  <c r="BG168" i="5"/>
  <c r="AC72" i="5"/>
  <c r="AB69" i="2"/>
  <c r="AD69" i="2" s="1"/>
  <c r="AK68" i="2"/>
  <c r="AT70" i="5" l="1"/>
  <c r="AV70" i="5" s="1"/>
  <c r="AW70" i="5" s="1"/>
  <c r="AZ68" i="2"/>
  <c r="AR69" i="2"/>
  <c r="R67" i="2"/>
  <c r="S67" i="2" s="1"/>
  <c r="AE72" i="5"/>
  <c r="AF72" i="5" s="1"/>
  <c r="AL72" i="5" s="1"/>
  <c r="BG169" i="5"/>
  <c r="H31" i="8"/>
  <c r="H31" i="9"/>
  <c r="N68" i="5"/>
  <c r="O68" i="5"/>
  <c r="P68" i="5" s="1"/>
  <c r="AE69" i="2"/>
  <c r="BA70" i="5" l="1"/>
  <c r="AT71" i="5" s="1"/>
  <c r="AT69" i="2"/>
  <c r="V67" i="2"/>
  <c r="S68" i="5"/>
  <c r="T68" i="5" s="1"/>
  <c r="BG170" i="5"/>
  <c r="AM72" i="5"/>
  <c r="AC73" i="5"/>
  <c r="AJ69" i="2"/>
  <c r="BB70" i="5" l="1"/>
  <c r="AU69" i="2"/>
  <c r="AY69" i="2" s="1"/>
  <c r="W67" i="2"/>
  <c r="M31" i="6" s="1"/>
  <c r="H31" i="6"/>
  <c r="L31" i="6" s="1"/>
  <c r="N68" i="2"/>
  <c r="O68" i="2" s="1"/>
  <c r="H31" i="7"/>
  <c r="L31" i="7" s="1"/>
  <c r="M68" i="2"/>
  <c r="W68" i="5"/>
  <c r="X68" i="5" s="1"/>
  <c r="AV71" i="5"/>
  <c r="AW71" i="5" s="1"/>
  <c r="AE73" i="5"/>
  <c r="AF73" i="5" s="1"/>
  <c r="AL73" i="5" s="1"/>
  <c r="BG171" i="5"/>
  <c r="AB70" i="2"/>
  <c r="AD70" i="2" s="1"/>
  <c r="AK69" i="2"/>
  <c r="BA71" i="5" l="1"/>
  <c r="AT72" i="5" s="1"/>
  <c r="AZ69" i="2"/>
  <c r="AR70" i="2"/>
  <c r="R68" i="2"/>
  <c r="S68" i="2" s="1"/>
  <c r="V68" i="2" s="1"/>
  <c r="M31" i="7"/>
  <c r="BG172" i="5"/>
  <c r="AC74" i="5"/>
  <c r="AM73" i="5"/>
  <c r="N69" i="5"/>
  <c r="O69" i="5"/>
  <c r="P69" i="5" s="1"/>
  <c r="AE70" i="2"/>
  <c r="AT70" i="2" l="1"/>
  <c r="AU70" i="2" s="1"/>
  <c r="BB71" i="5"/>
  <c r="AV72" i="5"/>
  <c r="AE74" i="5"/>
  <c r="S69" i="5"/>
  <c r="T69" i="5" s="1"/>
  <c r="BG173" i="5"/>
  <c r="W68" i="2"/>
  <c r="M69" i="2"/>
  <c r="N69" i="2"/>
  <c r="O69" i="2" s="1"/>
  <c r="AJ70" i="2"/>
  <c r="AY70" i="2" l="1"/>
  <c r="AZ70" i="2" s="1"/>
  <c r="W69" i="5"/>
  <c r="X69" i="5" s="1"/>
  <c r="AF74" i="5"/>
  <c r="AL74" i="5" s="1"/>
  <c r="AW72" i="5"/>
  <c r="BA72" i="5" s="1"/>
  <c r="BG174" i="5"/>
  <c r="R69" i="2"/>
  <c r="S69" i="2" s="1"/>
  <c r="AK70" i="2"/>
  <c r="AB71" i="2"/>
  <c r="AD71" i="2" s="1"/>
  <c r="AR71" i="2" l="1"/>
  <c r="AT71" i="2" s="1"/>
  <c r="V69" i="2"/>
  <c r="AM74" i="5"/>
  <c r="AC75" i="5"/>
  <c r="AE75" i="5" s="1"/>
  <c r="AF75" i="5" s="1"/>
  <c r="AT73" i="5"/>
  <c r="BB72" i="5"/>
  <c r="BG175" i="5"/>
  <c r="O70" i="5"/>
  <c r="P70" i="5" s="1"/>
  <c r="N70" i="5"/>
  <c r="AU71" i="2" l="1"/>
  <c r="AY71" i="2" s="1"/>
  <c r="AV73" i="5"/>
  <c r="AW73" i="5" s="1"/>
  <c r="S70" i="5"/>
  <c r="T70" i="5" s="1"/>
  <c r="BG176" i="5"/>
  <c r="AL75" i="5"/>
  <c r="W69" i="2"/>
  <c r="N70" i="2"/>
  <c r="O70" i="2" s="1"/>
  <c r="M70" i="2"/>
  <c r="AE71" i="2"/>
  <c r="AJ71" i="2" s="1"/>
  <c r="BA73" i="5" l="1"/>
  <c r="BB73" i="5" s="1"/>
  <c r="AZ71" i="2"/>
  <c r="AR72" i="2"/>
  <c r="W70" i="5"/>
  <c r="X70" i="5" s="1"/>
  <c r="BG177" i="5"/>
  <c r="AM75" i="5"/>
  <c r="AC76" i="5"/>
  <c r="R70" i="2"/>
  <c r="S70" i="2" s="1"/>
  <c r="AB72" i="2"/>
  <c r="AD72" i="2" s="1"/>
  <c r="AK71" i="2"/>
  <c r="AT72" i="2" l="1"/>
  <c r="AU72" i="2" s="1"/>
  <c r="V70" i="2"/>
  <c r="AT74" i="5"/>
  <c r="AE76" i="5"/>
  <c r="AF76" i="5" s="1"/>
  <c r="BG178" i="5"/>
  <c r="O71" i="5"/>
  <c r="P71" i="5" s="1"/>
  <c r="N71" i="5"/>
  <c r="AE72" i="2"/>
  <c r="AY72" i="2" l="1"/>
  <c r="AV74" i="5"/>
  <c r="AW74" i="5" s="1"/>
  <c r="S71" i="5"/>
  <c r="T71" i="5" s="1"/>
  <c r="BG179" i="5"/>
  <c r="AL76" i="5"/>
  <c r="W70" i="2"/>
  <c r="M71" i="2"/>
  <c r="N71" i="2"/>
  <c r="O71" i="2" s="1"/>
  <c r="AJ72" i="2"/>
  <c r="BA74" i="5" l="1"/>
  <c r="AZ72" i="2"/>
  <c r="AR73" i="2"/>
  <c r="W71" i="5"/>
  <c r="X71" i="5" s="1"/>
  <c r="BG180" i="5"/>
  <c r="AM76" i="5"/>
  <c r="AC77" i="5"/>
  <c r="R71" i="2"/>
  <c r="S71" i="2" s="1"/>
  <c r="AB73" i="2"/>
  <c r="AD73" i="2" s="1"/>
  <c r="AK72" i="2"/>
  <c r="BB74" i="5" l="1"/>
  <c r="AT75" i="5"/>
  <c r="AV75" i="5" s="1"/>
  <c r="AW75" i="5" s="1"/>
  <c r="AT73" i="2"/>
  <c r="V71" i="2"/>
  <c r="AE77" i="5"/>
  <c r="AF77" i="5" s="1"/>
  <c r="BG181" i="5"/>
  <c r="O72" i="5"/>
  <c r="P72" i="5" s="1"/>
  <c r="N72" i="5"/>
  <c r="AE73" i="2"/>
  <c r="AJ73" i="2" s="1"/>
  <c r="BA75" i="5" l="1"/>
  <c r="AT76" i="5" s="1"/>
  <c r="AU73" i="2"/>
  <c r="AY73" i="2" s="1"/>
  <c r="AL77" i="5"/>
  <c r="AC78" i="5" s="1"/>
  <c r="S72" i="5"/>
  <c r="T72" i="5" s="1"/>
  <c r="BG182" i="5"/>
  <c r="W71" i="2"/>
  <c r="M72" i="2"/>
  <c r="N72" i="2"/>
  <c r="O72" i="2" s="1"/>
  <c r="AB74" i="2"/>
  <c r="AD74" i="2" s="1"/>
  <c r="AK73" i="2"/>
  <c r="BB75" i="5" l="1"/>
  <c r="W72" i="5"/>
  <c r="X72" i="5" s="1"/>
  <c r="AM77" i="5"/>
  <c r="AV76" i="5"/>
  <c r="AW76" i="5" s="1"/>
  <c r="AE78" i="5"/>
  <c r="AF78" i="5" s="1"/>
  <c r="BG183" i="5"/>
  <c r="R72" i="2"/>
  <c r="S72" i="2" s="1"/>
  <c r="AE74" i="2"/>
  <c r="BA76" i="5" l="1"/>
  <c r="BB76" i="5" s="1"/>
  <c r="AR74" i="2"/>
  <c r="AZ73" i="2"/>
  <c r="V72" i="2"/>
  <c r="AL78" i="5"/>
  <c r="AM78" i="5" s="1"/>
  <c r="BG184" i="5"/>
  <c r="N73" i="5"/>
  <c r="O73" i="5"/>
  <c r="P73" i="5" s="1"/>
  <c r="AJ74" i="2"/>
  <c r="AT77" i="5" l="1"/>
  <c r="AV77" i="5" s="1"/>
  <c r="AW77" i="5" s="1"/>
  <c r="AT74" i="2"/>
  <c r="AC79" i="5"/>
  <c r="AE79" i="5" s="1"/>
  <c r="AF79" i="5" s="1"/>
  <c r="AL79" i="5" s="1"/>
  <c r="S73" i="5"/>
  <c r="T73" i="5" s="1"/>
  <c r="BG185" i="5"/>
  <c r="W72" i="2"/>
  <c r="N73" i="2"/>
  <c r="O73" i="2" s="1"/>
  <c r="M73" i="2"/>
  <c r="AK74" i="2"/>
  <c r="AB75" i="2"/>
  <c r="AD75" i="2" s="1"/>
  <c r="BA77" i="5" l="1"/>
  <c r="AT78" i="5" s="1"/>
  <c r="AU74" i="2"/>
  <c r="AY74" i="2" s="1"/>
  <c r="W73" i="5"/>
  <c r="X73" i="5" s="1"/>
  <c r="BG186" i="5"/>
  <c r="J32" i="9"/>
  <c r="AC80" i="5"/>
  <c r="AM79" i="5"/>
  <c r="J32" i="8"/>
  <c r="R73" i="2"/>
  <c r="S73" i="2" s="1"/>
  <c r="AE75" i="2"/>
  <c r="AR75" i="2" l="1"/>
  <c r="AZ74" i="2"/>
  <c r="V73" i="2"/>
  <c r="BB77" i="5"/>
  <c r="AV78" i="5"/>
  <c r="AW78" i="5" s="1"/>
  <c r="AE80" i="5"/>
  <c r="AF80" i="5" s="1"/>
  <c r="BG187" i="5"/>
  <c r="O74" i="5"/>
  <c r="P74" i="5" s="1"/>
  <c r="N74" i="5"/>
  <c r="AJ75" i="2"/>
  <c r="BA78" i="5" l="1"/>
  <c r="BB78" i="5" s="1"/>
  <c r="AT75" i="2"/>
  <c r="AU75" i="2" s="1"/>
  <c r="M74" i="2"/>
  <c r="W73" i="2"/>
  <c r="N74" i="2"/>
  <c r="O74" i="2" s="1"/>
  <c r="S74" i="5"/>
  <c r="T74" i="5" s="1"/>
  <c r="BG188" i="5"/>
  <c r="AL80" i="5"/>
  <c r="AB76" i="2"/>
  <c r="AD76" i="2" s="1"/>
  <c r="AK75" i="2"/>
  <c r="AY75" i="2" l="1"/>
  <c r="AR76" i="2" s="1"/>
  <c r="AT79" i="5"/>
  <c r="AV79" i="5" s="1"/>
  <c r="AW79" i="5" s="1"/>
  <c r="R74" i="2"/>
  <c r="S74" i="2" s="1"/>
  <c r="V74" i="2" s="1"/>
  <c r="N75" i="2" s="1"/>
  <c r="O75" i="2" s="1"/>
  <c r="W74" i="5"/>
  <c r="X74" i="5" s="1"/>
  <c r="BG189" i="5"/>
  <c r="AM80" i="5"/>
  <c r="AC81" i="5"/>
  <c r="AE76" i="2"/>
  <c r="BA79" i="5" l="1"/>
  <c r="AZ75" i="2"/>
  <c r="AT76" i="2"/>
  <c r="AU76" i="2" s="1"/>
  <c r="M75" i="2"/>
  <c r="R75" i="2" s="1"/>
  <c r="S75" i="2" s="1"/>
  <c r="W74" i="2"/>
  <c r="AE81" i="5"/>
  <c r="AF81" i="5" s="1"/>
  <c r="BG190" i="5"/>
  <c r="O75" i="5"/>
  <c r="P75" i="5" s="1"/>
  <c r="N75" i="5"/>
  <c r="AJ76" i="2"/>
  <c r="AY76" i="2" l="1"/>
  <c r="AR77" i="2" s="1"/>
  <c r="V75" i="2"/>
  <c r="I32" i="8"/>
  <c r="I32" i="9"/>
  <c r="BB79" i="5"/>
  <c r="AT80" i="5"/>
  <c r="S75" i="5"/>
  <c r="T75" i="5" s="1"/>
  <c r="BG191" i="5"/>
  <c r="AL81" i="5"/>
  <c r="AK76" i="2"/>
  <c r="AB77" i="2"/>
  <c r="AD77" i="2" s="1"/>
  <c r="AZ76" i="2" l="1"/>
  <c r="AT77" i="2"/>
  <c r="AU77" i="2" s="1"/>
  <c r="AV80" i="5"/>
  <c r="AW80" i="5" s="1"/>
  <c r="W75" i="5"/>
  <c r="X75" i="5" s="1"/>
  <c r="BG192" i="5"/>
  <c r="AC82" i="5"/>
  <c r="AM81" i="5"/>
  <c r="W75" i="2"/>
  <c r="M76" i="2"/>
  <c r="N76" i="2"/>
  <c r="O76" i="2" s="1"/>
  <c r="AE77" i="2"/>
  <c r="AY77" i="2" l="1"/>
  <c r="AZ77" i="2" s="1"/>
  <c r="BA80" i="5"/>
  <c r="AE82" i="5"/>
  <c r="AF82" i="5" s="1"/>
  <c r="BG193" i="5"/>
  <c r="N76" i="5"/>
  <c r="O76" i="5"/>
  <c r="P76" i="5" s="1"/>
  <c r="R76" i="2"/>
  <c r="S76" i="2" s="1"/>
  <c r="AJ77" i="2"/>
  <c r="AR78" i="2" l="1"/>
  <c r="AT78" i="2" s="1"/>
  <c r="AT81" i="5"/>
  <c r="AV81" i="5" s="1"/>
  <c r="AW81" i="5" s="1"/>
  <c r="BB80" i="5"/>
  <c r="V76" i="2"/>
  <c r="S76" i="5"/>
  <c r="T76" i="5" s="1"/>
  <c r="W76" i="5" s="1"/>
  <c r="BG194" i="5"/>
  <c r="AL82" i="5"/>
  <c r="AK77" i="2"/>
  <c r="AB78" i="2"/>
  <c r="AD78" i="2" s="1"/>
  <c r="BA81" i="5" l="1"/>
  <c r="BB81" i="5" s="1"/>
  <c r="AU78" i="2"/>
  <c r="AY78" i="2" s="1"/>
  <c r="W76" i="2"/>
  <c r="BG195" i="5"/>
  <c r="AC83" i="5"/>
  <c r="AM82" i="5"/>
  <c r="X76" i="5"/>
  <c r="M77" i="2"/>
  <c r="N77" i="2"/>
  <c r="O77" i="2" s="1"/>
  <c r="AE78" i="2"/>
  <c r="AT82" i="5" l="1"/>
  <c r="AV82" i="5" s="1"/>
  <c r="AW82" i="5" s="1"/>
  <c r="AR79" i="2"/>
  <c r="AT79" i="2" s="1"/>
  <c r="AU79" i="2" s="1"/>
  <c r="AZ78" i="2"/>
  <c r="AE83" i="5"/>
  <c r="AF83" i="5" s="1"/>
  <c r="BG196" i="5"/>
  <c r="O77" i="5"/>
  <c r="P77" i="5" s="1"/>
  <c r="N77" i="5"/>
  <c r="R77" i="2"/>
  <c r="S77" i="2" s="1"/>
  <c r="AJ78" i="2"/>
  <c r="BA82" i="5" l="1"/>
  <c r="AY79" i="2"/>
  <c r="V77" i="2"/>
  <c r="S77" i="5"/>
  <c r="BG197" i="5"/>
  <c r="AL83" i="5"/>
  <c r="AB79" i="2"/>
  <c r="AD79" i="2" s="1"/>
  <c r="AK78" i="2"/>
  <c r="AZ79" i="2" l="1"/>
  <c r="I32" i="6"/>
  <c r="I32" i="7"/>
  <c r="AR80" i="2"/>
  <c r="BB82" i="5"/>
  <c r="AT83" i="5"/>
  <c r="T77" i="5"/>
  <c r="W77" i="5" s="1"/>
  <c r="BG198" i="5"/>
  <c r="AM83" i="5"/>
  <c r="AC84" i="5"/>
  <c r="W77" i="2"/>
  <c r="N78" i="2"/>
  <c r="O78" i="2" s="1"/>
  <c r="M78" i="2"/>
  <c r="AE79" i="2"/>
  <c r="AJ79" i="2" s="1"/>
  <c r="AV83" i="5" l="1"/>
  <c r="AW83" i="5" s="1"/>
  <c r="BA83" i="5" s="1"/>
  <c r="BB83" i="5" s="1"/>
  <c r="AT80" i="2"/>
  <c r="AU80" i="2" s="1"/>
  <c r="AE84" i="5"/>
  <c r="AF84" i="5" s="1"/>
  <c r="X77" i="5"/>
  <c r="O78" i="5"/>
  <c r="P78" i="5" s="1"/>
  <c r="N78" i="5"/>
  <c r="BG199" i="5"/>
  <c r="J32" i="7"/>
  <c r="J32" i="6"/>
  <c r="R78" i="2"/>
  <c r="S78" i="2" s="1"/>
  <c r="AK79" i="2"/>
  <c r="AB80" i="2"/>
  <c r="AD80" i="2" s="1"/>
  <c r="AT84" i="5" l="1"/>
  <c r="AV84" i="5" s="1"/>
  <c r="AW84" i="5" s="1"/>
  <c r="AY80" i="2"/>
  <c r="AR81" i="2" s="1"/>
  <c r="V78" i="2"/>
  <c r="S78" i="5"/>
  <c r="T78" i="5" s="1"/>
  <c r="BG200" i="5"/>
  <c r="AL84" i="5"/>
  <c r="AE80" i="2"/>
  <c r="BA84" i="5" l="1"/>
  <c r="BB84" i="5" s="1"/>
  <c r="AZ80" i="2"/>
  <c r="AT81" i="2"/>
  <c r="W78" i="5"/>
  <c r="X78" i="5" s="1"/>
  <c r="BG201" i="5"/>
  <c r="AC85" i="5"/>
  <c r="AM84" i="5"/>
  <c r="W78" i="2"/>
  <c r="N79" i="2"/>
  <c r="O79" i="2" s="1"/>
  <c r="M79" i="2"/>
  <c r="AJ80" i="2"/>
  <c r="AT85" i="5" l="1"/>
  <c r="AV85" i="5" s="1"/>
  <c r="AW85" i="5" s="1"/>
  <c r="AU81" i="2"/>
  <c r="AY81" i="2" s="1"/>
  <c r="N79" i="5"/>
  <c r="O79" i="5"/>
  <c r="P79" i="5" s="1"/>
  <c r="AE85" i="5"/>
  <c r="AF85" i="5" s="1"/>
  <c r="AL85" i="5" s="1"/>
  <c r="BG202" i="5"/>
  <c r="R79" i="2"/>
  <c r="S79" i="2" s="1"/>
  <c r="AK80" i="2"/>
  <c r="AB81" i="2"/>
  <c r="AD81" i="2" s="1"/>
  <c r="BA85" i="5" l="1"/>
  <c r="BB85" i="5" s="1"/>
  <c r="AR82" i="2"/>
  <c r="AT82" i="2" s="1"/>
  <c r="AU82" i="2" s="1"/>
  <c r="AZ81" i="2"/>
  <c r="S79" i="5"/>
  <c r="T79" i="5" s="1"/>
  <c r="V79" i="2"/>
  <c r="BG203" i="5"/>
  <c r="AM85" i="5"/>
  <c r="AC86" i="5"/>
  <c r="AE81" i="2"/>
  <c r="AT86" i="5" l="1"/>
  <c r="AY82" i="2"/>
  <c r="W79" i="5"/>
  <c r="X79" i="5" s="1"/>
  <c r="AE86" i="5"/>
  <c r="AF86" i="5" s="1"/>
  <c r="BG204" i="5"/>
  <c r="H32" i="7"/>
  <c r="L32" i="7" s="1"/>
  <c r="H32" i="6"/>
  <c r="L32" i="6" s="1"/>
  <c r="W79" i="2"/>
  <c r="M80" i="2"/>
  <c r="N80" i="2"/>
  <c r="O80" i="2" s="1"/>
  <c r="AJ81" i="2"/>
  <c r="AV86" i="5" l="1"/>
  <c r="AW86" i="5" s="1"/>
  <c r="AZ82" i="2"/>
  <c r="AR83" i="2"/>
  <c r="H32" i="9"/>
  <c r="N80" i="5"/>
  <c r="O80" i="5"/>
  <c r="P80" i="5" s="1"/>
  <c r="H32" i="8"/>
  <c r="BG205" i="5"/>
  <c r="AL86" i="5"/>
  <c r="M32" i="6"/>
  <c r="M32" i="7"/>
  <c r="R80" i="2"/>
  <c r="S80" i="2" s="1"/>
  <c r="AB82" i="2"/>
  <c r="AD82" i="2" s="1"/>
  <c r="AK81" i="2"/>
  <c r="BA86" i="5" l="1"/>
  <c r="AT83" i="2"/>
  <c r="S80" i="5"/>
  <c r="T80" i="5" s="1"/>
  <c r="V80" i="2"/>
  <c r="W80" i="2" s="1"/>
  <c r="BG206" i="5"/>
  <c r="AM86" i="5"/>
  <c r="AC87" i="5"/>
  <c r="AE82" i="2"/>
  <c r="AJ82" i="2" s="1"/>
  <c r="AT87" i="5" l="1"/>
  <c r="BB86" i="5"/>
  <c r="AU83" i="2"/>
  <c r="AY83" i="2" s="1"/>
  <c r="W80" i="5"/>
  <c r="X80" i="5" s="1"/>
  <c r="AE87" i="5"/>
  <c r="AF87" i="5" s="1"/>
  <c r="AL87" i="5" s="1"/>
  <c r="BG207" i="5"/>
  <c r="M81" i="2"/>
  <c r="N81" i="2"/>
  <c r="O81" i="2" s="1"/>
  <c r="AK82" i="2"/>
  <c r="AB83" i="2"/>
  <c r="AD83" i="2" s="1"/>
  <c r="AV87" i="5" l="1"/>
  <c r="AW87" i="5" s="1"/>
  <c r="AR84" i="2"/>
  <c r="AZ83" i="2"/>
  <c r="N81" i="5"/>
  <c r="O81" i="5"/>
  <c r="P81" i="5" s="1"/>
  <c r="BG208" i="5"/>
  <c r="AM87" i="5"/>
  <c r="AC88" i="5"/>
  <c r="R81" i="2"/>
  <c r="S81" i="2" s="1"/>
  <c r="AE83" i="2"/>
  <c r="BA87" i="5" l="1"/>
  <c r="AT84" i="2"/>
  <c r="AU84" i="2" s="1"/>
  <c r="AY84" i="2" s="1"/>
  <c r="S81" i="5"/>
  <c r="T81" i="5" s="1"/>
  <c r="V81" i="2"/>
  <c r="AE88" i="5"/>
  <c r="AF88" i="5" s="1"/>
  <c r="BG209" i="5"/>
  <c r="AJ83" i="2"/>
  <c r="BB87" i="5" l="1"/>
  <c r="AT88" i="5"/>
  <c r="AZ84" i="2"/>
  <c r="AR85" i="2"/>
  <c r="W81" i="5"/>
  <c r="X81" i="5" s="1"/>
  <c r="BG210" i="5"/>
  <c r="AL88" i="5"/>
  <c r="W81" i="2"/>
  <c r="M82" i="2"/>
  <c r="N82" i="2"/>
  <c r="O82" i="2" s="1"/>
  <c r="AK83" i="2"/>
  <c r="AB84" i="2"/>
  <c r="AD84" i="2" s="1"/>
  <c r="AV88" i="5" l="1"/>
  <c r="AW88" i="5" s="1"/>
  <c r="AT85" i="2"/>
  <c r="AU85" i="2" s="1"/>
  <c r="N82" i="5"/>
  <c r="O82" i="5"/>
  <c r="P82" i="5" s="1"/>
  <c r="BG211" i="5"/>
  <c r="AC89" i="5"/>
  <c r="AM88" i="5"/>
  <c r="R82" i="2"/>
  <c r="S82" i="2" s="1"/>
  <c r="AE84" i="2"/>
  <c r="BA88" i="5" l="1"/>
  <c r="AY85" i="2"/>
  <c r="AR86" i="2" s="1"/>
  <c r="S82" i="5"/>
  <c r="T82" i="5" s="1"/>
  <c r="W82" i="5" s="1"/>
  <c r="X82" i="5" s="1"/>
  <c r="V82" i="2"/>
  <c r="AE89" i="5"/>
  <c r="AF89" i="5" s="1"/>
  <c r="BG212" i="5"/>
  <c r="AJ84" i="2"/>
  <c r="AZ85" i="2" l="1"/>
  <c r="AT89" i="5"/>
  <c r="BB88" i="5"/>
  <c r="AT86" i="2"/>
  <c r="O83" i="5"/>
  <c r="P83" i="5" s="1"/>
  <c r="N83" i="5"/>
  <c r="BG213" i="5"/>
  <c r="AL89" i="5"/>
  <c r="W82" i="2"/>
  <c r="N83" i="2"/>
  <c r="O83" i="2" s="1"/>
  <c r="M83" i="2"/>
  <c r="AK84" i="2"/>
  <c r="AB85" i="2"/>
  <c r="AD85" i="2" s="1"/>
  <c r="AV89" i="5" l="1"/>
  <c r="AW89" i="5" s="1"/>
  <c r="AU86" i="2"/>
  <c r="AY86" i="2" s="1"/>
  <c r="S83" i="5"/>
  <c r="T83" i="5" s="1"/>
  <c r="BG214" i="5"/>
  <c r="AC90" i="5"/>
  <c r="AM89" i="5"/>
  <c r="R83" i="2"/>
  <c r="S83" i="2" s="1"/>
  <c r="AE85" i="2"/>
  <c r="AJ85" i="2" s="1"/>
  <c r="BA89" i="5" l="1"/>
  <c r="AR87" i="2"/>
  <c r="AZ86" i="2"/>
  <c r="W83" i="5"/>
  <c r="X83" i="5" s="1"/>
  <c r="V83" i="2"/>
  <c r="AE90" i="5"/>
  <c r="AF90" i="5" s="1"/>
  <c r="AL90" i="5" s="1"/>
  <c r="BG215" i="5"/>
  <c r="AK85" i="2"/>
  <c r="AB86" i="2"/>
  <c r="AD86" i="2" s="1"/>
  <c r="BB89" i="5" l="1"/>
  <c r="AT90" i="5"/>
  <c r="AT87" i="2"/>
  <c r="AU87" i="2" s="1"/>
  <c r="N84" i="5"/>
  <c r="O84" i="5"/>
  <c r="P84" i="5" s="1"/>
  <c r="BG216" i="5"/>
  <c r="AM90" i="5"/>
  <c r="AC91" i="5"/>
  <c r="W83" i="2"/>
  <c r="M84" i="2"/>
  <c r="N84" i="2"/>
  <c r="O84" i="2" s="1"/>
  <c r="AE86" i="2"/>
  <c r="AV90" i="5" l="1"/>
  <c r="AW90" i="5" s="1"/>
  <c r="AY87" i="2"/>
  <c r="S84" i="5"/>
  <c r="T84" i="5" s="1"/>
  <c r="W84" i="5" s="1"/>
  <c r="X84" i="5" s="1"/>
  <c r="AE91" i="5"/>
  <c r="AF91" i="5" s="1"/>
  <c r="AL91" i="5" s="1"/>
  <c r="BG217" i="5"/>
  <c r="R84" i="2"/>
  <c r="S84" i="2" s="1"/>
  <c r="AJ86" i="2"/>
  <c r="AR88" i="2" l="1"/>
  <c r="AT88" i="2" s="1"/>
  <c r="BA90" i="5"/>
  <c r="AZ87" i="2"/>
  <c r="N85" i="5"/>
  <c r="O85" i="5"/>
  <c r="P85" i="5" s="1"/>
  <c r="V84" i="2"/>
  <c r="BG218" i="5"/>
  <c r="J33" i="8"/>
  <c r="AM91" i="5"/>
  <c r="J33" i="9"/>
  <c r="AC92" i="5"/>
  <c r="AK86" i="2"/>
  <c r="AB87" i="2"/>
  <c r="AD87" i="2" s="1"/>
  <c r="AT91" i="5" l="1"/>
  <c r="BB90" i="5"/>
  <c r="AU88" i="2"/>
  <c r="AY88" i="2" s="1"/>
  <c r="S85" i="5"/>
  <c r="T85" i="5" s="1"/>
  <c r="AE92" i="5"/>
  <c r="AF92" i="5" s="1"/>
  <c r="BG219" i="5"/>
  <c r="W84" i="2"/>
  <c r="N85" i="2"/>
  <c r="O85" i="2" s="1"/>
  <c r="M85" i="2"/>
  <c r="AE87" i="2"/>
  <c r="AV91" i="5" l="1"/>
  <c r="AW91" i="5" s="1"/>
  <c r="AR89" i="2"/>
  <c r="AZ88" i="2"/>
  <c r="W85" i="5"/>
  <c r="X85" i="5" s="1"/>
  <c r="BG220" i="5"/>
  <c r="AL92" i="5"/>
  <c r="R85" i="2"/>
  <c r="S85" i="2" s="1"/>
  <c r="AJ87" i="2"/>
  <c r="BA91" i="5" l="1"/>
  <c r="AT89" i="2"/>
  <c r="O86" i="5"/>
  <c r="P86" i="5" s="1"/>
  <c r="N86" i="5"/>
  <c r="V85" i="2"/>
  <c r="BG221" i="5"/>
  <c r="AC93" i="5"/>
  <c r="AM92" i="5"/>
  <c r="AB88" i="2"/>
  <c r="AD88" i="2" s="1"/>
  <c r="AK87" i="2"/>
  <c r="I33" i="9" l="1"/>
  <c r="AT92" i="5"/>
  <c r="I33" i="8"/>
  <c r="BB91" i="5"/>
  <c r="AU89" i="2"/>
  <c r="AY89" i="2" s="1"/>
  <c r="S86" i="5"/>
  <c r="T86" i="5" s="1"/>
  <c r="AE93" i="5"/>
  <c r="AF93" i="5" s="1"/>
  <c r="AL93" i="5" s="1"/>
  <c r="BG222" i="5"/>
  <c r="W85" i="2"/>
  <c r="N86" i="2"/>
  <c r="O86" i="2" s="1"/>
  <c r="M86" i="2"/>
  <c r="AE88" i="2"/>
  <c r="AV92" i="5" l="1"/>
  <c r="AW92" i="5" s="1"/>
  <c r="AZ89" i="2"/>
  <c r="AR90" i="2"/>
  <c r="W86" i="5"/>
  <c r="X86" i="5" s="1"/>
  <c r="BG223" i="5"/>
  <c r="AM93" i="5"/>
  <c r="AC94" i="5"/>
  <c r="R86" i="2"/>
  <c r="S86" i="2" s="1"/>
  <c r="AJ88" i="2"/>
  <c r="BA92" i="5" l="1"/>
  <c r="AT90" i="2"/>
  <c r="N87" i="5"/>
  <c r="O87" i="5"/>
  <c r="P87" i="5" s="1"/>
  <c r="V86" i="2"/>
  <c r="AE94" i="5"/>
  <c r="AF94" i="5" s="1"/>
  <c r="AL94" i="5" s="1"/>
  <c r="BG224" i="5"/>
  <c r="AB89" i="2"/>
  <c r="AD89" i="2" s="1"/>
  <c r="AK88" i="2"/>
  <c r="BB92" i="5" l="1"/>
  <c r="AT93" i="5"/>
  <c r="AU90" i="2"/>
  <c r="AY90" i="2" s="1"/>
  <c r="S87" i="5"/>
  <c r="T87" i="5" s="1"/>
  <c r="BG225" i="5"/>
  <c r="AM94" i="5"/>
  <c r="AC95" i="5"/>
  <c r="W86" i="2"/>
  <c r="M87" i="2"/>
  <c r="N87" i="2"/>
  <c r="O87" i="2" s="1"/>
  <c r="AE89" i="2"/>
  <c r="AJ89" i="2" s="1"/>
  <c r="AV93" i="5" l="1"/>
  <c r="AW93" i="5" s="1"/>
  <c r="AZ90" i="2"/>
  <c r="AR91" i="2"/>
  <c r="W87" i="5"/>
  <c r="X87" i="5" s="1"/>
  <c r="AE95" i="5"/>
  <c r="AF95" i="5" s="1"/>
  <c r="AL95" i="5" s="1"/>
  <c r="BG226" i="5"/>
  <c r="R87" i="2"/>
  <c r="S87" i="2" s="1"/>
  <c r="AB90" i="2"/>
  <c r="AD90" i="2" s="1"/>
  <c r="AK89" i="2"/>
  <c r="BA93" i="5" l="1"/>
  <c r="AT91" i="2"/>
  <c r="AU91" i="2" s="1"/>
  <c r="O88" i="5"/>
  <c r="P88" i="5" s="1"/>
  <c r="N88" i="5"/>
  <c r="V87" i="2"/>
  <c r="BG227" i="5"/>
  <c r="AC96" i="5"/>
  <c r="AM95" i="5"/>
  <c r="AE90" i="2"/>
  <c r="S88" i="5" l="1"/>
  <c r="T88" i="5" s="1"/>
  <c r="W88" i="5" s="1"/>
  <c r="X88" i="5" s="1"/>
  <c r="AT94" i="5"/>
  <c r="BB93" i="5"/>
  <c r="AY91" i="2"/>
  <c r="AE96" i="5"/>
  <c r="AF96" i="5" s="1"/>
  <c r="BG228" i="5"/>
  <c r="W87" i="2"/>
  <c r="N88" i="2"/>
  <c r="O88" i="2" s="1"/>
  <c r="M88" i="2"/>
  <c r="AJ90" i="2"/>
  <c r="I33" i="7" l="1"/>
  <c r="AV94" i="5"/>
  <c r="AW94" i="5" s="1"/>
  <c r="AR92" i="2"/>
  <c r="I33" i="6"/>
  <c r="AZ91" i="2"/>
  <c r="BG229" i="5"/>
  <c r="AL96" i="5"/>
  <c r="O89" i="5"/>
  <c r="P89" i="5" s="1"/>
  <c r="N89" i="5"/>
  <c r="R88" i="2"/>
  <c r="S88" i="2" s="1"/>
  <c r="AB91" i="2"/>
  <c r="AD91" i="2" s="1"/>
  <c r="AK90" i="2"/>
  <c r="BA94" i="5" l="1"/>
  <c r="AT92" i="2"/>
  <c r="AU92" i="2" s="1"/>
  <c r="V88" i="2"/>
  <c r="S89" i="5"/>
  <c r="T89" i="5" s="1"/>
  <c r="BG230" i="5"/>
  <c r="AC97" i="5"/>
  <c r="AM96" i="5"/>
  <c r="AE91" i="2"/>
  <c r="AY92" i="2" l="1"/>
  <c r="BB94" i="5"/>
  <c r="AT95" i="5"/>
  <c r="W89" i="5"/>
  <c r="X89" i="5" s="1"/>
  <c r="AE97" i="5"/>
  <c r="AF97" i="5" s="1"/>
  <c r="BG231" i="5"/>
  <c r="W88" i="2"/>
  <c r="N89" i="2"/>
  <c r="O89" i="2" s="1"/>
  <c r="M89" i="2"/>
  <c r="AJ91" i="2"/>
  <c r="AZ92" i="2" l="1"/>
  <c r="AR93" i="2"/>
  <c r="AT93" i="2" s="1"/>
  <c r="AV95" i="5"/>
  <c r="AW95" i="5" s="1"/>
  <c r="N90" i="5"/>
  <c r="O90" i="5"/>
  <c r="P90" i="5" s="1"/>
  <c r="AL97" i="5"/>
  <c r="AM97" i="5" s="1"/>
  <c r="BG232" i="5"/>
  <c r="J33" i="7"/>
  <c r="J33" i="6"/>
  <c r="R89" i="2"/>
  <c r="S89" i="2" s="1"/>
  <c r="AK91" i="2"/>
  <c r="AB92" i="2"/>
  <c r="AD92" i="2" s="1"/>
  <c r="BA95" i="5" l="1"/>
  <c r="AU93" i="2"/>
  <c r="AY93" i="2" s="1"/>
  <c r="S90" i="5"/>
  <c r="T90" i="5" s="1"/>
  <c r="V89" i="2"/>
  <c r="AC98" i="5"/>
  <c r="AE98" i="5" s="1"/>
  <c r="AF98" i="5" s="1"/>
  <c r="BG233" i="5"/>
  <c r="AE92" i="2"/>
  <c r="BB95" i="5" l="1"/>
  <c r="AT96" i="5"/>
  <c r="AZ93" i="2"/>
  <c r="AR94" i="2"/>
  <c r="AT94" i="2" s="1"/>
  <c r="AU94" i="2" s="1"/>
  <c r="W90" i="5"/>
  <c r="X90" i="5" s="1"/>
  <c r="AL98" i="5"/>
  <c r="BG234" i="5"/>
  <c r="W89" i="2"/>
  <c r="N90" i="2"/>
  <c r="O90" i="2" s="1"/>
  <c r="M90" i="2"/>
  <c r="AJ92" i="2"/>
  <c r="AV96" i="5" l="1"/>
  <c r="AW96" i="5" s="1"/>
  <c r="AY94" i="2"/>
  <c r="AZ94" i="2" s="1"/>
  <c r="O91" i="5"/>
  <c r="P91" i="5" s="1"/>
  <c r="N91" i="5"/>
  <c r="AC99" i="5"/>
  <c r="AM98" i="5"/>
  <c r="BG235" i="5"/>
  <c r="R90" i="2"/>
  <c r="S90" i="2" s="1"/>
  <c r="AK92" i="2"/>
  <c r="AB93" i="2"/>
  <c r="AD93" i="2" s="1"/>
  <c r="BA96" i="5" l="1"/>
  <c r="AR95" i="2"/>
  <c r="AT95" i="2" s="1"/>
  <c r="AU95" i="2" s="1"/>
  <c r="S91" i="5"/>
  <c r="T91" i="5" s="1"/>
  <c r="V90" i="2"/>
  <c r="AE99" i="5"/>
  <c r="AF99" i="5" s="1"/>
  <c r="BG236" i="5"/>
  <c r="AE93" i="2"/>
  <c r="BB96" i="5" l="1"/>
  <c r="AT97" i="5"/>
  <c r="AY95" i="2"/>
  <c r="AZ95" i="2" s="1"/>
  <c r="W91" i="5"/>
  <c r="X91" i="5" s="1"/>
  <c r="AL99" i="5"/>
  <c r="BG237" i="5"/>
  <c r="W90" i="2"/>
  <c r="M91" i="2"/>
  <c r="N91" i="2"/>
  <c r="O91" i="2" s="1"/>
  <c r="AJ93" i="2"/>
  <c r="AR96" i="2" l="1"/>
  <c r="AT96" i="2" s="1"/>
  <c r="AU96" i="2" s="1"/>
  <c r="AV97" i="5"/>
  <c r="AW97" i="5" s="1"/>
  <c r="O92" i="5"/>
  <c r="P92" i="5" s="1"/>
  <c r="N92" i="5"/>
  <c r="H33" i="8"/>
  <c r="H33" i="9"/>
  <c r="AC100" i="5"/>
  <c r="AE100" i="5" s="1"/>
  <c r="AF100" i="5" s="1"/>
  <c r="AL100" i="5" s="1"/>
  <c r="AM99" i="5"/>
  <c r="BG238" i="5"/>
  <c r="R91" i="2"/>
  <c r="S91" i="2" s="1"/>
  <c r="AK93" i="2"/>
  <c r="AB94" i="2"/>
  <c r="AD94" i="2" s="1"/>
  <c r="BA97" i="5" l="1"/>
  <c r="AY96" i="2"/>
  <c r="AR97" i="2" s="1"/>
  <c r="S92" i="5"/>
  <c r="T92" i="5" s="1"/>
  <c r="V91" i="2"/>
  <c r="AC101" i="5"/>
  <c r="AM100" i="5"/>
  <c r="BG239" i="5"/>
  <c r="AE94" i="2"/>
  <c r="AT98" i="5" l="1"/>
  <c r="BB97" i="5"/>
  <c r="AZ96" i="2"/>
  <c r="AT97" i="2"/>
  <c r="W92" i="5"/>
  <c r="X92" i="5" s="1"/>
  <c r="AE101" i="5"/>
  <c r="BG240" i="5"/>
  <c r="H33" i="7"/>
  <c r="L33" i="7" s="1"/>
  <c r="H33" i="6"/>
  <c r="L33" i="6" s="1"/>
  <c r="W91" i="2"/>
  <c r="M92" i="2"/>
  <c r="N92" i="2"/>
  <c r="O92" i="2" s="1"/>
  <c r="AJ94" i="2"/>
  <c r="AV98" i="5" l="1"/>
  <c r="AW98" i="5" s="1"/>
  <c r="AU97" i="2"/>
  <c r="AY97" i="2" s="1"/>
  <c r="N93" i="5"/>
  <c r="O93" i="5"/>
  <c r="P93" i="5" s="1"/>
  <c r="AF101" i="5"/>
  <c r="AL101" i="5" s="1"/>
  <c r="BG241" i="5"/>
  <c r="M33" i="6"/>
  <c r="M33" i="7"/>
  <c r="R92" i="2"/>
  <c r="S92" i="2" s="1"/>
  <c r="AK94" i="2"/>
  <c r="AB95" i="2"/>
  <c r="AD95" i="2" s="1"/>
  <c r="BA98" i="5" l="1"/>
  <c r="AZ97" i="2"/>
  <c r="AR98" i="2"/>
  <c r="S93" i="5"/>
  <c r="T93" i="5" s="1"/>
  <c r="W93" i="5" s="1"/>
  <c r="X93" i="5" s="1"/>
  <c r="V92" i="2"/>
  <c r="AC102" i="5"/>
  <c r="AE102" i="5" s="1"/>
  <c r="AF102" i="5" s="1"/>
  <c r="AL102" i="5" s="1"/>
  <c r="AM101" i="5"/>
  <c r="BG242" i="5"/>
  <c r="AE95" i="2"/>
  <c r="BB98" i="5" l="1"/>
  <c r="AT99" i="5"/>
  <c r="AT98" i="2"/>
  <c r="AC103" i="5"/>
  <c r="AM102" i="5"/>
  <c r="BG243" i="5"/>
  <c r="O94" i="5"/>
  <c r="P94" i="5" s="1"/>
  <c r="N94" i="5"/>
  <c r="W92" i="2"/>
  <c r="M93" i="2"/>
  <c r="N93" i="2"/>
  <c r="O93" i="2" s="1"/>
  <c r="AJ95" i="2"/>
  <c r="AV99" i="5" l="1"/>
  <c r="AW99" i="5" s="1"/>
  <c r="AU98" i="2"/>
  <c r="AY98" i="2" s="1"/>
  <c r="AE103" i="5"/>
  <c r="AF103" i="5" s="1"/>
  <c r="S94" i="5"/>
  <c r="BG244" i="5"/>
  <c r="R93" i="2"/>
  <c r="S93" i="2" s="1"/>
  <c r="AK95" i="2"/>
  <c r="AB96" i="2"/>
  <c r="AD96" i="2" s="1"/>
  <c r="BA99" i="5" l="1"/>
  <c r="AR99" i="2"/>
  <c r="AT99" i="2" s="1"/>
  <c r="AU99" i="2" s="1"/>
  <c r="AZ98" i="2"/>
  <c r="V93" i="2"/>
  <c r="AL103" i="5"/>
  <c r="T94" i="5"/>
  <c r="W94" i="5" s="1"/>
  <c r="BG245" i="5"/>
  <c r="AE96" i="2"/>
  <c r="AJ96" i="2" s="1"/>
  <c r="AT100" i="5" l="1"/>
  <c r="BB99" i="5"/>
  <c r="AY99" i="2"/>
  <c r="AR100" i="2" s="1"/>
  <c r="AC104" i="5"/>
  <c r="AM103" i="5"/>
  <c r="J34" i="9"/>
  <c r="J34" i="8"/>
  <c r="X94" i="5"/>
  <c r="O95" i="5"/>
  <c r="P95" i="5" s="1"/>
  <c r="N95" i="5"/>
  <c r="BG246" i="5"/>
  <c r="W93" i="2"/>
  <c r="M94" i="2"/>
  <c r="N94" i="2"/>
  <c r="O94" i="2" s="1"/>
  <c r="AB97" i="2"/>
  <c r="AD97" i="2" s="1"/>
  <c r="AK96" i="2"/>
  <c r="AV100" i="5" l="1"/>
  <c r="AW100" i="5" s="1"/>
  <c r="AZ99" i="2"/>
  <c r="AT100" i="2"/>
  <c r="AE104" i="5"/>
  <c r="AF104" i="5" s="1"/>
  <c r="S95" i="5"/>
  <c r="T95" i="5" s="1"/>
  <c r="BG247" i="5"/>
  <c r="R94" i="2"/>
  <c r="S94" i="2" s="1"/>
  <c r="AE97" i="2"/>
  <c r="BA100" i="5" l="1"/>
  <c r="AU100" i="2"/>
  <c r="AY100" i="2" s="1"/>
  <c r="V94" i="2"/>
  <c r="W95" i="5"/>
  <c r="X95" i="5" s="1"/>
  <c r="AL104" i="5"/>
  <c r="BG248" i="5"/>
  <c r="AJ97" i="2"/>
  <c r="AT101" i="5" l="1"/>
  <c r="BB100" i="5"/>
  <c r="AZ100" i="2"/>
  <c r="AR101" i="2"/>
  <c r="AT101" i="2" s="1"/>
  <c r="N96" i="5"/>
  <c r="O96" i="5"/>
  <c r="P96" i="5" s="1"/>
  <c r="AC105" i="5"/>
  <c r="AM104" i="5"/>
  <c r="BG249" i="5"/>
  <c r="W94" i="2"/>
  <c r="M95" i="2"/>
  <c r="N95" i="2"/>
  <c r="O95" i="2" s="1"/>
  <c r="AK97" i="2"/>
  <c r="AB98" i="2"/>
  <c r="AD98" i="2" s="1"/>
  <c r="AV101" i="5" l="1"/>
  <c r="AW101" i="5" s="1"/>
  <c r="AU101" i="2"/>
  <c r="AY101" i="2" s="1"/>
  <c r="S96" i="5"/>
  <c r="T96" i="5" s="1"/>
  <c r="AE105" i="5"/>
  <c r="AF105" i="5" s="1"/>
  <c r="BG250" i="5"/>
  <c r="R95" i="2"/>
  <c r="S95" i="2" s="1"/>
  <c r="AE98" i="2"/>
  <c r="BA101" i="5" l="1"/>
  <c r="AR102" i="2"/>
  <c r="AZ101" i="2"/>
  <c r="W96" i="5"/>
  <c r="X96" i="5" s="1"/>
  <c r="V95" i="2"/>
  <c r="AL105" i="5"/>
  <c r="BG251" i="5"/>
  <c r="AJ98" i="2"/>
  <c r="BB101" i="5" l="1"/>
  <c r="AT102" i="5"/>
  <c r="AT102" i="2"/>
  <c r="N97" i="5"/>
  <c r="O97" i="5"/>
  <c r="P97" i="5" s="1"/>
  <c r="AC106" i="5"/>
  <c r="AM105" i="5"/>
  <c r="BG252" i="5"/>
  <c r="W95" i="2"/>
  <c r="M96" i="2"/>
  <c r="N96" i="2"/>
  <c r="O96" i="2" s="1"/>
  <c r="AK98" i="2"/>
  <c r="AB99" i="2"/>
  <c r="AD99" i="2" s="1"/>
  <c r="AV102" i="5" l="1"/>
  <c r="AU102" i="2"/>
  <c r="AY102" i="2" s="1"/>
  <c r="S97" i="5"/>
  <c r="T97" i="5" s="1"/>
  <c r="AE106" i="5"/>
  <c r="AF106" i="5" s="1"/>
  <c r="AL106" i="5" s="1"/>
  <c r="BG253" i="5"/>
  <c r="R96" i="2"/>
  <c r="S96" i="2" s="1"/>
  <c r="AE99" i="2"/>
  <c r="AJ99" i="2" s="1"/>
  <c r="AW102" i="5" l="1"/>
  <c r="BA102" i="5" s="1"/>
  <c r="AZ102" i="2"/>
  <c r="AR103" i="2"/>
  <c r="W97" i="5"/>
  <c r="X97" i="5" s="1"/>
  <c r="V96" i="2"/>
  <c r="AC107" i="5"/>
  <c r="AM106" i="5"/>
  <c r="BG254" i="5"/>
  <c r="AK99" i="2"/>
  <c r="AB100" i="2"/>
  <c r="AD100" i="2" s="1"/>
  <c r="BB102" i="5" l="1"/>
  <c r="AT103" i="5"/>
  <c r="AT103" i="2"/>
  <c r="N98" i="5"/>
  <c r="O98" i="5"/>
  <c r="P98" i="5" s="1"/>
  <c r="AE107" i="5"/>
  <c r="AF107" i="5" s="1"/>
  <c r="AL107" i="5" s="1"/>
  <c r="BG255" i="5"/>
  <c r="W96" i="2"/>
  <c r="M97" i="2"/>
  <c r="N97" i="2"/>
  <c r="O97" i="2" s="1"/>
  <c r="AV103" i="5" l="1"/>
  <c r="AW103" i="5" s="1"/>
  <c r="AU103" i="2"/>
  <c r="AY103" i="2" s="1"/>
  <c r="S98" i="5"/>
  <c r="T98" i="5" s="1"/>
  <c r="W98" i="5" s="1"/>
  <c r="X98" i="5" s="1"/>
  <c r="AM107" i="5"/>
  <c r="AC108" i="5"/>
  <c r="BG256" i="5"/>
  <c r="R97" i="2"/>
  <c r="S97" i="2" s="1"/>
  <c r="AE100" i="2"/>
  <c r="AJ100" i="2" s="1"/>
  <c r="BA103" i="5" l="1"/>
  <c r="V97" i="2"/>
  <c r="AE108" i="5"/>
  <c r="AF108" i="5" s="1"/>
  <c r="BG257" i="5"/>
  <c r="O99" i="5"/>
  <c r="P99" i="5" s="1"/>
  <c r="N99" i="5"/>
  <c r="AK100" i="2"/>
  <c r="AB101" i="2"/>
  <c r="AD101" i="2" s="1"/>
  <c r="AT104" i="5" l="1"/>
  <c r="BB103" i="5"/>
  <c r="I34" i="9"/>
  <c r="I34" i="8"/>
  <c r="I34" i="7"/>
  <c r="AR104" i="2"/>
  <c r="AZ103" i="2"/>
  <c r="I34" i="6"/>
  <c r="AL108" i="5"/>
  <c r="AC109" i="5" s="1"/>
  <c r="S99" i="5"/>
  <c r="T99" i="5" s="1"/>
  <c r="BG258" i="5"/>
  <c r="W97" i="2"/>
  <c r="M98" i="2"/>
  <c r="N98" i="2"/>
  <c r="O98" i="2" s="1"/>
  <c r="AE101" i="2"/>
  <c r="AV104" i="5" l="1"/>
  <c r="AT104" i="2"/>
  <c r="W99" i="5"/>
  <c r="X99" i="5" s="1"/>
  <c r="AM108" i="5"/>
  <c r="AE109" i="5"/>
  <c r="BG259" i="5"/>
  <c r="R98" i="2"/>
  <c r="S98" i="2" s="1"/>
  <c r="AJ101" i="2"/>
  <c r="AW104" i="5" l="1"/>
  <c r="BA104" i="5" s="1"/>
  <c r="AU104" i="2"/>
  <c r="AY104" i="2" s="1"/>
  <c r="V98" i="2"/>
  <c r="AF109" i="5"/>
  <c r="AL109" i="5" s="1"/>
  <c r="BG260" i="5"/>
  <c r="N100" i="5"/>
  <c r="O100" i="5"/>
  <c r="P100" i="5" s="1"/>
  <c r="AK101" i="2"/>
  <c r="AB102" i="2"/>
  <c r="AD102" i="2" s="1"/>
  <c r="BB104" i="5" l="1"/>
  <c r="AT105" i="5"/>
  <c r="AZ104" i="2"/>
  <c r="AR105" i="2"/>
  <c r="AC110" i="5"/>
  <c r="AM109" i="5"/>
  <c r="S100" i="5"/>
  <c r="T100" i="5" s="1"/>
  <c r="BG261" i="5"/>
  <c r="W98" i="2"/>
  <c r="N99" i="2"/>
  <c r="O99" i="2" s="1"/>
  <c r="M99" i="2"/>
  <c r="AV105" i="5" l="1"/>
  <c r="AW105" i="5" s="1"/>
  <c r="AT105" i="2"/>
  <c r="W100" i="5"/>
  <c r="X100" i="5" s="1"/>
  <c r="AE110" i="5"/>
  <c r="AF110" i="5" s="1"/>
  <c r="BG262" i="5"/>
  <c r="R99" i="2"/>
  <c r="S99" i="2" s="1"/>
  <c r="AE102" i="2"/>
  <c r="AJ102" i="2" s="1"/>
  <c r="BA105" i="5" l="1"/>
  <c r="AU105" i="2"/>
  <c r="AY105" i="2" s="1"/>
  <c r="V99" i="2"/>
  <c r="AL110" i="5"/>
  <c r="AM110" i="5" s="1"/>
  <c r="BG263" i="5"/>
  <c r="N101" i="5"/>
  <c r="O101" i="5"/>
  <c r="P101" i="5" s="1"/>
  <c r="AB103" i="2"/>
  <c r="AD103" i="2" s="1"/>
  <c r="AK102" i="2"/>
  <c r="BB105" i="5" l="1"/>
  <c r="AT106" i="5"/>
  <c r="AZ105" i="2"/>
  <c r="AR106" i="2"/>
  <c r="AC111" i="5"/>
  <c r="AE111" i="5" s="1"/>
  <c r="AF111" i="5" s="1"/>
  <c r="S101" i="5"/>
  <c r="T101" i="5" s="1"/>
  <c r="BG264" i="5"/>
  <c r="W99" i="2"/>
  <c r="N100" i="2"/>
  <c r="O100" i="2" s="1"/>
  <c r="M100" i="2"/>
  <c r="AV106" i="5" l="1"/>
  <c r="AW106" i="5" s="1"/>
  <c r="AT106" i="2"/>
  <c r="AU106" i="2" s="1"/>
  <c r="W101" i="5"/>
  <c r="X101" i="5" s="1"/>
  <c r="AL111" i="5"/>
  <c r="AM111" i="5" s="1"/>
  <c r="BG265" i="5"/>
  <c r="R100" i="2"/>
  <c r="S100" i="2" s="1"/>
  <c r="AE103" i="2"/>
  <c r="AJ103" i="2" s="1"/>
  <c r="BA106" i="5" l="1"/>
  <c r="AY106" i="2"/>
  <c r="V100" i="2"/>
  <c r="AC112" i="5"/>
  <c r="AE112" i="5" s="1"/>
  <c r="AF112" i="5" s="1"/>
  <c r="AL112" i="5" s="1"/>
  <c r="BG266" i="5"/>
  <c r="J34" i="7"/>
  <c r="J34" i="6"/>
  <c r="O102" i="5"/>
  <c r="P102" i="5" s="1"/>
  <c r="N102" i="5"/>
  <c r="AK103" i="2"/>
  <c r="AB104" i="2"/>
  <c r="AD104" i="2" s="1"/>
  <c r="BB106" i="5" l="1"/>
  <c r="AT107" i="5"/>
  <c r="AV107" i="5" s="1"/>
  <c r="AW107" i="5" s="1"/>
  <c r="AR107" i="2"/>
  <c r="AZ106" i="2"/>
  <c r="AM112" i="5"/>
  <c r="AC113" i="5"/>
  <c r="S102" i="5"/>
  <c r="T102" i="5" s="1"/>
  <c r="BG267" i="5"/>
  <c r="W100" i="2"/>
  <c r="M101" i="2"/>
  <c r="N101" i="2"/>
  <c r="O101" i="2" s="1"/>
  <c r="AE104" i="2"/>
  <c r="BA107" i="5" l="1"/>
  <c r="AT107" i="2"/>
  <c r="W102" i="5"/>
  <c r="X102" i="5" s="1"/>
  <c r="AE113" i="5"/>
  <c r="AF113" i="5" s="1"/>
  <c r="BG268" i="5"/>
  <c r="R101" i="2"/>
  <c r="S101" i="2" s="1"/>
  <c r="AJ104" i="2"/>
  <c r="BB107" i="5" l="1"/>
  <c r="AT108" i="5"/>
  <c r="AU107" i="2"/>
  <c r="AY107" i="2" s="1"/>
  <c r="V101" i="2"/>
  <c r="O103" i="5"/>
  <c r="P103" i="5" s="1"/>
  <c r="N103" i="5"/>
  <c r="AL113" i="5"/>
  <c r="BG269" i="5"/>
  <c r="AK104" i="2"/>
  <c r="AB105" i="2"/>
  <c r="AD105" i="2" s="1"/>
  <c r="AV108" i="5" l="1"/>
  <c r="AW108" i="5" s="1"/>
  <c r="AR108" i="2"/>
  <c r="AZ107" i="2"/>
  <c r="S103" i="5"/>
  <c r="T103" i="5" s="1"/>
  <c r="AC114" i="5"/>
  <c r="AE114" i="5" s="1"/>
  <c r="AF114" i="5" s="1"/>
  <c r="AM113" i="5"/>
  <c r="BG270" i="5"/>
  <c r="W101" i="2"/>
  <c r="N102" i="2"/>
  <c r="O102" i="2" s="1"/>
  <c r="M102" i="2"/>
  <c r="AE105" i="2"/>
  <c r="BA108" i="5" l="1"/>
  <c r="AT108" i="2"/>
  <c r="W103" i="5"/>
  <c r="X103" i="5" s="1"/>
  <c r="AL114" i="5"/>
  <c r="BG271" i="5"/>
  <c r="R102" i="2"/>
  <c r="S102" i="2" s="1"/>
  <c r="AJ105" i="2"/>
  <c r="AT109" i="5" l="1"/>
  <c r="BB108" i="5"/>
  <c r="AU108" i="2"/>
  <c r="AY108" i="2" s="1"/>
  <c r="N104" i="5"/>
  <c r="O104" i="5"/>
  <c r="P104" i="5" s="1"/>
  <c r="H34" i="8"/>
  <c r="H34" i="9"/>
  <c r="V102" i="2"/>
  <c r="AM114" i="5"/>
  <c r="AC115" i="5"/>
  <c r="AE115" i="5" s="1"/>
  <c r="AF115" i="5" s="1"/>
  <c r="AL115" i="5" s="1"/>
  <c r="BG272" i="5"/>
  <c r="AK105" i="2"/>
  <c r="AB106" i="2"/>
  <c r="AD106" i="2" s="1"/>
  <c r="AV109" i="5" l="1"/>
  <c r="AW109" i="5" s="1"/>
  <c r="AZ108" i="2"/>
  <c r="AR109" i="2"/>
  <c r="AT109" i="2" s="1"/>
  <c r="S104" i="5"/>
  <c r="T104" i="5" s="1"/>
  <c r="AC116" i="5"/>
  <c r="AM115" i="5"/>
  <c r="J35" i="9"/>
  <c r="J35" i="8"/>
  <c r="BG273" i="5"/>
  <c r="W102" i="2"/>
  <c r="N103" i="2"/>
  <c r="O103" i="2" s="1"/>
  <c r="M103" i="2"/>
  <c r="AE106" i="2"/>
  <c r="BA109" i="5" l="1"/>
  <c r="AU109" i="2"/>
  <c r="AY109" i="2" s="1"/>
  <c r="W104" i="5"/>
  <c r="X104" i="5" s="1"/>
  <c r="AE116" i="5"/>
  <c r="AF116" i="5" s="1"/>
  <c r="BG274" i="5"/>
  <c r="R103" i="2"/>
  <c r="S103" i="2" s="1"/>
  <c r="AJ106" i="2"/>
  <c r="BB109" i="5" l="1"/>
  <c r="AT110" i="5"/>
  <c r="AR110" i="2"/>
  <c r="AT110" i="2" s="1"/>
  <c r="AU110" i="2" s="1"/>
  <c r="AZ109" i="2"/>
  <c r="N105" i="5"/>
  <c r="O105" i="5"/>
  <c r="P105" i="5" s="1"/>
  <c r="V103" i="2"/>
  <c r="AL116" i="5"/>
  <c r="AM116" i="5" s="1"/>
  <c r="BG275" i="5"/>
  <c r="AK106" i="2"/>
  <c r="AB107" i="2"/>
  <c r="AD107" i="2" s="1"/>
  <c r="AV110" i="5" l="1"/>
  <c r="AW110" i="5" s="1"/>
  <c r="AY110" i="2"/>
  <c r="S105" i="5"/>
  <c r="T105" i="5" s="1"/>
  <c r="AC117" i="5"/>
  <c r="AE117" i="5" s="1"/>
  <c r="AF117" i="5" s="1"/>
  <c r="BG276" i="5"/>
  <c r="H34" i="7"/>
  <c r="L34" i="7" s="1"/>
  <c r="H34" i="6"/>
  <c r="L34" i="6" s="1"/>
  <c r="W103" i="2"/>
  <c r="M104" i="2"/>
  <c r="N104" i="2"/>
  <c r="O104" i="2" s="1"/>
  <c r="AE107" i="2"/>
  <c r="AJ107" i="2" s="1"/>
  <c r="BA110" i="5" l="1"/>
  <c r="AR111" i="2"/>
  <c r="AZ110" i="2"/>
  <c r="W105" i="5"/>
  <c r="X105" i="5" s="1"/>
  <c r="AL117" i="5"/>
  <c r="AM117" i="5" s="1"/>
  <c r="BG277" i="5"/>
  <c r="M34" i="6"/>
  <c r="M34" i="7"/>
  <c r="R104" i="2"/>
  <c r="S104" i="2" s="1"/>
  <c r="AK107" i="2"/>
  <c r="AB108" i="2"/>
  <c r="AD108" i="2" s="1"/>
  <c r="BB110" i="5" l="1"/>
  <c r="AT111" i="5"/>
  <c r="AT111" i="2"/>
  <c r="AU111" i="2" s="1"/>
  <c r="N106" i="5"/>
  <c r="O106" i="5"/>
  <c r="P106" i="5" s="1"/>
  <c r="V104" i="2"/>
  <c r="AC118" i="5"/>
  <c r="AE118" i="5" s="1"/>
  <c r="AF118" i="5" s="1"/>
  <c r="BG278" i="5"/>
  <c r="AV111" i="5" l="1"/>
  <c r="AW111" i="5" s="1"/>
  <c r="AY111" i="2"/>
  <c r="AZ111" i="2" s="1"/>
  <c r="S106" i="5"/>
  <c r="T106" i="5" s="1"/>
  <c r="AL118" i="5"/>
  <c r="AM118" i="5" s="1"/>
  <c r="BG279" i="5"/>
  <c r="W104" i="2"/>
  <c r="N105" i="2"/>
  <c r="O105" i="2" s="1"/>
  <c r="M105" i="2"/>
  <c r="AE108" i="2"/>
  <c r="AJ108" i="2" s="1"/>
  <c r="AR112" i="2" l="1"/>
  <c r="AT112" i="2" s="1"/>
  <c r="AU112" i="2" s="1"/>
  <c r="BA111" i="5"/>
  <c r="W106" i="5"/>
  <c r="X106" i="5" s="1"/>
  <c r="AC119" i="5"/>
  <c r="AE119" i="5" s="1"/>
  <c r="AF119" i="5" s="1"/>
  <c r="BG280" i="5"/>
  <c r="R105" i="2"/>
  <c r="S105" i="2" s="1"/>
  <c r="AK108" i="2"/>
  <c r="AB109" i="2"/>
  <c r="AD109" i="2" s="1"/>
  <c r="AT112" i="5" l="1"/>
  <c r="BB111" i="5"/>
  <c r="AY112" i="2"/>
  <c r="AZ112" i="2" s="1"/>
  <c r="O107" i="5"/>
  <c r="P107" i="5" s="1"/>
  <c r="N107" i="5"/>
  <c r="V105" i="2"/>
  <c r="AL119" i="5"/>
  <c r="AM119" i="5" s="1"/>
  <c r="BG281" i="5"/>
  <c r="AR113" i="2" l="1"/>
  <c r="AT113" i="2" s="1"/>
  <c r="AV112" i="5"/>
  <c r="AW112" i="5" s="1"/>
  <c r="S107" i="5"/>
  <c r="T107" i="5" s="1"/>
  <c r="W107" i="5" s="1"/>
  <c r="X107" i="5" s="1"/>
  <c r="AC120" i="5"/>
  <c r="AE120" i="5" s="1"/>
  <c r="AF120" i="5" s="1"/>
  <c r="BG282" i="5"/>
  <c r="W105" i="2"/>
  <c r="M106" i="2"/>
  <c r="N106" i="2"/>
  <c r="O106" i="2" s="1"/>
  <c r="AE109" i="2"/>
  <c r="AJ109" i="2" s="1"/>
  <c r="BA112" i="5" l="1"/>
  <c r="AU113" i="2"/>
  <c r="AY113" i="2" s="1"/>
  <c r="AL120" i="5"/>
  <c r="BG283" i="5"/>
  <c r="O108" i="5"/>
  <c r="P108" i="5" s="1"/>
  <c r="N108" i="5"/>
  <c r="R106" i="2"/>
  <c r="S106" i="2" s="1"/>
  <c r="AB110" i="2"/>
  <c r="AD110" i="2" s="1"/>
  <c r="AK109" i="2"/>
  <c r="BB112" i="5" l="1"/>
  <c r="AT113" i="5"/>
  <c r="AZ113" i="2"/>
  <c r="AR114" i="2"/>
  <c r="AT114" i="2" s="1"/>
  <c r="AU114" i="2" s="1"/>
  <c r="V106" i="2"/>
  <c r="AC121" i="5"/>
  <c r="AM120" i="5"/>
  <c r="S108" i="5"/>
  <c r="T108" i="5" s="1"/>
  <c r="BG284" i="5"/>
  <c r="AV113" i="5" l="1"/>
  <c r="AW113" i="5" s="1"/>
  <c r="AY114" i="2"/>
  <c r="W108" i="5"/>
  <c r="X108" i="5" s="1"/>
  <c r="AE121" i="5"/>
  <c r="AF121" i="5" s="1"/>
  <c r="BG285" i="5"/>
  <c r="W106" i="2"/>
  <c r="N107" i="2"/>
  <c r="O107" i="2" s="1"/>
  <c r="M107" i="2"/>
  <c r="AE110" i="2"/>
  <c r="AJ110" i="2" s="1"/>
  <c r="AZ114" i="2" l="1"/>
  <c r="BA113" i="5"/>
  <c r="AR115" i="2"/>
  <c r="AL121" i="5"/>
  <c r="BG286" i="5"/>
  <c r="O109" i="5"/>
  <c r="P109" i="5" s="1"/>
  <c r="N109" i="5"/>
  <c r="R107" i="2"/>
  <c r="S107" i="2" s="1"/>
  <c r="AB111" i="2"/>
  <c r="AD111" i="2" s="1"/>
  <c r="AK110" i="2"/>
  <c r="BB113" i="5" l="1"/>
  <c r="AT114" i="5"/>
  <c r="AT115" i="2"/>
  <c r="AU115" i="2" s="1"/>
  <c r="V107" i="2"/>
  <c r="AM121" i="5"/>
  <c r="AC122" i="5"/>
  <c r="S109" i="5"/>
  <c r="T109" i="5" s="1"/>
  <c r="BG287" i="5"/>
  <c r="AY115" i="2" l="1"/>
  <c r="AR116" i="2" s="1"/>
  <c r="AV114" i="5"/>
  <c r="AW114" i="5" s="1"/>
  <c r="W109" i="5"/>
  <c r="X109" i="5" s="1"/>
  <c r="AE122" i="5"/>
  <c r="AF122" i="5" s="1"/>
  <c r="BG288" i="5"/>
  <c r="W107" i="2"/>
  <c r="N108" i="2"/>
  <c r="O108" i="2" s="1"/>
  <c r="M108" i="2"/>
  <c r="AE111" i="2"/>
  <c r="AJ111" i="2" s="1"/>
  <c r="I35" i="7" l="1"/>
  <c r="I35" i="6"/>
  <c r="AZ115" i="2"/>
  <c r="BA114" i="5"/>
  <c r="AT116" i="2"/>
  <c r="AU116" i="2" s="1"/>
  <c r="AL122" i="5"/>
  <c r="BG289" i="5"/>
  <c r="O110" i="5"/>
  <c r="P110" i="5" s="1"/>
  <c r="N110" i="5"/>
  <c r="R108" i="2"/>
  <c r="S108" i="2" s="1"/>
  <c r="AK111" i="2"/>
  <c r="AB112" i="2"/>
  <c r="AD112" i="2" s="1"/>
  <c r="AT115" i="5" l="1"/>
  <c r="BB114" i="5"/>
  <c r="AY116" i="2"/>
  <c r="V108" i="2"/>
  <c r="AM122" i="5"/>
  <c r="AC123" i="5"/>
  <c r="S110" i="5"/>
  <c r="T110" i="5" s="1"/>
  <c r="BG290" i="5"/>
  <c r="AE112" i="2"/>
  <c r="AJ112" i="2" s="1"/>
  <c r="AV115" i="5" l="1"/>
  <c r="AW115" i="5" s="1"/>
  <c r="AR117" i="2"/>
  <c r="AZ116" i="2"/>
  <c r="W110" i="5"/>
  <c r="X110" i="5" s="1"/>
  <c r="AE123" i="5"/>
  <c r="AF123" i="5" s="1"/>
  <c r="BG291" i="5"/>
  <c r="W108" i="2"/>
  <c r="N109" i="2"/>
  <c r="O109" i="2" s="1"/>
  <c r="M109" i="2"/>
  <c r="AB113" i="2"/>
  <c r="AD113" i="2" s="1"/>
  <c r="AK112" i="2"/>
  <c r="BA115" i="5" l="1"/>
  <c r="AT117" i="2"/>
  <c r="AU117" i="2" s="1"/>
  <c r="AY117" i="2" s="1"/>
  <c r="AL123" i="5"/>
  <c r="BG292" i="5"/>
  <c r="O111" i="5"/>
  <c r="P111" i="5" s="1"/>
  <c r="N111" i="5"/>
  <c r="R109" i="2"/>
  <c r="S109" i="2" s="1"/>
  <c r="AE113" i="2"/>
  <c r="AJ113" i="2" s="1"/>
  <c r="AT116" i="5" l="1"/>
  <c r="I35" i="8"/>
  <c r="BB115" i="5"/>
  <c r="I35" i="9"/>
  <c r="AZ117" i="2"/>
  <c r="AR118" i="2"/>
  <c r="V109" i="2"/>
  <c r="AM123" i="5"/>
  <c r="AC124" i="5"/>
  <c r="S111" i="5"/>
  <c r="T111" i="5" s="1"/>
  <c r="BG293" i="5"/>
  <c r="AK113" i="2"/>
  <c r="AB114" i="2"/>
  <c r="AD114" i="2" s="1"/>
  <c r="AV116" i="5" l="1"/>
  <c r="AW116" i="5" s="1"/>
  <c r="AT118" i="2"/>
  <c r="AU118" i="2" s="1"/>
  <c r="W111" i="5"/>
  <c r="X111" i="5" s="1"/>
  <c r="AE124" i="5"/>
  <c r="AF124" i="5" s="1"/>
  <c r="BG294" i="5"/>
  <c r="W109" i="2"/>
  <c r="N110" i="2"/>
  <c r="O110" i="2" s="1"/>
  <c r="M110" i="2"/>
  <c r="AE114" i="2"/>
  <c r="BA116" i="5" l="1"/>
  <c r="AY118" i="2"/>
  <c r="AL124" i="5"/>
  <c r="AM124" i="5" s="1"/>
  <c r="BG295" i="5"/>
  <c r="O112" i="5"/>
  <c r="P112" i="5" s="1"/>
  <c r="N112" i="5"/>
  <c r="R110" i="2"/>
  <c r="S110" i="2" s="1"/>
  <c r="AJ114" i="2"/>
  <c r="AT117" i="5" l="1"/>
  <c r="BB116" i="5"/>
  <c r="AZ118" i="2"/>
  <c r="AR119" i="2"/>
  <c r="V110" i="2"/>
  <c r="AC125" i="5"/>
  <c r="AE125" i="5" s="1"/>
  <c r="AF125" i="5" s="1"/>
  <c r="S112" i="5"/>
  <c r="T112" i="5" s="1"/>
  <c r="BG296" i="5"/>
  <c r="AK114" i="2"/>
  <c r="AB115" i="2"/>
  <c r="AD115" i="2" s="1"/>
  <c r="AV117" i="5" l="1"/>
  <c r="AW117" i="5" s="1"/>
  <c r="AT119" i="2"/>
  <c r="W112" i="5"/>
  <c r="X112" i="5" s="1"/>
  <c r="AL125" i="5"/>
  <c r="BG297" i="5"/>
  <c r="W110" i="2"/>
  <c r="M111" i="2"/>
  <c r="N111" i="2"/>
  <c r="O111" i="2" s="1"/>
  <c r="AE115" i="2"/>
  <c r="AU119" i="2" l="1"/>
  <c r="AY119" i="2" s="1"/>
  <c r="BA117" i="5"/>
  <c r="AC126" i="5"/>
  <c r="AM125" i="5"/>
  <c r="BG298" i="5"/>
  <c r="N113" i="5"/>
  <c r="O113" i="5"/>
  <c r="P113" i="5" s="1"/>
  <c r="R111" i="2"/>
  <c r="S111" i="2" s="1"/>
  <c r="AJ115" i="2"/>
  <c r="AR120" i="2" l="1"/>
  <c r="AT120" i="2" s="1"/>
  <c r="AZ119" i="2"/>
  <c r="AT118" i="5"/>
  <c r="BB117" i="5"/>
  <c r="V111" i="2"/>
  <c r="AE126" i="5"/>
  <c r="AF126" i="5" s="1"/>
  <c r="S113" i="5"/>
  <c r="T113" i="5" s="1"/>
  <c r="BG299" i="5"/>
  <c r="J35" i="7"/>
  <c r="J35" i="6"/>
  <c r="AK115" i="2"/>
  <c r="AB116" i="2"/>
  <c r="AD116" i="2" s="1"/>
  <c r="AU120" i="2" l="1"/>
  <c r="AY120" i="2" s="1"/>
  <c r="AV118" i="5"/>
  <c r="AW118" i="5" s="1"/>
  <c r="W113" i="5"/>
  <c r="X113" i="5" s="1"/>
  <c r="AL126" i="5"/>
  <c r="BG300" i="5"/>
  <c r="W111" i="2"/>
  <c r="M112" i="2"/>
  <c r="N112" i="2"/>
  <c r="O112" i="2" s="1"/>
  <c r="AE116" i="2"/>
  <c r="AR121" i="2" l="1"/>
  <c r="AT121" i="2" s="1"/>
  <c r="AU121" i="2" s="1"/>
  <c r="AZ120" i="2"/>
  <c r="BA118" i="5"/>
  <c r="AM126" i="5"/>
  <c r="AC127" i="5"/>
  <c r="BG301" i="5"/>
  <c r="O114" i="5"/>
  <c r="P114" i="5" s="1"/>
  <c r="N114" i="5"/>
  <c r="R112" i="2"/>
  <c r="S112" i="2" s="1"/>
  <c r="AJ116" i="2"/>
  <c r="AT119" i="5" l="1"/>
  <c r="BB118" i="5"/>
  <c r="AY121" i="2"/>
  <c r="V112" i="2"/>
  <c r="AE127" i="5"/>
  <c r="S114" i="5"/>
  <c r="T114" i="5" s="1"/>
  <c r="BG302" i="5"/>
  <c r="AK116" i="2"/>
  <c r="AB117" i="2"/>
  <c r="AD117" i="2" s="1"/>
  <c r="AR122" i="2" l="1"/>
  <c r="AT122" i="2" s="1"/>
  <c r="AZ121" i="2"/>
  <c r="AV119" i="5"/>
  <c r="W114" i="5"/>
  <c r="X114" i="5" s="1"/>
  <c r="AF127" i="5"/>
  <c r="AL127" i="5" s="1"/>
  <c r="BG303" i="5"/>
  <c r="W112" i="2"/>
  <c r="N113" i="2"/>
  <c r="O113" i="2" s="1"/>
  <c r="M113" i="2"/>
  <c r="AE117" i="2"/>
  <c r="AW119" i="5" l="1"/>
  <c r="BA119" i="5" s="1"/>
  <c r="AU122" i="2"/>
  <c r="AY122" i="2" s="1"/>
  <c r="AC128" i="5"/>
  <c r="AE128" i="5" s="1"/>
  <c r="AF128" i="5" s="1"/>
  <c r="AL128" i="5" s="1"/>
  <c r="AM127" i="5"/>
  <c r="J36" i="8"/>
  <c r="J36" i="9"/>
  <c r="BG304" i="5"/>
  <c r="N115" i="5"/>
  <c r="O115" i="5"/>
  <c r="P115" i="5" s="1"/>
  <c r="R113" i="2"/>
  <c r="S113" i="2" s="1"/>
  <c r="AJ117" i="2"/>
  <c r="BB119" i="5" l="1"/>
  <c r="AT120" i="5"/>
  <c r="AZ122" i="2"/>
  <c r="AR123" i="2"/>
  <c r="V113" i="2"/>
  <c r="S115" i="5"/>
  <c r="T115" i="5" s="1"/>
  <c r="BG305" i="5"/>
  <c r="AC129" i="5"/>
  <c r="AM128" i="5"/>
  <c r="AK117" i="2"/>
  <c r="AB118" i="2"/>
  <c r="AD118" i="2" s="1"/>
  <c r="AV120" i="5" l="1"/>
  <c r="AW120" i="5" s="1"/>
  <c r="AT123" i="2"/>
  <c r="AU123" i="2" s="1"/>
  <c r="W115" i="5"/>
  <c r="X115" i="5" s="1"/>
  <c r="AE129" i="5"/>
  <c r="AF129" i="5" s="1"/>
  <c r="BG306" i="5"/>
  <c r="W113" i="2"/>
  <c r="N114" i="2"/>
  <c r="O114" i="2" s="1"/>
  <c r="M114" i="2"/>
  <c r="AE118" i="2"/>
  <c r="BA120" i="5" l="1"/>
  <c r="AY123" i="2"/>
  <c r="AR124" i="2" s="1"/>
  <c r="BG307" i="5"/>
  <c r="H35" i="9"/>
  <c r="H35" i="8"/>
  <c r="N116" i="5"/>
  <c r="O116" i="5"/>
  <c r="P116" i="5" s="1"/>
  <c r="R114" i="2"/>
  <c r="S114" i="2" s="1"/>
  <c r="AL129" i="5"/>
  <c r="AJ118" i="2"/>
  <c r="AZ123" i="2" l="1"/>
  <c r="BB120" i="5"/>
  <c r="AT121" i="5"/>
  <c r="AT124" i="2"/>
  <c r="AU124" i="2" s="1"/>
  <c r="V114" i="2"/>
  <c r="S116" i="5"/>
  <c r="T116" i="5" s="1"/>
  <c r="BG308" i="5"/>
  <c r="AC130" i="5"/>
  <c r="AM129" i="5"/>
  <c r="AK118" i="2"/>
  <c r="AB119" i="2"/>
  <c r="AD119" i="2" s="1"/>
  <c r="AV121" i="5" l="1"/>
  <c r="AW121" i="5" s="1"/>
  <c r="AY124" i="2"/>
  <c r="W116" i="5"/>
  <c r="X116" i="5" s="1"/>
  <c r="AE130" i="5"/>
  <c r="AF130" i="5" s="1"/>
  <c r="AL130" i="5" s="1"/>
  <c r="BG309" i="5"/>
  <c r="W114" i="2"/>
  <c r="N115" i="2"/>
  <c r="O115" i="2" s="1"/>
  <c r="M115" i="2"/>
  <c r="AE119" i="2"/>
  <c r="AZ124" i="2" l="1"/>
  <c r="BA121" i="5"/>
  <c r="AR125" i="2"/>
  <c r="AT125" i="2" s="1"/>
  <c r="AU125" i="2" s="1"/>
  <c r="BG310" i="5"/>
  <c r="O117" i="5"/>
  <c r="P117" i="5" s="1"/>
  <c r="N117" i="5"/>
  <c r="R115" i="2"/>
  <c r="S115" i="2" s="1"/>
  <c r="AC131" i="5"/>
  <c r="AM130" i="5"/>
  <c r="AJ119" i="2"/>
  <c r="AT122" i="5" l="1"/>
  <c r="BB121" i="5"/>
  <c r="AY125" i="2"/>
  <c r="V115" i="2"/>
  <c r="AE131" i="5"/>
  <c r="AF131" i="5" s="1"/>
  <c r="AL131" i="5" s="1"/>
  <c r="S117" i="5"/>
  <c r="T117" i="5" s="1"/>
  <c r="BG311" i="5"/>
  <c r="AK119" i="2"/>
  <c r="AB120" i="2"/>
  <c r="AD120" i="2" s="1"/>
  <c r="AV122" i="5" l="1"/>
  <c r="AW122" i="5" s="1"/>
  <c r="W117" i="5"/>
  <c r="X117" i="5" s="1"/>
  <c r="BG312" i="5"/>
  <c r="AZ125" i="2"/>
  <c r="H35" i="7"/>
  <c r="L35" i="7" s="1"/>
  <c r="H35" i="6"/>
  <c r="L35" i="6" s="1"/>
  <c r="M116" i="2"/>
  <c r="W115" i="2"/>
  <c r="N116" i="2"/>
  <c r="O116" i="2" s="1"/>
  <c r="AC132" i="5"/>
  <c r="AM131" i="5"/>
  <c r="AR126" i="2"/>
  <c r="AE120" i="2"/>
  <c r="BA122" i="5" l="1"/>
  <c r="AT126" i="2"/>
  <c r="AE132" i="5"/>
  <c r="AF132" i="5" s="1"/>
  <c r="AL132" i="5" s="1"/>
  <c r="BG313" i="5"/>
  <c r="M35" i="6"/>
  <c r="M35" i="7"/>
  <c r="R116" i="2"/>
  <c r="S116" i="2" s="1"/>
  <c r="O118" i="5"/>
  <c r="P118" i="5" s="1"/>
  <c r="N118" i="5"/>
  <c r="AJ120" i="2"/>
  <c r="BB122" i="5" l="1"/>
  <c r="AT123" i="5"/>
  <c r="AU126" i="2"/>
  <c r="AY126" i="2" s="1"/>
  <c r="V116" i="2"/>
  <c r="S118" i="5"/>
  <c r="T118" i="5" s="1"/>
  <c r="BG314" i="5"/>
  <c r="AC133" i="5"/>
  <c r="AM132" i="5"/>
  <c r="AK120" i="2"/>
  <c r="AB121" i="2"/>
  <c r="AD121" i="2" s="1"/>
  <c r="AV123" i="5" l="1"/>
  <c r="AW123" i="5" s="1"/>
  <c r="W118" i="5"/>
  <c r="X118" i="5" s="1"/>
  <c r="AE133" i="5"/>
  <c r="AF133" i="5" s="1"/>
  <c r="BG315" i="5"/>
  <c r="AZ126" i="2"/>
  <c r="W116" i="2"/>
  <c r="N117" i="2"/>
  <c r="O117" i="2" s="1"/>
  <c r="M117" i="2"/>
  <c r="AR127" i="2"/>
  <c r="AE121" i="2"/>
  <c r="BA123" i="5" l="1"/>
  <c r="BG316" i="5"/>
  <c r="R117" i="2"/>
  <c r="S117" i="2" s="1"/>
  <c r="N119" i="5"/>
  <c r="O119" i="5"/>
  <c r="P119" i="5" s="1"/>
  <c r="AL133" i="5"/>
  <c r="AT127" i="2"/>
  <c r="AU127" i="2" s="1"/>
  <c r="AJ121" i="2"/>
  <c r="BB123" i="5" l="1"/>
  <c r="AT124" i="5"/>
  <c r="AY127" i="2"/>
  <c r="I36" i="7" s="1"/>
  <c r="V117" i="2"/>
  <c r="S119" i="5"/>
  <c r="T119" i="5" s="1"/>
  <c r="BG317" i="5"/>
  <c r="AC134" i="5"/>
  <c r="AM133" i="5"/>
  <c r="AK121" i="2"/>
  <c r="AB122" i="2"/>
  <c r="AD122" i="2" s="1"/>
  <c r="AR128" i="2" l="1"/>
  <c r="AT128" i="2" s="1"/>
  <c r="AZ127" i="2"/>
  <c r="I36" i="6"/>
  <c r="AV124" i="5"/>
  <c r="AW124" i="5" s="1"/>
  <c r="W119" i="5"/>
  <c r="X119" i="5" s="1"/>
  <c r="AE134" i="5"/>
  <c r="AF134" i="5" s="1"/>
  <c r="BG318" i="5"/>
  <c r="W117" i="2"/>
  <c r="M118" i="2"/>
  <c r="N118" i="2"/>
  <c r="O118" i="2" s="1"/>
  <c r="AE122" i="2"/>
  <c r="BA124" i="5" l="1"/>
  <c r="AU128" i="2"/>
  <c r="AY128" i="2" s="1"/>
  <c r="BG319" i="5"/>
  <c r="R118" i="2"/>
  <c r="S118" i="2" s="1"/>
  <c r="N120" i="5"/>
  <c r="O120" i="5"/>
  <c r="P120" i="5" s="1"/>
  <c r="AL134" i="5"/>
  <c r="AJ122" i="2"/>
  <c r="BB124" i="5" l="1"/>
  <c r="AT125" i="5"/>
  <c r="V118" i="2"/>
  <c r="S120" i="5"/>
  <c r="T120" i="5" s="1"/>
  <c r="BG320" i="5"/>
  <c r="AC135" i="5"/>
  <c r="AM134" i="5"/>
  <c r="AK122" i="2"/>
  <c r="AB123" i="2"/>
  <c r="AD123" i="2" s="1"/>
  <c r="AV125" i="5" l="1"/>
  <c r="AR129" i="2"/>
  <c r="AZ128" i="2"/>
  <c r="W120" i="5"/>
  <c r="X120" i="5" s="1"/>
  <c r="N119" i="2"/>
  <c r="O119" i="2" s="1"/>
  <c r="M119" i="2"/>
  <c r="W118" i="2"/>
  <c r="AE135" i="5"/>
  <c r="AF135" i="5" s="1"/>
  <c r="BG321" i="5"/>
  <c r="AE123" i="2"/>
  <c r="AW125" i="5" l="1"/>
  <c r="BA125" i="5" s="1"/>
  <c r="AT129" i="2"/>
  <c r="R119" i="2"/>
  <c r="S119" i="2" s="1"/>
  <c r="AL135" i="5"/>
  <c r="BG322" i="5"/>
  <c r="O121" i="5"/>
  <c r="P121" i="5" s="1"/>
  <c r="N121" i="5"/>
  <c r="AJ123" i="2"/>
  <c r="AT126" i="5" l="1"/>
  <c r="BB125" i="5"/>
  <c r="AU129" i="2"/>
  <c r="AY129" i="2" s="1"/>
  <c r="V119" i="2"/>
  <c r="AM135" i="5"/>
  <c r="AC136" i="5"/>
  <c r="AE136" i="5" s="1"/>
  <c r="AF136" i="5" s="1"/>
  <c r="AL136" i="5" s="1"/>
  <c r="S121" i="5"/>
  <c r="T121" i="5" s="1"/>
  <c r="BG323" i="5"/>
  <c r="AK123" i="2"/>
  <c r="AB124" i="2"/>
  <c r="AD124" i="2" s="1"/>
  <c r="AV126" i="5" l="1"/>
  <c r="AR130" i="2"/>
  <c r="AT130" i="2" s="1"/>
  <c r="AU130" i="2" s="1"/>
  <c r="AZ129" i="2"/>
  <c r="W121" i="5"/>
  <c r="X121" i="5" s="1"/>
  <c r="M120" i="2"/>
  <c r="W119" i="2"/>
  <c r="N120" i="2"/>
  <c r="O120" i="2" s="1"/>
  <c r="BG324" i="5"/>
  <c r="AC137" i="5"/>
  <c r="AM136" i="5"/>
  <c r="AE124" i="2"/>
  <c r="AW126" i="5" l="1"/>
  <c r="BA126" i="5" s="1"/>
  <c r="AY130" i="2"/>
  <c r="R120" i="2"/>
  <c r="S120" i="2" s="1"/>
  <c r="AE137" i="5"/>
  <c r="AF137" i="5" s="1"/>
  <c r="BG325" i="5"/>
  <c r="O122" i="5"/>
  <c r="P122" i="5" s="1"/>
  <c r="N122" i="5"/>
  <c r="AJ124" i="2"/>
  <c r="AT127" i="5" l="1"/>
  <c r="BB126" i="5"/>
  <c r="AR131" i="2"/>
  <c r="AZ130" i="2"/>
  <c r="V120" i="2"/>
  <c r="S122" i="5"/>
  <c r="T122" i="5" s="1"/>
  <c r="BG326" i="5"/>
  <c r="AL137" i="5"/>
  <c r="AK124" i="2"/>
  <c r="AB125" i="2"/>
  <c r="AD125" i="2" s="1"/>
  <c r="AV127" i="5" l="1"/>
  <c r="AW127" i="5" s="1"/>
  <c r="AT131" i="2"/>
  <c r="AU131" i="2" s="1"/>
  <c r="M121" i="2"/>
  <c r="N121" i="2"/>
  <c r="O121" i="2" s="1"/>
  <c r="W120" i="2"/>
  <c r="W122" i="5"/>
  <c r="X122" i="5" s="1"/>
  <c r="BG327" i="5"/>
  <c r="AC138" i="5"/>
  <c r="AM137" i="5"/>
  <c r="AE125" i="2"/>
  <c r="BA127" i="5" l="1"/>
  <c r="AY131" i="2"/>
  <c r="R121" i="2"/>
  <c r="S121" i="2" s="1"/>
  <c r="AE138" i="5"/>
  <c r="AF138" i="5" s="1"/>
  <c r="BG328" i="5"/>
  <c r="O123" i="5"/>
  <c r="P123" i="5" s="1"/>
  <c r="N123" i="5"/>
  <c r="AJ125" i="2"/>
  <c r="I36" i="9" l="1"/>
  <c r="BB127" i="5"/>
  <c r="I36" i="8"/>
  <c r="AT128" i="5"/>
  <c r="AZ131" i="2"/>
  <c r="AR132" i="2"/>
  <c r="AT132" i="2" s="1"/>
  <c r="AU132" i="2" s="1"/>
  <c r="V121" i="2"/>
  <c r="W121" i="2" s="1"/>
  <c r="S123" i="5"/>
  <c r="T123" i="5" s="1"/>
  <c r="BG329" i="5"/>
  <c r="AL138" i="5"/>
  <c r="AK125" i="2"/>
  <c r="AB126" i="2"/>
  <c r="AD126" i="2" s="1"/>
  <c r="AV128" i="5" l="1"/>
  <c r="AW128" i="5" s="1"/>
  <c r="AY132" i="2"/>
  <c r="N122" i="2"/>
  <c r="O122" i="2" s="1"/>
  <c r="M122" i="2"/>
  <c r="W123" i="5"/>
  <c r="X123" i="5" s="1"/>
  <c r="BG330" i="5"/>
  <c r="AC139" i="5"/>
  <c r="AM138" i="5"/>
  <c r="AE126" i="2"/>
  <c r="BA128" i="5" l="1"/>
  <c r="BB128" i="5" s="1"/>
  <c r="R122" i="2"/>
  <c r="S122" i="2" s="1"/>
  <c r="V122" i="2" s="1"/>
  <c r="AE139" i="5"/>
  <c r="AF139" i="5" s="1"/>
  <c r="BG331" i="5"/>
  <c r="N124" i="5"/>
  <c r="O124" i="5"/>
  <c r="P124" i="5" s="1"/>
  <c r="AZ132" i="2"/>
  <c r="AR133" i="2"/>
  <c r="AJ126" i="2"/>
  <c r="AT129" i="5" l="1"/>
  <c r="AV129" i="5" s="1"/>
  <c r="AW129" i="5" s="1"/>
  <c r="AT133" i="2"/>
  <c r="W122" i="2"/>
  <c r="N123" i="2"/>
  <c r="O123" i="2" s="1"/>
  <c r="M123" i="2"/>
  <c r="S124" i="5"/>
  <c r="T124" i="5" s="1"/>
  <c r="BG332" i="5"/>
  <c r="AK126" i="2"/>
  <c r="AB127" i="2"/>
  <c r="AD127" i="2" s="1"/>
  <c r="BA129" i="5" l="1"/>
  <c r="R123" i="2"/>
  <c r="S123" i="2" s="1"/>
  <c r="V123" i="2" s="1"/>
  <c r="W124" i="5"/>
  <c r="X124" i="5" s="1"/>
  <c r="BG333" i="5"/>
  <c r="AL139" i="5"/>
  <c r="AU133" i="2"/>
  <c r="AY133" i="2" s="1"/>
  <c r="AE127" i="2"/>
  <c r="AT130" i="5" l="1"/>
  <c r="BB129" i="5"/>
  <c r="BG334" i="5"/>
  <c r="J37" i="9"/>
  <c r="J37" i="8"/>
  <c r="AM139" i="5"/>
  <c r="N125" i="5"/>
  <c r="O125" i="5"/>
  <c r="P125" i="5" s="1"/>
  <c r="W123" i="2"/>
  <c r="N124" i="2"/>
  <c r="O124" i="2" s="1"/>
  <c r="M124" i="2"/>
  <c r="AC140" i="5"/>
  <c r="AR134" i="2"/>
  <c r="AZ133" i="2"/>
  <c r="AJ127" i="2"/>
  <c r="AV130" i="5" l="1"/>
  <c r="AW130" i="5" s="1"/>
  <c r="AT134" i="2"/>
  <c r="AE140" i="5"/>
  <c r="AF140" i="5" s="1"/>
  <c r="S125" i="5"/>
  <c r="T125" i="5" s="1"/>
  <c r="BG335" i="5"/>
  <c r="J36" i="7"/>
  <c r="J36" i="6"/>
  <c r="R124" i="2"/>
  <c r="S124" i="2" s="1"/>
  <c r="AK127" i="2"/>
  <c r="AB128" i="2"/>
  <c r="AD128" i="2" s="1"/>
  <c r="BA130" i="5" l="1"/>
  <c r="V124" i="2"/>
  <c r="W125" i="5"/>
  <c r="X125" i="5" s="1"/>
  <c r="BG336" i="5"/>
  <c r="AL140" i="5"/>
  <c r="AU134" i="2"/>
  <c r="AY134" i="2" s="1"/>
  <c r="AE128" i="2"/>
  <c r="AT131" i="5" l="1"/>
  <c r="BB130" i="5"/>
  <c r="BG337" i="5"/>
  <c r="AM140" i="5"/>
  <c r="AC141" i="5"/>
  <c r="O126" i="5"/>
  <c r="P126" i="5" s="1"/>
  <c r="N126" i="5"/>
  <c r="M125" i="2"/>
  <c r="W124" i="2"/>
  <c r="N125" i="2"/>
  <c r="O125" i="2" s="1"/>
  <c r="AJ128" i="2"/>
  <c r="AV131" i="5" l="1"/>
  <c r="AW131" i="5" s="1"/>
  <c r="AZ134" i="2"/>
  <c r="AR135" i="2"/>
  <c r="AT135" i="2" s="1"/>
  <c r="AE141" i="5"/>
  <c r="AF141" i="5" s="1"/>
  <c r="S126" i="5"/>
  <c r="T126" i="5" s="1"/>
  <c r="BG338" i="5"/>
  <c r="R125" i="2"/>
  <c r="S125" i="2" s="1"/>
  <c r="AK128" i="2"/>
  <c r="AB129" i="2"/>
  <c r="AD129" i="2" s="1"/>
  <c r="BA131" i="5" l="1"/>
  <c r="AU135" i="2"/>
  <c r="AY135" i="2" s="1"/>
  <c r="V125" i="2"/>
  <c r="W126" i="5"/>
  <c r="X126" i="5" s="1"/>
  <c r="BG339" i="5"/>
  <c r="AL141" i="5"/>
  <c r="AE129" i="2"/>
  <c r="AT132" i="5" l="1"/>
  <c r="BB131" i="5"/>
  <c r="N126" i="2"/>
  <c r="O126" i="2" s="1"/>
  <c r="W125" i="2"/>
  <c r="M126" i="2"/>
  <c r="BG340" i="5"/>
  <c r="AM141" i="5"/>
  <c r="AC142" i="5"/>
  <c r="O127" i="5"/>
  <c r="P127" i="5" s="1"/>
  <c r="N127" i="5"/>
  <c r="AZ135" i="2"/>
  <c r="AR136" i="2"/>
  <c r="AJ129" i="2"/>
  <c r="AV132" i="5" l="1"/>
  <c r="AW132" i="5" s="1"/>
  <c r="AT136" i="2"/>
  <c r="AU136" i="2" s="1"/>
  <c r="R126" i="2"/>
  <c r="S126" i="2" s="1"/>
  <c r="AE142" i="5"/>
  <c r="AF142" i="5" s="1"/>
  <c r="S127" i="5"/>
  <c r="T127" i="5" s="1"/>
  <c r="BG341" i="5"/>
  <c r="AK129" i="2"/>
  <c r="AB130" i="2"/>
  <c r="AD130" i="2" s="1"/>
  <c r="AY136" i="2" l="1"/>
  <c r="BA132" i="5"/>
  <c r="V126" i="2"/>
  <c r="W127" i="5"/>
  <c r="X127" i="5" s="1"/>
  <c r="BG342" i="5"/>
  <c r="AL142" i="5"/>
  <c r="AE130" i="2"/>
  <c r="BB132" i="5" l="1"/>
  <c r="AT133" i="5"/>
  <c r="M127" i="2"/>
  <c r="W126" i="2"/>
  <c r="N127" i="2"/>
  <c r="O127" i="2" s="1"/>
  <c r="BG343" i="5"/>
  <c r="AM142" i="5"/>
  <c r="AC143" i="5"/>
  <c r="H36" i="8"/>
  <c r="H36" i="9"/>
  <c r="N128" i="5"/>
  <c r="O128" i="5"/>
  <c r="P128" i="5" s="1"/>
  <c r="AZ136" i="2"/>
  <c r="AR137" i="2"/>
  <c r="AJ130" i="2"/>
  <c r="AV133" i="5" l="1"/>
  <c r="AW133" i="5" s="1"/>
  <c r="AT137" i="2"/>
  <c r="R127" i="2"/>
  <c r="S127" i="2" s="1"/>
  <c r="AE143" i="5"/>
  <c r="AF143" i="5" s="1"/>
  <c r="S128" i="5"/>
  <c r="T128" i="5" s="1"/>
  <c r="BG344" i="5"/>
  <c r="AK130" i="2"/>
  <c r="AB131" i="2"/>
  <c r="AD131" i="2" s="1"/>
  <c r="BA133" i="5" l="1"/>
  <c r="V127" i="2"/>
  <c r="W127" i="2" s="1"/>
  <c r="W128" i="5"/>
  <c r="X128" i="5" s="1"/>
  <c r="BG345" i="5"/>
  <c r="AL143" i="5"/>
  <c r="AU137" i="2"/>
  <c r="AY137" i="2" s="1"/>
  <c r="AE131" i="2"/>
  <c r="AT134" i="5" l="1"/>
  <c r="BB133" i="5"/>
  <c r="H36" i="6"/>
  <c r="L36" i="6" s="1"/>
  <c r="H36" i="7"/>
  <c r="L36" i="7" s="1"/>
  <c r="N128" i="2"/>
  <c r="O128" i="2" s="1"/>
  <c r="M128" i="2"/>
  <c r="BG346" i="5"/>
  <c r="AM143" i="5"/>
  <c r="AC144" i="5"/>
  <c r="M36" i="6"/>
  <c r="M36" i="7"/>
  <c r="O129" i="5"/>
  <c r="P129" i="5" s="1"/>
  <c r="N129" i="5"/>
  <c r="AZ137" i="2"/>
  <c r="AR138" i="2"/>
  <c r="AJ131" i="2"/>
  <c r="AV134" i="5" l="1"/>
  <c r="AT138" i="2"/>
  <c r="R128" i="2"/>
  <c r="S128" i="2" s="1"/>
  <c r="V128" i="2" s="1"/>
  <c r="AE144" i="5"/>
  <c r="AF144" i="5" s="1"/>
  <c r="AL144" i="5" s="1"/>
  <c r="S129" i="5"/>
  <c r="T129" i="5" s="1"/>
  <c r="W129" i="5" s="1"/>
  <c r="BG347" i="5"/>
  <c r="AK131" i="2"/>
  <c r="AB132" i="2"/>
  <c r="AD132" i="2" s="1"/>
  <c r="AW134" i="5" l="1"/>
  <c r="BA134" i="5" s="1"/>
  <c r="AU138" i="2"/>
  <c r="AY138" i="2" s="1"/>
  <c r="BG348" i="5"/>
  <c r="AM144" i="5"/>
  <c r="AC145" i="5"/>
  <c r="X129" i="5"/>
  <c r="W128" i="2"/>
  <c r="M129" i="2"/>
  <c r="N129" i="2"/>
  <c r="O129" i="2" s="1"/>
  <c r="AE132" i="2"/>
  <c r="AT135" i="5" l="1"/>
  <c r="BB134" i="5"/>
  <c r="AE145" i="5"/>
  <c r="AF145" i="5" s="1"/>
  <c r="AL145" i="5" s="1"/>
  <c r="BG349" i="5"/>
  <c r="AZ138" i="2"/>
  <c r="O130" i="5"/>
  <c r="P130" i="5" s="1"/>
  <c r="N130" i="5"/>
  <c r="R129" i="2"/>
  <c r="S129" i="2" s="1"/>
  <c r="AR139" i="2"/>
  <c r="AJ132" i="2"/>
  <c r="AV135" i="5" l="1"/>
  <c r="AW135" i="5" s="1"/>
  <c r="AT139" i="2"/>
  <c r="AU139" i="2" s="1"/>
  <c r="V129" i="2"/>
  <c r="S130" i="5"/>
  <c r="T130" i="5" s="1"/>
  <c r="BG350" i="5"/>
  <c r="AM145" i="5"/>
  <c r="AC146" i="5"/>
  <c r="AK132" i="2"/>
  <c r="AB133" i="2"/>
  <c r="AD133" i="2" s="1"/>
  <c r="AY139" i="2" l="1"/>
  <c r="BA135" i="5"/>
  <c r="W130" i="5"/>
  <c r="X130" i="5" s="1"/>
  <c r="AE146" i="5"/>
  <c r="AF146" i="5" s="1"/>
  <c r="AL146" i="5" s="1"/>
  <c r="BG351" i="5"/>
  <c r="W129" i="2"/>
  <c r="M130" i="2"/>
  <c r="N130" i="2"/>
  <c r="O130" i="2" s="1"/>
  <c r="AE133" i="2"/>
  <c r="BB135" i="5" l="1"/>
  <c r="AT136" i="5"/>
  <c r="BG352" i="5"/>
  <c r="AM146" i="5"/>
  <c r="AC147" i="5"/>
  <c r="O131" i="5"/>
  <c r="P131" i="5" s="1"/>
  <c r="I37" i="7"/>
  <c r="I37" i="6"/>
  <c r="N131" i="5"/>
  <c r="R130" i="2"/>
  <c r="S130" i="2" s="1"/>
  <c r="AR140" i="2"/>
  <c r="AZ139" i="2"/>
  <c r="AJ133" i="2"/>
  <c r="AV136" i="5" l="1"/>
  <c r="AW136" i="5" s="1"/>
  <c r="AT140" i="2"/>
  <c r="AU140" i="2" s="1"/>
  <c r="V130" i="2"/>
  <c r="AE147" i="5"/>
  <c r="AF147" i="5" s="1"/>
  <c r="AL147" i="5" s="1"/>
  <c r="S131" i="5"/>
  <c r="T131" i="5" s="1"/>
  <c r="BG353" i="5"/>
  <c r="AK133" i="2"/>
  <c r="AB134" i="2"/>
  <c r="AD134" i="2" s="1"/>
  <c r="BA136" i="5" l="1"/>
  <c r="AY140" i="2"/>
  <c r="AZ140" i="2" s="1"/>
  <c r="W131" i="5"/>
  <c r="X131" i="5" s="1"/>
  <c r="BG354" i="5"/>
  <c r="AM147" i="5"/>
  <c r="AC148" i="5"/>
  <c r="W130" i="2"/>
  <c r="N131" i="2"/>
  <c r="O131" i="2" s="1"/>
  <c r="M131" i="2"/>
  <c r="AE134" i="2"/>
  <c r="AR141" i="2" l="1"/>
  <c r="AT141" i="2" s="1"/>
  <c r="AU141" i="2" s="1"/>
  <c r="BB136" i="5"/>
  <c r="AT137" i="5"/>
  <c r="AE148" i="5"/>
  <c r="AF148" i="5" s="1"/>
  <c r="BG355" i="5"/>
  <c r="N132" i="5"/>
  <c r="O132" i="5"/>
  <c r="P132" i="5" s="1"/>
  <c r="R131" i="2"/>
  <c r="S131" i="2" s="1"/>
  <c r="AJ134" i="2"/>
  <c r="AY141" i="2" l="1"/>
  <c r="AV137" i="5"/>
  <c r="AW137" i="5" s="1"/>
  <c r="V131" i="2"/>
  <c r="S132" i="5"/>
  <c r="BG356" i="5"/>
  <c r="AL148" i="5"/>
  <c r="AK134" i="2"/>
  <c r="AB135" i="2"/>
  <c r="AZ141" i="2" l="1"/>
  <c r="AR142" i="2"/>
  <c r="AT142" i="2" s="1"/>
  <c r="BA137" i="5"/>
  <c r="T132" i="5"/>
  <c r="W132" i="5" s="1"/>
  <c r="BG357" i="5"/>
  <c r="AM148" i="5"/>
  <c r="AC149" i="5"/>
  <c r="M132" i="2"/>
  <c r="N132" i="2"/>
  <c r="O132" i="2" s="1"/>
  <c r="W131" i="2"/>
  <c r="AD135" i="2"/>
  <c r="AE135" i="2" s="1"/>
  <c r="AJ135" i="2" s="1"/>
  <c r="BB137" i="5" l="1"/>
  <c r="AT138" i="5"/>
  <c r="AU142" i="2"/>
  <c r="AY142" i="2" s="1"/>
  <c r="AE149" i="5"/>
  <c r="AF149" i="5" s="1"/>
  <c r="X132" i="5"/>
  <c r="N133" i="5"/>
  <c r="O133" i="5"/>
  <c r="P133" i="5" s="1"/>
  <c r="BG358" i="5"/>
  <c r="R132" i="2"/>
  <c r="S132" i="2" s="1"/>
  <c r="AK135" i="2"/>
  <c r="AB136" i="2"/>
  <c r="AD136" i="2" s="1"/>
  <c r="AV138" i="5" l="1"/>
  <c r="AW138" i="5" s="1"/>
  <c r="V132" i="2"/>
  <c r="S133" i="5"/>
  <c r="T133" i="5" s="1"/>
  <c r="BG359" i="5"/>
  <c r="AL149" i="5"/>
  <c r="AR143" i="2"/>
  <c r="AZ142" i="2"/>
  <c r="AE136" i="2"/>
  <c r="BA138" i="5" l="1"/>
  <c r="AT143" i="2"/>
  <c r="AU143" i="2" s="1"/>
  <c r="W133" i="5"/>
  <c r="X133" i="5" s="1"/>
  <c r="BG360" i="5"/>
  <c r="AC150" i="5"/>
  <c r="AM149" i="5"/>
  <c r="W132" i="2"/>
  <c r="N133" i="2"/>
  <c r="O133" i="2" s="1"/>
  <c r="M133" i="2"/>
  <c r="AJ136" i="2"/>
  <c r="AY143" i="2" l="1"/>
  <c r="AT139" i="5"/>
  <c r="BB138" i="5"/>
  <c r="N134" i="5"/>
  <c r="O134" i="5"/>
  <c r="P134" i="5" s="1"/>
  <c r="AE150" i="5"/>
  <c r="AF150" i="5" s="1"/>
  <c r="AL150" i="5" s="1"/>
  <c r="BG361" i="5"/>
  <c r="R133" i="2"/>
  <c r="S133" i="2" s="1"/>
  <c r="AK136" i="2"/>
  <c r="AB137" i="2"/>
  <c r="AD137" i="2" s="1"/>
  <c r="AV139" i="5" l="1"/>
  <c r="AW139" i="5" s="1"/>
  <c r="S134" i="5"/>
  <c r="T134" i="5" s="1"/>
  <c r="W134" i="5" s="1"/>
  <c r="X134" i="5" s="1"/>
  <c r="V133" i="2"/>
  <c r="BG362" i="5"/>
  <c r="AM150" i="5"/>
  <c r="AC151" i="5"/>
  <c r="AZ143" i="2"/>
  <c r="AR144" i="2"/>
  <c r="AE137" i="2"/>
  <c r="BA139" i="5" l="1"/>
  <c r="AT144" i="2"/>
  <c r="O135" i="5"/>
  <c r="P135" i="5" s="1"/>
  <c r="N135" i="5"/>
  <c r="AE151" i="5"/>
  <c r="AF151" i="5" s="1"/>
  <c r="BG363" i="5"/>
  <c r="W133" i="2"/>
  <c r="M134" i="2"/>
  <c r="N134" i="2"/>
  <c r="O134" i="2" s="1"/>
  <c r="AJ137" i="2"/>
  <c r="BB139" i="5" l="1"/>
  <c r="I37" i="8"/>
  <c r="I37" i="9"/>
  <c r="AT140" i="5"/>
  <c r="S135" i="5"/>
  <c r="T135" i="5" s="1"/>
  <c r="W135" i="5" s="1"/>
  <c r="X135" i="5" s="1"/>
  <c r="AL151" i="5"/>
  <c r="AC152" i="5" s="1"/>
  <c r="BG364" i="5"/>
  <c r="R134" i="2"/>
  <c r="AU144" i="2"/>
  <c r="AY144" i="2" s="1"/>
  <c r="AK137" i="2"/>
  <c r="AB138" i="2"/>
  <c r="AD138" i="2" s="1"/>
  <c r="AV140" i="5" l="1"/>
  <c r="AW140" i="5" s="1"/>
  <c r="AM151" i="5"/>
  <c r="J38" i="9"/>
  <c r="AE152" i="5"/>
  <c r="AF152" i="5" s="1"/>
  <c r="AL152" i="5" s="1"/>
  <c r="BG365" i="5"/>
  <c r="O136" i="5"/>
  <c r="P136" i="5" s="1"/>
  <c r="N136" i="5"/>
  <c r="S134" i="2"/>
  <c r="V134" i="2" s="1"/>
  <c r="AZ144" i="2"/>
  <c r="AE138" i="2"/>
  <c r="BA140" i="5" l="1"/>
  <c r="AR145" i="2"/>
  <c r="S136" i="5"/>
  <c r="T136" i="5" s="1"/>
  <c r="BG366" i="5"/>
  <c r="AC153" i="5"/>
  <c r="AM152" i="5"/>
  <c r="AJ138" i="2"/>
  <c r="BB140" i="5" l="1"/>
  <c r="AT141" i="5"/>
  <c r="AT145" i="2"/>
  <c r="AU145" i="2" s="1"/>
  <c r="W136" i="5"/>
  <c r="X136" i="5" s="1"/>
  <c r="N135" i="2"/>
  <c r="O135" i="2" s="1"/>
  <c r="W134" i="2"/>
  <c r="M135" i="2"/>
  <c r="AE153" i="5"/>
  <c r="AF153" i="5" s="1"/>
  <c r="BG367" i="5"/>
  <c r="AK138" i="2"/>
  <c r="AB139" i="2"/>
  <c r="AD139" i="2" s="1"/>
  <c r="AV141" i="5" l="1"/>
  <c r="AW141" i="5" s="1"/>
  <c r="AY145" i="2"/>
  <c r="AZ145" i="2" s="1"/>
  <c r="R135" i="2"/>
  <c r="S135" i="2" s="1"/>
  <c r="BG368" i="5"/>
  <c r="N137" i="5"/>
  <c r="O137" i="5"/>
  <c r="P137" i="5" s="1"/>
  <c r="AL153" i="5"/>
  <c r="AE139" i="2"/>
  <c r="AR146" i="2" l="1"/>
  <c r="AT146" i="2" s="1"/>
  <c r="AU146" i="2" s="1"/>
  <c r="BA141" i="5"/>
  <c r="V135" i="2"/>
  <c r="S137" i="5"/>
  <c r="T137" i="5" s="1"/>
  <c r="BG369" i="5"/>
  <c r="AC154" i="5"/>
  <c r="AM153" i="5"/>
  <c r="AJ139" i="2"/>
  <c r="AY146" i="2" l="1"/>
  <c r="AZ146" i="2" s="1"/>
  <c r="AT142" i="5"/>
  <c r="BB141" i="5"/>
  <c r="W137" i="5"/>
  <c r="X137" i="5" s="1"/>
  <c r="M136" i="2"/>
  <c r="W135" i="2"/>
  <c r="N136" i="2"/>
  <c r="O136" i="2" s="1"/>
  <c r="AE154" i="5"/>
  <c r="AF154" i="5" s="1"/>
  <c r="BG370" i="5"/>
  <c r="J37" i="7"/>
  <c r="J37" i="6"/>
  <c r="AK139" i="2"/>
  <c r="AB140" i="2"/>
  <c r="AD140" i="2" s="1"/>
  <c r="AV142" i="5" l="1"/>
  <c r="AW142" i="5" s="1"/>
  <c r="AR147" i="2"/>
  <c r="R136" i="2"/>
  <c r="S136" i="2" s="1"/>
  <c r="BG371" i="5"/>
  <c r="N138" i="5"/>
  <c r="O138" i="5"/>
  <c r="P138" i="5" s="1"/>
  <c r="AL154" i="5"/>
  <c r="AE140" i="2"/>
  <c r="BA142" i="5" l="1"/>
  <c r="AT147" i="2"/>
  <c r="AU147" i="2" s="1"/>
  <c r="V136" i="2"/>
  <c r="M137" i="2" s="1"/>
  <c r="S138" i="5"/>
  <c r="T138" i="5" s="1"/>
  <c r="BG372" i="5"/>
  <c r="AC155" i="5"/>
  <c r="AM154" i="5"/>
  <c r="AJ140" i="2"/>
  <c r="AY147" i="2" l="1"/>
  <c r="AZ147" i="2" s="1"/>
  <c r="BB142" i="5"/>
  <c r="AT143" i="5"/>
  <c r="W136" i="2"/>
  <c r="N137" i="2"/>
  <c r="O137" i="2" s="1"/>
  <c r="W138" i="5"/>
  <c r="X138" i="5" s="1"/>
  <c r="AE155" i="5"/>
  <c r="AF155" i="5" s="1"/>
  <c r="BG373" i="5"/>
  <c r="AK140" i="2"/>
  <c r="AB141" i="2"/>
  <c r="AD141" i="2" s="1"/>
  <c r="AR148" i="2" l="1"/>
  <c r="AT148" i="2" s="1"/>
  <c r="AV143" i="5"/>
  <c r="AW143" i="5" s="1"/>
  <c r="R137" i="2"/>
  <c r="S137" i="2" s="1"/>
  <c r="BG374" i="5"/>
  <c r="N139" i="5"/>
  <c r="O139" i="5"/>
  <c r="P139" i="5" s="1"/>
  <c r="AL155" i="5"/>
  <c r="AE141" i="2"/>
  <c r="BA143" i="5" l="1"/>
  <c r="V137" i="2"/>
  <c r="S139" i="5"/>
  <c r="T139" i="5" s="1"/>
  <c r="BG375" i="5"/>
  <c r="AC156" i="5"/>
  <c r="AM155" i="5"/>
  <c r="AU148" i="2"/>
  <c r="AY148" i="2" s="1"/>
  <c r="AJ141" i="2"/>
  <c r="AT144" i="5" l="1"/>
  <c r="BB143" i="5"/>
  <c r="W137" i="2"/>
  <c r="N138" i="2"/>
  <c r="O138" i="2" s="1"/>
  <c r="M138" i="2"/>
  <c r="W139" i="5"/>
  <c r="X139" i="5" s="1"/>
  <c r="AE156" i="5"/>
  <c r="AF156" i="5" s="1"/>
  <c r="BG376" i="5"/>
  <c r="AK141" i="2"/>
  <c r="AB142" i="2"/>
  <c r="AD142" i="2" s="1"/>
  <c r="AV144" i="5" l="1"/>
  <c r="AW144" i="5" s="1"/>
  <c r="AZ148" i="2"/>
  <c r="AR149" i="2"/>
  <c r="R138" i="2"/>
  <c r="S138" i="2" s="1"/>
  <c r="BG377" i="5"/>
  <c r="H37" i="9"/>
  <c r="H37" i="8"/>
  <c r="O140" i="5"/>
  <c r="P140" i="5" s="1"/>
  <c r="N140" i="5"/>
  <c r="AL156" i="5"/>
  <c r="AE142" i="2"/>
  <c r="BA144" i="5" l="1"/>
  <c r="AT149" i="2"/>
  <c r="AU149" i="2" s="1"/>
  <c r="V138" i="2"/>
  <c r="S140" i="5"/>
  <c r="T140" i="5" s="1"/>
  <c r="BG378" i="5"/>
  <c r="AC157" i="5"/>
  <c r="AM156" i="5"/>
  <c r="AJ142" i="2"/>
  <c r="AY149" i="2" l="1"/>
  <c r="AR150" i="2" s="1"/>
  <c r="AT145" i="5"/>
  <c r="BB144" i="5"/>
  <c r="M139" i="2"/>
  <c r="N139" i="2"/>
  <c r="O139" i="2" s="1"/>
  <c r="W138" i="2"/>
  <c r="W140" i="5"/>
  <c r="X140" i="5" s="1"/>
  <c r="AE157" i="5"/>
  <c r="AF157" i="5" s="1"/>
  <c r="BG379" i="5"/>
  <c r="AK142" i="2"/>
  <c r="AB143" i="2"/>
  <c r="AD143" i="2" s="1"/>
  <c r="AZ149" i="2" l="1"/>
  <c r="AV145" i="5"/>
  <c r="AW145" i="5" s="1"/>
  <c r="AT150" i="2"/>
  <c r="R139" i="2"/>
  <c r="S139" i="2" s="1"/>
  <c r="BG380" i="5"/>
  <c r="O141" i="5"/>
  <c r="P141" i="5" s="1"/>
  <c r="N141" i="5"/>
  <c r="AL157" i="5"/>
  <c r="AE143" i="2"/>
  <c r="BA145" i="5" l="1"/>
  <c r="V139" i="2"/>
  <c r="S141" i="5"/>
  <c r="T141" i="5" s="1"/>
  <c r="BG381" i="5"/>
  <c r="AC158" i="5"/>
  <c r="AM157" i="5"/>
  <c r="AU150" i="2"/>
  <c r="AY150" i="2" s="1"/>
  <c r="AJ143" i="2"/>
  <c r="BB145" i="5" l="1"/>
  <c r="AT146" i="5"/>
  <c r="W139" i="2"/>
  <c r="M37" i="6" s="1"/>
  <c r="H37" i="7"/>
  <c r="L37" i="7" s="1"/>
  <c r="H37" i="6"/>
  <c r="L37" i="6" s="1"/>
  <c r="N140" i="2"/>
  <c r="O140" i="2" s="1"/>
  <c r="M140" i="2"/>
  <c r="W141" i="5"/>
  <c r="X141" i="5" s="1"/>
  <c r="AE158" i="5"/>
  <c r="AF158" i="5" s="1"/>
  <c r="BG382" i="5"/>
  <c r="AR151" i="2"/>
  <c r="AZ150" i="2"/>
  <c r="AK143" i="2"/>
  <c r="AB144" i="2"/>
  <c r="AD144" i="2" s="1"/>
  <c r="AV146" i="5" l="1"/>
  <c r="AW146" i="5" s="1"/>
  <c r="AT151" i="2"/>
  <c r="R140" i="2"/>
  <c r="S140" i="2" s="1"/>
  <c r="M37" i="7"/>
  <c r="BG383" i="5"/>
  <c r="O142" i="5"/>
  <c r="P142" i="5" s="1"/>
  <c r="N142" i="5"/>
  <c r="AL158" i="5"/>
  <c r="AE144" i="2"/>
  <c r="BA146" i="5" l="1"/>
  <c r="V140" i="2"/>
  <c r="S142" i="5"/>
  <c r="T142" i="5" s="1"/>
  <c r="BG384" i="5"/>
  <c r="AC159" i="5"/>
  <c r="AM158" i="5"/>
  <c r="AU151" i="2"/>
  <c r="AY151" i="2" s="1"/>
  <c r="AJ144" i="2"/>
  <c r="BB146" i="5" l="1"/>
  <c r="AT147" i="5"/>
  <c r="N141" i="2"/>
  <c r="O141" i="2" s="1"/>
  <c r="M141" i="2"/>
  <c r="W140" i="2"/>
  <c r="W142" i="5"/>
  <c r="X142" i="5" s="1"/>
  <c r="AE159" i="5"/>
  <c r="AF159" i="5" s="1"/>
  <c r="BG385" i="5"/>
  <c r="I38" i="7"/>
  <c r="AZ151" i="2"/>
  <c r="AR152" i="2"/>
  <c r="AK144" i="2"/>
  <c r="AB145" i="2"/>
  <c r="AD145" i="2" s="1"/>
  <c r="AV147" i="5" l="1"/>
  <c r="AW147" i="5" s="1"/>
  <c r="AT152" i="2"/>
  <c r="R141" i="2"/>
  <c r="S141" i="2" s="1"/>
  <c r="BG386" i="5"/>
  <c r="N143" i="5"/>
  <c r="O143" i="5"/>
  <c r="P143" i="5" s="1"/>
  <c r="AL159" i="5"/>
  <c r="AE145" i="2"/>
  <c r="BA147" i="5" l="1"/>
  <c r="V141" i="2"/>
  <c r="S143" i="5"/>
  <c r="T143" i="5" s="1"/>
  <c r="BG387" i="5"/>
  <c r="AC160" i="5"/>
  <c r="AM159" i="5"/>
  <c r="AU152" i="2"/>
  <c r="AY152" i="2" s="1"/>
  <c r="AJ145" i="2"/>
  <c r="BB147" i="5" l="1"/>
  <c r="AT148" i="5"/>
  <c r="N142" i="2"/>
  <c r="O142" i="2" s="1"/>
  <c r="M142" i="2"/>
  <c r="W141" i="2"/>
  <c r="W143" i="5"/>
  <c r="X143" i="5" s="1"/>
  <c r="AE160" i="5"/>
  <c r="AF160" i="5" s="1"/>
  <c r="BG388" i="5"/>
  <c r="AK145" i="2"/>
  <c r="AB146" i="2"/>
  <c r="AD146" i="2" s="1"/>
  <c r="AV148" i="5" l="1"/>
  <c r="AW148" i="5" s="1"/>
  <c r="AZ152" i="2"/>
  <c r="AR153" i="2"/>
  <c r="R142" i="2"/>
  <c r="S142" i="2" s="1"/>
  <c r="BG389" i="5"/>
  <c r="N144" i="5"/>
  <c r="O144" i="5"/>
  <c r="P144" i="5" s="1"/>
  <c r="AL160" i="5"/>
  <c r="AE146" i="2"/>
  <c r="BA148" i="5" l="1"/>
  <c r="AT153" i="2"/>
  <c r="AU153" i="2" s="1"/>
  <c r="V142" i="2"/>
  <c r="S144" i="5"/>
  <c r="T144" i="5" s="1"/>
  <c r="BG390" i="5"/>
  <c r="AC161" i="5"/>
  <c r="AM160" i="5"/>
  <c r="AJ146" i="2"/>
  <c r="AY153" i="2" l="1"/>
  <c r="AR154" i="2" s="1"/>
  <c r="AT149" i="5"/>
  <c r="BB148" i="5"/>
  <c r="N143" i="2"/>
  <c r="O143" i="2" s="1"/>
  <c r="W142" i="2"/>
  <c r="M143" i="2"/>
  <c r="W144" i="5"/>
  <c r="X144" i="5" s="1"/>
  <c r="AE161" i="5"/>
  <c r="AF161" i="5" s="1"/>
  <c r="BG391" i="5"/>
  <c r="AK146" i="2"/>
  <c r="AB147" i="2"/>
  <c r="AD147" i="2" s="1"/>
  <c r="AZ153" i="2" l="1"/>
  <c r="AV149" i="5"/>
  <c r="AW149" i="5" s="1"/>
  <c r="AT154" i="2"/>
  <c r="R143" i="2"/>
  <c r="S143" i="2" s="1"/>
  <c r="V143" i="2" s="1"/>
  <c r="BG392" i="5"/>
  <c r="N145" i="5"/>
  <c r="O145" i="5"/>
  <c r="P145" i="5" s="1"/>
  <c r="AL161" i="5"/>
  <c r="AE147" i="2"/>
  <c r="BA149" i="5" l="1"/>
  <c r="AU154" i="2"/>
  <c r="AY154" i="2" s="1"/>
  <c r="W143" i="2"/>
  <c r="M144" i="2"/>
  <c r="N144" i="2"/>
  <c r="O144" i="2" s="1"/>
  <c r="S145" i="5"/>
  <c r="T145" i="5" s="1"/>
  <c r="BG393" i="5"/>
  <c r="AC162" i="5"/>
  <c r="AM161" i="5"/>
  <c r="AJ147" i="2"/>
  <c r="AT150" i="5" l="1"/>
  <c r="BB149" i="5"/>
  <c r="R144" i="2"/>
  <c r="S144" i="2" s="1"/>
  <c r="V144" i="2" s="1"/>
  <c r="W145" i="5"/>
  <c r="X145" i="5" s="1"/>
  <c r="AE162" i="5"/>
  <c r="AF162" i="5" s="1"/>
  <c r="BG394" i="5"/>
  <c r="AZ154" i="2"/>
  <c r="AR155" i="2"/>
  <c r="AK147" i="2"/>
  <c r="AB148" i="2"/>
  <c r="AD148" i="2" s="1"/>
  <c r="AV150" i="5" l="1"/>
  <c r="AW150" i="5" s="1"/>
  <c r="AT155" i="2"/>
  <c r="AU155" i="2" s="1"/>
  <c r="N145" i="2"/>
  <c r="O145" i="2" s="1"/>
  <c r="M145" i="2"/>
  <c r="W144" i="2"/>
  <c r="BG395" i="5"/>
  <c r="AL162" i="5"/>
  <c r="N146" i="5"/>
  <c r="O146" i="5"/>
  <c r="P146" i="5" s="1"/>
  <c r="AE148" i="2"/>
  <c r="AY155" i="2" l="1"/>
  <c r="BA150" i="5"/>
  <c r="R145" i="2"/>
  <c r="S145" i="2" s="1"/>
  <c r="V145" i="2" s="1"/>
  <c r="S146" i="5"/>
  <c r="T146" i="5" s="1"/>
  <c r="BG396" i="5"/>
  <c r="AM162" i="5"/>
  <c r="AC163" i="5"/>
  <c r="AJ148" i="2"/>
  <c r="BB150" i="5" l="1"/>
  <c r="AT151" i="5"/>
  <c r="W146" i="5"/>
  <c r="X146" i="5" s="1"/>
  <c r="W145" i="2"/>
  <c r="AE163" i="5"/>
  <c r="AF163" i="5" s="1"/>
  <c r="BG397" i="5"/>
  <c r="AZ155" i="2"/>
  <c r="N146" i="2"/>
  <c r="O146" i="2" s="1"/>
  <c r="M146" i="2"/>
  <c r="AR156" i="2"/>
  <c r="AK148" i="2"/>
  <c r="AB149" i="2"/>
  <c r="AD149" i="2" s="1"/>
  <c r="AV151" i="5" l="1"/>
  <c r="AW151" i="5" s="1"/>
  <c r="AT156" i="2"/>
  <c r="AU156" i="2" s="1"/>
  <c r="BG398" i="5"/>
  <c r="AL163" i="5"/>
  <c r="O147" i="5"/>
  <c r="P147" i="5" s="1"/>
  <c r="N147" i="5"/>
  <c r="R146" i="2"/>
  <c r="S146" i="2" s="1"/>
  <c r="AE149" i="2"/>
  <c r="AY156" i="2" l="1"/>
  <c r="AZ156" i="2" s="1"/>
  <c r="BA151" i="5"/>
  <c r="V146" i="2"/>
  <c r="S147" i="5"/>
  <c r="T147" i="5" s="1"/>
  <c r="BG399" i="5"/>
  <c r="AC164" i="5"/>
  <c r="AM163" i="5"/>
  <c r="J39" i="9"/>
  <c r="AJ149" i="2"/>
  <c r="AR157" i="2" l="1"/>
  <c r="AT157" i="2" s="1"/>
  <c r="AU157" i="2" s="1"/>
  <c r="BB151" i="5"/>
  <c r="I38" i="9"/>
  <c r="AT152" i="5"/>
  <c r="W147" i="5"/>
  <c r="X147" i="5" s="1"/>
  <c r="AE164" i="5"/>
  <c r="AF164" i="5" s="1"/>
  <c r="BG400" i="5"/>
  <c r="W146" i="2"/>
  <c r="N147" i="2"/>
  <c r="O147" i="2" s="1"/>
  <c r="M147" i="2"/>
  <c r="AK149" i="2"/>
  <c r="AB150" i="2"/>
  <c r="AD150" i="2" s="1"/>
  <c r="AY157" i="2" l="1"/>
  <c r="AV152" i="5"/>
  <c r="AW152" i="5" s="1"/>
  <c r="BG401" i="5"/>
  <c r="AL164" i="5"/>
  <c r="N148" i="5"/>
  <c r="O148" i="5"/>
  <c r="P148" i="5" s="1"/>
  <c r="R147" i="2"/>
  <c r="S147" i="2" s="1"/>
  <c r="AE150" i="2"/>
  <c r="BA152" i="5" l="1"/>
  <c r="V147" i="2"/>
  <c r="S148" i="5"/>
  <c r="T148" i="5" s="1"/>
  <c r="BG402" i="5"/>
  <c r="AC165" i="5"/>
  <c r="AM164" i="5"/>
  <c r="AR158" i="2"/>
  <c r="AZ157" i="2"/>
  <c r="AJ150" i="2"/>
  <c r="AT153" i="5" l="1"/>
  <c r="BB152" i="5"/>
  <c r="AT158" i="2"/>
  <c r="AU158" i="2" s="1"/>
  <c r="W148" i="5"/>
  <c r="X148" i="5" s="1"/>
  <c r="AE165" i="5"/>
  <c r="AF165" i="5" s="1"/>
  <c r="BG403" i="5"/>
  <c r="W147" i="2"/>
  <c r="M148" i="2"/>
  <c r="N148" i="2"/>
  <c r="O148" i="2" s="1"/>
  <c r="AK150" i="2"/>
  <c r="AB151" i="2"/>
  <c r="AD151" i="2" s="1"/>
  <c r="AV153" i="5" l="1"/>
  <c r="AW153" i="5" s="1"/>
  <c r="AY158" i="2"/>
  <c r="AZ158" i="2" s="1"/>
  <c r="BG404" i="5"/>
  <c r="AL165" i="5"/>
  <c r="AM165" i="5" s="1"/>
  <c r="O149" i="5"/>
  <c r="P149" i="5" s="1"/>
  <c r="N149" i="5"/>
  <c r="R148" i="2"/>
  <c r="S148" i="2" s="1"/>
  <c r="AE151" i="2"/>
  <c r="AR159" i="2" l="1"/>
  <c r="AT159" i="2" s="1"/>
  <c r="AU159" i="2" s="1"/>
  <c r="BA153" i="5"/>
  <c r="V148" i="2"/>
  <c r="S149" i="5"/>
  <c r="T149" i="5" s="1"/>
  <c r="BG405" i="5"/>
  <c r="AC166" i="5"/>
  <c r="AJ151" i="2"/>
  <c r="AY159" i="2" l="1"/>
  <c r="AR160" i="2" s="1"/>
  <c r="AT154" i="5"/>
  <c r="BB153" i="5"/>
  <c r="W149" i="5"/>
  <c r="X149" i="5" s="1"/>
  <c r="AE166" i="5"/>
  <c r="AF166" i="5" s="1"/>
  <c r="AL166" i="5" s="1"/>
  <c r="BG406" i="5"/>
  <c r="W148" i="2"/>
  <c r="J38" i="7"/>
  <c r="M149" i="2"/>
  <c r="N149" i="2"/>
  <c r="O149" i="2" s="1"/>
  <c r="AK151" i="2"/>
  <c r="AB152" i="2"/>
  <c r="AD152" i="2" s="1"/>
  <c r="AZ159" i="2" l="1"/>
  <c r="AV154" i="5"/>
  <c r="AW154" i="5" s="1"/>
  <c r="AT160" i="2"/>
  <c r="AU160" i="2" s="1"/>
  <c r="BG407" i="5"/>
  <c r="AM166" i="5"/>
  <c r="AC167" i="5"/>
  <c r="N150" i="5"/>
  <c r="O150" i="5"/>
  <c r="P150" i="5" s="1"/>
  <c r="R149" i="2"/>
  <c r="S149" i="2" s="1"/>
  <c r="AE152" i="2"/>
  <c r="AY160" i="2" l="1"/>
  <c r="BA154" i="5"/>
  <c r="V149" i="2"/>
  <c r="AE167" i="5"/>
  <c r="AF167" i="5" s="1"/>
  <c r="S150" i="5"/>
  <c r="T150" i="5" s="1"/>
  <c r="BG408" i="5"/>
  <c r="AJ152" i="2"/>
  <c r="BB154" i="5" l="1"/>
  <c r="AT155" i="5"/>
  <c r="W150" i="5"/>
  <c r="X150" i="5" s="1"/>
  <c r="BG409" i="5"/>
  <c r="AL167" i="5"/>
  <c r="W149" i="2"/>
  <c r="M150" i="2"/>
  <c r="N150" i="2"/>
  <c r="O150" i="2" s="1"/>
  <c r="AZ160" i="2"/>
  <c r="AR161" i="2"/>
  <c r="AK152" i="2"/>
  <c r="AB153" i="2"/>
  <c r="AD153" i="2" s="1"/>
  <c r="AV155" i="5" l="1"/>
  <c r="AW155" i="5" s="1"/>
  <c r="AT161" i="2"/>
  <c r="AU161" i="2" s="1"/>
  <c r="BG410" i="5"/>
  <c r="AM167" i="5"/>
  <c r="AC168" i="5"/>
  <c r="N151" i="5"/>
  <c r="O151" i="5"/>
  <c r="P151" i="5" s="1"/>
  <c r="R150" i="2"/>
  <c r="S150" i="2" s="1"/>
  <c r="AE153" i="2"/>
  <c r="AY161" i="2" l="1"/>
  <c r="BA155" i="5"/>
  <c r="V150" i="2"/>
  <c r="AE168" i="5"/>
  <c r="S151" i="5"/>
  <c r="T151" i="5" s="1"/>
  <c r="BG411" i="5"/>
  <c r="AJ153" i="2"/>
  <c r="AT156" i="5" l="1"/>
  <c r="BB155" i="5"/>
  <c r="W151" i="5"/>
  <c r="X151" i="5" s="1"/>
  <c r="AF168" i="5"/>
  <c r="AL168" i="5" s="1"/>
  <c r="BG412" i="5"/>
  <c r="W150" i="2"/>
  <c r="N151" i="2"/>
  <c r="O151" i="2" s="1"/>
  <c r="M151" i="2"/>
  <c r="AZ161" i="2"/>
  <c r="AR162" i="2"/>
  <c r="AK153" i="2"/>
  <c r="AB154" i="2"/>
  <c r="AD154" i="2" s="1"/>
  <c r="AV156" i="5" l="1"/>
  <c r="AW156" i="5" s="1"/>
  <c r="AT162" i="2"/>
  <c r="AM168" i="5"/>
  <c r="AC169" i="5"/>
  <c r="BG413" i="5"/>
  <c r="H38" i="9"/>
  <c r="O152" i="5"/>
  <c r="P152" i="5" s="1"/>
  <c r="N152" i="5"/>
  <c r="R151" i="2"/>
  <c r="S151" i="2" s="1"/>
  <c r="AE154" i="2"/>
  <c r="BA156" i="5" l="1"/>
  <c r="AU162" i="2"/>
  <c r="AY162" i="2" s="1"/>
  <c r="V151" i="2"/>
  <c r="W151" i="2" s="1"/>
  <c r="M38" i="7" s="1"/>
  <c r="AE169" i="5"/>
  <c r="AF169" i="5" s="1"/>
  <c r="S152" i="5"/>
  <c r="T152" i="5" s="1"/>
  <c r="BG414" i="5"/>
  <c r="AJ154" i="2"/>
  <c r="AT157" i="5" l="1"/>
  <c r="BB156" i="5"/>
  <c r="W152" i="5"/>
  <c r="X152" i="5" s="1"/>
  <c r="H38" i="7"/>
  <c r="L38" i="7" s="1"/>
  <c r="N152" i="2"/>
  <c r="O152" i="2" s="1"/>
  <c r="M152" i="2"/>
  <c r="AL169" i="5"/>
  <c r="BG415" i="5"/>
  <c r="AZ162" i="2"/>
  <c r="AR163" i="2"/>
  <c r="AK154" i="2"/>
  <c r="AB155" i="2"/>
  <c r="AD155" i="2" s="1"/>
  <c r="AV157" i="5" l="1"/>
  <c r="AW157" i="5" s="1"/>
  <c r="AT163" i="2"/>
  <c r="AU163" i="2" s="1"/>
  <c r="R152" i="2"/>
  <c r="S152" i="2" s="1"/>
  <c r="AM169" i="5"/>
  <c r="AC170" i="5"/>
  <c r="AE170" i="5" s="1"/>
  <c r="AF170" i="5" s="1"/>
  <c r="AL170" i="5" s="1"/>
  <c r="BG416" i="5"/>
  <c r="N153" i="5"/>
  <c r="O153" i="5"/>
  <c r="P153" i="5" s="1"/>
  <c r="AE155" i="2"/>
  <c r="AY163" i="2" l="1"/>
  <c r="BA157" i="5"/>
  <c r="V152" i="2"/>
  <c r="N153" i="2" s="1"/>
  <c r="O153" i="2" s="1"/>
  <c r="S153" i="5"/>
  <c r="T153" i="5" s="1"/>
  <c r="BG417" i="5"/>
  <c r="AM170" i="5"/>
  <c r="AC171" i="5"/>
  <c r="AJ155" i="2"/>
  <c r="BB157" i="5" l="1"/>
  <c r="AT158" i="5"/>
  <c r="W152" i="2"/>
  <c r="M153" i="2"/>
  <c r="R153" i="2" s="1"/>
  <c r="S153" i="2" s="1"/>
  <c r="W153" i="5"/>
  <c r="X153" i="5" s="1"/>
  <c r="AE171" i="5"/>
  <c r="AF171" i="5" s="1"/>
  <c r="BG418" i="5"/>
  <c r="I39" i="7"/>
  <c r="AR164" i="2"/>
  <c r="AZ163" i="2"/>
  <c r="AK155" i="2"/>
  <c r="AB156" i="2"/>
  <c r="AD156" i="2" s="1"/>
  <c r="AV158" i="5" l="1"/>
  <c r="AW158" i="5" s="1"/>
  <c r="AT164" i="2"/>
  <c r="AU164" i="2" s="1"/>
  <c r="V153" i="2"/>
  <c r="BG419" i="5"/>
  <c r="AL171" i="5"/>
  <c r="N154" i="5"/>
  <c r="O154" i="5"/>
  <c r="P154" i="5" s="1"/>
  <c r="AY164" i="2" l="1"/>
  <c r="BA158" i="5"/>
  <c r="S154" i="5"/>
  <c r="T154" i="5" s="1"/>
  <c r="BG420" i="5"/>
  <c r="AM171" i="5"/>
  <c r="W153" i="2"/>
  <c r="AC172" i="5"/>
  <c r="N154" i="2"/>
  <c r="O154" i="2" s="1"/>
  <c r="M154" i="2"/>
  <c r="AE156" i="2"/>
  <c r="AJ156" i="2" s="1"/>
  <c r="AT159" i="5" l="1"/>
  <c r="BB158" i="5"/>
  <c r="AR165" i="2"/>
  <c r="AZ164" i="2"/>
  <c r="W154" i="5"/>
  <c r="X154" i="5" s="1"/>
  <c r="AE172" i="5"/>
  <c r="AF172" i="5" s="1"/>
  <c r="BG421" i="5"/>
  <c r="R154" i="2"/>
  <c r="S154" i="2" s="1"/>
  <c r="AK156" i="2"/>
  <c r="AB157" i="2"/>
  <c r="AD157" i="2" s="1"/>
  <c r="AV159" i="5" l="1"/>
  <c r="AW159" i="5" s="1"/>
  <c r="AT165" i="2"/>
  <c r="V154" i="2"/>
  <c r="AL172" i="5"/>
  <c r="BG422" i="5"/>
  <c r="O155" i="5"/>
  <c r="P155" i="5" s="1"/>
  <c r="N155" i="5"/>
  <c r="AE157" i="2"/>
  <c r="AJ157" i="2" s="1"/>
  <c r="BA159" i="5" l="1"/>
  <c r="AU165" i="2"/>
  <c r="AY165" i="2" s="1"/>
  <c r="W154" i="2"/>
  <c r="N155" i="2"/>
  <c r="O155" i="2" s="1"/>
  <c r="M155" i="2"/>
  <c r="AM172" i="5"/>
  <c r="AC173" i="5"/>
  <c r="AE173" i="5" s="1"/>
  <c r="AF173" i="5" s="1"/>
  <c r="S155" i="5"/>
  <c r="T155" i="5" s="1"/>
  <c r="BG423" i="5"/>
  <c r="AK157" i="2"/>
  <c r="AB158" i="2"/>
  <c r="AD158" i="2" s="1"/>
  <c r="AT160" i="5" l="1"/>
  <c r="BB159" i="5"/>
  <c r="AR166" i="2"/>
  <c r="AZ165" i="2"/>
  <c r="W155" i="5"/>
  <c r="X155" i="5" s="1"/>
  <c r="R155" i="2"/>
  <c r="S155" i="2" s="1"/>
  <c r="AL173" i="5"/>
  <c r="BG424" i="5"/>
  <c r="AE158" i="2"/>
  <c r="AV160" i="5" l="1"/>
  <c r="AW160" i="5" s="1"/>
  <c r="AT166" i="2"/>
  <c r="AU166" i="2" s="1"/>
  <c r="AC174" i="5"/>
  <c r="AE174" i="5" s="1"/>
  <c r="AF174" i="5" s="1"/>
  <c r="V155" i="2"/>
  <c r="W155" i="2" s="1"/>
  <c r="AM173" i="5"/>
  <c r="N156" i="5"/>
  <c r="O156" i="5"/>
  <c r="P156" i="5" s="1"/>
  <c r="BG425" i="5"/>
  <c r="AJ158" i="2"/>
  <c r="BA160" i="5" l="1"/>
  <c r="AY166" i="2"/>
  <c r="M156" i="2"/>
  <c r="N156" i="2"/>
  <c r="O156" i="2" s="1"/>
  <c r="S156" i="5"/>
  <c r="T156" i="5" s="1"/>
  <c r="BG426" i="5"/>
  <c r="AK158" i="2"/>
  <c r="AB159" i="2"/>
  <c r="AD159" i="2" s="1"/>
  <c r="BB160" i="5" l="1"/>
  <c r="AT161" i="5"/>
  <c r="AR167" i="2"/>
  <c r="AZ166" i="2"/>
  <c r="R156" i="2"/>
  <c r="S156" i="2" s="1"/>
  <c r="W156" i="5"/>
  <c r="X156" i="5" s="1"/>
  <c r="BG427" i="5"/>
  <c r="AL174" i="5"/>
  <c r="AE159" i="2"/>
  <c r="AV161" i="5" l="1"/>
  <c r="AW161" i="5" s="1"/>
  <c r="AT167" i="2"/>
  <c r="AU167" i="2" s="1"/>
  <c r="V156" i="2"/>
  <c r="N157" i="5"/>
  <c r="O157" i="5"/>
  <c r="P157" i="5" s="1"/>
  <c r="BG428" i="5"/>
  <c r="AM174" i="5"/>
  <c r="AC175" i="5"/>
  <c r="AJ159" i="2"/>
  <c r="BA161" i="5" l="1"/>
  <c r="AY167" i="2"/>
  <c r="AZ167" i="2" s="1"/>
  <c r="W156" i="2"/>
  <c r="N157" i="2"/>
  <c r="O157" i="2" s="1"/>
  <c r="M157" i="2"/>
  <c r="S157" i="5"/>
  <c r="T157" i="5" s="1"/>
  <c r="AE175" i="5"/>
  <c r="AF175" i="5" s="1"/>
  <c r="BG429" i="5"/>
  <c r="AK159" i="2"/>
  <c r="AB160" i="2"/>
  <c r="AD160" i="2" s="1"/>
  <c r="AT162" i="5" l="1"/>
  <c r="BB161" i="5"/>
  <c r="AR168" i="2"/>
  <c r="R157" i="2"/>
  <c r="S157" i="2" s="1"/>
  <c r="V157" i="2" s="1"/>
  <c r="W157" i="5"/>
  <c r="X157" i="5" s="1"/>
  <c r="BG430" i="5"/>
  <c r="AL175" i="5"/>
  <c r="AE160" i="2"/>
  <c r="AV162" i="5" l="1"/>
  <c r="AW162" i="5" s="1"/>
  <c r="AT168" i="2"/>
  <c r="AU168" i="2" s="1"/>
  <c r="O158" i="5"/>
  <c r="P158" i="5" s="1"/>
  <c r="N158" i="5"/>
  <c r="BG431" i="5"/>
  <c r="J40" i="9"/>
  <c r="AC176" i="5"/>
  <c r="AM175" i="5"/>
  <c r="AJ160" i="2"/>
  <c r="BA162" i="5" l="1"/>
  <c r="AY168" i="2"/>
  <c r="N158" i="2"/>
  <c r="O158" i="2" s="1"/>
  <c r="W157" i="2"/>
  <c r="M158" i="2"/>
  <c r="S158" i="5"/>
  <c r="T158" i="5" s="1"/>
  <c r="AE176" i="5"/>
  <c r="AF176" i="5" s="1"/>
  <c r="BG432" i="5"/>
  <c r="AK160" i="2"/>
  <c r="AB161" i="2"/>
  <c r="AD161" i="2" s="1"/>
  <c r="AZ168" i="2" l="1"/>
  <c r="AR169" i="2"/>
  <c r="AT169" i="2" s="1"/>
  <c r="AU169" i="2" s="1"/>
  <c r="BB162" i="5"/>
  <c r="AT163" i="5"/>
  <c r="W158" i="5"/>
  <c r="X158" i="5" s="1"/>
  <c r="R158" i="2"/>
  <c r="S158" i="2" s="1"/>
  <c r="AL176" i="5"/>
  <c r="BG433" i="5"/>
  <c r="AE161" i="2"/>
  <c r="AV163" i="5" l="1"/>
  <c r="AW163" i="5" s="1"/>
  <c r="AY169" i="2"/>
  <c r="V158" i="2"/>
  <c r="N159" i="5"/>
  <c r="O159" i="5"/>
  <c r="P159" i="5" s="1"/>
  <c r="AM176" i="5"/>
  <c r="AC177" i="5"/>
  <c r="AE177" i="5" s="1"/>
  <c r="AF177" i="5" s="1"/>
  <c r="AL177" i="5" s="1"/>
  <c r="BG434" i="5"/>
  <c r="AJ161" i="2"/>
  <c r="AZ169" i="2" l="1"/>
  <c r="AR170" i="2"/>
  <c r="AT170" i="2" s="1"/>
  <c r="AU170" i="2" s="1"/>
  <c r="BA163" i="5"/>
  <c r="S159" i="5"/>
  <c r="T159" i="5" s="1"/>
  <c r="W159" i="5" s="1"/>
  <c r="X159" i="5" s="1"/>
  <c r="W158" i="2"/>
  <c r="M159" i="2"/>
  <c r="N159" i="2"/>
  <c r="O159" i="2" s="1"/>
  <c r="BG435" i="5"/>
  <c r="AC178" i="5"/>
  <c r="AM177" i="5"/>
  <c r="AK161" i="2"/>
  <c r="AB162" i="2"/>
  <c r="AD162" i="2" s="1"/>
  <c r="AY170" i="2" l="1"/>
  <c r="I39" i="9"/>
  <c r="AT164" i="5"/>
  <c r="BB163" i="5"/>
  <c r="R159" i="2"/>
  <c r="S159" i="2" s="1"/>
  <c r="AE178" i="5"/>
  <c r="AF178" i="5" s="1"/>
  <c r="BG436" i="5"/>
  <c r="N160" i="5"/>
  <c r="O160" i="5"/>
  <c r="P160" i="5" s="1"/>
  <c r="AE162" i="2"/>
  <c r="AR171" i="2" l="1"/>
  <c r="AT171" i="2" s="1"/>
  <c r="AZ170" i="2"/>
  <c r="AV164" i="5"/>
  <c r="AW164" i="5" s="1"/>
  <c r="V159" i="2"/>
  <c r="M160" i="2" s="1"/>
  <c r="S160" i="5"/>
  <c r="BG437" i="5"/>
  <c r="AJ162" i="2"/>
  <c r="BA164" i="5" l="1"/>
  <c r="AU171" i="2"/>
  <c r="AY171" i="2" s="1"/>
  <c r="N160" i="2"/>
  <c r="O160" i="2" s="1"/>
  <c r="R160" i="2" s="1"/>
  <c r="S160" i="2" s="1"/>
  <c r="W159" i="2"/>
  <c r="T160" i="5"/>
  <c r="W160" i="5" s="1"/>
  <c r="BG438" i="5"/>
  <c r="AL178" i="5"/>
  <c r="AK162" i="2"/>
  <c r="AB163" i="2"/>
  <c r="AD163" i="2" s="1"/>
  <c r="AT165" i="5" l="1"/>
  <c r="BB164" i="5"/>
  <c r="V160" i="2"/>
  <c r="X160" i="5"/>
  <c r="N161" i="5"/>
  <c r="O161" i="5"/>
  <c r="P161" i="5" s="1"/>
  <c r="BG439" i="5"/>
  <c r="AZ171" i="2"/>
  <c r="AM178" i="5"/>
  <c r="AC179" i="5"/>
  <c r="AR172" i="2"/>
  <c r="AE163" i="2"/>
  <c r="AV165" i="5" l="1"/>
  <c r="AW165" i="5" s="1"/>
  <c r="AT172" i="2"/>
  <c r="AU172" i="2" s="1"/>
  <c r="AE179" i="5"/>
  <c r="AF179" i="5" s="1"/>
  <c r="S161" i="5"/>
  <c r="T161" i="5" s="1"/>
  <c r="BG440" i="5"/>
  <c r="W160" i="2"/>
  <c r="M161" i="2"/>
  <c r="N161" i="2"/>
  <c r="O161" i="2" s="1"/>
  <c r="AJ163" i="2"/>
  <c r="AY172" i="2" l="1"/>
  <c r="BA165" i="5"/>
  <c r="W161" i="5"/>
  <c r="X161" i="5" s="1"/>
  <c r="BG441" i="5"/>
  <c r="AL179" i="5"/>
  <c r="J39" i="7"/>
  <c r="R161" i="2"/>
  <c r="AK163" i="2"/>
  <c r="AB164" i="2"/>
  <c r="AD164" i="2" s="1"/>
  <c r="AT166" i="5" l="1"/>
  <c r="BB165" i="5"/>
  <c r="O162" i="5"/>
  <c r="P162" i="5" s="1"/>
  <c r="N162" i="5"/>
  <c r="BG442" i="5"/>
  <c r="AC180" i="5"/>
  <c r="AM179" i="5"/>
  <c r="AR173" i="2"/>
  <c r="AZ172" i="2"/>
  <c r="S161" i="2"/>
  <c r="V161" i="2" s="1"/>
  <c r="AE164" i="2"/>
  <c r="AV166" i="5" l="1"/>
  <c r="AW166" i="5" s="1"/>
  <c r="AT173" i="2"/>
  <c r="AU173" i="2" s="1"/>
  <c r="S162" i="5"/>
  <c r="T162" i="5" s="1"/>
  <c r="AE180" i="5"/>
  <c r="AF180" i="5" s="1"/>
  <c r="BG443" i="5"/>
  <c r="AJ164" i="2"/>
  <c r="AY173" i="2" l="1"/>
  <c r="BA166" i="5"/>
  <c r="W162" i="5"/>
  <c r="X162" i="5" s="1"/>
  <c r="W161" i="2"/>
  <c r="AL180" i="5"/>
  <c r="AM180" i="5" s="1"/>
  <c r="BG444" i="5"/>
  <c r="M162" i="2"/>
  <c r="N162" i="2"/>
  <c r="O162" i="2" s="1"/>
  <c r="AK164" i="2"/>
  <c r="AB165" i="2"/>
  <c r="AD165" i="2" s="1"/>
  <c r="AZ173" i="2" l="1"/>
  <c r="AR174" i="2"/>
  <c r="AT174" i="2" s="1"/>
  <c r="AU174" i="2" s="1"/>
  <c r="BB166" i="5"/>
  <c r="AT167" i="5"/>
  <c r="N163" i="5"/>
  <c r="O163" i="5"/>
  <c r="P163" i="5" s="1"/>
  <c r="AC181" i="5"/>
  <c r="AE181" i="5" s="1"/>
  <c r="AF181" i="5" s="1"/>
  <c r="BG445" i="5"/>
  <c r="R162" i="2"/>
  <c r="S162" i="2" s="1"/>
  <c r="AE165" i="2"/>
  <c r="AV167" i="5" l="1"/>
  <c r="AW167" i="5" s="1"/>
  <c r="AY174" i="2"/>
  <c r="S163" i="5"/>
  <c r="T163" i="5" s="1"/>
  <c r="V162" i="2"/>
  <c r="BG446" i="5"/>
  <c r="AL181" i="5"/>
  <c r="AC182" i="5" s="1"/>
  <c r="AJ165" i="2"/>
  <c r="BA167" i="5" l="1"/>
  <c r="W163" i="5"/>
  <c r="X163" i="5" s="1"/>
  <c r="AE182" i="5"/>
  <c r="AF182" i="5" s="1"/>
  <c r="BG447" i="5"/>
  <c r="AZ174" i="2"/>
  <c r="W162" i="2"/>
  <c r="AM181" i="5"/>
  <c r="M163" i="2"/>
  <c r="N163" i="2"/>
  <c r="O163" i="2" s="1"/>
  <c r="AR175" i="2"/>
  <c r="AK165" i="2"/>
  <c r="AB166" i="2"/>
  <c r="AD166" i="2" s="1"/>
  <c r="AT168" i="5" l="1"/>
  <c r="BB167" i="5"/>
  <c r="AT175" i="2"/>
  <c r="AU175" i="2" s="1"/>
  <c r="O164" i="5"/>
  <c r="P164" i="5" s="1"/>
  <c r="H39" i="9"/>
  <c r="N164" i="5"/>
  <c r="AL182" i="5"/>
  <c r="BG448" i="5"/>
  <c r="R163" i="2"/>
  <c r="S163" i="2" s="1"/>
  <c r="AE166" i="2"/>
  <c r="AV168" i="5" l="1"/>
  <c r="AW168" i="5" s="1"/>
  <c r="BA168" i="5" s="1"/>
  <c r="AY175" i="2"/>
  <c r="AR176" i="2" s="1"/>
  <c r="S164" i="5"/>
  <c r="T164" i="5" s="1"/>
  <c r="V163" i="2"/>
  <c r="AC183" i="5"/>
  <c r="AE183" i="5" s="1"/>
  <c r="AF183" i="5" s="1"/>
  <c r="AM182" i="5"/>
  <c r="BG449" i="5"/>
  <c r="AJ166" i="2"/>
  <c r="AZ175" i="2" l="1"/>
  <c r="I40" i="7"/>
  <c r="BB168" i="5"/>
  <c r="AT169" i="5"/>
  <c r="AT176" i="2"/>
  <c r="AU176" i="2" s="1"/>
  <c r="W164" i="5"/>
  <c r="X164" i="5" s="1"/>
  <c r="AL183" i="5"/>
  <c r="BG450" i="5"/>
  <c r="H39" i="7"/>
  <c r="L39" i="7" s="1"/>
  <c r="W163" i="2"/>
  <c r="M39" i="7" s="1"/>
  <c r="M164" i="2"/>
  <c r="N164" i="2"/>
  <c r="O164" i="2" s="1"/>
  <c r="AK166" i="2"/>
  <c r="AB167" i="2"/>
  <c r="AD167" i="2" s="1"/>
  <c r="AV169" i="5" l="1"/>
  <c r="AW169" i="5" s="1"/>
  <c r="AY176" i="2"/>
  <c r="O165" i="5"/>
  <c r="P165" i="5" s="1"/>
  <c r="N165" i="5"/>
  <c r="AC184" i="5"/>
  <c r="AE184" i="5" s="1"/>
  <c r="AF184" i="5" s="1"/>
  <c r="AM183" i="5"/>
  <c r="BG451" i="5"/>
  <c r="R164" i="2"/>
  <c r="S164" i="2" s="1"/>
  <c r="AE167" i="2"/>
  <c r="AZ176" i="2" l="1"/>
  <c r="AR177" i="2"/>
  <c r="AT177" i="2" s="1"/>
  <c r="BA169" i="5"/>
  <c r="S165" i="5"/>
  <c r="T165" i="5" s="1"/>
  <c r="V164" i="2"/>
  <c r="AL184" i="5"/>
  <c r="BG452" i="5"/>
  <c r="AJ167" i="2"/>
  <c r="AU177" i="2" l="1"/>
  <c r="AY177" i="2" s="1"/>
  <c r="BB169" i="5"/>
  <c r="AT170" i="5"/>
  <c r="W165" i="5"/>
  <c r="X165" i="5" s="1"/>
  <c r="AC185" i="5"/>
  <c r="AE185" i="5" s="1"/>
  <c r="AF185" i="5" s="1"/>
  <c r="AM184" i="5"/>
  <c r="BG453" i="5"/>
  <c r="W164" i="2"/>
  <c r="N165" i="2"/>
  <c r="O165" i="2" s="1"/>
  <c r="M165" i="2"/>
  <c r="AK167" i="2"/>
  <c r="AB168" i="2"/>
  <c r="AD168" i="2" s="1"/>
  <c r="AV170" i="5" l="1"/>
  <c r="AW170" i="5" s="1"/>
  <c r="N166" i="5"/>
  <c r="O166" i="5"/>
  <c r="P166" i="5" s="1"/>
  <c r="BG454" i="5"/>
  <c r="R165" i="2"/>
  <c r="S165" i="2" s="1"/>
  <c r="AL185" i="5"/>
  <c r="AZ177" i="2"/>
  <c r="AR178" i="2"/>
  <c r="AE168" i="2"/>
  <c r="BA170" i="5" l="1"/>
  <c r="AT178" i="2"/>
  <c r="AU178" i="2" s="1"/>
  <c r="S166" i="5"/>
  <c r="T166" i="5" s="1"/>
  <c r="W166" i="5" s="1"/>
  <c r="X166" i="5" s="1"/>
  <c r="V165" i="2"/>
  <c r="BG455" i="5"/>
  <c r="AC186" i="5"/>
  <c r="AM185" i="5"/>
  <c r="AJ168" i="2"/>
  <c r="AY178" i="2" l="1"/>
  <c r="BB170" i="5"/>
  <c r="AT171" i="5"/>
  <c r="AE186" i="5"/>
  <c r="AF186" i="5" s="1"/>
  <c r="BG456" i="5"/>
  <c r="W165" i="2"/>
  <c r="N167" i="5"/>
  <c r="O167" i="5"/>
  <c r="P167" i="5" s="1"/>
  <c r="M166" i="2"/>
  <c r="N166" i="2"/>
  <c r="O166" i="2" s="1"/>
  <c r="AK168" i="2"/>
  <c r="AB169" i="2"/>
  <c r="AD169" i="2" s="1"/>
  <c r="AV171" i="5" l="1"/>
  <c r="AW171" i="5" s="1"/>
  <c r="S167" i="5"/>
  <c r="T167" i="5" s="1"/>
  <c r="BG457" i="5"/>
  <c r="AZ178" i="2"/>
  <c r="R166" i="2"/>
  <c r="S166" i="2" s="1"/>
  <c r="AR179" i="2"/>
  <c r="AE169" i="2"/>
  <c r="BA171" i="5" l="1"/>
  <c r="AT179" i="2"/>
  <c r="AU179" i="2" s="1"/>
  <c r="V166" i="2"/>
  <c r="W167" i="5"/>
  <c r="X167" i="5" s="1"/>
  <c r="BG458" i="5"/>
  <c r="AL186" i="5"/>
  <c r="AJ169" i="2"/>
  <c r="AY179" i="2" l="1"/>
  <c r="BB171" i="5"/>
  <c r="AT172" i="5"/>
  <c r="BG459" i="5"/>
  <c r="AM186" i="5"/>
  <c r="W166" i="2"/>
  <c r="O168" i="5"/>
  <c r="P168" i="5" s="1"/>
  <c r="N168" i="5"/>
  <c r="M167" i="2"/>
  <c r="N167" i="2"/>
  <c r="O167" i="2" s="1"/>
  <c r="AC187" i="5"/>
  <c r="AK169" i="2"/>
  <c r="AB170" i="2"/>
  <c r="AD170" i="2" s="1"/>
  <c r="AV172" i="5" l="1"/>
  <c r="AW172" i="5" s="1"/>
  <c r="AE187" i="5"/>
  <c r="AF187" i="5" s="1"/>
  <c r="AL187" i="5" s="1"/>
  <c r="S168" i="5"/>
  <c r="T168" i="5" s="1"/>
  <c r="BG460" i="5"/>
  <c r="AZ179" i="2"/>
  <c r="R167" i="2"/>
  <c r="S167" i="2" s="1"/>
  <c r="AR180" i="2"/>
  <c r="AE170" i="2"/>
  <c r="BA172" i="5" l="1"/>
  <c r="V167" i="2"/>
  <c r="W168" i="5"/>
  <c r="X168" i="5" s="1"/>
  <c r="BG461" i="5"/>
  <c r="J41" i="9"/>
  <c r="AC188" i="5"/>
  <c r="AM187" i="5"/>
  <c r="AT180" i="2"/>
  <c r="AU180" i="2" s="1"/>
  <c r="AJ170" i="2"/>
  <c r="AT173" i="5" l="1"/>
  <c r="BB172" i="5"/>
  <c r="AY180" i="2"/>
  <c r="AE188" i="5"/>
  <c r="AF188" i="5" s="1"/>
  <c r="BG462" i="5"/>
  <c r="W167" i="2"/>
  <c r="N169" i="5"/>
  <c r="O169" i="5"/>
  <c r="P169" i="5" s="1"/>
  <c r="N168" i="2"/>
  <c r="O168" i="2" s="1"/>
  <c r="M168" i="2"/>
  <c r="AK170" i="2"/>
  <c r="AB171" i="2"/>
  <c r="AD171" i="2" s="1"/>
  <c r="AV173" i="5" l="1"/>
  <c r="AW173" i="5" s="1"/>
  <c r="S169" i="5"/>
  <c r="T169" i="5" s="1"/>
  <c r="BG463" i="5"/>
  <c r="AZ180" i="2"/>
  <c r="R168" i="2"/>
  <c r="S168" i="2" s="1"/>
  <c r="AL188" i="5"/>
  <c r="AR181" i="2"/>
  <c r="AE171" i="2"/>
  <c r="BA173" i="5" l="1"/>
  <c r="AT181" i="2"/>
  <c r="AU181" i="2" s="1"/>
  <c r="V168" i="2"/>
  <c r="M169" i="2" s="1"/>
  <c r="W169" i="5"/>
  <c r="X169" i="5" s="1"/>
  <c r="BG464" i="5"/>
  <c r="AM188" i="5"/>
  <c r="AC189" i="5"/>
  <c r="AJ171" i="2"/>
  <c r="BB173" i="5" l="1"/>
  <c r="AT174" i="5"/>
  <c r="AY181" i="2"/>
  <c r="AZ181" i="2" s="1"/>
  <c r="W168" i="2"/>
  <c r="N169" i="2"/>
  <c r="O169" i="2" s="1"/>
  <c r="AE189" i="5"/>
  <c r="AF189" i="5" s="1"/>
  <c r="BG465" i="5"/>
  <c r="N170" i="5"/>
  <c r="O170" i="5"/>
  <c r="P170" i="5" s="1"/>
  <c r="AK171" i="2"/>
  <c r="AB172" i="2"/>
  <c r="AD172" i="2" s="1"/>
  <c r="AV174" i="5" l="1"/>
  <c r="AW174" i="5" s="1"/>
  <c r="AR182" i="2"/>
  <c r="AT182" i="2" s="1"/>
  <c r="AU182" i="2" s="1"/>
  <c r="R169" i="2"/>
  <c r="S169" i="2" s="1"/>
  <c r="S170" i="5"/>
  <c r="T170" i="5" s="1"/>
  <c r="BG466" i="5"/>
  <c r="AL189" i="5"/>
  <c r="AM189" i="5" s="1"/>
  <c r="AE172" i="2"/>
  <c r="BA174" i="5" l="1"/>
  <c r="AY182" i="2"/>
  <c r="V169" i="2"/>
  <c r="W169" i="2" s="1"/>
  <c r="W170" i="5"/>
  <c r="X170" i="5" s="1"/>
  <c r="BG467" i="5"/>
  <c r="AC190" i="5"/>
  <c r="AJ172" i="2"/>
  <c r="AT175" i="5" l="1"/>
  <c r="BB174" i="5"/>
  <c r="AZ182" i="2"/>
  <c r="AR183" i="2"/>
  <c r="AT183" i="2" s="1"/>
  <c r="AU183" i="2" s="1"/>
  <c r="N170" i="2"/>
  <c r="O170" i="2" s="1"/>
  <c r="M170" i="2"/>
  <c r="AE190" i="5"/>
  <c r="AF190" i="5" s="1"/>
  <c r="BG468" i="5"/>
  <c r="N171" i="5"/>
  <c r="O171" i="5"/>
  <c r="P171" i="5" s="1"/>
  <c r="AK172" i="2"/>
  <c r="AB173" i="2"/>
  <c r="AD173" i="2" s="1"/>
  <c r="AV175" i="5" l="1"/>
  <c r="AW175" i="5" s="1"/>
  <c r="AY183" i="2"/>
  <c r="R170" i="2"/>
  <c r="S170" i="2" s="1"/>
  <c r="AL190" i="5"/>
  <c r="AC191" i="5" s="1"/>
  <c r="S171" i="5"/>
  <c r="T171" i="5" s="1"/>
  <c r="BG469" i="5"/>
  <c r="AE173" i="2"/>
  <c r="BA175" i="5" l="1"/>
  <c r="V170" i="2"/>
  <c r="W171" i="5"/>
  <c r="X171" i="5" s="1"/>
  <c r="AM190" i="5"/>
  <c r="AE191" i="5"/>
  <c r="AF191" i="5" s="1"/>
  <c r="BG470" i="5"/>
  <c r="AR184" i="2"/>
  <c r="AZ183" i="2"/>
  <c r="AJ173" i="2"/>
  <c r="BB175" i="5" l="1"/>
  <c r="AT176" i="5"/>
  <c r="I40" i="9"/>
  <c r="AT184" i="2"/>
  <c r="AU184" i="2" s="1"/>
  <c r="W170" i="2"/>
  <c r="N171" i="2"/>
  <c r="O171" i="2" s="1"/>
  <c r="M171" i="2"/>
  <c r="BG471" i="5"/>
  <c r="AL191" i="5"/>
  <c r="O172" i="5"/>
  <c r="P172" i="5" s="1"/>
  <c r="N172" i="5"/>
  <c r="AK173" i="2"/>
  <c r="AB174" i="2"/>
  <c r="AD174" i="2" s="1"/>
  <c r="AY184" i="2" l="1"/>
  <c r="AV176" i="5"/>
  <c r="R171" i="2"/>
  <c r="S171" i="2" s="1"/>
  <c r="V171" i="2" s="1"/>
  <c r="S172" i="5"/>
  <c r="T172" i="5" s="1"/>
  <c r="BG472" i="5"/>
  <c r="AM191" i="5"/>
  <c r="AC192" i="5"/>
  <c r="AE174" i="2"/>
  <c r="AW176" i="5" l="1"/>
  <c r="BA176" i="5" s="1"/>
  <c r="W172" i="5"/>
  <c r="X172" i="5" s="1"/>
  <c r="AE192" i="5"/>
  <c r="AF192" i="5" s="1"/>
  <c r="BG473" i="5"/>
  <c r="AZ184" i="2"/>
  <c r="AR185" i="2"/>
  <c r="AJ174" i="2"/>
  <c r="AT177" i="5" l="1"/>
  <c r="BB176" i="5"/>
  <c r="AT185" i="2"/>
  <c r="BG474" i="5"/>
  <c r="AL192" i="5"/>
  <c r="AC193" i="5" s="1"/>
  <c r="W171" i="2"/>
  <c r="O173" i="5"/>
  <c r="P173" i="5" s="1"/>
  <c r="N173" i="5"/>
  <c r="N172" i="2"/>
  <c r="O172" i="2" s="1"/>
  <c r="M172" i="2"/>
  <c r="AK174" i="2"/>
  <c r="AB175" i="2"/>
  <c r="AD175" i="2" s="1"/>
  <c r="AU185" i="2" l="1"/>
  <c r="AY185" i="2" s="1"/>
  <c r="AV177" i="5"/>
  <c r="AW177" i="5" s="1"/>
  <c r="AE193" i="5"/>
  <c r="AF193" i="5" s="1"/>
  <c r="S173" i="5"/>
  <c r="T173" i="5" s="1"/>
  <c r="BG475" i="5"/>
  <c r="AM192" i="5"/>
  <c r="R172" i="2"/>
  <c r="S172" i="2" s="1"/>
  <c r="AE175" i="2"/>
  <c r="BA177" i="5" l="1"/>
  <c r="V172" i="2"/>
  <c r="W173" i="5"/>
  <c r="X173" i="5" s="1"/>
  <c r="BG476" i="5"/>
  <c r="AL193" i="5"/>
  <c r="AR186" i="2"/>
  <c r="AZ185" i="2"/>
  <c r="AJ175" i="2"/>
  <c r="BB177" i="5" l="1"/>
  <c r="AT178" i="5"/>
  <c r="AT186" i="2"/>
  <c r="AU186" i="2" s="1"/>
  <c r="BG477" i="5"/>
  <c r="AM193" i="5"/>
  <c r="AC194" i="5"/>
  <c r="J40" i="7"/>
  <c r="W172" i="2"/>
  <c r="O174" i="5"/>
  <c r="P174" i="5" s="1"/>
  <c r="N174" i="5"/>
  <c r="M173" i="2"/>
  <c r="N173" i="2"/>
  <c r="O173" i="2" s="1"/>
  <c r="AK175" i="2"/>
  <c r="AB176" i="2"/>
  <c r="AD176" i="2" s="1"/>
  <c r="AY186" i="2" l="1"/>
  <c r="AV178" i="5"/>
  <c r="AE194" i="5"/>
  <c r="AF194" i="5" s="1"/>
  <c r="S174" i="5"/>
  <c r="T174" i="5" s="1"/>
  <c r="BG478" i="5"/>
  <c r="R173" i="2"/>
  <c r="S173" i="2" s="1"/>
  <c r="AE176" i="2"/>
  <c r="AW178" i="5" l="1"/>
  <c r="BA178" i="5" s="1"/>
  <c r="V173" i="2"/>
  <c r="W174" i="5"/>
  <c r="X174" i="5" s="1"/>
  <c r="BG479" i="5"/>
  <c r="AL194" i="5"/>
  <c r="AR187" i="2"/>
  <c r="AZ186" i="2"/>
  <c r="AJ176" i="2"/>
  <c r="BB178" i="5" l="1"/>
  <c r="AT179" i="5"/>
  <c r="AT187" i="2"/>
  <c r="AU187" i="2" s="1"/>
  <c r="BG480" i="5"/>
  <c r="AM194" i="5"/>
  <c r="AC195" i="5"/>
  <c r="W173" i="2"/>
  <c r="O175" i="5"/>
  <c r="P175" i="5" s="1"/>
  <c r="N175" i="5"/>
  <c r="N174" i="2"/>
  <c r="O174" i="2" s="1"/>
  <c r="M174" i="2"/>
  <c r="AK176" i="2"/>
  <c r="AB177" i="2"/>
  <c r="AD177" i="2" s="1"/>
  <c r="AY187" i="2" l="1"/>
  <c r="AV179" i="5"/>
  <c r="AW179" i="5" s="1"/>
  <c r="AE195" i="5"/>
  <c r="AF195" i="5" s="1"/>
  <c r="S175" i="5"/>
  <c r="BG481" i="5"/>
  <c r="R174" i="2"/>
  <c r="S174" i="2" s="1"/>
  <c r="AE177" i="2"/>
  <c r="BA179" i="5" l="1"/>
  <c r="V174" i="2"/>
  <c r="T175" i="5"/>
  <c r="W175" i="5" s="1"/>
  <c r="BG482" i="5"/>
  <c r="AL195" i="5"/>
  <c r="I41" i="7"/>
  <c r="AZ187" i="2"/>
  <c r="AR188" i="2"/>
  <c r="AJ177" i="2"/>
  <c r="AT180" i="5" l="1"/>
  <c r="BB179" i="5"/>
  <c r="AT188" i="2"/>
  <c r="AU188" i="2" s="1"/>
  <c r="X175" i="5"/>
  <c r="N176" i="5"/>
  <c r="O176" i="5"/>
  <c r="P176" i="5" s="1"/>
  <c r="H40" i="9"/>
  <c r="BG483" i="5"/>
  <c r="AM195" i="5"/>
  <c r="AC196" i="5"/>
  <c r="W174" i="2"/>
  <c r="M175" i="2"/>
  <c r="N175" i="2"/>
  <c r="O175" i="2" s="1"/>
  <c r="AK177" i="2"/>
  <c r="AB178" i="2"/>
  <c r="AD178" i="2" s="1"/>
  <c r="AY188" i="2" l="1"/>
  <c r="AV180" i="5"/>
  <c r="AE196" i="5"/>
  <c r="AF196" i="5" s="1"/>
  <c r="S176" i="5"/>
  <c r="BG484" i="5"/>
  <c r="R175" i="2"/>
  <c r="S175" i="2" s="1"/>
  <c r="AE178" i="2"/>
  <c r="AW180" i="5" l="1"/>
  <c r="BA180" i="5" s="1"/>
  <c r="V175" i="2"/>
  <c r="W175" i="2" s="1"/>
  <c r="M40" i="7" s="1"/>
  <c r="T176" i="5"/>
  <c r="W176" i="5" s="1"/>
  <c r="BG485" i="5"/>
  <c r="AL196" i="5"/>
  <c r="AM196" i="5" s="1"/>
  <c r="AR189" i="2"/>
  <c r="AZ188" i="2"/>
  <c r="AJ178" i="2"/>
  <c r="BB180" i="5" l="1"/>
  <c r="AT181" i="5"/>
  <c r="AT189" i="2"/>
  <c r="AU189" i="2" s="1"/>
  <c r="H40" i="7"/>
  <c r="L40" i="7" s="1"/>
  <c r="N176" i="2"/>
  <c r="O176" i="2" s="1"/>
  <c r="M176" i="2"/>
  <c r="X176" i="5"/>
  <c r="O177" i="5"/>
  <c r="P177" i="5" s="1"/>
  <c r="N177" i="5"/>
  <c r="BG486" i="5"/>
  <c r="AC197" i="5"/>
  <c r="AK178" i="2"/>
  <c r="AB179" i="2"/>
  <c r="AD179" i="2" s="1"/>
  <c r="AV181" i="5" l="1"/>
  <c r="AY189" i="2"/>
  <c r="R176" i="2"/>
  <c r="S176" i="2" s="1"/>
  <c r="AE197" i="5"/>
  <c r="AF197" i="5" s="1"/>
  <c r="AL197" i="5" s="1"/>
  <c r="AM197" i="5" s="1"/>
  <c r="S177" i="5"/>
  <c r="BG487" i="5"/>
  <c r="AE179" i="2"/>
  <c r="AR190" i="2" l="1"/>
  <c r="AT190" i="2" s="1"/>
  <c r="AU190" i="2" s="1"/>
  <c r="AZ189" i="2"/>
  <c r="AW181" i="5"/>
  <c r="BA181" i="5" s="1"/>
  <c r="V176" i="2"/>
  <c r="M177" i="2" s="1"/>
  <c r="T177" i="5"/>
  <c r="W177" i="5" s="1"/>
  <c r="BG488" i="5"/>
  <c r="AC198" i="5"/>
  <c r="AJ179" i="2"/>
  <c r="BB181" i="5" l="1"/>
  <c r="AT182" i="5"/>
  <c r="AY190" i="2"/>
  <c r="AZ190" i="2" s="1"/>
  <c r="N177" i="2"/>
  <c r="O177" i="2" s="1"/>
  <c r="R177" i="2" s="1"/>
  <c r="W176" i="2"/>
  <c r="AE198" i="5"/>
  <c r="AF198" i="5" s="1"/>
  <c r="AL198" i="5" s="1"/>
  <c r="X177" i="5"/>
  <c r="O178" i="5"/>
  <c r="P178" i="5" s="1"/>
  <c r="N178" i="5"/>
  <c r="BG489" i="5"/>
  <c r="AK179" i="2"/>
  <c r="AB180" i="2"/>
  <c r="AD180" i="2" s="1"/>
  <c r="AR191" i="2" l="1"/>
  <c r="AT191" i="2" s="1"/>
  <c r="AV182" i="5"/>
  <c r="AW182" i="5" s="1"/>
  <c r="BA182" i="5" s="1"/>
  <c r="S178" i="5"/>
  <c r="BG490" i="5"/>
  <c r="AC199" i="5"/>
  <c r="AM198" i="5"/>
  <c r="S177" i="2"/>
  <c r="V177" i="2" s="1"/>
  <c r="AE180" i="2"/>
  <c r="AU191" i="2" l="1"/>
  <c r="AY191" i="2" s="1"/>
  <c r="AT183" i="5"/>
  <c r="BB182" i="5"/>
  <c r="AE199" i="5"/>
  <c r="AF199" i="5" s="1"/>
  <c r="T178" i="5"/>
  <c r="W178" i="5" s="1"/>
  <c r="BG491" i="5"/>
  <c r="W177" i="2"/>
  <c r="M178" i="2"/>
  <c r="N178" i="2"/>
  <c r="O178" i="2" s="1"/>
  <c r="AJ180" i="2"/>
  <c r="AV183" i="5" l="1"/>
  <c r="AW183" i="5" s="1"/>
  <c r="X178" i="5"/>
  <c r="O179" i="5"/>
  <c r="P179" i="5" s="1"/>
  <c r="N179" i="5"/>
  <c r="BG492" i="5"/>
  <c r="AL199" i="5"/>
  <c r="AR192" i="2"/>
  <c r="R178" i="2"/>
  <c r="AZ191" i="2"/>
  <c r="AK180" i="2"/>
  <c r="AB181" i="2"/>
  <c r="AD181" i="2" s="1"/>
  <c r="BA183" i="5" l="1"/>
  <c r="AT192" i="2"/>
  <c r="S179" i="5"/>
  <c r="T179" i="5" s="1"/>
  <c r="BG493" i="5"/>
  <c r="AC200" i="5"/>
  <c r="AM199" i="5"/>
  <c r="J42" i="9"/>
  <c r="S178" i="2"/>
  <c r="V178" i="2" s="1"/>
  <c r="AE181" i="2"/>
  <c r="AU192" i="2" l="1"/>
  <c r="AY192" i="2" s="1"/>
  <c r="AT184" i="5"/>
  <c r="BB183" i="5"/>
  <c r="W179" i="5"/>
  <c r="X179" i="5" s="1"/>
  <c r="AE200" i="5"/>
  <c r="AF200" i="5" s="1"/>
  <c r="AL200" i="5" s="1"/>
  <c r="BG494" i="5"/>
  <c r="AJ181" i="2"/>
  <c r="AZ192" i="2" l="1"/>
  <c r="AR193" i="2"/>
  <c r="AT193" i="2" s="1"/>
  <c r="AU193" i="2" s="1"/>
  <c r="AV184" i="5"/>
  <c r="AW184" i="5" s="1"/>
  <c r="O180" i="5"/>
  <c r="P180" i="5" s="1"/>
  <c r="N180" i="5"/>
  <c r="BG495" i="5"/>
  <c r="AM200" i="5"/>
  <c r="AC201" i="5"/>
  <c r="N179" i="2"/>
  <c r="O179" i="2" s="1"/>
  <c r="M179" i="2"/>
  <c r="W178" i="2"/>
  <c r="AK181" i="2"/>
  <c r="AB182" i="2"/>
  <c r="AD182" i="2" s="1"/>
  <c r="BA184" i="5" l="1"/>
  <c r="AY193" i="2"/>
  <c r="AR194" i="2" s="1"/>
  <c r="S180" i="5"/>
  <c r="T180" i="5" s="1"/>
  <c r="W180" i="5" s="1"/>
  <c r="AE201" i="5"/>
  <c r="AF201" i="5" s="1"/>
  <c r="BG496" i="5"/>
  <c r="R179" i="2"/>
  <c r="S179" i="2" s="1"/>
  <c r="AE182" i="2"/>
  <c r="AT185" i="5" l="1"/>
  <c r="BB184" i="5"/>
  <c r="AZ193" i="2"/>
  <c r="AT194" i="2"/>
  <c r="AU194" i="2" s="1"/>
  <c r="V179" i="2"/>
  <c r="X180" i="5"/>
  <c r="N181" i="5"/>
  <c r="O181" i="5"/>
  <c r="P181" i="5" s="1"/>
  <c r="BG497" i="5"/>
  <c r="AL201" i="5"/>
  <c r="AJ182" i="2"/>
  <c r="AY194" i="2" l="1"/>
  <c r="AV185" i="5"/>
  <c r="AW185" i="5" s="1"/>
  <c r="S181" i="5"/>
  <c r="T181" i="5" s="1"/>
  <c r="BG498" i="5"/>
  <c r="AM201" i="5"/>
  <c r="AC202" i="5"/>
  <c r="M180" i="2"/>
  <c r="N180" i="2"/>
  <c r="O180" i="2" s="1"/>
  <c r="W179" i="2"/>
  <c r="AK182" i="2"/>
  <c r="AB183" i="2"/>
  <c r="AD183" i="2" s="1"/>
  <c r="BA185" i="5" l="1"/>
  <c r="W181" i="5"/>
  <c r="AE202" i="5"/>
  <c r="AF202" i="5" s="1"/>
  <c r="AL202" i="5" s="1"/>
  <c r="BG499" i="5"/>
  <c r="AZ194" i="2"/>
  <c r="R180" i="2"/>
  <c r="S180" i="2" s="1"/>
  <c r="AR195" i="2"/>
  <c r="AE183" i="2"/>
  <c r="AT186" i="5" l="1"/>
  <c r="BB185" i="5"/>
  <c r="V180" i="2"/>
  <c r="X181" i="5"/>
  <c r="N182" i="5"/>
  <c r="O182" i="5"/>
  <c r="P182" i="5" s="1"/>
  <c r="BG500" i="5"/>
  <c r="AC203" i="5"/>
  <c r="AM202" i="5"/>
  <c r="AT195" i="2"/>
  <c r="AU195" i="2" s="1"/>
  <c r="AJ183" i="2"/>
  <c r="AV186" i="5" l="1"/>
  <c r="AW186" i="5" s="1"/>
  <c r="AY195" i="2"/>
  <c r="AE203" i="5"/>
  <c r="AF203" i="5" s="1"/>
  <c r="S182" i="5"/>
  <c r="T182" i="5" s="1"/>
  <c r="BG501" i="5"/>
  <c r="M181" i="2"/>
  <c r="W180" i="2"/>
  <c r="N181" i="2"/>
  <c r="O181" i="2" s="1"/>
  <c r="AK183" i="2"/>
  <c r="AB184" i="2"/>
  <c r="AD184" i="2" s="1"/>
  <c r="BA186" i="5" l="1"/>
  <c r="W182" i="5"/>
  <c r="BG502" i="5"/>
  <c r="AL203" i="5"/>
  <c r="R181" i="2"/>
  <c r="S181" i="2" s="1"/>
  <c r="AZ195" i="2"/>
  <c r="AR196" i="2"/>
  <c r="AE184" i="2"/>
  <c r="BB186" i="5" l="1"/>
  <c r="AT187" i="5"/>
  <c r="AT196" i="2"/>
  <c r="AU196" i="2" s="1"/>
  <c r="V181" i="2"/>
  <c r="M182" i="2" s="1"/>
  <c r="X182" i="5"/>
  <c r="O183" i="5"/>
  <c r="P183" i="5" s="1"/>
  <c r="N183" i="5"/>
  <c r="BG503" i="5"/>
  <c r="AM203" i="5"/>
  <c r="AC204" i="5"/>
  <c r="AJ184" i="2"/>
  <c r="AV187" i="5" l="1"/>
  <c r="AW187" i="5" s="1"/>
  <c r="AY196" i="2"/>
  <c r="AR197" i="2" s="1"/>
  <c r="N182" i="2"/>
  <c r="O182" i="2" s="1"/>
  <c r="R182" i="2" s="1"/>
  <c r="S182" i="2" s="1"/>
  <c r="W181" i="2"/>
  <c r="AE204" i="5"/>
  <c r="AF204" i="5" s="1"/>
  <c r="S183" i="5"/>
  <c r="T183" i="5" s="1"/>
  <c r="BG504" i="5"/>
  <c r="AK184" i="2"/>
  <c r="AB185" i="2"/>
  <c r="AD185" i="2" s="1"/>
  <c r="AZ196" i="2" l="1"/>
  <c r="BA187" i="5"/>
  <c r="AT197" i="2"/>
  <c r="AU197" i="2" s="1"/>
  <c r="V182" i="2"/>
  <c r="W183" i="5"/>
  <c r="X183" i="5" s="1"/>
  <c r="BG505" i="5"/>
  <c r="AL204" i="5"/>
  <c r="AE185" i="2"/>
  <c r="BB187" i="5" l="1"/>
  <c r="AT188" i="5"/>
  <c r="I41" i="9"/>
  <c r="AY197" i="2"/>
  <c r="N184" i="5"/>
  <c r="O184" i="5"/>
  <c r="P184" i="5" s="1"/>
  <c r="BG506" i="5"/>
  <c r="AC205" i="5"/>
  <c r="AM204" i="5"/>
  <c r="W182" i="2"/>
  <c r="M183" i="2"/>
  <c r="N183" i="2"/>
  <c r="O183" i="2" s="1"/>
  <c r="AJ185" i="2"/>
  <c r="AR198" i="2" l="1"/>
  <c r="AT198" i="2" s="1"/>
  <c r="AZ197" i="2"/>
  <c r="AV188" i="5"/>
  <c r="AW188" i="5" s="1"/>
  <c r="S184" i="5"/>
  <c r="T184" i="5" s="1"/>
  <c r="W184" i="5" s="1"/>
  <c r="AE205" i="5"/>
  <c r="AF205" i="5" s="1"/>
  <c r="BG507" i="5"/>
  <c r="R183" i="2"/>
  <c r="S183" i="2" s="1"/>
  <c r="AK185" i="2"/>
  <c r="AB186" i="2"/>
  <c r="AD186" i="2" s="1"/>
  <c r="BA188" i="5" l="1"/>
  <c r="AU198" i="2"/>
  <c r="AY198" i="2" s="1"/>
  <c r="V183" i="2"/>
  <c r="N184" i="2" s="1"/>
  <c r="O184" i="2" s="1"/>
  <c r="X184" i="5"/>
  <c r="O185" i="5"/>
  <c r="P185" i="5" s="1"/>
  <c r="N185" i="5"/>
  <c r="BG508" i="5"/>
  <c r="AL205" i="5"/>
  <c r="AE186" i="2"/>
  <c r="AT189" i="5" l="1"/>
  <c r="BB188" i="5"/>
  <c r="AR199" i="2"/>
  <c r="AT199" i="2" s="1"/>
  <c r="AU199" i="2" s="1"/>
  <c r="AZ198" i="2"/>
  <c r="M184" i="2"/>
  <c r="W183" i="2"/>
  <c r="S185" i="5"/>
  <c r="T185" i="5" s="1"/>
  <c r="BG509" i="5"/>
  <c r="AC206" i="5"/>
  <c r="AM205" i="5"/>
  <c r="AJ186" i="2"/>
  <c r="AV189" i="5" l="1"/>
  <c r="AW189" i="5" s="1"/>
  <c r="AY199" i="2"/>
  <c r="R184" i="2"/>
  <c r="S184" i="2" s="1"/>
  <c r="V184" i="2" s="1"/>
  <c r="W185" i="5"/>
  <c r="AE206" i="5"/>
  <c r="AF206" i="5" s="1"/>
  <c r="BG510" i="5"/>
  <c r="AK186" i="2"/>
  <c r="AB187" i="2"/>
  <c r="AD187" i="2" s="1"/>
  <c r="BA189" i="5" l="1"/>
  <c r="X185" i="5"/>
  <c r="N186" i="5"/>
  <c r="O186" i="5"/>
  <c r="P186" i="5" s="1"/>
  <c r="BG511" i="5"/>
  <c r="AL206" i="5"/>
  <c r="W184" i="2"/>
  <c r="I42" i="7"/>
  <c r="I38" i="6"/>
  <c r="AZ199" i="2"/>
  <c r="AR200" i="2"/>
  <c r="M185" i="2"/>
  <c r="N185" i="2"/>
  <c r="O185" i="2" s="1"/>
  <c r="AE187" i="2"/>
  <c r="BB189" i="5" l="1"/>
  <c r="AT190" i="5"/>
  <c r="S186" i="5"/>
  <c r="BG512" i="5"/>
  <c r="AC207" i="5"/>
  <c r="AM206" i="5"/>
  <c r="AT200" i="2"/>
  <c r="AU200" i="2" s="1"/>
  <c r="R185" i="2"/>
  <c r="AJ187" i="2"/>
  <c r="AV190" i="5" l="1"/>
  <c r="AW190" i="5" s="1"/>
  <c r="AY200" i="2"/>
  <c r="AZ200" i="2" s="1"/>
  <c r="AE207" i="5"/>
  <c r="AF207" i="5" s="1"/>
  <c r="AL207" i="5" s="1"/>
  <c r="T186" i="5"/>
  <c r="W186" i="5" s="1"/>
  <c r="BG513" i="5"/>
  <c r="J41" i="7"/>
  <c r="S185" i="2"/>
  <c r="V185" i="2" s="1"/>
  <c r="AK187" i="2"/>
  <c r="AB188" i="2"/>
  <c r="AD188" i="2" s="1"/>
  <c r="BA190" i="5" l="1"/>
  <c r="AR201" i="2"/>
  <c r="X186" i="5"/>
  <c r="O187" i="5"/>
  <c r="P187" i="5" s="1"/>
  <c r="N187" i="5"/>
  <c r="BG514" i="5"/>
  <c r="AM207" i="5"/>
  <c r="AC208" i="5"/>
  <c r="AE188" i="2"/>
  <c r="AT191" i="5" l="1"/>
  <c r="BB190" i="5"/>
  <c r="AT201" i="2"/>
  <c r="AU201" i="2" s="1"/>
  <c r="W185" i="2"/>
  <c r="AE208" i="5"/>
  <c r="AF208" i="5" s="1"/>
  <c r="S187" i="5"/>
  <c r="T187" i="5" s="1"/>
  <c r="BG515" i="5"/>
  <c r="N186" i="2"/>
  <c r="O186" i="2" s="1"/>
  <c r="M186" i="2"/>
  <c r="AJ188" i="2"/>
  <c r="AV191" i="5" l="1"/>
  <c r="AY201" i="2"/>
  <c r="AR202" i="2" s="1"/>
  <c r="AT202" i="2" s="1"/>
  <c r="AU202" i="2" s="1"/>
  <c r="W187" i="5"/>
  <c r="H41" i="9" s="1"/>
  <c r="BG516" i="5"/>
  <c r="AL208" i="5"/>
  <c r="AM208" i="5" s="1"/>
  <c r="R186" i="2"/>
  <c r="S186" i="2" s="1"/>
  <c r="AK188" i="2"/>
  <c r="AB189" i="2"/>
  <c r="AD189" i="2" s="1"/>
  <c r="AW191" i="5" l="1"/>
  <c r="BA191" i="5" s="1"/>
  <c r="AZ201" i="2"/>
  <c r="AY202" i="2"/>
  <c r="V186" i="2"/>
  <c r="X187" i="5"/>
  <c r="O188" i="5"/>
  <c r="P188" i="5" s="1"/>
  <c r="N188" i="5"/>
  <c r="BG517" i="5"/>
  <c r="AC209" i="5"/>
  <c r="AE189" i="2"/>
  <c r="AZ202" i="2" l="1"/>
  <c r="BB191" i="5"/>
  <c r="AT192" i="5"/>
  <c r="AR203" i="2"/>
  <c r="AT203" i="2" s="1"/>
  <c r="AU203" i="2" s="1"/>
  <c r="S188" i="5"/>
  <c r="T188" i="5" s="1"/>
  <c r="AE209" i="5"/>
  <c r="AF209" i="5" s="1"/>
  <c r="AL209" i="5" s="1"/>
  <c r="BG518" i="5"/>
  <c r="W186" i="2"/>
  <c r="N187" i="2"/>
  <c r="O187" i="2" s="1"/>
  <c r="M187" i="2"/>
  <c r="AJ189" i="2"/>
  <c r="AV192" i="5" l="1"/>
  <c r="AW192" i="5" s="1"/>
  <c r="AY203" i="2"/>
  <c r="W188" i="5"/>
  <c r="BG519" i="5"/>
  <c r="AM209" i="5"/>
  <c r="AC210" i="5"/>
  <c r="R187" i="2"/>
  <c r="S187" i="2" s="1"/>
  <c r="AK189" i="2"/>
  <c r="AB190" i="2"/>
  <c r="AD190" i="2" s="1"/>
  <c r="AR204" i="2" l="1"/>
  <c r="AT204" i="2" s="1"/>
  <c r="AZ203" i="2"/>
  <c r="BA192" i="5"/>
  <c r="X188" i="5"/>
  <c r="O189" i="5"/>
  <c r="P189" i="5" s="1"/>
  <c r="N189" i="5"/>
  <c r="V187" i="2"/>
  <c r="AE210" i="5"/>
  <c r="AF210" i="5" s="1"/>
  <c r="BG520" i="5"/>
  <c r="AE190" i="2"/>
  <c r="AU204" i="2" l="1"/>
  <c r="AY204" i="2" s="1"/>
  <c r="AZ204" i="2" s="1"/>
  <c r="AT193" i="5"/>
  <c r="BB192" i="5"/>
  <c r="S189" i="5"/>
  <c r="T189" i="5" s="1"/>
  <c r="W189" i="5" s="1"/>
  <c r="BG521" i="5"/>
  <c r="AL210" i="5"/>
  <c r="H41" i="7"/>
  <c r="L41" i="7" s="1"/>
  <c r="W187" i="2"/>
  <c r="M41" i="7" s="1"/>
  <c r="M188" i="2"/>
  <c r="N188" i="2"/>
  <c r="O188" i="2" s="1"/>
  <c r="AJ190" i="2"/>
  <c r="AR205" i="2" l="1"/>
  <c r="AT205" i="2" s="1"/>
  <c r="AV193" i="5"/>
  <c r="N190" i="5"/>
  <c r="X189" i="5"/>
  <c r="O190" i="5"/>
  <c r="P190" i="5" s="1"/>
  <c r="BG522" i="5"/>
  <c r="AC211" i="5"/>
  <c r="AM210" i="5"/>
  <c r="R188" i="2"/>
  <c r="S188" i="2" s="1"/>
  <c r="AK190" i="2"/>
  <c r="AB191" i="2"/>
  <c r="AD191" i="2" s="1"/>
  <c r="AW193" i="5" l="1"/>
  <c r="BA193" i="5" s="1"/>
  <c r="AU205" i="2"/>
  <c r="AY205" i="2" s="1"/>
  <c r="S190" i="5"/>
  <c r="T190" i="5" s="1"/>
  <c r="V188" i="2"/>
  <c r="AE211" i="5"/>
  <c r="AF211" i="5" s="1"/>
  <c r="BG523" i="5"/>
  <c r="AE191" i="2"/>
  <c r="BB193" i="5" l="1"/>
  <c r="AT194" i="5"/>
  <c r="W190" i="5"/>
  <c r="X190" i="5" s="1"/>
  <c r="BG524" i="5"/>
  <c r="AL211" i="5"/>
  <c r="AR206" i="2"/>
  <c r="W188" i="2"/>
  <c r="N189" i="2"/>
  <c r="O189" i="2" s="1"/>
  <c r="M189" i="2"/>
  <c r="AZ205" i="2"/>
  <c r="AJ191" i="2"/>
  <c r="AV194" i="5" l="1"/>
  <c r="AW194" i="5" s="1"/>
  <c r="AT206" i="2"/>
  <c r="AU206" i="2" s="1"/>
  <c r="O191" i="5"/>
  <c r="P191" i="5" s="1"/>
  <c r="N191" i="5"/>
  <c r="BG525" i="5"/>
  <c r="J43" i="9"/>
  <c r="AM211" i="5"/>
  <c r="AC212" i="5"/>
  <c r="R189" i="2"/>
  <c r="S189" i="2" s="1"/>
  <c r="AK191" i="2"/>
  <c r="AB192" i="2"/>
  <c r="AD192" i="2" s="1"/>
  <c r="BA194" i="5" l="1"/>
  <c r="AY206" i="2"/>
  <c r="AZ206" i="2" s="1"/>
  <c r="S191" i="5"/>
  <c r="V189" i="2"/>
  <c r="AE212" i="5"/>
  <c r="AF212" i="5" s="1"/>
  <c r="BG526" i="5"/>
  <c r="AE192" i="2"/>
  <c r="AR207" i="2" l="1"/>
  <c r="AT207" i="2" s="1"/>
  <c r="BB194" i="5"/>
  <c r="AT195" i="5"/>
  <c r="T191" i="5"/>
  <c r="W191" i="5" s="1"/>
  <c r="W189" i="2"/>
  <c r="M190" i="2"/>
  <c r="BG527" i="5"/>
  <c r="AL212" i="5"/>
  <c r="N190" i="2"/>
  <c r="O190" i="2" s="1"/>
  <c r="AJ192" i="2"/>
  <c r="AV195" i="5" l="1"/>
  <c r="AW195" i="5" s="1"/>
  <c r="AU207" i="2"/>
  <c r="AY207" i="2" s="1"/>
  <c r="N192" i="5"/>
  <c r="O192" i="5"/>
  <c r="P192" i="5" s="1"/>
  <c r="X191" i="5"/>
  <c r="BG528" i="5"/>
  <c r="AM212" i="5"/>
  <c r="AC213" i="5"/>
  <c r="R190" i="2"/>
  <c r="S190" i="2" s="1"/>
  <c r="AK192" i="2"/>
  <c r="AB193" i="2"/>
  <c r="AD193" i="2" s="1"/>
  <c r="BA195" i="5" l="1"/>
  <c r="S192" i="5"/>
  <c r="T192" i="5" s="1"/>
  <c r="V190" i="2"/>
  <c r="AE213" i="5"/>
  <c r="AF213" i="5" s="1"/>
  <c r="BG529" i="5"/>
  <c r="AE193" i="2"/>
  <c r="AT196" i="5" l="1"/>
  <c r="BB195" i="5"/>
  <c r="AZ207" i="2"/>
  <c r="AR208" i="2"/>
  <c r="W192" i="5"/>
  <c r="BG530" i="5"/>
  <c r="AL213" i="5"/>
  <c r="W190" i="2"/>
  <c r="M191" i="2"/>
  <c r="N191" i="2"/>
  <c r="O191" i="2" s="1"/>
  <c r="AJ193" i="2"/>
  <c r="AV196" i="5" l="1"/>
  <c r="AW196" i="5" s="1"/>
  <c r="AT208" i="2"/>
  <c r="X192" i="5"/>
  <c r="N193" i="5"/>
  <c r="O193" i="5"/>
  <c r="P193" i="5" s="1"/>
  <c r="BG531" i="5"/>
  <c r="AM213" i="5"/>
  <c r="AC214" i="5"/>
  <c r="R191" i="2"/>
  <c r="S191" i="2" s="1"/>
  <c r="AK193" i="2"/>
  <c r="AB194" i="2"/>
  <c r="AD194" i="2" s="1"/>
  <c r="BA196" i="5" l="1"/>
  <c r="AU208" i="2"/>
  <c r="AY208" i="2" s="1"/>
  <c r="S193" i="5"/>
  <c r="T193" i="5" s="1"/>
  <c r="W193" i="5" s="1"/>
  <c r="V191" i="2"/>
  <c r="W191" i="2" s="1"/>
  <c r="AE214" i="5"/>
  <c r="AF214" i="5" s="1"/>
  <c r="BG532" i="5"/>
  <c r="AE194" i="2"/>
  <c r="AT197" i="5" l="1"/>
  <c r="BB196" i="5"/>
  <c r="AR209" i="2"/>
  <c r="AT209" i="2" s="1"/>
  <c r="AU209" i="2" s="1"/>
  <c r="AZ208" i="2"/>
  <c r="N194" i="5"/>
  <c r="X193" i="5"/>
  <c r="O194" i="5"/>
  <c r="P194" i="5" s="1"/>
  <c r="M192" i="2"/>
  <c r="N192" i="2"/>
  <c r="O192" i="2" s="1"/>
  <c r="BG533" i="5"/>
  <c r="AL214" i="5"/>
  <c r="AJ194" i="2"/>
  <c r="AV197" i="5" l="1"/>
  <c r="AW197" i="5" s="1"/>
  <c r="AY209" i="2"/>
  <c r="AZ209" i="2" s="1"/>
  <c r="S194" i="5"/>
  <c r="T194" i="5" s="1"/>
  <c r="W194" i="5" s="1"/>
  <c r="R192" i="2"/>
  <c r="S192" i="2" s="1"/>
  <c r="V192" i="2" s="1"/>
  <c r="BG534" i="5"/>
  <c r="AM214" i="5"/>
  <c r="AC215" i="5"/>
  <c r="AK194" i="2"/>
  <c r="AB195" i="2"/>
  <c r="AD195" i="2" s="1"/>
  <c r="AR210" i="2" l="1"/>
  <c r="AT210" i="2" s="1"/>
  <c r="BA197" i="5"/>
  <c r="N195" i="5"/>
  <c r="X194" i="5"/>
  <c r="O195" i="5"/>
  <c r="P195" i="5" s="1"/>
  <c r="AE215" i="5"/>
  <c r="AF215" i="5" s="1"/>
  <c r="BG535" i="5"/>
  <c r="W192" i="2"/>
  <c r="M193" i="2"/>
  <c r="N193" i="2"/>
  <c r="O193" i="2" s="1"/>
  <c r="AE195" i="2"/>
  <c r="BB197" i="5" l="1"/>
  <c r="AT198" i="5"/>
  <c r="AU210" i="2"/>
  <c r="AY210" i="2" s="1"/>
  <c r="S195" i="5"/>
  <c r="T195" i="5" s="1"/>
  <c r="AL215" i="5"/>
  <c r="AC216" i="5" s="1"/>
  <c r="BG536" i="5"/>
  <c r="R193" i="2"/>
  <c r="S193" i="2" s="1"/>
  <c r="AJ195" i="2"/>
  <c r="AV198" i="5" l="1"/>
  <c r="AW198" i="5" s="1"/>
  <c r="AR211" i="2"/>
  <c r="AZ210" i="2"/>
  <c r="W195" i="5"/>
  <c r="X195" i="5" s="1"/>
  <c r="V193" i="2"/>
  <c r="AM215" i="5"/>
  <c r="AE216" i="5"/>
  <c r="AF216" i="5" s="1"/>
  <c r="AL216" i="5" s="1"/>
  <c r="BG537" i="5"/>
  <c r="AK195" i="2"/>
  <c r="AB196" i="2"/>
  <c r="AD196" i="2" s="1"/>
  <c r="BA198" i="5" l="1"/>
  <c r="AT211" i="2"/>
  <c r="AU211" i="2" s="1"/>
  <c r="O196" i="5"/>
  <c r="P196" i="5" s="1"/>
  <c r="N196" i="5"/>
  <c r="BG538" i="5"/>
  <c r="AC217" i="5"/>
  <c r="AM216" i="5"/>
  <c r="W193" i="2"/>
  <c r="N194" i="2"/>
  <c r="O194" i="2" s="1"/>
  <c r="M194" i="2"/>
  <c r="AE196" i="2"/>
  <c r="BB198" i="5" l="1"/>
  <c r="AT199" i="5"/>
  <c r="AY211" i="2"/>
  <c r="I43" i="7" s="1"/>
  <c r="S196" i="5"/>
  <c r="T196" i="5" s="1"/>
  <c r="AE217" i="5"/>
  <c r="AF217" i="5" s="1"/>
  <c r="BG539" i="5"/>
  <c r="R194" i="2"/>
  <c r="S194" i="2" s="1"/>
  <c r="AJ196" i="2"/>
  <c r="AZ211" i="2" l="1"/>
  <c r="AV199" i="5"/>
  <c r="AW199" i="5" s="1"/>
  <c r="AR212" i="2"/>
  <c r="AT212" i="2" s="1"/>
  <c r="W196" i="5"/>
  <c r="V194" i="2"/>
  <c r="AL217" i="5"/>
  <c r="AM217" i="5" s="1"/>
  <c r="BG540" i="5"/>
  <c r="AK196" i="2"/>
  <c r="AB197" i="2"/>
  <c r="AD197" i="2" s="1"/>
  <c r="AU212" i="2" l="1"/>
  <c r="AY212" i="2" s="1"/>
  <c r="BA199" i="5"/>
  <c r="X196" i="5"/>
  <c r="N197" i="5"/>
  <c r="O197" i="5"/>
  <c r="P197" i="5" s="1"/>
  <c r="AC218" i="5"/>
  <c r="AE218" i="5" s="1"/>
  <c r="BG541" i="5"/>
  <c r="W194" i="2"/>
  <c r="N195" i="2"/>
  <c r="O195" i="2" s="1"/>
  <c r="M195" i="2"/>
  <c r="AE197" i="2"/>
  <c r="AZ212" i="2" l="1"/>
  <c r="AR213" i="2"/>
  <c r="AT213" i="2" s="1"/>
  <c r="AU213" i="2" s="1"/>
  <c r="I42" i="9"/>
  <c r="BB199" i="5"/>
  <c r="AT200" i="5"/>
  <c r="S197" i="5"/>
  <c r="T197" i="5" s="1"/>
  <c r="W197" i="5" s="1"/>
  <c r="AF218" i="5"/>
  <c r="AL218" i="5" s="1"/>
  <c r="BG542" i="5"/>
  <c r="R195" i="2"/>
  <c r="S195" i="2" s="1"/>
  <c r="AJ197" i="2"/>
  <c r="AY213" i="2" l="1"/>
  <c r="AV200" i="5"/>
  <c r="AW200" i="5" s="1"/>
  <c r="X197" i="5"/>
  <c r="N198" i="5"/>
  <c r="O198" i="5"/>
  <c r="P198" i="5" s="1"/>
  <c r="V195" i="2"/>
  <c r="AM218" i="5"/>
  <c r="AC219" i="5"/>
  <c r="BG543" i="5"/>
  <c r="AK197" i="2"/>
  <c r="AB198" i="2"/>
  <c r="AD198" i="2" s="1"/>
  <c r="BA200" i="5" l="1"/>
  <c r="S198" i="5"/>
  <c r="AE219" i="5"/>
  <c r="BG544" i="5"/>
  <c r="W195" i="2"/>
  <c r="M196" i="2"/>
  <c r="N196" i="2"/>
  <c r="O196" i="2" s="1"/>
  <c r="AZ213" i="2"/>
  <c r="AR214" i="2"/>
  <c r="AE198" i="2"/>
  <c r="BB200" i="5" l="1"/>
  <c r="AT201" i="5"/>
  <c r="AT214" i="2"/>
  <c r="AU214" i="2" s="1"/>
  <c r="T198" i="5"/>
  <c r="W198" i="5" s="1"/>
  <c r="AF219" i="5"/>
  <c r="AL219" i="5" s="1"/>
  <c r="BG545" i="5"/>
  <c r="R196" i="2"/>
  <c r="S196" i="2" s="1"/>
  <c r="AJ198" i="2"/>
  <c r="AY214" i="2" l="1"/>
  <c r="AV201" i="5"/>
  <c r="X198" i="5"/>
  <c r="N199" i="5"/>
  <c r="O199" i="5"/>
  <c r="P199" i="5" s="1"/>
  <c r="V196" i="2"/>
  <c r="AC220" i="5"/>
  <c r="AM219" i="5"/>
  <c r="BG546" i="5"/>
  <c r="AK198" i="2"/>
  <c r="AB199" i="2"/>
  <c r="AD199" i="2" s="1"/>
  <c r="AW201" i="5" l="1"/>
  <c r="BA201" i="5" s="1"/>
  <c r="S199" i="5"/>
  <c r="T199" i="5" s="1"/>
  <c r="AE220" i="5"/>
  <c r="AF220" i="5" s="1"/>
  <c r="BG547" i="5"/>
  <c r="AR215" i="2"/>
  <c r="W196" i="2"/>
  <c r="N197" i="2"/>
  <c r="O197" i="2" s="1"/>
  <c r="M197" i="2"/>
  <c r="AZ214" i="2"/>
  <c r="AE199" i="2"/>
  <c r="AT202" i="5" l="1"/>
  <c r="BB201" i="5"/>
  <c r="AT215" i="2"/>
  <c r="AU215" i="2" s="1"/>
  <c r="W199" i="5"/>
  <c r="AL220" i="5"/>
  <c r="BG548" i="5"/>
  <c r="R197" i="2"/>
  <c r="S197" i="2" s="1"/>
  <c r="AJ199" i="2"/>
  <c r="AV202" i="5" l="1"/>
  <c r="AW202" i="5" s="1"/>
  <c r="AY215" i="2"/>
  <c r="X199" i="5"/>
  <c r="H42" i="9"/>
  <c r="O200" i="5"/>
  <c r="P200" i="5" s="1"/>
  <c r="N200" i="5"/>
  <c r="V197" i="2"/>
  <c r="AM220" i="5"/>
  <c r="AC221" i="5"/>
  <c r="AE221" i="5" s="1"/>
  <c r="AF221" i="5" s="1"/>
  <c r="AL221" i="5" s="1"/>
  <c r="BG549" i="5"/>
  <c r="J42" i="7"/>
  <c r="J38" i="6"/>
  <c r="AK199" i="2"/>
  <c r="AB200" i="2"/>
  <c r="AD200" i="2" s="1"/>
  <c r="AZ215" i="2" l="1"/>
  <c r="AR216" i="2"/>
  <c r="AT216" i="2" s="1"/>
  <c r="AU216" i="2" s="1"/>
  <c r="BA202" i="5"/>
  <c r="S200" i="5"/>
  <c r="T200" i="5" s="1"/>
  <c r="W200" i="5" s="1"/>
  <c r="W197" i="2"/>
  <c r="AM221" i="5"/>
  <c r="AC222" i="5"/>
  <c r="AE222" i="5" s="1"/>
  <c r="AF222" i="5" s="1"/>
  <c r="BG550" i="5"/>
  <c r="M198" i="2"/>
  <c r="N198" i="2"/>
  <c r="O198" i="2" s="1"/>
  <c r="AE200" i="2"/>
  <c r="AT203" i="5" l="1"/>
  <c r="BB202" i="5"/>
  <c r="AY216" i="2"/>
  <c r="X200" i="5"/>
  <c r="O201" i="5"/>
  <c r="P201" i="5" s="1"/>
  <c r="N201" i="5"/>
  <c r="BG551" i="5"/>
  <c r="R198" i="2"/>
  <c r="S198" i="2" s="1"/>
  <c r="AL222" i="5"/>
  <c r="AJ200" i="2"/>
  <c r="AV203" i="5" l="1"/>
  <c r="AW203" i="5" s="1"/>
  <c r="S201" i="5"/>
  <c r="T201" i="5" s="1"/>
  <c r="W201" i="5" s="1"/>
  <c r="V198" i="2"/>
  <c r="BG552" i="5"/>
  <c r="AC223" i="5"/>
  <c r="AM222" i="5"/>
  <c r="AR217" i="2"/>
  <c r="AZ216" i="2"/>
  <c r="AK200" i="2"/>
  <c r="AB201" i="2"/>
  <c r="AD201" i="2" s="1"/>
  <c r="BA203" i="5" l="1"/>
  <c r="AT217" i="2"/>
  <c r="AU217" i="2" s="1"/>
  <c r="X201" i="5"/>
  <c r="O202" i="5"/>
  <c r="P202" i="5" s="1"/>
  <c r="N202" i="5"/>
  <c r="W198" i="2"/>
  <c r="N199" i="2"/>
  <c r="O199" i="2" s="1"/>
  <c r="M199" i="2"/>
  <c r="AE223" i="5"/>
  <c r="AF223" i="5" s="1"/>
  <c r="BG553" i="5"/>
  <c r="AE201" i="2"/>
  <c r="AY217" i="2" l="1"/>
  <c r="AT204" i="5"/>
  <c r="BB203" i="5"/>
  <c r="S202" i="5"/>
  <c r="T202" i="5" s="1"/>
  <c r="W202" i="5" s="1"/>
  <c r="X202" i="5" s="1"/>
  <c r="R199" i="2"/>
  <c r="S199" i="2" s="1"/>
  <c r="BG554" i="5"/>
  <c r="AL223" i="5"/>
  <c r="AJ201" i="2"/>
  <c r="AV204" i="5" l="1"/>
  <c r="AW204" i="5" s="1"/>
  <c r="V199" i="2"/>
  <c r="H42" i="7" s="1"/>
  <c r="L42" i="7" s="1"/>
  <c r="BG555" i="5"/>
  <c r="J44" i="9"/>
  <c r="AC224" i="5"/>
  <c r="AM223" i="5"/>
  <c r="N203" i="5"/>
  <c r="O203" i="5"/>
  <c r="P203" i="5" s="1"/>
  <c r="AZ217" i="2"/>
  <c r="AR218" i="2"/>
  <c r="AK201" i="2"/>
  <c r="AB202" i="2"/>
  <c r="AD202" i="2" s="1"/>
  <c r="BA204" i="5" l="1"/>
  <c r="AT218" i="2"/>
  <c r="W199" i="2"/>
  <c r="M38" i="6" s="1"/>
  <c r="H38" i="6"/>
  <c r="L38" i="6" s="1"/>
  <c r="N200" i="2"/>
  <c r="O200" i="2" s="1"/>
  <c r="AE224" i="5"/>
  <c r="AF224" i="5" s="1"/>
  <c r="S203" i="5"/>
  <c r="T203" i="5" s="1"/>
  <c r="BG556" i="5"/>
  <c r="M200" i="2"/>
  <c r="AU218" i="2"/>
  <c r="AE202" i="2"/>
  <c r="AY218" i="2" l="1"/>
  <c r="BB204" i="5"/>
  <c r="AT205" i="5"/>
  <c r="M42" i="7"/>
  <c r="W203" i="5"/>
  <c r="X203" i="5" s="1"/>
  <c r="R200" i="2"/>
  <c r="S200" i="2" s="1"/>
  <c r="BG557" i="5"/>
  <c r="AL224" i="5"/>
  <c r="AJ202" i="2"/>
  <c r="AV205" i="5" l="1"/>
  <c r="AW205" i="5" s="1"/>
  <c r="V200" i="2"/>
  <c r="BG558" i="5"/>
  <c r="AM224" i="5"/>
  <c r="AC225" i="5"/>
  <c r="N204" i="5"/>
  <c r="O204" i="5"/>
  <c r="P204" i="5" s="1"/>
  <c r="AZ218" i="2"/>
  <c r="AR219" i="2"/>
  <c r="AK202" i="2"/>
  <c r="AB203" i="2"/>
  <c r="AD203" i="2" s="1"/>
  <c r="BA205" i="5" l="1"/>
  <c r="AT219" i="2"/>
  <c r="AU219" i="2" s="1"/>
  <c r="W200" i="2"/>
  <c r="AE225" i="5"/>
  <c r="AF225" i="5" s="1"/>
  <c r="S204" i="5"/>
  <c r="T204" i="5" s="1"/>
  <c r="BG559" i="5"/>
  <c r="M201" i="2"/>
  <c r="N201" i="2"/>
  <c r="O201" i="2" s="1"/>
  <c r="AE203" i="2"/>
  <c r="AY219" i="2" l="1"/>
  <c r="BB205" i="5"/>
  <c r="AT206" i="5"/>
  <c r="W204" i="5"/>
  <c r="X204" i="5" s="1"/>
  <c r="BG560" i="5"/>
  <c r="AL225" i="5"/>
  <c r="R201" i="2"/>
  <c r="S201" i="2" s="1"/>
  <c r="AJ203" i="2"/>
  <c r="AV206" i="5" l="1"/>
  <c r="AW206" i="5" s="1"/>
  <c r="V201" i="2"/>
  <c r="N205" i="5"/>
  <c r="O205" i="5"/>
  <c r="P205" i="5" s="1"/>
  <c r="BG561" i="5"/>
  <c r="AC226" i="5"/>
  <c r="AM225" i="5"/>
  <c r="AR220" i="2"/>
  <c r="AZ219" i="2"/>
  <c r="AK203" i="2"/>
  <c r="AB204" i="2"/>
  <c r="AD204" i="2" s="1"/>
  <c r="BA206" i="5" l="1"/>
  <c r="AT220" i="2"/>
  <c r="AU220" i="2" s="1"/>
  <c r="W201" i="2"/>
  <c r="S205" i="5"/>
  <c r="T205" i="5" s="1"/>
  <c r="AE226" i="5"/>
  <c r="AF226" i="5" s="1"/>
  <c r="AL226" i="5" s="1"/>
  <c r="BG562" i="5"/>
  <c r="N202" i="2"/>
  <c r="O202" i="2" s="1"/>
  <c r="M202" i="2"/>
  <c r="AT207" i="5" l="1"/>
  <c r="BB206" i="5"/>
  <c r="AY220" i="2"/>
  <c r="W205" i="5"/>
  <c r="X205" i="5" s="1"/>
  <c r="BG563" i="5"/>
  <c r="AC227" i="5"/>
  <c r="AM226" i="5"/>
  <c r="R202" i="2"/>
  <c r="S202" i="2" s="1"/>
  <c r="AE204" i="2"/>
  <c r="AJ204" i="2" s="1"/>
  <c r="AZ220" i="2" l="1"/>
  <c r="AV207" i="5"/>
  <c r="AW207" i="5" s="1"/>
  <c r="AR221" i="2"/>
  <c r="AT221" i="2" s="1"/>
  <c r="AU221" i="2" s="1"/>
  <c r="N206" i="5"/>
  <c r="O206" i="5"/>
  <c r="P206" i="5" s="1"/>
  <c r="V202" i="2"/>
  <c r="AE227" i="5"/>
  <c r="AF227" i="5" s="1"/>
  <c r="BG564" i="5"/>
  <c r="AK204" i="2"/>
  <c r="AB205" i="2"/>
  <c r="AD205" i="2" s="1"/>
  <c r="BA207" i="5" l="1"/>
  <c r="AY221" i="2"/>
  <c r="S206" i="5"/>
  <c r="T206" i="5" s="1"/>
  <c r="W202" i="2"/>
  <c r="BG565" i="5"/>
  <c r="AL227" i="5"/>
  <c r="AC228" i="5" s="1"/>
  <c r="N203" i="2"/>
  <c r="O203" i="2" s="1"/>
  <c r="M203" i="2"/>
  <c r="AE205" i="2"/>
  <c r="AJ205" i="2" s="1"/>
  <c r="AT208" i="5" l="1"/>
  <c r="BB207" i="5"/>
  <c r="W206" i="5"/>
  <c r="X206" i="5" s="1"/>
  <c r="AE228" i="5"/>
  <c r="AF228" i="5" s="1"/>
  <c r="BG566" i="5"/>
  <c r="AM227" i="5"/>
  <c r="R203" i="2"/>
  <c r="S203" i="2" s="1"/>
  <c r="AZ221" i="2"/>
  <c r="AR222" i="2"/>
  <c r="AK205" i="2"/>
  <c r="AB206" i="2"/>
  <c r="AD206" i="2" s="1"/>
  <c r="AV208" i="5" l="1"/>
  <c r="AW208" i="5" s="1"/>
  <c r="AT222" i="2"/>
  <c r="AU222" i="2" s="1"/>
  <c r="O207" i="5"/>
  <c r="P207" i="5" s="1"/>
  <c r="N207" i="5"/>
  <c r="V203" i="2"/>
  <c r="BG567" i="5"/>
  <c r="AL228" i="5"/>
  <c r="AC229" i="5" s="1"/>
  <c r="AE206" i="2"/>
  <c r="AY222" i="2" l="1"/>
  <c r="BA208" i="5"/>
  <c r="S207" i="5"/>
  <c r="T207" i="5" s="1"/>
  <c r="W207" i="5" s="1"/>
  <c r="AE229" i="5"/>
  <c r="AF229" i="5" s="1"/>
  <c r="AL229" i="5" s="1"/>
  <c r="BG568" i="5"/>
  <c r="AM228" i="5"/>
  <c r="W203" i="2"/>
  <c r="N204" i="2"/>
  <c r="O204" i="2" s="1"/>
  <c r="M204" i="2"/>
  <c r="AJ206" i="2"/>
  <c r="AT209" i="5" l="1"/>
  <c r="BB208" i="5"/>
  <c r="X207" i="5"/>
  <c r="N208" i="5"/>
  <c r="O208" i="5"/>
  <c r="P208" i="5" s="1"/>
  <c r="BG569" i="5"/>
  <c r="R204" i="2"/>
  <c r="S204" i="2" s="1"/>
  <c r="AC230" i="5"/>
  <c r="AM229" i="5"/>
  <c r="AZ222" i="2"/>
  <c r="AR223" i="2"/>
  <c r="AK206" i="2"/>
  <c r="AB207" i="2"/>
  <c r="AD207" i="2" s="1"/>
  <c r="AV209" i="5" l="1"/>
  <c r="AW209" i="5" s="1"/>
  <c r="AT223" i="2"/>
  <c r="AU223" i="2" s="1"/>
  <c r="V204" i="2"/>
  <c r="AE230" i="5"/>
  <c r="AF230" i="5" s="1"/>
  <c r="AL230" i="5" s="1"/>
  <c r="S208" i="5"/>
  <c r="T208" i="5" s="1"/>
  <c r="BG570" i="5"/>
  <c r="AE207" i="2"/>
  <c r="AY223" i="2" l="1"/>
  <c r="BA209" i="5"/>
  <c r="W208" i="5"/>
  <c r="X208" i="5" s="1"/>
  <c r="BG571" i="5"/>
  <c r="W204" i="2"/>
  <c r="M205" i="2"/>
  <c r="N205" i="2"/>
  <c r="O205" i="2" s="1"/>
  <c r="AC231" i="5"/>
  <c r="AM230" i="5"/>
  <c r="AJ207" i="2"/>
  <c r="BB209" i="5" l="1"/>
  <c r="AT210" i="5"/>
  <c r="N209" i="5"/>
  <c r="O209" i="5"/>
  <c r="P209" i="5" s="1"/>
  <c r="AE231" i="5"/>
  <c r="AF231" i="5" s="1"/>
  <c r="AL231" i="5" s="1"/>
  <c r="BG572" i="5"/>
  <c r="I44" i="7"/>
  <c r="R205" i="2"/>
  <c r="S205" i="2" s="1"/>
  <c r="AZ223" i="2"/>
  <c r="AR224" i="2"/>
  <c r="AK207" i="2"/>
  <c r="AB208" i="2"/>
  <c r="AD208" i="2" s="1"/>
  <c r="AV210" i="5" l="1"/>
  <c r="AW210" i="5" s="1"/>
  <c r="AT224" i="2"/>
  <c r="AU224" i="2" s="1"/>
  <c r="S209" i="5"/>
  <c r="T209" i="5" s="1"/>
  <c r="V205" i="2"/>
  <c r="BG573" i="5"/>
  <c r="AC232" i="5"/>
  <c r="AM231" i="5"/>
  <c r="AE208" i="2"/>
  <c r="AY224" i="2" l="1"/>
  <c r="BA210" i="5"/>
  <c r="W209" i="5"/>
  <c r="X209" i="5" s="1"/>
  <c r="N206" i="2"/>
  <c r="O206" i="2" s="1"/>
  <c r="W205" i="2"/>
  <c r="M206" i="2"/>
  <c r="AE232" i="5"/>
  <c r="AF232" i="5" s="1"/>
  <c r="AL232" i="5" s="1"/>
  <c r="BG574" i="5"/>
  <c r="AJ208" i="2"/>
  <c r="BB210" i="5" l="1"/>
  <c r="AT211" i="5"/>
  <c r="N210" i="5"/>
  <c r="O210" i="5"/>
  <c r="P210" i="5" s="1"/>
  <c r="R206" i="2"/>
  <c r="S206" i="2" s="1"/>
  <c r="BG575" i="5"/>
  <c r="AC233" i="5"/>
  <c r="AM232" i="5"/>
  <c r="AZ224" i="2"/>
  <c r="AR225" i="2"/>
  <c r="AK208" i="2"/>
  <c r="AB209" i="2"/>
  <c r="AD209" i="2" s="1"/>
  <c r="AV211" i="5" l="1"/>
  <c r="AW211" i="5" s="1"/>
  <c r="AT225" i="2"/>
  <c r="AU225" i="2" s="1"/>
  <c r="S210" i="5"/>
  <c r="T210" i="5" s="1"/>
  <c r="V206" i="2"/>
  <c r="AE233" i="5"/>
  <c r="AF233" i="5" s="1"/>
  <c r="BG576" i="5"/>
  <c r="AE209" i="2"/>
  <c r="AY225" i="2" l="1"/>
  <c r="BA211" i="5"/>
  <c r="W210" i="5"/>
  <c r="X210" i="5" s="1"/>
  <c r="W206" i="2"/>
  <c r="M207" i="2"/>
  <c r="N207" i="2"/>
  <c r="O207" i="2" s="1"/>
  <c r="BG577" i="5"/>
  <c r="AJ209" i="2"/>
  <c r="I43" i="9" l="1"/>
  <c r="AT212" i="5"/>
  <c r="BB211" i="5"/>
  <c r="N211" i="5"/>
  <c r="O211" i="5"/>
  <c r="P211" i="5" s="1"/>
  <c r="R207" i="2"/>
  <c r="S207" i="2" s="1"/>
  <c r="V207" i="2" s="1"/>
  <c r="BG578" i="5"/>
  <c r="AL233" i="5"/>
  <c r="AZ225" i="2"/>
  <c r="AR226" i="2"/>
  <c r="AK209" i="2"/>
  <c r="AB210" i="2"/>
  <c r="AD210" i="2" s="1"/>
  <c r="AV212" i="5" l="1"/>
  <c r="AW212" i="5" s="1"/>
  <c r="AT226" i="2"/>
  <c r="S211" i="5"/>
  <c r="T211" i="5" s="1"/>
  <c r="BG579" i="5"/>
  <c r="AM233" i="5"/>
  <c r="AC234" i="5"/>
  <c r="AE210" i="2"/>
  <c r="BA212" i="5" l="1"/>
  <c r="AU226" i="2"/>
  <c r="AY226" i="2" s="1"/>
  <c r="W211" i="5"/>
  <c r="X211" i="5" s="1"/>
  <c r="W207" i="2"/>
  <c r="AE234" i="5"/>
  <c r="AF234" i="5" s="1"/>
  <c r="AL234" i="5" s="1"/>
  <c r="BG580" i="5"/>
  <c r="N208" i="2"/>
  <c r="O208" i="2" s="1"/>
  <c r="M208" i="2"/>
  <c r="AJ210" i="2"/>
  <c r="BB212" i="5" l="1"/>
  <c r="AT213" i="5"/>
  <c r="H43" i="9"/>
  <c r="N212" i="5"/>
  <c r="O212" i="5"/>
  <c r="P212" i="5" s="1"/>
  <c r="BG581" i="5"/>
  <c r="R208" i="2"/>
  <c r="S208" i="2" s="1"/>
  <c r="AC235" i="5"/>
  <c r="AM234" i="5"/>
  <c r="AZ226" i="2"/>
  <c r="AR227" i="2"/>
  <c r="AK210" i="2"/>
  <c r="AB211" i="2"/>
  <c r="AD211" i="2" s="1"/>
  <c r="AV213" i="5" l="1"/>
  <c r="AW213" i="5" s="1"/>
  <c r="AT227" i="2"/>
  <c r="AU227" i="2" s="1"/>
  <c r="S212" i="5"/>
  <c r="T212" i="5" s="1"/>
  <c r="W212" i="5" s="1"/>
  <c r="X212" i="5" s="1"/>
  <c r="V208" i="2"/>
  <c r="AE235" i="5"/>
  <c r="AF235" i="5" s="1"/>
  <c r="BG582" i="5"/>
  <c r="AE211" i="2"/>
  <c r="AY227" i="2" l="1"/>
  <c r="BA213" i="5"/>
  <c r="N213" i="5"/>
  <c r="O213" i="5"/>
  <c r="P213" i="5" s="1"/>
  <c r="BG583" i="5"/>
  <c r="W208" i="2"/>
  <c r="M209" i="2"/>
  <c r="N209" i="2"/>
  <c r="O209" i="2" s="1"/>
  <c r="AL235" i="5"/>
  <c r="AJ211" i="2"/>
  <c r="AT214" i="5" l="1"/>
  <c r="BB213" i="5"/>
  <c r="S213" i="5"/>
  <c r="T213" i="5" s="1"/>
  <c r="W213" i="5" s="1"/>
  <c r="BG584" i="5"/>
  <c r="J45" i="9"/>
  <c r="J43" i="7"/>
  <c r="R209" i="2"/>
  <c r="S209" i="2" s="1"/>
  <c r="AC236" i="5"/>
  <c r="AM235" i="5"/>
  <c r="AZ227" i="2"/>
  <c r="AR228" i="2"/>
  <c r="AK211" i="2"/>
  <c r="AB212" i="2"/>
  <c r="AD212" i="2" s="1"/>
  <c r="AV214" i="5" l="1"/>
  <c r="AW214" i="5" s="1"/>
  <c r="AT228" i="2"/>
  <c r="O214" i="5"/>
  <c r="P214" i="5" s="1"/>
  <c r="N214" i="5"/>
  <c r="X213" i="5"/>
  <c r="V209" i="2"/>
  <c r="AE236" i="5"/>
  <c r="AF236" i="5" s="1"/>
  <c r="BG585" i="5"/>
  <c r="AE212" i="2"/>
  <c r="AU228" i="2" l="1"/>
  <c r="AY228" i="2" s="1"/>
  <c r="BA214" i="5"/>
  <c r="S214" i="5"/>
  <c r="T214" i="5" s="1"/>
  <c r="M210" i="2"/>
  <c r="W209" i="2"/>
  <c r="N210" i="2"/>
  <c r="O210" i="2" s="1"/>
  <c r="BG586" i="5"/>
  <c r="AL236" i="5"/>
  <c r="AJ212" i="2"/>
  <c r="AT215" i="5" l="1"/>
  <c r="BB214" i="5"/>
  <c r="W214" i="5"/>
  <c r="X214" i="5" s="1"/>
  <c r="R210" i="2"/>
  <c r="S210" i="2" s="1"/>
  <c r="BG587" i="5"/>
  <c r="AC237" i="5"/>
  <c r="AM236" i="5"/>
  <c r="AZ228" i="2"/>
  <c r="AR229" i="2"/>
  <c r="AK212" i="2"/>
  <c r="AB213" i="2"/>
  <c r="AD213" i="2" s="1"/>
  <c r="AV215" i="5" l="1"/>
  <c r="AW215" i="5" s="1"/>
  <c r="AT229" i="2"/>
  <c r="O215" i="5"/>
  <c r="P215" i="5" s="1"/>
  <c r="N215" i="5"/>
  <c r="V210" i="2"/>
  <c r="M211" i="2" s="1"/>
  <c r="AE237" i="5"/>
  <c r="AF237" i="5" s="1"/>
  <c r="BG588" i="5"/>
  <c r="AE213" i="2"/>
  <c r="BA215" i="5" l="1"/>
  <c r="AU229" i="2"/>
  <c r="AY229" i="2" s="1"/>
  <c r="S215" i="5"/>
  <c r="T215" i="5" s="1"/>
  <c r="W215" i="5" s="1"/>
  <c r="X215" i="5" s="1"/>
  <c r="N211" i="2"/>
  <c r="O211" i="2" s="1"/>
  <c r="R211" i="2" s="1"/>
  <c r="W210" i="2"/>
  <c r="BG589" i="5"/>
  <c r="AL237" i="5"/>
  <c r="AJ213" i="2"/>
  <c r="BB215" i="5" l="1"/>
  <c r="AT216" i="5"/>
  <c r="N216" i="5"/>
  <c r="O216" i="5"/>
  <c r="P216" i="5" s="1"/>
  <c r="BG590" i="5"/>
  <c r="AC238" i="5"/>
  <c r="AM237" i="5"/>
  <c r="S211" i="2"/>
  <c r="V211" i="2" s="1"/>
  <c r="AZ229" i="2"/>
  <c r="AR230" i="2"/>
  <c r="AK213" i="2"/>
  <c r="AB214" i="2"/>
  <c r="AD214" i="2" s="1"/>
  <c r="AV216" i="5" l="1"/>
  <c r="AW216" i="5" s="1"/>
  <c r="AT230" i="2"/>
  <c r="S216" i="5"/>
  <c r="T216" i="5" s="1"/>
  <c r="AE238" i="5"/>
  <c r="AF238" i="5" s="1"/>
  <c r="BG591" i="5"/>
  <c r="H43" i="7"/>
  <c r="L43" i="7" s="1"/>
  <c r="W211" i="2"/>
  <c r="M43" i="7" s="1"/>
  <c r="AE214" i="2"/>
  <c r="AU230" i="2" l="1"/>
  <c r="AY230" i="2" s="1"/>
  <c r="BA216" i="5"/>
  <c r="W216" i="5"/>
  <c r="X216" i="5" s="1"/>
  <c r="BG592" i="5"/>
  <c r="N212" i="2"/>
  <c r="O212" i="2" s="1"/>
  <c r="M212" i="2"/>
  <c r="AL238" i="5"/>
  <c r="AJ214" i="2"/>
  <c r="BB216" i="5" l="1"/>
  <c r="AT217" i="5"/>
  <c r="N217" i="5"/>
  <c r="O217" i="5"/>
  <c r="P217" i="5" s="1"/>
  <c r="BG593" i="5"/>
  <c r="R212" i="2"/>
  <c r="S212" i="2" s="1"/>
  <c r="AC239" i="5"/>
  <c r="AM238" i="5"/>
  <c r="AZ230" i="2"/>
  <c r="AR231" i="2"/>
  <c r="AK214" i="2"/>
  <c r="AB215" i="2"/>
  <c r="AD215" i="2" s="1"/>
  <c r="AV217" i="5" l="1"/>
  <c r="AW217" i="5" s="1"/>
  <c r="AT231" i="2"/>
  <c r="AU231" i="2" s="1"/>
  <c r="S217" i="5"/>
  <c r="T217" i="5" s="1"/>
  <c r="W217" i="5" s="1"/>
  <c r="V212" i="2"/>
  <c r="AE239" i="5"/>
  <c r="AF239" i="5" s="1"/>
  <c r="BG594" i="5"/>
  <c r="AE215" i="2"/>
  <c r="AY231" i="2" l="1"/>
  <c r="BA217" i="5"/>
  <c r="X217" i="5"/>
  <c r="O218" i="5"/>
  <c r="P218" i="5" s="1"/>
  <c r="N218" i="5"/>
  <c r="BG595" i="5"/>
  <c r="W212" i="2"/>
  <c r="N213" i="2"/>
  <c r="O213" i="2" s="1"/>
  <c r="M213" i="2"/>
  <c r="AL239" i="5"/>
  <c r="AJ215" i="2"/>
  <c r="AT218" i="5" l="1"/>
  <c r="BB217" i="5"/>
  <c r="S218" i="5"/>
  <c r="T218" i="5" s="1"/>
  <c r="BG596" i="5"/>
  <c r="R213" i="2"/>
  <c r="S213" i="2" s="1"/>
  <c r="AC240" i="5"/>
  <c r="AM239" i="5"/>
  <c r="AZ231" i="2"/>
  <c r="AR232" i="2"/>
  <c r="AK215" i="2"/>
  <c r="AB216" i="2"/>
  <c r="AD216" i="2" s="1"/>
  <c r="AV218" i="5" l="1"/>
  <c r="AW218" i="5" s="1"/>
  <c r="AT232" i="2"/>
  <c r="V213" i="2"/>
  <c r="W218" i="5"/>
  <c r="X218" i="5" s="1"/>
  <c r="AE240" i="5"/>
  <c r="AF240" i="5" s="1"/>
  <c r="BG597" i="5"/>
  <c r="AE216" i="2"/>
  <c r="BA218" i="5" l="1"/>
  <c r="AU232" i="2"/>
  <c r="AY232" i="2" s="1"/>
  <c r="N219" i="5"/>
  <c r="O219" i="5"/>
  <c r="P219" i="5" s="1"/>
  <c r="BG598" i="5"/>
  <c r="W213" i="2"/>
  <c r="M214" i="2"/>
  <c r="N214" i="2"/>
  <c r="O214" i="2" s="1"/>
  <c r="AL240" i="5"/>
  <c r="AJ216" i="2"/>
  <c r="AT219" i="5" l="1"/>
  <c r="BB218" i="5"/>
  <c r="S219" i="5"/>
  <c r="T219" i="5" s="1"/>
  <c r="W219" i="5" s="1"/>
  <c r="BG599" i="5"/>
  <c r="R214" i="2"/>
  <c r="S214" i="2" s="1"/>
  <c r="AC241" i="5"/>
  <c r="AM240" i="5"/>
  <c r="AZ232" i="2"/>
  <c r="AR233" i="2"/>
  <c r="AK216" i="2"/>
  <c r="AB217" i="2"/>
  <c r="AD217" i="2" s="1"/>
  <c r="AV219" i="5" l="1"/>
  <c r="AW219" i="5" s="1"/>
  <c r="AT233" i="2"/>
  <c r="V214" i="2"/>
  <c r="AE241" i="5"/>
  <c r="AF241" i="5" s="1"/>
  <c r="X219" i="5"/>
  <c r="N220" i="5"/>
  <c r="O220" i="5"/>
  <c r="P220" i="5" s="1"/>
  <c r="BG600" i="5"/>
  <c r="AE217" i="2"/>
  <c r="BA219" i="5" l="1"/>
  <c r="AU233" i="2"/>
  <c r="AY233" i="2" s="1"/>
  <c r="S220" i="5"/>
  <c r="BG601" i="5"/>
  <c r="W214" i="2"/>
  <c r="N215" i="2"/>
  <c r="O215" i="2" s="1"/>
  <c r="M215" i="2"/>
  <c r="AL241" i="5"/>
  <c r="AJ217" i="2"/>
  <c r="AT220" i="5" l="1"/>
  <c r="BB219" i="5"/>
  <c r="T220" i="5"/>
  <c r="W220" i="5" s="1"/>
  <c r="BG602" i="5"/>
  <c r="R215" i="2"/>
  <c r="S215" i="2" s="1"/>
  <c r="AC242" i="5"/>
  <c r="AM241" i="5"/>
  <c r="AZ233" i="2"/>
  <c r="AR234" i="2"/>
  <c r="AK217" i="2"/>
  <c r="AB218" i="2"/>
  <c r="AD218" i="2" s="1"/>
  <c r="AV220" i="5" l="1"/>
  <c r="AW220" i="5" s="1"/>
  <c r="AT234" i="2"/>
  <c r="V215" i="2"/>
  <c r="AE242" i="5"/>
  <c r="AF242" i="5" s="1"/>
  <c r="X220" i="5"/>
  <c r="N221" i="5"/>
  <c r="O221" i="5"/>
  <c r="P221" i="5" s="1"/>
  <c r="BG603" i="5"/>
  <c r="AE218" i="2"/>
  <c r="BA220" i="5" l="1"/>
  <c r="W215" i="2"/>
  <c r="S221" i="5"/>
  <c r="T221" i="5" s="1"/>
  <c r="BG604" i="5"/>
  <c r="M216" i="2"/>
  <c r="N216" i="2"/>
  <c r="O216" i="2" s="1"/>
  <c r="AL242" i="5"/>
  <c r="AU234" i="2"/>
  <c r="AY234" i="2" s="1"/>
  <c r="AJ218" i="2"/>
  <c r="BB220" i="5" l="1"/>
  <c r="AT221" i="5"/>
  <c r="W221" i="5"/>
  <c r="X221" i="5" s="1"/>
  <c r="BG605" i="5"/>
  <c r="R216" i="2"/>
  <c r="S216" i="2" s="1"/>
  <c r="AC243" i="5"/>
  <c r="AM242" i="5"/>
  <c r="AK218" i="2"/>
  <c r="AB219" i="2"/>
  <c r="AD219" i="2" s="1"/>
  <c r="AV221" i="5" l="1"/>
  <c r="AW221" i="5" s="1"/>
  <c r="AR235" i="2"/>
  <c r="AZ234" i="2"/>
  <c r="V216" i="2"/>
  <c r="AE243" i="5"/>
  <c r="AF243" i="5" s="1"/>
  <c r="O222" i="5"/>
  <c r="P222" i="5" s="1"/>
  <c r="N222" i="5"/>
  <c r="BG606" i="5"/>
  <c r="AE219" i="2"/>
  <c r="BA221" i="5" l="1"/>
  <c r="AT235" i="2"/>
  <c r="S222" i="5"/>
  <c r="T222" i="5" s="1"/>
  <c r="BG607" i="5"/>
  <c r="W216" i="2"/>
  <c r="N217" i="2"/>
  <c r="O217" i="2" s="1"/>
  <c r="M217" i="2"/>
  <c r="AJ219" i="2"/>
  <c r="AU235" i="2" l="1"/>
  <c r="AY235" i="2" s="1"/>
  <c r="BB221" i="5"/>
  <c r="AT222" i="5"/>
  <c r="W222" i="5"/>
  <c r="BG608" i="5"/>
  <c r="R217" i="2"/>
  <c r="S217" i="2" s="1"/>
  <c r="AL243" i="5"/>
  <c r="AK219" i="2"/>
  <c r="AB220" i="2"/>
  <c r="AD220" i="2" s="1"/>
  <c r="AZ235" i="2" l="1"/>
  <c r="I45" i="7"/>
  <c r="AR236" i="2"/>
  <c r="AT236" i="2" s="1"/>
  <c r="AV222" i="5"/>
  <c r="AW222" i="5" s="1"/>
  <c r="O223" i="5"/>
  <c r="P223" i="5" s="1"/>
  <c r="N223" i="5"/>
  <c r="V217" i="2"/>
  <c r="X222" i="5"/>
  <c r="BG609" i="5"/>
  <c r="AC244" i="5"/>
  <c r="AM243" i="5"/>
  <c r="AE220" i="2"/>
  <c r="AU236" i="2" l="1"/>
  <c r="AY236" i="2" s="1"/>
  <c r="BA222" i="5"/>
  <c r="S223" i="5"/>
  <c r="T223" i="5" s="1"/>
  <c r="W223" i="5" s="1"/>
  <c r="X223" i="5" s="1"/>
  <c r="M218" i="2"/>
  <c r="W217" i="2"/>
  <c r="N218" i="2"/>
  <c r="O218" i="2" s="1"/>
  <c r="AE244" i="5"/>
  <c r="AF244" i="5" s="1"/>
  <c r="AL244" i="5" s="1"/>
  <c r="BG610" i="5"/>
  <c r="AJ220" i="2"/>
  <c r="AT223" i="5" l="1"/>
  <c r="BB222" i="5"/>
  <c r="R218" i="2"/>
  <c r="S218" i="2" s="1"/>
  <c r="H44" i="9"/>
  <c r="O224" i="5"/>
  <c r="P224" i="5" s="1"/>
  <c r="N224" i="5"/>
  <c r="BG611" i="5"/>
  <c r="AC245" i="5"/>
  <c r="AM244" i="5"/>
  <c r="AZ236" i="2"/>
  <c r="AR237" i="2"/>
  <c r="AK220" i="2"/>
  <c r="AB221" i="2"/>
  <c r="AD221" i="2" s="1"/>
  <c r="AV223" i="5" l="1"/>
  <c r="AW223" i="5" s="1"/>
  <c r="AT237" i="2"/>
  <c r="AU237" i="2" s="1"/>
  <c r="V218" i="2"/>
  <c r="M219" i="2" s="1"/>
  <c r="S224" i="5"/>
  <c r="T224" i="5" s="1"/>
  <c r="AE245" i="5"/>
  <c r="AF245" i="5" s="1"/>
  <c r="BG612" i="5"/>
  <c r="AE221" i="2"/>
  <c r="AY237" i="2" l="1"/>
  <c r="BA223" i="5"/>
  <c r="W218" i="2"/>
  <c r="N219" i="2"/>
  <c r="O219" i="2" s="1"/>
  <c r="W224" i="5"/>
  <c r="X224" i="5" s="1"/>
  <c r="BG613" i="5"/>
  <c r="AJ221" i="2"/>
  <c r="BB223" i="5" l="1"/>
  <c r="AT224" i="5"/>
  <c r="I44" i="9"/>
  <c r="N225" i="5"/>
  <c r="O225" i="5"/>
  <c r="P225" i="5" s="1"/>
  <c r="R219" i="2"/>
  <c r="S219" i="2" s="1"/>
  <c r="BG614" i="5"/>
  <c r="AL245" i="5"/>
  <c r="AZ237" i="2"/>
  <c r="AR238" i="2"/>
  <c r="AK221" i="2"/>
  <c r="AB222" i="2"/>
  <c r="AD222" i="2" s="1"/>
  <c r="AV224" i="5" l="1"/>
  <c r="AW224" i="5" s="1"/>
  <c r="AT238" i="2"/>
  <c r="AU238" i="2" s="1"/>
  <c r="S225" i="5"/>
  <c r="T225" i="5" s="1"/>
  <c r="W225" i="5" s="1"/>
  <c r="V219" i="2"/>
  <c r="BG615" i="5"/>
  <c r="AC246" i="5"/>
  <c r="AM245" i="5"/>
  <c r="AE222" i="2"/>
  <c r="AY238" i="2" l="1"/>
  <c r="BA224" i="5"/>
  <c r="M220" i="2"/>
  <c r="W219" i="2"/>
  <c r="N220" i="2"/>
  <c r="O220" i="2" s="1"/>
  <c r="AE246" i="5"/>
  <c r="AF246" i="5" s="1"/>
  <c r="AL246" i="5" s="1"/>
  <c r="X225" i="5"/>
  <c r="N226" i="5"/>
  <c r="O226" i="5"/>
  <c r="P226" i="5" s="1"/>
  <c r="BG616" i="5"/>
  <c r="AJ222" i="2"/>
  <c r="BB224" i="5" l="1"/>
  <c r="AT225" i="5"/>
  <c r="R220" i="2"/>
  <c r="S220" i="2" s="1"/>
  <c r="V220" i="2" s="1"/>
  <c r="S226" i="5"/>
  <c r="BG617" i="5"/>
  <c r="AC247" i="5"/>
  <c r="AM246" i="5"/>
  <c r="AZ238" i="2"/>
  <c r="AR239" i="2"/>
  <c r="AK222" i="2"/>
  <c r="AB223" i="2"/>
  <c r="AD223" i="2" s="1"/>
  <c r="AV225" i="5" l="1"/>
  <c r="AW225" i="5" s="1"/>
  <c r="AT239" i="2"/>
  <c r="AE247" i="5"/>
  <c r="AF247" i="5" s="1"/>
  <c r="AL247" i="5" s="1"/>
  <c r="T226" i="5"/>
  <c r="W226" i="5" s="1"/>
  <c r="BG618" i="5"/>
  <c r="AE223" i="2"/>
  <c r="BA225" i="5" l="1"/>
  <c r="AU239" i="2"/>
  <c r="W220" i="2"/>
  <c r="X226" i="5"/>
  <c r="O227" i="5"/>
  <c r="P227" i="5" s="1"/>
  <c r="N227" i="5"/>
  <c r="BG619" i="5"/>
  <c r="J46" i="9"/>
  <c r="N221" i="2"/>
  <c r="O221" i="2" s="1"/>
  <c r="M221" i="2"/>
  <c r="AC248" i="5"/>
  <c r="AM247" i="5"/>
  <c r="AJ223" i="2"/>
  <c r="BB225" i="5" l="1"/>
  <c r="AT226" i="5"/>
  <c r="AY239" i="2"/>
  <c r="AE248" i="5"/>
  <c r="AF248" i="5" s="1"/>
  <c r="S227" i="5"/>
  <c r="BG620" i="5"/>
  <c r="J44" i="7"/>
  <c r="R221" i="2"/>
  <c r="S221" i="2" s="1"/>
  <c r="AK223" i="2"/>
  <c r="AB224" i="2"/>
  <c r="AD224" i="2" s="1"/>
  <c r="AZ239" i="2" l="1"/>
  <c r="AR240" i="2"/>
  <c r="AT240" i="2" s="1"/>
  <c r="AU240" i="2" s="1"/>
  <c r="AV226" i="5"/>
  <c r="AW226" i="5" s="1"/>
  <c r="V221" i="2"/>
  <c r="T227" i="5"/>
  <c r="W227" i="5" s="1"/>
  <c r="BG621" i="5"/>
  <c r="AL248" i="5"/>
  <c r="AE224" i="2"/>
  <c r="AY240" i="2" l="1"/>
  <c r="BA226" i="5"/>
  <c r="X227" i="5"/>
  <c r="N228" i="5"/>
  <c r="O228" i="5"/>
  <c r="P228" i="5" s="1"/>
  <c r="BG622" i="5"/>
  <c r="W221" i="2"/>
  <c r="M222" i="2"/>
  <c r="N222" i="2"/>
  <c r="O222" i="2" s="1"/>
  <c r="AC249" i="5"/>
  <c r="AM248" i="5"/>
  <c r="AJ224" i="2"/>
  <c r="BB226" i="5" l="1"/>
  <c r="AT227" i="5"/>
  <c r="AE249" i="5"/>
  <c r="AF249" i="5" s="1"/>
  <c r="S228" i="5"/>
  <c r="BG623" i="5"/>
  <c r="R222" i="2"/>
  <c r="S222" i="2" s="1"/>
  <c r="AR241" i="2"/>
  <c r="AZ240" i="2"/>
  <c r="AK224" i="2"/>
  <c r="AB225" i="2"/>
  <c r="AD225" i="2" s="1"/>
  <c r="AV227" i="5" l="1"/>
  <c r="AW227" i="5" s="1"/>
  <c r="AT241" i="2"/>
  <c r="AU241" i="2" s="1"/>
  <c r="V222" i="2"/>
  <c r="T228" i="5"/>
  <c r="W228" i="5" s="1"/>
  <c r="BG624" i="5"/>
  <c r="AL249" i="5"/>
  <c r="AE225" i="2"/>
  <c r="AY241" i="2" l="1"/>
  <c r="BA227" i="5"/>
  <c r="X228" i="5"/>
  <c r="O229" i="5"/>
  <c r="P229" i="5" s="1"/>
  <c r="N229" i="5"/>
  <c r="BG625" i="5"/>
  <c r="W222" i="2"/>
  <c r="M223" i="2"/>
  <c r="N223" i="2"/>
  <c r="O223" i="2" s="1"/>
  <c r="AC250" i="5"/>
  <c r="AM249" i="5"/>
  <c r="AJ225" i="2"/>
  <c r="AT228" i="5" l="1"/>
  <c r="BB227" i="5"/>
  <c r="AE250" i="5"/>
  <c r="AF250" i="5" s="1"/>
  <c r="S229" i="5"/>
  <c r="T229" i="5" s="1"/>
  <c r="BG626" i="5"/>
  <c r="R223" i="2"/>
  <c r="S223" i="2" s="1"/>
  <c r="AR242" i="2"/>
  <c r="AZ241" i="2"/>
  <c r="AK225" i="2"/>
  <c r="AB226" i="2"/>
  <c r="AD226" i="2" s="1"/>
  <c r="AV228" i="5" l="1"/>
  <c r="AW228" i="5" s="1"/>
  <c r="AT242" i="2"/>
  <c r="AU242" i="2" s="1"/>
  <c r="V223" i="2"/>
  <c r="W223" i="2" s="1"/>
  <c r="M44" i="7" s="1"/>
  <c r="W229" i="5"/>
  <c r="X229" i="5" s="1"/>
  <c r="BG627" i="5"/>
  <c r="AL250" i="5"/>
  <c r="AE226" i="2"/>
  <c r="AY242" i="2" l="1"/>
  <c r="BA228" i="5"/>
  <c r="N230" i="5"/>
  <c r="O230" i="5"/>
  <c r="P230" i="5" s="1"/>
  <c r="H44" i="7"/>
  <c r="L44" i="7" s="1"/>
  <c r="BG628" i="5"/>
  <c r="N224" i="2"/>
  <c r="O224" i="2" s="1"/>
  <c r="M224" i="2"/>
  <c r="AC251" i="5"/>
  <c r="AM250" i="5"/>
  <c r="AJ226" i="2"/>
  <c r="AT229" i="5" l="1"/>
  <c r="BB228" i="5"/>
  <c r="S230" i="5"/>
  <c r="T230" i="5" s="1"/>
  <c r="AE251" i="5"/>
  <c r="AF251" i="5" s="1"/>
  <c r="BG629" i="5"/>
  <c r="R224" i="2"/>
  <c r="S224" i="2" s="1"/>
  <c r="AZ242" i="2"/>
  <c r="AR243" i="2"/>
  <c r="AK226" i="2"/>
  <c r="AB227" i="2"/>
  <c r="AD227" i="2" s="1"/>
  <c r="AV229" i="5" l="1"/>
  <c r="AW229" i="5" s="1"/>
  <c r="AT243" i="2"/>
  <c r="W230" i="5"/>
  <c r="X230" i="5" s="1"/>
  <c r="V224" i="2"/>
  <c r="BG630" i="5"/>
  <c r="AE227" i="2"/>
  <c r="BA229" i="5" l="1"/>
  <c r="O231" i="5"/>
  <c r="P231" i="5" s="1"/>
  <c r="N231" i="5"/>
  <c r="BG631" i="5"/>
  <c r="W224" i="2"/>
  <c r="M225" i="2"/>
  <c r="N225" i="2"/>
  <c r="O225" i="2" s="1"/>
  <c r="AL251" i="5"/>
  <c r="AU243" i="2"/>
  <c r="AY243" i="2" s="1"/>
  <c r="AJ227" i="2"/>
  <c r="AT230" i="5" l="1"/>
  <c r="BB229" i="5"/>
  <c r="S231" i="5"/>
  <c r="BG632" i="5"/>
  <c r="R225" i="2"/>
  <c r="S225" i="2" s="1"/>
  <c r="AC252" i="5"/>
  <c r="AM251" i="5"/>
  <c r="AK227" i="2"/>
  <c r="AB228" i="2"/>
  <c r="AD228" i="2" s="1"/>
  <c r="AV230" i="5" l="1"/>
  <c r="AW230" i="5" s="1"/>
  <c r="AR244" i="2"/>
  <c r="AZ243" i="2"/>
  <c r="T231" i="5"/>
  <c r="W231" i="5" s="1"/>
  <c r="V225" i="2"/>
  <c r="AE252" i="5"/>
  <c r="AF252" i="5" s="1"/>
  <c r="BG633" i="5"/>
  <c r="AE228" i="2"/>
  <c r="BA230" i="5" l="1"/>
  <c r="AT244" i="2"/>
  <c r="X231" i="5"/>
  <c r="O232" i="5"/>
  <c r="P232" i="5" s="1"/>
  <c r="N232" i="5"/>
  <c r="BG634" i="5"/>
  <c r="W225" i="2"/>
  <c r="AL252" i="5"/>
  <c r="M226" i="2"/>
  <c r="N226" i="2"/>
  <c r="O226" i="2" s="1"/>
  <c r="AJ228" i="2"/>
  <c r="AU244" i="2" l="1"/>
  <c r="AY244" i="2" s="1"/>
  <c r="BB230" i="5"/>
  <c r="AT231" i="5"/>
  <c r="S232" i="5"/>
  <c r="T232" i="5" s="1"/>
  <c r="W232" i="5" s="1"/>
  <c r="X232" i="5" s="1"/>
  <c r="BG635" i="5"/>
  <c r="AM252" i="5"/>
  <c r="AC253" i="5"/>
  <c r="R226" i="2"/>
  <c r="AK228" i="2"/>
  <c r="AB229" i="2"/>
  <c r="AD229" i="2" s="1"/>
  <c r="AZ244" i="2" l="1"/>
  <c r="AR245" i="2"/>
  <c r="AT245" i="2" s="1"/>
  <c r="AV231" i="5"/>
  <c r="AW231" i="5" s="1"/>
  <c r="N233" i="5"/>
  <c r="O233" i="5"/>
  <c r="P233" i="5" s="1"/>
  <c r="AE253" i="5"/>
  <c r="AF253" i="5" s="1"/>
  <c r="BG636" i="5"/>
  <c r="S226" i="2"/>
  <c r="V226" i="2" s="1"/>
  <c r="AE229" i="2"/>
  <c r="AU245" i="2" l="1"/>
  <c r="AY245" i="2" s="1"/>
  <c r="S233" i="5"/>
  <c r="T233" i="5" s="1"/>
  <c r="BA231" i="5"/>
  <c r="BG637" i="5"/>
  <c r="AL253" i="5"/>
  <c r="W226" i="2"/>
  <c r="N227" i="2"/>
  <c r="O227" i="2" s="1"/>
  <c r="M227" i="2"/>
  <c r="AJ229" i="2"/>
  <c r="W233" i="5" l="1"/>
  <c r="X233" i="5" s="1"/>
  <c r="AT232" i="5"/>
  <c r="BB231" i="5"/>
  <c r="BG638" i="5"/>
  <c r="AC254" i="5"/>
  <c r="AM253" i="5"/>
  <c r="R227" i="2"/>
  <c r="S227" i="2" s="1"/>
  <c r="AZ245" i="2"/>
  <c r="AR246" i="2"/>
  <c r="AK229" i="2"/>
  <c r="AB230" i="2"/>
  <c r="AD230" i="2" s="1"/>
  <c r="O234" i="5" l="1"/>
  <c r="P234" i="5" s="1"/>
  <c r="N234" i="5"/>
  <c r="AV232" i="5"/>
  <c r="AW232" i="5" s="1"/>
  <c r="BA232" i="5" s="1"/>
  <c r="AT246" i="2"/>
  <c r="V227" i="2"/>
  <c r="AE254" i="5"/>
  <c r="BG639" i="5"/>
  <c r="AE230" i="2"/>
  <c r="S234" i="5" l="1"/>
  <c r="T234" i="5" s="1"/>
  <c r="W234" i="5" s="1"/>
  <c r="X234" i="5" s="1"/>
  <c r="BB232" i="5"/>
  <c r="AT233" i="5"/>
  <c r="AU246" i="2"/>
  <c r="AY246" i="2" s="1"/>
  <c r="AF254" i="5"/>
  <c r="AL254" i="5" s="1"/>
  <c r="BG640" i="5"/>
  <c r="M228" i="2"/>
  <c r="W227" i="2"/>
  <c r="N228" i="2"/>
  <c r="O228" i="2" s="1"/>
  <c r="AJ230" i="2"/>
  <c r="AV233" i="5" l="1"/>
  <c r="AW233" i="5" s="1"/>
  <c r="N235" i="5"/>
  <c r="O235" i="5"/>
  <c r="P235" i="5" s="1"/>
  <c r="AC255" i="5"/>
  <c r="AM254" i="5"/>
  <c r="BG641" i="5"/>
  <c r="R228" i="2"/>
  <c r="S228" i="2" s="1"/>
  <c r="AR247" i="2"/>
  <c r="AZ246" i="2"/>
  <c r="AK230" i="2"/>
  <c r="AB231" i="2"/>
  <c r="AD231" i="2" s="1"/>
  <c r="BA233" i="5" l="1"/>
  <c r="AT247" i="2"/>
  <c r="S235" i="5"/>
  <c r="T235" i="5" s="1"/>
  <c r="W235" i="5" s="1"/>
  <c r="X235" i="5" s="1"/>
  <c r="V228" i="2"/>
  <c r="AE255" i="5"/>
  <c r="AF255" i="5" s="1"/>
  <c r="BG642" i="5"/>
  <c r="AE231" i="2"/>
  <c r="AT234" i="5" l="1"/>
  <c r="BB233" i="5"/>
  <c r="N236" i="5"/>
  <c r="O236" i="5"/>
  <c r="P236" i="5" s="1"/>
  <c r="H45" i="9"/>
  <c r="AL255" i="5"/>
  <c r="BG643" i="5"/>
  <c r="W228" i="2"/>
  <c r="M229" i="2"/>
  <c r="N229" i="2"/>
  <c r="O229" i="2" s="1"/>
  <c r="AU247" i="2"/>
  <c r="AY247" i="2" s="1"/>
  <c r="AJ231" i="2"/>
  <c r="AV234" i="5" l="1"/>
  <c r="AW234" i="5" s="1"/>
  <c r="S236" i="5"/>
  <c r="T236" i="5" s="1"/>
  <c r="AC256" i="5"/>
  <c r="AM255" i="5"/>
  <c r="BG644" i="5"/>
  <c r="I46" i="7"/>
  <c r="R229" i="2"/>
  <c r="S229" i="2" s="1"/>
  <c r="AR248" i="2"/>
  <c r="AZ247" i="2"/>
  <c r="AK231" i="2"/>
  <c r="AB232" i="2"/>
  <c r="AD232" i="2" s="1"/>
  <c r="BA234" i="5" l="1"/>
  <c r="AT248" i="2"/>
  <c r="W236" i="5"/>
  <c r="X236" i="5" s="1"/>
  <c r="V229" i="2"/>
  <c r="AE256" i="5"/>
  <c r="AF256" i="5" s="1"/>
  <c r="BG645" i="5"/>
  <c r="AE232" i="2"/>
  <c r="BB234" i="5" l="1"/>
  <c r="AT235" i="5"/>
  <c r="AU248" i="2"/>
  <c r="N237" i="5"/>
  <c r="O237" i="5"/>
  <c r="P237" i="5" s="1"/>
  <c r="W229" i="2"/>
  <c r="AL256" i="5"/>
  <c r="BG646" i="5"/>
  <c r="M230" i="2"/>
  <c r="N230" i="2"/>
  <c r="O230" i="2" s="1"/>
  <c r="AJ232" i="2"/>
  <c r="AV235" i="5" l="1"/>
  <c r="AW235" i="5" s="1"/>
  <c r="AY248" i="2"/>
  <c r="S237" i="5"/>
  <c r="T237" i="5" s="1"/>
  <c r="AC257" i="5"/>
  <c r="AM256" i="5"/>
  <c r="BG647" i="5"/>
  <c r="R230" i="2"/>
  <c r="S230" i="2" s="1"/>
  <c r="AK232" i="2"/>
  <c r="AB233" i="2"/>
  <c r="AD233" i="2" s="1"/>
  <c r="BA235" i="5" l="1"/>
  <c r="AR249" i="2"/>
  <c r="AT249" i="2" s="1"/>
  <c r="AU249" i="2" s="1"/>
  <c r="AZ248" i="2"/>
  <c r="W237" i="5"/>
  <c r="X237" i="5" s="1"/>
  <c r="V230" i="2"/>
  <c r="AE257" i="5"/>
  <c r="AF257" i="5" s="1"/>
  <c r="BG648" i="5"/>
  <c r="AE233" i="2"/>
  <c r="I45" i="9" l="1"/>
  <c r="AT236" i="5"/>
  <c r="BB235" i="5"/>
  <c r="AY249" i="2"/>
  <c r="N238" i="5"/>
  <c r="O238" i="5"/>
  <c r="P238" i="5" s="1"/>
  <c r="W230" i="2"/>
  <c r="AL257" i="5"/>
  <c r="BG649" i="5"/>
  <c r="M231" i="2"/>
  <c r="N231" i="2"/>
  <c r="O231" i="2" s="1"/>
  <c r="AJ233" i="2"/>
  <c r="AV236" i="5" l="1"/>
  <c r="AW236" i="5" s="1"/>
  <c r="S238" i="5"/>
  <c r="T238" i="5" s="1"/>
  <c r="AC258" i="5"/>
  <c r="AM257" i="5"/>
  <c r="BG650" i="5"/>
  <c r="AR250" i="2"/>
  <c r="R231" i="2"/>
  <c r="S231" i="2" s="1"/>
  <c r="AZ249" i="2"/>
  <c r="AK233" i="2"/>
  <c r="AB234" i="2"/>
  <c r="AD234" i="2" s="1"/>
  <c r="BA236" i="5" l="1"/>
  <c r="AT250" i="2"/>
  <c r="AU250" i="2" s="1"/>
  <c r="W238" i="5"/>
  <c r="X238" i="5" s="1"/>
  <c r="V231" i="2"/>
  <c r="AE258" i="5"/>
  <c r="AF258" i="5" s="1"/>
  <c r="BG651" i="5"/>
  <c r="AE234" i="2"/>
  <c r="AT237" i="5" l="1"/>
  <c r="AV237" i="5" s="1"/>
  <c r="AW237" i="5" s="1"/>
  <c r="BB236" i="5"/>
  <c r="AY250" i="2"/>
  <c r="AZ250" i="2" s="1"/>
  <c r="O239" i="5"/>
  <c r="P239" i="5" s="1"/>
  <c r="N239" i="5"/>
  <c r="AL258" i="5"/>
  <c r="BG652" i="5"/>
  <c r="W231" i="2"/>
  <c r="M232" i="2"/>
  <c r="N232" i="2"/>
  <c r="O232" i="2" s="1"/>
  <c r="AJ234" i="2"/>
  <c r="AR251" i="2" l="1"/>
  <c r="AT251" i="2" s="1"/>
  <c r="BA237" i="5"/>
  <c r="S239" i="5"/>
  <c r="T239" i="5" s="1"/>
  <c r="AC259" i="5"/>
  <c r="AM258" i="5"/>
  <c r="BG653" i="5"/>
  <c r="R232" i="2"/>
  <c r="S232" i="2" s="1"/>
  <c r="AK234" i="2"/>
  <c r="AB235" i="2"/>
  <c r="AD235" i="2" s="1"/>
  <c r="AU251" i="2" l="1"/>
  <c r="AY251" i="2" s="1"/>
  <c r="AT238" i="5"/>
  <c r="BB237" i="5"/>
  <c r="W239" i="5"/>
  <c r="X239" i="5" s="1"/>
  <c r="V232" i="2"/>
  <c r="M233" i="2" s="1"/>
  <c r="AE259" i="5"/>
  <c r="AF259" i="5" s="1"/>
  <c r="BG654" i="5"/>
  <c r="AE235" i="2"/>
  <c r="AV238" i="5" l="1"/>
  <c r="AW238" i="5" s="1"/>
  <c r="N240" i="5"/>
  <c r="O240" i="5"/>
  <c r="P240" i="5" s="1"/>
  <c r="W232" i="2"/>
  <c r="N233" i="2"/>
  <c r="O233" i="2" s="1"/>
  <c r="AL259" i="5"/>
  <c r="BG655" i="5"/>
  <c r="AZ251" i="2"/>
  <c r="AR252" i="2"/>
  <c r="AJ235" i="2"/>
  <c r="S240" i="5" l="1"/>
  <c r="T240" i="5" s="1"/>
  <c r="W240" i="5" s="1"/>
  <c r="X240" i="5" s="1"/>
  <c r="BA238" i="5"/>
  <c r="AT252" i="2"/>
  <c r="AU252" i="2" s="1"/>
  <c r="R233" i="2"/>
  <c r="S233" i="2" s="1"/>
  <c r="AC260" i="5"/>
  <c r="AM259" i="5"/>
  <c r="J47" i="9"/>
  <c r="BG656" i="5"/>
  <c r="J45" i="7"/>
  <c r="AK235" i="2"/>
  <c r="AB236" i="2"/>
  <c r="AD236" i="2" s="1"/>
  <c r="AY252" i="2" l="1"/>
  <c r="AZ252" i="2" s="1"/>
  <c r="BB238" i="5"/>
  <c r="AT239" i="5"/>
  <c r="V233" i="2"/>
  <c r="N234" i="2" s="1"/>
  <c r="O234" i="2" s="1"/>
  <c r="AE260" i="5"/>
  <c r="AF260" i="5" s="1"/>
  <c r="BG657" i="5"/>
  <c r="N241" i="5"/>
  <c r="O241" i="5"/>
  <c r="P241" i="5" s="1"/>
  <c r="AE236" i="2"/>
  <c r="AR253" i="2" l="1"/>
  <c r="AT253" i="2" s="1"/>
  <c r="AU253" i="2" s="1"/>
  <c r="AV239" i="5"/>
  <c r="AW239" i="5" s="1"/>
  <c r="M234" i="2"/>
  <c r="W233" i="2"/>
  <c r="AL260" i="5"/>
  <c r="S241" i="5"/>
  <c r="T241" i="5" s="1"/>
  <c r="BG658" i="5"/>
  <c r="AJ236" i="2"/>
  <c r="AY253" i="2" l="1"/>
  <c r="BA239" i="5"/>
  <c r="R234" i="2"/>
  <c r="S234" i="2" s="1"/>
  <c r="V234" i="2" s="1"/>
  <c r="W241" i="5"/>
  <c r="X241" i="5" s="1"/>
  <c r="AM260" i="5"/>
  <c r="AC261" i="5"/>
  <c r="BG659" i="5"/>
  <c r="AK236" i="2"/>
  <c r="AB237" i="2"/>
  <c r="AD237" i="2" s="1"/>
  <c r="BB239" i="5" l="1"/>
  <c r="AT240" i="5"/>
  <c r="AE261" i="5"/>
  <c r="AF261" i="5" s="1"/>
  <c r="BG660" i="5"/>
  <c r="AR254" i="2"/>
  <c r="W234" i="2"/>
  <c r="O242" i="5"/>
  <c r="P242" i="5" s="1"/>
  <c r="N242" i="5"/>
  <c r="N235" i="2"/>
  <c r="O235" i="2" s="1"/>
  <c r="M235" i="2"/>
  <c r="AZ253" i="2"/>
  <c r="AE237" i="2"/>
  <c r="AV240" i="5" l="1"/>
  <c r="AW240" i="5" s="1"/>
  <c r="AT254" i="2"/>
  <c r="AU254" i="2" s="1"/>
  <c r="AL261" i="5"/>
  <c r="AM261" i="5" s="1"/>
  <c r="S242" i="5"/>
  <c r="BG661" i="5"/>
  <c r="R235" i="2"/>
  <c r="S235" i="2" s="1"/>
  <c r="AJ237" i="2"/>
  <c r="AY254" i="2" l="1"/>
  <c r="AZ254" i="2" s="1"/>
  <c r="BA240" i="5"/>
  <c r="V235" i="2"/>
  <c r="AC262" i="5"/>
  <c r="AE262" i="5" s="1"/>
  <c r="AF262" i="5" s="1"/>
  <c r="T242" i="5"/>
  <c r="W242" i="5" s="1"/>
  <c r="BG662" i="5"/>
  <c r="AK237" i="2"/>
  <c r="AB238" i="2"/>
  <c r="AD238" i="2" s="1"/>
  <c r="AR255" i="2" l="1"/>
  <c r="AT255" i="2" s="1"/>
  <c r="AU255" i="2" s="1"/>
  <c r="BB240" i="5"/>
  <c r="AT241" i="5"/>
  <c r="AL262" i="5"/>
  <c r="X242" i="5"/>
  <c r="BG663" i="5"/>
  <c r="H45" i="7"/>
  <c r="L45" i="7" s="1"/>
  <c r="W235" i="2"/>
  <c r="M45" i="7" s="1"/>
  <c r="M236" i="2"/>
  <c r="N236" i="2"/>
  <c r="O236" i="2" s="1"/>
  <c r="N243" i="5"/>
  <c r="O243" i="5"/>
  <c r="P243" i="5" s="1"/>
  <c r="AE238" i="2"/>
  <c r="AY255" i="2" l="1"/>
  <c r="AV241" i="5"/>
  <c r="AW241" i="5" s="1"/>
  <c r="AC263" i="5"/>
  <c r="AM262" i="5"/>
  <c r="S243" i="5"/>
  <c r="T243" i="5" s="1"/>
  <c r="BG664" i="5"/>
  <c r="R236" i="2"/>
  <c r="S236" i="2" s="1"/>
  <c r="AJ238" i="2"/>
  <c r="BA241" i="5" l="1"/>
  <c r="V236" i="2"/>
  <c r="W243" i="5"/>
  <c r="X243" i="5" s="1"/>
  <c r="AE263" i="5"/>
  <c r="AF263" i="5" s="1"/>
  <c r="BG665" i="5"/>
  <c r="AR256" i="2"/>
  <c r="AZ255" i="2"/>
  <c r="AK238" i="2"/>
  <c r="AB239" i="2"/>
  <c r="AD239" i="2" s="1"/>
  <c r="BB241" i="5" l="1"/>
  <c r="AT242" i="5"/>
  <c r="AT256" i="2"/>
  <c r="AU256" i="2" s="1"/>
  <c r="AL263" i="5"/>
  <c r="BG666" i="5"/>
  <c r="W236" i="2"/>
  <c r="M237" i="2"/>
  <c r="N237" i="2"/>
  <c r="O237" i="2" s="1"/>
  <c r="N244" i="5"/>
  <c r="O244" i="5"/>
  <c r="P244" i="5" s="1"/>
  <c r="AE239" i="2"/>
  <c r="AV242" i="5" l="1"/>
  <c r="AW242" i="5" s="1"/>
  <c r="BA242" i="5" s="1"/>
  <c r="AY256" i="2"/>
  <c r="AZ256" i="2" s="1"/>
  <c r="AM263" i="5"/>
  <c r="AC264" i="5"/>
  <c r="AE264" i="5" s="1"/>
  <c r="AF264" i="5" s="1"/>
  <c r="AL264" i="5" s="1"/>
  <c r="S244" i="5"/>
  <c r="T244" i="5" s="1"/>
  <c r="BG667" i="5"/>
  <c r="R237" i="2"/>
  <c r="S237" i="2" s="1"/>
  <c r="AJ239" i="2"/>
  <c r="AR257" i="2" l="1"/>
  <c r="AT257" i="2" s="1"/>
  <c r="AU257" i="2" s="1"/>
  <c r="BB242" i="5"/>
  <c r="AT243" i="5"/>
  <c r="V237" i="2"/>
  <c r="W244" i="5"/>
  <c r="X244" i="5" s="1"/>
  <c r="AM264" i="5"/>
  <c r="AC265" i="5"/>
  <c r="AE265" i="5" s="1"/>
  <c r="AF265" i="5" s="1"/>
  <c r="BG668" i="5"/>
  <c r="AK239" i="2"/>
  <c r="AB240" i="2"/>
  <c r="AD240" i="2" s="1"/>
  <c r="AV243" i="5" l="1"/>
  <c r="AW243" i="5" s="1"/>
  <c r="AY257" i="2"/>
  <c r="BG669" i="5"/>
  <c r="W237" i="2"/>
  <c r="N238" i="2"/>
  <c r="O238" i="2" s="1"/>
  <c r="M238" i="2"/>
  <c r="N245" i="5"/>
  <c r="O245" i="5"/>
  <c r="P245" i="5" s="1"/>
  <c r="AL265" i="5"/>
  <c r="AE240" i="2"/>
  <c r="AZ257" i="2" l="1"/>
  <c r="AR258" i="2"/>
  <c r="AT258" i="2" s="1"/>
  <c r="AU258" i="2" s="1"/>
  <c r="BA243" i="5"/>
  <c r="S245" i="5"/>
  <c r="T245" i="5" s="1"/>
  <c r="BG670" i="5"/>
  <c r="R238" i="2"/>
  <c r="S238" i="2" s="1"/>
  <c r="AC266" i="5"/>
  <c r="AM265" i="5"/>
  <c r="AJ240" i="2"/>
  <c r="BB243" i="5" l="1"/>
  <c r="AT244" i="5"/>
  <c r="AY258" i="2"/>
  <c r="V238" i="2"/>
  <c r="W245" i="5"/>
  <c r="X245" i="5" s="1"/>
  <c r="AE266" i="5"/>
  <c r="AF266" i="5" s="1"/>
  <c r="AL266" i="5" s="1"/>
  <c r="BG671" i="5"/>
  <c r="AK240" i="2"/>
  <c r="AB241" i="2"/>
  <c r="AD241" i="2" s="1"/>
  <c r="AZ258" i="2" l="1"/>
  <c r="AR259" i="2"/>
  <c r="AV244" i="5"/>
  <c r="AW244" i="5" s="1"/>
  <c r="BG672" i="5"/>
  <c r="W238" i="2"/>
  <c r="N239" i="2"/>
  <c r="O239" i="2" s="1"/>
  <c r="M239" i="2"/>
  <c r="O246" i="5"/>
  <c r="P246" i="5" s="1"/>
  <c r="N246" i="5"/>
  <c r="AC267" i="5"/>
  <c r="AM266" i="5"/>
  <c r="AE241" i="2"/>
  <c r="AT259" i="2" l="1"/>
  <c r="AU259" i="2" s="1"/>
  <c r="BA244" i="5"/>
  <c r="AE267" i="5"/>
  <c r="AF267" i="5" s="1"/>
  <c r="S246" i="5"/>
  <c r="T246" i="5" s="1"/>
  <c r="BG673" i="5"/>
  <c r="R239" i="2"/>
  <c r="S239" i="2" s="1"/>
  <c r="AJ241" i="2"/>
  <c r="AY259" i="2" l="1"/>
  <c r="AT245" i="5"/>
  <c r="BB244" i="5"/>
  <c r="V239" i="2"/>
  <c r="M240" i="2" s="1"/>
  <c r="W246" i="5"/>
  <c r="X246" i="5" s="1"/>
  <c r="BG674" i="5"/>
  <c r="AL267" i="5"/>
  <c r="AK241" i="2"/>
  <c r="AB242" i="2"/>
  <c r="AD242" i="2" s="1"/>
  <c r="AR260" i="2" l="1"/>
  <c r="AT260" i="2" s="1"/>
  <c r="AU260" i="2" s="1"/>
  <c r="I47" i="7"/>
  <c r="I39" i="6"/>
  <c r="AZ259" i="2"/>
  <c r="AV245" i="5"/>
  <c r="AW245" i="5" s="1"/>
  <c r="N240" i="2"/>
  <c r="O240" i="2" s="1"/>
  <c r="W239" i="2"/>
  <c r="BG675" i="5"/>
  <c r="N247" i="5"/>
  <c r="O247" i="5"/>
  <c r="P247" i="5" s="1"/>
  <c r="AC268" i="5"/>
  <c r="AM267" i="5"/>
  <c r="AE242" i="2"/>
  <c r="AY260" i="2" l="1"/>
  <c r="BA245" i="5"/>
  <c r="R240" i="2"/>
  <c r="S240" i="2" s="1"/>
  <c r="AE268" i="5"/>
  <c r="AF268" i="5" s="1"/>
  <c r="AL268" i="5" s="1"/>
  <c r="S247" i="5"/>
  <c r="T247" i="5" s="1"/>
  <c r="BG676" i="5"/>
  <c r="AJ242" i="2"/>
  <c r="BB245" i="5" l="1"/>
  <c r="AT246" i="5"/>
  <c r="V240" i="2"/>
  <c r="M241" i="2" s="1"/>
  <c r="W247" i="5"/>
  <c r="X247" i="5" s="1"/>
  <c r="BG677" i="5"/>
  <c r="AC269" i="5"/>
  <c r="AM268" i="5"/>
  <c r="AR261" i="2"/>
  <c r="AZ260" i="2"/>
  <c r="AK242" i="2"/>
  <c r="AB243" i="2"/>
  <c r="AD243" i="2" s="1"/>
  <c r="AV246" i="5" l="1"/>
  <c r="AW246" i="5" s="1"/>
  <c r="AT261" i="2"/>
  <c r="AU261" i="2" s="1"/>
  <c r="AY261" i="2" s="1"/>
  <c r="N241" i="2"/>
  <c r="O241" i="2" s="1"/>
  <c r="W240" i="2"/>
  <c r="AE269" i="5"/>
  <c r="AF269" i="5" s="1"/>
  <c r="AL269" i="5" s="1"/>
  <c r="BG678" i="5"/>
  <c r="H46" i="9"/>
  <c r="O248" i="5"/>
  <c r="P248" i="5" s="1"/>
  <c r="N248" i="5"/>
  <c r="AE243" i="2"/>
  <c r="BA246" i="5" l="1"/>
  <c r="R241" i="2"/>
  <c r="S241" i="2" s="1"/>
  <c r="S248" i="5"/>
  <c r="T248" i="5" s="1"/>
  <c r="BG679" i="5"/>
  <c r="AC270" i="5"/>
  <c r="AM269" i="5"/>
  <c r="AJ243" i="2"/>
  <c r="BB246" i="5" l="1"/>
  <c r="AT247" i="5"/>
  <c r="V241" i="2"/>
  <c r="W241" i="2" s="1"/>
  <c r="W248" i="5"/>
  <c r="X248" i="5" s="1"/>
  <c r="AE270" i="5"/>
  <c r="AF270" i="5" s="1"/>
  <c r="BG680" i="5"/>
  <c r="AZ261" i="2"/>
  <c r="AR262" i="2"/>
  <c r="AK243" i="2"/>
  <c r="AB244" i="2"/>
  <c r="AD244" i="2" s="1"/>
  <c r="AV247" i="5" l="1"/>
  <c r="AW247" i="5" s="1"/>
  <c r="AT262" i="2"/>
  <c r="AU262" i="2" s="1"/>
  <c r="M242" i="2"/>
  <c r="N242" i="2"/>
  <c r="O242" i="2" s="1"/>
  <c r="BG681" i="5"/>
  <c r="N249" i="5"/>
  <c r="O249" i="5"/>
  <c r="P249" i="5" s="1"/>
  <c r="AL270" i="5"/>
  <c r="AE244" i="2"/>
  <c r="AY262" i="2" l="1"/>
  <c r="BA247" i="5"/>
  <c r="R242" i="2"/>
  <c r="S242" i="2" s="1"/>
  <c r="S249" i="5"/>
  <c r="BG682" i="5"/>
  <c r="AC271" i="5"/>
  <c r="AM270" i="5"/>
  <c r="AJ244" i="2"/>
  <c r="BB247" i="5" l="1"/>
  <c r="AT248" i="5"/>
  <c r="I46" i="9"/>
  <c r="V242" i="2"/>
  <c r="M243" i="2" s="1"/>
  <c r="AE271" i="5"/>
  <c r="AF271" i="5" s="1"/>
  <c r="AL271" i="5" s="1"/>
  <c r="T249" i="5"/>
  <c r="W249" i="5" s="1"/>
  <c r="BG683" i="5"/>
  <c r="AZ262" i="2"/>
  <c r="AR263" i="2"/>
  <c r="AK244" i="2"/>
  <c r="AB245" i="2"/>
  <c r="AD245" i="2" s="1"/>
  <c r="AV248" i="5" l="1"/>
  <c r="AW248" i="5" s="1"/>
  <c r="AT263" i="2"/>
  <c r="AU263" i="2" s="1"/>
  <c r="N243" i="2"/>
  <c r="O243" i="2" s="1"/>
  <c r="R243" i="2" s="1"/>
  <c r="S243" i="2" s="1"/>
  <c r="W242" i="2"/>
  <c r="X249" i="5"/>
  <c r="N250" i="5"/>
  <c r="O250" i="5"/>
  <c r="P250" i="5" s="1"/>
  <c r="BG684" i="5"/>
  <c r="J48" i="9"/>
  <c r="AC272" i="5"/>
  <c r="AM271" i="5"/>
  <c r="AE245" i="2"/>
  <c r="AY263" i="2" l="1"/>
  <c r="AR264" i="2" s="1"/>
  <c r="BA248" i="5"/>
  <c r="V243" i="2"/>
  <c r="S250" i="5"/>
  <c r="T250" i="5" s="1"/>
  <c r="AE272" i="5"/>
  <c r="AF272" i="5" s="1"/>
  <c r="BG685" i="5"/>
  <c r="AJ245" i="2"/>
  <c r="AZ263" i="2" l="1"/>
  <c r="AT249" i="5"/>
  <c r="BB248" i="5"/>
  <c r="AT264" i="2"/>
  <c r="W250" i="5"/>
  <c r="X250" i="5" s="1"/>
  <c r="BG686" i="5"/>
  <c r="W243" i="2"/>
  <c r="N244" i="2"/>
  <c r="O244" i="2" s="1"/>
  <c r="M244" i="2"/>
  <c r="AK245" i="2"/>
  <c r="AB246" i="2"/>
  <c r="AD246" i="2" s="1"/>
  <c r="AV249" i="5" l="1"/>
  <c r="AW249" i="5" s="1"/>
  <c r="N251" i="5"/>
  <c r="O251" i="5"/>
  <c r="P251" i="5" s="1"/>
  <c r="BG687" i="5"/>
  <c r="R244" i="2"/>
  <c r="S244" i="2" s="1"/>
  <c r="AL272" i="5"/>
  <c r="AU264" i="2"/>
  <c r="AY264" i="2" s="1"/>
  <c r="AE246" i="2"/>
  <c r="BA249" i="5" l="1"/>
  <c r="S251" i="5"/>
  <c r="T251" i="5" s="1"/>
  <c r="V244" i="2"/>
  <c r="BG688" i="5"/>
  <c r="AM272" i="5"/>
  <c r="AC273" i="5"/>
  <c r="AZ264" i="2"/>
  <c r="AJ246" i="2"/>
  <c r="BB249" i="5" l="1"/>
  <c r="AT250" i="5"/>
  <c r="AR265" i="2"/>
  <c r="W251" i="5"/>
  <c r="X251" i="5" s="1"/>
  <c r="AE273" i="5"/>
  <c r="AF273" i="5" s="1"/>
  <c r="AL273" i="5" s="1"/>
  <c r="BG689" i="5"/>
  <c r="W244" i="2"/>
  <c r="M245" i="2"/>
  <c r="N245" i="2"/>
  <c r="O245" i="2" s="1"/>
  <c r="AK246" i="2"/>
  <c r="AB247" i="2"/>
  <c r="AD247" i="2" s="1"/>
  <c r="AV250" i="5" l="1"/>
  <c r="AW250" i="5" s="1"/>
  <c r="AT265" i="2"/>
  <c r="N252" i="5"/>
  <c r="O252" i="5"/>
  <c r="P252" i="5" s="1"/>
  <c r="BG690" i="5"/>
  <c r="AM273" i="5"/>
  <c r="R245" i="2"/>
  <c r="S245" i="2" s="1"/>
  <c r="AC274" i="5"/>
  <c r="AE247" i="2"/>
  <c r="AU265" i="2" l="1"/>
  <c r="AY265" i="2" s="1"/>
  <c r="BA250" i="5"/>
  <c r="S252" i="5"/>
  <c r="T252" i="5" s="1"/>
  <c r="V245" i="2"/>
  <c r="M246" i="2" s="1"/>
  <c r="AE274" i="5"/>
  <c r="AF274" i="5" s="1"/>
  <c r="BG691" i="5"/>
  <c r="AJ247" i="2"/>
  <c r="AR266" i="2" l="1"/>
  <c r="AT266" i="2" s="1"/>
  <c r="AU266" i="2" s="1"/>
  <c r="AY266" i="2" s="1"/>
  <c r="AZ265" i="2"/>
  <c r="BB250" i="5"/>
  <c r="AT251" i="5"/>
  <c r="W252" i="5"/>
  <c r="X252" i="5" s="1"/>
  <c r="N246" i="2"/>
  <c r="O246" i="2" s="1"/>
  <c r="R246" i="2" s="1"/>
  <c r="S246" i="2" s="1"/>
  <c r="W245" i="2"/>
  <c r="BG692" i="5"/>
  <c r="AL274" i="5"/>
  <c r="J46" i="7"/>
  <c r="AK247" i="2"/>
  <c r="AB248" i="2"/>
  <c r="AD248" i="2" s="1"/>
  <c r="AV251" i="5" l="1"/>
  <c r="AW251" i="5" s="1"/>
  <c r="O253" i="5"/>
  <c r="P253" i="5" s="1"/>
  <c r="N253" i="5"/>
  <c r="V246" i="2"/>
  <c r="AM274" i="5"/>
  <c r="BG693" i="5"/>
  <c r="AC275" i="5"/>
  <c r="AE248" i="2"/>
  <c r="BA251" i="5" l="1"/>
  <c r="S253" i="5"/>
  <c r="T253" i="5" s="1"/>
  <c r="W253" i="5" s="1"/>
  <c r="X253" i="5" s="1"/>
  <c r="AE275" i="5"/>
  <c r="AF275" i="5" s="1"/>
  <c r="AL275" i="5" s="1"/>
  <c r="BG694" i="5"/>
  <c r="AR267" i="2"/>
  <c r="W246" i="2"/>
  <c r="AZ266" i="2"/>
  <c r="M247" i="2"/>
  <c r="N247" i="2"/>
  <c r="O247" i="2" s="1"/>
  <c r="AJ248" i="2"/>
  <c r="BB251" i="5" l="1"/>
  <c r="AT252" i="5"/>
  <c r="AT267" i="2"/>
  <c r="AU267" i="2" s="1"/>
  <c r="AY267" i="2" s="1"/>
  <c r="BG695" i="5"/>
  <c r="N254" i="5"/>
  <c r="O254" i="5"/>
  <c r="P254" i="5" s="1"/>
  <c r="AC276" i="5"/>
  <c r="AM275" i="5"/>
  <c r="R247" i="2"/>
  <c r="S247" i="2" s="1"/>
  <c r="AK248" i="2"/>
  <c r="AB249" i="2"/>
  <c r="AD249" i="2" s="1"/>
  <c r="AV252" i="5" l="1"/>
  <c r="AW252" i="5" s="1"/>
  <c r="V247" i="2"/>
  <c r="AE276" i="5"/>
  <c r="AF276" i="5" s="1"/>
  <c r="AL276" i="5" s="1"/>
  <c r="S254" i="5"/>
  <c r="T254" i="5" s="1"/>
  <c r="BG696" i="5"/>
  <c r="AZ267" i="2"/>
  <c r="AR268" i="2"/>
  <c r="AE249" i="2"/>
  <c r="BA252" i="5" l="1"/>
  <c r="AT268" i="2"/>
  <c r="AU268" i="2" s="1"/>
  <c r="AY268" i="2" s="1"/>
  <c r="W254" i="5"/>
  <c r="X254" i="5" s="1"/>
  <c r="BG697" i="5"/>
  <c r="H46" i="7"/>
  <c r="L46" i="7" s="1"/>
  <c r="W247" i="2"/>
  <c r="M46" i="7" s="1"/>
  <c r="AC277" i="5"/>
  <c r="N248" i="2"/>
  <c r="O248" i="2" s="1"/>
  <c r="AM276" i="5"/>
  <c r="M248" i="2"/>
  <c r="AJ249" i="2"/>
  <c r="BB252" i="5" l="1"/>
  <c r="AT253" i="5"/>
  <c r="AE277" i="5"/>
  <c r="AF277" i="5" s="1"/>
  <c r="BG698" i="5"/>
  <c r="N255" i="5"/>
  <c r="O255" i="5"/>
  <c r="P255" i="5" s="1"/>
  <c r="R248" i="2"/>
  <c r="S248" i="2" s="1"/>
  <c r="AK249" i="2"/>
  <c r="AB250" i="2"/>
  <c r="AD250" i="2" s="1"/>
  <c r="AV253" i="5" l="1"/>
  <c r="AW253" i="5" s="1"/>
  <c r="V248" i="2"/>
  <c r="AL277" i="5"/>
  <c r="S255" i="5"/>
  <c r="T255" i="5" s="1"/>
  <c r="BG699" i="5"/>
  <c r="AR269" i="2"/>
  <c r="AZ268" i="2"/>
  <c r="AE250" i="2"/>
  <c r="BA253" i="5" l="1"/>
  <c r="AT269" i="2"/>
  <c r="AU269" i="2" s="1"/>
  <c r="AY269" i="2" s="1"/>
  <c r="AC278" i="5"/>
  <c r="AE278" i="5" s="1"/>
  <c r="AF278" i="5" s="1"/>
  <c r="AL278" i="5" s="1"/>
  <c r="W255" i="5"/>
  <c r="X255" i="5" s="1"/>
  <c r="AM277" i="5"/>
  <c r="BG700" i="5"/>
  <c r="W248" i="2"/>
  <c r="M249" i="2"/>
  <c r="N249" i="2"/>
  <c r="O249" i="2" s="1"/>
  <c r="AJ250" i="2"/>
  <c r="BB253" i="5" l="1"/>
  <c r="AT254" i="5"/>
  <c r="AZ269" i="2"/>
  <c r="BG701" i="5"/>
  <c r="AR270" i="2"/>
  <c r="O256" i="5"/>
  <c r="P256" i="5" s="1"/>
  <c r="R249" i="2"/>
  <c r="S249" i="2" s="1"/>
  <c r="N256" i="5"/>
  <c r="AC279" i="5"/>
  <c r="AM278" i="5"/>
  <c r="AK250" i="2"/>
  <c r="AB251" i="2"/>
  <c r="AD251" i="2" s="1"/>
  <c r="AV254" i="5" l="1"/>
  <c r="AW254" i="5" s="1"/>
  <c r="V249" i="2"/>
  <c r="M250" i="2" s="1"/>
  <c r="AE279" i="5"/>
  <c r="AF279" i="5" s="1"/>
  <c r="AL279" i="5" s="1"/>
  <c r="S256" i="5"/>
  <c r="T256" i="5" s="1"/>
  <c r="BG702" i="5"/>
  <c r="AT270" i="2"/>
  <c r="AU270" i="2" s="1"/>
  <c r="AE251" i="2"/>
  <c r="BA254" i="5" l="1"/>
  <c r="AY270" i="2"/>
  <c r="W256" i="5"/>
  <c r="X256" i="5" s="1"/>
  <c r="N250" i="2"/>
  <c r="O250" i="2" s="1"/>
  <c r="R250" i="2" s="1"/>
  <c r="S250" i="2" s="1"/>
  <c r="W249" i="2"/>
  <c r="BG703" i="5"/>
  <c r="AC280" i="5"/>
  <c r="AM279" i="5"/>
  <c r="AJ251" i="2"/>
  <c r="AT255" i="5" l="1"/>
  <c r="BB254" i="5"/>
  <c r="V250" i="2"/>
  <c r="AE280" i="5"/>
  <c r="AF280" i="5" s="1"/>
  <c r="BG704" i="5"/>
  <c r="AR271" i="2"/>
  <c r="AZ270" i="2"/>
  <c r="N257" i="5"/>
  <c r="O257" i="5"/>
  <c r="P257" i="5" s="1"/>
  <c r="AK251" i="2"/>
  <c r="AB252" i="2"/>
  <c r="AD252" i="2" s="1"/>
  <c r="AV255" i="5" l="1"/>
  <c r="AW255" i="5" s="1"/>
  <c r="S257" i="5"/>
  <c r="T257" i="5" s="1"/>
  <c r="BG705" i="5"/>
  <c r="AT271" i="2"/>
  <c r="AU271" i="2" s="1"/>
  <c r="W250" i="2"/>
  <c r="AL280" i="5"/>
  <c r="M251" i="2"/>
  <c r="N251" i="2"/>
  <c r="O251" i="2" s="1"/>
  <c r="AE252" i="2"/>
  <c r="BA255" i="5" l="1"/>
  <c r="AY271" i="2"/>
  <c r="AZ271" i="2" s="1"/>
  <c r="W257" i="5"/>
  <c r="X257" i="5" s="1"/>
  <c r="BG706" i="5"/>
  <c r="AC281" i="5"/>
  <c r="AM280" i="5"/>
  <c r="R251" i="2"/>
  <c r="S251" i="2" s="1"/>
  <c r="AJ252" i="2"/>
  <c r="AT256" i="5" l="1"/>
  <c r="BB255" i="5"/>
  <c r="V251" i="2"/>
  <c r="AE281" i="5"/>
  <c r="AF281" i="5" s="1"/>
  <c r="AL281" i="5" s="1"/>
  <c r="BG707" i="5"/>
  <c r="I48" i="7"/>
  <c r="N258" i="5"/>
  <c r="AR272" i="2"/>
  <c r="O258" i="5"/>
  <c r="P258" i="5" s="1"/>
  <c r="AK252" i="2"/>
  <c r="AB253" i="2"/>
  <c r="AD253" i="2" s="1"/>
  <c r="AV256" i="5" l="1"/>
  <c r="AW256" i="5" s="1"/>
  <c r="AT272" i="2"/>
  <c r="AU272" i="2" s="1"/>
  <c r="S258" i="5"/>
  <c r="T258" i="5" s="1"/>
  <c r="BG708" i="5"/>
  <c r="W251" i="2"/>
  <c r="AC282" i="5"/>
  <c r="AM281" i="5"/>
  <c r="N252" i="2"/>
  <c r="O252" i="2" s="1"/>
  <c r="M252" i="2"/>
  <c r="AE253" i="2"/>
  <c r="BA256" i="5" l="1"/>
  <c r="AY272" i="2"/>
  <c r="AR273" i="2" s="1"/>
  <c r="W258" i="5"/>
  <c r="X258" i="5" s="1"/>
  <c r="AE282" i="5"/>
  <c r="AF282" i="5" s="1"/>
  <c r="BG709" i="5"/>
  <c r="R252" i="2"/>
  <c r="S252" i="2" s="1"/>
  <c r="AJ253" i="2"/>
  <c r="AT257" i="5" l="1"/>
  <c r="BB256" i="5"/>
  <c r="AT273" i="2"/>
  <c r="AU273" i="2" s="1"/>
  <c r="AZ272" i="2"/>
  <c r="V252" i="2"/>
  <c r="BG710" i="5"/>
  <c r="O259" i="5"/>
  <c r="P259" i="5" s="1"/>
  <c r="N259" i="5"/>
  <c r="AL282" i="5"/>
  <c r="AK253" i="2"/>
  <c r="AB254" i="2"/>
  <c r="AD254" i="2" s="1"/>
  <c r="AV257" i="5" l="1"/>
  <c r="AW257" i="5" s="1"/>
  <c r="AY273" i="2"/>
  <c r="S259" i="5"/>
  <c r="BG711" i="5"/>
  <c r="W252" i="2"/>
  <c r="AM282" i="5"/>
  <c r="AC283" i="5"/>
  <c r="M253" i="2"/>
  <c r="N253" i="2"/>
  <c r="O253" i="2" s="1"/>
  <c r="AE254" i="2"/>
  <c r="BA257" i="5" l="1"/>
  <c r="AZ273" i="2"/>
  <c r="AR274" i="2"/>
  <c r="AE283" i="5"/>
  <c r="AF283" i="5" s="1"/>
  <c r="T259" i="5"/>
  <c r="W259" i="5" s="1"/>
  <c r="BG712" i="5"/>
  <c r="R253" i="2"/>
  <c r="S253" i="2" s="1"/>
  <c r="AJ254" i="2"/>
  <c r="AT258" i="5" l="1"/>
  <c r="BB257" i="5"/>
  <c r="AT274" i="2"/>
  <c r="V253" i="2"/>
  <c r="X259" i="5"/>
  <c r="H47" i="9"/>
  <c r="N260" i="5"/>
  <c r="O260" i="5"/>
  <c r="P260" i="5" s="1"/>
  <c r="BG713" i="5"/>
  <c r="AL283" i="5"/>
  <c r="AK254" i="2"/>
  <c r="AB255" i="2"/>
  <c r="AD255" i="2" s="1"/>
  <c r="AV258" i="5" l="1"/>
  <c r="AW258" i="5" s="1"/>
  <c r="AU274" i="2"/>
  <c r="AY274" i="2" s="1"/>
  <c r="S260" i="5"/>
  <c r="T260" i="5" s="1"/>
  <c r="BG714" i="5"/>
  <c r="AC284" i="5"/>
  <c r="AM283" i="5"/>
  <c r="J49" i="9"/>
  <c r="W253" i="2"/>
  <c r="M254" i="2"/>
  <c r="N254" i="2"/>
  <c r="O254" i="2" s="1"/>
  <c r="AE255" i="2"/>
  <c r="BA258" i="5" l="1"/>
  <c r="AR275" i="2"/>
  <c r="AZ274" i="2"/>
  <c r="W260" i="5"/>
  <c r="X260" i="5" s="1"/>
  <c r="AE284" i="5"/>
  <c r="AF284" i="5" s="1"/>
  <c r="BG715" i="5"/>
  <c r="R254" i="2"/>
  <c r="S254" i="2" s="1"/>
  <c r="AJ255" i="2"/>
  <c r="AT259" i="5" l="1"/>
  <c r="BB258" i="5"/>
  <c r="AT275" i="2"/>
  <c r="AU275" i="2" s="1"/>
  <c r="N261" i="5"/>
  <c r="O261" i="5"/>
  <c r="P261" i="5" s="1"/>
  <c r="V254" i="2"/>
  <c r="BG716" i="5"/>
  <c r="AL284" i="5"/>
  <c r="AK255" i="2"/>
  <c r="AB256" i="2"/>
  <c r="AD256" i="2" s="1"/>
  <c r="AV259" i="5" l="1"/>
  <c r="AW259" i="5" s="1"/>
  <c r="AY275" i="2"/>
  <c r="S261" i="5"/>
  <c r="T261" i="5" s="1"/>
  <c r="BG717" i="5"/>
  <c r="AC285" i="5"/>
  <c r="AM284" i="5"/>
  <c r="W254" i="2"/>
  <c r="M255" i="2"/>
  <c r="N255" i="2"/>
  <c r="O255" i="2" s="1"/>
  <c r="AE256" i="2"/>
  <c r="BA259" i="5" l="1"/>
  <c r="AR276" i="2"/>
  <c r="AZ275" i="2"/>
  <c r="W261" i="5"/>
  <c r="X261" i="5" s="1"/>
  <c r="AE285" i="5"/>
  <c r="AF285" i="5" s="1"/>
  <c r="BG718" i="5"/>
  <c r="R255" i="2"/>
  <c r="S255" i="2" s="1"/>
  <c r="AJ256" i="2"/>
  <c r="I47" i="9" l="1"/>
  <c r="BB259" i="5"/>
  <c r="AT260" i="5"/>
  <c r="AT276" i="2"/>
  <c r="N262" i="5"/>
  <c r="O262" i="5"/>
  <c r="P262" i="5" s="1"/>
  <c r="V255" i="2"/>
  <c r="BG719" i="5"/>
  <c r="AL285" i="5"/>
  <c r="AK256" i="2"/>
  <c r="AB257" i="2"/>
  <c r="AD257" i="2" s="1"/>
  <c r="AV260" i="5" l="1"/>
  <c r="AW260" i="5" s="1"/>
  <c r="AU276" i="2"/>
  <c r="AY276" i="2" s="1"/>
  <c r="S262" i="5"/>
  <c r="T262" i="5" s="1"/>
  <c r="W262" i="5" s="1"/>
  <c r="X262" i="5" s="1"/>
  <c r="BG720" i="5"/>
  <c r="AC286" i="5"/>
  <c r="AM285" i="5"/>
  <c r="W255" i="2"/>
  <c r="M256" i="2"/>
  <c r="N256" i="2"/>
  <c r="O256" i="2" s="1"/>
  <c r="AE257" i="2"/>
  <c r="BA260" i="5" l="1"/>
  <c r="AR277" i="2"/>
  <c r="AZ276" i="2"/>
  <c r="AE286" i="5"/>
  <c r="AF286" i="5" s="1"/>
  <c r="BG721" i="5"/>
  <c r="N263" i="5"/>
  <c r="O263" i="5"/>
  <c r="P263" i="5" s="1"/>
  <c r="R256" i="2"/>
  <c r="S256" i="2" s="1"/>
  <c r="AJ257" i="2"/>
  <c r="AT261" i="5" l="1"/>
  <c r="BB260" i="5"/>
  <c r="AT277" i="2"/>
  <c r="AU277" i="2" s="1"/>
  <c r="V256" i="2"/>
  <c r="S263" i="5"/>
  <c r="T263" i="5" s="1"/>
  <c r="BG722" i="5"/>
  <c r="AL286" i="5"/>
  <c r="AM286" i="5" s="1"/>
  <c r="AK257" i="2"/>
  <c r="AB258" i="2"/>
  <c r="AD258" i="2" s="1"/>
  <c r="AV261" i="5" l="1"/>
  <c r="AW261" i="5" s="1"/>
  <c r="AY277" i="2"/>
  <c r="W263" i="5"/>
  <c r="X263" i="5" s="1"/>
  <c r="BG723" i="5"/>
  <c r="AC287" i="5"/>
  <c r="W256" i="2"/>
  <c r="M257" i="2"/>
  <c r="N257" i="2"/>
  <c r="O257" i="2" s="1"/>
  <c r="AE258" i="2"/>
  <c r="BA261" i="5" l="1"/>
  <c r="AZ277" i="2"/>
  <c r="AR278" i="2"/>
  <c r="AE287" i="5"/>
  <c r="AF287" i="5" s="1"/>
  <c r="AL287" i="5" s="1"/>
  <c r="BG724" i="5"/>
  <c r="O264" i="5"/>
  <c r="P264" i="5" s="1"/>
  <c r="N264" i="5"/>
  <c r="R257" i="2"/>
  <c r="S257" i="2" s="1"/>
  <c r="AJ258" i="2"/>
  <c r="BB261" i="5" l="1"/>
  <c r="AT262" i="5"/>
  <c r="AT278" i="2"/>
  <c r="V257" i="2"/>
  <c r="S264" i="5"/>
  <c r="T264" i="5" s="1"/>
  <c r="BG725" i="5"/>
  <c r="AM287" i="5"/>
  <c r="AC288" i="5"/>
  <c r="AK258" i="2"/>
  <c r="AB259" i="2"/>
  <c r="AD259" i="2" s="1"/>
  <c r="AU278" i="2" l="1"/>
  <c r="AY278" i="2" s="1"/>
  <c r="AZ278" i="2" s="1"/>
  <c r="AV262" i="5"/>
  <c r="AW262" i="5" s="1"/>
  <c r="W264" i="5"/>
  <c r="X264" i="5" s="1"/>
  <c r="AE288" i="5"/>
  <c r="AF288" i="5" s="1"/>
  <c r="BG726" i="5"/>
  <c r="W257" i="2"/>
  <c r="N258" i="2"/>
  <c r="O258" i="2" s="1"/>
  <c r="M258" i="2"/>
  <c r="AE259" i="2"/>
  <c r="AR279" i="2" l="1"/>
  <c r="AT279" i="2" s="1"/>
  <c r="AU279" i="2" s="1"/>
  <c r="BA262" i="5"/>
  <c r="BG727" i="5"/>
  <c r="AL288" i="5"/>
  <c r="N265" i="5"/>
  <c r="O265" i="5"/>
  <c r="P265" i="5" s="1"/>
  <c r="R258" i="2"/>
  <c r="S258" i="2" s="1"/>
  <c r="AJ259" i="2"/>
  <c r="AT263" i="5" l="1"/>
  <c r="BB262" i="5"/>
  <c r="AY279" i="2"/>
  <c r="V258" i="2"/>
  <c r="S265" i="5"/>
  <c r="T265" i="5" s="1"/>
  <c r="BG728" i="5"/>
  <c r="AC289" i="5"/>
  <c r="AM288" i="5"/>
  <c r="J47" i="7"/>
  <c r="J39" i="6"/>
  <c r="AK259" i="2"/>
  <c r="AB260" i="2"/>
  <c r="AD260" i="2" s="1"/>
  <c r="AR280" i="2" l="1"/>
  <c r="AT280" i="2" s="1"/>
  <c r="AV263" i="5"/>
  <c r="AW263" i="5" s="1"/>
  <c r="AZ279" i="2"/>
  <c r="W265" i="5"/>
  <c r="X265" i="5" s="1"/>
  <c r="AE289" i="5"/>
  <c r="AF289" i="5" s="1"/>
  <c r="BG729" i="5"/>
  <c r="W258" i="2"/>
  <c r="M259" i="2"/>
  <c r="N259" i="2"/>
  <c r="O259" i="2" s="1"/>
  <c r="AE260" i="2"/>
  <c r="BA263" i="5" l="1"/>
  <c r="AU280" i="2"/>
  <c r="AY280" i="2" s="1"/>
  <c r="AL289" i="5"/>
  <c r="BG730" i="5"/>
  <c r="N266" i="5"/>
  <c r="O266" i="5"/>
  <c r="P266" i="5" s="1"/>
  <c r="R259" i="2"/>
  <c r="S259" i="2" s="1"/>
  <c r="AJ260" i="2"/>
  <c r="BB263" i="5" l="1"/>
  <c r="AT264" i="5"/>
  <c r="V259" i="2"/>
  <c r="W259" i="2" s="1"/>
  <c r="AM289" i="5"/>
  <c r="AC290" i="5"/>
  <c r="AE290" i="5" s="1"/>
  <c r="AF290" i="5" s="1"/>
  <c r="AL290" i="5" s="1"/>
  <c r="S266" i="5"/>
  <c r="T266" i="5" s="1"/>
  <c r="BG731" i="5"/>
  <c r="AK260" i="2"/>
  <c r="AB261" i="2"/>
  <c r="AD261" i="2" s="1"/>
  <c r="AV264" i="5" l="1"/>
  <c r="AW264" i="5" s="1"/>
  <c r="AZ280" i="2"/>
  <c r="AR281" i="2"/>
  <c r="H47" i="7"/>
  <c r="L47" i="7" s="1"/>
  <c r="W266" i="5"/>
  <c r="X266" i="5" s="1"/>
  <c r="H39" i="6"/>
  <c r="L39" i="6" s="1"/>
  <c r="BG732" i="5"/>
  <c r="M39" i="6"/>
  <c r="M47" i="7"/>
  <c r="N260" i="2"/>
  <c r="O260" i="2" s="1"/>
  <c r="M260" i="2"/>
  <c r="AC291" i="5"/>
  <c r="AM290" i="5"/>
  <c r="AE261" i="2"/>
  <c r="BA264" i="5" l="1"/>
  <c r="BB264" i="5" s="1"/>
  <c r="AT281" i="2"/>
  <c r="AU281" i="2" s="1"/>
  <c r="AE291" i="5"/>
  <c r="AF291" i="5" s="1"/>
  <c r="BG733" i="5"/>
  <c r="O267" i="5"/>
  <c r="P267" i="5" s="1"/>
  <c r="N267" i="5"/>
  <c r="R260" i="2"/>
  <c r="S260" i="2" s="1"/>
  <c r="AJ261" i="2"/>
  <c r="AY281" i="2" l="1"/>
  <c r="AZ281" i="2" s="1"/>
  <c r="AT265" i="5"/>
  <c r="AV265" i="5" s="1"/>
  <c r="AW265" i="5" s="1"/>
  <c r="BA265" i="5" s="1"/>
  <c r="V260" i="2"/>
  <c r="S267" i="5"/>
  <c r="BG734" i="5"/>
  <c r="AL291" i="5"/>
  <c r="AK261" i="2"/>
  <c r="AB262" i="2"/>
  <c r="AD262" i="2" s="1"/>
  <c r="AR282" i="2" l="1"/>
  <c r="AT282" i="2" s="1"/>
  <c r="AU282" i="2" s="1"/>
  <c r="AT266" i="5"/>
  <c r="BB265" i="5"/>
  <c r="T267" i="5"/>
  <c r="W267" i="5" s="1"/>
  <c r="BG735" i="5"/>
  <c r="AC292" i="5"/>
  <c r="AM291" i="5"/>
  <c r="W260" i="2"/>
  <c r="N261" i="2"/>
  <c r="O261" i="2" s="1"/>
  <c r="M261" i="2"/>
  <c r="AE262" i="2"/>
  <c r="AV266" i="5" l="1"/>
  <c r="AW266" i="5" s="1"/>
  <c r="AY282" i="2"/>
  <c r="AE292" i="5"/>
  <c r="AF292" i="5" s="1"/>
  <c r="AL292" i="5" s="1"/>
  <c r="X267" i="5"/>
  <c r="BG736" i="5"/>
  <c r="N268" i="5"/>
  <c r="O268" i="5"/>
  <c r="P268" i="5" s="1"/>
  <c r="R261" i="2"/>
  <c r="S261" i="2" s="1"/>
  <c r="AJ262" i="2"/>
  <c r="BA266" i="5" l="1"/>
  <c r="AZ282" i="2"/>
  <c r="AR283" i="2"/>
  <c r="AT283" i="2" s="1"/>
  <c r="V261" i="2"/>
  <c r="S268" i="5"/>
  <c r="T268" i="5" s="1"/>
  <c r="BG737" i="5"/>
  <c r="AC293" i="5"/>
  <c r="AM292" i="5"/>
  <c r="AK262" i="2"/>
  <c r="AB263" i="2"/>
  <c r="AD263" i="2" s="1"/>
  <c r="AT267" i="5" l="1"/>
  <c r="BB266" i="5"/>
  <c r="AU283" i="2"/>
  <c r="AY283" i="2" s="1"/>
  <c r="W268" i="5"/>
  <c r="X268" i="5" s="1"/>
  <c r="AE293" i="5"/>
  <c r="AF293" i="5" s="1"/>
  <c r="BG738" i="5"/>
  <c r="W261" i="2"/>
  <c r="N262" i="2"/>
  <c r="O262" i="2" s="1"/>
  <c r="M262" i="2"/>
  <c r="AE263" i="2"/>
  <c r="AV267" i="5" l="1"/>
  <c r="AW267" i="5" s="1"/>
  <c r="BG739" i="5"/>
  <c r="AL293" i="5"/>
  <c r="I49" i="7"/>
  <c r="AR284" i="2"/>
  <c r="O269" i="5"/>
  <c r="P269" i="5" s="1"/>
  <c r="N269" i="5"/>
  <c r="R262" i="2"/>
  <c r="S262" i="2" s="1"/>
  <c r="AZ283" i="2"/>
  <c r="AJ263" i="2"/>
  <c r="BA267" i="5" l="1"/>
  <c r="AT284" i="2"/>
  <c r="AU284" i="2" s="1"/>
  <c r="V262" i="2"/>
  <c r="S269" i="5"/>
  <c r="T269" i="5" s="1"/>
  <c r="BG740" i="5"/>
  <c r="AM293" i="5"/>
  <c r="AC294" i="5"/>
  <c r="AK263" i="2"/>
  <c r="AB264" i="2"/>
  <c r="AD264" i="2" s="1"/>
  <c r="BB267" i="5" l="1"/>
  <c r="AT268" i="5"/>
  <c r="AY284" i="2"/>
  <c r="W269" i="5"/>
  <c r="X269" i="5" s="1"/>
  <c r="AE294" i="5"/>
  <c r="AF294" i="5" s="1"/>
  <c r="BG741" i="5"/>
  <c r="W262" i="2"/>
  <c r="M263" i="2"/>
  <c r="N263" i="2"/>
  <c r="O263" i="2" s="1"/>
  <c r="AE264" i="2"/>
  <c r="AR285" i="2" l="1"/>
  <c r="AT285" i="2" s="1"/>
  <c r="AU285" i="2" s="1"/>
  <c r="AZ284" i="2"/>
  <c r="AV268" i="5"/>
  <c r="AW268" i="5" s="1"/>
  <c r="AL294" i="5"/>
  <c r="AM294" i="5" s="1"/>
  <c r="BG742" i="5"/>
  <c r="O270" i="5"/>
  <c r="P270" i="5" s="1"/>
  <c r="N270" i="5"/>
  <c r="R263" i="2"/>
  <c r="S263" i="2" s="1"/>
  <c r="AJ264" i="2"/>
  <c r="AY285" i="2" l="1"/>
  <c r="BA268" i="5"/>
  <c r="V263" i="2"/>
  <c r="AC295" i="5"/>
  <c r="AE295" i="5" s="1"/>
  <c r="AF295" i="5" s="1"/>
  <c r="S270" i="5"/>
  <c r="T270" i="5" s="1"/>
  <c r="BG743" i="5"/>
  <c r="AK264" i="2"/>
  <c r="AB265" i="2"/>
  <c r="AD265" i="2" s="1"/>
  <c r="AT269" i="5" l="1"/>
  <c r="BB268" i="5"/>
  <c r="W270" i="5"/>
  <c r="X270" i="5" s="1"/>
  <c r="BG744" i="5"/>
  <c r="AL295" i="5"/>
  <c r="W263" i="2"/>
  <c r="N264" i="2"/>
  <c r="O264" i="2" s="1"/>
  <c r="M264" i="2"/>
  <c r="AR286" i="2"/>
  <c r="AZ285" i="2"/>
  <c r="AE265" i="2"/>
  <c r="AV269" i="5" l="1"/>
  <c r="AW269" i="5" s="1"/>
  <c r="AT286" i="2"/>
  <c r="BG745" i="5"/>
  <c r="AM295" i="5"/>
  <c r="J50" i="9"/>
  <c r="AC296" i="5"/>
  <c r="O271" i="5"/>
  <c r="P271" i="5" s="1"/>
  <c r="N271" i="5"/>
  <c r="R264" i="2"/>
  <c r="S264" i="2" s="1"/>
  <c r="AJ265" i="2"/>
  <c r="BA269" i="5" l="1"/>
  <c r="AU286" i="2"/>
  <c r="AY286" i="2" s="1"/>
  <c r="V264" i="2"/>
  <c r="AE296" i="5"/>
  <c r="AF296" i="5" s="1"/>
  <c r="AL296" i="5" s="1"/>
  <c r="S271" i="5"/>
  <c r="T271" i="5" s="1"/>
  <c r="BG746" i="5"/>
  <c r="AK265" i="2"/>
  <c r="AB266" i="2"/>
  <c r="AD266" i="2" s="1"/>
  <c r="BB269" i="5" l="1"/>
  <c r="AT270" i="5"/>
  <c r="W271" i="5"/>
  <c r="X271" i="5" s="1"/>
  <c r="M265" i="2"/>
  <c r="W264" i="2"/>
  <c r="BG747" i="5"/>
  <c r="AC297" i="5"/>
  <c r="AM296" i="5"/>
  <c r="N265" i="2"/>
  <c r="O265" i="2" s="1"/>
  <c r="AR287" i="2"/>
  <c r="AZ286" i="2"/>
  <c r="AE266" i="2"/>
  <c r="AV270" i="5" l="1"/>
  <c r="AW270" i="5" s="1"/>
  <c r="AT287" i="2"/>
  <c r="R265" i="2"/>
  <c r="S265" i="2" s="1"/>
  <c r="V265" i="2" s="1"/>
  <c r="H48" i="9"/>
  <c r="AE297" i="5"/>
  <c r="AF297" i="5" s="1"/>
  <c r="N272" i="5"/>
  <c r="O272" i="5"/>
  <c r="P272" i="5" s="1"/>
  <c r="BG748" i="5"/>
  <c r="AJ266" i="2"/>
  <c r="BA270" i="5" l="1"/>
  <c r="S272" i="5"/>
  <c r="T272" i="5" s="1"/>
  <c r="BG749" i="5"/>
  <c r="AL297" i="5"/>
  <c r="W265" i="2"/>
  <c r="N266" i="2"/>
  <c r="O266" i="2" s="1"/>
  <c r="M266" i="2"/>
  <c r="AU287" i="2"/>
  <c r="AY287" i="2" s="1"/>
  <c r="AK266" i="2"/>
  <c r="AB267" i="2"/>
  <c r="AD267" i="2" s="1"/>
  <c r="AT271" i="5" l="1"/>
  <c r="BB270" i="5"/>
  <c r="W272" i="5"/>
  <c r="BG750" i="5"/>
  <c r="AM297" i="5"/>
  <c r="AC298" i="5"/>
  <c r="R266" i="2"/>
  <c r="S266" i="2" s="1"/>
  <c r="AE267" i="2"/>
  <c r="AV271" i="5" l="1"/>
  <c r="AW271" i="5" s="1"/>
  <c r="AZ287" i="2"/>
  <c r="AR288" i="2"/>
  <c r="O273" i="5"/>
  <c r="P273" i="5" s="1"/>
  <c r="N273" i="5"/>
  <c r="V266" i="2"/>
  <c r="X272" i="5"/>
  <c r="AE298" i="5"/>
  <c r="AF298" i="5" s="1"/>
  <c r="BG751" i="5"/>
  <c r="AJ267" i="2"/>
  <c r="BA271" i="5" l="1"/>
  <c r="AT288" i="2"/>
  <c r="AU288" i="2" s="1"/>
  <c r="AY288" i="2" s="1"/>
  <c r="S273" i="5"/>
  <c r="T273" i="5" s="1"/>
  <c r="BG752" i="5"/>
  <c r="AL298" i="5"/>
  <c r="W266" i="2"/>
  <c r="N267" i="2"/>
  <c r="O267" i="2" s="1"/>
  <c r="M267" i="2"/>
  <c r="AK267" i="2"/>
  <c r="AB268" i="2"/>
  <c r="AD268" i="2" s="1"/>
  <c r="AT272" i="5" l="1"/>
  <c r="AV272" i="5" s="1"/>
  <c r="AW272" i="5" s="1"/>
  <c r="I48" i="9"/>
  <c r="BB271" i="5"/>
  <c r="AZ288" i="2"/>
  <c r="W273" i="5"/>
  <c r="X273" i="5" s="1"/>
  <c r="BG753" i="5"/>
  <c r="AM298" i="5"/>
  <c r="AC299" i="5"/>
  <c r="R267" i="2"/>
  <c r="AR289" i="2"/>
  <c r="AE268" i="2"/>
  <c r="BA272" i="5" l="1"/>
  <c r="AT289" i="2"/>
  <c r="O274" i="5"/>
  <c r="P274" i="5" s="1"/>
  <c r="N274" i="5"/>
  <c r="AE299" i="5"/>
  <c r="AF299" i="5" s="1"/>
  <c r="BG754" i="5"/>
  <c r="S267" i="2"/>
  <c r="V267" i="2" s="1"/>
  <c r="AJ268" i="2"/>
  <c r="BB272" i="5" l="1"/>
  <c r="AT273" i="5"/>
  <c r="S274" i="5"/>
  <c r="T274" i="5" s="1"/>
  <c r="BG755" i="5"/>
  <c r="AL299" i="5"/>
  <c r="AU289" i="2"/>
  <c r="AY289" i="2" s="1"/>
  <c r="AK268" i="2"/>
  <c r="AB269" i="2"/>
  <c r="AD269" i="2" s="1"/>
  <c r="AV273" i="5" l="1"/>
  <c r="AW273" i="5" s="1"/>
  <c r="W274" i="5"/>
  <c r="X274" i="5" s="1"/>
  <c r="N268" i="2"/>
  <c r="O268" i="2" s="1"/>
  <c r="W267" i="2"/>
  <c r="M268" i="2"/>
  <c r="BG756" i="5"/>
  <c r="AC300" i="5"/>
  <c r="AM299" i="5"/>
  <c r="AE269" i="2"/>
  <c r="BA273" i="5" l="1"/>
  <c r="AZ289" i="2"/>
  <c r="AR290" i="2"/>
  <c r="N275" i="5"/>
  <c r="O275" i="5"/>
  <c r="P275" i="5" s="1"/>
  <c r="R268" i="2"/>
  <c r="S268" i="2" s="1"/>
  <c r="AE300" i="5"/>
  <c r="AF300" i="5" s="1"/>
  <c r="AL300" i="5" s="1"/>
  <c r="BG757" i="5"/>
  <c r="AJ269" i="2"/>
  <c r="BB273" i="5" l="1"/>
  <c r="AT274" i="5"/>
  <c r="AT290" i="2"/>
  <c r="S275" i="5"/>
  <c r="T275" i="5" s="1"/>
  <c r="V268" i="2"/>
  <c r="BG758" i="5"/>
  <c r="AM300" i="5"/>
  <c r="AC301" i="5"/>
  <c r="AK269" i="2"/>
  <c r="AB270" i="2"/>
  <c r="AD270" i="2" s="1"/>
  <c r="AU290" i="2" l="1"/>
  <c r="AY290" i="2" s="1"/>
  <c r="AR291" i="2" s="1"/>
  <c r="AV274" i="5"/>
  <c r="AW274" i="5" s="1"/>
  <c r="W275" i="5"/>
  <c r="X275" i="5" s="1"/>
  <c r="W268" i="2"/>
  <c r="N269" i="2"/>
  <c r="O269" i="2" s="1"/>
  <c r="M269" i="2"/>
  <c r="AE301" i="5"/>
  <c r="AF301" i="5" s="1"/>
  <c r="BG759" i="5"/>
  <c r="AE270" i="2"/>
  <c r="BA274" i="5" l="1"/>
  <c r="AT291" i="2"/>
  <c r="AZ290" i="2"/>
  <c r="O276" i="5"/>
  <c r="P276" i="5" s="1"/>
  <c r="N276" i="5"/>
  <c r="R269" i="2"/>
  <c r="S269" i="2" s="1"/>
  <c r="BG760" i="5"/>
  <c r="AL301" i="5"/>
  <c r="AJ270" i="2"/>
  <c r="BB274" i="5" l="1"/>
  <c r="AT275" i="5"/>
  <c r="S276" i="5"/>
  <c r="T276" i="5" s="1"/>
  <c r="AU291" i="2"/>
  <c r="AY291" i="2" s="1"/>
  <c r="V269" i="2"/>
  <c r="W269" i="2" s="1"/>
  <c r="BG761" i="5"/>
  <c r="AC302" i="5"/>
  <c r="AM301" i="5"/>
  <c r="AK270" i="2"/>
  <c r="AB271" i="2"/>
  <c r="AD271" i="2" s="1"/>
  <c r="AV275" i="5" l="1"/>
  <c r="AW275" i="5" s="1"/>
  <c r="W276" i="5"/>
  <c r="X276" i="5" s="1"/>
  <c r="M270" i="2"/>
  <c r="N270" i="2"/>
  <c r="O270" i="2" s="1"/>
  <c r="AE302" i="5"/>
  <c r="AF302" i="5" s="1"/>
  <c r="BG762" i="5"/>
  <c r="AZ291" i="2"/>
  <c r="AR292" i="2"/>
  <c r="AE271" i="2"/>
  <c r="O277" i="5" l="1"/>
  <c r="P277" i="5" s="1"/>
  <c r="N277" i="5"/>
  <c r="BA275" i="5"/>
  <c r="AT292" i="2"/>
  <c r="AU292" i="2" s="1"/>
  <c r="R270" i="2"/>
  <c r="S270" i="2" s="1"/>
  <c r="V270" i="2" s="1"/>
  <c r="BG763" i="5"/>
  <c r="AL302" i="5"/>
  <c r="AJ271" i="2"/>
  <c r="AY292" i="2" l="1"/>
  <c r="S277" i="5"/>
  <c r="T277" i="5" s="1"/>
  <c r="W277" i="5" s="1"/>
  <c r="X277" i="5" s="1"/>
  <c r="AT276" i="5"/>
  <c r="BB275" i="5"/>
  <c r="BG764" i="5"/>
  <c r="AM302" i="5"/>
  <c r="AC303" i="5"/>
  <c r="J48" i="7"/>
  <c r="AK271" i="2"/>
  <c r="AB272" i="2"/>
  <c r="AD272" i="2" s="1"/>
  <c r="AV276" i="5" l="1"/>
  <c r="AW276" i="5" s="1"/>
  <c r="M271" i="2"/>
  <c r="W270" i="2"/>
  <c r="N271" i="2"/>
  <c r="O271" i="2" s="1"/>
  <c r="AE303" i="5"/>
  <c r="AF303" i="5" s="1"/>
  <c r="BG765" i="5"/>
  <c r="N278" i="5"/>
  <c r="O278" i="5"/>
  <c r="P278" i="5" s="1"/>
  <c r="AR293" i="2"/>
  <c r="AZ292" i="2"/>
  <c r="AE272" i="2"/>
  <c r="BA276" i="5" l="1"/>
  <c r="AT293" i="2"/>
  <c r="AU293" i="2" s="1"/>
  <c r="R271" i="2"/>
  <c r="S271" i="2" s="1"/>
  <c r="S278" i="5"/>
  <c r="T278" i="5" s="1"/>
  <c r="BG766" i="5"/>
  <c r="AL303" i="5"/>
  <c r="AJ272" i="2"/>
  <c r="AY293" i="2" l="1"/>
  <c r="BB276" i="5"/>
  <c r="AT277" i="5"/>
  <c r="V271" i="2"/>
  <c r="W278" i="5"/>
  <c r="X278" i="5" s="1"/>
  <c r="BG767" i="5"/>
  <c r="AM303" i="5"/>
  <c r="AC304" i="5"/>
  <c r="AK272" i="2"/>
  <c r="AB273" i="2"/>
  <c r="AD273" i="2" s="1"/>
  <c r="AV277" i="5" l="1"/>
  <c r="AW277" i="5" s="1"/>
  <c r="H48" i="7"/>
  <c r="L48" i="7" s="1"/>
  <c r="N272" i="2"/>
  <c r="O272" i="2" s="1"/>
  <c r="W271" i="2"/>
  <c r="M48" i="7" s="1"/>
  <c r="M272" i="2"/>
  <c r="AE304" i="5"/>
  <c r="AF304" i="5" s="1"/>
  <c r="AL304" i="5" s="1"/>
  <c r="AM304" i="5" s="1"/>
  <c r="BG768" i="5"/>
  <c r="O279" i="5"/>
  <c r="P279" i="5" s="1"/>
  <c r="N279" i="5"/>
  <c r="AZ293" i="2"/>
  <c r="AR294" i="2"/>
  <c r="AE273" i="2"/>
  <c r="BA277" i="5" l="1"/>
  <c r="AT294" i="2"/>
  <c r="AU294" i="2" s="1"/>
  <c r="R272" i="2"/>
  <c r="S272" i="2" s="1"/>
  <c r="S279" i="5"/>
  <c r="T279" i="5" s="1"/>
  <c r="BG769" i="5"/>
  <c r="AC305" i="5"/>
  <c r="AJ273" i="2"/>
  <c r="AY294" i="2" l="1"/>
  <c r="AT278" i="5"/>
  <c r="BB277" i="5"/>
  <c r="V272" i="2"/>
  <c r="W279" i="5"/>
  <c r="X279" i="5" s="1"/>
  <c r="AE305" i="5"/>
  <c r="AF305" i="5" s="1"/>
  <c r="AL305" i="5" s="1"/>
  <c r="BG770" i="5"/>
  <c r="AK273" i="2"/>
  <c r="AB274" i="2"/>
  <c r="AD274" i="2" s="1"/>
  <c r="AV278" i="5" l="1"/>
  <c r="AW278" i="5" s="1"/>
  <c r="BA278" i="5" s="1"/>
  <c r="N273" i="2"/>
  <c r="O273" i="2" s="1"/>
  <c r="W272" i="2"/>
  <c r="M273" i="2"/>
  <c r="BG771" i="5"/>
  <c r="AM305" i="5"/>
  <c r="AC306" i="5"/>
  <c r="N280" i="5"/>
  <c r="O280" i="5"/>
  <c r="P280" i="5" s="1"/>
  <c r="AZ294" i="2"/>
  <c r="AR295" i="2"/>
  <c r="AE274" i="2"/>
  <c r="BB278" i="5" l="1"/>
  <c r="AT279" i="5"/>
  <c r="AT295" i="2"/>
  <c r="AU295" i="2" s="1"/>
  <c r="R273" i="2"/>
  <c r="S273" i="2" s="1"/>
  <c r="AE306" i="5"/>
  <c r="AF306" i="5" s="1"/>
  <c r="AL306" i="5" s="1"/>
  <c r="S280" i="5"/>
  <c r="T280" i="5" s="1"/>
  <c r="BG772" i="5"/>
  <c r="AJ274" i="2"/>
  <c r="AY295" i="2" l="1"/>
  <c r="AV279" i="5"/>
  <c r="AW279" i="5" s="1"/>
  <c r="V273" i="2"/>
  <c r="W273" i="2" s="1"/>
  <c r="W280" i="5"/>
  <c r="X280" i="5" s="1"/>
  <c r="BG773" i="5"/>
  <c r="AC307" i="5"/>
  <c r="AM306" i="5"/>
  <c r="AK274" i="2"/>
  <c r="AB275" i="2"/>
  <c r="AD275" i="2" s="1"/>
  <c r="BA279" i="5" l="1"/>
  <c r="AT280" i="5" s="1"/>
  <c r="M274" i="2"/>
  <c r="N274" i="2"/>
  <c r="O274" i="2" s="1"/>
  <c r="AE307" i="5"/>
  <c r="AF307" i="5" s="1"/>
  <c r="BG774" i="5"/>
  <c r="I50" i="7"/>
  <c r="O281" i="5"/>
  <c r="P281" i="5" s="1"/>
  <c r="N281" i="5"/>
  <c r="AR296" i="2"/>
  <c r="AZ295" i="2"/>
  <c r="AE275" i="2"/>
  <c r="BB279" i="5" l="1"/>
  <c r="AV280" i="5"/>
  <c r="AW280" i="5" s="1"/>
  <c r="AT296" i="2"/>
  <c r="AU296" i="2" s="1"/>
  <c r="R274" i="2"/>
  <c r="AL307" i="5"/>
  <c r="AC308" i="5" s="1"/>
  <c r="S281" i="5"/>
  <c r="T281" i="5" s="1"/>
  <c r="BG775" i="5"/>
  <c r="AJ275" i="2"/>
  <c r="BA280" i="5" l="1"/>
  <c r="AY296" i="2"/>
  <c r="S274" i="2"/>
  <c r="V274" i="2" s="1"/>
  <c r="W281" i="5"/>
  <c r="X281" i="5" s="1"/>
  <c r="AM307" i="5"/>
  <c r="J51" i="9"/>
  <c r="AE308" i="5"/>
  <c r="AF308" i="5" s="1"/>
  <c r="AL308" i="5" s="1"/>
  <c r="BG776" i="5"/>
  <c r="AK275" i="2"/>
  <c r="AB276" i="2"/>
  <c r="AD276" i="2" s="1"/>
  <c r="AT281" i="5" l="1"/>
  <c r="BB280" i="5"/>
  <c r="O282" i="5"/>
  <c r="P282" i="5" s="1"/>
  <c r="N282" i="5"/>
  <c r="M275" i="2"/>
  <c r="W274" i="2"/>
  <c r="N275" i="2"/>
  <c r="O275" i="2" s="1"/>
  <c r="BG777" i="5"/>
  <c r="AC309" i="5"/>
  <c r="AM308" i="5"/>
  <c r="AZ296" i="2"/>
  <c r="AR297" i="2"/>
  <c r="AE276" i="2"/>
  <c r="AV281" i="5" l="1"/>
  <c r="AW281" i="5" s="1"/>
  <c r="AT297" i="2"/>
  <c r="AU297" i="2" s="1"/>
  <c r="AY297" i="2" s="1"/>
  <c r="S282" i="5"/>
  <c r="T282" i="5" s="1"/>
  <c r="R275" i="2"/>
  <c r="S275" i="2" s="1"/>
  <c r="AE309" i="5"/>
  <c r="AF309" i="5" s="1"/>
  <c r="BG778" i="5"/>
  <c r="AJ276" i="2"/>
  <c r="BA281" i="5" l="1"/>
  <c r="W282" i="5"/>
  <c r="X282" i="5" s="1"/>
  <c r="V275" i="2"/>
  <c r="N276" i="2" s="1"/>
  <c r="O276" i="2" s="1"/>
  <c r="BG779" i="5"/>
  <c r="AL309" i="5"/>
  <c r="AK276" i="2"/>
  <c r="AB277" i="2"/>
  <c r="AD277" i="2" s="1"/>
  <c r="AT282" i="5" l="1"/>
  <c r="BB281" i="5"/>
  <c r="O283" i="5"/>
  <c r="P283" i="5" s="1"/>
  <c r="N283" i="5"/>
  <c r="M276" i="2"/>
  <c r="W275" i="2"/>
  <c r="BG780" i="5"/>
  <c r="AM309" i="5"/>
  <c r="AC310" i="5"/>
  <c r="AZ297" i="2"/>
  <c r="AR298" i="2"/>
  <c r="AE277" i="2"/>
  <c r="AV282" i="5" l="1"/>
  <c r="AW282" i="5" s="1"/>
  <c r="AT298" i="2"/>
  <c r="AU298" i="2" s="1"/>
  <c r="S283" i="5"/>
  <c r="T283" i="5" s="1"/>
  <c r="R276" i="2"/>
  <c r="S276" i="2" s="1"/>
  <c r="V276" i="2" s="1"/>
  <c r="AE310" i="5"/>
  <c r="AF310" i="5" s="1"/>
  <c r="BG781" i="5"/>
  <c r="AJ277" i="2"/>
  <c r="AY298" i="2" l="1"/>
  <c r="BA282" i="5"/>
  <c r="W283" i="5"/>
  <c r="X283" i="5" s="1"/>
  <c r="BG782" i="5"/>
  <c r="AL310" i="5"/>
  <c r="AC311" i="5" s="1"/>
  <c r="W276" i="2"/>
  <c r="M277" i="2"/>
  <c r="N277" i="2"/>
  <c r="O277" i="2" s="1"/>
  <c r="AK277" i="2"/>
  <c r="AB278" i="2"/>
  <c r="AD278" i="2" s="1"/>
  <c r="AT283" i="5" l="1"/>
  <c r="BB282" i="5"/>
  <c r="AR299" i="2"/>
  <c r="AZ298" i="2"/>
  <c r="H49" i="9"/>
  <c r="O284" i="5"/>
  <c r="P284" i="5" s="1"/>
  <c r="N284" i="5"/>
  <c r="AE311" i="5"/>
  <c r="AF311" i="5" s="1"/>
  <c r="BG783" i="5"/>
  <c r="AM310" i="5"/>
  <c r="R277" i="2"/>
  <c r="S277" i="2" s="1"/>
  <c r="AE278" i="2"/>
  <c r="AV283" i="5" l="1"/>
  <c r="AW283" i="5" s="1"/>
  <c r="AT299" i="2"/>
  <c r="AU299" i="2" s="1"/>
  <c r="S284" i="5"/>
  <c r="T284" i="5" s="1"/>
  <c r="V277" i="2"/>
  <c r="BG784" i="5"/>
  <c r="AL311" i="5"/>
  <c r="AJ278" i="2"/>
  <c r="BA283" i="5" l="1"/>
  <c r="AY299" i="2"/>
  <c r="W284" i="5"/>
  <c r="X284" i="5" s="1"/>
  <c r="BG785" i="5"/>
  <c r="AC312" i="5"/>
  <c r="AM311" i="5"/>
  <c r="W277" i="2"/>
  <c r="N278" i="2"/>
  <c r="O278" i="2" s="1"/>
  <c r="M278" i="2"/>
  <c r="AK278" i="2"/>
  <c r="AB279" i="2"/>
  <c r="AD279" i="2" s="1"/>
  <c r="AZ299" i="2" l="1"/>
  <c r="AR300" i="2"/>
  <c r="AT300" i="2" s="1"/>
  <c r="I49" i="9"/>
  <c r="AT284" i="5"/>
  <c r="BB283" i="5"/>
  <c r="O285" i="5"/>
  <c r="P285" i="5" s="1"/>
  <c r="N285" i="5"/>
  <c r="AE312" i="5"/>
  <c r="AF312" i="5" s="1"/>
  <c r="BG786" i="5"/>
  <c r="R278" i="2"/>
  <c r="S278" i="2" s="1"/>
  <c r="AE279" i="2"/>
  <c r="AU300" i="2" l="1"/>
  <c r="AY300" i="2" s="1"/>
  <c r="AV284" i="5"/>
  <c r="AW284" i="5" s="1"/>
  <c r="S285" i="5"/>
  <c r="T285" i="5" s="1"/>
  <c r="V278" i="2"/>
  <c r="BG787" i="5"/>
  <c r="AL312" i="5"/>
  <c r="AJ279" i="2"/>
  <c r="BA284" i="5" l="1"/>
  <c r="W285" i="5"/>
  <c r="X285" i="5" s="1"/>
  <c r="BG788" i="5"/>
  <c r="AM312" i="5"/>
  <c r="AC313" i="5"/>
  <c r="W278" i="2"/>
  <c r="M279" i="2"/>
  <c r="N279" i="2"/>
  <c r="O279" i="2" s="1"/>
  <c r="AR301" i="2"/>
  <c r="AZ300" i="2"/>
  <c r="AK279" i="2"/>
  <c r="AB280" i="2"/>
  <c r="AD280" i="2" s="1"/>
  <c r="BB284" i="5" l="1"/>
  <c r="AT285" i="5"/>
  <c r="AT301" i="2"/>
  <c r="N286" i="5"/>
  <c r="O286" i="5"/>
  <c r="P286" i="5" s="1"/>
  <c r="AE313" i="5"/>
  <c r="AF313" i="5" s="1"/>
  <c r="AL313" i="5" s="1"/>
  <c r="BG789" i="5"/>
  <c r="R279" i="2"/>
  <c r="S279" i="2" s="1"/>
  <c r="AE280" i="2"/>
  <c r="AU301" i="2" l="1"/>
  <c r="AY301" i="2" s="1"/>
  <c r="AV285" i="5"/>
  <c r="AW285" i="5" s="1"/>
  <c r="S286" i="5"/>
  <c r="T286" i="5" s="1"/>
  <c r="V279" i="2"/>
  <c r="BG790" i="5"/>
  <c r="AC314" i="5"/>
  <c r="AM313" i="5"/>
  <c r="AJ280" i="2"/>
  <c r="BA285" i="5" l="1"/>
  <c r="W286" i="5"/>
  <c r="X286" i="5" s="1"/>
  <c r="AE314" i="5"/>
  <c r="BG791" i="5"/>
  <c r="W279" i="2"/>
  <c r="M280" i="2"/>
  <c r="N280" i="2"/>
  <c r="O280" i="2" s="1"/>
  <c r="AR302" i="2"/>
  <c r="AZ301" i="2"/>
  <c r="AK280" i="2"/>
  <c r="AB281" i="2"/>
  <c r="AD281" i="2" s="1"/>
  <c r="BB285" i="5" l="1"/>
  <c r="AT286" i="5"/>
  <c r="AT302" i="2"/>
  <c r="O287" i="5"/>
  <c r="P287" i="5" s="1"/>
  <c r="N287" i="5"/>
  <c r="AF314" i="5"/>
  <c r="AL314" i="5" s="1"/>
  <c r="BG792" i="5"/>
  <c r="R280" i="2"/>
  <c r="S280" i="2" s="1"/>
  <c r="AE281" i="2"/>
  <c r="AU302" i="2" l="1"/>
  <c r="AY302" i="2" s="1"/>
  <c r="AV286" i="5"/>
  <c r="AW286" i="5" s="1"/>
  <c r="S287" i="5"/>
  <c r="T287" i="5" s="1"/>
  <c r="V280" i="2"/>
  <c r="AM314" i="5"/>
  <c r="AC315" i="5"/>
  <c r="BG793" i="5"/>
  <c r="AJ281" i="2"/>
  <c r="BA286" i="5" l="1"/>
  <c r="W287" i="5"/>
  <c r="X287" i="5" s="1"/>
  <c r="AE315" i="5"/>
  <c r="AF315" i="5" s="1"/>
  <c r="BG794" i="5"/>
  <c r="W280" i="2"/>
  <c r="N281" i="2"/>
  <c r="O281" i="2" s="1"/>
  <c r="M281" i="2"/>
  <c r="AZ302" i="2"/>
  <c r="AR303" i="2"/>
  <c r="AK281" i="2"/>
  <c r="AB282" i="2"/>
  <c r="AD282" i="2" s="1"/>
  <c r="BB286" i="5" l="1"/>
  <c r="AT287" i="5"/>
  <c r="AT303" i="2"/>
  <c r="O288" i="5"/>
  <c r="P288" i="5" s="1"/>
  <c r="N288" i="5"/>
  <c r="AL315" i="5"/>
  <c r="BG795" i="5"/>
  <c r="R281" i="2"/>
  <c r="S281" i="2" s="1"/>
  <c r="AE282" i="2"/>
  <c r="AV287" i="5" l="1"/>
  <c r="AW287" i="5" s="1"/>
  <c r="AU303" i="2"/>
  <c r="S288" i="5"/>
  <c r="T288" i="5" s="1"/>
  <c r="V281" i="2"/>
  <c r="AC316" i="5"/>
  <c r="AM315" i="5"/>
  <c r="BG796" i="5"/>
  <c r="AJ282" i="2"/>
  <c r="BA287" i="5" l="1"/>
  <c r="AY303" i="2"/>
  <c r="W288" i="5"/>
  <c r="X288" i="5" s="1"/>
  <c r="AE316" i="5"/>
  <c r="AF316" i="5" s="1"/>
  <c r="BG797" i="5"/>
  <c r="W281" i="2"/>
  <c r="M282" i="2"/>
  <c r="N282" i="2"/>
  <c r="O282" i="2" s="1"/>
  <c r="AK282" i="2"/>
  <c r="AB283" i="2"/>
  <c r="AD283" i="2" s="1"/>
  <c r="AR304" i="2" l="1"/>
  <c r="AT304" i="2" s="1"/>
  <c r="BB287" i="5"/>
  <c r="AT288" i="5"/>
  <c r="O289" i="5"/>
  <c r="P289" i="5" s="1"/>
  <c r="AZ303" i="2"/>
  <c r="N289" i="5"/>
  <c r="AL316" i="5"/>
  <c r="BG798" i="5"/>
  <c r="R282" i="2"/>
  <c r="S282" i="2" s="1"/>
  <c r="AE283" i="2"/>
  <c r="S289" i="5" l="1"/>
  <c r="T289" i="5" s="1"/>
  <c r="W289" i="5" s="1"/>
  <c r="X289" i="5" s="1"/>
  <c r="AV288" i="5"/>
  <c r="AW288" i="5" s="1"/>
  <c r="AU304" i="2"/>
  <c r="AY304" i="2" s="1"/>
  <c r="V282" i="2"/>
  <c r="AM316" i="5"/>
  <c r="AC317" i="5"/>
  <c r="BG799" i="5"/>
  <c r="AJ283" i="2"/>
  <c r="BA288" i="5" l="1"/>
  <c r="AE317" i="5"/>
  <c r="AF317" i="5" s="1"/>
  <c r="BG800" i="5"/>
  <c r="J49" i="7"/>
  <c r="W282" i="2"/>
  <c r="N290" i="5"/>
  <c r="O290" i="5"/>
  <c r="P290" i="5" s="1"/>
  <c r="N283" i="2"/>
  <c r="O283" i="2" s="1"/>
  <c r="M283" i="2"/>
  <c r="AR305" i="2"/>
  <c r="AZ304" i="2"/>
  <c r="AK283" i="2"/>
  <c r="AB284" i="2"/>
  <c r="AD284" i="2" s="1"/>
  <c r="AT289" i="5" l="1"/>
  <c r="BB288" i="5"/>
  <c r="AT305" i="2"/>
  <c r="AU305" i="2" s="1"/>
  <c r="AL317" i="5"/>
  <c r="AC318" i="5" s="1"/>
  <c r="S290" i="5"/>
  <c r="T290" i="5" s="1"/>
  <c r="BG801" i="5"/>
  <c r="R283" i="2"/>
  <c r="S283" i="2" s="1"/>
  <c r="AE284" i="2"/>
  <c r="AY305" i="2" l="1"/>
  <c r="AV289" i="5"/>
  <c r="AW289" i="5" s="1"/>
  <c r="V283" i="2"/>
  <c r="W290" i="5"/>
  <c r="X290" i="5" s="1"/>
  <c r="AM317" i="5"/>
  <c r="AE318" i="5"/>
  <c r="AF318" i="5" s="1"/>
  <c r="AL318" i="5" s="1"/>
  <c r="BG802" i="5"/>
  <c r="AJ284" i="2"/>
  <c r="BA289" i="5" l="1"/>
  <c r="AM318" i="5"/>
  <c r="AC319" i="5"/>
  <c r="BG803" i="5"/>
  <c r="AZ305" i="2"/>
  <c r="H49" i="7"/>
  <c r="L49" i="7" s="1"/>
  <c r="W283" i="2"/>
  <c r="M49" i="7" s="1"/>
  <c r="N291" i="5"/>
  <c r="O291" i="5"/>
  <c r="P291" i="5" s="1"/>
  <c r="AR306" i="2"/>
  <c r="M284" i="2"/>
  <c r="N284" i="2"/>
  <c r="O284" i="2" s="1"/>
  <c r="AK284" i="2"/>
  <c r="AB285" i="2"/>
  <c r="AD285" i="2" s="1"/>
  <c r="AT290" i="5" l="1"/>
  <c r="BB289" i="5"/>
  <c r="AT306" i="2"/>
  <c r="AE319" i="5"/>
  <c r="S291" i="5"/>
  <c r="T291" i="5" s="1"/>
  <c r="BG804" i="5"/>
  <c r="R284" i="2"/>
  <c r="S284" i="2" s="1"/>
  <c r="AE285" i="2"/>
  <c r="AV290" i="5" l="1"/>
  <c r="AW290" i="5" s="1"/>
  <c r="AU306" i="2"/>
  <c r="AY306" i="2" s="1"/>
  <c r="V284" i="2"/>
  <c r="W291" i="5"/>
  <c r="X291" i="5" s="1"/>
  <c r="AF319" i="5"/>
  <c r="AL319" i="5" s="1"/>
  <c r="BG805" i="5"/>
  <c r="AJ285" i="2"/>
  <c r="BA290" i="5" l="1"/>
  <c r="AC320" i="5"/>
  <c r="AM319" i="5"/>
  <c r="J52" i="9"/>
  <c r="BG806" i="5"/>
  <c r="AR307" i="2"/>
  <c r="W284" i="2"/>
  <c r="N292" i="5"/>
  <c r="O292" i="5"/>
  <c r="P292" i="5" s="1"/>
  <c r="AZ306" i="2"/>
  <c r="N285" i="2"/>
  <c r="O285" i="2" s="1"/>
  <c r="M285" i="2"/>
  <c r="AK285" i="2"/>
  <c r="AB286" i="2"/>
  <c r="AD286" i="2" s="1"/>
  <c r="BB290" i="5" l="1"/>
  <c r="AT291" i="5"/>
  <c r="AT307" i="2"/>
  <c r="AE320" i="5"/>
  <c r="S292" i="5"/>
  <c r="T292" i="5" s="1"/>
  <c r="BG807" i="5"/>
  <c r="R285" i="2"/>
  <c r="S285" i="2" s="1"/>
  <c r="AE286" i="2"/>
  <c r="AV291" i="5" l="1"/>
  <c r="AW291" i="5" s="1"/>
  <c r="AU307" i="2"/>
  <c r="AY307" i="2" s="1"/>
  <c r="V285" i="2"/>
  <c r="W292" i="5"/>
  <c r="X292" i="5" s="1"/>
  <c r="AF320" i="5"/>
  <c r="AL320" i="5" s="1"/>
  <c r="BG808" i="5"/>
  <c r="AJ286" i="2"/>
  <c r="BA291" i="5" l="1"/>
  <c r="AZ307" i="2"/>
  <c r="I51" i="7"/>
  <c r="AR308" i="2"/>
  <c r="AM320" i="5"/>
  <c r="AC321" i="5"/>
  <c r="BG809" i="5"/>
  <c r="W285" i="2"/>
  <c r="O293" i="5"/>
  <c r="P293" i="5" s="1"/>
  <c r="N293" i="5"/>
  <c r="M286" i="2"/>
  <c r="N286" i="2"/>
  <c r="O286" i="2" s="1"/>
  <c r="AK286" i="2"/>
  <c r="AB287" i="2"/>
  <c r="AD287" i="2" s="1"/>
  <c r="AT292" i="5" l="1"/>
  <c r="BB291" i="5"/>
  <c r="AT308" i="2"/>
  <c r="AU308" i="2" s="1"/>
  <c r="AE321" i="5"/>
  <c r="AF321" i="5" s="1"/>
  <c r="S293" i="5"/>
  <c r="T293" i="5" s="1"/>
  <c r="BG810" i="5"/>
  <c r="R286" i="2"/>
  <c r="S286" i="2" s="1"/>
  <c r="AE287" i="2"/>
  <c r="AV292" i="5" l="1"/>
  <c r="AW292" i="5" s="1"/>
  <c r="AY308" i="2"/>
  <c r="V286" i="2"/>
  <c r="W293" i="5"/>
  <c r="X293" i="5" s="1"/>
  <c r="AL321" i="5"/>
  <c r="BG811" i="5"/>
  <c r="AJ287" i="2"/>
  <c r="BA292" i="5" l="1"/>
  <c r="AR309" i="2"/>
  <c r="AT309" i="2" s="1"/>
  <c r="AU309" i="2" s="1"/>
  <c r="AZ308" i="2"/>
  <c r="AC322" i="5"/>
  <c r="AE322" i="5" s="1"/>
  <c r="AF322" i="5" s="1"/>
  <c r="AL322" i="5" s="1"/>
  <c r="AM321" i="5"/>
  <c r="BG812" i="5"/>
  <c r="W286" i="2"/>
  <c r="N294" i="5"/>
  <c r="O294" i="5"/>
  <c r="P294" i="5" s="1"/>
  <c r="N287" i="2"/>
  <c r="O287" i="2" s="1"/>
  <c r="M287" i="2"/>
  <c r="AK287" i="2"/>
  <c r="AB288" i="2"/>
  <c r="AD288" i="2" s="1"/>
  <c r="AT293" i="5" l="1"/>
  <c r="BB292" i="5"/>
  <c r="AY309" i="2"/>
  <c r="S294" i="5"/>
  <c r="BG813" i="5"/>
  <c r="AM322" i="5"/>
  <c r="AC323" i="5"/>
  <c r="R287" i="2"/>
  <c r="S287" i="2" s="1"/>
  <c r="AE288" i="2"/>
  <c r="AV293" i="5" l="1"/>
  <c r="AW293" i="5" s="1"/>
  <c r="BA293" i="5" s="1"/>
  <c r="V287" i="2"/>
  <c r="AE323" i="5"/>
  <c r="AF323" i="5" s="1"/>
  <c r="T294" i="5"/>
  <c r="W294" i="5" s="1"/>
  <c r="BG814" i="5"/>
  <c r="AR310" i="2"/>
  <c r="AZ309" i="2"/>
  <c r="AJ288" i="2"/>
  <c r="AT294" i="5" l="1"/>
  <c r="BB293" i="5"/>
  <c r="AT310" i="2"/>
  <c r="AU310" i="2" s="1"/>
  <c r="X294" i="5"/>
  <c r="N295" i="5"/>
  <c r="O295" i="5"/>
  <c r="P295" i="5" s="1"/>
  <c r="BG815" i="5"/>
  <c r="AL323" i="5"/>
  <c r="W287" i="2"/>
  <c r="M288" i="2"/>
  <c r="N288" i="2"/>
  <c r="O288" i="2" s="1"/>
  <c r="AK288" i="2"/>
  <c r="AB289" i="2"/>
  <c r="AD289" i="2" s="1"/>
  <c r="AY310" i="2" l="1"/>
  <c r="AV294" i="5"/>
  <c r="AW294" i="5" s="1"/>
  <c r="S295" i="5"/>
  <c r="T295" i="5" s="1"/>
  <c r="BG816" i="5"/>
  <c r="AC324" i="5"/>
  <c r="AM323" i="5"/>
  <c r="R288" i="2"/>
  <c r="S288" i="2" s="1"/>
  <c r="AE289" i="2"/>
  <c r="BA294" i="5" l="1"/>
  <c r="V288" i="2"/>
  <c r="W295" i="5"/>
  <c r="X295" i="5" s="1"/>
  <c r="AE324" i="5"/>
  <c r="AF324" i="5" s="1"/>
  <c r="BG817" i="5"/>
  <c r="AZ310" i="2"/>
  <c r="AR311" i="2"/>
  <c r="AJ289" i="2"/>
  <c r="BB294" i="5" l="1"/>
  <c r="AT295" i="5"/>
  <c r="AT311" i="2"/>
  <c r="N296" i="5"/>
  <c r="H50" i="9"/>
  <c r="O296" i="5"/>
  <c r="P296" i="5" s="1"/>
  <c r="BG818" i="5"/>
  <c r="AL324" i="5"/>
  <c r="W288" i="2"/>
  <c r="M289" i="2"/>
  <c r="N289" i="2"/>
  <c r="O289" i="2" s="1"/>
  <c r="AK289" i="2"/>
  <c r="AB290" i="2"/>
  <c r="AD290" i="2" s="1"/>
  <c r="AU311" i="2" l="1"/>
  <c r="AY311" i="2" s="1"/>
  <c r="AV295" i="5"/>
  <c r="AW295" i="5" s="1"/>
  <c r="S296" i="5"/>
  <c r="T296" i="5" s="1"/>
  <c r="BG819" i="5"/>
  <c r="AM324" i="5"/>
  <c r="AC325" i="5"/>
  <c r="R289" i="2"/>
  <c r="S289" i="2" s="1"/>
  <c r="AE290" i="2"/>
  <c r="BA295" i="5" l="1"/>
  <c r="V289" i="2"/>
  <c r="W296" i="5"/>
  <c r="X296" i="5" s="1"/>
  <c r="AE325" i="5"/>
  <c r="AF325" i="5" s="1"/>
  <c r="BG820" i="5"/>
  <c r="AZ311" i="2"/>
  <c r="AR312" i="2"/>
  <c r="AJ290" i="2"/>
  <c r="I50" i="9" l="1"/>
  <c r="BB295" i="5"/>
  <c r="AT296" i="5"/>
  <c r="AT312" i="2"/>
  <c r="O297" i="5"/>
  <c r="P297" i="5" s="1"/>
  <c r="N297" i="5"/>
  <c r="BG821" i="5"/>
  <c r="AL325" i="5"/>
  <c r="W289" i="2"/>
  <c r="N290" i="2"/>
  <c r="O290" i="2" s="1"/>
  <c r="M290" i="2"/>
  <c r="AK290" i="2"/>
  <c r="AB291" i="2"/>
  <c r="AD291" i="2" s="1"/>
  <c r="AV296" i="5" l="1"/>
  <c r="AW296" i="5" s="1"/>
  <c r="AU312" i="2"/>
  <c r="AY312" i="2" s="1"/>
  <c r="S297" i="5"/>
  <c r="T297" i="5" s="1"/>
  <c r="W297" i="5" s="1"/>
  <c r="X297" i="5" s="1"/>
  <c r="BG822" i="5"/>
  <c r="AC326" i="5"/>
  <c r="AM325" i="5"/>
  <c r="R290" i="2"/>
  <c r="S290" i="2" s="1"/>
  <c r="AE291" i="2"/>
  <c r="BA296" i="5" l="1"/>
  <c r="AZ312" i="2"/>
  <c r="AR313" i="2"/>
  <c r="AT313" i="2" s="1"/>
  <c r="V290" i="2"/>
  <c r="AE326" i="5"/>
  <c r="AF326" i="5" s="1"/>
  <c r="AL326" i="5" s="1"/>
  <c r="BG823" i="5"/>
  <c r="N298" i="5"/>
  <c r="O298" i="5"/>
  <c r="P298" i="5" s="1"/>
  <c r="AJ291" i="2"/>
  <c r="AT297" i="5" l="1"/>
  <c r="BB296" i="5"/>
  <c r="S298" i="5"/>
  <c r="T298" i="5" s="1"/>
  <c r="BG824" i="5"/>
  <c r="W290" i="2"/>
  <c r="AC327" i="5"/>
  <c r="AM326" i="5"/>
  <c r="N291" i="2"/>
  <c r="O291" i="2" s="1"/>
  <c r="M291" i="2"/>
  <c r="AU313" i="2"/>
  <c r="AY313" i="2" s="1"/>
  <c r="AK291" i="2"/>
  <c r="AB292" i="2"/>
  <c r="AD292" i="2" s="1"/>
  <c r="AV297" i="5" l="1"/>
  <c r="AW297" i="5" s="1"/>
  <c r="W298" i="5"/>
  <c r="X298" i="5" s="1"/>
  <c r="AE327" i="5"/>
  <c r="AF327" i="5" s="1"/>
  <c r="BG825" i="5"/>
  <c r="R291" i="2"/>
  <c r="S291" i="2" s="1"/>
  <c r="AE292" i="2"/>
  <c r="BA297" i="5" l="1"/>
  <c r="AR314" i="2"/>
  <c r="AZ313" i="2"/>
  <c r="V291" i="2"/>
  <c r="BG826" i="5"/>
  <c r="N299" i="5"/>
  <c r="O299" i="5"/>
  <c r="P299" i="5" s="1"/>
  <c r="AL327" i="5"/>
  <c r="AJ292" i="2"/>
  <c r="AT298" i="5" l="1"/>
  <c r="BB297" i="5"/>
  <c r="AT314" i="2"/>
  <c r="AU314" i="2" s="1"/>
  <c r="S299" i="5"/>
  <c r="T299" i="5" s="1"/>
  <c r="BG827" i="5"/>
  <c r="W291" i="2"/>
  <c r="AC328" i="5"/>
  <c r="AM327" i="5"/>
  <c r="N292" i="2"/>
  <c r="O292" i="2" s="1"/>
  <c r="M292" i="2"/>
  <c r="AK292" i="2"/>
  <c r="AB293" i="2"/>
  <c r="AD293" i="2" s="1"/>
  <c r="AY314" i="2" l="1"/>
  <c r="AV298" i="5"/>
  <c r="AW298" i="5" s="1"/>
  <c r="W299" i="5"/>
  <c r="X299" i="5" s="1"/>
  <c r="AE328" i="5"/>
  <c r="AF328" i="5" s="1"/>
  <c r="AL328" i="5" s="1"/>
  <c r="BG828" i="5"/>
  <c r="R292" i="2"/>
  <c r="S292" i="2" s="1"/>
  <c r="AE293" i="2"/>
  <c r="AZ314" i="2" l="1"/>
  <c r="AR315" i="2"/>
  <c r="AT315" i="2" s="1"/>
  <c r="BA298" i="5"/>
  <c r="V292" i="2"/>
  <c r="BG829" i="5"/>
  <c r="N300" i="5"/>
  <c r="O300" i="5"/>
  <c r="P300" i="5" s="1"/>
  <c r="AC329" i="5"/>
  <c r="AM328" i="5"/>
  <c r="AJ293" i="2"/>
  <c r="AU315" i="2" l="1"/>
  <c r="AY315" i="2" s="1"/>
  <c r="AT299" i="5"/>
  <c r="BB298" i="5"/>
  <c r="AE329" i="5"/>
  <c r="AF329" i="5" s="1"/>
  <c r="S300" i="5"/>
  <c r="T300" i="5" s="1"/>
  <c r="BG830" i="5"/>
  <c r="W292" i="2"/>
  <c r="M293" i="2"/>
  <c r="N293" i="2"/>
  <c r="O293" i="2" s="1"/>
  <c r="AK293" i="2"/>
  <c r="AB294" i="2"/>
  <c r="AD294" i="2" s="1"/>
  <c r="AV299" i="5" l="1"/>
  <c r="AW299" i="5" s="1"/>
  <c r="W300" i="5"/>
  <c r="X300" i="5" s="1"/>
  <c r="BG831" i="5"/>
  <c r="AL329" i="5"/>
  <c r="R293" i="2"/>
  <c r="S293" i="2" s="1"/>
  <c r="AZ315" i="2"/>
  <c r="AR316" i="2"/>
  <c r="AE294" i="2"/>
  <c r="BA299" i="5" l="1"/>
  <c r="AT316" i="2"/>
  <c r="AU316" i="2" s="1"/>
  <c r="V293" i="2"/>
  <c r="BG832" i="5"/>
  <c r="AC330" i="5"/>
  <c r="AM329" i="5"/>
  <c r="O301" i="5"/>
  <c r="P301" i="5" s="1"/>
  <c r="N301" i="5"/>
  <c r="AJ294" i="2"/>
  <c r="AY316" i="2" l="1"/>
  <c r="AT300" i="5"/>
  <c r="BB299" i="5"/>
  <c r="AE330" i="5"/>
  <c r="S301" i="5"/>
  <c r="BG833" i="5"/>
  <c r="W293" i="2"/>
  <c r="M294" i="2"/>
  <c r="N294" i="2"/>
  <c r="O294" i="2" s="1"/>
  <c r="AK294" i="2"/>
  <c r="AB295" i="2"/>
  <c r="AD295" i="2" s="1"/>
  <c r="AV300" i="5" l="1"/>
  <c r="AW300" i="5" s="1"/>
  <c r="AF330" i="5"/>
  <c r="AL330" i="5" s="1"/>
  <c r="T301" i="5"/>
  <c r="W301" i="5" s="1"/>
  <c r="BG834" i="5"/>
  <c r="AR317" i="2"/>
  <c r="R294" i="2"/>
  <c r="S294" i="2" s="1"/>
  <c r="AZ316" i="2"/>
  <c r="AE295" i="2"/>
  <c r="BA300" i="5" l="1"/>
  <c r="AT317" i="2"/>
  <c r="AU317" i="2" s="1"/>
  <c r="AY317" i="2" s="1"/>
  <c r="V294" i="2"/>
  <c r="AC331" i="5"/>
  <c r="AM330" i="5"/>
  <c r="X301" i="5"/>
  <c r="N302" i="5"/>
  <c r="O302" i="5"/>
  <c r="P302" i="5" s="1"/>
  <c r="BG835" i="5"/>
  <c r="AJ295" i="2"/>
  <c r="AT301" i="5" l="1"/>
  <c r="BB300" i="5"/>
  <c r="AE331" i="5"/>
  <c r="AF331" i="5" s="1"/>
  <c r="AL331" i="5" s="1"/>
  <c r="S302" i="5"/>
  <c r="T302" i="5" s="1"/>
  <c r="BG836" i="5"/>
  <c r="AR318" i="2"/>
  <c r="J50" i="7"/>
  <c r="W294" i="2"/>
  <c r="M295" i="2"/>
  <c r="N295" i="2"/>
  <c r="O295" i="2" s="1"/>
  <c r="AZ317" i="2"/>
  <c r="AK295" i="2"/>
  <c r="AB296" i="2"/>
  <c r="AD296" i="2" s="1"/>
  <c r="AV301" i="5" l="1"/>
  <c r="AW301" i="5" s="1"/>
  <c r="AT318" i="2"/>
  <c r="W302" i="5"/>
  <c r="X302" i="5" s="1"/>
  <c r="AC332" i="5"/>
  <c r="J53" i="9"/>
  <c r="AM331" i="5"/>
  <c r="BG837" i="5"/>
  <c r="R295" i="2"/>
  <c r="S295" i="2" s="1"/>
  <c r="AE296" i="2"/>
  <c r="BA301" i="5" l="1"/>
  <c r="AU318" i="2"/>
  <c r="AY318" i="2" s="1"/>
  <c r="V295" i="2"/>
  <c r="H50" i="7" s="1"/>
  <c r="L50" i="7" s="1"/>
  <c r="AE332" i="5"/>
  <c r="N303" i="5"/>
  <c r="O303" i="5"/>
  <c r="P303" i="5" s="1"/>
  <c r="BG838" i="5"/>
  <c r="AJ296" i="2"/>
  <c r="BB301" i="5" l="1"/>
  <c r="AT302" i="5"/>
  <c r="AZ318" i="2"/>
  <c r="AR319" i="2"/>
  <c r="AT319" i="2" s="1"/>
  <c r="AU319" i="2" s="1"/>
  <c r="W295" i="2"/>
  <c r="M50" i="7" s="1"/>
  <c r="AF332" i="5"/>
  <c r="AL332" i="5" s="1"/>
  <c r="S303" i="5"/>
  <c r="T303" i="5" s="1"/>
  <c r="BG839" i="5"/>
  <c r="N296" i="2"/>
  <c r="O296" i="2" s="1"/>
  <c r="M296" i="2"/>
  <c r="AK296" i="2"/>
  <c r="AB297" i="2"/>
  <c r="AD297" i="2" s="1"/>
  <c r="AV302" i="5" l="1"/>
  <c r="AY319" i="2"/>
  <c r="W303" i="5"/>
  <c r="X303" i="5" s="1"/>
  <c r="AM332" i="5"/>
  <c r="AC333" i="5"/>
  <c r="BG840" i="5"/>
  <c r="R296" i="2"/>
  <c r="S296" i="2" s="1"/>
  <c r="AW302" i="5" l="1"/>
  <c r="BA302" i="5" s="1"/>
  <c r="N304" i="5"/>
  <c r="O304" i="5"/>
  <c r="P304" i="5" s="1"/>
  <c r="V296" i="2"/>
  <c r="AE333" i="5"/>
  <c r="BG841" i="5"/>
  <c r="I52" i="7"/>
  <c r="I40" i="6"/>
  <c r="AZ319" i="2"/>
  <c r="AR320" i="2"/>
  <c r="AE297" i="2"/>
  <c r="AJ297" i="2" s="1"/>
  <c r="BB302" i="5" l="1"/>
  <c r="AT303" i="5"/>
  <c r="AT320" i="2"/>
  <c r="S304" i="5"/>
  <c r="T304" i="5" s="1"/>
  <c r="AF333" i="5"/>
  <c r="AL333" i="5" s="1"/>
  <c r="BG842" i="5"/>
  <c r="W296" i="2"/>
  <c r="N297" i="2"/>
  <c r="O297" i="2" s="1"/>
  <c r="M297" i="2"/>
  <c r="AK297" i="2"/>
  <c r="AB298" i="2"/>
  <c r="AD298" i="2" s="1"/>
  <c r="AV303" i="5" l="1"/>
  <c r="AW303" i="5" s="1"/>
  <c r="AU320" i="2"/>
  <c r="AY320" i="2" s="1"/>
  <c r="W304" i="5"/>
  <c r="X304" i="5" s="1"/>
  <c r="AC334" i="5"/>
  <c r="AM333" i="5"/>
  <c r="BG843" i="5"/>
  <c r="R297" i="2"/>
  <c r="S297" i="2" s="1"/>
  <c r="AE298" i="2"/>
  <c r="AJ298" i="2" s="1"/>
  <c r="BA303" i="5" l="1"/>
  <c r="O305" i="5"/>
  <c r="P305" i="5" s="1"/>
  <c r="N305" i="5"/>
  <c r="V297" i="2"/>
  <c r="AE334" i="5"/>
  <c r="BG844" i="5"/>
  <c r="AZ320" i="2"/>
  <c r="AR321" i="2"/>
  <c r="AK298" i="2"/>
  <c r="AB299" i="2"/>
  <c r="AD299" i="2" s="1"/>
  <c r="BB303" i="5" l="1"/>
  <c r="AT304" i="5"/>
  <c r="AT321" i="2"/>
  <c r="S305" i="5"/>
  <c r="T305" i="5" s="1"/>
  <c r="AF334" i="5"/>
  <c r="AL334" i="5" s="1"/>
  <c r="BG845" i="5"/>
  <c r="W297" i="2"/>
  <c r="N298" i="2"/>
  <c r="O298" i="2" s="1"/>
  <c r="M298" i="2"/>
  <c r="AE299" i="2"/>
  <c r="AV304" i="5" l="1"/>
  <c r="AW304" i="5" s="1"/>
  <c r="W305" i="5"/>
  <c r="X305" i="5" s="1"/>
  <c r="AC335" i="5"/>
  <c r="AM334" i="5"/>
  <c r="BG846" i="5"/>
  <c r="R298" i="2"/>
  <c r="S298" i="2" s="1"/>
  <c r="AU321" i="2"/>
  <c r="AY321" i="2" s="1"/>
  <c r="AJ299" i="2"/>
  <c r="BA304" i="5" l="1"/>
  <c r="N306" i="5"/>
  <c r="O306" i="5"/>
  <c r="P306" i="5" s="1"/>
  <c r="V298" i="2"/>
  <c r="AE335" i="5"/>
  <c r="AF335" i="5" s="1"/>
  <c r="AL335" i="5" s="1"/>
  <c r="BG847" i="5"/>
  <c r="AR322" i="2"/>
  <c r="AZ321" i="2"/>
  <c r="AK299" i="2"/>
  <c r="AB300" i="2"/>
  <c r="AD300" i="2" s="1"/>
  <c r="BB304" i="5" l="1"/>
  <c r="AT305" i="5"/>
  <c r="AT322" i="2"/>
  <c r="AU322" i="2" s="1"/>
  <c r="S306" i="5"/>
  <c r="T306" i="5" s="1"/>
  <c r="AM335" i="5"/>
  <c r="AC336" i="5"/>
  <c r="BG848" i="5"/>
  <c r="W298" i="2"/>
  <c r="N299" i="2"/>
  <c r="O299" i="2" s="1"/>
  <c r="M299" i="2"/>
  <c r="AE300" i="2"/>
  <c r="AY322" i="2" l="1"/>
  <c r="AV305" i="5"/>
  <c r="AW305" i="5" s="1"/>
  <c r="W306" i="5"/>
  <c r="X306" i="5" s="1"/>
  <c r="AE336" i="5"/>
  <c r="AF336" i="5" s="1"/>
  <c r="AL336" i="5" s="1"/>
  <c r="BG849" i="5"/>
  <c r="R299" i="2"/>
  <c r="S299" i="2" s="1"/>
  <c r="AJ300" i="2"/>
  <c r="BA305" i="5" l="1"/>
  <c r="N307" i="5"/>
  <c r="O307" i="5"/>
  <c r="P307" i="5" s="1"/>
  <c r="V299" i="2"/>
  <c r="AM336" i="5"/>
  <c r="AC337" i="5"/>
  <c r="BG850" i="5"/>
  <c r="AZ322" i="2"/>
  <c r="AR323" i="2"/>
  <c r="AK300" i="2"/>
  <c r="AB301" i="2"/>
  <c r="AD301" i="2" s="1"/>
  <c r="BB305" i="5" l="1"/>
  <c r="AT306" i="5"/>
  <c r="AT323" i="2"/>
  <c r="AU323" i="2" s="1"/>
  <c r="S307" i="5"/>
  <c r="T307" i="5" s="1"/>
  <c r="AE337" i="5"/>
  <c r="AF337" i="5" s="1"/>
  <c r="AL337" i="5" s="1"/>
  <c r="BG851" i="5"/>
  <c r="W299" i="2"/>
  <c r="N300" i="2"/>
  <c r="O300" i="2" s="1"/>
  <c r="M300" i="2"/>
  <c r="AE301" i="2"/>
  <c r="AV306" i="5" l="1"/>
  <c r="AW306" i="5" s="1"/>
  <c r="AY323" i="2"/>
  <c r="AR324" i="2" s="1"/>
  <c r="W307" i="5"/>
  <c r="X307" i="5" s="1"/>
  <c r="AC338" i="5"/>
  <c r="AM337" i="5"/>
  <c r="BG852" i="5"/>
  <c r="R300" i="2"/>
  <c r="S300" i="2" s="1"/>
  <c r="AJ301" i="2"/>
  <c r="AZ323" i="2" l="1"/>
  <c r="BA306" i="5"/>
  <c r="AT324" i="2"/>
  <c r="O308" i="5"/>
  <c r="P308" i="5" s="1"/>
  <c r="H51" i="9"/>
  <c r="N308" i="5"/>
  <c r="V300" i="2"/>
  <c r="AE338" i="5"/>
  <c r="AF338" i="5" s="1"/>
  <c r="AL338" i="5" s="1"/>
  <c r="BG853" i="5"/>
  <c r="AK301" i="2"/>
  <c r="AB302" i="2"/>
  <c r="AD302" i="2" s="1"/>
  <c r="BB306" i="5" l="1"/>
  <c r="AT307" i="5"/>
  <c r="S308" i="5"/>
  <c r="T308" i="5" s="1"/>
  <c r="W308" i="5" s="1"/>
  <c r="BG854" i="5"/>
  <c r="W300" i="2"/>
  <c r="N301" i="2"/>
  <c r="O301" i="2" s="1"/>
  <c r="M301" i="2"/>
  <c r="AC339" i="5"/>
  <c r="AM338" i="5"/>
  <c r="AU324" i="2"/>
  <c r="AY324" i="2" s="1"/>
  <c r="AE302" i="2"/>
  <c r="AV307" i="5" l="1"/>
  <c r="AW307" i="5" s="1"/>
  <c r="AE339" i="5"/>
  <c r="AF339" i="5" s="1"/>
  <c r="X308" i="5"/>
  <c r="O309" i="5"/>
  <c r="P309" i="5" s="1"/>
  <c r="N309" i="5"/>
  <c r="BG855" i="5"/>
  <c r="R301" i="2"/>
  <c r="S301" i="2" s="1"/>
  <c r="AZ324" i="2"/>
  <c r="AJ302" i="2"/>
  <c r="BA307" i="5" l="1"/>
  <c r="AR325" i="2"/>
  <c r="V301" i="2"/>
  <c r="S309" i="5"/>
  <c r="T309" i="5" s="1"/>
  <c r="BG856" i="5"/>
  <c r="AL339" i="5"/>
  <c r="AK302" i="2"/>
  <c r="AB303" i="2"/>
  <c r="AD303" i="2" s="1"/>
  <c r="I51" i="9" l="1"/>
  <c r="BB307" i="5"/>
  <c r="AT308" i="5"/>
  <c r="AT325" i="2"/>
  <c r="AU325" i="2" s="1"/>
  <c r="W309" i="5"/>
  <c r="X309" i="5" s="1"/>
  <c r="BG857" i="5"/>
  <c r="W301" i="2"/>
  <c r="N302" i="2"/>
  <c r="O302" i="2" s="1"/>
  <c r="M302" i="2"/>
  <c r="AC340" i="5"/>
  <c r="AM339" i="5"/>
  <c r="AE303" i="2"/>
  <c r="AV308" i="5" l="1"/>
  <c r="AW308" i="5" s="1"/>
  <c r="AY325" i="2"/>
  <c r="N310" i="5"/>
  <c r="O310" i="5"/>
  <c r="P310" i="5" s="1"/>
  <c r="AE340" i="5"/>
  <c r="AF340" i="5" s="1"/>
  <c r="BG858" i="5"/>
  <c r="R302" i="2"/>
  <c r="S302" i="2" s="1"/>
  <c r="AJ303" i="2"/>
  <c r="BA308" i="5" l="1"/>
  <c r="AR326" i="2"/>
  <c r="AZ325" i="2"/>
  <c r="S310" i="5"/>
  <c r="T310" i="5" s="1"/>
  <c r="V302" i="2"/>
  <c r="BG859" i="5"/>
  <c r="AL340" i="5"/>
  <c r="AK303" i="2"/>
  <c r="AB304" i="2"/>
  <c r="AD304" i="2" s="1"/>
  <c r="BB308" i="5" l="1"/>
  <c r="AT309" i="5"/>
  <c r="AT326" i="2"/>
  <c r="AU326" i="2" s="1"/>
  <c r="W310" i="5"/>
  <c r="X310" i="5" s="1"/>
  <c r="BG860" i="5"/>
  <c r="W302" i="2"/>
  <c r="N303" i="2"/>
  <c r="O303" i="2" s="1"/>
  <c r="M303" i="2"/>
  <c r="AC341" i="5"/>
  <c r="AM340" i="5"/>
  <c r="AE304" i="2"/>
  <c r="AV309" i="5" l="1"/>
  <c r="AW309" i="5" s="1"/>
  <c r="AY326" i="2"/>
  <c r="AZ326" i="2" s="1"/>
  <c r="O311" i="5"/>
  <c r="P311" i="5" s="1"/>
  <c r="N311" i="5"/>
  <c r="AE341" i="5"/>
  <c r="AF341" i="5" s="1"/>
  <c r="BG861" i="5"/>
  <c r="R303" i="2"/>
  <c r="S303" i="2" s="1"/>
  <c r="AJ304" i="2"/>
  <c r="BA309" i="5" l="1"/>
  <c r="AR327" i="2"/>
  <c r="S311" i="5"/>
  <c r="T311" i="5" s="1"/>
  <c r="W311" i="5" s="1"/>
  <c r="X311" i="5" s="1"/>
  <c r="V303" i="2"/>
  <c r="BG862" i="5"/>
  <c r="AL341" i="5"/>
  <c r="AK304" i="2"/>
  <c r="AB305" i="2"/>
  <c r="AD305" i="2" s="1"/>
  <c r="AT310" i="5" l="1"/>
  <c r="BB309" i="5"/>
  <c r="AT327" i="2"/>
  <c r="N312" i="5"/>
  <c r="O312" i="5"/>
  <c r="P312" i="5" s="1"/>
  <c r="BG863" i="5"/>
  <c r="W303" i="2"/>
  <c r="M304" i="2"/>
  <c r="N304" i="2"/>
  <c r="O304" i="2" s="1"/>
  <c r="AC342" i="5"/>
  <c r="AM341" i="5"/>
  <c r="AE305" i="2"/>
  <c r="AV310" i="5" l="1"/>
  <c r="AW310" i="5" s="1"/>
  <c r="AU327" i="2"/>
  <c r="AY327" i="2" s="1"/>
  <c r="S312" i="5"/>
  <c r="T312" i="5" s="1"/>
  <c r="W312" i="5" s="1"/>
  <c r="X312" i="5" s="1"/>
  <c r="AE342" i="5"/>
  <c r="AF342" i="5" s="1"/>
  <c r="BG864" i="5"/>
  <c r="R304" i="2"/>
  <c r="S304" i="2" s="1"/>
  <c r="AJ305" i="2"/>
  <c r="BA310" i="5" l="1"/>
  <c r="AR328" i="2"/>
  <c r="AZ327" i="2"/>
  <c r="V304" i="2"/>
  <c r="BG865" i="5"/>
  <c r="O313" i="5"/>
  <c r="P313" i="5" s="1"/>
  <c r="N313" i="5"/>
  <c r="AL342" i="5"/>
  <c r="AK305" i="2"/>
  <c r="AB306" i="2"/>
  <c r="AD306" i="2" s="1"/>
  <c r="AT311" i="5" l="1"/>
  <c r="BB310" i="5"/>
  <c r="AT328" i="2"/>
  <c r="AU328" i="2" s="1"/>
  <c r="S313" i="5"/>
  <c r="T313" i="5" s="1"/>
  <c r="W313" i="5" s="1"/>
  <c r="BG866" i="5"/>
  <c r="W304" i="2"/>
  <c r="N305" i="2"/>
  <c r="O305" i="2" s="1"/>
  <c r="M305" i="2"/>
  <c r="AC343" i="5"/>
  <c r="AM342" i="5"/>
  <c r="AE306" i="2"/>
  <c r="AV311" i="5" l="1"/>
  <c r="AW311" i="5" s="1"/>
  <c r="AY328" i="2"/>
  <c r="AZ328" i="2" s="1"/>
  <c r="AE343" i="5"/>
  <c r="AF343" i="5" s="1"/>
  <c r="BG867" i="5"/>
  <c r="X313" i="5"/>
  <c r="R305" i="2"/>
  <c r="S305" i="2" s="1"/>
  <c r="AJ306" i="2"/>
  <c r="BA311" i="5" l="1"/>
  <c r="AR329" i="2"/>
  <c r="V305" i="2"/>
  <c r="BG868" i="5"/>
  <c r="O314" i="5"/>
  <c r="P314" i="5" s="1"/>
  <c r="N314" i="5"/>
  <c r="AK306" i="2"/>
  <c r="AB307" i="2"/>
  <c r="AD307" i="2" s="1"/>
  <c r="BB311" i="5" l="1"/>
  <c r="AT312" i="5"/>
  <c r="AT329" i="2"/>
  <c r="AU329" i="2" s="1"/>
  <c r="S314" i="5"/>
  <c r="T314" i="5" s="1"/>
  <c r="BG869" i="5"/>
  <c r="W305" i="2"/>
  <c r="M306" i="2"/>
  <c r="N306" i="2"/>
  <c r="O306" i="2" s="1"/>
  <c r="AL343" i="5"/>
  <c r="AE307" i="2"/>
  <c r="AV312" i="5" l="1"/>
  <c r="AY329" i="2"/>
  <c r="W314" i="5"/>
  <c r="X314" i="5" s="1"/>
  <c r="BG870" i="5"/>
  <c r="J54" i="9"/>
  <c r="AM343" i="5"/>
  <c r="R306" i="2"/>
  <c r="S306" i="2" s="1"/>
  <c r="AC344" i="5"/>
  <c r="AJ307" i="2"/>
  <c r="AW312" i="5" l="1"/>
  <c r="BA312" i="5" s="1"/>
  <c r="AR330" i="2"/>
  <c r="AZ329" i="2"/>
  <c r="V306" i="2"/>
  <c r="AE344" i="5"/>
  <c r="AF344" i="5" s="1"/>
  <c r="O315" i="5"/>
  <c r="P315" i="5" s="1"/>
  <c r="N315" i="5"/>
  <c r="BG871" i="5"/>
  <c r="J51" i="7"/>
  <c r="AK307" i="2"/>
  <c r="AB308" i="2"/>
  <c r="AD308" i="2" s="1"/>
  <c r="BB312" i="5" l="1"/>
  <c r="AT313" i="5"/>
  <c r="AT330" i="2"/>
  <c r="AU330" i="2" s="1"/>
  <c r="S315" i="5"/>
  <c r="T315" i="5" s="1"/>
  <c r="BG872" i="5"/>
  <c r="AL344" i="5"/>
  <c r="W306" i="2"/>
  <c r="M307" i="2"/>
  <c r="N307" i="2"/>
  <c r="O307" i="2" s="1"/>
  <c r="AE308" i="2"/>
  <c r="AV313" i="5" l="1"/>
  <c r="AW313" i="5" s="1"/>
  <c r="AY330" i="2"/>
  <c r="AR331" i="2" s="1"/>
  <c r="W315" i="5"/>
  <c r="X315" i="5" s="1"/>
  <c r="BG873" i="5"/>
  <c r="AC345" i="5"/>
  <c r="AM344" i="5"/>
  <c r="R307" i="2"/>
  <c r="S307" i="2" s="1"/>
  <c r="AJ308" i="2"/>
  <c r="BA313" i="5" l="1"/>
  <c r="AZ330" i="2"/>
  <c r="AT331" i="2"/>
  <c r="O316" i="5"/>
  <c r="P316" i="5" s="1"/>
  <c r="N316" i="5"/>
  <c r="V307" i="2"/>
  <c r="AE345" i="5"/>
  <c r="AF345" i="5" s="1"/>
  <c r="BG874" i="5"/>
  <c r="AK308" i="2"/>
  <c r="AB309" i="2"/>
  <c r="AD309" i="2" s="1"/>
  <c r="AT314" i="5" l="1"/>
  <c r="BB313" i="5"/>
  <c r="AU331" i="2"/>
  <c r="AY331" i="2" s="1"/>
  <c r="S316" i="5"/>
  <c r="T316" i="5" s="1"/>
  <c r="W316" i="5" s="1"/>
  <c r="BG875" i="5"/>
  <c r="AL345" i="5"/>
  <c r="H51" i="7"/>
  <c r="L51" i="7" s="1"/>
  <c r="W307" i="2"/>
  <c r="M51" i="7" s="1"/>
  <c r="M308" i="2"/>
  <c r="N308" i="2"/>
  <c r="O308" i="2" s="1"/>
  <c r="AE309" i="2"/>
  <c r="AV314" i="5" l="1"/>
  <c r="AW314" i="5" s="1"/>
  <c r="I53" i="7"/>
  <c r="AR332" i="2"/>
  <c r="AT332" i="2" s="1"/>
  <c r="AZ331" i="2"/>
  <c r="X316" i="5"/>
  <c r="N317" i="5"/>
  <c r="O317" i="5"/>
  <c r="P317" i="5" s="1"/>
  <c r="BG876" i="5"/>
  <c r="AC346" i="5"/>
  <c r="AM345" i="5"/>
  <c r="R308" i="2"/>
  <c r="S308" i="2" s="1"/>
  <c r="AJ309" i="2"/>
  <c r="BA314" i="5" l="1"/>
  <c r="V308" i="2"/>
  <c r="AE346" i="5"/>
  <c r="AF346" i="5" s="1"/>
  <c r="S317" i="5"/>
  <c r="T317" i="5" s="1"/>
  <c r="BG877" i="5"/>
  <c r="AU332" i="2"/>
  <c r="AY332" i="2" s="1"/>
  <c r="AK309" i="2"/>
  <c r="AB310" i="2"/>
  <c r="AD310" i="2" s="1"/>
  <c r="AT315" i="5" l="1"/>
  <c r="BB314" i="5"/>
  <c r="W317" i="5"/>
  <c r="X317" i="5" s="1"/>
  <c r="BG878" i="5"/>
  <c r="AL346" i="5"/>
  <c r="W308" i="2"/>
  <c r="N309" i="2"/>
  <c r="O309" i="2" s="1"/>
  <c r="M309" i="2"/>
  <c r="AZ332" i="2"/>
  <c r="AE310" i="2"/>
  <c r="AV315" i="5" l="1"/>
  <c r="AW315" i="5" s="1"/>
  <c r="AR333" i="2"/>
  <c r="O318" i="5"/>
  <c r="P318" i="5" s="1"/>
  <c r="N318" i="5"/>
  <c r="BG879" i="5"/>
  <c r="AC347" i="5"/>
  <c r="AM346" i="5"/>
  <c r="R309" i="2"/>
  <c r="S309" i="2" s="1"/>
  <c r="AJ310" i="2"/>
  <c r="BA315" i="5" l="1"/>
  <c r="AT333" i="2"/>
  <c r="AU333" i="2" s="1"/>
  <c r="V309" i="2"/>
  <c r="W309" i="2" s="1"/>
  <c r="S318" i="5"/>
  <c r="T318" i="5" s="1"/>
  <c r="AE347" i="5"/>
  <c r="AF347" i="5" s="1"/>
  <c r="BG880" i="5"/>
  <c r="AK310" i="2"/>
  <c r="AB311" i="2"/>
  <c r="AD311" i="2" s="1"/>
  <c r="AY333" i="2" l="1"/>
  <c r="AT316" i="5"/>
  <c r="BB315" i="5"/>
  <c r="W318" i="5"/>
  <c r="X318" i="5" s="1"/>
  <c r="M310" i="2"/>
  <c r="N310" i="2"/>
  <c r="O310" i="2" s="1"/>
  <c r="AL347" i="5"/>
  <c r="BG881" i="5"/>
  <c r="AE311" i="2"/>
  <c r="AV316" i="5" l="1"/>
  <c r="AZ333" i="2"/>
  <c r="AR334" i="2"/>
  <c r="O319" i="5"/>
  <c r="P319" i="5" s="1"/>
  <c r="N319" i="5"/>
  <c r="R310" i="2"/>
  <c r="S310" i="2" s="1"/>
  <c r="AC348" i="5"/>
  <c r="AE348" i="5" s="1"/>
  <c r="AF348" i="5" s="1"/>
  <c r="AM347" i="5"/>
  <c r="BG882" i="5"/>
  <c r="AJ311" i="2"/>
  <c r="AW316" i="5" l="1"/>
  <c r="BA316" i="5" s="1"/>
  <c r="AT334" i="2"/>
  <c r="AU334" i="2" s="1"/>
  <c r="S319" i="5"/>
  <c r="T319" i="5" s="1"/>
  <c r="V310" i="2"/>
  <c r="N311" i="2" s="1"/>
  <c r="O311" i="2" s="1"/>
  <c r="AL348" i="5"/>
  <c r="AM348" i="5" s="1"/>
  <c r="BG883" i="5"/>
  <c r="AK311" i="2"/>
  <c r="AB312" i="2"/>
  <c r="AD312" i="2" s="1"/>
  <c r="BB316" i="5" l="1"/>
  <c r="AT317" i="5"/>
  <c r="AY334" i="2"/>
  <c r="W319" i="5"/>
  <c r="X319" i="5" s="1"/>
  <c r="W310" i="2"/>
  <c r="M311" i="2"/>
  <c r="AC349" i="5"/>
  <c r="AE349" i="5" s="1"/>
  <c r="AF349" i="5" s="1"/>
  <c r="AL349" i="5" s="1"/>
  <c r="BG884" i="5"/>
  <c r="AE312" i="2"/>
  <c r="AZ334" i="2" l="1"/>
  <c r="AR335" i="2"/>
  <c r="AT335" i="2" s="1"/>
  <c r="AV317" i="5"/>
  <c r="AW317" i="5" s="1"/>
  <c r="H52" i="9"/>
  <c r="N320" i="5"/>
  <c r="O320" i="5"/>
  <c r="P320" i="5" s="1"/>
  <c r="R311" i="2"/>
  <c r="S311" i="2" s="1"/>
  <c r="V311" i="2" s="1"/>
  <c r="BG885" i="5"/>
  <c r="AM349" i="5"/>
  <c r="AC350" i="5"/>
  <c r="AJ312" i="2"/>
  <c r="BA317" i="5" l="1"/>
  <c r="S320" i="5"/>
  <c r="T320" i="5" s="1"/>
  <c r="W320" i="5" s="1"/>
  <c r="X320" i="5" s="1"/>
  <c r="AE350" i="5"/>
  <c r="AF350" i="5" s="1"/>
  <c r="BG886" i="5"/>
  <c r="W311" i="2"/>
  <c r="N312" i="2"/>
  <c r="O312" i="2" s="1"/>
  <c r="M312" i="2"/>
  <c r="AU335" i="2"/>
  <c r="AY335" i="2" s="1"/>
  <c r="AK312" i="2"/>
  <c r="AB313" i="2"/>
  <c r="AD313" i="2" s="1"/>
  <c r="BB317" i="5" l="1"/>
  <c r="AT318" i="5"/>
  <c r="O321" i="5"/>
  <c r="P321" i="5" s="1"/>
  <c r="N321" i="5"/>
  <c r="AL350" i="5"/>
  <c r="BG887" i="5"/>
  <c r="R312" i="2"/>
  <c r="S312" i="2" s="1"/>
  <c r="AE313" i="2"/>
  <c r="AV318" i="5" l="1"/>
  <c r="AW318" i="5" s="1"/>
  <c r="AR336" i="2"/>
  <c r="AZ335" i="2"/>
  <c r="S321" i="5"/>
  <c r="T321" i="5" s="1"/>
  <c r="V312" i="2"/>
  <c r="AM350" i="5"/>
  <c r="AC351" i="5"/>
  <c r="AE351" i="5" s="1"/>
  <c r="BG888" i="5"/>
  <c r="AJ313" i="2"/>
  <c r="BA318" i="5" l="1"/>
  <c r="BB318" i="5" s="1"/>
  <c r="AT336" i="2"/>
  <c r="AU336" i="2" s="1"/>
  <c r="W321" i="5"/>
  <c r="X321" i="5" s="1"/>
  <c r="AF351" i="5"/>
  <c r="BG889" i="5"/>
  <c r="W312" i="2"/>
  <c r="M313" i="2"/>
  <c r="N313" i="2"/>
  <c r="O313" i="2" s="1"/>
  <c r="AK313" i="2"/>
  <c r="AB314" i="2"/>
  <c r="AD314" i="2" s="1"/>
  <c r="AY336" i="2" l="1"/>
  <c r="AR337" i="2" s="1"/>
  <c r="AT319" i="5"/>
  <c r="AV319" i="5" s="1"/>
  <c r="AW319" i="5" s="1"/>
  <c r="N322" i="5"/>
  <c r="O322" i="5"/>
  <c r="P322" i="5" s="1"/>
  <c r="BG890" i="5"/>
  <c r="R313" i="2"/>
  <c r="S313" i="2" s="1"/>
  <c r="AL351" i="5"/>
  <c r="AE314" i="2"/>
  <c r="BA319" i="5" l="1"/>
  <c r="AT337" i="2"/>
  <c r="AZ336" i="2"/>
  <c r="S322" i="5"/>
  <c r="T322" i="5" s="1"/>
  <c r="V313" i="2"/>
  <c r="BG891" i="5"/>
  <c r="AM351" i="5"/>
  <c r="AC352" i="5"/>
  <c r="AJ314" i="2"/>
  <c r="AT320" i="5" l="1"/>
  <c r="I52" i="9"/>
  <c r="BB319" i="5"/>
  <c r="W322" i="5"/>
  <c r="X322" i="5" s="1"/>
  <c r="AE352" i="5"/>
  <c r="AF352" i="5" s="1"/>
  <c r="BG892" i="5"/>
  <c r="W313" i="2"/>
  <c r="N314" i="2"/>
  <c r="O314" i="2" s="1"/>
  <c r="M314" i="2"/>
  <c r="AU337" i="2"/>
  <c r="AY337" i="2" s="1"/>
  <c r="AK314" i="2"/>
  <c r="AB315" i="2"/>
  <c r="AD315" i="2" s="1"/>
  <c r="AV320" i="5" l="1"/>
  <c r="AW320" i="5" s="1"/>
  <c r="N323" i="5"/>
  <c r="O323" i="5"/>
  <c r="P323" i="5" s="1"/>
  <c r="AL352" i="5"/>
  <c r="BG893" i="5"/>
  <c r="R314" i="2"/>
  <c r="S314" i="2" s="1"/>
  <c r="AR338" i="2"/>
  <c r="AE315" i="2"/>
  <c r="BA320" i="5" l="1"/>
  <c r="AT338" i="2"/>
  <c r="AU338" i="2" s="1"/>
  <c r="AZ337" i="2"/>
  <c r="S323" i="5"/>
  <c r="T323" i="5" s="1"/>
  <c r="W323" i="5" s="1"/>
  <c r="V314" i="2"/>
  <c r="AM352" i="5"/>
  <c r="AC353" i="5"/>
  <c r="AE353" i="5" s="1"/>
  <c r="AF353" i="5" s="1"/>
  <c r="BG894" i="5"/>
  <c r="AJ315" i="2"/>
  <c r="AY338" i="2" l="1"/>
  <c r="AT321" i="5"/>
  <c r="BB320" i="5"/>
  <c r="X323" i="5"/>
  <c r="O324" i="5"/>
  <c r="P324" i="5" s="1"/>
  <c r="N324" i="5"/>
  <c r="BG895" i="5"/>
  <c r="AB316" i="2"/>
  <c r="AD316" i="2" s="1"/>
  <c r="AE316" i="2" s="1"/>
  <c r="W314" i="2"/>
  <c r="M315" i="2"/>
  <c r="N315" i="2"/>
  <c r="O315" i="2" s="1"/>
  <c r="AL353" i="5"/>
  <c r="AK315" i="2"/>
  <c r="AV321" i="5" l="1"/>
  <c r="AW321" i="5" s="1"/>
  <c r="S324" i="5"/>
  <c r="T324" i="5" s="1"/>
  <c r="BG896" i="5"/>
  <c r="R315" i="2"/>
  <c r="S315" i="2" s="1"/>
  <c r="AC354" i="5"/>
  <c r="AM353" i="5"/>
  <c r="AZ338" i="2"/>
  <c r="AR339" i="2"/>
  <c r="AJ316" i="2"/>
  <c r="BA321" i="5" l="1"/>
  <c r="AT339" i="2"/>
  <c r="AU339" i="2" s="1"/>
  <c r="V315" i="2"/>
  <c r="W324" i="5"/>
  <c r="X324" i="5" s="1"/>
  <c r="AE354" i="5"/>
  <c r="AF354" i="5" s="1"/>
  <c r="AL354" i="5" s="1"/>
  <c r="BG897" i="5"/>
  <c r="AK316" i="2"/>
  <c r="AB317" i="2"/>
  <c r="AD317" i="2" s="1"/>
  <c r="AY339" i="2" l="1"/>
  <c r="BB321" i="5"/>
  <c r="AT322" i="5"/>
  <c r="N325" i="5"/>
  <c r="O325" i="5"/>
  <c r="P325" i="5" s="1"/>
  <c r="BG898" i="5"/>
  <c r="W315" i="2"/>
  <c r="N316" i="2"/>
  <c r="O316" i="2" s="1"/>
  <c r="M316" i="2"/>
  <c r="AC355" i="5"/>
  <c r="AM354" i="5"/>
  <c r="AE317" i="2"/>
  <c r="AV322" i="5" l="1"/>
  <c r="AW322" i="5" s="1"/>
  <c r="S325" i="5"/>
  <c r="T325" i="5" s="1"/>
  <c r="AE355" i="5"/>
  <c r="AF355" i="5" s="1"/>
  <c r="AL355" i="5" s="1"/>
  <c r="BG899" i="5"/>
  <c r="R316" i="2"/>
  <c r="S316" i="2" s="1"/>
  <c r="AZ339" i="2"/>
  <c r="AR340" i="2"/>
  <c r="AJ317" i="2"/>
  <c r="BA322" i="5" l="1"/>
  <c r="AT340" i="2"/>
  <c r="V316" i="2"/>
  <c r="M317" i="2" s="1"/>
  <c r="W325" i="5"/>
  <c r="X325" i="5" s="1"/>
  <c r="BG900" i="5"/>
  <c r="J55" i="9"/>
  <c r="AC356" i="5"/>
  <c r="AM355" i="5"/>
  <c r="AK317" i="2"/>
  <c r="AB318" i="2"/>
  <c r="AD318" i="2" s="1"/>
  <c r="BB322" i="5" l="1"/>
  <c r="AT323" i="5"/>
  <c r="N326" i="5"/>
  <c r="O326" i="5"/>
  <c r="P326" i="5" s="1"/>
  <c r="W316" i="2"/>
  <c r="N317" i="2"/>
  <c r="O317" i="2" s="1"/>
  <c r="AE356" i="5"/>
  <c r="AF356" i="5" s="1"/>
  <c r="BG901" i="5"/>
  <c r="AU340" i="2"/>
  <c r="AY340" i="2" s="1"/>
  <c r="AE318" i="2"/>
  <c r="AV323" i="5" l="1"/>
  <c r="AW323" i="5" s="1"/>
  <c r="S326" i="5"/>
  <c r="T326" i="5" s="1"/>
  <c r="R317" i="2"/>
  <c r="S317" i="2" s="1"/>
  <c r="AL356" i="5"/>
  <c r="BG902" i="5"/>
  <c r="AJ318" i="2"/>
  <c r="BA323" i="5" l="1"/>
  <c r="AZ340" i="2"/>
  <c r="AR341" i="2"/>
  <c r="W326" i="5"/>
  <c r="X326" i="5" s="1"/>
  <c r="V317" i="2"/>
  <c r="AM356" i="5"/>
  <c r="AC357" i="5"/>
  <c r="AE357" i="5" s="1"/>
  <c r="AF357" i="5" s="1"/>
  <c r="BG903" i="5"/>
  <c r="AK318" i="2"/>
  <c r="AB319" i="2"/>
  <c r="AD319" i="2" s="1"/>
  <c r="AT324" i="5" l="1"/>
  <c r="BB323" i="5"/>
  <c r="AT341" i="2"/>
  <c r="AU341" i="2" s="1"/>
  <c r="O327" i="5"/>
  <c r="P327" i="5" s="1"/>
  <c r="N327" i="5"/>
  <c r="W317" i="2"/>
  <c r="M318" i="2"/>
  <c r="N318" i="2"/>
  <c r="O318" i="2" s="1"/>
  <c r="BG904" i="5"/>
  <c r="AE319" i="2"/>
  <c r="AV324" i="5" l="1"/>
  <c r="AW324" i="5" s="1"/>
  <c r="AY341" i="2"/>
  <c r="S327" i="5"/>
  <c r="T327" i="5" s="1"/>
  <c r="W327" i="5" s="1"/>
  <c r="X327" i="5" s="1"/>
  <c r="R318" i="2"/>
  <c r="S318" i="2" s="1"/>
  <c r="BG905" i="5"/>
  <c r="AL357" i="5"/>
  <c r="AJ319" i="2"/>
  <c r="AR342" i="2" l="1"/>
  <c r="AT342" i="2" s="1"/>
  <c r="BA324" i="5"/>
  <c r="AZ341" i="2"/>
  <c r="V318" i="2"/>
  <c r="BG906" i="5"/>
  <c r="O328" i="5"/>
  <c r="P328" i="5" s="1"/>
  <c r="N328" i="5"/>
  <c r="AM357" i="5"/>
  <c r="J52" i="7"/>
  <c r="J40" i="6"/>
  <c r="AC358" i="5"/>
  <c r="AK319" i="2"/>
  <c r="AB320" i="2"/>
  <c r="AD320" i="2" s="1"/>
  <c r="AU342" i="2" l="1"/>
  <c r="AY342" i="2" s="1"/>
  <c r="BB324" i="5"/>
  <c r="AT325" i="5"/>
  <c r="N319" i="2"/>
  <c r="O319" i="2" s="1"/>
  <c r="W318" i="2"/>
  <c r="M319" i="2"/>
  <c r="AE358" i="5"/>
  <c r="AF358" i="5" s="1"/>
  <c r="AL358" i="5" s="1"/>
  <c r="S328" i="5"/>
  <c r="T328" i="5" s="1"/>
  <c r="BG907" i="5"/>
  <c r="AE320" i="2"/>
  <c r="AV325" i="5" l="1"/>
  <c r="AW325" i="5" s="1"/>
  <c r="R319" i="2"/>
  <c r="S319" i="2" s="1"/>
  <c r="V319" i="2" s="1"/>
  <c r="W328" i="5"/>
  <c r="X328" i="5" s="1"/>
  <c r="BG908" i="5"/>
  <c r="AR343" i="2"/>
  <c r="AC359" i="5"/>
  <c r="AM358" i="5"/>
  <c r="AZ342" i="2"/>
  <c r="AJ320" i="2"/>
  <c r="BA325" i="5" l="1"/>
  <c r="AT343" i="2"/>
  <c r="AU343" i="2" s="1"/>
  <c r="AE359" i="5"/>
  <c r="AF359" i="5" s="1"/>
  <c r="BG909" i="5"/>
  <c r="O329" i="5"/>
  <c r="P329" i="5" s="1"/>
  <c r="N329" i="5"/>
  <c r="H52" i="7"/>
  <c r="L52" i="7" s="1"/>
  <c r="H40" i="6"/>
  <c r="L40" i="6" s="1"/>
  <c r="W319" i="2"/>
  <c r="N320" i="2"/>
  <c r="O320" i="2" s="1"/>
  <c r="M320" i="2"/>
  <c r="AK320" i="2"/>
  <c r="AB321" i="2"/>
  <c r="AD321" i="2" s="1"/>
  <c r="BB325" i="5" l="1"/>
  <c r="AT326" i="5"/>
  <c r="AY343" i="2"/>
  <c r="AR344" i="2" s="1"/>
  <c r="S329" i="5"/>
  <c r="T329" i="5" s="1"/>
  <c r="BG910" i="5"/>
  <c r="M40" i="6"/>
  <c r="M52" i="7"/>
  <c r="AL359" i="5"/>
  <c r="R320" i="2"/>
  <c r="S320" i="2" s="1"/>
  <c r="AE321" i="2"/>
  <c r="I54" i="7" l="1"/>
  <c r="AZ343" i="2"/>
  <c r="AV326" i="5"/>
  <c r="AW326" i="5" s="1"/>
  <c r="AT344" i="2"/>
  <c r="V320" i="2"/>
  <c r="W329" i="5"/>
  <c r="X329" i="5" s="1"/>
  <c r="BG911" i="5"/>
  <c r="AC360" i="5"/>
  <c r="AM359" i="5"/>
  <c r="AJ321" i="2"/>
  <c r="BA326" i="5" l="1"/>
  <c r="AE360" i="5"/>
  <c r="AF360" i="5" s="1"/>
  <c r="O330" i="5"/>
  <c r="P330" i="5" s="1"/>
  <c r="N330" i="5"/>
  <c r="BG912" i="5"/>
  <c r="W320" i="2"/>
  <c r="N321" i="2"/>
  <c r="O321" i="2" s="1"/>
  <c r="M321" i="2"/>
  <c r="AU344" i="2"/>
  <c r="AY344" i="2" s="1"/>
  <c r="AK321" i="2"/>
  <c r="AB322" i="2"/>
  <c r="AD322" i="2" s="1"/>
  <c r="AT327" i="5" l="1"/>
  <c r="BB326" i="5"/>
  <c r="AZ344" i="2"/>
  <c r="S330" i="5"/>
  <c r="T330" i="5" s="1"/>
  <c r="BG913" i="5"/>
  <c r="AL360" i="5"/>
  <c r="R321" i="2"/>
  <c r="S321" i="2" s="1"/>
  <c r="AR345" i="2"/>
  <c r="AE322" i="2"/>
  <c r="AV327" i="5" l="1"/>
  <c r="AW327" i="5" s="1"/>
  <c r="AT345" i="2"/>
  <c r="V321" i="2"/>
  <c r="W330" i="5"/>
  <c r="O331" i="5" s="1"/>
  <c r="P331" i="5" s="1"/>
  <c r="BG914" i="5"/>
  <c r="AC361" i="5"/>
  <c r="AM360" i="5"/>
  <c r="AJ322" i="2"/>
  <c r="BA327" i="5" l="1"/>
  <c r="N331" i="5"/>
  <c r="X330" i="5"/>
  <c r="AE361" i="5"/>
  <c r="AF361" i="5" s="1"/>
  <c r="AL361" i="5" s="1"/>
  <c r="BG915" i="5"/>
  <c r="W321" i="2"/>
  <c r="M322" i="2"/>
  <c r="N322" i="2"/>
  <c r="O322" i="2" s="1"/>
  <c r="AU345" i="2"/>
  <c r="AY345" i="2" s="1"/>
  <c r="AK322" i="2"/>
  <c r="AB323" i="2"/>
  <c r="AD323" i="2" s="1"/>
  <c r="BB327" i="5" l="1"/>
  <c r="AT328" i="5"/>
  <c r="S331" i="5"/>
  <c r="T331" i="5" s="1"/>
  <c r="W331" i="5" s="1"/>
  <c r="BG916" i="5"/>
  <c r="AC362" i="5"/>
  <c r="R322" i="2"/>
  <c r="S322" i="2" s="1"/>
  <c r="AM361" i="5"/>
  <c r="AZ345" i="2"/>
  <c r="AR346" i="2"/>
  <c r="AE323" i="2"/>
  <c r="AV328" i="5" l="1"/>
  <c r="AW328" i="5" s="1"/>
  <c r="AT346" i="2"/>
  <c r="V322" i="2"/>
  <c r="AE362" i="5"/>
  <c r="AF362" i="5" s="1"/>
  <c r="X331" i="5"/>
  <c r="H53" i="9"/>
  <c r="O332" i="5"/>
  <c r="P332" i="5" s="1"/>
  <c r="N332" i="5"/>
  <c r="BG917" i="5"/>
  <c r="AJ323" i="2"/>
  <c r="BA328" i="5" l="1"/>
  <c r="AU346" i="2"/>
  <c r="AY346" i="2" s="1"/>
  <c r="S332" i="5"/>
  <c r="T332" i="5" s="1"/>
  <c r="BG918" i="5"/>
  <c r="W322" i="2"/>
  <c r="M323" i="2"/>
  <c r="N323" i="2"/>
  <c r="O323" i="2" s="1"/>
  <c r="AL362" i="5"/>
  <c r="AK323" i="2"/>
  <c r="AB324" i="2"/>
  <c r="AD324" i="2" s="1"/>
  <c r="BB328" i="5" l="1"/>
  <c r="AT329" i="5"/>
  <c r="W332" i="5"/>
  <c r="X332" i="5" s="1"/>
  <c r="BG919" i="5"/>
  <c r="AR347" i="2"/>
  <c r="AC363" i="5"/>
  <c r="R323" i="2"/>
  <c r="S323" i="2" s="1"/>
  <c r="AM362" i="5"/>
  <c r="AZ346" i="2"/>
  <c r="AE324" i="2"/>
  <c r="AV329" i="5" l="1"/>
  <c r="AW329" i="5" s="1"/>
  <c r="AT347" i="2"/>
  <c r="O333" i="5"/>
  <c r="P333" i="5" s="1"/>
  <c r="N333" i="5"/>
  <c r="V323" i="2"/>
  <c r="AE363" i="5"/>
  <c r="AF363" i="5" s="1"/>
  <c r="BG920" i="5"/>
  <c r="AJ324" i="2"/>
  <c r="BA329" i="5" l="1"/>
  <c r="AU347" i="2"/>
  <c r="S333" i="5"/>
  <c r="T333" i="5" s="1"/>
  <c r="W333" i="5" s="1"/>
  <c r="X333" i="5" s="1"/>
  <c r="BG921" i="5"/>
  <c r="N324" i="2"/>
  <c r="O324" i="2" s="1"/>
  <c r="M324" i="2"/>
  <c r="W323" i="2"/>
  <c r="AB325" i="2"/>
  <c r="AD325" i="2" s="1"/>
  <c r="AK324" i="2"/>
  <c r="BB329" i="5" l="1"/>
  <c r="AT330" i="5"/>
  <c r="AY347" i="2"/>
  <c r="AZ347" i="2" s="1"/>
  <c r="O334" i="5"/>
  <c r="P334" i="5" s="1"/>
  <c r="N334" i="5"/>
  <c r="BG922" i="5"/>
  <c r="R324" i="2"/>
  <c r="S324" i="2" s="1"/>
  <c r="AL363" i="5"/>
  <c r="AE325" i="2"/>
  <c r="AR348" i="2" l="1"/>
  <c r="AT348" i="2" s="1"/>
  <c r="AV330" i="5"/>
  <c r="AW330" i="5" s="1"/>
  <c r="V324" i="2"/>
  <c r="S334" i="5"/>
  <c r="T334" i="5" s="1"/>
  <c r="BG923" i="5"/>
  <c r="AM363" i="5"/>
  <c r="AC364" i="5"/>
  <c r="AJ325" i="2"/>
  <c r="BA330" i="5" l="1"/>
  <c r="AU348" i="2"/>
  <c r="AY348" i="2" s="1"/>
  <c r="W334" i="5"/>
  <c r="X334" i="5" s="1"/>
  <c r="AE364" i="5"/>
  <c r="AF364" i="5" s="1"/>
  <c r="BG924" i="5"/>
  <c r="W324" i="2"/>
  <c r="M325" i="2"/>
  <c r="N325" i="2"/>
  <c r="O325" i="2" s="1"/>
  <c r="AK325" i="2"/>
  <c r="AB326" i="2"/>
  <c r="AD326" i="2" s="1"/>
  <c r="AT331" i="5" l="1"/>
  <c r="BB330" i="5"/>
  <c r="AZ348" i="2"/>
  <c r="AR349" i="2"/>
  <c r="N335" i="5"/>
  <c r="O335" i="5"/>
  <c r="P335" i="5" s="1"/>
  <c r="BG925" i="5"/>
  <c r="AL364" i="5"/>
  <c r="AC365" i="5" s="1"/>
  <c r="R325" i="2"/>
  <c r="S325" i="2" s="1"/>
  <c r="AE326" i="2"/>
  <c r="AV331" i="5" l="1"/>
  <c r="AW331" i="5" s="1"/>
  <c r="AT349" i="2"/>
  <c r="AU349" i="2" s="1"/>
  <c r="V325" i="2"/>
  <c r="AE365" i="5"/>
  <c r="AF365" i="5" s="1"/>
  <c r="AL365" i="5" s="1"/>
  <c r="S335" i="5"/>
  <c r="T335" i="5" s="1"/>
  <c r="BG926" i="5"/>
  <c r="AM364" i="5"/>
  <c r="AJ326" i="2"/>
  <c r="BA331" i="5" l="1"/>
  <c r="AY349" i="2"/>
  <c r="AZ349" i="2" s="1"/>
  <c r="W335" i="5"/>
  <c r="X335" i="5" s="1"/>
  <c r="W325" i="2"/>
  <c r="N326" i="2"/>
  <c r="O326" i="2" s="1"/>
  <c r="M326" i="2"/>
  <c r="BG927" i="5"/>
  <c r="AC366" i="5"/>
  <c r="AM365" i="5"/>
  <c r="AK326" i="2"/>
  <c r="AB327" i="2"/>
  <c r="AD327" i="2" s="1"/>
  <c r="AR350" i="2" l="1"/>
  <c r="AT350" i="2" s="1"/>
  <c r="AU350" i="2" s="1"/>
  <c r="AT332" i="5"/>
  <c r="BB331" i="5"/>
  <c r="I53" i="9"/>
  <c r="O336" i="5"/>
  <c r="P336" i="5" s="1"/>
  <c r="N336" i="5"/>
  <c r="R326" i="2"/>
  <c r="S326" i="2" s="1"/>
  <c r="AE366" i="5"/>
  <c r="AF366" i="5" s="1"/>
  <c r="BG928" i="5"/>
  <c r="AE327" i="2"/>
  <c r="AV332" i="5" l="1"/>
  <c r="AW332" i="5" s="1"/>
  <c r="AY350" i="2"/>
  <c r="S336" i="5"/>
  <c r="T336" i="5" s="1"/>
  <c r="V326" i="2"/>
  <c r="W326" i="2" s="1"/>
  <c r="BG929" i="5"/>
  <c r="AL366" i="5"/>
  <c r="AJ327" i="2"/>
  <c r="AR351" i="2" l="1"/>
  <c r="AT351" i="2" s="1"/>
  <c r="BA332" i="5"/>
  <c r="AZ350" i="2"/>
  <c r="W336" i="5"/>
  <c r="X336" i="5" s="1"/>
  <c r="M327" i="2"/>
  <c r="N327" i="2"/>
  <c r="O327" i="2" s="1"/>
  <c r="BG930" i="5"/>
  <c r="AC367" i="5"/>
  <c r="AM366" i="5"/>
  <c r="AK327" i="2"/>
  <c r="AB328" i="2"/>
  <c r="AD328" i="2" s="1"/>
  <c r="AT333" i="5" l="1"/>
  <c r="BB332" i="5"/>
  <c r="AU351" i="2"/>
  <c r="AY351" i="2" s="1"/>
  <c r="N337" i="5"/>
  <c r="O337" i="5"/>
  <c r="P337" i="5" s="1"/>
  <c r="R327" i="2"/>
  <c r="S327" i="2" s="1"/>
  <c r="AE367" i="5"/>
  <c r="AF367" i="5" s="1"/>
  <c r="BG931" i="5"/>
  <c r="AE328" i="2"/>
  <c r="AV333" i="5" l="1"/>
  <c r="AW333" i="5" s="1"/>
  <c r="S337" i="5"/>
  <c r="T337" i="5" s="1"/>
  <c r="V327" i="2"/>
  <c r="W327" i="2" s="1"/>
  <c r="BG932" i="5"/>
  <c r="AR352" i="2"/>
  <c r="AZ351" i="2"/>
  <c r="AJ328" i="2"/>
  <c r="BA333" i="5" l="1"/>
  <c r="AT352" i="2"/>
  <c r="W337" i="5"/>
  <c r="X337" i="5" s="1"/>
  <c r="N328" i="2"/>
  <c r="O328" i="2" s="1"/>
  <c r="M328" i="2"/>
  <c r="BG933" i="5"/>
  <c r="AL367" i="5"/>
  <c r="J56" i="9" s="1"/>
  <c r="AK328" i="2"/>
  <c r="AB329" i="2"/>
  <c r="AD329" i="2" s="1"/>
  <c r="AT334" i="5" l="1"/>
  <c r="BB333" i="5"/>
  <c r="N338" i="5"/>
  <c r="O338" i="5"/>
  <c r="P338" i="5" s="1"/>
  <c r="R328" i="2"/>
  <c r="S328" i="2" s="1"/>
  <c r="V328" i="2" s="1"/>
  <c r="BG934" i="5"/>
  <c r="AM367" i="5"/>
  <c r="AC368" i="5"/>
  <c r="AU352" i="2"/>
  <c r="AY352" i="2" s="1"/>
  <c r="AE329" i="2"/>
  <c r="AV334" i="5" l="1"/>
  <c r="S338" i="5"/>
  <c r="T338" i="5" s="1"/>
  <c r="AE368" i="5"/>
  <c r="AF368" i="5" s="1"/>
  <c r="BG935" i="5"/>
  <c r="W328" i="2"/>
  <c r="M329" i="2"/>
  <c r="N329" i="2"/>
  <c r="O329" i="2" s="1"/>
  <c r="AR353" i="2"/>
  <c r="AZ352" i="2"/>
  <c r="AJ329" i="2"/>
  <c r="AW334" i="5" l="1"/>
  <c r="BA334" i="5" s="1"/>
  <c r="AT353" i="2"/>
  <c r="W338" i="5"/>
  <c r="X338" i="5" s="1"/>
  <c r="BG936" i="5"/>
  <c r="AL368" i="5"/>
  <c r="R329" i="2"/>
  <c r="S329" i="2" s="1"/>
  <c r="AK329" i="2"/>
  <c r="AB330" i="2"/>
  <c r="AD330" i="2" s="1"/>
  <c r="BB334" i="5" l="1"/>
  <c r="AT335" i="5"/>
  <c r="O339" i="5"/>
  <c r="P339" i="5" s="1"/>
  <c r="N339" i="5"/>
  <c r="V329" i="2"/>
  <c r="BG937" i="5"/>
  <c r="AM368" i="5"/>
  <c r="AC369" i="5"/>
  <c r="AU353" i="2"/>
  <c r="AY353" i="2" s="1"/>
  <c r="AE330" i="2"/>
  <c r="AV335" i="5" l="1"/>
  <c r="AW335" i="5" s="1"/>
  <c r="S339" i="5"/>
  <c r="T339" i="5" s="1"/>
  <c r="W339" i="5" s="1"/>
  <c r="AE369" i="5"/>
  <c r="AF369" i="5" s="1"/>
  <c r="BG938" i="5"/>
  <c r="W329" i="2"/>
  <c r="M330" i="2"/>
  <c r="N330" i="2"/>
  <c r="O330" i="2" s="1"/>
  <c r="AR354" i="2"/>
  <c r="AZ353" i="2"/>
  <c r="AJ330" i="2"/>
  <c r="BA335" i="5" l="1"/>
  <c r="AT354" i="2"/>
  <c r="N340" i="5"/>
  <c r="O340" i="5"/>
  <c r="P340" i="5" s="1"/>
  <c r="X339" i="5"/>
  <c r="BG939" i="5"/>
  <c r="AL369" i="5"/>
  <c r="R330" i="2"/>
  <c r="S330" i="2" s="1"/>
  <c r="AK330" i="2"/>
  <c r="AB331" i="2"/>
  <c r="AD331" i="2" s="1"/>
  <c r="AU354" i="2" l="1"/>
  <c r="AY354" i="2" s="1"/>
  <c r="BB335" i="5"/>
  <c r="AT336" i="5"/>
  <c r="S340" i="5"/>
  <c r="T340" i="5" s="1"/>
  <c r="W340" i="5" s="1"/>
  <c r="X340" i="5" s="1"/>
  <c r="V330" i="2"/>
  <c r="BG940" i="5"/>
  <c r="AC370" i="5"/>
  <c r="AM369" i="5"/>
  <c r="AE331" i="2"/>
  <c r="AV336" i="5" l="1"/>
  <c r="AW336" i="5" s="1"/>
  <c r="AE370" i="5"/>
  <c r="AF370" i="5" s="1"/>
  <c r="O341" i="5"/>
  <c r="P341" i="5" s="1"/>
  <c r="N341" i="5"/>
  <c r="BG941" i="5"/>
  <c r="W330" i="2"/>
  <c r="N331" i="2"/>
  <c r="O331" i="2" s="1"/>
  <c r="M331" i="2"/>
  <c r="AR355" i="2"/>
  <c r="AZ354" i="2"/>
  <c r="AJ331" i="2"/>
  <c r="BA336" i="5" l="1"/>
  <c r="AT355" i="2"/>
  <c r="AU355" i="2" s="1"/>
  <c r="S341" i="5"/>
  <c r="T341" i="5" s="1"/>
  <c r="BG942" i="5"/>
  <c r="AL370" i="5"/>
  <c r="J53" i="7"/>
  <c r="R331" i="2"/>
  <c r="S331" i="2" s="1"/>
  <c r="AK331" i="2"/>
  <c r="AB332" i="2"/>
  <c r="AD332" i="2" s="1"/>
  <c r="AY355" i="2" l="1"/>
  <c r="AT337" i="5"/>
  <c r="BB336" i="5"/>
  <c r="V331" i="2"/>
  <c r="W341" i="5"/>
  <c r="X341" i="5" s="1"/>
  <c r="BG943" i="5"/>
  <c r="AM370" i="5"/>
  <c r="AC371" i="5"/>
  <c r="AE332" i="2"/>
  <c r="AV337" i="5" l="1"/>
  <c r="AW337" i="5" s="1"/>
  <c r="N342" i="5"/>
  <c r="O342" i="5"/>
  <c r="P342" i="5" s="1"/>
  <c r="AE371" i="5"/>
  <c r="AF371" i="5" s="1"/>
  <c r="BG944" i="5"/>
  <c r="I55" i="7"/>
  <c r="H53" i="7"/>
  <c r="L53" i="7" s="1"/>
  <c r="W331" i="2"/>
  <c r="M53" i="7" s="1"/>
  <c r="M332" i="2"/>
  <c r="N332" i="2"/>
  <c r="O332" i="2" s="1"/>
  <c r="AZ355" i="2"/>
  <c r="AR356" i="2"/>
  <c r="AJ332" i="2"/>
  <c r="BA337" i="5" l="1"/>
  <c r="AT356" i="2"/>
  <c r="S342" i="5"/>
  <c r="T342" i="5" s="1"/>
  <c r="BG945" i="5"/>
  <c r="AL371" i="5"/>
  <c r="R332" i="2"/>
  <c r="S332" i="2" s="1"/>
  <c r="AK332" i="2"/>
  <c r="AB333" i="2"/>
  <c r="AD333" i="2" s="1"/>
  <c r="AT338" i="5" l="1"/>
  <c r="BB337" i="5"/>
  <c r="W342" i="5"/>
  <c r="X342" i="5" s="1"/>
  <c r="V332" i="2"/>
  <c r="BG946" i="5"/>
  <c r="AC372" i="5"/>
  <c r="AM371" i="5"/>
  <c r="AU356" i="2"/>
  <c r="AY356" i="2" s="1"/>
  <c r="AE333" i="2"/>
  <c r="AV338" i="5" l="1"/>
  <c r="AW338" i="5" s="1"/>
  <c r="N343" i="5"/>
  <c r="O343" i="5"/>
  <c r="P343" i="5" s="1"/>
  <c r="AE372" i="5"/>
  <c r="AF372" i="5" s="1"/>
  <c r="BG947" i="5"/>
  <c r="W332" i="2"/>
  <c r="N333" i="2"/>
  <c r="O333" i="2" s="1"/>
  <c r="M333" i="2"/>
  <c r="AZ356" i="2"/>
  <c r="AJ333" i="2"/>
  <c r="BA338" i="5" l="1"/>
  <c r="AR357" i="2"/>
  <c r="AT357" i="2" s="1"/>
  <c r="S343" i="5"/>
  <c r="T343" i="5" s="1"/>
  <c r="BG948" i="5"/>
  <c r="AL372" i="5"/>
  <c r="R333" i="2"/>
  <c r="S333" i="2" s="1"/>
  <c r="AK333" i="2"/>
  <c r="AB334" i="2"/>
  <c r="AD334" i="2" s="1"/>
  <c r="AT339" i="5" l="1"/>
  <c r="BB338" i="5"/>
  <c r="W343" i="5"/>
  <c r="V333" i="2"/>
  <c r="BG949" i="5"/>
  <c r="AM372" i="5"/>
  <c r="AC373" i="5"/>
  <c r="AU357" i="2"/>
  <c r="AY357" i="2" s="1"/>
  <c r="AE334" i="2"/>
  <c r="AV339" i="5" l="1"/>
  <c r="AW339" i="5" s="1"/>
  <c r="X343" i="5"/>
  <c r="N344" i="5"/>
  <c r="H54" i="9"/>
  <c r="O344" i="5"/>
  <c r="P344" i="5" s="1"/>
  <c r="AE373" i="5"/>
  <c r="AF373" i="5" s="1"/>
  <c r="AL373" i="5" s="1"/>
  <c r="BG950" i="5"/>
  <c r="W333" i="2"/>
  <c r="M334" i="2"/>
  <c r="N334" i="2"/>
  <c r="O334" i="2" s="1"/>
  <c r="AR358" i="2"/>
  <c r="AZ357" i="2"/>
  <c r="AJ334" i="2"/>
  <c r="BA339" i="5" l="1"/>
  <c r="AT358" i="2"/>
  <c r="S344" i="5"/>
  <c r="T344" i="5" s="1"/>
  <c r="W344" i="5" s="1"/>
  <c r="BG951" i="5"/>
  <c r="AC374" i="5"/>
  <c r="AM373" i="5"/>
  <c r="R334" i="2"/>
  <c r="S334" i="2" s="1"/>
  <c r="AK334" i="2"/>
  <c r="AB335" i="2"/>
  <c r="AD335" i="2" s="1"/>
  <c r="AT340" i="5" l="1"/>
  <c r="BB339" i="5"/>
  <c r="N345" i="5"/>
  <c r="X344" i="5"/>
  <c r="O345" i="5"/>
  <c r="P345" i="5" s="1"/>
  <c r="V334" i="2"/>
  <c r="AE374" i="5"/>
  <c r="AF374" i="5" s="1"/>
  <c r="BG952" i="5"/>
  <c r="AU358" i="2"/>
  <c r="AY358" i="2" s="1"/>
  <c r="AE335" i="2"/>
  <c r="AV340" i="5" l="1"/>
  <c r="AW340" i="5" s="1"/>
  <c r="S345" i="5"/>
  <c r="T345" i="5" s="1"/>
  <c r="BG953" i="5"/>
  <c r="AL374" i="5"/>
  <c r="W334" i="2"/>
  <c r="M335" i="2"/>
  <c r="N335" i="2"/>
  <c r="O335" i="2" s="1"/>
  <c r="AR359" i="2"/>
  <c r="AZ358" i="2"/>
  <c r="AJ335" i="2"/>
  <c r="BA340" i="5" l="1"/>
  <c r="AT359" i="2"/>
  <c r="W345" i="5"/>
  <c r="X345" i="5" s="1"/>
  <c r="BG954" i="5"/>
  <c r="AC375" i="5"/>
  <c r="AM374" i="5"/>
  <c r="R335" i="2"/>
  <c r="S335" i="2" s="1"/>
  <c r="AK335" i="2"/>
  <c r="AB336" i="2"/>
  <c r="AD336" i="2" s="1"/>
  <c r="AU359" i="2" l="1"/>
  <c r="AY359" i="2" s="1"/>
  <c r="AT341" i="5"/>
  <c r="BB340" i="5"/>
  <c r="N346" i="5"/>
  <c r="O346" i="5"/>
  <c r="P346" i="5" s="1"/>
  <c r="V335" i="2"/>
  <c r="AE375" i="5"/>
  <c r="AF375" i="5" s="1"/>
  <c r="BG955" i="5"/>
  <c r="AE336" i="2"/>
  <c r="AV341" i="5" l="1"/>
  <c r="AW341" i="5" s="1"/>
  <c r="S346" i="5"/>
  <c r="T346" i="5" s="1"/>
  <c r="BG956" i="5"/>
  <c r="AL375" i="5"/>
  <c r="W335" i="2"/>
  <c r="M336" i="2"/>
  <c r="N336" i="2"/>
  <c r="O336" i="2" s="1"/>
  <c r="AR360" i="2"/>
  <c r="AZ359" i="2"/>
  <c r="AJ336" i="2"/>
  <c r="BA341" i="5" l="1"/>
  <c r="AT360" i="2"/>
  <c r="W346" i="5"/>
  <c r="BG957" i="5"/>
  <c r="AC376" i="5"/>
  <c r="AM375" i="5"/>
  <c r="R336" i="2"/>
  <c r="S336" i="2" s="1"/>
  <c r="AK336" i="2"/>
  <c r="AB337" i="2"/>
  <c r="AD337" i="2" s="1"/>
  <c r="AT342" i="5" l="1"/>
  <c r="BB341" i="5"/>
  <c r="X346" i="5"/>
  <c r="O347" i="5"/>
  <c r="P347" i="5" s="1"/>
  <c r="N347" i="5"/>
  <c r="V336" i="2"/>
  <c r="AE376" i="5"/>
  <c r="AF376" i="5" s="1"/>
  <c r="BG958" i="5"/>
  <c r="AU360" i="2"/>
  <c r="AY360" i="2" s="1"/>
  <c r="AE337" i="2"/>
  <c r="AV342" i="5" l="1"/>
  <c r="AW342" i="5" s="1"/>
  <c r="S347" i="5"/>
  <c r="T347" i="5" s="1"/>
  <c r="W347" i="5" s="1"/>
  <c r="X347" i="5" s="1"/>
  <c r="BG959" i="5"/>
  <c r="AL376" i="5"/>
  <c r="W336" i="2"/>
  <c r="N337" i="2"/>
  <c r="O337" i="2" s="1"/>
  <c r="M337" i="2"/>
  <c r="AJ337" i="2"/>
  <c r="BA342" i="5" l="1"/>
  <c r="AR361" i="2"/>
  <c r="AZ360" i="2"/>
  <c r="O348" i="5"/>
  <c r="P348" i="5" s="1"/>
  <c r="N348" i="5"/>
  <c r="BG960" i="5"/>
  <c r="AC377" i="5"/>
  <c r="AM376" i="5"/>
  <c r="R337" i="2"/>
  <c r="S337" i="2" s="1"/>
  <c r="AK337" i="2"/>
  <c r="AB338" i="2"/>
  <c r="AD338" i="2" s="1"/>
  <c r="BB342" i="5" l="1"/>
  <c r="AT343" i="5"/>
  <c r="AT361" i="2"/>
  <c r="AU361" i="2" s="1"/>
  <c r="S348" i="5"/>
  <c r="T348" i="5" s="1"/>
  <c r="W348" i="5" s="1"/>
  <c r="X348" i="5" s="1"/>
  <c r="V337" i="2"/>
  <c r="AE377" i="5"/>
  <c r="AF377" i="5" s="1"/>
  <c r="AL377" i="5" s="1"/>
  <c r="AM377" i="5" s="1"/>
  <c r="BG961" i="5"/>
  <c r="AE338" i="2"/>
  <c r="AV343" i="5" l="1"/>
  <c r="AW343" i="5" s="1"/>
  <c r="AY361" i="2"/>
  <c r="AR362" i="2" s="1"/>
  <c r="O349" i="5"/>
  <c r="P349" i="5" s="1"/>
  <c r="N349" i="5"/>
  <c r="BG962" i="5"/>
  <c r="AC378" i="5"/>
  <c r="W337" i="2"/>
  <c r="N338" i="2"/>
  <c r="O338" i="2" s="1"/>
  <c r="M338" i="2"/>
  <c r="AJ338" i="2"/>
  <c r="AZ361" i="2" l="1"/>
  <c r="BA343" i="5"/>
  <c r="S349" i="5"/>
  <c r="T349" i="5" s="1"/>
  <c r="W349" i="5" s="1"/>
  <c r="AT362" i="2"/>
  <c r="AE378" i="5"/>
  <c r="AF378" i="5" s="1"/>
  <c r="BG963" i="5"/>
  <c r="R338" i="2"/>
  <c r="S338" i="2" s="1"/>
  <c r="AK338" i="2"/>
  <c r="AB339" i="2"/>
  <c r="AD339" i="2" s="1"/>
  <c r="I54" i="9" l="1"/>
  <c r="BB343" i="5"/>
  <c r="AT344" i="5"/>
  <c r="AU362" i="2"/>
  <c r="X349" i="5"/>
  <c r="N350" i="5"/>
  <c r="O350" i="5"/>
  <c r="P350" i="5" s="1"/>
  <c r="V338" i="2"/>
  <c r="AL378" i="5"/>
  <c r="AC379" i="5" s="1"/>
  <c r="BG964" i="5"/>
  <c r="AE339" i="2"/>
  <c r="AV344" i="5" l="1"/>
  <c r="AW344" i="5" s="1"/>
  <c r="AY362" i="2"/>
  <c r="S350" i="5"/>
  <c r="T350" i="5" s="1"/>
  <c r="W350" i="5" s="1"/>
  <c r="X350" i="5" s="1"/>
  <c r="AM378" i="5"/>
  <c r="AE379" i="5"/>
  <c r="AF379" i="5" s="1"/>
  <c r="BG965" i="5"/>
  <c r="W338" i="2"/>
  <c r="M339" i="2"/>
  <c r="N339" i="2"/>
  <c r="O339" i="2" s="1"/>
  <c r="AJ339" i="2"/>
  <c r="BA344" i="5" l="1"/>
  <c r="AR363" i="2"/>
  <c r="AT363" i="2" s="1"/>
  <c r="AZ362" i="2"/>
  <c r="O351" i="5"/>
  <c r="P351" i="5" s="1"/>
  <c r="N351" i="5"/>
  <c r="AL379" i="5"/>
  <c r="AM379" i="5" s="1"/>
  <c r="BG966" i="5"/>
  <c r="R339" i="2"/>
  <c r="AK339" i="2"/>
  <c r="AB340" i="2"/>
  <c r="AD340" i="2" s="1"/>
  <c r="BB344" i="5" l="1"/>
  <c r="AT345" i="5"/>
  <c r="AU363" i="2"/>
  <c r="S351" i="5"/>
  <c r="T351" i="5" s="1"/>
  <c r="J57" i="9"/>
  <c r="AC380" i="5"/>
  <c r="AE380" i="5" s="1"/>
  <c r="AF380" i="5" s="1"/>
  <c r="BG967" i="5"/>
  <c r="S339" i="2"/>
  <c r="V339" i="2" s="1"/>
  <c r="AE340" i="2"/>
  <c r="AV345" i="5" l="1"/>
  <c r="AW345" i="5" s="1"/>
  <c r="AY363" i="2"/>
  <c r="W351" i="5"/>
  <c r="X351" i="5" s="1"/>
  <c r="AL380" i="5"/>
  <c r="BG968" i="5"/>
  <c r="AJ340" i="2"/>
  <c r="BA345" i="5" l="1"/>
  <c r="AR364" i="2"/>
  <c r="AT364" i="2" s="1"/>
  <c r="AZ363" i="2"/>
  <c r="O352" i="5"/>
  <c r="P352" i="5" s="1"/>
  <c r="N352" i="5"/>
  <c r="W339" i="2"/>
  <c r="AC381" i="5"/>
  <c r="AM380" i="5"/>
  <c r="BG969" i="5"/>
  <c r="M340" i="2"/>
  <c r="N340" i="2"/>
  <c r="O340" i="2" s="1"/>
  <c r="AK340" i="2"/>
  <c r="AB341" i="2"/>
  <c r="AD341" i="2" s="1"/>
  <c r="S352" i="5" l="1"/>
  <c r="T352" i="5" s="1"/>
  <c r="W352" i="5" s="1"/>
  <c r="O353" i="5" s="1"/>
  <c r="P353" i="5" s="1"/>
  <c r="AT346" i="5"/>
  <c r="BB345" i="5"/>
  <c r="AE381" i="5"/>
  <c r="AF381" i="5" s="1"/>
  <c r="BG970" i="5"/>
  <c r="R340" i="2"/>
  <c r="S340" i="2" s="1"/>
  <c r="AU364" i="2"/>
  <c r="AY364" i="2" s="1"/>
  <c r="AE341" i="2"/>
  <c r="X352" i="5" l="1"/>
  <c r="N353" i="5"/>
  <c r="S353" i="5" s="1"/>
  <c r="T353" i="5" s="1"/>
  <c r="AV346" i="5"/>
  <c r="AW346" i="5" s="1"/>
  <c r="V340" i="2"/>
  <c r="AL381" i="5"/>
  <c r="BG971" i="5"/>
  <c r="AJ341" i="2"/>
  <c r="BA346" i="5" l="1"/>
  <c r="AZ364" i="2"/>
  <c r="AR365" i="2"/>
  <c r="W353" i="5"/>
  <c r="X353" i="5" s="1"/>
  <c r="AM381" i="5"/>
  <c r="AC382" i="5"/>
  <c r="BG972" i="5"/>
  <c r="W340" i="2"/>
  <c r="N341" i="2"/>
  <c r="O341" i="2" s="1"/>
  <c r="M341" i="2"/>
  <c r="AK341" i="2"/>
  <c r="AB342" i="2"/>
  <c r="AD342" i="2" s="1"/>
  <c r="AT347" i="5" l="1"/>
  <c r="BB346" i="5"/>
  <c r="AT365" i="2"/>
  <c r="AE382" i="5"/>
  <c r="AF382" i="5" s="1"/>
  <c r="AL382" i="5" s="1"/>
  <c r="O354" i="5"/>
  <c r="P354" i="5" s="1"/>
  <c r="N354" i="5"/>
  <c r="BG973" i="5"/>
  <c r="R341" i="2"/>
  <c r="S341" i="2" s="1"/>
  <c r="AE342" i="2"/>
  <c r="AU365" i="2" l="1"/>
  <c r="AY365" i="2" s="1"/>
  <c r="AV347" i="5"/>
  <c r="AW347" i="5" s="1"/>
  <c r="V341" i="2"/>
  <c r="AM382" i="5"/>
  <c r="AC383" i="5"/>
  <c r="S354" i="5"/>
  <c r="T354" i="5" s="1"/>
  <c r="BG974" i="5"/>
  <c r="AJ342" i="2"/>
  <c r="BA347" i="5" l="1"/>
  <c r="AZ365" i="2"/>
  <c r="AR366" i="2"/>
  <c r="W354" i="5"/>
  <c r="X354" i="5" s="1"/>
  <c r="AE383" i="5"/>
  <c r="AF383" i="5" s="1"/>
  <c r="BG975" i="5"/>
  <c r="W341" i="2"/>
  <c r="M342" i="2"/>
  <c r="N342" i="2"/>
  <c r="O342" i="2" s="1"/>
  <c r="AK342" i="2"/>
  <c r="AB343" i="2"/>
  <c r="AD343" i="2" s="1"/>
  <c r="BB347" i="5" l="1"/>
  <c r="AT348" i="5"/>
  <c r="AT366" i="2"/>
  <c r="AL383" i="5"/>
  <c r="N355" i="5"/>
  <c r="O355" i="5"/>
  <c r="P355" i="5" s="1"/>
  <c r="BG976" i="5"/>
  <c r="R342" i="2"/>
  <c r="S342" i="2" s="1"/>
  <c r="AE343" i="2"/>
  <c r="AV348" i="5" l="1"/>
  <c r="AW348" i="5" s="1"/>
  <c r="AU366" i="2"/>
  <c r="AY366" i="2" s="1"/>
  <c r="V342" i="2"/>
  <c r="S355" i="5"/>
  <c r="T355" i="5" s="1"/>
  <c r="W355" i="5" s="1"/>
  <c r="AC384" i="5"/>
  <c r="AE384" i="5" s="1"/>
  <c r="AM383" i="5"/>
  <c r="BG977" i="5"/>
  <c r="AJ343" i="2"/>
  <c r="BA348" i="5" l="1"/>
  <c r="AZ366" i="2"/>
  <c r="AR367" i="2"/>
  <c r="X355" i="5"/>
  <c r="AF384" i="5"/>
  <c r="AL384" i="5" s="1"/>
  <c r="BG978" i="5"/>
  <c r="N356" i="5"/>
  <c r="O356" i="5"/>
  <c r="P356" i="5" s="1"/>
  <c r="W342" i="2"/>
  <c r="J54" i="7"/>
  <c r="H55" i="9"/>
  <c r="M343" i="2"/>
  <c r="N343" i="2"/>
  <c r="O343" i="2" s="1"/>
  <c r="AK343" i="2"/>
  <c r="AB344" i="2"/>
  <c r="AD344" i="2" s="1"/>
  <c r="AT349" i="5" l="1"/>
  <c r="BB348" i="5"/>
  <c r="AT367" i="2"/>
  <c r="AC385" i="5"/>
  <c r="AE385" i="5" s="1"/>
  <c r="AF385" i="5" s="1"/>
  <c r="AL385" i="5" s="1"/>
  <c r="AM384" i="5"/>
  <c r="S356" i="5"/>
  <c r="T356" i="5" s="1"/>
  <c r="BG979" i="5"/>
  <c r="R343" i="2"/>
  <c r="S343" i="2" s="1"/>
  <c r="AE344" i="2"/>
  <c r="AV349" i="5" l="1"/>
  <c r="AW349" i="5" s="1"/>
  <c r="AU367" i="2"/>
  <c r="AY367" i="2" s="1"/>
  <c r="V343" i="2"/>
  <c r="W356" i="5"/>
  <c r="X356" i="5" s="1"/>
  <c r="BG980" i="5"/>
  <c r="AM385" i="5"/>
  <c r="AC386" i="5"/>
  <c r="AJ344" i="2"/>
  <c r="BA349" i="5" l="1"/>
  <c r="AE386" i="5"/>
  <c r="AF386" i="5" s="1"/>
  <c r="AL386" i="5" s="1"/>
  <c r="BG981" i="5"/>
  <c r="O357" i="5"/>
  <c r="P357" i="5" s="1"/>
  <c r="N357" i="5"/>
  <c r="H54" i="7"/>
  <c r="L54" i="7" s="1"/>
  <c r="W343" i="2"/>
  <c r="M54" i="7" s="1"/>
  <c r="N344" i="2"/>
  <c r="O344" i="2" s="1"/>
  <c r="M344" i="2"/>
  <c r="AK344" i="2"/>
  <c r="AB345" i="2"/>
  <c r="AD345" i="2" s="1"/>
  <c r="BB349" i="5" l="1"/>
  <c r="AT350" i="5"/>
  <c r="AZ367" i="2"/>
  <c r="I56" i="7"/>
  <c r="AR368" i="2"/>
  <c r="S357" i="5"/>
  <c r="T357" i="5" s="1"/>
  <c r="BG982" i="5"/>
  <c r="AM386" i="5"/>
  <c r="AC387" i="5"/>
  <c r="R344" i="2"/>
  <c r="S344" i="2" s="1"/>
  <c r="AE345" i="2"/>
  <c r="AV350" i="5" l="1"/>
  <c r="AW350" i="5" s="1"/>
  <c r="AT368" i="2"/>
  <c r="V344" i="2"/>
  <c r="W357" i="5"/>
  <c r="X357" i="5" s="1"/>
  <c r="AE387" i="5"/>
  <c r="AF387" i="5" s="1"/>
  <c r="AL387" i="5" s="1"/>
  <c r="BG983" i="5"/>
  <c r="AJ345" i="2"/>
  <c r="BA350" i="5" l="1"/>
  <c r="AU368" i="2"/>
  <c r="AY368" i="2" s="1"/>
  <c r="BG984" i="5"/>
  <c r="AM387" i="5"/>
  <c r="AC388" i="5"/>
  <c r="N358" i="5"/>
  <c r="O358" i="5"/>
  <c r="P358" i="5" s="1"/>
  <c r="W344" i="2"/>
  <c r="M345" i="2"/>
  <c r="N345" i="2"/>
  <c r="O345" i="2" s="1"/>
  <c r="AK345" i="2"/>
  <c r="AB346" i="2"/>
  <c r="AD346" i="2" s="1"/>
  <c r="BB350" i="5" l="1"/>
  <c r="AT351" i="5"/>
  <c r="AE388" i="5"/>
  <c r="AF388" i="5" s="1"/>
  <c r="AL388" i="5" s="1"/>
  <c r="S358" i="5"/>
  <c r="T358" i="5" s="1"/>
  <c r="BG985" i="5"/>
  <c r="R345" i="2"/>
  <c r="S345" i="2" s="1"/>
  <c r="AE346" i="2"/>
  <c r="AV351" i="5" l="1"/>
  <c r="AW351" i="5" s="1"/>
  <c r="AR369" i="2"/>
  <c r="AZ368" i="2"/>
  <c r="V345" i="2"/>
  <c r="W345" i="2" s="1"/>
  <c r="W358" i="5"/>
  <c r="X358" i="5" s="1"/>
  <c r="BG986" i="5"/>
  <c r="AC389" i="5"/>
  <c r="AM388" i="5"/>
  <c r="AJ346" i="2"/>
  <c r="BA351" i="5" l="1"/>
  <c r="AT369" i="2"/>
  <c r="N346" i="2"/>
  <c r="O346" i="2" s="1"/>
  <c r="M346" i="2"/>
  <c r="AE389" i="5"/>
  <c r="AF389" i="5" s="1"/>
  <c r="BG987" i="5"/>
  <c r="O359" i="5"/>
  <c r="P359" i="5" s="1"/>
  <c r="N359" i="5"/>
  <c r="AK346" i="2"/>
  <c r="AB347" i="2"/>
  <c r="AD347" i="2" s="1"/>
  <c r="AT352" i="5" l="1"/>
  <c r="BB351" i="5"/>
  <c r="AU369" i="2"/>
  <c r="AY369" i="2" s="1"/>
  <c r="R346" i="2"/>
  <c r="S346" i="2" s="1"/>
  <c r="S359" i="5"/>
  <c r="T359" i="5" s="1"/>
  <c r="BG988" i="5"/>
  <c r="AL389" i="5"/>
  <c r="AE347" i="2"/>
  <c r="AV352" i="5" l="1"/>
  <c r="AW352" i="5" s="1"/>
  <c r="V346" i="2"/>
  <c r="W346" i="2" s="1"/>
  <c r="W359" i="5"/>
  <c r="X359" i="5" s="1"/>
  <c r="BG989" i="5"/>
  <c r="AC390" i="5"/>
  <c r="AM389" i="5"/>
  <c r="AJ347" i="2"/>
  <c r="BA352" i="5" l="1"/>
  <c r="AR370" i="2"/>
  <c r="AZ369" i="2"/>
  <c r="M347" i="2"/>
  <c r="N347" i="2"/>
  <c r="O347" i="2" s="1"/>
  <c r="AE390" i="5"/>
  <c r="AF390" i="5" s="1"/>
  <c r="BG990" i="5"/>
  <c r="N360" i="5"/>
  <c r="O360" i="5"/>
  <c r="P360" i="5" s="1"/>
  <c r="AK347" i="2"/>
  <c r="AB348" i="2"/>
  <c r="AD348" i="2" s="1"/>
  <c r="AT353" i="5" l="1"/>
  <c r="BB352" i="5"/>
  <c r="AT370" i="2"/>
  <c r="R347" i="2"/>
  <c r="S347" i="2" s="1"/>
  <c r="V347" i="2" s="1"/>
  <c r="S360" i="5"/>
  <c r="T360" i="5" s="1"/>
  <c r="BG991" i="5"/>
  <c r="AL390" i="5"/>
  <c r="AE348" i="2"/>
  <c r="AV353" i="5" l="1"/>
  <c r="AW353" i="5" s="1"/>
  <c r="AU370" i="2"/>
  <c r="AY370" i="2" s="1"/>
  <c r="W360" i="5"/>
  <c r="X360" i="5" s="1"/>
  <c r="BG992" i="5"/>
  <c r="W347" i="2"/>
  <c r="AC391" i="5"/>
  <c r="AM390" i="5"/>
  <c r="M348" i="2"/>
  <c r="N348" i="2"/>
  <c r="O348" i="2" s="1"/>
  <c r="AJ348" i="2"/>
  <c r="BA353" i="5" l="1"/>
  <c r="AR371" i="2"/>
  <c r="AT371" i="2" s="1"/>
  <c r="AU371" i="2" s="1"/>
  <c r="AZ370" i="2"/>
  <c r="AE391" i="5"/>
  <c r="AF391" i="5" s="1"/>
  <c r="BG993" i="5"/>
  <c r="O361" i="5"/>
  <c r="P361" i="5" s="1"/>
  <c r="N361" i="5"/>
  <c r="R348" i="2"/>
  <c r="S348" i="2" s="1"/>
  <c r="AK348" i="2"/>
  <c r="AB349" i="2"/>
  <c r="AD349" i="2" s="1"/>
  <c r="AT354" i="5" l="1"/>
  <c r="BB353" i="5"/>
  <c r="AY371" i="2"/>
  <c r="V348" i="2"/>
  <c r="S361" i="5"/>
  <c r="BG994" i="5"/>
  <c r="AL391" i="5"/>
  <c r="AE349" i="2"/>
  <c r="AR372" i="2" l="1"/>
  <c r="AT372" i="2" s="1"/>
  <c r="AZ371" i="2"/>
  <c r="AV354" i="5"/>
  <c r="AW354" i="5" s="1"/>
  <c r="T361" i="5"/>
  <c r="W361" i="5" s="1"/>
  <c r="BG995" i="5"/>
  <c r="J58" i="9"/>
  <c r="W348" i="2"/>
  <c r="AC392" i="5"/>
  <c r="AM391" i="5"/>
  <c r="N349" i="2"/>
  <c r="O349" i="2" s="1"/>
  <c r="M349" i="2"/>
  <c r="AJ349" i="2"/>
  <c r="BA354" i="5" l="1"/>
  <c r="AU372" i="2"/>
  <c r="AY372" i="2" s="1"/>
  <c r="AE392" i="5"/>
  <c r="AF392" i="5" s="1"/>
  <c r="AL392" i="5" s="1"/>
  <c r="X361" i="5"/>
  <c r="O362" i="5"/>
  <c r="P362" i="5" s="1"/>
  <c r="N362" i="5"/>
  <c r="BG996" i="5"/>
  <c r="R349" i="2"/>
  <c r="S349" i="2" s="1"/>
  <c r="AK349" i="2"/>
  <c r="AB350" i="2"/>
  <c r="AD350" i="2" s="1"/>
  <c r="BB354" i="5" l="1"/>
  <c r="AT355" i="5"/>
  <c r="AR373" i="2"/>
  <c r="AZ372" i="2"/>
  <c r="V349" i="2"/>
  <c r="S362" i="5"/>
  <c r="T362" i="5" s="1"/>
  <c r="BG997" i="5"/>
  <c r="AC393" i="5"/>
  <c r="AM392" i="5"/>
  <c r="AE350" i="2"/>
  <c r="AV355" i="5" l="1"/>
  <c r="AW355" i="5" s="1"/>
  <c r="AT373" i="2"/>
  <c r="AU373" i="2" s="1"/>
  <c r="W362" i="5"/>
  <c r="X362" i="5" s="1"/>
  <c r="AE393" i="5"/>
  <c r="AF393" i="5" s="1"/>
  <c r="BG998" i="5"/>
  <c r="W349" i="2"/>
  <c r="M350" i="2"/>
  <c r="N350" i="2"/>
  <c r="O350" i="2" s="1"/>
  <c r="AJ350" i="2"/>
  <c r="BA355" i="5" l="1"/>
  <c r="AY373" i="2"/>
  <c r="N363" i="5"/>
  <c r="O363" i="5"/>
  <c r="P363" i="5" s="1"/>
  <c r="BG999" i="5"/>
  <c r="AL393" i="5"/>
  <c r="R350" i="2"/>
  <c r="S350" i="2" s="1"/>
  <c r="AK350" i="2"/>
  <c r="AB351" i="2"/>
  <c r="AD351" i="2" s="1"/>
  <c r="BB355" i="5" l="1"/>
  <c r="I55" i="9"/>
  <c r="AT356" i="5"/>
  <c r="AZ373" i="2"/>
  <c r="AR374" i="2"/>
  <c r="V350" i="2"/>
  <c r="S363" i="5"/>
  <c r="T363" i="5" s="1"/>
  <c r="BG1000" i="5"/>
  <c r="AC394" i="5"/>
  <c r="AM393" i="5"/>
  <c r="AE351" i="2"/>
  <c r="AV356" i="5" l="1"/>
  <c r="AW356" i="5" s="1"/>
  <c r="AT374" i="2"/>
  <c r="W363" i="5"/>
  <c r="X363" i="5" s="1"/>
  <c r="AE394" i="5"/>
  <c r="AF394" i="5" s="1"/>
  <c r="AL394" i="5" s="1"/>
  <c r="BG1001" i="5"/>
  <c r="W350" i="2"/>
  <c r="M351" i="2"/>
  <c r="N351" i="2"/>
  <c r="O351" i="2" s="1"/>
  <c r="AJ351" i="2"/>
  <c r="BA356" i="5" l="1"/>
  <c r="AU374" i="2"/>
  <c r="AY374" i="2" s="1"/>
  <c r="O364" i="5"/>
  <c r="P364" i="5" s="1"/>
  <c r="N364" i="5"/>
  <c r="BG1002" i="5"/>
  <c r="AC395" i="5"/>
  <c r="AM394" i="5"/>
  <c r="R351" i="2"/>
  <c r="S351" i="2" s="1"/>
  <c r="AK351" i="2"/>
  <c r="AB352" i="2"/>
  <c r="AD352" i="2" s="1"/>
  <c r="BB356" i="5" l="1"/>
  <c r="AT357" i="5"/>
  <c r="AZ374" i="2"/>
  <c r="AR375" i="2"/>
  <c r="S364" i="5"/>
  <c r="T364" i="5" s="1"/>
  <c r="W364" i="5" s="1"/>
  <c r="V351" i="2"/>
  <c r="AE395" i="5"/>
  <c r="AF395" i="5" s="1"/>
  <c r="AL395" i="5" s="1"/>
  <c r="BG1003" i="5"/>
  <c r="AE352" i="2"/>
  <c r="AV357" i="5" l="1"/>
  <c r="AW357" i="5" s="1"/>
  <c r="AT375" i="2"/>
  <c r="X364" i="5"/>
  <c r="O365" i="5"/>
  <c r="P365" i="5" s="1"/>
  <c r="N365" i="5"/>
  <c r="BG1004" i="5"/>
  <c r="W351" i="2"/>
  <c r="AC396" i="5"/>
  <c r="AM395" i="5"/>
  <c r="N352" i="2"/>
  <c r="O352" i="2" s="1"/>
  <c r="M352" i="2"/>
  <c r="AJ352" i="2"/>
  <c r="BA357" i="5" l="1"/>
  <c r="AU375" i="2"/>
  <c r="AY375" i="2" s="1"/>
  <c r="AE396" i="5"/>
  <c r="AF396" i="5" s="1"/>
  <c r="S365" i="5"/>
  <c r="BG1005" i="5"/>
  <c r="R352" i="2"/>
  <c r="AK352" i="2"/>
  <c r="AB353" i="2"/>
  <c r="AD353" i="2" s="1"/>
  <c r="BB357" i="5" l="1"/>
  <c r="AT358" i="5"/>
  <c r="AR376" i="2"/>
  <c r="AZ375" i="2"/>
  <c r="T365" i="5"/>
  <c r="W365" i="5" s="1"/>
  <c r="BG1006" i="5"/>
  <c r="AL396" i="5"/>
  <c r="S352" i="2"/>
  <c r="V352" i="2" s="1"/>
  <c r="AE353" i="2"/>
  <c r="AV358" i="5" l="1"/>
  <c r="AW358" i="5" s="1"/>
  <c r="AT376" i="2"/>
  <c r="X365" i="5"/>
  <c r="N366" i="5"/>
  <c r="O366" i="5"/>
  <c r="P366" i="5" s="1"/>
  <c r="BG1007" i="5"/>
  <c r="AC397" i="5"/>
  <c r="AM396" i="5"/>
  <c r="AJ353" i="2"/>
  <c r="BA358" i="5" l="1"/>
  <c r="AU376" i="2"/>
  <c r="AY376" i="2" s="1"/>
  <c r="W352" i="2"/>
  <c r="AE397" i="5"/>
  <c r="AF397" i="5" s="1"/>
  <c r="S366" i="5"/>
  <c r="T366" i="5" s="1"/>
  <c r="BG1008" i="5"/>
  <c r="M353" i="2"/>
  <c r="N353" i="2"/>
  <c r="O353" i="2" s="1"/>
  <c r="AK353" i="2"/>
  <c r="AB354" i="2"/>
  <c r="AD354" i="2" s="1"/>
  <c r="AT359" i="5" l="1"/>
  <c r="BB358" i="5"/>
  <c r="AR377" i="2"/>
  <c r="AT377" i="2" s="1"/>
  <c r="AZ376" i="2"/>
  <c r="W366" i="5"/>
  <c r="BG1009" i="5"/>
  <c r="R353" i="2"/>
  <c r="S353" i="2" s="1"/>
  <c r="AL397" i="5"/>
  <c r="AE354" i="2"/>
  <c r="AV359" i="5" l="1"/>
  <c r="AW359" i="5" s="1"/>
  <c r="AU377" i="2"/>
  <c r="AY377" i="2" s="1"/>
  <c r="V353" i="2"/>
  <c r="X366" i="5"/>
  <c r="N367" i="5"/>
  <c r="O367" i="5"/>
  <c r="P367" i="5" s="1"/>
  <c r="BG1010" i="5"/>
  <c r="AC398" i="5"/>
  <c r="AM397" i="5"/>
  <c r="AJ354" i="2"/>
  <c r="BA359" i="5" l="1"/>
  <c r="AE398" i="5"/>
  <c r="AF398" i="5" s="1"/>
  <c r="S367" i="5"/>
  <c r="T367" i="5" s="1"/>
  <c r="BG1011" i="5"/>
  <c r="W353" i="2"/>
  <c r="M354" i="2"/>
  <c r="N354" i="2"/>
  <c r="O354" i="2" s="1"/>
  <c r="AK354" i="2"/>
  <c r="AB355" i="2"/>
  <c r="AD355" i="2" s="1"/>
  <c r="AT360" i="5" l="1"/>
  <c r="BB359" i="5"/>
  <c r="AR378" i="2"/>
  <c r="AZ377" i="2"/>
  <c r="W367" i="5"/>
  <c r="BG1012" i="5"/>
  <c r="R354" i="2"/>
  <c r="S354" i="2" s="1"/>
  <c r="AL398" i="5"/>
  <c r="AE355" i="2"/>
  <c r="AV360" i="5" l="1"/>
  <c r="AW360" i="5" s="1"/>
  <c r="AT378" i="2"/>
  <c r="V354" i="2"/>
  <c r="X367" i="5"/>
  <c r="H56" i="9"/>
  <c r="N368" i="5"/>
  <c r="O368" i="5"/>
  <c r="P368" i="5" s="1"/>
  <c r="BG1013" i="5"/>
  <c r="AC399" i="5"/>
  <c r="AM398" i="5"/>
  <c r="AJ355" i="2"/>
  <c r="BA360" i="5" l="1"/>
  <c r="AU378" i="2"/>
  <c r="AY378" i="2" s="1"/>
  <c r="AE399" i="5"/>
  <c r="AF399" i="5" s="1"/>
  <c r="AL399" i="5" s="1"/>
  <c r="S368" i="5"/>
  <c r="T368" i="5" s="1"/>
  <c r="BG1014" i="5"/>
  <c r="W354" i="2"/>
  <c r="J55" i="7"/>
  <c r="N355" i="2"/>
  <c r="O355" i="2" s="1"/>
  <c r="M355" i="2"/>
  <c r="AK355" i="2"/>
  <c r="AB356" i="2"/>
  <c r="AD356" i="2" s="1"/>
  <c r="AT361" i="5" l="1"/>
  <c r="BB360" i="5"/>
  <c r="AR379" i="2"/>
  <c r="AT379" i="2" s="1"/>
  <c r="AZ378" i="2"/>
  <c r="W368" i="5"/>
  <c r="BG1015" i="5"/>
  <c r="AC400" i="5"/>
  <c r="R355" i="2"/>
  <c r="S355" i="2" s="1"/>
  <c r="AM399" i="5"/>
  <c r="AE356" i="2"/>
  <c r="AV361" i="5" l="1"/>
  <c r="AW361" i="5" s="1"/>
  <c r="AU379" i="2"/>
  <c r="AY379" i="2" s="1"/>
  <c r="V355" i="2"/>
  <c r="AE400" i="5"/>
  <c r="AF400" i="5" s="1"/>
  <c r="X368" i="5"/>
  <c r="O369" i="5"/>
  <c r="P369" i="5" s="1"/>
  <c r="N369" i="5"/>
  <c r="BG1016" i="5"/>
  <c r="AJ356" i="2"/>
  <c r="BA361" i="5" l="1"/>
  <c r="S369" i="5"/>
  <c r="T369" i="5" s="1"/>
  <c r="BG1017" i="5"/>
  <c r="H55" i="7"/>
  <c r="L55" i="7" s="1"/>
  <c r="W355" i="2"/>
  <c r="M55" i="7" s="1"/>
  <c r="M356" i="2"/>
  <c r="N356" i="2"/>
  <c r="O356" i="2" s="1"/>
  <c r="AL400" i="5"/>
  <c r="AK356" i="2"/>
  <c r="AB357" i="2"/>
  <c r="AD357" i="2" s="1"/>
  <c r="AT362" i="5" l="1"/>
  <c r="BB361" i="5"/>
  <c r="AR380" i="2"/>
  <c r="I41" i="6"/>
  <c r="AZ379" i="2"/>
  <c r="I57" i="7"/>
  <c r="W369" i="5"/>
  <c r="BG1018" i="5"/>
  <c r="AC401" i="5"/>
  <c r="R356" i="2"/>
  <c r="S356" i="2" s="1"/>
  <c r="AM400" i="5"/>
  <c r="AE357" i="2"/>
  <c r="AV362" i="5" l="1"/>
  <c r="AW362" i="5" s="1"/>
  <c r="AT380" i="2"/>
  <c r="AU380" i="2" s="1"/>
  <c r="V356" i="2"/>
  <c r="AE401" i="5"/>
  <c r="AF401" i="5" s="1"/>
  <c r="X369" i="5"/>
  <c r="N370" i="5"/>
  <c r="O370" i="5"/>
  <c r="P370" i="5" s="1"/>
  <c r="BG1019" i="5"/>
  <c r="AJ357" i="2"/>
  <c r="BA362" i="5" l="1"/>
  <c r="AY380" i="2"/>
  <c r="AL401" i="5"/>
  <c r="S370" i="5"/>
  <c r="T370" i="5" s="1"/>
  <c r="BG1020" i="5"/>
  <c r="W356" i="2"/>
  <c r="N357" i="2"/>
  <c r="O357" i="2" s="1"/>
  <c r="M357" i="2"/>
  <c r="AK357" i="2"/>
  <c r="AB358" i="2"/>
  <c r="AD358" i="2" s="1"/>
  <c r="AT363" i="5" l="1"/>
  <c r="BB362" i="5"/>
  <c r="AZ380" i="2"/>
  <c r="AR381" i="2"/>
  <c r="W370" i="5"/>
  <c r="AC402" i="5"/>
  <c r="AE402" i="5" s="1"/>
  <c r="AF402" i="5" s="1"/>
  <c r="AM401" i="5"/>
  <c r="BG1021" i="5"/>
  <c r="R357" i="2"/>
  <c r="S357" i="2" s="1"/>
  <c r="AE358" i="2"/>
  <c r="AV363" i="5" l="1"/>
  <c r="AW363" i="5" s="1"/>
  <c r="AT381" i="2"/>
  <c r="V357" i="2"/>
  <c r="X370" i="5"/>
  <c r="O371" i="5"/>
  <c r="P371" i="5" s="1"/>
  <c r="N371" i="5"/>
  <c r="BG1022" i="5"/>
  <c r="AL402" i="5"/>
  <c r="AJ358" i="2"/>
  <c r="BA363" i="5" l="1"/>
  <c r="AU381" i="2"/>
  <c r="AY381" i="2" s="1"/>
  <c r="S371" i="5"/>
  <c r="T371" i="5" s="1"/>
  <c r="BG1023" i="5"/>
  <c r="W357" i="2"/>
  <c r="AC403" i="5"/>
  <c r="M358" i="2"/>
  <c r="N358" i="2"/>
  <c r="O358" i="2" s="1"/>
  <c r="AM402" i="5"/>
  <c r="AK358" i="2"/>
  <c r="AB359" i="2"/>
  <c r="AD359" i="2" s="1"/>
  <c r="BB363" i="5" l="1"/>
  <c r="AT364" i="5"/>
  <c r="AR382" i="2"/>
  <c r="AZ381" i="2"/>
  <c r="W371" i="5"/>
  <c r="AE403" i="5"/>
  <c r="AF403" i="5" s="1"/>
  <c r="AL403" i="5" s="1"/>
  <c r="J59" i="9" s="1"/>
  <c r="BG1024" i="5"/>
  <c r="R358" i="2"/>
  <c r="S358" i="2" s="1"/>
  <c r="AE359" i="2"/>
  <c r="AV364" i="5" l="1"/>
  <c r="AW364" i="5" s="1"/>
  <c r="AT382" i="2"/>
  <c r="V358" i="2"/>
  <c r="X371" i="5"/>
  <c r="O372" i="5"/>
  <c r="P372" i="5" s="1"/>
  <c r="N372" i="5"/>
  <c r="BG1025" i="5"/>
  <c r="AC404" i="5"/>
  <c r="AM403" i="5"/>
  <c r="AJ359" i="2"/>
  <c r="BA364" i="5" l="1"/>
  <c r="AU382" i="2"/>
  <c r="AY382" i="2" s="1"/>
  <c r="AE404" i="5"/>
  <c r="AF404" i="5" s="1"/>
  <c r="S372" i="5"/>
  <c r="T372" i="5" s="1"/>
  <c r="BG1026" i="5"/>
  <c r="W358" i="2"/>
  <c r="M359" i="2"/>
  <c r="N359" i="2"/>
  <c r="O359" i="2" s="1"/>
  <c r="AK359" i="2"/>
  <c r="AB360" i="2"/>
  <c r="AD360" i="2" s="1"/>
  <c r="BB364" i="5" l="1"/>
  <c r="AT365" i="5"/>
  <c r="AR383" i="2"/>
  <c r="AT383" i="2" s="1"/>
  <c r="AU383" i="2" s="1"/>
  <c r="AZ382" i="2"/>
  <c r="W372" i="5"/>
  <c r="BI1024" i="5"/>
  <c r="AL404" i="5"/>
  <c r="BG1027" i="5"/>
  <c r="R359" i="2"/>
  <c r="S359" i="2" s="1"/>
  <c r="AE360" i="2"/>
  <c r="AV365" i="5" l="1"/>
  <c r="AW365" i="5" s="1"/>
  <c r="AY383" i="2"/>
  <c r="V359" i="2"/>
  <c r="BI28" i="5"/>
  <c r="BJ28" i="5" s="1"/>
  <c r="BI40" i="5"/>
  <c r="BJ40" i="5" s="1"/>
  <c r="BI52" i="5"/>
  <c r="BJ52" i="5" s="1"/>
  <c r="BI64" i="5"/>
  <c r="BJ64" i="5" s="1"/>
  <c r="BI76" i="5"/>
  <c r="BJ76" i="5" s="1"/>
  <c r="BI88" i="5"/>
  <c r="BJ88" i="5" s="1"/>
  <c r="BI100" i="5"/>
  <c r="BJ100" i="5" s="1"/>
  <c r="BI112" i="5"/>
  <c r="BJ112" i="5" s="1"/>
  <c r="BI124" i="5"/>
  <c r="BJ124" i="5" s="1"/>
  <c r="BI136" i="5"/>
  <c r="BJ136" i="5" s="1"/>
  <c r="BI148" i="5"/>
  <c r="BJ148" i="5" s="1"/>
  <c r="BI160" i="5"/>
  <c r="BJ160" i="5" s="1"/>
  <c r="BI172" i="5"/>
  <c r="BJ172" i="5" s="1"/>
  <c r="BI184" i="5"/>
  <c r="BJ184" i="5" s="1"/>
  <c r="BI196" i="5"/>
  <c r="BJ196" i="5" s="1"/>
  <c r="BI208" i="5"/>
  <c r="BJ208" i="5" s="1"/>
  <c r="BI220" i="5"/>
  <c r="BJ220" i="5" s="1"/>
  <c r="BI232" i="5"/>
  <c r="BJ232" i="5" s="1"/>
  <c r="BI244" i="5"/>
  <c r="BJ244" i="5" s="1"/>
  <c r="BI256" i="5"/>
  <c r="BJ256" i="5" s="1"/>
  <c r="BI268" i="5"/>
  <c r="BJ268" i="5" s="1"/>
  <c r="BI280" i="5"/>
  <c r="BJ280" i="5" s="1"/>
  <c r="BI292" i="5"/>
  <c r="BJ292" i="5" s="1"/>
  <c r="BI304" i="5"/>
  <c r="BJ304" i="5" s="1"/>
  <c r="BI316" i="5"/>
  <c r="BJ316" i="5" s="1"/>
  <c r="BI328" i="5"/>
  <c r="BJ328" i="5" s="1"/>
  <c r="BI340" i="5"/>
  <c r="BJ340" i="5" s="1"/>
  <c r="BI352" i="5"/>
  <c r="BJ352" i="5" s="1"/>
  <c r="BI364" i="5"/>
  <c r="BJ364" i="5" s="1"/>
  <c r="BI376" i="5"/>
  <c r="BJ376" i="5" s="1"/>
  <c r="BI388" i="5"/>
  <c r="BJ388" i="5" s="1"/>
  <c r="BI400" i="5"/>
  <c r="BJ400" i="5" s="1"/>
  <c r="BI412" i="5"/>
  <c r="BJ412" i="5" s="1"/>
  <c r="BI424" i="5"/>
  <c r="BI436" i="5"/>
  <c r="BI448" i="5"/>
  <c r="BI460" i="5"/>
  <c r="BI472" i="5"/>
  <c r="BI484" i="5"/>
  <c r="BI496" i="5"/>
  <c r="BI508" i="5"/>
  <c r="BI520" i="5"/>
  <c r="BI532" i="5"/>
  <c r="BI544" i="5"/>
  <c r="BI556" i="5"/>
  <c r="BI568" i="5"/>
  <c r="BI580" i="5"/>
  <c r="BI592" i="5"/>
  <c r="BI604" i="5"/>
  <c r="BI616" i="5"/>
  <c r="BI628" i="5"/>
  <c r="BI640" i="5"/>
  <c r="BI652" i="5"/>
  <c r="BI664" i="5"/>
  <c r="BI676" i="5"/>
  <c r="BI688" i="5"/>
  <c r="BI700" i="5"/>
  <c r="BI712" i="5"/>
  <c r="BI724" i="5"/>
  <c r="BI736" i="5"/>
  <c r="BI748" i="5"/>
  <c r="BI760" i="5"/>
  <c r="BI772" i="5"/>
  <c r="BI784" i="5"/>
  <c r="BI796" i="5"/>
  <c r="BI808" i="5"/>
  <c r="BI820" i="5"/>
  <c r="BI832" i="5"/>
  <c r="BI844" i="5"/>
  <c r="BI856" i="5"/>
  <c r="BI868" i="5"/>
  <c r="BI880" i="5"/>
  <c r="BI892" i="5"/>
  <c r="BI904" i="5"/>
  <c r="BI916" i="5"/>
  <c r="BI928" i="5"/>
  <c r="BI940" i="5"/>
  <c r="BI952" i="5"/>
  <c r="BI964" i="5"/>
  <c r="BI976" i="5"/>
  <c r="BI988" i="5"/>
  <c r="BI1000" i="5"/>
  <c r="BI1012" i="5"/>
  <c r="BI26" i="5"/>
  <c r="BJ26" i="5" s="1"/>
  <c r="BI38" i="5"/>
  <c r="BJ38" i="5" s="1"/>
  <c r="BI50" i="5"/>
  <c r="BJ50" i="5" s="1"/>
  <c r="BI62" i="5"/>
  <c r="BJ62" i="5" s="1"/>
  <c r="BI74" i="5"/>
  <c r="BJ74" i="5" s="1"/>
  <c r="BI86" i="5"/>
  <c r="BJ86" i="5" s="1"/>
  <c r="BI98" i="5"/>
  <c r="BJ98" i="5" s="1"/>
  <c r="BI110" i="5"/>
  <c r="BJ110" i="5" s="1"/>
  <c r="BI122" i="5"/>
  <c r="BJ122" i="5" s="1"/>
  <c r="BI134" i="5"/>
  <c r="BJ134" i="5" s="1"/>
  <c r="BI146" i="5"/>
  <c r="BJ146" i="5" s="1"/>
  <c r="BI158" i="5"/>
  <c r="BJ158" i="5" s="1"/>
  <c r="BI170" i="5"/>
  <c r="BJ170" i="5" s="1"/>
  <c r="BI182" i="5"/>
  <c r="BJ182" i="5" s="1"/>
  <c r="BI194" i="5"/>
  <c r="BJ194" i="5" s="1"/>
  <c r="BI206" i="5"/>
  <c r="BJ206" i="5" s="1"/>
  <c r="BI218" i="5"/>
  <c r="BJ218" i="5" s="1"/>
  <c r="BI230" i="5"/>
  <c r="BJ230" i="5" s="1"/>
  <c r="BI242" i="5"/>
  <c r="BJ242" i="5" s="1"/>
  <c r="BI254" i="5"/>
  <c r="BJ254" i="5" s="1"/>
  <c r="BI266" i="5"/>
  <c r="BJ266" i="5" s="1"/>
  <c r="BI278" i="5"/>
  <c r="BJ278" i="5" s="1"/>
  <c r="BI290" i="5"/>
  <c r="BJ290" i="5" s="1"/>
  <c r="BI302" i="5"/>
  <c r="BJ302" i="5" s="1"/>
  <c r="BI314" i="5"/>
  <c r="BJ314" i="5" s="1"/>
  <c r="BI326" i="5"/>
  <c r="BJ326" i="5" s="1"/>
  <c r="BI338" i="5"/>
  <c r="BJ338" i="5" s="1"/>
  <c r="BI350" i="5"/>
  <c r="BJ350" i="5" s="1"/>
  <c r="BI362" i="5"/>
  <c r="BJ362" i="5" s="1"/>
  <c r="BI374" i="5"/>
  <c r="BJ374" i="5" s="1"/>
  <c r="BI386" i="5"/>
  <c r="BJ386" i="5" s="1"/>
  <c r="BI398" i="5"/>
  <c r="BJ398" i="5" s="1"/>
  <c r="BI410" i="5"/>
  <c r="BJ410" i="5" s="1"/>
  <c r="BI422" i="5"/>
  <c r="BJ422" i="5" s="1"/>
  <c r="BI434" i="5"/>
  <c r="BI446" i="5"/>
  <c r="BI458" i="5"/>
  <c r="BI470" i="5"/>
  <c r="BI482" i="5"/>
  <c r="BI494" i="5"/>
  <c r="BI506" i="5"/>
  <c r="BI518" i="5"/>
  <c r="BI530" i="5"/>
  <c r="BI542" i="5"/>
  <c r="BI554" i="5"/>
  <c r="BI566" i="5"/>
  <c r="BI578" i="5"/>
  <c r="BI590" i="5"/>
  <c r="BI602" i="5"/>
  <c r="BI614" i="5"/>
  <c r="BI626" i="5"/>
  <c r="BI638" i="5"/>
  <c r="BI650" i="5"/>
  <c r="BI662" i="5"/>
  <c r="BI674" i="5"/>
  <c r="BI686" i="5"/>
  <c r="BI698" i="5"/>
  <c r="BI710" i="5"/>
  <c r="BI722" i="5"/>
  <c r="BI734" i="5"/>
  <c r="BI746" i="5"/>
  <c r="BI758" i="5"/>
  <c r="BI770" i="5"/>
  <c r="BI782" i="5"/>
  <c r="BI794" i="5"/>
  <c r="BI806" i="5"/>
  <c r="BI818" i="5"/>
  <c r="BI830" i="5"/>
  <c r="BI842" i="5"/>
  <c r="BI854" i="5"/>
  <c r="BI866" i="5"/>
  <c r="BI878" i="5"/>
  <c r="BI890" i="5"/>
  <c r="BI902" i="5"/>
  <c r="BI914" i="5"/>
  <c r="BI926" i="5"/>
  <c r="BI938" i="5"/>
  <c r="BI950" i="5"/>
  <c r="BI962" i="5"/>
  <c r="BI974" i="5"/>
  <c r="BI986" i="5"/>
  <c r="BI998" i="5"/>
  <c r="BI1010" i="5"/>
  <c r="BI1022" i="5"/>
  <c r="BI29" i="5"/>
  <c r="BJ29" i="5" s="1"/>
  <c r="BI41" i="5"/>
  <c r="BJ41" i="5" s="1"/>
  <c r="BI53" i="5"/>
  <c r="BJ53" i="5" s="1"/>
  <c r="BI65" i="5"/>
  <c r="BJ65" i="5" s="1"/>
  <c r="BI77" i="5"/>
  <c r="BJ77" i="5" s="1"/>
  <c r="BI89" i="5"/>
  <c r="BJ89" i="5" s="1"/>
  <c r="BI101" i="5"/>
  <c r="BJ101" i="5" s="1"/>
  <c r="BI113" i="5"/>
  <c r="BJ113" i="5" s="1"/>
  <c r="BI125" i="5"/>
  <c r="BJ125" i="5" s="1"/>
  <c r="BI137" i="5"/>
  <c r="BJ137" i="5" s="1"/>
  <c r="BI149" i="5"/>
  <c r="BJ149" i="5" s="1"/>
  <c r="BI161" i="5"/>
  <c r="BJ161" i="5" s="1"/>
  <c r="BI173" i="5"/>
  <c r="BJ173" i="5" s="1"/>
  <c r="BI185" i="5"/>
  <c r="BJ185" i="5" s="1"/>
  <c r="BI197" i="5"/>
  <c r="BJ197" i="5" s="1"/>
  <c r="BI209" i="5"/>
  <c r="BJ209" i="5" s="1"/>
  <c r="BI221" i="5"/>
  <c r="BJ221" i="5" s="1"/>
  <c r="BI233" i="5"/>
  <c r="BJ233" i="5" s="1"/>
  <c r="BI245" i="5"/>
  <c r="BJ245" i="5" s="1"/>
  <c r="BI257" i="5"/>
  <c r="BJ257" i="5" s="1"/>
  <c r="BI269" i="5"/>
  <c r="BJ269" i="5" s="1"/>
  <c r="BI281" i="5"/>
  <c r="BJ281" i="5" s="1"/>
  <c r="BI293" i="5"/>
  <c r="BJ293" i="5" s="1"/>
  <c r="BI305" i="5"/>
  <c r="BJ305" i="5" s="1"/>
  <c r="BI317" i="5"/>
  <c r="BJ317" i="5" s="1"/>
  <c r="BI329" i="5"/>
  <c r="BJ329" i="5" s="1"/>
  <c r="BI341" i="5"/>
  <c r="BJ341" i="5" s="1"/>
  <c r="BI353" i="5"/>
  <c r="BJ353" i="5" s="1"/>
  <c r="BI365" i="5"/>
  <c r="BJ365" i="5" s="1"/>
  <c r="BI377" i="5"/>
  <c r="BJ377" i="5" s="1"/>
  <c r="BI389" i="5"/>
  <c r="BJ389" i="5" s="1"/>
  <c r="BI401" i="5"/>
  <c r="BJ401" i="5" s="1"/>
  <c r="BI413" i="5"/>
  <c r="BJ413" i="5" s="1"/>
  <c r="BI425" i="5"/>
  <c r="BI437" i="5"/>
  <c r="BI449" i="5"/>
  <c r="BI461" i="5"/>
  <c r="BI473" i="5"/>
  <c r="BI485" i="5"/>
  <c r="BI497" i="5"/>
  <c r="BI509" i="5"/>
  <c r="BI521" i="5"/>
  <c r="BI533" i="5"/>
  <c r="BI545" i="5"/>
  <c r="BI557" i="5"/>
  <c r="BI569" i="5"/>
  <c r="BI581" i="5"/>
  <c r="BI593" i="5"/>
  <c r="BI605" i="5"/>
  <c r="BI617" i="5"/>
  <c r="BI629" i="5"/>
  <c r="BI641" i="5"/>
  <c r="BI653" i="5"/>
  <c r="BI665" i="5"/>
  <c r="BI677" i="5"/>
  <c r="BI689" i="5"/>
  <c r="BI701" i="5"/>
  <c r="BI713" i="5"/>
  <c r="BI725" i="5"/>
  <c r="BI737" i="5"/>
  <c r="BI749" i="5"/>
  <c r="BI761" i="5"/>
  <c r="BI773" i="5"/>
  <c r="BI785" i="5"/>
  <c r="BI797" i="5"/>
  <c r="BI809" i="5"/>
  <c r="BI821" i="5"/>
  <c r="BI833" i="5"/>
  <c r="BI845" i="5"/>
  <c r="BI857" i="5"/>
  <c r="BI869" i="5"/>
  <c r="BI881" i="5"/>
  <c r="BI893" i="5"/>
  <c r="BI905" i="5"/>
  <c r="BI917" i="5"/>
  <c r="BI929" i="5"/>
  <c r="BI941" i="5"/>
  <c r="BI953" i="5"/>
  <c r="BI965" i="5"/>
  <c r="BI977" i="5"/>
  <c r="BI989" i="5"/>
  <c r="BI1001" i="5"/>
  <c r="BI1013" i="5"/>
  <c r="BI1025" i="5"/>
  <c r="AM404" i="5"/>
  <c r="AC405" i="5"/>
  <c r="AE405" i="5" s="1"/>
  <c r="AF405" i="5" s="1"/>
  <c r="AL405" i="5" s="1"/>
  <c r="X372" i="5"/>
  <c r="O373" i="5"/>
  <c r="P373" i="5" s="1"/>
  <c r="N373" i="5"/>
  <c r="BI20" i="5"/>
  <c r="BJ20" i="5" s="1"/>
  <c r="BK20" i="5" s="1"/>
  <c r="BI32" i="5"/>
  <c r="BJ32" i="5" s="1"/>
  <c r="BI44" i="5"/>
  <c r="BJ44" i="5" s="1"/>
  <c r="BI56" i="5"/>
  <c r="BJ56" i="5" s="1"/>
  <c r="BI68" i="5"/>
  <c r="BJ68" i="5" s="1"/>
  <c r="BI80" i="5"/>
  <c r="BJ80" i="5" s="1"/>
  <c r="BI92" i="5"/>
  <c r="BJ92" i="5" s="1"/>
  <c r="BI104" i="5"/>
  <c r="BJ104" i="5" s="1"/>
  <c r="BI116" i="5"/>
  <c r="BJ116" i="5" s="1"/>
  <c r="BI128" i="5"/>
  <c r="BJ128" i="5" s="1"/>
  <c r="BI140" i="5"/>
  <c r="BJ140" i="5" s="1"/>
  <c r="BI152" i="5"/>
  <c r="BJ152" i="5" s="1"/>
  <c r="BI164" i="5"/>
  <c r="BJ164" i="5" s="1"/>
  <c r="BI176" i="5"/>
  <c r="BJ176" i="5" s="1"/>
  <c r="BI188" i="5"/>
  <c r="BJ188" i="5" s="1"/>
  <c r="BI200" i="5"/>
  <c r="BJ200" i="5" s="1"/>
  <c r="BI212" i="5"/>
  <c r="BJ212" i="5" s="1"/>
  <c r="BI224" i="5"/>
  <c r="BJ224" i="5" s="1"/>
  <c r="BI236" i="5"/>
  <c r="BJ236" i="5" s="1"/>
  <c r="BI248" i="5"/>
  <c r="BJ248" i="5" s="1"/>
  <c r="BI260" i="5"/>
  <c r="BJ260" i="5" s="1"/>
  <c r="BI272" i="5"/>
  <c r="BJ272" i="5" s="1"/>
  <c r="BI284" i="5"/>
  <c r="BJ284" i="5" s="1"/>
  <c r="BI296" i="5"/>
  <c r="BJ296" i="5" s="1"/>
  <c r="BI308" i="5"/>
  <c r="BJ308" i="5" s="1"/>
  <c r="BI320" i="5"/>
  <c r="BJ320" i="5" s="1"/>
  <c r="BI332" i="5"/>
  <c r="BJ332" i="5" s="1"/>
  <c r="BI344" i="5"/>
  <c r="BJ344" i="5" s="1"/>
  <c r="BI356" i="5"/>
  <c r="BJ356" i="5" s="1"/>
  <c r="BI368" i="5"/>
  <c r="BJ368" i="5" s="1"/>
  <c r="BI380" i="5"/>
  <c r="BJ380" i="5" s="1"/>
  <c r="BI392" i="5"/>
  <c r="BJ392" i="5" s="1"/>
  <c r="BI404" i="5"/>
  <c r="BJ404" i="5" s="1"/>
  <c r="BI416" i="5"/>
  <c r="BI428" i="5"/>
  <c r="BI440" i="5"/>
  <c r="BI452" i="5"/>
  <c r="BI464" i="5"/>
  <c r="BI476" i="5"/>
  <c r="BI488" i="5"/>
  <c r="BI500" i="5"/>
  <c r="BI512" i="5"/>
  <c r="BI524" i="5"/>
  <c r="BI536" i="5"/>
  <c r="BI548" i="5"/>
  <c r="BI560" i="5"/>
  <c r="BI572" i="5"/>
  <c r="BI584" i="5"/>
  <c r="BI596" i="5"/>
  <c r="BI608" i="5"/>
  <c r="BI620" i="5"/>
  <c r="BI632" i="5"/>
  <c r="BI644" i="5"/>
  <c r="BI656" i="5"/>
  <c r="BI668" i="5"/>
  <c r="BI680" i="5"/>
  <c r="BI692" i="5"/>
  <c r="BI704" i="5"/>
  <c r="BI716" i="5"/>
  <c r="BI728" i="5"/>
  <c r="BI740" i="5"/>
  <c r="BI752" i="5"/>
  <c r="BI764" i="5"/>
  <c r="BI776" i="5"/>
  <c r="BI788" i="5"/>
  <c r="BI800" i="5"/>
  <c r="BI812" i="5"/>
  <c r="BI824" i="5"/>
  <c r="BI836" i="5"/>
  <c r="BI848" i="5"/>
  <c r="BI860" i="5"/>
  <c r="BI872" i="5"/>
  <c r="BI884" i="5"/>
  <c r="BI896" i="5"/>
  <c r="BI908" i="5"/>
  <c r="BI920" i="5"/>
  <c r="BI932" i="5"/>
  <c r="BI944" i="5"/>
  <c r="BI956" i="5"/>
  <c r="BI968" i="5"/>
  <c r="BI980" i="5"/>
  <c r="BI992" i="5"/>
  <c r="BI1004" i="5"/>
  <c r="BI1016" i="5"/>
  <c r="BI25" i="5"/>
  <c r="BJ25" i="5" s="1"/>
  <c r="BI37" i="5"/>
  <c r="BJ37" i="5" s="1"/>
  <c r="BI49" i="5"/>
  <c r="BJ49" i="5" s="1"/>
  <c r="BI61" i="5"/>
  <c r="BJ61" i="5" s="1"/>
  <c r="BI73" i="5"/>
  <c r="BJ73" i="5" s="1"/>
  <c r="BI85" i="5"/>
  <c r="BJ85" i="5" s="1"/>
  <c r="BI97" i="5"/>
  <c r="BJ97" i="5" s="1"/>
  <c r="BI109" i="5"/>
  <c r="BJ109" i="5" s="1"/>
  <c r="BI121" i="5"/>
  <c r="BJ121" i="5" s="1"/>
  <c r="BI133" i="5"/>
  <c r="BJ133" i="5" s="1"/>
  <c r="BI145" i="5"/>
  <c r="BJ145" i="5" s="1"/>
  <c r="BI157" i="5"/>
  <c r="BJ157" i="5" s="1"/>
  <c r="BI169" i="5"/>
  <c r="BJ169" i="5" s="1"/>
  <c r="BI181" i="5"/>
  <c r="BJ181" i="5" s="1"/>
  <c r="BI193" i="5"/>
  <c r="BJ193" i="5" s="1"/>
  <c r="BI205" i="5"/>
  <c r="BJ205" i="5" s="1"/>
  <c r="BI217" i="5"/>
  <c r="BJ217" i="5" s="1"/>
  <c r="BI229" i="5"/>
  <c r="BJ229" i="5" s="1"/>
  <c r="BI241" i="5"/>
  <c r="BJ241" i="5" s="1"/>
  <c r="BI253" i="5"/>
  <c r="BJ253" i="5" s="1"/>
  <c r="BI265" i="5"/>
  <c r="BJ265" i="5" s="1"/>
  <c r="BI277" i="5"/>
  <c r="BJ277" i="5" s="1"/>
  <c r="BI289" i="5"/>
  <c r="BJ289" i="5" s="1"/>
  <c r="BI301" i="5"/>
  <c r="BJ301" i="5" s="1"/>
  <c r="BI313" i="5"/>
  <c r="BJ313" i="5" s="1"/>
  <c r="BI325" i="5"/>
  <c r="BJ325" i="5" s="1"/>
  <c r="BI337" i="5"/>
  <c r="BJ337" i="5" s="1"/>
  <c r="BI349" i="5"/>
  <c r="BJ349" i="5" s="1"/>
  <c r="BI361" i="5"/>
  <c r="BJ361" i="5" s="1"/>
  <c r="BI373" i="5"/>
  <c r="BJ373" i="5" s="1"/>
  <c r="BI385" i="5"/>
  <c r="BJ385" i="5" s="1"/>
  <c r="BI397" i="5"/>
  <c r="BJ397" i="5" s="1"/>
  <c r="BI409" i="5"/>
  <c r="BJ409" i="5" s="1"/>
  <c r="BI421" i="5"/>
  <c r="BI433" i="5"/>
  <c r="BI445" i="5"/>
  <c r="BI457" i="5"/>
  <c r="BI469" i="5"/>
  <c r="BI481" i="5"/>
  <c r="BI493" i="5"/>
  <c r="BI505" i="5"/>
  <c r="BI517" i="5"/>
  <c r="BI529" i="5"/>
  <c r="BI541" i="5"/>
  <c r="BI553" i="5"/>
  <c r="BI565" i="5"/>
  <c r="BI577" i="5"/>
  <c r="BI589" i="5"/>
  <c r="BI601" i="5"/>
  <c r="BI613" i="5"/>
  <c r="BI625" i="5"/>
  <c r="BI637" i="5"/>
  <c r="BI649" i="5"/>
  <c r="BI661" i="5"/>
  <c r="BI673" i="5"/>
  <c r="BI685" i="5"/>
  <c r="BI697" i="5"/>
  <c r="BI709" i="5"/>
  <c r="BI721" i="5"/>
  <c r="BI733" i="5"/>
  <c r="BI745" i="5"/>
  <c r="BI757" i="5"/>
  <c r="BI769" i="5"/>
  <c r="BI781" i="5"/>
  <c r="BI793" i="5"/>
  <c r="BI805" i="5"/>
  <c r="BI817" i="5"/>
  <c r="BI829" i="5"/>
  <c r="BI841" i="5"/>
  <c r="BI853" i="5"/>
  <c r="BI865" i="5"/>
  <c r="BI877" i="5"/>
  <c r="BI889" i="5"/>
  <c r="BI901" i="5"/>
  <c r="BI913" i="5"/>
  <c r="BI925" i="5"/>
  <c r="BI937" i="5"/>
  <c r="BI949" i="5"/>
  <c r="BI961" i="5"/>
  <c r="BI973" i="5"/>
  <c r="BI985" i="5"/>
  <c r="BI997" i="5"/>
  <c r="BI1009" i="5"/>
  <c r="BI1021" i="5"/>
  <c r="BI24" i="5"/>
  <c r="BJ24" i="5" s="1"/>
  <c r="BI36" i="5"/>
  <c r="BJ36" i="5" s="1"/>
  <c r="BI48" i="5"/>
  <c r="BJ48" i="5" s="1"/>
  <c r="BI60" i="5"/>
  <c r="BJ60" i="5" s="1"/>
  <c r="BI72" i="5"/>
  <c r="BJ72" i="5" s="1"/>
  <c r="BI84" i="5"/>
  <c r="BJ84" i="5" s="1"/>
  <c r="BI96" i="5"/>
  <c r="BJ96" i="5" s="1"/>
  <c r="BI108" i="5"/>
  <c r="BJ108" i="5" s="1"/>
  <c r="BI120" i="5"/>
  <c r="BJ120" i="5" s="1"/>
  <c r="BI132" i="5"/>
  <c r="BJ132" i="5" s="1"/>
  <c r="BI144" i="5"/>
  <c r="BJ144" i="5" s="1"/>
  <c r="BI156" i="5"/>
  <c r="BJ156" i="5" s="1"/>
  <c r="BI168" i="5"/>
  <c r="BJ168" i="5" s="1"/>
  <c r="BI180" i="5"/>
  <c r="BJ180" i="5" s="1"/>
  <c r="BI192" i="5"/>
  <c r="BJ192" i="5" s="1"/>
  <c r="BI204" i="5"/>
  <c r="BJ204" i="5" s="1"/>
  <c r="BI216" i="5"/>
  <c r="BJ216" i="5" s="1"/>
  <c r="BI228" i="5"/>
  <c r="BJ228" i="5" s="1"/>
  <c r="BI240" i="5"/>
  <c r="BJ240" i="5" s="1"/>
  <c r="BI252" i="5"/>
  <c r="BJ252" i="5" s="1"/>
  <c r="BI264" i="5"/>
  <c r="BJ264" i="5" s="1"/>
  <c r="BI276" i="5"/>
  <c r="BJ276" i="5" s="1"/>
  <c r="BI288" i="5"/>
  <c r="BJ288" i="5" s="1"/>
  <c r="BI300" i="5"/>
  <c r="BJ300" i="5" s="1"/>
  <c r="BI312" i="5"/>
  <c r="BJ312" i="5" s="1"/>
  <c r="BI324" i="5"/>
  <c r="BJ324" i="5" s="1"/>
  <c r="BI336" i="5"/>
  <c r="BJ336" i="5" s="1"/>
  <c r="BI348" i="5"/>
  <c r="BJ348" i="5" s="1"/>
  <c r="BI360" i="5"/>
  <c r="BJ360" i="5" s="1"/>
  <c r="BI372" i="5"/>
  <c r="BJ372" i="5" s="1"/>
  <c r="BI384" i="5"/>
  <c r="BJ384" i="5" s="1"/>
  <c r="BI396" i="5"/>
  <c r="BJ396" i="5" s="1"/>
  <c r="BI408" i="5"/>
  <c r="BJ408" i="5" s="1"/>
  <c r="BI420" i="5"/>
  <c r="BJ420" i="5" s="1"/>
  <c r="BI432" i="5"/>
  <c r="BJ432" i="5" s="1"/>
  <c r="BI444" i="5"/>
  <c r="BJ444" i="5" s="1"/>
  <c r="BI456" i="5"/>
  <c r="BJ456" i="5" s="1"/>
  <c r="BI468" i="5"/>
  <c r="BJ468" i="5" s="1"/>
  <c r="BI480" i="5"/>
  <c r="BJ480" i="5" s="1"/>
  <c r="BI492" i="5"/>
  <c r="BJ492" i="5" s="1"/>
  <c r="BI504" i="5"/>
  <c r="BJ504" i="5" s="1"/>
  <c r="BI516" i="5"/>
  <c r="BJ516" i="5" s="1"/>
  <c r="BI528" i="5"/>
  <c r="BJ528" i="5" s="1"/>
  <c r="BI540" i="5"/>
  <c r="BJ540" i="5" s="1"/>
  <c r="BI552" i="5"/>
  <c r="BJ552" i="5" s="1"/>
  <c r="BI564" i="5"/>
  <c r="BJ564" i="5" s="1"/>
  <c r="BI576" i="5"/>
  <c r="BJ576" i="5" s="1"/>
  <c r="BI588" i="5"/>
  <c r="BJ588" i="5" s="1"/>
  <c r="BI600" i="5"/>
  <c r="BJ600" i="5" s="1"/>
  <c r="BI612" i="5"/>
  <c r="BJ612" i="5" s="1"/>
  <c r="BI624" i="5"/>
  <c r="BJ624" i="5" s="1"/>
  <c r="BI636" i="5"/>
  <c r="BJ636" i="5" s="1"/>
  <c r="BI648" i="5"/>
  <c r="BJ648" i="5" s="1"/>
  <c r="BI660" i="5"/>
  <c r="BJ660" i="5" s="1"/>
  <c r="BI672" i="5"/>
  <c r="BJ672" i="5" s="1"/>
  <c r="BI684" i="5"/>
  <c r="BJ684" i="5" s="1"/>
  <c r="BI696" i="5"/>
  <c r="BJ696" i="5" s="1"/>
  <c r="BI708" i="5"/>
  <c r="BJ708" i="5" s="1"/>
  <c r="BI720" i="5"/>
  <c r="BJ720" i="5" s="1"/>
  <c r="BI732" i="5"/>
  <c r="BJ732" i="5" s="1"/>
  <c r="BI744" i="5"/>
  <c r="BJ744" i="5" s="1"/>
  <c r="BI756" i="5"/>
  <c r="BJ756" i="5" s="1"/>
  <c r="BI768" i="5"/>
  <c r="BJ768" i="5" s="1"/>
  <c r="BI780" i="5"/>
  <c r="BJ780" i="5" s="1"/>
  <c r="BI792" i="5"/>
  <c r="BJ792" i="5" s="1"/>
  <c r="BI804" i="5"/>
  <c r="BJ804" i="5" s="1"/>
  <c r="BI816" i="5"/>
  <c r="BJ816" i="5" s="1"/>
  <c r="BI828" i="5"/>
  <c r="BJ828" i="5" s="1"/>
  <c r="BI840" i="5"/>
  <c r="BJ840" i="5" s="1"/>
  <c r="BI852" i="5"/>
  <c r="BJ852" i="5" s="1"/>
  <c r="BI864" i="5"/>
  <c r="BJ864" i="5" s="1"/>
  <c r="BI876" i="5"/>
  <c r="BJ876" i="5" s="1"/>
  <c r="BI888" i="5"/>
  <c r="BJ888" i="5" s="1"/>
  <c r="BI900" i="5"/>
  <c r="BJ900" i="5" s="1"/>
  <c r="BI912" i="5"/>
  <c r="BJ912" i="5" s="1"/>
  <c r="BI924" i="5"/>
  <c r="BJ924" i="5" s="1"/>
  <c r="BI936" i="5"/>
  <c r="BJ936" i="5" s="1"/>
  <c r="BI948" i="5"/>
  <c r="BJ948" i="5" s="1"/>
  <c r="BI960" i="5"/>
  <c r="BJ960" i="5" s="1"/>
  <c r="BI972" i="5"/>
  <c r="BJ972" i="5" s="1"/>
  <c r="BI984" i="5"/>
  <c r="BJ984" i="5" s="1"/>
  <c r="BI996" i="5"/>
  <c r="BJ996" i="5" s="1"/>
  <c r="BI1008" i="5"/>
  <c r="BJ1008" i="5" s="1"/>
  <c r="BI1020" i="5"/>
  <c r="BJ1020" i="5" s="1"/>
  <c r="BI22" i="5"/>
  <c r="BJ22" i="5" s="1"/>
  <c r="BI34" i="5"/>
  <c r="BJ34" i="5" s="1"/>
  <c r="BI46" i="5"/>
  <c r="BJ46" i="5" s="1"/>
  <c r="BI58" i="5"/>
  <c r="BJ58" i="5" s="1"/>
  <c r="BI70" i="5"/>
  <c r="BJ70" i="5" s="1"/>
  <c r="BI82" i="5"/>
  <c r="BJ82" i="5" s="1"/>
  <c r="BI94" i="5"/>
  <c r="BJ94" i="5" s="1"/>
  <c r="BI106" i="5"/>
  <c r="BJ106" i="5" s="1"/>
  <c r="BI118" i="5"/>
  <c r="BJ118" i="5" s="1"/>
  <c r="BI130" i="5"/>
  <c r="BJ130" i="5" s="1"/>
  <c r="BI142" i="5"/>
  <c r="BJ142" i="5" s="1"/>
  <c r="BI154" i="5"/>
  <c r="BJ154" i="5" s="1"/>
  <c r="BI166" i="5"/>
  <c r="BJ166" i="5" s="1"/>
  <c r="BI178" i="5"/>
  <c r="BJ178" i="5" s="1"/>
  <c r="BI190" i="5"/>
  <c r="BJ190" i="5" s="1"/>
  <c r="BI202" i="5"/>
  <c r="BJ202" i="5" s="1"/>
  <c r="BI214" i="5"/>
  <c r="BJ214" i="5" s="1"/>
  <c r="BI226" i="5"/>
  <c r="BJ226" i="5" s="1"/>
  <c r="BI238" i="5"/>
  <c r="BJ238" i="5" s="1"/>
  <c r="BI250" i="5"/>
  <c r="BJ250" i="5" s="1"/>
  <c r="BI262" i="5"/>
  <c r="BJ262" i="5" s="1"/>
  <c r="BI274" i="5"/>
  <c r="BJ274" i="5" s="1"/>
  <c r="BI286" i="5"/>
  <c r="BJ286" i="5" s="1"/>
  <c r="BI298" i="5"/>
  <c r="BJ298" i="5" s="1"/>
  <c r="BI310" i="5"/>
  <c r="BJ310" i="5" s="1"/>
  <c r="BI322" i="5"/>
  <c r="BJ322" i="5" s="1"/>
  <c r="BI334" i="5"/>
  <c r="BJ334" i="5" s="1"/>
  <c r="BI346" i="5"/>
  <c r="BJ346" i="5" s="1"/>
  <c r="BI358" i="5"/>
  <c r="BJ358" i="5" s="1"/>
  <c r="BI370" i="5"/>
  <c r="BJ370" i="5" s="1"/>
  <c r="BI382" i="5"/>
  <c r="BJ382" i="5" s="1"/>
  <c r="BI394" i="5"/>
  <c r="BJ394" i="5" s="1"/>
  <c r="BI406" i="5"/>
  <c r="BJ406" i="5" s="1"/>
  <c r="BI418" i="5"/>
  <c r="BI430" i="5"/>
  <c r="BI442" i="5"/>
  <c r="BI454" i="5"/>
  <c r="BI466" i="5"/>
  <c r="BI478" i="5"/>
  <c r="BI490" i="5"/>
  <c r="BI502" i="5"/>
  <c r="BI514" i="5"/>
  <c r="BI526" i="5"/>
  <c r="BI538" i="5"/>
  <c r="BI550" i="5"/>
  <c r="BI562" i="5"/>
  <c r="BI574" i="5"/>
  <c r="BI586" i="5"/>
  <c r="BI598" i="5"/>
  <c r="BI610" i="5"/>
  <c r="BI622" i="5"/>
  <c r="BI634" i="5"/>
  <c r="BI646" i="5"/>
  <c r="BI658" i="5"/>
  <c r="BI670" i="5"/>
  <c r="BI682" i="5"/>
  <c r="BI694" i="5"/>
  <c r="BI706" i="5"/>
  <c r="BI718" i="5"/>
  <c r="BI730" i="5"/>
  <c r="BI742" i="5"/>
  <c r="BI754" i="5"/>
  <c r="BI766" i="5"/>
  <c r="BI778" i="5"/>
  <c r="BI790" i="5"/>
  <c r="BI802" i="5"/>
  <c r="BI814" i="5"/>
  <c r="BI826" i="5"/>
  <c r="BI838" i="5"/>
  <c r="BI850" i="5"/>
  <c r="BI862" i="5"/>
  <c r="BI874" i="5"/>
  <c r="BI886" i="5"/>
  <c r="BI898" i="5"/>
  <c r="BI910" i="5"/>
  <c r="BI922" i="5"/>
  <c r="BI934" i="5"/>
  <c r="BI946" i="5"/>
  <c r="BI958" i="5"/>
  <c r="BI970" i="5"/>
  <c r="BI982" i="5"/>
  <c r="BI994" i="5"/>
  <c r="BI1006" i="5"/>
  <c r="BI1018" i="5"/>
  <c r="BI1027" i="5"/>
  <c r="BI31" i="5"/>
  <c r="BJ31" i="5" s="1"/>
  <c r="BI43" i="5"/>
  <c r="BJ43" i="5" s="1"/>
  <c r="BI55" i="5"/>
  <c r="BJ55" i="5" s="1"/>
  <c r="BI67" i="5"/>
  <c r="BJ67" i="5" s="1"/>
  <c r="BI79" i="5"/>
  <c r="BJ79" i="5" s="1"/>
  <c r="BI91" i="5"/>
  <c r="BJ91" i="5" s="1"/>
  <c r="BI103" i="5"/>
  <c r="BJ103" i="5" s="1"/>
  <c r="BI115" i="5"/>
  <c r="BJ115" i="5" s="1"/>
  <c r="BI127" i="5"/>
  <c r="BJ127" i="5" s="1"/>
  <c r="BI139" i="5"/>
  <c r="BJ139" i="5" s="1"/>
  <c r="BI151" i="5"/>
  <c r="BJ151" i="5" s="1"/>
  <c r="BI163" i="5"/>
  <c r="BJ163" i="5" s="1"/>
  <c r="BI175" i="5"/>
  <c r="BJ175" i="5" s="1"/>
  <c r="BI187" i="5"/>
  <c r="BJ187" i="5" s="1"/>
  <c r="BI199" i="5"/>
  <c r="BJ199" i="5" s="1"/>
  <c r="BI211" i="5"/>
  <c r="BJ211" i="5" s="1"/>
  <c r="BI223" i="5"/>
  <c r="BJ223" i="5" s="1"/>
  <c r="BI235" i="5"/>
  <c r="BJ235" i="5" s="1"/>
  <c r="BI247" i="5"/>
  <c r="BJ247" i="5" s="1"/>
  <c r="BI259" i="5"/>
  <c r="BJ259" i="5" s="1"/>
  <c r="BI271" i="5"/>
  <c r="BJ271" i="5" s="1"/>
  <c r="BI283" i="5"/>
  <c r="BJ283" i="5" s="1"/>
  <c r="BI295" i="5"/>
  <c r="BJ295" i="5" s="1"/>
  <c r="BI307" i="5"/>
  <c r="BJ307" i="5" s="1"/>
  <c r="BI319" i="5"/>
  <c r="BJ319" i="5" s="1"/>
  <c r="BI331" i="5"/>
  <c r="BJ331" i="5" s="1"/>
  <c r="BI343" i="5"/>
  <c r="BJ343" i="5" s="1"/>
  <c r="BI355" i="5"/>
  <c r="BJ355" i="5" s="1"/>
  <c r="BI367" i="5"/>
  <c r="BJ367" i="5" s="1"/>
  <c r="BI379" i="5"/>
  <c r="BJ379" i="5" s="1"/>
  <c r="BI391" i="5"/>
  <c r="BJ391" i="5" s="1"/>
  <c r="BI403" i="5"/>
  <c r="BJ403" i="5" s="1"/>
  <c r="BI415" i="5"/>
  <c r="BJ415" i="5" s="1"/>
  <c r="BI427" i="5"/>
  <c r="BI439" i="5"/>
  <c r="BI451" i="5"/>
  <c r="BI463" i="5"/>
  <c r="BI475" i="5"/>
  <c r="BI487" i="5"/>
  <c r="BI499" i="5"/>
  <c r="BI511" i="5"/>
  <c r="BI523" i="5"/>
  <c r="BI535" i="5"/>
  <c r="BI547" i="5"/>
  <c r="BI559" i="5"/>
  <c r="BI571" i="5"/>
  <c r="BI583" i="5"/>
  <c r="BI595" i="5"/>
  <c r="BI607" i="5"/>
  <c r="BI619" i="5"/>
  <c r="BI631" i="5"/>
  <c r="BI643" i="5"/>
  <c r="BI655" i="5"/>
  <c r="BI667" i="5"/>
  <c r="BI679" i="5"/>
  <c r="BI691" i="5"/>
  <c r="BI703" i="5"/>
  <c r="BI715" i="5"/>
  <c r="BI727" i="5"/>
  <c r="BI739" i="5"/>
  <c r="BI751" i="5"/>
  <c r="BI763" i="5"/>
  <c r="BI775" i="5"/>
  <c r="BI787" i="5"/>
  <c r="BI799" i="5"/>
  <c r="BI811" i="5"/>
  <c r="BI823" i="5"/>
  <c r="BI835" i="5"/>
  <c r="BI847" i="5"/>
  <c r="BI859" i="5"/>
  <c r="BI871" i="5"/>
  <c r="BI883" i="5"/>
  <c r="BI895" i="5"/>
  <c r="BI907" i="5"/>
  <c r="BI919" i="5"/>
  <c r="BI931" i="5"/>
  <c r="BI943" i="5"/>
  <c r="BI955" i="5"/>
  <c r="BI967" i="5"/>
  <c r="BI979" i="5"/>
  <c r="BI991" i="5"/>
  <c r="BI1003" i="5"/>
  <c r="BI1015" i="5"/>
  <c r="BI21" i="5"/>
  <c r="BJ21" i="5" s="1"/>
  <c r="BI33" i="5"/>
  <c r="BJ33" i="5" s="1"/>
  <c r="BI45" i="5"/>
  <c r="BJ45" i="5" s="1"/>
  <c r="BI57" i="5"/>
  <c r="BJ57" i="5" s="1"/>
  <c r="BI69" i="5"/>
  <c r="BJ69" i="5" s="1"/>
  <c r="BI81" i="5"/>
  <c r="BJ81" i="5" s="1"/>
  <c r="BI93" i="5"/>
  <c r="BJ93" i="5" s="1"/>
  <c r="BI105" i="5"/>
  <c r="BJ105" i="5" s="1"/>
  <c r="BI117" i="5"/>
  <c r="BJ117" i="5" s="1"/>
  <c r="BI129" i="5"/>
  <c r="BJ129" i="5" s="1"/>
  <c r="BI141" i="5"/>
  <c r="BJ141" i="5" s="1"/>
  <c r="BI153" i="5"/>
  <c r="BJ153" i="5" s="1"/>
  <c r="BI165" i="5"/>
  <c r="BJ165" i="5" s="1"/>
  <c r="BI177" i="5"/>
  <c r="BJ177" i="5" s="1"/>
  <c r="BI189" i="5"/>
  <c r="BJ189" i="5" s="1"/>
  <c r="BI201" i="5"/>
  <c r="BJ201" i="5" s="1"/>
  <c r="BI213" i="5"/>
  <c r="BJ213" i="5" s="1"/>
  <c r="BI225" i="5"/>
  <c r="BJ225" i="5" s="1"/>
  <c r="BI237" i="5"/>
  <c r="BJ237" i="5" s="1"/>
  <c r="BI249" i="5"/>
  <c r="BJ249" i="5" s="1"/>
  <c r="BI261" i="5"/>
  <c r="BJ261" i="5" s="1"/>
  <c r="BI273" i="5"/>
  <c r="BJ273" i="5" s="1"/>
  <c r="BI285" i="5"/>
  <c r="BJ285" i="5" s="1"/>
  <c r="BI297" i="5"/>
  <c r="BJ297" i="5" s="1"/>
  <c r="BI309" i="5"/>
  <c r="BJ309" i="5" s="1"/>
  <c r="BI321" i="5"/>
  <c r="BJ321" i="5" s="1"/>
  <c r="BI333" i="5"/>
  <c r="BJ333" i="5" s="1"/>
  <c r="BI345" i="5"/>
  <c r="BJ345" i="5" s="1"/>
  <c r="BI357" i="5"/>
  <c r="BJ357" i="5" s="1"/>
  <c r="BI369" i="5"/>
  <c r="BJ369" i="5" s="1"/>
  <c r="BI381" i="5"/>
  <c r="BJ381" i="5" s="1"/>
  <c r="BI393" i="5"/>
  <c r="BJ393" i="5" s="1"/>
  <c r="BI405" i="5"/>
  <c r="BJ405" i="5" s="1"/>
  <c r="BI417" i="5"/>
  <c r="BJ417" i="5" s="1"/>
  <c r="BI429" i="5"/>
  <c r="BI441" i="5"/>
  <c r="BI453" i="5"/>
  <c r="BI465" i="5"/>
  <c r="BI477" i="5"/>
  <c r="BI489" i="5"/>
  <c r="BI501" i="5"/>
  <c r="BI513" i="5"/>
  <c r="BI525" i="5"/>
  <c r="BI537" i="5"/>
  <c r="BI549" i="5"/>
  <c r="BI561" i="5"/>
  <c r="BI573" i="5"/>
  <c r="BI585" i="5"/>
  <c r="BI597" i="5"/>
  <c r="BI609" i="5"/>
  <c r="BI621" i="5"/>
  <c r="BI633" i="5"/>
  <c r="BI645" i="5"/>
  <c r="BI657" i="5"/>
  <c r="BI669" i="5"/>
  <c r="BI681" i="5"/>
  <c r="BI693" i="5"/>
  <c r="BI705" i="5"/>
  <c r="BI717" i="5"/>
  <c r="BI729" i="5"/>
  <c r="BI741" i="5"/>
  <c r="BI753" i="5"/>
  <c r="BI765" i="5"/>
  <c r="BI777" i="5"/>
  <c r="BI789" i="5"/>
  <c r="BI801" i="5"/>
  <c r="BI813" i="5"/>
  <c r="BI825" i="5"/>
  <c r="BI837" i="5"/>
  <c r="BI849" i="5"/>
  <c r="BI861" i="5"/>
  <c r="BI873" i="5"/>
  <c r="BI885" i="5"/>
  <c r="BI897" i="5"/>
  <c r="BI909" i="5"/>
  <c r="BI921" i="5"/>
  <c r="BI933" i="5"/>
  <c r="BI945" i="5"/>
  <c r="BI957" i="5"/>
  <c r="BI969" i="5"/>
  <c r="BI981" i="5"/>
  <c r="BI993" i="5"/>
  <c r="BI1005" i="5"/>
  <c r="BI1017" i="5"/>
  <c r="BI1026" i="5"/>
  <c r="BI23" i="5"/>
  <c r="BJ23" i="5" s="1"/>
  <c r="BI35" i="5"/>
  <c r="BJ35" i="5" s="1"/>
  <c r="BI47" i="5"/>
  <c r="BJ47" i="5" s="1"/>
  <c r="BI59" i="5"/>
  <c r="BJ59" i="5" s="1"/>
  <c r="BI71" i="5"/>
  <c r="BJ71" i="5" s="1"/>
  <c r="BI83" i="5"/>
  <c r="BJ83" i="5" s="1"/>
  <c r="BI95" i="5"/>
  <c r="BJ95" i="5" s="1"/>
  <c r="BI107" i="5"/>
  <c r="BJ107" i="5" s="1"/>
  <c r="BI119" i="5"/>
  <c r="BJ119" i="5" s="1"/>
  <c r="BI131" i="5"/>
  <c r="BJ131" i="5" s="1"/>
  <c r="BI143" i="5"/>
  <c r="BJ143" i="5" s="1"/>
  <c r="BI155" i="5"/>
  <c r="BJ155" i="5" s="1"/>
  <c r="BI167" i="5"/>
  <c r="BJ167" i="5" s="1"/>
  <c r="BI179" i="5"/>
  <c r="BJ179" i="5" s="1"/>
  <c r="BI191" i="5"/>
  <c r="BJ191" i="5" s="1"/>
  <c r="BI203" i="5"/>
  <c r="BJ203" i="5" s="1"/>
  <c r="BI215" i="5"/>
  <c r="BJ215" i="5" s="1"/>
  <c r="BI227" i="5"/>
  <c r="BJ227" i="5" s="1"/>
  <c r="BI239" i="5"/>
  <c r="BJ239" i="5" s="1"/>
  <c r="BI251" i="5"/>
  <c r="BJ251" i="5" s="1"/>
  <c r="BI263" i="5"/>
  <c r="BJ263" i="5" s="1"/>
  <c r="BI275" i="5"/>
  <c r="BJ275" i="5" s="1"/>
  <c r="BI287" i="5"/>
  <c r="BJ287" i="5" s="1"/>
  <c r="BI299" i="5"/>
  <c r="BJ299" i="5" s="1"/>
  <c r="BI311" i="5"/>
  <c r="BJ311" i="5" s="1"/>
  <c r="BI323" i="5"/>
  <c r="BJ323" i="5" s="1"/>
  <c r="BI335" i="5"/>
  <c r="BJ335" i="5" s="1"/>
  <c r="BI347" i="5"/>
  <c r="BJ347" i="5" s="1"/>
  <c r="BI359" i="5"/>
  <c r="BJ359" i="5" s="1"/>
  <c r="BI371" i="5"/>
  <c r="BJ371" i="5" s="1"/>
  <c r="BI383" i="5"/>
  <c r="BJ383" i="5" s="1"/>
  <c r="BI395" i="5"/>
  <c r="BJ395" i="5" s="1"/>
  <c r="BI407" i="5"/>
  <c r="BJ407" i="5" s="1"/>
  <c r="BI419" i="5"/>
  <c r="BJ419" i="5" s="1"/>
  <c r="BI431" i="5"/>
  <c r="BJ431" i="5" s="1"/>
  <c r="BI443" i="5"/>
  <c r="BJ443" i="5" s="1"/>
  <c r="BI455" i="5"/>
  <c r="BJ455" i="5" s="1"/>
  <c r="F64" i="9" s="1"/>
  <c r="G64" i="9" s="1"/>
  <c r="BI467" i="5"/>
  <c r="BJ467" i="5" s="1"/>
  <c r="BI479" i="5"/>
  <c r="BJ479" i="5" s="1"/>
  <c r="BI491" i="5"/>
  <c r="BJ491" i="5" s="1"/>
  <c r="BI503" i="5"/>
  <c r="BJ503" i="5" s="1"/>
  <c r="F68" i="9" s="1"/>
  <c r="G68" i="9" s="1"/>
  <c r="BI515" i="5"/>
  <c r="BJ515" i="5" s="1"/>
  <c r="BI527" i="5"/>
  <c r="BJ527" i="5" s="1"/>
  <c r="BI539" i="5"/>
  <c r="BJ539" i="5" s="1"/>
  <c r="BI551" i="5"/>
  <c r="BJ551" i="5" s="1"/>
  <c r="F72" i="9" s="1"/>
  <c r="G72" i="9" s="1"/>
  <c r="BI563" i="5"/>
  <c r="BJ563" i="5" s="1"/>
  <c r="BI575" i="5"/>
  <c r="BJ575" i="5" s="1"/>
  <c r="BI587" i="5"/>
  <c r="BJ587" i="5" s="1"/>
  <c r="BI599" i="5"/>
  <c r="BJ599" i="5" s="1"/>
  <c r="BI611" i="5"/>
  <c r="BJ611" i="5" s="1"/>
  <c r="BI623" i="5"/>
  <c r="BJ623" i="5" s="1"/>
  <c r="BI635" i="5"/>
  <c r="BJ635" i="5" s="1"/>
  <c r="BI647" i="5"/>
  <c r="BJ647" i="5" s="1"/>
  <c r="BI659" i="5"/>
  <c r="BJ659" i="5" s="1"/>
  <c r="BI671" i="5"/>
  <c r="BJ671" i="5" s="1"/>
  <c r="BI683" i="5"/>
  <c r="BJ683" i="5" s="1"/>
  <c r="BI695" i="5"/>
  <c r="BJ695" i="5" s="1"/>
  <c r="BI707" i="5"/>
  <c r="BJ707" i="5" s="1"/>
  <c r="BI719" i="5"/>
  <c r="BJ719" i="5" s="1"/>
  <c r="BI731" i="5"/>
  <c r="BJ731" i="5" s="1"/>
  <c r="BI743" i="5"/>
  <c r="BJ743" i="5" s="1"/>
  <c r="BI755" i="5"/>
  <c r="BJ755" i="5" s="1"/>
  <c r="BI767" i="5"/>
  <c r="BJ767" i="5" s="1"/>
  <c r="BI779" i="5"/>
  <c r="BJ779" i="5" s="1"/>
  <c r="BI791" i="5"/>
  <c r="BJ791" i="5" s="1"/>
  <c r="BI803" i="5"/>
  <c r="BJ803" i="5" s="1"/>
  <c r="BI815" i="5"/>
  <c r="BJ815" i="5" s="1"/>
  <c r="BI827" i="5"/>
  <c r="BJ827" i="5" s="1"/>
  <c r="BI839" i="5"/>
  <c r="BJ839" i="5" s="1"/>
  <c r="BI851" i="5"/>
  <c r="BJ851" i="5" s="1"/>
  <c r="BI863" i="5"/>
  <c r="BJ863" i="5" s="1"/>
  <c r="BI875" i="5"/>
  <c r="BJ875" i="5" s="1"/>
  <c r="BI887" i="5"/>
  <c r="BJ887" i="5" s="1"/>
  <c r="BI899" i="5"/>
  <c r="BJ899" i="5" s="1"/>
  <c r="BI911" i="5"/>
  <c r="BJ911" i="5" s="1"/>
  <c r="BI923" i="5"/>
  <c r="BJ923" i="5" s="1"/>
  <c r="BI935" i="5"/>
  <c r="BJ935" i="5" s="1"/>
  <c r="BI947" i="5"/>
  <c r="BJ947" i="5" s="1"/>
  <c r="BI959" i="5"/>
  <c r="BJ959" i="5" s="1"/>
  <c r="BI971" i="5"/>
  <c r="BJ971" i="5" s="1"/>
  <c r="BI983" i="5"/>
  <c r="BJ983" i="5" s="1"/>
  <c r="BI995" i="5"/>
  <c r="BJ995" i="5" s="1"/>
  <c r="BI1007" i="5"/>
  <c r="BJ1007" i="5" s="1"/>
  <c r="BI1019" i="5"/>
  <c r="BJ1019" i="5" s="1"/>
  <c r="BI30" i="5"/>
  <c r="BI42" i="5"/>
  <c r="BJ42" i="5" s="1"/>
  <c r="BI54" i="5"/>
  <c r="BJ54" i="5" s="1"/>
  <c r="BI66" i="5"/>
  <c r="BJ66" i="5" s="1"/>
  <c r="BI78" i="5"/>
  <c r="BI90" i="5"/>
  <c r="BJ90" i="5" s="1"/>
  <c r="BI102" i="5"/>
  <c r="BJ102" i="5" s="1"/>
  <c r="BI114" i="5"/>
  <c r="BJ114" i="5" s="1"/>
  <c r="BI126" i="5"/>
  <c r="BJ126" i="5" s="1"/>
  <c r="BI138" i="5"/>
  <c r="BJ138" i="5" s="1"/>
  <c r="BI150" i="5"/>
  <c r="BJ150" i="5" s="1"/>
  <c r="BI162" i="5"/>
  <c r="BJ162" i="5" s="1"/>
  <c r="BI174" i="5"/>
  <c r="BJ174" i="5" s="1"/>
  <c r="BI186" i="5"/>
  <c r="BJ186" i="5" s="1"/>
  <c r="BI198" i="5"/>
  <c r="BJ198" i="5" s="1"/>
  <c r="BI210" i="5"/>
  <c r="BJ210" i="5" s="1"/>
  <c r="BI222" i="5"/>
  <c r="BJ222" i="5" s="1"/>
  <c r="BI234" i="5"/>
  <c r="BJ234" i="5" s="1"/>
  <c r="BI246" i="5"/>
  <c r="BJ246" i="5" s="1"/>
  <c r="BI258" i="5"/>
  <c r="BJ258" i="5" s="1"/>
  <c r="BI270" i="5"/>
  <c r="BJ270" i="5" s="1"/>
  <c r="BI282" i="5"/>
  <c r="BJ282" i="5" s="1"/>
  <c r="BI294" i="5"/>
  <c r="BJ294" i="5" s="1"/>
  <c r="BI306" i="5"/>
  <c r="BJ306" i="5" s="1"/>
  <c r="BI318" i="5"/>
  <c r="BJ318" i="5" s="1"/>
  <c r="BI330" i="5"/>
  <c r="BJ330" i="5" s="1"/>
  <c r="BI342" i="5"/>
  <c r="BJ342" i="5" s="1"/>
  <c r="BI354" i="5"/>
  <c r="BJ354" i="5" s="1"/>
  <c r="BI366" i="5"/>
  <c r="BJ366" i="5" s="1"/>
  <c r="BI378" i="5"/>
  <c r="BJ378" i="5" s="1"/>
  <c r="BI390" i="5"/>
  <c r="BJ390" i="5" s="1"/>
  <c r="BI402" i="5"/>
  <c r="BJ402" i="5" s="1"/>
  <c r="BI414" i="5"/>
  <c r="BJ414" i="5" s="1"/>
  <c r="BI426" i="5"/>
  <c r="BJ426" i="5" s="1"/>
  <c r="BI438" i="5"/>
  <c r="BI450" i="5"/>
  <c r="BI462" i="5"/>
  <c r="BI474" i="5"/>
  <c r="BI486" i="5"/>
  <c r="BI498" i="5"/>
  <c r="BI510" i="5"/>
  <c r="BI522" i="5"/>
  <c r="BI534" i="5"/>
  <c r="BI546" i="5"/>
  <c r="BI558" i="5"/>
  <c r="BI570" i="5"/>
  <c r="BI582" i="5"/>
  <c r="BI594" i="5"/>
  <c r="BI606" i="5"/>
  <c r="BI618" i="5"/>
  <c r="BI630" i="5"/>
  <c r="BI642" i="5"/>
  <c r="BI654" i="5"/>
  <c r="BI666" i="5"/>
  <c r="BI678" i="5"/>
  <c r="BI690" i="5"/>
  <c r="BI702" i="5"/>
  <c r="BI714" i="5"/>
  <c r="BI726" i="5"/>
  <c r="BI738" i="5"/>
  <c r="BI750" i="5"/>
  <c r="BI762" i="5"/>
  <c r="BI774" i="5"/>
  <c r="BI786" i="5"/>
  <c r="BI798" i="5"/>
  <c r="BI810" i="5"/>
  <c r="BI822" i="5"/>
  <c r="BI834" i="5"/>
  <c r="BI846" i="5"/>
  <c r="BI858" i="5"/>
  <c r="BI870" i="5"/>
  <c r="BI882" i="5"/>
  <c r="BI894" i="5"/>
  <c r="BI906" i="5"/>
  <c r="BI918" i="5"/>
  <c r="BI930" i="5"/>
  <c r="BI942" i="5"/>
  <c r="BI954" i="5"/>
  <c r="BI966" i="5"/>
  <c r="BI978" i="5"/>
  <c r="BI990" i="5"/>
  <c r="BI1002" i="5"/>
  <c r="BI1014" i="5"/>
  <c r="BJ78" i="5"/>
  <c r="AJ360" i="2"/>
  <c r="F69" i="9" l="1"/>
  <c r="G69" i="9" s="1"/>
  <c r="F65" i="9"/>
  <c r="G65" i="9" s="1"/>
  <c r="F71" i="9"/>
  <c r="G71" i="9" s="1"/>
  <c r="F67" i="9"/>
  <c r="G67" i="9" s="1"/>
  <c r="F63" i="9"/>
  <c r="G63" i="9" s="1"/>
  <c r="F70" i="9"/>
  <c r="G70" i="9" s="1"/>
  <c r="F66" i="9"/>
  <c r="G66" i="9" s="1"/>
  <c r="F62" i="9"/>
  <c r="G62" i="9" s="1"/>
  <c r="AZ383" i="2"/>
  <c r="AR384" i="2"/>
  <c r="AT384" i="2" s="1"/>
  <c r="BA365" i="5"/>
  <c r="BM20" i="5"/>
  <c r="BN20" i="5" s="1"/>
  <c r="BO20" i="5" s="1"/>
  <c r="BP20" i="5" s="1"/>
  <c r="S373" i="5"/>
  <c r="F74" i="9"/>
  <c r="G74" i="9" s="1"/>
  <c r="F73" i="9"/>
  <c r="G73" i="9" s="1"/>
  <c r="F56" i="9"/>
  <c r="G56" i="9" s="1"/>
  <c r="F60" i="9"/>
  <c r="G60" i="9" s="1"/>
  <c r="F55" i="9"/>
  <c r="G55" i="9" s="1"/>
  <c r="F58" i="9"/>
  <c r="G58" i="9" s="1"/>
  <c r="F54" i="9"/>
  <c r="G54" i="9" s="1"/>
  <c r="F57" i="9"/>
  <c r="G57" i="9" s="1"/>
  <c r="F59" i="9"/>
  <c r="G59" i="9" s="1"/>
  <c r="F61" i="9"/>
  <c r="G61" i="9" s="1"/>
  <c r="BJ30" i="5"/>
  <c r="F31" i="8" s="1"/>
  <c r="G31" i="8" s="1"/>
  <c r="L12" i="9"/>
  <c r="L12" i="8"/>
  <c r="F53" i="9"/>
  <c r="G53" i="9" s="1"/>
  <c r="F52" i="9"/>
  <c r="G52" i="9" s="1"/>
  <c r="F51" i="9"/>
  <c r="G51" i="9" s="1"/>
  <c r="F50" i="9"/>
  <c r="G50" i="9" s="1"/>
  <c r="F49" i="9"/>
  <c r="G49" i="9" s="1"/>
  <c r="F48" i="9"/>
  <c r="G48" i="9" s="1"/>
  <c r="F47" i="9"/>
  <c r="G47" i="9" s="1"/>
  <c r="F46" i="9"/>
  <c r="G46" i="9" s="1"/>
  <c r="F45" i="9"/>
  <c r="G45" i="9" s="1"/>
  <c r="F44" i="9"/>
  <c r="G44" i="9" s="1"/>
  <c r="F43" i="9"/>
  <c r="G43" i="9" s="1"/>
  <c r="F42" i="9"/>
  <c r="G42" i="9" s="1"/>
  <c r="F40" i="9"/>
  <c r="G40" i="9" s="1"/>
  <c r="F39" i="9"/>
  <c r="G39" i="9" s="1"/>
  <c r="F38" i="9"/>
  <c r="G38" i="9" s="1"/>
  <c r="F37" i="9"/>
  <c r="G37" i="9" s="1"/>
  <c r="F36" i="9"/>
  <c r="G36" i="9" s="1"/>
  <c r="F35" i="9"/>
  <c r="G35" i="9" s="1"/>
  <c r="F34" i="9"/>
  <c r="G34" i="9" s="1"/>
  <c r="F32" i="9"/>
  <c r="G32" i="9" s="1"/>
  <c r="F31" i="9"/>
  <c r="G31" i="9" s="1"/>
  <c r="F30" i="9"/>
  <c r="G30" i="9" s="1"/>
  <c r="F41" i="9"/>
  <c r="G41" i="9" s="1"/>
  <c r="F33" i="9"/>
  <c r="G33" i="9" s="1"/>
  <c r="F29" i="9"/>
  <c r="G29" i="9" s="1"/>
  <c r="W359" i="2"/>
  <c r="AC406" i="5"/>
  <c r="N360" i="2"/>
  <c r="O360" i="2" s="1"/>
  <c r="M360" i="2"/>
  <c r="AM405" i="5"/>
  <c r="AK360" i="2"/>
  <c r="AB361" i="2"/>
  <c r="AD361" i="2" s="1"/>
  <c r="BB365" i="5" l="1"/>
  <c r="AT366" i="5"/>
  <c r="AU384" i="2"/>
  <c r="AY384" i="2" s="1"/>
  <c r="AE406" i="5"/>
  <c r="AF406" i="5" s="1"/>
  <c r="T373" i="5"/>
  <c r="W373" i="5" s="1"/>
  <c r="F33" i="8"/>
  <c r="G33" i="8" s="1"/>
  <c r="F38" i="8"/>
  <c r="G38" i="8" s="1"/>
  <c r="F28" i="9"/>
  <c r="G28" i="9" s="1"/>
  <c r="F37" i="8"/>
  <c r="G37" i="8" s="1"/>
  <c r="F36" i="8"/>
  <c r="G36" i="8" s="1"/>
  <c r="F30" i="8"/>
  <c r="G30" i="8" s="1"/>
  <c r="F34" i="8"/>
  <c r="G34" i="8" s="1"/>
  <c r="F32" i="8"/>
  <c r="G32" i="8" s="1"/>
  <c r="F29" i="8"/>
  <c r="G29" i="8" s="1"/>
  <c r="F35" i="8"/>
  <c r="G35" i="8" s="1"/>
  <c r="F28" i="8"/>
  <c r="G28" i="8" s="1"/>
  <c r="BK21" i="5"/>
  <c r="BM21" i="5" s="1"/>
  <c r="BN21" i="5" s="1"/>
  <c r="R360" i="2"/>
  <c r="S360" i="2" s="1"/>
  <c r="AE361" i="2"/>
  <c r="AV366" i="5" l="1"/>
  <c r="AW366" i="5" s="1"/>
  <c r="AR385" i="2"/>
  <c r="AT385" i="2" s="1"/>
  <c r="AZ384" i="2"/>
  <c r="V360" i="2"/>
  <c r="X373" i="5"/>
  <c r="N374" i="5"/>
  <c r="O374" i="5"/>
  <c r="P374" i="5" s="1"/>
  <c r="AL406" i="5"/>
  <c r="AJ361" i="2"/>
  <c r="BA366" i="5" l="1"/>
  <c r="AU385" i="2"/>
  <c r="AY385" i="2" s="1"/>
  <c r="M361" i="2"/>
  <c r="W360" i="2"/>
  <c r="N361" i="2"/>
  <c r="O361" i="2" s="1"/>
  <c r="S374" i="5"/>
  <c r="BO21" i="5"/>
  <c r="BP21" i="5" s="1"/>
  <c r="AC407" i="5"/>
  <c r="AM406" i="5"/>
  <c r="AK361" i="2"/>
  <c r="AB362" i="2"/>
  <c r="AD362" i="2" s="1"/>
  <c r="AT367" i="5" l="1"/>
  <c r="BB366" i="5"/>
  <c r="AR386" i="2"/>
  <c r="AZ385" i="2"/>
  <c r="R361" i="2"/>
  <c r="S361" i="2" s="1"/>
  <c r="AE407" i="5"/>
  <c r="AF407" i="5" s="1"/>
  <c r="T374" i="5"/>
  <c r="W374" i="5" s="1"/>
  <c r="BK22" i="5"/>
  <c r="AE362" i="2"/>
  <c r="AV367" i="5" l="1"/>
  <c r="AW367" i="5" s="1"/>
  <c r="AT386" i="2"/>
  <c r="V361" i="2"/>
  <c r="N362" i="2" s="1"/>
  <c r="O362" i="2" s="1"/>
  <c r="BM22" i="5"/>
  <c r="BN22" i="5" s="1"/>
  <c r="BO22" i="5" s="1"/>
  <c r="BP22" i="5" s="1"/>
  <c r="X374" i="5"/>
  <c r="N375" i="5"/>
  <c r="O375" i="5"/>
  <c r="P375" i="5" s="1"/>
  <c r="AL407" i="5"/>
  <c r="AJ362" i="2"/>
  <c r="BA367" i="5" l="1"/>
  <c r="AU386" i="2"/>
  <c r="AY386" i="2" s="1"/>
  <c r="M362" i="2"/>
  <c r="R362" i="2" s="1"/>
  <c r="S362" i="2" s="1"/>
  <c r="W361" i="2"/>
  <c r="S375" i="5"/>
  <c r="T375" i="5" s="1"/>
  <c r="BK23" i="5"/>
  <c r="AC408" i="5"/>
  <c r="AM407" i="5"/>
  <c r="AK362" i="2"/>
  <c r="AB363" i="2"/>
  <c r="AD363" i="2" s="1"/>
  <c r="BB367" i="5" l="1"/>
  <c r="AT368" i="5"/>
  <c r="I56" i="9"/>
  <c r="AR387" i="2"/>
  <c r="AT387" i="2" s="1"/>
  <c r="AU387" i="2" s="1"/>
  <c r="AZ386" i="2"/>
  <c r="V362" i="2"/>
  <c r="W375" i="5"/>
  <c r="BM23" i="5"/>
  <c r="BN23" i="5" s="1"/>
  <c r="BO23" i="5" s="1"/>
  <c r="BP23" i="5" s="1"/>
  <c r="AE408" i="5"/>
  <c r="AF408" i="5" s="1"/>
  <c r="AE363" i="2"/>
  <c r="AV368" i="5" l="1"/>
  <c r="AW368" i="5" s="1"/>
  <c r="AY387" i="2"/>
  <c r="AL408" i="5"/>
  <c r="X375" i="5"/>
  <c r="N376" i="5"/>
  <c r="O376" i="5"/>
  <c r="P376" i="5" s="1"/>
  <c r="BK24" i="5"/>
  <c r="W362" i="2"/>
  <c r="N363" i="2"/>
  <c r="O363" i="2" s="1"/>
  <c r="M363" i="2"/>
  <c r="AJ363" i="2"/>
  <c r="AZ387" i="2" l="1"/>
  <c r="AR388" i="2"/>
  <c r="AT388" i="2" s="1"/>
  <c r="AC409" i="5"/>
  <c r="AE409" i="5" s="1"/>
  <c r="AF409" i="5" s="1"/>
  <c r="BA368" i="5"/>
  <c r="AM408" i="5"/>
  <c r="BM24" i="5"/>
  <c r="BN24" i="5" s="1"/>
  <c r="BO24" i="5" s="1"/>
  <c r="BP24" i="5" s="1"/>
  <c r="S376" i="5"/>
  <c r="T376" i="5" s="1"/>
  <c r="R363" i="2"/>
  <c r="S363" i="2" s="1"/>
  <c r="AK363" i="2"/>
  <c r="AB364" i="2"/>
  <c r="AD364" i="2" s="1"/>
  <c r="BB368" i="5" l="1"/>
  <c r="AT369" i="5"/>
  <c r="AU388" i="2"/>
  <c r="AY388" i="2" s="1"/>
  <c r="V363" i="2"/>
  <c r="W376" i="5"/>
  <c r="BK25" i="5"/>
  <c r="AL409" i="5"/>
  <c r="AE364" i="2"/>
  <c r="AV369" i="5" l="1"/>
  <c r="AW369" i="5" s="1"/>
  <c r="BM25" i="5"/>
  <c r="BN25" i="5" s="1"/>
  <c r="BO25" i="5" s="1"/>
  <c r="BP25" i="5" s="1"/>
  <c r="X376" i="5"/>
  <c r="N377" i="5"/>
  <c r="O377" i="5"/>
  <c r="P377" i="5" s="1"/>
  <c r="AC410" i="5"/>
  <c r="AM409" i="5"/>
  <c r="W363" i="2"/>
  <c r="N364" i="2"/>
  <c r="O364" i="2" s="1"/>
  <c r="M364" i="2"/>
  <c r="AZ388" i="2"/>
  <c r="AR389" i="2"/>
  <c r="AJ364" i="2"/>
  <c r="BA369" i="5" l="1"/>
  <c r="AT389" i="2"/>
  <c r="AU389" i="2" s="1"/>
  <c r="AE410" i="5"/>
  <c r="AF410" i="5" s="1"/>
  <c r="S377" i="5"/>
  <c r="BK26" i="5"/>
  <c r="R364" i="2"/>
  <c r="S364" i="2" s="1"/>
  <c r="AK364" i="2"/>
  <c r="AB365" i="2"/>
  <c r="AD365" i="2" s="1"/>
  <c r="AY389" i="2" l="1"/>
  <c r="AT370" i="5"/>
  <c r="BB369" i="5"/>
  <c r="V364" i="2"/>
  <c r="BM26" i="5"/>
  <c r="BN26" i="5" s="1"/>
  <c r="AL410" i="5"/>
  <c r="T377" i="5"/>
  <c r="W377" i="5" s="1"/>
  <c r="AE365" i="2"/>
  <c r="AV370" i="5" l="1"/>
  <c r="AW370" i="5" s="1"/>
  <c r="AC411" i="5"/>
  <c r="AE411" i="5" s="1"/>
  <c r="AF411" i="5" s="1"/>
  <c r="AM410" i="5"/>
  <c r="BO26" i="5"/>
  <c r="X377" i="5"/>
  <c r="N378" i="5"/>
  <c r="O378" i="5"/>
  <c r="P378" i="5" s="1"/>
  <c r="W364" i="2"/>
  <c r="N365" i="2"/>
  <c r="O365" i="2" s="1"/>
  <c r="M365" i="2"/>
  <c r="AR390" i="2"/>
  <c r="AZ389" i="2"/>
  <c r="AJ365" i="2"/>
  <c r="BP26" i="5" l="1"/>
  <c r="BA370" i="5"/>
  <c r="AT390" i="2"/>
  <c r="AU390" i="2" s="1"/>
  <c r="BK27" i="5"/>
  <c r="BM27" i="5" s="1"/>
  <c r="BN27" i="5" s="1"/>
  <c r="S378" i="5"/>
  <c r="T378" i="5" s="1"/>
  <c r="AL411" i="5"/>
  <c r="R365" i="2"/>
  <c r="S365" i="2" s="1"/>
  <c r="AK365" i="2"/>
  <c r="AB366" i="2"/>
  <c r="AD366" i="2" s="1"/>
  <c r="AY390" i="2" l="1"/>
  <c r="AT371" i="5"/>
  <c r="BB370" i="5"/>
  <c r="V365" i="2"/>
  <c r="W378" i="5"/>
  <c r="BO27" i="5"/>
  <c r="BP27" i="5" s="1"/>
  <c r="AC412" i="5"/>
  <c r="AM411" i="5"/>
  <c r="AE366" i="2"/>
  <c r="AV371" i="5" l="1"/>
  <c r="AW371" i="5" s="1"/>
  <c r="N379" i="5"/>
  <c r="O379" i="5"/>
  <c r="P379" i="5" s="1"/>
  <c r="X378" i="5"/>
  <c r="BK28" i="5"/>
  <c r="AE412" i="5"/>
  <c r="AF412" i="5" s="1"/>
  <c r="W365" i="2"/>
  <c r="M366" i="2"/>
  <c r="N366" i="2"/>
  <c r="O366" i="2" s="1"/>
  <c r="AZ390" i="2"/>
  <c r="AR391" i="2"/>
  <c r="AJ366" i="2"/>
  <c r="BA371" i="5" l="1"/>
  <c r="AT391" i="2"/>
  <c r="AU391" i="2" s="1"/>
  <c r="S379" i="5"/>
  <c r="T379" i="5" s="1"/>
  <c r="W379" i="5" s="1"/>
  <c r="BM28" i="5"/>
  <c r="BN28" i="5" s="1"/>
  <c r="BO28" i="5" s="1"/>
  <c r="BP28" i="5" s="1"/>
  <c r="AL412" i="5"/>
  <c r="R366" i="2"/>
  <c r="S366" i="2" s="1"/>
  <c r="AK366" i="2"/>
  <c r="AB367" i="2"/>
  <c r="AD367" i="2" s="1"/>
  <c r="AT372" i="5" l="1"/>
  <c r="BB371" i="5"/>
  <c r="AY391" i="2"/>
  <c r="V366" i="2"/>
  <c r="BK29" i="5"/>
  <c r="X379" i="5"/>
  <c r="O380" i="5"/>
  <c r="P380" i="5" s="1"/>
  <c r="H57" i="9"/>
  <c r="N380" i="5"/>
  <c r="AC413" i="5"/>
  <c r="AM412" i="5"/>
  <c r="AE367" i="2"/>
  <c r="AV372" i="5" l="1"/>
  <c r="AW372" i="5" s="1"/>
  <c r="BM29" i="5"/>
  <c r="BN29" i="5" s="1"/>
  <c r="AE413" i="5"/>
  <c r="AF413" i="5" s="1"/>
  <c r="S380" i="5"/>
  <c r="I58" i="7"/>
  <c r="W366" i="2"/>
  <c r="M367" i="2"/>
  <c r="N367" i="2"/>
  <c r="O367" i="2" s="1"/>
  <c r="AZ391" i="2"/>
  <c r="AR392" i="2"/>
  <c r="AJ367" i="2"/>
  <c r="BA372" i="5" l="1"/>
  <c r="AT392" i="2"/>
  <c r="AU392" i="2" s="1"/>
  <c r="BO29" i="5"/>
  <c r="BP29" i="5" s="1"/>
  <c r="T380" i="5"/>
  <c r="W380" i="5" s="1"/>
  <c r="J56" i="7"/>
  <c r="AL413" i="5"/>
  <c r="R367" i="2"/>
  <c r="S367" i="2" s="1"/>
  <c r="AK367" i="2"/>
  <c r="AB368" i="2"/>
  <c r="AD368" i="2" s="1"/>
  <c r="AY392" i="2" l="1"/>
  <c r="BB372" i="5"/>
  <c r="AT373" i="5"/>
  <c r="V367" i="2"/>
  <c r="BK30" i="5"/>
  <c r="BM30" i="5" s="1"/>
  <c r="X380" i="5"/>
  <c r="O381" i="5"/>
  <c r="P381" i="5" s="1"/>
  <c r="N381" i="5"/>
  <c r="AC414" i="5"/>
  <c r="AM413" i="5"/>
  <c r="AE368" i="2"/>
  <c r="AV373" i="5" l="1"/>
  <c r="AW373" i="5" s="1"/>
  <c r="BN30" i="5"/>
  <c r="BO30" i="5" s="1"/>
  <c r="BP30" i="5" s="1"/>
  <c r="AE414" i="5"/>
  <c r="AF414" i="5" s="1"/>
  <c r="S381" i="5"/>
  <c r="H56" i="7"/>
  <c r="L56" i="7" s="1"/>
  <c r="W367" i="2"/>
  <c r="M56" i="7" s="1"/>
  <c r="N368" i="2"/>
  <c r="O368" i="2" s="1"/>
  <c r="M368" i="2"/>
  <c r="AR393" i="2"/>
  <c r="AZ392" i="2"/>
  <c r="AJ368" i="2"/>
  <c r="BA373" i="5" l="1"/>
  <c r="AT393" i="2"/>
  <c r="AU393" i="2" s="1"/>
  <c r="BK31" i="5"/>
  <c r="T381" i="5"/>
  <c r="W381" i="5" s="1"/>
  <c r="R368" i="2"/>
  <c r="S368" i="2" s="1"/>
  <c r="AK368" i="2"/>
  <c r="AB369" i="2"/>
  <c r="AD369" i="2" s="1"/>
  <c r="AY393" i="2" l="1"/>
  <c r="BB373" i="5"/>
  <c r="AT374" i="5"/>
  <c r="V368" i="2"/>
  <c r="BM31" i="5"/>
  <c r="BN31" i="5" s="1"/>
  <c r="X381" i="5"/>
  <c r="O382" i="5"/>
  <c r="P382" i="5" s="1"/>
  <c r="N382" i="5"/>
  <c r="AL414" i="5"/>
  <c r="AE369" i="2"/>
  <c r="AV374" i="5" l="1"/>
  <c r="AW374" i="5" s="1"/>
  <c r="BO31" i="5"/>
  <c r="BP31" i="5" s="1"/>
  <c r="S382" i="5"/>
  <c r="T382" i="5" s="1"/>
  <c r="W368" i="2"/>
  <c r="AC415" i="5"/>
  <c r="AM414" i="5"/>
  <c r="M369" i="2"/>
  <c r="N369" i="2"/>
  <c r="O369" i="2" s="1"/>
  <c r="AZ393" i="2"/>
  <c r="AR394" i="2"/>
  <c r="AJ369" i="2"/>
  <c r="BA374" i="5" l="1"/>
  <c r="AT394" i="2"/>
  <c r="AU394" i="2" s="1"/>
  <c r="W382" i="5"/>
  <c r="K28" i="9"/>
  <c r="L28" i="9" s="1"/>
  <c r="M28" i="9" s="1"/>
  <c r="BK32" i="5"/>
  <c r="BM32" i="5" s="1"/>
  <c r="BN32" i="5" s="1"/>
  <c r="BO32" i="5" s="1"/>
  <c r="BP32" i="5" s="1"/>
  <c r="K28" i="8"/>
  <c r="L28" i="8" s="1"/>
  <c r="M28" i="8" s="1"/>
  <c r="AE415" i="5"/>
  <c r="AF415" i="5" s="1"/>
  <c r="AL415" i="5" s="1"/>
  <c r="J60" i="9" s="1"/>
  <c r="R369" i="2"/>
  <c r="S369" i="2" s="1"/>
  <c r="AK369" i="2"/>
  <c r="AB370" i="2"/>
  <c r="AD370" i="2" s="1"/>
  <c r="AY394" i="2" l="1"/>
  <c r="AT375" i="5"/>
  <c r="BB374" i="5"/>
  <c r="N383" i="5"/>
  <c r="O383" i="5"/>
  <c r="P383" i="5" s="1"/>
  <c r="X382" i="5"/>
  <c r="V369" i="2"/>
  <c r="BK33" i="5"/>
  <c r="AC416" i="5"/>
  <c r="AM415" i="5"/>
  <c r="AE370" i="2"/>
  <c r="AV375" i="5" l="1"/>
  <c r="AW375" i="5" s="1"/>
  <c r="S383" i="5"/>
  <c r="T383" i="5" s="1"/>
  <c r="W383" i="5" s="1"/>
  <c r="BM33" i="5"/>
  <c r="BN33" i="5" s="1"/>
  <c r="AE416" i="5"/>
  <c r="AF416" i="5" s="1"/>
  <c r="W369" i="2"/>
  <c r="M370" i="2"/>
  <c r="N370" i="2"/>
  <c r="O370" i="2" s="1"/>
  <c r="AZ394" i="2"/>
  <c r="AR395" i="2"/>
  <c r="AJ370" i="2"/>
  <c r="BA375" i="5" l="1"/>
  <c r="AT395" i="2"/>
  <c r="AU395" i="2" s="1"/>
  <c r="BO33" i="5"/>
  <c r="AL416" i="5"/>
  <c r="X383" i="5"/>
  <c r="O384" i="5"/>
  <c r="P384" i="5" s="1"/>
  <c r="N384" i="5"/>
  <c r="R370" i="2"/>
  <c r="S370" i="2" s="1"/>
  <c r="AK370" i="2"/>
  <c r="AB371" i="2"/>
  <c r="AD371" i="2" s="1"/>
  <c r="BP33" i="5" l="1"/>
  <c r="AY395" i="2"/>
  <c r="BB375" i="5"/>
  <c r="AT376" i="5"/>
  <c r="V370" i="2"/>
  <c r="AC417" i="5"/>
  <c r="AE417" i="5" s="1"/>
  <c r="AF417" i="5" s="1"/>
  <c r="AL417" i="5" s="1"/>
  <c r="BK34" i="5"/>
  <c r="BM34" i="5" s="1"/>
  <c r="BN34" i="5" s="1"/>
  <c r="AM416" i="5"/>
  <c r="S384" i="5"/>
  <c r="T384" i="5" s="1"/>
  <c r="AE371" i="2"/>
  <c r="AV376" i="5" l="1"/>
  <c r="AW376" i="5" s="1"/>
  <c r="W384" i="5"/>
  <c r="X384" i="5" s="1"/>
  <c r="BO34" i="5"/>
  <c r="BP34" i="5" s="1"/>
  <c r="W370" i="2"/>
  <c r="AC418" i="5"/>
  <c r="AM417" i="5"/>
  <c r="N371" i="2"/>
  <c r="O371" i="2" s="1"/>
  <c r="M371" i="2"/>
  <c r="AR396" i="2"/>
  <c r="AZ395" i="2"/>
  <c r="AJ371" i="2"/>
  <c r="BA376" i="5" l="1"/>
  <c r="AT396" i="2"/>
  <c r="AU396" i="2" s="1"/>
  <c r="N385" i="5"/>
  <c r="O385" i="5"/>
  <c r="P385" i="5" s="1"/>
  <c r="BK35" i="5"/>
  <c r="BM35" i="5" s="1"/>
  <c r="BN35" i="5" s="1"/>
  <c r="AE418" i="5"/>
  <c r="AF418" i="5" s="1"/>
  <c r="R371" i="2"/>
  <c r="S371" i="2" s="1"/>
  <c r="AK371" i="2"/>
  <c r="AB372" i="2"/>
  <c r="AD372" i="2" s="1"/>
  <c r="AY396" i="2" l="1"/>
  <c r="AT377" i="5"/>
  <c r="BB376" i="5"/>
  <c r="S385" i="5"/>
  <c r="T385" i="5" s="1"/>
  <c r="W385" i="5" s="1"/>
  <c r="V371" i="2"/>
  <c r="BO35" i="5"/>
  <c r="BP35" i="5" s="1"/>
  <c r="AL418" i="5"/>
  <c r="AE372" i="2"/>
  <c r="AV377" i="5" l="1"/>
  <c r="AW377" i="5" s="1"/>
  <c r="BK36" i="5"/>
  <c r="X385" i="5"/>
  <c r="O386" i="5"/>
  <c r="P386" i="5" s="1"/>
  <c r="N386" i="5"/>
  <c r="AR397" i="2"/>
  <c r="W371" i="2"/>
  <c r="AC419" i="5"/>
  <c r="AM418" i="5"/>
  <c r="AZ396" i="2"/>
  <c r="M372" i="2"/>
  <c r="N372" i="2"/>
  <c r="O372" i="2" s="1"/>
  <c r="AJ372" i="2"/>
  <c r="BA377" i="5" l="1"/>
  <c r="AT397" i="2"/>
  <c r="AU397" i="2" s="1"/>
  <c r="BM36" i="5"/>
  <c r="BN36" i="5" s="1"/>
  <c r="AE419" i="5"/>
  <c r="AF419" i="5" s="1"/>
  <c r="S386" i="5"/>
  <c r="R372" i="2"/>
  <c r="S372" i="2" s="1"/>
  <c r="AK372" i="2"/>
  <c r="AB373" i="2"/>
  <c r="AD373" i="2" s="1"/>
  <c r="BB377" i="5" l="1"/>
  <c r="AT378" i="5"/>
  <c r="AY397" i="2"/>
  <c r="V372" i="2"/>
  <c r="BO36" i="5"/>
  <c r="BP36" i="5" s="1"/>
  <c r="T386" i="5"/>
  <c r="W386" i="5" s="1"/>
  <c r="AL419" i="5"/>
  <c r="AE373" i="2"/>
  <c r="AV378" i="5" l="1"/>
  <c r="AW378" i="5" s="1"/>
  <c r="AR398" i="2"/>
  <c r="AT398" i="2" s="1"/>
  <c r="AU398" i="2" s="1"/>
  <c r="AZ397" i="2"/>
  <c r="BK37" i="5"/>
  <c r="BM37" i="5" s="1"/>
  <c r="X386" i="5"/>
  <c r="N387" i="5"/>
  <c r="O387" i="5"/>
  <c r="P387" i="5" s="1"/>
  <c r="W372" i="2"/>
  <c r="AC420" i="5"/>
  <c r="AM419" i="5"/>
  <c r="N373" i="2"/>
  <c r="O373" i="2" s="1"/>
  <c r="M373" i="2"/>
  <c r="AJ373" i="2"/>
  <c r="BA378" i="5" l="1"/>
  <c r="AY398" i="2"/>
  <c r="BN37" i="5"/>
  <c r="BO37" i="5" s="1"/>
  <c r="BP37" i="5" s="1"/>
  <c r="AE420" i="5"/>
  <c r="AF420" i="5" s="1"/>
  <c r="S387" i="5"/>
  <c r="T387" i="5" s="1"/>
  <c r="R373" i="2"/>
  <c r="S373" i="2" s="1"/>
  <c r="AK373" i="2"/>
  <c r="AB374" i="2"/>
  <c r="AD374" i="2" s="1"/>
  <c r="BB378" i="5" l="1"/>
  <c r="AT379" i="5"/>
  <c r="V373" i="2"/>
  <c r="W387" i="5"/>
  <c r="BK38" i="5"/>
  <c r="AL420" i="5"/>
  <c r="AR399" i="2"/>
  <c r="AZ398" i="2"/>
  <c r="AE374" i="2"/>
  <c r="AV379" i="5" l="1"/>
  <c r="AW379" i="5" s="1"/>
  <c r="AT399" i="2"/>
  <c r="BM38" i="5"/>
  <c r="BN38" i="5" s="1"/>
  <c r="X387" i="5"/>
  <c r="N388" i="5"/>
  <c r="O388" i="5"/>
  <c r="P388" i="5" s="1"/>
  <c r="W373" i="2"/>
  <c r="AC421" i="5"/>
  <c r="AM420" i="5"/>
  <c r="M374" i="2"/>
  <c r="N374" i="2"/>
  <c r="O374" i="2" s="1"/>
  <c r="AJ374" i="2"/>
  <c r="BA379" i="5" l="1"/>
  <c r="AU399" i="2"/>
  <c r="AY399" i="2" s="1"/>
  <c r="BO38" i="5"/>
  <c r="AE421" i="5"/>
  <c r="AF421" i="5" s="1"/>
  <c r="S388" i="5"/>
  <c r="T388" i="5" s="1"/>
  <c r="R374" i="2"/>
  <c r="S374" i="2" s="1"/>
  <c r="AK374" i="2"/>
  <c r="AB375" i="2"/>
  <c r="AD375" i="2" s="1"/>
  <c r="BK39" i="5" l="1"/>
  <c r="BM39" i="5" s="1"/>
  <c r="BN39" i="5" s="1"/>
  <c r="BO39" i="5" s="1"/>
  <c r="BP39" i="5" s="1"/>
  <c r="BP38" i="5"/>
  <c r="BB379" i="5"/>
  <c r="I57" i="9"/>
  <c r="AT380" i="5"/>
  <c r="V374" i="2"/>
  <c r="W388" i="5"/>
  <c r="AL421" i="5"/>
  <c r="AZ399" i="2"/>
  <c r="AR400" i="2"/>
  <c r="AE375" i="2"/>
  <c r="AV380" i="5" l="1"/>
  <c r="AW380" i="5" s="1"/>
  <c r="AT400" i="2"/>
  <c r="AU400" i="2" s="1"/>
  <c r="BK40" i="5"/>
  <c r="X388" i="5"/>
  <c r="O389" i="5"/>
  <c r="P389" i="5" s="1"/>
  <c r="N389" i="5"/>
  <c r="W374" i="2"/>
  <c r="AC422" i="5"/>
  <c r="AM421" i="5"/>
  <c r="N375" i="2"/>
  <c r="O375" i="2" s="1"/>
  <c r="M375" i="2"/>
  <c r="AJ375" i="2"/>
  <c r="AY400" i="2" l="1"/>
  <c r="BA380" i="5"/>
  <c r="BM40" i="5"/>
  <c r="BN40" i="5" s="1"/>
  <c r="BO40" i="5" s="1"/>
  <c r="BP40" i="5" s="1"/>
  <c r="AE422" i="5"/>
  <c r="AF422" i="5" s="1"/>
  <c r="S389" i="5"/>
  <c r="T389" i="5" s="1"/>
  <c r="R375" i="2"/>
  <c r="S375" i="2" s="1"/>
  <c r="AK375" i="2"/>
  <c r="AB376" i="2"/>
  <c r="AD376" i="2" s="1"/>
  <c r="BB380" i="5" l="1"/>
  <c r="AT381" i="5"/>
  <c r="V375" i="2"/>
  <c r="W389" i="5"/>
  <c r="BK41" i="5"/>
  <c r="AL422" i="5"/>
  <c r="AZ400" i="2"/>
  <c r="AR401" i="2"/>
  <c r="AE376" i="2"/>
  <c r="AV381" i="5" l="1"/>
  <c r="AW381" i="5" s="1"/>
  <c r="AT401" i="2"/>
  <c r="AU401" i="2" s="1"/>
  <c r="AC423" i="5"/>
  <c r="AE423" i="5" s="1"/>
  <c r="AF423" i="5" s="1"/>
  <c r="AL423" i="5" s="1"/>
  <c r="AM422" i="5"/>
  <c r="BM41" i="5"/>
  <c r="BN41" i="5" s="1"/>
  <c r="X389" i="5"/>
  <c r="O390" i="5"/>
  <c r="P390" i="5" s="1"/>
  <c r="N390" i="5"/>
  <c r="W375" i="2"/>
  <c r="N376" i="2"/>
  <c r="O376" i="2" s="1"/>
  <c r="M376" i="2"/>
  <c r="AJ376" i="2"/>
  <c r="AY401" i="2" l="1"/>
  <c r="BA381" i="5"/>
  <c r="BO41" i="5"/>
  <c r="BP41" i="5" s="1"/>
  <c r="S390" i="5"/>
  <c r="T390" i="5" s="1"/>
  <c r="AC424" i="5"/>
  <c r="AM423" i="5"/>
  <c r="R376" i="2"/>
  <c r="S376" i="2" s="1"/>
  <c r="AK376" i="2"/>
  <c r="AB377" i="2"/>
  <c r="AD377" i="2" s="1"/>
  <c r="BB381" i="5" l="1"/>
  <c r="AT382" i="5"/>
  <c r="V376" i="2"/>
  <c r="W390" i="5"/>
  <c r="BK42" i="5"/>
  <c r="BM42" i="5" s="1"/>
  <c r="BN42" i="5" s="1"/>
  <c r="AE424" i="5"/>
  <c r="AF424" i="5" s="1"/>
  <c r="AL424" i="5" s="1"/>
  <c r="AZ401" i="2"/>
  <c r="AR402" i="2"/>
  <c r="AE377" i="2"/>
  <c r="AV382" i="5" l="1"/>
  <c r="AW382" i="5" s="1"/>
  <c r="AT402" i="2"/>
  <c r="AU402" i="2" s="1"/>
  <c r="BO42" i="5"/>
  <c r="BP42" i="5" s="1"/>
  <c r="X390" i="5"/>
  <c r="O391" i="5"/>
  <c r="P391" i="5" s="1"/>
  <c r="N391" i="5"/>
  <c r="W376" i="2"/>
  <c r="AC425" i="5"/>
  <c r="AM424" i="5"/>
  <c r="M377" i="2"/>
  <c r="N377" i="2"/>
  <c r="O377" i="2" s="1"/>
  <c r="AJ377" i="2"/>
  <c r="AY402" i="2" l="1"/>
  <c r="BA382" i="5"/>
  <c r="BK43" i="5"/>
  <c r="AE425" i="5"/>
  <c r="AF425" i="5" s="1"/>
  <c r="S391" i="5"/>
  <c r="T391" i="5" s="1"/>
  <c r="R377" i="2"/>
  <c r="S377" i="2" s="1"/>
  <c r="AK377" i="2"/>
  <c r="AB378" i="2"/>
  <c r="AD378" i="2" s="1"/>
  <c r="BB382" i="5" l="1"/>
  <c r="AT383" i="5"/>
  <c r="V377" i="2"/>
  <c r="W391" i="5"/>
  <c r="BM43" i="5"/>
  <c r="AZ402" i="2"/>
  <c r="AL425" i="5"/>
  <c r="AR403" i="2"/>
  <c r="AE378" i="2"/>
  <c r="AV383" i="5" l="1"/>
  <c r="AW383" i="5" s="1"/>
  <c r="BN43" i="5"/>
  <c r="BO43" i="5" s="1"/>
  <c r="BP43" i="5" s="1"/>
  <c r="X391" i="5"/>
  <c r="O392" i="5"/>
  <c r="P392" i="5" s="1"/>
  <c r="H58" i="9"/>
  <c r="N392" i="5"/>
  <c r="W377" i="2"/>
  <c r="AC426" i="5"/>
  <c r="AM425" i="5"/>
  <c r="AT403" i="2"/>
  <c r="AU403" i="2" s="1"/>
  <c r="M378" i="2"/>
  <c r="N378" i="2"/>
  <c r="O378" i="2" s="1"/>
  <c r="AJ378" i="2"/>
  <c r="BA383" i="5" l="1"/>
  <c r="AY403" i="2"/>
  <c r="BK44" i="5"/>
  <c r="K29" i="8"/>
  <c r="L29" i="8" s="1"/>
  <c r="K29" i="9"/>
  <c r="L29" i="9" s="1"/>
  <c r="AE426" i="5"/>
  <c r="AF426" i="5" s="1"/>
  <c r="S392" i="5"/>
  <c r="T392" i="5" s="1"/>
  <c r="R378" i="2"/>
  <c r="S378" i="2" s="1"/>
  <c r="AK378" i="2"/>
  <c r="AB379" i="2"/>
  <c r="AD379" i="2" s="1"/>
  <c r="M29" i="8" l="1"/>
  <c r="M29" i="9"/>
  <c r="BB383" i="5"/>
  <c r="AT384" i="5"/>
  <c r="V378" i="2"/>
  <c r="W392" i="5"/>
  <c r="X392" i="5" s="1"/>
  <c r="BM44" i="5"/>
  <c r="BN44" i="5" s="1"/>
  <c r="BO44" i="5" s="1"/>
  <c r="BP44" i="5" s="1"/>
  <c r="AL426" i="5"/>
  <c r="I59" i="7"/>
  <c r="AR404" i="2"/>
  <c r="AZ403" i="2"/>
  <c r="AE379" i="2"/>
  <c r="AV384" i="5" l="1"/>
  <c r="AW384" i="5" s="1"/>
  <c r="AT404" i="2"/>
  <c r="AU404" i="2" s="1"/>
  <c r="N393" i="5"/>
  <c r="O393" i="5"/>
  <c r="P393" i="5" s="1"/>
  <c r="BK45" i="5"/>
  <c r="AM426" i="5"/>
  <c r="AC427" i="5"/>
  <c r="W378" i="2"/>
  <c r="N379" i="2"/>
  <c r="O379" i="2" s="1"/>
  <c r="M379" i="2"/>
  <c r="AJ379" i="2"/>
  <c r="BA384" i="5" l="1"/>
  <c r="AY404" i="2"/>
  <c r="S393" i="5"/>
  <c r="T393" i="5" s="1"/>
  <c r="BM45" i="5"/>
  <c r="AE427" i="5"/>
  <c r="AF427" i="5" s="1"/>
  <c r="J57" i="7"/>
  <c r="J41" i="6"/>
  <c r="R379" i="2"/>
  <c r="S379" i="2" s="1"/>
  <c r="AK379" i="2"/>
  <c r="AB380" i="2"/>
  <c r="AD380" i="2" s="1"/>
  <c r="AT385" i="5" l="1"/>
  <c r="BB384" i="5"/>
  <c r="AZ404" i="2"/>
  <c r="AR405" i="2"/>
  <c r="W393" i="5"/>
  <c r="X393" i="5" s="1"/>
  <c r="V379" i="2"/>
  <c r="BN45" i="5"/>
  <c r="BO45" i="5" s="1"/>
  <c r="BP45" i="5" s="1"/>
  <c r="AL427" i="5"/>
  <c r="AE380" i="2"/>
  <c r="AV385" i="5" l="1"/>
  <c r="AW385" i="5" s="1"/>
  <c r="AT405" i="2"/>
  <c r="N394" i="5"/>
  <c r="O394" i="5"/>
  <c r="P394" i="5" s="1"/>
  <c r="BK46" i="5"/>
  <c r="J61" i="9"/>
  <c r="H41" i="6"/>
  <c r="L41" i="6" s="1"/>
  <c r="H57" i="7"/>
  <c r="L57" i="7" s="1"/>
  <c r="W379" i="2"/>
  <c r="AC428" i="5"/>
  <c r="AM427" i="5"/>
  <c r="N380" i="2"/>
  <c r="O380" i="2" s="1"/>
  <c r="M380" i="2"/>
  <c r="AJ380" i="2"/>
  <c r="BA385" i="5" l="1"/>
  <c r="AU405" i="2"/>
  <c r="AY405" i="2" s="1"/>
  <c r="S394" i="5"/>
  <c r="BM46" i="5"/>
  <c r="AE428" i="5"/>
  <c r="AF428" i="5" s="1"/>
  <c r="AL428" i="5" s="1"/>
  <c r="M41" i="6"/>
  <c r="M57" i="7"/>
  <c r="R380" i="2"/>
  <c r="S380" i="2" s="1"/>
  <c r="AK380" i="2"/>
  <c r="AB381" i="2"/>
  <c r="AD381" i="2" s="1"/>
  <c r="BB385" i="5" l="1"/>
  <c r="AT386" i="5"/>
  <c r="AR406" i="2"/>
  <c r="AZ405" i="2"/>
  <c r="T394" i="5"/>
  <c r="W394" i="5" s="1"/>
  <c r="V380" i="2"/>
  <c r="BN46" i="5"/>
  <c r="BO46" i="5" s="1"/>
  <c r="BP46" i="5" s="1"/>
  <c r="AC429" i="5"/>
  <c r="AM428" i="5"/>
  <c r="AE381" i="2"/>
  <c r="AV386" i="5" l="1"/>
  <c r="AW386" i="5" s="1"/>
  <c r="AT406" i="2"/>
  <c r="O395" i="5"/>
  <c r="P395" i="5" s="1"/>
  <c r="X394" i="5"/>
  <c r="N395" i="5"/>
  <c r="BK47" i="5"/>
  <c r="AE429" i="5"/>
  <c r="AF429" i="5" s="1"/>
  <c r="W380" i="2"/>
  <c r="N381" i="2"/>
  <c r="O381" i="2" s="1"/>
  <c r="M381" i="2"/>
  <c r="AJ381" i="2"/>
  <c r="BA386" i="5" l="1"/>
  <c r="AU406" i="2"/>
  <c r="AY406" i="2" s="1"/>
  <c r="S395" i="5"/>
  <c r="T395" i="5" s="1"/>
  <c r="W395" i="5" s="1"/>
  <c r="BM47" i="5"/>
  <c r="AL429" i="5"/>
  <c r="R381" i="2"/>
  <c r="S381" i="2" s="1"/>
  <c r="AK381" i="2"/>
  <c r="AB382" i="2"/>
  <c r="AD382" i="2" s="1"/>
  <c r="AT387" i="5" l="1"/>
  <c r="BB386" i="5"/>
  <c r="AZ406" i="2"/>
  <c r="AR407" i="2"/>
  <c r="X395" i="5"/>
  <c r="O396" i="5"/>
  <c r="P396" i="5" s="1"/>
  <c r="N396" i="5"/>
  <c r="V381" i="2"/>
  <c r="BN47" i="5"/>
  <c r="BO47" i="5" s="1"/>
  <c r="BP47" i="5" s="1"/>
  <c r="AC430" i="5"/>
  <c r="AM429" i="5"/>
  <c r="AE382" i="2"/>
  <c r="AV387" i="5" l="1"/>
  <c r="AW387" i="5" s="1"/>
  <c r="AT407" i="2"/>
  <c r="S396" i="5"/>
  <c r="T396" i="5" s="1"/>
  <c r="W396" i="5" s="1"/>
  <c r="X396" i="5" s="1"/>
  <c r="BK48" i="5"/>
  <c r="AE430" i="5"/>
  <c r="AF430" i="5" s="1"/>
  <c r="W381" i="2"/>
  <c r="M382" i="2"/>
  <c r="N382" i="2"/>
  <c r="O382" i="2" s="1"/>
  <c r="AJ382" i="2"/>
  <c r="BA387" i="5" l="1"/>
  <c r="AU407" i="2"/>
  <c r="AY407" i="2" s="1"/>
  <c r="N397" i="5"/>
  <c r="O397" i="5"/>
  <c r="P397" i="5" s="1"/>
  <c r="BM48" i="5"/>
  <c r="BN48" i="5" s="1"/>
  <c r="AL430" i="5"/>
  <c r="R382" i="2"/>
  <c r="S382" i="2" s="1"/>
  <c r="AK382" i="2"/>
  <c r="AB383" i="2"/>
  <c r="AD383" i="2" s="1"/>
  <c r="BB387" i="5" l="1"/>
  <c r="AT388" i="5"/>
  <c r="S397" i="5"/>
  <c r="T397" i="5" s="1"/>
  <c r="V382" i="2"/>
  <c r="BO48" i="5"/>
  <c r="BP48" i="5" s="1"/>
  <c r="AC431" i="5"/>
  <c r="AM430" i="5"/>
  <c r="AE383" i="2"/>
  <c r="AV388" i="5" l="1"/>
  <c r="AW388" i="5" s="1"/>
  <c r="AZ407" i="2"/>
  <c r="AR408" i="2"/>
  <c r="W397" i="5"/>
  <c r="BK49" i="5"/>
  <c r="AE431" i="5"/>
  <c r="AF431" i="5" s="1"/>
  <c r="W382" i="2"/>
  <c r="N383" i="2"/>
  <c r="O383" i="2" s="1"/>
  <c r="M383" i="2"/>
  <c r="AJ383" i="2"/>
  <c r="BA388" i="5" l="1"/>
  <c r="AT408" i="2"/>
  <c r="AU408" i="2" s="1"/>
  <c r="X397" i="5"/>
  <c r="O398" i="5"/>
  <c r="P398" i="5" s="1"/>
  <c r="N398" i="5"/>
  <c r="BM49" i="5"/>
  <c r="AL431" i="5"/>
  <c r="R383" i="2"/>
  <c r="AK383" i="2"/>
  <c r="AB384" i="2"/>
  <c r="AD384" i="2" s="1"/>
  <c r="BB388" i="5" l="1"/>
  <c r="AT389" i="5"/>
  <c r="AY408" i="2"/>
  <c r="AR409" i="2" s="1"/>
  <c r="S398" i="5"/>
  <c r="T398" i="5" s="1"/>
  <c r="BN49" i="5"/>
  <c r="BO49" i="5" s="1"/>
  <c r="BP49" i="5" s="1"/>
  <c r="AC432" i="5"/>
  <c r="AM431" i="5"/>
  <c r="S383" i="2"/>
  <c r="V383" i="2" s="1"/>
  <c r="AE384" i="2"/>
  <c r="AZ408" i="2" l="1"/>
  <c r="AV389" i="5"/>
  <c r="AW389" i="5" s="1"/>
  <c r="W398" i="5"/>
  <c r="AT409" i="2"/>
  <c r="AU409" i="2" s="1"/>
  <c r="BK50" i="5"/>
  <c r="AE432" i="5"/>
  <c r="AF432" i="5" s="1"/>
  <c r="AJ384" i="2"/>
  <c r="BA389" i="5" l="1"/>
  <c r="N399" i="5"/>
  <c r="O399" i="5"/>
  <c r="P399" i="5" s="1"/>
  <c r="X398" i="5"/>
  <c r="AY409" i="2"/>
  <c r="W383" i="2"/>
  <c r="BM50" i="5"/>
  <c r="AL432" i="5"/>
  <c r="AC433" i="5" s="1"/>
  <c r="N384" i="2"/>
  <c r="O384" i="2" s="1"/>
  <c r="M384" i="2"/>
  <c r="AK384" i="2"/>
  <c r="AB385" i="2"/>
  <c r="AD385" i="2" s="1"/>
  <c r="S399" i="5" l="1"/>
  <c r="T399" i="5" s="1"/>
  <c r="W399" i="5" s="1"/>
  <c r="X399" i="5" s="1"/>
  <c r="AT390" i="5"/>
  <c r="BB389" i="5"/>
  <c r="AR410" i="2"/>
  <c r="AT410" i="2" s="1"/>
  <c r="AU410" i="2" s="1"/>
  <c r="AZ409" i="2"/>
  <c r="BN50" i="5"/>
  <c r="BO50" i="5" s="1"/>
  <c r="BP50" i="5" s="1"/>
  <c r="AE433" i="5"/>
  <c r="AF433" i="5" s="1"/>
  <c r="AL433" i="5" s="1"/>
  <c r="AM432" i="5"/>
  <c r="R384" i="2"/>
  <c r="S384" i="2" s="1"/>
  <c r="AE385" i="2"/>
  <c r="O400" i="5" l="1"/>
  <c r="P400" i="5" s="1"/>
  <c r="N400" i="5"/>
  <c r="AV390" i="5"/>
  <c r="AW390" i="5" s="1"/>
  <c r="AY410" i="2"/>
  <c r="V384" i="2"/>
  <c r="BK51" i="5"/>
  <c r="AC434" i="5"/>
  <c r="AM433" i="5"/>
  <c r="AJ385" i="2"/>
  <c r="AZ410" i="2" l="1"/>
  <c r="AR411" i="2"/>
  <c r="AT411" i="2" s="1"/>
  <c r="AU411" i="2" s="1"/>
  <c r="S400" i="5"/>
  <c r="T400" i="5" s="1"/>
  <c r="W400" i="5" s="1"/>
  <c r="BA390" i="5"/>
  <c r="BM51" i="5"/>
  <c r="BN51" i="5" s="1"/>
  <c r="BO51" i="5" s="1"/>
  <c r="BP51" i="5" s="1"/>
  <c r="AE434" i="5"/>
  <c r="AF434" i="5" s="1"/>
  <c r="W384" i="2"/>
  <c r="M385" i="2"/>
  <c r="N385" i="2"/>
  <c r="O385" i="2" s="1"/>
  <c r="AK385" i="2"/>
  <c r="AB386" i="2"/>
  <c r="AD386" i="2" s="1"/>
  <c r="AT391" i="5" l="1"/>
  <c r="BB390" i="5"/>
  <c r="AY411" i="2"/>
  <c r="BK52" i="5"/>
  <c r="X400" i="5"/>
  <c r="O401" i="5"/>
  <c r="P401" i="5" s="1"/>
  <c r="N401" i="5"/>
  <c r="R385" i="2"/>
  <c r="S385" i="2" s="1"/>
  <c r="AL434" i="5"/>
  <c r="AE386" i="2"/>
  <c r="AV391" i="5" l="1"/>
  <c r="AW391" i="5" s="1"/>
  <c r="AZ411" i="2"/>
  <c r="AR412" i="2"/>
  <c r="V385" i="2"/>
  <c r="BM52" i="5"/>
  <c r="BN52" i="5" s="1"/>
  <c r="BO52" i="5" s="1"/>
  <c r="BP52" i="5" s="1"/>
  <c r="S401" i="5"/>
  <c r="AC435" i="5"/>
  <c r="AM434" i="5"/>
  <c r="AJ386" i="2"/>
  <c r="BA391" i="5" l="1"/>
  <c r="AT412" i="2"/>
  <c r="BK53" i="5"/>
  <c r="AE435" i="5"/>
  <c r="AF435" i="5" s="1"/>
  <c r="T401" i="5"/>
  <c r="W401" i="5" s="1"/>
  <c r="W385" i="2"/>
  <c r="M386" i="2"/>
  <c r="N386" i="2"/>
  <c r="O386" i="2" s="1"/>
  <c r="AK386" i="2"/>
  <c r="AB387" i="2"/>
  <c r="AD387" i="2" s="1"/>
  <c r="I58" i="9" l="1"/>
  <c r="AT392" i="5"/>
  <c r="BB391" i="5"/>
  <c r="AU412" i="2"/>
  <c r="AY412" i="2" s="1"/>
  <c r="BM53" i="5"/>
  <c r="BN53" i="5" s="1"/>
  <c r="X401" i="5"/>
  <c r="N402" i="5"/>
  <c r="O402" i="5"/>
  <c r="P402" i="5" s="1"/>
  <c r="R386" i="2"/>
  <c r="S386" i="2" s="1"/>
  <c r="AL435" i="5"/>
  <c r="AE387" i="2"/>
  <c r="AV392" i="5" l="1"/>
  <c r="AR413" i="2"/>
  <c r="AT413" i="2" s="1"/>
  <c r="AZ412" i="2"/>
  <c r="V386" i="2"/>
  <c r="BO53" i="5"/>
  <c r="BP53" i="5" s="1"/>
  <c r="S402" i="5"/>
  <c r="AC436" i="5"/>
  <c r="AM435" i="5"/>
  <c r="AJ387" i="2"/>
  <c r="AW392" i="5" l="1"/>
  <c r="BA392" i="5" s="1"/>
  <c r="AU413" i="2"/>
  <c r="AY413" i="2" s="1"/>
  <c r="M387" i="2"/>
  <c r="W386" i="2"/>
  <c r="N387" i="2"/>
  <c r="O387" i="2" s="1"/>
  <c r="BK54" i="5"/>
  <c r="BM54" i="5" s="1"/>
  <c r="AE436" i="5"/>
  <c r="AF436" i="5" s="1"/>
  <c r="AL436" i="5" s="1"/>
  <c r="T402" i="5"/>
  <c r="W402" i="5" s="1"/>
  <c r="AK387" i="2"/>
  <c r="AB388" i="2"/>
  <c r="AD388" i="2" s="1"/>
  <c r="BB392" i="5" l="1"/>
  <c r="AT393" i="5"/>
  <c r="AR414" i="2"/>
  <c r="AT414" i="2" s="1"/>
  <c r="AU414" i="2" s="1"/>
  <c r="AZ413" i="2"/>
  <c r="R387" i="2"/>
  <c r="S387" i="2" s="1"/>
  <c r="BN54" i="5"/>
  <c r="BO54" i="5" s="1"/>
  <c r="BP54" i="5" s="1"/>
  <c r="X402" i="5"/>
  <c r="O403" i="5"/>
  <c r="P403" i="5" s="1"/>
  <c r="N403" i="5"/>
  <c r="AC437" i="5"/>
  <c r="AM436" i="5"/>
  <c r="AE388" i="2"/>
  <c r="AV393" i="5" l="1"/>
  <c r="AW393" i="5" s="1"/>
  <c r="AY414" i="2"/>
  <c r="AR415" i="2" s="1"/>
  <c r="V387" i="2"/>
  <c r="N388" i="2" s="1"/>
  <c r="O388" i="2" s="1"/>
  <c r="BK55" i="5"/>
  <c r="BM55" i="5" s="1"/>
  <c r="AE437" i="5"/>
  <c r="AF437" i="5" s="1"/>
  <c r="AL437" i="5" s="1"/>
  <c r="S403" i="5"/>
  <c r="T403" i="5" s="1"/>
  <c r="AJ388" i="2"/>
  <c r="AZ414" i="2" l="1"/>
  <c r="BA393" i="5"/>
  <c r="M388" i="2"/>
  <c r="R388" i="2" s="1"/>
  <c r="S388" i="2" s="1"/>
  <c r="W387" i="2"/>
  <c r="W403" i="5"/>
  <c r="BN55" i="5"/>
  <c r="BO55" i="5" s="1"/>
  <c r="BP55" i="5" s="1"/>
  <c r="AC438" i="5"/>
  <c r="AM437" i="5"/>
  <c r="AT415" i="2"/>
  <c r="AU415" i="2" s="1"/>
  <c r="AK388" i="2"/>
  <c r="AB389" i="2"/>
  <c r="AD389" i="2" s="1"/>
  <c r="AT394" i="5" l="1"/>
  <c r="BB393" i="5"/>
  <c r="AY415" i="2"/>
  <c r="AR416" i="2" s="1"/>
  <c r="V388" i="2"/>
  <c r="K30" i="9"/>
  <c r="L30" i="9" s="1"/>
  <c r="K30" i="8"/>
  <c r="L30" i="8" s="1"/>
  <c r="BK56" i="5"/>
  <c r="BM56" i="5" s="1"/>
  <c r="BN56" i="5" s="1"/>
  <c r="BO56" i="5" s="1"/>
  <c r="BP56" i="5" s="1"/>
  <c r="AE438" i="5"/>
  <c r="AF438" i="5" s="1"/>
  <c r="X403" i="5"/>
  <c r="N404" i="5"/>
  <c r="H59" i="9"/>
  <c r="O404" i="5"/>
  <c r="P404" i="5" s="1"/>
  <c r="I60" i="7"/>
  <c r="AE389" i="2"/>
  <c r="M30" i="8" l="1"/>
  <c r="M30" i="9"/>
  <c r="AZ415" i="2"/>
  <c r="AV394" i="5"/>
  <c r="AW394" i="5" s="1"/>
  <c r="AT416" i="2"/>
  <c r="AU416" i="2" s="1"/>
  <c r="BK57" i="5"/>
  <c r="S404" i="5"/>
  <c r="W388" i="2"/>
  <c r="AL438" i="5"/>
  <c r="M389" i="2"/>
  <c r="N389" i="2"/>
  <c r="O389" i="2" s="1"/>
  <c r="AJ389" i="2"/>
  <c r="AY416" i="2" l="1"/>
  <c r="BA394" i="5"/>
  <c r="BM57" i="5"/>
  <c r="BN57" i="5" s="1"/>
  <c r="T404" i="5"/>
  <c r="W404" i="5" s="1"/>
  <c r="AC439" i="5"/>
  <c r="AM438" i="5"/>
  <c r="R389" i="2"/>
  <c r="S389" i="2" s="1"/>
  <c r="AK389" i="2"/>
  <c r="AB390" i="2"/>
  <c r="AD390" i="2" s="1"/>
  <c r="AT395" i="5" l="1"/>
  <c r="BB394" i="5"/>
  <c r="V389" i="2"/>
  <c r="BO57" i="5"/>
  <c r="BP57" i="5" s="1"/>
  <c r="AE439" i="5"/>
  <c r="AF439" i="5" s="1"/>
  <c r="AL439" i="5" s="1"/>
  <c r="X404" i="5"/>
  <c r="O405" i="5"/>
  <c r="P405" i="5" s="1"/>
  <c r="N405" i="5"/>
  <c r="AR417" i="2"/>
  <c r="AZ416" i="2"/>
  <c r="AE390" i="2"/>
  <c r="AV395" i="5" l="1"/>
  <c r="AW395" i="5" s="1"/>
  <c r="AT417" i="2"/>
  <c r="BK58" i="5"/>
  <c r="BM58" i="5" s="1"/>
  <c r="BN58" i="5" s="1"/>
  <c r="BO58" i="5" s="1"/>
  <c r="BP58" i="5" s="1"/>
  <c r="S405" i="5"/>
  <c r="J62" i="9"/>
  <c r="W389" i="2"/>
  <c r="AC440" i="5"/>
  <c r="AM439" i="5"/>
  <c r="N390" i="2"/>
  <c r="O390" i="2" s="1"/>
  <c r="M390" i="2"/>
  <c r="AJ390" i="2"/>
  <c r="BA395" i="5" l="1"/>
  <c r="BK59" i="5"/>
  <c r="AE440" i="5"/>
  <c r="AF440" i="5" s="1"/>
  <c r="T405" i="5"/>
  <c r="W405" i="5" s="1"/>
  <c r="R390" i="2"/>
  <c r="S390" i="2" s="1"/>
  <c r="AU417" i="2"/>
  <c r="AY417" i="2" s="1"/>
  <c r="AK390" i="2"/>
  <c r="AB391" i="2"/>
  <c r="AD391" i="2" s="1"/>
  <c r="AT396" i="5" l="1"/>
  <c r="BB395" i="5"/>
  <c r="V390" i="2"/>
  <c r="BM59" i="5"/>
  <c r="BN59" i="5" s="1"/>
  <c r="BO59" i="5" s="1"/>
  <c r="BP59" i="5" s="1"/>
  <c r="X405" i="5"/>
  <c r="N406" i="5"/>
  <c r="O406" i="5"/>
  <c r="P406" i="5" s="1"/>
  <c r="AL440" i="5"/>
  <c r="AR418" i="2"/>
  <c r="AZ417" i="2"/>
  <c r="AE391" i="2"/>
  <c r="AV396" i="5" l="1"/>
  <c r="AW396" i="5" s="1"/>
  <c r="AT418" i="2"/>
  <c r="AU418" i="2" s="1"/>
  <c r="BK60" i="5"/>
  <c r="S406" i="5"/>
  <c r="T406" i="5" s="1"/>
  <c r="AM440" i="5"/>
  <c r="AC441" i="5"/>
  <c r="W390" i="2"/>
  <c r="M391" i="2"/>
  <c r="N391" i="2"/>
  <c r="O391" i="2" s="1"/>
  <c r="AJ391" i="2"/>
  <c r="AY418" i="2" l="1"/>
  <c r="BA396" i="5"/>
  <c r="W406" i="5"/>
  <c r="BM60" i="5"/>
  <c r="BN60" i="5" s="1"/>
  <c r="AE441" i="5"/>
  <c r="AF441" i="5" s="1"/>
  <c r="AL441" i="5" s="1"/>
  <c r="J58" i="7"/>
  <c r="R391" i="2"/>
  <c r="S391" i="2" s="1"/>
  <c r="AK391" i="2"/>
  <c r="AB392" i="2"/>
  <c r="AD392" i="2" s="1"/>
  <c r="BB396" i="5" l="1"/>
  <c r="AT397" i="5"/>
  <c r="V391" i="2"/>
  <c r="BO60" i="5"/>
  <c r="O407" i="5"/>
  <c r="P407" i="5" s="1"/>
  <c r="X406" i="5"/>
  <c r="N407" i="5"/>
  <c r="AC442" i="5"/>
  <c r="AM441" i="5"/>
  <c r="AR419" i="2"/>
  <c r="AZ418" i="2"/>
  <c r="AE392" i="2"/>
  <c r="BK61" i="5" l="1"/>
  <c r="BP60" i="5"/>
  <c r="AV397" i="5"/>
  <c r="AW397" i="5" s="1"/>
  <c r="AT419" i="2"/>
  <c r="AU419" i="2" s="1"/>
  <c r="BM61" i="5"/>
  <c r="BN61" i="5" s="1"/>
  <c r="AE442" i="5"/>
  <c r="AF442" i="5" s="1"/>
  <c r="S407" i="5"/>
  <c r="T407" i="5" s="1"/>
  <c r="H58" i="7"/>
  <c r="L58" i="7" s="1"/>
  <c r="W391" i="2"/>
  <c r="M58" i="7" s="1"/>
  <c r="M392" i="2"/>
  <c r="N392" i="2"/>
  <c r="O392" i="2" s="1"/>
  <c r="AJ392" i="2"/>
  <c r="AY419" i="2" l="1"/>
  <c r="BA397" i="5"/>
  <c r="W407" i="5"/>
  <c r="BO61" i="5"/>
  <c r="BP61" i="5" s="1"/>
  <c r="AL442" i="5"/>
  <c r="R392" i="2"/>
  <c r="S392" i="2" s="1"/>
  <c r="AK392" i="2"/>
  <c r="AB393" i="2"/>
  <c r="AD393" i="2" s="1"/>
  <c r="AC443" i="5" l="1"/>
  <c r="AE443" i="5" s="1"/>
  <c r="AF443" i="5" s="1"/>
  <c r="AT398" i="5"/>
  <c r="BB397" i="5"/>
  <c r="V392" i="2"/>
  <c r="BK62" i="5"/>
  <c r="BM62" i="5" s="1"/>
  <c r="BN62" i="5" s="1"/>
  <c r="BO62" i="5" s="1"/>
  <c r="BP62" i="5" s="1"/>
  <c r="AM442" i="5"/>
  <c r="X407" i="5"/>
  <c r="N408" i="5"/>
  <c r="O408" i="5"/>
  <c r="P408" i="5" s="1"/>
  <c r="AR420" i="2"/>
  <c r="AZ419" i="2"/>
  <c r="AE393" i="2"/>
  <c r="AV398" i="5" l="1"/>
  <c r="AW398" i="5" s="1"/>
  <c r="AT420" i="2"/>
  <c r="BK63" i="5"/>
  <c r="S408" i="5"/>
  <c r="T408" i="5" s="1"/>
  <c r="W392" i="2"/>
  <c r="AL443" i="5"/>
  <c r="N393" i="2"/>
  <c r="O393" i="2" s="1"/>
  <c r="M393" i="2"/>
  <c r="AJ393" i="2"/>
  <c r="BA398" i="5" l="1"/>
  <c r="AU420" i="2"/>
  <c r="AY420" i="2" s="1"/>
  <c r="W408" i="5"/>
  <c r="BM63" i="5"/>
  <c r="BN63" i="5" s="1"/>
  <c r="AC444" i="5"/>
  <c r="AM443" i="5"/>
  <c r="R393" i="2"/>
  <c r="S393" i="2" s="1"/>
  <c r="AK393" i="2"/>
  <c r="AB394" i="2"/>
  <c r="AD394" i="2" s="1"/>
  <c r="BB398" i="5" l="1"/>
  <c r="AT399" i="5"/>
  <c r="V393" i="2"/>
  <c r="BO63" i="5"/>
  <c r="BP63" i="5" s="1"/>
  <c r="AE444" i="5"/>
  <c r="AF444" i="5" s="1"/>
  <c r="X408" i="5"/>
  <c r="O409" i="5"/>
  <c r="P409" i="5" s="1"/>
  <c r="N409" i="5"/>
  <c r="AR421" i="2"/>
  <c r="AZ420" i="2"/>
  <c r="AE394" i="2"/>
  <c r="AV399" i="5" l="1"/>
  <c r="AW399" i="5" s="1"/>
  <c r="AT421" i="2"/>
  <c r="AU421" i="2" s="1"/>
  <c r="BK64" i="5"/>
  <c r="BM64" i="5" s="1"/>
  <c r="BN64" i="5" s="1"/>
  <c r="BO64" i="5" s="1"/>
  <c r="BP64" i="5" s="1"/>
  <c r="S409" i="5"/>
  <c r="W393" i="2"/>
  <c r="AL444" i="5"/>
  <c r="N394" i="2"/>
  <c r="O394" i="2" s="1"/>
  <c r="M394" i="2"/>
  <c r="AJ394" i="2"/>
  <c r="BA399" i="5" l="1"/>
  <c r="AY421" i="2"/>
  <c r="AR422" i="2" s="1"/>
  <c r="BK65" i="5"/>
  <c r="T409" i="5"/>
  <c r="W409" i="5" s="1"/>
  <c r="AC445" i="5"/>
  <c r="AM444" i="5"/>
  <c r="R394" i="2"/>
  <c r="S394" i="2" s="1"/>
  <c r="AK394" i="2"/>
  <c r="AB395" i="2"/>
  <c r="AD395" i="2" s="1"/>
  <c r="AZ421" i="2" l="1"/>
  <c r="AT400" i="5"/>
  <c r="BB399" i="5"/>
  <c r="AT422" i="2"/>
  <c r="AU422" i="2" s="1"/>
  <c r="V394" i="2"/>
  <c r="BM65" i="5"/>
  <c r="BN65" i="5" s="1"/>
  <c r="AE445" i="5"/>
  <c r="AF445" i="5" s="1"/>
  <c r="O410" i="5"/>
  <c r="P410" i="5" s="1"/>
  <c r="N410" i="5"/>
  <c r="X409" i="5"/>
  <c r="AE395" i="2"/>
  <c r="AY422" i="2" l="1"/>
  <c r="AV400" i="5"/>
  <c r="AW400" i="5" s="1"/>
  <c r="BO65" i="5"/>
  <c r="BP65" i="5" s="1"/>
  <c r="S410" i="5"/>
  <c r="T410" i="5" s="1"/>
  <c r="AL445" i="5"/>
  <c r="W394" i="2"/>
  <c r="N395" i="2"/>
  <c r="O395" i="2" s="1"/>
  <c r="M395" i="2"/>
  <c r="AJ395" i="2"/>
  <c r="BA400" i="5" l="1"/>
  <c r="W410" i="5"/>
  <c r="BK66" i="5"/>
  <c r="AC446" i="5"/>
  <c r="AM445" i="5"/>
  <c r="R395" i="2"/>
  <c r="S395" i="2" s="1"/>
  <c r="AR423" i="2"/>
  <c r="AZ422" i="2"/>
  <c r="AK395" i="2"/>
  <c r="AB396" i="2"/>
  <c r="AD396" i="2" s="1"/>
  <c r="BB400" i="5" l="1"/>
  <c r="AT401" i="5"/>
  <c r="AT423" i="2"/>
  <c r="AU423" i="2" s="1"/>
  <c r="V395" i="2"/>
  <c r="BM66" i="5"/>
  <c r="BN66" i="5" s="1"/>
  <c r="AE446" i="5"/>
  <c r="AF446" i="5" s="1"/>
  <c r="X410" i="5"/>
  <c r="O411" i="5"/>
  <c r="P411" i="5" s="1"/>
  <c r="N411" i="5"/>
  <c r="AE396" i="2"/>
  <c r="AY423" i="2" l="1"/>
  <c r="AV401" i="5"/>
  <c r="AW401" i="5" s="1"/>
  <c r="BO66" i="5"/>
  <c r="BP66" i="5" s="1"/>
  <c r="AL446" i="5"/>
  <c r="S411" i="5"/>
  <c r="W395" i="2"/>
  <c r="N396" i="2"/>
  <c r="O396" i="2" s="1"/>
  <c r="M396" i="2"/>
  <c r="AJ396" i="2"/>
  <c r="AC447" i="5" l="1"/>
  <c r="AE447" i="5" s="1"/>
  <c r="AF447" i="5" s="1"/>
  <c r="AL447" i="5" s="1"/>
  <c r="BA401" i="5"/>
  <c r="AM446" i="5"/>
  <c r="BK67" i="5"/>
  <c r="BM67" i="5" s="1"/>
  <c r="BN67" i="5" s="1"/>
  <c r="T411" i="5"/>
  <c r="W411" i="5" s="1"/>
  <c r="R396" i="2"/>
  <c r="S396" i="2" s="1"/>
  <c r="AZ423" i="2"/>
  <c r="AR424" i="2"/>
  <c r="AK396" i="2"/>
  <c r="AB397" i="2"/>
  <c r="AD397" i="2" s="1"/>
  <c r="AT402" i="5" l="1"/>
  <c r="BB401" i="5"/>
  <c r="AT424" i="2"/>
  <c r="V396" i="2"/>
  <c r="BO67" i="5"/>
  <c r="BP67" i="5" s="1"/>
  <c r="N412" i="5"/>
  <c r="X411" i="5"/>
  <c r="O412" i="5"/>
  <c r="P412" i="5" s="1"/>
  <c r="AC448" i="5"/>
  <c r="AM447" i="5"/>
  <c r="AE397" i="2"/>
  <c r="M31" i="8" l="1"/>
  <c r="M31" i="9"/>
  <c r="AU424" i="2"/>
  <c r="AY424" i="2" s="1"/>
  <c r="AV402" i="5"/>
  <c r="AW402" i="5" s="1"/>
  <c r="BK68" i="5"/>
  <c r="BM68" i="5" s="1"/>
  <c r="BN68" i="5" s="1"/>
  <c r="K31" i="9"/>
  <c r="L31" i="9" s="1"/>
  <c r="K31" i="8"/>
  <c r="L31" i="8" s="1"/>
  <c r="AE448" i="5"/>
  <c r="AF448" i="5" s="1"/>
  <c r="AL448" i="5" s="1"/>
  <c r="S412" i="5"/>
  <c r="T412" i="5" s="1"/>
  <c r="W396" i="2"/>
  <c r="N397" i="2"/>
  <c r="O397" i="2" s="1"/>
  <c r="M397" i="2"/>
  <c r="AJ397" i="2"/>
  <c r="BA402" i="5" l="1"/>
  <c r="W412" i="5"/>
  <c r="BO68" i="5"/>
  <c r="BP68" i="5" s="1"/>
  <c r="AR425" i="2"/>
  <c r="AC449" i="5"/>
  <c r="AM448" i="5"/>
  <c r="AZ424" i="2"/>
  <c r="R397" i="2"/>
  <c r="S397" i="2" s="1"/>
  <c r="AK397" i="2"/>
  <c r="AB398" i="2"/>
  <c r="AD398" i="2" s="1"/>
  <c r="AT403" i="5" l="1"/>
  <c r="BB402" i="5"/>
  <c r="AT425" i="2"/>
  <c r="AU425" i="2" s="1"/>
  <c r="V397" i="2"/>
  <c r="BK69" i="5"/>
  <c r="BM69" i="5" s="1"/>
  <c r="AE449" i="5"/>
  <c r="AF449" i="5" s="1"/>
  <c r="O413" i="5"/>
  <c r="P413" i="5" s="1"/>
  <c r="X412" i="5"/>
  <c r="N413" i="5"/>
  <c r="AE398" i="2"/>
  <c r="AV403" i="5" l="1"/>
  <c r="AY425" i="2"/>
  <c r="BN69" i="5"/>
  <c r="BO69" i="5" s="1"/>
  <c r="BP69" i="5" s="1"/>
  <c r="S413" i="5"/>
  <c r="AL449" i="5"/>
  <c r="W397" i="2"/>
  <c r="N398" i="2"/>
  <c r="O398" i="2" s="1"/>
  <c r="M398" i="2"/>
  <c r="AJ398" i="2"/>
  <c r="AZ425" i="2" l="1"/>
  <c r="AW403" i="5"/>
  <c r="BA403" i="5" s="1"/>
  <c r="AR426" i="2"/>
  <c r="AT426" i="2" s="1"/>
  <c r="BK70" i="5"/>
  <c r="T413" i="5"/>
  <c r="W413" i="5" s="1"/>
  <c r="AM449" i="5"/>
  <c r="AC450" i="5"/>
  <c r="R398" i="2"/>
  <c r="S398" i="2" s="1"/>
  <c r="AK398" i="2"/>
  <c r="AB399" i="2"/>
  <c r="AD399" i="2" s="1"/>
  <c r="AT404" i="5" l="1"/>
  <c r="I59" i="9"/>
  <c r="BB403" i="5"/>
  <c r="V398" i="2"/>
  <c r="BM70" i="5"/>
  <c r="BN70" i="5" s="1"/>
  <c r="AE450" i="5"/>
  <c r="AF450" i="5" s="1"/>
  <c r="AL450" i="5" s="1"/>
  <c r="X413" i="5"/>
  <c r="O414" i="5"/>
  <c r="P414" i="5" s="1"/>
  <c r="N414" i="5"/>
  <c r="AU426" i="2"/>
  <c r="AY426" i="2" s="1"/>
  <c r="AE399" i="2"/>
  <c r="AV404" i="5" l="1"/>
  <c r="AW404" i="5" s="1"/>
  <c r="BO70" i="5"/>
  <c r="BP70" i="5" s="1"/>
  <c r="S414" i="5"/>
  <c r="W398" i="2"/>
  <c r="AC451" i="5"/>
  <c r="AM450" i="5"/>
  <c r="N399" i="2"/>
  <c r="O399" i="2" s="1"/>
  <c r="M399" i="2"/>
  <c r="AJ399" i="2"/>
  <c r="BA404" i="5" l="1"/>
  <c r="AR427" i="2"/>
  <c r="AZ426" i="2"/>
  <c r="BK71" i="5"/>
  <c r="AE451" i="5"/>
  <c r="AF451" i="5" s="1"/>
  <c r="T414" i="5"/>
  <c r="W414" i="5" s="1"/>
  <c r="R399" i="2"/>
  <c r="S399" i="2" s="1"/>
  <c r="AK399" i="2"/>
  <c r="AB400" i="2"/>
  <c r="AD400" i="2" s="1"/>
  <c r="AT405" i="5" l="1"/>
  <c r="BB404" i="5"/>
  <c r="AT427" i="2"/>
  <c r="AU427" i="2" s="1"/>
  <c r="V399" i="2"/>
  <c r="BM71" i="5"/>
  <c r="BN71" i="5" s="1"/>
  <c r="BO71" i="5" s="1"/>
  <c r="BP71" i="5" s="1"/>
  <c r="X414" i="5"/>
  <c r="N415" i="5"/>
  <c r="O415" i="5"/>
  <c r="P415" i="5" s="1"/>
  <c r="AL451" i="5"/>
  <c r="AE400" i="2"/>
  <c r="AV405" i="5" l="1"/>
  <c r="AW405" i="5" s="1"/>
  <c r="AY427" i="2"/>
  <c r="I61" i="7" s="1"/>
  <c r="BK72" i="5"/>
  <c r="S415" i="5"/>
  <c r="T415" i="5" s="1"/>
  <c r="J63" i="9"/>
  <c r="W399" i="2"/>
  <c r="AC452" i="5"/>
  <c r="AM451" i="5"/>
  <c r="M400" i="2"/>
  <c r="N400" i="2"/>
  <c r="O400" i="2" s="1"/>
  <c r="AJ400" i="2"/>
  <c r="AR428" i="2" l="1"/>
  <c r="AT428" i="2" s="1"/>
  <c r="AZ427" i="2"/>
  <c r="BA405" i="5"/>
  <c r="BB405" i="5" s="1"/>
  <c r="W415" i="5"/>
  <c r="X415" i="5" s="1"/>
  <c r="BM72" i="5"/>
  <c r="BN72" i="5" s="1"/>
  <c r="BO72" i="5" s="1"/>
  <c r="BP72" i="5" s="1"/>
  <c r="AE452" i="5"/>
  <c r="AF452" i="5" s="1"/>
  <c r="R400" i="2"/>
  <c r="S400" i="2" s="1"/>
  <c r="AK400" i="2"/>
  <c r="AB401" i="2"/>
  <c r="AD401" i="2" s="1"/>
  <c r="AT406" i="5" l="1"/>
  <c r="AV406" i="5" s="1"/>
  <c r="AW406" i="5" s="1"/>
  <c r="H60" i="9"/>
  <c r="N416" i="5"/>
  <c r="O416" i="5"/>
  <c r="P416" i="5" s="1"/>
  <c r="V400" i="2"/>
  <c r="BK73" i="5"/>
  <c r="AL452" i="5"/>
  <c r="AU428" i="2"/>
  <c r="AY428" i="2" s="1"/>
  <c r="AE401" i="2"/>
  <c r="BA406" i="5" l="1"/>
  <c r="S416" i="5"/>
  <c r="T416" i="5" s="1"/>
  <c r="BM73" i="5"/>
  <c r="BN73" i="5" s="1"/>
  <c r="BO73" i="5" s="1"/>
  <c r="BP73" i="5" s="1"/>
  <c r="W400" i="2"/>
  <c r="AC453" i="5"/>
  <c r="AM452" i="5"/>
  <c r="M401" i="2"/>
  <c r="N401" i="2"/>
  <c r="O401" i="2" s="1"/>
  <c r="AR429" i="2"/>
  <c r="AZ428" i="2"/>
  <c r="AJ401" i="2"/>
  <c r="AT407" i="5" l="1"/>
  <c r="BB406" i="5"/>
  <c r="AT429" i="2"/>
  <c r="AU429" i="2" s="1"/>
  <c r="W416" i="5"/>
  <c r="N417" i="5" s="1"/>
  <c r="BK74" i="5"/>
  <c r="AE453" i="5"/>
  <c r="AF453" i="5" s="1"/>
  <c r="AL453" i="5" s="1"/>
  <c r="R401" i="2"/>
  <c r="S401" i="2" s="1"/>
  <c r="AK401" i="2"/>
  <c r="AB402" i="2"/>
  <c r="AD402" i="2" s="1"/>
  <c r="AV407" i="5" l="1"/>
  <c r="AW407" i="5" s="1"/>
  <c r="AY429" i="2"/>
  <c r="X416" i="5"/>
  <c r="O417" i="5"/>
  <c r="P417" i="5" s="1"/>
  <c r="S417" i="5" s="1"/>
  <c r="T417" i="5" s="1"/>
  <c r="V401" i="2"/>
  <c r="BM74" i="5"/>
  <c r="BN74" i="5" s="1"/>
  <c r="AC454" i="5"/>
  <c r="AM453" i="5"/>
  <c r="AE402" i="2"/>
  <c r="BA407" i="5" l="1"/>
  <c r="W417" i="5"/>
  <c r="X417" i="5" s="1"/>
  <c r="BO74" i="5"/>
  <c r="BP74" i="5" s="1"/>
  <c r="AE454" i="5"/>
  <c r="AF454" i="5" s="1"/>
  <c r="AL454" i="5" s="1"/>
  <c r="W401" i="2"/>
  <c r="M402" i="2"/>
  <c r="N402" i="2"/>
  <c r="O402" i="2" s="1"/>
  <c r="AZ429" i="2"/>
  <c r="AR430" i="2"/>
  <c r="AJ402" i="2"/>
  <c r="BB407" i="5" l="1"/>
  <c r="AT408" i="5"/>
  <c r="AT430" i="2"/>
  <c r="AU430" i="2" s="1"/>
  <c r="AY430" i="2" s="1"/>
  <c r="O418" i="5"/>
  <c r="P418" i="5" s="1"/>
  <c r="N418" i="5"/>
  <c r="BK75" i="5"/>
  <c r="BM75" i="5" s="1"/>
  <c r="BN75" i="5" s="1"/>
  <c r="AC455" i="5"/>
  <c r="AM454" i="5"/>
  <c r="R402" i="2"/>
  <c r="S402" i="2" s="1"/>
  <c r="AK402" i="2"/>
  <c r="AB403" i="2"/>
  <c r="AD403" i="2" s="1"/>
  <c r="AV408" i="5" l="1"/>
  <c r="AW408" i="5" s="1"/>
  <c r="S418" i="5"/>
  <c r="T418" i="5" s="1"/>
  <c r="V402" i="2"/>
  <c r="BO75" i="5"/>
  <c r="BP75" i="5" s="1"/>
  <c r="AE455" i="5"/>
  <c r="AF455" i="5" s="1"/>
  <c r="AL455" i="5" s="1"/>
  <c r="AE403" i="2"/>
  <c r="BA408" i="5" l="1"/>
  <c r="W418" i="5"/>
  <c r="BK76" i="5"/>
  <c r="W402" i="2"/>
  <c r="AC456" i="5"/>
  <c r="AM455" i="5"/>
  <c r="N403" i="2"/>
  <c r="O403" i="2" s="1"/>
  <c r="M403" i="2"/>
  <c r="AR431" i="2"/>
  <c r="AZ430" i="2"/>
  <c r="AJ403" i="2"/>
  <c r="BB408" i="5" l="1"/>
  <c r="AT409" i="5"/>
  <c r="AT431" i="2"/>
  <c r="AU431" i="2" s="1"/>
  <c r="X418" i="5"/>
  <c r="N419" i="5"/>
  <c r="O419" i="5"/>
  <c r="P419" i="5" s="1"/>
  <c r="BM76" i="5"/>
  <c r="BN76" i="5" s="1"/>
  <c r="BO76" i="5" s="1"/>
  <c r="BP76" i="5" s="1"/>
  <c r="AE456" i="5"/>
  <c r="AF456" i="5" s="1"/>
  <c r="J59" i="7"/>
  <c r="R403" i="2"/>
  <c r="S403" i="2" s="1"/>
  <c r="AK403" i="2"/>
  <c r="AB404" i="2"/>
  <c r="AD404" i="2" s="1"/>
  <c r="AY431" i="2" l="1"/>
  <c r="AV409" i="5"/>
  <c r="AW409" i="5" s="1"/>
  <c r="S419" i="5"/>
  <c r="T419" i="5" s="1"/>
  <c r="W419" i="5" s="1"/>
  <c r="V403" i="2"/>
  <c r="BK77" i="5"/>
  <c r="AL456" i="5"/>
  <c r="AE404" i="2"/>
  <c r="BA409" i="5" l="1"/>
  <c r="X419" i="5"/>
  <c r="N420" i="5"/>
  <c r="O420" i="5"/>
  <c r="P420" i="5" s="1"/>
  <c r="BM77" i="5"/>
  <c r="BN77" i="5" s="1"/>
  <c r="H59" i="7"/>
  <c r="L59" i="7" s="1"/>
  <c r="W403" i="2"/>
  <c r="M59" i="7" s="1"/>
  <c r="AC457" i="5"/>
  <c r="AM456" i="5"/>
  <c r="M404" i="2"/>
  <c r="N404" i="2"/>
  <c r="O404" i="2" s="1"/>
  <c r="AR432" i="2"/>
  <c r="AZ431" i="2"/>
  <c r="AJ404" i="2"/>
  <c r="S420" i="5" l="1"/>
  <c r="T420" i="5" s="1"/>
  <c r="AT410" i="5"/>
  <c r="BB409" i="5"/>
  <c r="AT432" i="2"/>
  <c r="AU432" i="2" s="1"/>
  <c r="BO77" i="5"/>
  <c r="AE457" i="5"/>
  <c r="AF457" i="5" s="1"/>
  <c r="R404" i="2"/>
  <c r="S404" i="2" s="1"/>
  <c r="AK404" i="2"/>
  <c r="AB405" i="2"/>
  <c r="AD405" i="2" s="1"/>
  <c r="BK78" i="5" l="1"/>
  <c r="BM78" i="5" s="1"/>
  <c r="BN78" i="5" s="1"/>
  <c r="BO78" i="5" s="1"/>
  <c r="BP78" i="5" s="1"/>
  <c r="BP77" i="5"/>
  <c r="AY432" i="2"/>
  <c r="W420" i="5"/>
  <c r="O421" i="5" s="1"/>
  <c r="P421" i="5" s="1"/>
  <c r="AV410" i="5"/>
  <c r="AW410" i="5" s="1"/>
  <c r="V404" i="2"/>
  <c r="AL457" i="5"/>
  <c r="AE405" i="2"/>
  <c r="N421" i="5" l="1"/>
  <c r="S421" i="5" s="1"/>
  <c r="T421" i="5" s="1"/>
  <c r="X420" i="5"/>
  <c r="BA410" i="5"/>
  <c r="BK79" i="5"/>
  <c r="W404" i="2"/>
  <c r="AC458" i="5"/>
  <c r="AM457" i="5"/>
  <c r="N405" i="2"/>
  <c r="O405" i="2" s="1"/>
  <c r="M405" i="2"/>
  <c r="AR433" i="2"/>
  <c r="AZ432" i="2"/>
  <c r="AJ405" i="2"/>
  <c r="W421" i="5" l="1"/>
  <c r="BB410" i="5"/>
  <c r="AT411" i="5"/>
  <c r="AT433" i="2"/>
  <c r="BM79" i="5"/>
  <c r="BN79" i="5" s="1"/>
  <c r="BO79" i="5" s="1"/>
  <c r="BP79" i="5" s="1"/>
  <c r="AE458" i="5"/>
  <c r="AF458" i="5" s="1"/>
  <c r="R405" i="2"/>
  <c r="S405" i="2" s="1"/>
  <c r="AK405" i="2"/>
  <c r="AB406" i="2"/>
  <c r="AD406" i="2" s="1"/>
  <c r="N422" i="5" l="1"/>
  <c r="O422" i="5"/>
  <c r="P422" i="5" s="1"/>
  <c r="X421" i="5"/>
  <c r="AV411" i="5"/>
  <c r="AW411" i="5" s="1"/>
  <c r="AU433" i="2"/>
  <c r="V405" i="2"/>
  <c r="K32" i="9"/>
  <c r="L32" i="9" s="1"/>
  <c r="K32" i="8"/>
  <c r="L32" i="8" s="1"/>
  <c r="BK80" i="5"/>
  <c r="AL458" i="5"/>
  <c r="AE406" i="2"/>
  <c r="S422" i="5" l="1"/>
  <c r="T422" i="5" s="1"/>
  <c r="W422" i="5" s="1"/>
  <c r="M32" i="8"/>
  <c r="M32" i="9"/>
  <c r="BA411" i="5"/>
  <c r="AY433" i="2"/>
  <c r="BM80" i="5"/>
  <c r="BN80" i="5" s="1"/>
  <c r="BO80" i="5" s="1"/>
  <c r="BP80" i="5" s="1"/>
  <c r="W405" i="2"/>
  <c r="AC459" i="5"/>
  <c r="AM458" i="5"/>
  <c r="M406" i="2"/>
  <c r="N406" i="2"/>
  <c r="O406" i="2" s="1"/>
  <c r="AJ406" i="2"/>
  <c r="N423" i="5" l="1"/>
  <c r="O423" i="5"/>
  <c r="P423" i="5" s="1"/>
  <c r="AR434" i="2"/>
  <c r="AT434" i="2" s="1"/>
  <c r="AT412" i="5"/>
  <c r="BB411" i="5"/>
  <c r="AZ433" i="2"/>
  <c r="X422" i="5"/>
  <c r="BK81" i="5"/>
  <c r="AE459" i="5"/>
  <c r="AF459" i="5" s="1"/>
  <c r="R406" i="2"/>
  <c r="S406" i="2" s="1"/>
  <c r="AK406" i="2"/>
  <c r="AB407" i="2"/>
  <c r="AD407" i="2" s="1"/>
  <c r="S423" i="5" l="1"/>
  <c r="T423" i="5" s="1"/>
  <c r="W423" i="5" s="1"/>
  <c r="X423" i="5" s="1"/>
  <c r="AV412" i="5"/>
  <c r="AW412" i="5" s="1"/>
  <c r="V406" i="2"/>
  <c r="BM81" i="5"/>
  <c r="BN81" i="5" s="1"/>
  <c r="AL459" i="5"/>
  <c r="AU434" i="2"/>
  <c r="AY434" i="2" s="1"/>
  <c r="AE407" i="2"/>
  <c r="O424" i="5" l="1"/>
  <c r="P424" i="5" s="1"/>
  <c r="N424" i="5"/>
  <c r="BA412" i="5"/>
  <c r="BO81" i="5"/>
  <c r="BP81" i="5" s="1"/>
  <c r="W406" i="2"/>
  <c r="AC460" i="5"/>
  <c r="AM459" i="5"/>
  <c r="N407" i="2"/>
  <c r="O407" i="2" s="1"/>
  <c r="M407" i="2"/>
  <c r="AR435" i="2"/>
  <c r="AJ407" i="2"/>
  <c r="S424" i="5" l="1"/>
  <c r="T424" i="5" s="1"/>
  <c r="BB412" i="5"/>
  <c r="AT413" i="5"/>
  <c r="AZ434" i="2"/>
  <c r="AT435" i="2"/>
  <c r="BK82" i="5"/>
  <c r="AE460" i="5"/>
  <c r="AF460" i="5" s="1"/>
  <c r="AL460" i="5" s="1"/>
  <c r="R407" i="2"/>
  <c r="S407" i="2" s="1"/>
  <c r="AK407" i="2"/>
  <c r="AB408" i="2"/>
  <c r="AD408" i="2" s="1"/>
  <c r="W424" i="5" l="1"/>
  <c r="X424" i="5" s="1"/>
  <c r="AV413" i="5"/>
  <c r="AW413" i="5" s="1"/>
  <c r="AU435" i="2"/>
  <c r="V407" i="2"/>
  <c r="BM82" i="5"/>
  <c r="BN82" i="5" s="1"/>
  <c r="AC461" i="5"/>
  <c r="AM460" i="5"/>
  <c r="AE408" i="2"/>
  <c r="N425" i="5" l="1"/>
  <c r="O425" i="5"/>
  <c r="P425" i="5" s="1"/>
  <c r="BA413" i="5"/>
  <c r="AY435" i="2"/>
  <c r="BO82" i="5"/>
  <c r="BP82" i="5" s="1"/>
  <c r="AE461" i="5"/>
  <c r="AF461" i="5" s="1"/>
  <c r="W407" i="2"/>
  <c r="M408" i="2"/>
  <c r="N408" i="2"/>
  <c r="O408" i="2" s="1"/>
  <c r="AJ408" i="2"/>
  <c r="S425" i="5" l="1"/>
  <c r="T425" i="5" s="1"/>
  <c r="AT414" i="5"/>
  <c r="BB413" i="5"/>
  <c r="AZ435" i="2"/>
  <c r="AR436" i="2"/>
  <c r="AT436" i="2" s="1"/>
  <c r="AU436" i="2" s="1"/>
  <c r="BK83" i="5"/>
  <c r="BM83" i="5" s="1"/>
  <c r="BN83" i="5" s="1"/>
  <c r="BO83" i="5" s="1"/>
  <c r="BP83" i="5" s="1"/>
  <c r="AL461" i="5"/>
  <c r="R408" i="2"/>
  <c r="S408" i="2" s="1"/>
  <c r="AK408" i="2"/>
  <c r="AB409" i="2"/>
  <c r="AD409" i="2" s="1"/>
  <c r="W425" i="5" l="1"/>
  <c r="O426" i="5" s="1"/>
  <c r="P426" i="5" s="1"/>
  <c r="AV414" i="5"/>
  <c r="AW414" i="5" s="1"/>
  <c r="AY436" i="2"/>
  <c r="N426" i="5"/>
  <c r="V408" i="2"/>
  <c r="BK84" i="5"/>
  <c r="AC462" i="5"/>
  <c r="AM461" i="5"/>
  <c r="AE409" i="2"/>
  <c r="X425" i="5" l="1"/>
  <c r="BA414" i="5"/>
  <c r="S426" i="5"/>
  <c r="T426" i="5" s="1"/>
  <c r="BM84" i="5"/>
  <c r="BN84" i="5" s="1"/>
  <c r="BO84" i="5" s="1"/>
  <c r="BP84" i="5" s="1"/>
  <c r="AE462" i="5"/>
  <c r="AF462" i="5" s="1"/>
  <c r="AL462" i="5" s="1"/>
  <c r="W408" i="2"/>
  <c r="N409" i="2"/>
  <c r="O409" i="2" s="1"/>
  <c r="M409" i="2"/>
  <c r="AR437" i="2"/>
  <c r="AZ436" i="2"/>
  <c r="AJ409" i="2"/>
  <c r="AT415" i="5" l="1"/>
  <c r="BB414" i="5"/>
  <c r="AT437" i="2"/>
  <c r="AU437" i="2" s="1"/>
  <c r="W426" i="5"/>
  <c r="X426" i="5" s="1"/>
  <c r="BK85" i="5"/>
  <c r="AC463" i="5"/>
  <c r="AM462" i="5"/>
  <c r="R409" i="2"/>
  <c r="S409" i="2" s="1"/>
  <c r="AK409" i="2"/>
  <c r="AB410" i="2"/>
  <c r="AD410" i="2" s="1"/>
  <c r="N427" i="5" l="1"/>
  <c r="AY437" i="2"/>
  <c r="AV415" i="5"/>
  <c r="AW415" i="5" s="1"/>
  <c r="O427" i="5"/>
  <c r="P427" i="5" s="1"/>
  <c r="V409" i="2"/>
  <c r="BM85" i="5"/>
  <c r="BN85" i="5" s="1"/>
  <c r="BO85" i="5" s="1"/>
  <c r="BP85" i="5" s="1"/>
  <c r="AE463" i="5"/>
  <c r="AF463" i="5" s="1"/>
  <c r="AE410" i="2"/>
  <c r="S427" i="5" l="1"/>
  <c r="T427" i="5" s="1"/>
  <c r="W427" i="5" s="1"/>
  <c r="O428" i="5" s="1"/>
  <c r="P428" i="5" s="1"/>
  <c r="BA415" i="5"/>
  <c r="BK86" i="5"/>
  <c r="W409" i="2"/>
  <c r="AL463" i="5"/>
  <c r="N410" i="2"/>
  <c r="O410" i="2" s="1"/>
  <c r="M410" i="2"/>
  <c r="AZ437" i="2"/>
  <c r="AR438" i="2"/>
  <c r="AJ410" i="2"/>
  <c r="X427" i="5" l="1"/>
  <c r="N428" i="5"/>
  <c r="S428" i="5" s="1"/>
  <c r="T428" i="5" s="1"/>
  <c r="W428" i="5" s="1"/>
  <c r="H61" i="9"/>
  <c r="BB415" i="5"/>
  <c r="I60" i="9"/>
  <c r="AT416" i="5"/>
  <c r="AT438" i="2"/>
  <c r="BM86" i="5"/>
  <c r="BN86" i="5" s="1"/>
  <c r="BO86" i="5" s="1"/>
  <c r="BP86" i="5" s="1"/>
  <c r="J64" i="9"/>
  <c r="AC464" i="5"/>
  <c r="AM463" i="5"/>
  <c r="R410" i="2"/>
  <c r="S410" i="2" s="1"/>
  <c r="AK410" i="2"/>
  <c r="AB411" i="2"/>
  <c r="AD411" i="2" s="1"/>
  <c r="N429" i="5" l="1"/>
  <c r="O429" i="5"/>
  <c r="P429" i="5" s="1"/>
  <c r="X428" i="5"/>
  <c r="AV416" i="5"/>
  <c r="AW416" i="5" s="1"/>
  <c r="V410" i="2"/>
  <c r="BK87" i="5"/>
  <c r="AE464" i="5"/>
  <c r="AF464" i="5" s="1"/>
  <c r="AU438" i="2"/>
  <c r="AY438" i="2" s="1"/>
  <c r="AE411" i="2"/>
  <c r="S429" i="5" l="1"/>
  <c r="T429" i="5" s="1"/>
  <c r="W429" i="5" s="1"/>
  <c r="BA416" i="5"/>
  <c r="BM87" i="5"/>
  <c r="BN87" i="5" s="1"/>
  <c r="BO87" i="5" s="1"/>
  <c r="BP87" i="5" s="1"/>
  <c r="W410" i="2"/>
  <c r="AL464" i="5"/>
  <c r="N411" i="2"/>
  <c r="O411" i="2" s="1"/>
  <c r="M411" i="2"/>
  <c r="AR439" i="2"/>
  <c r="AZ438" i="2"/>
  <c r="AJ411" i="2"/>
  <c r="O430" i="5" l="1"/>
  <c r="P430" i="5" s="1"/>
  <c r="N430" i="5"/>
  <c r="X429" i="5"/>
  <c r="AT417" i="5"/>
  <c r="BB416" i="5"/>
  <c r="AT439" i="2"/>
  <c r="BK88" i="5"/>
  <c r="AC465" i="5"/>
  <c r="AM464" i="5"/>
  <c r="R411" i="2"/>
  <c r="S411" i="2" s="1"/>
  <c r="AK411" i="2"/>
  <c r="AB412" i="2"/>
  <c r="AD412" i="2" s="1"/>
  <c r="S430" i="5" l="1"/>
  <c r="T430" i="5" s="1"/>
  <c r="AV417" i="5"/>
  <c r="AW417" i="5" s="1"/>
  <c r="V411" i="2"/>
  <c r="BM88" i="5"/>
  <c r="BN88" i="5" s="1"/>
  <c r="BO88" i="5" s="1"/>
  <c r="BP88" i="5" s="1"/>
  <c r="AE465" i="5"/>
  <c r="AF465" i="5" s="1"/>
  <c r="AU439" i="2"/>
  <c r="AY439" i="2" s="1"/>
  <c r="AE412" i="2"/>
  <c r="W430" i="5" l="1"/>
  <c r="BA417" i="5"/>
  <c r="BK89" i="5"/>
  <c r="W411" i="2"/>
  <c r="I62" i="7"/>
  <c r="I42" i="6"/>
  <c r="M412" i="2"/>
  <c r="N412" i="2"/>
  <c r="O412" i="2" s="1"/>
  <c r="AZ439" i="2"/>
  <c r="AR440" i="2"/>
  <c r="AJ412" i="2"/>
  <c r="X430" i="5" l="1"/>
  <c r="O431" i="5"/>
  <c r="P431" i="5" s="1"/>
  <c r="N431" i="5"/>
  <c r="AT418" i="5"/>
  <c r="BB417" i="5"/>
  <c r="AT440" i="2"/>
  <c r="AU440" i="2" s="1"/>
  <c r="BM89" i="5"/>
  <c r="BN89" i="5" s="1"/>
  <c r="BO89" i="5" s="1"/>
  <c r="BP89" i="5" s="1"/>
  <c r="AL465" i="5"/>
  <c r="R412" i="2"/>
  <c r="S412" i="2" s="1"/>
  <c r="AK412" i="2"/>
  <c r="AB413" i="2"/>
  <c r="AD413" i="2" s="1"/>
  <c r="S431" i="5" l="1"/>
  <c r="T431" i="5" s="1"/>
  <c r="AV418" i="5"/>
  <c r="AY440" i="2"/>
  <c r="V412" i="2"/>
  <c r="BK90" i="5"/>
  <c r="AC466" i="5"/>
  <c r="AM465" i="5"/>
  <c r="AE413" i="2"/>
  <c r="W431" i="5" l="1"/>
  <c r="AW418" i="5"/>
  <c r="BA418" i="5" s="1"/>
  <c r="BM90" i="5"/>
  <c r="BN90" i="5" s="1"/>
  <c r="BO90" i="5" s="1"/>
  <c r="BP90" i="5" s="1"/>
  <c r="AE466" i="5"/>
  <c r="AF466" i="5" s="1"/>
  <c r="W412" i="2"/>
  <c r="N413" i="2"/>
  <c r="O413" i="2" s="1"/>
  <c r="M413" i="2"/>
  <c r="AZ440" i="2"/>
  <c r="AR441" i="2"/>
  <c r="AJ413" i="2"/>
  <c r="X431" i="5" l="1"/>
  <c r="O432" i="5"/>
  <c r="P432" i="5" s="1"/>
  <c r="N432" i="5"/>
  <c r="BB418" i="5"/>
  <c r="AT419" i="5"/>
  <c r="AT441" i="2"/>
  <c r="BK91" i="5"/>
  <c r="AL466" i="5"/>
  <c r="R413" i="2"/>
  <c r="S413" i="2" s="1"/>
  <c r="AK413" i="2"/>
  <c r="AB414" i="2"/>
  <c r="AD414" i="2" s="1"/>
  <c r="AC467" i="5" l="1"/>
  <c r="AE467" i="5" s="1"/>
  <c r="AF467" i="5" s="1"/>
  <c r="S432" i="5"/>
  <c r="T432" i="5" s="1"/>
  <c r="AV419" i="5"/>
  <c r="AW419" i="5" s="1"/>
  <c r="AU441" i="2"/>
  <c r="V413" i="2"/>
  <c r="AM466" i="5"/>
  <c r="BM91" i="5"/>
  <c r="BN91" i="5" s="1"/>
  <c r="BO91" i="5" s="1"/>
  <c r="BP91" i="5" s="1"/>
  <c r="AE414" i="2"/>
  <c r="W432" i="5" l="1"/>
  <c r="BA419" i="5"/>
  <c r="AY441" i="2"/>
  <c r="BK92" i="5"/>
  <c r="K33" i="9"/>
  <c r="L33" i="9" s="1"/>
  <c r="K33" i="8"/>
  <c r="L33" i="8" s="1"/>
  <c r="W413" i="2"/>
  <c r="AL467" i="5"/>
  <c r="N414" i="2"/>
  <c r="O414" i="2" s="1"/>
  <c r="M414" i="2"/>
  <c r="AJ414" i="2"/>
  <c r="BB419" i="5" l="1"/>
  <c r="AT420" i="5"/>
  <c r="X432" i="5"/>
  <c r="N433" i="5"/>
  <c r="O433" i="5"/>
  <c r="P433" i="5" s="1"/>
  <c r="M33" i="8"/>
  <c r="M33" i="9"/>
  <c r="AZ441" i="2"/>
  <c r="AR442" i="2"/>
  <c r="AT442" i="2" s="1"/>
  <c r="BM92" i="5"/>
  <c r="BN92" i="5" s="1"/>
  <c r="BO92" i="5" s="1"/>
  <c r="BP92" i="5" s="1"/>
  <c r="AC468" i="5"/>
  <c r="AM467" i="5"/>
  <c r="R414" i="2"/>
  <c r="S414" i="2" s="1"/>
  <c r="AK414" i="2"/>
  <c r="AB415" i="2"/>
  <c r="AD415" i="2" s="1"/>
  <c r="S433" i="5" l="1"/>
  <c r="T433" i="5" s="1"/>
  <c r="AV420" i="5"/>
  <c r="AW420" i="5" s="1"/>
  <c r="AU442" i="2"/>
  <c r="AY442" i="2" s="1"/>
  <c r="V414" i="2"/>
  <c r="BK93" i="5"/>
  <c r="AE468" i="5"/>
  <c r="AF468" i="5" s="1"/>
  <c r="AE415" i="2"/>
  <c r="BA420" i="5" l="1"/>
  <c r="W433" i="5"/>
  <c r="BM93" i="5"/>
  <c r="BN93" i="5" s="1"/>
  <c r="BO93" i="5" s="1"/>
  <c r="BP93" i="5" s="1"/>
  <c r="W414" i="2"/>
  <c r="AL468" i="5"/>
  <c r="M415" i="2"/>
  <c r="N415" i="2"/>
  <c r="O415" i="2" s="1"/>
  <c r="AR443" i="2"/>
  <c r="AZ442" i="2"/>
  <c r="AJ415" i="2"/>
  <c r="X433" i="5" l="1"/>
  <c r="O434" i="5"/>
  <c r="P434" i="5" s="1"/>
  <c r="N434" i="5"/>
  <c r="AT421" i="5"/>
  <c r="BB420" i="5"/>
  <c r="AT443" i="2"/>
  <c r="AU443" i="2" s="1"/>
  <c r="BK94" i="5"/>
  <c r="J60" i="7"/>
  <c r="AC469" i="5"/>
  <c r="AM468" i="5"/>
  <c r="R415" i="2"/>
  <c r="S415" i="2" s="1"/>
  <c r="AK415" i="2"/>
  <c r="AB416" i="2"/>
  <c r="AD416" i="2" s="1"/>
  <c r="AV421" i="5" l="1"/>
  <c r="AW421" i="5" s="1"/>
  <c r="S434" i="5"/>
  <c r="T434" i="5" s="1"/>
  <c r="AY443" i="2"/>
  <c r="V415" i="2"/>
  <c r="BM94" i="5"/>
  <c r="BN94" i="5" s="1"/>
  <c r="AE469" i="5"/>
  <c r="AF469" i="5" s="1"/>
  <c r="AE416" i="2"/>
  <c r="BA421" i="5" l="1"/>
  <c r="W434" i="5"/>
  <c r="BO94" i="5"/>
  <c r="BP94" i="5" s="1"/>
  <c r="H60" i="7"/>
  <c r="L60" i="7" s="1"/>
  <c r="W415" i="2"/>
  <c r="M60" i="7" s="1"/>
  <c r="AL469" i="5"/>
  <c r="N416" i="2"/>
  <c r="O416" i="2" s="1"/>
  <c r="M416" i="2"/>
  <c r="AZ443" i="2"/>
  <c r="AR444" i="2"/>
  <c r="AJ416" i="2"/>
  <c r="X434" i="5" l="1"/>
  <c r="O435" i="5"/>
  <c r="P435" i="5" s="1"/>
  <c r="N435" i="5"/>
  <c r="BB421" i="5"/>
  <c r="AT422" i="5"/>
  <c r="AT444" i="2"/>
  <c r="BK95" i="5"/>
  <c r="AC470" i="5"/>
  <c r="AM469" i="5"/>
  <c r="R416" i="2"/>
  <c r="S416" i="2" s="1"/>
  <c r="AK416" i="2"/>
  <c r="AB417" i="2"/>
  <c r="AD417" i="2" s="1"/>
  <c r="AV422" i="5" l="1"/>
  <c r="AW422" i="5" s="1"/>
  <c r="S435" i="5"/>
  <c r="T435" i="5" s="1"/>
  <c r="W435" i="5" s="1"/>
  <c r="V416" i="2"/>
  <c r="BM95" i="5"/>
  <c r="BN95" i="5" s="1"/>
  <c r="BO95" i="5" s="1"/>
  <c r="BP95" i="5" s="1"/>
  <c r="AE470" i="5"/>
  <c r="AF470" i="5" s="1"/>
  <c r="AU444" i="2"/>
  <c r="AY444" i="2" s="1"/>
  <c r="AE417" i="2"/>
  <c r="X435" i="5" l="1"/>
  <c r="O436" i="5"/>
  <c r="P436" i="5" s="1"/>
  <c r="N436" i="5"/>
  <c r="BA422" i="5"/>
  <c r="BK96" i="5"/>
  <c r="W416" i="2"/>
  <c r="AL470" i="5"/>
  <c r="N417" i="2"/>
  <c r="O417" i="2" s="1"/>
  <c r="M417" i="2"/>
  <c r="AJ417" i="2"/>
  <c r="S436" i="5" l="1"/>
  <c r="T436" i="5" s="1"/>
  <c r="BB422" i="5"/>
  <c r="AT423" i="5"/>
  <c r="AR445" i="2"/>
  <c r="AT445" i="2" s="1"/>
  <c r="AU445" i="2" s="1"/>
  <c r="AZ444" i="2"/>
  <c r="BM96" i="5"/>
  <c r="BN96" i="5" s="1"/>
  <c r="BO96" i="5" s="1"/>
  <c r="BP96" i="5" s="1"/>
  <c r="AB418" i="2"/>
  <c r="AD418" i="2" s="1"/>
  <c r="AE418" i="2" s="1"/>
  <c r="AC471" i="5"/>
  <c r="AM470" i="5"/>
  <c r="AK417" i="2"/>
  <c r="R417" i="2"/>
  <c r="S417" i="2" s="1"/>
  <c r="AV423" i="5" l="1"/>
  <c r="AW423" i="5" s="1"/>
  <c r="W436" i="5"/>
  <c r="AY445" i="2"/>
  <c r="V417" i="2"/>
  <c r="BK97" i="5"/>
  <c r="AE471" i="5"/>
  <c r="AF471" i="5" s="1"/>
  <c r="AL471" i="5" s="1"/>
  <c r="AJ418" i="2"/>
  <c r="N437" i="5" l="1"/>
  <c r="O437" i="5"/>
  <c r="P437" i="5" s="1"/>
  <c r="X436" i="5"/>
  <c r="BA423" i="5"/>
  <c r="AT424" i="5" s="1"/>
  <c r="BM97" i="5"/>
  <c r="BN97" i="5" s="1"/>
  <c r="BO97" i="5" s="1"/>
  <c r="BP97" i="5" s="1"/>
  <c r="W417" i="2"/>
  <c r="AC472" i="5"/>
  <c r="AM471" i="5"/>
  <c r="M418" i="2"/>
  <c r="N418" i="2"/>
  <c r="O418" i="2" s="1"/>
  <c r="AZ445" i="2"/>
  <c r="AR446" i="2"/>
  <c r="AK418" i="2"/>
  <c r="AB419" i="2"/>
  <c r="AD419" i="2" s="1"/>
  <c r="AV424" i="5" l="1"/>
  <c r="AW424" i="5" s="1"/>
  <c r="BB423" i="5"/>
  <c r="S437" i="5"/>
  <c r="T437" i="5" s="1"/>
  <c r="AT446" i="2"/>
  <c r="AU446" i="2" s="1"/>
  <c r="BK98" i="5"/>
  <c r="AE472" i="5"/>
  <c r="AF472" i="5" s="1"/>
  <c r="AL472" i="5" s="1"/>
  <c r="R418" i="2"/>
  <c r="S418" i="2" s="1"/>
  <c r="AE419" i="2"/>
  <c r="W437" i="5" l="1"/>
  <c r="X437" i="5" s="1"/>
  <c r="BA424" i="5"/>
  <c r="AY446" i="2"/>
  <c r="V418" i="2"/>
  <c r="BM98" i="5"/>
  <c r="BN98" i="5" s="1"/>
  <c r="BO98" i="5" s="1"/>
  <c r="BP98" i="5" s="1"/>
  <c r="AC473" i="5"/>
  <c r="AM472" i="5"/>
  <c r="AJ419" i="2"/>
  <c r="O438" i="5" l="1"/>
  <c r="P438" i="5" s="1"/>
  <c r="N438" i="5"/>
  <c r="AT425" i="5"/>
  <c r="BB424" i="5"/>
  <c r="BK99" i="5"/>
  <c r="AE473" i="5"/>
  <c r="AF473" i="5" s="1"/>
  <c r="AL473" i="5" s="1"/>
  <c r="AZ446" i="2"/>
  <c r="W418" i="2"/>
  <c r="AR447" i="2"/>
  <c r="M419" i="2"/>
  <c r="N419" i="2"/>
  <c r="O419" i="2" s="1"/>
  <c r="AK419" i="2"/>
  <c r="AB420" i="2"/>
  <c r="AD420" i="2" s="1"/>
  <c r="S438" i="5" l="1"/>
  <c r="T438" i="5" s="1"/>
  <c r="W438" i="5" s="1"/>
  <c r="O439" i="5" s="1"/>
  <c r="P439" i="5" s="1"/>
  <c r="AV425" i="5"/>
  <c r="AW425" i="5" s="1"/>
  <c r="BM99" i="5"/>
  <c r="BN99" i="5" s="1"/>
  <c r="BO99" i="5" s="1"/>
  <c r="BP99" i="5" s="1"/>
  <c r="AC474" i="5"/>
  <c r="AM473" i="5"/>
  <c r="AT447" i="2"/>
  <c r="AU447" i="2" s="1"/>
  <c r="R419" i="2"/>
  <c r="S419" i="2" s="1"/>
  <c r="AE420" i="2"/>
  <c r="X438" i="5" l="1"/>
  <c r="N439" i="5"/>
  <c r="S439" i="5" s="1"/>
  <c r="T439" i="5" s="1"/>
  <c r="BA425" i="5"/>
  <c r="AY447" i="2"/>
  <c r="V419" i="2"/>
  <c r="BK100" i="5"/>
  <c r="AE474" i="5"/>
  <c r="AF474" i="5" s="1"/>
  <c r="AJ420" i="2"/>
  <c r="W439" i="5" l="1"/>
  <c r="AT426" i="5"/>
  <c r="BB425" i="5"/>
  <c r="BM100" i="5"/>
  <c r="BN100" i="5" s="1"/>
  <c r="BO100" i="5" s="1"/>
  <c r="BP100" i="5" s="1"/>
  <c r="AR448" i="2"/>
  <c r="W419" i="2"/>
  <c r="AL474" i="5"/>
  <c r="AZ447" i="2"/>
  <c r="N420" i="2"/>
  <c r="O420" i="2" s="1"/>
  <c r="M420" i="2"/>
  <c r="AK420" i="2"/>
  <c r="AB421" i="2"/>
  <c r="AD421" i="2" s="1"/>
  <c r="AV426" i="5" l="1"/>
  <c r="AW426" i="5" s="1"/>
  <c r="X439" i="5"/>
  <c r="H62" i="9"/>
  <c r="N440" i="5"/>
  <c r="O440" i="5"/>
  <c r="P440" i="5" s="1"/>
  <c r="AT448" i="2"/>
  <c r="AU448" i="2" s="1"/>
  <c r="BK101" i="5"/>
  <c r="AC475" i="5"/>
  <c r="AM474" i="5"/>
  <c r="R420" i="2"/>
  <c r="S420" i="2" s="1"/>
  <c r="AE421" i="2"/>
  <c r="BA426" i="5" l="1"/>
  <c r="S440" i="5"/>
  <c r="T440" i="5" s="1"/>
  <c r="AY448" i="2"/>
  <c r="V420" i="2"/>
  <c r="BM101" i="5"/>
  <c r="BN101" i="5" s="1"/>
  <c r="BO101" i="5" s="1"/>
  <c r="BP101" i="5" s="1"/>
  <c r="AE475" i="5"/>
  <c r="AF475" i="5" s="1"/>
  <c r="AJ421" i="2"/>
  <c r="W440" i="5" l="1"/>
  <c r="BB426" i="5"/>
  <c r="AT427" i="5"/>
  <c r="AR449" i="2"/>
  <c r="AT449" i="2" s="1"/>
  <c r="AZ448" i="2"/>
  <c r="BK102" i="5"/>
  <c r="W420" i="2"/>
  <c r="AL475" i="5"/>
  <c r="M421" i="2"/>
  <c r="N421" i="2"/>
  <c r="O421" i="2" s="1"/>
  <c r="AK421" i="2"/>
  <c r="AB422" i="2"/>
  <c r="AD422" i="2" s="1"/>
  <c r="AV427" i="5" l="1"/>
  <c r="AW427" i="5" s="1"/>
  <c r="BA427" i="5" s="1"/>
  <c r="X440" i="5"/>
  <c r="O441" i="5"/>
  <c r="P441" i="5" s="1"/>
  <c r="N441" i="5"/>
  <c r="AU449" i="2"/>
  <c r="BM102" i="5"/>
  <c r="BN102" i="5" s="1"/>
  <c r="BO102" i="5" s="1"/>
  <c r="BP102" i="5" s="1"/>
  <c r="J65" i="9"/>
  <c r="AM475" i="5"/>
  <c r="AC476" i="5"/>
  <c r="R421" i="2"/>
  <c r="S421" i="2" s="1"/>
  <c r="AE422" i="2"/>
  <c r="AT428" i="5" l="1"/>
  <c r="BB427" i="5"/>
  <c r="I61" i="9"/>
  <c r="S441" i="5"/>
  <c r="T441" i="5" s="1"/>
  <c r="W441" i="5" s="1"/>
  <c r="AY449" i="2"/>
  <c r="V421" i="2"/>
  <c r="BK103" i="5"/>
  <c r="AE476" i="5"/>
  <c r="AF476" i="5" s="1"/>
  <c r="AL476" i="5" s="1"/>
  <c r="AJ422" i="2"/>
  <c r="O442" i="5" l="1"/>
  <c r="P442" i="5" s="1"/>
  <c r="N442" i="5"/>
  <c r="X441" i="5"/>
  <c r="AV428" i="5"/>
  <c r="AW428" i="5" s="1"/>
  <c r="AZ449" i="2"/>
  <c r="AR450" i="2"/>
  <c r="AT450" i="2" s="1"/>
  <c r="AU450" i="2" s="1"/>
  <c r="BM103" i="5"/>
  <c r="BN103" i="5" s="1"/>
  <c r="BO103" i="5" s="1"/>
  <c r="BP103" i="5" s="1"/>
  <c r="W421" i="2"/>
  <c r="AC477" i="5"/>
  <c r="AM476" i="5"/>
  <c r="M422" i="2"/>
  <c r="N422" i="2"/>
  <c r="O422" i="2" s="1"/>
  <c r="AK422" i="2"/>
  <c r="AB423" i="2"/>
  <c r="AD423" i="2" s="1"/>
  <c r="BA428" i="5" l="1"/>
  <c r="S442" i="5"/>
  <c r="T442" i="5" s="1"/>
  <c r="W442" i="5" s="1"/>
  <c r="AY450" i="2"/>
  <c r="K34" i="8"/>
  <c r="L34" i="8" s="1"/>
  <c r="BK104" i="5"/>
  <c r="K34" i="9"/>
  <c r="L34" i="9" s="1"/>
  <c r="AE477" i="5"/>
  <c r="AF477" i="5" s="1"/>
  <c r="AL477" i="5" s="1"/>
  <c r="R422" i="2"/>
  <c r="S422" i="2" s="1"/>
  <c r="AE423" i="2"/>
  <c r="O443" i="5" l="1"/>
  <c r="P443" i="5" s="1"/>
  <c r="N443" i="5"/>
  <c r="X442" i="5"/>
  <c r="BB428" i="5"/>
  <c r="AT429" i="5"/>
  <c r="M34" i="8"/>
  <c r="M34" i="9"/>
  <c r="V422" i="2"/>
  <c r="BM104" i="5"/>
  <c r="BN104" i="5" s="1"/>
  <c r="AC478" i="5"/>
  <c r="AM477" i="5"/>
  <c r="AZ450" i="2"/>
  <c r="AR451" i="2"/>
  <c r="AJ423" i="2"/>
  <c r="AV429" i="5" l="1"/>
  <c r="AW429" i="5" s="1"/>
  <c r="S443" i="5"/>
  <c r="T443" i="5" s="1"/>
  <c r="W443" i="5" s="1"/>
  <c r="AT451" i="2"/>
  <c r="BO104" i="5"/>
  <c r="BP104" i="5" s="1"/>
  <c r="AE478" i="5"/>
  <c r="AF478" i="5" s="1"/>
  <c r="W422" i="2"/>
  <c r="N423" i="2"/>
  <c r="O423" i="2" s="1"/>
  <c r="M423" i="2"/>
  <c r="AK423" i="2"/>
  <c r="AB424" i="2"/>
  <c r="AD424" i="2" s="1"/>
  <c r="O444" i="5" l="1"/>
  <c r="P444" i="5" s="1"/>
  <c r="N444" i="5"/>
  <c r="X443" i="5"/>
  <c r="BA429" i="5"/>
  <c r="BK105" i="5"/>
  <c r="AL478" i="5"/>
  <c r="R423" i="2"/>
  <c r="S423" i="2" s="1"/>
  <c r="AU451" i="2"/>
  <c r="AY451" i="2" s="1"/>
  <c r="AE424" i="2"/>
  <c r="S444" i="5" l="1"/>
  <c r="T444" i="5" s="1"/>
  <c r="W444" i="5" s="1"/>
  <c r="BB429" i="5"/>
  <c r="AT430" i="5"/>
  <c r="V423" i="2"/>
  <c r="BM105" i="5"/>
  <c r="BN105" i="5" s="1"/>
  <c r="BO105" i="5" s="1"/>
  <c r="BP105" i="5" s="1"/>
  <c r="I63" i="7"/>
  <c r="AC479" i="5"/>
  <c r="AM478" i="5"/>
  <c r="AZ451" i="2"/>
  <c r="AR452" i="2"/>
  <c r="AJ424" i="2"/>
  <c r="O445" i="5" l="1"/>
  <c r="P445" i="5" s="1"/>
  <c r="N445" i="5"/>
  <c r="X444" i="5"/>
  <c r="AV430" i="5"/>
  <c r="AW430" i="5" s="1"/>
  <c r="AT452" i="2"/>
  <c r="BK106" i="5"/>
  <c r="AE479" i="5"/>
  <c r="AF479" i="5" s="1"/>
  <c r="AL479" i="5" s="1"/>
  <c r="W423" i="2"/>
  <c r="N424" i="2"/>
  <c r="O424" i="2" s="1"/>
  <c r="M424" i="2"/>
  <c r="AK424" i="2"/>
  <c r="AB425" i="2"/>
  <c r="AD425" i="2" s="1"/>
  <c r="BA430" i="5" l="1"/>
  <c r="S445" i="5"/>
  <c r="T445" i="5" s="1"/>
  <c r="W445" i="5" s="1"/>
  <c r="BM106" i="5"/>
  <c r="BN106" i="5" s="1"/>
  <c r="BO106" i="5" s="1"/>
  <c r="BP106" i="5" s="1"/>
  <c r="AC480" i="5"/>
  <c r="AM479" i="5"/>
  <c r="R424" i="2"/>
  <c r="S424" i="2" s="1"/>
  <c r="AU452" i="2"/>
  <c r="AY452" i="2" s="1"/>
  <c r="AE425" i="2"/>
  <c r="BB430" i="5" l="1"/>
  <c r="AT431" i="5"/>
  <c r="AV431" i="5" s="1"/>
  <c r="N446" i="5"/>
  <c r="O446" i="5"/>
  <c r="P446" i="5" s="1"/>
  <c r="X445" i="5"/>
  <c r="V424" i="2"/>
  <c r="BK107" i="5"/>
  <c r="AE480" i="5"/>
  <c r="AF480" i="5" s="1"/>
  <c r="AL480" i="5" s="1"/>
  <c r="AR453" i="2"/>
  <c r="AZ452" i="2"/>
  <c r="AJ425" i="2"/>
  <c r="AW431" i="5" l="1"/>
  <c r="BA431" i="5" s="1"/>
  <c r="AT432" i="5" s="1"/>
  <c r="S446" i="5"/>
  <c r="T446" i="5" s="1"/>
  <c r="AT453" i="2"/>
  <c r="AU453" i="2" s="1"/>
  <c r="BM107" i="5"/>
  <c r="BN107" i="5" s="1"/>
  <c r="W424" i="2"/>
  <c r="AC481" i="5"/>
  <c r="AM480" i="5"/>
  <c r="M425" i="2"/>
  <c r="N425" i="2"/>
  <c r="O425" i="2" s="1"/>
  <c r="AK425" i="2"/>
  <c r="AB426" i="2"/>
  <c r="AD426" i="2" s="1"/>
  <c r="BB431" i="5" l="1"/>
  <c r="AV432" i="5"/>
  <c r="AW432" i="5" s="1"/>
  <c r="W446" i="5"/>
  <c r="AY453" i="2"/>
  <c r="BO107" i="5"/>
  <c r="BP107" i="5" s="1"/>
  <c r="AE481" i="5"/>
  <c r="AF481" i="5" s="1"/>
  <c r="AL481" i="5" s="1"/>
  <c r="R425" i="2"/>
  <c r="S425" i="2" s="1"/>
  <c r="AE426" i="2"/>
  <c r="BA432" i="5" l="1"/>
  <c r="AT433" i="5" s="1"/>
  <c r="X446" i="5"/>
  <c r="N447" i="5"/>
  <c r="O447" i="5"/>
  <c r="P447" i="5" s="1"/>
  <c r="V425" i="2"/>
  <c r="BK108" i="5"/>
  <c r="BM108" i="5" s="1"/>
  <c r="BN108" i="5" s="1"/>
  <c r="AZ453" i="2"/>
  <c r="AC482" i="5"/>
  <c r="AM481" i="5"/>
  <c r="AR454" i="2"/>
  <c r="AJ426" i="2"/>
  <c r="BB432" i="5" l="1"/>
  <c r="S447" i="5"/>
  <c r="T447" i="5" s="1"/>
  <c r="AV433" i="5"/>
  <c r="AW433" i="5" s="1"/>
  <c r="AT454" i="2"/>
  <c r="AU454" i="2" s="1"/>
  <c r="BO108" i="5"/>
  <c r="BP108" i="5" s="1"/>
  <c r="AE482" i="5"/>
  <c r="AF482" i="5" s="1"/>
  <c r="W425" i="2"/>
  <c r="M426" i="2"/>
  <c r="N426" i="2"/>
  <c r="O426" i="2" s="1"/>
  <c r="AK426" i="2"/>
  <c r="AB427" i="2"/>
  <c r="AD427" i="2" s="1"/>
  <c r="BA433" i="5" l="1"/>
  <c r="AT434" i="5" s="1"/>
  <c r="W447" i="5"/>
  <c r="N448" i="5" s="1"/>
  <c r="AY454" i="2"/>
  <c r="AR455" i="2" s="1"/>
  <c r="BK109" i="5"/>
  <c r="BM109" i="5" s="1"/>
  <c r="AL482" i="5"/>
  <c r="R426" i="2"/>
  <c r="S426" i="2" s="1"/>
  <c r="AE427" i="2"/>
  <c r="O448" i="5" l="1"/>
  <c r="P448" i="5" s="1"/>
  <c r="S448" i="5" s="1"/>
  <c r="T448" i="5" s="1"/>
  <c r="X447" i="5"/>
  <c r="BB433" i="5"/>
  <c r="AV434" i="5"/>
  <c r="AW434" i="5" s="1"/>
  <c r="AZ454" i="2"/>
  <c r="AT455" i="2"/>
  <c r="V426" i="2"/>
  <c r="BN109" i="5"/>
  <c r="BO109" i="5" s="1"/>
  <c r="BP109" i="5" s="1"/>
  <c r="AC483" i="5"/>
  <c r="AM482" i="5"/>
  <c r="AJ427" i="2"/>
  <c r="BA434" i="5" l="1"/>
  <c r="W448" i="5"/>
  <c r="AU455" i="2"/>
  <c r="AY455" i="2" s="1"/>
  <c r="BK110" i="5"/>
  <c r="AE483" i="5"/>
  <c r="AF483" i="5" s="1"/>
  <c r="W426" i="2"/>
  <c r="J61" i="7"/>
  <c r="N427" i="2"/>
  <c r="O427" i="2" s="1"/>
  <c r="M427" i="2"/>
  <c r="AK427" i="2"/>
  <c r="AB428" i="2"/>
  <c r="AD428" i="2" s="1"/>
  <c r="AT435" i="5" l="1"/>
  <c r="AV435" i="5" s="1"/>
  <c r="AW435" i="5" s="1"/>
  <c r="BB434" i="5"/>
  <c r="X448" i="5"/>
  <c r="O449" i="5"/>
  <c r="P449" i="5" s="1"/>
  <c r="N449" i="5"/>
  <c r="AR456" i="2"/>
  <c r="AT456" i="2" s="1"/>
  <c r="AZ455" i="2"/>
  <c r="BM110" i="5"/>
  <c r="BN110" i="5" s="1"/>
  <c r="BO110" i="5" s="1"/>
  <c r="BP110" i="5" s="1"/>
  <c r="AL483" i="5"/>
  <c r="R427" i="2"/>
  <c r="S427" i="2" s="1"/>
  <c r="AE428" i="2"/>
  <c r="BA435" i="5" l="1"/>
  <c r="BB435" i="5" s="1"/>
  <c r="S449" i="5"/>
  <c r="T449" i="5" s="1"/>
  <c r="W449" i="5" s="1"/>
  <c r="V427" i="2"/>
  <c r="BK111" i="5"/>
  <c r="AC484" i="5"/>
  <c r="AM483" i="5"/>
  <c r="AU456" i="2"/>
  <c r="AY456" i="2" s="1"/>
  <c r="AJ428" i="2"/>
  <c r="AT436" i="5" l="1"/>
  <c r="AV436" i="5" s="1"/>
  <c r="AW436" i="5" s="1"/>
  <c r="X449" i="5"/>
  <c r="O450" i="5"/>
  <c r="P450" i="5" s="1"/>
  <c r="N450" i="5"/>
  <c r="BM111" i="5"/>
  <c r="BN111" i="5" s="1"/>
  <c r="AE484" i="5"/>
  <c r="AF484" i="5" s="1"/>
  <c r="AL484" i="5" s="1"/>
  <c r="H61" i="7"/>
  <c r="L61" i="7" s="1"/>
  <c r="W427" i="2"/>
  <c r="M61" i="7" s="1"/>
  <c r="N428" i="2"/>
  <c r="O428" i="2" s="1"/>
  <c r="M428" i="2"/>
  <c r="AR457" i="2"/>
  <c r="AZ456" i="2"/>
  <c r="AK428" i="2"/>
  <c r="AB429" i="2"/>
  <c r="AD429" i="2" s="1"/>
  <c r="BA436" i="5" l="1"/>
  <c r="S450" i="5"/>
  <c r="T450" i="5" s="1"/>
  <c r="W450" i="5" s="1"/>
  <c r="AT457" i="2"/>
  <c r="BO111" i="5"/>
  <c r="BP111" i="5" s="1"/>
  <c r="AC485" i="5"/>
  <c r="R428" i="2"/>
  <c r="S428" i="2" s="1"/>
  <c r="AM484" i="5"/>
  <c r="AE429" i="2"/>
  <c r="BB436" i="5" l="1"/>
  <c r="AT437" i="5"/>
  <c r="AV437" i="5" s="1"/>
  <c r="AW437" i="5" s="1"/>
  <c r="BA437" i="5" s="1"/>
  <c r="X450" i="5"/>
  <c r="O451" i="5"/>
  <c r="P451" i="5" s="1"/>
  <c r="N451" i="5"/>
  <c r="V428" i="2"/>
  <c r="BK112" i="5"/>
  <c r="BM112" i="5" s="1"/>
  <c r="BN112" i="5" s="1"/>
  <c r="BO112" i="5" s="1"/>
  <c r="BP112" i="5" s="1"/>
  <c r="AE485" i="5"/>
  <c r="AF485" i="5" s="1"/>
  <c r="AU457" i="2"/>
  <c r="AY457" i="2" s="1"/>
  <c r="AJ429" i="2"/>
  <c r="S451" i="5" l="1"/>
  <c r="T451" i="5" s="1"/>
  <c r="W451" i="5" s="1"/>
  <c r="BB437" i="5"/>
  <c r="AT438" i="5"/>
  <c r="BK113" i="5"/>
  <c r="AL485" i="5"/>
  <c r="W428" i="2"/>
  <c r="M429" i="2"/>
  <c r="N429" i="2"/>
  <c r="O429" i="2" s="1"/>
  <c r="AR458" i="2"/>
  <c r="AK429" i="2"/>
  <c r="AB430" i="2"/>
  <c r="AD430" i="2" s="1"/>
  <c r="AV438" i="5" l="1"/>
  <c r="AW438" i="5" s="1"/>
  <c r="O452" i="5"/>
  <c r="P452" i="5" s="1"/>
  <c r="H63" i="9"/>
  <c r="N452" i="5"/>
  <c r="X451" i="5"/>
  <c r="AT458" i="2"/>
  <c r="AZ457" i="2"/>
  <c r="BM113" i="5"/>
  <c r="BN113" i="5" s="1"/>
  <c r="AM485" i="5"/>
  <c r="AC486" i="5"/>
  <c r="R429" i="2"/>
  <c r="S429" i="2" s="1"/>
  <c r="AE430" i="2"/>
  <c r="BA438" i="5" l="1"/>
  <c r="S452" i="5"/>
  <c r="T452" i="5" s="1"/>
  <c r="W452" i="5" s="1"/>
  <c r="V429" i="2"/>
  <c r="W429" i="2" s="1"/>
  <c r="BO113" i="5"/>
  <c r="BP113" i="5" s="1"/>
  <c r="AE486" i="5"/>
  <c r="AU458" i="2"/>
  <c r="AY458" i="2" s="1"/>
  <c r="AJ430" i="2"/>
  <c r="N453" i="5" l="1"/>
  <c r="O453" i="5"/>
  <c r="P453" i="5" s="1"/>
  <c r="X452" i="5"/>
  <c r="BB438" i="5"/>
  <c r="AT439" i="5"/>
  <c r="N430" i="2"/>
  <c r="O430" i="2" s="1"/>
  <c r="M430" i="2"/>
  <c r="BK114" i="5"/>
  <c r="BM114" i="5" s="1"/>
  <c r="AF486" i="5"/>
  <c r="AL486" i="5" s="1"/>
  <c r="AC487" i="5" s="1"/>
  <c r="AE487" i="5" s="1"/>
  <c r="AF487" i="5" s="1"/>
  <c r="AB431" i="2"/>
  <c r="AD431" i="2" s="1"/>
  <c r="AE431" i="2" s="1"/>
  <c r="AK430" i="2"/>
  <c r="AZ458" i="2"/>
  <c r="AV439" i="5" l="1"/>
  <c r="AW439" i="5" s="1"/>
  <c r="S453" i="5"/>
  <c r="T453" i="5" s="1"/>
  <c r="AR459" i="2"/>
  <c r="R430" i="2"/>
  <c r="S430" i="2" s="1"/>
  <c r="BN114" i="5"/>
  <c r="BO114" i="5" s="1"/>
  <c r="AM486" i="5"/>
  <c r="AL487" i="5"/>
  <c r="AJ431" i="2"/>
  <c r="BP114" i="5" l="1"/>
  <c r="W453" i="5"/>
  <c r="X453" i="5" s="1"/>
  <c r="BA439" i="5"/>
  <c r="AT459" i="2"/>
  <c r="AU459" i="2" s="1"/>
  <c r="V430" i="2"/>
  <c r="W430" i="2" s="1"/>
  <c r="BK115" i="5"/>
  <c r="BM115" i="5" s="1"/>
  <c r="BN115" i="5" s="1"/>
  <c r="BO115" i="5" s="1"/>
  <c r="BP115" i="5" s="1"/>
  <c r="J66" i="9"/>
  <c r="AC488" i="5"/>
  <c r="AM487" i="5"/>
  <c r="AK431" i="2"/>
  <c r="AB432" i="2"/>
  <c r="AD432" i="2" s="1"/>
  <c r="N454" i="5" l="1"/>
  <c r="O454" i="5"/>
  <c r="P454" i="5" s="1"/>
  <c r="BB439" i="5"/>
  <c r="AT440" i="5"/>
  <c r="I62" i="9"/>
  <c r="AY459" i="2"/>
  <c r="M431" i="2"/>
  <c r="N431" i="2"/>
  <c r="O431" i="2" s="1"/>
  <c r="BK116" i="5"/>
  <c r="K35" i="9"/>
  <c r="L35" i="9" s="1"/>
  <c r="K35" i="8"/>
  <c r="L35" i="8" s="1"/>
  <c r="AE488" i="5"/>
  <c r="AF488" i="5" s="1"/>
  <c r="AE432" i="2"/>
  <c r="AZ459" i="2" l="1"/>
  <c r="S454" i="5"/>
  <c r="T454" i="5" s="1"/>
  <c r="AV440" i="5"/>
  <c r="AW440" i="5" s="1"/>
  <c r="BA440" i="5" s="1"/>
  <c r="M35" i="8"/>
  <c r="M35" i="9"/>
  <c r="AR460" i="2"/>
  <c r="AT460" i="2" s="1"/>
  <c r="R431" i="2"/>
  <c r="S431" i="2" s="1"/>
  <c r="BM116" i="5"/>
  <c r="BN116" i="5" s="1"/>
  <c r="BO116" i="5" s="1"/>
  <c r="BP116" i="5" s="1"/>
  <c r="AL488" i="5"/>
  <c r="AJ432" i="2"/>
  <c r="W454" i="5" l="1"/>
  <c r="O455" i="5" s="1"/>
  <c r="P455" i="5" s="1"/>
  <c r="AT441" i="5"/>
  <c r="BB440" i="5"/>
  <c r="AU460" i="2"/>
  <c r="AY460" i="2" s="1"/>
  <c r="V431" i="2"/>
  <c r="W431" i="2" s="1"/>
  <c r="BK117" i="5"/>
  <c r="AC489" i="5"/>
  <c r="AM488" i="5"/>
  <c r="AK432" i="2"/>
  <c r="AB433" i="2"/>
  <c r="AD433" i="2" s="1"/>
  <c r="N455" i="5" l="1"/>
  <c r="S455" i="5" s="1"/>
  <c r="T455" i="5" s="1"/>
  <c r="W455" i="5" s="1"/>
  <c r="X454" i="5"/>
  <c r="AV441" i="5"/>
  <c r="AW441" i="5" s="1"/>
  <c r="M432" i="2"/>
  <c r="N432" i="2"/>
  <c r="O432" i="2" s="1"/>
  <c r="BM117" i="5"/>
  <c r="BN117" i="5" s="1"/>
  <c r="AE489" i="5"/>
  <c r="AR461" i="2"/>
  <c r="AZ460" i="2"/>
  <c r="AE433" i="2"/>
  <c r="X455" i="5" l="1"/>
  <c r="O456" i="5"/>
  <c r="P456" i="5" s="1"/>
  <c r="N456" i="5"/>
  <c r="BA441" i="5"/>
  <c r="AT461" i="2"/>
  <c r="AU461" i="2" s="1"/>
  <c r="R432" i="2"/>
  <c r="S432" i="2" s="1"/>
  <c r="V432" i="2" s="1"/>
  <c r="BO117" i="5"/>
  <c r="BP117" i="5" s="1"/>
  <c r="AF489" i="5"/>
  <c r="AL489" i="5" s="1"/>
  <c r="AC490" i="5" s="1"/>
  <c r="AE490" i="5" s="1"/>
  <c r="AJ433" i="2"/>
  <c r="S456" i="5" l="1"/>
  <c r="T456" i="5" s="1"/>
  <c r="W456" i="5" s="1"/>
  <c r="BB441" i="5"/>
  <c r="AT442" i="5"/>
  <c r="AY461" i="2"/>
  <c r="AZ461" i="2" s="1"/>
  <c r="BK118" i="5"/>
  <c r="AM489" i="5"/>
  <c r="AF490" i="5"/>
  <c r="AL490" i="5" s="1"/>
  <c r="AC491" i="5" s="1"/>
  <c r="W432" i="2"/>
  <c r="AB434" i="2"/>
  <c r="AD434" i="2" s="1"/>
  <c r="AK433" i="2"/>
  <c r="M433" i="2"/>
  <c r="N433" i="2"/>
  <c r="O433" i="2" s="1"/>
  <c r="X456" i="5" l="1"/>
  <c r="N457" i="5"/>
  <c r="O457" i="5"/>
  <c r="P457" i="5" s="1"/>
  <c r="AV442" i="5"/>
  <c r="AW442" i="5" s="1"/>
  <c r="AR462" i="2"/>
  <c r="AT462" i="2" s="1"/>
  <c r="AU462" i="2" s="1"/>
  <c r="BM118" i="5"/>
  <c r="BN118" i="5" s="1"/>
  <c r="BO118" i="5" s="1"/>
  <c r="BP118" i="5" s="1"/>
  <c r="AM490" i="5"/>
  <c r="AE491" i="5"/>
  <c r="AE434" i="2"/>
  <c r="AJ434" i="2" s="1"/>
  <c r="R433" i="2"/>
  <c r="S433" i="2" s="1"/>
  <c r="BA442" i="5" l="1"/>
  <c r="BB442" i="5" s="1"/>
  <c r="S457" i="5"/>
  <c r="T457" i="5" s="1"/>
  <c r="W457" i="5" s="1"/>
  <c r="AY462" i="2"/>
  <c r="V433" i="2"/>
  <c r="BK119" i="5"/>
  <c r="AF491" i="5"/>
  <c r="AL491" i="5" s="1"/>
  <c r="AC492" i="5" s="1"/>
  <c r="AK434" i="2"/>
  <c r="AB435" i="2"/>
  <c r="AD435" i="2" s="1"/>
  <c r="AT443" i="5" l="1"/>
  <c r="AV443" i="5" s="1"/>
  <c r="AW443" i="5" s="1"/>
  <c r="X457" i="5"/>
  <c r="N458" i="5"/>
  <c r="O458" i="5"/>
  <c r="P458" i="5" s="1"/>
  <c r="BM119" i="5"/>
  <c r="BN119" i="5" s="1"/>
  <c r="AM491" i="5"/>
  <c r="AE492" i="5"/>
  <c r="AF492" i="5" s="1"/>
  <c r="AZ462" i="2"/>
  <c r="W433" i="2"/>
  <c r="AR463" i="2"/>
  <c r="N434" i="2"/>
  <c r="O434" i="2" s="1"/>
  <c r="M434" i="2"/>
  <c r="AE435" i="2"/>
  <c r="BA443" i="5" l="1"/>
  <c r="S458" i="5"/>
  <c r="T458" i="5" s="1"/>
  <c r="AT463" i="2"/>
  <c r="AU463" i="2" s="1"/>
  <c r="BO119" i="5"/>
  <c r="AL492" i="5"/>
  <c r="R434" i="2"/>
  <c r="S434" i="2" s="1"/>
  <c r="AJ435" i="2"/>
  <c r="BK120" i="5" l="1"/>
  <c r="BM120" i="5" s="1"/>
  <c r="BN120" i="5" s="1"/>
  <c r="BO120" i="5" s="1"/>
  <c r="BP120" i="5" s="1"/>
  <c r="BP119" i="5"/>
  <c r="W458" i="5"/>
  <c r="X458" i="5" s="1"/>
  <c r="BB443" i="5"/>
  <c r="AT444" i="5"/>
  <c r="AY463" i="2"/>
  <c r="V434" i="2"/>
  <c r="AC493" i="5"/>
  <c r="AM492" i="5"/>
  <c r="AK435" i="2"/>
  <c r="AB436" i="2"/>
  <c r="AD436" i="2" s="1"/>
  <c r="N459" i="5" l="1"/>
  <c r="O459" i="5"/>
  <c r="P459" i="5" s="1"/>
  <c r="AV444" i="5"/>
  <c r="AW444" i="5" s="1"/>
  <c r="BK121" i="5"/>
  <c r="AE493" i="5"/>
  <c r="AF493" i="5" s="1"/>
  <c r="I64" i="7"/>
  <c r="W434" i="2"/>
  <c r="AZ463" i="2"/>
  <c r="AR464" i="2"/>
  <c r="M435" i="2"/>
  <c r="N435" i="2"/>
  <c r="O435" i="2" s="1"/>
  <c r="AE436" i="2"/>
  <c r="S459" i="5" l="1"/>
  <c r="T459" i="5" s="1"/>
  <c r="W459" i="5" s="1"/>
  <c r="BA444" i="5"/>
  <c r="AT464" i="2"/>
  <c r="AU464" i="2" s="1"/>
  <c r="BM121" i="5"/>
  <c r="BN121" i="5" s="1"/>
  <c r="AL493" i="5"/>
  <c r="R435" i="2"/>
  <c r="S435" i="2" s="1"/>
  <c r="AJ436" i="2"/>
  <c r="N460" i="5" l="1"/>
  <c r="X459" i="5"/>
  <c r="O460" i="5"/>
  <c r="P460" i="5" s="1"/>
  <c r="BB444" i="5"/>
  <c r="AT445" i="5"/>
  <c r="AY464" i="2"/>
  <c r="AZ464" i="2" s="1"/>
  <c r="V435" i="2"/>
  <c r="BO121" i="5"/>
  <c r="BP121" i="5" s="1"/>
  <c r="AC494" i="5"/>
  <c r="AM493" i="5"/>
  <c r="AK436" i="2"/>
  <c r="AB437" i="2"/>
  <c r="AD437" i="2" s="1"/>
  <c r="S460" i="5" l="1"/>
  <c r="T460" i="5" s="1"/>
  <c r="AV445" i="5"/>
  <c r="AW445" i="5" s="1"/>
  <c r="AR465" i="2"/>
  <c r="AT465" i="2" s="1"/>
  <c r="BK122" i="5"/>
  <c r="AE494" i="5"/>
  <c r="AF494" i="5" s="1"/>
  <c r="AL494" i="5" s="1"/>
  <c r="W435" i="2"/>
  <c r="N436" i="2"/>
  <c r="O436" i="2" s="1"/>
  <c r="M436" i="2"/>
  <c r="AE437" i="2"/>
  <c r="W460" i="5" l="1"/>
  <c r="X460" i="5" s="1"/>
  <c r="O461" i="5"/>
  <c r="P461" i="5" s="1"/>
  <c r="N461" i="5"/>
  <c r="BA445" i="5"/>
  <c r="AU465" i="2"/>
  <c r="AY465" i="2" s="1"/>
  <c r="BM122" i="5"/>
  <c r="BN122" i="5" s="1"/>
  <c r="BO122" i="5" s="1"/>
  <c r="BP122" i="5" s="1"/>
  <c r="AC495" i="5"/>
  <c r="AM494" i="5"/>
  <c r="R436" i="2"/>
  <c r="S436" i="2" s="1"/>
  <c r="AJ437" i="2"/>
  <c r="S461" i="5" l="1"/>
  <c r="T461" i="5" s="1"/>
  <c r="AT446" i="5"/>
  <c r="BB445" i="5"/>
  <c r="V436" i="2"/>
  <c r="BK123" i="5"/>
  <c r="AE495" i="5"/>
  <c r="AF495" i="5" s="1"/>
  <c r="AZ465" i="2"/>
  <c r="AR466" i="2"/>
  <c r="AK437" i="2"/>
  <c r="AB438" i="2"/>
  <c r="AD438" i="2" s="1"/>
  <c r="AV446" i="5" l="1"/>
  <c r="AW446" i="5" s="1"/>
  <c r="W461" i="5"/>
  <c r="AT466" i="2"/>
  <c r="BM123" i="5"/>
  <c r="BN123" i="5" s="1"/>
  <c r="BO123" i="5" s="1"/>
  <c r="BP123" i="5" s="1"/>
  <c r="W436" i="2"/>
  <c r="AL495" i="5"/>
  <c r="N437" i="2"/>
  <c r="O437" i="2" s="1"/>
  <c r="M437" i="2"/>
  <c r="AE438" i="2"/>
  <c r="X461" i="5" l="1"/>
  <c r="N462" i="5"/>
  <c r="O462" i="5"/>
  <c r="P462" i="5" s="1"/>
  <c r="BA446" i="5"/>
  <c r="AU466" i="2"/>
  <c r="BK124" i="5"/>
  <c r="AC496" i="5"/>
  <c r="AM495" i="5"/>
  <c r="R437" i="2"/>
  <c r="S437" i="2" s="1"/>
  <c r="AJ438" i="2"/>
  <c r="AT447" i="5" l="1"/>
  <c r="BB446" i="5"/>
  <c r="S462" i="5"/>
  <c r="T462" i="5" s="1"/>
  <c r="W462" i="5" s="1"/>
  <c r="AY466" i="2"/>
  <c r="V437" i="2"/>
  <c r="BM124" i="5"/>
  <c r="BN124" i="5" s="1"/>
  <c r="BO124" i="5" s="1"/>
  <c r="BP124" i="5" s="1"/>
  <c r="AE496" i="5"/>
  <c r="AF496" i="5" s="1"/>
  <c r="AK438" i="2"/>
  <c r="AB439" i="2"/>
  <c r="AD439" i="2" s="1"/>
  <c r="N463" i="5" l="1"/>
  <c r="O463" i="5"/>
  <c r="P463" i="5" s="1"/>
  <c r="X462" i="5"/>
  <c r="AV447" i="5"/>
  <c r="AW447" i="5" s="1"/>
  <c r="AR467" i="2"/>
  <c r="AT467" i="2" s="1"/>
  <c r="AU467" i="2" s="1"/>
  <c r="AZ466" i="2"/>
  <c r="BK125" i="5"/>
  <c r="AL496" i="5"/>
  <c r="W437" i="2"/>
  <c r="N438" i="2"/>
  <c r="O438" i="2" s="1"/>
  <c r="M438" i="2"/>
  <c r="AE439" i="2"/>
  <c r="BA447" i="5" l="1"/>
  <c r="S463" i="5"/>
  <c r="T463" i="5" s="1"/>
  <c r="W463" i="5" s="1"/>
  <c r="AY467" i="2"/>
  <c r="BM125" i="5"/>
  <c r="BN125" i="5" s="1"/>
  <c r="BO125" i="5" s="1"/>
  <c r="BP125" i="5" s="1"/>
  <c r="AM496" i="5"/>
  <c r="AC497" i="5"/>
  <c r="R438" i="2"/>
  <c r="S438" i="2" s="1"/>
  <c r="AJ439" i="2"/>
  <c r="BB447" i="5" l="1"/>
  <c r="AT448" i="5"/>
  <c r="AV448" i="5" s="1"/>
  <c r="AW448" i="5" s="1"/>
  <c r="X463" i="5"/>
  <c r="H64" i="9"/>
  <c r="N464" i="5"/>
  <c r="O464" i="5"/>
  <c r="P464" i="5" s="1"/>
  <c r="AZ467" i="2"/>
  <c r="AR468" i="2"/>
  <c r="AT468" i="2" s="1"/>
  <c r="AU468" i="2" s="1"/>
  <c r="V438" i="2"/>
  <c r="BK126" i="5"/>
  <c r="AE497" i="5"/>
  <c r="J62" i="7"/>
  <c r="J42" i="6"/>
  <c r="AK439" i="2"/>
  <c r="AB440" i="2"/>
  <c r="AD440" i="2" s="1"/>
  <c r="BA448" i="5" l="1"/>
  <c r="S464" i="5"/>
  <c r="T464" i="5" s="1"/>
  <c r="AY468" i="2"/>
  <c r="AF497" i="5"/>
  <c r="AL497" i="5" s="1"/>
  <c r="AC498" i="5" s="1"/>
  <c r="AE498" i="5" s="1"/>
  <c r="AF498" i="5" s="1"/>
  <c r="BM126" i="5"/>
  <c r="BN126" i="5" s="1"/>
  <c r="BO126" i="5" s="1"/>
  <c r="BP126" i="5" s="1"/>
  <c r="W438" i="2"/>
  <c r="N439" i="2"/>
  <c r="O439" i="2" s="1"/>
  <c r="M439" i="2"/>
  <c r="AE440" i="2"/>
  <c r="AT449" i="5" l="1"/>
  <c r="BB448" i="5"/>
  <c r="W464" i="5"/>
  <c r="AZ468" i="2"/>
  <c r="AR469" i="2"/>
  <c r="AT469" i="2" s="1"/>
  <c r="AM497" i="5"/>
  <c r="BK127" i="5"/>
  <c r="R439" i="2"/>
  <c r="S439" i="2" s="1"/>
  <c r="AJ440" i="2"/>
  <c r="X464" i="5" l="1"/>
  <c r="N465" i="5"/>
  <c r="O465" i="5"/>
  <c r="P465" i="5" s="1"/>
  <c r="AV449" i="5"/>
  <c r="AW449" i="5" s="1"/>
  <c r="BA449" i="5" s="1"/>
  <c r="AU469" i="2"/>
  <c r="AY469" i="2" s="1"/>
  <c r="V439" i="2"/>
  <c r="BM127" i="5"/>
  <c r="BN127" i="5" s="1"/>
  <c r="BO127" i="5" s="1"/>
  <c r="BP127" i="5" s="1"/>
  <c r="AL498" i="5"/>
  <c r="AK440" i="2"/>
  <c r="AB441" i="2"/>
  <c r="AD441" i="2" s="1"/>
  <c r="AT450" i="5" l="1"/>
  <c r="BB449" i="5"/>
  <c r="S465" i="5"/>
  <c r="T465" i="5" s="1"/>
  <c r="BK128" i="5"/>
  <c r="K36" i="8"/>
  <c r="L36" i="8" s="1"/>
  <c r="K36" i="9"/>
  <c r="L36" i="9" s="1"/>
  <c r="H42" i="6"/>
  <c r="L42" i="6" s="1"/>
  <c r="H62" i="7"/>
  <c r="L62" i="7" s="1"/>
  <c r="W439" i="2"/>
  <c r="AC499" i="5"/>
  <c r="M440" i="2"/>
  <c r="N440" i="2"/>
  <c r="O440" i="2" s="1"/>
  <c r="AM498" i="5"/>
  <c r="AR470" i="2"/>
  <c r="AZ469" i="2"/>
  <c r="AE441" i="2"/>
  <c r="W465" i="5" l="1"/>
  <c r="AV450" i="5"/>
  <c r="AW450" i="5" s="1"/>
  <c r="BA450" i="5" s="1"/>
  <c r="M36" i="8"/>
  <c r="M36" i="9"/>
  <c r="AT470" i="2"/>
  <c r="AU470" i="2" s="1"/>
  <c r="BM128" i="5"/>
  <c r="BN128" i="5" s="1"/>
  <c r="BO128" i="5" s="1"/>
  <c r="BP128" i="5" s="1"/>
  <c r="AE499" i="5"/>
  <c r="AF499" i="5" s="1"/>
  <c r="AL499" i="5" s="1"/>
  <c r="M42" i="6"/>
  <c r="M62" i="7"/>
  <c r="R440" i="2"/>
  <c r="S440" i="2" s="1"/>
  <c r="AJ441" i="2"/>
  <c r="AT451" i="5" l="1"/>
  <c r="BB450" i="5"/>
  <c r="X465" i="5"/>
  <c r="O466" i="5"/>
  <c r="P466" i="5" s="1"/>
  <c r="N466" i="5"/>
  <c r="AY470" i="2"/>
  <c r="V440" i="2"/>
  <c r="BK129" i="5"/>
  <c r="J67" i="9"/>
  <c r="AC500" i="5"/>
  <c r="AM499" i="5"/>
  <c r="AK441" i="2"/>
  <c r="AB442" i="2"/>
  <c r="AD442" i="2" s="1"/>
  <c r="S466" i="5" l="1"/>
  <c r="T466" i="5" s="1"/>
  <c r="AV451" i="5"/>
  <c r="AW451" i="5" s="1"/>
  <c r="BM129" i="5"/>
  <c r="BN129" i="5" s="1"/>
  <c r="BO129" i="5" s="1"/>
  <c r="BP129" i="5" s="1"/>
  <c r="AE500" i="5"/>
  <c r="AF500" i="5" s="1"/>
  <c r="W440" i="2"/>
  <c r="N441" i="2"/>
  <c r="O441" i="2" s="1"/>
  <c r="M441" i="2"/>
  <c r="AZ470" i="2"/>
  <c r="AR471" i="2"/>
  <c r="AE442" i="2"/>
  <c r="BA451" i="5" l="1"/>
  <c r="W466" i="5"/>
  <c r="AT471" i="2"/>
  <c r="AU471" i="2" s="1"/>
  <c r="BK130" i="5"/>
  <c r="R441" i="2"/>
  <c r="S441" i="2" s="1"/>
  <c r="AL500" i="5"/>
  <c r="AJ442" i="2"/>
  <c r="I63" i="9" l="1"/>
  <c r="AT452" i="5"/>
  <c r="AV452" i="5" s="1"/>
  <c r="AW452" i="5" s="1"/>
  <c r="BA452" i="5" s="1"/>
  <c r="BB451" i="5"/>
  <c r="O467" i="5"/>
  <c r="P467" i="5" s="1"/>
  <c r="N467" i="5"/>
  <c r="X466" i="5"/>
  <c r="AY471" i="2"/>
  <c r="V441" i="2"/>
  <c r="BM130" i="5"/>
  <c r="BN130" i="5" s="1"/>
  <c r="AC501" i="5"/>
  <c r="AM500" i="5"/>
  <c r="AK442" i="2"/>
  <c r="AB443" i="2"/>
  <c r="AD443" i="2" s="1"/>
  <c r="BB452" i="5" l="1"/>
  <c r="AT453" i="5"/>
  <c r="S467" i="5"/>
  <c r="T467" i="5" s="1"/>
  <c r="W467" i="5" s="1"/>
  <c r="BO130" i="5"/>
  <c r="BP130" i="5" s="1"/>
  <c r="AE501" i="5"/>
  <c r="AF501" i="5" s="1"/>
  <c r="W441" i="2"/>
  <c r="M442" i="2"/>
  <c r="N442" i="2"/>
  <c r="O442" i="2" s="1"/>
  <c r="AR472" i="2"/>
  <c r="AZ471" i="2"/>
  <c r="AE443" i="2"/>
  <c r="N468" i="5" l="1"/>
  <c r="O468" i="5"/>
  <c r="P468" i="5" s="1"/>
  <c r="X467" i="5"/>
  <c r="AV453" i="5"/>
  <c r="AW453" i="5" s="1"/>
  <c r="AT472" i="2"/>
  <c r="AU472" i="2" s="1"/>
  <c r="BK131" i="5"/>
  <c r="BM131" i="5" s="1"/>
  <c r="BN131" i="5" s="1"/>
  <c r="BO131" i="5" s="1"/>
  <c r="BP131" i="5" s="1"/>
  <c r="R442" i="2"/>
  <c r="S442" i="2" s="1"/>
  <c r="AL501" i="5"/>
  <c r="AJ443" i="2"/>
  <c r="BA453" i="5" l="1"/>
  <c r="S468" i="5"/>
  <c r="T468" i="5" s="1"/>
  <c r="W468" i="5" s="1"/>
  <c r="AY472" i="2"/>
  <c r="V442" i="2"/>
  <c r="W442" i="2" s="1"/>
  <c r="BK132" i="5"/>
  <c r="AC502" i="5"/>
  <c r="AM501" i="5"/>
  <c r="AK443" i="2"/>
  <c r="AB444" i="2"/>
  <c r="AD444" i="2" s="1"/>
  <c r="BB453" i="5" l="1"/>
  <c r="AT454" i="5"/>
  <c r="AV454" i="5" s="1"/>
  <c r="N469" i="5"/>
  <c r="O469" i="5"/>
  <c r="P469" i="5" s="1"/>
  <c r="X468" i="5"/>
  <c r="M443" i="2"/>
  <c r="N443" i="2"/>
  <c r="O443" i="2" s="1"/>
  <c r="BM132" i="5"/>
  <c r="BN132" i="5" s="1"/>
  <c r="BO132" i="5" s="1"/>
  <c r="BP132" i="5" s="1"/>
  <c r="AE502" i="5"/>
  <c r="AF502" i="5" s="1"/>
  <c r="AR473" i="2"/>
  <c r="AZ472" i="2"/>
  <c r="AE444" i="2"/>
  <c r="AW454" i="5" l="1"/>
  <c r="BA454" i="5" s="1"/>
  <c r="S469" i="5"/>
  <c r="T469" i="5" s="1"/>
  <c r="W469" i="5" s="1"/>
  <c r="AT473" i="2"/>
  <c r="AU473" i="2" s="1"/>
  <c r="R443" i="2"/>
  <c r="S443" i="2" s="1"/>
  <c r="V443" i="2" s="1"/>
  <c r="BK133" i="5"/>
  <c r="AL502" i="5"/>
  <c r="AJ444" i="2"/>
  <c r="BB454" i="5" l="1"/>
  <c r="AT455" i="5"/>
  <c r="AV455" i="5" s="1"/>
  <c r="AW455" i="5" s="1"/>
  <c r="X469" i="5"/>
  <c r="N470" i="5"/>
  <c r="O470" i="5"/>
  <c r="P470" i="5" s="1"/>
  <c r="AY473" i="2"/>
  <c r="BM133" i="5"/>
  <c r="BN133" i="5" s="1"/>
  <c r="BO133" i="5" s="1"/>
  <c r="BP133" i="5" s="1"/>
  <c r="W443" i="2"/>
  <c r="AC503" i="5"/>
  <c r="AM502" i="5"/>
  <c r="M444" i="2"/>
  <c r="N444" i="2"/>
  <c r="O444" i="2" s="1"/>
  <c r="AK444" i="2"/>
  <c r="AB445" i="2"/>
  <c r="AD445" i="2" s="1"/>
  <c r="S470" i="5" l="1"/>
  <c r="T470" i="5" s="1"/>
  <c r="BA455" i="5"/>
  <c r="BK134" i="5"/>
  <c r="AE503" i="5"/>
  <c r="AF503" i="5" s="1"/>
  <c r="AL503" i="5" s="1"/>
  <c r="AR474" i="2"/>
  <c r="AZ473" i="2"/>
  <c r="R444" i="2"/>
  <c r="AE445" i="2"/>
  <c r="AT456" i="5" l="1"/>
  <c r="BB455" i="5"/>
  <c r="W470" i="5"/>
  <c r="AT474" i="2"/>
  <c r="AU474" i="2" s="1"/>
  <c r="BM134" i="5"/>
  <c r="BN134" i="5" s="1"/>
  <c r="BO134" i="5" s="1"/>
  <c r="BP134" i="5" s="1"/>
  <c r="AC504" i="5"/>
  <c r="AM503" i="5"/>
  <c r="S444" i="2"/>
  <c r="V444" i="2" s="1"/>
  <c r="AJ445" i="2"/>
  <c r="X470" i="5" l="1"/>
  <c r="N471" i="5"/>
  <c r="O471" i="5"/>
  <c r="P471" i="5" s="1"/>
  <c r="AV456" i="5"/>
  <c r="AW456" i="5" s="1"/>
  <c r="AY474" i="2"/>
  <c r="BK135" i="5"/>
  <c r="AE504" i="5"/>
  <c r="AF504" i="5" s="1"/>
  <c r="AL504" i="5" s="1"/>
  <c r="AK445" i="2"/>
  <c r="AB446" i="2"/>
  <c r="AD446" i="2" s="1"/>
  <c r="BA456" i="5" l="1"/>
  <c r="S471" i="5"/>
  <c r="T471" i="5" s="1"/>
  <c r="W444" i="2"/>
  <c r="BM135" i="5"/>
  <c r="BN135" i="5" s="1"/>
  <c r="BO135" i="5" s="1"/>
  <c r="BP135" i="5" s="1"/>
  <c r="AR475" i="2"/>
  <c r="AC505" i="5"/>
  <c r="N445" i="2"/>
  <c r="O445" i="2" s="1"/>
  <c r="M445" i="2"/>
  <c r="AM504" i="5"/>
  <c r="AZ474" i="2"/>
  <c r="AE446" i="2"/>
  <c r="W471" i="5" l="1"/>
  <c r="X471" i="5" s="1"/>
  <c r="AT457" i="5"/>
  <c r="BB456" i="5"/>
  <c r="AT475" i="2"/>
  <c r="AU475" i="2" s="1"/>
  <c r="BK136" i="5"/>
  <c r="AE505" i="5"/>
  <c r="AF505" i="5" s="1"/>
  <c r="AL505" i="5" s="1"/>
  <c r="R445" i="2"/>
  <c r="S445" i="2" s="1"/>
  <c r="AJ446" i="2"/>
  <c r="O472" i="5" l="1"/>
  <c r="P472" i="5" s="1"/>
  <c r="N472" i="5"/>
  <c r="AV457" i="5"/>
  <c r="AW457" i="5" s="1"/>
  <c r="AY475" i="2"/>
  <c r="I65" i="7" s="1"/>
  <c r="V445" i="2"/>
  <c r="BM136" i="5"/>
  <c r="BN136" i="5" s="1"/>
  <c r="BO136" i="5" s="1"/>
  <c r="BP136" i="5" s="1"/>
  <c r="AC506" i="5"/>
  <c r="AM505" i="5"/>
  <c r="AK446" i="2"/>
  <c r="AB447" i="2"/>
  <c r="AD447" i="2" s="1"/>
  <c r="S472" i="5" l="1"/>
  <c r="T472" i="5" s="1"/>
  <c r="BA457" i="5"/>
  <c r="AZ475" i="2"/>
  <c r="AR476" i="2"/>
  <c r="AT476" i="2" s="1"/>
  <c r="BK137" i="5"/>
  <c r="AE506" i="5"/>
  <c r="AF506" i="5" s="1"/>
  <c r="W445" i="2"/>
  <c r="N446" i="2"/>
  <c r="O446" i="2" s="1"/>
  <c r="M446" i="2"/>
  <c r="AE447" i="2"/>
  <c r="W472" i="5" l="1"/>
  <c r="BB457" i="5"/>
  <c r="AT458" i="5"/>
  <c r="AV458" i="5" s="1"/>
  <c r="AW458" i="5" s="1"/>
  <c r="AU476" i="2"/>
  <c r="AY476" i="2" s="1"/>
  <c r="BM137" i="5"/>
  <c r="BN137" i="5" s="1"/>
  <c r="BO137" i="5" s="1"/>
  <c r="BP137" i="5" s="1"/>
  <c r="R446" i="2"/>
  <c r="S446" i="2" s="1"/>
  <c r="AL506" i="5"/>
  <c r="AJ447" i="2"/>
  <c r="O473" i="5" l="1"/>
  <c r="P473" i="5" s="1"/>
  <c r="X472" i="5"/>
  <c r="N473" i="5"/>
  <c r="BA458" i="5"/>
  <c r="BB458" i="5" s="1"/>
  <c r="V446" i="2"/>
  <c r="BK138" i="5"/>
  <c r="AC507" i="5"/>
  <c r="AM506" i="5"/>
  <c r="AZ476" i="2"/>
  <c r="AR477" i="2"/>
  <c r="AK447" i="2"/>
  <c r="AB448" i="2"/>
  <c r="AD448" i="2" s="1"/>
  <c r="S473" i="5" l="1"/>
  <c r="T473" i="5" s="1"/>
  <c r="W473" i="5" s="1"/>
  <c r="X473" i="5" s="1"/>
  <c r="AT459" i="5"/>
  <c r="AV459" i="5" s="1"/>
  <c r="AW459" i="5" s="1"/>
  <c r="AT477" i="2"/>
  <c r="AU477" i="2" s="1"/>
  <c r="BM138" i="5"/>
  <c r="BN138" i="5" s="1"/>
  <c r="BO138" i="5" s="1"/>
  <c r="BP138" i="5" s="1"/>
  <c r="AE507" i="5"/>
  <c r="AF507" i="5" s="1"/>
  <c r="AL507" i="5" s="1"/>
  <c r="W446" i="2"/>
  <c r="M447" i="2"/>
  <c r="N447" i="2"/>
  <c r="O447" i="2" s="1"/>
  <c r="AE448" i="2"/>
  <c r="N474" i="5" l="1"/>
  <c r="O474" i="5"/>
  <c r="P474" i="5" s="1"/>
  <c r="BA459" i="5"/>
  <c r="AT460" i="5" s="1"/>
  <c r="AY477" i="2"/>
  <c r="BK139" i="5"/>
  <c r="AC508" i="5"/>
  <c r="R447" i="2"/>
  <c r="S447" i="2" s="1"/>
  <c r="AM507" i="5"/>
  <c r="AJ448" i="2"/>
  <c r="S474" i="5" l="1"/>
  <c r="T474" i="5" s="1"/>
  <c r="BB459" i="5"/>
  <c r="AV460" i="5"/>
  <c r="AW460" i="5" s="1"/>
  <c r="V447" i="2"/>
  <c r="BM139" i="5"/>
  <c r="BN139" i="5" s="1"/>
  <c r="BO139" i="5" s="1"/>
  <c r="BP139" i="5" s="1"/>
  <c r="AE508" i="5"/>
  <c r="AF508" i="5" s="1"/>
  <c r="AZ477" i="2"/>
  <c r="AR478" i="2"/>
  <c r="AK448" i="2"/>
  <c r="AB449" i="2"/>
  <c r="AD449" i="2" s="1"/>
  <c r="W474" i="5" l="1"/>
  <c r="BA460" i="5"/>
  <c r="O475" i="5"/>
  <c r="P475" i="5" s="1"/>
  <c r="N475" i="5"/>
  <c r="AT478" i="2"/>
  <c r="AU478" i="2" s="1"/>
  <c r="K37" i="9"/>
  <c r="L37" i="9" s="1"/>
  <c r="K37" i="8"/>
  <c r="L37" i="8" s="1"/>
  <c r="BK140" i="5"/>
  <c r="AL508" i="5"/>
  <c r="AM508" i="5" s="1"/>
  <c r="W447" i="2"/>
  <c r="N448" i="2"/>
  <c r="O448" i="2" s="1"/>
  <c r="M448" i="2"/>
  <c r="AE449" i="2"/>
  <c r="X474" i="5" l="1"/>
  <c r="AT461" i="5"/>
  <c r="AV461" i="5" s="1"/>
  <c r="AW461" i="5" s="1"/>
  <c r="BB460" i="5"/>
  <c r="S475" i="5"/>
  <c r="T475" i="5" s="1"/>
  <c r="W475" i="5" s="1"/>
  <c r="M37" i="8"/>
  <c r="M37" i="9"/>
  <c r="AY478" i="2"/>
  <c r="BM140" i="5"/>
  <c r="BN140" i="5" s="1"/>
  <c r="BO140" i="5" s="1"/>
  <c r="BP140" i="5" s="1"/>
  <c r="AC509" i="5"/>
  <c r="R448" i="2"/>
  <c r="S448" i="2" s="1"/>
  <c r="AJ449" i="2"/>
  <c r="X475" i="5" l="1"/>
  <c r="H65" i="9"/>
  <c r="O476" i="5"/>
  <c r="P476" i="5" s="1"/>
  <c r="N476" i="5"/>
  <c r="BA461" i="5"/>
  <c r="V448" i="2"/>
  <c r="BK141" i="5"/>
  <c r="AE509" i="5"/>
  <c r="AR479" i="2"/>
  <c r="AZ478" i="2"/>
  <c r="AK449" i="2"/>
  <c r="AB450" i="2"/>
  <c r="AD450" i="2" s="1"/>
  <c r="S476" i="5" l="1"/>
  <c r="T476" i="5" s="1"/>
  <c r="W476" i="5" s="1"/>
  <c r="BB461" i="5"/>
  <c r="AT462" i="5"/>
  <c r="AT479" i="2"/>
  <c r="BM141" i="5"/>
  <c r="BN141" i="5" s="1"/>
  <c r="BO141" i="5" s="1"/>
  <c r="BP141" i="5" s="1"/>
  <c r="AF509" i="5"/>
  <c r="AL509" i="5" s="1"/>
  <c r="AC510" i="5" s="1"/>
  <c r="AE510" i="5" s="1"/>
  <c r="W448" i="2"/>
  <c r="N449" i="2"/>
  <c r="O449" i="2" s="1"/>
  <c r="M449" i="2"/>
  <c r="AE450" i="2"/>
  <c r="N477" i="5" l="1"/>
  <c r="O477" i="5"/>
  <c r="P477" i="5" s="1"/>
  <c r="X476" i="5"/>
  <c r="AV462" i="5"/>
  <c r="AW462" i="5" s="1"/>
  <c r="BK142" i="5"/>
  <c r="AM509" i="5"/>
  <c r="AF510" i="5"/>
  <c r="AL510" i="5" s="1"/>
  <c r="AC511" i="5" s="1"/>
  <c r="R449" i="2"/>
  <c r="S449" i="2" s="1"/>
  <c r="AU479" i="2"/>
  <c r="AY479" i="2" s="1"/>
  <c r="AJ450" i="2"/>
  <c r="BA462" i="5" l="1"/>
  <c r="AT463" i="5" s="1"/>
  <c r="S477" i="5"/>
  <c r="T477" i="5" s="1"/>
  <c r="V449" i="2"/>
  <c r="M450" i="2" s="1"/>
  <c r="BM142" i="5"/>
  <c r="BN142" i="5" s="1"/>
  <c r="AM510" i="5"/>
  <c r="AE511" i="5"/>
  <c r="AZ479" i="2"/>
  <c r="AK450" i="2"/>
  <c r="AB451" i="2"/>
  <c r="AD451" i="2" s="1"/>
  <c r="BB462" i="5" l="1"/>
  <c r="W477" i="5"/>
  <c r="AV463" i="5"/>
  <c r="AW463" i="5" s="1"/>
  <c r="BA463" i="5" s="1"/>
  <c r="AR480" i="2"/>
  <c r="N450" i="2"/>
  <c r="O450" i="2" s="1"/>
  <c r="W449" i="2"/>
  <c r="BO142" i="5"/>
  <c r="BP142" i="5" s="1"/>
  <c r="AF511" i="5"/>
  <c r="AL511" i="5" s="1"/>
  <c r="AC512" i="5" s="1"/>
  <c r="AE451" i="2"/>
  <c r="J68" i="9" l="1"/>
  <c r="BB463" i="5"/>
  <c r="I64" i="9"/>
  <c r="AT464" i="5"/>
  <c r="X477" i="5"/>
  <c r="O478" i="5"/>
  <c r="P478" i="5" s="1"/>
  <c r="N478" i="5"/>
  <c r="AT480" i="2"/>
  <c r="AU480" i="2" s="1"/>
  <c r="R450" i="2"/>
  <c r="S450" i="2" s="1"/>
  <c r="BK143" i="5"/>
  <c r="BM143" i="5" s="1"/>
  <c r="BN143" i="5" s="1"/>
  <c r="BO143" i="5" s="1"/>
  <c r="BP143" i="5" s="1"/>
  <c r="AM511" i="5"/>
  <c r="AE512" i="5"/>
  <c r="AF512" i="5" s="1"/>
  <c r="AJ451" i="2"/>
  <c r="AV464" i="5" l="1"/>
  <c r="AW464" i="5" s="1"/>
  <c r="BA464" i="5" s="1"/>
  <c r="S478" i="5"/>
  <c r="T478" i="5" s="1"/>
  <c r="AY480" i="2"/>
  <c r="V450" i="2"/>
  <c r="W450" i="2" s="1"/>
  <c r="BK144" i="5"/>
  <c r="J63" i="7"/>
  <c r="AL512" i="5"/>
  <c r="AK451" i="2"/>
  <c r="AB452" i="2"/>
  <c r="AD452" i="2" s="1"/>
  <c r="BB464" i="5" l="1"/>
  <c r="AT465" i="5"/>
  <c r="W478" i="5"/>
  <c r="AR481" i="2"/>
  <c r="AT481" i="2" s="1"/>
  <c r="AZ480" i="2"/>
  <c r="M451" i="2"/>
  <c r="N451" i="2"/>
  <c r="O451" i="2" s="1"/>
  <c r="BM144" i="5"/>
  <c r="BN144" i="5" s="1"/>
  <c r="BO144" i="5" s="1"/>
  <c r="BP144" i="5" s="1"/>
  <c r="AC513" i="5"/>
  <c r="AM512" i="5"/>
  <c r="AE452" i="2"/>
  <c r="X478" i="5" l="1"/>
  <c r="O479" i="5"/>
  <c r="P479" i="5" s="1"/>
  <c r="N479" i="5"/>
  <c r="AV465" i="5"/>
  <c r="AW465" i="5" s="1"/>
  <c r="R451" i="2"/>
  <c r="S451" i="2" s="1"/>
  <c r="BK145" i="5"/>
  <c r="AE513" i="5"/>
  <c r="AF513" i="5" s="1"/>
  <c r="AL513" i="5" s="1"/>
  <c r="AU481" i="2"/>
  <c r="AY481" i="2" s="1"/>
  <c r="AJ452" i="2"/>
  <c r="BA465" i="5" l="1"/>
  <c r="S479" i="5"/>
  <c r="T479" i="5" s="1"/>
  <c r="W479" i="5" s="1"/>
  <c r="V451" i="2"/>
  <c r="BM145" i="5"/>
  <c r="BN145" i="5" s="1"/>
  <c r="BO145" i="5" s="1"/>
  <c r="BP145" i="5" s="1"/>
  <c r="AC514" i="5"/>
  <c r="AM513" i="5"/>
  <c r="AR482" i="2"/>
  <c r="AK452" i="2"/>
  <c r="AB453" i="2"/>
  <c r="AD453" i="2" s="1"/>
  <c r="AT466" i="5" l="1"/>
  <c r="AV466" i="5" s="1"/>
  <c r="AW466" i="5" s="1"/>
  <c r="BA466" i="5" s="1"/>
  <c r="BB465" i="5"/>
  <c r="N480" i="5"/>
  <c r="O480" i="5"/>
  <c r="P480" i="5" s="1"/>
  <c r="X479" i="5"/>
  <c r="H63" i="7"/>
  <c r="L63" i="7" s="1"/>
  <c r="AT482" i="2"/>
  <c r="AZ481" i="2"/>
  <c r="N452" i="2"/>
  <c r="O452" i="2" s="1"/>
  <c r="M452" i="2"/>
  <c r="W451" i="2"/>
  <c r="M63" i="7" s="1"/>
  <c r="BK146" i="5"/>
  <c r="AE514" i="5"/>
  <c r="AF514" i="5" s="1"/>
  <c r="AL514" i="5" s="1"/>
  <c r="AE453" i="2"/>
  <c r="BB466" i="5" l="1"/>
  <c r="AT467" i="5"/>
  <c r="S480" i="5"/>
  <c r="T480" i="5" s="1"/>
  <c r="AU482" i="2"/>
  <c r="AY482" i="2" s="1"/>
  <c r="R452" i="2"/>
  <c r="S452" i="2" s="1"/>
  <c r="BM146" i="5"/>
  <c r="AC515" i="5"/>
  <c r="AM514" i="5"/>
  <c r="AJ453" i="2"/>
  <c r="AV467" i="5" l="1"/>
  <c r="AW467" i="5" s="1"/>
  <c r="BA467" i="5" s="1"/>
  <c r="W480" i="5"/>
  <c r="V452" i="2"/>
  <c r="W452" i="2" s="1"/>
  <c r="BN146" i="5"/>
  <c r="BO146" i="5" s="1"/>
  <c r="BP146" i="5" s="1"/>
  <c r="AE515" i="5"/>
  <c r="AF515" i="5" s="1"/>
  <c r="AR483" i="2"/>
  <c r="AZ482" i="2"/>
  <c r="AK453" i="2"/>
  <c r="AB454" i="2"/>
  <c r="AD454" i="2" s="1"/>
  <c r="AT468" i="5" l="1"/>
  <c r="BB467" i="5"/>
  <c r="X480" i="5"/>
  <c r="O481" i="5"/>
  <c r="P481" i="5" s="1"/>
  <c r="N481" i="5"/>
  <c r="AT483" i="2"/>
  <c r="N453" i="2"/>
  <c r="O453" i="2" s="1"/>
  <c r="M453" i="2"/>
  <c r="BK147" i="5"/>
  <c r="AL515" i="5"/>
  <c r="AE454" i="2"/>
  <c r="S481" i="5" l="1"/>
  <c r="T481" i="5" s="1"/>
  <c r="AV468" i="5"/>
  <c r="AW468" i="5" s="1"/>
  <c r="AU483" i="2"/>
  <c r="AY483" i="2" s="1"/>
  <c r="R453" i="2"/>
  <c r="S453" i="2" s="1"/>
  <c r="V453" i="2" s="1"/>
  <c r="BM147" i="5"/>
  <c r="BN147" i="5" s="1"/>
  <c r="BO147" i="5" s="1"/>
  <c r="BP147" i="5" s="1"/>
  <c r="AC516" i="5"/>
  <c r="AM515" i="5"/>
  <c r="AJ454" i="2"/>
  <c r="BA468" i="5" l="1"/>
  <c r="W481" i="5"/>
  <c r="BK148" i="5"/>
  <c r="AE516" i="5"/>
  <c r="AF516" i="5" s="1"/>
  <c r="AL516" i="5" s="1"/>
  <c r="W453" i="2"/>
  <c r="AR484" i="2"/>
  <c r="AZ483" i="2"/>
  <c r="M454" i="2"/>
  <c r="N454" i="2"/>
  <c r="O454" i="2" s="1"/>
  <c r="AK454" i="2"/>
  <c r="AB455" i="2"/>
  <c r="AD455" i="2" s="1"/>
  <c r="X481" i="5" l="1"/>
  <c r="O482" i="5"/>
  <c r="P482" i="5" s="1"/>
  <c r="N482" i="5"/>
  <c r="BB468" i="5"/>
  <c r="AT469" i="5"/>
  <c r="AT484" i="2"/>
  <c r="AU484" i="2" s="1"/>
  <c r="BM148" i="5"/>
  <c r="BN148" i="5" s="1"/>
  <c r="BO148" i="5" s="1"/>
  <c r="BP148" i="5" s="1"/>
  <c r="AC517" i="5"/>
  <c r="AM516" i="5"/>
  <c r="R454" i="2"/>
  <c r="S454" i="2" s="1"/>
  <c r="AE455" i="2"/>
  <c r="AV469" i="5" l="1"/>
  <c r="AW469" i="5" s="1"/>
  <c r="BA469" i="5" s="1"/>
  <c r="S482" i="5"/>
  <c r="T482" i="5" s="1"/>
  <c r="W482" i="5" s="1"/>
  <c r="AY484" i="2"/>
  <c r="V454" i="2"/>
  <c r="BK149" i="5"/>
  <c r="AE517" i="5"/>
  <c r="AF517" i="5" s="1"/>
  <c r="AJ455" i="2"/>
  <c r="O483" i="5" l="1"/>
  <c r="P483" i="5" s="1"/>
  <c r="N483" i="5"/>
  <c r="X482" i="5"/>
  <c r="AT470" i="5"/>
  <c r="BB469" i="5"/>
  <c r="BM149" i="5"/>
  <c r="BN149" i="5" s="1"/>
  <c r="BO149" i="5" s="1"/>
  <c r="BP149" i="5" s="1"/>
  <c r="AL517" i="5"/>
  <c r="W454" i="2"/>
  <c r="AR485" i="2"/>
  <c r="AZ484" i="2"/>
  <c r="M455" i="2"/>
  <c r="N455" i="2"/>
  <c r="O455" i="2" s="1"/>
  <c r="AK455" i="2"/>
  <c r="AB456" i="2"/>
  <c r="AD456" i="2" s="1"/>
  <c r="AC518" i="5" l="1"/>
  <c r="AE518" i="5" s="1"/>
  <c r="AF518" i="5" s="1"/>
  <c r="AV470" i="5"/>
  <c r="AW470" i="5" s="1"/>
  <c r="S483" i="5"/>
  <c r="T483" i="5" s="1"/>
  <c r="AT485" i="2"/>
  <c r="BK150" i="5"/>
  <c r="AM517" i="5"/>
  <c r="R455" i="2"/>
  <c r="S455" i="2" s="1"/>
  <c r="AE456" i="2"/>
  <c r="W483" i="5" l="1"/>
  <c r="BA470" i="5"/>
  <c r="AU485" i="2"/>
  <c r="AY485" i="2" s="1"/>
  <c r="V455" i="2"/>
  <c r="AL518" i="5"/>
  <c r="BM150" i="5"/>
  <c r="BN150" i="5" s="1"/>
  <c r="BO150" i="5" s="1"/>
  <c r="BP150" i="5" s="1"/>
  <c r="AJ456" i="2"/>
  <c r="AC519" i="5" l="1"/>
  <c r="AE519" i="5" s="1"/>
  <c r="AF519" i="5" s="1"/>
  <c r="BB470" i="5"/>
  <c r="AT471" i="5"/>
  <c r="X483" i="5"/>
  <c r="N484" i="5"/>
  <c r="O484" i="5"/>
  <c r="P484" i="5" s="1"/>
  <c r="AM518" i="5"/>
  <c r="BK151" i="5"/>
  <c r="W455" i="2"/>
  <c r="AZ485" i="2"/>
  <c r="AR486" i="2"/>
  <c r="N456" i="2"/>
  <c r="O456" i="2" s="1"/>
  <c r="M456" i="2"/>
  <c r="AB457" i="2"/>
  <c r="AD457" i="2" s="1"/>
  <c r="AK456" i="2"/>
  <c r="AV471" i="5" l="1"/>
  <c r="AW471" i="5" s="1"/>
  <c r="BA471" i="5" s="1"/>
  <c r="S484" i="5"/>
  <c r="T484" i="5" s="1"/>
  <c r="AT486" i="2"/>
  <c r="BM151" i="5"/>
  <c r="BN151" i="5" s="1"/>
  <c r="BO151" i="5" s="1"/>
  <c r="BP151" i="5" s="1"/>
  <c r="AL519" i="5"/>
  <c r="R456" i="2"/>
  <c r="S456" i="2" s="1"/>
  <c r="AE457" i="2"/>
  <c r="BB471" i="5" l="1"/>
  <c r="AT472" i="5"/>
  <c r="W484" i="5"/>
  <c r="AU486" i="2"/>
  <c r="AY486" i="2" s="1"/>
  <c r="V456" i="2"/>
  <c r="M38" i="9"/>
  <c r="K38" i="9"/>
  <c r="L38" i="9" s="1"/>
  <c r="BK152" i="5"/>
  <c r="AC520" i="5"/>
  <c r="AM519" i="5"/>
  <c r="AJ457" i="2"/>
  <c r="X484" i="5" l="1"/>
  <c r="N485" i="5"/>
  <c r="O485" i="5"/>
  <c r="P485" i="5" s="1"/>
  <c r="AV472" i="5"/>
  <c r="AW472" i="5" s="1"/>
  <c r="BM152" i="5"/>
  <c r="BN152" i="5" s="1"/>
  <c r="BO152" i="5" s="1"/>
  <c r="BP152" i="5" s="1"/>
  <c r="AE520" i="5"/>
  <c r="AF520" i="5" s="1"/>
  <c r="AR487" i="2"/>
  <c r="W456" i="2"/>
  <c r="M457" i="2"/>
  <c r="AZ486" i="2"/>
  <c r="N457" i="2"/>
  <c r="O457" i="2" s="1"/>
  <c r="AK457" i="2"/>
  <c r="AB458" i="2"/>
  <c r="AD458" i="2" s="1"/>
  <c r="S485" i="5" l="1"/>
  <c r="T485" i="5" s="1"/>
  <c r="BA472" i="5"/>
  <c r="AT487" i="2"/>
  <c r="AU487" i="2" s="1"/>
  <c r="BK153" i="5"/>
  <c r="AL520" i="5"/>
  <c r="R457" i="2"/>
  <c r="S457" i="2" s="1"/>
  <c r="AE458" i="2"/>
  <c r="AT473" i="5" l="1"/>
  <c r="BB472" i="5"/>
  <c r="W485" i="5"/>
  <c r="AY487" i="2"/>
  <c r="I66" i="7" s="1"/>
  <c r="V457" i="2"/>
  <c r="BM153" i="5"/>
  <c r="BN153" i="5" s="1"/>
  <c r="AC521" i="5"/>
  <c r="AM520" i="5"/>
  <c r="AJ458" i="2"/>
  <c r="X485" i="5" l="1"/>
  <c r="N486" i="5"/>
  <c r="O486" i="5"/>
  <c r="P486" i="5" s="1"/>
  <c r="AV473" i="5"/>
  <c r="AW473" i="5" s="1"/>
  <c r="AR488" i="2"/>
  <c r="AT488" i="2" s="1"/>
  <c r="AU488" i="2" s="1"/>
  <c r="AZ487" i="2"/>
  <c r="BO153" i="5"/>
  <c r="BP153" i="5" s="1"/>
  <c r="AE521" i="5"/>
  <c r="AF521" i="5" s="1"/>
  <c r="AL521" i="5" s="1"/>
  <c r="W457" i="2"/>
  <c r="N458" i="2"/>
  <c r="O458" i="2" s="1"/>
  <c r="M458" i="2"/>
  <c r="AK458" i="2"/>
  <c r="AB459" i="2"/>
  <c r="AD459" i="2" s="1"/>
  <c r="S486" i="5" l="1"/>
  <c r="T486" i="5" s="1"/>
  <c r="BA473" i="5"/>
  <c r="AY488" i="2"/>
  <c r="BK154" i="5"/>
  <c r="BM154" i="5" s="1"/>
  <c r="BN154" i="5" s="1"/>
  <c r="BO154" i="5" s="1"/>
  <c r="BP154" i="5" s="1"/>
  <c r="AC522" i="5"/>
  <c r="R458" i="2"/>
  <c r="S458" i="2" s="1"/>
  <c r="AM521" i="5"/>
  <c r="AE459" i="2"/>
  <c r="W486" i="5" l="1"/>
  <c r="BB473" i="5"/>
  <c r="AT474" i="5"/>
  <c r="V458" i="2"/>
  <c r="BK155" i="5"/>
  <c r="AE522" i="5"/>
  <c r="AF522" i="5" s="1"/>
  <c r="AR489" i="2"/>
  <c r="AZ488" i="2"/>
  <c r="AJ459" i="2"/>
  <c r="AV474" i="5" l="1"/>
  <c r="AW474" i="5" s="1"/>
  <c r="BA474" i="5" s="1"/>
  <c r="X486" i="5"/>
  <c r="O487" i="5"/>
  <c r="P487" i="5" s="1"/>
  <c r="N487" i="5"/>
  <c r="AT489" i="2"/>
  <c r="AU489" i="2" s="1"/>
  <c r="BM155" i="5"/>
  <c r="BN155" i="5" s="1"/>
  <c r="W458" i="2"/>
  <c r="N459" i="2"/>
  <c r="O459" i="2" s="1"/>
  <c r="M459" i="2"/>
  <c r="AK459" i="2"/>
  <c r="AB460" i="2"/>
  <c r="AD460" i="2" s="1"/>
  <c r="AT475" i="5" l="1"/>
  <c r="BB474" i="5"/>
  <c r="S487" i="5"/>
  <c r="T487" i="5" s="1"/>
  <c r="AY489" i="2"/>
  <c r="BO155" i="5"/>
  <c r="BP155" i="5" s="1"/>
  <c r="R459" i="2"/>
  <c r="S459" i="2" s="1"/>
  <c r="AL522" i="5"/>
  <c r="AE460" i="2"/>
  <c r="W487" i="5" l="1"/>
  <c r="AV475" i="5"/>
  <c r="AW475" i="5" s="1"/>
  <c r="V459" i="2"/>
  <c r="BK156" i="5"/>
  <c r="BM156" i="5" s="1"/>
  <c r="AC523" i="5"/>
  <c r="AM522" i="5"/>
  <c r="AR490" i="2"/>
  <c r="AZ489" i="2"/>
  <c r="AJ460" i="2"/>
  <c r="BA475" i="5" l="1"/>
  <c r="X487" i="5"/>
  <c r="O488" i="5"/>
  <c r="P488" i="5" s="1"/>
  <c r="H66" i="9"/>
  <c r="N488" i="5"/>
  <c r="AT490" i="2"/>
  <c r="AU490" i="2" s="1"/>
  <c r="BN156" i="5"/>
  <c r="BO156" i="5" s="1"/>
  <c r="BP156" i="5" s="1"/>
  <c r="AE523" i="5"/>
  <c r="AF523" i="5" s="1"/>
  <c r="W459" i="2"/>
  <c r="N460" i="2"/>
  <c r="O460" i="2" s="1"/>
  <c r="M460" i="2"/>
  <c r="AK460" i="2"/>
  <c r="AB461" i="2"/>
  <c r="AD461" i="2" s="1"/>
  <c r="S488" i="5" l="1"/>
  <c r="T488" i="5" s="1"/>
  <c r="AT476" i="5"/>
  <c r="BB475" i="5"/>
  <c r="I65" i="9"/>
  <c r="AY490" i="2"/>
  <c r="BK157" i="5"/>
  <c r="BM157" i="5" s="1"/>
  <c r="BN157" i="5" s="1"/>
  <c r="AL523" i="5"/>
  <c r="R460" i="2"/>
  <c r="S460" i="2" s="1"/>
  <c r="AE461" i="2"/>
  <c r="W488" i="5" l="1"/>
  <c r="O489" i="5" s="1"/>
  <c r="P489" i="5" s="1"/>
  <c r="AV476" i="5"/>
  <c r="AW476" i="5" s="1"/>
  <c r="V460" i="2"/>
  <c r="BO157" i="5"/>
  <c r="AC524" i="5"/>
  <c r="J69" i="9"/>
  <c r="AM523" i="5"/>
  <c r="AZ490" i="2"/>
  <c r="AR491" i="2"/>
  <c r="AJ461" i="2"/>
  <c r="BP157" i="5" l="1"/>
  <c r="N489" i="5"/>
  <c r="S489" i="5" s="1"/>
  <c r="T489" i="5" s="1"/>
  <c r="W489" i="5" s="1"/>
  <c r="X488" i="5"/>
  <c r="BA476" i="5"/>
  <c r="BK158" i="5"/>
  <c r="BM158" i="5" s="1"/>
  <c r="BN158" i="5" s="1"/>
  <c r="BO158" i="5" s="1"/>
  <c r="BP158" i="5" s="1"/>
  <c r="AE524" i="5"/>
  <c r="AF524" i="5" s="1"/>
  <c r="W460" i="2"/>
  <c r="M461" i="2"/>
  <c r="N461" i="2"/>
  <c r="O461" i="2" s="1"/>
  <c r="AT491" i="2"/>
  <c r="AU491" i="2" s="1"/>
  <c r="AK461" i="2"/>
  <c r="AB462" i="2"/>
  <c r="AD462" i="2" s="1"/>
  <c r="AT477" i="5" l="1"/>
  <c r="AV477" i="5" s="1"/>
  <c r="AW477" i="5" s="1"/>
  <c r="BB476" i="5"/>
  <c r="X489" i="5"/>
  <c r="N490" i="5"/>
  <c r="O490" i="5"/>
  <c r="P490" i="5" s="1"/>
  <c r="AY491" i="2"/>
  <c r="BK159" i="5"/>
  <c r="AL524" i="5"/>
  <c r="R461" i="2"/>
  <c r="S461" i="2" s="1"/>
  <c r="AE462" i="2"/>
  <c r="BA477" i="5" l="1"/>
  <c r="AT478" i="5" s="1"/>
  <c r="S490" i="5"/>
  <c r="T490" i="5" s="1"/>
  <c r="V461" i="2"/>
  <c r="BM159" i="5"/>
  <c r="BN159" i="5" s="1"/>
  <c r="BO159" i="5" s="1"/>
  <c r="BP159" i="5" s="1"/>
  <c r="AC525" i="5"/>
  <c r="AM524" i="5"/>
  <c r="AZ491" i="2"/>
  <c r="AR492" i="2"/>
  <c r="AJ462" i="2"/>
  <c r="BB477" i="5" l="1"/>
  <c r="AV478" i="5"/>
  <c r="AW478" i="5" s="1"/>
  <c r="W490" i="5"/>
  <c r="AT492" i="2"/>
  <c r="AU492" i="2" s="1"/>
  <c r="BK160" i="5"/>
  <c r="AE525" i="5"/>
  <c r="AF525" i="5" s="1"/>
  <c r="AL525" i="5" s="1"/>
  <c r="W461" i="2"/>
  <c r="M462" i="2"/>
  <c r="N462" i="2"/>
  <c r="O462" i="2" s="1"/>
  <c r="AK462" i="2"/>
  <c r="AB463" i="2"/>
  <c r="AD463" i="2" s="1"/>
  <c r="BA478" i="5" l="1"/>
  <c r="AT479" i="5" s="1"/>
  <c r="X490" i="5"/>
  <c r="O491" i="5"/>
  <c r="P491" i="5" s="1"/>
  <c r="N491" i="5"/>
  <c r="AY492" i="2"/>
  <c r="BM160" i="5"/>
  <c r="AM525" i="5"/>
  <c r="AC526" i="5"/>
  <c r="R462" i="2"/>
  <c r="S462" i="2" s="1"/>
  <c r="AE463" i="2"/>
  <c r="BB478" i="5" l="1"/>
  <c r="S491" i="5"/>
  <c r="T491" i="5" s="1"/>
  <c r="W491" i="5" s="1"/>
  <c r="AV479" i="5"/>
  <c r="AW479" i="5" s="1"/>
  <c r="AR493" i="2"/>
  <c r="AZ492" i="2"/>
  <c r="V462" i="2"/>
  <c r="BN160" i="5"/>
  <c r="BO160" i="5" s="1"/>
  <c r="BP160" i="5" s="1"/>
  <c r="AE526" i="5"/>
  <c r="AF526" i="5" s="1"/>
  <c r="AL526" i="5" s="1"/>
  <c r="AJ463" i="2"/>
  <c r="BA479" i="5" l="1"/>
  <c r="AT480" i="5" s="1"/>
  <c r="O492" i="5"/>
  <c r="P492" i="5" s="1"/>
  <c r="N492" i="5"/>
  <c r="X491" i="5"/>
  <c r="AT493" i="2"/>
  <c r="BK161" i="5"/>
  <c r="AM526" i="5"/>
  <c r="AC527" i="5"/>
  <c r="J64" i="7"/>
  <c r="W462" i="2"/>
  <c r="N463" i="2"/>
  <c r="O463" i="2" s="1"/>
  <c r="M463" i="2"/>
  <c r="AK463" i="2"/>
  <c r="AB464" i="2"/>
  <c r="AD464" i="2" s="1"/>
  <c r="BB479" i="5" l="1"/>
  <c r="S492" i="5"/>
  <c r="T492" i="5" s="1"/>
  <c r="W492" i="5" s="1"/>
  <c r="AV480" i="5"/>
  <c r="AW480" i="5" s="1"/>
  <c r="AU493" i="2"/>
  <c r="AY493" i="2" s="1"/>
  <c r="BM161" i="5"/>
  <c r="BN161" i="5" s="1"/>
  <c r="BO161" i="5" s="1"/>
  <c r="BP161" i="5" s="1"/>
  <c r="AE527" i="5"/>
  <c r="AF527" i="5" s="1"/>
  <c r="R463" i="2"/>
  <c r="S463" i="2" s="1"/>
  <c r="AE464" i="2"/>
  <c r="BA480" i="5" l="1"/>
  <c r="O493" i="5"/>
  <c r="P493" i="5" s="1"/>
  <c r="N493" i="5"/>
  <c r="X492" i="5"/>
  <c r="AZ493" i="2"/>
  <c r="AR494" i="2"/>
  <c r="AT494" i="2" s="1"/>
  <c r="AU494" i="2" s="1"/>
  <c r="V463" i="2"/>
  <c r="N464" i="2" s="1"/>
  <c r="O464" i="2" s="1"/>
  <c r="BK162" i="5"/>
  <c r="AL527" i="5"/>
  <c r="AJ464" i="2"/>
  <c r="BB480" i="5" l="1"/>
  <c r="AT481" i="5"/>
  <c r="AV481" i="5" s="1"/>
  <c r="AW481" i="5" s="1"/>
  <c r="S493" i="5"/>
  <c r="T493" i="5" s="1"/>
  <c r="AY494" i="2"/>
  <c r="AR495" i="2" s="1"/>
  <c r="M464" i="2"/>
  <c r="R464" i="2" s="1"/>
  <c r="S464" i="2" s="1"/>
  <c r="W463" i="2"/>
  <c r="M64" i="7" s="1"/>
  <c r="H64" i="7"/>
  <c r="L64" i="7" s="1"/>
  <c r="BM162" i="5"/>
  <c r="BN162" i="5" s="1"/>
  <c r="BO162" i="5" s="1"/>
  <c r="BP162" i="5" s="1"/>
  <c r="AC528" i="5"/>
  <c r="AM527" i="5"/>
  <c r="AK464" i="2"/>
  <c r="AB465" i="2"/>
  <c r="AD465" i="2" s="1"/>
  <c r="BA481" i="5" l="1"/>
  <c r="BB481" i="5" s="1"/>
  <c r="W493" i="5"/>
  <c r="X493" i="5" s="1"/>
  <c r="AZ494" i="2"/>
  <c r="AT495" i="2"/>
  <c r="AU495" i="2" s="1"/>
  <c r="V464" i="2"/>
  <c r="BK163" i="5"/>
  <c r="AE528" i="5"/>
  <c r="AF528" i="5" s="1"/>
  <c r="AE465" i="2"/>
  <c r="AT482" i="5" l="1"/>
  <c r="AV482" i="5" s="1"/>
  <c r="AW482" i="5" s="1"/>
  <c r="O494" i="5"/>
  <c r="P494" i="5" s="1"/>
  <c r="N494" i="5"/>
  <c r="AY495" i="2"/>
  <c r="BM163" i="5"/>
  <c r="BN163" i="5" s="1"/>
  <c r="BO163" i="5" s="1"/>
  <c r="BP163" i="5" s="1"/>
  <c r="AL528" i="5"/>
  <c r="W464" i="2"/>
  <c r="N465" i="2"/>
  <c r="O465" i="2" s="1"/>
  <c r="M465" i="2"/>
  <c r="AJ465" i="2"/>
  <c r="S494" i="5" l="1"/>
  <c r="T494" i="5" s="1"/>
  <c r="W494" i="5" s="1"/>
  <c r="O495" i="5" s="1"/>
  <c r="P495" i="5" s="1"/>
  <c r="BA482" i="5"/>
  <c r="AZ495" i="2"/>
  <c r="AR496" i="2"/>
  <c r="AT496" i="2" s="1"/>
  <c r="AU496" i="2" s="1"/>
  <c r="M39" i="9"/>
  <c r="BK164" i="5"/>
  <c r="K39" i="9"/>
  <c r="L39" i="9" s="1"/>
  <c r="AC529" i="5"/>
  <c r="AM528" i="5"/>
  <c r="R465" i="2"/>
  <c r="S465" i="2" s="1"/>
  <c r="AK465" i="2"/>
  <c r="AB466" i="2"/>
  <c r="AD466" i="2" s="1"/>
  <c r="X494" i="5" l="1"/>
  <c r="N495" i="5"/>
  <c r="S495" i="5" s="1"/>
  <c r="T495" i="5" s="1"/>
  <c r="W495" i="5" s="1"/>
  <c r="AT483" i="5"/>
  <c r="BB482" i="5"/>
  <c r="AY496" i="2"/>
  <c r="V465" i="2"/>
  <c r="BM164" i="5"/>
  <c r="BN164" i="5" s="1"/>
  <c r="AE529" i="5"/>
  <c r="AF529" i="5" s="1"/>
  <c r="AL529" i="5" s="1"/>
  <c r="AE466" i="2"/>
  <c r="X495" i="5" l="1"/>
  <c r="O496" i="5"/>
  <c r="P496" i="5" s="1"/>
  <c r="N496" i="5"/>
  <c r="AV483" i="5"/>
  <c r="AW483" i="5" s="1"/>
  <c r="W465" i="2"/>
  <c r="BO164" i="5"/>
  <c r="BP164" i="5" s="1"/>
  <c r="AC530" i="5"/>
  <c r="AM529" i="5"/>
  <c r="AZ496" i="2"/>
  <c r="AR497" i="2"/>
  <c r="N466" i="2"/>
  <c r="O466" i="2" s="1"/>
  <c r="M466" i="2"/>
  <c r="AJ466" i="2"/>
  <c r="S496" i="5" l="1"/>
  <c r="T496" i="5" s="1"/>
  <c r="W496" i="5" s="1"/>
  <c r="BA483" i="5"/>
  <c r="AT497" i="2"/>
  <c r="BK165" i="5"/>
  <c r="AE530" i="5"/>
  <c r="AF530" i="5" s="1"/>
  <c r="R466" i="2"/>
  <c r="S466" i="2" s="1"/>
  <c r="AK466" i="2"/>
  <c r="AB467" i="2"/>
  <c r="AD467" i="2" s="1"/>
  <c r="O497" i="5" l="1"/>
  <c r="P497" i="5" s="1"/>
  <c r="N497" i="5"/>
  <c r="X496" i="5"/>
  <c r="AT484" i="5"/>
  <c r="BB483" i="5"/>
  <c r="AU497" i="2"/>
  <c r="AY497" i="2" s="1"/>
  <c r="V466" i="2"/>
  <c r="BM165" i="5"/>
  <c r="BN165" i="5" s="1"/>
  <c r="BO165" i="5" s="1"/>
  <c r="BP165" i="5" s="1"/>
  <c r="AL530" i="5"/>
  <c r="AC531" i="5" l="1"/>
  <c r="AE531" i="5" s="1"/>
  <c r="AF531" i="5" s="1"/>
  <c r="S497" i="5"/>
  <c r="T497" i="5" s="1"/>
  <c r="W497" i="5" s="1"/>
  <c r="AV484" i="5"/>
  <c r="AW484" i="5" s="1"/>
  <c r="AM530" i="5"/>
  <c r="BK166" i="5"/>
  <c r="W466" i="2"/>
  <c r="AR498" i="2"/>
  <c r="AZ497" i="2"/>
  <c r="M467" i="2"/>
  <c r="N467" i="2"/>
  <c r="O467" i="2" s="1"/>
  <c r="AE467" i="2"/>
  <c r="AJ467" i="2" s="1"/>
  <c r="BA484" i="5" l="1"/>
  <c r="AT485" i="5" s="1"/>
  <c r="O498" i="5"/>
  <c r="P498" i="5" s="1"/>
  <c r="N498" i="5"/>
  <c r="X497" i="5"/>
  <c r="AT498" i="2"/>
  <c r="AU498" i="2" s="1"/>
  <c r="BM166" i="5"/>
  <c r="BN166" i="5" s="1"/>
  <c r="BO166" i="5" s="1"/>
  <c r="BP166" i="5" s="1"/>
  <c r="AL531" i="5"/>
  <c r="R467" i="2"/>
  <c r="S467" i="2" s="1"/>
  <c r="AK467" i="2"/>
  <c r="AB468" i="2"/>
  <c r="AD468" i="2" s="1"/>
  <c r="BB484" i="5" l="1"/>
  <c r="S498" i="5"/>
  <c r="T498" i="5" s="1"/>
  <c r="AV485" i="5"/>
  <c r="AW485" i="5" s="1"/>
  <c r="AY498" i="2"/>
  <c r="V467" i="2"/>
  <c r="BK167" i="5"/>
  <c r="AM531" i="5"/>
  <c r="AC532" i="5"/>
  <c r="AE468" i="2"/>
  <c r="AJ468" i="2" s="1"/>
  <c r="BA485" i="5" l="1"/>
  <c r="AT486" i="5" s="1"/>
  <c r="W498" i="5"/>
  <c r="BM167" i="5"/>
  <c r="AE532" i="5"/>
  <c r="AF532" i="5" s="1"/>
  <c r="W467" i="2"/>
  <c r="AZ498" i="2"/>
  <c r="AR499" i="2"/>
  <c r="N468" i="2"/>
  <c r="O468" i="2" s="1"/>
  <c r="M468" i="2"/>
  <c r="AK468" i="2"/>
  <c r="AB469" i="2"/>
  <c r="AD469" i="2" s="1"/>
  <c r="BB485" i="5" l="1"/>
  <c r="AV486" i="5"/>
  <c r="AW486" i="5" s="1"/>
  <c r="BA486" i="5" s="1"/>
  <c r="X498" i="5"/>
  <c r="N499" i="5"/>
  <c r="O499" i="5"/>
  <c r="P499" i="5" s="1"/>
  <c r="AT499" i="2"/>
  <c r="AU499" i="2" s="1"/>
  <c r="AL532" i="5"/>
  <c r="BN167" i="5"/>
  <c r="BO167" i="5" s="1"/>
  <c r="BP167" i="5" s="1"/>
  <c r="R468" i="2"/>
  <c r="BB486" i="5" l="1"/>
  <c r="AT487" i="5"/>
  <c r="AM532" i="5"/>
  <c r="AC533" i="5"/>
  <c r="AE533" i="5" s="1"/>
  <c r="AF533" i="5" s="1"/>
  <c r="S499" i="5"/>
  <c r="T499" i="5" s="1"/>
  <c r="AY499" i="2"/>
  <c r="BK168" i="5"/>
  <c r="S468" i="2"/>
  <c r="V468" i="2" s="1"/>
  <c r="AE469" i="2"/>
  <c r="AJ469" i="2" s="1"/>
  <c r="AL533" i="5" l="1"/>
  <c r="AC534" i="5" s="1"/>
  <c r="W499" i="5"/>
  <c r="AV487" i="5"/>
  <c r="AW487" i="5" s="1"/>
  <c r="BM168" i="5"/>
  <c r="BN168" i="5" s="1"/>
  <c r="I43" i="6"/>
  <c r="I67" i="7"/>
  <c r="AZ499" i="2"/>
  <c r="AR500" i="2"/>
  <c r="AB470" i="2"/>
  <c r="AD470" i="2" s="1"/>
  <c r="AK469" i="2"/>
  <c r="AM533" i="5" l="1"/>
  <c r="BA487" i="5"/>
  <c r="X499" i="5"/>
  <c r="H67" i="9"/>
  <c r="N500" i="5"/>
  <c r="O500" i="5"/>
  <c r="P500" i="5" s="1"/>
  <c r="W468" i="2"/>
  <c r="BO168" i="5"/>
  <c r="BP168" i="5" s="1"/>
  <c r="AE534" i="5"/>
  <c r="AF534" i="5" s="1"/>
  <c r="N469" i="2"/>
  <c r="O469" i="2" s="1"/>
  <c r="M469" i="2"/>
  <c r="AT500" i="2"/>
  <c r="AU500" i="2" s="1"/>
  <c r="AE470" i="2"/>
  <c r="AJ470" i="2" s="1"/>
  <c r="S500" i="5" l="1"/>
  <c r="T500" i="5" s="1"/>
  <c r="I66" i="9"/>
  <c r="AT488" i="5"/>
  <c r="BB487" i="5"/>
  <c r="AY500" i="2"/>
  <c r="AZ500" i="2" s="1"/>
  <c r="BK169" i="5"/>
  <c r="BM169" i="5" s="1"/>
  <c r="BN169" i="5" s="1"/>
  <c r="BO169" i="5" s="1"/>
  <c r="BP169" i="5" s="1"/>
  <c r="AL534" i="5"/>
  <c r="R469" i="2"/>
  <c r="S469" i="2" s="1"/>
  <c r="AK470" i="2"/>
  <c r="AB471" i="2"/>
  <c r="AD471" i="2" s="1"/>
  <c r="AV488" i="5" l="1"/>
  <c r="AW488" i="5" s="1"/>
  <c r="W500" i="5"/>
  <c r="AR501" i="2"/>
  <c r="AT501" i="2" s="1"/>
  <c r="V469" i="2"/>
  <c r="BK170" i="5"/>
  <c r="AM534" i="5"/>
  <c r="AC535" i="5"/>
  <c r="X500" i="5" l="1"/>
  <c r="N501" i="5"/>
  <c r="O501" i="5"/>
  <c r="P501" i="5" s="1"/>
  <c r="BA488" i="5"/>
  <c r="AU501" i="2"/>
  <c r="AY501" i="2" s="1"/>
  <c r="BM170" i="5"/>
  <c r="AE535" i="5"/>
  <c r="W469" i="2"/>
  <c r="N470" i="2"/>
  <c r="O470" i="2" s="1"/>
  <c r="M470" i="2"/>
  <c r="AE471" i="2"/>
  <c r="AJ471" i="2" s="1"/>
  <c r="S501" i="5" l="1"/>
  <c r="T501" i="5" s="1"/>
  <c r="AT489" i="5"/>
  <c r="BB488" i="5"/>
  <c r="AZ501" i="2"/>
  <c r="AR502" i="2"/>
  <c r="AF535" i="5"/>
  <c r="AL535" i="5" s="1"/>
  <c r="AC536" i="5" s="1"/>
  <c r="BN170" i="5"/>
  <c r="BO170" i="5" s="1"/>
  <c r="BP170" i="5" s="1"/>
  <c r="R470" i="2"/>
  <c r="S470" i="2" s="1"/>
  <c r="AB472" i="2"/>
  <c r="AD472" i="2" s="1"/>
  <c r="AK471" i="2"/>
  <c r="J70" i="9" l="1"/>
  <c r="W501" i="5"/>
  <c r="N502" i="5" s="1"/>
  <c r="AV489" i="5"/>
  <c r="AW489" i="5" s="1"/>
  <c r="AT502" i="2"/>
  <c r="AU502" i="2" s="1"/>
  <c r="V470" i="2"/>
  <c r="AM535" i="5"/>
  <c r="BK171" i="5"/>
  <c r="AE536" i="5"/>
  <c r="AF536" i="5" s="1"/>
  <c r="AE472" i="2"/>
  <c r="AJ472" i="2" s="1"/>
  <c r="X501" i="5" l="1"/>
  <c r="O502" i="5"/>
  <c r="P502" i="5" s="1"/>
  <c r="S502" i="5" s="1"/>
  <c r="T502" i="5" s="1"/>
  <c r="BA489" i="5"/>
  <c r="AY502" i="2"/>
  <c r="BM171" i="5"/>
  <c r="BN171" i="5" s="1"/>
  <c r="BO171" i="5" s="1"/>
  <c r="BP171" i="5" s="1"/>
  <c r="AL536" i="5"/>
  <c r="W470" i="2"/>
  <c r="M471" i="2"/>
  <c r="N471" i="2"/>
  <c r="O471" i="2" s="1"/>
  <c r="AK472" i="2"/>
  <c r="AB473" i="2"/>
  <c r="AD473" i="2" s="1"/>
  <c r="AC537" i="5" l="1"/>
  <c r="AE537" i="5" s="1"/>
  <c r="AF537" i="5" s="1"/>
  <c r="AL537" i="5" s="1"/>
  <c r="AT490" i="5"/>
  <c r="AV490" i="5" s="1"/>
  <c r="AW490" i="5" s="1"/>
  <c r="BB489" i="5"/>
  <c r="W502" i="5"/>
  <c r="AZ502" i="2"/>
  <c r="AR503" i="2"/>
  <c r="AT503" i="2" s="1"/>
  <c r="AM536" i="5"/>
  <c r="BK172" i="5"/>
  <c r="R471" i="2"/>
  <c r="S471" i="2" s="1"/>
  <c r="AE473" i="2"/>
  <c r="X502" i="5" l="1"/>
  <c r="N503" i="5"/>
  <c r="O503" i="5"/>
  <c r="P503" i="5" s="1"/>
  <c r="BA490" i="5"/>
  <c r="AU503" i="2"/>
  <c r="AY503" i="2" s="1"/>
  <c r="V471" i="2"/>
  <c r="BM172" i="5"/>
  <c r="BN172" i="5" s="1"/>
  <c r="AC538" i="5"/>
  <c r="AM537" i="5"/>
  <c r="AJ473" i="2"/>
  <c r="S503" i="5" l="1"/>
  <c r="T503" i="5" s="1"/>
  <c r="BB490" i="5"/>
  <c r="AT491" i="5"/>
  <c r="BO172" i="5"/>
  <c r="BP172" i="5" s="1"/>
  <c r="AE538" i="5"/>
  <c r="AF538" i="5" s="1"/>
  <c r="AL538" i="5" s="1"/>
  <c r="AR504" i="2"/>
  <c r="W471" i="2"/>
  <c r="N472" i="2"/>
  <c r="O472" i="2" s="1"/>
  <c r="M472" i="2"/>
  <c r="AZ503" i="2"/>
  <c r="AK473" i="2"/>
  <c r="AB474" i="2"/>
  <c r="AD474" i="2" s="1"/>
  <c r="AV491" i="5" l="1"/>
  <c r="AW491" i="5" s="1"/>
  <c r="W503" i="5"/>
  <c r="AT504" i="2"/>
  <c r="AU504" i="2" s="1"/>
  <c r="BK173" i="5"/>
  <c r="AC539" i="5"/>
  <c r="AM538" i="5"/>
  <c r="R472" i="2"/>
  <c r="S472" i="2" s="1"/>
  <c r="AE474" i="2"/>
  <c r="X503" i="5" l="1"/>
  <c r="O504" i="5"/>
  <c r="P504" i="5" s="1"/>
  <c r="N504" i="5"/>
  <c r="BA491" i="5"/>
  <c r="AY504" i="2"/>
  <c r="V472" i="2"/>
  <c r="M473" i="2" s="1"/>
  <c r="BM173" i="5"/>
  <c r="BN173" i="5" s="1"/>
  <c r="BO173" i="5" s="1"/>
  <c r="BP173" i="5" s="1"/>
  <c r="AE539" i="5"/>
  <c r="AF539" i="5" s="1"/>
  <c r="AJ474" i="2"/>
  <c r="S504" i="5" l="1"/>
  <c r="T504" i="5" s="1"/>
  <c r="BB491" i="5"/>
  <c r="AT492" i="5"/>
  <c r="AZ504" i="2"/>
  <c r="AR505" i="2"/>
  <c r="N473" i="2"/>
  <c r="O473" i="2" s="1"/>
  <c r="R473" i="2" s="1"/>
  <c r="S473" i="2" s="1"/>
  <c r="W472" i="2"/>
  <c r="AL539" i="5"/>
  <c r="BK174" i="5"/>
  <c r="AK474" i="2"/>
  <c r="AB475" i="2"/>
  <c r="AD475" i="2" s="1"/>
  <c r="AC540" i="5" l="1"/>
  <c r="AE540" i="5" s="1"/>
  <c r="AF540" i="5" s="1"/>
  <c r="AL540" i="5" s="1"/>
  <c r="AC541" i="5" s="1"/>
  <c r="AV492" i="5"/>
  <c r="AW492" i="5" s="1"/>
  <c r="W504" i="5"/>
  <c r="AT505" i="2"/>
  <c r="V473" i="2"/>
  <c r="AM539" i="5"/>
  <c r="BM174" i="5"/>
  <c r="BN174" i="5" s="1"/>
  <c r="AE475" i="2"/>
  <c r="BA492" i="5" l="1"/>
  <c r="X504" i="5"/>
  <c r="O505" i="5"/>
  <c r="P505" i="5" s="1"/>
  <c r="N505" i="5"/>
  <c r="AU505" i="2"/>
  <c r="AY505" i="2" s="1"/>
  <c r="BO174" i="5"/>
  <c r="BP174" i="5" s="1"/>
  <c r="AE541" i="5"/>
  <c r="AF541" i="5" s="1"/>
  <c r="AM540" i="5"/>
  <c r="W473" i="2"/>
  <c r="N474" i="2"/>
  <c r="O474" i="2" s="1"/>
  <c r="M474" i="2"/>
  <c r="AJ475" i="2"/>
  <c r="BB492" i="5" l="1"/>
  <c r="AT493" i="5"/>
  <c r="AV493" i="5" s="1"/>
  <c r="AW493" i="5" s="1"/>
  <c r="S505" i="5"/>
  <c r="T505" i="5" s="1"/>
  <c r="W505" i="5" s="1"/>
  <c r="AZ505" i="2"/>
  <c r="AR506" i="2"/>
  <c r="AT506" i="2" s="1"/>
  <c r="AU506" i="2" s="1"/>
  <c r="BK175" i="5"/>
  <c r="AL541" i="5"/>
  <c r="AC542" i="5" s="1"/>
  <c r="J65" i="7"/>
  <c r="R474" i="2"/>
  <c r="S474" i="2" s="1"/>
  <c r="AK475" i="2"/>
  <c r="AB476" i="2"/>
  <c r="AD476" i="2" s="1"/>
  <c r="X505" i="5" l="1"/>
  <c r="O506" i="5"/>
  <c r="P506" i="5" s="1"/>
  <c r="N506" i="5"/>
  <c r="BA493" i="5"/>
  <c r="AY506" i="2"/>
  <c r="AR507" i="2" s="1"/>
  <c r="V474" i="2"/>
  <c r="BM175" i="5"/>
  <c r="BN175" i="5" s="1"/>
  <c r="BO175" i="5" s="1"/>
  <c r="BP175" i="5" s="1"/>
  <c r="AE542" i="5"/>
  <c r="AF542" i="5" s="1"/>
  <c r="AM541" i="5"/>
  <c r="AE476" i="2"/>
  <c r="S506" i="5" l="1"/>
  <c r="T506" i="5" s="1"/>
  <c r="W506" i="5" s="1"/>
  <c r="BB493" i="5"/>
  <c r="AT494" i="5"/>
  <c r="AZ506" i="2"/>
  <c r="AT507" i="2"/>
  <c r="AU507" i="2" s="1"/>
  <c r="M40" i="9"/>
  <c r="BK176" i="5"/>
  <c r="K40" i="9"/>
  <c r="L40" i="9" s="1"/>
  <c r="AL542" i="5"/>
  <c r="W474" i="2"/>
  <c r="N475" i="2"/>
  <c r="O475" i="2" s="1"/>
  <c r="M475" i="2"/>
  <c r="AJ476" i="2"/>
  <c r="O507" i="5" l="1"/>
  <c r="P507" i="5" s="1"/>
  <c r="N507" i="5"/>
  <c r="X506" i="5"/>
  <c r="AV494" i="5"/>
  <c r="AW494" i="5" s="1"/>
  <c r="AY507" i="2"/>
  <c r="BM176" i="5"/>
  <c r="BN176" i="5" s="1"/>
  <c r="AC543" i="5"/>
  <c r="AM542" i="5"/>
  <c r="R475" i="2"/>
  <c r="S475" i="2" s="1"/>
  <c r="AK476" i="2"/>
  <c r="AB477" i="2"/>
  <c r="AD477" i="2" s="1"/>
  <c r="BA494" i="5" l="1"/>
  <c r="S507" i="5"/>
  <c r="T507" i="5" s="1"/>
  <c r="W507" i="5" s="1"/>
  <c r="AR508" i="2"/>
  <c r="AT508" i="2" s="1"/>
  <c r="AZ507" i="2"/>
  <c r="V475" i="2"/>
  <c r="BO176" i="5"/>
  <c r="BP176" i="5" s="1"/>
  <c r="AE543" i="5"/>
  <c r="AF543" i="5" s="1"/>
  <c r="AL543" i="5" s="1"/>
  <c r="AE477" i="2"/>
  <c r="X507" i="5" l="1"/>
  <c r="O508" i="5"/>
  <c r="P508" i="5" s="1"/>
  <c r="N508" i="5"/>
  <c r="AT495" i="5"/>
  <c r="BB494" i="5"/>
  <c r="BK177" i="5"/>
  <c r="AC544" i="5"/>
  <c r="AM543" i="5"/>
  <c r="H65" i="7"/>
  <c r="L65" i="7" s="1"/>
  <c r="W475" i="2"/>
  <c r="M65" i="7" s="1"/>
  <c r="N476" i="2"/>
  <c r="O476" i="2" s="1"/>
  <c r="M476" i="2"/>
  <c r="AU508" i="2"/>
  <c r="AY508" i="2" s="1"/>
  <c r="AJ477" i="2"/>
  <c r="S508" i="5" l="1"/>
  <c r="T508" i="5" s="1"/>
  <c r="AV495" i="5"/>
  <c r="AW495" i="5" s="1"/>
  <c r="BM177" i="5"/>
  <c r="BN177" i="5" s="1"/>
  <c r="AE544" i="5"/>
  <c r="AF544" i="5" s="1"/>
  <c r="R476" i="2"/>
  <c r="S476" i="2" s="1"/>
  <c r="AR509" i="2"/>
  <c r="AK477" i="2"/>
  <c r="AB478" i="2"/>
  <c r="AD478" i="2" s="1"/>
  <c r="BA495" i="5" l="1"/>
  <c r="W508" i="5"/>
  <c r="AT509" i="2"/>
  <c r="AZ508" i="2"/>
  <c r="V476" i="2"/>
  <c r="BO177" i="5"/>
  <c r="BP177" i="5" s="1"/>
  <c r="AL544" i="5"/>
  <c r="AE478" i="2"/>
  <c r="X508" i="5" l="1"/>
  <c r="N509" i="5"/>
  <c r="O509" i="5"/>
  <c r="P509" i="5" s="1"/>
  <c r="BB495" i="5"/>
  <c r="AT496" i="5"/>
  <c r="AU509" i="2"/>
  <c r="AY509" i="2" s="1"/>
  <c r="BK178" i="5"/>
  <c r="AM544" i="5"/>
  <c r="AC545" i="5"/>
  <c r="W476" i="2"/>
  <c r="M477" i="2"/>
  <c r="N477" i="2"/>
  <c r="O477" i="2" s="1"/>
  <c r="AJ478" i="2"/>
  <c r="S509" i="5" l="1"/>
  <c r="T509" i="5" s="1"/>
  <c r="AV496" i="5"/>
  <c r="AW496" i="5" s="1"/>
  <c r="BM178" i="5"/>
  <c r="BN178" i="5" s="1"/>
  <c r="AE545" i="5"/>
  <c r="AF545" i="5" s="1"/>
  <c r="AL545" i="5" s="1"/>
  <c r="AR510" i="2"/>
  <c r="R477" i="2"/>
  <c r="S477" i="2" s="1"/>
  <c r="AZ509" i="2"/>
  <c r="AK478" i="2"/>
  <c r="AB479" i="2"/>
  <c r="AD479" i="2" s="1"/>
  <c r="BA496" i="5" l="1"/>
  <c r="BB496" i="5" s="1"/>
  <c r="W509" i="5"/>
  <c r="AT510" i="2"/>
  <c r="V477" i="2"/>
  <c r="BO178" i="5"/>
  <c r="BP178" i="5" s="1"/>
  <c r="AM545" i="5"/>
  <c r="AC546" i="5"/>
  <c r="AE479" i="2"/>
  <c r="AT497" i="5" l="1"/>
  <c r="AV497" i="5" s="1"/>
  <c r="AW497" i="5" s="1"/>
  <c r="X509" i="5"/>
  <c r="N510" i="5"/>
  <c r="O510" i="5"/>
  <c r="P510" i="5" s="1"/>
  <c r="AU510" i="2"/>
  <c r="AY510" i="2" s="1"/>
  <c r="BK179" i="5"/>
  <c r="AE546" i="5"/>
  <c r="AF546" i="5" s="1"/>
  <c r="AL546" i="5" s="1"/>
  <c r="W477" i="2"/>
  <c r="M478" i="2"/>
  <c r="N478" i="2"/>
  <c r="O478" i="2" s="1"/>
  <c r="AJ479" i="2"/>
  <c r="S510" i="5" l="1"/>
  <c r="T510" i="5" s="1"/>
  <c r="W510" i="5" s="1"/>
  <c r="BA497" i="5"/>
  <c r="AR511" i="2"/>
  <c r="AT511" i="2" s="1"/>
  <c r="AU511" i="2" s="1"/>
  <c r="AZ510" i="2"/>
  <c r="BM179" i="5"/>
  <c r="BN179" i="5" s="1"/>
  <c r="BO179" i="5" s="1"/>
  <c r="BP179" i="5" s="1"/>
  <c r="AM546" i="5"/>
  <c r="AC547" i="5"/>
  <c r="R478" i="2"/>
  <c r="S478" i="2" s="1"/>
  <c r="AK479" i="2"/>
  <c r="AB480" i="2"/>
  <c r="AD480" i="2" s="1"/>
  <c r="N511" i="5" l="1"/>
  <c r="O511" i="5"/>
  <c r="P511" i="5" s="1"/>
  <c r="X510" i="5"/>
  <c r="AT498" i="5"/>
  <c r="BB497" i="5"/>
  <c r="AY511" i="2"/>
  <c r="V478" i="2"/>
  <c r="BK180" i="5"/>
  <c r="AE547" i="5"/>
  <c r="AF547" i="5" s="1"/>
  <c r="AE480" i="2"/>
  <c r="AV498" i="5" l="1"/>
  <c r="AW498" i="5" s="1"/>
  <c r="S511" i="5"/>
  <c r="T511" i="5" s="1"/>
  <c r="W511" i="5" s="1"/>
  <c r="I68" i="7"/>
  <c r="AZ511" i="2"/>
  <c r="AR512" i="2"/>
  <c r="AT512" i="2" s="1"/>
  <c r="BM180" i="5"/>
  <c r="BN180" i="5" s="1"/>
  <c r="AL547" i="5"/>
  <c r="W478" i="2"/>
  <c r="N479" i="2"/>
  <c r="O479" i="2" s="1"/>
  <c r="M479" i="2"/>
  <c r="AJ480" i="2"/>
  <c r="O512" i="5" l="1"/>
  <c r="P512" i="5" s="1"/>
  <c r="H68" i="9"/>
  <c r="N512" i="5"/>
  <c r="X511" i="5"/>
  <c r="BA498" i="5"/>
  <c r="BO180" i="5"/>
  <c r="BP180" i="5" s="1"/>
  <c r="J71" i="9"/>
  <c r="AC548" i="5"/>
  <c r="AM547" i="5"/>
  <c r="R479" i="2"/>
  <c r="S479" i="2" s="1"/>
  <c r="AU512" i="2"/>
  <c r="AY512" i="2" s="1"/>
  <c r="AK480" i="2"/>
  <c r="AB481" i="2"/>
  <c r="AD481" i="2" s="1"/>
  <c r="AT499" i="5" l="1"/>
  <c r="BB498" i="5"/>
  <c r="S512" i="5"/>
  <c r="T512" i="5" s="1"/>
  <c r="W512" i="5" s="1"/>
  <c r="V479" i="2"/>
  <c r="BK181" i="5"/>
  <c r="AE548" i="5"/>
  <c r="AF548" i="5" s="1"/>
  <c r="AZ512" i="2"/>
  <c r="AE481" i="2"/>
  <c r="O513" i="5" l="1"/>
  <c r="P513" i="5" s="1"/>
  <c r="N513" i="5"/>
  <c r="X512" i="5"/>
  <c r="AV499" i="5"/>
  <c r="AW499" i="5" s="1"/>
  <c r="AR513" i="2"/>
  <c r="BM181" i="5"/>
  <c r="BN181" i="5" s="1"/>
  <c r="BO181" i="5" s="1"/>
  <c r="BP181" i="5" s="1"/>
  <c r="AL548" i="5"/>
  <c r="M480" i="2"/>
  <c r="N480" i="2"/>
  <c r="O480" i="2" s="1"/>
  <c r="W479" i="2"/>
  <c r="AJ481" i="2"/>
  <c r="BA499" i="5" l="1"/>
  <c r="S513" i="5"/>
  <c r="T513" i="5" s="1"/>
  <c r="W513" i="5" s="1"/>
  <c r="AT513" i="2"/>
  <c r="AU513" i="2" s="1"/>
  <c r="BK182" i="5"/>
  <c r="AM548" i="5"/>
  <c r="AC549" i="5"/>
  <c r="R480" i="2"/>
  <c r="S480" i="2" s="1"/>
  <c r="AK481" i="2"/>
  <c r="AB482" i="2"/>
  <c r="AD482" i="2" s="1"/>
  <c r="N514" i="5" l="1"/>
  <c r="O514" i="5"/>
  <c r="P514" i="5" s="1"/>
  <c r="X513" i="5"/>
  <c r="I67" i="9"/>
  <c r="AT500" i="5"/>
  <c r="BB499" i="5"/>
  <c r="AY513" i="2"/>
  <c r="AZ513" i="2" s="1"/>
  <c r="V480" i="2"/>
  <c r="BM182" i="5"/>
  <c r="BN182" i="5" s="1"/>
  <c r="AE549" i="5"/>
  <c r="AE482" i="2"/>
  <c r="AV500" i="5" l="1"/>
  <c r="AW500" i="5" s="1"/>
  <c r="S514" i="5"/>
  <c r="T514" i="5" s="1"/>
  <c r="W514" i="5" s="1"/>
  <c r="AR514" i="2"/>
  <c r="AT514" i="2" s="1"/>
  <c r="W480" i="2"/>
  <c r="N481" i="2"/>
  <c r="O481" i="2" s="1"/>
  <c r="M481" i="2"/>
  <c r="BO182" i="5"/>
  <c r="BP182" i="5" s="1"/>
  <c r="AF549" i="5"/>
  <c r="AL549" i="5" s="1"/>
  <c r="AC550" i="5" s="1"/>
  <c r="AE550" i="5" s="1"/>
  <c r="AF550" i="5" s="1"/>
  <c r="AJ482" i="2"/>
  <c r="X514" i="5" l="1"/>
  <c r="N515" i="5"/>
  <c r="O515" i="5"/>
  <c r="P515" i="5" s="1"/>
  <c r="BA500" i="5"/>
  <c r="AU514" i="2"/>
  <c r="AY514" i="2" s="1"/>
  <c r="R481" i="2"/>
  <c r="S481" i="2" s="1"/>
  <c r="AL550" i="5"/>
  <c r="BK183" i="5"/>
  <c r="AM549" i="5"/>
  <c r="AK482" i="2"/>
  <c r="AB483" i="2"/>
  <c r="AD483" i="2" s="1"/>
  <c r="AC551" i="5" l="1"/>
  <c r="AE551" i="5" s="1"/>
  <c r="AF551" i="5" s="1"/>
  <c r="S515" i="5"/>
  <c r="T515" i="5" s="1"/>
  <c r="BB500" i="5"/>
  <c r="AT501" i="5"/>
  <c r="V481" i="2"/>
  <c r="AM550" i="5"/>
  <c r="BM183" i="5"/>
  <c r="BN183" i="5" s="1"/>
  <c r="AR515" i="2"/>
  <c r="AZ514" i="2"/>
  <c r="AE483" i="2"/>
  <c r="AV501" i="5" l="1"/>
  <c r="AW501" i="5" s="1"/>
  <c r="BA501" i="5" s="1"/>
  <c r="W515" i="5"/>
  <c r="AT515" i="2"/>
  <c r="N482" i="2"/>
  <c r="O482" i="2" s="1"/>
  <c r="W481" i="2"/>
  <c r="M482" i="2"/>
  <c r="BO183" i="5"/>
  <c r="BP183" i="5" s="1"/>
  <c r="AL551" i="5"/>
  <c r="AJ483" i="2"/>
  <c r="AT502" i="5" l="1"/>
  <c r="BB501" i="5"/>
  <c r="X515" i="5"/>
  <c r="O516" i="5"/>
  <c r="P516" i="5" s="1"/>
  <c r="N516" i="5"/>
  <c r="AU515" i="2"/>
  <c r="AY515" i="2" s="1"/>
  <c r="R482" i="2"/>
  <c r="S482" i="2" s="1"/>
  <c r="BK184" i="5"/>
  <c r="AC552" i="5"/>
  <c r="AM551" i="5"/>
  <c r="AK483" i="2"/>
  <c r="AB484" i="2"/>
  <c r="AD484" i="2" s="1"/>
  <c r="S516" i="5" l="1"/>
  <c r="T516" i="5" s="1"/>
  <c r="AV502" i="5"/>
  <c r="AW502" i="5" s="1"/>
  <c r="AR516" i="2"/>
  <c r="AT516" i="2" s="1"/>
  <c r="AZ515" i="2"/>
  <c r="V482" i="2"/>
  <c r="M483" i="2" s="1"/>
  <c r="BM184" i="5"/>
  <c r="AE552" i="5"/>
  <c r="AF552" i="5" s="1"/>
  <c r="AE484" i="2"/>
  <c r="BA502" i="5" l="1"/>
  <c r="W516" i="5"/>
  <c r="N483" i="2"/>
  <c r="O483" i="2" s="1"/>
  <c r="R483" i="2" s="1"/>
  <c r="S483" i="2" s="1"/>
  <c r="W482" i="2"/>
  <c r="BN184" i="5"/>
  <c r="BO184" i="5" s="1"/>
  <c r="BP184" i="5" s="1"/>
  <c r="AL552" i="5"/>
  <c r="AU516" i="2"/>
  <c r="AY516" i="2" s="1"/>
  <c r="AJ484" i="2"/>
  <c r="X516" i="5" l="1"/>
  <c r="O517" i="5"/>
  <c r="P517" i="5" s="1"/>
  <c r="N517" i="5"/>
  <c r="AT503" i="5"/>
  <c r="BB502" i="5"/>
  <c r="V483" i="2"/>
  <c r="BK185" i="5"/>
  <c r="BM185" i="5" s="1"/>
  <c r="BN185" i="5" s="1"/>
  <c r="AC553" i="5"/>
  <c r="AM552" i="5"/>
  <c r="AK484" i="2"/>
  <c r="AB485" i="2"/>
  <c r="AD485" i="2" s="1"/>
  <c r="S517" i="5" l="1"/>
  <c r="T517" i="5" s="1"/>
  <c r="W517" i="5" s="1"/>
  <c r="AV503" i="5"/>
  <c r="AW503" i="5" s="1"/>
  <c r="AR517" i="2"/>
  <c r="AZ516" i="2"/>
  <c r="BO185" i="5"/>
  <c r="BP185" i="5" s="1"/>
  <c r="AE553" i="5"/>
  <c r="AF553" i="5" s="1"/>
  <c r="W483" i="2"/>
  <c r="N484" i="2"/>
  <c r="O484" i="2" s="1"/>
  <c r="M484" i="2"/>
  <c r="AE485" i="2"/>
  <c r="BA503" i="5" l="1"/>
  <c r="X517" i="5"/>
  <c r="N518" i="5"/>
  <c r="O518" i="5"/>
  <c r="P518" i="5" s="1"/>
  <c r="AT517" i="2"/>
  <c r="AU517" i="2" s="1"/>
  <c r="BK186" i="5"/>
  <c r="R484" i="2"/>
  <c r="S484" i="2" s="1"/>
  <c r="AL553" i="5"/>
  <c r="AJ485" i="2"/>
  <c r="AT504" i="5" l="1"/>
  <c r="AV504" i="5" s="1"/>
  <c r="AW504" i="5" s="1"/>
  <c r="BB503" i="5"/>
  <c r="S518" i="5"/>
  <c r="T518" i="5" s="1"/>
  <c r="AY517" i="2"/>
  <c r="V484" i="2"/>
  <c r="BM186" i="5"/>
  <c r="BN186" i="5" s="1"/>
  <c r="BO186" i="5" s="1"/>
  <c r="BP186" i="5" s="1"/>
  <c r="AC554" i="5"/>
  <c r="AM553" i="5"/>
  <c r="AK485" i="2"/>
  <c r="AB486" i="2"/>
  <c r="AD486" i="2" s="1"/>
  <c r="W518" i="5" l="1"/>
  <c r="X518" i="5" s="1"/>
  <c r="BA504" i="5"/>
  <c r="AZ517" i="2"/>
  <c r="AR518" i="2"/>
  <c r="AT518" i="2" s="1"/>
  <c r="AU518" i="2" s="1"/>
  <c r="BK187" i="5"/>
  <c r="AE554" i="5"/>
  <c r="AF554" i="5" s="1"/>
  <c r="W484" i="2"/>
  <c r="M485" i="2"/>
  <c r="N485" i="2"/>
  <c r="O485" i="2" s="1"/>
  <c r="AE486" i="2"/>
  <c r="O519" i="5" l="1"/>
  <c r="P519" i="5" s="1"/>
  <c r="N519" i="5"/>
  <c r="BB504" i="5"/>
  <c r="AT505" i="5"/>
  <c r="AY518" i="2"/>
  <c r="BM187" i="5"/>
  <c r="BN187" i="5" s="1"/>
  <c r="R485" i="2"/>
  <c r="S485" i="2" s="1"/>
  <c r="AL554" i="5"/>
  <c r="AJ486" i="2"/>
  <c r="S519" i="5" l="1"/>
  <c r="T519" i="5" s="1"/>
  <c r="AV505" i="5"/>
  <c r="AW505" i="5" s="1"/>
  <c r="V485" i="2"/>
  <c r="BO187" i="5"/>
  <c r="BP187" i="5" s="1"/>
  <c r="AZ518" i="2"/>
  <c r="AC555" i="5"/>
  <c r="AM554" i="5"/>
  <c r="AR519" i="2"/>
  <c r="AK486" i="2"/>
  <c r="AB487" i="2"/>
  <c r="AD487" i="2" s="1"/>
  <c r="W519" i="5" l="1"/>
  <c r="X519" i="5" s="1"/>
  <c r="BA505" i="5"/>
  <c r="AT519" i="2"/>
  <c r="W485" i="2"/>
  <c r="M41" i="9"/>
  <c r="K41" i="9"/>
  <c r="L41" i="9" s="1"/>
  <c r="BK188" i="5"/>
  <c r="AE555" i="5"/>
  <c r="AF555" i="5" s="1"/>
  <c r="AL555" i="5" s="1"/>
  <c r="M486" i="2"/>
  <c r="N486" i="2"/>
  <c r="O486" i="2" s="1"/>
  <c r="AE487" i="2"/>
  <c r="O520" i="5" l="1"/>
  <c r="P520" i="5" s="1"/>
  <c r="N520" i="5"/>
  <c r="AT506" i="5"/>
  <c r="BB505" i="5"/>
  <c r="BM188" i="5"/>
  <c r="BN188" i="5" s="1"/>
  <c r="AC556" i="5"/>
  <c r="R486" i="2"/>
  <c r="S486" i="2" s="1"/>
  <c r="AM555" i="5"/>
  <c r="AU519" i="2"/>
  <c r="AY519" i="2" s="1"/>
  <c r="AJ487" i="2"/>
  <c r="S520" i="5" l="1"/>
  <c r="T520" i="5" s="1"/>
  <c r="AV506" i="5"/>
  <c r="AW506" i="5" s="1"/>
  <c r="V486" i="2"/>
  <c r="BO188" i="5"/>
  <c r="BP188" i="5" s="1"/>
  <c r="AE556" i="5"/>
  <c r="AF556" i="5" s="1"/>
  <c r="J66" i="7"/>
  <c r="AR520" i="2"/>
  <c r="AZ519" i="2"/>
  <c r="AK487" i="2"/>
  <c r="AB488" i="2"/>
  <c r="AD488" i="2" s="1"/>
  <c r="W520" i="5" l="1"/>
  <c r="O521" i="5" s="1"/>
  <c r="P521" i="5" s="1"/>
  <c r="BA506" i="5"/>
  <c r="AT507" i="5" s="1"/>
  <c r="BK189" i="5"/>
  <c r="W486" i="2"/>
  <c r="M487" i="2"/>
  <c r="N487" i="2"/>
  <c r="O487" i="2" s="1"/>
  <c r="AL556" i="5"/>
  <c r="AT520" i="2"/>
  <c r="AU520" i="2" s="1"/>
  <c r="AE488" i="2"/>
  <c r="N521" i="5" l="1"/>
  <c r="S521" i="5" s="1"/>
  <c r="T521" i="5" s="1"/>
  <c r="X520" i="5"/>
  <c r="BB506" i="5"/>
  <c r="AV507" i="5"/>
  <c r="AW507" i="5" s="1"/>
  <c r="AY520" i="2"/>
  <c r="BM189" i="5"/>
  <c r="BN189" i="5" s="1"/>
  <c r="BO189" i="5" s="1"/>
  <c r="BP189" i="5" s="1"/>
  <c r="AC557" i="5"/>
  <c r="R487" i="2"/>
  <c r="S487" i="2" s="1"/>
  <c r="AM556" i="5"/>
  <c r="AJ488" i="2"/>
  <c r="W521" i="5" l="1"/>
  <c r="X521" i="5" s="1"/>
  <c r="BA507" i="5"/>
  <c r="V487" i="2"/>
  <c r="BK190" i="5"/>
  <c r="AE557" i="5"/>
  <c r="AF557" i="5" s="1"/>
  <c r="AR521" i="2"/>
  <c r="AZ520" i="2"/>
  <c r="AB489" i="2"/>
  <c r="AD489" i="2" s="1"/>
  <c r="AK488" i="2"/>
  <c r="N522" i="5" l="1"/>
  <c r="O522" i="5"/>
  <c r="P522" i="5" s="1"/>
  <c r="AT508" i="5"/>
  <c r="BB507" i="5"/>
  <c r="AT521" i="2"/>
  <c r="AU521" i="2" s="1"/>
  <c r="BM190" i="5"/>
  <c r="BN190" i="5" s="1"/>
  <c r="H66" i="7"/>
  <c r="L66" i="7" s="1"/>
  <c r="W487" i="2"/>
  <c r="M66" i="7" s="1"/>
  <c r="N488" i="2"/>
  <c r="O488" i="2" s="1"/>
  <c r="M488" i="2"/>
  <c r="AL557" i="5"/>
  <c r="AE489" i="2"/>
  <c r="S522" i="5" l="1"/>
  <c r="T522" i="5" s="1"/>
  <c r="W522" i="5" s="1"/>
  <c r="X522" i="5" s="1"/>
  <c r="AV508" i="5"/>
  <c r="AW508" i="5" s="1"/>
  <c r="BA508" i="5" s="1"/>
  <c r="AY521" i="2"/>
  <c r="BO190" i="5"/>
  <c r="BP190" i="5" s="1"/>
  <c r="AC558" i="5"/>
  <c r="R488" i="2"/>
  <c r="S488" i="2" s="1"/>
  <c r="AM557" i="5"/>
  <c r="AJ489" i="2"/>
  <c r="O523" i="5" l="1"/>
  <c r="P523" i="5" s="1"/>
  <c r="N523" i="5"/>
  <c r="AT509" i="5"/>
  <c r="BB508" i="5"/>
  <c r="AR522" i="2"/>
  <c r="AT522" i="2" s="1"/>
  <c r="AU522" i="2" s="1"/>
  <c r="AZ521" i="2"/>
  <c r="V488" i="2"/>
  <c r="N489" i="2" s="1"/>
  <c r="O489" i="2" s="1"/>
  <c r="BK191" i="5"/>
  <c r="AE558" i="5"/>
  <c r="AF558" i="5" s="1"/>
  <c r="AK489" i="2"/>
  <c r="AB490" i="2"/>
  <c r="AD490" i="2" s="1"/>
  <c r="S523" i="5" l="1"/>
  <c r="T523" i="5" s="1"/>
  <c r="AV509" i="5"/>
  <c r="AW509" i="5" s="1"/>
  <c r="BA509" i="5" s="1"/>
  <c r="AY522" i="2"/>
  <c r="M489" i="2"/>
  <c r="R489" i="2" s="1"/>
  <c r="S489" i="2" s="1"/>
  <c r="W488" i="2"/>
  <c r="BM191" i="5"/>
  <c r="BN191" i="5" s="1"/>
  <c r="AL558" i="5"/>
  <c r="AE490" i="2"/>
  <c r="W523" i="5" l="1"/>
  <c r="BB509" i="5"/>
  <c r="AT510" i="5"/>
  <c r="N524" i="5"/>
  <c r="V489" i="2"/>
  <c r="BO191" i="5"/>
  <c r="BP191" i="5" s="1"/>
  <c r="AC559" i="5"/>
  <c r="AM558" i="5"/>
  <c r="AR523" i="2"/>
  <c r="AZ522" i="2"/>
  <c r="AJ490" i="2"/>
  <c r="H69" i="9" l="1"/>
  <c r="X523" i="5"/>
  <c r="O524" i="5"/>
  <c r="P524" i="5" s="1"/>
  <c r="S524" i="5" s="1"/>
  <c r="T524" i="5" s="1"/>
  <c r="W524" i="5" s="1"/>
  <c r="AV510" i="5"/>
  <c r="AW510" i="5" s="1"/>
  <c r="BA510" i="5" s="1"/>
  <c r="AT523" i="2"/>
  <c r="AU523" i="2" s="1"/>
  <c r="BK192" i="5"/>
  <c r="AE559" i="5"/>
  <c r="AF559" i="5" s="1"/>
  <c r="W489" i="2"/>
  <c r="M490" i="2"/>
  <c r="N490" i="2"/>
  <c r="O490" i="2" s="1"/>
  <c r="AK490" i="2"/>
  <c r="AB491" i="2"/>
  <c r="AD491" i="2" s="1"/>
  <c r="BB510" i="5" l="1"/>
  <c r="AT511" i="5"/>
  <c r="O525" i="5"/>
  <c r="P525" i="5" s="1"/>
  <c r="N525" i="5"/>
  <c r="X524" i="5"/>
  <c r="AY523" i="2"/>
  <c r="BM192" i="5"/>
  <c r="BN192" i="5" s="1"/>
  <c r="AL559" i="5"/>
  <c r="R490" i="2"/>
  <c r="S490" i="2" s="1"/>
  <c r="AE491" i="2"/>
  <c r="AV511" i="5" l="1"/>
  <c r="AW511" i="5" s="1"/>
  <c r="BA511" i="5" s="1"/>
  <c r="S525" i="5"/>
  <c r="T525" i="5" s="1"/>
  <c r="V490" i="2"/>
  <c r="BO192" i="5"/>
  <c r="BP192" i="5" s="1"/>
  <c r="J72" i="9"/>
  <c r="I69" i="7"/>
  <c r="AR524" i="2"/>
  <c r="AC560" i="5"/>
  <c r="AM559" i="5"/>
  <c r="AZ523" i="2"/>
  <c r="AJ491" i="2"/>
  <c r="W525" i="5" l="1"/>
  <c r="O526" i="5" s="1"/>
  <c r="P526" i="5" s="1"/>
  <c r="BB511" i="5"/>
  <c r="I68" i="9"/>
  <c r="AT512" i="5"/>
  <c r="AT524" i="2"/>
  <c r="AU524" i="2" s="1"/>
  <c r="BK193" i="5"/>
  <c r="AE560" i="5"/>
  <c r="AF560" i="5" s="1"/>
  <c r="AL560" i="5" s="1"/>
  <c r="W490" i="2"/>
  <c r="M491" i="2"/>
  <c r="N491" i="2"/>
  <c r="O491" i="2" s="1"/>
  <c r="AK491" i="2"/>
  <c r="AB492" i="2"/>
  <c r="AD492" i="2" s="1"/>
  <c r="N526" i="5" l="1"/>
  <c r="S526" i="5" s="1"/>
  <c r="T526" i="5" s="1"/>
  <c r="W526" i="5" s="1"/>
  <c r="X525" i="5"/>
  <c r="AV512" i="5"/>
  <c r="AW512" i="5" s="1"/>
  <c r="AY524" i="2"/>
  <c r="AZ524" i="2" s="1"/>
  <c r="BM193" i="5"/>
  <c r="BN193" i="5" s="1"/>
  <c r="AC561" i="5"/>
  <c r="AM560" i="5"/>
  <c r="R491" i="2"/>
  <c r="S491" i="2" s="1"/>
  <c r="AE492" i="2"/>
  <c r="BA512" i="5" l="1"/>
  <c r="BB512" i="5" s="1"/>
  <c r="X526" i="5"/>
  <c r="O527" i="5"/>
  <c r="P527" i="5" s="1"/>
  <c r="N527" i="5"/>
  <c r="AR525" i="2"/>
  <c r="AT525" i="2" s="1"/>
  <c r="AU525" i="2" s="1"/>
  <c r="V491" i="2"/>
  <c r="BO193" i="5"/>
  <c r="BP193" i="5" s="1"/>
  <c r="AE561" i="5"/>
  <c r="AF561" i="5" s="1"/>
  <c r="AJ492" i="2"/>
  <c r="AT513" i="5" l="1"/>
  <c r="AV513" i="5" s="1"/>
  <c r="AW513" i="5" s="1"/>
  <c r="S527" i="5"/>
  <c r="T527" i="5" s="1"/>
  <c r="AY525" i="2"/>
  <c r="BK194" i="5"/>
  <c r="W491" i="2"/>
  <c r="AL561" i="5"/>
  <c r="N492" i="2"/>
  <c r="O492" i="2" s="1"/>
  <c r="M492" i="2"/>
  <c r="AK492" i="2"/>
  <c r="AB493" i="2"/>
  <c r="AD493" i="2" s="1"/>
  <c r="BA513" i="5" l="1"/>
  <c r="W527" i="5"/>
  <c r="BM194" i="5"/>
  <c r="BN194" i="5" s="1"/>
  <c r="AR526" i="2"/>
  <c r="AC562" i="5"/>
  <c r="AM561" i="5"/>
  <c r="AZ525" i="2"/>
  <c r="R492" i="2"/>
  <c r="S492" i="2" s="1"/>
  <c r="AE493" i="2"/>
  <c r="BB513" i="5" l="1"/>
  <c r="AT514" i="5"/>
  <c r="AV514" i="5" s="1"/>
  <c r="AW514" i="5" s="1"/>
  <c r="X527" i="5"/>
  <c r="N528" i="5"/>
  <c r="O528" i="5"/>
  <c r="P528" i="5" s="1"/>
  <c r="AT526" i="2"/>
  <c r="AU526" i="2" s="1"/>
  <c r="V492" i="2"/>
  <c r="BO194" i="5"/>
  <c r="BP194" i="5" s="1"/>
  <c r="AE562" i="5"/>
  <c r="AF562" i="5" s="1"/>
  <c r="AJ493" i="2"/>
  <c r="BA514" i="5" l="1"/>
  <c r="S528" i="5"/>
  <c r="T528" i="5" s="1"/>
  <c r="AY526" i="2"/>
  <c r="BK195" i="5"/>
  <c r="BM195" i="5" s="1"/>
  <c r="BN195" i="5" s="1"/>
  <c r="W492" i="2"/>
  <c r="AL562" i="5"/>
  <c r="N493" i="2"/>
  <c r="O493" i="2" s="1"/>
  <c r="M493" i="2"/>
  <c r="AK493" i="2"/>
  <c r="AB494" i="2"/>
  <c r="AD494" i="2" s="1"/>
  <c r="BB514" i="5" l="1"/>
  <c r="AT515" i="5"/>
  <c r="W528" i="5"/>
  <c r="AZ526" i="2"/>
  <c r="AR527" i="2"/>
  <c r="AT527" i="2" s="1"/>
  <c r="BO195" i="5"/>
  <c r="BP195" i="5" s="1"/>
  <c r="AC563" i="5"/>
  <c r="AM562" i="5"/>
  <c r="R493" i="2"/>
  <c r="S493" i="2" s="1"/>
  <c r="AE494" i="2"/>
  <c r="AV515" i="5" l="1"/>
  <c r="AW515" i="5" s="1"/>
  <c r="X528" i="5"/>
  <c r="O529" i="5"/>
  <c r="P529" i="5" s="1"/>
  <c r="N529" i="5"/>
  <c r="V493" i="2"/>
  <c r="BK196" i="5"/>
  <c r="BM196" i="5" s="1"/>
  <c r="BN196" i="5" s="1"/>
  <c r="AE563" i="5"/>
  <c r="AF563" i="5" s="1"/>
  <c r="AU527" i="2"/>
  <c r="AY527" i="2" s="1"/>
  <c r="AJ494" i="2"/>
  <c r="BA515" i="5" l="1"/>
  <c r="AT516" i="5" s="1"/>
  <c r="S529" i="5"/>
  <c r="T529" i="5" s="1"/>
  <c r="W529" i="5" s="1"/>
  <c r="BO196" i="5"/>
  <c r="BP196" i="5" s="1"/>
  <c r="W493" i="2"/>
  <c r="AL563" i="5"/>
  <c r="N494" i="2"/>
  <c r="O494" i="2" s="1"/>
  <c r="M494" i="2"/>
  <c r="AK494" i="2"/>
  <c r="AB495" i="2"/>
  <c r="AD495" i="2" s="1"/>
  <c r="BB515" i="5" l="1"/>
  <c r="O530" i="5"/>
  <c r="P530" i="5" s="1"/>
  <c r="N530" i="5"/>
  <c r="X529" i="5"/>
  <c r="AV516" i="5"/>
  <c r="AW516" i="5" s="1"/>
  <c r="AZ527" i="2"/>
  <c r="AR528" i="2"/>
  <c r="BK197" i="5"/>
  <c r="AC564" i="5"/>
  <c r="AM563" i="5"/>
  <c r="R494" i="2"/>
  <c r="S494" i="2" s="1"/>
  <c r="AE495" i="2"/>
  <c r="BA516" i="5" l="1"/>
  <c r="S530" i="5"/>
  <c r="T530" i="5" s="1"/>
  <c r="W530" i="5" s="1"/>
  <c r="AT528" i="2"/>
  <c r="AU528" i="2" s="1"/>
  <c r="V494" i="2"/>
  <c r="BM197" i="5"/>
  <c r="BN197" i="5" s="1"/>
  <c r="BO197" i="5" s="1"/>
  <c r="BP197" i="5" s="1"/>
  <c r="AE564" i="5"/>
  <c r="AF564" i="5" s="1"/>
  <c r="AJ495" i="2"/>
  <c r="X530" i="5" l="1"/>
  <c r="N531" i="5"/>
  <c r="O531" i="5"/>
  <c r="P531" i="5" s="1"/>
  <c r="BB516" i="5"/>
  <c r="AT517" i="5"/>
  <c r="AY528" i="2"/>
  <c r="BK198" i="5"/>
  <c r="W494" i="2"/>
  <c r="AL564" i="5"/>
  <c r="N495" i="2"/>
  <c r="O495" i="2" s="1"/>
  <c r="M495" i="2"/>
  <c r="AK495" i="2"/>
  <c r="AB496" i="2"/>
  <c r="AD496" i="2" s="1"/>
  <c r="AV517" i="5" l="1"/>
  <c r="AW517" i="5" s="1"/>
  <c r="S531" i="5"/>
  <c r="T531" i="5" s="1"/>
  <c r="W531" i="5" s="1"/>
  <c r="AZ528" i="2"/>
  <c r="AR529" i="2"/>
  <c r="AT529" i="2" s="1"/>
  <c r="AU529" i="2" s="1"/>
  <c r="BM198" i="5"/>
  <c r="BN198" i="5" s="1"/>
  <c r="AC565" i="5"/>
  <c r="AM564" i="5"/>
  <c r="R495" i="2"/>
  <c r="S495" i="2" s="1"/>
  <c r="AE496" i="2"/>
  <c r="BA517" i="5" l="1"/>
  <c r="X531" i="5"/>
  <c r="O532" i="5"/>
  <c r="P532" i="5" s="1"/>
  <c r="N532" i="5"/>
  <c r="AY529" i="2"/>
  <c r="V495" i="2"/>
  <c r="BO198" i="5"/>
  <c r="AE565" i="5"/>
  <c r="AF565" i="5" s="1"/>
  <c r="AJ496" i="2"/>
  <c r="BK199" i="5" l="1"/>
  <c r="BM199" i="5" s="1"/>
  <c r="BN199" i="5" s="1"/>
  <c r="BO199" i="5" s="1"/>
  <c r="BP199" i="5" s="1"/>
  <c r="BP198" i="5"/>
  <c r="AT518" i="5"/>
  <c r="AV518" i="5" s="1"/>
  <c r="AW518" i="5" s="1"/>
  <c r="BB517" i="5"/>
  <c r="S532" i="5"/>
  <c r="T532" i="5" s="1"/>
  <c r="W532" i="5" s="1"/>
  <c r="AL565" i="5"/>
  <c r="AC566" i="5" s="1"/>
  <c r="W495" i="2"/>
  <c r="M496" i="2"/>
  <c r="N496" i="2"/>
  <c r="O496" i="2" s="1"/>
  <c r="AR530" i="2"/>
  <c r="AZ529" i="2"/>
  <c r="AK496" i="2"/>
  <c r="AB497" i="2"/>
  <c r="AD497" i="2" s="1"/>
  <c r="BA518" i="5" l="1"/>
  <c r="AT519" i="5" s="1"/>
  <c r="X532" i="5"/>
  <c r="N533" i="5"/>
  <c r="O533" i="5"/>
  <c r="P533" i="5" s="1"/>
  <c r="AT530" i="2"/>
  <c r="M42" i="9"/>
  <c r="BK200" i="5"/>
  <c r="K42" i="9"/>
  <c r="L42" i="9" s="1"/>
  <c r="AE566" i="5"/>
  <c r="AF566" i="5" s="1"/>
  <c r="AM565" i="5"/>
  <c r="R496" i="2"/>
  <c r="S496" i="2" s="1"/>
  <c r="AE497" i="2"/>
  <c r="BB518" i="5" l="1"/>
  <c r="S533" i="5"/>
  <c r="T533" i="5" s="1"/>
  <c r="W533" i="5" s="1"/>
  <c r="AV519" i="5"/>
  <c r="AW519" i="5" s="1"/>
  <c r="AU530" i="2"/>
  <c r="AY530" i="2" s="1"/>
  <c r="V496" i="2"/>
  <c r="BM200" i="5"/>
  <c r="BN200" i="5" s="1"/>
  <c r="AL566" i="5"/>
  <c r="AJ497" i="2"/>
  <c r="BA519" i="5" l="1"/>
  <c r="O534" i="5"/>
  <c r="P534" i="5" s="1"/>
  <c r="N534" i="5"/>
  <c r="X533" i="5"/>
  <c r="BO200" i="5"/>
  <c r="BP200" i="5" s="1"/>
  <c r="W496" i="2"/>
  <c r="AC567" i="5"/>
  <c r="AM566" i="5"/>
  <c r="N497" i="2"/>
  <c r="O497" i="2" s="1"/>
  <c r="M497" i="2"/>
  <c r="AR531" i="2"/>
  <c r="AZ530" i="2"/>
  <c r="AK497" i="2"/>
  <c r="AB498" i="2"/>
  <c r="AD498" i="2" s="1"/>
  <c r="S534" i="5" l="1"/>
  <c r="T534" i="5" s="1"/>
  <c r="AT520" i="5"/>
  <c r="BB519" i="5"/>
  <c r="AT531" i="2"/>
  <c r="AU531" i="2" s="1"/>
  <c r="BK201" i="5"/>
  <c r="AE567" i="5"/>
  <c r="AF567" i="5" s="1"/>
  <c r="R497" i="2"/>
  <c r="S497" i="2" s="1"/>
  <c r="AE498" i="2"/>
  <c r="W534" i="5" l="1"/>
  <c r="AV520" i="5"/>
  <c r="AW520" i="5" s="1"/>
  <c r="AY531" i="2"/>
  <c r="V497" i="2"/>
  <c r="BM201" i="5"/>
  <c r="BN201" i="5" s="1"/>
  <c r="AL567" i="5"/>
  <c r="AJ498" i="2"/>
  <c r="X534" i="5" l="1"/>
  <c r="N535" i="5"/>
  <c r="O535" i="5"/>
  <c r="P535" i="5" s="1"/>
  <c r="BA520" i="5"/>
  <c r="BB520" i="5" s="1"/>
  <c r="BO201" i="5"/>
  <c r="BP201" i="5" s="1"/>
  <c r="AC568" i="5"/>
  <c r="W497" i="2"/>
  <c r="AM567" i="5"/>
  <c r="M498" i="2"/>
  <c r="N498" i="2"/>
  <c r="O498" i="2" s="1"/>
  <c r="AR532" i="2"/>
  <c r="AZ531" i="2"/>
  <c r="AK498" i="2"/>
  <c r="AB499" i="2"/>
  <c r="AD499" i="2" s="1"/>
  <c r="S535" i="5" l="1"/>
  <c r="T535" i="5" s="1"/>
  <c r="AT521" i="5"/>
  <c r="AV521" i="5" s="1"/>
  <c r="AW521" i="5" s="1"/>
  <c r="AT532" i="2"/>
  <c r="AU532" i="2" s="1"/>
  <c r="BK202" i="5"/>
  <c r="BM202" i="5" s="1"/>
  <c r="BN202" i="5" s="1"/>
  <c r="AE568" i="5"/>
  <c r="AF568" i="5" s="1"/>
  <c r="R498" i="2"/>
  <c r="S498" i="2" s="1"/>
  <c r="AE499" i="2"/>
  <c r="W535" i="5" l="1"/>
  <c r="X535" i="5" s="1"/>
  <c r="H70" i="9"/>
  <c r="O536" i="5"/>
  <c r="P536" i="5" s="1"/>
  <c r="BA521" i="5"/>
  <c r="BB521" i="5" s="1"/>
  <c r="AY532" i="2"/>
  <c r="V498" i="2"/>
  <c r="BO202" i="5"/>
  <c r="BP202" i="5" s="1"/>
  <c r="AL568" i="5"/>
  <c r="AJ499" i="2"/>
  <c r="N536" i="5" l="1"/>
  <c r="S536" i="5" s="1"/>
  <c r="T536" i="5" s="1"/>
  <c r="W536" i="5" s="1"/>
  <c r="X536" i="5" s="1"/>
  <c r="AT522" i="5"/>
  <c r="AV522" i="5" s="1"/>
  <c r="AW522" i="5" s="1"/>
  <c r="AC569" i="5"/>
  <c r="AE569" i="5" s="1"/>
  <c r="AF569" i="5" s="1"/>
  <c r="AL569" i="5" s="1"/>
  <c r="AM568" i="5"/>
  <c r="BK203" i="5"/>
  <c r="W498" i="2"/>
  <c r="J67" i="7"/>
  <c r="J43" i="6"/>
  <c r="M499" i="2"/>
  <c r="N499" i="2"/>
  <c r="O499" i="2" s="1"/>
  <c r="AR533" i="2"/>
  <c r="AZ532" i="2"/>
  <c r="AK499" i="2"/>
  <c r="AB500" i="2"/>
  <c r="AD500" i="2" s="1"/>
  <c r="O537" i="5" l="1"/>
  <c r="P537" i="5" s="1"/>
  <c r="N537" i="5"/>
  <c r="BA522" i="5"/>
  <c r="AT533" i="2"/>
  <c r="AU533" i="2" s="1"/>
  <c r="BM203" i="5"/>
  <c r="BN203" i="5" s="1"/>
  <c r="BO203" i="5" s="1"/>
  <c r="BP203" i="5" s="1"/>
  <c r="AC570" i="5"/>
  <c r="AM569" i="5"/>
  <c r="R499" i="2"/>
  <c r="S499" i="2" s="1"/>
  <c r="AE500" i="2"/>
  <c r="S537" i="5" l="1"/>
  <c r="T537" i="5" s="1"/>
  <c r="AT523" i="5"/>
  <c r="BB522" i="5"/>
  <c r="AY533" i="2"/>
  <c r="V499" i="2"/>
  <c r="BK204" i="5"/>
  <c r="AE570" i="5"/>
  <c r="AF570" i="5" s="1"/>
  <c r="AJ500" i="2"/>
  <c r="W537" i="5" l="1"/>
  <c r="O538" i="5" s="1"/>
  <c r="P538" i="5" s="1"/>
  <c r="AV523" i="5"/>
  <c r="AW523" i="5" s="1"/>
  <c r="N538" i="5"/>
  <c r="BM204" i="5"/>
  <c r="BN204" i="5" s="1"/>
  <c r="BO204" i="5" s="1"/>
  <c r="BP204" i="5" s="1"/>
  <c r="H43" i="6"/>
  <c r="L43" i="6" s="1"/>
  <c r="H67" i="7"/>
  <c r="L67" i="7" s="1"/>
  <c r="W499" i="2"/>
  <c r="AL570" i="5"/>
  <c r="N500" i="2"/>
  <c r="O500" i="2" s="1"/>
  <c r="M500" i="2"/>
  <c r="AZ533" i="2"/>
  <c r="AR534" i="2"/>
  <c r="AK500" i="2"/>
  <c r="AB501" i="2"/>
  <c r="AD501" i="2" s="1"/>
  <c r="X537" i="5" l="1"/>
  <c r="S538" i="5"/>
  <c r="T538" i="5" s="1"/>
  <c r="W538" i="5" s="1"/>
  <c r="BA523" i="5"/>
  <c r="AT534" i="2"/>
  <c r="BK205" i="5"/>
  <c r="M43" i="6"/>
  <c r="M67" i="7"/>
  <c r="AC571" i="5"/>
  <c r="AM570" i="5"/>
  <c r="R500" i="2"/>
  <c r="S500" i="2" s="1"/>
  <c r="AE501" i="2"/>
  <c r="X538" i="5" l="1"/>
  <c r="N539" i="5"/>
  <c r="O539" i="5"/>
  <c r="P539" i="5" s="1"/>
  <c r="AT524" i="5"/>
  <c r="BB523" i="5"/>
  <c r="I69" i="9"/>
  <c r="V500" i="2"/>
  <c r="BM205" i="5"/>
  <c r="BN205" i="5" s="1"/>
  <c r="AE571" i="5"/>
  <c r="AF571" i="5" s="1"/>
  <c r="AU534" i="2"/>
  <c r="AY534" i="2" s="1"/>
  <c r="AJ501" i="2"/>
  <c r="AV524" i="5" l="1"/>
  <c r="AW524" i="5" s="1"/>
  <c r="S539" i="5"/>
  <c r="T539" i="5" s="1"/>
  <c r="BO205" i="5"/>
  <c r="BP205" i="5" s="1"/>
  <c r="AL571" i="5"/>
  <c r="AM571" i="5" s="1"/>
  <c r="W500" i="2"/>
  <c r="N501" i="2"/>
  <c r="O501" i="2" s="1"/>
  <c r="M501" i="2"/>
  <c r="AR535" i="2"/>
  <c r="AK501" i="2"/>
  <c r="AB502" i="2"/>
  <c r="AD502" i="2" s="1"/>
  <c r="W539" i="5" l="1"/>
  <c r="N540" i="5" s="1"/>
  <c r="J73" i="9"/>
  <c r="AC572" i="5"/>
  <c r="AE572" i="5" s="1"/>
  <c r="AF572" i="5" s="1"/>
  <c r="AL572" i="5" s="1"/>
  <c r="BA524" i="5"/>
  <c r="O540" i="5"/>
  <c r="P540" i="5" s="1"/>
  <c r="AT535" i="2"/>
  <c r="AZ534" i="2"/>
  <c r="BK206" i="5"/>
  <c r="R501" i="2"/>
  <c r="S501" i="2" s="1"/>
  <c r="AE502" i="2"/>
  <c r="X539" i="5" l="1"/>
  <c r="BB524" i="5"/>
  <c r="AT525" i="5"/>
  <c r="S540" i="5"/>
  <c r="T540" i="5" s="1"/>
  <c r="V501" i="2"/>
  <c r="BM206" i="5"/>
  <c r="BN206" i="5" s="1"/>
  <c r="BO206" i="5" s="1"/>
  <c r="BP206" i="5" s="1"/>
  <c r="AC573" i="5"/>
  <c r="AM572" i="5"/>
  <c r="AU535" i="2"/>
  <c r="AY535" i="2" s="1"/>
  <c r="AJ502" i="2"/>
  <c r="AV525" i="5" l="1"/>
  <c r="AW525" i="5" s="1"/>
  <c r="W540" i="5"/>
  <c r="BK207" i="5"/>
  <c r="AE573" i="5"/>
  <c r="AF573" i="5" s="1"/>
  <c r="I70" i="7"/>
  <c r="W501" i="2"/>
  <c r="M502" i="2"/>
  <c r="N502" i="2"/>
  <c r="O502" i="2" s="1"/>
  <c r="AZ535" i="2"/>
  <c r="AR536" i="2"/>
  <c r="AK502" i="2"/>
  <c r="AB503" i="2"/>
  <c r="AD503" i="2" s="1"/>
  <c r="BA525" i="5" l="1"/>
  <c r="AT526" i="5" s="1"/>
  <c r="X540" i="5"/>
  <c r="O541" i="5"/>
  <c r="P541" i="5" s="1"/>
  <c r="N541" i="5"/>
  <c r="AT536" i="2"/>
  <c r="BM207" i="5"/>
  <c r="BN207" i="5" s="1"/>
  <c r="AL573" i="5"/>
  <c r="R502" i="2"/>
  <c r="S502" i="2" s="1"/>
  <c r="AE503" i="2"/>
  <c r="BB525" i="5" l="1"/>
  <c r="S541" i="5"/>
  <c r="T541" i="5" s="1"/>
  <c r="AV526" i="5"/>
  <c r="AW526" i="5" s="1"/>
  <c r="V502" i="2"/>
  <c r="BO207" i="5"/>
  <c r="BP207" i="5" s="1"/>
  <c r="AC574" i="5"/>
  <c r="AM573" i="5"/>
  <c r="AU536" i="2"/>
  <c r="AY536" i="2" s="1"/>
  <c r="AJ503" i="2"/>
  <c r="BA526" i="5" l="1"/>
  <c r="W541" i="5"/>
  <c r="BK208" i="5"/>
  <c r="AE574" i="5"/>
  <c r="AF574" i="5" s="1"/>
  <c r="W502" i="2"/>
  <c r="N503" i="2"/>
  <c r="O503" i="2" s="1"/>
  <c r="M503" i="2"/>
  <c r="AR537" i="2"/>
  <c r="AK503" i="2"/>
  <c r="AB504" i="2"/>
  <c r="AD504" i="2" s="1"/>
  <c r="X541" i="5" l="1"/>
  <c r="O542" i="5"/>
  <c r="P542" i="5" s="1"/>
  <c r="N542" i="5"/>
  <c r="AT527" i="5"/>
  <c r="BB526" i="5"/>
  <c r="AT537" i="2"/>
  <c r="AU537" i="2" s="1"/>
  <c r="AZ536" i="2"/>
  <c r="BM208" i="5"/>
  <c r="BN208" i="5" s="1"/>
  <c r="AL574" i="5"/>
  <c r="R503" i="2"/>
  <c r="AE504" i="2"/>
  <c r="S542" i="5" l="1"/>
  <c r="T542" i="5" s="1"/>
  <c r="W542" i="5" s="1"/>
  <c r="AV527" i="5"/>
  <c r="AW527" i="5" s="1"/>
  <c r="AY537" i="2"/>
  <c r="BO208" i="5"/>
  <c r="BP208" i="5" s="1"/>
  <c r="AC575" i="5"/>
  <c r="AM574" i="5"/>
  <c r="S503" i="2"/>
  <c r="V503" i="2" s="1"/>
  <c r="AJ504" i="2"/>
  <c r="X542" i="5" l="1"/>
  <c r="O543" i="5"/>
  <c r="P543" i="5" s="1"/>
  <c r="N543" i="5"/>
  <c r="BA527" i="5"/>
  <c r="BK209" i="5"/>
  <c r="AE575" i="5"/>
  <c r="AF575" i="5" s="1"/>
  <c r="AR538" i="2"/>
  <c r="AZ537" i="2"/>
  <c r="AK504" i="2"/>
  <c r="AB505" i="2"/>
  <c r="AD505" i="2" s="1"/>
  <c r="S543" i="5" l="1"/>
  <c r="T543" i="5" s="1"/>
  <c r="BB527" i="5"/>
  <c r="AT528" i="5"/>
  <c r="AT538" i="2"/>
  <c r="AU538" i="2" s="1"/>
  <c r="W503" i="2"/>
  <c r="BM209" i="5"/>
  <c r="AL575" i="5"/>
  <c r="M504" i="2"/>
  <c r="N504" i="2"/>
  <c r="O504" i="2" s="1"/>
  <c r="AE505" i="2"/>
  <c r="W543" i="5" l="1"/>
  <c r="AV528" i="5"/>
  <c r="AW528" i="5" s="1"/>
  <c r="AY538" i="2"/>
  <c r="BN209" i="5"/>
  <c r="BO209" i="5" s="1"/>
  <c r="BP209" i="5" s="1"/>
  <c r="AC576" i="5"/>
  <c r="AM575" i="5"/>
  <c r="R504" i="2"/>
  <c r="S504" i="2" s="1"/>
  <c r="AJ505" i="2"/>
  <c r="N544" i="5" l="1"/>
  <c r="O544" i="5"/>
  <c r="P544" i="5" s="1"/>
  <c r="X543" i="5"/>
  <c r="BA528" i="5"/>
  <c r="V504" i="2"/>
  <c r="BK210" i="5"/>
  <c r="AE576" i="5"/>
  <c r="AR539" i="2"/>
  <c r="AZ538" i="2"/>
  <c r="AK505" i="2"/>
  <c r="AB506" i="2"/>
  <c r="AD506" i="2" s="1"/>
  <c r="S544" i="5" l="1"/>
  <c r="T544" i="5" s="1"/>
  <c r="AT529" i="5"/>
  <c r="BB528" i="5"/>
  <c r="AT539" i="2"/>
  <c r="AU539" i="2" s="1"/>
  <c r="BM210" i="5"/>
  <c r="BN210" i="5" s="1"/>
  <c r="AF576" i="5"/>
  <c r="AL576" i="5" s="1"/>
  <c r="AC577" i="5" s="1"/>
  <c r="AE577" i="5" s="1"/>
  <c r="AF577" i="5" s="1"/>
  <c r="AL577" i="5" s="1"/>
  <c r="W504" i="2"/>
  <c r="M505" i="2"/>
  <c r="N505" i="2"/>
  <c r="O505" i="2" s="1"/>
  <c r="AE506" i="2"/>
  <c r="W544" i="5" l="1"/>
  <c r="X544" i="5" s="1"/>
  <c r="AV529" i="5"/>
  <c r="AW529" i="5" s="1"/>
  <c r="AY539" i="2"/>
  <c r="BO210" i="5"/>
  <c r="BP210" i="5" s="1"/>
  <c r="AM576" i="5"/>
  <c r="AC578" i="5"/>
  <c r="R505" i="2"/>
  <c r="S505" i="2" s="1"/>
  <c r="AM577" i="5"/>
  <c r="AJ506" i="2"/>
  <c r="O545" i="5" l="1"/>
  <c r="P545" i="5" s="1"/>
  <c r="N545" i="5"/>
  <c r="BA529" i="5"/>
  <c r="V505" i="2"/>
  <c r="BK211" i="5"/>
  <c r="AE578" i="5"/>
  <c r="AF578" i="5" s="1"/>
  <c r="AL578" i="5" s="1"/>
  <c r="AZ539" i="2"/>
  <c r="AR540" i="2"/>
  <c r="AK506" i="2"/>
  <c r="AB507" i="2"/>
  <c r="AD507" i="2" s="1"/>
  <c r="S545" i="5" l="1"/>
  <c r="T545" i="5" s="1"/>
  <c r="AT530" i="5"/>
  <c r="BB529" i="5"/>
  <c r="AT540" i="2"/>
  <c r="BM211" i="5"/>
  <c r="BN211" i="5" s="1"/>
  <c r="W505" i="2"/>
  <c r="AC579" i="5"/>
  <c r="N506" i="2"/>
  <c r="O506" i="2" s="1"/>
  <c r="M506" i="2"/>
  <c r="AM578" i="5"/>
  <c r="AE507" i="2"/>
  <c r="W545" i="5" l="1"/>
  <c r="N546" i="5" s="1"/>
  <c r="O546" i="5"/>
  <c r="P546" i="5" s="1"/>
  <c r="AV530" i="5"/>
  <c r="AW530" i="5" s="1"/>
  <c r="BA530" i="5" s="1"/>
  <c r="AU540" i="2"/>
  <c r="BO211" i="5"/>
  <c r="BP211" i="5" s="1"/>
  <c r="AE579" i="5"/>
  <c r="AF579" i="5" s="1"/>
  <c r="AL579" i="5" s="1"/>
  <c r="R506" i="2"/>
  <c r="S506" i="2" s="1"/>
  <c r="AJ507" i="2"/>
  <c r="S546" i="5" l="1"/>
  <c r="T546" i="5" s="1"/>
  <c r="X545" i="5"/>
  <c r="AT531" i="5"/>
  <c r="BB530" i="5"/>
  <c r="AY540" i="2"/>
  <c r="V506" i="2"/>
  <c r="M43" i="9"/>
  <c r="K43" i="9"/>
  <c r="L43" i="9" s="1"/>
  <c r="BK212" i="5"/>
  <c r="AC580" i="5"/>
  <c r="AM579" i="5"/>
  <c r="AK507" i="2"/>
  <c r="AB508" i="2"/>
  <c r="AD508" i="2" s="1"/>
  <c r="W546" i="5" l="1"/>
  <c r="X546" i="5" s="1"/>
  <c r="O547" i="5"/>
  <c r="P547" i="5" s="1"/>
  <c r="N547" i="5"/>
  <c r="AV531" i="5"/>
  <c r="AW531" i="5" s="1"/>
  <c r="BA531" i="5" s="1"/>
  <c r="AR541" i="2"/>
  <c r="AT541" i="2" s="1"/>
  <c r="AU541" i="2" s="1"/>
  <c r="AZ540" i="2"/>
  <c r="BM212" i="5"/>
  <c r="BN212" i="5" s="1"/>
  <c r="AE580" i="5"/>
  <c r="AF580" i="5" s="1"/>
  <c r="W506" i="2"/>
  <c r="N507" i="2"/>
  <c r="O507" i="2" s="1"/>
  <c r="M507" i="2"/>
  <c r="AE508" i="2"/>
  <c r="BB531" i="5" l="1"/>
  <c r="AT532" i="5"/>
  <c r="S547" i="5"/>
  <c r="T547" i="5" s="1"/>
  <c r="AY541" i="2"/>
  <c r="BO212" i="5"/>
  <c r="BP212" i="5" s="1"/>
  <c r="AL580" i="5"/>
  <c r="R507" i="2"/>
  <c r="S507" i="2" s="1"/>
  <c r="AJ508" i="2"/>
  <c r="AC581" i="5" l="1"/>
  <c r="AE581" i="5" s="1"/>
  <c r="AF581" i="5" s="1"/>
  <c r="AV532" i="5"/>
  <c r="AW532" i="5" s="1"/>
  <c r="W547" i="5"/>
  <c r="V507" i="2"/>
  <c r="BK213" i="5"/>
  <c r="AM580" i="5"/>
  <c r="AZ541" i="2"/>
  <c r="AR542" i="2"/>
  <c r="AK508" i="2"/>
  <c r="AB509" i="2"/>
  <c r="AD509" i="2" s="1"/>
  <c r="O548" i="5" l="1"/>
  <c r="P548" i="5" s="1"/>
  <c r="H71" i="9"/>
  <c r="X547" i="5"/>
  <c r="N548" i="5"/>
  <c r="BA532" i="5"/>
  <c r="AT542" i="2"/>
  <c r="BM213" i="5"/>
  <c r="BN213" i="5" s="1"/>
  <c r="W507" i="2"/>
  <c r="M508" i="2"/>
  <c r="N508" i="2"/>
  <c r="O508" i="2" s="1"/>
  <c r="AL581" i="5"/>
  <c r="AE509" i="2"/>
  <c r="BB532" i="5" l="1"/>
  <c r="AT533" i="5"/>
  <c r="S548" i="5"/>
  <c r="T548" i="5" s="1"/>
  <c r="AU542" i="2"/>
  <c r="AY542" i="2" s="1"/>
  <c r="BO213" i="5"/>
  <c r="BP213" i="5" s="1"/>
  <c r="AC582" i="5"/>
  <c r="R508" i="2"/>
  <c r="S508" i="2" s="1"/>
  <c r="AM581" i="5"/>
  <c r="AJ509" i="2"/>
  <c r="AV533" i="5" l="1"/>
  <c r="AW533" i="5" s="1"/>
  <c r="BA533" i="5" s="1"/>
  <c r="W548" i="5"/>
  <c r="V508" i="2"/>
  <c r="BK214" i="5"/>
  <c r="AE582" i="5"/>
  <c r="AF582" i="5" s="1"/>
  <c r="AZ542" i="2"/>
  <c r="AR543" i="2"/>
  <c r="AK509" i="2"/>
  <c r="AB510" i="2"/>
  <c r="AD510" i="2" s="1"/>
  <c r="X548" i="5" l="1"/>
  <c r="O549" i="5"/>
  <c r="P549" i="5" s="1"/>
  <c r="N549" i="5"/>
  <c r="AT534" i="5"/>
  <c r="BB533" i="5"/>
  <c r="AT543" i="2"/>
  <c r="BM214" i="5"/>
  <c r="W508" i="2"/>
  <c r="M509" i="2"/>
  <c r="N509" i="2"/>
  <c r="O509" i="2" s="1"/>
  <c r="AL582" i="5"/>
  <c r="AE510" i="2"/>
  <c r="S549" i="5" l="1"/>
  <c r="T549" i="5" s="1"/>
  <c r="AV534" i="5"/>
  <c r="AW534" i="5" s="1"/>
  <c r="AU543" i="2"/>
  <c r="AY543" i="2" s="1"/>
  <c r="BN214" i="5"/>
  <c r="BO214" i="5" s="1"/>
  <c r="BP214" i="5" s="1"/>
  <c r="AC583" i="5"/>
  <c r="R509" i="2"/>
  <c r="S509" i="2" s="1"/>
  <c r="AM582" i="5"/>
  <c r="AJ510" i="2"/>
  <c r="BA534" i="5" l="1"/>
  <c r="BB534" i="5" s="1"/>
  <c r="W549" i="5"/>
  <c r="N550" i="5" s="1"/>
  <c r="V509" i="2"/>
  <c r="BK215" i="5"/>
  <c r="AE583" i="5"/>
  <c r="AF583" i="5" s="1"/>
  <c r="AR544" i="2"/>
  <c r="AZ543" i="2"/>
  <c r="AK510" i="2"/>
  <c r="AB511" i="2"/>
  <c r="AD511" i="2" s="1"/>
  <c r="X549" i="5" l="1"/>
  <c r="AT535" i="5"/>
  <c r="AV535" i="5" s="1"/>
  <c r="AW535" i="5" s="1"/>
  <c r="O550" i="5"/>
  <c r="P550" i="5" s="1"/>
  <c r="S550" i="5" s="1"/>
  <c r="T550" i="5" s="1"/>
  <c r="AT544" i="2"/>
  <c r="AU544" i="2" s="1"/>
  <c r="BM215" i="5"/>
  <c r="BN215" i="5" s="1"/>
  <c r="BO215" i="5" s="1"/>
  <c r="BP215" i="5" s="1"/>
  <c r="W509" i="2"/>
  <c r="N510" i="2"/>
  <c r="O510" i="2" s="1"/>
  <c r="M510" i="2"/>
  <c r="AL583" i="5"/>
  <c r="AE511" i="2"/>
  <c r="W550" i="5" l="1"/>
  <c r="X550" i="5" s="1"/>
  <c r="BA535" i="5"/>
  <c r="AY544" i="2"/>
  <c r="BK216" i="5"/>
  <c r="J74" i="9"/>
  <c r="AC584" i="5"/>
  <c r="R510" i="2"/>
  <c r="S510" i="2" s="1"/>
  <c r="AM583" i="5"/>
  <c r="AJ511" i="2"/>
  <c r="AR545" i="2" l="1"/>
  <c r="AT545" i="2" s="1"/>
  <c r="AU545" i="2" s="1"/>
  <c r="N551" i="5"/>
  <c r="O551" i="5"/>
  <c r="P551" i="5" s="1"/>
  <c r="I70" i="9"/>
  <c r="AT536" i="5"/>
  <c r="BB535" i="5"/>
  <c r="AZ544" i="2"/>
  <c r="V510" i="2"/>
  <c r="BM216" i="5"/>
  <c r="BN216" i="5" s="1"/>
  <c r="BO216" i="5" s="1"/>
  <c r="BP216" i="5" s="1"/>
  <c r="AE584" i="5"/>
  <c r="AF584" i="5" s="1"/>
  <c r="J68" i="7"/>
  <c r="AK511" i="2"/>
  <c r="AB512" i="2"/>
  <c r="AD512" i="2" s="1"/>
  <c r="S551" i="5" l="1"/>
  <c r="T551" i="5" s="1"/>
  <c r="AV536" i="5"/>
  <c r="AW536" i="5" s="1"/>
  <c r="AY545" i="2"/>
  <c r="AZ545" i="2" s="1"/>
  <c r="BK217" i="5"/>
  <c r="W510" i="2"/>
  <c r="N511" i="2"/>
  <c r="O511" i="2" s="1"/>
  <c r="M511" i="2"/>
  <c r="AL584" i="5"/>
  <c r="AE512" i="2"/>
  <c r="W551" i="5" l="1"/>
  <c r="O552" i="5" s="1"/>
  <c r="P552" i="5" s="1"/>
  <c r="BA536" i="5"/>
  <c r="BB536" i="5" s="1"/>
  <c r="AR546" i="2"/>
  <c r="AT546" i="2" s="1"/>
  <c r="AU546" i="2" s="1"/>
  <c r="BM217" i="5"/>
  <c r="BN217" i="5" s="1"/>
  <c r="AC585" i="5"/>
  <c r="R511" i="2"/>
  <c r="S511" i="2" s="1"/>
  <c r="AM584" i="5"/>
  <c r="AJ512" i="2"/>
  <c r="N552" i="5" l="1"/>
  <c r="S552" i="5" s="1"/>
  <c r="T552" i="5" s="1"/>
  <c r="X551" i="5"/>
  <c r="AT537" i="5"/>
  <c r="AV537" i="5" s="1"/>
  <c r="AW537" i="5" s="1"/>
  <c r="AY546" i="2"/>
  <c r="V511" i="2"/>
  <c r="BO217" i="5"/>
  <c r="BP217" i="5" s="1"/>
  <c r="AE585" i="5"/>
  <c r="AF585" i="5" s="1"/>
  <c r="AK512" i="2"/>
  <c r="AB513" i="2"/>
  <c r="AD513" i="2" s="1"/>
  <c r="BA537" i="5" l="1"/>
  <c r="W552" i="5"/>
  <c r="AZ546" i="2"/>
  <c r="AR547" i="2"/>
  <c r="AT547" i="2" s="1"/>
  <c r="H68" i="7"/>
  <c r="L68" i="7" s="1"/>
  <c r="W511" i="2"/>
  <c r="M68" i="7" s="1"/>
  <c r="N512" i="2"/>
  <c r="O512" i="2" s="1"/>
  <c r="M512" i="2"/>
  <c r="BK218" i="5"/>
  <c r="AL585" i="5"/>
  <c r="AE513" i="2"/>
  <c r="X552" i="5" l="1"/>
  <c r="N553" i="5"/>
  <c r="O553" i="5"/>
  <c r="P553" i="5" s="1"/>
  <c r="BB537" i="5"/>
  <c r="AT538" i="5"/>
  <c r="AU547" i="2"/>
  <c r="AY547" i="2" s="1"/>
  <c r="R512" i="2"/>
  <c r="S512" i="2" s="1"/>
  <c r="BM218" i="5"/>
  <c r="BN218" i="5" s="1"/>
  <c r="AC586" i="5"/>
  <c r="AM585" i="5"/>
  <c r="AJ513" i="2"/>
  <c r="AV538" i="5" l="1"/>
  <c r="AW538" i="5" s="1"/>
  <c r="S553" i="5"/>
  <c r="T553" i="5" s="1"/>
  <c r="V512" i="2"/>
  <c r="N513" i="2" s="1"/>
  <c r="O513" i="2" s="1"/>
  <c r="BO218" i="5"/>
  <c r="BP218" i="5" s="1"/>
  <c r="AE586" i="5"/>
  <c r="AF586" i="5" s="1"/>
  <c r="I71" i="7"/>
  <c r="AR548" i="2"/>
  <c r="AZ547" i="2"/>
  <c r="AK513" i="2"/>
  <c r="AB514" i="2"/>
  <c r="AD514" i="2" s="1"/>
  <c r="W553" i="5" l="1"/>
  <c r="BA538" i="5"/>
  <c r="AT548" i="2"/>
  <c r="AU548" i="2" s="1"/>
  <c r="M513" i="2"/>
  <c r="W512" i="2"/>
  <c r="BK219" i="5"/>
  <c r="AL586" i="5"/>
  <c r="AE514" i="2"/>
  <c r="AC587" i="5" l="1"/>
  <c r="AE587" i="5" s="1"/>
  <c r="AF587" i="5" s="1"/>
  <c r="AL587" i="5" s="1"/>
  <c r="BB538" i="5"/>
  <c r="AT539" i="5"/>
  <c r="X553" i="5"/>
  <c r="O554" i="5"/>
  <c r="P554" i="5" s="1"/>
  <c r="N554" i="5"/>
  <c r="AY548" i="2"/>
  <c r="R513" i="2"/>
  <c r="S513" i="2" s="1"/>
  <c r="V513" i="2" s="1"/>
  <c r="AM586" i="5"/>
  <c r="BM219" i="5"/>
  <c r="BN219" i="5" s="1"/>
  <c r="BO219" i="5" s="1"/>
  <c r="BP219" i="5" s="1"/>
  <c r="AJ514" i="2"/>
  <c r="AV539" i="5" l="1"/>
  <c r="AW539" i="5" s="1"/>
  <c r="BA539" i="5" s="1"/>
  <c r="S554" i="5"/>
  <c r="T554" i="5" s="1"/>
  <c r="AZ548" i="2"/>
  <c r="AR549" i="2"/>
  <c r="AT549" i="2" s="1"/>
  <c r="BK220" i="5"/>
  <c r="W513" i="2"/>
  <c r="AC588" i="5"/>
  <c r="N514" i="2"/>
  <c r="O514" i="2" s="1"/>
  <c r="M514" i="2"/>
  <c r="AM587" i="5"/>
  <c r="AK514" i="2"/>
  <c r="AB515" i="2"/>
  <c r="AD515" i="2" s="1"/>
  <c r="W554" i="5" l="1"/>
  <c r="N555" i="5" s="1"/>
  <c r="BB539" i="5"/>
  <c r="AT540" i="5"/>
  <c r="AU549" i="2"/>
  <c r="AY549" i="2" s="1"/>
  <c r="BM220" i="5"/>
  <c r="BN220" i="5" s="1"/>
  <c r="BO220" i="5" s="1"/>
  <c r="BP220" i="5" s="1"/>
  <c r="AE588" i="5"/>
  <c r="R514" i="2"/>
  <c r="S514" i="2" s="1"/>
  <c r="AE515" i="2"/>
  <c r="X554" i="5" l="1"/>
  <c r="O555" i="5"/>
  <c r="P555" i="5" s="1"/>
  <c r="S555" i="5" s="1"/>
  <c r="AV540" i="5"/>
  <c r="AW540" i="5" s="1"/>
  <c r="BA540" i="5" s="1"/>
  <c r="V514" i="2"/>
  <c r="BK221" i="5"/>
  <c r="AF588" i="5"/>
  <c r="AL588" i="5" s="1"/>
  <c r="AC589" i="5" s="1"/>
  <c r="AZ549" i="2"/>
  <c r="AR550" i="2"/>
  <c r="AJ515" i="2"/>
  <c r="T555" i="5" l="1"/>
  <c r="W555" i="5" s="1"/>
  <c r="AT541" i="5"/>
  <c r="BB540" i="5"/>
  <c r="AT550" i="2"/>
  <c r="W514" i="2"/>
  <c r="M515" i="2"/>
  <c r="N515" i="2"/>
  <c r="O515" i="2" s="1"/>
  <c r="BM221" i="5"/>
  <c r="BN221" i="5" s="1"/>
  <c r="AM588" i="5"/>
  <c r="AE589" i="5"/>
  <c r="AK515" i="2"/>
  <c r="AB516" i="2"/>
  <c r="AD516" i="2" s="1"/>
  <c r="O556" i="5" l="1"/>
  <c r="P556" i="5" s="1"/>
  <c r="X555" i="5"/>
  <c r="N556" i="5"/>
  <c r="AV541" i="5"/>
  <c r="AW541" i="5" s="1"/>
  <c r="BA541" i="5" s="1"/>
  <c r="AU550" i="2"/>
  <c r="AY550" i="2" s="1"/>
  <c r="R515" i="2"/>
  <c r="S515" i="2" s="1"/>
  <c r="BO221" i="5"/>
  <c r="BP221" i="5" s="1"/>
  <c r="AF589" i="5"/>
  <c r="AL589" i="5" s="1"/>
  <c r="AC590" i="5" s="1"/>
  <c r="AE516" i="2"/>
  <c r="S556" i="5" l="1"/>
  <c r="T556" i="5" s="1"/>
  <c r="W556" i="5" s="1"/>
  <c r="AT542" i="5"/>
  <c r="BB541" i="5"/>
  <c r="V515" i="2"/>
  <c r="M516" i="2" s="1"/>
  <c r="BK222" i="5"/>
  <c r="AM589" i="5"/>
  <c r="AE590" i="5"/>
  <c r="AZ550" i="2"/>
  <c r="AR551" i="2"/>
  <c r="AJ516" i="2"/>
  <c r="X556" i="5" l="1"/>
  <c r="N557" i="5"/>
  <c r="O557" i="5"/>
  <c r="P557" i="5" s="1"/>
  <c r="AV542" i="5"/>
  <c r="AW542" i="5" s="1"/>
  <c r="BA542" i="5" s="1"/>
  <c r="N516" i="2"/>
  <c r="O516" i="2" s="1"/>
  <c r="R516" i="2" s="1"/>
  <c r="S516" i="2" s="1"/>
  <c r="W515" i="2"/>
  <c r="AF590" i="5"/>
  <c r="AL590" i="5" s="1"/>
  <c r="AC591" i="5" s="1"/>
  <c r="BM222" i="5"/>
  <c r="BN222" i="5" s="1"/>
  <c r="AT551" i="2"/>
  <c r="AU551" i="2" s="1"/>
  <c r="AK516" i="2"/>
  <c r="AB517" i="2"/>
  <c r="AD517" i="2" s="1"/>
  <c r="S557" i="5" l="1"/>
  <c r="T557" i="5" s="1"/>
  <c r="W557" i="5" s="1"/>
  <c r="AT543" i="5"/>
  <c r="BB542" i="5"/>
  <c r="AY551" i="2"/>
  <c r="V516" i="2"/>
  <c r="AM590" i="5"/>
  <c r="BO222" i="5"/>
  <c r="BP222" i="5" s="1"/>
  <c r="AE591" i="5"/>
  <c r="AF591" i="5" s="1"/>
  <c r="AE517" i="2"/>
  <c r="X557" i="5" l="1"/>
  <c r="O558" i="5"/>
  <c r="P558" i="5" s="1"/>
  <c r="N558" i="5"/>
  <c r="AV543" i="5"/>
  <c r="AW543" i="5" s="1"/>
  <c r="BK223" i="5"/>
  <c r="AR552" i="2"/>
  <c r="W516" i="2"/>
  <c r="AL591" i="5"/>
  <c r="AZ551" i="2"/>
  <c r="N517" i="2"/>
  <c r="O517" i="2" s="1"/>
  <c r="M517" i="2"/>
  <c r="AJ517" i="2"/>
  <c r="S558" i="5" l="1"/>
  <c r="T558" i="5" s="1"/>
  <c r="W558" i="5" s="1"/>
  <c r="BA543" i="5"/>
  <c r="AT552" i="2"/>
  <c r="BM223" i="5"/>
  <c r="BN223" i="5" s="1"/>
  <c r="AC592" i="5"/>
  <c r="AM591" i="5"/>
  <c r="R517" i="2"/>
  <c r="S517" i="2" s="1"/>
  <c r="AK517" i="2"/>
  <c r="AB518" i="2"/>
  <c r="AD518" i="2" s="1"/>
  <c r="X558" i="5" l="1"/>
  <c r="N559" i="5"/>
  <c r="O559" i="5"/>
  <c r="P559" i="5" s="1"/>
  <c r="BB543" i="5"/>
  <c r="AT544" i="5"/>
  <c r="AU552" i="2"/>
  <c r="AY552" i="2" s="1"/>
  <c r="V517" i="2"/>
  <c r="BO223" i="5"/>
  <c r="BP223" i="5" s="1"/>
  <c r="AE592" i="5"/>
  <c r="AF592" i="5" s="1"/>
  <c r="AE518" i="2"/>
  <c r="AV544" i="5" l="1"/>
  <c r="AW544" i="5" s="1"/>
  <c r="S559" i="5"/>
  <c r="T559" i="5" s="1"/>
  <c r="AZ552" i="2"/>
  <c r="AR553" i="2"/>
  <c r="K44" i="9"/>
  <c r="L44" i="9" s="1"/>
  <c r="BK224" i="5"/>
  <c r="W517" i="2"/>
  <c r="AL592" i="5"/>
  <c r="M518" i="2"/>
  <c r="N518" i="2"/>
  <c r="O518" i="2" s="1"/>
  <c r="AJ518" i="2"/>
  <c r="W559" i="5" l="1"/>
  <c r="N560" i="5" s="1"/>
  <c r="BA544" i="5"/>
  <c r="M44" i="9"/>
  <c r="AT553" i="2"/>
  <c r="AU553" i="2" s="1"/>
  <c r="BM224" i="5"/>
  <c r="BN224" i="5" s="1"/>
  <c r="AC593" i="5"/>
  <c r="AM592" i="5"/>
  <c r="R518" i="2"/>
  <c r="S518" i="2" s="1"/>
  <c r="AK518" i="2"/>
  <c r="AB519" i="2"/>
  <c r="AD519" i="2" s="1"/>
  <c r="O560" i="5" l="1"/>
  <c r="P560" i="5" s="1"/>
  <c r="S560" i="5" s="1"/>
  <c r="T560" i="5" s="1"/>
  <c r="H72" i="9"/>
  <c r="X559" i="5"/>
  <c r="AT545" i="5"/>
  <c r="BB544" i="5"/>
  <c r="AY553" i="2"/>
  <c r="AZ553" i="2" s="1"/>
  <c r="V518" i="2"/>
  <c r="BO224" i="5"/>
  <c r="AE593" i="5"/>
  <c r="AF593" i="5" s="1"/>
  <c r="AE519" i="2"/>
  <c r="BP224" i="5" l="1"/>
  <c r="AV545" i="5"/>
  <c r="AW545" i="5" s="1"/>
  <c r="W560" i="5"/>
  <c r="AR554" i="2"/>
  <c r="AT554" i="2" s="1"/>
  <c r="BK225" i="5"/>
  <c r="BM225" i="5" s="1"/>
  <c r="BN225" i="5" s="1"/>
  <c r="AL593" i="5"/>
  <c r="W518" i="2"/>
  <c r="N519" i="2"/>
  <c r="O519" i="2" s="1"/>
  <c r="M519" i="2"/>
  <c r="AJ519" i="2"/>
  <c r="AC594" i="5" l="1"/>
  <c r="AE594" i="5" s="1"/>
  <c r="AF594" i="5" s="1"/>
  <c r="BA545" i="5"/>
  <c r="X560" i="5"/>
  <c r="O561" i="5"/>
  <c r="P561" i="5" s="1"/>
  <c r="N561" i="5"/>
  <c r="AU554" i="2"/>
  <c r="AY554" i="2" s="1"/>
  <c r="BO225" i="5"/>
  <c r="BP225" i="5" s="1"/>
  <c r="AM593" i="5"/>
  <c r="R519" i="2"/>
  <c r="S519" i="2" s="1"/>
  <c r="AK519" i="2"/>
  <c r="AB520" i="2"/>
  <c r="AD520" i="2" s="1"/>
  <c r="AT546" i="5" l="1"/>
  <c r="AV546" i="5" s="1"/>
  <c r="AW546" i="5" s="1"/>
  <c r="BB545" i="5"/>
  <c r="S561" i="5"/>
  <c r="T561" i="5" s="1"/>
  <c r="W561" i="5" s="1"/>
  <c r="AZ554" i="2"/>
  <c r="AR555" i="2"/>
  <c r="V519" i="2"/>
  <c r="BK226" i="5"/>
  <c r="AL594" i="5"/>
  <c r="AE520" i="2"/>
  <c r="BA546" i="5" l="1"/>
  <c r="AT547" i="5" s="1"/>
  <c r="X561" i="5"/>
  <c r="O562" i="5"/>
  <c r="P562" i="5" s="1"/>
  <c r="N562" i="5"/>
  <c r="AT555" i="2"/>
  <c r="AU555" i="2" s="1"/>
  <c r="BM226" i="5"/>
  <c r="BN226" i="5" s="1"/>
  <c r="W519" i="2"/>
  <c r="AC595" i="5"/>
  <c r="AM594" i="5"/>
  <c r="M520" i="2"/>
  <c r="N520" i="2"/>
  <c r="O520" i="2" s="1"/>
  <c r="AJ520" i="2"/>
  <c r="BB546" i="5" l="1"/>
  <c r="S562" i="5"/>
  <c r="T562" i="5" s="1"/>
  <c r="W562" i="5" s="1"/>
  <c r="AV547" i="5"/>
  <c r="AW547" i="5" s="1"/>
  <c r="BA547" i="5" s="1"/>
  <c r="AY555" i="2"/>
  <c r="AR556" i="2" s="1"/>
  <c r="BO226" i="5"/>
  <c r="BP226" i="5" s="1"/>
  <c r="AE595" i="5"/>
  <c r="AF595" i="5" s="1"/>
  <c r="R520" i="2"/>
  <c r="S520" i="2" s="1"/>
  <c r="AK520" i="2"/>
  <c r="AB521" i="2"/>
  <c r="AD521" i="2" s="1"/>
  <c r="I71" i="9" l="1"/>
  <c r="AT548" i="5"/>
  <c r="BB547" i="5"/>
  <c r="X562" i="5"/>
  <c r="O563" i="5"/>
  <c r="P563" i="5" s="1"/>
  <c r="N563" i="5"/>
  <c r="AZ555" i="2"/>
  <c r="AT556" i="2"/>
  <c r="AU556" i="2" s="1"/>
  <c r="V520" i="2"/>
  <c r="BK227" i="5"/>
  <c r="AL595" i="5"/>
  <c r="AE521" i="2"/>
  <c r="AC596" i="5" l="1"/>
  <c r="AE596" i="5" s="1"/>
  <c r="AF596" i="5" s="1"/>
  <c r="AL596" i="5" s="1"/>
  <c r="S563" i="5"/>
  <c r="T563" i="5" s="1"/>
  <c r="AV548" i="5"/>
  <c r="AW548" i="5" s="1"/>
  <c r="AY556" i="2"/>
  <c r="AM595" i="5"/>
  <c r="BM227" i="5"/>
  <c r="BN227" i="5" s="1"/>
  <c r="W520" i="2"/>
  <c r="M521" i="2"/>
  <c r="N521" i="2"/>
  <c r="O521" i="2" s="1"/>
  <c r="AJ521" i="2"/>
  <c r="W563" i="5" l="1"/>
  <c r="BA548" i="5"/>
  <c r="AZ556" i="2"/>
  <c r="AR557" i="2"/>
  <c r="BO227" i="5"/>
  <c r="BP227" i="5" s="1"/>
  <c r="AC597" i="5"/>
  <c r="AM596" i="5"/>
  <c r="R521" i="2"/>
  <c r="AK521" i="2"/>
  <c r="AB522" i="2"/>
  <c r="AD522" i="2" s="1"/>
  <c r="AT549" i="5" l="1"/>
  <c r="BB548" i="5"/>
  <c r="X563" i="5"/>
  <c r="N564" i="5"/>
  <c r="O564" i="5"/>
  <c r="P564" i="5" s="1"/>
  <c r="AT557" i="2"/>
  <c r="BK228" i="5"/>
  <c r="AE597" i="5"/>
  <c r="AF597" i="5" s="1"/>
  <c r="S521" i="2"/>
  <c r="V521" i="2" s="1"/>
  <c r="AE522" i="2"/>
  <c r="S564" i="5" l="1"/>
  <c r="T564" i="5" s="1"/>
  <c r="AV549" i="5"/>
  <c r="AW549" i="5" s="1"/>
  <c r="AU557" i="2"/>
  <c r="AY557" i="2" s="1"/>
  <c r="BM228" i="5"/>
  <c r="BN228" i="5" s="1"/>
  <c r="BO228" i="5" s="1"/>
  <c r="BP228" i="5" s="1"/>
  <c r="AL597" i="5"/>
  <c r="AJ522" i="2"/>
  <c r="BA549" i="5" l="1"/>
  <c r="W564" i="5"/>
  <c r="AZ557" i="2"/>
  <c r="AR558" i="2"/>
  <c r="AT558" i="2" s="1"/>
  <c r="W521" i="2"/>
  <c r="BK229" i="5"/>
  <c r="AC598" i="5"/>
  <c r="N522" i="2"/>
  <c r="O522" i="2" s="1"/>
  <c r="M522" i="2"/>
  <c r="AM597" i="5"/>
  <c r="AK522" i="2"/>
  <c r="AB523" i="2"/>
  <c r="AD523" i="2" s="1"/>
  <c r="X564" i="5" l="1"/>
  <c r="O565" i="5"/>
  <c r="P565" i="5" s="1"/>
  <c r="N565" i="5"/>
  <c r="BB549" i="5"/>
  <c r="AT550" i="5"/>
  <c r="AU558" i="2"/>
  <c r="AY558" i="2" s="1"/>
  <c r="BM229" i="5"/>
  <c r="BN229" i="5" s="1"/>
  <c r="AE598" i="5"/>
  <c r="AF598" i="5" s="1"/>
  <c r="R522" i="2"/>
  <c r="S522" i="2" s="1"/>
  <c r="AE523" i="2"/>
  <c r="AV550" i="5" l="1"/>
  <c r="AW550" i="5" s="1"/>
  <c r="S565" i="5"/>
  <c r="T565" i="5" s="1"/>
  <c r="AR559" i="2"/>
  <c r="AZ558" i="2"/>
  <c r="V522" i="2"/>
  <c r="BO229" i="5"/>
  <c r="BP229" i="5" s="1"/>
  <c r="AL598" i="5"/>
  <c r="AJ523" i="2"/>
  <c r="W565" i="5" l="1"/>
  <c r="BA550" i="5"/>
  <c r="AT559" i="2"/>
  <c r="BK230" i="5"/>
  <c r="W522" i="2"/>
  <c r="J69" i="7"/>
  <c r="AC599" i="5"/>
  <c r="M523" i="2"/>
  <c r="N523" i="2"/>
  <c r="O523" i="2" s="1"/>
  <c r="AM598" i="5"/>
  <c r="AK523" i="2"/>
  <c r="AB524" i="2"/>
  <c r="AD524" i="2" s="1"/>
  <c r="BB550" i="5" l="1"/>
  <c r="AT551" i="5"/>
  <c r="X565" i="5"/>
  <c r="O566" i="5"/>
  <c r="P566" i="5" s="1"/>
  <c r="N566" i="5"/>
  <c r="AU559" i="2"/>
  <c r="AY559" i="2" s="1"/>
  <c r="BM230" i="5"/>
  <c r="BN230" i="5" s="1"/>
  <c r="AE599" i="5"/>
  <c r="AF599" i="5" s="1"/>
  <c r="R523" i="2"/>
  <c r="S523" i="2" s="1"/>
  <c r="AE524" i="2"/>
  <c r="AV551" i="5" l="1"/>
  <c r="AW551" i="5" s="1"/>
  <c r="BA551" i="5" s="1"/>
  <c r="S566" i="5"/>
  <c r="T566" i="5" s="1"/>
  <c r="AR560" i="2"/>
  <c r="I44" i="6"/>
  <c r="I72" i="7"/>
  <c r="AZ559" i="2"/>
  <c r="V523" i="2"/>
  <c r="BO230" i="5"/>
  <c r="BP230" i="5" s="1"/>
  <c r="AL599" i="5"/>
  <c r="AJ524" i="2"/>
  <c r="BB551" i="5" l="1"/>
  <c r="AT552" i="5"/>
  <c r="W566" i="5"/>
  <c r="AT560" i="2"/>
  <c r="AU560" i="2" s="1"/>
  <c r="BK231" i="5"/>
  <c r="H69" i="7"/>
  <c r="L69" i="7" s="1"/>
  <c r="W523" i="2"/>
  <c r="M69" i="7" s="1"/>
  <c r="AC600" i="5"/>
  <c r="M524" i="2"/>
  <c r="N524" i="2"/>
  <c r="O524" i="2" s="1"/>
  <c r="AM599" i="5"/>
  <c r="AK524" i="2"/>
  <c r="AB525" i="2"/>
  <c r="AD525" i="2" s="1"/>
  <c r="N567" i="5" l="1"/>
  <c r="X566" i="5"/>
  <c r="O567" i="5"/>
  <c r="P567" i="5" s="1"/>
  <c r="AV552" i="5"/>
  <c r="AW552" i="5" s="1"/>
  <c r="BA552" i="5" s="1"/>
  <c r="AY560" i="2"/>
  <c r="BM231" i="5"/>
  <c r="BN231" i="5" s="1"/>
  <c r="AE600" i="5"/>
  <c r="AF600" i="5" s="1"/>
  <c r="R524" i="2"/>
  <c r="S524" i="2" s="1"/>
  <c r="AE525" i="2"/>
  <c r="AT553" i="5" l="1"/>
  <c r="BB552" i="5"/>
  <c r="S567" i="5"/>
  <c r="T567" i="5" s="1"/>
  <c r="AZ560" i="2"/>
  <c r="AR561" i="2"/>
  <c r="V524" i="2"/>
  <c r="BO231" i="5"/>
  <c r="BP231" i="5" s="1"/>
  <c r="AL600" i="5"/>
  <c r="AJ525" i="2"/>
  <c r="AC601" i="5" l="1"/>
  <c r="AE601" i="5" s="1"/>
  <c r="AF601" i="5" s="1"/>
  <c r="W567" i="5"/>
  <c r="AV553" i="5"/>
  <c r="AW553" i="5" s="1"/>
  <c r="BA553" i="5" s="1"/>
  <c r="AT561" i="2"/>
  <c r="AU561" i="2" s="1"/>
  <c r="BK232" i="5"/>
  <c r="BM232" i="5" s="1"/>
  <c r="BN232" i="5" s="1"/>
  <c r="BO232" i="5" s="1"/>
  <c r="BP232" i="5" s="1"/>
  <c r="AM600" i="5"/>
  <c r="W524" i="2"/>
  <c r="M525" i="2"/>
  <c r="N525" i="2"/>
  <c r="O525" i="2" s="1"/>
  <c r="AK525" i="2"/>
  <c r="AB526" i="2"/>
  <c r="AD526" i="2" s="1"/>
  <c r="AT554" i="5" l="1"/>
  <c r="BB553" i="5"/>
  <c r="X567" i="5"/>
  <c r="O568" i="5"/>
  <c r="P568" i="5" s="1"/>
  <c r="N568" i="5"/>
  <c r="AY561" i="2"/>
  <c r="BK233" i="5"/>
  <c r="AL601" i="5"/>
  <c r="R525" i="2"/>
  <c r="S525" i="2" s="1"/>
  <c r="AE526" i="2"/>
  <c r="AC602" i="5" l="1"/>
  <c r="AE602" i="5" s="1"/>
  <c r="AF602" i="5" s="1"/>
  <c r="AL602" i="5" s="1"/>
  <c r="S568" i="5"/>
  <c r="T568" i="5" s="1"/>
  <c r="W568" i="5" s="1"/>
  <c r="AV554" i="5"/>
  <c r="AW554" i="5" s="1"/>
  <c r="AR562" i="2"/>
  <c r="AZ561" i="2"/>
  <c r="V525" i="2"/>
  <c r="W525" i="2" s="1"/>
  <c r="AM601" i="5"/>
  <c r="BM233" i="5"/>
  <c r="BN233" i="5" s="1"/>
  <c r="AJ526" i="2"/>
  <c r="X568" i="5" l="1"/>
  <c r="O569" i="5"/>
  <c r="P569" i="5" s="1"/>
  <c r="N569" i="5"/>
  <c r="BA554" i="5"/>
  <c r="AT562" i="2"/>
  <c r="M526" i="2"/>
  <c r="N526" i="2"/>
  <c r="O526" i="2" s="1"/>
  <c r="BO233" i="5"/>
  <c r="BP233" i="5" s="1"/>
  <c r="AC603" i="5"/>
  <c r="AM602" i="5"/>
  <c r="AK526" i="2"/>
  <c r="AB527" i="2"/>
  <c r="AD527" i="2" s="1"/>
  <c r="S569" i="5" l="1"/>
  <c r="T569" i="5" s="1"/>
  <c r="W569" i="5" s="1"/>
  <c r="BB554" i="5"/>
  <c r="AT555" i="5"/>
  <c r="AU562" i="2"/>
  <c r="AY562" i="2" s="1"/>
  <c r="R526" i="2"/>
  <c r="S526" i="2" s="1"/>
  <c r="BK234" i="5"/>
  <c r="AE603" i="5"/>
  <c r="AF603" i="5" s="1"/>
  <c r="AL603" i="5" s="1"/>
  <c r="AE527" i="2"/>
  <c r="X569" i="5" l="1"/>
  <c r="O570" i="5"/>
  <c r="P570" i="5" s="1"/>
  <c r="N570" i="5"/>
  <c r="AV555" i="5"/>
  <c r="AW555" i="5" s="1"/>
  <c r="AR563" i="2"/>
  <c r="AZ562" i="2"/>
  <c r="V526" i="2"/>
  <c r="W526" i="2" s="1"/>
  <c r="BM234" i="5"/>
  <c r="BN234" i="5" s="1"/>
  <c r="AC604" i="5"/>
  <c r="AM603" i="5"/>
  <c r="AJ527" i="2"/>
  <c r="S570" i="5" l="1"/>
  <c r="T570" i="5" s="1"/>
  <c r="BA555" i="5"/>
  <c r="AT563" i="2"/>
  <c r="M527" i="2"/>
  <c r="N527" i="2"/>
  <c r="O527" i="2" s="1"/>
  <c r="BO234" i="5"/>
  <c r="BP234" i="5" s="1"/>
  <c r="AE604" i="5"/>
  <c r="AF604" i="5" s="1"/>
  <c r="AL604" i="5" s="1"/>
  <c r="AK527" i="2"/>
  <c r="AB528" i="2"/>
  <c r="AD528" i="2" s="1"/>
  <c r="AT556" i="5" l="1"/>
  <c r="BB555" i="5"/>
  <c r="W570" i="5"/>
  <c r="AU563" i="2"/>
  <c r="AY563" i="2" s="1"/>
  <c r="R527" i="2"/>
  <c r="S527" i="2" s="1"/>
  <c r="BK235" i="5"/>
  <c r="AC605" i="5"/>
  <c r="AM604" i="5"/>
  <c r="AE528" i="2"/>
  <c r="X570" i="5" l="1"/>
  <c r="O571" i="5"/>
  <c r="P571" i="5" s="1"/>
  <c r="N571" i="5"/>
  <c r="AV556" i="5"/>
  <c r="AW556" i="5" s="1"/>
  <c r="BA556" i="5" s="1"/>
  <c r="AR564" i="2"/>
  <c r="AT564" i="2" s="1"/>
  <c r="AZ563" i="2"/>
  <c r="V527" i="2"/>
  <c r="BM235" i="5"/>
  <c r="BN235" i="5" s="1"/>
  <c r="AE605" i="5"/>
  <c r="AF605" i="5" s="1"/>
  <c r="AL605" i="5" s="1"/>
  <c r="AJ528" i="2"/>
  <c r="BB556" i="5" l="1"/>
  <c r="AT557" i="5"/>
  <c r="S571" i="5"/>
  <c r="T571" i="5" s="1"/>
  <c r="AU564" i="2"/>
  <c r="AY564" i="2" s="1"/>
  <c r="W527" i="2"/>
  <c r="M528" i="2"/>
  <c r="N528" i="2"/>
  <c r="O528" i="2" s="1"/>
  <c r="BO235" i="5"/>
  <c r="BP235" i="5" s="1"/>
  <c r="AC606" i="5"/>
  <c r="AM605" i="5"/>
  <c r="AK528" i="2"/>
  <c r="AB529" i="2"/>
  <c r="AD529" i="2" s="1"/>
  <c r="AV557" i="5" l="1"/>
  <c r="AW557" i="5" s="1"/>
  <c r="BA557" i="5" s="1"/>
  <c r="W571" i="5"/>
  <c r="R528" i="2"/>
  <c r="S528" i="2" s="1"/>
  <c r="V528" i="2" s="1"/>
  <c r="AZ564" i="2"/>
  <c r="AR565" i="2"/>
  <c r="AT565" i="2" s="1"/>
  <c r="AU565" i="2" s="1"/>
  <c r="M45" i="9"/>
  <c r="K45" i="9"/>
  <c r="L45" i="9" s="1"/>
  <c r="BK236" i="5"/>
  <c r="AE606" i="5"/>
  <c r="AF606" i="5" s="1"/>
  <c r="AE529" i="2"/>
  <c r="AT558" i="5" l="1"/>
  <c r="BB557" i="5"/>
  <c r="N572" i="5"/>
  <c r="X571" i="5"/>
  <c r="H73" i="9"/>
  <c r="O572" i="5"/>
  <c r="P572" i="5" s="1"/>
  <c r="AY565" i="2"/>
  <c r="BM236" i="5"/>
  <c r="BN236" i="5" s="1"/>
  <c r="W528" i="2"/>
  <c r="M529" i="2"/>
  <c r="N529" i="2"/>
  <c r="O529" i="2" s="1"/>
  <c r="AL606" i="5"/>
  <c r="AJ529" i="2"/>
  <c r="S572" i="5" l="1"/>
  <c r="T572" i="5" s="1"/>
  <c r="W572" i="5" s="1"/>
  <c r="AV558" i="5"/>
  <c r="AW558" i="5" s="1"/>
  <c r="AR566" i="2"/>
  <c r="AZ565" i="2"/>
  <c r="BO236" i="5"/>
  <c r="BP236" i="5" s="1"/>
  <c r="AC607" i="5"/>
  <c r="R529" i="2"/>
  <c r="S529" i="2" s="1"/>
  <c r="AM606" i="5"/>
  <c r="AK529" i="2"/>
  <c r="AB530" i="2"/>
  <c r="AD530" i="2" s="1"/>
  <c r="X572" i="5" l="1"/>
  <c r="N573" i="5"/>
  <c r="O573" i="5"/>
  <c r="P573" i="5" s="1"/>
  <c r="BA558" i="5"/>
  <c r="AT566" i="2"/>
  <c r="V529" i="2"/>
  <c r="BK237" i="5"/>
  <c r="AE607" i="5"/>
  <c r="AF607" i="5" s="1"/>
  <c r="AE530" i="2"/>
  <c r="S573" i="5" l="1"/>
  <c r="AT559" i="5"/>
  <c r="BB558" i="5"/>
  <c r="AU566" i="2"/>
  <c r="AY566" i="2" s="1"/>
  <c r="BM237" i="5"/>
  <c r="BN237" i="5" s="1"/>
  <c r="W529" i="2"/>
  <c r="M530" i="2"/>
  <c r="N530" i="2"/>
  <c r="O530" i="2" s="1"/>
  <c r="AL607" i="5"/>
  <c r="AJ530" i="2"/>
  <c r="T573" i="5" l="1"/>
  <c r="W573" i="5" s="1"/>
  <c r="AV559" i="5"/>
  <c r="AW559" i="5" s="1"/>
  <c r="BA559" i="5" s="1"/>
  <c r="AZ566" i="2"/>
  <c r="AR567" i="2"/>
  <c r="AT567" i="2" s="1"/>
  <c r="BO237" i="5"/>
  <c r="BP237" i="5" s="1"/>
  <c r="AC608" i="5"/>
  <c r="R530" i="2"/>
  <c r="S530" i="2" s="1"/>
  <c r="AM607" i="5"/>
  <c r="AK530" i="2"/>
  <c r="AB531" i="2"/>
  <c r="AD531" i="2" s="1"/>
  <c r="X573" i="5" l="1"/>
  <c r="N574" i="5"/>
  <c r="O574" i="5"/>
  <c r="P574" i="5" s="1"/>
  <c r="BB559" i="5"/>
  <c r="AT560" i="5"/>
  <c r="I72" i="9"/>
  <c r="AU567" i="2"/>
  <c r="AY567" i="2" s="1"/>
  <c r="V530" i="2"/>
  <c r="BK238" i="5"/>
  <c r="AE608" i="5"/>
  <c r="AF608" i="5" s="1"/>
  <c r="AL608" i="5" s="1"/>
  <c r="AE531" i="2"/>
  <c r="S574" i="5" l="1"/>
  <c r="T574" i="5" s="1"/>
  <c r="W574" i="5" s="1"/>
  <c r="AV560" i="5"/>
  <c r="AW560" i="5" s="1"/>
  <c r="AZ567" i="2"/>
  <c r="AR568" i="2"/>
  <c r="BM238" i="5"/>
  <c r="BN238" i="5" s="1"/>
  <c r="W530" i="2"/>
  <c r="AC609" i="5"/>
  <c r="M531" i="2"/>
  <c r="N531" i="2"/>
  <c r="O531" i="2" s="1"/>
  <c r="AM608" i="5"/>
  <c r="AJ531" i="2"/>
  <c r="X574" i="5" l="1"/>
  <c r="N575" i="5"/>
  <c r="O575" i="5"/>
  <c r="P575" i="5" s="1"/>
  <c r="BA560" i="5"/>
  <c r="AT568" i="2"/>
  <c r="BO238" i="5"/>
  <c r="AE609" i="5"/>
  <c r="AF609" i="5" s="1"/>
  <c r="AL609" i="5" s="1"/>
  <c r="R531" i="2"/>
  <c r="S531" i="2" s="1"/>
  <c r="AK531" i="2"/>
  <c r="AB532" i="2"/>
  <c r="AD532" i="2" s="1"/>
  <c r="BP238" i="5" l="1"/>
  <c r="S575" i="5"/>
  <c r="T575" i="5" s="1"/>
  <c r="AT561" i="5"/>
  <c r="BB560" i="5"/>
  <c r="AU568" i="2"/>
  <c r="AY568" i="2" s="1"/>
  <c r="V531" i="2"/>
  <c r="BK239" i="5"/>
  <c r="BM239" i="5" s="1"/>
  <c r="BN239" i="5" s="1"/>
  <c r="BO239" i="5" s="1"/>
  <c r="BP239" i="5" s="1"/>
  <c r="AC610" i="5"/>
  <c r="AM609" i="5"/>
  <c r="AE532" i="2"/>
  <c r="W575" i="5" l="1"/>
  <c r="AV561" i="5"/>
  <c r="AW561" i="5" s="1"/>
  <c r="BA561" i="5" s="1"/>
  <c r="AZ568" i="2"/>
  <c r="AR569" i="2"/>
  <c r="AT569" i="2" s="1"/>
  <c r="W531" i="2"/>
  <c r="BK240" i="5"/>
  <c r="AE610" i="5"/>
  <c r="AF610" i="5" s="1"/>
  <c r="N532" i="2"/>
  <c r="O532" i="2" s="1"/>
  <c r="M532" i="2"/>
  <c r="AJ532" i="2"/>
  <c r="N576" i="5" l="1"/>
  <c r="O576" i="5"/>
  <c r="P576" i="5" s="1"/>
  <c r="X575" i="5"/>
  <c r="BB561" i="5"/>
  <c r="AT562" i="5"/>
  <c r="AU569" i="2"/>
  <c r="AY569" i="2" s="1"/>
  <c r="BM240" i="5"/>
  <c r="BN240" i="5" s="1"/>
  <c r="AL610" i="5"/>
  <c r="R532" i="2"/>
  <c r="S532" i="2" s="1"/>
  <c r="AK532" i="2"/>
  <c r="AB533" i="2"/>
  <c r="AD533" i="2" s="1"/>
  <c r="AC611" i="5" l="1"/>
  <c r="AE611" i="5" s="1"/>
  <c r="AF611" i="5" s="1"/>
  <c r="S576" i="5"/>
  <c r="T576" i="5" s="1"/>
  <c r="AV562" i="5"/>
  <c r="AW562" i="5" s="1"/>
  <c r="BA562" i="5" s="1"/>
  <c r="AZ569" i="2"/>
  <c r="AR570" i="2"/>
  <c r="AT570" i="2" s="1"/>
  <c r="V532" i="2"/>
  <c r="BO240" i="5"/>
  <c r="AM610" i="5"/>
  <c r="AE533" i="2"/>
  <c r="BP240" i="5" l="1"/>
  <c r="W576" i="5"/>
  <c r="X576" i="5" s="1"/>
  <c r="AT563" i="5"/>
  <c r="BB562" i="5"/>
  <c r="AU570" i="2"/>
  <c r="AY570" i="2" s="1"/>
  <c r="BK241" i="5"/>
  <c r="BM241" i="5" s="1"/>
  <c r="BN241" i="5" s="1"/>
  <c r="W532" i="2"/>
  <c r="N533" i="2"/>
  <c r="O533" i="2" s="1"/>
  <c r="M533" i="2"/>
  <c r="AL611" i="5"/>
  <c r="AJ533" i="2"/>
  <c r="O577" i="5" l="1"/>
  <c r="P577" i="5" s="1"/>
  <c r="N577" i="5"/>
  <c r="AV563" i="5"/>
  <c r="AW563" i="5" s="1"/>
  <c r="BA563" i="5" s="1"/>
  <c r="AR571" i="2"/>
  <c r="AT571" i="2" s="1"/>
  <c r="AU571" i="2" s="1"/>
  <c r="AZ570" i="2"/>
  <c r="BO241" i="5"/>
  <c r="BP241" i="5" s="1"/>
  <c r="AC612" i="5"/>
  <c r="R533" i="2"/>
  <c r="S533" i="2" s="1"/>
  <c r="AM611" i="5"/>
  <c r="AK533" i="2"/>
  <c r="AB534" i="2"/>
  <c r="AD534" i="2" s="1"/>
  <c r="S577" i="5" l="1"/>
  <c r="T577" i="5" s="1"/>
  <c r="BB563" i="5"/>
  <c r="AT564" i="5"/>
  <c r="AY571" i="2"/>
  <c r="AR572" i="2" s="1"/>
  <c r="V533" i="2"/>
  <c r="N534" i="2" s="1"/>
  <c r="O534" i="2" s="1"/>
  <c r="BK242" i="5"/>
  <c r="AE612" i="5"/>
  <c r="AF612" i="5" s="1"/>
  <c r="AL612" i="5" s="1"/>
  <c r="AE534" i="2"/>
  <c r="W577" i="5" l="1"/>
  <c r="O578" i="5" s="1"/>
  <c r="P578" i="5" s="1"/>
  <c r="AV564" i="5"/>
  <c r="AW564" i="5" s="1"/>
  <c r="BA564" i="5" s="1"/>
  <c r="I73" i="7"/>
  <c r="AZ571" i="2"/>
  <c r="AT572" i="2"/>
  <c r="M534" i="2"/>
  <c r="W533" i="2"/>
  <c r="BM242" i="5"/>
  <c r="BN242" i="5" s="1"/>
  <c r="AC613" i="5"/>
  <c r="AM612" i="5"/>
  <c r="AJ534" i="2"/>
  <c r="N578" i="5" l="1"/>
  <c r="S578" i="5" s="1"/>
  <c r="T578" i="5" s="1"/>
  <c r="X577" i="5"/>
  <c r="AT565" i="5"/>
  <c r="BB564" i="5"/>
  <c r="AU572" i="2"/>
  <c r="AY572" i="2" s="1"/>
  <c r="R534" i="2"/>
  <c r="S534" i="2" s="1"/>
  <c r="BO242" i="5"/>
  <c r="BP242" i="5" s="1"/>
  <c r="AE613" i="5"/>
  <c r="AF613" i="5" s="1"/>
  <c r="AL613" i="5" s="1"/>
  <c r="AK534" i="2"/>
  <c r="AB535" i="2"/>
  <c r="AD535" i="2" s="1"/>
  <c r="W578" i="5" l="1"/>
  <c r="AV565" i="5"/>
  <c r="AW565" i="5" s="1"/>
  <c r="BA565" i="5" s="1"/>
  <c r="AR573" i="2"/>
  <c r="AT573" i="2" s="1"/>
  <c r="AU573" i="2" s="1"/>
  <c r="AZ572" i="2"/>
  <c r="V534" i="2"/>
  <c r="W534" i="2" s="1"/>
  <c r="BK243" i="5"/>
  <c r="AC614" i="5"/>
  <c r="AM613" i="5"/>
  <c r="AE535" i="2"/>
  <c r="X578" i="5" l="1"/>
  <c r="N579" i="5"/>
  <c r="O579" i="5"/>
  <c r="P579" i="5" s="1"/>
  <c r="AT566" i="5"/>
  <c r="BB565" i="5"/>
  <c r="AY573" i="2"/>
  <c r="M535" i="2"/>
  <c r="N535" i="2"/>
  <c r="O535" i="2" s="1"/>
  <c r="BM243" i="5"/>
  <c r="BN243" i="5" s="1"/>
  <c r="BO243" i="5" s="1"/>
  <c r="BP243" i="5" s="1"/>
  <c r="AE614" i="5"/>
  <c r="AF614" i="5" s="1"/>
  <c r="AJ535" i="2"/>
  <c r="S579" i="5" l="1"/>
  <c r="T579" i="5" s="1"/>
  <c r="AV566" i="5"/>
  <c r="AW566" i="5" s="1"/>
  <c r="BA566" i="5" s="1"/>
  <c r="AR574" i="2"/>
  <c r="AT574" i="2" s="1"/>
  <c r="AU574" i="2" s="1"/>
  <c r="AZ573" i="2"/>
  <c r="R535" i="2"/>
  <c r="S535" i="2" s="1"/>
  <c r="V535" i="2" s="1"/>
  <c r="BK244" i="5"/>
  <c r="AL614" i="5"/>
  <c r="AM614" i="5" s="1"/>
  <c r="J70" i="7"/>
  <c r="AK535" i="2"/>
  <c r="AB536" i="2"/>
  <c r="AD536" i="2" s="1"/>
  <c r="W579" i="5" l="1"/>
  <c r="BB566" i="5"/>
  <c r="AT567" i="5"/>
  <c r="AY574" i="2"/>
  <c r="BM244" i="5"/>
  <c r="BN244" i="5" s="1"/>
  <c r="AC615" i="5"/>
  <c r="AE536" i="2"/>
  <c r="X579" i="5" l="1"/>
  <c r="O580" i="5"/>
  <c r="P580" i="5" s="1"/>
  <c r="N580" i="5"/>
  <c r="AV567" i="5"/>
  <c r="AW567" i="5" s="1"/>
  <c r="BA567" i="5" s="1"/>
  <c r="W535" i="2"/>
  <c r="M70" i="7" s="1"/>
  <c r="H70" i="7"/>
  <c r="L70" i="7" s="1"/>
  <c r="BO244" i="5"/>
  <c r="BP244" i="5" s="1"/>
  <c r="AE615" i="5"/>
  <c r="M536" i="2"/>
  <c r="N536" i="2"/>
  <c r="O536" i="2" s="1"/>
  <c r="AZ574" i="2"/>
  <c r="AR575" i="2"/>
  <c r="AJ536" i="2"/>
  <c r="S580" i="5" l="1"/>
  <c r="T580" i="5" s="1"/>
  <c r="W580" i="5" s="1"/>
  <c r="BB567" i="5"/>
  <c r="AT568" i="5"/>
  <c r="AT575" i="2"/>
  <c r="AU575" i="2" s="1"/>
  <c r="BK245" i="5"/>
  <c r="AF615" i="5"/>
  <c r="AL615" i="5" s="1"/>
  <c r="AC616" i="5" s="1"/>
  <c r="AE616" i="5" s="1"/>
  <c r="AF616" i="5" s="1"/>
  <c r="R536" i="2"/>
  <c r="S536" i="2" s="1"/>
  <c r="AK536" i="2"/>
  <c r="AB537" i="2"/>
  <c r="AD537" i="2" s="1"/>
  <c r="O581" i="5" l="1"/>
  <c r="P581" i="5" s="1"/>
  <c r="X580" i="5"/>
  <c r="N581" i="5"/>
  <c r="AV568" i="5"/>
  <c r="AW568" i="5" s="1"/>
  <c r="BA568" i="5" s="1"/>
  <c r="AY575" i="2"/>
  <c r="V536" i="2"/>
  <c r="BM245" i="5"/>
  <c r="BN245" i="5" s="1"/>
  <c r="AM615" i="5"/>
  <c r="AL616" i="5"/>
  <c r="AE537" i="2"/>
  <c r="S581" i="5" l="1"/>
  <c r="T581" i="5" s="1"/>
  <c r="AT569" i="5"/>
  <c r="BB568" i="5"/>
  <c r="AC617" i="5"/>
  <c r="AE617" i="5" s="1"/>
  <c r="AF617" i="5" s="1"/>
  <c r="BO245" i="5"/>
  <c r="BP245" i="5" s="1"/>
  <c r="AM616" i="5"/>
  <c r="AR576" i="2"/>
  <c r="W536" i="2"/>
  <c r="M537" i="2"/>
  <c r="N537" i="2"/>
  <c r="O537" i="2" s="1"/>
  <c r="AZ575" i="2"/>
  <c r="AJ537" i="2"/>
  <c r="W581" i="5" l="1"/>
  <c r="AV569" i="5"/>
  <c r="AW569" i="5" s="1"/>
  <c r="BA569" i="5" s="1"/>
  <c r="AT576" i="2"/>
  <c r="AU576" i="2" s="1"/>
  <c r="AL617" i="5"/>
  <c r="BK246" i="5"/>
  <c r="AC618" i="5"/>
  <c r="R537" i="2"/>
  <c r="S537" i="2" s="1"/>
  <c r="AK537" i="2"/>
  <c r="AB538" i="2"/>
  <c r="AD538" i="2" s="1"/>
  <c r="X581" i="5" l="1"/>
  <c r="N582" i="5"/>
  <c r="O582" i="5"/>
  <c r="P582" i="5" s="1"/>
  <c r="BB569" i="5"/>
  <c r="AT570" i="5"/>
  <c r="AM617" i="5"/>
  <c r="AY576" i="2"/>
  <c r="AZ576" i="2" s="1"/>
  <c r="V537" i="2"/>
  <c r="BM246" i="5"/>
  <c r="BN246" i="5" s="1"/>
  <c r="BO246" i="5" s="1"/>
  <c r="BP246" i="5" s="1"/>
  <c r="AE618" i="5"/>
  <c r="AF618" i="5" s="1"/>
  <c r="AL618" i="5" s="1"/>
  <c r="AE538" i="2"/>
  <c r="S582" i="5" l="1"/>
  <c r="T582" i="5" s="1"/>
  <c r="AV570" i="5"/>
  <c r="AW570" i="5" s="1"/>
  <c r="AR577" i="2"/>
  <c r="AT577" i="2" s="1"/>
  <c r="AU577" i="2" s="1"/>
  <c r="W537" i="2"/>
  <c r="BK247" i="5"/>
  <c r="AC619" i="5"/>
  <c r="N538" i="2"/>
  <c r="O538" i="2" s="1"/>
  <c r="M538" i="2"/>
  <c r="AM618" i="5"/>
  <c r="AJ538" i="2"/>
  <c r="W582" i="5" l="1"/>
  <c r="BA570" i="5"/>
  <c r="AY577" i="2"/>
  <c r="BM247" i="5"/>
  <c r="BN247" i="5" s="1"/>
  <c r="BO247" i="5" s="1"/>
  <c r="BP247" i="5" s="1"/>
  <c r="AE619" i="5"/>
  <c r="AF619" i="5" s="1"/>
  <c r="R538" i="2"/>
  <c r="S538" i="2" s="1"/>
  <c r="AK538" i="2"/>
  <c r="AB539" i="2"/>
  <c r="AD539" i="2" s="1"/>
  <c r="O583" i="5" l="1"/>
  <c r="P583" i="5" s="1"/>
  <c r="N583" i="5"/>
  <c r="X582" i="5"/>
  <c r="BB570" i="5"/>
  <c r="AT571" i="5"/>
  <c r="AR578" i="2"/>
  <c r="AT578" i="2" s="1"/>
  <c r="AU578" i="2" s="1"/>
  <c r="AZ577" i="2"/>
  <c r="V538" i="2"/>
  <c r="M46" i="9"/>
  <c r="BK248" i="5"/>
  <c r="K46" i="9"/>
  <c r="L46" i="9" s="1"/>
  <c r="AL619" i="5"/>
  <c r="AE539" i="2"/>
  <c r="S583" i="5" l="1"/>
  <c r="T583" i="5" s="1"/>
  <c r="W583" i="5" s="1"/>
  <c r="AC620" i="5"/>
  <c r="AE620" i="5" s="1"/>
  <c r="AF620" i="5" s="1"/>
  <c r="AV571" i="5"/>
  <c r="AW571" i="5" s="1"/>
  <c r="BA571" i="5" s="1"/>
  <c r="AY578" i="2"/>
  <c r="AM619" i="5"/>
  <c r="BM248" i="5"/>
  <c r="BN248" i="5" s="1"/>
  <c r="W538" i="2"/>
  <c r="M539" i="2"/>
  <c r="N539" i="2"/>
  <c r="O539" i="2" s="1"/>
  <c r="AJ539" i="2"/>
  <c r="O584" i="5" l="1"/>
  <c r="P584" i="5" s="1"/>
  <c r="X583" i="5"/>
  <c r="H74" i="9"/>
  <c r="N584" i="5"/>
  <c r="BB571" i="5"/>
  <c r="I73" i="9"/>
  <c r="AT572" i="5"/>
  <c r="BO248" i="5"/>
  <c r="BP248" i="5" s="1"/>
  <c r="AZ578" i="2"/>
  <c r="R539" i="2"/>
  <c r="S539" i="2" s="1"/>
  <c r="AL620" i="5"/>
  <c r="AR579" i="2"/>
  <c r="AK539" i="2"/>
  <c r="AB540" i="2"/>
  <c r="AD540" i="2" s="1"/>
  <c r="S584" i="5" l="1"/>
  <c r="T584" i="5" s="1"/>
  <c r="AV572" i="5"/>
  <c r="AW572" i="5" s="1"/>
  <c r="AT579" i="2"/>
  <c r="AU579" i="2" s="1"/>
  <c r="V539" i="2"/>
  <c r="BK249" i="5"/>
  <c r="AC621" i="5"/>
  <c r="AM620" i="5"/>
  <c r="AE540" i="2"/>
  <c r="W584" i="5" l="1"/>
  <c r="BA572" i="5"/>
  <c r="AY579" i="2"/>
  <c r="BM249" i="5"/>
  <c r="BN249" i="5" s="1"/>
  <c r="BO249" i="5" s="1"/>
  <c r="BP249" i="5" s="1"/>
  <c r="AE621" i="5"/>
  <c r="AF621" i="5" s="1"/>
  <c r="AL621" i="5" s="1"/>
  <c r="AC622" i="5" s="1"/>
  <c r="W539" i="2"/>
  <c r="N540" i="2"/>
  <c r="O540" i="2" s="1"/>
  <c r="M540" i="2"/>
  <c r="AJ540" i="2"/>
  <c r="N585" i="5" l="1"/>
  <c r="X584" i="5"/>
  <c r="O585" i="5"/>
  <c r="P585" i="5" s="1"/>
  <c r="AT573" i="5"/>
  <c r="BB572" i="5"/>
  <c r="AZ579" i="2"/>
  <c r="AR580" i="2"/>
  <c r="AT580" i="2" s="1"/>
  <c r="AU580" i="2" s="1"/>
  <c r="BK250" i="5"/>
  <c r="AE622" i="5"/>
  <c r="AF622" i="5" s="1"/>
  <c r="R540" i="2"/>
  <c r="S540" i="2" s="1"/>
  <c r="AM621" i="5"/>
  <c r="AK540" i="2"/>
  <c r="AB541" i="2"/>
  <c r="AD541" i="2" s="1"/>
  <c r="S585" i="5" l="1"/>
  <c r="T585" i="5" s="1"/>
  <c r="AV573" i="5"/>
  <c r="AW573" i="5" s="1"/>
  <c r="BA573" i="5" s="1"/>
  <c r="AY580" i="2"/>
  <c r="V540" i="2"/>
  <c r="BM250" i="5"/>
  <c r="BN250" i="5" s="1"/>
  <c r="AE541" i="2"/>
  <c r="W585" i="5" l="1"/>
  <c r="AT574" i="5"/>
  <c r="BB573" i="5"/>
  <c r="AR581" i="2"/>
  <c r="AT581" i="2" s="1"/>
  <c r="AU581" i="2" s="1"/>
  <c r="AZ580" i="2"/>
  <c r="BO250" i="5"/>
  <c r="BP250" i="5" s="1"/>
  <c r="W540" i="2"/>
  <c r="N541" i="2"/>
  <c r="O541" i="2" s="1"/>
  <c r="M541" i="2"/>
  <c r="AL622" i="5"/>
  <c r="AC623" i="5" s="1"/>
  <c r="AJ541" i="2"/>
  <c r="X585" i="5" l="1"/>
  <c r="N586" i="5"/>
  <c r="O586" i="5"/>
  <c r="P586" i="5" s="1"/>
  <c r="AV574" i="5"/>
  <c r="AW574" i="5" s="1"/>
  <c r="AY581" i="2"/>
  <c r="AR582" i="2" s="1"/>
  <c r="BK251" i="5"/>
  <c r="AE623" i="5"/>
  <c r="AF623" i="5" s="1"/>
  <c r="R541" i="2"/>
  <c r="S541" i="2" s="1"/>
  <c r="AM622" i="5"/>
  <c r="AK541" i="2"/>
  <c r="AB542" i="2"/>
  <c r="AD542" i="2" s="1"/>
  <c r="S586" i="5" l="1"/>
  <c r="T586" i="5" s="1"/>
  <c r="W586" i="5" s="1"/>
  <c r="BA574" i="5"/>
  <c r="AZ581" i="2"/>
  <c r="AT582" i="2"/>
  <c r="AU582" i="2" s="1"/>
  <c r="V541" i="2"/>
  <c r="BM251" i="5"/>
  <c r="BN251" i="5" s="1"/>
  <c r="AL623" i="5"/>
  <c r="AC624" i="5" s="1"/>
  <c r="AE542" i="2"/>
  <c r="O587" i="5" l="1"/>
  <c r="P587" i="5" s="1"/>
  <c r="X586" i="5"/>
  <c r="N587" i="5"/>
  <c r="AT575" i="5"/>
  <c r="BB574" i="5"/>
  <c r="AY582" i="2"/>
  <c r="BO251" i="5"/>
  <c r="BP251" i="5" s="1"/>
  <c r="AE624" i="5"/>
  <c r="AF624" i="5" s="1"/>
  <c r="W541" i="2"/>
  <c r="N542" i="2"/>
  <c r="O542" i="2" s="1"/>
  <c r="M542" i="2"/>
  <c r="AM623" i="5"/>
  <c r="AJ542" i="2"/>
  <c r="S587" i="5" l="1"/>
  <c r="T587" i="5" s="1"/>
  <c r="AV575" i="5"/>
  <c r="AW575" i="5" s="1"/>
  <c r="BK252" i="5"/>
  <c r="R542" i="2"/>
  <c r="S542" i="2" s="1"/>
  <c r="AZ582" i="2"/>
  <c r="AR583" i="2"/>
  <c r="AK542" i="2"/>
  <c r="AB543" i="2"/>
  <c r="AD543" i="2" s="1"/>
  <c r="W587" i="5" l="1"/>
  <c r="BA575" i="5"/>
  <c r="AT583" i="2"/>
  <c r="V542" i="2"/>
  <c r="BM252" i="5"/>
  <c r="BN252" i="5" s="1"/>
  <c r="AL624" i="5"/>
  <c r="AC625" i="5" s="1"/>
  <c r="AE543" i="2"/>
  <c r="N588" i="5" l="1"/>
  <c r="X587" i="5"/>
  <c r="O588" i="5"/>
  <c r="P588" i="5" s="1"/>
  <c r="AT576" i="5"/>
  <c r="BB575" i="5"/>
  <c r="AU583" i="2"/>
  <c r="AY583" i="2" s="1"/>
  <c r="W542" i="2"/>
  <c r="BO252" i="5"/>
  <c r="BP252" i="5" s="1"/>
  <c r="AE625" i="5"/>
  <c r="AF625" i="5" s="1"/>
  <c r="M543" i="2"/>
  <c r="N543" i="2"/>
  <c r="O543" i="2" s="1"/>
  <c r="AM624" i="5"/>
  <c r="AJ543" i="2"/>
  <c r="S588" i="5" l="1"/>
  <c r="T588" i="5" s="1"/>
  <c r="AV576" i="5"/>
  <c r="AW576" i="5" s="1"/>
  <c r="BA576" i="5" s="1"/>
  <c r="BK253" i="5"/>
  <c r="I74" i="7"/>
  <c r="R543" i="2"/>
  <c r="S543" i="2" s="1"/>
  <c r="AL625" i="5"/>
  <c r="AC626" i="5" s="1"/>
  <c r="AZ583" i="2"/>
  <c r="AR584" i="2"/>
  <c r="AK543" i="2"/>
  <c r="AB544" i="2"/>
  <c r="AD544" i="2" s="1"/>
  <c r="W588" i="5" l="1"/>
  <c r="AT577" i="5"/>
  <c r="BB576" i="5"/>
  <c r="AT584" i="2"/>
  <c r="V543" i="2"/>
  <c r="BM253" i="5"/>
  <c r="AE626" i="5"/>
  <c r="AF626" i="5" s="1"/>
  <c r="AM625" i="5"/>
  <c r="AE544" i="2"/>
  <c r="O589" i="5" l="1"/>
  <c r="P589" i="5" s="1"/>
  <c r="N589" i="5"/>
  <c r="X588" i="5"/>
  <c r="AV577" i="5"/>
  <c r="AW577" i="5" s="1"/>
  <c r="AU584" i="2"/>
  <c r="BN253" i="5"/>
  <c r="BO253" i="5" s="1"/>
  <c r="BP253" i="5" s="1"/>
  <c r="W543" i="2"/>
  <c r="N544" i="2"/>
  <c r="O544" i="2" s="1"/>
  <c r="M544" i="2"/>
  <c r="AJ544" i="2"/>
  <c r="S589" i="5" l="1"/>
  <c r="T589" i="5" s="1"/>
  <c r="BA577" i="5"/>
  <c r="AY584" i="2"/>
  <c r="BK254" i="5"/>
  <c r="R544" i="2"/>
  <c r="S544" i="2" s="1"/>
  <c r="AL626" i="5"/>
  <c r="AC627" i="5" s="1"/>
  <c r="AK544" i="2"/>
  <c r="AB545" i="2"/>
  <c r="AD545" i="2" s="1"/>
  <c r="W589" i="5" l="1"/>
  <c r="BB577" i="5"/>
  <c r="AT578" i="5"/>
  <c r="AR585" i="2"/>
  <c r="AT585" i="2" s="1"/>
  <c r="AU585" i="2" s="1"/>
  <c r="AZ584" i="2"/>
  <c r="V544" i="2"/>
  <c r="BM254" i="5"/>
  <c r="BN254" i="5" s="1"/>
  <c r="BO254" i="5" s="1"/>
  <c r="BP254" i="5" s="1"/>
  <c r="AE627" i="5"/>
  <c r="AF627" i="5" s="1"/>
  <c r="AM626" i="5"/>
  <c r="AE545" i="2"/>
  <c r="O590" i="5" l="1"/>
  <c r="P590" i="5" s="1"/>
  <c r="N590" i="5"/>
  <c r="X589" i="5"/>
  <c r="AV578" i="5"/>
  <c r="AW578" i="5" s="1"/>
  <c r="AY585" i="2"/>
  <c r="BK255" i="5"/>
  <c r="W544" i="2"/>
  <c r="M545" i="2"/>
  <c r="N545" i="2"/>
  <c r="O545" i="2" s="1"/>
  <c r="AJ545" i="2"/>
  <c r="S590" i="5" l="1"/>
  <c r="T590" i="5" s="1"/>
  <c r="BA578" i="5"/>
  <c r="BM255" i="5"/>
  <c r="BN255" i="5" s="1"/>
  <c r="R545" i="2"/>
  <c r="S545" i="2" s="1"/>
  <c r="AL627" i="5"/>
  <c r="AC628" i="5" s="1"/>
  <c r="AZ585" i="2"/>
  <c r="AR586" i="2"/>
  <c r="AK545" i="2"/>
  <c r="AB546" i="2"/>
  <c r="AD546" i="2" s="1"/>
  <c r="W590" i="5" l="1"/>
  <c r="AT579" i="5"/>
  <c r="BB578" i="5"/>
  <c r="AT586" i="2"/>
  <c r="AU586" i="2" s="1"/>
  <c r="V545" i="2"/>
  <c r="BO255" i="5"/>
  <c r="BP255" i="5" s="1"/>
  <c r="AE628" i="5"/>
  <c r="AF628" i="5" s="1"/>
  <c r="AM627" i="5"/>
  <c r="AE546" i="2"/>
  <c r="X590" i="5" l="1"/>
  <c r="N591" i="5"/>
  <c r="O591" i="5"/>
  <c r="P591" i="5" s="1"/>
  <c r="AV579" i="5"/>
  <c r="AW579" i="5" s="1"/>
  <c r="AY586" i="2"/>
  <c r="BK256" i="5"/>
  <c r="W545" i="2"/>
  <c r="M546" i="2"/>
  <c r="N546" i="2"/>
  <c r="O546" i="2" s="1"/>
  <c r="AL628" i="5"/>
  <c r="AC629" i="5" s="1"/>
  <c r="AJ546" i="2"/>
  <c r="S591" i="5" l="1"/>
  <c r="T591" i="5" s="1"/>
  <c r="BA579" i="5"/>
  <c r="BM256" i="5"/>
  <c r="BN256" i="5" s="1"/>
  <c r="AE629" i="5"/>
  <c r="AF629" i="5" s="1"/>
  <c r="R546" i="2"/>
  <c r="S546" i="2" s="1"/>
  <c r="AM628" i="5"/>
  <c r="AZ586" i="2"/>
  <c r="AR587" i="2"/>
  <c r="AK546" i="2"/>
  <c r="AB547" i="2"/>
  <c r="AD547" i="2" s="1"/>
  <c r="W591" i="5" l="1"/>
  <c r="BB579" i="5"/>
  <c r="AT580" i="5"/>
  <c r="AT587" i="2"/>
  <c r="AU587" i="2" s="1"/>
  <c r="V546" i="2"/>
  <c r="BO256" i="5"/>
  <c r="BP256" i="5" s="1"/>
  <c r="AL629" i="5"/>
  <c r="AC630" i="5" s="1"/>
  <c r="AE547" i="2"/>
  <c r="N592" i="5" l="1"/>
  <c r="O592" i="5"/>
  <c r="P592" i="5" s="1"/>
  <c r="X591" i="5"/>
  <c r="AV580" i="5"/>
  <c r="AW580" i="5" s="1"/>
  <c r="AY587" i="2"/>
  <c r="BK257" i="5"/>
  <c r="AE630" i="5"/>
  <c r="AF630" i="5" s="1"/>
  <c r="W546" i="2"/>
  <c r="M547" i="2"/>
  <c r="N547" i="2"/>
  <c r="O547" i="2" s="1"/>
  <c r="AM629" i="5"/>
  <c r="AJ547" i="2"/>
  <c r="S592" i="5" l="1"/>
  <c r="T592" i="5" s="1"/>
  <c r="BA580" i="5"/>
  <c r="BM257" i="5"/>
  <c r="BN257" i="5" s="1"/>
  <c r="J71" i="7"/>
  <c r="R547" i="2"/>
  <c r="S547" i="2" s="1"/>
  <c r="AL630" i="5"/>
  <c r="AC631" i="5" s="1"/>
  <c r="AZ587" i="2"/>
  <c r="AR588" i="2"/>
  <c r="AK547" i="2"/>
  <c r="AB548" i="2"/>
  <c r="AD548" i="2" s="1"/>
  <c r="W592" i="5" l="1"/>
  <c r="BB580" i="5"/>
  <c r="AT581" i="5"/>
  <c r="AT588" i="2"/>
  <c r="V547" i="2"/>
  <c r="BO257" i="5"/>
  <c r="BP257" i="5" s="1"/>
  <c r="AE631" i="5"/>
  <c r="AF631" i="5" s="1"/>
  <c r="AM630" i="5"/>
  <c r="AE548" i="2"/>
  <c r="N593" i="5" l="1"/>
  <c r="X592" i="5"/>
  <c r="O593" i="5"/>
  <c r="P593" i="5" s="1"/>
  <c r="AV581" i="5"/>
  <c r="AW581" i="5" s="1"/>
  <c r="AU588" i="2"/>
  <c r="AY588" i="2" s="1"/>
  <c r="H71" i="7"/>
  <c r="L71" i="7" s="1"/>
  <c r="W547" i="2"/>
  <c r="M71" i="7" s="1"/>
  <c r="BK258" i="5"/>
  <c r="N548" i="2"/>
  <c r="O548" i="2" s="1"/>
  <c r="M548" i="2"/>
  <c r="AL631" i="5"/>
  <c r="AC632" i="5" s="1"/>
  <c r="AJ548" i="2"/>
  <c r="BA581" i="5" l="1"/>
  <c r="AT582" i="5" s="1"/>
  <c r="S593" i="5"/>
  <c r="T593" i="5" s="1"/>
  <c r="W593" i="5" s="1"/>
  <c r="BM258" i="5"/>
  <c r="BN258" i="5" s="1"/>
  <c r="AE632" i="5"/>
  <c r="AF632" i="5" s="1"/>
  <c r="R548" i="2"/>
  <c r="S548" i="2" s="1"/>
  <c r="AM631" i="5"/>
  <c r="AZ588" i="2"/>
  <c r="AR589" i="2"/>
  <c r="AK548" i="2"/>
  <c r="AB549" i="2"/>
  <c r="AD549" i="2" s="1"/>
  <c r="N594" i="5" l="1"/>
  <c r="X593" i="5"/>
  <c r="O594" i="5"/>
  <c r="P594" i="5" s="1"/>
  <c r="BB581" i="5"/>
  <c r="AV582" i="5"/>
  <c r="AW582" i="5" s="1"/>
  <c r="AT589" i="2"/>
  <c r="AU589" i="2" s="1"/>
  <c r="V548" i="2"/>
  <c r="BO258" i="5"/>
  <c r="BP258" i="5" s="1"/>
  <c r="AL632" i="5"/>
  <c r="AC633" i="5" s="1"/>
  <c r="AE549" i="2"/>
  <c r="S594" i="5" l="1"/>
  <c r="T594" i="5" s="1"/>
  <c r="BA582" i="5"/>
  <c r="AY589" i="2"/>
  <c r="BK259" i="5"/>
  <c r="AE633" i="5"/>
  <c r="AF633" i="5" s="1"/>
  <c r="W548" i="2"/>
  <c r="N549" i="2"/>
  <c r="O549" i="2" s="1"/>
  <c r="M549" i="2"/>
  <c r="AM632" i="5"/>
  <c r="AJ549" i="2"/>
  <c r="W594" i="5" l="1"/>
  <c r="BB582" i="5"/>
  <c r="AT583" i="5"/>
  <c r="BM259" i="5"/>
  <c r="BN259" i="5" s="1"/>
  <c r="R549" i="2"/>
  <c r="S549" i="2" s="1"/>
  <c r="AR590" i="2"/>
  <c r="AZ589" i="2"/>
  <c r="AK549" i="2"/>
  <c r="AB550" i="2"/>
  <c r="AD550" i="2" s="1"/>
  <c r="X594" i="5" l="1"/>
  <c r="O595" i="5"/>
  <c r="P595" i="5" s="1"/>
  <c r="N595" i="5"/>
  <c r="AV583" i="5"/>
  <c r="AW583" i="5" s="1"/>
  <c r="AT590" i="2"/>
  <c r="AU590" i="2" s="1"/>
  <c r="V549" i="2"/>
  <c r="BO259" i="5"/>
  <c r="BP259" i="5" s="1"/>
  <c r="AL633" i="5"/>
  <c r="AC634" i="5" s="1"/>
  <c r="AE550" i="2"/>
  <c r="S595" i="5" l="1"/>
  <c r="T595" i="5" s="1"/>
  <c r="BA583" i="5"/>
  <c r="BB583" i="5" s="1"/>
  <c r="AY590" i="2"/>
  <c r="M47" i="9"/>
  <c r="BK260" i="5"/>
  <c r="K47" i="9"/>
  <c r="L47" i="9" s="1"/>
  <c r="AE634" i="5"/>
  <c r="AF634" i="5" s="1"/>
  <c r="W549" i="2"/>
  <c r="N550" i="2"/>
  <c r="O550" i="2" s="1"/>
  <c r="M550" i="2"/>
  <c r="AM633" i="5"/>
  <c r="AJ550" i="2"/>
  <c r="I74" i="9" l="1"/>
  <c r="AT584" i="5"/>
  <c r="AV584" i="5" s="1"/>
  <c r="AW584" i="5" s="1"/>
  <c r="W595" i="5"/>
  <c r="BM260" i="5"/>
  <c r="BN260" i="5" s="1"/>
  <c r="R550" i="2"/>
  <c r="S550" i="2" s="1"/>
  <c r="AL634" i="5"/>
  <c r="AC635" i="5" s="1"/>
  <c r="AZ590" i="2"/>
  <c r="AR591" i="2"/>
  <c r="AK550" i="2"/>
  <c r="AB551" i="2"/>
  <c r="AD551" i="2" s="1"/>
  <c r="X595" i="5" l="1"/>
  <c r="O596" i="5"/>
  <c r="P596" i="5" s="1"/>
  <c r="N596" i="5"/>
  <c r="BA584" i="5"/>
  <c r="AT591" i="2"/>
  <c r="AU591" i="2" s="1"/>
  <c r="V550" i="2"/>
  <c r="BO260" i="5"/>
  <c r="BP260" i="5" s="1"/>
  <c r="AE635" i="5"/>
  <c r="AF635" i="5" s="1"/>
  <c r="AM634" i="5"/>
  <c r="AE551" i="2"/>
  <c r="S596" i="5" l="1"/>
  <c r="T596" i="5" s="1"/>
  <c r="AT585" i="5"/>
  <c r="BB584" i="5"/>
  <c r="AY591" i="2"/>
  <c r="BK261" i="5"/>
  <c r="W550" i="2"/>
  <c r="N551" i="2"/>
  <c r="O551" i="2" s="1"/>
  <c r="M551" i="2"/>
  <c r="AJ551" i="2"/>
  <c r="W596" i="5" l="1"/>
  <c r="AV585" i="5"/>
  <c r="AW585" i="5" s="1"/>
  <c r="BA585" i="5" s="1"/>
  <c r="BM261" i="5"/>
  <c r="BN261" i="5" s="1"/>
  <c r="R551" i="2"/>
  <c r="S551" i="2" s="1"/>
  <c r="AL635" i="5"/>
  <c r="AC636" i="5" s="1"/>
  <c r="AZ591" i="2"/>
  <c r="AR592" i="2"/>
  <c r="AK551" i="2"/>
  <c r="AB552" i="2"/>
  <c r="AD552" i="2" s="1"/>
  <c r="X596" i="5" l="1"/>
  <c r="O597" i="5"/>
  <c r="P597" i="5" s="1"/>
  <c r="N597" i="5"/>
  <c r="BB585" i="5"/>
  <c r="AT586" i="5"/>
  <c r="AT592" i="2"/>
  <c r="AU592" i="2" s="1"/>
  <c r="V551" i="2"/>
  <c r="BO261" i="5"/>
  <c r="BP261" i="5" s="1"/>
  <c r="AE636" i="5"/>
  <c r="AF636" i="5" s="1"/>
  <c r="AM635" i="5"/>
  <c r="AE552" i="2"/>
  <c r="S597" i="5" l="1"/>
  <c r="T597" i="5" s="1"/>
  <c r="AV586" i="5"/>
  <c r="AW586" i="5" s="1"/>
  <c r="BA586" i="5" s="1"/>
  <c r="AY592" i="2"/>
  <c r="BK262" i="5"/>
  <c r="W551" i="2"/>
  <c r="N552" i="2"/>
  <c r="O552" i="2" s="1"/>
  <c r="M552" i="2"/>
  <c r="AL636" i="5"/>
  <c r="AC637" i="5" s="1"/>
  <c r="AJ552" i="2"/>
  <c r="W597" i="5" l="1"/>
  <c r="BB586" i="5"/>
  <c r="AT587" i="5"/>
  <c r="BM262" i="5"/>
  <c r="BN262" i="5" s="1"/>
  <c r="AE637" i="5"/>
  <c r="AF637" i="5" s="1"/>
  <c r="R552" i="2"/>
  <c r="S552" i="2" s="1"/>
  <c r="AM636" i="5"/>
  <c r="AZ592" i="2"/>
  <c r="AR593" i="2"/>
  <c r="AK552" i="2"/>
  <c r="AB553" i="2"/>
  <c r="AD553" i="2" s="1"/>
  <c r="N598" i="5" l="1"/>
  <c r="X597" i="5"/>
  <c r="O598" i="5"/>
  <c r="P598" i="5" s="1"/>
  <c r="AV587" i="5"/>
  <c r="AW587" i="5" s="1"/>
  <c r="BA587" i="5" s="1"/>
  <c r="AT593" i="2"/>
  <c r="AU593" i="2" s="1"/>
  <c r="V552" i="2"/>
  <c r="BO262" i="5"/>
  <c r="BP262" i="5" s="1"/>
  <c r="AL637" i="5"/>
  <c r="AC638" i="5" s="1"/>
  <c r="AE553" i="2"/>
  <c r="S598" i="5" l="1"/>
  <c r="T598" i="5" s="1"/>
  <c r="BB587" i="5"/>
  <c r="AT588" i="5"/>
  <c r="AY593" i="2"/>
  <c r="BK263" i="5"/>
  <c r="AE638" i="5"/>
  <c r="AF638" i="5" s="1"/>
  <c r="W552" i="2"/>
  <c r="N553" i="2"/>
  <c r="O553" i="2" s="1"/>
  <c r="M553" i="2"/>
  <c r="AM637" i="5"/>
  <c r="AJ553" i="2"/>
  <c r="W598" i="5" l="1"/>
  <c r="AV588" i="5"/>
  <c r="AW588" i="5" s="1"/>
  <c r="BM263" i="5"/>
  <c r="BN263" i="5" s="1"/>
  <c r="R553" i="2"/>
  <c r="S553" i="2" s="1"/>
  <c r="AL638" i="5"/>
  <c r="AZ593" i="2"/>
  <c r="AR594" i="2"/>
  <c r="AK553" i="2"/>
  <c r="AB554" i="2"/>
  <c r="AD554" i="2" s="1"/>
  <c r="O599" i="5" l="1"/>
  <c r="P599" i="5" s="1"/>
  <c r="N599" i="5"/>
  <c r="X598" i="5"/>
  <c r="BA588" i="5"/>
  <c r="AT594" i="2"/>
  <c r="AU594" i="2" s="1"/>
  <c r="V553" i="2"/>
  <c r="W553" i="2" s="1"/>
  <c r="BO263" i="5"/>
  <c r="BP263" i="5" s="1"/>
  <c r="AC639" i="5"/>
  <c r="AM638" i="5"/>
  <c r="AE554" i="2"/>
  <c r="S599" i="5" l="1"/>
  <c r="T599" i="5" s="1"/>
  <c r="BB588" i="5"/>
  <c r="AT589" i="5"/>
  <c r="AY594" i="2"/>
  <c r="M554" i="2"/>
  <c r="N554" i="2"/>
  <c r="O554" i="2" s="1"/>
  <c r="BK264" i="5"/>
  <c r="AE639" i="5"/>
  <c r="AF639" i="5" s="1"/>
  <c r="AL639" i="5" s="1"/>
  <c r="AC640" i="5" s="1"/>
  <c r="AJ554" i="2"/>
  <c r="W599" i="5" l="1"/>
  <c r="AV589" i="5"/>
  <c r="AW589" i="5" s="1"/>
  <c r="BA589" i="5" s="1"/>
  <c r="R554" i="2"/>
  <c r="S554" i="2" s="1"/>
  <c r="BM264" i="5"/>
  <c r="BN264" i="5" s="1"/>
  <c r="AE640" i="5"/>
  <c r="AF640" i="5" s="1"/>
  <c r="AM639" i="5"/>
  <c r="AR595" i="2"/>
  <c r="AZ594" i="2"/>
  <c r="AK554" i="2"/>
  <c r="AB555" i="2"/>
  <c r="AD555" i="2" s="1"/>
  <c r="X599" i="5" l="1"/>
  <c r="N600" i="5"/>
  <c r="O600" i="5"/>
  <c r="P600" i="5" s="1"/>
  <c r="BB589" i="5"/>
  <c r="AT590" i="5"/>
  <c r="AT595" i="2"/>
  <c r="AU595" i="2" s="1"/>
  <c r="V554" i="2"/>
  <c r="N555" i="2" s="1"/>
  <c r="O555" i="2" s="1"/>
  <c r="BO264" i="5"/>
  <c r="BP264" i="5" s="1"/>
  <c r="AE555" i="2"/>
  <c r="S600" i="5" l="1"/>
  <c r="T600" i="5" s="1"/>
  <c r="AV590" i="5"/>
  <c r="AW590" i="5" s="1"/>
  <c r="BA590" i="5" s="1"/>
  <c r="AY595" i="2"/>
  <c r="M555" i="2"/>
  <c r="R555" i="2" s="1"/>
  <c r="W554" i="2"/>
  <c r="BK265" i="5"/>
  <c r="AL640" i="5"/>
  <c r="AC641" i="5" s="1"/>
  <c r="AJ555" i="2"/>
  <c r="W600" i="5" l="1"/>
  <c r="AT591" i="5"/>
  <c r="BB590" i="5"/>
  <c r="BM265" i="5"/>
  <c r="BN265" i="5" s="1"/>
  <c r="AE641" i="5"/>
  <c r="AF641" i="5" s="1"/>
  <c r="I75" i="7"/>
  <c r="AM640" i="5"/>
  <c r="S555" i="2"/>
  <c r="V555" i="2" s="1"/>
  <c r="AR596" i="2"/>
  <c r="AZ595" i="2"/>
  <c r="AK555" i="2"/>
  <c r="AB556" i="2"/>
  <c r="AD556" i="2" s="1"/>
  <c r="X600" i="5" l="1"/>
  <c r="O601" i="5"/>
  <c r="P601" i="5" s="1"/>
  <c r="N601" i="5"/>
  <c r="AV591" i="5"/>
  <c r="AW591" i="5" s="1"/>
  <c r="BA591" i="5" s="1"/>
  <c r="AT596" i="2"/>
  <c r="BO265" i="5"/>
  <c r="BP265" i="5" s="1"/>
  <c r="AL641" i="5"/>
  <c r="AC642" i="5" s="1"/>
  <c r="AE556" i="2"/>
  <c r="S601" i="5" l="1"/>
  <c r="T601" i="5" s="1"/>
  <c r="AT592" i="5"/>
  <c r="BB591" i="5"/>
  <c r="AU596" i="2"/>
  <c r="W555" i="2"/>
  <c r="BK266" i="5"/>
  <c r="AE642" i="5"/>
  <c r="AF642" i="5" s="1"/>
  <c r="M556" i="2"/>
  <c r="N556" i="2"/>
  <c r="O556" i="2" s="1"/>
  <c r="AM641" i="5"/>
  <c r="AJ556" i="2"/>
  <c r="W601" i="5" l="1"/>
  <c r="AV592" i="5"/>
  <c r="AW592" i="5" s="1"/>
  <c r="AY596" i="2"/>
  <c r="BM266" i="5"/>
  <c r="BN266" i="5" s="1"/>
  <c r="BO266" i="5" s="1"/>
  <c r="BP266" i="5" s="1"/>
  <c r="R556" i="2"/>
  <c r="S556" i="2" s="1"/>
  <c r="AL642" i="5"/>
  <c r="AC643" i="5" s="1"/>
  <c r="AK556" i="2"/>
  <c r="AB557" i="2"/>
  <c r="AD557" i="2" s="1"/>
  <c r="O602" i="5" l="1"/>
  <c r="P602" i="5" s="1"/>
  <c r="X601" i="5"/>
  <c r="N602" i="5"/>
  <c r="BA592" i="5"/>
  <c r="AZ596" i="2"/>
  <c r="AR597" i="2"/>
  <c r="AT597" i="2" s="1"/>
  <c r="V556" i="2"/>
  <c r="BK267" i="5"/>
  <c r="AE643" i="5"/>
  <c r="AF643" i="5" s="1"/>
  <c r="AM642" i="5"/>
  <c r="AE557" i="2"/>
  <c r="S602" i="5" l="1"/>
  <c r="T602" i="5" s="1"/>
  <c r="AT593" i="5"/>
  <c r="BB592" i="5"/>
  <c r="AU597" i="2"/>
  <c r="AY597" i="2" s="1"/>
  <c r="BM267" i="5"/>
  <c r="BN267" i="5" s="1"/>
  <c r="W556" i="2"/>
  <c r="N557" i="2"/>
  <c r="O557" i="2" s="1"/>
  <c r="M557" i="2"/>
  <c r="AL643" i="5"/>
  <c r="AC644" i="5" s="1"/>
  <c r="AJ557" i="2"/>
  <c r="W602" i="5" l="1"/>
  <c r="AV593" i="5"/>
  <c r="AW593" i="5" s="1"/>
  <c r="BO267" i="5"/>
  <c r="BP267" i="5" s="1"/>
  <c r="AE644" i="5"/>
  <c r="AF644" i="5" s="1"/>
  <c r="R557" i="2"/>
  <c r="S557" i="2" s="1"/>
  <c r="AM643" i="5"/>
  <c r="AR598" i="2"/>
  <c r="AZ597" i="2"/>
  <c r="AK557" i="2"/>
  <c r="AB558" i="2"/>
  <c r="AD558" i="2" s="1"/>
  <c r="BA593" i="5" l="1"/>
  <c r="N603" i="5"/>
  <c r="O603" i="5"/>
  <c r="P603" i="5" s="1"/>
  <c r="X602" i="5"/>
  <c r="AT598" i="2"/>
  <c r="AU598" i="2" s="1"/>
  <c r="V557" i="2"/>
  <c r="BK268" i="5"/>
  <c r="BM268" i="5" s="1"/>
  <c r="BN268" i="5" s="1"/>
  <c r="AL644" i="5"/>
  <c r="AC645" i="5" s="1"/>
  <c r="AE558" i="2"/>
  <c r="AT594" i="5" l="1"/>
  <c r="AV594" i="5" s="1"/>
  <c r="AW594" i="5" s="1"/>
  <c r="BB593" i="5"/>
  <c r="S603" i="5"/>
  <c r="T603" i="5" s="1"/>
  <c r="AY598" i="2"/>
  <c r="BO268" i="5"/>
  <c r="BP268" i="5" s="1"/>
  <c r="AE645" i="5"/>
  <c r="AF645" i="5" s="1"/>
  <c r="W557" i="2"/>
  <c r="N558" i="2"/>
  <c r="O558" i="2" s="1"/>
  <c r="M558" i="2"/>
  <c r="AM644" i="5"/>
  <c r="AJ558" i="2"/>
  <c r="W603" i="5" l="1"/>
  <c r="BA594" i="5"/>
  <c r="AT595" i="5" s="1"/>
  <c r="BK269" i="5"/>
  <c r="R558" i="2"/>
  <c r="S558" i="2" s="1"/>
  <c r="AZ598" i="2"/>
  <c r="AR599" i="2"/>
  <c r="AK558" i="2"/>
  <c r="AB559" i="2"/>
  <c r="AD559" i="2" s="1"/>
  <c r="BB594" i="5" l="1"/>
  <c r="X603" i="5"/>
  <c r="O604" i="5"/>
  <c r="P604" i="5" s="1"/>
  <c r="N604" i="5"/>
  <c r="AV595" i="5"/>
  <c r="AW595" i="5" s="1"/>
  <c r="BA595" i="5" s="1"/>
  <c r="AT599" i="2"/>
  <c r="AU599" i="2" s="1"/>
  <c r="V558" i="2"/>
  <c r="BM269" i="5"/>
  <c r="BN269" i="5" s="1"/>
  <c r="AL645" i="5"/>
  <c r="AC646" i="5" s="1"/>
  <c r="AE559" i="2"/>
  <c r="S604" i="5" l="1"/>
  <c r="T604" i="5" s="1"/>
  <c r="W604" i="5" s="1"/>
  <c r="AT596" i="5"/>
  <c r="BB595" i="5"/>
  <c r="AY599" i="2"/>
  <c r="BO269" i="5"/>
  <c r="BP269" i="5" s="1"/>
  <c r="AE646" i="5"/>
  <c r="AF646" i="5" s="1"/>
  <c r="W558" i="2"/>
  <c r="N559" i="2"/>
  <c r="O559" i="2" s="1"/>
  <c r="M559" i="2"/>
  <c r="AM645" i="5"/>
  <c r="AJ559" i="2"/>
  <c r="N605" i="5" l="1"/>
  <c r="X604" i="5"/>
  <c r="O605" i="5"/>
  <c r="P605" i="5" s="1"/>
  <c r="AV596" i="5"/>
  <c r="AW596" i="5" s="1"/>
  <c r="BA596" i="5" s="1"/>
  <c r="BK270" i="5"/>
  <c r="J72" i="7"/>
  <c r="J44" i="6"/>
  <c r="R559" i="2"/>
  <c r="S559" i="2" s="1"/>
  <c r="AL646" i="5"/>
  <c r="AC647" i="5" s="1"/>
  <c r="AZ599" i="2"/>
  <c r="AR600" i="2"/>
  <c r="AK559" i="2"/>
  <c r="AB560" i="2"/>
  <c r="AD560" i="2" s="1"/>
  <c r="S605" i="5" l="1"/>
  <c r="AT597" i="5"/>
  <c r="BB596" i="5"/>
  <c r="AT600" i="2"/>
  <c r="V559" i="2"/>
  <c r="BM270" i="5"/>
  <c r="BN270" i="5" s="1"/>
  <c r="AE647" i="5"/>
  <c r="AF647" i="5" s="1"/>
  <c r="AM646" i="5"/>
  <c r="AE560" i="2"/>
  <c r="T605" i="5" l="1"/>
  <c r="W605" i="5" s="1"/>
  <c r="AV597" i="5"/>
  <c r="AW597" i="5" s="1"/>
  <c r="BA597" i="5" s="1"/>
  <c r="AU600" i="2"/>
  <c r="AY600" i="2" s="1"/>
  <c r="BO270" i="5"/>
  <c r="BP270" i="5" s="1"/>
  <c r="H44" i="6"/>
  <c r="L44" i="6" s="1"/>
  <c r="H72" i="7"/>
  <c r="L72" i="7" s="1"/>
  <c r="M560" i="2"/>
  <c r="N560" i="2"/>
  <c r="O560" i="2" s="1"/>
  <c r="W559" i="2"/>
  <c r="AL647" i="5"/>
  <c r="AC648" i="5" s="1"/>
  <c r="AJ560" i="2"/>
  <c r="X605" i="5" l="1"/>
  <c r="N606" i="5"/>
  <c r="O606" i="5"/>
  <c r="P606" i="5" s="1"/>
  <c r="AT598" i="5"/>
  <c r="BB597" i="5"/>
  <c r="BK271" i="5"/>
  <c r="AE648" i="5"/>
  <c r="AF648" i="5" s="1"/>
  <c r="AR601" i="2"/>
  <c r="M44" i="6"/>
  <c r="M72" i="7"/>
  <c r="R560" i="2"/>
  <c r="S560" i="2" s="1"/>
  <c r="AM647" i="5"/>
  <c r="AZ600" i="2"/>
  <c r="AK560" i="2"/>
  <c r="AB561" i="2"/>
  <c r="AD561" i="2" s="1"/>
  <c r="S606" i="5" l="1"/>
  <c r="T606" i="5" s="1"/>
  <c r="AV598" i="5"/>
  <c r="AW598" i="5" s="1"/>
  <c r="BA598" i="5" s="1"/>
  <c r="AT601" i="2"/>
  <c r="AU601" i="2" s="1"/>
  <c r="V560" i="2"/>
  <c r="N561" i="2" s="1"/>
  <c r="O561" i="2" s="1"/>
  <c r="BM271" i="5"/>
  <c r="BN271" i="5" s="1"/>
  <c r="AE561" i="2"/>
  <c r="W606" i="5" l="1"/>
  <c r="N607" i="5" s="1"/>
  <c r="AT599" i="5"/>
  <c r="BB598" i="5"/>
  <c r="AY601" i="2"/>
  <c r="AZ601" i="2" s="1"/>
  <c r="M561" i="2"/>
  <c r="W560" i="2"/>
  <c r="BO271" i="5"/>
  <c r="BP271" i="5" s="1"/>
  <c r="AL648" i="5"/>
  <c r="AC649" i="5" s="1"/>
  <c r="AJ561" i="2"/>
  <c r="X606" i="5" l="1"/>
  <c r="O607" i="5"/>
  <c r="P607" i="5" s="1"/>
  <c r="S607" i="5" s="1"/>
  <c r="T607" i="5" s="1"/>
  <c r="AV599" i="5"/>
  <c r="AW599" i="5" s="1"/>
  <c r="BA599" i="5" s="1"/>
  <c r="AR602" i="2"/>
  <c r="AT602" i="2" s="1"/>
  <c r="R561" i="2"/>
  <c r="S561" i="2" s="1"/>
  <c r="M48" i="9"/>
  <c r="K48" i="9"/>
  <c r="L48" i="9" s="1"/>
  <c r="BK272" i="5"/>
  <c r="AE649" i="5"/>
  <c r="AF649" i="5" s="1"/>
  <c r="AM648" i="5"/>
  <c r="AK561" i="2"/>
  <c r="AB562" i="2"/>
  <c r="AD562" i="2" s="1"/>
  <c r="W607" i="5" l="1"/>
  <c r="AT600" i="5"/>
  <c r="BB599" i="5"/>
  <c r="V561" i="2"/>
  <c r="BM272" i="5"/>
  <c r="BN272" i="5" s="1"/>
  <c r="AL649" i="5"/>
  <c r="AC650" i="5" s="1"/>
  <c r="AU602" i="2"/>
  <c r="AY602" i="2" s="1"/>
  <c r="AE562" i="2"/>
  <c r="O608" i="5" l="1"/>
  <c r="P608" i="5" s="1"/>
  <c r="N608" i="5"/>
  <c r="X607" i="5"/>
  <c r="AV600" i="5"/>
  <c r="AW600" i="5" s="1"/>
  <c r="BA600" i="5" s="1"/>
  <c r="M562" i="2"/>
  <c r="N562" i="2"/>
  <c r="O562" i="2" s="1"/>
  <c r="W561" i="2"/>
  <c r="BO272" i="5"/>
  <c r="BP272" i="5" s="1"/>
  <c r="AE650" i="5"/>
  <c r="AF650" i="5" s="1"/>
  <c r="AM649" i="5"/>
  <c r="AZ602" i="2"/>
  <c r="AJ562" i="2"/>
  <c r="S608" i="5" l="1"/>
  <c r="AT601" i="5"/>
  <c r="BB600" i="5"/>
  <c r="AR603" i="2"/>
  <c r="R562" i="2"/>
  <c r="S562" i="2" s="1"/>
  <c r="V562" i="2" s="1"/>
  <c r="BK273" i="5"/>
  <c r="AL650" i="5"/>
  <c r="AC651" i="5" s="1"/>
  <c r="AK562" i="2"/>
  <c r="AB563" i="2"/>
  <c r="AD563" i="2" s="1"/>
  <c r="T608" i="5" l="1"/>
  <c r="W608" i="5" s="1"/>
  <c r="AV601" i="5"/>
  <c r="AW601" i="5" s="1"/>
  <c r="BA601" i="5" s="1"/>
  <c r="AT603" i="2"/>
  <c r="AU603" i="2" s="1"/>
  <c r="BM273" i="5"/>
  <c r="BN273" i="5" s="1"/>
  <c r="AE651" i="5"/>
  <c r="AF651" i="5" s="1"/>
  <c r="W562" i="2"/>
  <c r="M563" i="2"/>
  <c r="N563" i="2"/>
  <c r="O563" i="2" s="1"/>
  <c r="AM650" i="5"/>
  <c r="AE563" i="2"/>
  <c r="O609" i="5" l="1"/>
  <c r="P609" i="5" s="1"/>
  <c r="N609" i="5"/>
  <c r="X608" i="5"/>
  <c r="BB601" i="5"/>
  <c r="AT602" i="5"/>
  <c r="AY603" i="2"/>
  <c r="BO273" i="5"/>
  <c r="BP273" i="5" s="1"/>
  <c r="R563" i="2"/>
  <c r="S563" i="2" s="1"/>
  <c r="AL651" i="5"/>
  <c r="AC652" i="5" s="1"/>
  <c r="AJ563" i="2"/>
  <c r="S609" i="5" l="1"/>
  <c r="T609" i="5" s="1"/>
  <c r="AV602" i="5"/>
  <c r="AW602" i="5" s="1"/>
  <c r="BA602" i="5" s="1"/>
  <c r="AR604" i="2"/>
  <c r="AZ603" i="2"/>
  <c r="V563" i="2"/>
  <c r="BK274" i="5"/>
  <c r="AE652" i="5"/>
  <c r="AF652" i="5" s="1"/>
  <c r="AM651" i="5"/>
  <c r="AK563" i="2"/>
  <c r="AB564" i="2"/>
  <c r="AD564" i="2" s="1"/>
  <c r="W609" i="5" l="1"/>
  <c r="AT603" i="5"/>
  <c r="BB602" i="5"/>
  <c r="AT604" i="2"/>
  <c r="AU604" i="2" s="1"/>
  <c r="W563" i="2"/>
  <c r="BM274" i="5"/>
  <c r="BN274" i="5" s="1"/>
  <c r="N564" i="2"/>
  <c r="O564" i="2" s="1"/>
  <c r="M564" i="2"/>
  <c r="AL652" i="5"/>
  <c r="AC653" i="5" s="1"/>
  <c r="AE564" i="2"/>
  <c r="O610" i="5" l="1"/>
  <c r="P610" i="5" s="1"/>
  <c r="N610" i="5"/>
  <c r="X609" i="5"/>
  <c r="AV603" i="5"/>
  <c r="AW603" i="5" s="1"/>
  <c r="BA603" i="5" s="1"/>
  <c r="AY604" i="2"/>
  <c r="AR605" i="2" s="1"/>
  <c r="BO274" i="5"/>
  <c r="BP274" i="5" s="1"/>
  <c r="AE653" i="5"/>
  <c r="AF653" i="5" s="1"/>
  <c r="R564" i="2"/>
  <c r="S564" i="2" s="1"/>
  <c r="AM652" i="5"/>
  <c r="AJ564" i="2"/>
  <c r="S610" i="5" l="1"/>
  <c r="T610" i="5" s="1"/>
  <c r="W610" i="5" s="1"/>
  <c r="AT604" i="5"/>
  <c r="BB603" i="5"/>
  <c r="AZ604" i="2"/>
  <c r="AT605" i="2"/>
  <c r="AU605" i="2" s="1"/>
  <c r="V564" i="2"/>
  <c r="BK275" i="5"/>
  <c r="AL653" i="5"/>
  <c r="AC654" i="5" s="1"/>
  <c r="AK564" i="2"/>
  <c r="AB565" i="2"/>
  <c r="AD565" i="2" s="1"/>
  <c r="N611" i="5" l="1"/>
  <c r="X610" i="5"/>
  <c r="O611" i="5"/>
  <c r="P611" i="5" s="1"/>
  <c r="AV604" i="5"/>
  <c r="AW604" i="5" s="1"/>
  <c r="AY605" i="2"/>
  <c r="BM275" i="5"/>
  <c r="BN275" i="5" s="1"/>
  <c r="AE654" i="5"/>
  <c r="AF654" i="5" s="1"/>
  <c r="W564" i="2"/>
  <c r="N565" i="2"/>
  <c r="O565" i="2" s="1"/>
  <c r="M565" i="2"/>
  <c r="AM653" i="5"/>
  <c r="AE565" i="2"/>
  <c r="S611" i="5" l="1"/>
  <c r="T611" i="5" s="1"/>
  <c r="BA604" i="5"/>
  <c r="AZ605" i="2"/>
  <c r="AR606" i="2"/>
  <c r="BO275" i="5"/>
  <c r="BP275" i="5" s="1"/>
  <c r="R565" i="2"/>
  <c r="S565" i="2" s="1"/>
  <c r="AL654" i="5"/>
  <c r="AC655" i="5" s="1"/>
  <c r="AJ565" i="2"/>
  <c r="W611" i="5" l="1"/>
  <c r="X611" i="5" s="1"/>
  <c r="BB604" i="5"/>
  <c r="AT605" i="5"/>
  <c r="AT606" i="2"/>
  <c r="AU606" i="2" s="1"/>
  <c r="V565" i="2"/>
  <c r="BK276" i="5"/>
  <c r="AE655" i="5"/>
  <c r="AF655" i="5" s="1"/>
  <c r="AM654" i="5"/>
  <c r="AK565" i="2"/>
  <c r="AB566" i="2"/>
  <c r="AD566" i="2" s="1"/>
  <c r="O612" i="5" l="1"/>
  <c r="P612" i="5" s="1"/>
  <c r="N612" i="5"/>
  <c r="AV605" i="5"/>
  <c r="AW605" i="5" s="1"/>
  <c r="BA605" i="5" s="1"/>
  <c r="AY606" i="2"/>
  <c r="BM276" i="5"/>
  <c r="BN276" i="5" s="1"/>
  <c r="W565" i="2"/>
  <c r="M566" i="2"/>
  <c r="N566" i="2"/>
  <c r="O566" i="2" s="1"/>
  <c r="AL655" i="5"/>
  <c r="AC656" i="5" s="1"/>
  <c r="AE566" i="2"/>
  <c r="S612" i="5" l="1"/>
  <c r="T612" i="5" s="1"/>
  <c r="BB605" i="5"/>
  <c r="AT606" i="5"/>
  <c r="AZ606" i="2"/>
  <c r="AR607" i="2"/>
  <c r="BO276" i="5"/>
  <c r="BP276" i="5" s="1"/>
  <c r="AE656" i="5"/>
  <c r="AF656" i="5" s="1"/>
  <c r="R566" i="2"/>
  <c r="S566" i="2" s="1"/>
  <c r="AM655" i="5"/>
  <c r="AJ566" i="2"/>
  <c r="W612" i="5" l="1"/>
  <c r="AV606" i="5"/>
  <c r="AW606" i="5" s="1"/>
  <c r="BA606" i="5" s="1"/>
  <c r="AT607" i="2"/>
  <c r="V566" i="2"/>
  <c r="BK277" i="5"/>
  <c r="AK566" i="2"/>
  <c r="AB567" i="2"/>
  <c r="AD567" i="2" s="1"/>
  <c r="X612" i="5" l="1"/>
  <c r="N613" i="5"/>
  <c r="O613" i="5"/>
  <c r="P613" i="5" s="1"/>
  <c r="AT607" i="5"/>
  <c r="BB606" i="5"/>
  <c r="AU607" i="2"/>
  <c r="AY607" i="2" s="1"/>
  <c r="BM277" i="5"/>
  <c r="BN277" i="5" s="1"/>
  <c r="W566" i="2"/>
  <c r="M567" i="2"/>
  <c r="N567" i="2"/>
  <c r="O567" i="2" s="1"/>
  <c r="AL656" i="5"/>
  <c r="AC657" i="5" s="1"/>
  <c r="AE567" i="2"/>
  <c r="S613" i="5" l="1"/>
  <c r="T613" i="5" s="1"/>
  <c r="AV607" i="5"/>
  <c r="AW607" i="5" s="1"/>
  <c r="BA607" i="5" s="1"/>
  <c r="AR608" i="2"/>
  <c r="AZ607" i="2"/>
  <c r="I76" i="7"/>
  <c r="BO277" i="5"/>
  <c r="BP277" i="5" s="1"/>
  <c r="AE657" i="5"/>
  <c r="AF657" i="5" s="1"/>
  <c r="R567" i="2"/>
  <c r="S567" i="2" s="1"/>
  <c r="AM656" i="5"/>
  <c r="AJ567" i="2"/>
  <c r="W613" i="5" l="1"/>
  <c r="X613" i="5" s="1"/>
  <c r="O614" i="5"/>
  <c r="P614" i="5" s="1"/>
  <c r="N614" i="5"/>
  <c r="AT608" i="5"/>
  <c r="BB607" i="5"/>
  <c r="AT608" i="2"/>
  <c r="AU608" i="2" s="1"/>
  <c r="AY608" i="2" s="1"/>
  <c r="V567" i="2"/>
  <c r="BK278" i="5"/>
  <c r="AK567" i="2"/>
  <c r="AB568" i="2"/>
  <c r="AD568" i="2" s="1"/>
  <c r="S614" i="5" l="1"/>
  <c r="T614" i="5" s="1"/>
  <c r="W614" i="5" s="1"/>
  <c r="AV608" i="5"/>
  <c r="AW608" i="5" s="1"/>
  <c r="BA608" i="5" s="1"/>
  <c r="AZ608" i="2"/>
  <c r="AR609" i="2"/>
  <c r="W567" i="2"/>
  <c r="BM278" i="5"/>
  <c r="BN278" i="5" s="1"/>
  <c r="N568" i="2"/>
  <c r="O568" i="2" s="1"/>
  <c r="M568" i="2"/>
  <c r="AL657" i="5"/>
  <c r="AC658" i="5" s="1"/>
  <c r="AE568" i="2"/>
  <c r="X614" i="5" l="1"/>
  <c r="N615" i="5"/>
  <c r="O615" i="5"/>
  <c r="P615" i="5" s="1"/>
  <c r="AT609" i="5"/>
  <c r="BB608" i="5"/>
  <c r="AT609" i="2"/>
  <c r="AU609" i="2" s="1"/>
  <c r="BO278" i="5"/>
  <c r="BP278" i="5" s="1"/>
  <c r="AE658" i="5"/>
  <c r="AF658" i="5" s="1"/>
  <c r="R568" i="2"/>
  <c r="S568" i="2" s="1"/>
  <c r="AM657" i="5"/>
  <c r="AJ568" i="2"/>
  <c r="S615" i="5" l="1"/>
  <c r="T615" i="5" s="1"/>
  <c r="W615" i="5" s="1"/>
  <c r="X615" i="5" s="1"/>
  <c r="AV609" i="5"/>
  <c r="AW609" i="5" s="1"/>
  <c r="AY609" i="2"/>
  <c r="V568" i="2"/>
  <c r="BK279" i="5"/>
  <c r="AL658" i="5"/>
  <c r="AC659" i="5" s="1"/>
  <c r="AK568" i="2"/>
  <c r="AB569" i="2"/>
  <c r="AD569" i="2" s="1"/>
  <c r="N616" i="5" l="1"/>
  <c r="O616" i="5"/>
  <c r="P616" i="5" s="1"/>
  <c r="BA609" i="5"/>
  <c r="AZ609" i="2"/>
  <c r="AR610" i="2"/>
  <c r="BM279" i="5"/>
  <c r="AE659" i="5"/>
  <c r="AF659" i="5" s="1"/>
  <c r="W568" i="2"/>
  <c r="N569" i="2"/>
  <c r="O569" i="2" s="1"/>
  <c r="M569" i="2"/>
  <c r="AM658" i="5"/>
  <c r="AE569" i="2"/>
  <c r="S616" i="5" l="1"/>
  <c r="T616" i="5" s="1"/>
  <c r="AT610" i="5"/>
  <c r="BB609" i="5"/>
  <c r="AT610" i="2"/>
  <c r="BN279" i="5"/>
  <c r="BO279" i="5" s="1"/>
  <c r="BP279" i="5" s="1"/>
  <c r="R569" i="2"/>
  <c r="S569" i="2" s="1"/>
  <c r="AL659" i="5"/>
  <c r="AC660" i="5" s="1"/>
  <c r="AJ569" i="2"/>
  <c r="W616" i="5" l="1"/>
  <c r="AV610" i="5"/>
  <c r="AW610" i="5" s="1"/>
  <c r="AU610" i="2"/>
  <c r="AY610" i="2" s="1"/>
  <c r="V569" i="2"/>
  <c r="BK280" i="5"/>
  <c r="AE660" i="5"/>
  <c r="AF660" i="5" s="1"/>
  <c r="AM659" i="5"/>
  <c r="AK569" i="2"/>
  <c r="AB570" i="2"/>
  <c r="AD570" i="2" s="1"/>
  <c r="X616" i="5" l="1"/>
  <c r="O617" i="5"/>
  <c r="P617" i="5" s="1"/>
  <c r="N617" i="5"/>
  <c r="BA610" i="5"/>
  <c r="AZ610" i="2"/>
  <c r="AR611" i="2"/>
  <c r="BM280" i="5"/>
  <c r="BN280" i="5" s="1"/>
  <c r="W569" i="2"/>
  <c r="M570" i="2"/>
  <c r="N570" i="2"/>
  <c r="O570" i="2" s="1"/>
  <c r="AL660" i="5"/>
  <c r="AC661" i="5" s="1"/>
  <c r="AE570" i="2"/>
  <c r="S617" i="5" l="1"/>
  <c r="T617" i="5" s="1"/>
  <c r="AT611" i="5"/>
  <c r="BB610" i="5"/>
  <c r="AT611" i="2"/>
  <c r="AU611" i="2" s="1"/>
  <c r="BO280" i="5"/>
  <c r="BP280" i="5" s="1"/>
  <c r="AE661" i="5"/>
  <c r="AF661" i="5" s="1"/>
  <c r="R570" i="2"/>
  <c r="S570" i="2" s="1"/>
  <c r="AM660" i="5"/>
  <c r="AJ570" i="2"/>
  <c r="W617" i="5" l="1"/>
  <c r="AV611" i="5"/>
  <c r="AW611" i="5" s="1"/>
  <c r="AY611" i="2"/>
  <c r="V570" i="2"/>
  <c r="W570" i="2" s="1"/>
  <c r="BK281" i="5"/>
  <c r="AL661" i="5"/>
  <c r="AC662" i="5" s="1"/>
  <c r="AK570" i="2"/>
  <c r="AB571" i="2"/>
  <c r="AD571" i="2" s="1"/>
  <c r="N618" i="5" l="1"/>
  <c r="X617" i="5"/>
  <c r="O618" i="5"/>
  <c r="P618" i="5" s="1"/>
  <c r="BA611" i="5"/>
  <c r="AR612" i="2"/>
  <c r="AZ611" i="2"/>
  <c r="M571" i="2"/>
  <c r="N571" i="2"/>
  <c r="O571" i="2" s="1"/>
  <c r="BM281" i="5"/>
  <c r="BN281" i="5" s="1"/>
  <c r="AE662" i="5"/>
  <c r="AF662" i="5" s="1"/>
  <c r="AM661" i="5"/>
  <c r="AE571" i="2"/>
  <c r="S618" i="5" l="1"/>
  <c r="T618" i="5" s="1"/>
  <c r="W618" i="5" s="1"/>
  <c r="AT612" i="5"/>
  <c r="BB611" i="5"/>
  <c r="AT612" i="2"/>
  <c r="R571" i="2"/>
  <c r="S571" i="2" s="1"/>
  <c r="BO281" i="5"/>
  <c r="BP281" i="5" s="1"/>
  <c r="AJ571" i="2"/>
  <c r="X618" i="5" l="1"/>
  <c r="O619" i="5"/>
  <c r="P619" i="5" s="1"/>
  <c r="N619" i="5"/>
  <c r="AV612" i="5"/>
  <c r="AW612" i="5" s="1"/>
  <c r="AU612" i="2"/>
  <c r="AY612" i="2" s="1"/>
  <c r="V571" i="2"/>
  <c r="BK282" i="5"/>
  <c r="BM282" i="5" s="1"/>
  <c r="BN282" i="5" s="1"/>
  <c r="J73" i="7"/>
  <c r="AL662" i="5"/>
  <c r="AC663" i="5" s="1"/>
  <c r="AK571" i="2"/>
  <c r="AB572" i="2"/>
  <c r="AD572" i="2" s="1"/>
  <c r="S619" i="5" l="1"/>
  <c r="T619" i="5" s="1"/>
  <c r="W619" i="5" s="1"/>
  <c r="BA612" i="5"/>
  <c r="AR613" i="2"/>
  <c r="AZ612" i="2"/>
  <c r="H73" i="7"/>
  <c r="L73" i="7" s="1"/>
  <c r="N572" i="2"/>
  <c r="O572" i="2" s="1"/>
  <c r="W571" i="2"/>
  <c r="M73" i="7" s="1"/>
  <c r="M572" i="2"/>
  <c r="BO282" i="5"/>
  <c r="BP282" i="5" s="1"/>
  <c r="AE663" i="5"/>
  <c r="AF663" i="5" s="1"/>
  <c r="AM662" i="5"/>
  <c r="AE572" i="2"/>
  <c r="O620" i="5" l="1"/>
  <c r="P620" i="5" s="1"/>
  <c r="N620" i="5"/>
  <c r="X619" i="5"/>
  <c r="BB612" i="5"/>
  <c r="AT613" i="5"/>
  <c r="AT613" i="2"/>
  <c r="R572" i="2"/>
  <c r="S572" i="2" s="1"/>
  <c r="V572" i="2" s="1"/>
  <c r="BK283" i="5"/>
  <c r="AL663" i="5"/>
  <c r="AC664" i="5" s="1"/>
  <c r="AJ572" i="2"/>
  <c r="S620" i="5" l="1"/>
  <c r="T620" i="5" s="1"/>
  <c r="AV613" i="5"/>
  <c r="AW613" i="5" s="1"/>
  <c r="AU613" i="2"/>
  <c r="AY613" i="2" s="1"/>
  <c r="BM283" i="5"/>
  <c r="BN283" i="5" s="1"/>
  <c r="AE664" i="5"/>
  <c r="AF664" i="5" s="1"/>
  <c r="W572" i="2"/>
  <c r="AM663" i="5"/>
  <c r="N573" i="2"/>
  <c r="O573" i="2" s="1"/>
  <c r="M573" i="2"/>
  <c r="AK572" i="2"/>
  <c r="AB573" i="2"/>
  <c r="AD573" i="2" s="1"/>
  <c r="W620" i="5" l="1"/>
  <c r="BA613" i="5"/>
  <c r="AZ613" i="2"/>
  <c r="AR614" i="2"/>
  <c r="BO283" i="5"/>
  <c r="BP283" i="5" s="1"/>
  <c r="R573" i="2"/>
  <c r="S573" i="2" s="1"/>
  <c r="AE573" i="2"/>
  <c r="O621" i="5" l="1"/>
  <c r="P621" i="5" s="1"/>
  <c r="N621" i="5"/>
  <c r="X620" i="5"/>
  <c r="BB613" i="5"/>
  <c r="AT614" i="5"/>
  <c r="AT614" i="2"/>
  <c r="AU614" i="2" s="1"/>
  <c r="V573" i="2"/>
  <c r="M49" i="9"/>
  <c r="BK284" i="5"/>
  <c r="K49" i="9"/>
  <c r="L49" i="9" s="1"/>
  <c r="AL664" i="5"/>
  <c r="AC665" i="5" s="1"/>
  <c r="AJ573" i="2"/>
  <c r="S621" i="5" l="1"/>
  <c r="T621" i="5" s="1"/>
  <c r="AV614" i="5"/>
  <c r="AW614" i="5" s="1"/>
  <c r="BA614" i="5" s="1"/>
  <c r="AY614" i="2"/>
  <c r="BM284" i="5"/>
  <c r="BN284" i="5" s="1"/>
  <c r="AE665" i="5"/>
  <c r="AF665" i="5" s="1"/>
  <c r="W573" i="2"/>
  <c r="AM664" i="5"/>
  <c r="M574" i="2"/>
  <c r="N574" i="2"/>
  <c r="O574" i="2" s="1"/>
  <c r="AK573" i="2"/>
  <c r="AB574" i="2"/>
  <c r="AD574" i="2" s="1"/>
  <c r="W621" i="5" l="1"/>
  <c r="AT615" i="5"/>
  <c r="BB614" i="5"/>
  <c r="AZ614" i="2"/>
  <c r="AR615" i="2"/>
  <c r="BO284" i="5"/>
  <c r="BP284" i="5" s="1"/>
  <c r="AL665" i="5"/>
  <c r="AC666" i="5" s="1"/>
  <c r="R574" i="2"/>
  <c r="S574" i="2" s="1"/>
  <c r="AE574" i="2"/>
  <c r="X621" i="5" l="1"/>
  <c r="N622" i="5"/>
  <c r="O622" i="5"/>
  <c r="P622" i="5" s="1"/>
  <c r="AV615" i="5"/>
  <c r="AW615" i="5" s="1"/>
  <c r="AT615" i="2"/>
  <c r="V574" i="2"/>
  <c r="BK285" i="5"/>
  <c r="AE666" i="5"/>
  <c r="AF666" i="5" s="1"/>
  <c r="AM665" i="5"/>
  <c r="AJ574" i="2"/>
  <c r="BA615" i="5" l="1"/>
  <c r="S622" i="5"/>
  <c r="T622" i="5" s="1"/>
  <c r="AU615" i="2"/>
  <c r="AY615" i="2" s="1"/>
  <c r="BM285" i="5"/>
  <c r="BN285" i="5" s="1"/>
  <c r="W574" i="2"/>
  <c r="AL666" i="5"/>
  <c r="AC667" i="5" s="1"/>
  <c r="M575" i="2"/>
  <c r="N575" i="2"/>
  <c r="O575" i="2" s="1"/>
  <c r="AK574" i="2"/>
  <c r="AB575" i="2"/>
  <c r="AD575" i="2" s="1"/>
  <c r="AT616" i="5" l="1"/>
  <c r="AV616" i="5" s="1"/>
  <c r="AW616" i="5" s="1"/>
  <c r="BB615" i="5"/>
  <c r="W622" i="5"/>
  <c r="AR616" i="2"/>
  <c r="AZ615" i="2"/>
  <c r="BO285" i="5"/>
  <c r="BP285" i="5" s="1"/>
  <c r="AE667" i="5"/>
  <c r="AF667" i="5" s="1"/>
  <c r="AM666" i="5"/>
  <c r="R575" i="2"/>
  <c r="S575" i="2" s="1"/>
  <c r="AE575" i="2"/>
  <c r="X622" i="5" l="1"/>
  <c r="O623" i="5"/>
  <c r="P623" i="5" s="1"/>
  <c r="N623" i="5"/>
  <c r="BA616" i="5"/>
  <c r="AT616" i="2"/>
  <c r="AU616" i="2" s="1"/>
  <c r="V575" i="2"/>
  <c r="BK286" i="5"/>
  <c r="AJ575" i="2"/>
  <c r="S623" i="5" l="1"/>
  <c r="T623" i="5" s="1"/>
  <c r="W623" i="5" s="1"/>
  <c r="AT617" i="5"/>
  <c r="BB616" i="5"/>
  <c r="AY616" i="2"/>
  <c r="BM286" i="5"/>
  <c r="BN286" i="5" s="1"/>
  <c r="W575" i="2"/>
  <c r="AL667" i="5"/>
  <c r="AC668" i="5" s="1"/>
  <c r="M576" i="2"/>
  <c r="N576" i="2"/>
  <c r="O576" i="2" s="1"/>
  <c r="AK575" i="2"/>
  <c r="AB576" i="2"/>
  <c r="AD576" i="2" s="1"/>
  <c r="O624" i="5" l="1"/>
  <c r="P624" i="5" s="1"/>
  <c r="N624" i="5"/>
  <c r="X623" i="5"/>
  <c r="AV617" i="5"/>
  <c r="AW617" i="5" s="1"/>
  <c r="AR617" i="2"/>
  <c r="AZ616" i="2"/>
  <c r="BO286" i="5"/>
  <c r="BP286" i="5" s="1"/>
  <c r="AE668" i="5"/>
  <c r="AF668" i="5" s="1"/>
  <c r="AM667" i="5"/>
  <c r="R576" i="2"/>
  <c r="S576" i="2" s="1"/>
  <c r="AE576" i="2"/>
  <c r="S624" i="5" l="1"/>
  <c r="T624" i="5" s="1"/>
  <c r="W624" i="5" s="1"/>
  <c r="BA617" i="5"/>
  <c r="AT617" i="2"/>
  <c r="V576" i="2"/>
  <c r="BK287" i="5"/>
  <c r="AL668" i="5"/>
  <c r="AC669" i="5" s="1"/>
  <c r="AJ576" i="2"/>
  <c r="O625" i="5" l="1"/>
  <c r="P625" i="5" s="1"/>
  <c r="X624" i="5"/>
  <c r="N625" i="5"/>
  <c r="BB617" i="5"/>
  <c r="AT618" i="5"/>
  <c r="AU617" i="2"/>
  <c r="AY617" i="2" s="1"/>
  <c r="BM287" i="5"/>
  <c r="BN287" i="5" s="1"/>
  <c r="AE669" i="5"/>
  <c r="AF669" i="5" s="1"/>
  <c r="W576" i="2"/>
  <c r="AM668" i="5"/>
  <c r="M577" i="2"/>
  <c r="N577" i="2"/>
  <c r="O577" i="2" s="1"/>
  <c r="AK576" i="2"/>
  <c r="AB577" i="2"/>
  <c r="AD577" i="2" s="1"/>
  <c r="S625" i="5" l="1"/>
  <c r="T625" i="5" s="1"/>
  <c r="W625" i="5" s="1"/>
  <c r="AV618" i="5"/>
  <c r="AW618" i="5" s="1"/>
  <c r="BA618" i="5" s="1"/>
  <c r="AR618" i="2"/>
  <c r="AZ617" i="2"/>
  <c r="BO287" i="5"/>
  <c r="BP287" i="5" s="1"/>
  <c r="R577" i="2"/>
  <c r="S577" i="2" s="1"/>
  <c r="AE577" i="2"/>
  <c r="N626" i="5" l="1"/>
  <c r="X625" i="5"/>
  <c r="O626" i="5"/>
  <c r="P626" i="5" s="1"/>
  <c r="AT619" i="5"/>
  <c r="BB618" i="5"/>
  <c r="AT618" i="2"/>
  <c r="V577" i="2"/>
  <c r="BK288" i="5"/>
  <c r="BM288" i="5" s="1"/>
  <c r="BN288" i="5" s="1"/>
  <c r="AL669" i="5"/>
  <c r="AC670" i="5" s="1"/>
  <c r="AJ577" i="2"/>
  <c r="S626" i="5" l="1"/>
  <c r="T626" i="5" s="1"/>
  <c r="AV619" i="5"/>
  <c r="AW619" i="5" s="1"/>
  <c r="BA619" i="5" s="1"/>
  <c r="AU618" i="2"/>
  <c r="AY618" i="2" s="1"/>
  <c r="BO288" i="5"/>
  <c r="BP288" i="5" s="1"/>
  <c r="AE670" i="5"/>
  <c r="AF670" i="5" s="1"/>
  <c r="W577" i="2"/>
  <c r="AM669" i="5"/>
  <c r="M578" i="2"/>
  <c r="N578" i="2"/>
  <c r="O578" i="2" s="1"/>
  <c r="AK577" i="2"/>
  <c r="AB578" i="2"/>
  <c r="AD578" i="2" s="1"/>
  <c r="W626" i="5" l="1"/>
  <c r="AT620" i="5"/>
  <c r="BB619" i="5"/>
  <c r="AR619" i="2"/>
  <c r="AZ618" i="2"/>
  <c r="BK289" i="5"/>
  <c r="R578" i="2"/>
  <c r="S578" i="2" s="1"/>
  <c r="AE578" i="2"/>
  <c r="N627" i="5" l="1"/>
  <c r="O627" i="5"/>
  <c r="P627" i="5" s="1"/>
  <c r="X626" i="5"/>
  <c r="AV620" i="5"/>
  <c r="AW620" i="5" s="1"/>
  <c r="BA620" i="5" s="1"/>
  <c r="AT619" i="2"/>
  <c r="V578" i="2"/>
  <c r="BM289" i="5"/>
  <c r="AL670" i="5"/>
  <c r="AC671" i="5" s="1"/>
  <c r="AJ578" i="2"/>
  <c r="S627" i="5" l="1"/>
  <c r="BB620" i="5"/>
  <c r="AT621" i="5"/>
  <c r="AU619" i="2"/>
  <c r="AY619" i="2" s="1"/>
  <c r="BN289" i="5"/>
  <c r="BO289" i="5" s="1"/>
  <c r="BP289" i="5" s="1"/>
  <c r="AE671" i="5"/>
  <c r="AF671" i="5" s="1"/>
  <c r="W578" i="2"/>
  <c r="AM670" i="5"/>
  <c r="M579" i="2"/>
  <c r="N579" i="2"/>
  <c r="O579" i="2" s="1"/>
  <c r="AK578" i="2"/>
  <c r="AB579" i="2"/>
  <c r="AD579" i="2" s="1"/>
  <c r="T627" i="5" l="1"/>
  <c r="W627" i="5" s="1"/>
  <c r="AV621" i="5"/>
  <c r="AW621" i="5" s="1"/>
  <c r="I77" i="7"/>
  <c r="AR620" i="2"/>
  <c r="AZ619" i="2"/>
  <c r="I45" i="6"/>
  <c r="BK290" i="5"/>
  <c r="AL671" i="5"/>
  <c r="AC672" i="5" s="1"/>
  <c r="R579" i="2"/>
  <c r="AE579" i="2"/>
  <c r="O628" i="5" l="1"/>
  <c r="P628" i="5" s="1"/>
  <c r="X627" i="5"/>
  <c r="N628" i="5"/>
  <c r="BA621" i="5"/>
  <c r="AT620" i="2"/>
  <c r="BM290" i="5"/>
  <c r="BN290" i="5" s="1"/>
  <c r="BO290" i="5" s="1"/>
  <c r="BP290" i="5" s="1"/>
  <c r="AE672" i="5"/>
  <c r="AF672" i="5" s="1"/>
  <c r="AM671" i="5"/>
  <c r="S579" i="2"/>
  <c r="V579" i="2" s="1"/>
  <c r="AJ579" i="2"/>
  <c r="S628" i="5" l="1"/>
  <c r="T628" i="5" s="1"/>
  <c r="W628" i="5" s="1"/>
  <c r="AT622" i="5"/>
  <c r="BB621" i="5"/>
  <c r="AU620" i="2"/>
  <c r="AY620" i="2" s="1"/>
  <c r="BK291" i="5"/>
  <c r="AK579" i="2"/>
  <c r="AB580" i="2"/>
  <c r="AD580" i="2" s="1"/>
  <c r="O629" i="5" l="1"/>
  <c r="P629" i="5" s="1"/>
  <c r="X628" i="5"/>
  <c r="N629" i="5"/>
  <c r="AV622" i="5"/>
  <c r="AW622" i="5" s="1"/>
  <c r="AR621" i="2"/>
  <c r="AZ620" i="2"/>
  <c r="W579" i="2"/>
  <c r="BM291" i="5"/>
  <c r="BN291" i="5" s="1"/>
  <c r="BO291" i="5" s="1"/>
  <c r="BP291" i="5" s="1"/>
  <c r="N580" i="2"/>
  <c r="O580" i="2" s="1"/>
  <c r="M580" i="2"/>
  <c r="AL672" i="5"/>
  <c r="AC673" i="5" s="1"/>
  <c r="AE580" i="2"/>
  <c r="S629" i="5" l="1"/>
  <c r="T629" i="5" s="1"/>
  <c r="BA622" i="5"/>
  <c r="AT621" i="2"/>
  <c r="BK292" i="5"/>
  <c r="AE673" i="5"/>
  <c r="AF673" i="5" s="1"/>
  <c r="R580" i="2"/>
  <c r="S580" i="2" s="1"/>
  <c r="AM672" i="5"/>
  <c r="AJ580" i="2"/>
  <c r="W629" i="5" l="1"/>
  <c r="X629" i="5" s="1"/>
  <c r="AT623" i="5"/>
  <c r="BB622" i="5"/>
  <c r="AU621" i="2"/>
  <c r="AY621" i="2" s="1"/>
  <c r="V580" i="2"/>
  <c r="BM292" i="5"/>
  <c r="BN292" i="5" s="1"/>
  <c r="AK580" i="2"/>
  <c r="AB581" i="2"/>
  <c r="AD581" i="2" s="1"/>
  <c r="N630" i="5" l="1"/>
  <c r="O630" i="5"/>
  <c r="P630" i="5" s="1"/>
  <c r="AV623" i="5"/>
  <c r="AW623" i="5" s="1"/>
  <c r="AR622" i="2"/>
  <c r="AZ621" i="2"/>
  <c r="BO292" i="5"/>
  <c r="BP292" i="5" s="1"/>
  <c r="W580" i="2"/>
  <c r="M581" i="2"/>
  <c r="N581" i="2"/>
  <c r="O581" i="2" s="1"/>
  <c r="AL673" i="5"/>
  <c r="AC674" i="5" s="1"/>
  <c r="AE581" i="2"/>
  <c r="S630" i="5" l="1"/>
  <c r="T630" i="5" s="1"/>
  <c r="W630" i="5" s="1"/>
  <c r="O631" i="5" s="1"/>
  <c r="P631" i="5" s="1"/>
  <c r="BA623" i="5"/>
  <c r="AT622" i="2"/>
  <c r="AU622" i="2" s="1"/>
  <c r="BK293" i="5"/>
  <c r="AE674" i="5"/>
  <c r="AF674" i="5" s="1"/>
  <c r="R581" i="2"/>
  <c r="S581" i="2" s="1"/>
  <c r="AM673" i="5"/>
  <c r="AJ581" i="2"/>
  <c r="X630" i="5" l="1"/>
  <c r="N631" i="5"/>
  <c r="S631" i="5" s="1"/>
  <c r="T631" i="5" s="1"/>
  <c r="AT624" i="5"/>
  <c r="BB623" i="5"/>
  <c r="AY622" i="2"/>
  <c r="V581" i="2"/>
  <c r="BM293" i="5"/>
  <c r="BN293" i="5" s="1"/>
  <c r="BO293" i="5" s="1"/>
  <c r="BP293" i="5" s="1"/>
  <c r="AL674" i="5"/>
  <c r="AC675" i="5" s="1"/>
  <c r="AK581" i="2"/>
  <c r="AB582" i="2"/>
  <c r="AD582" i="2" s="1"/>
  <c r="AV624" i="5" l="1"/>
  <c r="AW624" i="5" s="1"/>
  <c r="W631" i="5"/>
  <c r="AZ622" i="2"/>
  <c r="AR623" i="2"/>
  <c r="BK294" i="5"/>
  <c r="AE675" i="5"/>
  <c r="AF675" i="5" s="1"/>
  <c r="W581" i="2"/>
  <c r="M582" i="2"/>
  <c r="N582" i="2"/>
  <c r="O582" i="2" s="1"/>
  <c r="AM674" i="5"/>
  <c r="AE582" i="2"/>
  <c r="X631" i="5" l="1"/>
  <c r="O632" i="5"/>
  <c r="P632" i="5" s="1"/>
  <c r="N632" i="5"/>
  <c r="BA624" i="5"/>
  <c r="AT623" i="2"/>
  <c r="BM294" i="5"/>
  <c r="BN294" i="5" s="1"/>
  <c r="BO294" i="5" s="1"/>
  <c r="BP294" i="5" s="1"/>
  <c r="R582" i="2"/>
  <c r="S582" i="2" s="1"/>
  <c r="AL675" i="5"/>
  <c r="AC676" i="5" s="1"/>
  <c r="AJ582" i="2"/>
  <c r="S632" i="5" l="1"/>
  <c r="T632" i="5" s="1"/>
  <c r="AT625" i="5"/>
  <c r="BB624" i="5"/>
  <c r="AU623" i="2"/>
  <c r="AY623" i="2" s="1"/>
  <c r="V582" i="2"/>
  <c r="W582" i="2" s="1"/>
  <c r="BK295" i="5"/>
  <c r="AE676" i="5"/>
  <c r="AF676" i="5" s="1"/>
  <c r="AM675" i="5"/>
  <c r="AK582" i="2"/>
  <c r="AB583" i="2"/>
  <c r="AD583" i="2" s="1"/>
  <c r="AV625" i="5" l="1"/>
  <c r="AW625" i="5" s="1"/>
  <c r="W632" i="5"/>
  <c r="AR624" i="2"/>
  <c r="AT624" i="2" s="1"/>
  <c r="AZ623" i="2"/>
  <c r="N583" i="2"/>
  <c r="O583" i="2" s="1"/>
  <c r="M583" i="2"/>
  <c r="BM295" i="5"/>
  <c r="BN295" i="5" s="1"/>
  <c r="AL676" i="5"/>
  <c r="AC677" i="5" s="1"/>
  <c r="AE583" i="2"/>
  <c r="X632" i="5" l="1"/>
  <c r="N633" i="5"/>
  <c r="O633" i="5"/>
  <c r="P633" i="5" s="1"/>
  <c r="BA625" i="5"/>
  <c r="AU624" i="2"/>
  <c r="AY624" i="2" s="1"/>
  <c r="R583" i="2"/>
  <c r="S583" i="2" s="1"/>
  <c r="BO295" i="5"/>
  <c r="BP295" i="5" s="1"/>
  <c r="AE677" i="5"/>
  <c r="AF677" i="5" s="1"/>
  <c r="AM676" i="5"/>
  <c r="AJ583" i="2"/>
  <c r="S633" i="5" l="1"/>
  <c r="T633" i="5" s="1"/>
  <c r="AT626" i="5"/>
  <c r="BB625" i="5"/>
  <c r="AZ624" i="2"/>
  <c r="AR625" i="2"/>
  <c r="V583" i="2"/>
  <c r="M50" i="9"/>
  <c r="K50" i="9"/>
  <c r="L50" i="9" s="1"/>
  <c r="BK296" i="5"/>
  <c r="J74" i="7"/>
  <c r="AL677" i="5"/>
  <c r="AC678" i="5" s="1"/>
  <c r="AK583" i="2"/>
  <c r="AB584" i="2"/>
  <c r="AD584" i="2" s="1"/>
  <c r="AV626" i="5" l="1"/>
  <c r="AW626" i="5" s="1"/>
  <c r="BA626" i="5" s="1"/>
  <c r="W633" i="5"/>
  <c r="H74" i="7"/>
  <c r="L74" i="7" s="1"/>
  <c r="AT625" i="2"/>
  <c r="AU625" i="2" s="1"/>
  <c r="AY625" i="2" s="1"/>
  <c r="M584" i="2"/>
  <c r="W583" i="2"/>
  <c r="M74" i="7" s="1"/>
  <c r="N584" i="2"/>
  <c r="O584" i="2" s="1"/>
  <c r="BM296" i="5"/>
  <c r="BN296" i="5" s="1"/>
  <c r="BO296" i="5" s="1"/>
  <c r="BP296" i="5" s="1"/>
  <c r="AE678" i="5"/>
  <c r="AF678" i="5" s="1"/>
  <c r="AM677" i="5"/>
  <c r="AE584" i="2"/>
  <c r="AT627" i="5" l="1"/>
  <c r="BB626" i="5"/>
  <c r="X633" i="5"/>
  <c r="O634" i="5"/>
  <c r="P634" i="5" s="1"/>
  <c r="N634" i="5"/>
  <c r="AZ625" i="2"/>
  <c r="AR626" i="2"/>
  <c r="R584" i="2"/>
  <c r="S584" i="2" s="1"/>
  <c r="BK297" i="5"/>
  <c r="AL678" i="5"/>
  <c r="AC679" i="5" s="1"/>
  <c r="AJ584" i="2"/>
  <c r="S634" i="5" l="1"/>
  <c r="T634" i="5" s="1"/>
  <c r="AV627" i="5"/>
  <c r="AW627" i="5" s="1"/>
  <c r="AT626" i="2"/>
  <c r="AU626" i="2" s="1"/>
  <c r="V584" i="2"/>
  <c r="W584" i="2" s="1"/>
  <c r="BM297" i="5"/>
  <c r="BN297" i="5" s="1"/>
  <c r="AE679" i="5"/>
  <c r="AF679" i="5" s="1"/>
  <c r="AM678" i="5"/>
  <c r="AK584" i="2"/>
  <c r="AB585" i="2"/>
  <c r="AD585" i="2" s="1"/>
  <c r="BA627" i="5" l="1"/>
  <c r="W634" i="5"/>
  <c r="AY626" i="2"/>
  <c r="N585" i="2"/>
  <c r="O585" i="2" s="1"/>
  <c r="M585" i="2"/>
  <c r="BO297" i="5"/>
  <c r="BP297" i="5" s="1"/>
  <c r="AL679" i="5"/>
  <c r="AE585" i="2"/>
  <c r="O635" i="5" l="1"/>
  <c r="P635" i="5" s="1"/>
  <c r="N635" i="5"/>
  <c r="X634" i="5"/>
  <c r="AT628" i="5"/>
  <c r="BB627" i="5"/>
  <c r="AR627" i="2"/>
  <c r="AZ626" i="2"/>
  <c r="R585" i="2"/>
  <c r="S585" i="2" s="1"/>
  <c r="BK298" i="5"/>
  <c r="AC680" i="5"/>
  <c r="AM679" i="5"/>
  <c r="AJ585" i="2"/>
  <c r="S635" i="5" l="1"/>
  <c r="T635" i="5" s="1"/>
  <c r="AV628" i="5"/>
  <c r="AW628" i="5" s="1"/>
  <c r="BA628" i="5" s="1"/>
  <c r="AT627" i="2"/>
  <c r="AU627" i="2" s="1"/>
  <c r="V585" i="2"/>
  <c r="W585" i="2" s="1"/>
  <c r="BM298" i="5"/>
  <c r="BN298" i="5" s="1"/>
  <c r="AE680" i="5"/>
  <c r="AF680" i="5" s="1"/>
  <c r="AL680" i="5" s="1"/>
  <c r="AC681" i="5" s="1"/>
  <c r="AK585" i="2"/>
  <c r="AB586" i="2"/>
  <c r="AD586" i="2" s="1"/>
  <c r="W635" i="5" l="1"/>
  <c r="BB628" i="5"/>
  <c r="AT629" i="5"/>
  <c r="AY627" i="2"/>
  <c r="AR628" i="2" s="1"/>
  <c r="M586" i="2"/>
  <c r="N586" i="2"/>
  <c r="O586" i="2" s="1"/>
  <c r="BO298" i="5"/>
  <c r="BP298" i="5" s="1"/>
  <c r="AE681" i="5"/>
  <c r="AF681" i="5" s="1"/>
  <c r="AM680" i="5"/>
  <c r="AE586" i="2"/>
  <c r="O636" i="5" l="1"/>
  <c r="P636" i="5" s="1"/>
  <c r="N636" i="5"/>
  <c r="X635" i="5"/>
  <c r="AV629" i="5"/>
  <c r="AW629" i="5" s="1"/>
  <c r="AZ627" i="2"/>
  <c r="AT628" i="2"/>
  <c r="AU628" i="2" s="1"/>
  <c r="AY628" i="2" s="1"/>
  <c r="R586" i="2"/>
  <c r="S586" i="2" s="1"/>
  <c r="BK299" i="5"/>
  <c r="BM299" i="5" s="1"/>
  <c r="BN299" i="5" s="1"/>
  <c r="AJ586" i="2"/>
  <c r="S636" i="5" l="1"/>
  <c r="T636" i="5" s="1"/>
  <c r="BA629" i="5"/>
  <c r="AR629" i="2"/>
  <c r="AZ628" i="2"/>
  <c r="V586" i="2"/>
  <c r="W586" i="2" s="1"/>
  <c r="BO299" i="5"/>
  <c r="BP299" i="5" s="1"/>
  <c r="AL681" i="5"/>
  <c r="AC682" i="5" s="1"/>
  <c r="AK586" i="2"/>
  <c r="AB587" i="2"/>
  <c r="AD587" i="2" s="1"/>
  <c r="W636" i="5" l="1"/>
  <c r="AT630" i="5"/>
  <c r="BB629" i="5"/>
  <c r="AT629" i="2"/>
  <c r="AU629" i="2" s="1"/>
  <c r="N587" i="2"/>
  <c r="O587" i="2" s="1"/>
  <c r="M587" i="2"/>
  <c r="BK300" i="5"/>
  <c r="AE682" i="5"/>
  <c r="AF682" i="5" s="1"/>
  <c r="AM681" i="5"/>
  <c r="O637" i="5" l="1"/>
  <c r="P637" i="5" s="1"/>
  <c r="N637" i="5"/>
  <c r="X636" i="5"/>
  <c r="AV630" i="5"/>
  <c r="AW630" i="5" s="1"/>
  <c r="AY629" i="2"/>
  <c r="R587" i="2"/>
  <c r="S587" i="2" s="1"/>
  <c r="V587" i="2" s="1"/>
  <c r="BM300" i="5"/>
  <c r="BN300" i="5" s="1"/>
  <c r="AL682" i="5"/>
  <c r="AC683" i="5" s="1"/>
  <c r="AE587" i="2"/>
  <c r="AJ587" i="2" s="1"/>
  <c r="S637" i="5" l="1"/>
  <c r="T637" i="5" s="1"/>
  <c r="BA630" i="5"/>
  <c r="AZ629" i="2"/>
  <c r="AR630" i="2"/>
  <c r="BO300" i="5"/>
  <c r="BP300" i="5" s="1"/>
  <c r="AE683" i="5"/>
  <c r="AF683" i="5" s="1"/>
  <c r="W587" i="2"/>
  <c r="N588" i="2"/>
  <c r="O588" i="2" s="1"/>
  <c r="M588" i="2"/>
  <c r="AM682" i="5"/>
  <c r="AB588" i="2"/>
  <c r="AD588" i="2" s="1"/>
  <c r="AK587" i="2"/>
  <c r="W637" i="5" l="1"/>
  <c r="BB630" i="5"/>
  <c r="AT631" i="5"/>
  <c r="AT630" i="2"/>
  <c r="BK301" i="5"/>
  <c r="R588" i="2"/>
  <c r="S588" i="2" s="1"/>
  <c r="AL683" i="5"/>
  <c r="AC684" i="5" s="1"/>
  <c r="AE588" i="2"/>
  <c r="AJ588" i="2" s="1"/>
  <c r="X637" i="5" l="1"/>
  <c r="O638" i="5"/>
  <c r="P638" i="5" s="1"/>
  <c r="N638" i="5"/>
  <c r="AV631" i="5"/>
  <c r="AW631" i="5" s="1"/>
  <c r="AU630" i="2"/>
  <c r="AY630" i="2" s="1"/>
  <c r="V588" i="2"/>
  <c r="BM301" i="5"/>
  <c r="BN301" i="5" s="1"/>
  <c r="AE684" i="5"/>
  <c r="AF684" i="5" s="1"/>
  <c r="AM683" i="5"/>
  <c r="AK588" i="2"/>
  <c r="AB589" i="2"/>
  <c r="AD589" i="2" s="1"/>
  <c r="S638" i="5" l="1"/>
  <c r="T638" i="5" s="1"/>
  <c r="BA631" i="5"/>
  <c r="AZ630" i="2"/>
  <c r="AR631" i="2"/>
  <c r="BO301" i="5"/>
  <c r="BP301" i="5" s="1"/>
  <c r="W588" i="2"/>
  <c r="M589" i="2"/>
  <c r="N589" i="2"/>
  <c r="O589" i="2" s="1"/>
  <c r="AL684" i="5"/>
  <c r="AC685" i="5" s="1"/>
  <c r="AE589" i="2"/>
  <c r="W638" i="5" l="1"/>
  <c r="AT632" i="5"/>
  <c r="BB631" i="5"/>
  <c r="AT631" i="2"/>
  <c r="AU631" i="2" s="1"/>
  <c r="BK302" i="5"/>
  <c r="AE685" i="5"/>
  <c r="AF685" i="5" s="1"/>
  <c r="R589" i="2"/>
  <c r="S589" i="2" s="1"/>
  <c r="AM684" i="5"/>
  <c r="AJ589" i="2"/>
  <c r="O639" i="5" l="1"/>
  <c r="P639" i="5" s="1"/>
  <c r="N639" i="5"/>
  <c r="X638" i="5"/>
  <c r="AV632" i="5"/>
  <c r="AW632" i="5" s="1"/>
  <c r="AY631" i="2"/>
  <c r="V589" i="2"/>
  <c r="M590" i="2" s="1"/>
  <c r="BM302" i="5"/>
  <c r="BN302" i="5" s="1"/>
  <c r="AL685" i="5"/>
  <c r="AC686" i="5" s="1"/>
  <c r="AK589" i="2"/>
  <c r="AB590" i="2"/>
  <c r="AD590" i="2" s="1"/>
  <c r="BA632" i="5" l="1"/>
  <c r="BB632" i="5" s="1"/>
  <c r="S639" i="5"/>
  <c r="T639" i="5" s="1"/>
  <c r="AR632" i="2"/>
  <c r="AZ631" i="2"/>
  <c r="I78" i="7"/>
  <c r="W589" i="2"/>
  <c r="N590" i="2"/>
  <c r="O590" i="2" s="1"/>
  <c r="R590" i="2" s="1"/>
  <c r="S590" i="2" s="1"/>
  <c r="BO302" i="5"/>
  <c r="BP302" i="5" s="1"/>
  <c r="AE686" i="5"/>
  <c r="AF686" i="5" s="1"/>
  <c r="AM685" i="5"/>
  <c r="AE590" i="2"/>
  <c r="AT633" i="5" l="1"/>
  <c r="AV633" i="5" s="1"/>
  <c r="AW633" i="5" s="1"/>
  <c r="W639" i="5"/>
  <c r="AT632" i="2"/>
  <c r="V590" i="2"/>
  <c r="BK303" i="5"/>
  <c r="AL686" i="5"/>
  <c r="AJ590" i="2"/>
  <c r="X639" i="5" l="1"/>
  <c r="O640" i="5"/>
  <c r="P640" i="5" s="1"/>
  <c r="N640" i="5"/>
  <c r="BA633" i="5"/>
  <c r="AU632" i="2"/>
  <c r="AY632" i="2" s="1"/>
  <c r="BM303" i="5"/>
  <c r="BN303" i="5" s="1"/>
  <c r="AC687" i="5"/>
  <c r="W590" i="2"/>
  <c r="N591" i="2"/>
  <c r="O591" i="2" s="1"/>
  <c r="M591" i="2"/>
  <c r="AM686" i="5"/>
  <c r="AK590" i="2"/>
  <c r="AB591" i="2"/>
  <c r="AD591" i="2" s="1"/>
  <c r="S640" i="5" l="1"/>
  <c r="T640" i="5" s="1"/>
  <c r="W640" i="5" s="1"/>
  <c r="BB633" i="5"/>
  <c r="AT634" i="5"/>
  <c r="AZ632" i="2"/>
  <c r="AR633" i="2"/>
  <c r="BO303" i="5"/>
  <c r="BP303" i="5" s="1"/>
  <c r="AE687" i="5"/>
  <c r="AF687" i="5" s="1"/>
  <c r="R591" i="2"/>
  <c r="S591" i="2" s="1"/>
  <c r="AE591" i="2"/>
  <c r="O641" i="5" l="1"/>
  <c r="P641" i="5" s="1"/>
  <c r="X640" i="5"/>
  <c r="N641" i="5"/>
  <c r="AV634" i="5"/>
  <c r="AW634" i="5" s="1"/>
  <c r="AT633" i="2"/>
  <c r="AU633" i="2" s="1"/>
  <c r="V591" i="2"/>
  <c r="BK304" i="5"/>
  <c r="AL687" i="5"/>
  <c r="AC688" i="5" s="1"/>
  <c r="AJ591" i="2"/>
  <c r="S641" i="5" l="1"/>
  <c r="T641" i="5" s="1"/>
  <c r="BA634" i="5"/>
  <c r="AY633" i="2"/>
  <c r="AM687" i="5"/>
  <c r="BM304" i="5"/>
  <c r="BN304" i="5" s="1"/>
  <c r="AE688" i="5"/>
  <c r="AF688" i="5" s="1"/>
  <c r="AL688" i="5" s="1"/>
  <c r="AC689" i="5" s="1"/>
  <c r="W591" i="2"/>
  <c r="M592" i="2"/>
  <c r="N592" i="2"/>
  <c r="O592" i="2" s="1"/>
  <c r="AK591" i="2"/>
  <c r="AB592" i="2"/>
  <c r="AD592" i="2" s="1"/>
  <c r="W641" i="5" l="1"/>
  <c r="AT635" i="5"/>
  <c r="BB634" i="5"/>
  <c r="AZ633" i="2"/>
  <c r="AR634" i="2"/>
  <c r="BO304" i="5"/>
  <c r="BP304" i="5" s="1"/>
  <c r="AE689" i="5"/>
  <c r="AF689" i="5" s="1"/>
  <c r="R592" i="2"/>
  <c r="S592" i="2" s="1"/>
  <c r="AM688" i="5"/>
  <c r="AE592" i="2"/>
  <c r="X641" i="5" l="1"/>
  <c r="N642" i="5"/>
  <c r="O642" i="5"/>
  <c r="P642" i="5" s="1"/>
  <c r="AV635" i="5"/>
  <c r="AW635" i="5" s="1"/>
  <c r="AT634" i="2"/>
  <c r="AU634" i="2" s="1"/>
  <c r="V592" i="2"/>
  <c r="BK305" i="5"/>
  <c r="AL689" i="5"/>
  <c r="AC690" i="5" s="1"/>
  <c r="AJ592" i="2"/>
  <c r="BA635" i="5" l="1"/>
  <c r="S642" i="5"/>
  <c r="AY634" i="2"/>
  <c r="BM305" i="5"/>
  <c r="BN305" i="5" s="1"/>
  <c r="AE690" i="5"/>
  <c r="AF690" i="5" s="1"/>
  <c r="W592" i="2"/>
  <c r="N593" i="2"/>
  <c r="O593" i="2" s="1"/>
  <c r="M593" i="2"/>
  <c r="AM689" i="5"/>
  <c r="AK592" i="2"/>
  <c r="AB593" i="2"/>
  <c r="AD593" i="2" s="1"/>
  <c r="BB635" i="5" l="1"/>
  <c r="T642" i="5"/>
  <c r="W642" i="5" s="1"/>
  <c r="AT636" i="5"/>
  <c r="AV636" i="5" s="1"/>
  <c r="AZ634" i="2"/>
  <c r="AR635" i="2"/>
  <c r="BO305" i="5"/>
  <c r="BP305" i="5" s="1"/>
  <c r="R593" i="2"/>
  <c r="S593" i="2" s="1"/>
  <c r="AE593" i="2"/>
  <c r="AW636" i="5" l="1"/>
  <c r="BA636" i="5" s="1"/>
  <c r="X642" i="5"/>
  <c r="O643" i="5"/>
  <c r="P643" i="5" s="1"/>
  <c r="N643" i="5"/>
  <c r="AT635" i="2"/>
  <c r="AU635" i="2" s="1"/>
  <c r="V593" i="2"/>
  <c r="W593" i="2" s="1"/>
  <c r="BK306" i="5"/>
  <c r="AL690" i="5"/>
  <c r="AC691" i="5" s="1"/>
  <c r="AJ593" i="2"/>
  <c r="S643" i="5" l="1"/>
  <c r="T643" i="5" s="1"/>
  <c r="W643" i="5" s="1"/>
  <c r="O644" i="5" s="1"/>
  <c r="P644" i="5" s="1"/>
  <c r="AT637" i="5"/>
  <c r="AV637" i="5" s="1"/>
  <c r="AW637" i="5" s="1"/>
  <c r="BB636" i="5"/>
  <c r="AY635" i="2"/>
  <c r="N594" i="2"/>
  <c r="O594" i="2" s="1"/>
  <c r="M594" i="2"/>
  <c r="BM306" i="5"/>
  <c r="BN306" i="5" s="1"/>
  <c r="AE691" i="5"/>
  <c r="AF691" i="5" s="1"/>
  <c r="AM690" i="5"/>
  <c r="AK593" i="2"/>
  <c r="AB594" i="2"/>
  <c r="AD594" i="2" s="1"/>
  <c r="X643" i="5" l="1"/>
  <c r="N644" i="5"/>
  <c r="S644" i="5" s="1"/>
  <c r="T644" i="5" s="1"/>
  <c r="BA637" i="5"/>
  <c r="AZ635" i="2"/>
  <c r="AR636" i="2"/>
  <c r="R594" i="2"/>
  <c r="S594" i="2" s="1"/>
  <c r="BO306" i="5"/>
  <c r="BP306" i="5" s="1"/>
  <c r="AE594" i="2"/>
  <c r="BB637" i="5" l="1"/>
  <c r="AT638" i="5"/>
  <c r="AT636" i="2"/>
  <c r="AU636" i="2" s="1"/>
  <c r="V594" i="2"/>
  <c r="W644" i="5"/>
  <c r="BK307" i="5"/>
  <c r="AL691" i="5"/>
  <c r="AC692" i="5" s="1"/>
  <c r="AJ594" i="2"/>
  <c r="AV638" i="5" l="1"/>
  <c r="AW638" i="5" s="1"/>
  <c r="AY636" i="2"/>
  <c r="N595" i="2"/>
  <c r="O595" i="2" s="1"/>
  <c r="M595" i="2"/>
  <c r="W594" i="2"/>
  <c r="BM307" i="5"/>
  <c r="BN307" i="5" s="1"/>
  <c r="AE692" i="5"/>
  <c r="AF692" i="5" s="1"/>
  <c r="X644" i="5"/>
  <c r="O645" i="5"/>
  <c r="P645" i="5" s="1"/>
  <c r="N645" i="5"/>
  <c r="AM691" i="5"/>
  <c r="AK594" i="2"/>
  <c r="AB595" i="2"/>
  <c r="AD595" i="2" s="1"/>
  <c r="BA638" i="5" l="1"/>
  <c r="AR637" i="2"/>
  <c r="AZ636" i="2"/>
  <c r="R595" i="2"/>
  <c r="S595" i="2" s="1"/>
  <c r="BO307" i="5"/>
  <c r="BP307" i="5" s="1"/>
  <c r="S645" i="5"/>
  <c r="T645" i="5" s="1"/>
  <c r="AL692" i="5"/>
  <c r="AC693" i="5" s="1"/>
  <c r="AE595" i="2"/>
  <c r="AT639" i="5" l="1"/>
  <c r="BB638" i="5"/>
  <c r="AT637" i="2"/>
  <c r="V595" i="2"/>
  <c r="W595" i="2" s="1"/>
  <c r="W645" i="5"/>
  <c r="M51" i="9"/>
  <c r="K51" i="9"/>
  <c r="L51" i="9" s="1"/>
  <c r="BK308" i="5"/>
  <c r="AE693" i="5"/>
  <c r="AF693" i="5" s="1"/>
  <c r="AM692" i="5"/>
  <c r="AJ595" i="2"/>
  <c r="AV639" i="5" l="1"/>
  <c r="AW639" i="5" s="1"/>
  <c r="H75" i="7"/>
  <c r="AU637" i="2"/>
  <c r="AY637" i="2" s="1"/>
  <c r="M596" i="2"/>
  <c r="N596" i="2"/>
  <c r="O596" i="2" s="1"/>
  <c r="BM308" i="5"/>
  <c r="BN308" i="5" s="1"/>
  <c r="X645" i="5"/>
  <c r="O646" i="5"/>
  <c r="P646" i="5" s="1"/>
  <c r="N646" i="5"/>
  <c r="J75" i="7"/>
  <c r="AK595" i="2"/>
  <c r="M75" i="7" s="1"/>
  <c r="AB596" i="2"/>
  <c r="AD596" i="2" s="1"/>
  <c r="BA639" i="5" l="1"/>
  <c r="L75" i="7"/>
  <c r="AZ637" i="2"/>
  <c r="AR638" i="2"/>
  <c r="R596" i="2"/>
  <c r="S596" i="2" s="1"/>
  <c r="BO308" i="5"/>
  <c r="BP308" i="5" s="1"/>
  <c r="S646" i="5"/>
  <c r="T646" i="5" s="1"/>
  <c r="AL693" i="5"/>
  <c r="AC694" i="5" s="1"/>
  <c r="AE596" i="2"/>
  <c r="BB639" i="5" l="1"/>
  <c r="AT640" i="5"/>
  <c r="AT638" i="2"/>
  <c r="V596" i="2"/>
  <c r="N597" i="2" s="1"/>
  <c r="O597" i="2" s="1"/>
  <c r="W646" i="5"/>
  <c r="BK309" i="5"/>
  <c r="AE694" i="5"/>
  <c r="AF694" i="5" s="1"/>
  <c r="AM693" i="5"/>
  <c r="AJ596" i="2"/>
  <c r="AV640" i="5" l="1"/>
  <c r="AW640" i="5" s="1"/>
  <c r="BA640" i="5" s="1"/>
  <c r="AU638" i="2"/>
  <c r="AY638" i="2" s="1"/>
  <c r="W596" i="2"/>
  <c r="M597" i="2"/>
  <c r="R597" i="2" s="1"/>
  <c r="S597" i="2" s="1"/>
  <c r="BM309" i="5"/>
  <c r="BN309" i="5" s="1"/>
  <c r="BO309" i="5" s="1"/>
  <c r="BP309" i="5" s="1"/>
  <c r="X646" i="5"/>
  <c r="O647" i="5"/>
  <c r="P647" i="5" s="1"/>
  <c r="N647" i="5"/>
  <c r="AL694" i="5"/>
  <c r="AC695" i="5" s="1"/>
  <c r="AK596" i="2"/>
  <c r="AB597" i="2"/>
  <c r="AD597" i="2" s="1"/>
  <c r="AT641" i="5" l="1"/>
  <c r="BB640" i="5"/>
  <c r="AR639" i="2"/>
  <c r="AZ638" i="2"/>
  <c r="V597" i="2"/>
  <c r="BK310" i="5"/>
  <c r="AE695" i="5"/>
  <c r="AF695" i="5" s="1"/>
  <c r="S647" i="5"/>
  <c r="AM694" i="5"/>
  <c r="AE597" i="2"/>
  <c r="AV641" i="5" l="1"/>
  <c r="AW641" i="5" s="1"/>
  <c r="BA641" i="5" s="1"/>
  <c r="AT639" i="2"/>
  <c r="BM310" i="5"/>
  <c r="BN310" i="5" s="1"/>
  <c r="T647" i="5"/>
  <c r="W647" i="5" s="1"/>
  <c r="O648" i="5" s="1"/>
  <c r="P648" i="5" s="1"/>
  <c r="W597" i="2"/>
  <c r="M598" i="2"/>
  <c r="N598" i="2"/>
  <c r="O598" i="2" s="1"/>
  <c r="AL695" i="5"/>
  <c r="AC696" i="5" s="1"/>
  <c r="AJ597" i="2"/>
  <c r="AT642" i="5" l="1"/>
  <c r="BB641" i="5"/>
  <c r="N648" i="5"/>
  <c r="S648" i="5" s="1"/>
  <c r="T648" i="5" s="1"/>
  <c r="AU639" i="2"/>
  <c r="AY639" i="2" s="1"/>
  <c r="BO310" i="5"/>
  <c r="BP310" i="5" s="1"/>
  <c r="AE696" i="5"/>
  <c r="AF696" i="5" s="1"/>
  <c r="X647" i="5"/>
  <c r="R598" i="2"/>
  <c r="S598" i="2" s="1"/>
  <c r="AM695" i="5"/>
  <c r="AK597" i="2"/>
  <c r="AB598" i="2"/>
  <c r="AD598" i="2" s="1"/>
  <c r="AV642" i="5" l="1"/>
  <c r="AW642" i="5" s="1"/>
  <c r="AR640" i="2"/>
  <c r="AZ639" i="2"/>
  <c r="V598" i="2"/>
  <c r="W648" i="5"/>
  <c r="BK311" i="5"/>
  <c r="AL696" i="5"/>
  <c r="AC697" i="5" s="1"/>
  <c r="AE598" i="2"/>
  <c r="BA642" i="5" l="1"/>
  <c r="AT640" i="2"/>
  <c r="BM311" i="5"/>
  <c r="BN311" i="5" s="1"/>
  <c r="BO311" i="5" s="1"/>
  <c r="BP311" i="5" s="1"/>
  <c r="AE697" i="5"/>
  <c r="AF697" i="5" s="1"/>
  <c r="X648" i="5"/>
  <c r="O649" i="5"/>
  <c r="P649" i="5" s="1"/>
  <c r="N649" i="5"/>
  <c r="W598" i="2"/>
  <c r="M599" i="2"/>
  <c r="N599" i="2"/>
  <c r="O599" i="2" s="1"/>
  <c r="AM696" i="5"/>
  <c r="AJ598" i="2"/>
  <c r="BB642" i="5" l="1"/>
  <c r="AT643" i="5"/>
  <c r="AU640" i="2"/>
  <c r="AY640" i="2" s="1"/>
  <c r="BK312" i="5"/>
  <c r="S649" i="5"/>
  <c r="T649" i="5" s="1"/>
  <c r="R599" i="2"/>
  <c r="S599" i="2" s="1"/>
  <c r="AL697" i="5"/>
  <c r="AC698" i="5" s="1"/>
  <c r="AK598" i="2"/>
  <c r="AB599" i="2"/>
  <c r="AD599" i="2" s="1"/>
  <c r="AV643" i="5" l="1"/>
  <c r="AW643" i="5" s="1"/>
  <c r="BA643" i="5" s="1"/>
  <c r="AZ640" i="2"/>
  <c r="AR641" i="2"/>
  <c r="V599" i="2"/>
  <c r="W649" i="5"/>
  <c r="BM312" i="5"/>
  <c r="BN312" i="5" s="1"/>
  <c r="BO312" i="5" s="1"/>
  <c r="BP312" i="5" s="1"/>
  <c r="AE698" i="5"/>
  <c r="AF698" i="5" s="1"/>
  <c r="AM697" i="5"/>
  <c r="AE599" i="2"/>
  <c r="AT644" i="5" l="1"/>
  <c r="BB643" i="5"/>
  <c r="AT641" i="2"/>
  <c r="BK313" i="5"/>
  <c r="X649" i="5"/>
  <c r="O650" i="5"/>
  <c r="P650" i="5" s="1"/>
  <c r="N650" i="5"/>
  <c r="W599" i="2"/>
  <c r="M600" i="2"/>
  <c r="N600" i="2"/>
  <c r="O600" i="2" s="1"/>
  <c r="AJ599" i="2"/>
  <c r="AV644" i="5" l="1"/>
  <c r="AW644" i="5" s="1"/>
  <c r="BA644" i="5" s="1"/>
  <c r="AU641" i="2"/>
  <c r="AY641" i="2" s="1"/>
  <c r="BM313" i="5"/>
  <c r="BN313" i="5" s="1"/>
  <c r="S650" i="5"/>
  <c r="T650" i="5" s="1"/>
  <c r="R600" i="2"/>
  <c r="S600" i="2" s="1"/>
  <c r="AL698" i="5"/>
  <c r="AC699" i="5" s="1"/>
  <c r="AK599" i="2"/>
  <c r="AB600" i="2"/>
  <c r="AD600" i="2" s="1"/>
  <c r="AT645" i="5" l="1"/>
  <c r="BB644" i="5"/>
  <c r="AZ641" i="2"/>
  <c r="AR642" i="2"/>
  <c r="V600" i="2"/>
  <c r="W650" i="5"/>
  <c r="BO313" i="5"/>
  <c r="BP313" i="5" s="1"/>
  <c r="AE699" i="5"/>
  <c r="AF699" i="5" s="1"/>
  <c r="AM698" i="5"/>
  <c r="AE600" i="2"/>
  <c r="N651" i="5" l="1"/>
  <c r="O651" i="5"/>
  <c r="P651" i="5" s="1"/>
  <c r="AV645" i="5"/>
  <c r="AW645" i="5" s="1"/>
  <c r="AT642" i="2"/>
  <c r="BK314" i="5"/>
  <c r="X650" i="5"/>
  <c r="W600" i="2"/>
  <c r="N601" i="2"/>
  <c r="O601" i="2" s="1"/>
  <c r="M601" i="2"/>
  <c r="AL699" i="5"/>
  <c r="AC700" i="5" s="1"/>
  <c r="AJ600" i="2"/>
  <c r="S651" i="5" l="1"/>
  <c r="T651" i="5" s="1"/>
  <c r="W651" i="5" s="1"/>
  <c r="BA645" i="5"/>
  <c r="AU642" i="2"/>
  <c r="AY642" i="2" s="1"/>
  <c r="BM314" i="5"/>
  <c r="BN314" i="5" s="1"/>
  <c r="BO314" i="5" s="1"/>
  <c r="BP314" i="5" s="1"/>
  <c r="AE700" i="5"/>
  <c r="AF700" i="5" s="1"/>
  <c r="R601" i="2"/>
  <c r="S601" i="2" s="1"/>
  <c r="AM699" i="5"/>
  <c r="AK600" i="2"/>
  <c r="AB601" i="2"/>
  <c r="AD601" i="2" s="1"/>
  <c r="BB645" i="5" l="1"/>
  <c r="AT646" i="5"/>
  <c r="AR643" i="2"/>
  <c r="AZ642" i="2"/>
  <c r="V601" i="2"/>
  <c r="BK315" i="5"/>
  <c r="X651" i="5"/>
  <c r="O652" i="5"/>
  <c r="P652" i="5" s="1"/>
  <c r="N652" i="5"/>
  <c r="AE601" i="2"/>
  <c r="AV646" i="5" l="1"/>
  <c r="AW646" i="5" s="1"/>
  <c r="AT643" i="2"/>
  <c r="W601" i="2"/>
  <c r="BM315" i="5"/>
  <c r="BN315" i="5" s="1"/>
  <c r="S652" i="5"/>
  <c r="T652" i="5" s="1"/>
  <c r="M602" i="2"/>
  <c r="N602" i="2"/>
  <c r="O602" i="2" s="1"/>
  <c r="AL700" i="5"/>
  <c r="AC701" i="5" s="1"/>
  <c r="AJ601" i="2"/>
  <c r="BA646" i="5" l="1"/>
  <c r="AU643" i="2"/>
  <c r="AY643" i="2" s="1"/>
  <c r="W652" i="5"/>
  <c r="X652" i="5" s="1"/>
  <c r="BO315" i="5"/>
  <c r="BP315" i="5" s="1"/>
  <c r="AE701" i="5"/>
  <c r="AF701" i="5" s="1"/>
  <c r="R602" i="2"/>
  <c r="S602" i="2" s="1"/>
  <c r="AM700" i="5"/>
  <c r="AK601" i="2"/>
  <c r="AB602" i="2"/>
  <c r="AD602" i="2" s="1"/>
  <c r="O653" i="5" l="1"/>
  <c r="P653" i="5" s="1"/>
  <c r="N653" i="5"/>
  <c r="BB646" i="5"/>
  <c r="AT647" i="5"/>
  <c r="AR644" i="2"/>
  <c r="I79" i="7"/>
  <c r="AZ643" i="2"/>
  <c r="V602" i="2"/>
  <c r="BK316" i="5"/>
  <c r="AL701" i="5"/>
  <c r="AC702" i="5" s="1"/>
  <c r="AE602" i="2"/>
  <c r="S653" i="5" l="1"/>
  <c r="T653" i="5" s="1"/>
  <c r="W653" i="5" s="1"/>
  <c r="AV647" i="5"/>
  <c r="AW647" i="5" s="1"/>
  <c r="AT644" i="2"/>
  <c r="BM316" i="5"/>
  <c r="BN316" i="5" s="1"/>
  <c r="BO316" i="5" s="1"/>
  <c r="BP316" i="5" s="1"/>
  <c r="AE702" i="5"/>
  <c r="AF702" i="5" s="1"/>
  <c r="W602" i="2"/>
  <c r="N603" i="2"/>
  <c r="O603" i="2" s="1"/>
  <c r="M603" i="2"/>
  <c r="AM701" i="5"/>
  <c r="AJ602" i="2"/>
  <c r="BA647" i="5" l="1"/>
  <c r="AU644" i="2"/>
  <c r="AY644" i="2" s="1"/>
  <c r="BK317" i="5"/>
  <c r="X653" i="5"/>
  <c r="O654" i="5"/>
  <c r="P654" i="5" s="1"/>
  <c r="N654" i="5"/>
  <c r="R603" i="2"/>
  <c r="S603" i="2" s="1"/>
  <c r="AK602" i="2"/>
  <c r="AB603" i="2"/>
  <c r="AD603" i="2" s="1"/>
  <c r="AT648" i="5" l="1"/>
  <c r="BB647" i="5"/>
  <c r="AR645" i="2"/>
  <c r="AZ644" i="2"/>
  <c r="V603" i="2"/>
  <c r="BM317" i="5"/>
  <c r="BN317" i="5" s="1"/>
  <c r="S654" i="5"/>
  <c r="T654" i="5" s="1"/>
  <c r="AL702" i="5"/>
  <c r="AC703" i="5" s="1"/>
  <c r="AE603" i="2"/>
  <c r="AV648" i="5" l="1"/>
  <c r="AW648" i="5" s="1"/>
  <c r="AT645" i="2"/>
  <c r="W654" i="5"/>
  <c r="X654" i="5" s="1"/>
  <c r="W603" i="2"/>
  <c r="BO317" i="5"/>
  <c r="BP317" i="5" s="1"/>
  <c r="AE703" i="5"/>
  <c r="AF703" i="5" s="1"/>
  <c r="M604" i="2"/>
  <c r="N604" i="2"/>
  <c r="O604" i="2" s="1"/>
  <c r="AM702" i="5"/>
  <c r="AJ603" i="2"/>
  <c r="N655" i="5" l="1"/>
  <c r="BA648" i="5"/>
  <c r="O655" i="5"/>
  <c r="P655" i="5" s="1"/>
  <c r="AU645" i="2"/>
  <c r="AY645" i="2" s="1"/>
  <c r="BK318" i="5"/>
  <c r="R604" i="2"/>
  <c r="S604" i="2" s="1"/>
  <c r="AK603" i="2"/>
  <c r="AB604" i="2"/>
  <c r="AD604" i="2" s="1"/>
  <c r="S655" i="5" l="1"/>
  <c r="T655" i="5" s="1"/>
  <c r="W655" i="5" s="1"/>
  <c r="X655" i="5" s="1"/>
  <c r="AT649" i="5"/>
  <c r="BB648" i="5"/>
  <c r="AZ645" i="2"/>
  <c r="AR646" i="2"/>
  <c r="V604" i="2"/>
  <c r="BM318" i="5"/>
  <c r="BN318" i="5" s="1"/>
  <c r="AL703" i="5"/>
  <c r="AC704" i="5" s="1"/>
  <c r="AE604" i="2"/>
  <c r="AV649" i="5" l="1"/>
  <c r="AW649" i="5" s="1"/>
  <c r="O656" i="5"/>
  <c r="P656" i="5" s="1"/>
  <c r="N656" i="5"/>
  <c r="AT646" i="2"/>
  <c r="AU646" i="2" s="1"/>
  <c r="BO318" i="5"/>
  <c r="BP318" i="5" s="1"/>
  <c r="AE704" i="5"/>
  <c r="AF704" i="5" s="1"/>
  <c r="W604" i="2"/>
  <c r="M605" i="2"/>
  <c r="N605" i="2"/>
  <c r="O605" i="2" s="1"/>
  <c r="AM703" i="5"/>
  <c r="AJ604" i="2"/>
  <c r="S656" i="5" l="1"/>
  <c r="T656" i="5" s="1"/>
  <c r="BA649" i="5"/>
  <c r="AY646" i="2"/>
  <c r="BK319" i="5"/>
  <c r="R605" i="2"/>
  <c r="S605" i="2" s="1"/>
  <c r="AK604" i="2"/>
  <c r="AB605" i="2"/>
  <c r="AD605" i="2" s="1"/>
  <c r="W656" i="5" l="1"/>
  <c r="O657" i="5" s="1"/>
  <c r="P657" i="5" s="1"/>
  <c r="BB649" i="5"/>
  <c r="AT650" i="5"/>
  <c r="AZ646" i="2"/>
  <c r="AR647" i="2"/>
  <c r="V605" i="2"/>
  <c r="BM319" i="5"/>
  <c r="BN319" i="5" s="1"/>
  <c r="BO319" i="5" s="1"/>
  <c r="BP319" i="5" s="1"/>
  <c r="AL704" i="5"/>
  <c r="AC705" i="5" s="1"/>
  <c r="AE605" i="2"/>
  <c r="X656" i="5" l="1"/>
  <c r="N657" i="5"/>
  <c r="S657" i="5" s="1"/>
  <c r="T657" i="5" s="1"/>
  <c r="AV650" i="5"/>
  <c r="AW650" i="5" s="1"/>
  <c r="AT647" i="2"/>
  <c r="M52" i="9"/>
  <c r="BK320" i="5"/>
  <c r="K52" i="9"/>
  <c r="L52" i="9" s="1"/>
  <c r="AE705" i="5"/>
  <c r="AF705" i="5" s="1"/>
  <c r="W605" i="2"/>
  <c r="M606" i="2"/>
  <c r="N606" i="2"/>
  <c r="O606" i="2" s="1"/>
  <c r="AM704" i="5"/>
  <c r="AJ605" i="2"/>
  <c r="BA650" i="5" l="1"/>
  <c r="AU647" i="2"/>
  <c r="AY647" i="2" s="1"/>
  <c r="W657" i="5"/>
  <c r="BM320" i="5"/>
  <c r="BN320" i="5" s="1"/>
  <c r="R606" i="2"/>
  <c r="S606" i="2" s="1"/>
  <c r="AL705" i="5"/>
  <c r="AC706" i="5" s="1"/>
  <c r="AK605" i="2"/>
  <c r="AB606" i="2"/>
  <c r="AD606" i="2" s="1"/>
  <c r="AT651" i="5" l="1"/>
  <c r="BB650" i="5"/>
  <c r="AZ647" i="2"/>
  <c r="AR648" i="2"/>
  <c r="V606" i="2"/>
  <c r="W606" i="2" s="1"/>
  <c r="BO320" i="5"/>
  <c r="BP320" i="5" s="1"/>
  <c r="AE706" i="5"/>
  <c r="AF706" i="5" s="1"/>
  <c r="X657" i="5"/>
  <c r="O658" i="5"/>
  <c r="P658" i="5" s="1"/>
  <c r="N658" i="5"/>
  <c r="AM705" i="5"/>
  <c r="AE606" i="2"/>
  <c r="AV651" i="5" l="1"/>
  <c r="AW651" i="5" s="1"/>
  <c r="AT648" i="2"/>
  <c r="M607" i="2"/>
  <c r="N607" i="2"/>
  <c r="O607" i="2" s="1"/>
  <c r="BK321" i="5"/>
  <c r="S658" i="5"/>
  <c r="T658" i="5" s="1"/>
  <c r="AL706" i="5"/>
  <c r="AC707" i="5" s="1"/>
  <c r="AJ606" i="2"/>
  <c r="BA651" i="5" l="1"/>
  <c r="BB651" i="5" s="1"/>
  <c r="AU648" i="2"/>
  <c r="AY648" i="2" s="1"/>
  <c r="R607" i="2"/>
  <c r="S607" i="2" s="1"/>
  <c r="W658" i="5"/>
  <c r="BM321" i="5"/>
  <c r="BN321" i="5" s="1"/>
  <c r="BO321" i="5" s="1"/>
  <c r="BP321" i="5" s="1"/>
  <c r="AE707" i="5"/>
  <c r="AF707" i="5" s="1"/>
  <c r="AM706" i="5"/>
  <c r="AK606" i="2"/>
  <c r="AB607" i="2"/>
  <c r="AD607" i="2" s="1"/>
  <c r="AT652" i="5" l="1"/>
  <c r="AV652" i="5" s="1"/>
  <c r="AW652" i="5" s="1"/>
  <c r="BA652" i="5" s="1"/>
  <c r="AR649" i="2"/>
  <c r="AZ648" i="2"/>
  <c r="V607" i="2"/>
  <c r="N608" i="2" s="1"/>
  <c r="O608" i="2" s="1"/>
  <c r="BK322" i="5"/>
  <c r="X658" i="5"/>
  <c r="O659" i="5"/>
  <c r="P659" i="5" s="1"/>
  <c r="N659" i="5"/>
  <c r="AL707" i="5"/>
  <c r="AC708" i="5" s="1"/>
  <c r="AE607" i="2"/>
  <c r="BB652" i="5" l="1"/>
  <c r="AT653" i="5"/>
  <c r="AT649" i="2"/>
  <c r="H76" i="7"/>
  <c r="M608" i="2"/>
  <c r="R608" i="2" s="1"/>
  <c r="S608" i="2" s="1"/>
  <c r="W607" i="2"/>
  <c r="BM322" i="5"/>
  <c r="BN322" i="5" s="1"/>
  <c r="AE708" i="5"/>
  <c r="AF708" i="5" s="1"/>
  <c r="S659" i="5"/>
  <c r="T659" i="5" s="1"/>
  <c r="AM707" i="5"/>
  <c r="AJ607" i="2"/>
  <c r="AV653" i="5" l="1"/>
  <c r="AW653" i="5" s="1"/>
  <c r="AU649" i="2"/>
  <c r="AY649" i="2" s="1"/>
  <c r="V608" i="2"/>
  <c r="W659" i="5"/>
  <c r="BO322" i="5"/>
  <c r="BP322" i="5" s="1"/>
  <c r="J76" i="7"/>
  <c r="L76" i="7" s="1"/>
  <c r="AL708" i="5"/>
  <c r="AC709" i="5" s="1"/>
  <c r="AK607" i="2"/>
  <c r="M76" i="7" s="1"/>
  <c r="AB608" i="2"/>
  <c r="AD608" i="2" s="1"/>
  <c r="BA653" i="5" l="1"/>
  <c r="AZ649" i="2"/>
  <c r="AR650" i="2"/>
  <c r="BK323" i="5"/>
  <c r="AE709" i="5"/>
  <c r="AF709" i="5" s="1"/>
  <c r="X659" i="5"/>
  <c r="O660" i="5"/>
  <c r="P660" i="5" s="1"/>
  <c r="N660" i="5"/>
  <c r="W608" i="2"/>
  <c r="AM708" i="5"/>
  <c r="N609" i="2"/>
  <c r="O609" i="2" s="1"/>
  <c r="M609" i="2"/>
  <c r="AE608" i="2"/>
  <c r="BB653" i="5" l="1"/>
  <c r="AT654" i="5"/>
  <c r="AT650" i="2"/>
  <c r="BM323" i="5"/>
  <c r="BN323" i="5" s="1"/>
  <c r="BO323" i="5" s="1"/>
  <c r="BP323" i="5" s="1"/>
  <c r="S660" i="5"/>
  <c r="T660" i="5" s="1"/>
  <c r="R609" i="2"/>
  <c r="S609" i="2" s="1"/>
  <c r="AJ608" i="2"/>
  <c r="AV654" i="5" l="1"/>
  <c r="AW654" i="5" s="1"/>
  <c r="AU650" i="2"/>
  <c r="AY650" i="2" s="1"/>
  <c r="V609" i="2"/>
  <c r="W660" i="5"/>
  <c r="X660" i="5" s="1"/>
  <c r="BK324" i="5"/>
  <c r="AL709" i="5"/>
  <c r="AC710" i="5" s="1"/>
  <c r="AK608" i="2"/>
  <c r="AB609" i="2"/>
  <c r="AD609" i="2" s="1"/>
  <c r="N661" i="5" l="1"/>
  <c r="O661" i="5"/>
  <c r="P661" i="5" s="1"/>
  <c r="BA654" i="5"/>
  <c r="AR651" i="2"/>
  <c r="AZ650" i="2"/>
  <c r="BM324" i="5"/>
  <c r="BN324" i="5" s="1"/>
  <c r="BO324" i="5" s="1"/>
  <c r="BP324" i="5" s="1"/>
  <c r="AE710" i="5"/>
  <c r="AF710" i="5" s="1"/>
  <c r="W609" i="2"/>
  <c r="AM709" i="5"/>
  <c r="M610" i="2"/>
  <c r="N610" i="2"/>
  <c r="O610" i="2" s="1"/>
  <c r="AE609" i="2"/>
  <c r="S661" i="5" l="1"/>
  <c r="T661" i="5" s="1"/>
  <c r="AT655" i="5"/>
  <c r="BB654" i="5"/>
  <c r="AT651" i="2"/>
  <c r="BK325" i="5"/>
  <c r="AL710" i="5"/>
  <c r="AC711" i="5" s="1"/>
  <c r="R610" i="2"/>
  <c r="S610" i="2" s="1"/>
  <c r="AJ609" i="2"/>
  <c r="W661" i="5" l="1"/>
  <c r="N662" i="5" s="1"/>
  <c r="AV655" i="5"/>
  <c r="AW655" i="5" s="1"/>
  <c r="AU651" i="2"/>
  <c r="AY651" i="2" s="1"/>
  <c r="V610" i="2"/>
  <c r="BM325" i="5"/>
  <c r="BN325" i="5" s="1"/>
  <c r="AE711" i="5"/>
  <c r="AF711" i="5" s="1"/>
  <c r="AM710" i="5"/>
  <c r="AK609" i="2"/>
  <c r="AB610" i="2"/>
  <c r="AD610" i="2" s="1"/>
  <c r="X661" i="5" l="1"/>
  <c r="O662" i="5"/>
  <c r="P662" i="5" s="1"/>
  <c r="S662" i="5" s="1"/>
  <c r="BA655" i="5"/>
  <c r="BB655" i="5" s="1"/>
  <c r="AZ651" i="2"/>
  <c r="AR652" i="2"/>
  <c r="BO325" i="5"/>
  <c r="BP325" i="5" s="1"/>
  <c r="W610" i="2"/>
  <c r="AL711" i="5"/>
  <c r="AC712" i="5" s="1"/>
  <c r="M611" i="2"/>
  <c r="N611" i="2"/>
  <c r="O611" i="2" s="1"/>
  <c r="AE610" i="2"/>
  <c r="T662" i="5" l="1"/>
  <c r="W662" i="5" s="1"/>
  <c r="AT656" i="5"/>
  <c r="AV656" i="5" s="1"/>
  <c r="AT652" i="2"/>
  <c r="BK326" i="5"/>
  <c r="AE712" i="5"/>
  <c r="AF712" i="5" s="1"/>
  <c r="AM711" i="5"/>
  <c r="R611" i="2"/>
  <c r="S611" i="2" s="1"/>
  <c r="AJ610" i="2"/>
  <c r="X662" i="5" l="1"/>
  <c r="O663" i="5"/>
  <c r="P663" i="5" s="1"/>
  <c r="N663" i="5"/>
  <c r="AW656" i="5"/>
  <c r="BA656" i="5" s="1"/>
  <c r="AU652" i="2"/>
  <c r="V611" i="2"/>
  <c r="BM326" i="5"/>
  <c r="BN326" i="5" s="1"/>
  <c r="AL712" i="5"/>
  <c r="AC713" i="5" s="1"/>
  <c r="AK610" i="2"/>
  <c r="AB611" i="2"/>
  <c r="AD611" i="2" s="1"/>
  <c r="S663" i="5" l="1"/>
  <c r="T663" i="5" s="1"/>
  <c r="AT657" i="5"/>
  <c r="AV657" i="5" s="1"/>
  <c r="AW657" i="5" s="1"/>
  <c r="BB656" i="5"/>
  <c r="AY652" i="2"/>
  <c r="BO326" i="5"/>
  <c r="BP326" i="5" s="1"/>
  <c r="AE713" i="5"/>
  <c r="AF713" i="5" s="1"/>
  <c r="W611" i="2"/>
  <c r="N612" i="2"/>
  <c r="O612" i="2" s="1"/>
  <c r="M612" i="2"/>
  <c r="AM712" i="5"/>
  <c r="AE611" i="2"/>
  <c r="W663" i="5" l="1"/>
  <c r="X663" i="5" s="1"/>
  <c r="BA657" i="5"/>
  <c r="AR653" i="2"/>
  <c r="AZ652" i="2"/>
  <c r="BK327" i="5"/>
  <c r="BM327" i="5" s="1"/>
  <c r="N664" i="5"/>
  <c r="R612" i="2"/>
  <c r="S612" i="2" s="1"/>
  <c r="AL713" i="5"/>
  <c r="AC714" i="5" s="1"/>
  <c r="AJ611" i="2"/>
  <c r="O664" i="5" l="1"/>
  <c r="P664" i="5" s="1"/>
  <c r="S664" i="5" s="1"/>
  <c r="T664" i="5" s="1"/>
  <c r="BB657" i="5"/>
  <c r="AT658" i="5"/>
  <c r="AT653" i="2"/>
  <c r="V612" i="2"/>
  <c r="BN327" i="5"/>
  <c r="BO327" i="5" s="1"/>
  <c r="BP327" i="5" s="1"/>
  <c r="AE714" i="5"/>
  <c r="AF714" i="5" s="1"/>
  <c r="AM713" i="5"/>
  <c r="AK611" i="2"/>
  <c r="AB612" i="2"/>
  <c r="AD612" i="2" s="1"/>
  <c r="AV658" i="5" l="1"/>
  <c r="AW658" i="5" s="1"/>
  <c r="AU653" i="2"/>
  <c r="W664" i="5"/>
  <c r="BK328" i="5"/>
  <c r="W612" i="2"/>
  <c r="N613" i="2"/>
  <c r="O613" i="2" s="1"/>
  <c r="M613" i="2"/>
  <c r="AL714" i="5"/>
  <c r="AC715" i="5" s="1"/>
  <c r="AE612" i="2"/>
  <c r="BA658" i="5" l="1"/>
  <c r="AY653" i="2"/>
  <c r="BM328" i="5"/>
  <c r="BN328" i="5" s="1"/>
  <c r="BO328" i="5" s="1"/>
  <c r="BP328" i="5" s="1"/>
  <c r="AE715" i="5"/>
  <c r="AF715" i="5" s="1"/>
  <c r="X664" i="5"/>
  <c r="O665" i="5"/>
  <c r="P665" i="5" s="1"/>
  <c r="N665" i="5"/>
  <c r="R613" i="2"/>
  <c r="S613" i="2" s="1"/>
  <c r="AM714" i="5"/>
  <c r="AJ612" i="2"/>
  <c r="BB658" i="5" l="1"/>
  <c r="AT659" i="5"/>
  <c r="AR654" i="2"/>
  <c r="AZ653" i="2"/>
  <c r="V613" i="2"/>
  <c r="BK329" i="5"/>
  <c r="S665" i="5"/>
  <c r="AL715" i="5"/>
  <c r="AC716" i="5" s="1"/>
  <c r="AK612" i="2"/>
  <c r="AB613" i="2"/>
  <c r="AD613" i="2" s="1"/>
  <c r="AV659" i="5" l="1"/>
  <c r="AW659" i="5" s="1"/>
  <c r="BA659" i="5" s="1"/>
  <c r="AT654" i="2"/>
  <c r="BM329" i="5"/>
  <c r="BN329" i="5" s="1"/>
  <c r="BO329" i="5" s="1"/>
  <c r="BP329" i="5" s="1"/>
  <c r="AE716" i="5"/>
  <c r="AF716" i="5" s="1"/>
  <c r="T665" i="5"/>
  <c r="W665" i="5" s="1"/>
  <c r="N666" i="5" s="1"/>
  <c r="W613" i="2"/>
  <c r="M614" i="2"/>
  <c r="N614" i="2"/>
  <c r="O614" i="2" s="1"/>
  <c r="AM715" i="5"/>
  <c r="AE613" i="2"/>
  <c r="AT660" i="5" l="1"/>
  <c r="BB659" i="5"/>
  <c r="O666" i="5"/>
  <c r="P666" i="5" s="1"/>
  <c r="S666" i="5" s="1"/>
  <c r="T666" i="5" s="1"/>
  <c r="AU654" i="2"/>
  <c r="AY654" i="2" s="1"/>
  <c r="BK330" i="5"/>
  <c r="X665" i="5"/>
  <c r="R614" i="2"/>
  <c r="S614" i="2" s="1"/>
  <c r="AJ613" i="2"/>
  <c r="AV660" i="5" l="1"/>
  <c r="AW660" i="5" s="1"/>
  <c r="BA660" i="5" s="1"/>
  <c r="AR655" i="2"/>
  <c r="AZ654" i="2"/>
  <c r="V614" i="2"/>
  <c r="W666" i="5"/>
  <c r="BM330" i="5"/>
  <c r="BN330" i="5" s="1"/>
  <c r="AL716" i="5"/>
  <c r="AC717" i="5" s="1"/>
  <c r="AK613" i="2"/>
  <c r="AB614" i="2"/>
  <c r="AD614" i="2" s="1"/>
  <c r="AT661" i="5" l="1"/>
  <c r="BB660" i="5"/>
  <c r="AT655" i="2"/>
  <c r="BO330" i="5"/>
  <c r="BP330" i="5" s="1"/>
  <c r="AE717" i="5"/>
  <c r="AF717" i="5" s="1"/>
  <c r="X666" i="5"/>
  <c r="O667" i="5"/>
  <c r="P667" i="5" s="1"/>
  <c r="N667" i="5"/>
  <c r="W614" i="2"/>
  <c r="N615" i="2"/>
  <c r="O615" i="2" s="1"/>
  <c r="M615" i="2"/>
  <c r="AM716" i="5"/>
  <c r="AE614" i="2"/>
  <c r="AV661" i="5" l="1"/>
  <c r="AW661" i="5" s="1"/>
  <c r="AU655" i="2"/>
  <c r="AY655" i="2" s="1"/>
  <c r="BK331" i="5"/>
  <c r="BM331" i="5" s="1"/>
  <c r="S667" i="5"/>
  <c r="T667" i="5" s="1"/>
  <c r="R615" i="2"/>
  <c r="S615" i="2" s="1"/>
  <c r="AJ614" i="2"/>
  <c r="BA661" i="5" l="1"/>
  <c r="AZ655" i="2"/>
  <c r="I80" i="7"/>
  <c r="AR656" i="2"/>
  <c r="V615" i="2"/>
  <c r="W615" i="2" s="1"/>
  <c r="W667" i="5"/>
  <c r="BN331" i="5"/>
  <c r="BO331" i="5" s="1"/>
  <c r="BP331" i="5" s="1"/>
  <c r="AL717" i="5"/>
  <c r="AC718" i="5" s="1"/>
  <c r="AK614" i="2"/>
  <c r="AB615" i="2"/>
  <c r="AD615" i="2" s="1"/>
  <c r="BB661" i="5" l="1"/>
  <c r="AT662" i="5"/>
  <c r="AT656" i="2"/>
  <c r="M616" i="2"/>
  <c r="N616" i="2"/>
  <c r="O616" i="2" s="1"/>
  <c r="M53" i="9"/>
  <c r="BK332" i="5"/>
  <c r="K53" i="9"/>
  <c r="L53" i="9" s="1"/>
  <c r="AE718" i="5"/>
  <c r="AF718" i="5" s="1"/>
  <c r="X667" i="5"/>
  <c r="O668" i="5"/>
  <c r="P668" i="5" s="1"/>
  <c r="N668" i="5"/>
  <c r="AM717" i="5"/>
  <c r="AE615" i="2"/>
  <c r="AV662" i="5" l="1"/>
  <c r="AW662" i="5" s="1"/>
  <c r="AU656" i="2"/>
  <c r="AY656" i="2" s="1"/>
  <c r="R616" i="2"/>
  <c r="S616" i="2" s="1"/>
  <c r="BM332" i="5"/>
  <c r="BN332" i="5" s="1"/>
  <c r="S668" i="5"/>
  <c r="T668" i="5" s="1"/>
  <c r="AL718" i="5"/>
  <c r="AC719" i="5" s="1"/>
  <c r="AJ615" i="2"/>
  <c r="BA662" i="5" l="1"/>
  <c r="AZ656" i="2"/>
  <c r="AR657" i="2"/>
  <c r="V616" i="2"/>
  <c r="W616" i="2" s="1"/>
  <c r="W668" i="5"/>
  <c r="BO332" i="5"/>
  <c r="BP332" i="5" s="1"/>
  <c r="AE719" i="5"/>
  <c r="AF719" i="5" s="1"/>
  <c r="AM718" i="5"/>
  <c r="AK615" i="2"/>
  <c r="AB616" i="2"/>
  <c r="AD616" i="2" s="1"/>
  <c r="AT663" i="5" l="1"/>
  <c r="BB662" i="5"/>
  <c r="AT657" i="2"/>
  <c r="M617" i="2"/>
  <c r="N617" i="2"/>
  <c r="O617" i="2" s="1"/>
  <c r="BK333" i="5"/>
  <c r="X668" i="5"/>
  <c r="O669" i="5"/>
  <c r="P669" i="5" s="1"/>
  <c r="N669" i="5"/>
  <c r="AE616" i="2"/>
  <c r="AV663" i="5" l="1"/>
  <c r="AW663" i="5" s="1"/>
  <c r="AU657" i="2"/>
  <c r="R617" i="2"/>
  <c r="S617" i="2" s="1"/>
  <c r="V617" i="2" s="1"/>
  <c r="BM333" i="5"/>
  <c r="BN333" i="5" s="1"/>
  <c r="BO333" i="5" s="1"/>
  <c r="BP333" i="5" s="1"/>
  <c r="S669" i="5"/>
  <c r="AL719" i="5"/>
  <c r="AC720" i="5" s="1"/>
  <c r="AJ616" i="2"/>
  <c r="BA663" i="5" l="1"/>
  <c r="BB663" i="5" s="1"/>
  <c r="AY657" i="2"/>
  <c r="BK334" i="5"/>
  <c r="AE720" i="5"/>
  <c r="AF720" i="5" s="1"/>
  <c r="T669" i="5"/>
  <c r="W669" i="5" s="1"/>
  <c r="O670" i="5" s="1"/>
  <c r="P670" i="5" s="1"/>
  <c r="W617" i="2"/>
  <c r="AM719" i="5"/>
  <c r="N618" i="2"/>
  <c r="O618" i="2" s="1"/>
  <c r="M618" i="2"/>
  <c r="AK616" i="2"/>
  <c r="AB617" i="2"/>
  <c r="AD617" i="2" s="1"/>
  <c r="AT664" i="5" l="1"/>
  <c r="AV664" i="5" s="1"/>
  <c r="AW664" i="5" s="1"/>
  <c r="N670" i="5"/>
  <c r="S670" i="5" s="1"/>
  <c r="T670" i="5" s="1"/>
  <c r="AZ657" i="2"/>
  <c r="AR658" i="2"/>
  <c r="BM334" i="5"/>
  <c r="BN334" i="5" s="1"/>
  <c r="BO334" i="5" s="1"/>
  <c r="BP334" i="5" s="1"/>
  <c r="X669" i="5"/>
  <c r="R618" i="2"/>
  <c r="S618" i="2" s="1"/>
  <c r="AE617" i="2"/>
  <c r="BA664" i="5" l="1"/>
  <c r="AT658" i="2"/>
  <c r="V618" i="2"/>
  <c r="W670" i="5"/>
  <c r="X670" i="5" s="1"/>
  <c r="BK335" i="5"/>
  <c r="AL720" i="5"/>
  <c r="AC721" i="5" s="1"/>
  <c r="AJ617" i="2"/>
  <c r="N671" i="5" l="1"/>
  <c r="O671" i="5"/>
  <c r="P671" i="5" s="1"/>
  <c r="BB664" i="5"/>
  <c r="AT665" i="5"/>
  <c r="AU658" i="2"/>
  <c r="AY658" i="2" s="1"/>
  <c r="BM335" i="5"/>
  <c r="BN335" i="5" s="1"/>
  <c r="BO335" i="5" s="1"/>
  <c r="BP335" i="5" s="1"/>
  <c r="AE721" i="5"/>
  <c r="AF721" i="5" s="1"/>
  <c r="W618" i="2"/>
  <c r="AM720" i="5"/>
  <c r="N619" i="2"/>
  <c r="O619" i="2" s="1"/>
  <c r="M619" i="2"/>
  <c r="AK617" i="2"/>
  <c r="AB618" i="2"/>
  <c r="AD618" i="2" s="1"/>
  <c r="S671" i="5" l="1"/>
  <c r="T671" i="5" s="1"/>
  <c r="AV665" i="5"/>
  <c r="AW665" i="5" s="1"/>
  <c r="AZ658" i="2"/>
  <c r="AR659" i="2"/>
  <c r="BK336" i="5"/>
  <c r="R619" i="2"/>
  <c r="S619" i="2" s="1"/>
  <c r="AE618" i="2"/>
  <c r="W671" i="5" l="1"/>
  <c r="X671" i="5" s="1"/>
  <c r="BA665" i="5"/>
  <c r="AT659" i="2"/>
  <c r="AU659" i="2" s="1"/>
  <c r="V619" i="2"/>
  <c r="BM336" i="5"/>
  <c r="BN336" i="5" s="1"/>
  <c r="BO336" i="5" s="1"/>
  <c r="BP336" i="5" s="1"/>
  <c r="O672" i="5"/>
  <c r="P672" i="5" s="1"/>
  <c r="N672" i="5"/>
  <c r="AL721" i="5"/>
  <c r="AC722" i="5" s="1"/>
  <c r="AJ618" i="2"/>
  <c r="AT666" i="5" l="1"/>
  <c r="BB665" i="5"/>
  <c r="AY659" i="2"/>
  <c r="BK337" i="5"/>
  <c r="AE722" i="5"/>
  <c r="AF722" i="5" s="1"/>
  <c r="S672" i="5"/>
  <c r="T672" i="5" s="1"/>
  <c r="H45" i="6"/>
  <c r="H77" i="7"/>
  <c r="W619" i="2"/>
  <c r="AM721" i="5"/>
  <c r="M620" i="2"/>
  <c r="N620" i="2"/>
  <c r="O620" i="2" s="1"/>
  <c r="AK618" i="2"/>
  <c r="AB619" i="2"/>
  <c r="AD619" i="2" s="1"/>
  <c r="AV666" i="5" l="1"/>
  <c r="AW666" i="5" s="1"/>
  <c r="AZ659" i="2"/>
  <c r="AR660" i="2"/>
  <c r="W672" i="5"/>
  <c r="X672" i="5" s="1"/>
  <c r="BM337" i="5"/>
  <c r="BN337" i="5" s="1"/>
  <c r="AL722" i="5"/>
  <c r="AC723" i="5" s="1"/>
  <c r="R620" i="2"/>
  <c r="S620" i="2" s="1"/>
  <c r="AE619" i="2"/>
  <c r="O673" i="5" l="1"/>
  <c r="P673" i="5" s="1"/>
  <c r="N673" i="5"/>
  <c r="BA666" i="5"/>
  <c r="AT660" i="2"/>
  <c r="V620" i="2"/>
  <c r="BO337" i="5"/>
  <c r="BP337" i="5" s="1"/>
  <c r="AE723" i="5"/>
  <c r="AF723" i="5" s="1"/>
  <c r="AM722" i="5"/>
  <c r="AJ619" i="2"/>
  <c r="S673" i="5" l="1"/>
  <c r="T673" i="5" s="1"/>
  <c r="W673" i="5" s="1"/>
  <c r="X673" i="5" s="1"/>
  <c r="AT667" i="5"/>
  <c r="BB666" i="5"/>
  <c r="AU660" i="2"/>
  <c r="AY660" i="2" s="1"/>
  <c r="BK338" i="5"/>
  <c r="W620" i="2"/>
  <c r="J77" i="7"/>
  <c r="L77" i="7" s="1"/>
  <c r="J45" i="6"/>
  <c r="L45" i="6" s="1"/>
  <c r="N621" i="2"/>
  <c r="O621" i="2" s="1"/>
  <c r="M621" i="2"/>
  <c r="AK619" i="2"/>
  <c r="AB620" i="2"/>
  <c r="AD620" i="2" s="1"/>
  <c r="O674" i="5" l="1"/>
  <c r="P674" i="5" s="1"/>
  <c r="N674" i="5"/>
  <c r="AV667" i="5"/>
  <c r="AW667" i="5" s="1"/>
  <c r="AZ660" i="2"/>
  <c r="AR661" i="2"/>
  <c r="BM338" i="5"/>
  <c r="BN338" i="5" s="1"/>
  <c r="BO338" i="5" s="1"/>
  <c r="BP338" i="5" s="1"/>
  <c r="M45" i="6"/>
  <c r="M77" i="7"/>
  <c r="AL723" i="5"/>
  <c r="AC724" i="5" s="1"/>
  <c r="R621" i="2"/>
  <c r="S621" i="2" s="1"/>
  <c r="AE620" i="2"/>
  <c r="S674" i="5" l="1"/>
  <c r="T674" i="5" s="1"/>
  <c r="BA667" i="5"/>
  <c r="AT661" i="2"/>
  <c r="AU661" i="2" s="1"/>
  <c r="V621" i="2"/>
  <c r="BK339" i="5"/>
  <c r="AE724" i="5"/>
  <c r="AF724" i="5" s="1"/>
  <c r="AM723" i="5"/>
  <c r="AJ620" i="2"/>
  <c r="W674" i="5" l="1"/>
  <c r="X674" i="5" s="1"/>
  <c r="BB667" i="5"/>
  <c r="AT668" i="5"/>
  <c r="AY661" i="2"/>
  <c r="AZ661" i="2" s="1"/>
  <c r="BM339" i="5"/>
  <c r="BN339" i="5" s="1"/>
  <c r="BO339" i="5" s="1"/>
  <c r="BP339" i="5" s="1"/>
  <c r="W621" i="2"/>
  <c r="AL724" i="5"/>
  <c r="AC725" i="5" s="1"/>
  <c r="M622" i="2"/>
  <c r="N622" i="2"/>
  <c r="O622" i="2" s="1"/>
  <c r="AK620" i="2"/>
  <c r="AB621" i="2"/>
  <c r="AD621" i="2" s="1"/>
  <c r="N675" i="5" l="1"/>
  <c r="O675" i="5"/>
  <c r="P675" i="5" s="1"/>
  <c r="AV668" i="5"/>
  <c r="AW668" i="5" s="1"/>
  <c r="BA668" i="5" s="1"/>
  <c r="AR662" i="2"/>
  <c r="AT662" i="2" s="1"/>
  <c r="BK340" i="5"/>
  <c r="AE725" i="5"/>
  <c r="AF725" i="5" s="1"/>
  <c r="AM724" i="5"/>
  <c r="R622" i="2"/>
  <c r="S622" i="2" s="1"/>
  <c r="AE621" i="2"/>
  <c r="S675" i="5" l="1"/>
  <c r="T675" i="5" s="1"/>
  <c r="W675" i="5" s="1"/>
  <c r="O676" i="5" s="1"/>
  <c r="P676" i="5" s="1"/>
  <c r="BB668" i="5"/>
  <c r="AT669" i="5"/>
  <c r="AU662" i="2"/>
  <c r="AY662" i="2" s="1"/>
  <c r="V622" i="2"/>
  <c r="BM340" i="5"/>
  <c r="BN340" i="5" s="1"/>
  <c r="BO340" i="5" s="1"/>
  <c r="BP340" i="5" s="1"/>
  <c r="AJ621" i="2"/>
  <c r="X675" i="5" l="1"/>
  <c r="N676" i="5"/>
  <c r="S676" i="5" s="1"/>
  <c r="T676" i="5" s="1"/>
  <c r="AV669" i="5"/>
  <c r="AW669" i="5" s="1"/>
  <c r="BA669" i="5" s="1"/>
  <c r="AR663" i="2"/>
  <c r="AZ662" i="2"/>
  <c r="BK341" i="5"/>
  <c r="W622" i="2"/>
  <c r="AL725" i="5"/>
  <c r="AC726" i="5" s="1"/>
  <c r="M623" i="2"/>
  <c r="N623" i="2"/>
  <c r="O623" i="2" s="1"/>
  <c r="AK621" i="2"/>
  <c r="AB622" i="2"/>
  <c r="AD622" i="2" s="1"/>
  <c r="W676" i="5" l="1"/>
  <c r="X676" i="5" s="1"/>
  <c r="O677" i="5"/>
  <c r="P677" i="5" s="1"/>
  <c r="BB669" i="5"/>
  <c r="AT670" i="5"/>
  <c r="N677" i="5"/>
  <c r="AT663" i="2"/>
  <c r="AU663" i="2" s="1"/>
  <c r="BM341" i="5"/>
  <c r="BN341" i="5" s="1"/>
  <c r="BO341" i="5" s="1"/>
  <c r="BP341" i="5" s="1"/>
  <c r="AE726" i="5"/>
  <c r="AF726" i="5" s="1"/>
  <c r="AM725" i="5"/>
  <c r="R623" i="2"/>
  <c r="AE622" i="2"/>
  <c r="S677" i="5" l="1"/>
  <c r="T677" i="5" s="1"/>
  <c r="AV670" i="5"/>
  <c r="AW670" i="5" s="1"/>
  <c r="AY663" i="2"/>
  <c r="BK342" i="5"/>
  <c r="S623" i="2"/>
  <c r="V623" i="2" s="1"/>
  <c r="AJ622" i="2"/>
  <c r="W677" i="5" l="1"/>
  <c r="X677" i="5" s="1"/>
  <c r="BA670" i="5"/>
  <c r="AR664" i="2"/>
  <c r="AZ663" i="2"/>
  <c r="BM342" i="5"/>
  <c r="BN342" i="5" s="1"/>
  <c r="BO342" i="5" s="1"/>
  <c r="BP342" i="5" s="1"/>
  <c r="AL726" i="5"/>
  <c r="AC727" i="5" s="1"/>
  <c r="AK622" i="2"/>
  <c r="AB623" i="2"/>
  <c r="AD623" i="2" s="1"/>
  <c r="N678" i="5" l="1"/>
  <c r="O678" i="5"/>
  <c r="P678" i="5" s="1"/>
  <c r="AT671" i="5"/>
  <c r="AV671" i="5" s="1"/>
  <c r="AW671" i="5" s="1"/>
  <c r="BB670" i="5"/>
  <c r="AT664" i="2"/>
  <c r="AU664" i="2" s="1"/>
  <c r="AY664" i="2" s="1"/>
  <c r="W623" i="2"/>
  <c r="BK343" i="5"/>
  <c r="AE727" i="5"/>
  <c r="AF727" i="5" s="1"/>
  <c r="N624" i="2"/>
  <c r="O624" i="2" s="1"/>
  <c r="M624" i="2"/>
  <c r="AM726" i="5"/>
  <c r="AE623" i="2"/>
  <c r="S678" i="5" l="1"/>
  <c r="T678" i="5" s="1"/>
  <c r="BA671" i="5"/>
  <c r="AZ664" i="2"/>
  <c r="AR665" i="2"/>
  <c r="BM343" i="5"/>
  <c r="BN343" i="5" s="1"/>
  <c r="R624" i="2"/>
  <c r="S624" i="2" s="1"/>
  <c r="AL727" i="5"/>
  <c r="AC728" i="5" s="1"/>
  <c r="AJ623" i="2"/>
  <c r="W678" i="5" l="1"/>
  <c r="BB671" i="5"/>
  <c r="AT672" i="5"/>
  <c r="AT665" i="2"/>
  <c r="V624" i="2"/>
  <c r="BO343" i="5"/>
  <c r="BP343" i="5" s="1"/>
  <c r="AE728" i="5"/>
  <c r="AF728" i="5" s="1"/>
  <c r="AM727" i="5"/>
  <c r="AK623" i="2"/>
  <c r="AB624" i="2"/>
  <c r="AD624" i="2" s="1"/>
  <c r="N679" i="5" l="1"/>
  <c r="X678" i="5"/>
  <c r="O679" i="5"/>
  <c r="P679" i="5" s="1"/>
  <c r="AV672" i="5"/>
  <c r="AW672" i="5" s="1"/>
  <c r="AU665" i="2"/>
  <c r="AY665" i="2" s="1"/>
  <c r="M54" i="9"/>
  <c r="BK344" i="5"/>
  <c r="K54" i="9"/>
  <c r="L54" i="9" s="1"/>
  <c r="W624" i="2"/>
  <c r="M625" i="2"/>
  <c r="N625" i="2"/>
  <c r="O625" i="2" s="1"/>
  <c r="AL728" i="5"/>
  <c r="AC729" i="5" s="1"/>
  <c r="AE624" i="2"/>
  <c r="S679" i="5" l="1"/>
  <c r="T679" i="5" s="1"/>
  <c r="W679" i="5" s="1"/>
  <c r="BA672" i="5"/>
  <c r="BB672" i="5" s="1"/>
  <c r="AR666" i="2"/>
  <c r="AZ665" i="2"/>
  <c r="BM344" i="5"/>
  <c r="BN344" i="5" s="1"/>
  <c r="BO344" i="5" s="1"/>
  <c r="BP344" i="5" s="1"/>
  <c r="AE729" i="5"/>
  <c r="AF729" i="5" s="1"/>
  <c r="O680" i="5"/>
  <c r="P680" i="5" s="1"/>
  <c r="N680" i="5"/>
  <c r="R625" i="2"/>
  <c r="S625" i="2" s="1"/>
  <c r="AM728" i="5"/>
  <c r="AJ624" i="2"/>
  <c r="X679" i="5" l="1"/>
  <c r="AT673" i="5"/>
  <c r="AV673" i="5" s="1"/>
  <c r="AW673" i="5" s="1"/>
  <c r="AT666" i="2"/>
  <c r="AU666" i="2" s="1"/>
  <c r="AY666" i="2" s="1"/>
  <c r="V625" i="2"/>
  <c r="BK345" i="5"/>
  <c r="S680" i="5"/>
  <c r="T680" i="5" s="1"/>
  <c r="AL729" i="5"/>
  <c r="AC730" i="5" s="1"/>
  <c r="AK624" i="2"/>
  <c r="AB625" i="2"/>
  <c r="AD625" i="2" s="1"/>
  <c r="BA673" i="5" l="1"/>
  <c r="BB673" i="5" s="1"/>
  <c r="AZ666" i="2"/>
  <c r="AR667" i="2"/>
  <c r="W680" i="5"/>
  <c r="BM345" i="5"/>
  <c r="BN345" i="5" s="1"/>
  <c r="BO345" i="5" s="1"/>
  <c r="BP345" i="5" s="1"/>
  <c r="AE730" i="5"/>
  <c r="AF730" i="5" s="1"/>
  <c r="W625" i="2"/>
  <c r="M626" i="2"/>
  <c r="N626" i="2"/>
  <c r="O626" i="2" s="1"/>
  <c r="AM729" i="5"/>
  <c r="AE625" i="2"/>
  <c r="AT674" i="5" l="1"/>
  <c r="AV674" i="5" s="1"/>
  <c r="AW674" i="5" s="1"/>
  <c r="BA674" i="5" s="1"/>
  <c r="AT667" i="2"/>
  <c r="BK346" i="5"/>
  <c r="X680" i="5"/>
  <c r="O681" i="5"/>
  <c r="P681" i="5" s="1"/>
  <c r="N681" i="5"/>
  <c r="R626" i="2"/>
  <c r="S626" i="2" s="1"/>
  <c r="AJ625" i="2"/>
  <c r="BB674" i="5" l="1"/>
  <c r="AT675" i="5"/>
  <c r="AU667" i="2"/>
  <c r="AY667" i="2" s="1"/>
  <c r="V626" i="2"/>
  <c r="BM346" i="5"/>
  <c r="BN346" i="5" s="1"/>
  <c r="BO346" i="5" s="1"/>
  <c r="BP346" i="5" s="1"/>
  <c r="S681" i="5"/>
  <c r="T681" i="5" s="1"/>
  <c r="AL730" i="5"/>
  <c r="AC731" i="5" s="1"/>
  <c r="AK625" i="2"/>
  <c r="AB626" i="2"/>
  <c r="AD626" i="2" s="1"/>
  <c r="AV675" i="5" l="1"/>
  <c r="AW675" i="5" s="1"/>
  <c r="AR668" i="2"/>
  <c r="AZ667" i="2"/>
  <c r="I81" i="7"/>
  <c r="W681" i="5"/>
  <c r="X681" i="5" s="1"/>
  <c r="BK347" i="5"/>
  <c r="AE731" i="5"/>
  <c r="AF731" i="5" s="1"/>
  <c r="W626" i="2"/>
  <c r="M627" i="2"/>
  <c r="N627" i="2"/>
  <c r="O627" i="2" s="1"/>
  <c r="AM730" i="5"/>
  <c r="AE626" i="2"/>
  <c r="N682" i="5" l="1"/>
  <c r="O682" i="5"/>
  <c r="P682" i="5" s="1"/>
  <c r="BA675" i="5"/>
  <c r="AT668" i="2"/>
  <c r="BM347" i="5"/>
  <c r="BN347" i="5" s="1"/>
  <c r="R627" i="2"/>
  <c r="S627" i="2" s="1"/>
  <c r="AJ626" i="2"/>
  <c r="S682" i="5" l="1"/>
  <c r="T682" i="5" s="1"/>
  <c r="AT676" i="5"/>
  <c r="BB675" i="5"/>
  <c r="AU668" i="2"/>
  <c r="AY668" i="2" s="1"/>
  <c r="V627" i="2"/>
  <c r="BO347" i="5"/>
  <c r="BP347" i="5" s="1"/>
  <c r="AB627" i="2"/>
  <c r="AD627" i="2" s="1"/>
  <c r="AE627" i="2" s="1"/>
  <c r="AL731" i="5"/>
  <c r="AC732" i="5" s="1"/>
  <c r="AK626" i="2"/>
  <c r="W682" i="5" l="1"/>
  <c r="AV676" i="5"/>
  <c r="AW676" i="5" s="1"/>
  <c r="BA676" i="5" s="1"/>
  <c r="AR669" i="2"/>
  <c r="AZ668" i="2"/>
  <c r="W627" i="2"/>
  <c r="BK348" i="5"/>
  <c r="AE732" i="5"/>
  <c r="AF732" i="5" s="1"/>
  <c r="M628" i="2"/>
  <c r="N628" i="2"/>
  <c r="O628" i="2" s="1"/>
  <c r="AM731" i="5"/>
  <c r="AJ627" i="2"/>
  <c r="N683" i="5" l="1"/>
  <c r="O683" i="5"/>
  <c r="P683" i="5" s="1"/>
  <c r="X682" i="5"/>
  <c r="AT677" i="5"/>
  <c r="BB676" i="5"/>
  <c r="AT669" i="2"/>
  <c r="AU669" i="2" s="1"/>
  <c r="BM348" i="5"/>
  <c r="BN348" i="5" s="1"/>
  <c r="AB628" i="2"/>
  <c r="AD628" i="2" s="1"/>
  <c r="R628" i="2"/>
  <c r="S628" i="2" s="1"/>
  <c r="AL732" i="5"/>
  <c r="AC733" i="5" s="1"/>
  <c r="AK627" i="2"/>
  <c r="S683" i="5" l="1"/>
  <c r="T683" i="5" s="1"/>
  <c r="W683" i="5" s="1"/>
  <c r="AV677" i="5"/>
  <c r="AW677" i="5" s="1"/>
  <c r="AY669" i="2"/>
  <c r="V628" i="2"/>
  <c r="BO348" i="5"/>
  <c r="BP348" i="5" s="1"/>
  <c r="AE733" i="5"/>
  <c r="AF733" i="5" s="1"/>
  <c r="AE628" i="2"/>
  <c r="AJ628" i="2" s="1"/>
  <c r="AM732" i="5"/>
  <c r="BA677" i="5" l="1"/>
  <c r="AR670" i="2"/>
  <c r="AZ669" i="2"/>
  <c r="BK349" i="5"/>
  <c r="X683" i="5"/>
  <c r="O684" i="5"/>
  <c r="P684" i="5" s="1"/>
  <c r="N684" i="5"/>
  <c r="W628" i="2"/>
  <c r="M629" i="2"/>
  <c r="N629" i="2"/>
  <c r="O629" i="2" s="1"/>
  <c r="AK628" i="2"/>
  <c r="AB629" i="2"/>
  <c r="AD629" i="2" s="1"/>
  <c r="AT678" i="5" l="1"/>
  <c r="BB677" i="5"/>
  <c r="AT670" i="2"/>
  <c r="BM349" i="5"/>
  <c r="BN349" i="5" s="1"/>
  <c r="S684" i="5"/>
  <c r="R629" i="2"/>
  <c r="S629" i="2" s="1"/>
  <c r="AL733" i="5"/>
  <c r="AC734" i="5" s="1"/>
  <c r="AE629" i="2"/>
  <c r="AV678" i="5" l="1"/>
  <c r="AW678" i="5" s="1"/>
  <c r="BA678" i="5" s="1"/>
  <c r="AU670" i="2"/>
  <c r="AY670" i="2" s="1"/>
  <c r="V629" i="2"/>
  <c r="BO349" i="5"/>
  <c r="BP349" i="5" s="1"/>
  <c r="AE734" i="5"/>
  <c r="AF734" i="5" s="1"/>
  <c r="T684" i="5"/>
  <c r="W684" i="5" s="1"/>
  <c r="N685" i="5" s="1"/>
  <c r="AM733" i="5"/>
  <c r="AJ629" i="2"/>
  <c r="O685" i="5" l="1"/>
  <c r="P685" i="5" s="1"/>
  <c r="S685" i="5" s="1"/>
  <c r="T685" i="5" s="1"/>
  <c r="AT679" i="5"/>
  <c r="BB678" i="5"/>
  <c r="AZ670" i="2"/>
  <c r="AR671" i="2"/>
  <c r="BK350" i="5"/>
  <c r="X684" i="5"/>
  <c r="W629" i="2"/>
  <c r="N630" i="2"/>
  <c r="O630" i="2" s="1"/>
  <c r="M630" i="2"/>
  <c r="AK629" i="2"/>
  <c r="AB630" i="2"/>
  <c r="AD630" i="2" s="1"/>
  <c r="AV679" i="5" l="1"/>
  <c r="AW679" i="5" s="1"/>
  <c r="BA679" i="5" s="1"/>
  <c r="AT671" i="2"/>
  <c r="W685" i="5"/>
  <c r="X685" i="5" s="1"/>
  <c r="BM350" i="5"/>
  <c r="BN350" i="5" s="1"/>
  <c r="BO350" i="5" s="1"/>
  <c r="BP350" i="5" s="1"/>
  <c r="R630" i="2"/>
  <c r="S630" i="2" s="1"/>
  <c r="AL734" i="5"/>
  <c r="AC735" i="5" s="1"/>
  <c r="AE630" i="2"/>
  <c r="O686" i="5" l="1"/>
  <c r="P686" i="5" s="1"/>
  <c r="AT680" i="5"/>
  <c r="BB679" i="5"/>
  <c r="N686" i="5"/>
  <c r="AU671" i="2"/>
  <c r="AY671" i="2" s="1"/>
  <c r="V630" i="2"/>
  <c r="BK351" i="5"/>
  <c r="AE735" i="5"/>
  <c r="AF735" i="5" s="1"/>
  <c r="AM734" i="5"/>
  <c r="AJ630" i="2"/>
  <c r="S686" i="5" l="1"/>
  <c r="T686" i="5" s="1"/>
  <c r="AV680" i="5"/>
  <c r="AW680" i="5" s="1"/>
  <c r="AR672" i="2"/>
  <c r="AZ671" i="2"/>
  <c r="W630" i="2"/>
  <c r="BM351" i="5"/>
  <c r="BN351" i="5" s="1"/>
  <c r="BO351" i="5" s="1"/>
  <c r="BP351" i="5" s="1"/>
  <c r="M631" i="2"/>
  <c r="N631" i="2"/>
  <c r="O631" i="2" s="1"/>
  <c r="AL735" i="5"/>
  <c r="AC736" i="5" s="1"/>
  <c r="AK630" i="2"/>
  <c r="AB631" i="2"/>
  <c r="AD631" i="2" s="1"/>
  <c r="W686" i="5" l="1"/>
  <c r="BA680" i="5"/>
  <c r="AT672" i="2"/>
  <c r="BK352" i="5"/>
  <c r="AE736" i="5"/>
  <c r="AF736" i="5" s="1"/>
  <c r="O687" i="5"/>
  <c r="P687" i="5" s="1"/>
  <c r="N687" i="5"/>
  <c r="R631" i="2"/>
  <c r="S631" i="2" s="1"/>
  <c r="AM735" i="5"/>
  <c r="AE631" i="2"/>
  <c r="X686" i="5" l="1"/>
  <c r="AT681" i="5"/>
  <c r="BB680" i="5"/>
  <c r="AU672" i="2"/>
  <c r="AY672" i="2" s="1"/>
  <c r="V631" i="2"/>
  <c r="W631" i="2" s="1"/>
  <c r="BM352" i="5"/>
  <c r="BN352" i="5" s="1"/>
  <c r="BO352" i="5" s="1"/>
  <c r="BP352" i="5" s="1"/>
  <c r="S687" i="5"/>
  <c r="T687" i="5" s="1"/>
  <c r="AJ631" i="2"/>
  <c r="AV681" i="5" l="1"/>
  <c r="AW681" i="5" s="1"/>
  <c r="BA681" i="5" s="1"/>
  <c r="AZ672" i="2"/>
  <c r="AR673" i="2"/>
  <c r="H78" i="7"/>
  <c r="W687" i="5"/>
  <c r="BK353" i="5"/>
  <c r="J78" i="7"/>
  <c r="N632" i="2"/>
  <c r="O632" i="2" s="1"/>
  <c r="M632" i="2"/>
  <c r="AL736" i="5"/>
  <c r="AC737" i="5" s="1"/>
  <c r="AK631" i="2"/>
  <c r="M78" i="7" s="1"/>
  <c r="AB632" i="2"/>
  <c r="AD632" i="2" s="1"/>
  <c r="BB681" i="5" l="1"/>
  <c r="AT682" i="5"/>
  <c r="AT673" i="2"/>
  <c r="L78" i="7"/>
  <c r="BM353" i="5"/>
  <c r="BN353" i="5" s="1"/>
  <c r="BO353" i="5" s="1"/>
  <c r="BP353" i="5" s="1"/>
  <c r="AE737" i="5"/>
  <c r="AF737" i="5" s="1"/>
  <c r="X687" i="5"/>
  <c r="O688" i="5"/>
  <c r="P688" i="5" s="1"/>
  <c r="N688" i="5"/>
  <c r="R632" i="2"/>
  <c r="S632" i="2" s="1"/>
  <c r="AM736" i="5"/>
  <c r="AE632" i="2"/>
  <c r="AV682" i="5" l="1"/>
  <c r="AW682" i="5" s="1"/>
  <c r="AU673" i="2"/>
  <c r="V632" i="2"/>
  <c r="BK354" i="5"/>
  <c r="S688" i="5"/>
  <c r="T688" i="5" s="1"/>
  <c r="AL737" i="5"/>
  <c r="AC738" i="5" s="1"/>
  <c r="AJ632" i="2"/>
  <c r="BA682" i="5" l="1"/>
  <c r="AY673" i="2"/>
  <c r="W688" i="5"/>
  <c r="BM354" i="5"/>
  <c r="BN354" i="5" s="1"/>
  <c r="BO354" i="5" s="1"/>
  <c r="BP354" i="5" s="1"/>
  <c r="AE738" i="5"/>
  <c r="AF738" i="5" s="1"/>
  <c r="W632" i="2"/>
  <c r="M633" i="2"/>
  <c r="N633" i="2"/>
  <c r="O633" i="2" s="1"/>
  <c r="AM737" i="5"/>
  <c r="AK632" i="2"/>
  <c r="AB633" i="2"/>
  <c r="AD633" i="2" s="1"/>
  <c r="BB682" i="5" l="1"/>
  <c r="AT683" i="5"/>
  <c r="AZ673" i="2"/>
  <c r="AR674" i="2"/>
  <c r="BK355" i="5"/>
  <c r="X688" i="5"/>
  <c r="O689" i="5"/>
  <c r="P689" i="5" s="1"/>
  <c r="N689" i="5"/>
  <c r="R633" i="2"/>
  <c r="S633" i="2" s="1"/>
  <c r="AL738" i="5"/>
  <c r="AC739" i="5" s="1"/>
  <c r="AE633" i="2"/>
  <c r="AV683" i="5" l="1"/>
  <c r="AW683" i="5" s="1"/>
  <c r="BA683" i="5" s="1"/>
  <c r="AT674" i="2"/>
  <c r="V633" i="2"/>
  <c r="W633" i="2" s="1"/>
  <c r="BM355" i="5"/>
  <c r="BN355" i="5" s="1"/>
  <c r="AE739" i="5"/>
  <c r="AF739" i="5" s="1"/>
  <c r="S689" i="5"/>
  <c r="T689" i="5" s="1"/>
  <c r="AM738" i="5"/>
  <c r="AJ633" i="2"/>
  <c r="BB683" i="5" l="1"/>
  <c r="AT684" i="5"/>
  <c r="AU674" i="2"/>
  <c r="AY674" i="2" s="1"/>
  <c r="W689" i="5"/>
  <c r="N634" i="2"/>
  <c r="O634" i="2" s="1"/>
  <c r="M634" i="2"/>
  <c r="BO355" i="5"/>
  <c r="AK633" i="2"/>
  <c r="AB634" i="2"/>
  <c r="AD634" i="2" s="1"/>
  <c r="BP355" i="5" l="1"/>
  <c r="AV684" i="5"/>
  <c r="AW684" i="5" s="1"/>
  <c r="AR675" i="2"/>
  <c r="AZ674" i="2"/>
  <c r="R634" i="2"/>
  <c r="S634" i="2" s="1"/>
  <c r="K55" i="9"/>
  <c r="L55" i="9" s="1"/>
  <c r="BK356" i="5"/>
  <c r="BM356" i="5" s="1"/>
  <c r="BN356" i="5" s="1"/>
  <c r="BO356" i="5" s="1"/>
  <c r="BP356" i="5" s="1"/>
  <c r="M55" i="9"/>
  <c r="X689" i="5"/>
  <c r="O690" i="5"/>
  <c r="P690" i="5" s="1"/>
  <c r="N690" i="5"/>
  <c r="AL739" i="5"/>
  <c r="AC740" i="5" s="1"/>
  <c r="AE634" i="2"/>
  <c r="BA684" i="5" l="1"/>
  <c r="BB684" i="5" s="1"/>
  <c r="AT675" i="2"/>
  <c r="V634" i="2"/>
  <c r="BK357" i="5"/>
  <c r="AE740" i="5"/>
  <c r="AF740" i="5" s="1"/>
  <c r="S690" i="5"/>
  <c r="T690" i="5" s="1"/>
  <c r="AM739" i="5"/>
  <c r="AJ634" i="2"/>
  <c r="AT685" i="5" l="1"/>
  <c r="AV685" i="5" s="1"/>
  <c r="AW685" i="5" s="1"/>
  <c r="AU675" i="2"/>
  <c r="AY675" i="2" s="1"/>
  <c r="N635" i="2"/>
  <c r="O635" i="2" s="1"/>
  <c r="W634" i="2"/>
  <c r="M635" i="2"/>
  <c r="W690" i="5"/>
  <c r="BM357" i="5"/>
  <c r="BN357" i="5" s="1"/>
  <c r="BO357" i="5" s="1"/>
  <c r="BP357" i="5" s="1"/>
  <c r="AK634" i="2"/>
  <c r="AB635" i="2"/>
  <c r="AD635" i="2" s="1"/>
  <c r="BA685" i="5" l="1"/>
  <c r="AZ675" i="2"/>
  <c r="AR676" i="2"/>
  <c r="R635" i="2"/>
  <c r="S635" i="2" s="1"/>
  <c r="V635" i="2" s="1"/>
  <c r="BK358" i="5"/>
  <c r="X690" i="5"/>
  <c r="O691" i="5"/>
  <c r="P691" i="5" s="1"/>
  <c r="N691" i="5"/>
  <c r="AL740" i="5"/>
  <c r="AC741" i="5" s="1"/>
  <c r="AE635" i="2"/>
  <c r="BB685" i="5" l="1"/>
  <c r="AT686" i="5"/>
  <c r="AT676" i="2"/>
  <c r="BM358" i="5"/>
  <c r="BN358" i="5" s="1"/>
  <c r="AE741" i="5"/>
  <c r="AF741" i="5" s="1"/>
  <c r="S691" i="5"/>
  <c r="AM740" i="5"/>
  <c r="AJ635" i="2"/>
  <c r="AV686" i="5" l="1"/>
  <c r="AW686" i="5" s="1"/>
  <c r="AU676" i="2"/>
  <c r="AY676" i="2" s="1"/>
  <c r="W635" i="2"/>
  <c r="BO358" i="5"/>
  <c r="T691" i="5"/>
  <c r="W691" i="5" s="1"/>
  <c r="N692" i="5" s="1"/>
  <c r="N636" i="2"/>
  <c r="O636" i="2" s="1"/>
  <c r="M636" i="2"/>
  <c r="AL741" i="5"/>
  <c r="AC742" i="5" s="1"/>
  <c r="AK635" i="2"/>
  <c r="AB636" i="2"/>
  <c r="AD636" i="2" s="1"/>
  <c r="BK359" i="5" l="1"/>
  <c r="BM359" i="5" s="1"/>
  <c r="BN359" i="5" s="1"/>
  <c r="BP358" i="5"/>
  <c r="O692" i="5"/>
  <c r="P692" i="5" s="1"/>
  <c r="S692" i="5" s="1"/>
  <c r="BA686" i="5"/>
  <c r="AR677" i="2"/>
  <c r="AZ676" i="2"/>
  <c r="AE742" i="5"/>
  <c r="AF742" i="5" s="1"/>
  <c r="X691" i="5"/>
  <c r="R636" i="2"/>
  <c r="S636" i="2" s="1"/>
  <c r="AM741" i="5"/>
  <c r="AE636" i="2"/>
  <c r="BB686" i="5" l="1"/>
  <c r="AT687" i="5"/>
  <c r="AT677" i="2"/>
  <c r="V636" i="2"/>
  <c r="BO359" i="5"/>
  <c r="T692" i="5"/>
  <c r="W692" i="5" s="1"/>
  <c r="N693" i="5" s="1"/>
  <c r="AJ636" i="2"/>
  <c r="BP359" i="5" l="1"/>
  <c r="AV687" i="5"/>
  <c r="AW687" i="5" s="1"/>
  <c r="O693" i="5"/>
  <c r="P693" i="5" s="1"/>
  <c r="S693" i="5" s="1"/>
  <c r="T693" i="5" s="1"/>
  <c r="AU677" i="2"/>
  <c r="BK360" i="5"/>
  <c r="BM360" i="5" s="1"/>
  <c r="BN360" i="5" s="1"/>
  <c r="X692" i="5"/>
  <c r="W636" i="2"/>
  <c r="N637" i="2"/>
  <c r="O637" i="2" s="1"/>
  <c r="M637" i="2"/>
  <c r="AL742" i="5"/>
  <c r="AC743" i="5" s="1"/>
  <c r="AK636" i="2"/>
  <c r="AB637" i="2"/>
  <c r="AD637" i="2" s="1"/>
  <c r="BA687" i="5" l="1"/>
  <c r="AY677" i="2"/>
  <c r="W693" i="5"/>
  <c r="X693" i="5" s="1"/>
  <c r="BO360" i="5"/>
  <c r="AE743" i="5"/>
  <c r="AF743" i="5" s="1"/>
  <c r="R637" i="2"/>
  <c r="S637" i="2" s="1"/>
  <c r="AM742" i="5"/>
  <c r="AE637" i="2"/>
  <c r="BP360" i="5" l="1"/>
  <c r="O694" i="5"/>
  <c r="P694" i="5" s="1"/>
  <c r="N694" i="5"/>
  <c r="AT688" i="5"/>
  <c r="BB687" i="5"/>
  <c r="AR678" i="2"/>
  <c r="AZ677" i="2"/>
  <c r="V637" i="2"/>
  <c r="BK361" i="5"/>
  <c r="BM361" i="5" s="1"/>
  <c r="BN361" i="5" s="1"/>
  <c r="BO361" i="5" s="1"/>
  <c r="BP361" i="5" s="1"/>
  <c r="AL743" i="5"/>
  <c r="AC744" i="5" s="1"/>
  <c r="AJ637" i="2"/>
  <c r="S694" i="5" l="1"/>
  <c r="T694" i="5" s="1"/>
  <c r="AV688" i="5"/>
  <c r="AW688" i="5" s="1"/>
  <c r="BA688" i="5" s="1"/>
  <c r="AT678" i="2"/>
  <c r="BK362" i="5"/>
  <c r="AE744" i="5"/>
  <c r="AF744" i="5" s="1"/>
  <c r="W637" i="2"/>
  <c r="N638" i="2"/>
  <c r="O638" i="2" s="1"/>
  <c r="M638" i="2"/>
  <c r="AM743" i="5"/>
  <c r="AK637" i="2"/>
  <c r="AB638" i="2"/>
  <c r="AD638" i="2" s="1"/>
  <c r="W694" i="5" l="1"/>
  <c r="BB688" i="5"/>
  <c r="AT689" i="5"/>
  <c r="AU678" i="2"/>
  <c r="AY678" i="2" s="1"/>
  <c r="BM362" i="5"/>
  <c r="BN362" i="5" s="1"/>
  <c r="R638" i="2"/>
  <c r="S638" i="2" s="1"/>
  <c r="AE638" i="2"/>
  <c r="N695" i="5" l="1"/>
  <c r="X694" i="5"/>
  <c r="O695" i="5"/>
  <c r="P695" i="5" s="1"/>
  <c r="AV689" i="5"/>
  <c r="AW689" i="5" s="1"/>
  <c r="AZ678" i="2"/>
  <c r="AR679" i="2"/>
  <c r="V638" i="2"/>
  <c r="BO362" i="5"/>
  <c r="BP362" i="5" s="1"/>
  <c r="AL744" i="5"/>
  <c r="AC745" i="5" s="1"/>
  <c r="AJ638" i="2"/>
  <c r="S695" i="5" l="1"/>
  <c r="T695" i="5" s="1"/>
  <c r="BA689" i="5"/>
  <c r="AT679" i="2"/>
  <c r="AU679" i="2" s="1"/>
  <c r="BK363" i="5"/>
  <c r="AE745" i="5"/>
  <c r="AF745" i="5" s="1"/>
  <c r="W638" i="2"/>
  <c r="M639" i="2"/>
  <c r="N639" i="2"/>
  <c r="O639" i="2" s="1"/>
  <c r="AM744" i="5"/>
  <c r="AK638" i="2"/>
  <c r="AB639" i="2"/>
  <c r="AD639" i="2" s="1"/>
  <c r="W695" i="5" l="1"/>
  <c r="N696" i="5" s="1"/>
  <c r="AT690" i="5"/>
  <c r="BB689" i="5"/>
  <c r="AY679" i="2"/>
  <c r="BM363" i="5"/>
  <c r="BN363" i="5" s="1"/>
  <c r="BO363" i="5" s="1"/>
  <c r="BP363" i="5" s="1"/>
  <c r="R639" i="2"/>
  <c r="S639" i="2" s="1"/>
  <c r="AL745" i="5"/>
  <c r="AC746" i="5" s="1"/>
  <c r="AE639" i="2"/>
  <c r="O696" i="5" l="1"/>
  <c r="P696" i="5" s="1"/>
  <c r="S696" i="5" s="1"/>
  <c r="X695" i="5"/>
  <c r="AV690" i="5"/>
  <c r="AW690" i="5" s="1"/>
  <c r="I82" i="7"/>
  <c r="AZ679" i="2"/>
  <c r="AR680" i="2"/>
  <c r="I46" i="6"/>
  <c r="V639" i="2"/>
  <c r="BK364" i="5"/>
  <c r="AE746" i="5"/>
  <c r="AF746" i="5" s="1"/>
  <c r="AM745" i="5"/>
  <c r="AJ639" i="2"/>
  <c r="T696" i="5" l="1"/>
  <c r="W696" i="5" s="1"/>
  <c r="BA690" i="5"/>
  <c r="AT680" i="2"/>
  <c r="BM364" i="5"/>
  <c r="BN364" i="5" s="1"/>
  <c r="BO364" i="5" s="1"/>
  <c r="BP364" i="5" s="1"/>
  <c r="W639" i="2"/>
  <c r="N640" i="2"/>
  <c r="O640" i="2" s="1"/>
  <c r="M640" i="2"/>
  <c r="AL746" i="5"/>
  <c r="AC747" i="5" s="1"/>
  <c r="AK639" i="2"/>
  <c r="AB640" i="2"/>
  <c r="AD640" i="2" s="1"/>
  <c r="X696" i="5" l="1"/>
  <c r="O697" i="5"/>
  <c r="P697" i="5" s="1"/>
  <c r="N697" i="5"/>
  <c r="AT691" i="5"/>
  <c r="BB690" i="5"/>
  <c r="AU680" i="2"/>
  <c r="AY680" i="2" s="1"/>
  <c r="BK365" i="5"/>
  <c r="AE747" i="5"/>
  <c r="AF747" i="5" s="1"/>
  <c r="R640" i="2"/>
  <c r="S640" i="2" s="1"/>
  <c r="AM746" i="5"/>
  <c r="AE640" i="2"/>
  <c r="S697" i="5" l="1"/>
  <c r="T697" i="5" s="1"/>
  <c r="W697" i="5" s="1"/>
  <c r="AV691" i="5"/>
  <c r="AW691" i="5" s="1"/>
  <c r="AR681" i="2"/>
  <c r="AZ680" i="2"/>
  <c r="V640" i="2"/>
  <c r="M641" i="2" s="1"/>
  <c r="BM365" i="5"/>
  <c r="BN365" i="5" s="1"/>
  <c r="BO365" i="5" s="1"/>
  <c r="BP365" i="5" s="1"/>
  <c r="AJ640" i="2"/>
  <c r="BA691" i="5" l="1"/>
  <c r="AT681" i="2"/>
  <c r="W640" i="2"/>
  <c r="N641" i="2"/>
  <c r="O641" i="2" s="1"/>
  <c r="R641" i="2" s="1"/>
  <c r="S641" i="2" s="1"/>
  <c r="BK366" i="5"/>
  <c r="X697" i="5"/>
  <c r="O698" i="5"/>
  <c r="P698" i="5" s="1"/>
  <c r="N698" i="5"/>
  <c r="AL747" i="5"/>
  <c r="AC748" i="5" s="1"/>
  <c r="AK640" i="2"/>
  <c r="AB641" i="2"/>
  <c r="AD641" i="2" s="1"/>
  <c r="BB691" i="5" l="1"/>
  <c r="AT692" i="5"/>
  <c r="AU681" i="2"/>
  <c r="AY681" i="2" s="1"/>
  <c r="V641" i="2"/>
  <c r="BM366" i="5"/>
  <c r="BN366" i="5" s="1"/>
  <c r="BO366" i="5" s="1"/>
  <c r="BP366" i="5" s="1"/>
  <c r="AE748" i="5"/>
  <c r="AF748" i="5" s="1"/>
  <c r="S698" i="5"/>
  <c r="T698" i="5" s="1"/>
  <c r="AM747" i="5"/>
  <c r="AE641" i="2"/>
  <c r="AV692" i="5" l="1"/>
  <c r="AW692" i="5" s="1"/>
  <c r="AZ681" i="2"/>
  <c r="AR682" i="2"/>
  <c r="W698" i="5"/>
  <c r="BK367" i="5"/>
  <c r="W641" i="2"/>
  <c r="M642" i="2"/>
  <c r="N642" i="2"/>
  <c r="O642" i="2" s="1"/>
  <c r="AJ641" i="2"/>
  <c r="BA692" i="5" l="1"/>
  <c r="BB692" i="5" s="1"/>
  <c r="N699" i="5"/>
  <c r="O699" i="5"/>
  <c r="P699" i="5" s="1"/>
  <c r="AT682" i="2"/>
  <c r="BM367" i="5"/>
  <c r="BN367" i="5" s="1"/>
  <c r="X698" i="5"/>
  <c r="AB642" i="2"/>
  <c r="AD642" i="2" s="1"/>
  <c r="R642" i="2"/>
  <c r="S642" i="2" s="1"/>
  <c r="AL748" i="5"/>
  <c r="AC749" i="5" s="1"/>
  <c r="AK641" i="2"/>
  <c r="AT693" i="5" l="1"/>
  <c r="AV693" i="5" s="1"/>
  <c r="AW693" i="5" s="1"/>
  <c r="BA693" i="5" s="1"/>
  <c r="S699" i="5"/>
  <c r="T699" i="5" s="1"/>
  <c r="W699" i="5" s="1"/>
  <c r="AU682" i="2"/>
  <c r="AY682" i="2" s="1"/>
  <c r="V642" i="2"/>
  <c r="BO367" i="5"/>
  <c r="AE749" i="5"/>
  <c r="AF749" i="5" s="1"/>
  <c r="AE642" i="2"/>
  <c r="AJ642" i="2" s="1"/>
  <c r="AM748" i="5"/>
  <c r="BP367" i="5" l="1"/>
  <c r="M56" i="9" s="1"/>
  <c r="X699" i="5"/>
  <c r="O700" i="5"/>
  <c r="P700" i="5" s="1"/>
  <c r="N700" i="5"/>
  <c r="AT694" i="5"/>
  <c r="BB693" i="5"/>
  <c r="AZ682" i="2"/>
  <c r="AR683" i="2"/>
  <c r="K56" i="9"/>
  <c r="L56" i="9" s="1"/>
  <c r="BK368" i="5"/>
  <c r="BM368" i="5" s="1"/>
  <c r="BN368" i="5" s="1"/>
  <c r="W642" i="2"/>
  <c r="N643" i="2"/>
  <c r="O643" i="2" s="1"/>
  <c r="M643" i="2"/>
  <c r="AL749" i="5"/>
  <c r="AC750" i="5" s="1"/>
  <c r="AK642" i="2"/>
  <c r="AB643" i="2"/>
  <c r="AD643" i="2" s="1"/>
  <c r="S700" i="5" l="1"/>
  <c r="T700" i="5" s="1"/>
  <c r="AV694" i="5"/>
  <c r="AW694" i="5" s="1"/>
  <c r="AT683" i="2"/>
  <c r="BO368" i="5"/>
  <c r="BP368" i="5" s="1"/>
  <c r="AE750" i="5"/>
  <c r="AF750" i="5" s="1"/>
  <c r="R643" i="2"/>
  <c r="S643" i="2" s="1"/>
  <c r="AM749" i="5"/>
  <c r="AE643" i="2"/>
  <c r="W700" i="5" l="1"/>
  <c r="X700" i="5" s="1"/>
  <c r="BA694" i="5"/>
  <c r="AU683" i="2"/>
  <c r="AY683" i="2" s="1"/>
  <c r="V643" i="2"/>
  <c r="BK369" i="5"/>
  <c r="AL750" i="5"/>
  <c r="AC751" i="5" s="1"/>
  <c r="AJ643" i="2"/>
  <c r="N701" i="5" l="1"/>
  <c r="O701" i="5"/>
  <c r="P701" i="5" s="1"/>
  <c r="AT695" i="5"/>
  <c r="BB694" i="5"/>
  <c r="AZ683" i="2"/>
  <c r="AR684" i="2"/>
  <c r="BM369" i="5"/>
  <c r="BN369" i="5" s="1"/>
  <c r="BO369" i="5" s="1"/>
  <c r="BP369" i="5" s="1"/>
  <c r="AE751" i="5"/>
  <c r="AF751" i="5" s="1"/>
  <c r="H79" i="7"/>
  <c r="J79" i="7"/>
  <c r="W643" i="2"/>
  <c r="M644" i="2"/>
  <c r="N644" i="2"/>
  <c r="O644" i="2" s="1"/>
  <c r="AM750" i="5"/>
  <c r="AK643" i="2"/>
  <c r="AB644" i="2"/>
  <c r="AD644" i="2" s="1"/>
  <c r="S701" i="5" l="1"/>
  <c r="T701" i="5" s="1"/>
  <c r="AV695" i="5"/>
  <c r="AW695" i="5" s="1"/>
  <c r="AT684" i="2"/>
  <c r="AU684" i="2" s="1"/>
  <c r="BK370" i="5"/>
  <c r="M79" i="7"/>
  <c r="L79" i="7"/>
  <c r="R644" i="2"/>
  <c r="S644" i="2" s="1"/>
  <c r="AE644" i="2"/>
  <c r="W701" i="5" l="1"/>
  <c r="BA695" i="5"/>
  <c r="AY684" i="2"/>
  <c r="V644" i="2"/>
  <c r="BM370" i="5"/>
  <c r="BN370" i="5" s="1"/>
  <c r="BO370" i="5" s="1"/>
  <c r="BP370" i="5" s="1"/>
  <c r="AL751" i="5"/>
  <c r="AC752" i="5" s="1"/>
  <c r="AJ644" i="2"/>
  <c r="X701" i="5" l="1"/>
  <c r="O702" i="5"/>
  <c r="P702" i="5" s="1"/>
  <c r="N702" i="5"/>
  <c r="AT696" i="5"/>
  <c r="AV696" i="5" s="1"/>
  <c r="AW696" i="5" s="1"/>
  <c r="BA696" i="5" s="1"/>
  <c r="BB695" i="5"/>
  <c r="AZ684" i="2"/>
  <c r="AR685" i="2"/>
  <c r="BK371" i="5"/>
  <c r="AE752" i="5"/>
  <c r="AF752" i="5" s="1"/>
  <c r="AL752" i="5" s="1"/>
  <c r="AC753" i="5" s="1"/>
  <c r="W644" i="2"/>
  <c r="N645" i="2"/>
  <c r="O645" i="2" s="1"/>
  <c r="M645" i="2"/>
  <c r="AM751" i="5"/>
  <c r="AK644" i="2"/>
  <c r="AB645" i="2"/>
  <c r="AD645" i="2" s="1"/>
  <c r="S702" i="5" l="1"/>
  <c r="T702" i="5" s="1"/>
  <c r="BB696" i="5"/>
  <c r="AT697" i="5"/>
  <c r="AT685" i="2"/>
  <c r="BM371" i="5"/>
  <c r="BN371" i="5" s="1"/>
  <c r="BO371" i="5" s="1"/>
  <c r="BP371" i="5" s="1"/>
  <c r="AE753" i="5"/>
  <c r="AF753" i="5" s="1"/>
  <c r="R645" i="2"/>
  <c r="S645" i="2" s="1"/>
  <c r="AM752" i="5"/>
  <c r="AE645" i="2"/>
  <c r="W702" i="5" l="1"/>
  <c r="AV697" i="5"/>
  <c r="AW697" i="5" s="1"/>
  <c r="AU685" i="2"/>
  <c r="AY685" i="2" s="1"/>
  <c r="V645" i="2"/>
  <c r="BK372" i="5"/>
  <c r="AJ645" i="2"/>
  <c r="X702" i="5" l="1"/>
  <c r="N703" i="5"/>
  <c r="O703" i="5"/>
  <c r="P703" i="5" s="1"/>
  <c r="BA697" i="5"/>
  <c r="AZ685" i="2"/>
  <c r="AR686" i="2"/>
  <c r="W645" i="2"/>
  <c r="N646" i="2"/>
  <c r="O646" i="2" s="1"/>
  <c r="M646" i="2"/>
  <c r="BM372" i="5"/>
  <c r="BN372" i="5" s="1"/>
  <c r="BO372" i="5" s="1"/>
  <c r="BP372" i="5" s="1"/>
  <c r="AL753" i="5"/>
  <c r="AC754" i="5" s="1"/>
  <c r="AK645" i="2"/>
  <c r="AB646" i="2"/>
  <c r="AD646" i="2" s="1"/>
  <c r="S703" i="5" l="1"/>
  <c r="T703" i="5" s="1"/>
  <c r="W703" i="5" s="1"/>
  <c r="BB697" i="5"/>
  <c r="AT698" i="5"/>
  <c r="AT686" i="2"/>
  <c r="R646" i="2"/>
  <c r="S646" i="2" s="1"/>
  <c r="BK373" i="5"/>
  <c r="AE754" i="5"/>
  <c r="AF754" i="5" s="1"/>
  <c r="AM753" i="5"/>
  <c r="AE646" i="2"/>
  <c r="X703" i="5" l="1"/>
  <c r="O704" i="5"/>
  <c r="P704" i="5" s="1"/>
  <c r="N704" i="5"/>
  <c r="AV698" i="5"/>
  <c r="AW698" i="5" s="1"/>
  <c r="BA698" i="5" s="1"/>
  <c r="AU686" i="2"/>
  <c r="AY686" i="2" s="1"/>
  <c r="V646" i="2"/>
  <c r="W646" i="2" s="1"/>
  <c r="BM373" i="5"/>
  <c r="BN373" i="5" s="1"/>
  <c r="BO373" i="5" s="1"/>
  <c r="BP373" i="5" s="1"/>
  <c r="AL754" i="5"/>
  <c r="AC755" i="5" s="1"/>
  <c r="AJ646" i="2"/>
  <c r="S704" i="5" l="1"/>
  <c r="T704" i="5" s="1"/>
  <c r="BB698" i="5"/>
  <c r="AT699" i="5"/>
  <c r="AZ686" i="2"/>
  <c r="AR687" i="2"/>
  <c r="M647" i="2"/>
  <c r="N647" i="2"/>
  <c r="O647" i="2" s="1"/>
  <c r="BK374" i="5"/>
  <c r="AE755" i="5"/>
  <c r="AF755" i="5" s="1"/>
  <c r="AM754" i="5"/>
  <c r="AK646" i="2"/>
  <c r="AB647" i="2"/>
  <c r="AD647" i="2" s="1"/>
  <c r="W704" i="5" l="1"/>
  <c r="AV699" i="5"/>
  <c r="AW699" i="5" s="1"/>
  <c r="AT687" i="2"/>
  <c r="AU687" i="2" s="1"/>
  <c r="R647" i="2"/>
  <c r="S647" i="2" s="1"/>
  <c r="BM374" i="5"/>
  <c r="BN374" i="5" s="1"/>
  <c r="BO374" i="5" s="1"/>
  <c r="BP374" i="5" s="1"/>
  <c r="AE647" i="2"/>
  <c r="X704" i="5" l="1"/>
  <c r="O705" i="5"/>
  <c r="P705" i="5" s="1"/>
  <c r="N705" i="5"/>
  <c r="BA699" i="5"/>
  <c r="AY687" i="2"/>
  <c r="AZ687" i="2" s="1"/>
  <c r="V647" i="2"/>
  <c r="W647" i="2" s="1"/>
  <c r="BK375" i="5"/>
  <c r="AL755" i="5"/>
  <c r="AC756" i="5" s="1"/>
  <c r="AJ647" i="2"/>
  <c r="S705" i="5" l="1"/>
  <c r="T705" i="5" s="1"/>
  <c r="AT700" i="5"/>
  <c r="BB699" i="5"/>
  <c r="AR688" i="2"/>
  <c r="AT688" i="2" s="1"/>
  <c r="AU688" i="2" s="1"/>
  <c r="M648" i="2"/>
  <c r="N648" i="2"/>
  <c r="O648" i="2" s="1"/>
  <c r="BM375" i="5"/>
  <c r="BN375" i="5" s="1"/>
  <c r="AE756" i="5"/>
  <c r="AF756" i="5" s="1"/>
  <c r="AM755" i="5"/>
  <c r="AK647" i="2"/>
  <c r="AB648" i="2"/>
  <c r="AD648" i="2" s="1"/>
  <c r="W705" i="5" l="1"/>
  <c r="AV700" i="5"/>
  <c r="AW700" i="5" s="1"/>
  <c r="AY688" i="2"/>
  <c r="R648" i="2"/>
  <c r="S648" i="2" s="1"/>
  <c r="BO375" i="5"/>
  <c r="BP375" i="5" s="1"/>
  <c r="AL756" i="5"/>
  <c r="AC757" i="5" s="1"/>
  <c r="AE648" i="2"/>
  <c r="X705" i="5" l="1"/>
  <c r="O706" i="5"/>
  <c r="P706" i="5" s="1"/>
  <c r="N706" i="5"/>
  <c r="BA700" i="5"/>
  <c r="AR689" i="2"/>
  <c r="AZ688" i="2"/>
  <c r="V648" i="2"/>
  <c r="W648" i="2" s="1"/>
  <c r="BK376" i="5"/>
  <c r="BM376" i="5" s="1"/>
  <c r="BN376" i="5" s="1"/>
  <c r="BO376" i="5" s="1"/>
  <c r="BP376" i="5" s="1"/>
  <c r="AE757" i="5"/>
  <c r="AF757" i="5" s="1"/>
  <c r="AM756" i="5"/>
  <c r="AJ648" i="2"/>
  <c r="S706" i="5" l="1"/>
  <c r="T706" i="5" s="1"/>
  <c r="AT701" i="5"/>
  <c r="BB700" i="5"/>
  <c r="AT689" i="2"/>
  <c r="N649" i="2"/>
  <c r="O649" i="2" s="1"/>
  <c r="M649" i="2"/>
  <c r="BK377" i="5"/>
  <c r="AL757" i="5"/>
  <c r="AC758" i="5" s="1"/>
  <c r="AK648" i="2"/>
  <c r="AB649" i="2"/>
  <c r="AD649" i="2" s="1"/>
  <c r="W706" i="5" l="1"/>
  <c r="AV701" i="5"/>
  <c r="AW701" i="5" s="1"/>
  <c r="AU689" i="2"/>
  <c r="AY689" i="2" s="1"/>
  <c r="R649" i="2"/>
  <c r="S649" i="2" s="1"/>
  <c r="V649" i="2" s="1"/>
  <c r="BM377" i="5"/>
  <c r="BN377" i="5" s="1"/>
  <c r="BO377" i="5" s="1"/>
  <c r="BP377" i="5" s="1"/>
  <c r="AE758" i="5"/>
  <c r="AF758" i="5" s="1"/>
  <c r="AM757" i="5"/>
  <c r="AE649" i="2"/>
  <c r="O707" i="5" l="1"/>
  <c r="P707" i="5" s="1"/>
  <c r="N707" i="5"/>
  <c r="X706" i="5"/>
  <c r="BA701" i="5"/>
  <c r="AZ689" i="2"/>
  <c r="AR690" i="2"/>
  <c r="BK378" i="5"/>
  <c r="AJ649" i="2"/>
  <c r="S707" i="5" l="1"/>
  <c r="T707" i="5" s="1"/>
  <c r="BB701" i="5"/>
  <c r="AT702" i="5"/>
  <c r="AT690" i="2"/>
  <c r="W649" i="2"/>
  <c r="BM378" i="5"/>
  <c r="BN378" i="5" s="1"/>
  <c r="BO378" i="5" s="1"/>
  <c r="BP378" i="5" s="1"/>
  <c r="M650" i="2"/>
  <c r="N650" i="2"/>
  <c r="O650" i="2" s="1"/>
  <c r="AL758" i="5"/>
  <c r="AC759" i="5" s="1"/>
  <c r="AK649" i="2"/>
  <c r="AB650" i="2"/>
  <c r="AD650" i="2" s="1"/>
  <c r="W707" i="5" l="1"/>
  <c r="AV702" i="5"/>
  <c r="AW702" i="5" s="1"/>
  <c r="AU690" i="2"/>
  <c r="AY690" i="2" s="1"/>
  <c r="BK379" i="5"/>
  <c r="AE759" i="5"/>
  <c r="AF759" i="5" s="1"/>
  <c r="R650" i="2"/>
  <c r="S650" i="2" s="1"/>
  <c r="AM758" i="5"/>
  <c r="AE650" i="2"/>
  <c r="X707" i="5" l="1"/>
  <c r="O708" i="5"/>
  <c r="P708" i="5" s="1"/>
  <c r="N708" i="5"/>
  <c r="BA702" i="5"/>
  <c r="AZ690" i="2"/>
  <c r="AR691" i="2"/>
  <c r="V650" i="2"/>
  <c r="BM379" i="5"/>
  <c r="BN379" i="5" s="1"/>
  <c r="AL759" i="5"/>
  <c r="AC760" i="5" s="1"/>
  <c r="AJ650" i="2"/>
  <c r="S708" i="5" l="1"/>
  <c r="T708" i="5" s="1"/>
  <c r="W708" i="5" s="1"/>
  <c r="AT703" i="5"/>
  <c r="BB702" i="5"/>
  <c r="AT691" i="2"/>
  <c r="BO379" i="5"/>
  <c r="AE760" i="5"/>
  <c r="AF760" i="5" s="1"/>
  <c r="W650" i="2"/>
  <c r="M651" i="2"/>
  <c r="N651" i="2"/>
  <c r="O651" i="2" s="1"/>
  <c r="AM759" i="5"/>
  <c r="AK650" i="2"/>
  <c r="AB651" i="2"/>
  <c r="AD651" i="2" s="1"/>
  <c r="BP379" i="5" l="1"/>
  <c r="O709" i="5"/>
  <c r="P709" i="5" s="1"/>
  <c r="N709" i="5"/>
  <c r="X708" i="5"/>
  <c r="AV703" i="5"/>
  <c r="AW703" i="5" s="1"/>
  <c r="BA703" i="5" s="1"/>
  <c r="AU691" i="2"/>
  <c r="AY691" i="2" s="1"/>
  <c r="BK380" i="5"/>
  <c r="BM380" i="5" s="1"/>
  <c r="BN380" i="5" s="1"/>
  <c r="K57" i="9"/>
  <c r="L57" i="9" s="1"/>
  <c r="M57" i="9"/>
  <c r="R651" i="2"/>
  <c r="S651" i="2" s="1"/>
  <c r="AL760" i="5"/>
  <c r="AC761" i="5" s="1"/>
  <c r="AE651" i="2"/>
  <c r="S709" i="5" l="1"/>
  <c r="T709" i="5" s="1"/>
  <c r="AT704" i="5"/>
  <c r="BB703" i="5"/>
  <c r="AZ691" i="2"/>
  <c r="AR692" i="2"/>
  <c r="I83" i="7"/>
  <c r="V651" i="2"/>
  <c r="BO380" i="5"/>
  <c r="BP380" i="5" s="1"/>
  <c r="AE761" i="5"/>
  <c r="AF761" i="5" s="1"/>
  <c r="AM760" i="5"/>
  <c r="AJ651" i="2"/>
  <c r="W709" i="5" l="1"/>
  <c r="AV704" i="5"/>
  <c r="AW704" i="5" s="1"/>
  <c r="BA704" i="5" s="1"/>
  <c r="AT692" i="2"/>
  <c r="W651" i="2"/>
  <c r="BK381" i="5"/>
  <c r="BM381" i="5" s="1"/>
  <c r="BN381" i="5" s="1"/>
  <c r="BO381" i="5" s="1"/>
  <c r="BP381" i="5" s="1"/>
  <c r="M652" i="2"/>
  <c r="N652" i="2"/>
  <c r="O652" i="2" s="1"/>
  <c r="AK651" i="2"/>
  <c r="AB652" i="2"/>
  <c r="AD652" i="2" s="1"/>
  <c r="X709" i="5" l="1"/>
  <c r="O710" i="5"/>
  <c r="P710" i="5" s="1"/>
  <c r="N710" i="5"/>
  <c r="BB704" i="5"/>
  <c r="AT705" i="5"/>
  <c r="AU692" i="2"/>
  <c r="AY692" i="2" s="1"/>
  <c r="BK382" i="5"/>
  <c r="R652" i="2"/>
  <c r="S652" i="2" s="1"/>
  <c r="AL761" i="5"/>
  <c r="AC762" i="5" s="1"/>
  <c r="AE652" i="2"/>
  <c r="S710" i="5" l="1"/>
  <c r="T710" i="5" s="1"/>
  <c r="AV705" i="5"/>
  <c r="AW705" i="5" s="1"/>
  <c r="AZ692" i="2"/>
  <c r="AR693" i="2"/>
  <c r="V652" i="2"/>
  <c r="BM382" i="5"/>
  <c r="BN382" i="5" s="1"/>
  <c r="AE762" i="5"/>
  <c r="AF762" i="5" s="1"/>
  <c r="AM761" i="5"/>
  <c r="AJ652" i="2"/>
  <c r="W710" i="5" l="1"/>
  <c r="BA705" i="5"/>
  <c r="AT693" i="2"/>
  <c r="AU693" i="2" s="1"/>
  <c r="BO382" i="5"/>
  <c r="BP382" i="5" s="1"/>
  <c r="W652" i="2"/>
  <c r="M653" i="2"/>
  <c r="N653" i="2"/>
  <c r="O653" i="2" s="1"/>
  <c r="AL762" i="5"/>
  <c r="AC763" i="5" s="1"/>
  <c r="AK652" i="2"/>
  <c r="AB653" i="2"/>
  <c r="AD653" i="2" s="1"/>
  <c r="O711" i="5" l="1"/>
  <c r="P711" i="5" s="1"/>
  <c r="N711" i="5"/>
  <c r="X710" i="5"/>
  <c r="BB705" i="5"/>
  <c r="AT706" i="5"/>
  <c r="AY693" i="2"/>
  <c r="BK383" i="5"/>
  <c r="AE763" i="5"/>
  <c r="AF763" i="5" s="1"/>
  <c r="R653" i="2"/>
  <c r="S653" i="2" s="1"/>
  <c r="AM762" i="5"/>
  <c r="AE653" i="2"/>
  <c r="S711" i="5" l="1"/>
  <c r="T711" i="5" s="1"/>
  <c r="AV706" i="5"/>
  <c r="AW706" i="5" s="1"/>
  <c r="AZ693" i="2"/>
  <c r="AR694" i="2"/>
  <c r="V653" i="2"/>
  <c r="BM383" i="5"/>
  <c r="BN383" i="5" s="1"/>
  <c r="AL763" i="5"/>
  <c r="AC764" i="5" s="1"/>
  <c r="AJ653" i="2"/>
  <c r="W711" i="5" l="1"/>
  <c r="BA706" i="5"/>
  <c r="AT694" i="2"/>
  <c r="BO383" i="5"/>
  <c r="BP383" i="5" s="1"/>
  <c r="AE764" i="5"/>
  <c r="AF764" i="5" s="1"/>
  <c r="W653" i="2"/>
  <c r="N654" i="2"/>
  <c r="O654" i="2" s="1"/>
  <c r="M654" i="2"/>
  <c r="AM763" i="5"/>
  <c r="AK653" i="2"/>
  <c r="AB654" i="2"/>
  <c r="AD654" i="2" s="1"/>
  <c r="O712" i="5" l="1"/>
  <c r="P712" i="5" s="1"/>
  <c r="N712" i="5"/>
  <c r="X711" i="5"/>
  <c r="BB706" i="5"/>
  <c r="AT707" i="5"/>
  <c r="AU694" i="2"/>
  <c r="AY694" i="2" s="1"/>
  <c r="BK384" i="5"/>
  <c r="R654" i="2"/>
  <c r="S654" i="2" s="1"/>
  <c r="AE654" i="2"/>
  <c r="S712" i="5" l="1"/>
  <c r="T712" i="5" s="1"/>
  <c r="AV707" i="5"/>
  <c r="AW707" i="5" s="1"/>
  <c r="AR695" i="2"/>
  <c r="AZ694" i="2"/>
  <c r="V654" i="2"/>
  <c r="W654" i="2" s="1"/>
  <c r="BM384" i="5"/>
  <c r="BN384" i="5" s="1"/>
  <c r="BO384" i="5" s="1"/>
  <c r="BP384" i="5" s="1"/>
  <c r="AL764" i="5"/>
  <c r="AC765" i="5" s="1"/>
  <c r="AJ654" i="2"/>
  <c r="W712" i="5" l="1"/>
  <c r="BA707" i="5"/>
  <c r="AT695" i="2"/>
  <c r="N655" i="2"/>
  <c r="O655" i="2" s="1"/>
  <c r="M655" i="2"/>
  <c r="BK385" i="5"/>
  <c r="AE765" i="5"/>
  <c r="AF765" i="5" s="1"/>
  <c r="AM764" i="5"/>
  <c r="AK654" i="2"/>
  <c r="AB655" i="2"/>
  <c r="AD655" i="2" s="1"/>
  <c r="O713" i="5" l="1"/>
  <c r="P713" i="5" s="1"/>
  <c r="X712" i="5"/>
  <c r="N713" i="5"/>
  <c r="BB707" i="5"/>
  <c r="AT708" i="5"/>
  <c r="AU695" i="2"/>
  <c r="AY695" i="2" s="1"/>
  <c r="R655" i="2"/>
  <c r="S655" i="2" s="1"/>
  <c r="BM385" i="5"/>
  <c r="BN385" i="5" s="1"/>
  <c r="BO385" i="5" s="1"/>
  <c r="BP385" i="5" s="1"/>
  <c r="AE655" i="2"/>
  <c r="S713" i="5" l="1"/>
  <c r="T713" i="5" s="1"/>
  <c r="AV708" i="5"/>
  <c r="AW708" i="5" s="1"/>
  <c r="AZ695" i="2"/>
  <c r="AR696" i="2"/>
  <c r="V655" i="2"/>
  <c r="W655" i="2" s="1"/>
  <c r="BK386" i="5"/>
  <c r="AL765" i="5"/>
  <c r="AC766" i="5" s="1"/>
  <c r="AJ655" i="2"/>
  <c r="W713" i="5" l="1"/>
  <c r="BA708" i="5"/>
  <c r="AT696" i="2"/>
  <c r="H80" i="7"/>
  <c r="M656" i="2"/>
  <c r="N656" i="2"/>
  <c r="O656" i="2" s="1"/>
  <c r="BM386" i="5"/>
  <c r="BN386" i="5" s="1"/>
  <c r="BO386" i="5" s="1"/>
  <c r="BP386" i="5" s="1"/>
  <c r="AE766" i="5"/>
  <c r="AF766" i="5" s="1"/>
  <c r="J80" i="7"/>
  <c r="AM765" i="5"/>
  <c r="AK655" i="2"/>
  <c r="M80" i="7" s="1"/>
  <c r="AB656" i="2"/>
  <c r="AD656" i="2" s="1"/>
  <c r="X713" i="5" l="1"/>
  <c r="O714" i="5"/>
  <c r="P714" i="5" s="1"/>
  <c r="N714" i="5"/>
  <c r="AT709" i="5"/>
  <c r="BB708" i="5"/>
  <c r="AU696" i="2"/>
  <c r="AY696" i="2" s="1"/>
  <c r="L80" i="7"/>
  <c r="R656" i="2"/>
  <c r="S656" i="2" s="1"/>
  <c r="V656" i="2" s="1"/>
  <c r="BK387" i="5"/>
  <c r="AE656" i="2"/>
  <c r="S714" i="5" l="1"/>
  <c r="T714" i="5" s="1"/>
  <c r="AV709" i="5"/>
  <c r="AW709" i="5" s="1"/>
  <c r="AR697" i="2"/>
  <c r="AZ696" i="2"/>
  <c r="BM387" i="5"/>
  <c r="BN387" i="5" s="1"/>
  <c r="BO387" i="5" s="1"/>
  <c r="BP387" i="5" s="1"/>
  <c r="W656" i="2"/>
  <c r="AL766" i="5"/>
  <c r="AC767" i="5" s="1"/>
  <c r="M657" i="2"/>
  <c r="N657" i="2"/>
  <c r="O657" i="2" s="1"/>
  <c r="AJ656" i="2"/>
  <c r="W714" i="5" l="1"/>
  <c r="BA709" i="5"/>
  <c r="AT697" i="2"/>
  <c r="BK388" i="5"/>
  <c r="AE767" i="5"/>
  <c r="AF767" i="5" s="1"/>
  <c r="AM766" i="5"/>
  <c r="R657" i="2"/>
  <c r="S657" i="2" s="1"/>
  <c r="AK656" i="2"/>
  <c r="AB657" i="2"/>
  <c r="AD657" i="2" s="1"/>
  <c r="X714" i="5" l="1"/>
  <c r="N715" i="5"/>
  <c r="O715" i="5"/>
  <c r="P715" i="5" s="1"/>
  <c r="AT710" i="5"/>
  <c r="BB709" i="5"/>
  <c r="AU697" i="2"/>
  <c r="AY697" i="2" s="1"/>
  <c r="V657" i="2"/>
  <c r="BM388" i="5"/>
  <c r="BN388" i="5" s="1"/>
  <c r="BO388" i="5" s="1"/>
  <c r="BP388" i="5" s="1"/>
  <c r="AL767" i="5"/>
  <c r="AC768" i="5" s="1"/>
  <c r="AE657" i="2"/>
  <c r="S715" i="5" l="1"/>
  <c r="T715" i="5" s="1"/>
  <c r="AV710" i="5"/>
  <c r="AW710" i="5" s="1"/>
  <c r="BA710" i="5" s="1"/>
  <c r="AR698" i="2"/>
  <c r="AZ697" i="2"/>
  <c r="BK389" i="5"/>
  <c r="AE768" i="5"/>
  <c r="AF768" i="5" s="1"/>
  <c r="W657" i="2"/>
  <c r="AM767" i="5"/>
  <c r="M658" i="2"/>
  <c r="N658" i="2"/>
  <c r="O658" i="2" s="1"/>
  <c r="AJ657" i="2"/>
  <c r="W715" i="5" l="1"/>
  <c r="BB710" i="5"/>
  <c r="AT711" i="5"/>
  <c r="AV711" i="5" s="1"/>
  <c r="AW711" i="5" s="1"/>
  <c r="BA711" i="5" s="1"/>
  <c r="AT698" i="2"/>
  <c r="BM389" i="5"/>
  <c r="BN389" i="5" s="1"/>
  <c r="BO389" i="5" s="1"/>
  <c r="BP389" i="5" s="1"/>
  <c r="R658" i="2"/>
  <c r="S658" i="2" s="1"/>
  <c r="AK657" i="2"/>
  <c r="AB658" i="2"/>
  <c r="AD658" i="2" s="1"/>
  <c r="X715" i="5" l="1"/>
  <c r="O716" i="5"/>
  <c r="P716" i="5" s="1"/>
  <c r="N716" i="5"/>
  <c r="BB711" i="5"/>
  <c r="AT712" i="5"/>
  <c r="AU698" i="2"/>
  <c r="AY698" i="2" s="1"/>
  <c r="V658" i="2"/>
  <c r="BK390" i="5"/>
  <c r="AL768" i="5"/>
  <c r="AC769" i="5" s="1"/>
  <c r="AE658" i="2"/>
  <c r="S716" i="5" l="1"/>
  <c r="T716" i="5" s="1"/>
  <c r="AV712" i="5"/>
  <c r="AW712" i="5" s="1"/>
  <c r="AR699" i="2"/>
  <c r="AZ698" i="2"/>
  <c r="BM390" i="5"/>
  <c r="BN390" i="5" s="1"/>
  <c r="AE769" i="5"/>
  <c r="AF769" i="5" s="1"/>
  <c r="W658" i="2"/>
  <c r="AM768" i="5"/>
  <c r="M659" i="2"/>
  <c r="N659" i="2"/>
  <c r="O659" i="2" s="1"/>
  <c r="AJ658" i="2"/>
  <c r="W716" i="5" l="1"/>
  <c r="BA712" i="5"/>
  <c r="AT713" i="5" s="1"/>
  <c r="AT699" i="2"/>
  <c r="BO390" i="5"/>
  <c r="BP390" i="5" s="1"/>
  <c r="AL769" i="5"/>
  <c r="AC770" i="5" s="1"/>
  <c r="R659" i="2"/>
  <c r="AK658" i="2"/>
  <c r="AB659" i="2"/>
  <c r="AD659" i="2" s="1"/>
  <c r="N717" i="5" l="1"/>
  <c r="X716" i="5"/>
  <c r="O717" i="5"/>
  <c r="P717" i="5" s="1"/>
  <c r="BB712" i="5"/>
  <c r="AV713" i="5"/>
  <c r="AW713" i="5" s="1"/>
  <c r="AU699" i="2"/>
  <c r="AY699" i="2" s="1"/>
  <c r="BK391" i="5"/>
  <c r="AE770" i="5"/>
  <c r="AF770" i="5" s="1"/>
  <c r="AM769" i="5"/>
  <c r="S659" i="2"/>
  <c r="V659" i="2" s="1"/>
  <c r="AE659" i="2"/>
  <c r="S717" i="5" l="1"/>
  <c r="T717" i="5" s="1"/>
  <c r="BA713" i="5"/>
  <c r="AZ699" i="2"/>
  <c r="AR700" i="2"/>
  <c r="BM391" i="5"/>
  <c r="BN391" i="5" s="1"/>
  <c r="BO391" i="5" s="1"/>
  <c r="BP391" i="5" s="1"/>
  <c r="AL770" i="5"/>
  <c r="AC771" i="5" s="1"/>
  <c r="AJ659" i="2"/>
  <c r="W717" i="5" l="1"/>
  <c r="AT714" i="5"/>
  <c r="BB713" i="5"/>
  <c r="AT700" i="2"/>
  <c r="W659" i="2"/>
  <c r="M58" i="9"/>
  <c r="BK392" i="5"/>
  <c r="K58" i="9"/>
  <c r="L58" i="9" s="1"/>
  <c r="AE771" i="5"/>
  <c r="AF771" i="5" s="1"/>
  <c r="M660" i="2"/>
  <c r="N660" i="2"/>
  <c r="O660" i="2" s="1"/>
  <c r="AM770" i="5"/>
  <c r="AK659" i="2"/>
  <c r="AB660" i="2"/>
  <c r="AD660" i="2" s="1"/>
  <c r="O718" i="5" l="1"/>
  <c r="P718" i="5" s="1"/>
  <c r="N718" i="5"/>
  <c r="X717" i="5"/>
  <c r="AV714" i="5"/>
  <c r="AW714" i="5" s="1"/>
  <c r="AU700" i="2"/>
  <c r="AY700" i="2" s="1"/>
  <c r="BM392" i="5"/>
  <c r="BN392" i="5" s="1"/>
  <c r="BO392" i="5" s="1"/>
  <c r="BP392" i="5" s="1"/>
  <c r="R660" i="2"/>
  <c r="S660" i="2" s="1"/>
  <c r="AE660" i="2"/>
  <c r="S718" i="5" l="1"/>
  <c r="T718" i="5" s="1"/>
  <c r="BA714" i="5"/>
  <c r="AZ700" i="2"/>
  <c r="AR701" i="2"/>
  <c r="V660" i="2"/>
  <c r="BK393" i="5"/>
  <c r="AL771" i="5"/>
  <c r="AC772" i="5" s="1"/>
  <c r="AJ660" i="2"/>
  <c r="W718" i="5" l="1"/>
  <c r="AT715" i="5"/>
  <c r="BB714" i="5"/>
  <c r="AT701" i="2"/>
  <c r="BM393" i="5"/>
  <c r="BN393" i="5" s="1"/>
  <c r="BO393" i="5" s="1"/>
  <c r="BP393" i="5" s="1"/>
  <c r="AE772" i="5"/>
  <c r="AF772" i="5" s="1"/>
  <c r="W660" i="2"/>
  <c r="N661" i="2"/>
  <c r="O661" i="2" s="1"/>
  <c r="M661" i="2"/>
  <c r="AM771" i="5"/>
  <c r="AK660" i="2"/>
  <c r="AB661" i="2"/>
  <c r="AD661" i="2" s="1"/>
  <c r="O719" i="5" l="1"/>
  <c r="P719" i="5" s="1"/>
  <c r="N719" i="5"/>
  <c r="X718" i="5"/>
  <c r="AV715" i="5"/>
  <c r="AW715" i="5" s="1"/>
  <c r="AU701" i="2"/>
  <c r="AY701" i="2" s="1"/>
  <c r="BK394" i="5"/>
  <c r="R661" i="2"/>
  <c r="S661" i="2" s="1"/>
  <c r="AL772" i="5"/>
  <c r="AC773" i="5" s="1"/>
  <c r="AE661" i="2"/>
  <c r="S719" i="5" l="1"/>
  <c r="T719" i="5" s="1"/>
  <c r="BA715" i="5"/>
  <c r="AZ701" i="2"/>
  <c r="AR702" i="2"/>
  <c r="V661" i="2"/>
  <c r="BM394" i="5"/>
  <c r="BN394" i="5" s="1"/>
  <c r="BO394" i="5" s="1"/>
  <c r="BP394" i="5" s="1"/>
  <c r="AE773" i="5"/>
  <c r="AF773" i="5" s="1"/>
  <c r="AM772" i="5"/>
  <c r="AJ661" i="2"/>
  <c r="W719" i="5" l="1"/>
  <c r="AT716" i="5"/>
  <c r="BB715" i="5"/>
  <c r="AT702" i="2"/>
  <c r="AU702" i="2" s="1"/>
  <c r="BK395" i="5"/>
  <c r="W661" i="2"/>
  <c r="M662" i="2"/>
  <c r="N662" i="2"/>
  <c r="O662" i="2" s="1"/>
  <c r="AK661" i="2"/>
  <c r="AB662" i="2"/>
  <c r="AD662" i="2" s="1"/>
  <c r="O720" i="5" l="1"/>
  <c r="P720" i="5" s="1"/>
  <c r="X719" i="5"/>
  <c r="N720" i="5"/>
  <c r="AV716" i="5"/>
  <c r="AW716" i="5" s="1"/>
  <c r="BA716" i="5" s="1"/>
  <c r="AY702" i="2"/>
  <c r="BM395" i="5"/>
  <c r="BN395" i="5" s="1"/>
  <c r="BO395" i="5" s="1"/>
  <c r="BP395" i="5" s="1"/>
  <c r="R662" i="2"/>
  <c r="S662" i="2" s="1"/>
  <c r="AL773" i="5"/>
  <c r="AC774" i="5" s="1"/>
  <c r="AE662" i="2"/>
  <c r="S720" i="5" l="1"/>
  <c r="T720" i="5" s="1"/>
  <c r="BB716" i="5"/>
  <c r="AT717" i="5"/>
  <c r="AZ702" i="2"/>
  <c r="AR703" i="2"/>
  <c r="V662" i="2"/>
  <c r="BK396" i="5"/>
  <c r="AE774" i="5"/>
  <c r="AF774" i="5" s="1"/>
  <c r="AM773" i="5"/>
  <c r="AJ662" i="2"/>
  <c r="W720" i="5" l="1"/>
  <c r="AV717" i="5"/>
  <c r="AW717" i="5" s="1"/>
  <c r="BA717" i="5" s="1"/>
  <c r="AT703" i="2"/>
  <c r="AU703" i="2" s="1"/>
  <c r="W662" i="2"/>
  <c r="BM396" i="5"/>
  <c r="BN396" i="5" s="1"/>
  <c r="N663" i="2"/>
  <c r="O663" i="2" s="1"/>
  <c r="M663" i="2"/>
  <c r="AL774" i="5"/>
  <c r="AC775" i="5" s="1"/>
  <c r="AK662" i="2"/>
  <c r="AB663" i="2"/>
  <c r="AD663" i="2" s="1"/>
  <c r="X720" i="5" l="1"/>
  <c r="O721" i="5"/>
  <c r="P721" i="5" s="1"/>
  <c r="N721" i="5"/>
  <c r="BB717" i="5"/>
  <c r="AT718" i="5"/>
  <c r="AY703" i="2"/>
  <c r="BO396" i="5"/>
  <c r="BP396" i="5" s="1"/>
  <c r="AE775" i="5"/>
  <c r="AF775" i="5" s="1"/>
  <c r="R663" i="2"/>
  <c r="S663" i="2" s="1"/>
  <c r="AM774" i="5"/>
  <c r="AE663" i="2"/>
  <c r="S721" i="5" l="1"/>
  <c r="T721" i="5" s="1"/>
  <c r="AV718" i="5"/>
  <c r="AW718" i="5" s="1"/>
  <c r="AR704" i="2"/>
  <c r="AZ703" i="2"/>
  <c r="I84" i="7"/>
  <c r="V663" i="2"/>
  <c r="BK397" i="5"/>
  <c r="AJ663" i="2"/>
  <c r="W721" i="5" l="1"/>
  <c r="BA718" i="5"/>
  <c r="AT704" i="2"/>
  <c r="AU704" i="2" s="1"/>
  <c r="BM397" i="5"/>
  <c r="BN397" i="5" s="1"/>
  <c r="BO397" i="5" s="1"/>
  <c r="BP397" i="5" s="1"/>
  <c r="W663" i="2"/>
  <c r="N664" i="2"/>
  <c r="O664" i="2" s="1"/>
  <c r="M664" i="2"/>
  <c r="AL775" i="5"/>
  <c r="AC776" i="5" s="1"/>
  <c r="AK663" i="2"/>
  <c r="AB664" i="2"/>
  <c r="AD664" i="2" s="1"/>
  <c r="X721" i="5" l="1"/>
  <c r="O722" i="5"/>
  <c r="P722" i="5" s="1"/>
  <c r="N722" i="5"/>
  <c r="AT719" i="5"/>
  <c r="BB718" i="5"/>
  <c r="AY704" i="2"/>
  <c r="BK398" i="5"/>
  <c r="AE776" i="5"/>
  <c r="AF776" i="5" s="1"/>
  <c r="R664" i="2"/>
  <c r="S664" i="2" s="1"/>
  <c r="AM775" i="5"/>
  <c r="AE664" i="2"/>
  <c r="S722" i="5" l="1"/>
  <c r="T722" i="5" s="1"/>
  <c r="AV719" i="5"/>
  <c r="AW719" i="5" s="1"/>
  <c r="AR705" i="2"/>
  <c r="AZ704" i="2"/>
  <c r="V664" i="2"/>
  <c r="BM398" i="5"/>
  <c r="BN398" i="5" s="1"/>
  <c r="AL776" i="5"/>
  <c r="AC777" i="5" s="1"/>
  <c r="AJ664" i="2"/>
  <c r="W722" i="5" l="1"/>
  <c r="BA719" i="5"/>
  <c r="AT705" i="2"/>
  <c r="BO398" i="5"/>
  <c r="BP398" i="5" s="1"/>
  <c r="AE777" i="5"/>
  <c r="AF777" i="5" s="1"/>
  <c r="W664" i="2"/>
  <c r="N665" i="2"/>
  <c r="O665" i="2" s="1"/>
  <c r="M665" i="2"/>
  <c r="AM776" i="5"/>
  <c r="AK664" i="2"/>
  <c r="AB665" i="2"/>
  <c r="AD665" i="2" s="1"/>
  <c r="X722" i="5" l="1"/>
  <c r="O723" i="5"/>
  <c r="P723" i="5" s="1"/>
  <c r="N723" i="5"/>
  <c r="BB719" i="5"/>
  <c r="AT720" i="5"/>
  <c r="AV720" i="5" s="1"/>
  <c r="AW720" i="5" s="1"/>
  <c r="AU705" i="2"/>
  <c r="AY705" i="2" s="1"/>
  <c r="BK399" i="5"/>
  <c r="BM399" i="5" s="1"/>
  <c r="BN399" i="5" s="1"/>
  <c r="BO399" i="5" s="1"/>
  <c r="BP399" i="5" s="1"/>
  <c r="R665" i="2"/>
  <c r="S665" i="2" s="1"/>
  <c r="AE665" i="2"/>
  <c r="S723" i="5" l="1"/>
  <c r="T723" i="5" s="1"/>
  <c r="BA720" i="5"/>
  <c r="AR706" i="2"/>
  <c r="AZ705" i="2"/>
  <c r="V665" i="2"/>
  <c r="BK400" i="5"/>
  <c r="AL777" i="5"/>
  <c r="AC778" i="5" s="1"/>
  <c r="AJ665" i="2"/>
  <c r="W723" i="5" l="1"/>
  <c r="AT721" i="5"/>
  <c r="BB720" i="5"/>
  <c r="AT706" i="2"/>
  <c r="BM400" i="5"/>
  <c r="BN400" i="5" s="1"/>
  <c r="BO400" i="5" s="1"/>
  <c r="BP400" i="5" s="1"/>
  <c r="AE778" i="5"/>
  <c r="AF778" i="5" s="1"/>
  <c r="W665" i="2"/>
  <c r="N666" i="2"/>
  <c r="O666" i="2" s="1"/>
  <c r="M666" i="2"/>
  <c r="AM777" i="5"/>
  <c r="AK665" i="2"/>
  <c r="AB666" i="2"/>
  <c r="AD666" i="2" s="1"/>
  <c r="X723" i="5" l="1"/>
  <c r="N724" i="5"/>
  <c r="O724" i="5"/>
  <c r="P724" i="5" s="1"/>
  <c r="AV721" i="5"/>
  <c r="AW721" i="5" s="1"/>
  <c r="AU706" i="2"/>
  <c r="AY706" i="2" s="1"/>
  <c r="BK401" i="5"/>
  <c r="R666" i="2"/>
  <c r="S666" i="2" s="1"/>
  <c r="AL778" i="5"/>
  <c r="AC779" i="5" s="1"/>
  <c r="AE666" i="2"/>
  <c r="S724" i="5" l="1"/>
  <c r="T724" i="5" s="1"/>
  <c r="BA721" i="5"/>
  <c r="AZ706" i="2"/>
  <c r="AR707" i="2"/>
  <c r="V666" i="2"/>
  <c r="BM401" i="5"/>
  <c r="AE779" i="5"/>
  <c r="AF779" i="5" s="1"/>
  <c r="AM778" i="5"/>
  <c r="AJ666" i="2"/>
  <c r="W724" i="5" l="1"/>
  <c r="BB721" i="5"/>
  <c r="AT722" i="5"/>
  <c r="AT707" i="2"/>
  <c r="N667" i="2"/>
  <c r="O667" i="2" s="1"/>
  <c r="W666" i="2"/>
  <c r="M667" i="2"/>
  <c r="BN401" i="5"/>
  <c r="BO401" i="5" s="1"/>
  <c r="BP401" i="5" s="1"/>
  <c r="AL779" i="5"/>
  <c r="AC780" i="5" s="1"/>
  <c r="AK666" i="2"/>
  <c r="AB667" i="2"/>
  <c r="AD667" i="2" s="1"/>
  <c r="O725" i="5" l="1"/>
  <c r="P725" i="5" s="1"/>
  <c r="N725" i="5"/>
  <c r="X724" i="5"/>
  <c r="AV722" i="5"/>
  <c r="AW722" i="5" s="1"/>
  <c r="BA722" i="5" s="1"/>
  <c r="AU707" i="2"/>
  <c r="AY707" i="2" s="1"/>
  <c r="R667" i="2"/>
  <c r="S667" i="2" s="1"/>
  <c r="BK402" i="5"/>
  <c r="AE780" i="5"/>
  <c r="AF780" i="5" s="1"/>
  <c r="AM779" i="5"/>
  <c r="AE667" i="2"/>
  <c r="S725" i="5" l="1"/>
  <c r="T725" i="5" s="1"/>
  <c r="BB722" i="5"/>
  <c r="AT723" i="5"/>
  <c r="AR708" i="2"/>
  <c r="AZ707" i="2"/>
  <c r="V667" i="2"/>
  <c r="N668" i="2" s="1"/>
  <c r="O668" i="2" s="1"/>
  <c r="BM402" i="5"/>
  <c r="BN402" i="5" s="1"/>
  <c r="BO402" i="5" s="1"/>
  <c r="BP402" i="5" s="1"/>
  <c r="AL780" i="5"/>
  <c r="AC781" i="5" s="1"/>
  <c r="AJ667" i="2"/>
  <c r="W725" i="5" l="1"/>
  <c r="AV723" i="5"/>
  <c r="AW723" i="5" s="1"/>
  <c r="BA723" i="5" s="1"/>
  <c r="AT708" i="2"/>
  <c r="H81" i="7"/>
  <c r="M668" i="2"/>
  <c r="R668" i="2" s="1"/>
  <c r="S668" i="2" s="1"/>
  <c r="W667" i="2"/>
  <c r="BK403" i="5"/>
  <c r="AE781" i="5"/>
  <c r="AF781" i="5" s="1"/>
  <c r="J81" i="7"/>
  <c r="AM780" i="5"/>
  <c r="AK667" i="2"/>
  <c r="AB668" i="2"/>
  <c r="AD668" i="2" s="1"/>
  <c r="X725" i="5" l="1"/>
  <c r="N726" i="5"/>
  <c r="O726" i="5"/>
  <c r="P726" i="5" s="1"/>
  <c r="BB723" i="5"/>
  <c r="AT724" i="5"/>
  <c r="AU708" i="2"/>
  <c r="AY708" i="2" s="1"/>
  <c r="L81" i="7"/>
  <c r="M81" i="7"/>
  <c r="V668" i="2"/>
  <c r="BM403" i="5"/>
  <c r="BN403" i="5" s="1"/>
  <c r="AL781" i="5"/>
  <c r="AC782" i="5" s="1"/>
  <c r="AE668" i="2"/>
  <c r="S726" i="5" l="1"/>
  <c r="T726" i="5" s="1"/>
  <c r="AV724" i="5"/>
  <c r="AW724" i="5" s="1"/>
  <c r="AR709" i="2"/>
  <c r="AZ708" i="2"/>
  <c r="BO403" i="5"/>
  <c r="AE782" i="5"/>
  <c r="AF782" i="5" s="1"/>
  <c r="W668" i="2"/>
  <c r="AM781" i="5"/>
  <c r="M669" i="2"/>
  <c r="N669" i="2"/>
  <c r="O669" i="2" s="1"/>
  <c r="AJ668" i="2"/>
  <c r="BP403" i="5" l="1"/>
  <c r="M59" i="9" s="1"/>
  <c r="W726" i="5"/>
  <c r="BA724" i="5"/>
  <c r="AT709" i="2"/>
  <c r="AU709" i="2" s="1"/>
  <c r="K59" i="9"/>
  <c r="L59" i="9" s="1"/>
  <c r="BK404" i="5"/>
  <c r="BM404" i="5" s="1"/>
  <c r="BN404" i="5" s="1"/>
  <c r="R669" i="2"/>
  <c r="S669" i="2" s="1"/>
  <c r="AK668" i="2"/>
  <c r="AB669" i="2"/>
  <c r="AD669" i="2" s="1"/>
  <c r="X726" i="5" l="1"/>
  <c r="O727" i="5"/>
  <c r="P727" i="5" s="1"/>
  <c r="N727" i="5"/>
  <c r="AT725" i="5"/>
  <c r="BB724" i="5"/>
  <c r="AY709" i="2"/>
  <c r="V669" i="2"/>
  <c r="BO404" i="5"/>
  <c r="BP404" i="5" s="1"/>
  <c r="AL782" i="5"/>
  <c r="AC783" i="5" s="1"/>
  <c r="AE669" i="2"/>
  <c r="S727" i="5" l="1"/>
  <c r="T727" i="5" s="1"/>
  <c r="W727" i="5" s="1"/>
  <c r="AV725" i="5"/>
  <c r="AW725" i="5" s="1"/>
  <c r="AR710" i="2"/>
  <c r="AZ709" i="2"/>
  <c r="BK405" i="5"/>
  <c r="AE783" i="5"/>
  <c r="AF783" i="5" s="1"/>
  <c r="W669" i="2"/>
  <c r="AM782" i="5"/>
  <c r="M670" i="2"/>
  <c r="N670" i="2"/>
  <c r="O670" i="2" s="1"/>
  <c r="AJ669" i="2"/>
  <c r="X727" i="5" l="1"/>
  <c r="O728" i="5"/>
  <c r="P728" i="5" s="1"/>
  <c r="N728" i="5"/>
  <c r="BA725" i="5"/>
  <c r="AT710" i="2"/>
  <c r="BM405" i="5"/>
  <c r="BN405" i="5" s="1"/>
  <c r="BO405" i="5" s="1"/>
  <c r="BP405" i="5" s="1"/>
  <c r="R670" i="2"/>
  <c r="S670" i="2" s="1"/>
  <c r="AK669" i="2"/>
  <c r="AB670" i="2"/>
  <c r="AD670" i="2" s="1"/>
  <c r="S728" i="5" l="1"/>
  <c r="T728" i="5" s="1"/>
  <c r="BB725" i="5"/>
  <c r="AT726" i="5"/>
  <c r="AU710" i="2"/>
  <c r="AY710" i="2" s="1"/>
  <c r="V670" i="2"/>
  <c r="BK406" i="5"/>
  <c r="AL783" i="5"/>
  <c r="AC784" i="5" s="1"/>
  <c r="AE670" i="2"/>
  <c r="W728" i="5" l="1"/>
  <c r="AV726" i="5"/>
  <c r="AW726" i="5" s="1"/>
  <c r="AZ710" i="2"/>
  <c r="AR711" i="2"/>
  <c r="BM406" i="5"/>
  <c r="BN406" i="5" s="1"/>
  <c r="BO406" i="5" s="1"/>
  <c r="BP406" i="5" s="1"/>
  <c r="AE784" i="5"/>
  <c r="AF784" i="5" s="1"/>
  <c r="W670" i="2"/>
  <c r="AM783" i="5"/>
  <c r="N671" i="2"/>
  <c r="O671" i="2" s="1"/>
  <c r="M671" i="2"/>
  <c r="AJ670" i="2"/>
  <c r="O729" i="5" l="1"/>
  <c r="P729" i="5" s="1"/>
  <c r="X728" i="5"/>
  <c r="N729" i="5"/>
  <c r="BA726" i="5"/>
  <c r="AT711" i="2"/>
  <c r="AU711" i="2" s="1"/>
  <c r="BK407" i="5"/>
  <c r="AK670" i="2"/>
  <c r="AL784" i="5"/>
  <c r="AC785" i="5" s="1"/>
  <c r="R671" i="2"/>
  <c r="S671" i="2" s="1"/>
  <c r="AB671" i="2"/>
  <c r="S729" i="5" l="1"/>
  <c r="T729" i="5" s="1"/>
  <c r="BB726" i="5"/>
  <c r="AT727" i="5"/>
  <c r="AY711" i="2"/>
  <c r="V671" i="2"/>
  <c r="BM407" i="5"/>
  <c r="BN407" i="5" s="1"/>
  <c r="AE785" i="5"/>
  <c r="AF785" i="5" s="1"/>
  <c r="AM784" i="5"/>
  <c r="AD671" i="2"/>
  <c r="AE671" i="2" s="1"/>
  <c r="AJ671" i="2" s="1"/>
  <c r="W729" i="5" l="1"/>
  <c r="AV727" i="5"/>
  <c r="AW727" i="5" s="1"/>
  <c r="BA727" i="5" s="1"/>
  <c r="AZ711" i="2"/>
  <c r="AR712" i="2"/>
  <c r="BO407" i="5"/>
  <c r="W671" i="2"/>
  <c r="M672" i="2"/>
  <c r="N672" i="2"/>
  <c r="O672" i="2" s="1"/>
  <c r="AK671" i="2"/>
  <c r="AB672" i="2"/>
  <c r="AD672" i="2" s="1"/>
  <c r="BP407" i="5" l="1"/>
  <c r="O730" i="5"/>
  <c r="P730" i="5" s="1"/>
  <c r="N730" i="5"/>
  <c r="X729" i="5"/>
  <c r="AT728" i="5"/>
  <c r="BB727" i="5"/>
  <c r="AT712" i="2"/>
  <c r="AU712" i="2" s="1"/>
  <c r="BK408" i="5"/>
  <c r="BM408" i="5" s="1"/>
  <c r="BN408" i="5" s="1"/>
  <c r="R672" i="2"/>
  <c r="S672" i="2" s="1"/>
  <c r="AL785" i="5"/>
  <c r="AC786" i="5" s="1"/>
  <c r="AE672" i="2"/>
  <c r="S730" i="5" l="1"/>
  <c r="T730" i="5" s="1"/>
  <c r="AV728" i="5"/>
  <c r="AW728" i="5" s="1"/>
  <c r="BA728" i="5" s="1"/>
  <c r="AY712" i="2"/>
  <c r="V672" i="2"/>
  <c r="BO408" i="5"/>
  <c r="BP408" i="5" s="1"/>
  <c r="AE786" i="5"/>
  <c r="AF786" i="5" s="1"/>
  <c r="AM785" i="5"/>
  <c r="AJ672" i="2"/>
  <c r="W730" i="5" l="1"/>
  <c r="AT729" i="5"/>
  <c r="BB728" i="5"/>
  <c r="AR713" i="2"/>
  <c r="AZ712" i="2"/>
  <c r="BK409" i="5"/>
  <c r="W672" i="2"/>
  <c r="N673" i="2"/>
  <c r="O673" i="2" s="1"/>
  <c r="M673" i="2"/>
  <c r="AL786" i="5"/>
  <c r="AC787" i="5" s="1"/>
  <c r="AK672" i="2"/>
  <c r="AB673" i="2"/>
  <c r="AD673" i="2" s="1"/>
  <c r="X730" i="5" l="1"/>
  <c r="O731" i="5"/>
  <c r="P731" i="5" s="1"/>
  <c r="N731" i="5"/>
  <c r="AV729" i="5"/>
  <c r="AW729" i="5" s="1"/>
  <c r="BA729" i="5" s="1"/>
  <c r="AT713" i="2"/>
  <c r="AU713" i="2" s="1"/>
  <c r="BM409" i="5"/>
  <c r="BN409" i="5" s="1"/>
  <c r="AE787" i="5"/>
  <c r="AF787" i="5" s="1"/>
  <c r="R673" i="2"/>
  <c r="S673" i="2" s="1"/>
  <c r="AM786" i="5"/>
  <c r="AE673" i="2"/>
  <c r="S731" i="5" l="1"/>
  <c r="T731" i="5" s="1"/>
  <c r="AT730" i="5"/>
  <c r="BB729" i="5"/>
  <c r="AY713" i="2"/>
  <c r="V673" i="2"/>
  <c r="BO409" i="5"/>
  <c r="BP409" i="5" s="1"/>
  <c r="AL787" i="5"/>
  <c r="AC788" i="5" s="1"/>
  <c r="AJ673" i="2"/>
  <c r="W731" i="5" l="1"/>
  <c r="AV730" i="5"/>
  <c r="AW730" i="5" s="1"/>
  <c r="AZ713" i="2"/>
  <c r="AR714" i="2"/>
  <c r="BK410" i="5"/>
  <c r="BM410" i="5" s="1"/>
  <c r="AE788" i="5"/>
  <c r="AF788" i="5" s="1"/>
  <c r="W673" i="2"/>
  <c r="M674" i="2"/>
  <c r="N674" i="2"/>
  <c r="O674" i="2" s="1"/>
  <c r="AM787" i="5"/>
  <c r="AK673" i="2"/>
  <c r="AB674" i="2"/>
  <c r="AD674" i="2" s="1"/>
  <c r="X731" i="5" l="1"/>
  <c r="N732" i="5"/>
  <c r="O732" i="5"/>
  <c r="P732" i="5" s="1"/>
  <c r="BA730" i="5"/>
  <c r="AT714" i="2"/>
  <c r="AU714" i="2" s="1"/>
  <c r="BN410" i="5"/>
  <c r="BO410" i="5" s="1"/>
  <c r="BP410" i="5" s="1"/>
  <c r="R674" i="2"/>
  <c r="S674" i="2" s="1"/>
  <c r="AL788" i="5"/>
  <c r="AC789" i="5" s="1"/>
  <c r="AE674" i="2"/>
  <c r="S732" i="5" l="1"/>
  <c r="T732" i="5" s="1"/>
  <c r="AT731" i="5"/>
  <c r="BB730" i="5"/>
  <c r="AY714" i="2"/>
  <c r="V674" i="2"/>
  <c r="BK411" i="5"/>
  <c r="AE789" i="5"/>
  <c r="AF789" i="5" s="1"/>
  <c r="AM788" i="5"/>
  <c r="AJ674" i="2"/>
  <c r="W732" i="5" l="1"/>
  <c r="AV731" i="5"/>
  <c r="AW731" i="5" s="1"/>
  <c r="AR715" i="2"/>
  <c r="AZ714" i="2"/>
  <c r="BM411" i="5"/>
  <c r="W674" i="2"/>
  <c r="M675" i="2"/>
  <c r="N675" i="2"/>
  <c r="O675" i="2" s="1"/>
  <c r="AL789" i="5"/>
  <c r="AC790" i="5" s="1"/>
  <c r="AK674" i="2"/>
  <c r="AB675" i="2"/>
  <c r="AD675" i="2" s="1"/>
  <c r="O733" i="5" l="1"/>
  <c r="P733" i="5" s="1"/>
  <c r="N733" i="5"/>
  <c r="X732" i="5"/>
  <c r="BA731" i="5"/>
  <c r="AT715" i="2"/>
  <c r="BN411" i="5"/>
  <c r="BO411" i="5" s="1"/>
  <c r="BP411" i="5" s="1"/>
  <c r="AE790" i="5"/>
  <c r="AF790" i="5" s="1"/>
  <c r="R675" i="2"/>
  <c r="S675" i="2" s="1"/>
  <c r="AM789" i="5"/>
  <c r="AE675" i="2"/>
  <c r="S733" i="5" l="1"/>
  <c r="T733" i="5" s="1"/>
  <c r="W733" i="5" s="1"/>
  <c r="AT732" i="5"/>
  <c r="BB731" i="5"/>
  <c r="AU715" i="2"/>
  <c r="AY715" i="2" s="1"/>
  <c r="V675" i="2"/>
  <c r="BK412" i="5"/>
  <c r="AL790" i="5"/>
  <c r="AC791" i="5" s="1"/>
  <c r="AJ675" i="2"/>
  <c r="N734" i="5" l="1"/>
  <c r="X733" i="5"/>
  <c r="O734" i="5"/>
  <c r="P734" i="5" s="1"/>
  <c r="AV732" i="5"/>
  <c r="AW732" i="5" s="1"/>
  <c r="AZ715" i="2"/>
  <c r="AR716" i="2"/>
  <c r="I85" i="7"/>
  <c r="BM412" i="5"/>
  <c r="BN412" i="5" s="1"/>
  <c r="AE791" i="5"/>
  <c r="AF791" i="5" s="1"/>
  <c r="W675" i="2"/>
  <c r="N676" i="2"/>
  <c r="O676" i="2" s="1"/>
  <c r="M676" i="2"/>
  <c r="AM790" i="5"/>
  <c r="AK675" i="2"/>
  <c r="AB676" i="2"/>
  <c r="AD676" i="2" s="1"/>
  <c r="S734" i="5" l="1"/>
  <c r="T734" i="5" s="1"/>
  <c r="BA732" i="5"/>
  <c r="AT733" i="5" s="1"/>
  <c r="AT716" i="2"/>
  <c r="AU716" i="2" s="1"/>
  <c r="BO412" i="5"/>
  <c r="BP412" i="5" s="1"/>
  <c r="R676" i="2"/>
  <c r="S676" i="2" s="1"/>
  <c r="AL791" i="5"/>
  <c r="AC792" i="5" s="1"/>
  <c r="AE676" i="2"/>
  <c r="BB732" i="5" l="1"/>
  <c r="W734" i="5"/>
  <c r="AV733" i="5"/>
  <c r="AW733" i="5" s="1"/>
  <c r="BA733" i="5" s="1"/>
  <c r="AY716" i="2"/>
  <c r="V676" i="2"/>
  <c r="BK413" i="5"/>
  <c r="AE792" i="5"/>
  <c r="AF792" i="5" s="1"/>
  <c r="AM791" i="5"/>
  <c r="AJ676" i="2"/>
  <c r="N735" i="5" l="1"/>
  <c r="O735" i="5"/>
  <c r="P735" i="5" s="1"/>
  <c r="X734" i="5"/>
  <c r="BB733" i="5"/>
  <c r="AT734" i="5"/>
  <c r="AR717" i="2"/>
  <c r="AZ716" i="2"/>
  <c r="BM413" i="5"/>
  <c r="BN413" i="5" s="1"/>
  <c r="BO413" i="5" s="1"/>
  <c r="BP413" i="5" s="1"/>
  <c r="W676" i="2"/>
  <c r="N677" i="2"/>
  <c r="O677" i="2" s="1"/>
  <c r="M677" i="2"/>
  <c r="AL792" i="5"/>
  <c r="AC793" i="5" s="1"/>
  <c r="AK676" i="2"/>
  <c r="AB677" i="2"/>
  <c r="AD677" i="2" s="1"/>
  <c r="S735" i="5" l="1"/>
  <c r="T735" i="5" s="1"/>
  <c r="AV734" i="5"/>
  <c r="AW734" i="5" s="1"/>
  <c r="AT717" i="2"/>
  <c r="AU717" i="2" s="1"/>
  <c r="BK414" i="5"/>
  <c r="AE793" i="5"/>
  <c r="AF793" i="5" s="1"/>
  <c r="R677" i="2"/>
  <c r="S677" i="2" s="1"/>
  <c r="AM792" i="5"/>
  <c r="AE677" i="2"/>
  <c r="W735" i="5" l="1"/>
  <c r="BA734" i="5"/>
  <c r="AY717" i="2"/>
  <c r="V677" i="2"/>
  <c r="W677" i="2" s="1"/>
  <c r="BM414" i="5"/>
  <c r="AL793" i="5"/>
  <c r="AJ677" i="2"/>
  <c r="N736" i="5" l="1"/>
  <c r="X735" i="5"/>
  <c r="O736" i="5"/>
  <c r="P736" i="5" s="1"/>
  <c r="AT735" i="5"/>
  <c r="BB734" i="5"/>
  <c r="AR718" i="2"/>
  <c r="AZ717" i="2"/>
  <c r="M678" i="2"/>
  <c r="N678" i="2"/>
  <c r="O678" i="2" s="1"/>
  <c r="BN414" i="5"/>
  <c r="BO414" i="5" s="1"/>
  <c r="BP414" i="5" s="1"/>
  <c r="AC794" i="5"/>
  <c r="AM793" i="5"/>
  <c r="AK677" i="2"/>
  <c r="AB678" i="2"/>
  <c r="AD678" i="2" s="1"/>
  <c r="S736" i="5" l="1"/>
  <c r="T736" i="5" s="1"/>
  <c r="W736" i="5" s="1"/>
  <c r="AV735" i="5"/>
  <c r="AW735" i="5" s="1"/>
  <c r="BA735" i="5" s="1"/>
  <c r="AT718" i="2"/>
  <c r="R678" i="2"/>
  <c r="S678" i="2" s="1"/>
  <c r="BK415" i="5"/>
  <c r="AE794" i="5"/>
  <c r="AF794" i="5" s="1"/>
  <c r="AL794" i="5" s="1"/>
  <c r="AC795" i="5" s="1"/>
  <c r="AE678" i="2"/>
  <c r="O737" i="5" l="1"/>
  <c r="P737" i="5" s="1"/>
  <c r="N737" i="5"/>
  <c r="X736" i="5"/>
  <c r="AT736" i="5"/>
  <c r="BB735" i="5"/>
  <c r="AU718" i="2"/>
  <c r="AY718" i="2" s="1"/>
  <c r="V678" i="2"/>
  <c r="BM415" i="5"/>
  <c r="AE795" i="5"/>
  <c r="AF795" i="5" s="1"/>
  <c r="AM794" i="5"/>
  <c r="AJ678" i="2"/>
  <c r="S737" i="5" l="1"/>
  <c r="AV736" i="5"/>
  <c r="AW736" i="5" s="1"/>
  <c r="AZ718" i="2"/>
  <c r="AR719" i="2"/>
  <c r="N679" i="2"/>
  <c r="O679" i="2" s="1"/>
  <c r="W678" i="2"/>
  <c r="M679" i="2"/>
  <c r="BN415" i="5"/>
  <c r="BO415" i="5" s="1"/>
  <c r="BP415" i="5" s="1"/>
  <c r="AK678" i="2"/>
  <c r="AB679" i="2"/>
  <c r="AD679" i="2" s="1"/>
  <c r="T737" i="5" l="1"/>
  <c r="W737" i="5" s="1"/>
  <c r="BA736" i="5"/>
  <c r="BB736" i="5" s="1"/>
  <c r="AT719" i="2"/>
  <c r="R679" i="2"/>
  <c r="S679" i="2" s="1"/>
  <c r="V679" i="2" s="1"/>
  <c r="BK416" i="5"/>
  <c r="K60" i="9"/>
  <c r="L60" i="9" s="1"/>
  <c r="AL795" i="5"/>
  <c r="AC796" i="5" s="1"/>
  <c r="AE679" i="2"/>
  <c r="M60" i="9" l="1"/>
  <c r="N738" i="5"/>
  <c r="X737" i="5"/>
  <c r="O738" i="5"/>
  <c r="P738" i="5" s="1"/>
  <c r="AT737" i="5"/>
  <c r="AV737" i="5" s="1"/>
  <c r="AW737" i="5" s="1"/>
  <c r="AU719" i="2"/>
  <c r="AY719" i="2" s="1"/>
  <c r="BM416" i="5"/>
  <c r="AE796" i="5"/>
  <c r="AF796" i="5" s="1"/>
  <c r="H46" i="6"/>
  <c r="H82" i="7"/>
  <c r="W679" i="2"/>
  <c r="AM795" i="5"/>
  <c r="M680" i="2"/>
  <c r="N680" i="2"/>
  <c r="O680" i="2" s="1"/>
  <c r="AJ679" i="2"/>
  <c r="S738" i="5" l="1"/>
  <c r="T738" i="5" s="1"/>
  <c r="BA737" i="5"/>
  <c r="AZ719" i="2"/>
  <c r="AR720" i="2"/>
  <c r="BN416" i="5"/>
  <c r="BO416" i="5" s="1"/>
  <c r="J82" i="7"/>
  <c r="L82" i="7" s="1"/>
  <c r="J46" i="6"/>
  <c r="L46" i="6" s="1"/>
  <c r="R680" i="2"/>
  <c r="S680" i="2" s="1"/>
  <c r="AK679" i="2"/>
  <c r="M46" i="6" s="1"/>
  <c r="AB680" i="2"/>
  <c r="AD680" i="2" s="1"/>
  <c r="BK417" i="5" l="1"/>
  <c r="BM417" i="5" s="1"/>
  <c r="BN417" i="5" s="1"/>
  <c r="BO417" i="5" s="1"/>
  <c r="BP417" i="5" s="1"/>
  <c r="BP416" i="5"/>
  <c r="W738" i="5"/>
  <c r="AT738" i="5"/>
  <c r="BB737" i="5"/>
  <c r="AT720" i="2"/>
  <c r="V680" i="2"/>
  <c r="BK418" i="5"/>
  <c r="M82" i="7"/>
  <c r="AL796" i="5"/>
  <c r="AC797" i="5" s="1"/>
  <c r="AE680" i="2"/>
  <c r="N739" i="5" l="1"/>
  <c r="X738" i="5"/>
  <c r="O739" i="5"/>
  <c r="P739" i="5" s="1"/>
  <c r="AV738" i="5"/>
  <c r="AW738" i="5" s="1"/>
  <c r="AU720" i="2"/>
  <c r="AY720" i="2" s="1"/>
  <c r="BM418" i="5"/>
  <c r="BN418" i="5" s="1"/>
  <c r="BO418" i="5" s="1"/>
  <c r="BP418" i="5" s="1"/>
  <c r="AE797" i="5"/>
  <c r="AF797" i="5" s="1"/>
  <c r="W680" i="2"/>
  <c r="AM796" i="5"/>
  <c r="N681" i="2"/>
  <c r="O681" i="2" s="1"/>
  <c r="M681" i="2"/>
  <c r="AJ680" i="2"/>
  <c r="S739" i="5" l="1"/>
  <c r="T739" i="5" s="1"/>
  <c r="BA738" i="5"/>
  <c r="AZ720" i="2"/>
  <c r="AR721" i="2"/>
  <c r="BK419" i="5"/>
  <c r="R681" i="2"/>
  <c r="S681" i="2" s="1"/>
  <c r="AK680" i="2"/>
  <c r="AB681" i="2"/>
  <c r="AD681" i="2" s="1"/>
  <c r="W739" i="5" l="1"/>
  <c r="BB738" i="5"/>
  <c r="AT739" i="5"/>
  <c r="AT721" i="2"/>
  <c r="V681" i="2"/>
  <c r="BM419" i="5"/>
  <c r="BN419" i="5" s="1"/>
  <c r="AL797" i="5"/>
  <c r="AC798" i="5" s="1"/>
  <c r="AE681" i="2"/>
  <c r="O740" i="5" l="1"/>
  <c r="P740" i="5" s="1"/>
  <c r="N740" i="5"/>
  <c r="X739" i="5"/>
  <c r="AV739" i="5"/>
  <c r="AW739" i="5" s="1"/>
  <c r="AU721" i="2"/>
  <c r="AY721" i="2" s="1"/>
  <c r="BO419" i="5"/>
  <c r="BP419" i="5" s="1"/>
  <c r="AE798" i="5"/>
  <c r="AF798" i="5" s="1"/>
  <c r="W681" i="2"/>
  <c r="AM797" i="5"/>
  <c r="M682" i="2"/>
  <c r="N682" i="2"/>
  <c r="O682" i="2" s="1"/>
  <c r="AJ681" i="2"/>
  <c r="S740" i="5" l="1"/>
  <c r="T740" i="5" s="1"/>
  <c r="BA739" i="5"/>
  <c r="AZ721" i="2"/>
  <c r="AR722" i="2"/>
  <c r="BK420" i="5"/>
  <c r="R682" i="2"/>
  <c r="S682" i="2" s="1"/>
  <c r="AK681" i="2"/>
  <c r="AB682" i="2"/>
  <c r="AD682" i="2" s="1"/>
  <c r="W740" i="5" l="1"/>
  <c r="AT740" i="5"/>
  <c r="BB739" i="5"/>
  <c r="AT722" i="2"/>
  <c r="V682" i="2"/>
  <c r="BM420" i="5"/>
  <c r="BN420" i="5" s="1"/>
  <c r="BO420" i="5" s="1"/>
  <c r="BP420" i="5" s="1"/>
  <c r="AL798" i="5"/>
  <c r="AC799" i="5" s="1"/>
  <c r="AE682" i="2"/>
  <c r="O741" i="5" l="1"/>
  <c r="P741" i="5" s="1"/>
  <c r="N741" i="5"/>
  <c r="X740" i="5"/>
  <c r="AV740" i="5"/>
  <c r="AW740" i="5" s="1"/>
  <c r="AU722" i="2"/>
  <c r="AY722" i="2" s="1"/>
  <c r="BK421" i="5"/>
  <c r="AE799" i="5"/>
  <c r="AF799" i="5" s="1"/>
  <c r="W682" i="2"/>
  <c r="AM798" i="5"/>
  <c r="N683" i="2"/>
  <c r="O683" i="2" s="1"/>
  <c r="M683" i="2"/>
  <c r="AJ682" i="2"/>
  <c r="S741" i="5" l="1"/>
  <c r="T741" i="5" s="1"/>
  <c r="BA740" i="5"/>
  <c r="AZ722" i="2"/>
  <c r="AR723" i="2"/>
  <c r="BM421" i="5"/>
  <c r="BN421" i="5" s="1"/>
  <c r="BO421" i="5" s="1"/>
  <c r="BP421" i="5" s="1"/>
  <c r="AL799" i="5"/>
  <c r="R683" i="2"/>
  <c r="S683" i="2" s="1"/>
  <c r="AK682" i="2"/>
  <c r="AB683" i="2"/>
  <c r="AD683" i="2" s="1"/>
  <c r="W741" i="5" l="1"/>
  <c r="AT741" i="5"/>
  <c r="BB740" i="5"/>
  <c r="AT723" i="2"/>
  <c r="AU723" i="2" s="1"/>
  <c r="V683" i="2"/>
  <c r="BK422" i="5"/>
  <c r="AC800" i="5"/>
  <c r="AM799" i="5"/>
  <c r="AE683" i="2"/>
  <c r="N742" i="5" l="1"/>
  <c r="X741" i="5"/>
  <c r="O742" i="5"/>
  <c r="P742" i="5" s="1"/>
  <c r="AV741" i="5"/>
  <c r="AW741" i="5" s="1"/>
  <c r="AY723" i="2"/>
  <c r="BM422" i="5"/>
  <c r="BN422" i="5" s="1"/>
  <c r="BO422" i="5" s="1"/>
  <c r="BP422" i="5" s="1"/>
  <c r="AE800" i="5"/>
  <c r="AF800" i="5" s="1"/>
  <c r="AL800" i="5" s="1"/>
  <c r="AC801" i="5" s="1"/>
  <c r="W683" i="2"/>
  <c r="M684" i="2"/>
  <c r="N684" i="2"/>
  <c r="O684" i="2" s="1"/>
  <c r="AJ683" i="2"/>
  <c r="S742" i="5" l="1"/>
  <c r="T742" i="5" s="1"/>
  <c r="BA741" i="5"/>
  <c r="AR724" i="2"/>
  <c r="AZ723" i="2"/>
  <c r="BK423" i="5"/>
  <c r="AE801" i="5"/>
  <c r="AF801" i="5" s="1"/>
  <c r="AM800" i="5"/>
  <c r="R684" i="2"/>
  <c r="S684" i="2" s="1"/>
  <c r="AK683" i="2"/>
  <c r="AB684" i="2"/>
  <c r="AD684" i="2" s="1"/>
  <c r="W742" i="5" l="1"/>
  <c r="AT742" i="5"/>
  <c r="BB741" i="5"/>
  <c r="AT724" i="2"/>
  <c r="AU724" i="2" s="1"/>
  <c r="V684" i="2"/>
  <c r="BM423" i="5"/>
  <c r="BN423" i="5" s="1"/>
  <c r="AE684" i="2"/>
  <c r="N743" i="5" l="1"/>
  <c r="X742" i="5"/>
  <c r="O743" i="5"/>
  <c r="P743" i="5" s="1"/>
  <c r="AV742" i="5"/>
  <c r="AW742" i="5" s="1"/>
  <c r="AY724" i="2"/>
  <c r="BO423" i="5"/>
  <c r="W684" i="2"/>
  <c r="AL801" i="5"/>
  <c r="AC802" i="5" s="1"/>
  <c r="N685" i="2"/>
  <c r="O685" i="2" s="1"/>
  <c r="M685" i="2"/>
  <c r="AJ684" i="2"/>
  <c r="BK424" i="5" l="1"/>
  <c r="BM424" i="5" s="1"/>
  <c r="BN424" i="5" s="1"/>
  <c r="BO424" i="5" s="1"/>
  <c r="BP424" i="5" s="1"/>
  <c r="BP423" i="5"/>
  <c r="S743" i="5"/>
  <c r="T743" i="5" s="1"/>
  <c r="BA742" i="5"/>
  <c r="AR725" i="2"/>
  <c r="AZ724" i="2"/>
  <c r="AE802" i="5"/>
  <c r="AF802" i="5" s="1"/>
  <c r="AM801" i="5"/>
  <c r="R685" i="2"/>
  <c r="S685" i="2" s="1"/>
  <c r="AK684" i="2"/>
  <c r="AB685" i="2"/>
  <c r="AD685" i="2" s="1"/>
  <c r="W743" i="5" l="1"/>
  <c r="O744" i="5" s="1"/>
  <c r="P744" i="5" s="1"/>
  <c r="AT743" i="5"/>
  <c r="BB742" i="5"/>
  <c r="AT725" i="2"/>
  <c r="BK425" i="5"/>
  <c r="BM425" i="5" s="1"/>
  <c r="BN425" i="5" s="1"/>
  <c r="BO425" i="5" s="1"/>
  <c r="BP425" i="5" s="1"/>
  <c r="V685" i="2"/>
  <c r="AL802" i="5"/>
  <c r="AC803" i="5" s="1"/>
  <c r="AE685" i="2"/>
  <c r="X743" i="5" l="1"/>
  <c r="N744" i="5"/>
  <c r="S744" i="5" s="1"/>
  <c r="T744" i="5" s="1"/>
  <c r="AV743" i="5"/>
  <c r="AW743" i="5" s="1"/>
  <c r="AU725" i="2"/>
  <c r="AY725" i="2" s="1"/>
  <c r="BK426" i="5"/>
  <c r="BM426" i="5" s="1"/>
  <c r="BN426" i="5" s="1"/>
  <c r="BO426" i="5" s="1"/>
  <c r="BP426" i="5" s="1"/>
  <c r="AE803" i="5"/>
  <c r="AF803" i="5" s="1"/>
  <c r="W685" i="2"/>
  <c r="AM802" i="5"/>
  <c r="N686" i="2"/>
  <c r="O686" i="2" s="1"/>
  <c r="M686" i="2"/>
  <c r="AJ685" i="2"/>
  <c r="W744" i="5" l="1"/>
  <c r="BA743" i="5"/>
  <c r="AR726" i="2"/>
  <c r="AZ725" i="2"/>
  <c r="BK427" i="5"/>
  <c r="BM427" i="5" s="1"/>
  <c r="BN427" i="5" s="1"/>
  <c r="BO427" i="5" s="1"/>
  <c r="AL803" i="5"/>
  <c r="AC804" i="5" s="1"/>
  <c r="R686" i="2"/>
  <c r="S686" i="2" s="1"/>
  <c r="AK685" i="2"/>
  <c r="AB686" i="2"/>
  <c r="AD686" i="2" s="1"/>
  <c r="BK428" i="5" l="1"/>
  <c r="BM428" i="5" s="1"/>
  <c r="BN428" i="5" s="1"/>
  <c r="BO428" i="5" s="1"/>
  <c r="BP428" i="5" s="1"/>
  <c r="BP427" i="5"/>
  <c r="N745" i="5"/>
  <c r="O745" i="5"/>
  <c r="P745" i="5" s="1"/>
  <c r="X744" i="5"/>
  <c r="BB743" i="5"/>
  <c r="AT744" i="5"/>
  <c r="AT726" i="2"/>
  <c r="K61" i="9"/>
  <c r="L61" i="9" s="1"/>
  <c r="M61" i="9" s="1"/>
  <c r="V686" i="2"/>
  <c r="AE804" i="5"/>
  <c r="AF804" i="5" s="1"/>
  <c r="AM803" i="5"/>
  <c r="AE686" i="2"/>
  <c r="S745" i="5" l="1"/>
  <c r="T745" i="5" s="1"/>
  <c r="BK429" i="5"/>
  <c r="AV744" i="5"/>
  <c r="AW744" i="5" s="1"/>
  <c r="AU726" i="2"/>
  <c r="AY726" i="2" s="1"/>
  <c r="W686" i="2"/>
  <c r="AL804" i="5"/>
  <c r="AC805" i="5" s="1"/>
  <c r="M687" i="2"/>
  <c r="N687" i="2"/>
  <c r="O687" i="2" s="1"/>
  <c r="AJ686" i="2"/>
  <c r="W745" i="5" l="1"/>
  <c r="O746" i="5" s="1"/>
  <c r="P746" i="5" s="1"/>
  <c r="BM429" i="5"/>
  <c r="BN429" i="5" s="1"/>
  <c r="BA744" i="5"/>
  <c r="AZ726" i="2"/>
  <c r="AR727" i="2"/>
  <c r="AE805" i="5"/>
  <c r="AF805" i="5" s="1"/>
  <c r="AM804" i="5"/>
  <c r="R687" i="2"/>
  <c r="S687" i="2" s="1"/>
  <c r="AK686" i="2"/>
  <c r="AB687" i="2"/>
  <c r="AD687" i="2" s="1"/>
  <c r="N746" i="5" l="1"/>
  <c r="S746" i="5" s="1"/>
  <c r="T746" i="5" s="1"/>
  <c r="X745" i="5"/>
  <c r="AT745" i="5"/>
  <c r="BB744" i="5"/>
  <c r="BO429" i="5"/>
  <c r="BP429" i="5" s="1"/>
  <c r="AT727" i="2"/>
  <c r="V687" i="2"/>
  <c r="AL805" i="5"/>
  <c r="AC806" i="5" s="1"/>
  <c r="AE687" i="2"/>
  <c r="W746" i="5" l="1"/>
  <c r="BK430" i="5"/>
  <c r="AV745" i="5"/>
  <c r="AW745" i="5" s="1"/>
  <c r="AU727" i="2"/>
  <c r="AY727" i="2" s="1"/>
  <c r="AE806" i="5"/>
  <c r="AF806" i="5" s="1"/>
  <c r="W687" i="2"/>
  <c r="AM805" i="5"/>
  <c r="N688" i="2"/>
  <c r="O688" i="2" s="1"/>
  <c r="M688" i="2"/>
  <c r="AJ687" i="2"/>
  <c r="O747" i="5" l="1"/>
  <c r="P747" i="5" s="1"/>
  <c r="N747" i="5"/>
  <c r="X746" i="5"/>
  <c r="BM430" i="5"/>
  <c r="BN430" i="5" s="1"/>
  <c r="BO430" i="5" s="1"/>
  <c r="BP430" i="5" s="1"/>
  <c r="BA745" i="5"/>
  <c r="AR728" i="2"/>
  <c r="I86" i="7"/>
  <c r="AZ727" i="2"/>
  <c r="AL806" i="5"/>
  <c r="AC807" i="5" s="1"/>
  <c r="R688" i="2"/>
  <c r="S688" i="2" s="1"/>
  <c r="AK687" i="2"/>
  <c r="AB688" i="2"/>
  <c r="AD688" i="2" s="1"/>
  <c r="S747" i="5" l="1"/>
  <c r="T747" i="5" s="1"/>
  <c r="BK431" i="5"/>
  <c r="BM431" i="5" s="1"/>
  <c r="BN431" i="5" s="1"/>
  <c r="BO431" i="5" s="1"/>
  <c r="BP431" i="5" s="1"/>
  <c r="AT746" i="5"/>
  <c r="BB745" i="5"/>
  <c r="AT728" i="2"/>
  <c r="V688" i="2"/>
  <c r="AE807" i="5"/>
  <c r="AF807" i="5" s="1"/>
  <c r="AM806" i="5"/>
  <c r="AE688" i="2"/>
  <c r="W747" i="5" l="1"/>
  <c r="AV746" i="5"/>
  <c r="AW746" i="5" s="1"/>
  <c r="BA746" i="5" s="1"/>
  <c r="BK432" i="5"/>
  <c r="AU728" i="2"/>
  <c r="AY728" i="2" s="1"/>
  <c r="W688" i="2"/>
  <c r="AL807" i="5"/>
  <c r="AC808" i="5" s="1"/>
  <c r="N689" i="2"/>
  <c r="O689" i="2" s="1"/>
  <c r="M689" i="2"/>
  <c r="AJ688" i="2"/>
  <c r="N748" i="5" l="1"/>
  <c r="X747" i="5"/>
  <c r="O748" i="5"/>
  <c r="P748" i="5" s="1"/>
  <c r="BB746" i="5"/>
  <c r="AT747" i="5"/>
  <c r="BM432" i="5"/>
  <c r="BN432" i="5" s="1"/>
  <c r="AR729" i="2"/>
  <c r="AZ728" i="2"/>
  <c r="AE808" i="5"/>
  <c r="AF808" i="5" s="1"/>
  <c r="AM807" i="5"/>
  <c r="R689" i="2"/>
  <c r="S689" i="2" s="1"/>
  <c r="AK688" i="2"/>
  <c r="AB689" i="2"/>
  <c r="AD689" i="2" s="1"/>
  <c r="S748" i="5" l="1"/>
  <c r="T748" i="5" s="1"/>
  <c r="AV747" i="5"/>
  <c r="AW747" i="5" s="1"/>
  <c r="BO432" i="5"/>
  <c r="BP432" i="5" s="1"/>
  <c r="AT729" i="2"/>
  <c r="V689" i="2"/>
  <c r="AE689" i="2"/>
  <c r="BA747" i="5" l="1"/>
  <c r="W748" i="5"/>
  <c r="BK433" i="5"/>
  <c r="AU729" i="2"/>
  <c r="AY729" i="2" s="1"/>
  <c r="W689" i="2"/>
  <c r="AL808" i="5"/>
  <c r="AC809" i="5" s="1"/>
  <c r="N690" i="2"/>
  <c r="O690" i="2" s="1"/>
  <c r="M690" i="2"/>
  <c r="AJ689" i="2"/>
  <c r="BB747" i="5" l="1"/>
  <c r="AT748" i="5"/>
  <c r="AV748" i="5" s="1"/>
  <c r="AW748" i="5" s="1"/>
  <c r="X748" i="5"/>
  <c r="O749" i="5"/>
  <c r="P749" i="5" s="1"/>
  <c r="N749" i="5"/>
  <c r="BM433" i="5"/>
  <c r="BN433" i="5" s="1"/>
  <c r="BO433" i="5" s="1"/>
  <c r="BP433" i="5" s="1"/>
  <c r="AZ729" i="2"/>
  <c r="AR730" i="2"/>
  <c r="AE809" i="5"/>
  <c r="AF809" i="5" s="1"/>
  <c r="AM808" i="5"/>
  <c r="R690" i="2"/>
  <c r="S690" i="2" s="1"/>
  <c r="AK689" i="2"/>
  <c r="AB690" i="2"/>
  <c r="AD690" i="2" s="1"/>
  <c r="S749" i="5" l="1"/>
  <c r="T749" i="5" s="1"/>
  <c r="BA748" i="5"/>
  <c r="BB748" i="5" s="1"/>
  <c r="BK434" i="5"/>
  <c r="AT730" i="2"/>
  <c r="AU730" i="2" s="1"/>
  <c r="V690" i="2"/>
  <c r="AL809" i="5"/>
  <c r="AC810" i="5" s="1"/>
  <c r="AE690" i="2"/>
  <c r="AT749" i="5" l="1"/>
  <c r="AV749" i="5" s="1"/>
  <c r="AW749" i="5" s="1"/>
  <c r="W749" i="5"/>
  <c r="BM434" i="5"/>
  <c r="BN434" i="5" s="1"/>
  <c r="AY730" i="2"/>
  <c r="AE810" i="5"/>
  <c r="AF810" i="5" s="1"/>
  <c r="W690" i="2"/>
  <c r="N691" i="2"/>
  <c r="O691" i="2" s="1"/>
  <c r="M691" i="2"/>
  <c r="AM809" i="5"/>
  <c r="AJ690" i="2"/>
  <c r="N750" i="5" l="1"/>
  <c r="X749" i="5"/>
  <c r="O750" i="5"/>
  <c r="P750" i="5" s="1"/>
  <c r="BO434" i="5"/>
  <c r="BP434" i="5" s="1"/>
  <c r="BA749" i="5"/>
  <c r="AR731" i="2"/>
  <c r="AZ730" i="2"/>
  <c r="R691" i="2"/>
  <c r="S691" i="2" s="1"/>
  <c r="AK690" i="2"/>
  <c r="AB691" i="2"/>
  <c r="AD691" i="2" s="1"/>
  <c r="S750" i="5" l="1"/>
  <c r="T750" i="5" s="1"/>
  <c r="BB749" i="5"/>
  <c r="AT750" i="5"/>
  <c r="BK435" i="5"/>
  <c r="BM435" i="5" s="1"/>
  <c r="BN435" i="5" s="1"/>
  <c r="BO435" i="5" s="1"/>
  <c r="BP435" i="5" s="1"/>
  <c r="AT731" i="2"/>
  <c r="AU731" i="2" s="1"/>
  <c r="V691" i="2"/>
  <c r="AL810" i="5"/>
  <c r="AC811" i="5" s="1"/>
  <c r="AE691" i="2"/>
  <c r="W750" i="5" l="1"/>
  <c r="AV750" i="5"/>
  <c r="AW750" i="5" s="1"/>
  <c r="BK436" i="5"/>
  <c r="AY731" i="2"/>
  <c r="AE811" i="5"/>
  <c r="AF811" i="5" s="1"/>
  <c r="H83" i="7"/>
  <c r="W691" i="2"/>
  <c r="N692" i="2"/>
  <c r="O692" i="2" s="1"/>
  <c r="M692" i="2"/>
  <c r="AM810" i="5"/>
  <c r="AJ691" i="2"/>
  <c r="X750" i="5" l="1"/>
  <c r="O751" i="5"/>
  <c r="P751" i="5" s="1"/>
  <c r="N751" i="5"/>
  <c r="BM436" i="5"/>
  <c r="BN436" i="5" s="1"/>
  <c r="BA750" i="5"/>
  <c r="AR732" i="2"/>
  <c r="AZ731" i="2"/>
  <c r="J83" i="7"/>
  <c r="L83" i="7" s="1"/>
  <c r="R692" i="2"/>
  <c r="S692" i="2" s="1"/>
  <c r="AK691" i="2"/>
  <c r="M83" i="7" s="1"/>
  <c r="AB692" i="2"/>
  <c r="AD692" i="2" s="1"/>
  <c r="S751" i="5" l="1"/>
  <c r="T751" i="5" s="1"/>
  <c r="AT751" i="5"/>
  <c r="BB750" i="5"/>
  <c r="BO436" i="5"/>
  <c r="BP436" i="5" s="1"/>
  <c r="AT732" i="2"/>
  <c r="V692" i="2"/>
  <c r="AL811" i="5"/>
  <c r="AC812" i="5" s="1"/>
  <c r="AE692" i="2"/>
  <c r="W751" i="5" l="1"/>
  <c r="O752" i="5" s="1"/>
  <c r="P752" i="5" s="1"/>
  <c r="BK437" i="5"/>
  <c r="AV751" i="5"/>
  <c r="AW751" i="5" s="1"/>
  <c r="AU732" i="2"/>
  <c r="AY732" i="2" s="1"/>
  <c r="AE812" i="5"/>
  <c r="AF812" i="5" s="1"/>
  <c r="W692" i="2"/>
  <c r="N693" i="2"/>
  <c r="O693" i="2" s="1"/>
  <c r="M693" i="2"/>
  <c r="AM811" i="5"/>
  <c r="AJ692" i="2"/>
  <c r="N752" i="5" l="1"/>
  <c r="S752" i="5" s="1"/>
  <c r="T752" i="5" s="1"/>
  <c r="X751" i="5"/>
  <c r="BA751" i="5"/>
  <c r="BM437" i="5"/>
  <c r="BN437" i="5" s="1"/>
  <c r="AZ732" i="2"/>
  <c r="AR733" i="2"/>
  <c r="R693" i="2"/>
  <c r="S693" i="2" s="1"/>
  <c r="AK692" i="2"/>
  <c r="AB693" i="2"/>
  <c r="AD693" i="2" s="1"/>
  <c r="W752" i="5" l="1"/>
  <c r="X752" i="5" s="1"/>
  <c r="BO437" i="5"/>
  <c r="BP437" i="5" s="1"/>
  <c r="BB751" i="5"/>
  <c r="AT752" i="5"/>
  <c r="AT733" i="2"/>
  <c r="V693" i="2"/>
  <c r="AL812" i="5"/>
  <c r="AC813" i="5" s="1"/>
  <c r="AE693" i="2"/>
  <c r="N753" i="5" l="1"/>
  <c r="O753" i="5"/>
  <c r="P753" i="5" s="1"/>
  <c r="AV752" i="5"/>
  <c r="AW752" i="5" s="1"/>
  <c r="BK438" i="5"/>
  <c r="BM438" i="5" s="1"/>
  <c r="BN438" i="5" s="1"/>
  <c r="BO438" i="5" s="1"/>
  <c r="BP438" i="5" s="1"/>
  <c r="AU733" i="2"/>
  <c r="AY733" i="2" s="1"/>
  <c r="AE813" i="5"/>
  <c r="AF813" i="5" s="1"/>
  <c r="W693" i="2"/>
  <c r="M694" i="2"/>
  <c r="N694" i="2"/>
  <c r="O694" i="2" s="1"/>
  <c r="AM812" i="5"/>
  <c r="AJ693" i="2"/>
  <c r="S753" i="5" l="1"/>
  <c r="T753" i="5" s="1"/>
  <c r="W753" i="5" s="1"/>
  <c r="BK439" i="5"/>
  <c r="BA752" i="5"/>
  <c r="AR734" i="2"/>
  <c r="AZ733" i="2"/>
  <c r="R694" i="2"/>
  <c r="S694" i="2" s="1"/>
  <c r="AL813" i="5"/>
  <c r="AC814" i="5" s="1"/>
  <c r="AK693" i="2"/>
  <c r="AB694" i="2"/>
  <c r="AD694" i="2" s="1"/>
  <c r="X753" i="5" l="1"/>
  <c r="O754" i="5"/>
  <c r="P754" i="5" s="1"/>
  <c r="N754" i="5"/>
  <c r="AT753" i="5"/>
  <c r="BB752" i="5"/>
  <c r="BM439" i="5"/>
  <c r="BN439" i="5" s="1"/>
  <c r="AT734" i="2"/>
  <c r="AU734" i="2" s="1"/>
  <c r="AY734" i="2" s="1"/>
  <c r="V694" i="2"/>
  <c r="AE814" i="5"/>
  <c r="AF814" i="5" s="1"/>
  <c r="AM813" i="5"/>
  <c r="AE694" i="2"/>
  <c r="S754" i="5" l="1"/>
  <c r="T754" i="5" s="1"/>
  <c r="W754" i="5" s="1"/>
  <c r="AV753" i="5"/>
  <c r="AW753" i="5" s="1"/>
  <c r="BO439" i="5"/>
  <c r="BP439" i="5" s="1"/>
  <c r="AZ734" i="2"/>
  <c r="AR735" i="2"/>
  <c r="W694" i="2"/>
  <c r="M695" i="2"/>
  <c r="N695" i="2"/>
  <c r="O695" i="2" s="1"/>
  <c r="AJ694" i="2"/>
  <c r="X754" i="5" l="1"/>
  <c r="O755" i="5"/>
  <c r="P755" i="5" s="1"/>
  <c r="N755" i="5"/>
  <c r="M62" i="9"/>
  <c r="BK440" i="5"/>
  <c r="K62" i="9"/>
  <c r="L62" i="9" s="1"/>
  <c r="BA753" i="5"/>
  <c r="AT735" i="2"/>
  <c r="AU735" i="2" s="1"/>
  <c r="R695" i="2"/>
  <c r="S695" i="2" s="1"/>
  <c r="AL814" i="5"/>
  <c r="AC815" i="5" s="1"/>
  <c r="AK694" i="2"/>
  <c r="AB695" i="2"/>
  <c r="AD695" i="2" s="1"/>
  <c r="S755" i="5" l="1"/>
  <c r="T755" i="5" s="1"/>
  <c r="AT754" i="5"/>
  <c r="BB753" i="5"/>
  <c r="BM440" i="5"/>
  <c r="BN440" i="5" s="1"/>
  <c r="AY735" i="2"/>
  <c r="V695" i="2"/>
  <c r="AE815" i="5"/>
  <c r="AF815" i="5" s="1"/>
  <c r="AM814" i="5"/>
  <c r="AE695" i="2"/>
  <c r="W755" i="5" l="1"/>
  <c r="AV754" i="5"/>
  <c r="AW754" i="5" s="1"/>
  <c r="BO440" i="5"/>
  <c r="BP440" i="5" s="1"/>
  <c r="AZ735" i="2"/>
  <c r="AR736" i="2"/>
  <c r="W695" i="2"/>
  <c r="M696" i="2"/>
  <c r="N696" i="2"/>
  <c r="O696" i="2" s="1"/>
  <c r="AL815" i="5"/>
  <c r="AC816" i="5" s="1"/>
  <c r="AJ695" i="2"/>
  <c r="BA754" i="5" l="1"/>
  <c r="BB754" i="5" s="1"/>
  <c r="N756" i="5"/>
  <c r="O756" i="5"/>
  <c r="P756" i="5" s="1"/>
  <c r="X755" i="5"/>
  <c r="BK441" i="5"/>
  <c r="AT736" i="2"/>
  <c r="AU736" i="2" s="1"/>
  <c r="AE816" i="5"/>
  <c r="AF816" i="5" s="1"/>
  <c r="R696" i="2"/>
  <c r="S696" i="2" s="1"/>
  <c r="AM815" i="5"/>
  <c r="AK695" i="2"/>
  <c r="AB696" i="2"/>
  <c r="AD696" i="2" s="1"/>
  <c r="AT755" i="5" l="1"/>
  <c r="AV755" i="5" s="1"/>
  <c r="AW755" i="5" s="1"/>
  <c r="S756" i="5"/>
  <c r="T756" i="5" s="1"/>
  <c r="BM441" i="5"/>
  <c r="BN441" i="5" s="1"/>
  <c r="AY736" i="2"/>
  <c r="V696" i="2"/>
  <c r="AL816" i="5"/>
  <c r="AC817" i="5" s="1"/>
  <c r="AE696" i="2"/>
  <c r="W756" i="5" l="1"/>
  <c r="BA755" i="5"/>
  <c r="BB755" i="5" s="1"/>
  <c r="BO441" i="5"/>
  <c r="BP441" i="5" s="1"/>
  <c r="AZ736" i="2"/>
  <c r="AR737" i="2"/>
  <c r="AE817" i="5"/>
  <c r="AF817" i="5" s="1"/>
  <c r="W696" i="2"/>
  <c r="N697" i="2"/>
  <c r="O697" i="2" s="1"/>
  <c r="M697" i="2"/>
  <c r="AM816" i="5"/>
  <c r="AJ696" i="2"/>
  <c r="AT756" i="5" l="1"/>
  <c r="AV756" i="5" s="1"/>
  <c r="AW756" i="5" s="1"/>
  <c r="O757" i="5"/>
  <c r="P757" i="5" s="1"/>
  <c r="N757" i="5"/>
  <c r="X756" i="5"/>
  <c r="BK442" i="5"/>
  <c r="AT737" i="2"/>
  <c r="R697" i="2"/>
  <c r="S697" i="2" s="1"/>
  <c r="AL817" i="5"/>
  <c r="AC818" i="5" s="1"/>
  <c r="AK696" i="2"/>
  <c r="AB697" i="2"/>
  <c r="AD697" i="2" s="1"/>
  <c r="S757" i="5" l="1"/>
  <c r="T757" i="5" s="1"/>
  <c r="BA756" i="5"/>
  <c r="BM442" i="5"/>
  <c r="BN442" i="5" s="1"/>
  <c r="BO442" i="5" s="1"/>
  <c r="BP442" i="5" s="1"/>
  <c r="AU737" i="2"/>
  <c r="AY737" i="2" s="1"/>
  <c r="V697" i="2"/>
  <c r="AE818" i="5"/>
  <c r="AF818" i="5" s="1"/>
  <c r="AM817" i="5"/>
  <c r="AE697" i="2"/>
  <c r="W757" i="5" l="1"/>
  <c r="X757" i="5" s="1"/>
  <c r="BK443" i="5"/>
  <c r="AT757" i="5"/>
  <c r="BB756" i="5"/>
  <c r="AR738" i="2"/>
  <c r="AZ737" i="2"/>
  <c r="W697" i="2"/>
  <c r="M698" i="2"/>
  <c r="N698" i="2"/>
  <c r="O698" i="2" s="1"/>
  <c r="AJ697" i="2"/>
  <c r="N758" i="5" l="1"/>
  <c r="O758" i="5"/>
  <c r="P758" i="5" s="1"/>
  <c r="AV757" i="5"/>
  <c r="AW757" i="5" s="1"/>
  <c r="BA757" i="5" s="1"/>
  <c r="BM443" i="5"/>
  <c r="BN443" i="5" s="1"/>
  <c r="BO443" i="5" s="1"/>
  <c r="BP443" i="5" s="1"/>
  <c r="AT738" i="2"/>
  <c r="AU738" i="2" s="1"/>
  <c r="R698" i="2"/>
  <c r="S698" i="2" s="1"/>
  <c r="AL818" i="5"/>
  <c r="AC819" i="5" s="1"/>
  <c r="AK697" i="2"/>
  <c r="AB698" i="2"/>
  <c r="AD698" i="2" s="1"/>
  <c r="S758" i="5" l="1"/>
  <c r="T758" i="5" s="1"/>
  <c r="W758" i="5" s="1"/>
  <c r="AT758" i="5"/>
  <c r="BB757" i="5"/>
  <c r="BK444" i="5"/>
  <c r="BM444" i="5" s="1"/>
  <c r="BN444" i="5" s="1"/>
  <c r="BO444" i="5" s="1"/>
  <c r="BP444" i="5" s="1"/>
  <c r="AY738" i="2"/>
  <c r="V698" i="2"/>
  <c r="AE819" i="5"/>
  <c r="AF819" i="5" s="1"/>
  <c r="AM818" i="5"/>
  <c r="AE698" i="2"/>
  <c r="N759" i="5" l="1"/>
  <c r="X758" i="5"/>
  <c r="O759" i="5"/>
  <c r="P759" i="5" s="1"/>
  <c r="BK445" i="5"/>
  <c r="AV758" i="5"/>
  <c r="AW758" i="5" s="1"/>
  <c r="BA758" i="5" s="1"/>
  <c r="AZ738" i="2"/>
  <c r="AR739" i="2"/>
  <c r="W698" i="2"/>
  <c r="N699" i="2"/>
  <c r="O699" i="2" s="1"/>
  <c r="M699" i="2"/>
  <c r="AL819" i="5"/>
  <c r="AC820" i="5" s="1"/>
  <c r="AJ698" i="2"/>
  <c r="S759" i="5" l="1"/>
  <c r="T759" i="5" s="1"/>
  <c r="AT759" i="5"/>
  <c r="BB758" i="5"/>
  <c r="BM445" i="5"/>
  <c r="BN445" i="5" s="1"/>
  <c r="AT739" i="2"/>
  <c r="AU739" i="2" s="1"/>
  <c r="AE820" i="5"/>
  <c r="AF820" i="5" s="1"/>
  <c r="R699" i="2"/>
  <c r="S699" i="2" s="1"/>
  <c r="AM819" i="5"/>
  <c r="AK698" i="2"/>
  <c r="AB699" i="2"/>
  <c r="AD699" i="2" s="1"/>
  <c r="W759" i="5" l="1"/>
  <c r="AV759" i="5"/>
  <c r="AW759" i="5" s="1"/>
  <c r="BO445" i="5"/>
  <c r="BP445" i="5" s="1"/>
  <c r="AY739" i="2"/>
  <c r="V699" i="2"/>
  <c r="AL820" i="5"/>
  <c r="AC821" i="5" s="1"/>
  <c r="AE699" i="2"/>
  <c r="N760" i="5" l="1"/>
  <c r="X759" i="5"/>
  <c r="O760" i="5"/>
  <c r="P760" i="5" s="1"/>
  <c r="BK446" i="5"/>
  <c r="BA759" i="5"/>
  <c r="AZ739" i="2"/>
  <c r="I87" i="7"/>
  <c r="AR740" i="2"/>
  <c r="I47" i="6"/>
  <c r="AE821" i="5"/>
  <c r="AF821" i="5" s="1"/>
  <c r="W699" i="2"/>
  <c r="M700" i="2"/>
  <c r="N700" i="2"/>
  <c r="O700" i="2" s="1"/>
  <c r="AM820" i="5"/>
  <c r="AJ699" i="2"/>
  <c r="S760" i="5" l="1"/>
  <c r="T760" i="5" s="1"/>
  <c r="BB759" i="5"/>
  <c r="AT760" i="5"/>
  <c r="BM446" i="5"/>
  <c r="BN446" i="5" s="1"/>
  <c r="AT740" i="2"/>
  <c r="R700" i="2"/>
  <c r="S700" i="2" s="1"/>
  <c r="AK699" i="2"/>
  <c r="AB700" i="2"/>
  <c r="AD700" i="2" s="1"/>
  <c r="W760" i="5" l="1"/>
  <c r="AV760" i="5"/>
  <c r="AW760" i="5" s="1"/>
  <c r="BA760" i="5" s="1"/>
  <c r="BO446" i="5"/>
  <c r="BP446" i="5" s="1"/>
  <c r="AU740" i="2"/>
  <c r="AY740" i="2" s="1"/>
  <c r="V700" i="2"/>
  <c r="AL821" i="5"/>
  <c r="AC822" i="5" s="1"/>
  <c r="AE700" i="2"/>
  <c r="X760" i="5" l="1"/>
  <c r="N761" i="5"/>
  <c r="O761" i="5"/>
  <c r="P761" i="5" s="1"/>
  <c r="AT761" i="5"/>
  <c r="BB760" i="5"/>
  <c r="BK447" i="5"/>
  <c r="AZ740" i="2"/>
  <c r="AR741" i="2"/>
  <c r="AE822" i="5"/>
  <c r="AF822" i="5" s="1"/>
  <c r="W700" i="2"/>
  <c r="M701" i="2"/>
  <c r="N701" i="2"/>
  <c r="O701" i="2" s="1"/>
  <c r="AM821" i="5"/>
  <c r="AJ700" i="2"/>
  <c r="S761" i="5" l="1"/>
  <c r="T761" i="5" s="1"/>
  <c r="W761" i="5" s="1"/>
  <c r="AV761" i="5"/>
  <c r="AW761" i="5" s="1"/>
  <c r="BA761" i="5" s="1"/>
  <c r="BM447" i="5"/>
  <c r="BN447" i="5" s="1"/>
  <c r="AT741" i="2"/>
  <c r="AU741" i="2" s="1"/>
  <c r="R701" i="2"/>
  <c r="S701" i="2" s="1"/>
  <c r="AL822" i="5"/>
  <c r="AC823" i="5" s="1"/>
  <c r="AK700" i="2"/>
  <c r="AB701" i="2"/>
  <c r="AD701" i="2" s="1"/>
  <c r="O762" i="5" l="1"/>
  <c r="P762" i="5" s="1"/>
  <c r="N762" i="5"/>
  <c r="X761" i="5"/>
  <c r="AT762" i="5"/>
  <c r="BB761" i="5"/>
  <c r="BO447" i="5"/>
  <c r="BP447" i="5" s="1"/>
  <c r="AY741" i="2"/>
  <c r="V701" i="2"/>
  <c r="AE823" i="5"/>
  <c r="AF823" i="5" s="1"/>
  <c r="AM822" i="5"/>
  <c r="AE701" i="2"/>
  <c r="S762" i="5" l="1"/>
  <c r="T762" i="5" s="1"/>
  <c r="AV762" i="5"/>
  <c r="AW762" i="5" s="1"/>
  <c r="BK448" i="5"/>
  <c r="BM448" i="5" s="1"/>
  <c r="BN448" i="5" s="1"/>
  <c r="BO448" i="5" s="1"/>
  <c r="BP448" i="5" s="1"/>
  <c r="AR742" i="2"/>
  <c r="AT742" i="2" s="1"/>
  <c r="AZ741" i="2"/>
  <c r="W701" i="2"/>
  <c r="N702" i="2"/>
  <c r="O702" i="2" s="1"/>
  <c r="M702" i="2"/>
  <c r="AJ701" i="2"/>
  <c r="W762" i="5" l="1"/>
  <c r="BK449" i="5"/>
  <c r="BA762" i="5"/>
  <c r="AU742" i="2"/>
  <c r="AY742" i="2" s="1"/>
  <c r="R702" i="2"/>
  <c r="S702" i="2" s="1"/>
  <c r="AL823" i="5"/>
  <c r="AC824" i="5" s="1"/>
  <c r="AK701" i="2"/>
  <c r="AB702" i="2"/>
  <c r="AD702" i="2" s="1"/>
  <c r="O763" i="5" l="1"/>
  <c r="P763" i="5" s="1"/>
  <c r="N763" i="5"/>
  <c r="X762" i="5"/>
  <c r="AT763" i="5"/>
  <c r="BB762" i="5"/>
  <c r="BM449" i="5"/>
  <c r="BN449" i="5" s="1"/>
  <c r="AR743" i="2"/>
  <c r="AZ742" i="2"/>
  <c r="V702" i="2"/>
  <c r="AE824" i="5"/>
  <c r="AF824" i="5" s="1"/>
  <c r="AM823" i="5"/>
  <c r="AE702" i="2"/>
  <c r="S763" i="5" l="1"/>
  <c r="T763" i="5" s="1"/>
  <c r="W763" i="5" s="1"/>
  <c r="AV763" i="5"/>
  <c r="AW763" i="5" s="1"/>
  <c r="BA763" i="5" s="1"/>
  <c r="BO449" i="5"/>
  <c r="BP449" i="5" s="1"/>
  <c r="AT743" i="2"/>
  <c r="AU743" i="2" s="1"/>
  <c r="W702" i="2"/>
  <c r="N703" i="2"/>
  <c r="O703" i="2" s="1"/>
  <c r="M703" i="2"/>
  <c r="AJ702" i="2"/>
  <c r="O764" i="5" l="1"/>
  <c r="P764" i="5" s="1"/>
  <c r="X763" i="5"/>
  <c r="N764" i="5"/>
  <c r="AT764" i="5"/>
  <c r="BB763" i="5"/>
  <c r="BK450" i="5"/>
  <c r="AY743" i="2"/>
  <c r="R703" i="2"/>
  <c r="S703" i="2" s="1"/>
  <c r="AL824" i="5"/>
  <c r="AC825" i="5" s="1"/>
  <c r="AK702" i="2"/>
  <c r="AB703" i="2"/>
  <c r="AD703" i="2" s="1"/>
  <c r="S764" i="5" l="1"/>
  <c r="T764" i="5" s="1"/>
  <c r="W764" i="5" s="1"/>
  <c r="BM450" i="5"/>
  <c r="BN450" i="5" s="1"/>
  <c r="AV764" i="5"/>
  <c r="AW764" i="5" s="1"/>
  <c r="AR744" i="2"/>
  <c r="AZ743" i="2"/>
  <c r="V703" i="2"/>
  <c r="AE825" i="5"/>
  <c r="AF825" i="5" s="1"/>
  <c r="AM824" i="5"/>
  <c r="AE703" i="2"/>
  <c r="X764" i="5" l="1"/>
  <c r="O765" i="5"/>
  <c r="P765" i="5" s="1"/>
  <c r="N765" i="5"/>
  <c r="BO450" i="5"/>
  <c r="BA764" i="5"/>
  <c r="AT744" i="2"/>
  <c r="AU744" i="2" s="1"/>
  <c r="H84" i="7"/>
  <c r="N704" i="2"/>
  <c r="O704" i="2" s="1"/>
  <c r="W703" i="2"/>
  <c r="M704" i="2"/>
  <c r="AJ703" i="2"/>
  <c r="BK451" i="5" l="1"/>
  <c r="BM451" i="5" s="1"/>
  <c r="BN451" i="5" s="1"/>
  <c r="BP450" i="5"/>
  <c r="S765" i="5"/>
  <c r="T765" i="5" s="1"/>
  <c r="AT765" i="5"/>
  <c r="BB764" i="5"/>
  <c r="AY744" i="2"/>
  <c r="R704" i="2"/>
  <c r="S704" i="2" s="1"/>
  <c r="J84" i="7"/>
  <c r="L84" i="7" s="1"/>
  <c r="AL825" i="5"/>
  <c r="AC826" i="5" s="1"/>
  <c r="AK703" i="2"/>
  <c r="M84" i="7" s="1"/>
  <c r="AB704" i="2"/>
  <c r="AD704" i="2" s="1"/>
  <c r="W765" i="5" l="1"/>
  <c r="AV765" i="5"/>
  <c r="AW765" i="5" s="1"/>
  <c r="BA765" i="5" s="1"/>
  <c r="BO451" i="5"/>
  <c r="BP451" i="5" s="1"/>
  <c r="AZ744" i="2"/>
  <c r="AR745" i="2"/>
  <c r="V704" i="2"/>
  <c r="W704" i="2" s="1"/>
  <c r="AE826" i="5"/>
  <c r="AF826" i="5" s="1"/>
  <c r="AM825" i="5"/>
  <c r="AE704" i="2"/>
  <c r="X765" i="5" l="1"/>
  <c r="O766" i="5"/>
  <c r="P766" i="5" s="1"/>
  <c r="N766" i="5"/>
  <c r="BB765" i="5"/>
  <c r="AT766" i="5"/>
  <c r="M63" i="9"/>
  <c r="K63" i="9"/>
  <c r="L63" i="9" s="1"/>
  <c r="BK452" i="5"/>
  <c r="AT745" i="2"/>
  <c r="AU745" i="2" s="1"/>
  <c r="M705" i="2"/>
  <c r="N705" i="2"/>
  <c r="O705" i="2" s="1"/>
  <c r="AJ704" i="2"/>
  <c r="S766" i="5" l="1"/>
  <c r="T766" i="5" s="1"/>
  <c r="W766" i="5" s="1"/>
  <c r="BM452" i="5"/>
  <c r="BN452" i="5" s="1"/>
  <c r="BO452" i="5" s="1"/>
  <c r="BP452" i="5" s="1"/>
  <c r="AV766" i="5"/>
  <c r="AW766" i="5" s="1"/>
  <c r="AY745" i="2"/>
  <c r="R705" i="2"/>
  <c r="S705" i="2" s="1"/>
  <c r="V705" i="2" s="1"/>
  <c r="AL826" i="5"/>
  <c r="AC827" i="5" s="1"/>
  <c r="AK704" i="2"/>
  <c r="AB705" i="2"/>
  <c r="AD705" i="2" s="1"/>
  <c r="X766" i="5" l="1"/>
  <c r="O767" i="5"/>
  <c r="P767" i="5" s="1"/>
  <c r="N767" i="5"/>
  <c r="BA766" i="5"/>
  <c r="BB766" i="5" s="1"/>
  <c r="BK453" i="5"/>
  <c r="AR746" i="2"/>
  <c r="AZ745" i="2"/>
  <c r="AE827" i="5"/>
  <c r="AF827" i="5" s="1"/>
  <c r="W705" i="2"/>
  <c r="AM826" i="5"/>
  <c r="N706" i="2"/>
  <c r="O706" i="2" s="1"/>
  <c r="M706" i="2"/>
  <c r="AE705" i="2"/>
  <c r="AT767" i="5" l="1"/>
  <c r="AV767" i="5" s="1"/>
  <c r="AW767" i="5" s="1"/>
  <c r="S767" i="5"/>
  <c r="T767" i="5" s="1"/>
  <c r="BM453" i="5"/>
  <c r="BN453" i="5" s="1"/>
  <c r="AT746" i="2"/>
  <c r="AU746" i="2" s="1"/>
  <c r="R706" i="2"/>
  <c r="S706" i="2" s="1"/>
  <c r="AJ705" i="2"/>
  <c r="W767" i="5" l="1"/>
  <c r="BA767" i="5"/>
  <c r="BO453" i="5"/>
  <c r="BP453" i="5" s="1"/>
  <c r="AY746" i="2"/>
  <c r="V706" i="2"/>
  <c r="AL827" i="5"/>
  <c r="AC828" i="5" s="1"/>
  <c r="AK705" i="2"/>
  <c r="AB706" i="2"/>
  <c r="AD706" i="2" s="1"/>
  <c r="O768" i="5" l="1"/>
  <c r="P768" i="5" s="1"/>
  <c r="X767" i="5"/>
  <c r="N768" i="5"/>
  <c r="BK454" i="5"/>
  <c r="AT768" i="5"/>
  <c r="BB767" i="5"/>
  <c r="AZ746" i="2"/>
  <c r="AR747" i="2"/>
  <c r="AE828" i="5"/>
  <c r="AF828" i="5" s="1"/>
  <c r="W706" i="2"/>
  <c r="AM827" i="5"/>
  <c r="N707" i="2"/>
  <c r="O707" i="2" s="1"/>
  <c r="M707" i="2"/>
  <c r="AE706" i="2"/>
  <c r="S768" i="5" l="1"/>
  <c r="T768" i="5" s="1"/>
  <c r="BM454" i="5"/>
  <c r="BN454" i="5" s="1"/>
  <c r="AV768" i="5"/>
  <c r="AW768" i="5" s="1"/>
  <c r="AT747" i="2"/>
  <c r="AU747" i="2" s="1"/>
  <c r="AL828" i="5"/>
  <c r="AC829" i="5" s="1"/>
  <c r="R707" i="2"/>
  <c r="S707" i="2" s="1"/>
  <c r="AJ706" i="2"/>
  <c r="BA768" i="5" l="1"/>
  <c r="W768" i="5"/>
  <c r="BO454" i="5"/>
  <c r="BP454" i="5" s="1"/>
  <c r="AY747" i="2"/>
  <c r="V707" i="2"/>
  <c r="AE829" i="5"/>
  <c r="AF829" i="5" s="1"/>
  <c r="AM828" i="5"/>
  <c r="AK706" i="2"/>
  <c r="AB707" i="2"/>
  <c r="AD707" i="2" s="1"/>
  <c r="AT769" i="5" l="1"/>
  <c r="AV769" i="5" s="1"/>
  <c r="AW769" i="5" s="1"/>
  <c r="BB768" i="5"/>
  <c r="X768" i="5"/>
  <c r="N769" i="5"/>
  <c r="O769" i="5"/>
  <c r="P769" i="5" s="1"/>
  <c r="BK455" i="5"/>
  <c r="AR748" i="2"/>
  <c r="AZ747" i="2"/>
  <c r="W707" i="2"/>
  <c r="M708" i="2"/>
  <c r="N708" i="2"/>
  <c r="O708" i="2" s="1"/>
  <c r="AE707" i="2"/>
  <c r="BA769" i="5" l="1"/>
  <c r="S769" i="5"/>
  <c r="T769" i="5" s="1"/>
  <c r="W769" i="5" s="1"/>
  <c r="BM455" i="5"/>
  <c r="BN455" i="5" s="1"/>
  <c r="AT748" i="2"/>
  <c r="AU748" i="2" s="1"/>
  <c r="AL829" i="5"/>
  <c r="AC830" i="5" s="1"/>
  <c r="R708" i="2"/>
  <c r="S708" i="2" s="1"/>
  <c r="AJ707" i="2"/>
  <c r="BB769" i="5" l="1"/>
  <c r="AT770" i="5"/>
  <c r="AV770" i="5" s="1"/>
  <c r="AW770" i="5" s="1"/>
  <c r="N770" i="5"/>
  <c r="X769" i="5"/>
  <c r="O770" i="5"/>
  <c r="P770" i="5" s="1"/>
  <c r="BO455" i="5"/>
  <c r="BP455" i="5" s="1"/>
  <c r="AY748" i="2"/>
  <c r="V708" i="2"/>
  <c r="AE830" i="5"/>
  <c r="AF830" i="5" s="1"/>
  <c r="AM829" i="5"/>
  <c r="AK707" i="2"/>
  <c r="AB708" i="2"/>
  <c r="AD708" i="2" s="1"/>
  <c r="S770" i="5" l="1"/>
  <c r="T770" i="5" s="1"/>
  <c r="BK456" i="5"/>
  <c r="BA770" i="5"/>
  <c r="AZ748" i="2"/>
  <c r="AR749" i="2"/>
  <c r="W708" i="2"/>
  <c r="M709" i="2"/>
  <c r="N709" i="2"/>
  <c r="O709" i="2" s="1"/>
  <c r="AE708" i="2"/>
  <c r="W770" i="5" l="1"/>
  <c r="AT771" i="5"/>
  <c r="BB770" i="5"/>
  <c r="BM456" i="5"/>
  <c r="BN456" i="5" s="1"/>
  <c r="AT749" i="2"/>
  <c r="R709" i="2"/>
  <c r="S709" i="2" s="1"/>
  <c r="AJ708" i="2"/>
  <c r="X770" i="5" l="1"/>
  <c r="N771" i="5"/>
  <c r="O771" i="5"/>
  <c r="P771" i="5" s="1"/>
  <c r="BO456" i="5"/>
  <c r="BP456" i="5" s="1"/>
  <c r="AV771" i="5"/>
  <c r="AW771" i="5" s="1"/>
  <c r="BA771" i="5" s="1"/>
  <c r="AU749" i="2"/>
  <c r="AY749" i="2" s="1"/>
  <c r="V709" i="2"/>
  <c r="AL830" i="5"/>
  <c r="AC831" i="5" s="1"/>
  <c r="AK708" i="2"/>
  <c r="AB709" i="2"/>
  <c r="AD709" i="2" s="1"/>
  <c r="S771" i="5" l="1"/>
  <c r="T771" i="5" s="1"/>
  <c r="BB771" i="5"/>
  <c r="AT772" i="5"/>
  <c r="BK457" i="5"/>
  <c r="AZ749" i="2"/>
  <c r="AR750" i="2"/>
  <c r="AE831" i="5"/>
  <c r="AF831" i="5" s="1"/>
  <c r="W709" i="2"/>
  <c r="AM830" i="5"/>
  <c r="M710" i="2"/>
  <c r="N710" i="2"/>
  <c r="O710" i="2" s="1"/>
  <c r="W771" i="5" l="1"/>
  <c r="BM457" i="5"/>
  <c r="BN457" i="5" s="1"/>
  <c r="AV772" i="5"/>
  <c r="AW772" i="5" s="1"/>
  <c r="AT750" i="2"/>
  <c r="AL831" i="5"/>
  <c r="AC832" i="5" s="1"/>
  <c r="R710" i="2"/>
  <c r="S710" i="2" s="1"/>
  <c r="AE709" i="2"/>
  <c r="AJ709" i="2" s="1"/>
  <c r="O772" i="5" l="1"/>
  <c r="P772" i="5" s="1"/>
  <c r="X771" i="5"/>
  <c r="N772" i="5"/>
  <c r="BA772" i="5"/>
  <c r="BO457" i="5"/>
  <c r="BP457" i="5" s="1"/>
  <c r="AU750" i="2"/>
  <c r="AY750" i="2" s="1"/>
  <c r="V710" i="2"/>
  <c r="AE832" i="5"/>
  <c r="AF832" i="5" s="1"/>
  <c r="AM831" i="5"/>
  <c r="AK709" i="2"/>
  <c r="AB710" i="2"/>
  <c r="AD710" i="2" s="1"/>
  <c r="S772" i="5" l="1"/>
  <c r="T772" i="5" s="1"/>
  <c r="W772" i="5" s="1"/>
  <c r="AT773" i="5"/>
  <c r="BB772" i="5"/>
  <c r="BK458" i="5"/>
  <c r="AZ750" i="2"/>
  <c r="AR751" i="2"/>
  <c r="W710" i="2"/>
  <c r="N711" i="2"/>
  <c r="O711" i="2" s="1"/>
  <c r="M711" i="2"/>
  <c r="AE710" i="2"/>
  <c r="AJ710" i="2" s="1"/>
  <c r="O773" i="5" l="1"/>
  <c r="P773" i="5" s="1"/>
  <c r="N773" i="5"/>
  <c r="X772" i="5"/>
  <c r="BM458" i="5"/>
  <c r="BN458" i="5" s="1"/>
  <c r="BO458" i="5" s="1"/>
  <c r="BP458" i="5" s="1"/>
  <c r="AV773" i="5"/>
  <c r="AW773" i="5" s="1"/>
  <c r="AT751" i="2"/>
  <c r="AU751" i="2" s="1"/>
  <c r="AL832" i="5"/>
  <c r="AC833" i="5" s="1"/>
  <c r="R711" i="2"/>
  <c r="S711" i="2" s="1"/>
  <c r="AK710" i="2"/>
  <c r="AB711" i="2"/>
  <c r="AD711" i="2" s="1"/>
  <c r="BA773" i="5" l="1"/>
  <c r="BB773" i="5" s="1"/>
  <c r="S773" i="5"/>
  <c r="T773" i="5" s="1"/>
  <c r="W773" i="5" s="1"/>
  <c r="BK459" i="5"/>
  <c r="AY751" i="2"/>
  <c r="V711" i="2"/>
  <c r="AE833" i="5"/>
  <c r="AF833" i="5" s="1"/>
  <c r="AM832" i="5"/>
  <c r="AE711" i="2"/>
  <c r="AT774" i="5" l="1"/>
  <c r="AV774" i="5" s="1"/>
  <c r="AW774" i="5" s="1"/>
  <c r="O774" i="5"/>
  <c r="P774" i="5" s="1"/>
  <c r="N774" i="5"/>
  <c r="X773" i="5"/>
  <c r="BM459" i="5"/>
  <c r="BN459" i="5" s="1"/>
  <c r="AZ751" i="2"/>
  <c r="AR752" i="2"/>
  <c r="I88" i="7"/>
  <c r="W711" i="2"/>
  <c r="M712" i="2"/>
  <c r="N712" i="2"/>
  <c r="O712" i="2" s="1"/>
  <c r="AJ711" i="2"/>
  <c r="S774" i="5" l="1"/>
  <c r="T774" i="5" s="1"/>
  <c r="BO459" i="5"/>
  <c r="BP459" i="5" s="1"/>
  <c r="BA774" i="5"/>
  <c r="AT752" i="2"/>
  <c r="AU752" i="2" s="1"/>
  <c r="R712" i="2"/>
  <c r="S712" i="2" s="1"/>
  <c r="AL833" i="5"/>
  <c r="AC834" i="5" s="1"/>
  <c r="AK711" i="2"/>
  <c r="AB712" i="2"/>
  <c r="AD712" i="2" s="1"/>
  <c r="W774" i="5" l="1"/>
  <c r="BB774" i="5"/>
  <c r="AT775" i="5"/>
  <c r="BK460" i="5"/>
  <c r="BM460" i="5" s="1"/>
  <c r="BN460" i="5" s="1"/>
  <c r="BO460" i="5" s="1"/>
  <c r="BP460" i="5" s="1"/>
  <c r="AY752" i="2"/>
  <c r="AR753" i="2" s="1"/>
  <c r="V712" i="2"/>
  <c r="AE834" i="5"/>
  <c r="AF834" i="5" s="1"/>
  <c r="AM833" i="5"/>
  <c r="AE712" i="2"/>
  <c r="X774" i="5" l="1"/>
  <c r="O775" i="5"/>
  <c r="P775" i="5" s="1"/>
  <c r="N775" i="5"/>
  <c r="BK461" i="5"/>
  <c r="BM461" i="5" s="1"/>
  <c r="BN461" i="5" s="1"/>
  <c r="BO461" i="5" s="1"/>
  <c r="BP461" i="5" s="1"/>
  <c r="AV775" i="5"/>
  <c r="AW775" i="5" s="1"/>
  <c r="AZ752" i="2"/>
  <c r="AT753" i="2"/>
  <c r="W712" i="2"/>
  <c r="M713" i="2"/>
  <c r="N713" i="2"/>
  <c r="O713" i="2" s="1"/>
  <c r="AJ712" i="2"/>
  <c r="BA775" i="5" l="1"/>
  <c r="S775" i="5"/>
  <c r="T775" i="5" s="1"/>
  <c r="W775" i="5" s="1"/>
  <c r="BK462" i="5"/>
  <c r="BM462" i="5" s="1"/>
  <c r="BN462" i="5" s="1"/>
  <c r="BO462" i="5" s="1"/>
  <c r="BP462" i="5" s="1"/>
  <c r="AU753" i="2"/>
  <c r="AY753" i="2" s="1"/>
  <c r="AL834" i="5"/>
  <c r="AC835" i="5" s="1"/>
  <c r="R713" i="2"/>
  <c r="S713" i="2" s="1"/>
  <c r="AK712" i="2"/>
  <c r="AB713" i="2"/>
  <c r="AD713" i="2" s="1"/>
  <c r="BB775" i="5" l="1"/>
  <c r="AT776" i="5"/>
  <c r="AV776" i="5" s="1"/>
  <c r="AW776" i="5" s="1"/>
  <c r="BA776" i="5" s="1"/>
  <c r="O776" i="5"/>
  <c r="P776" i="5" s="1"/>
  <c r="N776" i="5"/>
  <c r="X775" i="5"/>
  <c r="BK463" i="5"/>
  <c r="BM463" i="5" s="1"/>
  <c r="BN463" i="5" s="1"/>
  <c r="BO463" i="5" s="1"/>
  <c r="BP463" i="5" s="1"/>
  <c r="AR754" i="2"/>
  <c r="AZ753" i="2"/>
  <c r="V713" i="2"/>
  <c r="AE835" i="5"/>
  <c r="AF835" i="5" s="1"/>
  <c r="AM834" i="5"/>
  <c r="AE713" i="2"/>
  <c r="S776" i="5" l="1"/>
  <c r="T776" i="5" s="1"/>
  <c r="AT777" i="5"/>
  <c r="BB776" i="5"/>
  <c r="BK464" i="5"/>
  <c r="BM464" i="5" s="1"/>
  <c r="BN464" i="5" s="1"/>
  <c r="BO464" i="5" s="1"/>
  <c r="BP464" i="5" s="1"/>
  <c r="M64" i="9"/>
  <c r="K64" i="9"/>
  <c r="L64" i="9" s="1"/>
  <c r="AT754" i="2"/>
  <c r="W713" i="2"/>
  <c r="AL835" i="5"/>
  <c r="AC836" i="5" s="1"/>
  <c r="M714" i="2"/>
  <c r="N714" i="2"/>
  <c r="O714" i="2" s="1"/>
  <c r="AJ713" i="2"/>
  <c r="W776" i="5" l="1"/>
  <c r="AV777" i="5"/>
  <c r="AW777" i="5" s="1"/>
  <c r="BA777" i="5" s="1"/>
  <c r="BK465" i="5"/>
  <c r="BM465" i="5" s="1"/>
  <c r="BN465" i="5" s="1"/>
  <c r="BO465" i="5" s="1"/>
  <c r="BP465" i="5" s="1"/>
  <c r="AU754" i="2"/>
  <c r="AY754" i="2" s="1"/>
  <c r="AE836" i="5"/>
  <c r="AF836" i="5" s="1"/>
  <c r="AM835" i="5"/>
  <c r="R714" i="2"/>
  <c r="S714" i="2" s="1"/>
  <c r="AK713" i="2"/>
  <c r="AB714" i="2"/>
  <c r="AD714" i="2" s="1"/>
  <c r="X776" i="5" l="1"/>
  <c r="O777" i="5"/>
  <c r="P777" i="5" s="1"/>
  <c r="N777" i="5"/>
  <c r="AT778" i="5"/>
  <c r="BB777" i="5"/>
  <c r="BK466" i="5"/>
  <c r="BM466" i="5" s="1"/>
  <c r="BN466" i="5" s="1"/>
  <c r="BO466" i="5" s="1"/>
  <c r="BP466" i="5" s="1"/>
  <c r="AZ754" i="2"/>
  <c r="AR755" i="2"/>
  <c r="V714" i="2"/>
  <c r="AL836" i="5"/>
  <c r="AC837" i="5" s="1"/>
  <c r="S777" i="5" l="1"/>
  <c r="T777" i="5" s="1"/>
  <c r="BK467" i="5"/>
  <c r="AV778" i="5"/>
  <c r="AW778" i="5" s="1"/>
  <c r="AT755" i="2"/>
  <c r="AE837" i="5"/>
  <c r="AF837" i="5" s="1"/>
  <c r="W714" i="2"/>
  <c r="N715" i="2"/>
  <c r="O715" i="2" s="1"/>
  <c r="M715" i="2"/>
  <c r="AM836" i="5"/>
  <c r="AE714" i="2"/>
  <c r="AJ714" i="2" s="1"/>
  <c r="BA778" i="5" l="1"/>
  <c r="BB778" i="5" s="1"/>
  <c r="W777" i="5"/>
  <c r="BM467" i="5"/>
  <c r="BN467" i="5" s="1"/>
  <c r="BO467" i="5" s="1"/>
  <c r="BP467" i="5" s="1"/>
  <c r="AU755" i="2"/>
  <c r="AY755" i="2" s="1"/>
  <c r="R715" i="2"/>
  <c r="S715" i="2" s="1"/>
  <c r="AK714" i="2"/>
  <c r="AB715" i="2"/>
  <c r="AD715" i="2" s="1"/>
  <c r="AT779" i="5" l="1"/>
  <c r="AV779" i="5" s="1"/>
  <c r="AW779" i="5" s="1"/>
  <c r="O778" i="5"/>
  <c r="P778" i="5" s="1"/>
  <c r="N778" i="5"/>
  <c r="X777" i="5"/>
  <c r="BK468" i="5"/>
  <c r="AR756" i="2"/>
  <c r="AZ755" i="2"/>
  <c r="V715" i="2"/>
  <c r="AL837" i="5"/>
  <c r="AC838" i="5" s="1"/>
  <c r="AE715" i="2"/>
  <c r="AJ715" i="2" s="1"/>
  <c r="S778" i="5" l="1"/>
  <c r="T778" i="5" s="1"/>
  <c r="BM468" i="5"/>
  <c r="BN468" i="5" s="1"/>
  <c r="BA779" i="5"/>
  <c r="AT756" i="2"/>
  <c r="AE838" i="5"/>
  <c r="AF838" i="5" s="1"/>
  <c r="J85" i="7"/>
  <c r="H85" i="7"/>
  <c r="W715" i="2"/>
  <c r="M716" i="2"/>
  <c r="N716" i="2"/>
  <c r="O716" i="2" s="1"/>
  <c r="AM837" i="5"/>
  <c r="AK715" i="2"/>
  <c r="AB716" i="2"/>
  <c r="AD716" i="2" s="1"/>
  <c r="W778" i="5" l="1"/>
  <c r="BB779" i="5"/>
  <c r="AT780" i="5"/>
  <c r="BO468" i="5"/>
  <c r="BP468" i="5" s="1"/>
  <c r="AU756" i="2"/>
  <c r="AY756" i="2" s="1"/>
  <c r="M85" i="7"/>
  <c r="L85" i="7"/>
  <c r="R716" i="2"/>
  <c r="S716" i="2" s="1"/>
  <c r="AE716" i="2"/>
  <c r="N779" i="5" l="1"/>
  <c r="X778" i="5"/>
  <c r="O779" i="5"/>
  <c r="P779" i="5" s="1"/>
  <c r="AV780" i="5"/>
  <c r="AW780" i="5" s="1"/>
  <c r="BA780" i="5" s="1"/>
  <c r="BK469" i="5"/>
  <c r="AZ756" i="2"/>
  <c r="AR757" i="2"/>
  <c r="V716" i="2"/>
  <c r="AL838" i="5"/>
  <c r="AC839" i="5" s="1"/>
  <c r="AJ716" i="2"/>
  <c r="S779" i="5" l="1"/>
  <c r="T779" i="5" s="1"/>
  <c r="BB780" i="5"/>
  <c r="AT781" i="5"/>
  <c r="BM469" i="5"/>
  <c r="BN469" i="5" s="1"/>
  <c r="AT757" i="2"/>
  <c r="AE839" i="5"/>
  <c r="AF839" i="5" s="1"/>
  <c r="W716" i="2"/>
  <c r="N717" i="2"/>
  <c r="O717" i="2" s="1"/>
  <c r="M717" i="2"/>
  <c r="AM838" i="5"/>
  <c r="AK716" i="2"/>
  <c r="AB717" i="2"/>
  <c r="AD717" i="2" s="1"/>
  <c r="W779" i="5" l="1"/>
  <c r="AV781" i="5"/>
  <c r="AW781" i="5" s="1"/>
  <c r="BA781" i="5" s="1"/>
  <c r="BO469" i="5"/>
  <c r="BP469" i="5" s="1"/>
  <c r="AU757" i="2"/>
  <c r="AY757" i="2" s="1"/>
  <c r="R717" i="2"/>
  <c r="S717" i="2" s="1"/>
  <c r="AE717" i="2"/>
  <c r="X779" i="5" l="1"/>
  <c r="O780" i="5"/>
  <c r="P780" i="5" s="1"/>
  <c r="N780" i="5"/>
  <c r="AT782" i="5"/>
  <c r="BB781" i="5"/>
  <c r="BK470" i="5"/>
  <c r="AZ757" i="2"/>
  <c r="AR758" i="2"/>
  <c r="V717" i="2"/>
  <c r="M718" i="2" s="1"/>
  <c r="AJ717" i="2"/>
  <c r="S780" i="5" l="1"/>
  <c r="T780" i="5" s="1"/>
  <c r="W780" i="5" s="1"/>
  <c r="AV782" i="5"/>
  <c r="AW782" i="5" s="1"/>
  <c r="BM470" i="5"/>
  <c r="BN470" i="5" s="1"/>
  <c r="AT758" i="2"/>
  <c r="N718" i="2"/>
  <c r="O718" i="2" s="1"/>
  <c r="R718" i="2" s="1"/>
  <c r="S718" i="2" s="1"/>
  <c r="W717" i="2"/>
  <c r="AL839" i="5"/>
  <c r="AC840" i="5" s="1"/>
  <c r="AK717" i="2"/>
  <c r="AB718" i="2"/>
  <c r="AD718" i="2" s="1"/>
  <c r="O781" i="5" l="1"/>
  <c r="P781" i="5" s="1"/>
  <c r="N781" i="5"/>
  <c r="X780" i="5"/>
  <c r="BO470" i="5"/>
  <c r="BP470" i="5" s="1"/>
  <c r="BA782" i="5"/>
  <c r="AU758" i="2"/>
  <c r="AY758" i="2" s="1"/>
  <c r="V718" i="2"/>
  <c r="N719" i="2" s="1"/>
  <c r="O719" i="2" s="1"/>
  <c r="AE840" i="5"/>
  <c r="AF840" i="5" s="1"/>
  <c r="AM839" i="5"/>
  <c r="AE718" i="2"/>
  <c r="S781" i="5" l="1"/>
  <c r="T781" i="5" s="1"/>
  <c r="AT783" i="5"/>
  <c r="BB782" i="5"/>
  <c r="BK471" i="5"/>
  <c r="AR759" i="2"/>
  <c r="AZ758" i="2"/>
  <c r="M719" i="2"/>
  <c r="R719" i="2" s="1"/>
  <c r="S719" i="2" s="1"/>
  <c r="W718" i="2"/>
  <c r="AL840" i="5"/>
  <c r="AC841" i="5" s="1"/>
  <c r="AJ718" i="2"/>
  <c r="W781" i="5" l="1"/>
  <c r="AV783" i="5"/>
  <c r="AW783" i="5" s="1"/>
  <c r="BM471" i="5"/>
  <c r="BN471" i="5" s="1"/>
  <c r="BO471" i="5" s="1"/>
  <c r="BP471" i="5" s="1"/>
  <c r="AT759" i="2"/>
  <c r="V719" i="2"/>
  <c r="AE841" i="5"/>
  <c r="AF841" i="5" s="1"/>
  <c r="AM840" i="5"/>
  <c r="AK718" i="2"/>
  <c r="AB719" i="2"/>
  <c r="AD719" i="2" s="1"/>
  <c r="X781" i="5" l="1"/>
  <c r="N782" i="5"/>
  <c r="O782" i="5"/>
  <c r="P782" i="5" s="1"/>
  <c r="BK472" i="5"/>
  <c r="BA783" i="5"/>
  <c r="AU759" i="2"/>
  <c r="AY759" i="2" s="1"/>
  <c r="W719" i="2"/>
  <c r="AL841" i="5"/>
  <c r="AC842" i="5" s="1"/>
  <c r="N720" i="2"/>
  <c r="O720" i="2" s="1"/>
  <c r="M720" i="2"/>
  <c r="AE719" i="2"/>
  <c r="S782" i="5" l="1"/>
  <c r="T782" i="5" s="1"/>
  <c r="AT784" i="5"/>
  <c r="BB783" i="5"/>
  <c r="BM472" i="5"/>
  <c r="BN472" i="5" s="1"/>
  <c r="AZ759" i="2"/>
  <c r="AR760" i="2"/>
  <c r="AE842" i="5"/>
  <c r="AF842" i="5" s="1"/>
  <c r="AM841" i="5"/>
  <c r="R720" i="2"/>
  <c r="S720" i="2" s="1"/>
  <c r="AJ719" i="2"/>
  <c r="W782" i="5" l="1"/>
  <c r="AV784" i="5"/>
  <c r="AW784" i="5" s="1"/>
  <c r="BO472" i="5"/>
  <c r="BP472" i="5" s="1"/>
  <c r="AT760" i="2"/>
  <c r="V720" i="2"/>
  <c r="AL842" i="5"/>
  <c r="AC843" i="5" s="1"/>
  <c r="AK719" i="2"/>
  <c r="AB720" i="2"/>
  <c r="AD720" i="2" s="1"/>
  <c r="O783" i="5" l="1"/>
  <c r="P783" i="5" s="1"/>
  <c r="N783" i="5"/>
  <c r="X782" i="5"/>
  <c r="BK473" i="5"/>
  <c r="BA784" i="5"/>
  <c r="AU760" i="2"/>
  <c r="AY760" i="2" s="1"/>
  <c r="AE843" i="5"/>
  <c r="AF843" i="5" s="1"/>
  <c r="W720" i="2"/>
  <c r="AM842" i="5"/>
  <c r="N721" i="2"/>
  <c r="O721" i="2" s="1"/>
  <c r="M721" i="2"/>
  <c r="S783" i="5" l="1"/>
  <c r="T783" i="5" s="1"/>
  <c r="BM473" i="5"/>
  <c r="BN473" i="5" s="1"/>
  <c r="AT785" i="5"/>
  <c r="BB784" i="5"/>
  <c r="AZ760" i="2"/>
  <c r="AR761" i="2"/>
  <c r="R721" i="2"/>
  <c r="S721" i="2" s="1"/>
  <c r="AE720" i="2"/>
  <c r="AJ720" i="2" s="1"/>
  <c r="BO473" i="5" l="1"/>
  <c r="W783" i="5"/>
  <c r="AV785" i="5"/>
  <c r="AW785" i="5" s="1"/>
  <c r="AT761" i="2"/>
  <c r="AU761" i="2" s="1"/>
  <c r="V721" i="2"/>
  <c r="AB721" i="2"/>
  <c r="AD721" i="2" s="1"/>
  <c r="AK720" i="2"/>
  <c r="BK474" i="5" l="1"/>
  <c r="BM474" i="5" s="1"/>
  <c r="BN474" i="5" s="1"/>
  <c r="BP473" i="5"/>
  <c r="N784" i="5"/>
  <c r="X783" i="5"/>
  <c r="O784" i="5"/>
  <c r="P784" i="5" s="1"/>
  <c r="BA785" i="5"/>
  <c r="AY761" i="2"/>
  <c r="W721" i="2"/>
  <c r="AL843" i="5"/>
  <c r="AC844" i="5" s="1"/>
  <c r="N722" i="2"/>
  <c r="O722" i="2" s="1"/>
  <c r="M722" i="2"/>
  <c r="AE721" i="2"/>
  <c r="AJ721" i="2" s="1"/>
  <c r="S784" i="5" l="1"/>
  <c r="T784" i="5" s="1"/>
  <c r="AT786" i="5"/>
  <c r="BB785" i="5"/>
  <c r="BO474" i="5"/>
  <c r="BP474" i="5" s="1"/>
  <c r="AR762" i="2"/>
  <c r="AZ761" i="2"/>
  <c r="AE844" i="5"/>
  <c r="AF844" i="5" s="1"/>
  <c r="AM843" i="5"/>
  <c r="R722" i="2"/>
  <c r="S722" i="2" s="1"/>
  <c r="AK721" i="2"/>
  <c r="AB722" i="2"/>
  <c r="AD722" i="2" s="1"/>
  <c r="W784" i="5" l="1"/>
  <c r="BK475" i="5"/>
  <c r="AV786" i="5"/>
  <c r="AW786" i="5" s="1"/>
  <c r="AT762" i="2"/>
  <c r="AU762" i="2" s="1"/>
  <c r="V722" i="2"/>
  <c r="AL844" i="5"/>
  <c r="AC845" i="5" s="1"/>
  <c r="AE722" i="2"/>
  <c r="N785" i="5" l="1"/>
  <c r="X784" i="5"/>
  <c r="O785" i="5"/>
  <c r="P785" i="5" s="1"/>
  <c r="BA786" i="5"/>
  <c r="BM475" i="5"/>
  <c r="BN475" i="5" s="1"/>
  <c r="AY762" i="2"/>
  <c r="AE845" i="5"/>
  <c r="AF845" i="5" s="1"/>
  <c r="W722" i="2"/>
  <c r="AM844" i="5"/>
  <c r="M723" i="2"/>
  <c r="N723" i="2"/>
  <c r="O723" i="2" s="1"/>
  <c r="AJ722" i="2"/>
  <c r="S785" i="5" l="1"/>
  <c r="T785" i="5" s="1"/>
  <c r="BO475" i="5"/>
  <c r="BP475" i="5" s="1"/>
  <c r="AT787" i="5"/>
  <c r="BB786" i="5"/>
  <c r="AR763" i="2"/>
  <c r="AT763" i="2" s="1"/>
  <c r="AZ762" i="2"/>
  <c r="R723" i="2"/>
  <c r="S723" i="2" s="1"/>
  <c r="AK722" i="2"/>
  <c r="AB723" i="2"/>
  <c r="AD723" i="2" s="1"/>
  <c r="W785" i="5" l="1"/>
  <c r="AV787" i="5"/>
  <c r="AW787" i="5" s="1"/>
  <c r="BK476" i="5"/>
  <c r="M65" i="9"/>
  <c r="K65" i="9"/>
  <c r="L65" i="9" s="1"/>
  <c r="AU763" i="2"/>
  <c r="AY763" i="2" s="1"/>
  <c r="V723" i="2"/>
  <c r="AL845" i="5"/>
  <c r="AC846" i="5" s="1"/>
  <c r="AE723" i="2"/>
  <c r="X785" i="5" l="1"/>
  <c r="O786" i="5"/>
  <c r="P786" i="5" s="1"/>
  <c r="N786" i="5"/>
  <c r="BM476" i="5"/>
  <c r="BN476" i="5" s="1"/>
  <c r="BA787" i="5"/>
  <c r="I89" i="7"/>
  <c r="AR764" i="2"/>
  <c r="AZ763" i="2"/>
  <c r="AE846" i="5"/>
  <c r="AF846" i="5" s="1"/>
  <c r="W723" i="2"/>
  <c r="AM845" i="5"/>
  <c r="N724" i="2"/>
  <c r="O724" i="2" s="1"/>
  <c r="M724" i="2"/>
  <c r="AJ723" i="2"/>
  <c r="S786" i="5" l="1"/>
  <c r="T786" i="5" s="1"/>
  <c r="AT788" i="5"/>
  <c r="BB787" i="5"/>
  <c r="BO476" i="5"/>
  <c r="BP476" i="5" s="1"/>
  <c r="AT764" i="2"/>
  <c r="R724" i="2"/>
  <c r="S724" i="2" s="1"/>
  <c r="AK723" i="2"/>
  <c r="AB724" i="2"/>
  <c r="AD724" i="2" s="1"/>
  <c r="W786" i="5" l="1"/>
  <c r="BK477" i="5"/>
  <c r="AV788" i="5"/>
  <c r="AW788" i="5" s="1"/>
  <c r="AU764" i="2"/>
  <c r="AY764" i="2" s="1"/>
  <c r="V724" i="2"/>
  <c r="AL846" i="5"/>
  <c r="AC847" i="5" s="1"/>
  <c r="AE724" i="2"/>
  <c r="O787" i="5" l="1"/>
  <c r="P787" i="5" s="1"/>
  <c r="X786" i="5"/>
  <c r="N787" i="5"/>
  <c r="BA788" i="5"/>
  <c r="BM477" i="5"/>
  <c r="BN477" i="5" s="1"/>
  <c r="AZ764" i="2"/>
  <c r="AR765" i="2"/>
  <c r="AE847" i="5"/>
  <c r="AF847" i="5" s="1"/>
  <c r="W724" i="2"/>
  <c r="AM846" i="5"/>
  <c r="M725" i="2"/>
  <c r="N725" i="2"/>
  <c r="O725" i="2" s="1"/>
  <c r="AJ724" i="2"/>
  <c r="S787" i="5" l="1"/>
  <c r="T787" i="5" s="1"/>
  <c r="W787" i="5" s="1"/>
  <c r="BO477" i="5"/>
  <c r="BP477" i="5" s="1"/>
  <c r="BB788" i="5"/>
  <c r="AT789" i="5"/>
  <c r="AT765" i="2"/>
  <c r="AU765" i="2" s="1"/>
  <c r="R725" i="2"/>
  <c r="S725" i="2" s="1"/>
  <c r="AK724" i="2"/>
  <c r="AB725" i="2"/>
  <c r="AD725" i="2" s="1"/>
  <c r="O788" i="5" l="1"/>
  <c r="P788" i="5" s="1"/>
  <c r="N788" i="5"/>
  <c r="X787" i="5"/>
  <c r="AV789" i="5"/>
  <c r="AW789" i="5" s="1"/>
  <c r="BK478" i="5"/>
  <c r="BM478" i="5" s="1"/>
  <c r="BN478" i="5" s="1"/>
  <c r="BO478" i="5" s="1"/>
  <c r="BP478" i="5" s="1"/>
  <c r="AY765" i="2"/>
  <c r="V725" i="2"/>
  <c r="AL847" i="5"/>
  <c r="AC848" i="5" s="1"/>
  <c r="AE725" i="2"/>
  <c r="S788" i="5" l="1"/>
  <c r="T788" i="5" s="1"/>
  <c r="BK479" i="5"/>
  <c r="BA789" i="5"/>
  <c r="AR766" i="2"/>
  <c r="AT766" i="2" s="1"/>
  <c r="AU766" i="2" s="1"/>
  <c r="AZ765" i="2"/>
  <c r="AE848" i="5"/>
  <c r="AF848" i="5" s="1"/>
  <c r="W725" i="2"/>
  <c r="AM847" i="5"/>
  <c r="N726" i="2"/>
  <c r="O726" i="2" s="1"/>
  <c r="M726" i="2"/>
  <c r="AJ725" i="2"/>
  <c r="W788" i="5" l="1"/>
  <c r="AT790" i="5"/>
  <c r="BB789" i="5"/>
  <c r="BM479" i="5"/>
  <c r="BN479" i="5" s="1"/>
  <c r="AY766" i="2"/>
  <c r="R726" i="2"/>
  <c r="S726" i="2" s="1"/>
  <c r="AK725" i="2"/>
  <c r="AB726" i="2"/>
  <c r="AD726" i="2" s="1"/>
  <c r="N789" i="5" l="1"/>
  <c r="X788" i="5"/>
  <c r="O789" i="5"/>
  <c r="P789" i="5" s="1"/>
  <c r="AV790" i="5"/>
  <c r="AW790" i="5" s="1"/>
  <c r="BO479" i="5"/>
  <c r="BP479" i="5" s="1"/>
  <c r="AZ766" i="2"/>
  <c r="AR767" i="2"/>
  <c r="V726" i="2"/>
  <c r="AL848" i="5"/>
  <c r="AC849" i="5" s="1"/>
  <c r="AE726" i="2"/>
  <c r="BA790" i="5" l="1"/>
  <c r="S789" i="5"/>
  <c r="T789" i="5" s="1"/>
  <c r="BK480" i="5"/>
  <c r="AT767" i="2"/>
  <c r="AU767" i="2" s="1"/>
  <c r="AE849" i="5"/>
  <c r="AF849" i="5" s="1"/>
  <c r="W726" i="2"/>
  <c r="M727" i="2"/>
  <c r="AM848" i="5"/>
  <c r="N727" i="2"/>
  <c r="O727" i="2" s="1"/>
  <c r="AJ726" i="2"/>
  <c r="AT791" i="5" l="1"/>
  <c r="AV791" i="5" s="1"/>
  <c r="AW791" i="5" s="1"/>
  <c r="BB790" i="5"/>
  <c r="W789" i="5"/>
  <c r="BM480" i="5"/>
  <c r="BN480" i="5" s="1"/>
  <c r="AY767" i="2"/>
  <c r="R727" i="2"/>
  <c r="S727" i="2" s="1"/>
  <c r="AK726" i="2"/>
  <c r="AB727" i="2"/>
  <c r="AD727" i="2" s="1"/>
  <c r="BA791" i="5" l="1"/>
  <c r="BB791" i="5" s="1"/>
  <c r="X789" i="5"/>
  <c r="N790" i="5"/>
  <c r="O790" i="5"/>
  <c r="P790" i="5" s="1"/>
  <c r="BO480" i="5"/>
  <c r="BP480" i="5" s="1"/>
  <c r="AR768" i="2"/>
  <c r="AZ767" i="2"/>
  <c r="V727" i="2"/>
  <c r="AL849" i="5"/>
  <c r="AC850" i="5" s="1"/>
  <c r="AE727" i="2"/>
  <c r="S790" i="5" l="1"/>
  <c r="T790" i="5" s="1"/>
  <c r="AT792" i="5"/>
  <c r="AV792" i="5" s="1"/>
  <c r="AW792" i="5" s="1"/>
  <c r="BK481" i="5"/>
  <c r="AT768" i="2"/>
  <c r="AE850" i="5"/>
  <c r="AF850" i="5" s="1"/>
  <c r="H86" i="7"/>
  <c r="W727" i="2"/>
  <c r="N728" i="2"/>
  <c r="O728" i="2" s="1"/>
  <c r="M728" i="2"/>
  <c r="AM849" i="5"/>
  <c r="AJ727" i="2"/>
  <c r="W790" i="5" l="1"/>
  <c r="X790" i="5" s="1"/>
  <c r="N791" i="5"/>
  <c r="O791" i="5"/>
  <c r="P791" i="5" s="1"/>
  <c r="BM481" i="5"/>
  <c r="BN481" i="5" s="1"/>
  <c r="BA792" i="5"/>
  <c r="AU768" i="2"/>
  <c r="AY768" i="2" s="1"/>
  <c r="J86" i="7"/>
  <c r="L86" i="7" s="1"/>
  <c r="R728" i="2"/>
  <c r="S728" i="2" s="1"/>
  <c r="AK727" i="2"/>
  <c r="M86" i="7" s="1"/>
  <c r="AB728" i="2"/>
  <c r="AD728" i="2" s="1"/>
  <c r="S791" i="5" l="1"/>
  <c r="T791" i="5" s="1"/>
  <c r="BB792" i="5"/>
  <c r="AT793" i="5"/>
  <c r="BO481" i="5"/>
  <c r="BP481" i="5" s="1"/>
  <c r="AZ768" i="2"/>
  <c r="AR769" i="2"/>
  <c r="V728" i="2"/>
  <c r="AL850" i="5"/>
  <c r="AC851" i="5" s="1"/>
  <c r="AE728" i="2"/>
  <c r="W791" i="5" l="1"/>
  <c r="AV793" i="5"/>
  <c r="AW793" i="5" s="1"/>
  <c r="BK482" i="5"/>
  <c r="AT769" i="2"/>
  <c r="AE851" i="5"/>
  <c r="AF851" i="5" s="1"/>
  <c r="W728" i="2"/>
  <c r="N729" i="2"/>
  <c r="O729" i="2" s="1"/>
  <c r="M729" i="2"/>
  <c r="AM850" i="5"/>
  <c r="AJ728" i="2"/>
  <c r="BA793" i="5" l="1"/>
  <c r="N792" i="5"/>
  <c r="O792" i="5"/>
  <c r="P792" i="5" s="1"/>
  <c r="X791" i="5"/>
  <c r="BM482" i="5"/>
  <c r="BN482" i="5" s="1"/>
  <c r="BO482" i="5" s="1"/>
  <c r="BP482" i="5" s="1"/>
  <c r="AU769" i="2"/>
  <c r="AY769" i="2" s="1"/>
  <c r="R729" i="2"/>
  <c r="S729" i="2" s="1"/>
  <c r="AL851" i="5"/>
  <c r="AC852" i="5" s="1"/>
  <c r="AB729" i="2"/>
  <c r="AD729" i="2" s="1"/>
  <c r="AK728" i="2"/>
  <c r="AT794" i="5" l="1"/>
  <c r="AV794" i="5" s="1"/>
  <c r="BB793" i="5"/>
  <c r="S792" i="5"/>
  <c r="T792" i="5" s="1"/>
  <c r="BK483" i="5"/>
  <c r="AR770" i="2"/>
  <c r="AZ769" i="2"/>
  <c r="V729" i="2"/>
  <c r="AE852" i="5"/>
  <c r="AF852" i="5" s="1"/>
  <c r="AM851" i="5"/>
  <c r="AE729" i="2"/>
  <c r="AW794" i="5" l="1"/>
  <c r="BA794" i="5" s="1"/>
  <c r="W792" i="5"/>
  <c r="BM483" i="5"/>
  <c r="BN483" i="5" s="1"/>
  <c r="AT770" i="2"/>
  <c r="AU770" i="2" s="1"/>
  <c r="M730" i="2"/>
  <c r="W729" i="2"/>
  <c r="N730" i="2"/>
  <c r="O730" i="2" s="1"/>
  <c r="AJ729" i="2"/>
  <c r="BB794" i="5" l="1"/>
  <c r="AT795" i="5"/>
  <c r="AV795" i="5" s="1"/>
  <c r="AW795" i="5" s="1"/>
  <c r="BA795" i="5" s="1"/>
  <c r="N793" i="5"/>
  <c r="X792" i="5"/>
  <c r="O793" i="5"/>
  <c r="P793" i="5" s="1"/>
  <c r="BO483" i="5"/>
  <c r="BP483" i="5" s="1"/>
  <c r="AY770" i="2"/>
  <c r="R730" i="2"/>
  <c r="S730" i="2" s="1"/>
  <c r="AL852" i="5"/>
  <c r="AC853" i="5" s="1"/>
  <c r="AK729" i="2"/>
  <c r="AB730" i="2"/>
  <c r="AD730" i="2" s="1"/>
  <c r="S793" i="5" l="1"/>
  <c r="T793" i="5" s="1"/>
  <c r="BB795" i="5"/>
  <c r="AT796" i="5"/>
  <c r="BK484" i="5"/>
  <c r="AR771" i="2"/>
  <c r="AZ770" i="2"/>
  <c r="V730" i="2"/>
  <c r="W730" i="2" s="1"/>
  <c r="AE853" i="5"/>
  <c r="AF853" i="5" s="1"/>
  <c r="AM852" i="5"/>
  <c r="AE730" i="2"/>
  <c r="W793" i="5" l="1"/>
  <c r="AV796" i="5"/>
  <c r="AW796" i="5" s="1"/>
  <c r="BM484" i="5"/>
  <c r="BN484" i="5" s="1"/>
  <c r="BO484" i="5" s="1"/>
  <c r="BP484" i="5" s="1"/>
  <c r="AT771" i="2"/>
  <c r="AU771" i="2" s="1"/>
  <c r="M731" i="2"/>
  <c r="N731" i="2"/>
  <c r="O731" i="2" s="1"/>
  <c r="AJ730" i="2"/>
  <c r="BA796" i="5" l="1"/>
  <c r="BB796" i="5" s="1"/>
  <c r="X793" i="5"/>
  <c r="N794" i="5"/>
  <c r="O794" i="5"/>
  <c r="P794" i="5" s="1"/>
  <c r="BK485" i="5"/>
  <c r="AY771" i="2"/>
  <c r="R731" i="2"/>
  <c r="S731" i="2" s="1"/>
  <c r="AL853" i="5"/>
  <c r="AC854" i="5" s="1"/>
  <c r="AK730" i="2"/>
  <c r="AB731" i="2"/>
  <c r="AD731" i="2" s="1"/>
  <c r="AT797" i="5" l="1"/>
  <c r="AV797" i="5" s="1"/>
  <c r="AW797" i="5" s="1"/>
  <c r="S794" i="5"/>
  <c r="T794" i="5" s="1"/>
  <c r="BM485" i="5"/>
  <c r="BN485" i="5" s="1"/>
  <c r="AZ771" i="2"/>
  <c r="AR772" i="2"/>
  <c r="V731" i="2"/>
  <c r="AE854" i="5"/>
  <c r="AF854" i="5" s="1"/>
  <c r="AM853" i="5"/>
  <c r="AE731" i="2"/>
  <c r="W794" i="5" l="1"/>
  <c r="BA797" i="5"/>
  <c r="BO485" i="5"/>
  <c r="BP485" i="5" s="1"/>
  <c r="AT772" i="2"/>
  <c r="AU772" i="2" s="1"/>
  <c r="N732" i="2"/>
  <c r="O732" i="2" s="1"/>
  <c r="W731" i="2"/>
  <c r="M732" i="2"/>
  <c r="AL854" i="5"/>
  <c r="AC855" i="5" s="1"/>
  <c r="AJ731" i="2"/>
  <c r="O795" i="5" l="1"/>
  <c r="P795" i="5" s="1"/>
  <c r="N795" i="5"/>
  <c r="X794" i="5"/>
  <c r="BK486" i="5"/>
  <c r="AT798" i="5"/>
  <c r="BB797" i="5"/>
  <c r="AY772" i="2"/>
  <c r="R732" i="2"/>
  <c r="S732" i="2" s="1"/>
  <c r="AE855" i="5"/>
  <c r="AF855" i="5" s="1"/>
  <c r="AK731" i="2"/>
  <c r="AM854" i="5"/>
  <c r="AB732" i="2"/>
  <c r="AD732" i="2" s="1"/>
  <c r="S795" i="5" l="1"/>
  <c r="T795" i="5" s="1"/>
  <c r="BM486" i="5"/>
  <c r="BN486" i="5" s="1"/>
  <c r="BO486" i="5" s="1"/>
  <c r="BP486" i="5" s="1"/>
  <c r="AV798" i="5"/>
  <c r="AW798" i="5" s="1"/>
  <c r="AR773" i="2"/>
  <c r="AZ772" i="2"/>
  <c r="V732" i="2"/>
  <c r="W732" i="2" s="1"/>
  <c r="AL855" i="5"/>
  <c r="AC856" i="5" s="1"/>
  <c r="AE732" i="2"/>
  <c r="AJ732" i="2" s="1"/>
  <c r="BA798" i="5" l="1"/>
  <c r="AT799" i="5" s="1"/>
  <c r="W795" i="5"/>
  <c r="BK487" i="5"/>
  <c r="AT773" i="2"/>
  <c r="N733" i="2"/>
  <c r="O733" i="2" s="1"/>
  <c r="M733" i="2"/>
  <c r="AE856" i="5"/>
  <c r="AF856" i="5" s="1"/>
  <c r="AM855" i="5"/>
  <c r="AK732" i="2"/>
  <c r="AB733" i="2"/>
  <c r="AD733" i="2" s="1"/>
  <c r="BB798" i="5" l="1"/>
  <c r="O796" i="5"/>
  <c r="P796" i="5" s="1"/>
  <c r="N796" i="5"/>
  <c r="X795" i="5"/>
  <c r="AV799" i="5"/>
  <c r="AW799" i="5" s="1"/>
  <c r="BM487" i="5"/>
  <c r="BN487" i="5" s="1"/>
  <c r="AU773" i="2"/>
  <c r="AY773" i="2" s="1"/>
  <c r="R733" i="2"/>
  <c r="S733" i="2" s="1"/>
  <c r="V733" i="2" s="1"/>
  <c r="AL856" i="5"/>
  <c r="AC857" i="5" s="1"/>
  <c r="AE733" i="2"/>
  <c r="BO487" i="5" l="1"/>
  <c r="S796" i="5"/>
  <c r="T796" i="5" s="1"/>
  <c r="W796" i="5" s="1"/>
  <c r="BA799" i="5"/>
  <c r="AR774" i="2"/>
  <c r="AZ773" i="2"/>
  <c r="AE857" i="5"/>
  <c r="AF857" i="5" s="1"/>
  <c r="W733" i="2"/>
  <c r="AM856" i="5"/>
  <c r="M734" i="2"/>
  <c r="N734" i="2"/>
  <c r="O734" i="2" s="1"/>
  <c r="AJ733" i="2"/>
  <c r="BK488" i="5" l="1"/>
  <c r="BM488" i="5" s="1"/>
  <c r="BN488" i="5" s="1"/>
  <c r="BP487" i="5"/>
  <c r="M66" i="9"/>
  <c r="K66" i="9"/>
  <c r="L66" i="9" s="1"/>
  <c r="N797" i="5"/>
  <c r="X796" i="5"/>
  <c r="O797" i="5"/>
  <c r="P797" i="5" s="1"/>
  <c r="BB799" i="5"/>
  <c r="AT800" i="5"/>
  <c r="AT774" i="2"/>
  <c r="R734" i="2"/>
  <c r="S734" i="2" s="1"/>
  <c r="AK733" i="2"/>
  <c r="AB734" i="2"/>
  <c r="AD734" i="2" s="1"/>
  <c r="S797" i="5" l="1"/>
  <c r="T797" i="5" s="1"/>
  <c r="BO488" i="5"/>
  <c r="BP488" i="5" s="1"/>
  <c r="AV800" i="5"/>
  <c r="AW800" i="5" s="1"/>
  <c r="AU774" i="2"/>
  <c r="AY774" i="2" s="1"/>
  <c r="V734" i="2"/>
  <c r="AL857" i="5"/>
  <c r="AC858" i="5" s="1"/>
  <c r="AE734" i="2"/>
  <c r="W797" i="5" l="1"/>
  <c r="BK489" i="5"/>
  <c r="BA800" i="5"/>
  <c r="AR775" i="2"/>
  <c r="AZ774" i="2"/>
  <c r="AE858" i="5"/>
  <c r="AF858" i="5" s="1"/>
  <c r="W734" i="2"/>
  <c r="AM857" i="5"/>
  <c r="N735" i="2"/>
  <c r="O735" i="2" s="1"/>
  <c r="M735" i="2"/>
  <c r="AJ734" i="2"/>
  <c r="X797" i="5" l="1"/>
  <c r="N798" i="5"/>
  <c r="O798" i="5"/>
  <c r="P798" i="5" s="1"/>
  <c r="AT801" i="5"/>
  <c r="BB800" i="5"/>
  <c r="BM489" i="5"/>
  <c r="BN489" i="5" s="1"/>
  <c r="AT775" i="2"/>
  <c r="AU775" i="2" s="1"/>
  <c r="AL858" i="5"/>
  <c r="AC859" i="5" s="1"/>
  <c r="R735" i="2"/>
  <c r="AK734" i="2"/>
  <c r="AB735" i="2"/>
  <c r="AD735" i="2" s="1"/>
  <c r="S798" i="5" l="1"/>
  <c r="T798" i="5" s="1"/>
  <c r="W798" i="5" s="1"/>
  <c r="BO489" i="5"/>
  <c r="BP489" i="5" s="1"/>
  <c r="AV801" i="5"/>
  <c r="AW801" i="5" s="1"/>
  <c r="AY775" i="2"/>
  <c r="AE859" i="5"/>
  <c r="AF859" i="5" s="1"/>
  <c r="AM858" i="5"/>
  <c r="S735" i="2"/>
  <c r="V735" i="2" s="1"/>
  <c r="AE735" i="2"/>
  <c r="BK490" i="5" l="1"/>
  <c r="BM490" i="5" s="1"/>
  <c r="BN490" i="5" s="1"/>
  <c r="X798" i="5"/>
  <c r="N799" i="5"/>
  <c r="O799" i="5"/>
  <c r="P799" i="5" s="1"/>
  <c r="BA801" i="5"/>
  <c r="AZ775" i="2"/>
  <c r="AR776" i="2"/>
  <c r="I90" i="7"/>
  <c r="AL859" i="5"/>
  <c r="AC860" i="5" s="1"/>
  <c r="AJ735" i="2"/>
  <c r="S799" i="5" l="1"/>
  <c r="T799" i="5" s="1"/>
  <c r="W799" i="5" s="1"/>
  <c r="AT802" i="5"/>
  <c r="BB801" i="5"/>
  <c r="BO490" i="5"/>
  <c r="BP490" i="5" s="1"/>
  <c r="AT776" i="2"/>
  <c r="W735" i="2"/>
  <c r="AE860" i="5"/>
  <c r="AF860" i="5" s="1"/>
  <c r="M736" i="2"/>
  <c r="N736" i="2"/>
  <c r="O736" i="2" s="1"/>
  <c r="AM859" i="5"/>
  <c r="AK735" i="2"/>
  <c r="AB736" i="2"/>
  <c r="AD736" i="2" s="1"/>
  <c r="X799" i="5" l="1"/>
  <c r="O800" i="5"/>
  <c r="P800" i="5" s="1"/>
  <c r="N800" i="5"/>
  <c r="BK491" i="5"/>
  <c r="AV802" i="5"/>
  <c r="AW802" i="5" s="1"/>
  <c r="AU776" i="2"/>
  <c r="AY776" i="2" s="1"/>
  <c r="R736" i="2"/>
  <c r="S736" i="2" s="1"/>
  <c r="AL860" i="5"/>
  <c r="AC861" i="5" s="1"/>
  <c r="AE736" i="2"/>
  <c r="S800" i="5" l="1"/>
  <c r="T800" i="5" s="1"/>
  <c r="BA802" i="5"/>
  <c r="BM491" i="5"/>
  <c r="BN491" i="5" s="1"/>
  <c r="BO491" i="5" s="1"/>
  <c r="BP491" i="5" s="1"/>
  <c r="AZ776" i="2"/>
  <c r="AR777" i="2"/>
  <c r="V736" i="2"/>
  <c r="AE861" i="5"/>
  <c r="AF861" i="5" s="1"/>
  <c r="AM860" i="5"/>
  <c r="AJ736" i="2"/>
  <c r="W800" i="5" l="1"/>
  <c r="BK492" i="5"/>
  <c r="AT803" i="5"/>
  <c r="BB802" i="5"/>
  <c r="AT777" i="2"/>
  <c r="AU777" i="2" s="1"/>
  <c r="W736" i="2"/>
  <c r="M737" i="2"/>
  <c r="N737" i="2"/>
  <c r="O737" i="2" s="1"/>
  <c r="AL861" i="5"/>
  <c r="AC862" i="5" s="1"/>
  <c r="AB737" i="2"/>
  <c r="AD737" i="2" s="1"/>
  <c r="AK736" i="2"/>
  <c r="X800" i="5" l="1"/>
  <c r="O801" i="5"/>
  <c r="P801" i="5" s="1"/>
  <c r="N801" i="5"/>
  <c r="BM492" i="5"/>
  <c r="BN492" i="5" s="1"/>
  <c r="AV803" i="5"/>
  <c r="AW803" i="5" s="1"/>
  <c r="AY777" i="2"/>
  <c r="AE862" i="5"/>
  <c r="AF862" i="5" s="1"/>
  <c r="R737" i="2"/>
  <c r="S737" i="2" s="1"/>
  <c r="AM861" i="5"/>
  <c r="AE737" i="2"/>
  <c r="S801" i="5" l="1"/>
  <c r="T801" i="5" s="1"/>
  <c r="BA803" i="5"/>
  <c r="BO492" i="5"/>
  <c r="BP492" i="5" s="1"/>
  <c r="AR778" i="2"/>
  <c r="AZ777" i="2"/>
  <c r="V737" i="2"/>
  <c r="W737" i="2" s="1"/>
  <c r="AJ737" i="2"/>
  <c r="W801" i="5" l="1"/>
  <c r="BK493" i="5"/>
  <c r="AT804" i="5"/>
  <c r="BB803" i="5"/>
  <c r="AT778" i="2"/>
  <c r="AU778" i="2" s="1"/>
  <c r="N738" i="2"/>
  <c r="O738" i="2" s="1"/>
  <c r="M738" i="2"/>
  <c r="AL862" i="5"/>
  <c r="AC863" i="5" s="1"/>
  <c r="AK737" i="2"/>
  <c r="AB738" i="2"/>
  <c r="AD738" i="2" s="1"/>
  <c r="N802" i="5" l="1"/>
  <c r="X801" i="5"/>
  <c r="O802" i="5"/>
  <c r="P802" i="5" s="1"/>
  <c r="AV804" i="5"/>
  <c r="AW804" i="5" s="1"/>
  <c r="BA804" i="5" s="1"/>
  <c r="BM493" i="5"/>
  <c r="BN493" i="5" s="1"/>
  <c r="AY778" i="2"/>
  <c r="R738" i="2"/>
  <c r="S738" i="2" s="1"/>
  <c r="V738" i="2" s="1"/>
  <c r="AE863" i="5"/>
  <c r="AF863" i="5" s="1"/>
  <c r="AM862" i="5"/>
  <c r="AE738" i="2"/>
  <c r="S802" i="5" l="1"/>
  <c r="T802" i="5" s="1"/>
  <c r="BB804" i="5"/>
  <c r="AT805" i="5"/>
  <c r="BO493" i="5"/>
  <c r="BP493" i="5" s="1"/>
  <c r="AR779" i="2"/>
  <c r="AZ778" i="2"/>
  <c r="W738" i="2"/>
  <c r="M739" i="2"/>
  <c r="N739" i="2"/>
  <c r="O739" i="2" s="1"/>
  <c r="AJ738" i="2"/>
  <c r="W802" i="5" l="1"/>
  <c r="AV805" i="5"/>
  <c r="AW805" i="5" s="1"/>
  <c r="BK494" i="5"/>
  <c r="BM494" i="5" s="1"/>
  <c r="BN494" i="5" s="1"/>
  <c r="BO494" i="5" s="1"/>
  <c r="BP494" i="5" s="1"/>
  <c r="AT779" i="2"/>
  <c r="AL863" i="5"/>
  <c r="AC864" i="5" s="1"/>
  <c r="R739" i="2"/>
  <c r="S739" i="2" s="1"/>
  <c r="AK738" i="2"/>
  <c r="AB739" i="2"/>
  <c r="AD739" i="2" s="1"/>
  <c r="O803" i="5" l="1"/>
  <c r="P803" i="5" s="1"/>
  <c r="N803" i="5"/>
  <c r="X802" i="5"/>
  <c r="BK495" i="5"/>
  <c r="BA805" i="5"/>
  <c r="AU779" i="2"/>
  <c r="AY779" i="2" s="1"/>
  <c r="V739" i="2"/>
  <c r="AE864" i="5"/>
  <c r="AF864" i="5" s="1"/>
  <c r="AM863" i="5"/>
  <c r="AE739" i="2"/>
  <c r="S803" i="5" l="1"/>
  <c r="T803" i="5" s="1"/>
  <c r="BB805" i="5"/>
  <c r="AT806" i="5"/>
  <c r="BM495" i="5"/>
  <c r="BN495" i="5" s="1"/>
  <c r="AR780" i="2"/>
  <c r="AZ779" i="2"/>
  <c r="H47" i="6"/>
  <c r="H87" i="7"/>
  <c r="W739" i="2"/>
  <c r="AL864" i="5"/>
  <c r="AC865" i="5" s="1"/>
  <c r="M740" i="2"/>
  <c r="N740" i="2"/>
  <c r="O740" i="2" s="1"/>
  <c r="AJ739" i="2"/>
  <c r="BO495" i="5" l="1"/>
  <c r="W803" i="5"/>
  <c r="AV806" i="5"/>
  <c r="AW806" i="5" s="1"/>
  <c r="AT780" i="2"/>
  <c r="AE865" i="5"/>
  <c r="AF865" i="5" s="1"/>
  <c r="J87" i="7"/>
  <c r="L87" i="7" s="1"/>
  <c r="J47" i="6"/>
  <c r="L47" i="6" s="1"/>
  <c r="AM864" i="5"/>
  <c r="R740" i="2"/>
  <c r="S740" i="2" s="1"/>
  <c r="AK739" i="2"/>
  <c r="M47" i="6" s="1"/>
  <c r="AB740" i="2"/>
  <c r="AD740" i="2" s="1"/>
  <c r="BK496" i="5" l="1"/>
  <c r="BM496" i="5" s="1"/>
  <c r="BN496" i="5" s="1"/>
  <c r="BP495" i="5"/>
  <c r="BA806" i="5"/>
  <c r="O804" i="5"/>
  <c r="P804" i="5" s="1"/>
  <c r="X803" i="5"/>
  <c r="N804" i="5"/>
  <c r="AU780" i="2"/>
  <c r="AY780" i="2" s="1"/>
  <c r="V740" i="2"/>
  <c r="M87" i="7"/>
  <c r="AL865" i="5"/>
  <c r="AC866" i="5" s="1"/>
  <c r="AE740" i="2"/>
  <c r="BB806" i="5" l="1"/>
  <c r="AT807" i="5"/>
  <c r="AV807" i="5" s="1"/>
  <c r="AW807" i="5" s="1"/>
  <c r="BO496" i="5"/>
  <c r="S804" i="5"/>
  <c r="T804" i="5" s="1"/>
  <c r="AR781" i="2"/>
  <c r="AZ780" i="2"/>
  <c r="AE866" i="5"/>
  <c r="AF866" i="5" s="1"/>
  <c r="W740" i="2"/>
  <c r="AM865" i="5"/>
  <c r="M741" i="2"/>
  <c r="N741" i="2"/>
  <c r="O741" i="2" s="1"/>
  <c r="AJ740" i="2"/>
  <c r="BK497" i="5" l="1"/>
  <c r="BM497" i="5" s="1"/>
  <c r="BN497" i="5" s="1"/>
  <c r="BP496" i="5"/>
  <c r="W804" i="5"/>
  <c r="BA807" i="5"/>
  <c r="AT781" i="2"/>
  <c r="R741" i="2"/>
  <c r="S741" i="2" s="1"/>
  <c r="AK740" i="2"/>
  <c r="AB741" i="2"/>
  <c r="AD741" i="2" s="1"/>
  <c r="N805" i="5" l="1"/>
  <c r="X804" i="5"/>
  <c r="O805" i="5"/>
  <c r="P805" i="5" s="1"/>
  <c r="BO497" i="5"/>
  <c r="BP497" i="5" s="1"/>
  <c r="AT808" i="5"/>
  <c r="BB807" i="5"/>
  <c r="AU781" i="2"/>
  <c r="AY781" i="2" s="1"/>
  <c r="V741" i="2"/>
  <c r="AL866" i="5"/>
  <c r="AC867" i="5" s="1"/>
  <c r="AE741" i="2"/>
  <c r="S805" i="5" l="1"/>
  <c r="T805" i="5" s="1"/>
  <c r="W805" i="5" s="1"/>
  <c r="AV808" i="5"/>
  <c r="AW808" i="5" s="1"/>
  <c r="BK498" i="5"/>
  <c r="AZ781" i="2"/>
  <c r="AR782" i="2"/>
  <c r="AE867" i="5"/>
  <c r="AF867" i="5" s="1"/>
  <c r="W741" i="2"/>
  <c r="AM866" i="5"/>
  <c r="N742" i="2"/>
  <c r="O742" i="2" s="1"/>
  <c r="M742" i="2"/>
  <c r="AJ741" i="2"/>
  <c r="X805" i="5" l="1"/>
  <c r="N806" i="5"/>
  <c r="O806" i="5"/>
  <c r="P806" i="5" s="1"/>
  <c r="BM498" i="5"/>
  <c r="BN498" i="5" s="1"/>
  <c r="BA808" i="5"/>
  <c r="AT782" i="2"/>
  <c r="R742" i="2"/>
  <c r="S742" i="2" s="1"/>
  <c r="AK741" i="2"/>
  <c r="AB742" i="2"/>
  <c r="AD742" i="2" s="1"/>
  <c r="S806" i="5" l="1"/>
  <c r="T806" i="5" s="1"/>
  <c r="W806" i="5" s="1"/>
  <c r="BO498" i="5"/>
  <c r="AT809" i="5"/>
  <c r="BB808" i="5"/>
  <c r="AU782" i="2"/>
  <c r="AY782" i="2" s="1"/>
  <c r="V742" i="2"/>
  <c r="AL867" i="5"/>
  <c r="AC868" i="5" s="1"/>
  <c r="AE742" i="2"/>
  <c r="BP498" i="5" l="1"/>
  <c r="O807" i="5"/>
  <c r="P807" i="5" s="1"/>
  <c r="N807" i="5"/>
  <c r="X806" i="5"/>
  <c r="BK499" i="5"/>
  <c r="BM499" i="5" s="1"/>
  <c r="BN499" i="5" s="1"/>
  <c r="AV809" i="5"/>
  <c r="AW809" i="5" s="1"/>
  <c r="AR783" i="2"/>
  <c r="AZ782" i="2"/>
  <c r="AE868" i="5"/>
  <c r="AF868" i="5" s="1"/>
  <c r="W742" i="2"/>
  <c r="AM867" i="5"/>
  <c r="N743" i="2"/>
  <c r="O743" i="2" s="1"/>
  <c r="M743" i="2"/>
  <c r="AJ742" i="2"/>
  <c r="S807" i="5" l="1"/>
  <c r="T807" i="5" s="1"/>
  <c r="BO499" i="5"/>
  <c r="BP499" i="5" s="1"/>
  <c r="BA809" i="5"/>
  <c r="AT783" i="2"/>
  <c r="AL868" i="5"/>
  <c r="AC869" i="5" s="1"/>
  <c r="R743" i="2"/>
  <c r="AK742" i="2"/>
  <c r="AB743" i="2"/>
  <c r="AD743" i="2" s="1"/>
  <c r="W807" i="5" l="1"/>
  <c r="BB809" i="5"/>
  <c r="AT810" i="5"/>
  <c r="M67" i="9"/>
  <c r="K67" i="9"/>
  <c r="L67" i="9" s="1"/>
  <c r="BK500" i="5"/>
  <c r="AU783" i="2"/>
  <c r="AY783" i="2" s="1"/>
  <c r="AE869" i="5"/>
  <c r="AF869" i="5" s="1"/>
  <c r="AM868" i="5"/>
  <c r="S743" i="2"/>
  <c r="V743" i="2" s="1"/>
  <c r="AE743" i="2"/>
  <c r="X807" i="5" l="1"/>
  <c r="N808" i="5"/>
  <c r="O808" i="5"/>
  <c r="P808" i="5" s="1"/>
  <c r="AV810" i="5"/>
  <c r="AW810" i="5" s="1"/>
  <c r="BM500" i="5"/>
  <c r="BN500" i="5" s="1"/>
  <c r="AR784" i="2"/>
  <c r="AZ783" i="2"/>
  <c r="W743" i="2"/>
  <c r="AL869" i="5"/>
  <c r="AC870" i="5" s="1"/>
  <c r="AJ743" i="2"/>
  <c r="S808" i="5" l="1"/>
  <c r="T808" i="5" s="1"/>
  <c r="BO500" i="5"/>
  <c r="BP500" i="5" s="1"/>
  <c r="BA810" i="5"/>
  <c r="AT784" i="2"/>
  <c r="AE870" i="5"/>
  <c r="AF870" i="5" s="1"/>
  <c r="M744" i="2"/>
  <c r="N744" i="2"/>
  <c r="O744" i="2" s="1"/>
  <c r="AM869" i="5"/>
  <c r="AK743" i="2"/>
  <c r="AB744" i="2"/>
  <c r="AD744" i="2" s="1"/>
  <c r="W808" i="5" l="1"/>
  <c r="BB810" i="5"/>
  <c r="AT811" i="5"/>
  <c r="BK501" i="5"/>
  <c r="AU784" i="2"/>
  <c r="AY784" i="2" s="1"/>
  <c r="R744" i="2"/>
  <c r="S744" i="2" s="1"/>
  <c r="AL870" i="5"/>
  <c r="AC871" i="5" s="1"/>
  <c r="AE744" i="2"/>
  <c r="X808" i="5" l="1"/>
  <c r="N809" i="5"/>
  <c r="O809" i="5"/>
  <c r="P809" i="5" s="1"/>
  <c r="AV811" i="5"/>
  <c r="AW811" i="5" s="1"/>
  <c r="BM501" i="5"/>
  <c r="BN501" i="5" s="1"/>
  <c r="AR785" i="2"/>
  <c r="AZ784" i="2"/>
  <c r="V744" i="2"/>
  <c r="AE871" i="5"/>
  <c r="AF871" i="5" s="1"/>
  <c r="AM870" i="5"/>
  <c r="AJ744" i="2"/>
  <c r="BO501" i="5" l="1"/>
  <c r="BA811" i="5"/>
  <c r="S809" i="5"/>
  <c r="T809" i="5" s="1"/>
  <c r="AT785" i="2"/>
  <c r="W744" i="2"/>
  <c r="M745" i="2"/>
  <c r="N745" i="2"/>
  <c r="O745" i="2" s="1"/>
  <c r="AL871" i="5"/>
  <c r="AC872" i="5" s="1"/>
  <c r="AK744" i="2"/>
  <c r="AB745" i="2"/>
  <c r="AD745" i="2" s="1"/>
  <c r="BP501" i="5" l="1"/>
  <c r="BB811" i="5"/>
  <c r="AT812" i="5"/>
  <c r="AV812" i="5" s="1"/>
  <c r="AW812" i="5" s="1"/>
  <c r="W809" i="5"/>
  <c r="BK502" i="5"/>
  <c r="BM502" i="5" s="1"/>
  <c r="BN502" i="5" s="1"/>
  <c r="BO502" i="5" s="1"/>
  <c r="BP502" i="5" s="1"/>
  <c r="AU785" i="2"/>
  <c r="AY785" i="2" s="1"/>
  <c r="AE872" i="5"/>
  <c r="AF872" i="5" s="1"/>
  <c r="R745" i="2"/>
  <c r="S745" i="2" s="1"/>
  <c r="AM871" i="5"/>
  <c r="AE745" i="2"/>
  <c r="BK503" i="5" l="1"/>
  <c r="BM503" i="5" s="1"/>
  <c r="BN503" i="5" s="1"/>
  <c r="X809" i="5"/>
  <c r="O810" i="5"/>
  <c r="P810" i="5" s="1"/>
  <c r="N810" i="5"/>
  <c r="BA812" i="5"/>
  <c r="AR786" i="2"/>
  <c r="AZ785" i="2"/>
  <c r="V745" i="2"/>
  <c r="AJ745" i="2"/>
  <c r="S810" i="5" l="1"/>
  <c r="T810" i="5" s="1"/>
  <c r="AT813" i="5"/>
  <c r="BB812" i="5"/>
  <c r="BO503" i="5"/>
  <c r="BP503" i="5" s="1"/>
  <c r="AT786" i="2"/>
  <c r="W745" i="2"/>
  <c r="M746" i="2"/>
  <c r="N746" i="2"/>
  <c r="O746" i="2" s="1"/>
  <c r="AL872" i="5"/>
  <c r="AC873" i="5" s="1"/>
  <c r="AK745" i="2"/>
  <c r="AB746" i="2"/>
  <c r="AD746" i="2" s="1"/>
  <c r="W810" i="5" l="1"/>
  <c r="BK504" i="5"/>
  <c r="BM504" i="5" s="1"/>
  <c r="BN504" i="5" s="1"/>
  <c r="BO504" i="5" s="1"/>
  <c r="BP504" i="5" s="1"/>
  <c r="AV813" i="5"/>
  <c r="AW813" i="5" s="1"/>
  <c r="AU786" i="2"/>
  <c r="AY786" i="2" s="1"/>
  <c r="AE873" i="5"/>
  <c r="AF873" i="5" s="1"/>
  <c r="R746" i="2"/>
  <c r="S746" i="2" s="1"/>
  <c r="AM872" i="5"/>
  <c r="AE746" i="2"/>
  <c r="X810" i="5" l="1"/>
  <c r="O811" i="5"/>
  <c r="P811" i="5" s="1"/>
  <c r="N811" i="5"/>
  <c r="BA813" i="5"/>
  <c r="BK505" i="5"/>
  <c r="AZ786" i="2"/>
  <c r="AR787" i="2"/>
  <c r="V746" i="2"/>
  <c r="W746" i="2" s="1"/>
  <c r="AL873" i="5"/>
  <c r="AC874" i="5" s="1"/>
  <c r="AJ746" i="2"/>
  <c r="S811" i="5" l="1"/>
  <c r="T811" i="5" s="1"/>
  <c r="BM505" i="5"/>
  <c r="BN505" i="5" s="1"/>
  <c r="BB813" i="5"/>
  <c r="AT814" i="5"/>
  <c r="AT787" i="2"/>
  <c r="AU787" i="2" s="1"/>
  <c r="N747" i="2"/>
  <c r="O747" i="2" s="1"/>
  <c r="M747" i="2"/>
  <c r="AE874" i="5"/>
  <c r="AF874" i="5" s="1"/>
  <c r="AM873" i="5"/>
  <c r="AK746" i="2"/>
  <c r="AB747" i="2"/>
  <c r="AD747" i="2" s="1"/>
  <c r="W811" i="5" l="1"/>
  <c r="AV814" i="5"/>
  <c r="AW814" i="5" s="1"/>
  <c r="BA814" i="5" s="1"/>
  <c r="BO505" i="5"/>
  <c r="BP505" i="5" s="1"/>
  <c r="AY787" i="2"/>
  <c r="I91" i="7"/>
  <c r="R747" i="2"/>
  <c r="S747" i="2" s="1"/>
  <c r="AL874" i="5"/>
  <c r="AC875" i="5" s="1"/>
  <c r="AE747" i="2"/>
  <c r="X811" i="5" l="1"/>
  <c r="N812" i="5"/>
  <c r="O812" i="5"/>
  <c r="P812" i="5" s="1"/>
  <c r="BB814" i="5"/>
  <c r="AT815" i="5"/>
  <c r="BK506" i="5"/>
  <c r="AZ787" i="2"/>
  <c r="AR788" i="2"/>
  <c r="AT788" i="2" s="1"/>
  <c r="V747" i="2"/>
  <c r="W747" i="2" s="1"/>
  <c r="AE875" i="5"/>
  <c r="AF875" i="5" s="1"/>
  <c r="AM874" i="5"/>
  <c r="AJ747" i="2"/>
  <c r="S812" i="5" l="1"/>
  <c r="T812" i="5" s="1"/>
  <c r="AV815" i="5"/>
  <c r="AW815" i="5" s="1"/>
  <c r="BA815" i="5" s="1"/>
  <c r="BM506" i="5"/>
  <c r="BN506" i="5" s="1"/>
  <c r="BO506" i="5" s="1"/>
  <c r="BP506" i="5" s="1"/>
  <c r="AU788" i="2"/>
  <c r="AY788" i="2" s="1"/>
  <c r="N748" i="2"/>
  <c r="O748" i="2" s="1"/>
  <c r="M748" i="2"/>
  <c r="AL875" i="5"/>
  <c r="AC876" i="5" s="1"/>
  <c r="AK747" i="2"/>
  <c r="AB748" i="2"/>
  <c r="AD748" i="2" s="1"/>
  <c r="W812" i="5" l="1"/>
  <c r="AT816" i="5"/>
  <c r="BB815" i="5"/>
  <c r="BK507" i="5"/>
  <c r="AR789" i="2"/>
  <c r="AZ788" i="2"/>
  <c r="R748" i="2"/>
  <c r="S748" i="2" s="1"/>
  <c r="AE876" i="5"/>
  <c r="AF876" i="5" s="1"/>
  <c r="AM875" i="5"/>
  <c r="AE748" i="2"/>
  <c r="X812" i="5" l="1"/>
  <c r="O813" i="5"/>
  <c r="P813" i="5" s="1"/>
  <c r="N813" i="5"/>
  <c r="AV816" i="5"/>
  <c r="AW816" i="5" s="1"/>
  <c r="BM507" i="5"/>
  <c r="BN507" i="5" s="1"/>
  <c r="BO507" i="5" s="1"/>
  <c r="BP507" i="5" s="1"/>
  <c r="AT789" i="2"/>
  <c r="V748" i="2"/>
  <c r="AJ748" i="2"/>
  <c r="S813" i="5" l="1"/>
  <c r="T813" i="5" s="1"/>
  <c r="BK508" i="5"/>
  <c r="BA816" i="5"/>
  <c r="AU789" i="2"/>
  <c r="AY789" i="2" s="1"/>
  <c r="M749" i="2"/>
  <c r="W748" i="2"/>
  <c r="N749" i="2"/>
  <c r="O749" i="2" s="1"/>
  <c r="AL876" i="5"/>
  <c r="AC877" i="5" s="1"/>
  <c r="AK748" i="2"/>
  <c r="AB749" i="2"/>
  <c r="AD749" i="2" s="1"/>
  <c r="W813" i="5" l="1"/>
  <c r="AT817" i="5"/>
  <c r="BB816" i="5"/>
  <c r="BM508" i="5"/>
  <c r="BN508" i="5" s="1"/>
  <c r="AR790" i="2"/>
  <c r="AZ789" i="2"/>
  <c r="R749" i="2"/>
  <c r="S749" i="2" s="1"/>
  <c r="V749" i="2" s="1"/>
  <c r="AE877" i="5"/>
  <c r="AF877" i="5" s="1"/>
  <c r="AM876" i="5"/>
  <c r="AE749" i="2"/>
  <c r="O814" i="5" l="1"/>
  <c r="P814" i="5" s="1"/>
  <c r="N814" i="5"/>
  <c r="X813" i="5"/>
  <c r="AV817" i="5"/>
  <c r="AW817" i="5" s="1"/>
  <c r="BA817" i="5" s="1"/>
  <c r="BO508" i="5"/>
  <c r="BP508" i="5" s="1"/>
  <c r="AT790" i="2"/>
  <c r="AJ749" i="2"/>
  <c r="S814" i="5" l="1"/>
  <c r="T814" i="5" s="1"/>
  <c r="BB817" i="5"/>
  <c r="AT818" i="5"/>
  <c r="BK509" i="5"/>
  <c r="AU790" i="2"/>
  <c r="AY790" i="2" s="1"/>
  <c r="W749" i="2"/>
  <c r="M750" i="2"/>
  <c r="N750" i="2"/>
  <c r="O750" i="2" s="1"/>
  <c r="AL877" i="5"/>
  <c r="AC878" i="5" s="1"/>
  <c r="AK749" i="2"/>
  <c r="AB750" i="2"/>
  <c r="AD750" i="2" s="1"/>
  <c r="W814" i="5" l="1"/>
  <c r="AV818" i="5"/>
  <c r="AW818" i="5" s="1"/>
  <c r="BA818" i="5" s="1"/>
  <c r="BM509" i="5"/>
  <c r="BN509" i="5" s="1"/>
  <c r="AZ790" i="2"/>
  <c r="AR791" i="2"/>
  <c r="R750" i="2"/>
  <c r="S750" i="2" s="1"/>
  <c r="AE878" i="5"/>
  <c r="AF878" i="5" s="1"/>
  <c r="AM877" i="5"/>
  <c r="AE750" i="2"/>
  <c r="BO509" i="5" l="1"/>
  <c r="N815" i="5"/>
  <c r="X814" i="5"/>
  <c r="O815" i="5"/>
  <c r="P815" i="5" s="1"/>
  <c r="AT819" i="5"/>
  <c r="BB818" i="5"/>
  <c r="AT791" i="2"/>
  <c r="V750" i="2"/>
  <c r="W750" i="2" s="1"/>
  <c r="AL878" i="5"/>
  <c r="AC879" i="5" s="1"/>
  <c r="AJ750" i="2"/>
  <c r="BK510" i="5" l="1"/>
  <c r="BP509" i="5"/>
  <c r="S815" i="5"/>
  <c r="T815" i="5" s="1"/>
  <c r="W815" i="5" s="1"/>
  <c r="AV819" i="5"/>
  <c r="AW819" i="5" s="1"/>
  <c r="BA819" i="5" s="1"/>
  <c r="BM510" i="5"/>
  <c r="BN510" i="5" s="1"/>
  <c r="AU791" i="2"/>
  <c r="AY791" i="2" s="1"/>
  <c r="M751" i="2"/>
  <c r="N751" i="2"/>
  <c r="O751" i="2" s="1"/>
  <c r="AE879" i="5"/>
  <c r="AF879" i="5" s="1"/>
  <c r="AM878" i="5"/>
  <c r="AK750" i="2"/>
  <c r="AB751" i="2"/>
  <c r="AD751" i="2" s="1"/>
  <c r="BO510" i="5" l="1"/>
  <c r="N816" i="5"/>
  <c r="X815" i="5"/>
  <c r="O816" i="5"/>
  <c r="P816" i="5" s="1"/>
  <c r="AT820" i="5"/>
  <c r="BB819" i="5"/>
  <c r="BK511" i="5"/>
  <c r="AZ791" i="2"/>
  <c r="AR792" i="2"/>
  <c r="R751" i="2"/>
  <c r="S751" i="2" s="1"/>
  <c r="V751" i="2" s="1"/>
  <c r="AL879" i="5"/>
  <c r="AC880" i="5" s="1"/>
  <c r="AE751" i="2"/>
  <c r="BP510" i="5" l="1"/>
  <c r="S816" i="5"/>
  <c r="T816" i="5" s="1"/>
  <c r="BM511" i="5"/>
  <c r="BN511" i="5" s="1"/>
  <c r="AV820" i="5"/>
  <c r="AW820" i="5" s="1"/>
  <c r="AT792" i="2"/>
  <c r="AU792" i="2" s="1"/>
  <c r="AE880" i="5"/>
  <c r="AF880" i="5" s="1"/>
  <c r="H88" i="7"/>
  <c r="W751" i="2"/>
  <c r="AM879" i="5"/>
  <c r="M752" i="2"/>
  <c r="N752" i="2"/>
  <c r="O752" i="2" s="1"/>
  <c r="AJ751" i="2"/>
  <c r="BO511" i="5" l="1"/>
  <c r="W816" i="5"/>
  <c r="BA820" i="5"/>
  <c r="AY792" i="2"/>
  <c r="J88" i="7"/>
  <c r="L88" i="7" s="1"/>
  <c r="AL880" i="5"/>
  <c r="AC881" i="5" s="1"/>
  <c r="R752" i="2"/>
  <c r="S752" i="2" s="1"/>
  <c r="AK751" i="2"/>
  <c r="M88" i="7" s="1"/>
  <c r="AB752" i="2"/>
  <c r="AD752" i="2" s="1"/>
  <c r="M68" i="9" l="1"/>
  <c r="BP511" i="5"/>
  <c r="K68" i="9"/>
  <c r="L68" i="9" s="1"/>
  <c r="BK512" i="5"/>
  <c r="BM512" i="5" s="1"/>
  <c r="BN512" i="5" s="1"/>
  <c r="X816" i="5"/>
  <c r="O817" i="5"/>
  <c r="P817" i="5" s="1"/>
  <c r="N817" i="5"/>
  <c r="AT821" i="5"/>
  <c r="BB820" i="5"/>
  <c r="AZ792" i="2"/>
  <c r="AR793" i="2"/>
  <c r="V752" i="2"/>
  <c r="AE881" i="5"/>
  <c r="AF881" i="5" s="1"/>
  <c r="AM880" i="5"/>
  <c r="AE752" i="2"/>
  <c r="S817" i="5" l="1"/>
  <c r="T817" i="5" s="1"/>
  <c r="BO512" i="5"/>
  <c r="BP512" i="5" s="1"/>
  <c r="AV821" i="5"/>
  <c r="AW821" i="5" s="1"/>
  <c r="BA821" i="5" s="1"/>
  <c r="AT793" i="2"/>
  <c r="W752" i="2"/>
  <c r="AL881" i="5"/>
  <c r="AC882" i="5" s="1"/>
  <c r="M753" i="2"/>
  <c r="N753" i="2"/>
  <c r="O753" i="2" s="1"/>
  <c r="AJ752" i="2"/>
  <c r="W817" i="5" l="1"/>
  <c r="AT822" i="5"/>
  <c r="BB821" i="5"/>
  <c r="BK513" i="5"/>
  <c r="AU793" i="2"/>
  <c r="AY793" i="2" s="1"/>
  <c r="AE882" i="5"/>
  <c r="AF882" i="5" s="1"/>
  <c r="AM881" i="5"/>
  <c r="R753" i="2"/>
  <c r="S753" i="2" s="1"/>
  <c r="AB753" i="2"/>
  <c r="AD753" i="2" s="1"/>
  <c r="AK752" i="2"/>
  <c r="O818" i="5" l="1"/>
  <c r="P818" i="5" s="1"/>
  <c r="N818" i="5"/>
  <c r="X817" i="5"/>
  <c r="BM513" i="5"/>
  <c r="BN513" i="5" s="1"/>
  <c r="AV822" i="5"/>
  <c r="AW822" i="5" s="1"/>
  <c r="AZ793" i="2"/>
  <c r="AR794" i="2"/>
  <c r="V753" i="2"/>
  <c r="AL882" i="5"/>
  <c r="AC883" i="5" s="1"/>
  <c r="AE753" i="2"/>
  <c r="BA822" i="5" l="1"/>
  <c r="BB822" i="5" s="1"/>
  <c r="S818" i="5"/>
  <c r="T818" i="5" s="1"/>
  <c r="BO513" i="5"/>
  <c r="BP513" i="5" s="1"/>
  <c r="AT794" i="2"/>
  <c r="AE883" i="5"/>
  <c r="AF883" i="5" s="1"/>
  <c r="W753" i="2"/>
  <c r="AM882" i="5"/>
  <c r="N754" i="2"/>
  <c r="O754" i="2" s="1"/>
  <c r="M754" i="2"/>
  <c r="AJ753" i="2"/>
  <c r="AT823" i="5" l="1"/>
  <c r="AV823" i="5" s="1"/>
  <c r="AW823" i="5" s="1"/>
  <c r="W818" i="5"/>
  <c r="BK514" i="5"/>
  <c r="AU794" i="2"/>
  <c r="AY794" i="2" s="1"/>
  <c r="AL883" i="5"/>
  <c r="AC884" i="5" s="1"/>
  <c r="R754" i="2"/>
  <c r="S754" i="2" s="1"/>
  <c r="AK753" i="2"/>
  <c r="AB754" i="2"/>
  <c r="AD754" i="2" s="1"/>
  <c r="X818" i="5" l="1"/>
  <c r="O819" i="5"/>
  <c r="P819" i="5" s="1"/>
  <c r="N819" i="5"/>
  <c r="BM514" i="5"/>
  <c r="BN514" i="5" s="1"/>
  <c r="BA823" i="5"/>
  <c r="AR795" i="2"/>
  <c r="AZ794" i="2"/>
  <c r="V754" i="2"/>
  <c r="AE884" i="5"/>
  <c r="AF884" i="5" s="1"/>
  <c r="AM883" i="5"/>
  <c r="AE754" i="2"/>
  <c r="S819" i="5" l="1"/>
  <c r="T819" i="5" s="1"/>
  <c r="AT824" i="5"/>
  <c r="BB823" i="5"/>
  <c r="BO514" i="5"/>
  <c r="BP514" i="5" s="1"/>
  <c r="AT795" i="2"/>
  <c r="W754" i="2"/>
  <c r="N755" i="2"/>
  <c r="O755" i="2" s="1"/>
  <c r="M755" i="2"/>
  <c r="AJ754" i="2"/>
  <c r="W819" i="5" l="1"/>
  <c r="BK515" i="5"/>
  <c r="AV824" i="5"/>
  <c r="AW824" i="5" s="1"/>
  <c r="BA824" i="5" s="1"/>
  <c r="AU795" i="2"/>
  <c r="AY795" i="2" s="1"/>
  <c r="AL884" i="5"/>
  <c r="AC885" i="5" s="1"/>
  <c r="R755" i="2"/>
  <c r="S755" i="2" s="1"/>
  <c r="AK754" i="2"/>
  <c r="AB755" i="2"/>
  <c r="AD755" i="2" s="1"/>
  <c r="X819" i="5" l="1"/>
  <c r="O820" i="5"/>
  <c r="P820" i="5" s="1"/>
  <c r="N820" i="5"/>
  <c r="BB824" i="5"/>
  <c r="AT825" i="5"/>
  <c r="BM515" i="5"/>
  <c r="BN515" i="5" s="1"/>
  <c r="AZ795" i="2"/>
  <c r="AR796" i="2"/>
  <c r="V755" i="2"/>
  <c r="AE885" i="5"/>
  <c r="AF885" i="5" s="1"/>
  <c r="AM884" i="5"/>
  <c r="AE755" i="2"/>
  <c r="S820" i="5" l="1"/>
  <c r="T820" i="5" s="1"/>
  <c r="AV825" i="5"/>
  <c r="AW825" i="5" s="1"/>
  <c r="BO515" i="5"/>
  <c r="BP515" i="5" s="1"/>
  <c r="AT796" i="2"/>
  <c r="W755" i="2"/>
  <c r="N756" i="2"/>
  <c r="O756" i="2" s="1"/>
  <c r="M756" i="2"/>
  <c r="AJ755" i="2"/>
  <c r="W820" i="5" l="1"/>
  <c r="BK516" i="5"/>
  <c r="BA825" i="5"/>
  <c r="AU796" i="2"/>
  <c r="AY796" i="2" s="1"/>
  <c r="AL885" i="5"/>
  <c r="AC886" i="5" s="1"/>
  <c r="R756" i="2"/>
  <c r="S756" i="2" s="1"/>
  <c r="AK755" i="2"/>
  <c r="AB756" i="2"/>
  <c r="AD756" i="2" s="1"/>
  <c r="X820" i="5" l="1"/>
  <c r="N821" i="5"/>
  <c r="O821" i="5"/>
  <c r="P821" i="5" s="1"/>
  <c r="BM516" i="5"/>
  <c r="BN516" i="5" s="1"/>
  <c r="AT826" i="5"/>
  <c r="BB825" i="5"/>
  <c r="AR797" i="2"/>
  <c r="AZ796" i="2"/>
  <c r="V756" i="2"/>
  <c r="AE886" i="5"/>
  <c r="AF886" i="5" s="1"/>
  <c r="AM885" i="5"/>
  <c r="AE756" i="2"/>
  <c r="S821" i="5" l="1"/>
  <c r="T821" i="5" s="1"/>
  <c r="W821" i="5" s="1"/>
  <c r="AV826" i="5"/>
  <c r="AW826" i="5" s="1"/>
  <c r="BO516" i="5"/>
  <c r="BP516" i="5" s="1"/>
  <c r="AT797" i="2"/>
  <c r="AU797" i="2" s="1"/>
  <c r="W756" i="2"/>
  <c r="AL886" i="5"/>
  <c r="AC887" i="5" s="1"/>
  <c r="M757" i="2"/>
  <c r="N757" i="2"/>
  <c r="O757" i="2" s="1"/>
  <c r="AJ756" i="2"/>
  <c r="N822" i="5" l="1"/>
  <c r="X821" i="5"/>
  <c r="O822" i="5"/>
  <c r="P822" i="5" s="1"/>
  <c r="BK517" i="5"/>
  <c r="BA826" i="5"/>
  <c r="AY797" i="2"/>
  <c r="AE887" i="5"/>
  <c r="AF887" i="5" s="1"/>
  <c r="AM886" i="5"/>
  <c r="R757" i="2"/>
  <c r="S757" i="2" s="1"/>
  <c r="AK756" i="2"/>
  <c r="AB757" i="2"/>
  <c r="AD757" i="2" s="1"/>
  <c r="S822" i="5" l="1"/>
  <c r="T822" i="5" s="1"/>
  <c r="W822" i="5" s="1"/>
  <c r="BB826" i="5"/>
  <c r="AT827" i="5"/>
  <c r="BM517" i="5"/>
  <c r="BN517" i="5" s="1"/>
  <c r="AZ797" i="2"/>
  <c r="AR798" i="2"/>
  <c r="V757" i="2"/>
  <c r="AE757" i="2"/>
  <c r="O823" i="5" l="1"/>
  <c r="P823" i="5" s="1"/>
  <c r="X822" i="5"/>
  <c r="N823" i="5"/>
  <c r="AV827" i="5"/>
  <c r="AW827" i="5" s="1"/>
  <c r="BO517" i="5"/>
  <c r="BP517" i="5" s="1"/>
  <c r="AT798" i="2"/>
  <c r="W757" i="2"/>
  <c r="AL887" i="5"/>
  <c r="AC888" i="5" s="1"/>
  <c r="M758" i="2"/>
  <c r="N758" i="2"/>
  <c r="O758" i="2" s="1"/>
  <c r="AJ757" i="2"/>
  <c r="S823" i="5" l="1"/>
  <c r="T823" i="5" s="1"/>
  <c r="W823" i="5" s="1"/>
  <c r="BK518" i="5"/>
  <c r="BA827" i="5"/>
  <c r="AU798" i="2"/>
  <c r="AY798" i="2" s="1"/>
  <c r="AE888" i="5"/>
  <c r="AF888" i="5" s="1"/>
  <c r="R758" i="2"/>
  <c r="S758" i="2" s="1"/>
  <c r="AM887" i="5"/>
  <c r="AK757" i="2"/>
  <c r="AB758" i="2"/>
  <c r="AD758" i="2" s="1"/>
  <c r="N824" i="5" l="1"/>
  <c r="X823" i="5"/>
  <c r="O824" i="5"/>
  <c r="P824" i="5" s="1"/>
  <c r="AT828" i="5"/>
  <c r="BB827" i="5"/>
  <c r="BM518" i="5"/>
  <c r="BN518" i="5" s="1"/>
  <c r="AZ798" i="2"/>
  <c r="AR799" i="2"/>
  <c r="V758" i="2"/>
  <c r="AE758" i="2"/>
  <c r="S824" i="5" l="1"/>
  <c r="T824" i="5" s="1"/>
  <c r="W824" i="5" s="1"/>
  <c r="AV828" i="5"/>
  <c r="AW828" i="5" s="1"/>
  <c r="BO518" i="5"/>
  <c r="BP518" i="5" s="1"/>
  <c r="AT799" i="2"/>
  <c r="AU799" i="2" s="1"/>
  <c r="W758" i="2"/>
  <c r="M759" i="2"/>
  <c r="N759" i="2"/>
  <c r="O759" i="2" s="1"/>
  <c r="AL888" i="5"/>
  <c r="AC889" i="5" s="1"/>
  <c r="AJ758" i="2"/>
  <c r="O825" i="5" l="1"/>
  <c r="P825" i="5" s="1"/>
  <c r="X824" i="5"/>
  <c r="N825" i="5"/>
  <c r="BA828" i="5"/>
  <c r="BK519" i="5"/>
  <c r="AY799" i="2"/>
  <c r="AR800" i="2" s="1"/>
  <c r="AE889" i="5"/>
  <c r="AF889" i="5" s="1"/>
  <c r="R759" i="2"/>
  <c r="S759" i="2" s="1"/>
  <c r="AM888" i="5"/>
  <c r="AK758" i="2"/>
  <c r="AB759" i="2"/>
  <c r="AD759" i="2" s="1"/>
  <c r="S825" i="5" l="1"/>
  <c r="T825" i="5" s="1"/>
  <c r="W825" i="5" s="1"/>
  <c r="BM519" i="5"/>
  <c r="BN519" i="5" s="1"/>
  <c r="BO519" i="5" s="1"/>
  <c r="BP519" i="5" s="1"/>
  <c r="AT829" i="5"/>
  <c r="BB828" i="5"/>
  <c r="I92" i="7"/>
  <c r="I48" i="6"/>
  <c r="AZ799" i="2"/>
  <c r="AT800" i="2"/>
  <c r="V759" i="2"/>
  <c r="AL889" i="5"/>
  <c r="AC890" i="5" s="1"/>
  <c r="AE759" i="2"/>
  <c r="O826" i="5" l="1"/>
  <c r="P826" i="5" s="1"/>
  <c r="N826" i="5"/>
  <c r="X825" i="5"/>
  <c r="BK520" i="5"/>
  <c r="BM520" i="5" s="1"/>
  <c r="BN520" i="5" s="1"/>
  <c r="BO520" i="5" s="1"/>
  <c r="BP520" i="5" s="1"/>
  <c r="AV829" i="5"/>
  <c r="AW829" i="5" s="1"/>
  <c r="AU800" i="2"/>
  <c r="AY800" i="2" s="1"/>
  <c r="AE890" i="5"/>
  <c r="AF890" i="5" s="1"/>
  <c r="W759" i="2"/>
  <c r="M760" i="2"/>
  <c r="N760" i="2"/>
  <c r="O760" i="2" s="1"/>
  <c r="AM889" i="5"/>
  <c r="AJ759" i="2"/>
  <c r="S826" i="5" l="1"/>
  <c r="T826" i="5" s="1"/>
  <c r="W826" i="5" s="1"/>
  <c r="BA829" i="5"/>
  <c r="BK521" i="5"/>
  <c r="AR801" i="2"/>
  <c r="AZ800" i="2"/>
  <c r="R760" i="2"/>
  <c r="S760" i="2" s="1"/>
  <c r="AK759" i="2"/>
  <c r="AB760" i="2"/>
  <c r="AD760" i="2" s="1"/>
  <c r="O827" i="5" l="1"/>
  <c r="P827" i="5" s="1"/>
  <c r="N827" i="5"/>
  <c r="X826" i="5"/>
  <c r="BM521" i="5"/>
  <c r="BN521" i="5" s="1"/>
  <c r="BB829" i="5"/>
  <c r="AT830" i="5"/>
  <c r="AT801" i="2"/>
  <c r="AU801" i="2" s="1"/>
  <c r="V760" i="2"/>
  <c r="W760" i="2" s="1"/>
  <c r="AL890" i="5"/>
  <c r="AC891" i="5" s="1"/>
  <c r="AE760" i="2"/>
  <c r="BO521" i="5" l="1"/>
  <c r="BP521" i="5" s="1"/>
  <c r="S827" i="5"/>
  <c r="T827" i="5" s="1"/>
  <c r="AV830" i="5"/>
  <c r="AW830" i="5" s="1"/>
  <c r="AY801" i="2"/>
  <c r="M761" i="2"/>
  <c r="N761" i="2"/>
  <c r="O761" i="2" s="1"/>
  <c r="AE891" i="5"/>
  <c r="AF891" i="5" s="1"/>
  <c r="AM890" i="5"/>
  <c r="AJ760" i="2"/>
  <c r="BK522" i="5" l="1"/>
  <c r="BM522" i="5" s="1"/>
  <c r="BN522" i="5" s="1"/>
  <c r="W827" i="5"/>
  <c r="BA830" i="5"/>
  <c r="AZ801" i="2"/>
  <c r="AR802" i="2"/>
  <c r="AT802" i="2" s="1"/>
  <c r="R761" i="2"/>
  <c r="S761" i="2" s="1"/>
  <c r="AL891" i="5"/>
  <c r="AC892" i="5" s="1"/>
  <c r="AB761" i="2"/>
  <c r="AD761" i="2" s="1"/>
  <c r="AK760" i="2"/>
  <c r="N828" i="5" l="1"/>
  <c r="X827" i="5"/>
  <c r="O828" i="5"/>
  <c r="P828" i="5" s="1"/>
  <c r="BO522" i="5"/>
  <c r="BP522" i="5" s="1"/>
  <c r="BB830" i="5"/>
  <c r="AT831" i="5"/>
  <c r="AU802" i="2"/>
  <c r="AY802" i="2" s="1"/>
  <c r="V761" i="2"/>
  <c r="W761" i="2" s="1"/>
  <c r="AE892" i="5"/>
  <c r="AF892" i="5" s="1"/>
  <c r="AM891" i="5"/>
  <c r="AE761" i="2"/>
  <c r="S828" i="5" l="1"/>
  <c r="T828" i="5" s="1"/>
  <c r="W828" i="5" s="1"/>
  <c r="AV831" i="5"/>
  <c r="AW831" i="5" s="1"/>
  <c r="BK523" i="5"/>
  <c r="AR803" i="2"/>
  <c r="AZ802" i="2"/>
  <c r="M762" i="2"/>
  <c r="N762" i="2"/>
  <c r="O762" i="2" s="1"/>
  <c r="AJ761" i="2"/>
  <c r="X828" i="5" l="1"/>
  <c r="O829" i="5"/>
  <c r="P829" i="5" s="1"/>
  <c r="N829" i="5"/>
  <c r="BM523" i="5"/>
  <c r="BN523" i="5" s="1"/>
  <c r="BO523" i="5" s="1"/>
  <c r="BP523" i="5" s="1"/>
  <c r="BA831" i="5"/>
  <c r="AT803" i="2"/>
  <c r="R762" i="2"/>
  <c r="S762" i="2" s="1"/>
  <c r="AL892" i="5"/>
  <c r="AC893" i="5" s="1"/>
  <c r="AK761" i="2"/>
  <c r="AB762" i="2"/>
  <c r="AD762" i="2" s="1"/>
  <c r="S829" i="5" l="1"/>
  <c r="T829" i="5" s="1"/>
  <c r="BK524" i="5"/>
  <c r="M69" i="9"/>
  <c r="K69" i="9"/>
  <c r="L69" i="9" s="1"/>
  <c r="AT832" i="5"/>
  <c r="BB831" i="5"/>
  <c r="AU803" i="2"/>
  <c r="AY803" i="2" s="1"/>
  <c r="V762" i="2"/>
  <c r="W762" i="2" s="1"/>
  <c r="AE893" i="5"/>
  <c r="AF893" i="5" s="1"/>
  <c r="AM892" i="5"/>
  <c r="AE762" i="2"/>
  <c r="W829" i="5" l="1"/>
  <c r="AV832" i="5"/>
  <c r="AW832" i="5" s="1"/>
  <c r="BM524" i="5"/>
  <c r="BN524" i="5" s="1"/>
  <c r="BO524" i="5" s="1"/>
  <c r="BP524" i="5" s="1"/>
  <c r="AZ803" i="2"/>
  <c r="AR804" i="2"/>
  <c r="N763" i="2"/>
  <c r="O763" i="2" s="1"/>
  <c r="M763" i="2"/>
  <c r="AJ762" i="2"/>
  <c r="X829" i="5" l="1"/>
  <c r="O830" i="5"/>
  <c r="P830" i="5" s="1"/>
  <c r="N830" i="5"/>
  <c r="BK525" i="5"/>
  <c r="BA832" i="5"/>
  <c r="AT804" i="2"/>
  <c r="R763" i="2"/>
  <c r="S763" i="2" s="1"/>
  <c r="AL893" i="5"/>
  <c r="AC894" i="5" s="1"/>
  <c r="AK762" i="2"/>
  <c r="AB763" i="2"/>
  <c r="AD763" i="2" s="1"/>
  <c r="S830" i="5" l="1"/>
  <c r="T830" i="5" s="1"/>
  <c r="BB832" i="5"/>
  <c r="AT833" i="5"/>
  <c r="BM525" i="5"/>
  <c r="BN525" i="5" s="1"/>
  <c r="AU804" i="2"/>
  <c r="AY804" i="2" s="1"/>
  <c r="V763" i="2"/>
  <c r="AE894" i="5"/>
  <c r="AF894" i="5" s="1"/>
  <c r="AM893" i="5"/>
  <c r="AE763" i="2"/>
  <c r="W830" i="5" l="1"/>
  <c r="AV833" i="5"/>
  <c r="AW833" i="5" s="1"/>
  <c r="BO525" i="5"/>
  <c r="BP525" i="5" s="1"/>
  <c r="AZ804" i="2"/>
  <c r="AR805" i="2"/>
  <c r="H89" i="7"/>
  <c r="N764" i="2"/>
  <c r="O764" i="2" s="1"/>
  <c r="M764" i="2"/>
  <c r="W763" i="2"/>
  <c r="AJ763" i="2"/>
  <c r="BA833" i="5" l="1"/>
  <c r="O831" i="5"/>
  <c r="P831" i="5" s="1"/>
  <c r="N831" i="5"/>
  <c r="X830" i="5"/>
  <c r="BK526" i="5"/>
  <c r="AT805" i="2"/>
  <c r="R764" i="2"/>
  <c r="S764" i="2" s="1"/>
  <c r="J89" i="7"/>
  <c r="L89" i="7" s="1"/>
  <c r="AL894" i="5"/>
  <c r="AC895" i="5" s="1"/>
  <c r="AK763" i="2"/>
  <c r="M89" i="7" s="1"/>
  <c r="AB764" i="2"/>
  <c r="AD764" i="2" s="1"/>
  <c r="BB833" i="5" l="1"/>
  <c r="AT834" i="5"/>
  <c r="AV834" i="5" s="1"/>
  <c r="S831" i="5"/>
  <c r="T831" i="5" s="1"/>
  <c r="BM526" i="5"/>
  <c r="BN526" i="5" s="1"/>
  <c r="AU805" i="2"/>
  <c r="AY805" i="2" s="1"/>
  <c r="V764" i="2"/>
  <c r="N765" i="2" s="1"/>
  <c r="O765" i="2" s="1"/>
  <c r="AE895" i="5"/>
  <c r="AF895" i="5" s="1"/>
  <c r="AM894" i="5"/>
  <c r="AE764" i="2"/>
  <c r="AW834" i="5" l="1"/>
  <c r="BA834" i="5" s="1"/>
  <c r="BB834" i="5" s="1"/>
  <c r="W831" i="5"/>
  <c r="BO526" i="5"/>
  <c r="BP526" i="5" s="1"/>
  <c r="AZ805" i="2"/>
  <c r="AR806" i="2"/>
  <c r="M765" i="2"/>
  <c r="R765" i="2" s="1"/>
  <c r="S765" i="2" s="1"/>
  <c r="W764" i="2"/>
  <c r="AJ764" i="2"/>
  <c r="AT835" i="5" l="1"/>
  <c r="AV835" i="5" s="1"/>
  <c r="AW835" i="5" s="1"/>
  <c r="BA835" i="5" s="1"/>
  <c r="X831" i="5"/>
  <c r="N832" i="5"/>
  <c r="O832" i="5"/>
  <c r="P832" i="5" s="1"/>
  <c r="BK527" i="5"/>
  <c r="AT806" i="2"/>
  <c r="AU806" i="2" s="1"/>
  <c r="V765" i="2"/>
  <c r="AL895" i="5"/>
  <c r="AC896" i="5" s="1"/>
  <c r="AK764" i="2"/>
  <c r="AB765" i="2"/>
  <c r="AD765" i="2" s="1"/>
  <c r="S832" i="5" l="1"/>
  <c r="T832" i="5" s="1"/>
  <c r="AT836" i="5"/>
  <c r="BB835" i="5"/>
  <c r="BM527" i="5"/>
  <c r="BN527" i="5" s="1"/>
  <c r="AY806" i="2"/>
  <c r="AE896" i="5"/>
  <c r="AF896" i="5" s="1"/>
  <c r="W765" i="2"/>
  <c r="N766" i="2"/>
  <c r="O766" i="2" s="1"/>
  <c r="M766" i="2"/>
  <c r="AM895" i="5"/>
  <c r="AE765" i="2"/>
  <c r="W832" i="5" l="1"/>
  <c r="BO527" i="5"/>
  <c r="BP527" i="5" s="1"/>
  <c r="AV836" i="5"/>
  <c r="AW836" i="5" s="1"/>
  <c r="AZ806" i="2"/>
  <c r="AR807" i="2"/>
  <c r="R766" i="2"/>
  <c r="S766" i="2" s="1"/>
  <c r="AL896" i="5"/>
  <c r="AC897" i="5" s="1"/>
  <c r="AJ765" i="2"/>
  <c r="X832" i="5" l="1"/>
  <c r="O833" i="5"/>
  <c r="P833" i="5" s="1"/>
  <c r="N833" i="5"/>
  <c r="BK528" i="5"/>
  <c r="BM528" i="5" s="1"/>
  <c r="BN528" i="5" s="1"/>
  <c r="BA836" i="5"/>
  <c r="AT807" i="2"/>
  <c r="V766" i="2"/>
  <c r="AE897" i="5"/>
  <c r="AF897" i="5" s="1"/>
  <c r="AM896" i="5"/>
  <c r="AK765" i="2"/>
  <c r="AB766" i="2"/>
  <c r="AD766" i="2" s="1"/>
  <c r="S833" i="5" l="1"/>
  <c r="T833" i="5" s="1"/>
  <c r="W833" i="5" s="1"/>
  <c r="AT837" i="5"/>
  <c r="BB836" i="5"/>
  <c r="BO528" i="5"/>
  <c r="BP528" i="5" s="1"/>
  <c r="AU807" i="2"/>
  <c r="AY807" i="2" s="1"/>
  <c r="W766" i="2"/>
  <c r="M767" i="2"/>
  <c r="N767" i="2"/>
  <c r="O767" i="2" s="1"/>
  <c r="AL897" i="5"/>
  <c r="AC898" i="5" s="1"/>
  <c r="AE766" i="2"/>
  <c r="X833" i="5" l="1"/>
  <c r="O834" i="5"/>
  <c r="P834" i="5" s="1"/>
  <c r="N834" i="5"/>
  <c r="BK529" i="5"/>
  <c r="AV837" i="5"/>
  <c r="AW837" i="5" s="1"/>
  <c r="BA837" i="5" s="1"/>
  <c r="AR808" i="2"/>
  <c r="AZ807" i="2"/>
  <c r="AE898" i="5"/>
  <c r="AF898" i="5" s="1"/>
  <c r="R767" i="2"/>
  <c r="S767" i="2" s="1"/>
  <c r="AM897" i="5"/>
  <c r="AJ766" i="2"/>
  <c r="S834" i="5" l="1"/>
  <c r="T834" i="5" s="1"/>
  <c r="W834" i="5" s="1"/>
  <c r="AT838" i="5"/>
  <c r="BB837" i="5"/>
  <c r="BM529" i="5"/>
  <c r="BN529" i="5" s="1"/>
  <c r="AT808" i="2"/>
  <c r="V767" i="2"/>
  <c r="W767" i="2" s="1"/>
  <c r="AK766" i="2"/>
  <c r="AB767" i="2"/>
  <c r="AD767" i="2" s="1"/>
  <c r="N835" i="5" l="1"/>
  <c r="O835" i="5"/>
  <c r="P835" i="5" s="1"/>
  <c r="X834" i="5"/>
  <c r="AV838" i="5"/>
  <c r="AW838" i="5" s="1"/>
  <c r="BA838" i="5" s="1"/>
  <c r="BO529" i="5"/>
  <c r="BP529" i="5" s="1"/>
  <c r="AU808" i="2"/>
  <c r="AY808" i="2" s="1"/>
  <c r="M768" i="2"/>
  <c r="N768" i="2"/>
  <c r="O768" i="2" s="1"/>
  <c r="AL898" i="5"/>
  <c r="AC899" i="5" s="1"/>
  <c r="AE767" i="2"/>
  <c r="S835" i="5" l="1"/>
  <c r="T835" i="5" s="1"/>
  <c r="BB838" i="5"/>
  <c r="AT839" i="5"/>
  <c r="BK530" i="5"/>
  <c r="BM530" i="5" s="1"/>
  <c r="BN530" i="5" s="1"/>
  <c r="BO530" i="5" s="1"/>
  <c r="BP530" i="5" s="1"/>
  <c r="AZ808" i="2"/>
  <c r="AR809" i="2"/>
  <c r="R768" i="2"/>
  <c r="S768" i="2" s="1"/>
  <c r="AE899" i="5"/>
  <c r="AF899" i="5" s="1"/>
  <c r="AM898" i="5"/>
  <c r="AJ767" i="2"/>
  <c r="W835" i="5" l="1"/>
  <c r="BK531" i="5"/>
  <c r="AV839" i="5"/>
  <c r="AW839" i="5" s="1"/>
  <c r="AT809" i="2"/>
  <c r="AU809" i="2" s="1"/>
  <c r="V768" i="2"/>
  <c r="W768" i="2" s="1"/>
  <c r="AK767" i="2"/>
  <c r="AB768" i="2"/>
  <c r="AD768" i="2" s="1"/>
  <c r="N836" i="5" l="1"/>
  <c r="O836" i="5"/>
  <c r="P836" i="5" s="1"/>
  <c r="X835" i="5"/>
  <c r="BA839" i="5"/>
  <c r="BM531" i="5"/>
  <c r="BN531" i="5" s="1"/>
  <c r="AY809" i="2"/>
  <c r="M769" i="2"/>
  <c r="N769" i="2"/>
  <c r="O769" i="2" s="1"/>
  <c r="AL899" i="5"/>
  <c r="AC900" i="5" s="1"/>
  <c r="AE768" i="2"/>
  <c r="S836" i="5" l="1"/>
  <c r="T836" i="5" s="1"/>
  <c r="BO531" i="5"/>
  <c r="BP531" i="5" s="1"/>
  <c r="BB839" i="5"/>
  <c r="AT840" i="5"/>
  <c r="AZ809" i="2"/>
  <c r="AR810" i="2"/>
  <c r="R769" i="2"/>
  <c r="S769" i="2" s="1"/>
  <c r="AE900" i="5"/>
  <c r="AF900" i="5" s="1"/>
  <c r="AM899" i="5"/>
  <c r="AJ768" i="2"/>
  <c r="W836" i="5" l="1"/>
  <c r="AV840" i="5"/>
  <c r="AW840" i="5" s="1"/>
  <c r="BA840" i="5" s="1"/>
  <c r="BK532" i="5"/>
  <c r="AT810" i="2"/>
  <c r="AU810" i="2" s="1"/>
  <c r="V769" i="2"/>
  <c r="M770" i="2" s="1"/>
  <c r="AB769" i="2"/>
  <c r="AD769" i="2" s="1"/>
  <c r="AK768" i="2"/>
  <c r="O837" i="5" l="1"/>
  <c r="P837" i="5" s="1"/>
  <c r="N837" i="5"/>
  <c r="X836" i="5"/>
  <c r="AT841" i="5"/>
  <c r="BB840" i="5"/>
  <c r="BM532" i="5"/>
  <c r="BN532" i="5" s="1"/>
  <c r="BO532" i="5" s="1"/>
  <c r="BP532" i="5" s="1"/>
  <c r="AY810" i="2"/>
  <c r="N770" i="2"/>
  <c r="O770" i="2" s="1"/>
  <c r="R770" i="2" s="1"/>
  <c r="S770" i="2" s="1"/>
  <c r="W769" i="2"/>
  <c r="AL900" i="5"/>
  <c r="AC901" i="5" s="1"/>
  <c r="AE769" i="2"/>
  <c r="S837" i="5" l="1"/>
  <c r="T837" i="5" s="1"/>
  <c r="BK533" i="5"/>
  <c r="AV841" i="5"/>
  <c r="AW841" i="5" s="1"/>
  <c r="AZ810" i="2"/>
  <c r="AR811" i="2"/>
  <c r="V770" i="2"/>
  <c r="AE901" i="5"/>
  <c r="AF901" i="5" s="1"/>
  <c r="AM900" i="5"/>
  <c r="AJ769" i="2"/>
  <c r="W837" i="5" l="1"/>
  <c r="BM533" i="5"/>
  <c r="BN533" i="5" s="1"/>
  <c r="BO533" i="5" s="1"/>
  <c r="BP533" i="5" s="1"/>
  <c r="BA841" i="5"/>
  <c r="AT811" i="2"/>
  <c r="W770" i="2"/>
  <c r="AK769" i="2"/>
  <c r="AL901" i="5"/>
  <c r="AC902" i="5" s="1"/>
  <c r="M771" i="2"/>
  <c r="N771" i="2"/>
  <c r="O771" i="2" s="1"/>
  <c r="AB770" i="2"/>
  <c r="AD770" i="2" s="1"/>
  <c r="N838" i="5" l="1"/>
  <c r="X837" i="5"/>
  <c r="O838" i="5"/>
  <c r="P838" i="5" s="1"/>
  <c r="BK534" i="5"/>
  <c r="BB841" i="5"/>
  <c r="AT842" i="5"/>
  <c r="AU811" i="2"/>
  <c r="AY811" i="2" s="1"/>
  <c r="AE902" i="5"/>
  <c r="AF902" i="5" s="1"/>
  <c r="AM901" i="5"/>
  <c r="R771" i="2"/>
  <c r="S771" i="2" s="1"/>
  <c r="AE770" i="2"/>
  <c r="AJ770" i="2" s="1"/>
  <c r="S838" i="5" l="1"/>
  <c r="T838" i="5" s="1"/>
  <c r="W838" i="5" s="1"/>
  <c r="AV842" i="5"/>
  <c r="AW842" i="5" s="1"/>
  <c r="BM534" i="5"/>
  <c r="BN534" i="5" s="1"/>
  <c r="AR812" i="2"/>
  <c r="AZ811" i="2"/>
  <c r="V771" i="2"/>
  <c r="AK770" i="2"/>
  <c r="AB771" i="2"/>
  <c r="AD771" i="2" s="1"/>
  <c r="N839" i="5" l="1"/>
  <c r="O839" i="5"/>
  <c r="P839" i="5" s="1"/>
  <c r="X838" i="5"/>
  <c r="BO534" i="5"/>
  <c r="BP534" i="5" s="1"/>
  <c r="BA842" i="5"/>
  <c r="AT812" i="2"/>
  <c r="W771" i="2"/>
  <c r="AL902" i="5"/>
  <c r="AC903" i="5" s="1"/>
  <c r="M772" i="2"/>
  <c r="N772" i="2"/>
  <c r="O772" i="2" s="1"/>
  <c r="AE771" i="2"/>
  <c r="S839" i="5" l="1"/>
  <c r="T839" i="5" s="1"/>
  <c r="W839" i="5" s="1"/>
  <c r="BB842" i="5"/>
  <c r="AT843" i="5"/>
  <c r="BK535" i="5"/>
  <c r="BM535" i="5" s="1"/>
  <c r="BN535" i="5" s="1"/>
  <c r="BO535" i="5" s="1"/>
  <c r="BP535" i="5" s="1"/>
  <c r="AU812" i="2"/>
  <c r="AY812" i="2" s="1"/>
  <c r="AE903" i="5"/>
  <c r="AF903" i="5" s="1"/>
  <c r="AM902" i="5"/>
  <c r="R772" i="2"/>
  <c r="S772" i="2" s="1"/>
  <c r="AJ771" i="2"/>
  <c r="X839" i="5" l="1"/>
  <c r="O840" i="5"/>
  <c r="P840" i="5" s="1"/>
  <c r="N840" i="5"/>
  <c r="AV843" i="5"/>
  <c r="AW843" i="5" s="1"/>
  <c r="BK536" i="5"/>
  <c r="M70" i="9"/>
  <c r="K70" i="9"/>
  <c r="L70" i="9" s="1"/>
  <c r="AR813" i="2"/>
  <c r="AZ812" i="2"/>
  <c r="V772" i="2"/>
  <c r="AK771" i="2"/>
  <c r="AB772" i="2"/>
  <c r="AD772" i="2" s="1"/>
  <c r="S840" i="5" l="1"/>
  <c r="T840" i="5" s="1"/>
  <c r="BM536" i="5"/>
  <c r="BN536" i="5" s="1"/>
  <c r="BA843" i="5"/>
  <c r="AT813" i="2"/>
  <c r="W772" i="2"/>
  <c r="AL903" i="5"/>
  <c r="AC904" i="5" s="1"/>
  <c r="N773" i="2"/>
  <c r="O773" i="2" s="1"/>
  <c r="M773" i="2"/>
  <c r="AE772" i="2"/>
  <c r="W840" i="5" l="1"/>
  <c r="BB843" i="5"/>
  <c r="AT844" i="5"/>
  <c r="BO536" i="5"/>
  <c r="BP536" i="5" s="1"/>
  <c r="AU813" i="2"/>
  <c r="AY813" i="2" s="1"/>
  <c r="AE904" i="5"/>
  <c r="AF904" i="5" s="1"/>
  <c r="AM903" i="5"/>
  <c r="R773" i="2"/>
  <c r="S773" i="2" s="1"/>
  <c r="AJ772" i="2"/>
  <c r="X840" i="5" l="1"/>
  <c r="O841" i="5"/>
  <c r="P841" i="5" s="1"/>
  <c r="N841" i="5"/>
  <c r="BK537" i="5"/>
  <c r="AV844" i="5"/>
  <c r="AW844" i="5" s="1"/>
  <c r="BA844" i="5" s="1"/>
  <c r="AZ813" i="2"/>
  <c r="AR814" i="2"/>
  <c r="V773" i="2"/>
  <c r="AL904" i="5"/>
  <c r="AC905" i="5" s="1"/>
  <c r="AK772" i="2"/>
  <c r="AB773" i="2"/>
  <c r="AD773" i="2" s="1"/>
  <c r="S841" i="5" l="1"/>
  <c r="T841" i="5" s="1"/>
  <c r="AT845" i="5"/>
  <c r="BB844" i="5"/>
  <c r="BM537" i="5"/>
  <c r="BN537" i="5" s="1"/>
  <c r="BO537" i="5" s="1"/>
  <c r="BP537" i="5" s="1"/>
  <c r="AT814" i="2"/>
  <c r="AE905" i="5"/>
  <c r="AF905" i="5" s="1"/>
  <c r="W773" i="2"/>
  <c r="N774" i="2"/>
  <c r="O774" i="2" s="1"/>
  <c r="M774" i="2"/>
  <c r="AM904" i="5"/>
  <c r="AE773" i="2"/>
  <c r="W841" i="5" l="1"/>
  <c r="BK538" i="5"/>
  <c r="AV845" i="5"/>
  <c r="AW845" i="5" s="1"/>
  <c r="AU814" i="2"/>
  <c r="AY814" i="2" s="1"/>
  <c r="R774" i="2"/>
  <c r="S774" i="2" s="1"/>
  <c r="AL905" i="5"/>
  <c r="AC906" i="5" s="1"/>
  <c r="AJ773" i="2"/>
  <c r="X841" i="5" l="1"/>
  <c r="O842" i="5"/>
  <c r="P842" i="5" s="1"/>
  <c r="N842" i="5"/>
  <c r="BA845" i="5"/>
  <c r="BM538" i="5"/>
  <c r="BN538" i="5" s="1"/>
  <c r="AZ814" i="2"/>
  <c r="AR815" i="2"/>
  <c r="V774" i="2"/>
  <c r="AE906" i="5"/>
  <c r="AF906" i="5" s="1"/>
  <c r="AM905" i="5"/>
  <c r="AK773" i="2"/>
  <c r="AB774" i="2"/>
  <c r="AD774" i="2" s="1"/>
  <c r="S842" i="5" l="1"/>
  <c r="T842" i="5" s="1"/>
  <c r="BO538" i="5"/>
  <c r="BP538" i="5" s="1"/>
  <c r="AT846" i="5"/>
  <c r="BB845" i="5"/>
  <c r="AT815" i="2"/>
  <c r="W774" i="2"/>
  <c r="M775" i="2"/>
  <c r="N775" i="2"/>
  <c r="O775" i="2" s="1"/>
  <c r="AE774" i="2"/>
  <c r="W842" i="5" l="1"/>
  <c r="AV846" i="5"/>
  <c r="AW846" i="5" s="1"/>
  <c r="BK539" i="5"/>
  <c r="AU815" i="2"/>
  <c r="AY815" i="2" s="1"/>
  <c r="R775" i="2"/>
  <c r="S775" i="2" s="1"/>
  <c r="AL906" i="5"/>
  <c r="AC907" i="5" s="1"/>
  <c r="AJ774" i="2"/>
  <c r="X842" i="5" l="1"/>
  <c r="O843" i="5"/>
  <c r="P843" i="5" s="1"/>
  <c r="N843" i="5"/>
  <c r="BA846" i="5"/>
  <c r="BM539" i="5"/>
  <c r="BN539" i="5" s="1"/>
  <c r="AZ815" i="2"/>
  <c r="AR816" i="2"/>
  <c r="V775" i="2"/>
  <c r="AE907" i="5"/>
  <c r="AF907" i="5" s="1"/>
  <c r="AM906" i="5"/>
  <c r="AK774" i="2"/>
  <c r="AB775" i="2"/>
  <c r="AD775" i="2" s="1"/>
  <c r="S843" i="5" l="1"/>
  <c r="T843" i="5" s="1"/>
  <c r="BO539" i="5"/>
  <c r="BP539" i="5" s="1"/>
  <c r="BB846" i="5"/>
  <c r="AT847" i="5"/>
  <c r="AT816" i="2"/>
  <c r="AU816" i="2" s="1"/>
  <c r="H90" i="7"/>
  <c r="W775" i="2"/>
  <c r="N776" i="2"/>
  <c r="O776" i="2" s="1"/>
  <c r="M776" i="2"/>
  <c r="AE775" i="2"/>
  <c r="W843" i="5" l="1"/>
  <c r="AV847" i="5"/>
  <c r="AW847" i="5" s="1"/>
  <c r="BK540" i="5"/>
  <c r="AY816" i="2"/>
  <c r="R776" i="2"/>
  <c r="S776" i="2" s="1"/>
  <c r="AL907" i="5"/>
  <c r="AC908" i="5" s="1"/>
  <c r="AJ775" i="2"/>
  <c r="N844" i="5" l="1"/>
  <c r="X843" i="5"/>
  <c r="O844" i="5"/>
  <c r="P844" i="5" s="1"/>
  <c r="BM540" i="5"/>
  <c r="BN540" i="5" s="1"/>
  <c r="BA847" i="5"/>
  <c r="AZ816" i="2"/>
  <c r="AR817" i="2"/>
  <c r="V776" i="2"/>
  <c r="AE908" i="5"/>
  <c r="AF908" i="5" s="1"/>
  <c r="J90" i="7"/>
  <c r="L90" i="7" s="1"/>
  <c r="AM907" i="5"/>
  <c r="AK775" i="2"/>
  <c r="M90" i="7" s="1"/>
  <c r="AB776" i="2"/>
  <c r="AD776" i="2" s="1"/>
  <c r="BO540" i="5" l="1"/>
  <c r="S844" i="5"/>
  <c r="T844" i="5" s="1"/>
  <c r="AT848" i="5"/>
  <c r="BB847" i="5"/>
  <c r="AT817" i="2"/>
  <c r="W776" i="2"/>
  <c r="N777" i="2"/>
  <c r="O777" i="2" s="1"/>
  <c r="M777" i="2"/>
  <c r="AL908" i="5"/>
  <c r="AC909" i="5" s="1"/>
  <c r="AE776" i="2"/>
  <c r="BK541" i="5" l="1"/>
  <c r="BM541" i="5" s="1"/>
  <c r="BN541" i="5" s="1"/>
  <c r="BP540" i="5"/>
  <c r="W844" i="5"/>
  <c r="AV848" i="5"/>
  <c r="AW848" i="5" s="1"/>
  <c r="AU817" i="2"/>
  <c r="AY817" i="2" s="1"/>
  <c r="AE909" i="5"/>
  <c r="AF909" i="5" s="1"/>
  <c r="R777" i="2"/>
  <c r="S777" i="2" s="1"/>
  <c r="AM908" i="5"/>
  <c r="AJ776" i="2"/>
  <c r="X844" i="5" l="1"/>
  <c r="O845" i="5"/>
  <c r="P845" i="5" s="1"/>
  <c r="N845" i="5"/>
  <c r="BO541" i="5"/>
  <c r="BP541" i="5" s="1"/>
  <c r="BA848" i="5"/>
  <c r="AR818" i="2"/>
  <c r="AZ817" i="2"/>
  <c r="V777" i="2"/>
  <c r="M778" i="2" s="1"/>
  <c r="AK776" i="2"/>
  <c r="AB777" i="2"/>
  <c r="AD777" i="2" s="1"/>
  <c r="S845" i="5" l="1"/>
  <c r="T845" i="5" s="1"/>
  <c r="W845" i="5" s="1"/>
  <c r="BB848" i="5"/>
  <c r="AT849" i="5"/>
  <c r="BK542" i="5"/>
  <c r="AT818" i="2"/>
  <c r="W777" i="2"/>
  <c r="N778" i="2"/>
  <c r="O778" i="2" s="1"/>
  <c r="AL909" i="5"/>
  <c r="AC910" i="5" s="1"/>
  <c r="AE777" i="2"/>
  <c r="N846" i="5" l="1"/>
  <c r="X845" i="5"/>
  <c r="O846" i="5"/>
  <c r="P846" i="5" s="1"/>
  <c r="BM542" i="5"/>
  <c r="BN542" i="5" s="1"/>
  <c r="AV849" i="5"/>
  <c r="AW849" i="5" s="1"/>
  <c r="AU818" i="2"/>
  <c r="AY818" i="2" s="1"/>
  <c r="R778" i="2"/>
  <c r="S778" i="2" s="1"/>
  <c r="AE910" i="5"/>
  <c r="AF910" i="5" s="1"/>
  <c r="AM909" i="5"/>
  <c r="AJ777" i="2"/>
  <c r="S846" i="5" l="1"/>
  <c r="T846" i="5" s="1"/>
  <c r="BA849" i="5"/>
  <c r="BO542" i="5"/>
  <c r="BP542" i="5" s="1"/>
  <c r="AZ818" i="2"/>
  <c r="AR819" i="2"/>
  <c r="V778" i="2"/>
  <c r="N779" i="2" s="1"/>
  <c r="O779" i="2" s="1"/>
  <c r="AK777" i="2"/>
  <c r="AB778" i="2"/>
  <c r="AD778" i="2" s="1"/>
  <c r="W846" i="5" l="1"/>
  <c r="BK543" i="5"/>
  <c r="BM543" i="5" s="1"/>
  <c r="BN543" i="5" s="1"/>
  <c r="BO543" i="5" s="1"/>
  <c r="BP543" i="5" s="1"/>
  <c r="BB849" i="5"/>
  <c r="AT850" i="5"/>
  <c r="AT819" i="2"/>
  <c r="W778" i="2"/>
  <c r="M779" i="2"/>
  <c r="AL910" i="5"/>
  <c r="AC911" i="5" s="1"/>
  <c r="AE778" i="2"/>
  <c r="X846" i="5" l="1"/>
  <c r="N847" i="5"/>
  <c r="O847" i="5"/>
  <c r="P847" i="5" s="1"/>
  <c r="AV850" i="5"/>
  <c r="AW850" i="5" s="1"/>
  <c r="BA850" i="5" s="1"/>
  <c r="BK544" i="5"/>
  <c r="AU819" i="2"/>
  <c r="AY819" i="2" s="1"/>
  <c r="R779" i="2"/>
  <c r="S779" i="2" s="1"/>
  <c r="V779" i="2" s="1"/>
  <c r="AE911" i="5"/>
  <c r="AF911" i="5" s="1"/>
  <c r="AM910" i="5"/>
  <c r="AJ778" i="2"/>
  <c r="S847" i="5" l="1"/>
  <c r="T847" i="5" s="1"/>
  <c r="BB850" i="5"/>
  <c r="AT851" i="5"/>
  <c r="BM544" i="5"/>
  <c r="BN544" i="5" s="1"/>
  <c r="AR820" i="2"/>
  <c r="AZ819" i="2"/>
  <c r="W779" i="2"/>
  <c r="M780" i="2"/>
  <c r="N780" i="2"/>
  <c r="O780" i="2" s="1"/>
  <c r="AK778" i="2"/>
  <c r="AB779" i="2"/>
  <c r="AD779" i="2" s="1"/>
  <c r="W847" i="5" l="1"/>
  <c r="AV851" i="5"/>
  <c r="AW851" i="5" s="1"/>
  <c r="BO544" i="5"/>
  <c r="BP544" i="5" s="1"/>
  <c r="AT820" i="2"/>
  <c r="AU820" i="2" s="1"/>
  <c r="R780" i="2"/>
  <c r="S780" i="2" s="1"/>
  <c r="AL911" i="5"/>
  <c r="AC912" i="5" s="1"/>
  <c r="AE779" i="2"/>
  <c r="BA851" i="5" l="1"/>
  <c r="X847" i="5"/>
  <c r="O848" i="5"/>
  <c r="P848" i="5" s="1"/>
  <c r="N848" i="5"/>
  <c r="BK545" i="5"/>
  <c r="AY820" i="2"/>
  <c r="V780" i="2"/>
  <c r="AE912" i="5"/>
  <c r="AF912" i="5" s="1"/>
  <c r="AM911" i="5"/>
  <c r="AJ779" i="2"/>
  <c r="AT852" i="5" l="1"/>
  <c r="AV852" i="5" s="1"/>
  <c r="AW852" i="5" s="1"/>
  <c r="BA852" i="5" s="1"/>
  <c r="BB851" i="5"/>
  <c r="S848" i="5"/>
  <c r="T848" i="5" s="1"/>
  <c r="BM545" i="5"/>
  <c r="BN545" i="5" s="1"/>
  <c r="AR821" i="2"/>
  <c r="AZ820" i="2"/>
  <c r="M781" i="2"/>
  <c r="W780" i="2"/>
  <c r="N781" i="2"/>
  <c r="O781" i="2" s="1"/>
  <c r="AL912" i="5"/>
  <c r="AC913" i="5" s="1"/>
  <c r="AK779" i="2"/>
  <c r="AB780" i="2"/>
  <c r="AD780" i="2" s="1"/>
  <c r="W848" i="5" l="1"/>
  <c r="AT853" i="5"/>
  <c r="BB852" i="5"/>
  <c r="BO545" i="5"/>
  <c r="BP545" i="5" s="1"/>
  <c r="AT821" i="2"/>
  <c r="AU821" i="2" s="1"/>
  <c r="R781" i="2"/>
  <c r="S781" i="2" s="1"/>
  <c r="AE913" i="5"/>
  <c r="AF913" i="5" s="1"/>
  <c r="AM912" i="5"/>
  <c r="AE780" i="2"/>
  <c r="X848" i="5" l="1"/>
  <c r="N849" i="5"/>
  <c r="O849" i="5"/>
  <c r="P849" i="5" s="1"/>
  <c r="BK546" i="5"/>
  <c r="BM546" i="5" s="1"/>
  <c r="BN546" i="5" s="1"/>
  <c r="BO546" i="5" s="1"/>
  <c r="BP546" i="5" s="1"/>
  <c r="AV853" i="5"/>
  <c r="AW853" i="5" s="1"/>
  <c r="AY821" i="2"/>
  <c r="V781" i="2"/>
  <c r="W781" i="2" s="1"/>
  <c r="AJ780" i="2"/>
  <c r="S849" i="5" l="1"/>
  <c r="T849" i="5" s="1"/>
  <c r="W849" i="5" s="1"/>
  <c r="BA853" i="5"/>
  <c r="BK547" i="5"/>
  <c r="AR822" i="2"/>
  <c r="AZ821" i="2"/>
  <c r="M782" i="2"/>
  <c r="N782" i="2"/>
  <c r="O782" i="2" s="1"/>
  <c r="AL913" i="5"/>
  <c r="AC914" i="5" s="1"/>
  <c r="AK780" i="2"/>
  <c r="AB781" i="2"/>
  <c r="AD781" i="2" s="1"/>
  <c r="O850" i="5" l="1"/>
  <c r="P850" i="5" s="1"/>
  <c r="N850" i="5"/>
  <c r="X849" i="5"/>
  <c r="BM547" i="5"/>
  <c r="BN547" i="5" s="1"/>
  <c r="AT854" i="5"/>
  <c r="BB853" i="5"/>
  <c r="AT822" i="2"/>
  <c r="AU822" i="2" s="1"/>
  <c r="R782" i="2"/>
  <c r="S782" i="2" s="1"/>
  <c r="V782" i="2" s="1"/>
  <c r="AE914" i="5"/>
  <c r="AF914" i="5" s="1"/>
  <c r="AM913" i="5"/>
  <c r="AE781" i="2"/>
  <c r="S850" i="5" l="1"/>
  <c r="T850" i="5" s="1"/>
  <c r="W850" i="5" s="1"/>
  <c r="BO547" i="5"/>
  <c r="AV854" i="5"/>
  <c r="AW854" i="5" s="1"/>
  <c r="BA854" i="5" s="1"/>
  <c r="AY822" i="2"/>
  <c r="M783" i="2"/>
  <c r="W782" i="2"/>
  <c r="N783" i="2"/>
  <c r="O783" i="2" s="1"/>
  <c r="AJ781" i="2"/>
  <c r="BP547" i="5" l="1"/>
  <c r="BK548" i="5"/>
  <c r="BM548" i="5" s="1"/>
  <c r="BN548" i="5" s="1"/>
  <c r="M71" i="9"/>
  <c r="K71" i="9"/>
  <c r="L71" i="9" s="1"/>
  <c r="N851" i="5"/>
  <c r="X850" i="5"/>
  <c r="O851" i="5"/>
  <c r="P851" i="5" s="1"/>
  <c r="BB854" i="5"/>
  <c r="AT855" i="5"/>
  <c r="AZ822" i="2"/>
  <c r="AR823" i="2"/>
  <c r="R783" i="2"/>
  <c r="S783" i="2" s="1"/>
  <c r="AL914" i="5"/>
  <c r="AC915" i="5" s="1"/>
  <c r="AK781" i="2"/>
  <c r="AB782" i="2"/>
  <c r="AD782" i="2" s="1"/>
  <c r="S851" i="5" l="1"/>
  <c r="T851" i="5" s="1"/>
  <c r="AV855" i="5"/>
  <c r="AW855" i="5" s="1"/>
  <c r="BO548" i="5"/>
  <c r="BP548" i="5" s="1"/>
  <c r="AT823" i="2"/>
  <c r="V783" i="2"/>
  <c r="AE915" i="5"/>
  <c r="AF915" i="5" s="1"/>
  <c r="AM914" i="5"/>
  <c r="AE782" i="2"/>
  <c r="W851" i="5" l="1"/>
  <c r="BK549" i="5"/>
  <c r="BA855" i="5"/>
  <c r="AU823" i="2"/>
  <c r="AY823" i="2" s="1"/>
  <c r="M784" i="2"/>
  <c r="N784" i="2"/>
  <c r="O784" i="2" s="1"/>
  <c r="W783" i="2"/>
  <c r="AL915" i="5"/>
  <c r="AC916" i="5" s="1"/>
  <c r="AJ782" i="2"/>
  <c r="X851" i="5" l="1"/>
  <c r="N852" i="5"/>
  <c r="O852" i="5"/>
  <c r="P852" i="5" s="1"/>
  <c r="AT856" i="5"/>
  <c r="AV856" i="5" s="1"/>
  <c r="AW856" i="5" s="1"/>
  <c r="BA856" i="5" s="1"/>
  <c r="BB855" i="5"/>
  <c r="BM549" i="5"/>
  <c r="BN549" i="5" s="1"/>
  <c r="BO549" i="5" s="1"/>
  <c r="BP549" i="5" s="1"/>
  <c r="AZ823" i="2"/>
  <c r="AR824" i="2"/>
  <c r="R784" i="2"/>
  <c r="S784" i="2" s="1"/>
  <c r="AE916" i="5"/>
  <c r="AF916" i="5" s="1"/>
  <c r="AM915" i="5"/>
  <c r="AK782" i="2"/>
  <c r="AB783" i="2"/>
  <c r="AD783" i="2" s="1"/>
  <c r="S852" i="5" l="1"/>
  <c r="T852" i="5" s="1"/>
  <c r="W852" i="5" s="1"/>
  <c r="BK550" i="5"/>
  <c r="AT857" i="5"/>
  <c r="BB856" i="5"/>
  <c r="AT824" i="2"/>
  <c r="AU824" i="2" s="1"/>
  <c r="V784" i="2"/>
  <c r="AE783" i="2"/>
  <c r="O853" i="5" l="1"/>
  <c r="P853" i="5" s="1"/>
  <c r="N853" i="5"/>
  <c r="X852" i="5"/>
  <c r="AV857" i="5"/>
  <c r="AW857" i="5" s="1"/>
  <c r="BM550" i="5"/>
  <c r="BN550" i="5" s="1"/>
  <c r="AY824" i="2"/>
  <c r="W784" i="2"/>
  <c r="N785" i="2"/>
  <c r="O785" i="2" s="1"/>
  <c r="M785" i="2"/>
  <c r="AL916" i="5"/>
  <c r="AC917" i="5" s="1"/>
  <c r="AJ783" i="2"/>
  <c r="BA857" i="5" l="1"/>
  <c r="S853" i="5"/>
  <c r="T853" i="5" s="1"/>
  <c r="BO550" i="5"/>
  <c r="BP550" i="5" s="1"/>
  <c r="AZ824" i="2"/>
  <c r="AR825" i="2"/>
  <c r="R785" i="2"/>
  <c r="S785" i="2" s="1"/>
  <c r="V785" i="2" s="1"/>
  <c r="AE917" i="5"/>
  <c r="AF917" i="5" s="1"/>
  <c r="AM916" i="5"/>
  <c r="AK783" i="2"/>
  <c r="AB784" i="2"/>
  <c r="AD784" i="2" s="1"/>
  <c r="AT858" i="5" l="1"/>
  <c r="AV858" i="5" s="1"/>
  <c r="AW858" i="5" s="1"/>
  <c r="BB857" i="5"/>
  <c r="W853" i="5"/>
  <c r="BK551" i="5"/>
  <c r="AT825" i="2"/>
  <c r="W785" i="2"/>
  <c r="N786" i="2"/>
  <c r="O786" i="2" s="1"/>
  <c r="M786" i="2"/>
  <c r="AL917" i="5"/>
  <c r="AC918" i="5" s="1"/>
  <c r="AE784" i="2"/>
  <c r="BA858" i="5" l="1"/>
  <c r="X853" i="5"/>
  <c r="N854" i="5"/>
  <c r="O854" i="5"/>
  <c r="P854" i="5" s="1"/>
  <c r="BM551" i="5"/>
  <c r="BN551" i="5" s="1"/>
  <c r="BO551" i="5" s="1"/>
  <c r="BP551" i="5" s="1"/>
  <c r="AU825" i="2"/>
  <c r="AY825" i="2" s="1"/>
  <c r="AE918" i="5"/>
  <c r="AF918" i="5" s="1"/>
  <c r="R786" i="2"/>
  <c r="S786" i="2" s="1"/>
  <c r="AM917" i="5"/>
  <c r="AJ784" i="2"/>
  <c r="S854" i="5" l="1"/>
  <c r="T854" i="5" s="1"/>
  <c r="BB858" i="5"/>
  <c r="AT859" i="5"/>
  <c r="AV859" i="5" s="1"/>
  <c r="AW859" i="5" s="1"/>
  <c r="BA859" i="5" s="1"/>
  <c r="BK552" i="5"/>
  <c r="AR826" i="2"/>
  <c r="AZ825" i="2"/>
  <c r="V786" i="2"/>
  <c r="AB785" i="2"/>
  <c r="AD785" i="2" s="1"/>
  <c r="AK784" i="2"/>
  <c r="W854" i="5" l="1"/>
  <c r="X854" i="5" s="1"/>
  <c r="N855" i="5"/>
  <c r="O855" i="5"/>
  <c r="P855" i="5" s="1"/>
  <c r="BB859" i="5"/>
  <c r="AT860" i="5"/>
  <c r="BM552" i="5"/>
  <c r="BN552" i="5" s="1"/>
  <c r="AT826" i="2"/>
  <c r="AU826" i="2" s="1"/>
  <c r="W786" i="2"/>
  <c r="M787" i="2"/>
  <c r="N787" i="2"/>
  <c r="O787" i="2" s="1"/>
  <c r="AL918" i="5"/>
  <c r="AC919" i="5" s="1"/>
  <c r="AE785" i="2"/>
  <c r="S855" i="5" l="1"/>
  <c r="T855" i="5" s="1"/>
  <c r="BO552" i="5"/>
  <c r="BP552" i="5" s="1"/>
  <c r="AV860" i="5"/>
  <c r="AW860" i="5" s="1"/>
  <c r="AY826" i="2"/>
  <c r="AE919" i="5"/>
  <c r="AF919" i="5" s="1"/>
  <c r="R787" i="2"/>
  <c r="S787" i="2" s="1"/>
  <c r="AM918" i="5"/>
  <c r="AJ785" i="2"/>
  <c r="BA860" i="5" l="1"/>
  <c r="W855" i="5"/>
  <c r="BK553" i="5"/>
  <c r="AZ826" i="2"/>
  <c r="AR827" i="2"/>
  <c r="V787" i="2"/>
  <c r="W787" i="2" s="1"/>
  <c r="AK785" i="2"/>
  <c r="AB786" i="2"/>
  <c r="AD786" i="2" s="1"/>
  <c r="AT861" i="5" l="1"/>
  <c r="AV861" i="5" s="1"/>
  <c r="AW861" i="5" s="1"/>
  <c r="BB860" i="5"/>
  <c r="X855" i="5"/>
  <c r="O856" i="5"/>
  <c r="P856" i="5" s="1"/>
  <c r="N856" i="5"/>
  <c r="BM553" i="5"/>
  <c r="BN553" i="5" s="1"/>
  <c r="H91" i="7"/>
  <c r="AT827" i="2"/>
  <c r="AU827" i="2" s="1"/>
  <c r="M788" i="2"/>
  <c r="N788" i="2"/>
  <c r="O788" i="2" s="1"/>
  <c r="AE786" i="2"/>
  <c r="S856" i="5" l="1"/>
  <c r="T856" i="5" s="1"/>
  <c r="W856" i="5" s="1"/>
  <c r="BA861" i="5"/>
  <c r="BO553" i="5"/>
  <c r="BP553" i="5" s="1"/>
  <c r="AY827" i="2"/>
  <c r="AZ827" i="2" s="1"/>
  <c r="R788" i="2"/>
  <c r="S788" i="2" s="1"/>
  <c r="AL919" i="5"/>
  <c r="AC920" i="5" s="1"/>
  <c r="AJ786" i="2"/>
  <c r="BB861" i="5" l="1"/>
  <c r="AT862" i="5"/>
  <c r="AV862" i="5" s="1"/>
  <c r="AW862" i="5" s="1"/>
  <c r="X856" i="5"/>
  <c r="N857" i="5"/>
  <c r="O857" i="5"/>
  <c r="P857" i="5" s="1"/>
  <c r="BK554" i="5"/>
  <c r="AR828" i="2"/>
  <c r="AT828" i="2" s="1"/>
  <c r="AU828" i="2" s="1"/>
  <c r="V788" i="2"/>
  <c r="AE920" i="5"/>
  <c r="AF920" i="5" s="1"/>
  <c r="AM919" i="5"/>
  <c r="AK786" i="2"/>
  <c r="AB787" i="2"/>
  <c r="AD787" i="2" s="1"/>
  <c r="S857" i="5" l="1"/>
  <c r="T857" i="5" s="1"/>
  <c r="BM554" i="5"/>
  <c r="BN554" i="5" s="1"/>
  <c r="BA862" i="5"/>
  <c r="AY828" i="2"/>
  <c r="W788" i="2"/>
  <c r="N789" i="2"/>
  <c r="O789" i="2" s="1"/>
  <c r="M789" i="2"/>
  <c r="AL920" i="5"/>
  <c r="AC921" i="5" s="1"/>
  <c r="AE787" i="2"/>
  <c r="W857" i="5" l="1"/>
  <c r="AT863" i="5"/>
  <c r="BB862" i="5"/>
  <c r="BO554" i="5"/>
  <c r="BP554" i="5" s="1"/>
  <c r="AR829" i="2"/>
  <c r="AZ828" i="2"/>
  <c r="AE921" i="5"/>
  <c r="AF921" i="5" s="1"/>
  <c r="R789" i="2"/>
  <c r="S789" i="2" s="1"/>
  <c r="AM920" i="5"/>
  <c r="AJ787" i="2"/>
  <c r="X857" i="5" l="1"/>
  <c r="O858" i="5"/>
  <c r="P858" i="5" s="1"/>
  <c r="N858" i="5"/>
  <c r="BK555" i="5"/>
  <c r="AV863" i="5"/>
  <c r="AW863" i="5" s="1"/>
  <c r="AT829" i="2"/>
  <c r="V789" i="2"/>
  <c r="N790" i="2" s="1"/>
  <c r="O790" i="2" s="1"/>
  <c r="J91" i="7"/>
  <c r="L91" i="7" s="1"/>
  <c r="AL921" i="5"/>
  <c r="AC922" i="5" s="1"/>
  <c r="AK787" i="2"/>
  <c r="M91" i="7" s="1"/>
  <c r="AB788" i="2"/>
  <c r="AD788" i="2" s="1"/>
  <c r="S858" i="5" l="1"/>
  <c r="T858" i="5" s="1"/>
  <c r="BM555" i="5"/>
  <c r="BN555" i="5" s="1"/>
  <c r="BA863" i="5"/>
  <c r="AU829" i="2"/>
  <c r="AY829" i="2" s="1"/>
  <c r="M790" i="2"/>
  <c r="R790" i="2" s="1"/>
  <c r="S790" i="2" s="1"/>
  <c r="W789" i="2"/>
  <c r="AE922" i="5"/>
  <c r="AF922" i="5" s="1"/>
  <c r="AM921" i="5"/>
  <c r="AE788" i="2"/>
  <c r="W858" i="5" l="1"/>
  <c r="AT864" i="5"/>
  <c r="BB863" i="5"/>
  <c r="BO555" i="5"/>
  <c r="BP555" i="5" s="1"/>
  <c r="AR830" i="2"/>
  <c r="AZ829" i="2"/>
  <c r="V790" i="2"/>
  <c r="AL922" i="5"/>
  <c r="AC923" i="5" s="1"/>
  <c r="AJ788" i="2"/>
  <c r="X858" i="5" l="1"/>
  <c r="O859" i="5"/>
  <c r="P859" i="5" s="1"/>
  <c r="N859" i="5"/>
  <c r="AV864" i="5"/>
  <c r="AW864" i="5" s="1"/>
  <c r="BK556" i="5"/>
  <c r="AT830" i="2"/>
  <c r="AE923" i="5"/>
  <c r="AF923" i="5" s="1"/>
  <c r="W790" i="2"/>
  <c r="AM922" i="5"/>
  <c r="N791" i="2"/>
  <c r="O791" i="2" s="1"/>
  <c r="M791" i="2"/>
  <c r="AK788" i="2"/>
  <c r="AB789" i="2"/>
  <c r="AD789" i="2" s="1"/>
  <c r="S859" i="5" l="1"/>
  <c r="T859" i="5" s="1"/>
  <c r="BM556" i="5"/>
  <c r="BN556" i="5" s="1"/>
  <c r="BO556" i="5" s="1"/>
  <c r="BP556" i="5" s="1"/>
  <c r="BA864" i="5"/>
  <c r="AU830" i="2"/>
  <c r="AY830" i="2" s="1"/>
  <c r="AL923" i="5"/>
  <c r="AC924" i="5" s="1"/>
  <c r="R791" i="2"/>
  <c r="S791" i="2" s="1"/>
  <c r="AE789" i="2"/>
  <c r="W859" i="5" l="1"/>
  <c r="BK557" i="5"/>
  <c r="BB864" i="5"/>
  <c r="AT865" i="5"/>
  <c r="AZ830" i="2"/>
  <c r="AR831" i="2"/>
  <c r="V791" i="2"/>
  <c r="AE924" i="5"/>
  <c r="AF924" i="5" s="1"/>
  <c r="AM923" i="5"/>
  <c r="AJ789" i="2"/>
  <c r="N860" i="5" l="1"/>
  <c r="X859" i="5"/>
  <c r="O860" i="5"/>
  <c r="P860" i="5" s="1"/>
  <c r="BM557" i="5"/>
  <c r="BN557" i="5" s="1"/>
  <c r="BO557" i="5" s="1"/>
  <c r="BP557" i="5" s="1"/>
  <c r="AV865" i="5"/>
  <c r="AW865" i="5" s="1"/>
  <c r="AT831" i="2"/>
  <c r="AB790" i="2"/>
  <c r="AD790" i="2" s="1"/>
  <c r="AE790" i="2" s="1"/>
  <c r="W791" i="2"/>
  <c r="AL924" i="5"/>
  <c r="AC925" i="5" s="1"/>
  <c r="M792" i="2"/>
  <c r="N792" i="2"/>
  <c r="O792" i="2" s="1"/>
  <c r="AK789" i="2"/>
  <c r="S860" i="5" l="1"/>
  <c r="T860" i="5" s="1"/>
  <c r="W860" i="5" s="1"/>
  <c r="BA865" i="5"/>
  <c r="BK558" i="5"/>
  <c r="BM558" i="5" s="1"/>
  <c r="BN558" i="5" s="1"/>
  <c r="BO558" i="5" s="1"/>
  <c r="BP558" i="5" s="1"/>
  <c r="AU831" i="2"/>
  <c r="AY831" i="2" s="1"/>
  <c r="AE925" i="5"/>
  <c r="AF925" i="5" s="1"/>
  <c r="R792" i="2"/>
  <c r="S792" i="2" s="1"/>
  <c r="AM924" i="5"/>
  <c r="AJ790" i="2"/>
  <c r="O861" i="5" l="1"/>
  <c r="P861" i="5" s="1"/>
  <c r="N861" i="5"/>
  <c r="X860" i="5"/>
  <c r="BK559" i="5"/>
  <c r="BM559" i="5" s="1"/>
  <c r="BN559" i="5" s="1"/>
  <c r="BO559" i="5" s="1"/>
  <c r="BP559" i="5" s="1"/>
  <c r="AT866" i="5"/>
  <c r="BB865" i="5"/>
  <c r="AZ831" i="2"/>
  <c r="AR832" i="2"/>
  <c r="V792" i="2"/>
  <c r="AK790" i="2"/>
  <c r="AB791" i="2"/>
  <c r="AD791" i="2" s="1"/>
  <c r="S861" i="5" l="1"/>
  <c r="T861" i="5" s="1"/>
  <c r="M72" i="9"/>
  <c r="BK560" i="5"/>
  <c r="K72" i="9"/>
  <c r="L72" i="9" s="1"/>
  <c r="AV866" i="5"/>
  <c r="AW866" i="5" s="1"/>
  <c r="AT832" i="2"/>
  <c r="AU832" i="2" s="1"/>
  <c r="W792" i="2"/>
  <c r="N793" i="2"/>
  <c r="O793" i="2" s="1"/>
  <c r="M793" i="2"/>
  <c r="AL925" i="5"/>
  <c r="AC926" i="5" s="1"/>
  <c r="AE791" i="2"/>
  <c r="BA866" i="5" l="1"/>
  <c r="BB866" i="5" s="1"/>
  <c r="W861" i="5"/>
  <c r="BM560" i="5"/>
  <c r="BN560" i="5" s="1"/>
  <c r="AY832" i="2"/>
  <c r="AE926" i="5"/>
  <c r="AF926" i="5" s="1"/>
  <c r="R793" i="2"/>
  <c r="S793" i="2" s="1"/>
  <c r="AM925" i="5"/>
  <c r="AJ791" i="2"/>
  <c r="AT867" i="5" l="1"/>
  <c r="AV867" i="5" s="1"/>
  <c r="AW867" i="5" s="1"/>
  <c r="BA867" i="5" s="1"/>
  <c r="O862" i="5"/>
  <c r="P862" i="5" s="1"/>
  <c r="N862" i="5"/>
  <c r="X861" i="5"/>
  <c r="BO560" i="5"/>
  <c r="BP560" i="5" s="1"/>
  <c r="AR833" i="2"/>
  <c r="AZ832" i="2"/>
  <c r="V793" i="2"/>
  <c r="AK791" i="2"/>
  <c r="AB792" i="2"/>
  <c r="AD792" i="2" s="1"/>
  <c r="S862" i="5" l="1"/>
  <c r="T862" i="5" s="1"/>
  <c r="BB867" i="5"/>
  <c r="AT868" i="5"/>
  <c r="BK561" i="5"/>
  <c r="AT833" i="2"/>
  <c r="W793" i="2"/>
  <c r="N794" i="2"/>
  <c r="O794" i="2" s="1"/>
  <c r="M794" i="2"/>
  <c r="AL926" i="5"/>
  <c r="AC927" i="5" s="1"/>
  <c r="AE792" i="2"/>
  <c r="W862" i="5" l="1"/>
  <c r="AV868" i="5"/>
  <c r="AW868" i="5" s="1"/>
  <c r="BM561" i="5"/>
  <c r="BN561" i="5" s="1"/>
  <c r="AU833" i="2"/>
  <c r="AY833" i="2" s="1"/>
  <c r="AE927" i="5"/>
  <c r="AF927" i="5" s="1"/>
  <c r="R794" i="2"/>
  <c r="S794" i="2" s="1"/>
  <c r="AM926" i="5"/>
  <c r="AJ792" i="2"/>
  <c r="O863" i="5" l="1"/>
  <c r="P863" i="5" s="1"/>
  <c r="X862" i="5"/>
  <c r="N863" i="5"/>
  <c r="BA868" i="5"/>
  <c r="AT869" i="5" s="1"/>
  <c r="BO561" i="5"/>
  <c r="BP561" i="5" s="1"/>
  <c r="AZ833" i="2"/>
  <c r="AR834" i="2"/>
  <c r="V794" i="2"/>
  <c r="AK792" i="2"/>
  <c r="AL927" i="5"/>
  <c r="AC928" i="5" s="1"/>
  <c r="AB793" i="2"/>
  <c r="S863" i="5" l="1"/>
  <c r="T863" i="5" s="1"/>
  <c r="W863" i="5" s="1"/>
  <c r="BB868" i="5"/>
  <c r="BK562" i="5"/>
  <c r="AV869" i="5"/>
  <c r="AW869" i="5" s="1"/>
  <c r="AT834" i="2"/>
  <c r="M795" i="2"/>
  <c r="W794" i="2"/>
  <c r="N795" i="2"/>
  <c r="O795" i="2" s="1"/>
  <c r="AE928" i="5"/>
  <c r="AF928" i="5" s="1"/>
  <c r="AM927" i="5"/>
  <c r="AD793" i="2"/>
  <c r="AE793" i="2" s="1"/>
  <c r="O864" i="5" l="1"/>
  <c r="P864" i="5" s="1"/>
  <c r="BA869" i="5"/>
  <c r="AT870" i="5" s="1"/>
  <c r="X863" i="5"/>
  <c r="N864" i="5"/>
  <c r="BM562" i="5"/>
  <c r="BN562" i="5" s="1"/>
  <c r="AU834" i="2"/>
  <c r="AY834" i="2" s="1"/>
  <c r="R795" i="2"/>
  <c r="S795" i="2" s="1"/>
  <c r="V795" i="2" s="1"/>
  <c r="AJ793" i="2"/>
  <c r="BB869" i="5" l="1"/>
  <c r="S864" i="5"/>
  <c r="T864" i="5" s="1"/>
  <c r="W864" i="5" s="1"/>
  <c r="N865" i="5" s="1"/>
  <c r="BO562" i="5"/>
  <c r="BP562" i="5" s="1"/>
  <c r="AV870" i="5"/>
  <c r="AW870" i="5" s="1"/>
  <c r="AZ834" i="2"/>
  <c r="AR835" i="2"/>
  <c r="AB794" i="2"/>
  <c r="AD794" i="2" s="1"/>
  <c r="W795" i="2"/>
  <c r="M796" i="2"/>
  <c r="N796" i="2"/>
  <c r="O796" i="2" s="1"/>
  <c r="AK793" i="2"/>
  <c r="X864" i="5" l="1"/>
  <c r="O865" i="5"/>
  <c r="P865" i="5" s="1"/>
  <c r="S865" i="5" s="1"/>
  <c r="T865" i="5" s="1"/>
  <c r="W865" i="5" s="1"/>
  <c r="BA870" i="5"/>
  <c r="BK563" i="5"/>
  <c r="AT835" i="2"/>
  <c r="AE794" i="2"/>
  <c r="AJ794" i="2" s="1"/>
  <c r="R796" i="2"/>
  <c r="S796" i="2" s="1"/>
  <c r="AL928" i="5"/>
  <c r="AC929" i="5" s="1"/>
  <c r="O866" i="5" l="1"/>
  <c r="P866" i="5" s="1"/>
  <c r="X865" i="5"/>
  <c r="N866" i="5"/>
  <c r="BM563" i="5"/>
  <c r="BN563" i="5" s="1"/>
  <c r="AT871" i="5"/>
  <c r="BB870" i="5"/>
  <c r="AU835" i="2"/>
  <c r="AY835" i="2" s="1"/>
  <c r="V796" i="2"/>
  <c r="AE929" i="5"/>
  <c r="AF929" i="5" s="1"/>
  <c r="AB795" i="2"/>
  <c r="AD795" i="2" s="1"/>
  <c r="AK794" i="2"/>
  <c r="AM928" i="5"/>
  <c r="S866" i="5" l="1"/>
  <c r="T866" i="5" s="1"/>
  <c r="AV871" i="5"/>
  <c r="AW871" i="5" s="1"/>
  <c r="BO563" i="5"/>
  <c r="BP563" i="5" s="1"/>
  <c r="AZ835" i="2"/>
  <c r="AR836" i="2"/>
  <c r="AE795" i="2"/>
  <c r="AJ795" i="2" s="1"/>
  <c r="W796" i="2"/>
  <c r="M797" i="2"/>
  <c r="N797" i="2"/>
  <c r="O797" i="2" s="1"/>
  <c r="AL929" i="5"/>
  <c r="AC930" i="5" s="1"/>
  <c r="BA871" i="5" l="1"/>
  <c r="AT872" i="5" s="1"/>
  <c r="W866" i="5"/>
  <c r="BK564" i="5"/>
  <c r="AT836" i="2"/>
  <c r="AU836" i="2" s="1"/>
  <c r="AE930" i="5"/>
  <c r="AF930" i="5" s="1"/>
  <c r="AB796" i="2"/>
  <c r="AD796" i="2" s="1"/>
  <c r="R797" i="2"/>
  <c r="S797" i="2" s="1"/>
  <c r="AM929" i="5"/>
  <c r="AK795" i="2"/>
  <c r="BB871" i="5" l="1"/>
  <c r="N867" i="5"/>
  <c r="O867" i="5"/>
  <c r="P867" i="5" s="1"/>
  <c r="X866" i="5"/>
  <c r="AV872" i="5"/>
  <c r="AW872" i="5" s="1"/>
  <c r="BM564" i="5"/>
  <c r="BN564" i="5" s="1"/>
  <c r="AY836" i="2"/>
  <c r="V797" i="2"/>
  <c r="AE796" i="2"/>
  <c r="AJ796" i="2" s="1"/>
  <c r="S867" i="5" l="1"/>
  <c r="T867" i="5" s="1"/>
  <c r="BO564" i="5"/>
  <c r="BP564" i="5" s="1"/>
  <c r="BA872" i="5"/>
  <c r="AR837" i="2"/>
  <c r="AZ836" i="2"/>
  <c r="W797" i="2"/>
  <c r="N798" i="2"/>
  <c r="O798" i="2" s="1"/>
  <c r="M798" i="2"/>
  <c r="AL930" i="5"/>
  <c r="AC931" i="5" s="1"/>
  <c r="AK796" i="2"/>
  <c r="AB797" i="2"/>
  <c r="AD797" i="2" s="1"/>
  <c r="W867" i="5" l="1"/>
  <c r="BB872" i="5"/>
  <c r="AT873" i="5"/>
  <c r="BK565" i="5"/>
  <c r="AT837" i="2"/>
  <c r="AU837" i="2" s="1"/>
  <c r="AE931" i="5"/>
  <c r="AF931" i="5" s="1"/>
  <c r="R798" i="2"/>
  <c r="S798" i="2" s="1"/>
  <c r="AM930" i="5"/>
  <c r="AE797" i="2"/>
  <c r="AJ797" i="2" s="1"/>
  <c r="X867" i="5" l="1"/>
  <c r="N868" i="5"/>
  <c r="O868" i="5"/>
  <c r="P868" i="5" s="1"/>
  <c r="AV873" i="5"/>
  <c r="AW873" i="5" s="1"/>
  <c r="BA873" i="5" s="1"/>
  <c r="BM565" i="5"/>
  <c r="BN565" i="5" s="1"/>
  <c r="AY837" i="2"/>
  <c r="V798" i="2"/>
  <c r="AK797" i="2"/>
  <c r="AB798" i="2"/>
  <c r="AD798" i="2" s="1"/>
  <c r="BO565" i="5" l="1"/>
  <c r="S868" i="5"/>
  <c r="T868" i="5" s="1"/>
  <c r="AT874" i="5"/>
  <c r="BB873" i="5"/>
  <c r="AZ837" i="2"/>
  <c r="AR838" i="2"/>
  <c r="AT838" i="2" s="1"/>
  <c r="M799" i="2"/>
  <c r="W798" i="2"/>
  <c r="N799" i="2"/>
  <c r="O799" i="2" s="1"/>
  <c r="AL931" i="5"/>
  <c r="AC932" i="5" s="1"/>
  <c r="AE798" i="2"/>
  <c r="BK566" i="5" l="1"/>
  <c r="BM566" i="5" s="1"/>
  <c r="BN566" i="5" s="1"/>
  <c r="BO566" i="5" s="1"/>
  <c r="BP566" i="5" s="1"/>
  <c r="BP565" i="5"/>
  <c r="W868" i="5"/>
  <c r="BK567" i="5"/>
  <c r="AV874" i="5"/>
  <c r="AW874" i="5" s="1"/>
  <c r="AU838" i="2"/>
  <c r="AY838" i="2" s="1"/>
  <c r="AE932" i="5"/>
  <c r="AF932" i="5" s="1"/>
  <c r="R799" i="2"/>
  <c r="S799" i="2" s="1"/>
  <c r="AM931" i="5"/>
  <c r="AJ798" i="2"/>
  <c r="X868" i="5" l="1"/>
  <c r="O869" i="5"/>
  <c r="P869" i="5" s="1"/>
  <c r="N869" i="5"/>
  <c r="BM567" i="5"/>
  <c r="BN567" i="5" s="1"/>
  <c r="BO567" i="5" s="1"/>
  <c r="BP567" i="5" s="1"/>
  <c r="BA874" i="5"/>
  <c r="AR839" i="2"/>
  <c r="AZ838" i="2"/>
  <c r="V799" i="2"/>
  <c r="AL932" i="5"/>
  <c r="AC933" i="5" s="1"/>
  <c r="AK798" i="2"/>
  <c r="AB799" i="2"/>
  <c r="AD799" i="2" s="1"/>
  <c r="S869" i="5" l="1"/>
  <c r="T869" i="5" s="1"/>
  <c r="W869" i="5" s="1"/>
  <c r="BK568" i="5"/>
  <c r="BM568" i="5" s="1"/>
  <c r="BN568" i="5" s="1"/>
  <c r="BO568" i="5" s="1"/>
  <c r="BP568" i="5" s="1"/>
  <c r="BB874" i="5"/>
  <c r="AT875" i="5"/>
  <c r="AT839" i="2"/>
  <c r="AU839" i="2" s="1"/>
  <c r="AE933" i="5"/>
  <c r="AF933" i="5" s="1"/>
  <c r="H48" i="6"/>
  <c r="H92" i="7"/>
  <c r="W799" i="2"/>
  <c r="N800" i="2"/>
  <c r="O800" i="2" s="1"/>
  <c r="M800" i="2"/>
  <c r="AM932" i="5"/>
  <c r="AE799" i="2"/>
  <c r="X869" i="5" l="1"/>
  <c r="O870" i="5"/>
  <c r="P870" i="5" s="1"/>
  <c r="N870" i="5"/>
  <c r="AV875" i="5"/>
  <c r="AW875" i="5" s="1"/>
  <c r="BK569" i="5"/>
  <c r="AY839" i="2"/>
  <c r="R800" i="2"/>
  <c r="S800" i="2" s="1"/>
  <c r="AL933" i="5"/>
  <c r="AC934" i="5" s="1"/>
  <c r="AJ799" i="2"/>
  <c r="S870" i="5" l="1"/>
  <c r="T870" i="5" s="1"/>
  <c r="BM569" i="5"/>
  <c r="BN569" i="5" s="1"/>
  <c r="BA875" i="5"/>
  <c r="AR840" i="2"/>
  <c r="AT840" i="2" s="1"/>
  <c r="AU840" i="2" s="1"/>
  <c r="AZ839" i="2"/>
  <c r="V800" i="2"/>
  <c r="AE934" i="5"/>
  <c r="AF934" i="5" s="1"/>
  <c r="J92" i="7"/>
  <c r="L92" i="7" s="1"/>
  <c r="J48" i="6"/>
  <c r="L48" i="6" s="1"/>
  <c r="AM933" i="5"/>
  <c r="AK799" i="2"/>
  <c r="AB800" i="2"/>
  <c r="AD800" i="2" s="1"/>
  <c r="W870" i="5" l="1"/>
  <c r="BO569" i="5"/>
  <c r="BP569" i="5" s="1"/>
  <c r="BB875" i="5"/>
  <c r="AT876" i="5"/>
  <c r="AV876" i="5" s="1"/>
  <c r="AW876" i="5" s="1"/>
  <c r="BA876" i="5" s="1"/>
  <c r="AY840" i="2"/>
  <c r="M801" i="2"/>
  <c r="N801" i="2"/>
  <c r="O801" i="2" s="1"/>
  <c r="W800" i="2"/>
  <c r="M92" i="7"/>
  <c r="M48" i="6"/>
  <c r="AL934" i="5"/>
  <c r="AC935" i="5" s="1"/>
  <c r="AE800" i="2"/>
  <c r="X870" i="5" l="1"/>
  <c r="N871" i="5"/>
  <c r="O871" i="5"/>
  <c r="P871" i="5" s="1"/>
  <c r="AT877" i="5"/>
  <c r="BB876" i="5"/>
  <c r="BK570" i="5"/>
  <c r="AR841" i="2"/>
  <c r="AZ840" i="2"/>
  <c r="AE935" i="5"/>
  <c r="AF935" i="5" s="1"/>
  <c r="R801" i="2"/>
  <c r="S801" i="2" s="1"/>
  <c r="AM934" i="5"/>
  <c r="AJ800" i="2"/>
  <c r="S871" i="5" l="1"/>
  <c r="T871" i="5" s="1"/>
  <c r="W871" i="5" s="1"/>
  <c r="AV877" i="5"/>
  <c r="AW877" i="5" s="1"/>
  <c r="BM570" i="5"/>
  <c r="BN570" i="5" s="1"/>
  <c r="AT841" i="2"/>
  <c r="AU841" i="2" s="1"/>
  <c r="V801" i="2"/>
  <c r="AL935" i="5"/>
  <c r="AC936" i="5" s="1"/>
  <c r="AB801" i="2"/>
  <c r="AD801" i="2" s="1"/>
  <c r="AK800" i="2"/>
  <c r="O872" i="5" l="1"/>
  <c r="P872" i="5" s="1"/>
  <c r="N872" i="5"/>
  <c r="X871" i="5"/>
  <c r="BO570" i="5"/>
  <c r="BP570" i="5" s="1"/>
  <c r="BA877" i="5"/>
  <c r="AY841" i="2"/>
  <c r="AE936" i="5"/>
  <c r="AF936" i="5" s="1"/>
  <c r="M802" i="2"/>
  <c r="N802" i="2"/>
  <c r="O802" i="2" s="1"/>
  <c r="W801" i="2"/>
  <c r="AM935" i="5"/>
  <c r="AE801" i="2"/>
  <c r="S872" i="5" l="1"/>
  <c r="T872" i="5" s="1"/>
  <c r="BB877" i="5"/>
  <c r="AT878" i="5"/>
  <c r="BK571" i="5"/>
  <c r="AZ841" i="2"/>
  <c r="AR842" i="2"/>
  <c r="R802" i="2"/>
  <c r="S802" i="2" s="1"/>
  <c r="AJ801" i="2"/>
  <c r="W872" i="5" l="1"/>
  <c r="AV878" i="5"/>
  <c r="AW878" i="5" s="1"/>
  <c r="BM571" i="5"/>
  <c r="BN571" i="5" s="1"/>
  <c r="AT842" i="2"/>
  <c r="V802" i="2"/>
  <c r="AL936" i="5"/>
  <c r="AC937" i="5" s="1"/>
  <c r="AK801" i="2"/>
  <c r="AB802" i="2"/>
  <c r="AD802" i="2" s="1"/>
  <c r="O873" i="5" l="1"/>
  <c r="P873" i="5" s="1"/>
  <c r="N873" i="5"/>
  <c r="X872" i="5"/>
  <c r="BA878" i="5"/>
  <c r="BO571" i="5"/>
  <c r="BP571" i="5" s="1"/>
  <c r="AU842" i="2"/>
  <c r="AY842" i="2" s="1"/>
  <c r="AE937" i="5"/>
  <c r="AF937" i="5" s="1"/>
  <c r="N803" i="2"/>
  <c r="O803" i="2" s="1"/>
  <c r="M803" i="2"/>
  <c r="W802" i="2"/>
  <c r="AM936" i="5"/>
  <c r="AE802" i="2"/>
  <c r="S873" i="5" l="1"/>
  <c r="T873" i="5" s="1"/>
  <c r="BK572" i="5"/>
  <c r="K73" i="9"/>
  <c r="L73" i="9" s="1"/>
  <c r="M73" i="9"/>
  <c r="AT879" i="5"/>
  <c r="BB878" i="5"/>
  <c r="AR843" i="2"/>
  <c r="AZ842" i="2"/>
  <c r="R803" i="2"/>
  <c r="S803" i="2" s="1"/>
  <c r="AL937" i="5"/>
  <c r="AC938" i="5" s="1"/>
  <c r="AJ802" i="2"/>
  <c r="W873" i="5" l="1"/>
  <c r="BM572" i="5"/>
  <c r="BN572" i="5" s="1"/>
  <c r="AV879" i="5"/>
  <c r="AW879" i="5" s="1"/>
  <c r="AT843" i="2"/>
  <c r="AU843" i="2" s="1"/>
  <c r="V803" i="2"/>
  <c r="AE938" i="5"/>
  <c r="AF938" i="5" s="1"/>
  <c r="AM937" i="5"/>
  <c r="AK802" i="2"/>
  <c r="AB803" i="2"/>
  <c r="AD803" i="2" s="1"/>
  <c r="X873" i="5" l="1"/>
  <c r="O874" i="5"/>
  <c r="P874" i="5" s="1"/>
  <c r="N874" i="5"/>
  <c r="BO572" i="5"/>
  <c r="BP572" i="5" s="1"/>
  <c r="BA879" i="5"/>
  <c r="AY843" i="2"/>
  <c r="W803" i="2"/>
  <c r="M804" i="2"/>
  <c r="N804" i="2"/>
  <c r="O804" i="2" s="1"/>
  <c r="AE803" i="2"/>
  <c r="S874" i="5" l="1"/>
  <c r="T874" i="5" s="1"/>
  <c r="W874" i="5" s="1"/>
  <c r="BB879" i="5"/>
  <c r="AT880" i="5"/>
  <c r="BK573" i="5"/>
  <c r="AZ843" i="2"/>
  <c r="AR844" i="2"/>
  <c r="R804" i="2"/>
  <c r="S804" i="2" s="1"/>
  <c r="AL938" i="5"/>
  <c r="AC939" i="5" s="1"/>
  <c r="AJ803" i="2"/>
  <c r="X874" i="5" l="1"/>
  <c r="O875" i="5"/>
  <c r="P875" i="5" s="1"/>
  <c r="N875" i="5"/>
  <c r="BM573" i="5"/>
  <c r="BN573" i="5" s="1"/>
  <c r="AV880" i="5"/>
  <c r="AW880" i="5" s="1"/>
  <c r="AT844" i="2"/>
  <c r="V804" i="2"/>
  <c r="AE939" i="5"/>
  <c r="AF939" i="5" s="1"/>
  <c r="AM938" i="5"/>
  <c r="AK803" i="2"/>
  <c r="AB804" i="2"/>
  <c r="AD804" i="2" s="1"/>
  <c r="S875" i="5" l="1"/>
  <c r="T875" i="5" s="1"/>
  <c r="BA880" i="5"/>
  <c r="BO573" i="5"/>
  <c r="BP573" i="5" s="1"/>
  <c r="AU844" i="2"/>
  <c r="AY844" i="2" s="1"/>
  <c r="W804" i="2"/>
  <c r="N805" i="2"/>
  <c r="O805" i="2" s="1"/>
  <c r="M805" i="2"/>
  <c r="AE804" i="2"/>
  <c r="W875" i="5" l="1"/>
  <c r="BK574" i="5"/>
  <c r="AT881" i="5"/>
  <c r="BB880" i="5"/>
  <c r="AR845" i="2"/>
  <c r="AZ844" i="2"/>
  <c r="R805" i="2"/>
  <c r="S805" i="2" s="1"/>
  <c r="AL939" i="5"/>
  <c r="AC940" i="5" s="1"/>
  <c r="AJ804" i="2"/>
  <c r="N876" i="5" l="1"/>
  <c r="O876" i="5"/>
  <c r="P876" i="5" s="1"/>
  <c r="X875" i="5"/>
  <c r="AV881" i="5"/>
  <c r="AW881" i="5" s="1"/>
  <c r="BA881" i="5" s="1"/>
  <c r="BM574" i="5"/>
  <c r="BN574" i="5" s="1"/>
  <c r="AT845" i="2"/>
  <c r="V805" i="2"/>
  <c r="AE940" i="5"/>
  <c r="AF940" i="5" s="1"/>
  <c r="AM939" i="5"/>
  <c r="AK804" i="2"/>
  <c r="AB805" i="2"/>
  <c r="AD805" i="2" s="1"/>
  <c r="BO574" i="5" l="1"/>
  <c r="S876" i="5"/>
  <c r="T876" i="5" s="1"/>
  <c r="W876" i="5" s="1"/>
  <c r="BB881" i="5"/>
  <c r="AT882" i="5"/>
  <c r="AU845" i="2"/>
  <c r="AY845" i="2" s="1"/>
  <c r="W805" i="2"/>
  <c r="N806" i="2"/>
  <c r="O806" i="2" s="1"/>
  <c r="M806" i="2"/>
  <c r="AL940" i="5"/>
  <c r="AC941" i="5" s="1"/>
  <c r="AE805" i="2"/>
  <c r="BK575" i="5" l="1"/>
  <c r="BM575" i="5" s="1"/>
  <c r="BN575" i="5" s="1"/>
  <c r="BP574" i="5"/>
  <c r="O877" i="5"/>
  <c r="P877" i="5" s="1"/>
  <c r="N877" i="5"/>
  <c r="X876" i="5"/>
  <c r="AV882" i="5"/>
  <c r="AW882" i="5" s="1"/>
  <c r="BA882" i="5" s="1"/>
  <c r="AR846" i="2"/>
  <c r="AZ845" i="2"/>
  <c r="AE941" i="5"/>
  <c r="AF941" i="5" s="1"/>
  <c r="R806" i="2"/>
  <c r="S806" i="2" s="1"/>
  <c r="AM940" i="5"/>
  <c r="AJ805" i="2"/>
  <c r="S877" i="5" l="1"/>
  <c r="T877" i="5" s="1"/>
  <c r="AT883" i="5"/>
  <c r="BB882" i="5"/>
  <c r="BO575" i="5"/>
  <c r="BP575" i="5" s="1"/>
  <c r="AT846" i="2"/>
  <c r="AU846" i="2" s="1"/>
  <c r="V806" i="2"/>
  <c r="M807" i="2" s="1"/>
  <c r="AK805" i="2"/>
  <c r="AB806" i="2"/>
  <c r="AD806" i="2" s="1"/>
  <c r="W877" i="5" l="1"/>
  <c r="X877" i="5" s="1"/>
  <c r="BK576" i="5"/>
  <c r="AV883" i="5"/>
  <c r="AW883" i="5" s="1"/>
  <c r="AY846" i="2"/>
  <c r="AZ846" i="2" s="1"/>
  <c r="N807" i="2"/>
  <c r="O807" i="2" s="1"/>
  <c r="W806" i="2"/>
  <c r="AL941" i="5"/>
  <c r="AC942" i="5" s="1"/>
  <c r="AE806" i="2"/>
  <c r="O878" i="5" l="1"/>
  <c r="P878" i="5" s="1"/>
  <c r="N878" i="5"/>
  <c r="BA883" i="5"/>
  <c r="BM576" i="5"/>
  <c r="BN576" i="5" s="1"/>
  <c r="AR847" i="2"/>
  <c r="AT847" i="2" s="1"/>
  <c r="R807" i="2"/>
  <c r="S807" i="2" s="1"/>
  <c r="AE942" i="5"/>
  <c r="AF942" i="5" s="1"/>
  <c r="AM941" i="5"/>
  <c r="AJ806" i="2"/>
  <c r="S878" i="5" l="1"/>
  <c r="T878" i="5" s="1"/>
  <c r="W878" i="5" s="1"/>
  <c r="BO576" i="5"/>
  <c r="BP576" i="5" s="1"/>
  <c r="AT884" i="5"/>
  <c r="BB883" i="5"/>
  <c r="AU847" i="2"/>
  <c r="AY847" i="2" s="1"/>
  <c r="V807" i="2"/>
  <c r="AK806" i="2"/>
  <c r="AB807" i="2"/>
  <c r="AD807" i="2" s="1"/>
  <c r="N879" i="5" l="1"/>
  <c r="O879" i="5"/>
  <c r="P879" i="5" s="1"/>
  <c r="X878" i="5"/>
  <c r="AV884" i="5"/>
  <c r="AW884" i="5" s="1"/>
  <c r="BK577" i="5"/>
  <c r="AZ847" i="2"/>
  <c r="AR848" i="2"/>
  <c r="M808" i="2"/>
  <c r="N808" i="2"/>
  <c r="O808" i="2" s="1"/>
  <c r="W807" i="2"/>
  <c r="AL942" i="5"/>
  <c r="AC943" i="5" s="1"/>
  <c r="AE807" i="2"/>
  <c r="S879" i="5" l="1"/>
  <c r="T879" i="5" s="1"/>
  <c r="W879" i="5" s="1"/>
  <c r="BA884" i="5"/>
  <c r="AT885" i="5" s="1"/>
  <c r="BM577" i="5"/>
  <c r="BN577" i="5" s="1"/>
  <c r="BO577" i="5" s="1"/>
  <c r="BP577" i="5" s="1"/>
  <c r="AT848" i="2"/>
  <c r="R808" i="2"/>
  <c r="S808" i="2" s="1"/>
  <c r="AE943" i="5"/>
  <c r="AF943" i="5" s="1"/>
  <c r="AM942" i="5"/>
  <c r="AJ807" i="2"/>
  <c r="O880" i="5" l="1"/>
  <c r="P880" i="5" s="1"/>
  <c r="N880" i="5"/>
  <c r="BB884" i="5"/>
  <c r="X879" i="5"/>
  <c r="BK578" i="5"/>
  <c r="AV885" i="5"/>
  <c r="AW885" i="5" s="1"/>
  <c r="V808" i="2"/>
  <c r="AU848" i="2"/>
  <c r="AY848" i="2" s="1"/>
  <c r="AK807" i="2"/>
  <c r="AB808" i="2"/>
  <c r="AD808" i="2" s="1"/>
  <c r="S880" i="5" l="1"/>
  <c r="T880" i="5" s="1"/>
  <c r="W880" i="5" s="1"/>
  <c r="BM578" i="5"/>
  <c r="BN578" i="5" s="1"/>
  <c r="BA885" i="5"/>
  <c r="AR849" i="2"/>
  <c r="AZ848" i="2"/>
  <c r="W808" i="2"/>
  <c r="N809" i="2"/>
  <c r="O809" i="2" s="1"/>
  <c r="M809" i="2"/>
  <c r="AL943" i="5"/>
  <c r="AC944" i="5" s="1"/>
  <c r="AE808" i="2"/>
  <c r="O881" i="5" l="1"/>
  <c r="P881" i="5" s="1"/>
  <c r="N881" i="5"/>
  <c r="X880" i="5"/>
  <c r="BO578" i="5"/>
  <c r="BP578" i="5" s="1"/>
  <c r="AT886" i="5"/>
  <c r="BB885" i="5"/>
  <c r="R809" i="2"/>
  <c r="S809" i="2" s="1"/>
  <c r="V809" i="2" s="1"/>
  <c r="AT849" i="2"/>
  <c r="AE944" i="5"/>
  <c r="AF944" i="5" s="1"/>
  <c r="AM943" i="5"/>
  <c r="AJ808" i="2"/>
  <c r="S881" i="5" l="1"/>
  <c r="T881" i="5" s="1"/>
  <c r="W881" i="5" s="1"/>
  <c r="O882" i="5" s="1"/>
  <c r="P882" i="5" s="1"/>
  <c r="AV886" i="5"/>
  <c r="AW886" i="5" s="1"/>
  <c r="BA886" i="5" s="1"/>
  <c r="BK579" i="5"/>
  <c r="AU849" i="2"/>
  <c r="AY849" i="2" s="1"/>
  <c r="W809" i="2"/>
  <c r="M810" i="2"/>
  <c r="N810" i="2"/>
  <c r="O810" i="2" s="1"/>
  <c r="AL944" i="5"/>
  <c r="AC945" i="5" s="1"/>
  <c r="AK808" i="2"/>
  <c r="AB809" i="2"/>
  <c r="AD809" i="2" s="1"/>
  <c r="N882" i="5" l="1"/>
  <c r="S882" i="5" s="1"/>
  <c r="T882" i="5" s="1"/>
  <c r="W882" i="5" s="1"/>
  <c r="X882" i="5" s="1"/>
  <c r="X881" i="5"/>
  <c r="AT887" i="5"/>
  <c r="BB886" i="5"/>
  <c r="BM579" i="5"/>
  <c r="BN579" i="5" s="1"/>
  <c r="BO579" i="5" s="1"/>
  <c r="BP579" i="5" s="1"/>
  <c r="AZ849" i="2"/>
  <c r="AR850" i="2"/>
  <c r="AE945" i="5"/>
  <c r="AF945" i="5" s="1"/>
  <c r="R810" i="2"/>
  <c r="S810" i="2" s="1"/>
  <c r="AM944" i="5"/>
  <c r="AE809" i="2"/>
  <c r="O883" i="5" l="1"/>
  <c r="P883" i="5" s="1"/>
  <c r="N883" i="5"/>
  <c r="BK580" i="5"/>
  <c r="AV887" i="5"/>
  <c r="AW887" i="5" s="1"/>
  <c r="BA887" i="5" s="1"/>
  <c r="AT850" i="2"/>
  <c r="AU850" i="2" s="1"/>
  <c r="AY850" i="2" s="1"/>
  <c r="V810" i="2"/>
  <c r="AJ809" i="2"/>
  <c r="S883" i="5" l="1"/>
  <c r="T883" i="5" s="1"/>
  <c r="W883" i="5" s="1"/>
  <c r="N884" i="5" s="1"/>
  <c r="BB887" i="5"/>
  <c r="AT888" i="5"/>
  <c r="BM580" i="5"/>
  <c r="BN580" i="5" s="1"/>
  <c r="AZ850" i="2"/>
  <c r="AR851" i="2"/>
  <c r="W810" i="2"/>
  <c r="M811" i="2"/>
  <c r="N811" i="2"/>
  <c r="O811" i="2" s="1"/>
  <c r="AL945" i="5"/>
  <c r="AC946" i="5" s="1"/>
  <c r="AK809" i="2"/>
  <c r="AB810" i="2"/>
  <c r="AD810" i="2" s="1"/>
  <c r="X883" i="5" l="1"/>
  <c r="O884" i="5"/>
  <c r="P884" i="5" s="1"/>
  <c r="S884" i="5" s="1"/>
  <c r="T884" i="5" s="1"/>
  <c r="W884" i="5" s="1"/>
  <c r="BO580" i="5"/>
  <c r="BP580" i="5" s="1"/>
  <c r="AV888" i="5"/>
  <c r="AW888" i="5" s="1"/>
  <c r="AT851" i="2"/>
  <c r="AE946" i="5"/>
  <c r="AF946" i="5" s="1"/>
  <c r="R811" i="2"/>
  <c r="S811" i="2" s="1"/>
  <c r="AM945" i="5"/>
  <c r="AE810" i="2"/>
  <c r="X884" i="5" l="1"/>
  <c r="O885" i="5"/>
  <c r="P885" i="5" s="1"/>
  <c r="N885" i="5"/>
  <c r="BA888" i="5"/>
  <c r="BK581" i="5"/>
  <c r="AU851" i="2"/>
  <c r="AY851" i="2" s="1"/>
  <c r="V811" i="2"/>
  <c r="AJ810" i="2"/>
  <c r="S885" i="5" l="1"/>
  <c r="T885" i="5" s="1"/>
  <c r="W885" i="5" s="1"/>
  <c r="AT889" i="5"/>
  <c r="BB888" i="5"/>
  <c r="BM581" i="5"/>
  <c r="BN581" i="5" s="1"/>
  <c r="AZ851" i="2"/>
  <c r="AR852" i="2"/>
  <c r="W811" i="2"/>
  <c r="M812" i="2"/>
  <c r="N812" i="2"/>
  <c r="O812" i="2" s="1"/>
  <c r="AL946" i="5"/>
  <c r="AC947" i="5" s="1"/>
  <c r="AK810" i="2"/>
  <c r="AB811" i="2"/>
  <c r="AD811" i="2" s="1"/>
  <c r="X885" i="5" l="1"/>
  <c r="N886" i="5"/>
  <c r="O886" i="5"/>
  <c r="P886" i="5" s="1"/>
  <c r="AV889" i="5"/>
  <c r="AW889" i="5" s="1"/>
  <c r="BA889" i="5" s="1"/>
  <c r="BO581" i="5"/>
  <c r="BP581" i="5" s="1"/>
  <c r="AT852" i="2"/>
  <c r="AE947" i="5"/>
  <c r="AF947" i="5" s="1"/>
  <c r="R812" i="2"/>
  <c r="S812" i="2" s="1"/>
  <c r="AM946" i="5"/>
  <c r="AE811" i="2"/>
  <c r="S886" i="5" l="1"/>
  <c r="T886" i="5" s="1"/>
  <c r="W886" i="5" s="1"/>
  <c r="AT890" i="5"/>
  <c r="BB889" i="5"/>
  <c r="BK582" i="5"/>
  <c r="AU852" i="2"/>
  <c r="AY852" i="2" s="1"/>
  <c r="V812" i="2"/>
  <c r="AL947" i="5"/>
  <c r="AC948" i="5" s="1"/>
  <c r="AJ811" i="2"/>
  <c r="N887" i="5" l="1"/>
  <c r="X886" i="5"/>
  <c r="O887" i="5"/>
  <c r="P887" i="5" s="1"/>
  <c r="AV890" i="5"/>
  <c r="AW890" i="5" s="1"/>
  <c r="BA890" i="5" s="1"/>
  <c r="BM582" i="5"/>
  <c r="BN582" i="5" s="1"/>
  <c r="AR853" i="2"/>
  <c r="AZ852" i="2"/>
  <c r="AE948" i="5"/>
  <c r="AF948" i="5" s="1"/>
  <c r="W812" i="2"/>
  <c r="M813" i="2"/>
  <c r="N813" i="2"/>
  <c r="O813" i="2" s="1"/>
  <c r="AM947" i="5"/>
  <c r="AK811" i="2"/>
  <c r="AB812" i="2"/>
  <c r="AD812" i="2" s="1"/>
  <c r="S887" i="5" l="1"/>
  <c r="T887" i="5" s="1"/>
  <c r="W887" i="5" s="1"/>
  <c r="AT891" i="5"/>
  <c r="BB890" i="5"/>
  <c r="BO582" i="5"/>
  <c r="BP582" i="5" s="1"/>
  <c r="AT853" i="2"/>
  <c r="AU853" i="2" s="1"/>
  <c r="R813" i="2"/>
  <c r="S813" i="2" s="1"/>
  <c r="AE812" i="2"/>
  <c r="X887" i="5" l="1"/>
  <c r="O888" i="5"/>
  <c r="P888" i="5" s="1"/>
  <c r="N888" i="5"/>
  <c r="BK583" i="5"/>
  <c r="AV891" i="5"/>
  <c r="AW891" i="5" s="1"/>
  <c r="AY853" i="2"/>
  <c r="V813" i="2"/>
  <c r="AL948" i="5"/>
  <c r="AC949" i="5" s="1"/>
  <c r="AJ812" i="2"/>
  <c r="S888" i="5" l="1"/>
  <c r="T888" i="5" s="1"/>
  <c r="W888" i="5" s="1"/>
  <c r="BA891" i="5"/>
  <c r="BM583" i="5"/>
  <c r="BN583" i="5" s="1"/>
  <c r="AR854" i="2"/>
  <c r="AZ853" i="2"/>
  <c r="AE949" i="5"/>
  <c r="AF949" i="5" s="1"/>
  <c r="W813" i="2"/>
  <c r="N814" i="2"/>
  <c r="O814" i="2" s="1"/>
  <c r="M814" i="2"/>
  <c r="AM948" i="5"/>
  <c r="AK812" i="2"/>
  <c r="AB813" i="2"/>
  <c r="AD813" i="2" s="1"/>
  <c r="X888" i="5" l="1"/>
  <c r="O889" i="5"/>
  <c r="P889" i="5" s="1"/>
  <c r="N889" i="5"/>
  <c r="AT892" i="5"/>
  <c r="BB891" i="5"/>
  <c r="BO583" i="5"/>
  <c r="BP583" i="5" s="1"/>
  <c r="AT854" i="2"/>
  <c r="AU854" i="2" s="1"/>
  <c r="R814" i="2"/>
  <c r="S814" i="2" s="1"/>
  <c r="AL949" i="5"/>
  <c r="AC950" i="5" s="1"/>
  <c r="AE813" i="2"/>
  <c r="S889" i="5" l="1"/>
  <c r="T889" i="5" s="1"/>
  <c r="W889" i="5" s="1"/>
  <c r="BK584" i="5"/>
  <c r="BM584" i="5" s="1"/>
  <c r="BN584" i="5" s="1"/>
  <c r="BO584" i="5" s="1"/>
  <c r="BP584" i="5" s="1"/>
  <c r="K74" i="9"/>
  <c r="L74" i="9" s="1"/>
  <c r="M74" i="9" s="1"/>
  <c r="AV892" i="5"/>
  <c r="AW892" i="5" s="1"/>
  <c r="AY854" i="2"/>
  <c r="V814" i="2"/>
  <c r="AE950" i="5"/>
  <c r="AF950" i="5" s="1"/>
  <c r="AM949" i="5"/>
  <c r="AJ813" i="2"/>
  <c r="BA892" i="5" l="1"/>
  <c r="X889" i="5"/>
  <c r="O890" i="5"/>
  <c r="P890" i="5" s="1"/>
  <c r="N890" i="5"/>
  <c r="BK585" i="5"/>
  <c r="AZ854" i="2"/>
  <c r="AR855" i="2"/>
  <c r="M815" i="2"/>
  <c r="N815" i="2"/>
  <c r="O815" i="2" s="1"/>
  <c r="W814" i="2"/>
  <c r="AL950" i="5"/>
  <c r="AC951" i="5" s="1"/>
  <c r="AK813" i="2"/>
  <c r="AB814" i="2"/>
  <c r="AD814" i="2" s="1"/>
  <c r="AT893" i="5" l="1"/>
  <c r="AV893" i="5" s="1"/>
  <c r="AW893" i="5" s="1"/>
  <c r="BB892" i="5"/>
  <c r="S890" i="5"/>
  <c r="T890" i="5" s="1"/>
  <c r="W890" i="5" s="1"/>
  <c r="BM585" i="5"/>
  <c r="BN585" i="5" s="1"/>
  <c r="AT855" i="2"/>
  <c r="AU855" i="2" s="1"/>
  <c r="AE951" i="5"/>
  <c r="AF951" i="5" s="1"/>
  <c r="R815" i="2"/>
  <c r="S815" i="2" s="1"/>
  <c r="AM950" i="5"/>
  <c r="AE814" i="2"/>
  <c r="N891" i="5" l="1"/>
  <c r="X890" i="5"/>
  <c r="O891" i="5"/>
  <c r="P891" i="5" s="1"/>
  <c r="BA893" i="5"/>
  <c r="BO585" i="5"/>
  <c r="BP585" i="5" s="1"/>
  <c r="AY855" i="2"/>
  <c r="AR856" i="2" s="1"/>
  <c r="V815" i="2"/>
  <c r="AJ814" i="2"/>
  <c r="S891" i="5" l="1"/>
  <c r="T891" i="5" s="1"/>
  <c r="W891" i="5" s="1"/>
  <c r="AT894" i="5"/>
  <c r="AV894" i="5" s="1"/>
  <c r="AW894" i="5" s="1"/>
  <c r="BB893" i="5"/>
  <c r="BK586" i="5"/>
  <c r="AZ855" i="2"/>
  <c r="AT856" i="2"/>
  <c r="W815" i="2"/>
  <c r="N816" i="2"/>
  <c r="O816" i="2" s="1"/>
  <c r="M816" i="2"/>
  <c r="AL951" i="5"/>
  <c r="AC952" i="5" s="1"/>
  <c r="AK814" i="2"/>
  <c r="AB815" i="2"/>
  <c r="AD815" i="2" s="1"/>
  <c r="X891" i="5" l="1"/>
  <c r="N892" i="5"/>
  <c r="O892" i="5"/>
  <c r="P892" i="5" s="1"/>
  <c r="BA894" i="5"/>
  <c r="BM586" i="5"/>
  <c r="BN586" i="5" s="1"/>
  <c r="BO586" i="5" s="1"/>
  <c r="BP586" i="5" s="1"/>
  <c r="AU856" i="2"/>
  <c r="AY856" i="2" s="1"/>
  <c r="AE952" i="5"/>
  <c r="AF952" i="5" s="1"/>
  <c r="R816" i="2"/>
  <c r="S816" i="2" s="1"/>
  <c r="AM951" i="5"/>
  <c r="AE815" i="2"/>
  <c r="S892" i="5" l="1"/>
  <c r="T892" i="5" s="1"/>
  <c r="W892" i="5" s="1"/>
  <c r="BK587" i="5"/>
  <c r="AT895" i="5"/>
  <c r="BB894" i="5"/>
  <c r="AR857" i="2"/>
  <c r="AZ856" i="2"/>
  <c r="V816" i="2"/>
  <c r="AJ815" i="2"/>
  <c r="X892" i="5" l="1"/>
  <c r="N893" i="5"/>
  <c r="O893" i="5"/>
  <c r="P893" i="5" s="1"/>
  <c r="AV895" i="5"/>
  <c r="AW895" i="5" s="1"/>
  <c r="BA895" i="5" s="1"/>
  <c r="BM587" i="5"/>
  <c r="BN587" i="5" s="1"/>
  <c r="AT857" i="2"/>
  <c r="W816" i="2"/>
  <c r="N817" i="2"/>
  <c r="O817" i="2" s="1"/>
  <c r="M817" i="2"/>
  <c r="AL952" i="5"/>
  <c r="AC953" i="5" s="1"/>
  <c r="AK815" i="2"/>
  <c r="AB816" i="2"/>
  <c r="AD816" i="2" s="1"/>
  <c r="S893" i="5" l="1"/>
  <c r="T893" i="5" s="1"/>
  <c r="W893" i="5" s="1"/>
  <c r="AT896" i="5"/>
  <c r="BB895" i="5"/>
  <c r="BO587" i="5"/>
  <c r="BP587" i="5" s="1"/>
  <c r="AU857" i="2"/>
  <c r="AY857" i="2" s="1"/>
  <c r="AE953" i="5"/>
  <c r="AF953" i="5" s="1"/>
  <c r="R817" i="2"/>
  <c r="S817" i="2" s="1"/>
  <c r="AM952" i="5"/>
  <c r="AE816" i="2"/>
  <c r="N894" i="5" l="1"/>
  <c r="X893" i="5"/>
  <c r="O894" i="5"/>
  <c r="P894" i="5" s="1"/>
  <c r="AV896" i="5"/>
  <c r="AW896" i="5" s="1"/>
  <c r="BA896" i="5" s="1"/>
  <c r="BK588" i="5"/>
  <c r="AZ857" i="2"/>
  <c r="AR858" i="2"/>
  <c r="V817" i="2"/>
  <c r="AJ816" i="2"/>
  <c r="S894" i="5" l="1"/>
  <c r="T894" i="5" s="1"/>
  <c r="W894" i="5" s="1"/>
  <c r="AT897" i="5"/>
  <c r="BB896" i="5"/>
  <c r="BM588" i="5"/>
  <c r="BN588" i="5" s="1"/>
  <c r="AT858" i="2"/>
  <c r="W817" i="2"/>
  <c r="M818" i="2"/>
  <c r="N818" i="2"/>
  <c r="O818" i="2" s="1"/>
  <c r="AL953" i="5"/>
  <c r="AC954" i="5" s="1"/>
  <c r="AB817" i="2"/>
  <c r="AD817" i="2" s="1"/>
  <c r="AK816" i="2"/>
  <c r="N895" i="5" l="1"/>
  <c r="X894" i="5"/>
  <c r="O895" i="5"/>
  <c r="P895" i="5" s="1"/>
  <c r="AV897" i="5"/>
  <c r="AW897" i="5" s="1"/>
  <c r="BO588" i="5"/>
  <c r="BP588" i="5" s="1"/>
  <c r="AU858" i="2"/>
  <c r="AY858" i="2" s="1"/>
  <c r="AE954" i="5"/>
  <c r="AF954" i="5" s="1"/>
  <c r="R818" i="2"/>
  <c r="S818" i="2" s="1"/>
  <c r="AM953" i="5"/>
  <c r="AE817" i="2"/>
  <c r="S895" i="5" l="1"/>
  <c r="T895" i="5" s="1"/>
  <c r="W895" i="5" s="1"/>
  <c r="BK589" i="5"/>
  <c r="BM589" i="5" s="1"/>
  <c r="BN589" i="5" s="1"/>
  <c r="BO589" i="5" s="1"/>
  <c r="BP589" i="5" s="1"/>
  <c r="BA897" i="5"/>
  <c r="AR859" i="2"/>
  <c r="AT859" i="2" s="1"/>
  <c r="AZ858" i="2"/>
  <c r="V818" i="2"/>
  <c r="AJ817" i="2"/>
  <c r="X895" i="5" l="1"/>
  <c r="O896" i="5"/>
  <c r="P896" i="5" s="1"/>
  <c r="N896" i="5"/>
  <c r="BB897" i="5"/>
  <c r="AT898" i="5"/>
  <c r="BK590" i="5"/>
  <c r="AU859" i="2"/>
  <c r="AY859" i="2" s="1"/>
  <c r="W818" i="2"/>
  <c r="N819" i="2"/>
  <c r="O819" i="2" s="1"/>
  <c r="M819" i="2"/>
  <c r="AL954" i="5"/>
  <c r="AC955" i="5" s="1"/>
  <c r="AK817" i="2"/>
  <c r="AB818" i="2"/>
  <c r="AD818" i="2" s="1"/>
  <c r="S896" i="5" l="1"/>
  <c r="T896" i="5" s="1"/>
  <c r="W896" i="5" s="1"/>
  <c r="AV898" i="5"/>
  <c r="AW898" i="5" s="1"/>
  <c r="BM590" i="5"/>
  <c r="BN590" i="5" s="1"/>
  <c r="AR860" i="2"/>
  <c r="AZ859" i="2"/>
  <c r="R819" i="2"/>
  <c r="S819" i="2" s="1"/>
  <c r="AE955" i="5"/>
  <c r="AF955" i="5" s="1"/>
  <c r="AM954" i="5"/>
  <c r="AE818" i="2"/>
  <c r="BA898" i="5" l="1"/>
  <c r="AT899" i="5" s="1"/>
  <c r="BO590" i="5"/>
  <c r="X896" i="5"/>
  <c r="O897" i="5"/>
  <c r="P897" i="5" s="1"/>
  <c r="N897" i="5"/>
  <c r="AT860" i="2"/>
  <c r="V819" i="2"/>
  <c r="AJ818" i="2"/>
  <c r="BK591" i="5" l="1"/>
  <c r="BM591" i="5" s="1"/>
  <c r="BN591" i="5" s="1"/>
  <c r="BP590" i="5"/>
  <c r="BB898" i="5"/>
  <c r="S897" i="5"/>
  <c r="T897" i="5" s="1"/>
  <c r="AV899" i="5"/>
  <c r="AW899" i="5" s="1"/>
  <c r="AU860" i="2"/>
  <c r="AY860" i="2" s="1"/>
  <c r="M820" i="2"/>
  <c r="W819" i="2"/>
  <c r="N820" i="2"/>
  <c r="O820" i="2" s="1"/>
  <c r="AL955" i="5"/>
  <c r="AC956" i="5" s="1"/>
  <c r="AK818" i="2"/>
  <c r="AB819" i="2"/>
  <c r="AD819" i="2" s="1"/>
  <c r="BO591" i="5" l="1"/>
  <c r="BP591" i="5" s="1"/>
  <c r="BA899" i="5"/>
  <c r="W897" i="5"/>
  <c r="AZ860" i="2"/>
  <c r="AR861" i="2"/>
  <c r="AT861" i="2" s="1"/>
  <c r="R820" i="2"/>
  <c r="S820" i="2" s="1"/>
  <c r="AE956" i="5"/>
  <c r="AF956" i="5" s="1"/>
  <c r="AM955" i="5"/>
  <c r="AE819" i="2"/>
  <c r="BK592" i="5" l="1"/>
  <c r="BM592" i="5" s="1"/>
  <c r="BN592" i="5" s="1"/>
  <c r="BB899" i="5"/>
  <c r="N898" i="5"/>
  <c r="O898" i="5"/>
  <c r="P898" i="5" s="1"/>
  <c r="X897" i="5"/>
  <c r="AT900" i="5"/>
  <c r="AV900" i="5" s="1"/>
  <c r="AW900" i="5" s="1"/>
  <c r="BA900" i="5" s="1"/>
  <c r="AU861" i="2"/>
  <c r="AY861" i="2" s="1"/>
  <c r="V820" i="2"/>
  <c r="AL956" i="5"/>
  <c r="AC957" i="5" s="1"/>
  <c r="AJ819" i="2"/>
  <c r="S898" i="5" l="1"/>
  <c r="T898" i="5" s="1"/>
  <c r="W898" i="5" s="1"/>
  <c r="X898" i="5" s="1"/>
  <c r="AT901" i="5"/>
  <c r="BB900" i="5"/>
  <c r="BO592" i="5"/>
  <c r="BP592" i="5" s="1"/>
  <c r="AZ861" i="2"/>
  <c r="AR862" i="2"/>
  <c r="N821" i="2"/>
  <c r="O821" i="2" s="1"/>
  <c r="W820" i="2"/>
  <c r="M821" i="2"/>
  <c r="AE957" i="5"/>
  <c r="AF957" i="5" s="1"/>
  <c r="AM956" i="5"/>
  <c r="AK819" i="2"/>
  <c r="AB820" i="2"/>
  <c r="AD820" i="2" s="1"/>
  <c r="O899" i="5" l="1"/>
  <c r="P899" i="5" s="1"/>
  <c r="N899" i="5"/>
  <c r="BK593" i="5"/>
  <c r="AV901" i="5"/>
  <c r="AW901" i="5" s="1"/>
  <c r="AT862" i="2"/>
  <c r="R821" i="2"/>
  <c r="S821" i="2" s="1"/>
  <c r="AE820" i="2"/>
  <c r="S899" i="5" l="1"/>
  <c r="T899" i="5" s="1"/>
  <c r="W899" i="5" s="1"/>
  <c r="X899" i="5" s="1"/>
  <c r="BA901" i="5"/>
  <c r="BB901" i="5" s="1"/>
  <c r="BM593" i="5"/>
  <c r="BN593" i="5" s="1"/>
  <c r="AU862" i="2"/>
  <c r="AY862" i="2" s="1"/>
  <c r="V821" i="2"/>
  <c r="AL957" i="5"/>
  <c r="AC958" i="5" s="1"/>
  <c r="AJ820" i="2"/>
  <c r="N900" i="5" l="1"/>
  <c r="O900" i="5"/>
  <c r="P900" i="5" s="1"/>
  <c r="AT902" i="5"/>
  <c r="AV902" i="5" s="1"/>
  <c r="AW902" i="5" s="1"/>
  <c r="BA902" i="5" s="1"/>
  <c r="BO593" i="5"/>
  <c r="BP593" i="5" s="1"/>
  <c r="AR863" i="2"/>
  <c r="AZ862" i="2"/>
  <c r="M822" i="2"/>
  <c r="N822" i="2"/>
  <c r="O822" i="2" s="1"/>
  <c r="W821" i="2"/>
  <c r="AE958" i="5"/>
  <c r="AF958" i="5" s="1"/>
  <c r="AM957" i="5"/>
  <c r="AK820" i="2"/>
  <c r="AB821" i="2"/>
  <c r="AD821" i="2" s="1"/>
  <c r="S900" i="5" l="1"/>
  <c r="T900" i="5" s="1"/>
  <c r="BB902" i="5"/>
  <c r="AT903" i="5"/>
  <c r="BK594" i="5"/>
  <c r="AT863" i="2"/>
  <c r="R822" i="2"/>
  <c r="S822" i="2" s="1"/>
  <c r="AE821" i="2"/>
  <c r="W900" i="5" l="1"/>
  <c r="O901" i="5"/>
  <c r="P901" i="5" s="1"/>
  <c r="N901" i="5"/>
  <c r="AV903" i="5"/>
  <c r="AW903" i="5" s="1"/>
  <c r="BA903" i="5" s="1"/>
  <c r="BM594" i="5"/>
  <c r="BN594" i="5" s="1"/>
  <c r="AU863" i="2"/>
  <c r="AY863" i="2" s="1"/>
  <c r="V822" i="2"/>
  <c r="AL958" i="5"/>
  <c r="AC959" i="5" s="1"/>
  <c r="AJ821" i="2"/>
  <c r="X900" i="5" l="1"/>
  <c r="S901" i="5"/>
  <c r="T901" i="5" s="1"/>
  <c r="W901" i="5" s="1"/>
  <c r="AT904" i="5"/>
  <c r="BB903" i="5"/>
  <c r="BO594" i="5"/>
  <c r="BP594" i="5" s="1"/>
  <c r="AZ863" i="2"/>
  <c r="AR864" i="2"/>
  <c r="W822" i="2"/>
  <c r="M823" i="2"/>
  <c r="N823" i="2"/>
  <c r="O823" i="2" s="1"/>
  <c r="AE959" i="5"/>
  <c r="AF959" i="5" s="1"/>
  <c r="AM958" i="5"/>
  <c r="AK821" i="2"/>
  <c r="AB822" i="2"/>
  <c r="AD822" i="2" s="1"/>
  <c r="O902" i="5" l="1"/>
  <c r="P902" i="5" s="1"/>
  <c r="N902" i="5"/>
  <c r="X901" i="5"/>
  <c r="BK595" i="5"/>
  <c r="AV904" i="5"/>
  <c r="AW904" i="5" s="1"/>
  <c r="AT864" i="2"/>
  <c r="R823" i="2"/>
  <c r="S823" i="2" s="1"/>
  <c r="V823" i="2" s="1"/>
  <c r="AE822" i="2"/>
  <c r="S902" i="5" l="1"/>
  <c r="T902" i="5" s="1"/>
  <c r="W902" i="5" s="1"/>
  <c r="X902" i="5" s="1"/>
  <c r="BA904" i="5"/>
  <c r="BM595" i="5"/>
  <c r="BN595" i="5" s="1"/>
  <c r="AU864" i="2"/>
  <c r="AY864" i="2" s="1"/>
  <c r="AL959" i="5"/>
  <c r="AC960" i="5" s="1"/>
  <c r="AJ822" i="2"/>
  <c r="BO595" i="5" l="1"/>
  <c r="N903" i="5"/>
  <c r="O903" i="5"/>
  <c r="P903" i="5" s="1"/>
  <c r="AT905" i="5"/>
  <c r="AV905" i="5" s="1"/>
  <c r="AW905" i="5" s="1"/>
  <c r="BB904" i="5"/>
  <c r="AZ864" i="2"/>
  <c r="AR865" i="2"/>
  <c r="W823" i="2"/>
  <c r="N824" i="2"/>
  <c r="O824" i="2" s="1"/>
  <c r="M824" i="2"/>
  <c r="AE960" i="5"/>
  <c r="AF960" i="5" s="1"/>
  <c r="AM959" i="5"/>
  <c r="AK822" i="2"/>
  <c r="AB823" i="2"/>
  <c r="AD823" i="2" s="1"/>
  <c r="BK596" i="5" l="1"/>
  <c r="BM596" i="5" s="1"/>
  <c r="BN596" i="5" s="1"/>
  <c r="BP595" i="5"/>
  <c r="S903" i="5"/>
  <c r="T903" i="5" s="1"/>
  <c r="BA905" i="5"/>
  <c r="AT865" i="2"/>
  <c r="R824" i="2"/>
  <c r="S824" i="2" s="1"/>
  <c r="AL960" i="5"/>
  <c r="AC961" i="5" s="1"/>
  <c r="AE823" i="2"/>
  <c r="W903" i="5" l="1"/>
  <c r="O904" i="5"/>
  <c r="P904" i="5" s="1"/>
  <c r="AT906" i="5"/>
  <c r="AV906" i="5" s="1"/>
  <c r="AW906" i="5" s="1"/>
  <c r="BA906" i="5" s="1"/>
  <c r="BB905" i="5"/>
  <c r="BO596" i="5"/>
  <c r="BP596" i="5" s="1"/>
  <c r="AU865" i="2"/>
  <c r="AY865" i="2" s="1"/>
  <c r="V824" i="2"/>
  <c r="AE961" i="5"/>
  <c r="AF961" i="5" s="1"/>
  <c r="AM960" i="5"/>
  <c r="AJ823" i="2"/>
  <c r="X903" i="5" l="1"/>
  <c r="N904" i="5"/>
  <c r="S904" i="5" s="1"/>
  <c r="T904" i="5" s="1"/>
  <c r="W904" i="5" s="1"/>
  <c r="BK597" i="5"/>
  <c r="BB906" i="5"/>
  <c r="AT907" i="5"/>
  <c r="AZ865" i="2"/>
  <c r="AR866" i="2"/>
  <c r="W824" i="2"/>
  <c r="N825" i="2"/>
  <c r="O825" i="2" s="1"/>
  <c r="M825" i="2"/>
  <c r="AK823" i="2"/>
  <c r="AB824" i="2"/>
  <c r="AD824" i="2" s="1"/>
  <c r="O905" i="5" l="1"/>
  <c r="P905" i="5" s="1"/>
  <c r="X904" i="5"/>
  <c r="N905" i="5"/>
  <c r="AV907" i="5"/>
  <c r="AW907" i="5" s="1"/>
  <c r="BM597" i="5"/>
  <c r="BN597" i="5" s="1"/>
  <c r="AT866" i="2"/>
  <c r="AU866" i="2" s="1"/>
  <c r="R825" i="2"/>
  <c r="S825" i="2" s="1"/>
  <c r="V825" i="2" s="1"/>
  <c r="AL961" i="5"/>
  <c r="AC962" i="5" s="1"/>
  <c r="AE824" i="2"/>
  <c r="BO597" i="5" l="1"/>
  <c r="BP597" i="5" s="1"/>
  <c r="S905" i="5"/>
  <c r="T905" i="5" s="1"/>
  <c r="W905" i="5" s="1"/>
  <c r="BA907" i="5"/>
  <c r="AY866" i="2"/>
  <c r="AE962" i="5"/>
  <c r="AF962" i="5" s="1"/>
  <c r="N826" i="2"/>
  <c r="O826" i="2" s="1"/>
  <c r="M826" i="2"/>
  <c r="W825" i="2"/>
  <c r="AM961" i="5"/>
  <c r="AJ824" i="2"/>
  <c r="BK598" i="5" l="1"/>
  <c r="BM598" i="5" s="1"/>
  <c r="BN598" i="5" s="1"/>
  <c r="O906" i="5"/>
  <c r="P906" i="5" s="1"/>
  <c r="X905" i="5"/>
  <c r="N906" i="5"/>
  <c r="BB907" i="5"/>
  <c r="AT908" i="5"/>
  <c r="AR867" i="2"/>
  <c r="AZ866" i="2"/>
  <c r="R826" i="2"/>
  <c r="S826" i="2" s="1"/>
  <c r="AB825" i="2"/>
  <c r="AD825" i="2" s="1"/>
  <c r="AK824" i="2"/>
  <c r="S906" i="5" l="1"/>
  <c r="T906" i="5" s="1"/>
  <c r="AV908" i="5"/>
  <c r="AW908" i="5" s="1"/>
  <c r="BA908" i="5" s="1"/>
  <c r="BO598" i="5"/>
  <c r="BP598" i="5" s="1"/>
  <c r="AT867" i="2"/>
  <c r="V826" i="2"/>
  <c r="AL962" i="5"/>
  <c r="AC963" i="5" s="1"/>
  <c r="AE825" i="2"/>
  <c r="W906" i="5" l="1"/>
  <c r="AT909" i="5"/>
  <c r="BB908" i="5"/>
  <c r="BK599" i="5"/>
  <c r="AU867" i="2"/>
  <c r="AY867" i="2" s="1"/>
  <c r="AE963" i="5"/>
  <c r="AF963" i="5" s="1"/>
  <c r="M827" i="2"/>
  <c r="N827" i="2"/>
  <c r="O827" i="2" s="1"/>
  <c r="W826" i="2"/>
  <c r="AM962" i="5"/>
  <c r="AJ825" i="2"/>
  <c r="X906" i="5" l="1"/>
  <c r="O907" i="5"/>
  <c r="P907" i="5" s="1"/>
  <c r="N907" i="5"/>
  <c r="BM599" i="5"/>
  <c r="BN599" i="5" s="1"/>
  <c r="AV909" i="5"/>
  <c r="AW909" i="5" s="1"/>
  <c r="AR868" i="2"/>
  <c r="AZ867" i="2"/>
  <c r="R827" i="2"/>
  <c r="S827" i="2" s="1"/>
  <c r="AK825" i="2"/>
  <c r="AB826" i="2"/>
  <c r="AD826" i="2" s="1"/>
  <c r="S907" i="5" l="1"/>
  <c r="T907" i="5" s="1"/>
  <c r="BA909" i="5"/>
  <c r="AT910" i="5" s="1"/>
  <c r="BO599" i="5"/>
  <c r="BP599" i="5" s="1"/>
  <c r="AT868" i="2"/>
  <c r="V827" i="2"/>
  <c r="AL963" i="5"/>
  <c r="AC964" i="5" s="1"/>
  <c r="AE826" i="2"/>
  <c r="BB909" i="5" l="1"/>
  <c r="W907" i="5"/>
  <c r="AV910" i="5"/>
  <c r="AW910" i="5" s="1"/>
  <c r="BK600" i="5"/>
  <c r="AU868" i="2"/>
  <c r="AY868" i="2" s="1"/>
  <c r="AE964" i="5"/>
  <c r="AF964" i="5" s="1"/>
  <c r="W827" i="2"/>
  <c r="N828" i="2"/>
  <c r="O828" i="2" s="1"/>
  <c r="M828" i="2"/>
  <c r="AM963" i="5"/>
  <c r="AJ826" i="2"/>
  <c r="X907" i="5" l="1"/>
  <c r="O908" i="5"/>
  <c r="P908" i="5" s="1"/>
  <c r="N908" i="5"/>
  <c r="BM600" i="5"/>
  <c r="BN600" i="5" s="1"/>
  <c r="BA910" i="5"/>
  <c r="AZ868" i="2"/>
  <c r="AR869" i="2"/>
  <c r="R828" i="2"/>
  <c r="S828" i="2" s="1"/>
  <c r="AK826" i="2"/>
  <c r="AB827" i="2"/>
  <c r="AD827" i="2" s="1"/>
  <c r="BO600" i="5" l="1"/>
  <c r="BP600" i="5" s="1"/>
  <c r="S908" i="5"/>
  <c r="T908" i="5" s="1"/>
  <c r="W908" i="5" s="1"/>
  <c r="AT911" i="5"/>
  <c r="BB910" i="5"/>
  <c r="AT869" i="2"/>
  <c r="V828" i="2"/>
  <c r="AL964" i="5"/>
  <c r="AC965" i="5" s="1"/>
  <c r="AE827" i="2"/>
  <c r="BK601" i="5" l="1"/>
  <c r="BM601" i="5" s="1"/>
  <c r="BN601" i="5" s="1"/>
  <c r="N909" i="5"/>
  <c r="X908" i="5"/>
  <c r="O909" i="5"/>
  <c r="P909" i="5" s="1"/>
  <c r="AV911" i="5"/>
  <c r="AW911" i="5" s="1"/>
  <c r="AU869" i="2"/>
  <c r="AY869" i="2" s="1"/>
  <c r="AE965" i="5"/>
  <c r="AF965" i="5" s="1"/>
  <c r="W828" i="2"/>
  <c r="N829" i="2"/>
  <c r="O829" i="2" s="1"/>
  <c r="M829" i="2"/>
  <c r="AM964" i="5"/>
  <c r="AJ827" i="2"/>
  <c r="BA911" i="5" l="1"/>
  <c r="BB911" i="5" s="1"/>
  <c r="S909" i="5"/>
  <c r="T909" i="5" s="1"/>
  <c r="W909" i="5" s="1"/>
  <c r="BO601" i="5"/>
  <c r="BP601" i="5" s="1"/>
  <c r="AR870" i="2"/>
  <c r="AZ869" i="2"/>
  <c r="R829" i="2"/>
  <c r="S829" i="2" s="1"/>
  <c r="AK827" i="2"/>
  <c r="AB828" i="2"/>
  <c r="AD828" i="2" s="1"/>
  <c r="AT912" i="5" l="1"/>
  <c r="AV912" i="5" s="1"/>
  <c r="AW912" i="5" s="1"/>
  <c r="O910" i="5"/>
  <c r="P910" i="5" s="1"/>
  <c r="N910" i="5"/>
  <c r="X909" i="5"/>
  <c r="BK602" i="5"/>
  <c r="AT870" i="2"/>
  <c r="AU870" i="2" s="1"/>
  <c r="V829" i="2"/>
  <c r="AL965" i="5"/>
  <c r="AC966" i="5" s="1"/>
  <c r="AE828" i="2"/>
  <c r="S910" i="5" l="1"/>
  <c r="T910" i="5" s="1"/>
  <c r="BM602" i="5"/>
  <c r="BN602" i="5" s="1"/>
  <c r="BA912" i="5"/>
  <c r="AY870" i="2"/>
  <c r="AE966" i="5"/>
  <c r="AF966" i="5" s="1"/>
  <c r="W829" i="2"/>
  <c r="M830" i="2"/>
  <c r="N830" i="2"/>
  <c r="O830" i="2" s="1"/>
  <c r="AM965" i="5"/>
  <c r="AJ828" i="2"/>
  <c r="BO602" i="5" l="1"/>
  <c r="BP602" i="5" s="1"/>
  <c r="W910" i="5"/>
  <c r="BB912" i="5"/>
  <c r="AT913" i="5"/>
  <c r="AR871" i="2"/>
  <c r="AZ870" i="2"/>
  <c r="R830" i="2"/>
  <c r="S830" i="2" s="1"/>
  <c r="AK828" i="2"/>
  <c r="AB829" i="2"/>
  <c r="AD829" i="2" s="1"/>
  <c r="BK603" i="5" l="1"/>
  <c r="BM603" i="5" s="1"/>
  <c r="BN603" i="5" s="1"/>
  <c r="BO603" i="5" s="1"/>
  <c r="O911" i="5"/>
  <c r="P911" i="5" s="1"/>
  <c r="N911" i="5"/>
  <c r="X910" i="5"/>
  <c r="AV913" i="5"/>
  <c r="AW913" i="5" s="1"/>
  <c r="AT871" i="2"/>
  <c r="V830" i="2"/>
  <c r="AL966" i="5"/>
  <c r="AC967" i="5" s="1"/>
  <c r="AE829" i="2"/>
  <c r="BP603" i="5" l="1"/>
  <c r="BK604" i="5"/>
  <c r="BM604" i="5" s="1"/>
  <c r="BN604" i="5" s="1"/>
  <c r="BO604" i="5" s="1"/>
  <c r="BP604" i="5" s="1"/>
  <c r="S911" i="5"/>
  <c r="T911" i="5" s="1"/>
  <c r="BA913" i="5"/>
  <c r="AU871" i="2"/>
  <c r="AY871" i="2" s="1"/>
  <c r="AE967" i="5"/>
  <c r="AF967" i="5" s="1"/>
  <c r="W830" i="2"/>
  <c r="N831" i="2"/>
  <c r="O831" i="2" s="1"/>
  <c r="M831" i="2"/>
  <c r="AM966" i="5"/>
  <c r="AJ829" i="2"/>
  <c r="BK605" i="5" l="1"/>
  <c r="BM605" i="5" s="1"/>
  <c r="BN605" i="5" s="1"/>
  <c r="W911" i="5"/>
  <c r="AT914" i="5"/>
  <c r="BB913" i="5"/>
  <c r="AZ871" i="2"/>
  <c r="AR872" i="2"/>
  <c r="R831" i="2"/>
  <c r="S831" i="2" s="1"/>
  <c r="AL967" i="5"/>
  <c r="AC968" i="5" s="1"/>
  <c r="AK829" i="2"/>
  <c r="AB830" i="2"/>
  <c r="AD830" i="2" s="1"/>
  <c r="X911" i="5" l="1"/>
  <c r="N912" i="5"/>
  <c r="O912" i="5"/>
  <c r="P912" i="5" s="1"/>
  <c r="AV914" i="5"/>
  <c r="AW914" i="5" s="1"/>
  <c r="BO605" i="5"/>
  <c r="BP605" i="5" s="1"/>
  <c r="AT872" i="2"/>
  <c r="V831" i="2"/>
  <c r="AE968" i="5"/>
  <c r="AF968" i="5" s="1"/>
  <c r="AM967" i="5"/>
  <c r="AE830" i="2"/>
  <c r="S912" i="5" l="1"/>
  <c r="T912" i="5" s="1"/>
  <c r="BA914" i="5"/>
  <c r="BK606" i="5"/>
  <c r="AU872" i="2"/>
  <c r="AY872" i="2" s="1"/>
  <c r="M832" i="2"/>
  <c r="N832" i="2"/>
  <c r="O832" i="2" s="1"/>
  <c r="W831" i="2"/>
  <c r="AJ830" i="2"/>
  <c r="W912" i="5" l="1"/>
  <c r="BM606" i="5"/>
  <c r="BN606" i="5" s="1"/>
  <c r="BB914" i="5"/>
  <c r="AT915" i="5"/>
  <c r="AR873" i="2"/>
  <c r="AZ872" i="2"/>
  <c r="R832" i="2"/>
  <c r="S832" i="2" s="1"/>
  <c r="AL968" i="5"/>
  <c r="AC969" i="5" s="1"/>
  <c r="AK830" i="2"/>
  <c r="AB831" i="2"/>
  <c r="AD831" i="2" s="1"/>
  <c r="X912" i="5" l="1"/>
  <c r="N913" i="5"/>
  <c r="O913" i="5"/>
  <c r="P913" i="5" s="1"/>
  <c r="AV915" i="5"/>
  <c r="AW915" i="5" s="1"/>
  <c r="BO606" i="5"/>
  <c r="BP606" i="5" s="1"/>
  <c r="AT873" i="2"/>
  <c r="V832" i="2"/>
  <c r="AE969" i="5"/>
  <c r="AF969" i="5" s="1"/>
  <c r="AM968" i="5"/>
  <c r="AE831" i="2"/>
  <c r="S913" i="5" l="1"/>
  <c r="T913" i="5" s="1"/>
  <c r="W913" i="5" s="1"/>
  <c r="BK607" i="5"/>
  <c r="BA915" i="5"/>
  <c r="AU873" i="2"/>
  <c r="AY873" i="2" s="1"/>
  <c r="W832" i="2"/>
  <c r="N833" i="2"/>
  <c r="O833" i="2" s="1"/>
  <c r="M833" i="2"/>
  <c r="AL969" i="5"/>
  <c r="AC970" i="5" s="1"/>
  <c r="AJ831" i="2"/>
  <c r="X913" i="5" l="1"/>
  <c r="O914" i="5"/>
  <c r="P914" i="5" s="1"/>
  <c r="N914" i="5"/>
  <c r="AT916" i="5"/>
  <c r="BB915" i="5"/>
  <c r="BM607" i="5"/>
  <c r="BN607" i="5" s="1"/>
  <c r="AZ873" i="2"/>
  <c r="AR874" i="2"/>
  <c r="R833" i="2"/>
  <c r="S833" i="2" s="1"/>
  <c r="V833" i="2" s="1"/>
  <c r="AE970" i="5"/>
  <c r="AF970" i="5" s="1"/>
  <c r="AM969" i="5"/>
  <c r="AK831" i="2"/>
  <c r="AB832" i="2"/>
  <c r="AD832" i="2" s="1"/>
  <c r="S914" i="5" l="1"/>
  <c r="T914" i="5" s="1"/>
  <c r="W914" i="5" s="1"/>
  <c r="BO607" i="5"/>
  <c r="BP607" i="5" s="1"/>
  <c r="AV916" i="5"/>
  <c r="AW916" i="5" s="1"/>
  <c r="AT874" i="2"/>
  <c r="N834" i="2"/>
  <c r="O834" i="2" s="1"/>
  <c r="M834" i="2"/>
  <c r="W833" i="2"/>
  <c r="AL970" i="5"/>
  <c r="AC971" i="5" s="1"/>
  <c r="AE832" i="2"/>
  <c r="N915" i="5" l="1"/>
  <c r="O915" i="5"/>
  <c r="P915" i="5" s="1"/>
  <c r="X914" i="5"/>
  <c r="BA916" i="5"/>
  <c r="BK608" i="5"/>
  <c r="AU874" i="2"/>
  <c r="AY874" i="2" s="1"/>
  <c r="AE971" i="5"/>
  <c r="AF971" i="5" s="1"/>
  <c r="R834" i="2"/>
  <c r="S834" i="2" s="1"/>
  <c r="AM970" i="5"/>
  <c r="AJ832" i="2"/>
  <c r="S915" i="5" l="1"/>
  <c r="T915" i="5" s="1"/>
  <c r="BM608" i="5"/>
  <c r="BN608" i="5" s="1"/>
  <c r="AT917" i="5"/>
  <c r="BB916" i="5"/>
  <c r="AR875" i="2"/>
  <c r="AZ874" i="2"/>
  <c r="V834" i="2"/>
  <c r="AL971" i="5"/>
  <c r="AC972" i="5" s="1"/>
  <c r="AB833" i="2"/>
  <c r="AD833" i="2" s="1"/>
  <c r="AK832" i="2"/>
  <c r="W915" i="5" l="1"/>
  <c r="AV917" i="5"/>
  <c r="AW917" i="5" s="1"/>
  <c r="BO608" i="5"/>
  <c r="BP608" i="5" s="1"/>
  <c r="AT875" i="2"/>
  <c r="AU875" i="2" s="1"/>
  <c r="AE972" i="5"/>
  <c r="AF972" i="5" s="1"/>
  <c r="W834" i="2"/>
  <c r="N835" i="2"/>
  <c r="O835" i="2" s="1"/>
  <c r="M835" i="2"/>
  <c r="AM971" i="5"/>
  <c r="AE833" i="2"/>
  <c r="BA917" i="5" l="1"/>
  <c r="AT918" i="5" s="1"/>
  <c r="N916" i="5"/>
  <c r="X915" i="5"/>
  <c r="O916" i="5"/>
  <c r="P916" i="5" s="1"/>
  <c r="BK609" i="5"/>
  <c r="AY875" i="2"/>
  <c r="R835" i="2"/>
  <c r="S835" i="2" s="1"/>
  <c r="AJ833" i="2"/>
  <c r="BB917" i="5" l="1"/>
  <c r="S916" i="5"/>
  <c r="T916" i="5" s="1"/>
  <c r="W916" i="5" s="1"/>
  <c r="BM609" i="5"/>
  <c r="BN609" i="5" s="1"/>
  <c r="AV918" i="5"/>
  <c r="AW918" i="5" s="1"/>
  <c r="AR876" i="2"/>
  <c r="AZ875" i="2"/>
  <c r="V835" i="2"/>
  <c r="AL972" i="5"/>
  <c r="AC973" i="5" s="1"/>
  <c r="AK833" i="2"/>
  <c r="AB834" i="2"/>
  <c r="AD834" i="2" s="1"/>
  <c r="BO609" i="5" l="1"/>
  <c r="BP609" i="5" s="1"/>
  <c r="BA918" i="5"/>
  <c r="N917" i="5"/>
  <c r="O917" i="5"/>
  <c r="P917" i="5" s="1"/>
  <c r="X916" i="5"/>
  <c r="BK610" i="5"/>
  <c r="AT876" i="2"/>
  <c r="AU876" i="2" s="1"/>
  <c r="AE973" i="5"/>
  <c r="AF973" i="5" s="1"/>
  <c r="W835" i="2"/>
  <c r="M836" i="2"/>
  <c r="N836" i="2"/>
  <c r="O836" i="2" s="1"/>
  <c r="AM972" i="5"/>
  <c r="AE834" i="2"/>
  <c r="AT919" i="5" l="1"/>
  <c r="AV919" i="5" s="1"/>
  <c r="AW919" i="5" s="1"/>
  <c r="BB918" i="5"/>
  <c r="S917" i="5"/>
  <c r="T917" i="5" s="1"/>
  <c r="BM610" i="5"/>
  <c r="BN610" i="5" s="1"/>
  <c r="AY876" i="2"/>
  <c r="R836" i="2"/>
  <c r="S836" i="2" s="1"/>
  <c r="AJ834" i="2"/>
  <c r="BA919" i="5" l="1"/>
  <c r="BO610" i="5"/>
  <c r="W917" i="5"/>
  <c r="AR877" i="2"/>
  <c r="AZ876" i="2"/>
  <c r="V836" i="2"/>
  <c r="AL973" i="5"/>
  <c r="AC974" i="5" s="1"/>
  <c r="AK834" i="2"/>
  <c r="AB835" i="2"/>
  <c r="AD835" i="2" s="1"/>
  <c r="BK611" i="5" l="1"/>
  <c r="BM611" i="5" s="1"/>
  <c r="BN611" i="5" s="1"/>
  <c r="BO611" i="5" s="1"/>
  <c r="BP611" i="5" s="1"/>
  <c r="BP610" i="5"/>
  <c r="BB919" i="5"/>
  <c r="AT920" i="5"/>
  <c r="AV920" i="5" s="1"/>
  <c r="AW920" i="5" s="1"/>
  <c r="BA920" i="5" s="1"/>
  <c r="N918" i="5"/>
  <c r="X917" i="5"/>
  <c r="O918" i="5"/>
  <c r="P918" i="5" s="1"/>
  <c r="AT877" i="2"/>
  <c r="AE974" i="5"/>
  <c r="AF974" i="5" s="1"/>
  <c r="W836" i="2"/>
  <c r="N837" i="2"/>
  <c r="O837" i="2" s="1"/>
  <c r="M837" i="2"/>
  <c r="AM973" i="5"/>
  <c r="AE835" i="2"/>
  <c r="S918" i="5" l="1"/>
  <c r="T918" i="5" s="1"/>
  <c r="W918" i="5" s="1"/>
  <c r="BK612" i="5"/>
  <c r="AT921" i="5"/>
  <c r="BB920" i="5"/>
  <c r="AU877" i="2"/>
  <c r="R837" i="2"/>
  <c r="S837" i="2" s="1"/>
  <c r="AJ835" i="2"/>
  <c r="O919" i="5" l="1"/>
  <c r="P919" i="5" s="1"/>
  <c r="X918" i="5"/>
  <c r="N919" i="5"/>
  <c r="BM612" i="5"/>
  <c r="BN612" i="5" s="1"/>
  <c r="AV921" i="5"/>
  <c r="AW921" i="5" s="1"/>
  <c r="AY877" i="2"/>
  <c r="V837" i="2"/>
  <c r="AL974" i="5"/>
  <c r="AC975" i="5" s="1"/>
  <c r="AK835" i="2"/>
  <c r="AB836" i="2"/>
  <c r="AD836" i="2" s="1"/>
  <c r="S919" i="5" l="1"/>
  <c r="T919" i="5" s="1"/>
  <c r="BO612" i="5"/>
  <c r="BP612" i="5" s="1"/>
  <c r="BA921" i="5"/>
  <c r="AR878" i="2"/>
  <c r="AZ877" i="2"/>
  <c r="AE975" i="5"/>
  <c r="AF975" i="5" s="1"/>
  <c r="W837" i="2"/>
  <c r="M838" i="2"/>
  <c r="N838" i="2"/>
  <c r="O838" i="2" s="1"/>
  <c r="AM974" i="5"/>
  <c r="AE836" i="2"/>
  <c r="W919" i="5" l="1"/>
  <c r="BB921" i="5"/>
  <c r="AT922" i="5"/>
  <c r="BK613" i="5"/>
  <c r="AT878" i="2"/>
  <c r="R838" i="2"/>
  <c r="S838" i="2" s="1"/>
  <c r="AJ836" i="2"/>
  <c r="N920" i="5" l="1"/>
  <c r="X919" i="5"/>
  <c r="O920" i="5"/>
  <c r="P920" i="5" s="1"/>
  <c r="AV922" i="5"/>
  <c r="AW922" i="5" s="1"/>
  <c r="BM613" i="5"/>
  <c r="BN613" i="5" s="1"/>
  <c r="AU878" i="2"/>
  <c r="AY878" i="2" s="1"/>
  <c r="V838" i="2"/>
  <c r="AL975" i="5"/>
  <c r="AC976" i="5" s="1"/>
  <c r="AK836" i="2"/>
  <c r="AB837" i="2"/>
  <c r="AD837" i="2" s="1"/>
  <c r="S920" i="5" l="1"/>
  <c r="T920" i="5" s="1"/>
  <c r="W920" i="5" s="1"/>
  <c r="BO613" i="5"/>
  <c r="BP613" i="5" s="1"/>
  <c r="BA922" i="5"/>
  <c r="AZ878" i="2"/>
  <c r="AR879" i="2"/>
  <c r="AE976" i="5"/>
  <c r="AF976" i="5" s="1"/>
  <c r="W838" i="2"/>
  <c r="N839" i="2"/>
  <c r="O839" i="2" s="1"/>
  <c r="M839" i="2"/>
  <c r="AM975" i="5"/>
  <c r="AE837" i="2"/>
  <c r="N921" i="5" l="1"/>
  <c r="O921" i="5"/>
  <c r="P921" i="5" s="1"/>
  <c r="X920" i="5"/>
  <c r="AT923" i="5"/>
  <c r="BB922" i="5"/>
  <c r="BK614" i="5"/>
  <c r="AT879" i="2"/>
  <c r="R839" i="2"/>
  <c r="S839" i="2" s="1"/>
  <c r="AJ837" i="2"/>
  <c r="S921" i="5" l="1"/>
  <c r="T921" i="5" s="1"/>
  <c r="AV923" i="5"/>
  <c r="AW923" i="5" s="1"/>
  <c r="BM614" i="5"/>
  <c r="BN614" i="5" s="1"/>
  <c r="AU879" i="2"/>
  <c r="AY879" i="2" s="1"/>
  <c r="V839" i="2"/>
  <c r="AL976" i="5"/>
  <c r="AC977" i="5" s="1"/>
  <c r="AK837" i="2"/>
  <c r="AB838" i="2"/>
  <c r="AD838" i="2" s="1"/>
  <c r="W921" i="5" l="1"/>
  <c r="N922" i="5" s="1"/>
  <c r="BO614" i="5"/>
  <c r="BP614" i="5" s="1"/>
  <c r="BA923" i="5"/>
  <c r="AR880" i="2"/>
  <c r="AZ879" i="2"/>
  <c r="AE977" i="5"/>
  <c r="AF977" i="5" s="1"/>
  <c r="W839" i="2"/>
  <c r="M840" i="2"/>
  <c r="N840" i="2"/>
  <c r="O840" i="2" s="1"/>
  <c r="AM976" i="5"/>
  <c r="AE838" i="2"/>
  <c r="X921" i="5" l="1"/>
  <c r="O922" i="5"/>
  <c r="P922" i="5" s="1"/>
  <c r="S922" i="5" s="1"/>
  <c r="T922" i="5" s="1"/>
  <c r="W922" i="5" s="1"/>
  <c r="AT924" i="5"/>
  <c r="BB923" i="5"/>
  <c r="BK615" i="5"/>
  <c r="AT880" i="2"/>
  <c r="AU880" i="2" s="1"/>
  <c r="R840" i="2"/>
  <c r="S840" i="2" s="1"/>
  <c r="AJ838" i="2"/>
  <c r="N923" i="5" l="1"/>
  <c r="O923" i="5"/>
  <c r="P923" i="5" s="1"/>
  <c r="X922" i="5"/>
  <c r="BM615" i="5"/>
  <c r="BN615" i="5" s="1"/>
  <c r="AV924" i="5"/>
  <c r="AW924" i="5" s="1"/>
  <c r="AY880" i="2"/>
  <c r="V840" i="2"/>
  <c r="AL977" i="5"/>
  <c r="AC978" i="5" s="1"/>
  <c r="AK838" i="2"/>
  <c r="AB839" i="2"/>
  <c r="AD839" i="2" s="1"/>
  <c r="S923" i="5" l="1"/>
  <c r="T923" i="5" s="1"/>
  <c r="W923" i="5" s="1"/>
  <c r="BA924" i="5"/>
  <c r="BO615" i="5"/>
  <c r="BP615" i="5" s="1"/>
  <c r="AZ880" i="2"/>
  <c r="AR881" i="2"/>
  <c r="AE978" i="5"/>
  <c r="AF978" i="5" s="1"/>
  <c r="W840" i="2"/>
  <c r="N841" i="2"/>
  <c r="O841" i="2" s="1"/>
  <c r="M841" i="2"/>
  <c r="AM977" i="5"/>
  <c r="AE839" i="2"/>
  <c r="O924" i="5" l="1"/>
  <c r="P924" i="5" s="1"/>
  <c r="N924" i="5"/>
  <c r="X923" i="5"/>
  <c r="BK616" i="5"/>
  <c r="BM616" i="5" s="1"/>
  <c r="BN616" i="5" s="1"/>
  <c r="BO616" i="5" s="1"/>
  <c r="BP616" i="5" s="1"/>
  <c r="AT925" i="5"/>
  <c r="BB924" i="5"/>
  <c r="AT881" i="2"/>
  <c r="R841" i="2"/>
  <c r="S841" i="2" s="1"/>
  <c r="AJ839" i="2"/>
  <c r="S924" i="5" l="1"/>
  <c r="T924" i="5" s="1"/>
  <c r="W924" i="5" s="1"/>
  <c r="AV925" i="5"/>
  <c r="AW925" i="5" s="1"/>
  <c r="BK617" i="5"/>
  <c r="BM617" i="5" s="1"/>
  <c r="BN617" i="5" s="1"/>
  <c r="AU881" i="2"/>
  <c r="AY881" i="2" s="1"/>
  <c r="V841" i="2"/>
  <c r="AL978" i="5"/>
  <c r="AC979" i="5" s="1"/>
  <c r="AK839" i="2"/>
  <c r="AB840" i="2"/>
  <c r="AD840" i="2" s="1"/>
  <c r="O925" i="5" l="1"/>
  <c r="P925" i="5" s="1"/>
  <c r="N925" i="5"/>
  <c r="X924" i="5"/>
  <c r="BO617" i="5"/>
  <c r="BP617" i="5" s="1"/>
  <c r="BA925" i="5"/>
  <c r="AZ881" i="2"/>
  <c r="AR882" i="2"/>
  <c r="AE979" i="5"/>
  <c r="AF979" i="5" s="1"/>
  <c r="W841" i="2"/>
  <c r="M842" i="2"/>
  <c r="N842" i="2"/>
  <c r="O842" i="2" s="1"/>
  <c r="AM978" i="5"/>
  <c r="AE840" i="2"/>
  <c r="BK618" i="5" l="1"/>
  <c r="BM618" i="5" s="1"/>
  <c r="BN618" i="5" s="1"/>
  <c r="S925" i="5"/>
  <c r="T925" i="5" s="1"/>
  <c r="BB925" i="5"/>
  <c r="AT926" i="5"/>
  <c r="AV926" i="5" s="1"/>
  <c r="AW926" i="5" s="1"/>
  <c r="BA926" i="5" s="1"/>
  <c r="AT882" i="2"/>
  <c r="AU882" i="2" s="1"/>
  <c r="R842" i="2"/>
  <c r="S842" i="2" s="1"/>
  <c r="AJ840" i="2"/>
  <c r="W925" i="5" l="1"/>
  <c r="AT927" i="5"/>
  <c r="BB926" i="5"/>
  <c r="AY882" i="2"/>
  <c r="V842" i="2"/>
  <c r="BO618" i="5"/>
  <c r="BP618" i="5" s="1"/>
  <c r="AL979" i="5"/>
  <c r="AC980" i="5" s="1"/>
  <c r="AK840" i="2"/>
  <c r="AB841" i="2"/>
  <c r="AD841" i="2" s="1"/>
  <c r="N926" i="5" l="1"/>
  <c r="O926" i="5"/>
  <c r="P926" i="5" s="1"/>
  <c r="X925" i="5"/>
  <c r="AV927" i="5"/>
  <c r="AW927" i="5" s="1"/>
  <c r="AZ882" i="2"/>
  <c r="AR883" i="2"/>
  <c r="N843" i="2"/>
  <c r="O843" i="2" s="1"/>
  <c r="M843" i="2"/>
  <c r="W842" i="2"/>
  <c r="AE980" i="5"/>
  <c r="AF980" i="5" s="1"/>
  <c r="BK619" i="5"/>
  <c r="AM979" i="5"/>
  <c r="AE841" i="2"/>
  <c r="BA927" i="5" l="1"/>
  <c r="AT928" i="5" s="1"/>
  <c r="S926" i="5"/>
  <c r="T926" i="5" s="1"/>
  <c r="AT883" i="2"/>
  <c r="R843" i="2"/>
  <c r="S843" i="2" s="1"/>
  <c r="BM619" i="5"/>
  <c r="BN619" i="5" s="1"/>
  <c r="AJ841" i="2"/>
  <c r="BB927" i="5" l="1"/>
  <c r="W926" i="5"/>
  <c r="AV928" i="5"/>
  <c r="AW928" i="5" s="1"/>
  <c r="AU883" i="2"/>
  <c r="AY883" i="2" s="1"/>
  <c r="V843" i="2"/>
  <c r="BO619" i="5"/>
  <c r="BP619" i="5" s="1"/>
  <c r="AL980" i="5"/>
  <c r="AC981" i="5" s="1"/>
  <c r="AK841" i="2"/>
  <c r="AB842" i="2"/>
  <c r="AD842" i="2" s="1"/>
  <c r="BK620" i="5" l="1"/>
  <c r="BM620" i="5" s="1"/>
  <c r="BN620" i="5" s="1"/>
  <c r="N927" i="5"/>
  <c r="X926" i="5"/>
  <c r="O927" i="5"/>
  <c r="P927" i="5" s="1"/>
  <c r="BA928" i="5"/>
  <c r="AZ883" i="2"/>
  <c r="AR884" i="2"/>
  <c r="W843" i="2"/>
  <c r="M844" i="2"/>
  <c r="N844" i="2"/>
  <c r="O844" i="2" s="1"/>
  <c r="AE981" i="5"/>
  <c r="AF981" i="5" s="1"/>
  <c r="AM980" i="5"/>
  <c r="AE842" i="2"/>
  <c r="S927" i="5" l="1"/>
  <c r="T927" i="5" s="1"/>
  <c r="W927" i="5" s="1"/>
  <c r="X927" i="5" s="1"/>
  <c r="BB928" i="5"/>
  <c r="AT929" i="5"/>
  <c r="AT884" i="2"/>
  <c r="AU884" i="2" s="1"/>
  <c r="R844" i="2"/>
  <c r="S844" i="2" s="1"/>
  <c r="BO620" i="5"/>
  <c r="BP620" i="5" s="1"/>
  <c r="AJ842" i="2"/>
  <c r="N928" i="5" l="1"/>
  <c r="O928" i="5"/>
  <c r="P928" i="5" s="1"/>
  <c r="AV929" i="5"/>
  <c r="AW929" i="5" s="1"/>
  <c r="AY884" i="2"/>
  <c r="V844" i="2"/>
  <c r="BK621" i="5"/>
  <c r="AL981" i="5"/>
  <c r="AC982" i="5" s="1"/>
  <c r="AK842" i="2"/>
  <c r="AB843" i="2"/>
  <c r="AD843" i="2" s="1"/>
  <c r="S928" i="5" l="1"/>
  <c r="T928" i="5" s="1"/>
  <c r="W928" i="5" s="1"/>
  <c r="BA929" i="5"/>
  <c r="AR885" i="2"/>
  <c r="AT885" i="2" s="1"/>
  <c r="AZ884" i="2"/>
  <c r="M845" i="2"/>
  <c r="N845" i="2"/>
  <c r="O845" i="2" s="1"/>
  <c r="W844" i="2"/>
  <c r="BM621" i="5"/>
  <c r="BN621" i="5" s="1"/>
  <c r="AE982" i="5"/>
  <c r="AF982" i="5" s="1"/>
  <c r="AM981" i="5"/>
  <c r="AE843" i="2"/>
  <c r="O929" i="5" l="1"/>
  <c r="P929" i="5" s="1"/>
  <c r="N929" i="5"/>
  <c r="X928" i="5"/>
  <c r="AT930" i="5"/>
  <c r="AV930" i="5" s="1"/>
  <c r="AW930" i="5" s="1"/>
  <c r="BA930" i="5" s="1"/>
  <c r="BB929" i="5"/>
  <c r="AU885" i="2"/>
  <c r="AY885" i="2" s="1"/>
  <c r="R845" i="2"/>
  <c r="S845" i="2" s="1"/>
  <c r="BO621" i="5"/>
  <c r="BP621" i="5" s="1"/>
  <c r="AJ843" i="2"/>
  <c r="S929" i="5" l="1"/>
  <c r="T929" i="5" s="1"/>
  <c r="W929" i="5" s="1"/>
  <c r="AT931" i="5"/>
  <c r="BB930" i="5"/>
  <c r="AR886" i="2"/>
  <c r="AZ885" i="2"/>
  <c r="V845" i="2"/>
  <c r="BK622" i="5"/>
  <c r="AL982" i="5"/>
  <c r="AC983" i="5" s="1"/>
  <c r="AK843" i="2"/>
  <c r="AB844" i="2"/>
  <c r="AD844" i="2" s="1"/>
  <c r="N930" i="5" l="1"/>
  <c r="X929" i="5"/>
  <c r="O930" i="5"/>
  <c r="P930" i="5" s="1"/>
  <c r="AV931" i="5"/>
  <c r="AW931" i="5" s="1"/>
  <c r="AT886" i="2"/>
  <c r="W845" i="2"/>
  <c r="N846" i="2"/>
  <c r="O846" i="2" s="1"/>
  <c r="M846" i="2"/>
  <c r="BM622" i="5"/>
  <c r="BN622" i="5" s="1"/>
  <c r="AE983" i="5"/>
  <c r="AF983" i="5" s="1"/>
  <c r="AM982" i="5"/>
  <c r="AE844" i="2"/>
  <c r="S930" i="5" l="1"/>
  <c r="T930" i="5" s="1"/>
  <c r="BA931" i="5"/>
  <c r="AU886" i="2"/>
  <c r="AY886" i="2" s="1"/>
  <c r="R846" i="2"/>
  <c r="S846" i="2" s="1"/>
  <c r="V846" i="2" s="1"/>
  <c r="BO622" i="5"/>
  <c r="BP622" i="5" s="1"/>
  <c r="AJ844" i="2"/>
  <c r="W930" i="5" l="1"/>
  <c r="X930" i="5" s="1"/>
  <c r="AT932" i="5"/>
  <c r="BB931" i="5"/>
  <c r="AR887" i="2"/>
  <c r="AZ886" i="2"/>
  <c r="BK623" i="5"/>
  <c r="W846" i="2"/>
  <c r="N847" i="2"/>
  <c r="O847" i="2" s="1"/>
  <c r="M847" i="2"/>
  <c r="AL983" i="5"/>
  <c r="AC984" i="5" s="1"/>
  <c r="AK844" i="2"/>
  <c r="AB845" i="2"/>
  <c r="AD845" i="2" s="1"/>
  <c r="N931" i="5" l="1"/>
  <c r="O931" i="5"/>
  <c r="P931" i="5" s="1"/>
  <c r="AV932" i="5"/>
  <c r="AW932" i="5" s="1"/>
  <c r="AT887" i="2"/>
  <c r="BM623" i="5"/>
  <c r="BN623" i="5" s="1"/>
  <c r="BO623" i="5" s="1"/>
  <c r="BP623" i="5" s="1"/>
  <c r="AE984" i="5"/>
  <c r="AF984" i="5" s="1"/>
  <c r="R847" i="2"/>
  <c r="S847" i="2" s="1"/>
  <c r="AM983" i="5"/>
  <c r="AE845" i="2"/>
  <c r="S931" i="5" l="1"/>
  <c r="T931" i="5" s="1"/>
  <c r="W931" i="5" s="1"/>
  <c r="X931" i="5" s="1"/>
  <c r="O932" i="5"/>
  <c r="P932" i="5" s="1"/>
  <c r="N932" i="5"/>
  <c r="BA932" i="5"/>
  <c r="AU887" i="2"/>
  <c r="AY887" i="2" s="1"/>
  <c r="V847" i="2"/>
  <c r="BK624" i="5"/>
  <c r="AJ845" i="2"/>
  <c r="S932" i="5" l="1"/>
  <c r="T932" i="5" s="1"/>
  <c r="BB932" i="5"/>
  <c r="AT933" i="5"/>
  <c r="AZ887" i="2"/>
  <c r="AR888" i="2"/>
  <c r="BM624" i="5"/>
  <c r="BN624" i="5" s="1"/>
  <c r="W847" i="2"/>
  <c r="M848" i="2"/>
  <c r="N848" i="2"/>
  <c r="O848" i="2" s="1"/>
  <c r="AL984" i="5"/>
  <c r="AC985" i="5" s="1"/>
  <c r="AK845" i="2"/>
  <c r="AB846" i="2"/>
  <c r="AD846" i="2" s="1"/>
  <c r="AV933" i="5" l="1"/>
  <c r="AW933" i="5" s="1"/>
  <c r="W932" i="5"/>
  <c r="AT888" i="2"/>
  <c r="AU888" i="2" s="1"/>
  <c r="AE985" i="5"/>
  <c r="AF985" i="5" s="1"/>
  <c r="BO624" i="5"/>
  <c r="BP624" i="5" s="1"/>
  <c r="R848" i="2"/>
  <c r="S848" i="2" s="1"/>
  <c r="AM984" i="5"/>
  <c r="AE846" i="2"/>
  <c r="O933" i="5" l="1"/>
  <c r="P933" i="5" s="1"/>
  <c r="N933" i="5"/>
  <c r="X932" i="5"/>
  <c r="BK625" i="5"/>
  <c r="BM625" i="5" s="1"/>
  <c r="BN625" i="5" s="1"/>
  <c r="BA933" i="5"/>
  <c r="AY888" i="2"/>
  <c r="V848" i="2"/>
  <c r="AJ846" i="2"/>
  <c r="S933" i="5" l="1"/>
  <c r="T933" i="5" s="1"/>
  <c r="W933" i="5" s="1"/>
  <c r="BB933" i="5"/>
  <c r="AT934" i="5"/>
  <c r="AZ888" i="2"/>
  <c r="AR889" i="2"/>
  <c r="BO625" i="5"/>
  <c r="BP625" i="5" s="1"/>
  <c r="W848" i="2"/>
  <c r="M849" i="2"/>
  <c r="N849" i="2"/>
  <c r="O849" i="2" s="1"/>
  <c r="AL985" i="5"/>
  <c r="AC986" i="5" s="1"/>
  <c r="AK846" i="2"/>
  <c r="AB847" i="2"/>
  <c r="AD847" i="2" s="1"/>
  <c r="N934" i="5" l="1"/>
  <c r="X933" i="5"/>
  <c r="O934" i="5"/>
  <c r="P934" i="5" s="1"/>
  <c r="AV934" i="5"/>
  <c r="AW934" i="5" s="1"/>
  <c r="BA934" i="5" s="1"/>
  <c r="AT889" i="2"/>
  <c r="AE986" i="5"/>
  <c r="AF986" i="5" s="1"/>
  <c r="BK626" i="5"/>
  <c r="R849" i="2"/>
  <c r="S849" i="2" s="1"/>
  <c r="AM985" i="5"/>
  <c r="AE847" i="2"/>
  <c r="BB934" i="5" l="1"/>
  <c r="AT935" i="5"/>
  <c r="S934" i="5"/>
  <c r="T934" i="5" s="1"/>
  <c r="AU889" i="2"/>
  <c r="AY889" i="2" s="1"/>
  <c r="V849" i="2"/>
  <c r="BM626" i="5"/>
  <c r="BN626" i="5" s="1"/>
  <c r="AJ847" i="2"/>
  <c r="AV935" i="5" l="1"/>
  <c r="AW935" i="5" s="1"/>
  <c r="W934" i="5"/>
  <c r="AR890" i="2"/>
  <c r="AZ889" i="2"/>
  <c r="BO626" i="5"/>
  <c r="BP626" i="5" s="1"/>
  <c r="W849" i="2"/>
  <c r="M850" i="2"/>
  <c r="N850" i="2"/>
  <c r="O850" i="2" s="1"/>
  <c r="AL986" i="5"/>
  <c r="AC987" i="5" s="1"/>
  <c r="AK847" i="2"/>
  <c r="AB848" i="2"/>
  <c r="AD848" i="2" s="1"/>
  <c r="BA935" i="5" l="1"/>
  <c r="BB935" i="5" s="1"/>
  <c r="X934" i="5"/>
  <c r="O935" i="5"/>
  <c r="P935" i="5" s="1"/>
  <c r="N935" i="5"/>
  <c r="AT890" i="2"/>
  <c r="AE987" i="5"/>
  <c r="AF987" i="5" s="1"/>
  <c r="BK627" i="5"/>
  <c r="R850" i="2"/>
  <c r="S850" i="2" s="1"/>
  <c r="AM986" i="5"/>
  <c r="AE848" i="2"/>
  <c r="AT936" i="5" l="1"/>
  <c r="AV936" i="5" s="1"/>
  <c r="AW936" i="5" s="1"/>
  <c r="S935" i="5"/>
  <c r="T935" i="5" s="1"/>
  <c r="W935" i="5" s="1"/>
  <c r="O936" i="5" s="1"/>
  <c r="P936" i="5" s="1"/>
  <c r="AU890" i="2"/>
  <c r="AY890" i="2" s="1"/>
  <c r="V850" i="2"/>
  <c r="BM627" i="5"/>
  <c r="BN627" i="5" s="1"/>
  <c r="AJ848" i="2"/>
  <c r="X935" i="5" l="1"/>
  <c r="N936" i="5"/>
  <c r="S936" i="5" s="1"/>
  <c r="T936" i="5" s="1"/>
  <c r="BA936" i="5"/>
  <c r="AR891" i="2"/>
  <c r="AZ890" i="2"/>
  <c r="BO627" i="5"/>
  <c r="BP627" i="5" s="1"/>
  <c r="W850" i="2"/>
  <c r="N851" i="2"/>
  <c r="O851" i="2" s="1"/>
  <c r="M851" i="2"/>
  <c r="AL987" i="5"/>
  <c r="AC988" i="5" s="1"/>
  <c r="AK848" i="2"/>
  <c r="AB849" i="2"/>
  <c r="AD849" i="2" s="1"/>
  <c r="BB936" i="5" l="1"/>
  <c r="AT937" i="5"/>
  <c r="AT891" i="2"/>
  <c r="W936" i="5"/>
  <c r="X936" i="5" s="1"/>
  <c r="AE988" i="5"/>
  <c r="AF988" i="5" s="1"/>
  <c r="BK628" i="5"/>
  <c r="R851" i="2"/>
  <c r="S851" i="2" s="1"/>
  <c r="AM987" i="5"/>
  <c r="AE849" i="2"/>
  <c r="N937" i="5" l="1"/>
  <c r="O937" i="5"/>
  <c r="P937" i="5" s="1"/>
  <c r="AV937" i="5"/>
  <c r="AW937" i="5" s="1"/>
  <c r="AU891" i="2"/>
  <c r="AY891" i="2" s="1"/>
  <c r="V851" i="2"/>
  <c r="BM628" i="5"/>
  <c r="BN628" i="5" s="1"/>
  <c r="AL988" i="5"/>
  <c r="AC989" i="5" s="1"/>
  <c r="AJ849" i="2"/>
  <c r="S937" i="5" l="1"/>
  <c r="T937" i="5" s="1"/>
  <c r="BA937" i="5"/>
  <c r="AZ891" i="2"/>
  <c r="AR892" i="2"/>
  <c r="AE989" i="5"/>
  <c r="AF989" i="5" s="1"/>
  <c r="BO628" i="5"/>
  <c r="BP628" i="5" s="1"/>
  <c r="W851" i="2"/>
  <c r="M852" i="2"/>
  <c r="N852" i="2"/>
  <c r="O852" i="2" s="1"/>
  <c r="AM988" i="5"/>
  <c r="AK849" i="2"/>
  <c r="AB850" i="2"/>
  <c r="AD850" i="2" s="1"/>
  <c r="W937" i="5" l="1"/>
  <c r="O938" i="5" s="1"/>
  <c r="P938" i="5" s="1"/>
  <c r="BK629" i="5"/>
  <c r="BM629" i="5" s="1"/>
  <c r="BN629" i="5" s="1"/>
  <c r="BO629" i="5" s="1"/>
  <c r="BP629" i="5" s="1"/>
  <c r="AT938" i="5"/>
  <c r="BB937" i="5"/>
  <c r="AT892" i="2"/>
  <c r="R852" i="2"/>
  <c r="S852" i="2" s="1"/>
  <c r="AE850" i="2"/>
  <c r="X937" i="5" l="1"/>
  <c r="N938" i="5"/>
  <c r="S938" i="5" s="1"/>
  <c r="T938" i="5" s="1"/>
  <c r="AV938" i="5"/>
  <c r="AW938" i="5" s="1"/>
  <c r="AU892" i="2"/>
  <c r="AY892" i="2" s="1"/>
  <c r="V852" i="2"/>
  <c r="BK630" i="5"/>
  <c r="AL989" i="5"/>
  <c r="AC990" i="5" s="1"/>
  <c r="AJ850" i="2"/>
  <c r="BA938" i="5" l="1"/>
  <c r="AR893" i="2"/>
  <c r="AZ892" i="2"/>
  <c r="W938" i="5"/>
  <c r="BM630" i="5"/>
  <c r="BN630" i="5" s="1"/>
  <c r="AE990" i="5"/>
  <c r="AF990" i="5" s="1"/>
  <c r="W852" i="2"/>
  <c r="N853" i="2"/>
  <c r="O853" i="2" s="1"/>
  <c r="M853" i="2"/>
  <c r="AM989" i="5"/>
  <c r="AK850" i="2"/>
  <c r="AB851" i="2"/>
  <c r="AD851" i="2" s="1"/>
  <c r="AT939" i="5" l="1"/>
  <c r="BB938" i="5"/>
  <c r="AT893" i="2"/>
  <c r="AU893" i="2" s="1"/>
  <c r="BO630" i="5"/>
  <c r="BP630" i="5" s="1"/>
  <c r="X938" i="5"/>
  <c r="O939" i="5"/>
  <c r="P939" i="5" s="1"/>
  <c r="N939" i="5"/>
  <c r="R853" i="2"/>
  <c r="S853" i="2" s="1"/>
  <c r="AL990" i="5"/>
  <c r="AC991" i="5" s="1"/>
  <c r="AE851" i="2"/>
  <c r="BK631" i="5" l="1"/>
  <c r="BM631" i="5" s="1"/>
  <c r="BN631" i="5" s="1"/>
  <c r="AV939" i="5"/>
  <c r="AW939" i="5" s="1"/>
  <c r="AY893" i="2"/>
  <c r="V853" i="2"/>
  <c r="AE991" i="5"/>
  <c r="AF991" i="5" s="1"/>
  <c r="S939" i="5"/>
  <c r="T939" i="5" s="1"/>
  <c r="AM990" i="5"/>
  <c r="AJ851" i="2"/>
  <c r="BA939" i="5" l="1"/>
  <c r="AR894" i="2"/>
  <c r="AZ893" i="2"/>
  <c r="W939" i="5"/>
  <c r="X939" i="5" s="1"/>
  <c r="BO631" i="5"/>
  <c r="BP631" i="5" s="1"/>
  <c r="W853" i="2"/>
  <c r="N854" i="2"/>
  <c r="O854" i="2" s="1"/>
  <c r="M854" i="2"/>
  <c r="AK851" i="2"/>
  <c r="AB852" i="2"/>
  <c r="AD852" i="2" s="1"/>
  <c r="BK632" i="5" l="1"/>
  <c r="BM632" i="5" s="1"/>
  <c r="BN632" i="5" s="1"/>
  <c r="N940" i="5"/>
  <c r="O940" i="5"/>
  <c r="P940" i="5" s="1"/>
  <c r="BB939" i="5"/>
  <c r="AT940" i="5"/>
  <c r="AT894" i="2"/>
  <c r="R854" i="2"/>
  <c r="S854" i="2" s="1"/>
  <c r="AL991" i="5"/>
  <c r="AC992" i="5" s="1"/>
  <c r="AE852" i="2"/>
  <c r="S940" i="5" l="1"/>
  <c r="T940" i="5" s="1"/>
  <c r="AV940" i="5"/>
  <c r="AW940" i="5" s="1"/>
  <c r="AU894" i="2"/>
  <c r="AY894" i="2" s="1"/>
  <c r="V854" i="2"/>
  <c r="AE992" i="5"/>
  <c r="AF992" i="5" s="1"/>
  <c r="BO632" i="5"/>
  <c r="BP632" i="5" s="1"/>
  <c r="AM991" i="5"/>
  <c r="AJ852" i="2"/>
  <c r="W940" i="5" l="1"/>
  <c r="X940" i="5" s="1"/>
  <c r="BA940" i="5"/>
  <c r="AZ894" i="2"/>
  <c r="AR895" i="2"/>
  <c r="O941" i="5"/>
  <c r="P941" i="5" s="1"/>
  <c r="N941" i="5"/>
  <c r="BK633" i="5"/>
  <c r="W854" i="2"/>
  <c r="N855" i="2"/>
  <c r="O855" i="2" s="1"/>
  <c r="M855" i="2"/>
  <c r="AL992" i="5"/>
  <c r="AC993" i="5" s="1"/>
  <c r="AK852" i="2"/>
  <c r="AB853" i="2"/>
  <c r="AD853" i="2" s="1"/>
  <c r="AT941" i="5" l="1"/>
  <c r="BB940" i="5"/>
  <c r="AT895" i="2"/>
  <c r="BM633" i="5"/>
  <c r="BN633" i="5" s="1"/>
  <c r="AE993" i="5"/>
  <c r="AF993" i="5" s="1"/>
  <c r="S941" i="5"/>
  <c r="T941" i="5" s="1"/>
  <c r="R855" i="2"/>
  <c r="S855" i="2" s="1"/>
  <c r="AM992" i="5"/>
  <c r="AE853" i="2"/>
  <c r="AV941" i="5" l="1"/>
  <c r="AW941" i="5" s="1"/>
  <c r="AU895" i="2"/>
  <c r="AY895" i="2" s="1"/>
  <c r="V855" i="2"/>
  <c r="W941" i="5"/>
  <c r="BO633" i="5"/>
  <c r="BP633" i="5" s="1"/>
  <c r="AL993" i="5"/>
  <c r="AC994" i="5" s="1"/>
  <c r="AJ853" i="2"/>
  <c r="BA941" i="5" l="1"/>
  <c r="AT942" i="5" s="1"/>
  <c r="N942" i="5"/>
  <c r="O942" i="5"/>
  <c r="P942" i="5" s="1"/>
  <c r="BK634" i="5"/>
  <c r="BM634" i="5" s="1"/>
  <c r="BN634" i="5" s="1"/>
  <c r="AR896" i="2"/>
  <c r="AZ895" i="2"/>
  <c r="X941" i="5"/>
  <c r="AE994" i="5"/>
  <c r="AF994" i="5" s="1"/>
  <c r="W855" i="2"/>
  <c r="N856" i="2"/>
  <c r="O856" i="2" s="1"/>
  <c r="M856" i="2"/>
  <c r="AM993" i="5"/>
  <c r="AK853" i="2"/>
  <c r="AB854" i="2"/>
  <c r="AD854" i="2" s="1"/>
  <c r="BB941" i="5" l="1"/>
  <c r="S942" i="5"/>
  <c r="T942" i="5" s="1"/>
  <c r="W942" i="5" s="1"/>
  <c r="AV942" i="5"/>
  <c r="AW942" i="5" s="1"/>
  <c r="AT896" i="2"/>
  <c r="AU896" i="2" s="1"/>
  <c r="BO634" i="5"/>
  <c r="BK635" i="5"/>
  <c r="R856" i="2"/>
  <c r="S856" i="2" s="1"/>
  <c r="AE854" i="2"/>
  <c r="BP634" i="5" l="1"/>
  <c r="BA942" i="5"/>
  <c r="BB942" i="5" s="1"/>
  <c r="O943" i="5"/>
  <c r="P943" i="5" s="1"/>
  <c r="N943" i="5"/>
  <c r="AY896" i="2"/>
  <c r="V856" i="2"/>
  <c r="BM635" i="5"/>
  <c r="BN635" i="5" s="1"/>
  <c r="X942" i="5"/>
  <c r="AL994" i="5"/>
  <c r="AC995" i="5" s="1"/>
  <c r="AJ854" i="2"/>
  <c r="AT943" i="5" l="1"/>
  <c r="AV943" i="5" s="1"/>
  <c r="AW943" i="5" s="1"/>
  <c r="S943" i="5"/>
  <c r="T943" i="5" s="1"/>
  <c r="AR897" i="2"/>
  <c r="AZ896" i="2"/>
  <c r="AE995" i="5"/>
  <c r="AF995" i="5" s="1"/>
  <c r="BO635" i="5"/>
  <c r="BP635" i="5" s="1"/>
  <c r="M857" i="2"/>
  <c r="N857" i="2"/>
  <c r="O857" i="2" s="1"/>
  <c r="W856" i="2"/>
  <c r="AM994" i="5"/>
  <c r="AK854" i="2"/>
  <c r="AB855" i="2"/>
  <c r="AD855" i="2" s="1"/>
  <c r="W943" i="5" l="1"/>
  <c r="BA943" i="5"/>
  <c r="AT897" i="2"/>
  <c r="AU897" i="2" s="1"/>
  <c r="BK636" i="5"/>
  <c r="R857" i="2"/>
  <c r="S857" i="2" s="1"/>
  <c r="AE855" i="2"/>
  <c r="X943" i="5" l="1"/>
  <c r="O944" i="5"/>
  <c r="P944" i="5" s="1"/>
  <c r="N944" i="5"/>
  <c r="BB943" i="5"/>
  <c r="AT944" i="5"/>
  <c r="AY897" i="2"/>
  <c r="V857" i="2"/>
  <c r="BM636" i="5"/>
  <c r="BN636" i="5" s="1"/>
  <c r="AL995" i="5"/>
  <c r="AC996" i="5" s="1"/>
  <c r="AJ855" i="2"/>
  <c r="S944" i="5" l="1"/>
  <c r="T944" i="5" s="1"/>
  <c r="W944" i="5" s="1"/>
  <c r="AV944" i="5"/>
  <c r="AW944" i="5" s="1"/>
  <c r="BA944" i="5" s="1"/>
  <c r="AR898" i="2"/>
  <c r="AZ897" i="2"/>
  <c r="AE996" i="5"/>
  <c r="AF996" i="5" s="1"/>
  <c r="BO636" i="5"/>
  <c r="BP636" i="5" s="1"/>
  <c r="W857" i="2"/>
  <c r="N858" i="2"/>
  <c r="O858" i="2" s="1"/>
  <c r="M858" i="2"/>
  <c r="AM995" i="5"/>
  <c r="AK855" i="2"/>
  <c r="AB856" i="2"/>
  <c r="AD856" i="2" s="1"/>
  <c r="BB944" i="5" l="1"/>
  <c r="AT945" i="5"/>
  <c r="N945" i="5"/>
  <c r="X944" i="5"/>
  <c r="O945" i="5"/>
  <c r="P945" i="5" s="1"/>
  <c r="AT898" i="2"/>
  <c r="BK637" i="5"/>
  <c r="R858" i="2"/>
  <c r="S858" i="2" s="1"/>
  <c r="AE856" i="2"/>
  <c r="S945" i="5" l="1"/>
  <c r="T945" i="5" s="1"/>
  <c r="AV945" i="5"/>
  <c r="AW945" i="5" s="1"/>
  <c r="AU898" i="2"/>
  <c r="AY898" i="2" s="1"/>
  <c r="V858" i="2"/>
  <c r="BM637" i="5"/>
  <c r="BN637" i="5" s="1"/>
  <c r="AL996" i="5"/>
  <c r="AC997" i="5" s="1"/>
  <c r="AJ856" i="2"/>
  <c r="BA945" i="5" l="1"/>
  <c r="AT946" i="5" s="1"/>
  <c r="W945" i="5"/>
  <c r="AZ898" i="2"/>
  <c r="AR899" i="2"/>
  <c r="AE997" i="5"/>
  <c r="AF997" i="5" s="1"/>
  <c r="BO637" i="5"/>
  <c r="BP637" i="5" s="1"/>
  <c r="M859" i="2"/>
  <c r="N859" i="2"/>
  <c r="O859" i="2" s="1"/>
  <c r="W858" i="2"/>
  <c r="AM996" i="5"/>
  <c r="AK856" i="2"/>
  <c r="AB857" i="2"/>
  <c r="AD857" i="2" s="1"/>
  <c r="BB945" i="5" l="1"/>
  <c r="N946" i="5"/>
  <c r="O946" i="5"/>
  <c r="P946" i="5" s="1"/>
  <c r="X945" i="5"/>
  <c r="AV946" i="5"/>
  <c r="AW946" i="5" s="1"/>
  <c r="BA946" i="5" s="1"/>
  <c r="AT899" i="2"/>
  <c r="BK638" i="5"/>
  <c r="R859" i="2"/>
  <c r="S859" i="2" s="1"/>
  <c r="AE857" i="2"/>
  <c r="S946" i="5" l="1"/>
  <c r="T946" i="5" s="1"/>
  <c r="W946" i="5" s="1"/>
  <c r="AT947" i="5"/>
  <c r="BB946" i="5"/>
  <c r="AU899" i="2"/>
  <c r="AY899" i="2" s="1"/>
  <c r="V859" i="2"/>
  <c r="BM638" i="5"/>
  <c r="BN638" i="5" s="1"/>
  <c r="AL997" i="5"/>
  <c r="AC998" i="5" s="1"/>
  <c r="AJ857" i="2"/>
  <c r="O947" i="5" l="1"/>
  <c r="P947" i="5" s="1"/>
  <c r="N947" i="5"/>
  <c r="X946" i="5"/>
  <c r="AV947" i="5"/>
  <c r="AW947" i="5" s="1"/>
  <c r="AZ899" i="2"/>
  <c r="AR900" i="2"/>
  <c r="AE998" i="5"/>
  <c r="AF998" i="5" s="1"/>
  <c r="BO638" i="5"/>
  <c r="BP638" i="5" s="1"/>
  <c r="N860" i="2"/>
  <c r="O860" i="2" s="1"/>
  <c r="W859" i="2"/>
  <c r="M860" i="2"/>
  <c r="AM997" i="5"/>
  <c r="AK857" i="2"/>
  <c r="AB858" i="2"/>
  <c r="AD858" i="2" s="1"/>
  <c r="BA947" i="5" l="1"/>
  <c r="AT948" i="5" s="1"/>
  <c r="S947" i="5"/>
  <c r="T947" i="5" s="1"/>
  <c r="AT900" i="2"/>
  <c r="BK639" i="5"/>
  <c r="R860" i="2"/>
  <c r="S860" i="2" s="1"/>
  <c r="AE858" i="2"/>
  <c r="BB947" i="5" l="1"/>
  <c r="W947" i="5"/>
  <c r="AV948" i="5"/>
  <c r="AW948" i="5" s="1"/>
  <c r="BA948" i="5" s="1"/>
  <c r="AU900" i="2"/>
  <c r="AY900" i="2" s="1"/>
  <c r="V860" i="2"/>
  <c r="BM639" i="5"/>
  <c r="BN639" i="5" s="1"/>
  <c r="AL998" i="5"/>
  <c r="AC999" i="5" s="1"/>
  <c r="AJ858" i="2"/>
  <c r="N948" i="5" l="1"/>
  <c r="X947" i="5"/>
  <c r="O948" i="5"/>
  <c r="P948" i="5" s="1"/>
  <c r="BB948" i="5"/>
  <c r="AT949" i="5"/>
  <c r="AR901" i="2"/>
  <c r="AZ900" i="2"/>
  <c r="AE999" i="5"/>
  <c r="AF999" i="5" s="1"/>
  <c r="BO639" i="5"/>
  <c r="BP639" i="5" s="1"/>
  <c r="M861" i="2"/>
  <c r="N861" i="2"/>
  <c r="O861" i="2" s="1"/>
  <c r="W860" i="2"/>
  <c r="AM998" i="5"/>
  <c r="AK858" i="2"/>
  <c r="AB859" i="2"/>
  <c r="AD859" i="2" s="1"/>
  <c r="S948" i="5" l="1"/>
  <c r="T948" i="5" s="1"/>
  <c r="W948" i="5" s="1"/>
  <c r="AV949" i="5"/>
  <c r="AW949" i="5" s="1"/>
  <c r="AT901" i="2"/>
  <c r="BK640" i="5"/>
  <c r="R861" i="2"/>
  <c r="S861" i="2" s="1"/>
  <c r="AE859" i="2"/>
  <c r="O949" i="5" l="1"/>
  <c r="P949" i="5" s="1"/>
  <c r="X948" i="5"/>
  <c r="N949" i="5"/>
  <c r="BA949" i="5"/>
  <c r="AU901" i="2"/>
  <c r="AY901" i="2" s="1"/>
  <c r="V861" i="2"/>
  <c r="BM640" i="5"/>
  <c r="BN640" i="5" s="1"/>
  <c r="AL999" i="5"/>
  <c r="AJ859" i="2"/>
  <c r="S949" i="5" l="1"/>
  <c r="T949" i="5" s="1"/>
  <c r="AT950" i="5"/>
  <c r="BB949" i="5"/>
  <c r="AZ901" i="2"/>
  <c r="AR902" i="2"/>
  <c r="AC1000" i="5"/>
  <c r="BO640" i="5"/>
  <c r="BP640" i="5" s="1"/>
  <c r="M862" i="2"/>
  <c r="W861" i="2"/>
  <c r="N862" i="2"/>
  <c r="O862" i="2" s="1"/>
  <c r="AM999" i="5"/>
  <c r="AK859" i="2"/>
  <c r="AB860" i="2"/>
  <c r="AD860" i="2" s="1"/>
  <c r="W949" i="5" l="1"/>
  <c r="N950" i="5" s="1"/>
  <c r="AV950" i="5"/>
  <c r="AW950" i="5" s="1"/>
  <c r="AT902" i="2"/>
  <c r="AE1000" i="5"/>
  <c r="AF1000" i="5" s="1"/>
  <c r="AL1000" i="5" s="1"/>
  <c r="AC1001" i="5" s="1"/>
  <c r="BK641" i="5"/>
  <c r="R862" i="2"/>
  <c r="S862" i="2" s="1"/>
  <c r="AE860" i="2"/>
  <c r="O950" i="5" l="1"/>
  <c r="P950" i="5" s="1"/>
  <c r="S950" i="5" s="1"/>
  <c r="T950" i="5" s="1"/>
  <c r="X949" i="5"/>
  <c r="BA950" i="5"/>
  <c r="AT951" i="5" s="1"/>
  <c r="AU902" i="2"/>
  <c r="AY902" i="2" s="1"/>
  <c r="V862" i="2"/>
  <c r="BM641" i="5"/>
  <c r="BN641" i="5" s="1"/>
  <c r="AE1001" i="5"/>
  <c r="AF1001" i="5" s="1"/>
  <c r="AM1000" i="5"/>
  <c r="AJ860" i="2"/>
  <c r="BB950" i="5" l="1"/>
  <c r="AV951" i="5"/>
  <c r="AW951" i="5" s="1"/>
  <c r="BA951" i="5" s="1"/>
  <c r="AZ902" i="2"/>
  <c r="AR903" i="2"/>
  <c r="W950" i="5"/>
  <c r="BO641" i="5"/>
  <c r="BP641" i="5" s="1"/>
  <c r="N863" i="2"/>
  <c r="O863" i="2" s="1"/>
  <c r="M863" i="2"/>
  <c r="W862" i="2"/>
  <c r="AK860" i="2"/>
  <c r="AB861" i="2"/>
  <c r="AD861" i="2" s="1"/>
  <c r="AT952" i="5" l="1"/>
  <c r="BB951" i="5"/>
  <c r="AT903" i="2"/>
  <c r="X950" i="5"/>
  <c r="O951" i="5"/>
  <c r="P951" i="5" s="1"/>
  <c r="N951" i="5"/>
  <c r="BK642" i="5"/>
  <c r="R863" i="2"/>
  <c r="S863" i="2" s="1"/>
  <c r="AL1001" i="5"/>
  <c r="AC1002" i="5" s="1"/>
  <c r="AE861" i="2"/>
  <c r="AV952" i="5" l="1"/>
  <c r="AW952" i="5" s="1"/>
  <c r="AU903" i="2"/>
  <c r="AY903" i="2" s="1"/>
  <c r="V863" i="2"/>
  <c r="BM642" i="5"/>
  <c r="BN642" i="5" s="1"/>
  <c r="AE1002" i="5"/>
  <c r="AF1002" i="5" s="1"/>
  <c r="S951" i="5"/>
  <c r="T951" i="5" s="1"/>
  <c r="AM1001" i="5"/>
  <c r="AJ861" i="2"/>
  <c r="BA952" i="5" l="1"/>
  <c r="AR904" i="2"/>
  <c r="AZ903" i="2"/>
  <c r="W951" i="5"/>
  <c r="X951" i="5" s="1"/>
  <c r="BO642" i="5"/>
  <c r="BP642" i="5" s="1"/>
  <c r="M864" i="2"/>
  <c r="N864" i="2"/>
  <c r="O864" i="2" s="1"/>
  <c r="W863" i="2"/>
  <c r="AK861" i="2"/>
  <c r="AB862" i="2"/>
  <c r="AD862" i="2" s="1"/>
  <c r="N952" i="5" l="1"/>
  <c r="O952" i="5"/>
  <c r="P952" i="5" s="1"/>
  <c r="AT953" i="5"/>
  <c r="BB952" i="5"/>
  <c r="AT904" i="2"/>
  <c r="BK643" i="5"/>
  <c r="R864" i="2"/>
  <c r="S864" i="2" s="1"/>
  <c r="AL1002" i="5"/>
  <c r="AC1003" i="5" s="1"/>
  <c r="AE862" i="2"/>
  <c r="S952" i="5" l="1"/>
  <c r="T952" i="5" s="1"/>
  <c r="W952" i="5" s="1"/>
  <c r="AV953" i="5"/>
  <c r="AW953" i="5" s="1"/>
  <c r="BA953" i="5" s="1"/>
  <c r="AU904" i="2"/>
  <c r="AY904" i="2" s="1"/>
  <c r="V864" i="2"/>
  <c r="M865" i="2" s="1"/>
  <c r="BM643" i="5"/>
  <c r="BN643" i="5" s="1"/>
  <c r="AE1003" i="5"/>
  <c r="AF1003" i="5" s="1"/>
  <c r="AM1002" i="5"/>
  <c r="AJ862" i="2"/>
  <c r="N953" i="5" l="1"/>
  <c r="O953" i="5"/>
  <c r="P953" i="5" s="1"/>
  <c r="BB953" i="5"/>
  <c r="AT954" i="5"/>
  <c r="AR905" i="2"/>
  <c r="AZ904" i="2"/>
  <c r="X952" i="5"/>
  <c r="BO643" i="5"/>
  <c r="BP643" i="5" s="1"/>
  <c r="W864" i="2"/>
  <c r="N865" i="2"/>
  <c r="O865" i="2" s="1"/>
  <c r="R865" i="2" s="1"/>
  <c r="S865" i="2" s="1"/>
  <c r="AK862" i="2"/>
  <c r="AB863" i="2"/>
  <c r="AD863" i="2" s="1"/>
  <c r="S953" i="5" l="1"/>
  <c r="T953" i="5" s="1"/>
  <c r="W953" i="5" s="1"/>
  <c r="AV954" i="5"/>
  <c r="AW954" i="5" s="1"/>
  <c r="BA954" i="5" s="1"/>
  <c r="AT905" i="2"/>
  <c r="V865" i="2"/>
  <c r="BK644" i="5"/>
  <c r="AL1003" i="5"/>
  <c r="AC1004" i="5" s="1"/>
  <c r="AE863" i="2"/>
  <c r="AT955" i="5" l="1"/>
  <c r="BB954" i="5"/>
  <c r="AU905" i="2"/>
  <c r="AY905" i="2" s="1"/>
  <c r="M866" i="2"/>
  <c r="N866" i="2"/>
  <c r="O866" i="2" s="1"/>
  <c r="W865" i="2"/>
  <c r="BM644" i="5"/>
  <c r="BN644" i="5" s="1"/>
  <c r="AE1004" i="5"/>
  <c r="AF1004" i="5" s="1"/>
  <c r="X953" i="5"/>
  <c r="O954" i="5"/>
  <c r="P954" i="5" s="1"/>
  <c r="N954" i="5"/>
  <c r="AM1003" i="5"/>
  <c r="AJ863" i="2"/>
  <c r="AV955" i="5" l="1"/>
  <c r="AW955" i="5" s="1"/>
  <c r="BA955" i="5" s="1"/>
  <c r="AZ905" i="2"/>
  <c r="AR906" i="2"/>
  <c r="R866" i="2"/>
  <c r="S866" i="2" s="1"/>
  <c r="S954" i="5"/>
  <c r="T954" i="5" s="1"/>
  <c r="BO644" i="5"/>
  <c r="BP644" i="5" s="1"/>
  <c r="AK863" i="2"/>
  <c r="AB864" i="2"/>
  <c r="AD864" i="2" s="1"/>
  <c r="BB955" i="5" l="1"/>
  <c r="AT956" i="5"/>
  <c r="AT906" i="2"/>
  <c r="V866" i="2"/>
  <c r="M867" i="2" s="1"/>
  <c r="W954" i="5"/>
  <c r="BK645" i="5"/>
  <c r="AL1004" i="5"/>
  <c r="AC1005" i="5" s="1"/>
  <c r="AE864" i="2"/>
  <c r="AV956" i="5" l="1"/>
  <c r="AW956" i="5" s="1"/>
  <c r="AU906" i="2"/>
  <c r="AY906" i="2" s="1"/>
  <c r="W866" i="2"/>
  <c r="N867" i="2"/>
  <c r="O867" i="2" s="1"/>
  <c r="R867" i="2" s="1"/>
  <c r="S867" i="2" s="1"/>
  <c r="BM645" i="5"/>
  <c r="BN645" i="5" s="1"/>
  <c r="AE1005" i="5"/>
  <c r="AF1005" i="5" s="1"/>
  <c r="X954" i="5"/>
  <c r="O955" i="5"/>
  <c r="P955" i="5" s="1"/>
  <c r="N955" i="5"/>
  <c r="AM1004" i="5"/>
  <c r="AJ864" i="2"/>
  <c r="BA956" i="5" l="1"/>
  <c r="AR907" i="2"/>
  <c r="AZ906" i="2"/>
  <c r="V867" i="2"/>
  <c r="S955" i="5"/>
  <c r="T955" i="5" s="1"/>
  <c r="BO645" i="5"/>
  <c r="BP645" i="5" s="1"/>
  <c r="AL1005" i="5"/>
  <c r="AK864" i="2"/>
  <c r="AB865" i="2"/>
  <c r="AD865" i="2" s="1"/>
  <c r="BB956" i="5" l="1"/>
  <c r="AT957" i="5"/>
  <c r="AT907" i="2"/>
  <c r="W955" i="5"/>
  <c r="BK646" i="5"/>
  <c r="AC1006" i="5"/>
  <c r="M868" i="2"/>
  <c r="N868" i="2"/>
  <c r="O868" i="2" s="1"/>
  <c r="W867" i="2"/>
  <c r="AM1005" i="5"/>
  <c r="AE865" i="2"/>
  <c r="AV957" i="5" l="1"/>
  <c r="AW957" i="5" s="1"/>
  <c r="AU907" i="2"/>
  <c r="AY907" i="2" s="1"/>
  <c r="BM646" i="5"/>
  <c r="BN646" i="5" s="1"/>
  <c r="AE1006" i="5"/>
  <c r="AF1006" i="5" s="1"/>
  <c r="AL1006" i="5" s="1"/>
  <c r="AC1007" i="5" s="1"/>
  <c r="X955" i="5"/>
  <c r="O956" i="5"/>
  <c r="P956" i="5" s="1"/>
  <c r="N956" i="5"/>
  <c r="R868" i="2"/>
  <c r="S868" i="2" s="1"/>
  <c r="AJ865" i="2"/>
  <c r="BA957" i="5" l="1"/>
  <c r="AZ907" i="2"/>
  <c r="AR908" i="2"/>
  <c r="V868" i="2"/>
  <c r="BO646" i="5"/>
  <c r="BP646" i="5" s="1"/>
  <c r="AE1007" i="5"/>
  <c r="AF1007" i="5" s="1"/>
  <c r="S956" i="5"/>
  <c r="T956" i="5" s="1"/>
  <c r="AM1006" i="5"/>
  <c r="AK865" i="2"/>
  <c r="AB866" i="2"/>
  <c r="AD866" i="2" s="1"/>
  <c r="BK647" i="5" l="1"/>
  <c r="BM647" i="5" s="1"/>
  <c r="BN647" i="5" s="1"/>
  <c r="AT958" i="5"/>
  <c r="BB957" i="5"/>
  <c r="AT908" i="2"/>
  <c r="AU908" i="2" s="1"/>
  <c r="W956" i="5"/>
  <c r="X956" i="5" s="1"/>
  <c r="M869" i="2"/>
  <c r="N869" i="2"/>
  <c r="O869" i="2" s="1"/>
  <c r="W868" i="2"/>
  <c r="AL1007" i="5"/>
  <c r="AC1008" i="5" s="1"/>
  <c r="AE866" i="2"/>
  <c r="O957" i="5" l="1"/>
  <c r="P957" i="5" s="1"/>
  <c r="N957" i="5"/>
  <c r="AV958" i="5"/>
  <c r="AW958" i="5" s="1"/>
  <c r="AY908" i="2"/>
  <c r="BO647" i="5"/>
  <c r="BP647" i="5" s="1"/>
  <c r="AE1008" i="5"/>
  <c r="AF1008" i="5" s="1"/>
  <c r="R869" i="2"/>
  <c r="S869" i="2" s="1"/>
  <c r="AM1007" i="5"/>
  <c r="AJ866" i="2"/>
  <c r="BK648" i="5" l="1"/>
  <c r="BM648" i="5" s="1"/>
  <c r="BN648" i="5" s="1"/>
  <c r="S957" i="5"/>
  <c r="T957" i="5" s="1"/>
  <c r="W957" i="5" s="1"/>
  <c r="BA958" i="5"/>
  <c r="AZ908" i="2"/>
  <c r="AR909" i="2"/>
  <c r="V869" i="2"/>
  <c r="AK866" i="2"/>
  <c r="AB867" i="2"/>
  <c r="AD867" i="2" s="1"/>
  <c r="AT959" i="5" l="1"/>
  <c r="AV959" i="5" s="1"/>
  <c r="AW959" i="5" s="1"/>
  <c r="BA959" i="5" s="1"/>
  <c r="BB958" i="5"/>
  <c r="AT909" i="2"/>
  <c r="BO648" i="5"/>
  <c r="BP648" i="5" s="1"/>
  <c r="X957" i="5"/>
  <c r="O958" i="5"/>
  <c r="P958" i="5" s="1"/>
  <c r="N958" i="5"/>
  <c r="M870" i="2"/>
  <c r="N870" i="2"/>
  <c r="O870" i="2" s="1"/>
  <c r="W869" i="2"/>
  <c r="AL1008" i="5"/>
  <c r="AC1009" i="5" s="1"/>
  <c r="AE867" i="2"/>
  <c r="BK649" i="5" l="1"/>
  <c r="BM649" i="5" s="1"/>
  <c r="BN649" i="5" s="1"/>
  <c r="AT960" i="5"/>
  <c r="BB959" i="5"/>
  <c r="AU909" i="2"/>
  <c r="AY909" i="2" s="1"/>
  <c r="AE1009" i="5"/>
  <c r="AF1009" i="5" s="1"/>
  <c r="S958" i="5"/>
  <c r="T958" i="5" s="1"/>
  <c r="R870" i="2"/>
  <c r="S870" i="2" s="1"/>
  <c r="AM1008" i="5"/>
  <c r="AJ867" i="2"/>
  <c r="AV960" i="5" l="1"/>
  <c r="AW960" i="5" s="1"/>
  <c r="AZ909" i="2"/>
  <c r="AR910" i="2"/>
  <c r="V870" i="2"/>
  <c r="W958" i="5"/>
  <c r="BO649" i="5"/>
  <c r="BP649" i="5" s="1"/>
  <c r="AK867" i="2"/>
  <c r="AB868" i="2"/>
  <c r="AD868" i="2" s="1"/>
  <c r="BA960" i="5" l="1"/>
  <c r="AT910" i="2"/>
  <c r="X958" i="5"/>
  <c r="O959" i="5"/>
  <c r="P959" i="5" s="1"/>
  <c r="N959" i="5"/>
  <c r="BK650" i="5"/>
  <c r="N871" i="2"/>
  <c r="O871" i="2" s="1"/>
  <c r="M871" i="2"/>
  <c r="W870" i="2"/>
  <c r="AL1009" i="5"/>
  <c r="AC1010" i="5" s="1"/>
  <c r="AE868" i="2"/>
  <c r="AT961" i="5" l="1"/>
  <c r="BB960" i="5"/>
  <c r="AU910" i="2"/>
  <c r="BM650" i="5"/>
  <c r="BN650" i="5" s="1"/>
  <c r="AE1010" i="5"/>
  <c r="AF1010" i="5" s="1"/>
  <c r="S959" i="5"/>
  <c r="T959" i="5" s="1"/>
  <c r="R871" i="2"/>
  <c r="S871" i="2" s="1"/>
  <c r="AM1009" i="5"/>
  <c r="AJ868" i="2"/>
  <c r="AV961" i="5" l="1"/>
  <c r="AW961" i="5" s="1"/>
  <c r="BA961" i="5" s="1"/>
  <c r="AY910" i="2"/>
  <c r="V871" i="2"/>
  <c r="W959" i="5"/>
  <c r="BO650" i="5"/>
  <c r="BP650" i="5" s="1"/>
  <c r="AL1010" i="5"/>
  <c r="AC1011" i="5" s="1"/>
  <c r="AK868" i="2"/>
  <c r="AB869" i="2"/>
  <c r="AD869" i="2" s="1"/>
  <c r="BB961" i="5" l="1"/>
  <c r="AT962" i="5"/>
  <c r="AZ910" i="2"/>
  <c r="AR911" i="2"/>
  <c r="N872" i="2"/>
  <c r="O872" i="2" s="1"/>
  <c r="M872" i="2"/>
  <c r="W871" i="2"/>
  <c r="AE1011" i="5"/>
  <c r="AF1011" i="5" s="1"/>
  <c r="BK651" i="5"/>
  <c r="X959" i="5"/>
  <c r="O960" i="5"/>
  <c r="P960" i="5" s="1"/>
  <c r="N960" i="5"/>
  <c r="AM1010" i="5"/>
  <c r="AE869" i="2"/>
  <c r="AV962" i="5" l="1"/>
  <c r="AW962" i="5" s="1"/>
  <c r="AT911" i="2"/>
  <c r="R872" i="2"/>
  <c r="S872" i="2" s="1"/>
  <c r="BM651" i="5"/>
  <c r="BN651" i="5" s="1"/>
  <c r="S960" i="5"/>
  <c r="T960" i="5" s="1"/>
  <c r="AL1011" i="5"/>
  <c r="AC1012" i="5" s="1"/>
  <c r="AJ869" i="2"/>
  <c r="BA962" i="5" l="1"/>
  <c r="AU911" i="2"/>
  <c r="AY911" i="2" s="1"/>
  <c r="V872" i="2"/>
  <c r="W960" i="5"/>
  <c r="AE1012" i="5"/>
  <c r="AF1012" i="5" s="1"/>
  <c r="BO651" i="5"/>
  <c r="BP651" i="5" s="1"/>
  <c r="AM1011" i="5"/>
  <c r="AK869" i="2"/>
  <c r="AB870" i="2"/>
  <c r="AD870" i="2" s="1"/>
  <c r="AT963" i="5" l="1"/>
  <c r="BB962" i="5"/>
  <c r="AR912" i="2"/>
  <c r="AZ911" i="2"/>
  <c r="M873" i="2"/>
  <c r="W872" i="2"/>
  <c r="N873" i="2"/>
  <c r="O873" i="2" s="1"/>
  <c r="BK652" i="5"/>
  <c r="X960" i="5"/>
  <c r="O961" i="5"/>
  <c r="P961" i="5" s="1"/>
  <c r="N961" i="5"/>
  <c r="AE870" i="2"/>
  <c r="AV963" i="5" l="1"/>
  <c r="AW963" i="5" s="1"/>
  <c r="AT912" i="2"/>
  <c r="R873" i="2"/>
  <c r="S873" i="2" s="1"/>
  <c r="BM652" i="5"/>
  <c r="BN652" i="5" s="1"/>
  <c r="S961" i="5"/>
  <c r="T961" i="5" s="1"/>
  <c r="AL1012" i="5"/>
  <c r="AC1013" i="5" s="1"/>
  <c r="AJ870" i="2"/>
  <c r="BA963" i="5" l="1"/>
  <c r="AU912" i="2"/>
  <c r="AY912" i="2" s="1"/>
  <c r="V873" i="2"/>
  <c r="W961" i="5"/>
  <c r="AE1013" i="5"/>
  <c r="AF1013" i="5" s="1"/>
  <c r="BO652" i="5"/>
  <c r="BP652" i="5" s="1"/>
  <c r="AM1012" i="5"/>
  <c r="AK870" i="2"/>
  <c r="AB871" i="2"/>
  <c r="AD871" i="2" s="1"/>
  <c r="N962" i="5" l="1"/>
  <c r="O962" i="5"/>
  <c r="P962" i="5" s="1"/>
  <c r="AT964" i="5"/>
  <c r="BB963" i="5"/>
  <c r="AR913" i="2"/>
  <c r="AZ912" i="2"/>
  <c r="W873" i="2"/>
  <c r="M874" i="2"/>
  <c r="N874" i="2"/>
  <c r="O874" i="2" s="1"/>
  <c r="X961" i="5"/>
  <c r="BK653" i="5"/>
  <c r="AE871" i="2"/>
  <c r="S962" i="5" l="1"/>
  <c r="T962" i="5" s="1"/>
  <c r="W962" i="5" s="1"/>
  <c r="AV964" i="5"/>
  <c r="AW964" i="5" s="1"/>
  <c r="BA964" i="5" s="1"/>
  <c r="AT913" i="2"/>
  <c r="R874" i="2"/>
  <c r="S874" i="2" s="1"/>
  <c r="V874" i="2" s="1"/>
  <c r="BM653" i="5"/>
  <c r="BN653" i="5" s="1"/>
  <c r="AL1013" i="5"/>
  <c r="AC1014" i="5" s="1"/>
  <c r="AJ871" i="2"/>
  <c r="BB964" i="5" l="1"/>
  <c r="AT965" i="5"/>
  <c r="AU913" i="2"/>
  <c r="AY913" i="2" s="1"/>
  <c r="AE1014" i="5"/>
  <c r="AF1014" i="5" s="1"/>
  <c r="BO653" i="5"/>
  <c r="BP653" i="5" s="1"/>
  <c r="X962" i="5"/>
  <c r="O963" i="5"/>
  <c r="P963" i="5" s="1"/>
  <c r="N963" i="5"/>
  <c r="W874" i="2"/>
  <c r="N875" i="2"/>
  <c r="O875" i="2" s="1"/>
  <c r="M875" i="2"/>
  <c r="AM1013" i="5"/>
  <c r="AK871" i="2"/>
  <c r="AB872" i="2"/>
  <c r="AD872" i="2" s="1"/>
  <c r="AV965" i="5" l="1"/>
  <c r="AW965" i="5" s="1"/>
  <c r="AZ913" i="2"/>
  <c r="AR914" i="2"/>
  <c r="S963" i="5"/>
  <c r="T963" i="5" s="1"/>
  <c r="BK654" i="5"/>
  <c r="R875" i="2"/>
  <c r="S875" i="2" s="1"/>
  <c r="AE872" i="2"/>
  <c r="BA965" i="5" l="1"/>
  <c r="AT914" i="2"/>
  <c r="AU914" i="2" s="1"/>
  <c r="V875" i="2"/>
  <c r="W963" i="5"/>
  <c r="BM654" i="5"/>
  <c r="BN654" i="5" s="1"/>
  <c r="AL1014" i="5"/>
  <c r="AC1015" i="5" s="1"/>
  <c r="AJ872" i="2"/>
  <c r="BB965" i="5" l="1"/>
  <c r="AT966" i="5"/>
  <c r="AY914" i="2"/>
  <c r="AE1015" i="5"/>
  <c r="AF1015" i="5" s="1"/>
  <c r="BO654" i="5"/>
  <c r="BP654" i="5" s="1"/>
  <c r="X963" i="5"/>
  <c r="O964" i="5"/>
  <c r="P964" i="5" s="1"/>
  <c r="N964" i="5"/>
  <c r="W875" i="2"/>
  <c r="M876" i="2"/>
  <c r="N876" i="2"/>
  <c r="O876" i="2" s="1"/>
  <c r="AM1014" i="5"/>
  <c r="AK872" i="2"/>
  <c r="AB873" i="2"/>
  <c r="AD873" i="2" s="1"/>
  <c r="AV966" i="5" l="1"/>
  <c r="AW966" i="5" s="1"/>
  <c r="BA966" i="5" s="1"/>
  <c r="AR915" i="2"/>
  <c r="AZ914" i="2"/>
  <c r="S964" i="5"/>
  <c r="T964" i="5" s="1"/>
  <c r="BK655" i="5"/>
  <c r="R876" i="2"/>
  <c r="S876" i="2" s="1"/>
  <c r="AL1015" i="5"/>
  <c r="AC1016" i="5" s="1"/>
  <c r="AE873" i="2"/>
  <c r="AT967" i="5" l="1"/>
  <c r="BB966" i="5"/>
  <c r="AT915" i="2"/>
  <c r="AU915" i="2" s="1"/>
  <c r="V876" i="2"/>
  <c r="W964" i="5"/>
  <c r="BM655" i="5"/>
  <c r="BN655" i="5" s="1"/>
  <c r="AE1016" i="5"/>
  <c r="AF1016" i="5" s="1"/>
  <c r="AM1015" i="5"/>
  <c r="AJ873" i="2"/>
  <c r="AV967" i="5" l="1"/>
  <c r="AW967" i="5" s="1"/>
  <c r="BA967" i="5" s="1"/>
  <c r="AY915" i="2"/>
  <c r="BO655" i="5"/>
  <c r="BP655" i="5" s="1"/>
  <c r="X964" i="5"/>
  <c r="O965" i="5"/>
  <c r="P965" i="5" s="1"/>
  <c r="N965" i="5"/>
  <c r="W876" i="2"/>
  <c r="N877" i="2"/>
  <c r="O877" i="2" s="1"/>
  <c r="M877" i="2"/>
  <c r="AL1016" i="5"/>
  <c r="AC1017" i="5" s="1"/>
  <c r="AK873" i="2"/>
  <c r="AB874" i="2"/>
  <c r="AD874" i="2" s="1"/>
  <c r="AT968" i="5" l="1"/>
  <c r="BB967" i="5"/>
  <c r="AZ915" i="2"/>
  <c r="AR916" i="2"/>
  <c r="AE1017" i="5"/>
  <c r="AF1017" i="5" s="1"/>
  <c r="S965" i="5"/>
  <c r="BK656" i="5"/>
  <c r="R877" i="2"/>
  <c r="S877" i="2" s="1"/>
  <c r="AM1016" i="5"/>
  <c r="AE874" i="2"/>
  <c r="AV968" i="5" l="1"/>
  <c r="AW968" i="5" s="1"/>
  <c r="BA968" i="5" s="1"/>
  <c r="AT916" i="2"/>
  <c r="AU916" i="2" s="1"/>
  <c r="V877" i="2"/>
  <c r="BM656" i="5"/>
  <c r="BN656" i="5" s="1"/>
  <c r="T965" i="5"/>
  <c r="W965" i="5" s="1"/>
  <c r="O966" i="5" s="1"/>
  <c r="P966" i="5" s="1"/>
  <c r="AL1017" i="5"/>
  <c r="AC1018" i="5" s="1"/>
  <c r="AJ874" i="2"/>
  <c r="AT969" i="5" l="1"/>
  <c r="BB968" i="5"/>
  <c r="N966" i="5"/>
  <c r="S966" i="5" s="1"/>
  <c r="T966" i="5" s="1"/>
  <c r="AY916" i="2"/>
  <c r="AE1018" i="5"/>
  <c r="AF1018" i="5" s="1"/>
  <c r="X965" i="5"/>
  <c r="BO656" i="5"/>
  <c r="BP656" i="5" s="1"/>
  <c r="W877" i="2"/>
  <c r="N878" i="2"/>
  <c r="O878" i="2" s="1"/>
  <c r="M878" i="2"/>
  <c r="AM1017" i="5"/>
  <c r="AK874" i="2"/>
  <c r="AB875" i="2"/>
  <c r="AD875" i="2" s="1"/>
  <c r="AV969" i="5" l="1"/>
  <c r="AW969" i="5" s="1"/>
  <c r="BA969" i="5" s="1"/>
  <c r="AR917" i="2"/>
  <c r="AZ916" i="2"/>
  <c r="W966" i="5"/>
  <c r="BK657" i="5"/>
  <c r="R878" i="2"/>
  <c r="S878" i="2" s="1"/>
  <c r="AL1018" i="5"/>
  <c r="AC1019" i="5" s="1"/>
  <c r="AE875" i="2"/>
  <c r="BB969" i="5" l="1"/>
  <c r="AT970" i="5"/>
  <c r="AT917" i="2"/>
  <c r="V878" i="2"/>
  <c r="BM657" i="5"/>
  <c r="BN657" i="5" s="1"/>
  <c r="AE1019" i="5"/>
  <c r="AF1019" i="5" s="1"/>
  <c r="X966" i="5"/>
  <c r="O967" i="5"/>
  <c r="P967" i="5" s="1"/>
  <c r="N967" i="5"/>
  <c r="AM1018" i="5"/>
  <c r="AJ875" i="2"/>
  <c r="AV970" i="5" l="1"/>
  <c r="AW970" i="5" s="1"/>
  <c r="AU917" i="2"/>
  <c r="AY917" i="2" s="1"/>
  <c r="S967" i="5"/>
  <c r="T967" i="5" s="1"/>
  <c r="BO657" i="5"/>
  <c r="BP657" i="5" s="1"/>
  <c r="W878" i="2"/>
  <c r="M879" i="2"/>
  <c r="N879" i="2"/>
  <c r="O879" i="2" s="1"/>
  <c r="AL1019" i="5"/>
  <c r="AC1020" i="5" s="1"/>
  <c r="AK875" i="2"/>
  <c r="AB876" i="2"/>
  <c r="AD876" i="2" s="1"/>
  <c r="BA970" i="5" l="1"/>
  <c r="AR918" i="2"/>
  <c r="AZ917" i="2"/>
  <c r="W967" i="5"/>
  <c r="AE1020" i="5"/>
  <c r="AF1020" i="5" s="1"/>
  <c r="BK658" i="5"/>
  <c r="R879" i="2"/>
  <c r="S879" i="2" s="1"/>
  <c r="AM1019" i="5"/>
  <c r="AE876" i="2"/>
  <c r="BB970" i="5" l="1"/>
  <c r="AT971" i="5"/>
  <c r="AT918" i="2"/>
  <c r="V879" i="2"/>
  <c r="BM658" i="5"/>
  <c r="BN658" i="5" s="1"/>
  <c r="X967" i="5"/>
  <c r="O968" i="5"/>
  <c r="P968" i="5" s="1"/>
  <c r="N968" i="5"/>
  <c r="AL1020" i="5"/>
  <c r="AC1021" i="5" s="1"/>
  <c r="AJ876" i="2"/>
  <c r="AV971" i="5" l="1"/>
  <c r="AW971" i="5" s="1"/>
  <c r="BA971" i="5" s="1"/>
  <c r="AU918" i="2"/>
  <c r="AY918" i="2" s="1"/>
  <c r="AE1021" i="5"/>
  <c r="AF1021" i="5" s="1"/>
  <c r="S968" i="5"/>
  <c r="T968" i="5" s="1"/>
  <c r="BO658" i="5"/>
  <c r="W879" i="2"/>
  <c r="M880" i="2"/>
  <c r="N880" i="2"/>
  <c r="O880" i="2" s="1"/>
  <c r="AM1020" i="5"/>
  <c r="AK876" i="2"/>
  <c r="AB877" i="2"/>
  <c r="AD877" i="2" s="1"/>
  <c r="BP658" i="5" l="1"/>
  <c r="BK659" i="5"/>
  <c r="BM659" i="5" s="1"/>
  <c r="BN659" i="5" s="1"/>
  <c r="BB971" i="5"/>
  <c r="AT972" i="5"/>
  <c r="AZ918" i="2"/>
  <c r="AR919" i="2"/>
  <c r="W968" i="5"/>
  <c r="R880" i="2"/>
  <c r="S880" i="2" s="1"/>
  <c r="AE877" i="2"/>
  <c r="AV972" i="5" l="1"/>
  <c r="AW972" i="5" s="1"/>
  <c r="AT919" i="2"/>
  <c r="V880" i="2"/>
  <c r="BO659" i="5"/>
  <c r="BP659" i="5" s="1"/>
  <c r="X968" i="5"/>
  <c r="O969" i="5"/>
  <c r="P969" i="5" s="1"/>
  <c r="N969" i="5"/>
  <c r="AL1021" i="5"/>
  <c r="AC1022" i="5" s="1"/>
  <c r="AJ877" i="2"/>
  <c r="BK660" i="5" l="1"/>
  <c r="BM660" i="5" s="1"/>
  <c r="BN660" i="5" s="1"/>
  <c r="BA972" i="5"/>
  <c r="AU919" i="2"/>
  <c r="AY919" i="2" s="1"/>
  <c r="AE1022" i="5"/>
  <c r="AF1022" i="5" s="1"/>
  <c r="S969" i="5"/>
  <c r="T969" i="5" s="1"/>
  <c r="W880" i="2"/>
  <c r="M881" i="2"/>
  <c r="N881" i="2"/>
  <c r="O881" i="2" s="1"/>
  <c r="AM1021" i="5"/>
  <c r="AK877" i="2"/>
  <c r="AB878" i="2"/>
  <c r="AD878" i="2" s="1"/>
  <c r="AT973" i="5" l="1"/>
  <c r="BB972" i="5"/>
  <c r="AR920" i="2"/>
  <c r="AZ919" i="2"/>
  <c r="W969" i="5"/>
  <c r="X969" i="5" s="1"/>
  <c r="BO660" i="5"/>
  <c r="BP660" i="5" s="1"/>
  <c r="R881" i="2"/>
  <c r="S881" i="2" s="1"/>
  <c r="AE878" i="2"/>
  <c r="O970" i="5" l="1"/>
  <c r="P970" i="5" s="1"/>
  <c r="N970" i="5"/>
  <c r="AV973" i="5"/>
  <c r="AW973" i="5" s="1"/>
  <c r="AT920" i="2"/>
  <c r="AU920" i="2" s="1"/>
  <c r="V881" i="2"/>
  <c r="BK661" i="5"/>
  <c r="AL1022" i="5"/>
  <c r="AC1023" i="5" s="1"/>
  <c r="AJ878" i="2"/>
  <c r="S970" i="5" l="1"/>
  <c r="T970" i="5" s="1"/>
  <c r="W970" i="5" s="1"/>
  <c r="O971" i="5" s="1"/>
  <c r="P971" i="5" s="1"/>
  <c r="BA973" i="5"/>
  <c r="AT974" i="5" s="1"/>
  <c r="AY920" i="2"/>
  <c r="BM661" i="5"/>
  <c r="BN661" i="5" s="1"/>
  <c r="AE1023" i="5"/>
  <c r="AF1023" i="5" s="1"/>
  <c r="W881" i="2"/>
  <c r="N882" i="2"/>
  <c r="O882" i="2" s="1"/>
  <c r="M882" i="2"/>
  <c r="AM1022" i="5"/>
  <c r="AK878" i="2"/>
  <c r="AB879" i="2"/>
  <c r="AD879" i="2" s="1"/>
  <c r="BB973" i="5" l="1"/>
  <c r="N971" i="5"/>
  <c r="S971" i="5" s="1"/>
  <c r="T971" i="5" s="1"/>
  <c r="AV974" i="5"/>
  <c r="AW974" i="5" s="1"/>
  <c r="AZ920" i="2"/>
  <c r="AR921" i="2"/>
  <c r="X970" i="5"/>
  <c r="BO661" i="5"/>
  <c r="BP661" i="5" s="1"/>
  <c r="R882" i="2"/>
  <c r="S882" i="2" s="1"/>
  <c r="AL1023" i="5"/>
  <c r="AC1024" i="5" s="1"/>
  <c r="AE879" i="2"/>
  <c r="BA974" i="5" l="1"/>
  <c r="BB974" i="5" s="1"/>
  <c r="AT921" i="2"/>
  <c r="V882" i="2"/>
  <c r="W971" i="5"/>
  <c r="AE1024" i="5"/>
  <c r="AF1024" i="5" s="1"/>
  <c r="BK662" i="5"/>
  <c r="AM1023" i="5"/>
  <c r="AJ879" i="2"/>
  <c r="AT975" i="5" l="1"/>
  <c r="AV975" i="5" s="1"/>
  <c r="AW975" i="5" s="1"/>
  <c r="BA975" i="5" s="1"/>
  <c r="AU921" i="2"/>
  <c r="AY921" i="2" s="1"/>
  <c r="BM662" i="5"/>
  <c r="BN662" i="5" s="1"/>
  <c r="X971" i="5"/>
  <c r="O972" i="5"/>
  <c r="P972" i="5" s="1"/>
  <c r="N972" i="5"/>
  <c r="W882" i="2"/>
  <c r="M883" i="2"/>
  <c r="N883" i="2"/>
  <c r="O883" i="2" s="1"/>
  <c r="AK879" i="2"/>
  <c r="AB880" i="2"/>
  <c r="AD880" i="2" s="1"/>
  <c r="BB975" i="5" l="1"/>
  <c r="AT976" i="5"/>
  <c r="AR922" i="2"/>
  <c r="AZ921" i="2"/>
  <c r="S972" i="5"/>
  <c r="T972" i="5" s="1"/>
  <c r="BO662" i="5"/>
  <c r="BP662" i="5" s="1"/>
  <c r="R883" i="2"/>
  <c r="S883" i="2" s="1"/>
  <c r="AL1024" i="5"/>
  <c r="AC1025" i="5" s="1"/>
  <c r="AE880" i="2"/>
  <c r="AV976" i="5" l="1"/>
  <c r="AW976" i="5" s="1"/>
  <c r="AT922" i="2"/>
  <c r="AU922" i="2" s="1"/>
  <c r="V883" i="2"/>
  <c r="W972" i="5"/>
  <c r="AE1025" i="5"/>
  <c r="AF1025" i="5" s="1"/>
  <c r="BK663" i="5"/>
  <c r="AM1024" i="5"/>
  <c r="AJ880" i="2"/>
  <c r="BA976" i="5" l="1"/>
  <c r="BB976" i="5" s="1"/>
  <c r="AY922" i="2"/>
  <c r="M884" i="2"/>
  <c r="N884" i="2"/>
  <c r="O884" i="2" s="1"/>
  <c r="W883" i="2"/>
  <c r="BM663" i="5"/>
  <c r="BN663" i="5" s="1"/>
  <c r="X972" i="5"/>
  <c r="O973" i="5"/>
  <c r="P973" i="5" s="1"/>
  <c r="N973" i="5"/>
  <c r="AB881" i="2"/>
  <c r="AD881" i="2" s="1"/>
  <c r="AK880" i="2"/>
  <c r="AT977" i="5" l="1"/>
  <c r="AV977" i="5" s="1"/>
  <c r="AW977" i="5" s="1"/>
  <c r="AZ922" i="2"/>
  <c r="AR923" i="2"/>
  <c r="R884" i="2"/>
  <c r="S884" i="2" s="1"/>
  <c r="V884" i="2" s="1"/>
  <c r="S973" i="5"/>
  <c r="T973" i="5" s="1"/>
  <c r="BO663" i="5"/>
  <c r="BP663" i="5" s="1"/>
  <c r="AL1025" i="5"/>
  <c r="AC1026" i="5" s="1"/>
  <c r="AE881" i="2"/>
  <c r="BA977" i="5" l="1"/>
  <c r="AT978" i="5" s="1"/>
  <c r="AT923" i="2"/>
  <c r="W973" i="5"/>
  <c r="AE1026" i="5"/>
  <c r="AF1026" i="5" s="1"/>
  <c r="BK664" i="5"/>
  <c r="W884" i="2"/>
  <c r="M885" i="2"/>
  <c r="N885" i="2"/>
  <c r="O885" i="2" s="1"/>
  <c r="AM1025" i="5"/>
  <c r="AJ881" i="2"/>
  <c r="BB977" i="5" l="1"/>
  <c r="AV978" i="5"/>
  <c r="AW978" i="5" s="1"/>
  <c r="AU923" i="2"/>
  <c r="AY923" i="2" s="1"/>
  <c r="BM664" i="5"/>
  <c r="BN664" i="5" s="1"/>
  <c r="X973" i="5"/>
  <c r="O974" i="5"/>
  <c r="P974" i="5" s="1"/>
  <c r="N974" i="5"/>
  <c r="R885" i="2"/>
  <c r="S885" i="2" s="1"/>
  <c r="AL1026" i="5"/>
  <c r="AC1027" i="5" s="1"/>
  <c r="AK881" i="2"/>
  <c r="AB882" i="2"/>
  <c r="AD882" i="2" s="1"/>
  <c r="BA978" i="5" l="1"/>
  <c r="BB978" i="5" s="1"/>
  <c r="AR924" i="2"/>
  <c r="AZ923" i="2"/>
  <c r="V885" i="2"/>
  <c r="AE1027" i="5"/>
  <c r="AF1027" i="5" s="1"/>
  <c r="S974" i="5"/>
  <c r="T974" i="5" s="1"/>
  <c r="BO664" i="5"/>
  <c r="BP664" i="5" s="1"/>
  <c r="AM1026" i="5"/>
  <c r="AE882" i="2"/>
  <c r="AT979" i="5" l="1"/>
  <c r="AV979" i="5" s="1"/>
  <c r="AW979" i="5" s="1"/>
  <c r="BA979" i="5" s="1"/>
  <c r="AT924" i="2"/>
  <c r="AU924" i="2" s="1"/>
  <c r="W974" i="5"/>
  <c r="BK665" i="5"/>
  <c r="W885" i="2"/>
  <c r="M886" i="2"/>
  <c r="N886" i="2"/>
  <c r="O886" i="2" s="1"/>
  <c r="AJ882" i="2"/>
  <c r="AT980" i="5" l="1"/>
  <c r="BB979" i="5"/>
  <c r="AY924" i="2"/>
  <c r="BM665" i="5"/>
  <c r="BN665" i="5" s="1"/>
  <c r="X974" i="5"/>
  <c r="O975" i="5"/>
  <c r="P975" i="5" s="1"/>
  <c r="N975" i="5"/>
  <c r="R886" i="2"/>
  <c r="S886" i="2" s="1"/>
  <c r="AL1027" i="5"/>
  <c r="AK882" i="2"/>
  <c r="AB883" i="2"/>
  <c r="AD883" i="2" s="1"/>
  <c r="AV980" i="5" l="1"/>
  <c r="AW980" i="5" s="1"/>
  <c r="AZ924" i="2"/>
  <c r="AR925" i="2"/>
  <c r="V886" i="2"/>
  <c r="S975" i="5"/>
  <c r="T975" i="5" s="1"/>
  <c r="BO665" i="5"/>
  <c r="J38" i="8"/>
  <c r="AM1027" i="5"/>
  <c r="AE883" i="2"/>
  <c r="BP665" i="5" l="1"/>
  <c r="BK666" i="5"/>
  <c r="BM666" i="5" s="1"/>
  <c r="BN666" i="5" s="1"/>
  <c r="BA980" i="5"/>
  <c r="AT925" i="2"/>
  <c r="W975" i="5"/>
  <c r="W886" i="2"/>
  <c r="N887" i="2"/>
  <c r="O887" i="2" s="1"/>
  <c r="M887" i="2"/>
  <c r="AJ883" i="2"/>
  <c r="AT981" i="5" l="1"/>
  <c r="BB980" i="5"/>
  <c r="AU925" i="2"/>
  <c r="AY925" i="2" s="1"/>
  <c r="X975" i="5"/>
  <c r="O976" i="5"/>
  <c r="P976" i="5" s="1"/>
  <c r="N976" i="5"/>
  <c r="BO666" i="5"/>
  <c r="BP666" i="5" s="1"/>
  <c r="R887" i="2"/>
  <c r="S887" i="2" s="1"/>
  <c r="AK883" i="2"/>
  <c r="AB884" i="2"/>
  <c r="AD884" i="2" s="1"/>
  <c r="AV981" i="5" l="1"/>
  <c r="AW981" i="5" s="1"/>
  <c r="AZ925" i="2"/>
  <c r="AR926" i="2"/>
  <c r="V887" i="2"/>
  <c r="S976" i="5"/>
  <c r="T976" i="5" s="1"/>
  <c r="BK667" i="5"/>
  <c r="AE884" i="2"/>
  <c r="BA981" i="5" l="1"/>
  <c r="AT926" i="2"/>
  <c r="W976" i="5"/>
  <c r="BM667" i="5"/>
  <c r="BN667" i="5" s="1"/>
  <c r="W887" i="2"/>
  <c r="M888" i="2"/>
  <c r="N888" i="2"/>
  <c r="O888" i="2" s="1"/>
  <c r="AJ884" i="2"/>
  <c r="AT982" i="5" l="1"/>
  <c r="BB981" i="5"/>
  <c r="AU926" i="2"/>
  <c r="AY926" i="2" s="1"/>
  <c r="X976" i="5"/>
  <c r="O977" i="5"/>
  <c r="P977" i="5" s="1"/>
  <c r="N977" i="5"/>
  <c r="BO667" i="5"/>
  <c r="BP667" i="5" s="1"/>
  <c r="R888" i="2"/>
  <c r="S888" i="2" s="1"/>
  <c r="AK884" i="2"/>
  <c r="AB885" i="2"/>
  <c r="AD885" i="2" s="1"/>
  <c r="AV982" i="5" l="1"/>
  <c r="AW982" i="5" s="1"/>
  <c r="BA982" i="5" s="1"/>
  <c r="AR927" i="2"/>
  <c r="AZ926" i="2"/>
  <c r="V888" i="2"/>
  <c r="S977" i="5"/>
  <c r="T977" i="5" s="1"/>
  <c r="BK668" i="5"/>
  <c r="AE885" i="2"/>
  <c r="AT983" i="5" l="1"/>
  <c r="BB982" i="5"/>
  <c r="AT927" i="2"/>
  <c r="W977" i="5"/>
  <c r="BM668" i="5"/>
  <c r="BN668" i="5" s="1"/>
  <c r="W888" i="2"/>
  <c r="N889" i="2"/>
  <c r="O889" i="2" s="1"/>
  <c r="M889" i="2"/>
  <c r="AJ885" i="2"/>
  <c r="AV983" i="5" l="1"/>
  <c r="AW983" i="5" s="1"/>
  <c r="AU927" i="2"/>
  <c r="AY927" i="2" s="1"/>
  <c r="BO668" i="5"/>
  <c r="BP668" i="5" s="1"/>
  <c r="X977" i="5"/>
  <c r="O978" i="5"/>
  <c r="P978" i="5" s="1"/>
  <c r="N978" i="5"/>
  <c r="R889" i="2"/>
  <c r="S889" i="2" s="1"/>
  <c r="AK885" i="2"/>
  <c r="AB886" i="2"/>
  <c r="AD886" i="2" s="1"/>
  <c r="BA983" i="5" l="1"/>
  <c r="BB983" i="5" s="1"/>
  <c r="AR928" i="2"/>
  <c r="AZ927" i="2"/>
  <c r="V889" i="2"/>
  <c r="S978" i="5"/>
  <c r="T978" i="5" s="1"/>
  <c r="BK669" i="5"/>
  <c r="AE886" i="2"/>
  <c r="AT984" i="5" l="1"/>
  <c r="AV984" i="5" s="1"/>
  <c r="AW984" i="5" s="1"/>
  <c r="AT928" i="2"/>
  <c r="AU928" i="2" s="1"/>
  <c r="W978" i="5"/>
  <c r="BM669" i="5"/>
  <c r="BN669" i="5" s="1"/>
  <c r="W889" i="2"/>
  <c r="M890" i="2"/>
  <c r="N890" i="2"/>
  <c r="O890" i="2" s="1"/>
  <c r="AJ886" i="2"/>
  <c r="BA984" i="5" l="1"/>
  <c r="AY928" i="2"/>
  <c r="AZ928" i="2" s="1"/>
  <c r="BO669" i="5"/>
  <c r="BP669" i="5" s="1"/>
  <c r="X978" i="5"/>
  <c r="O979" i="5"/>
  <c r="P979" i="5" s="1"/>
  <c r="N979" i="5"/>
  <c r="R890" i="2"/>
  <c r="S890" i="2" s="1"/>
  <c r="AK886" i="2"/>
  <c r="AB887" i="2"/>
  <c r="AD887" i="2" s="1"/>
  <c r="AT985" i="5" l="1"/>
  <c r="BB984" i="5"/>
  <c r="AR929" i="2"/>
  <c r="AT929" i="2" s="1"/>
  <c r="V890" i="2"/>
  <c r="S979" i="5"/>
  <c r="T979" i="5" s="1"/>
  <c r="BK670" i="5"/>
  <c r="AE887" i="2"/>
  <c r="AV985" i="5" l="1"/>
  <c r="AW985" i="5" s="1"/>
  <c r="AU929" i="2"/>
  <c r="AY929" i="2" s="1"/>
  <c r="W979" i="5"/>
  <c r="BM670" i="5"/>
  <c r="BN670" i="5" s="1"/>
  <c r="W890" i="2"/>
  <c r="M891" i="2"/>
  <c r="N891" i="2"/>
  <c r="O891" i="2" s="1"/>
  <c r="AJ887" i="2"/>
  <c r="BA985" i="5" l="1"/>
  <c r="AR930" i="2"/>
  <c r="AT930" i="2" s="1"/>
  <c r="AZ929" i="2"/>
  <c r="X979" i="5"/>
  <c r="O980" i="5"/>
  <c r="P980" i="5" s="1"/>
  <c r="N980" i="5"/>
  <c r="BO670" i="5"/>
  <c r="BP670" i="5" s="1"/>
  <c r="R891" i="2"/>
  <c r="S891" i="2" s="1"/>
  <c r="AK887" i="2"/>
  <c r="AB888" i="2"/>
  <c r="AD888" i="2" s="1"/>
  <c r="BB985" i="5" l="1"/>
  <c r="AT986" i="5"/>
  <c r="AU930" i="2"/>
  <c r="AY930" i="2" s="1"/>
  <c r="V891" i="2"/>
  <c r="S980" i="5"/>
  <c r="T980" i="5" s="1"/>
  <c r="BK671" i="5"/>
  <c r="AE888" i="2"/>
  <c r="AV986" i="5" l="1"/>
  <c r="AW986" i="5" s="1"/>
  <c r="BA986" i="5" s="1"/>
  <c r="AZ930" i="2"/>
  <c r="AR931" i="2"/>
  <c r="W980" i="5"/>
  <c r="BM671" i="5"/>
  <c r="BN671" i="5" s="1"/>
  <c r="W891" i="2"/>
  <c r="N892" i="2"/>
  <c r="O892" i="2" s="1"/>
  <c r="M892" i="2"/>
  <c r="AJ888" i="2"/>
  <c r="AT987" i="5" l="1"/>
  <c r="BB986" i="5"/>
  <c r="AT931" i="2"/>
  <c r="AU931" i="2" s="1"/>
  <c r="X980" i="5"/>
  <c r="O981" i="5"/>
  <c r="P981" i="5" s="1"/>
  <c r="N981" i="5"/>
  <c r="BO671" i="5"/>
  <c r="BP671" i="5" s="1"/>
  <c r="AK888" i="2"/>
  <c r="R892" i="2"/>
  <c r="S892" i="2" s="1"/>
  <c r="AB889" i="2"/>
  <c r="AV987" i="5" l="1"/>
  <c r="AW987" i="5" s="1"/>
  <c r="BA987" i="5" s="1"/>
  <c r="AY931" i="2"/>
  <c r="V892" i="2"/>
  <c r="S981" i="5"/>
  <c r="T981" i="5" s="1"/>
  <c r="BK672" i="5"/>
  <c r="AD889" i="2"/>
  <c r="AE889" i="2" s="1"/>
  <c r="AJ889" i="2" s="1"/>
  <c r="BB987" i="5" l="1"/>
  <c r="AT988" i="5"/>
  <c r="AR932" i="2"/>
  <c r="AZ931" i="2"/>
  <c r="W981" i="5"/>
  <c r="BM672" i="5"/>
  <c r="BN672" i="5" s="1"/>
  <c r="W892" i="2"/>
  <c r="M893" i="2"/>
  <c r="N893" i="2"/>
  <c r="O893" i="2" s="1"/>
  <c r="AK889" i="2"/>
  <c r="AB890" i="2"/>
  <c r="AD890" i="2" s="1"/>
  <c r="AV988" i="5" l="1"/>
  <c r="AW988" i="5" s="1"/>
  <c r="BA988" i="5" s="1"/>
  <c r="AT932" i="2"/>
  <c r="AU932" i="2" s="1"/>
  <c r="X981" i="5"/>
  <c r="O982" i="5"/>
  <c r="P982" i="5" s="1"/>
  <c r="N982" i="5"/>
  <c r="BO672" i="5"/>
  <c r="BP672" i="5" s="1"/>
  <c r="R893" i="2"/>
  <c r="S893" i="2" s="1"/>
  <c r="AE890" i="2"/>
  <c r="AT989" i="5" l="1"/>
  <c r="BB988" i="5"/>
  <c r="AY932" i="2"/>
  <c r="V893" i="2"/>
  <c r="S982" i="5"/>
  <c r="T982" i="5" s="1"/>
  <c r="BK673" i="5"/>
  <c r="AJ890" i="2"/>
  <c r="AV989" i="5" l="1"/>
  <c r="AW989" i="5" s="1"/>
  <c r="AR933" i="2"/>
  <c r="AZ932" i="2"/>
  <c r="W982" i="5"/>
  <c r="BM673" i="5"/>
  <c r="BN673" i="5" s="1"/>
  <c r="BO673" i="5" s="1"/>
  <c r="BP673" i="5" s="1"/>
  <c r="N894" i="2"/>
  <c r="O894" i="2" s="1"/>
  <c r="W893" i="2"/>
  <c r="M894" i="2"/>
  <c r="AB891" i="2"/>
  <c r="AD891" i="2" s="1"/>
  <c r="AK890" i="2"/>
  <c r="N983" i="5" l="1"/>
  <c r="O983" i="5"/>
  <c r="P983" i="5" s="1"/>
  <c r="BA989" i="5"/>
  <c r="AT933" i="2"/>
  <c r="AU933" i="2" s="1"/>
  <c r="AY933" i="2" s="1"/>
  <c r="X982" i="5"/>
  <c r="BK674" i="5"/>
  <c r="R894" i="2"/>
  <c r="S894" i="2" s="1"/>
  <c r="AE891" i="2"/>
  <c r="S983" i="5" l="1"/>
  <c r="T983" i="5" s="1"/>
  <c r="W983" i="5" s="1"/>
  <c r="BB989" i="5"/>
  <c r="AT990" i="5"/>
  <c r="AR934" i="2"/>
  <c r="AZ933" i="2"/>
  <c r="V894" i="2"/>
  <c r="BM674" i="5"/>
  <c r="BN674" i="5" s="1"/>
  <c r="AJ891" i="2"/>
  <c r="N984" i="5" l="1"/>
  <c r="O984" i="5"/>
  <c r="P984" i="5" s="1"/>
  <c r="AV990" i="5"/>
  <c r="AW990" i="5" s="1"/>
  <c r="AT934" i="2"/>
  <c r="X983" i="5"/>
  <c r="BO674" i="5"/>
  <c r="BP674" i="5" s="1"/>
  <c r="W894" i="2"/>
  <c r="M895" i="2"/>
  <c r="N895" i="2"/>
  <c r="O895" i="2" s="1"/>
  <c r="AK891" i="2"/>
  <c r="AB892" i="2"/>
  <c r="AD892" i="2" s="1"/>
  <c r="S984" i="5" l="1"/>
  <c r="T984" i="5" s="1"/>
  <c r="BA990" i="5"/>
  <c r="AU934" i="2"/>
  <c r="AY934" i="2" s="1"/>
  <c r="BK675" i="5"/>
  <c r="R895" i="2"/>
  <c r="S895" i="2" s="1"/>
  <c r="AE892" i="2"/>
  <c r="W984" i="5" l="1"/>
  <c r="X984" i="5" s="1"/>
  <c r="AT991" i="5"/>
  <c r="BB990" i="5"/>
  <c r="AZ934" i="2"/>
  <c r="AR935" i="2"/>
  <c r="V895" i="2"/>
  <c r="BM675" i="5"/>
  <c r="BN675" i="5" s="1"/>
  <c r="AJ892" i="2"/>
  <c r="N985" i="5" l="1"/>
  <c r="O985" i="5"/>
  <c r="P985" i="5" s="1"/>
  <c r="AV991" i="5"/>
  <c r="AW991" i="5" s="1"/>
  <c r="AT935" i="2"/>
  <c r="BO675" i="5"/>
  <c r="BP675" i="5" s="1"/>
  <c r="M896" i="2"/>
  <c r="N896" i="2"/>
  <c r="O896" i="2" s="1"/>
  <c r="W895" i="2"/>
  <c r="AK892" i="2"/>
  <c r="AB893" i="2"/>
  <c r="AD893" i="2" s="1"/>
  <c r="S985" i="5" l="1"/>
  <c r="T985" i="5" s="1"/>
  <c r="BA991" i="5"/>
  <c r="AU935" i="2"/>
  <c r="AY935" i="2" s="1"/>
  <c r="BK676" i="5"/>
  <c r="R896" i="2"/>
  <c r="S896" i="2" s="1"/>
  <c r="AE893" i="2"/>
  <c r="W985" i="5" l="1"/>
  <c r="N986" i="5" s="1"/>
  <c r="BB991" i="5"/>
  <c r="AT992" i="5"/>
  <c r="AZ935" i="2"/>
  <c r="AR936" i="2"/>
  <c r="V896" i="2"/>
  <c r="BM676" i="5"/>
  <c r="BN676" i="5" s="1"/>
  <c r="AJ893" i="2"/>
  <c r="O986" i="5" l="1"/>
  <c r="P986" i="5" s="1"/>
  <c r="S986" i="5" s="1"/>
  <c r="T986" i="5" s="1"/>
  <c r="X985" i="5"/>
  <c r="AV992" i="5"/>
  <c r="AW992" i="5" s="1"/>
  <c r="AT936" i="2"/>
  <c r="W896" i="2"/>
  <c r="N897" i="2"/>
  <c r="O897" i="2" s="1"/>
  <c r="M897" i="2"/>
  <c r="BO676" i="5"/>
  <c r="BP676" i="5" s="1"/>
  <c r="AK893" i="2"/>
  <c r="AB894" i="2"/>
  <c r="AD894" i="2" s="1"/>
  <c r="BA992" i="5" l="1"/>
  <c r="AU936" i="2"/>
  <c r="AY936" i="2" s="1"/>
  <c r="W986" i="5"/>
  <c r="R897" i="2"/>
  <c r="S897" i="2" s="1"/>
  <c r="BK677" i="5"/>
  <c r="AE894" i="2"/>
  <c r="AT993" i="5" l="1"/>
  <c r="BB992" i="5"/>
  <c r="AR937" i="2"/>
  <c r="AZ936" i="2"/>
  <c r="V897" i="2"/>
  <c r="BM677" i="5"/>
  <c r="BN677" i="5" s="1"/>
  <c r="X986" i="5"/>
  <c r="O987" i="5"/>
  <c r="P987" i="5" s="1"/>
  <c r="N987" i="5"/>
  <c r="AJ894" i="2"/>
  <c r="AV993" i="5" l="1"/>
  <c r="AW993" i="5" s="1"/>
  <c r="BA993" i="5" s="1"/>
  <c r="AT937" i="2"/>
  <c r="AU937" i="2" s="1"/>
  <c r="N898" i="2"/>
  <c r="O898" i="2" s="1"/>
  <c r="M898" i="2"/>
  <c r="W897" i="2"/>
  <c r="S987" i="5"/>
  <c r="T987" i="5" s="1"/>
  <c r="BO677" i="5"/>
  <c r="BP677" i="5" s="1"/>
  <c r="AK894" i="2"/>
  <c r="AB895" i="2"/>
  <c r="AD895" i="2" s="1"/>
  <c r="BB993" i="5" l="1"/>
  <c r="AT994" i="5"/>
  <c r="AY937" i="2"/>
  <c r="W987" i="5"/>
  <c r="R898" i="2"/>
  <c r="S898" i="2" s="1"/>
  <c r="BK678" i="5"/>
  <c r="AE895" i="2"/>
  <c r="AV994" i="5" l="1"/>
  <c r="AW994" i="5" s="1"/>
  <c r="AR938" i="2"/>
  <c r="AT938" i="2" s="1"/>
  <c r="AZ937" i="2"/>
  <c r="V898" i="2"/>
  <c r="BM678" i="5"/>
  <c r="BN678" i="5" s="1"/>
  <c r="X987" i="5"/>
  <c r="O988" i="5"/>
  <c r="P988" i="5" s="1"/>
  <c r="N988" i="5"/>
  <c r="AJ895" i="2"/>
  <c r="BA994" i="5" l="1"/>
  <c r="AU938" i="2"/>
  <c r="AY938" i="2" s="1"/>
  <c r="N899" i="2"/>
  <c r="O899" i="2" s="1"/>
  <c r="M899" i="2"/>
  <c r="W898" i="2"/>
  <c r="S988" i="5"/>
  <c r="T988" i="5" s="1"/>
  <c r="BO678" i="5"/>
  <c r="BP678" i="5" s="1"/>
  <c r="AK895" i="2"/>
  <c r="AB896" i="2"/>
  <c r="AD896" i="2" s="1"/>
  <c r="BB994" i="5" l="1"/>
  <c r="AT995" i="5"/>
  <c r="AZ938" i="2"/>
  <c r="AR939" i="2"/>
  <c r="R899" i="2"/>
  <c r="S899" i="2" s="1"/>
  <c r="W988" i="5"/>
  <c r="BK679" i="5"/>
  <c r="AE896" i="2"/>
  <c r="AV995" i="5" l="1"/>
  <c r="AW995" i="5" s="1"/>
  <c r="AT939" i="2"/>
  <c r="V899" i="2"/>
  <c r="BM679" i="5"/>
  <c r="BN679" i="5" s="1"/>
  <c r="X988" i="5"/>
  <c r="O989" i="5"/>
  <c r="P989" i="5" s="1"/>
  <c r="N989" i="5"/>
  <c r="AJ896" i="2"/>
  <c r="BA995" i="5" l="1"/>
  <c r="AU939" i="2"/>
  <c r="AY939" i="2" s="1"/>
  <c r="M900" i="2"/>
  <c r="N900" i="2"/>
  <c r="O900" i="2" s="1"/>
  <c r="W899" i="2"/>
  <c r="S989" i="5"/>
  <c r="T989" i="5" s="1"/>
  <c r="BO679" i="5"/>
  <c r="BP679" i="5" s="1"/>
  <c r="AB897" i="2"/>
  <c r="AD897" i="2" s="1"/>
  <c r="AK896" i="2"/>
  <c r="BK680" i="5" l="1"/>
  <c r="BM680" i="5" s="1"/>
  <c r="BN680" i="5" s="1"/>
  <c r="AT996" i="5"/>
  <c r="BB995" i="5"/>
  <c r="AR940" i="2"/>
  <c r="AZ939" i="2"/>
  <c r="R900" i="2"/>
  <c r="S900" i="2" s="1"/>
  <c r="W989" i="5"/>
  <c r="AE897" i="2"/>
  <c r="O990" i="5" l="1"/>
  <c r="P990" i="5" s="1"/>
  <c r="AV996" i="5"/>
  <c r="AW996" i="5" s="1"/>
  <c r="BA996" i="5" s="1"/>
  <c r="N990" i="5"/>
  <c r="AT940" i="2"/>
  <c r="AU940" i="2" s="1"/>
  <c r="V900" i="2"/>
  <c r="X989" i="5"/>
  <c r="BO680" i="5"/>
  <c r="BP680" i="5" s="1"/>
  <c r="AJ897" i="2"/>
  <c r="S990" i="5" l="1"/>
  <c r="T990" i="5" s="1"/>
  <c r="W990" i="5" s="1"/>
  <c r="BB996" i="5"/>
  <c r="AT997" i="5"/>
  <c r="AY940" i="2"/>
  <c r="N901" i="2"/>
  <c r="O901" i="2" s="1"/>
  <c r="W900" i="2"/>
  <c r="M901" i="2"/>
  <c r="BK681" i="5"/>
  <c r="AK897" i="2"/>
  <c r="AB898" i="2"/>
  <c r="AD898" i="2" s="1"/>
  <c r="AV997" i="5" l="1"/>
  <c r="AW997" i="5" s="1"/>
  <c r="AR941" i="2"/>
  <c r="AT941" i="2" s="1"/>
  <c r="AZ940" i="2"/>
  <c r="R901" i="2"/>
  <c r="S901" i="2" s="1"/>
  <c r="BM681" i="5"/>
  <c r="BN681" i="5" s="1"/>
  <c r="X990" i="5"/>
  <c r="O991" i="5"/>
  <c r="P991" i="5" s="1"/>
  <c r="N991" i="5"/>
  <c r="AE898" i="2"/>
  <c r="BA997" i="5" l="1"/>
  <c r="AU941" i="2"/>
  <c r="AY941" i="2" s="1"/>
  <c r="V901" i="2"/>
  <c r="S991" i="5"/>
  <c r="T991" i="5" s="1"/>
  <c r="BO681" i="5"/>
  <c r="BP681" i="5" s="1"/>
  <c r="AJ898" i="2"/>
  <c r="BB997" i="5" l="1"/>
  <c r="AT998" i="5"/>
  <c r="AV998" i="5" s="1"/>
  <c r="AW998" i="5" s="1"/>
  <c r="BK682" i="5"/>
  <c r="BM682" i="5" s="1"/>
  <c r="BN682" i="5" s="1"/>
  <c r="AR942" i="2"/>
  <c r="AZ941" i="2"/>
  <c r="N902" i="2"/>
  <c r="O902" i="2" s="1"/>
  <c r="W901" i="2"/>
  <c r="M902" i="2"/>
  <c r="W991" i="5"/>
  <c r="AB899" i="2"/>
  <c r="AD899" i="2" s="1"/>
  <c r="AK898" i="2"/>
  <c r="N992" i="5" l="1"/>
  <c r="BA998" i="5"/>
  <c r="O992" i="5"/>
  <c r="P992" i="5" s="1"/>
  <c r="AT942" i="2"/>
  <c r="R902" i="2"/>
  <c r="S902" i="2" s="1"/>
  <c r="X991" i="5"/>
  <c r="BO682" i="5"/>
  <c r="BP682" i="5" s="1"/>
  <c r="AE899" i="2"/>
  <c r="S992" i="5" l="1"/>
  <c r="T992" i="5" s="1"/>
  <c r="W992" i="5" s="1"/>
  <c r="BK683" i="5"/>
  <c r="BM683" i="5" s="1"/>
  <c r="BN683" i="5" s="1"/>
  <c r="AT999" i="5"/>
  <c r="BB998" i="5"/>
  <c r="AU942" i="2"/>
  <c r="AY942" i="2" s="1"/>
  <c r="V902" i="2"/>
  <c r="AJ899" i="2"/>
  <c r="AV999" i="5" l="1"/>
  <c r="AW999" i="5" s="1"/>
  <c r="AR943" i="2"/>
  <c r="AZ942" i="2"/>
  <c r="M903" i="2"/>
  <c r="W902" i="2"/>
  <c r="N903" i="2"/>
  <c r="O903" i="2" s="1"/>
  <c r="X992" i="5"/>
  <c r="O993" i="5"/>
  <c r="P993" i="5" s="1"/>
  <c r="N993" i="5"/>
  <c r="BO683" i="5"/>
  <c r="BP683" i="5" s="1"/>
  <c r="AK899" i="2"/>
  <c r="AB900" i="2"/>
  <c r="AD900" i="2" s="1"/>
  <c r="BA999" i="5" l="1"/>
  <c r="AT943" i="2"/>
  <c r="R903" i="2"/>
  <c r="S903" i="2" s="1"/>
  <c r="V903" i="2" s="1"/>
  <c r="S993" i="5"/>
  <c r="BK684" i="5"/>
  <c r="AE900" i="2"/>
  <c r="AT1000" i="5" l="1"/>
  <c r="BB999" i="5"/>
  <c r="AU943" i="2"/>
  <c r="AY943" i="2" s="1"/>
  <c r="N904" i="2"/>
  <c r="O904" i="2" s="1"/>
  <c r="M904" i="2"/>
  <c r="W903" i="2"/>
  <c r="BM684" i="5"/>
  <c r="BN684" i="5" s="1"/>
  <c r="T993" i="5"/>
  <c r="W993" i="5" s="1"/>
  <c r="O994" i="5" s="1"/>
  <c r="P994" i="5" s="1"/>
  <c r="AJ900" i="2"/>
  <c r="N994" i="5" l="1"/>
  <c r="S994" i="5" s="1"/>
  <c r="AV1000" i="5"/>
  <c r="AW1000" i="5" s="1"/>
  <c r="AZ943" i="2"/>
  <c r="AR944" i="2"/>
  <c r="R904" i="2"/>
  <c r="S904" i="2" s="1"/>
  <c r="X993" i="5"/>
  <c r="BO684" i="5"/>
  <c r="BP684" i="5" s="1"/>
  <c r="AK900" i="2"/>
  <c r="AB901" i="2"/>
  <c r="AD901" i="2" s="1"/>
  <c r="BK685" i="5" l="1"/>
  <c r="BM685" i="5" s="1"/>
  <c r="BN685" i="5" s="1"/>
  <c r="BO685" i="5" s="1"/>
  <c r="BP685" i="5" s="1"/>
  <c r="BA1000" i="5"/>
  <c r="V904" i="2"/>
  <c r="AT944" i="2"/>
  <c r="AU944" i="2" s="1"/>
  <c r="T994" i="5"/>
  <c r="W994" i="5" s="1"/>
  <c r="O995" i="5" s="1"/>
  <c r="P995" i="5" s="1"/>
  <c r="AE901" i="2"/>
  <c r="N995" i="5" l="1"/>
  <c r="S995" i="5" s="1"/>
  <c r="T995" i="5" s="1"/>
  <c r="AT1001" i="5"/>
  <c r="BB1000" i="5"/>
  <c r="W904" i="2"/>
  <c r="N905" i="2"/>
  <c r="O905" i="2" s="1"/>
  <c r="M905" i="2"/>
  <c r="AY944" i="2"/>
  <c r="X994" i="5"/>
  <c r="BK686" i="5"/>
  <c r="AJ901" i="2"/>
  <c r="AV1001" i="5" l="1"/>
  <c r="AW1001" i="5" s="1"/>
  <c r="R905" i="2"/>
  <c r="S905" i="2" s="1"/>
  <c r="V905" i="2" s="1"/>
  <c r="W905" i="2" s="1"/>
  <c r="AZ944" i="2"/>
  <c r="AR945" i="2"/>
  <c r="W995" i="5"/>
  <c r="X995" i="5" s="1"/>
  <c r="BM686" i="5"/>
  <c r="BN686" i="5" s="1"/>
  <c r="AK901" i="2"/>
  <c r="AB902" i="2"/>
  <c r="AD902" i="2" s="1"/>
  <c r="O996" i="5" l="1"/>
  <c r="P996" i="5" s="1"/>
  <c r="N996" i="5"/>
  <c r="BA1001" i="5"/>
  <c r="AT945" i="2"/>
  <c r="AU945" i="2" s="1"/>
  <c r="AY945" i="2" s="1"/>
  <c r="M906" i="2"/>
  <c r="N906" i="2"/>
  <c r="O906" i="2" s="1"/>
  <c r="BO686" i="5"/>
  <c r="BP686" i="5" s="1"/>
  <c r="AE902" i="2"/>
  <c r="BK687" i="5" l="1"/>
  <c r="BM687" i="5" s="1"/>
  <c r="BN687" i="5" s="1"/>
  <c r="S996" i="5"/>
  <c r="T996" i="5" s="1"/>
  <c r="W996" i="5" s="1"/>
  <c r="X996" i="5" s="1"/>
  <c r="BB1001" i="5"/>
  <c r="AT1002" i="5"/>
  <c r="AR946" i="2"/>
  <c r="AZ945" i="2"/>
  <c r="R906" i="2"/>
  <c r="S906" i="2" s="1"/>
  <c r="V906" i="2" s="1"/>
  <c r="AJ902" i="2"/>
  <c r="N997" i="5" l="1"/>
  <c r="O997" i="5"/>
  <c r="P997" i="5" s="1"/>
  <c r="AV1002" i="5"/>
  <c r="AW1002" i="5" s="1"/>
  <c r="AT946" i="2"/>
  <c r="AU946" i="2" s="1"/>
  <c r="AY946" i="2" s="1"/>
  <c r="BO687" i="5"/>
  <c r="BP687" i="5" s="1"/>
  <c r="W906" i="2"/>
  <c r="M907" i="2"/>
  <c r="N907" i="2"/>
  <c r="O907" i="2" s="1"/>
  <c r="AK902" i="2"/>
  <c r="AB903" i="2"/>
  <c r="AD903" i="2" s="1"/>
  <c r="BK688" i="5" l="1"/>
  <c r="BM688" i="5" s="1"/>
  <c r="BN688" i="5" s="1"/>
  <c r="S997" i="5"/>
  <c r="T997" i="5" s="1"/>
  <c r="W997" i="5" s="1"/>
  <c r="N998" i="5" s="1"/>
  <c r="BA1002" i="5"/>
  <c r="AZ946" i="2"/>
  <c r="AR947" i="2"/>
  <c r="R907" i="2"/>
  <c r="S907" i="2" s="1"/>
  <c r="AE903" i="2"/>
  <c r="O998" i="5" l="1"/>
  <c r="P998" i="5" s="1"/>
  <c r="S998" i="5" s="1"/>
  <c r="AT1003" i="5"/>
  <c r="BB1002" i="5"/>
  <c r="AT947" i="2"/>
  <c r="AU947" i="2" s="1"/>
  <c r="AY947" i="2" s="1"/>
  <c r="V907" i="2"/>
  <c r="X997" i="5"/>
  <c r="BO688" i="5"/>
  <c r="BP688" i="5" s="1"/>
  <c r="AJ903" i="2"/>
  <c r="BK689" i="5" l="1"/>
  <c r="BM689" i="5" s="1"/>
  <c r="BN689" i="5" s="1"/>
  <c r="BO689" i="5" s="1"/>
  <c r="BP689" i="5" s="1"/>
  <c r="AV1003" i="5"/>
  <c r="AW1003" i="5" s="1"/>
  <c r="AZ947" i="2"/>
  <c r="AR948" i="2"/>
  <c r="T998" i="5"/>
  <c r="W998" i="5" s="1"/>
  <c r="O999" i="5" s="1"/>
  <c r="P999" i="5" s="1"/>
  <c r="W907" i="2"/>
  <c r="N908" i="2"/>
  <c r="O908" i="2" s="1"/>
  <c r="M908" i="2"/>
  <c r="AK903" i="2"/>
  <c r="AB904" i="2"/>
  <c r="AD904" i="2" s="1"/>
  <c r="N999" i="5" l="1"/>
  <c r="S999" i="5" s="1"/>
  <c r="BA1003" i="5"/>
  <c r="AT948" i="2"/>
  <c r="X998" i="5"/>
  <c r="BK690" i="5"/>
  <c r="R908" i="2"/>
  <c r="S908" i="2" s="1"/>
  <c r="AE904" i="2"/>
  <c r="AT1004" i="5" l="1"/>
  <c r="BB1003" i="5"/>
  <c r="AU948" i="2"/>
  <c r="AY948" i="2" s="1"/>
  <c r="V908" i="2"/>
  <c r="BM690" i="5"/>
  <c r="BN690" i="5" s="1"/>
  <c r="T999" i="5"/>
  <c r="W999" i="5" s="1"/>
  <c r="O1000" i="5" s="1"/>
  <c r="P1000" i="5" s="1"/>
  <c r="AJ904" i="2"/>
  <c r="N1000" i="5" l="1"/>
  <c r="S1000" i="5" s="1"/>
  <c r="AV1004" i="5"/>
  <c r="AW1004" i="5" s="1"/>
  <c r="AZ948" i="2"/>
  <c r="AR949" i="2"/>
  <c r="AT949" i="2" s="1"/>
  <c r="AU949" i="2" s="1"/>
  <c r="AY949" i="2" s="1"/>
  <c r="X999" i="5"/>
  <c r="BO690" i="5"/>
  <c r="BP690" i="5" s="1"/>
  <c r="W908" i="2"/>
  <c r="M909" i="2"/>
  <c r="N909" i="2"/>
  <c r="O909" i="2" s="1"/>
  <c r="AB905" i="2"/>
  <c r="AD905" i="2" s="1"/>
  <c r="AK904" i="2"/>
  <c r="BK691" i="5" l="1"/>
  <c r="BM691" i="5" s="1"/>
  <c r="BN691" i="5" s="1"/>
  <c r="BA1004" i="5"/>
  <c r="AR950" i="2"/>
  <c r="AZ949" i="2"/>
  <c r="T1000" i="5"/>
  <c r="W1000" i="5" s="1"/>
  <c r="N1001" i="5" s="1"/>
  <c r="R909" i="2"/>
  <c r="S909" i="2" s="1"/>
  <c r="AE905" i="2"/>
  <c r="O1001" i="5" l="1"/>
  <c r="P1001" i="5" s="1"/>
  <c r="S1001" i="5" s="1"/>
  <c r="AT1005" i="5"/>
  <c r="BB1004" i="5"/>
  <c r="AT950" i="2"/>
  <c r="AU950" i="2" s="1"/>
  <c r="AY950" i="2" s="1"/>
  <c r="V909" i="2"/>
  <c r="X1000" i="5"/>
  <c r="BO691" i="5"/>
  <c r="BP691" i="5" s="1"/>
  <c r="AJ905" i="2"/>
  <c r="BK692" i="5" l="1"/>
  <c r="BM692" i="5" s="1"/>
  <c r="BN692" i="5" s="1"/>
  <c r="BO692" i="5" s="1"/>
  <c r="BP692" i="5" s="1"/>
  <c r="AV1005" i="5"/>
  <c r="AW1005" i="5" s="1"/>
  <c r="AZ950" i="2"/>
  <c r="AR951" i="2"/>
  <c r="T1001" i="5"/>
  <c r="W1001" i="5" s="1"/>
  <c r="O1002" i="5" s="1"/>
  <c r="P1002" i="5" s="1"/>
  <c r="W909" i="2"/>
  <c r="N910" i="2"/>
  <c r="O910" i="2" s="1"/>
  <c r="M910" i="2"/>
  <c r="AK905" i="2"/>
  <c r="AB906" i="2"/>
  <c r="AD906" i="2" s="1"/>
  <c r="BA1005" i="5" l="1"/>
  <c r="AT1006" i="5" s="1"/>
  <c r="N1002" i="5"/>
  <c r="S1002" i="5" s="1"/>
  <c r="T1002" i="5" s="1"/>
  <c r="AT951" i="2"/>
  <c r="AU951" i="2" s="1"/>
  <c r="AY951" i="2" s="1"/>
  <c r="X1001" i="5"/>
  <c r="BK693" i="5"/>
  <c r="R910" i="2"/>
  <c r="S910" i="2" s="1"/>
  <c r="AE906" i="2"/>
  <c r="BB1005" i="5" l="1"/>
  <c r="AV1006" i="5"/>
  <c r="AW1006" i="5" s="1"/>
  <c r="BA1006" i="5" s="1"/>
  <c r="AR952" i="2"/>
  <c r="AZ951" i="2"/>
  <c r="V910" i="2"/>
  <c r="W1002" i="5"/>
  <c r="X1002" i="5" s="1"/>
  <c r="BM693" i="5"/>
  <c r="BN693" i="5" s="1"/>
  <c r="BO693" i="5" s="1"/>
  <c r="BP693" i="5" s="1"/>
  <c r="AJ906" i="2"/>
  <c r="AT1007" i="5" l="1"/>
  <c r="BB1006" i="5"/>
  <c r="N1003" i="5"/>
  <c r="O1003" i="5"/>
  <c r="P1003" i="5" s="1"/>
  <c r="AT952" i="2"/>
  <c r="AU952" i="2" s="1"/>
  <c r="W910" i="2"/>
  <c r="M911" i="2"/>
  <c r="N911" i="2"/>
  <c r="O911" i="2" s="1"/>
  <c r="BK694" i="5"/>
  <c r="AB907" i="2"/>
  <c r="AD907" i="2" s="1"/>
  <c r="AK906" i="2"/>
  <c r="S1003" i="5" l="1"/>
  <c r="T1003" i="5" s="1"/>
  <c r="W1003" i="5" s="1"/>
  <c r="O1004" i="5" s="1"/>
  <c r="P1004" i="5" s="1"/>
  <c r="AV1007" i="5"/>
  <c r="AW1007" i="5" s="1"/>
  <c r="AY952" i="2"/>
  <c r="R911" i="2"/>
  <c r="BM694" i="5"/>
  <c r="BN694" i="5" s="1"/>
  <c r="AE907" i="2"/>
  <c r="N1004" i="5" l="1"/>
  <c r="S1004" i="5" s="1"/>
  <c r="BA1007" i="5"/>
  <c r="AZ952" i="2"/>
  <c r="AR953" i="2"/>
  <c r="S911" i="2"/>
  <c r="V911" i="2" s="1"/>
  <c r="X1003" i="5"/>
  <c r="BO694" i="5"/>
  <c r="BP694" i="5" s="1"/>
  <c r="AJ907" i="2"/>
  <c r="BK695" i="5" l="1"/>
  <c r="BM695" i="5" s="1"/>
  <c r="BN695" i="5" s="1"/>
  <c r="AT1008" i="5"/>
  <c r="BB1007" i="5"/>
  <c r="AT953" i="2"/>
  <c r="W911" i="2"/>
  <c r="N912" i="2"/>
  <c r="O912" i="2" s="1"/>
  <c r="M912" i="2"/>
  <c r="T1004" i="5"/>
  <c r="W1004" i="5" s="1"/>
  <c r="N1005" i="5" s="1"/>
  <c r="AK907" i="2"/>
  <c r="AB908" i="2"/>
  <c r="AD908" i="2" s="1"/>
  <c r="O1005" i="5" l="1"/>
  <c r="P1005" i="5" s="1"/>
  <c r="S1005" i="5" s="1"/>
  <c r="AV1008" i="5"/>
  <c r="AW1008" i="5" s="1"/>
  <c r="AU953" i="2"/>
  <c r="AY953" i="2" s="1"/>
  <c r="R912" i="2"/>
  <c r="S912" i="2" s="1"/>
  <c r="X1004" i="5"/>
  <c r="BO695" i="5"/>
  <c r="BP695" i="5" s="1"/>
  <c r="AE908" i="2"/>
  <c r="BK696" i="5" l="1"/>
  <c r="BM696" i="5" s="1"/>
  <c r="BN696" i="5" s="1"/>
  <c r="BA1008" i="5"/>
  <c r="AT1009" i="5" s="1"/>
  <c r="AZ953" i="2"/>
  <c r="AR954" i="2"/>
  <c r="V912" i="2"/>
  <c r="T1005" i="5"/>
  <c r="W1005" i="5" s="1"/>
  <c r="O1006" i="5" s="1"/>
  <c r="P1006" i="5" s="1"/>
  <c r="AJ908" i="2"/>
  <c r="BB1008" i="5" l="1"/>
  <c r="N1006" i="5"/>
  <c r="S1006" i="5" s="1"/>
  <c r="AV1009" i="5"/>
  <c r="AW1009" i="5" s="1"/>
  <c r="AT954" i="2"/>
  <c r="AU954" i="2" s="1"/>
  <c r="M913" i="2"/>
  <c r="W912" i="2"/>
  <c r="N913" i="2"/>
  <c r="O913" i="2" s="1"/>
  <c r="X1005" i="5"/>
  <c r="BO696" i="5"/>
  <c r="BP696" i="5" s="1"/>
  <c r="AK908" i="2"/>
  <c r="AB909" i="2"/>
  <c r="AD909" i="2" s="1"/>
  <c r="BA1009" i="5" l="1"/>
  <c r="AY954" i="2"/>
  <c r="AR955" i="2" s="1"/>
  <c r="R913" i="2"/>
  <c r="S913" i="2" s="1"/>
  <c r="T1006" i="5"/>
  <c r="W1006" i="5" s="1"/>
  <c r="O1007" i="5" s="1"/>
  <c r="P1007" i="5" s="1"/>
  <c r="BK697" i="5"/>
  <c r="AE909" i="2"/>
  <c r="N1007" i="5" l="1"/>
  <c r="S1007" i="5" s="1"/>
  <c r="BB1009" i="5"/>
  <c r="AT1010" i="5"/>
  <c r="AZ954" i="2"/>
  <c r="AT955" i="2"/>
  <c r="AU955" i="2" s="1"/>
  <c r="AY955" i="2" s="1"/>
  <c r="V913" i="2"/>
  <c r="W913" i="2" s="1"/>
  <c r="BM697" i="5"/>
  <c r="BN697" i="5" s="1"/>
  <c r="X1006" i="5"/>
  <c r="AJ909" i="2"/>
  <c r="AV1010" i="5" l="1"/>
  <c r="AW1010" i="5" s="1"/>
  <c r="BA1010" i="5" s="1"/>
  <c r="AZ955" i="2"/>
  <c r="AR956" i="2"/>
  <c r="M914" i="2"/>
  <c r="N914" i="2"/>
  <c r="O914" i="2" s="1"/>
  <c r="T1007" i="5"/>
  <c r="W1007" i="5" s="1"/>
  <c r="N1008" i="5" s="1"/>
  <c r="BO697" i="5"/>
  <c r="BP697" i="5" s="1"/>
  <c r="AK909" i="2"/>
  <c r="AB910" i="2"/>
  <c r="AD910" i="2" s="1"/>
  <c r="O1008" i="5" l="1"/>
  <c r="P1008" i="5" s="1"/>
  <c r="S1008" i="5" s="1"/>
  <c r="T1008" i="5" s="1"/>
  <c r="AT1011" i="5"/>
  <c r="BB1010" i="5"/>
  <c r="BK698" i="5"/>
  <c r="BM698" i="5" s="1"/>
  <c r="BN698" i="5" s="1"/>
  <c r="AT956" i="2"/>
  <c r="AU956" i="2" s="1"/>
  <c r="AY956" i="2" s="1"/>
  <c r="R914" i="2"/>
  <c r="S914" i="2" s="1"/>
  <c r="X1007" i="5"/>
  <c r="AE910" i="2"/>
  <c r="AV1011" i="5" l="1"/>
  <c r="AW1011" i="5" s="1"/>
  <c r="AR957" i="2"/>
  <c r="AZ956" i="2"/>
  <c r="V914" i="2"/>
  <c r="W1008" i="5"/>
  <c r="X1008" i="5" s="1"/>
  <c r="BO698" i="5"/>
  <c r="BP698" i="5" s="1"/>
  <c r="AJ910" i="2"/>
  <c r="O1009" i="5" l="1"/>
  <c r="P1009" i="5" s="1"/>
  <c r="BA1011" i="5"/>
  <c r="BB1011" i="5" s="1"/>
  <c r="N1009" i="5"/>
  <c r="AT957" i="2"/>
  <c r="AU957" i="2" s="1"/>
  <c r="AY957" i="2" s="1"/>
  <c r="W914" i="2"/>
  <c r="N915" i="2"/>
  <c r="O915" i="2" s="1"/>
  <c r="M915" i="2"/>
  <c r="BK699" i="5"/>
  <c r="AK910" i="2"/>
  <c r="AB911" i="2"/>
  <c r="AD911" i="2" s="1"/>
  <c r="AT1012" i="5" l="1"/>
  <c r="AV1012" i="5" s="1"/>
  <c r="AW1012" i="5" s="1"/>
  <c r="BA1012" i="5" s="1"/>
  <c r="S1009" i="5"/>
  <c r="T1009" i="5" s="1"/>
  <c r="W1009" i="5" s="1"/>
  <c r="AR958" i="2"/>
  <c r="AZ957" i="2"/>
  <c r="R915" i="2"/>
  <c r="S915" i="2" s="1"/>
  <c r="V915" i="2" s="1"/>
  <c r="BM699" i="5"/>
  <c r="BN699" i="5" s="1"/>
  <c r="AE911" i="2"/>
  <c r="AT1013" i="5" l="1"/>
  <c r="BB1012" i="5"/>
  <c r="N1010" i="5"/>
  <c r="O1010" i="5"/>
  <c r="P1010" i="5" s="1"/>
  <c r="AT958" i="2"/>
  <c r="AU958" i="2" s="1"/>
  <c r="AY958" i="2" s="1"/>
  <c r="X1009" i="5"/>
  <c r="W915" i="2"/>
  <c r="M916" i="2"/>
  <c r="N916" i="2"/>
  <c r="O916" i="2" s="1"/>
  <c r="BO699" i="5"/>
  <c r="BP699" i="5" s="1"/>
  <c r="AJ911" i="2"/>
  <c r="S1010" i="5" l="1"/>
  <c r="T1010" i="5" s="1"/>
  <c r="W1010" i="5" s="1"/>
  <c r="AV1013" i="5"/>
  <c r="AW1013" i="5" s="1"/>
  <c r="AZ958" i="2"/>
  <c r="AR959" i="2"/>
  <c r="R916" i="2"/>
  <c r="S916" i="2" s="1"/>
  <c r="V916" i="2" s="1"/>
  <c r="BK700" i="5"/>
  <c r="AK911" i="2"/>
  <c r="AB912" i="2"/>
  <c r="AD912" i="2" s="1"/>
  <c r="BA1013" i="5" l="1"/>
  <c r="BB1013" i="5" s="1"/>
  <c r="AT959" i="2"/>
  <c r="AU959" i="2" s="1"/>
  <c r="AY959" i="2" s="1"/>
  <c r="BM700" i="5"/>
  <c r="BN700" i="5" s="1"/>
  <c r="X1010" i="5"/>
  <c r="O1011" i="5"/>
  <c r="P1011" i="5" s="1"/>
  <c r="N1011" i="5"/>
  <c r="W916" i="2"/>
  <c r="M917" i="2"/>
  <c r="N917" i="2"/>
  <c r="O917" i="2" s="1"/>
  <c r="AE912" i="2"/>
  <c r="AT1014" i="5" l="1"/>
  <c r="AV1014" i="5" s="1"/>
  <c r="AW1014" i="5" s="1"/>
  <c r="AR960" i="2"/>
  <c r="AZ959" i="2"/>
  <c r="S1011" i="5"/>
  <c r="T1011" i="5" s="1"/>
  <c r="BO700" i="5"/>
  <c r="BP700" i="5" s="1"/>
  <c r="R917" i="2"/>
  <c r="S917" i="2" s="1"/>
  <c r="AJ912" i="2"/>
  <c r="BA1014" i="5" l="1"/>
  <c r="AT960" i="2"/>
  <c r="V917" i="2"/>
  <c r="W1011" i="5"/>
  <c r="BK701" i="5"/>
  <c r="AB913" i="2"/>
  <c r="AD913" i="2" s="1"/>
  <c r="AK912" i="2"/>
  <c r="BB1014" i="5" l="1"/>
  <c r="AT1015" i="5"/>
  <c r="AU960" i="2"/>
  <c r="AY960" i="2" s="1"/>
  <c r="BM701" i="5"/>
  <c r="BN701" i="5" s="1"/>
  <c r="X1011" i="5"/>
  <c r="O1012" i="5"/>
  <c r="P1012" i="5" s="1"/>
  <c r="N1012" i="5"/>
  <c r="W917" i="2"/>
  <c r="M918" i="2"/>
  <c r="N918" i="2"/>
  <c r="O918" i="2" s="1"/>
  <c r="AE913" i="2"/>
  <c r="AV1015" i="5" l="1"/>
  <c r="AW1015" i="5" s="1"/>
  <c r="BA1015" i="5" s="1"/>
  <c r="AZ960" i="2"/>
  <c r="AR961" i="2"/>
  <c r="S1012" i="5"/>
  <c r="T1012" i="5" s="1"/>
  <c r="BO701" i="5"/>
  <c r="BP701" i="5" s="1"/>
  <c r="R918" i="2"/>
  <c r="S918" i="2" s="1"/>
  <c r="AJ913" i="2"/>
  <c r="AT1016" i="5" l="1"/>
  <c r="BB1015" i="5"/>
  <c r="AT961" i="2"/>
  <c r="V918" i="2"/>
  <c r="W1012" i="5"/>
  <c r="X1012" i="5" s="1"/>
  <c r="BK702" i="5"/>
  <c r="AK913" i="2"/>
  <c r="AB914" i="2"/>
  <c r="AD914" i="2" s="1"/>
  <c r="O1013" i="5" l="1"/>
  <c r="P1013" i="5" s="1"/>
  <c r="N1013" i="5"/>
  <c r="AV1016" i="5"/>
  <c r="AW1016" i="5" s="1"/>
  <c r="AU961" i="2"/>
  <c r="AY961" i="2" s="1"/>
  <c r="BM702" i="5"/>
  <c r="BN702" i="5" s="1"/>
  <c r="W918" i="2"/>
  <c r="N919" i="2"/>
  <c r="O919" i="2" s="1"/>
  <c r="M919" i="2"/>
  <c r="AE914" i="2"/>
  <c r="S1013" i="5" l="1"/>
  <c r="T1013" i="5" s="1"/>
  <c r="W1013" i="5" s="1"/>
  <c r="BA1016" i="5"/>
  <c r="AZ961" i="2"/>
  <c r="AR962" i="2"/>
  <c r="BO702" i="5"/>
  <c r="R919" i="2"/>
  <c r="S919" i="2" s="1"/>
  <c r="AJ914" i="2"/>
  <c r="BP702" i="5" l="1"/>
  <c r="BK703" i="5"/>
  <c r="BM703" i="5" s="1"/>
  <c r="BN703" i="5" s="1"/>
  <c r="BB1016" i="5"/>
  <c r="AT1017" i="5"/>
  <c r="AT962" i="2"/>
  <c r="V919" i="2"/>
  <c r="X1013" i="5"/>
  <c r="O1014" i="5"/>
  <c r="P1014" i="5" s="1"/>
  <c r="N1014" i="5"/>
  <c r="AK914" i="2"/>
  <c r="AB915" i="2"/>
  <c r="AD915" i="2" s="1"/>
  <c r="AV1017" i="5" l="1"/>
  <c r="AW1017" i="5" s="1"/>
  <c r="AU962" i="2"/>
  <c r="AY962" i="2" s="1"/>
  <c r="M920" i="2"/>
  <c r="W919" i="2"/>
  <c r="N920" i="2"/>
  <c r="O920" i="2" s="1"/>
  <c r="S1014" i="5"/>
  <c r="T1014" i="5" s="1"/>
  <c r="BO703" i="5"/>
  <c r="BP703" i="5" s="1"/>
  <c r="BK704" i="5"/>
  <c r="AE915" i="2"/>
  <c r="BA1017" i="5" l="1"/>
  <c r="AZ962" i="2"/>
  <c r="AR963" i="2"/>
  <c r="R920" i="2"/>
  <c r="S920" i="2" s="1"/>
  <c r="W1014" i="5"/>
  <c r="X1014" i="5" s="1"/>
  <c r="BM704" i="5"/>
  <c r="BN704" i="5" s="1"/>
  <c r="AJ915" i="2"/>
  <c r="N1015" i="5" l="1"/>
  <c r="O1015" i="5"/>
  <c r="P1015" i="5" s="1"/>
  <c r="BB1017" i="5"/>
  <c r="AT1018" i="5"/>
  <c r="AT963" i="2"/>
  <c r="V920" i="2"/>
  <c r="BO704" i="5"/>
  <c r="AK915" i="2"/>
  <c r="AB916" i="2"/>
  <c r="AD916" i="2" s="1"/>
  <c r="BP704" i="5" l="1"/>
  <c r="BK705" i="5"/>
  <c r="BM705" i="5" s="1"/>
  <c r="BN705" i="5" s="1"/>
  <c r="BO705" i="5" s="1"/>
  <c r="BP705" i="5" s="1"/>
  <c r="S1015" i="5"/>
  <c r="T1015" i="5" s="1"/>
  <c r="AV1018" i="5"/>
  <c r="AW1018" i="5" s="1"/>
  <c r="AU963" i="2"/>
  <c r="AY963" i="2" s="1"/>
  <c r="N921" i="2"/>
  <c r="O921" i="2" s="1"/>
  <c r="M921" i="2"/>
  <c r="W920" i="2"/>
  <c r="AE916" i="2"/>
  <c r="W1015" i="5" l="1"/>
  <c r="BA1018" i="5"/>
  <c r="AZ963" i="2"/>
  <c r="AR964" i="2"/>
  <c r="R921" i="2"/>
  <c r="S921" i="2" s="1"/>
  <c r="BK706" i="5"/>
  <c r="AJ916" i="2"/>
  <c r="O1016" i="5" l="1"/>
  <c r="P1016" i="5" s="1"/>
  <c r="X1015" i="5"/>
  <c r="N1016" i="5"/>
  <c r="BB1018" i="5"/>
  <c r="AT1019" i="5"/>
  <c r="AT964" i="2"/>
  <c r="AU964" i="2" s="1"/>
  <c r="AY964" i="2" s="1"/>
  <c r="V921" i="2"/>
  <c r="BM706" i="5"/>
  <c r="BN706" i="5" s="1"/>
  <c r="AK916" i="2"/>
  <c r="AB917" i="2"/>
  <c r="AD917" i="2" s="1"/>
  <c r="S1016" i="5" l="1"/>
  <c r="T1016" i="5" s="1"/>
  <c r="AV1019" i="5"/>
  <c r="AW1019" i="5" s="1"/>
  <c r="AR965" i="2"/>
  <c r="AZ964" i="2"/>
  <c r="W921" i="2"/>
  <c r="M922" i="2"/>
  <c r="N922" i="2"/>
  <c r="O922" i="2" s="1"/>
  <c r="BO706" i="5"/>
  <c r="BP706" i="5" s="1"/>
  <c r="AE917" i="2"/>
  <c r="W1016" i="5" l="1"/>
  <c r="X1016" i="5" s="1"/>
  <c r="BA1019" i="5"/>
  <c r="AT965" i="2"/>
  <c r="AU965" i="2" s="1"/>
  <c r="R922" i="2"/>
  <c r="S922" i="2" s="1"/>
  <c r="V922" i="2" s="1"/>
  <c r="BK707" i="5"/>
  <c r="AJ917" i="2"/>
  <c r="N1017" i="5" l="1"/>
  <c r="O1017" i="5"/>
  <c r="P1017" i="5" s="1"/>
  <c r="BB1019" i="5"/>
  <c r="AT1020" i="5"/>
  <c r="AY965" i="2"/>
  <c r="AR966" i="2" s="1"/>
  <c r="BM707" i="5"/>
  <c r="BN707" i="5" s="1"/>
  <c r="W922" i="2"/>
  <c r="N923" i="2"/>
  <c r="O923" i="2" s="1"/>
  <c r="M923" i="2"/>
  <c r="AK917" i="2"/>
  <c r="AB918" i="2"/>
  <c r="AD918" i="2" s="1"/>
  <c r="S1017" i="5" l="1"/>
  <c r="T1017" i="5" s="1"/>
  <c r="AV1020" i="5"/>
  <c r="AW1020" i="5" s="1"/>
  <c r="BA1020" i="5" s="1"/>
  <c r="AZ965" i="2"/>
  <c r="AT966" i="2"/>
  <c r="AU966" i="2" s="1"/>
  <c r="BO707" i="5"/>
  <c r="BP707" i="5" s="1"/>
  <c r="R923" i="2"/>
  <c r="S923" i="2" s="1"/>
  <c r="AE918" i="2"/>
  <c r="W1017" i="5" l="1"/>
  <c r="X1017" i="5" s="1"/>
  <c r="BB1020" i="5"/>
  <c r="AT1021" i="5"/>
  <c r="AY966" i="2"/>
  <c r="V923" i="2"/>
  <c r="BK708" i="5"/>
  <c r="AJ918" i="2"/>
  <c r="O1018" i="5" l="1"/>
  <c r="P1018" i="5" s="1"/>
  <c r="N1018" i="5"/>
  <c r="AV1021" i="5"/>
  <c r="AW1021" i="5" s="1"/>
  <c r="BA1021" i="5" s="1"/>
  <c r="AR967" i="2"/>
  <c r="AZ966" i="2"/>
  <c r="BM708" i="5"/>
  <c r="BN708" i="5" s="1"/>
  <c r="W923" i="2"/>
  <c r="M924" i="2"/>
  <c r="N924" i="2"/>
  <c r="O924" i="2" s="1"/>
  <c r="AK918" i="2"/>
  <c r="AB919" i="2"/>
  <c r="AD919" i="2" s="1"/>
  <c r="S1018" i="5" l="1"/>
  <c r="T1018" i="5" s="1"/>
  <c r="AT1022" i="5"/>
  <c r="BB1021" i="5"/>
  <c r="AT967" i="2"/>
  <c r="AU967" i="2" s="1"/>
  <c r="AY967" i="2" s="1"/>
  <c r="BO708" i="5"/>
  <c r="BP708" i="5" s="1"/>
  <c r="R924" i="2"/>
  <c r="S924" i="2" s="1"/>
  <c r="AE919" i="2"/>
  <c r="W1018" i="5" l="1"/>
  <c r="O1019" i="5"/>
  <c r="P1019" i="5" s="1"/>
  <c r="N1019" i="5"/>
  <c r="AV1022" i="5"/>
  <c r="AW1022" i="5" s="1"/>
  <c r="AR968" i="2"/>
  <c r="AZ967" i="2"/>
  <c r="V924" i="2"/>
  <c r="BK709" i="5"/>
  <c r="AJ919" i="2"/>
  <c r="X1018" i="5" l="1"/>
  <c r="S1019" i="5"/>
  <c r="T1019" i="5" s="1"/>
  <c r="BA1022" i="5"/>
  <c r="AT968" i="2"/>
  <c r="AU968" i="2" s="1"/>
  <c r="AY968" i="2" s="1"/>
  <c r="W924" i="2"/>
  <c r="M925" i="2"/>
  <c r="N925" i="2"/>
  <c r="O925" i="2" s="1"/>
  <c r="BM709" i="5"/>
  <c r="BN709" i="5" s="1"/>
  <c r="AK919" i="2"/>
  <c r="AB920" i="2"/>
  <c r="AD920" i="2" s="1"/>
  <c r="W1019" i="5" l="1"/>
  <c r="X1019" i="5" s="1"/>
  <c r="BB1022" i="5"/>
  <c r="AT1023" i="5"/>
  <c r="AR969" i="2"/>
  <c r="AZ968" i="2"/>
  <c r="R925" i="2"/>
  <c r="S925" i="2" s="1"/>
  <c r="BO709" i="5"/>
  <c r="BP709" i="5" s="1"/>
  <c r="AE920" i="2"/>
  <c r="O1020" i="5" l="1"/>
  <c r="P1020" i="5" s="1"/>
  <c r="N1020" i="5"/>
  <c r="AV1023" i="5"/>
  <c r="AW1023" i="5" s="1"/>
  <c r="AT969" i="2"/>
  <c r="V925" i="2"/>
  <c r="M926" i="2" s="1"/>
  <c r="BK710" i="5"/>
  <c r="AJ920" i="2"/>
  <c r="S1020" i="5" l="1"/>
  <c r="T1020" i="5" s="1"/>
  <c r="BA1023" i="5"/>
  <c r="AU969" i="2"/>
  <c r="AY969" i="2" s="1"/>
  <c r="W925" i="2"/>
  <c r="N926" i="2"/>
  <c r="O926" i="2" s="1"/>
  <c r="R926" i="2" s="1"/>
  <c r="S926" i="2" s="1"/>
  <c r="BM710" i="5"/>
  <c r="BN710" i="5" s="1"/>
  <c r="AB921" i="2"/>
  <c r="AD921" i="2" s="1"/>
  <c r="AK920" i="2"/>
  <c r="W1020" i="5" l="1"/>
  <c r="X1020" i="5" s="1"/>
  <c r="AT1024" i="5"/>
  <c r="BB1023" i="5"/>
  <c r="AR970" i="2"/>
  <c r="AZ969" i="2"/>
  <c r="V926" i="2"/>
  <c r="BO710" i="5"/>
  <c r="BP710" i="5" s="1"/>
  <c r="AE921" i="2"/>
  <c r="O1021" i="5" l="1"/>
  <c r="P1021" i="5" s="1"/>
  <c r="N1021" i="5"/>
  <c r="AV1024" i="5"/>
  <c r="AW1024" i="5" s="1"/>
  <c r="AT970" i="2"/>
  <c r="AU970" i="2" s="1"/>
  <c r="AY970" i="2" s="1"/>
  <c r="W926" i="2"/>
  <c r="M927" i="2"/>
  <c r="N927" i="2"/>
  <c r="O927" i="2" s="1"/>
  <c r="BK711" i="5"/>
  <c r="AJ921" i="2"/>
  <c r="S1021" i="5" l="1"/>
  <c r="T1021" i="5" s="1"/>
  <c r="W1021" i="5" s="1"/>
  <c r="O1022" i="5" s="1"/>
  <c r="P1022" i="5" s="1"/>
  <c r="N1022" i="5"/>
  <c r="BA1024" i="5"/>
  <c r="AR971" i="2"/>
  <c r="AZ970" i="2"/>
  <c r="R927" i="2"/>
  <c r="S927" i="2" s="1"/>
  <c r="BM711" i="5"/>
  <c r="BN711" i="5" s="1"/>
  <c r="AB922" i="2"/>
  <c r="AD922" i="2" s="1"/>
  <c r="AK921" i="2"/>
  <c r="X1021" i="5" l="1"/>
  <c r="S1022" i="5"/>
  <c r="T1022" i="5" s="1"/>
  <c r="BB1024" i="5"/>
  <c r="AT1025" i="5"/>
  <c r="AT971" i="2"/>
  <c r="AU971" i="2" s="1"/>
  <c r="V927" i="2"/>
  <c r="M928" i="2" s="1"/>
  <c r="BO711" i="5"/>
  <c r="BP711" i="5" s="1"/>
  <c r="AE922" i="2"/>
  <c r="AJ922" i="2" s="1"/>
  <c r="W1022" i="5" l="1"/>
  <c r="AV1025" i="5"/>
  <c r="AW1025" i="5" s="1"/>
  <c r="AY971" i="2"/>
  <c r="W927" i="2"/>
  <c r="N928" i="2"/>
  <c r="O928" i="2" s="1"/>
  <c r="R928" i="2" s="1"/>
  <c r="S928" i="2" s="1"/>
  <c r="BK712" i="5"/>
  <c r="AB923" i="2"/>
  <c r="AD923" i="2" s="1"/>
  <c r="AK922" i="2"/>
  <c r="O1023" i="5" l="1"/>
  <c r="P1023" i="5" s="1"/>
  <c r="N1023" i="5"/>
  <c r="X1022" i="5"/>
  <c r="BA1025" i="5"/>
  <c r="AR972" i="2"/>
  <c r="AT972" i="2" s="1"/>
  <c r="AU972" i="2" s="1"/>
  <c r="AY972" i="2" s="1"/>
  <c r="AZ971" i="2"/>
  <c r="V928" i="2"/>
  <c r="BM712" i="5"/>
  <c r="BN712" i="5" s="1"/>
  <c r="AE923" i="2"/>
  <c r="S1023" i="5" l="1"/>
  <c r="T1023" i="5" s="1"/>
  <c r="W1023" i="5" s="1"/>
  <c r="AT1026" i="5"/>
  <c r="BB1025" i="5"/>
  <c r="AZ972" i="2"/>
  <c r="AR973" i="2"/>
  <c r="BO712" i="5"/>
  <c r="BP712" i="5" s="1"/>
  <c r="W928" i="2"/>
  <c r="M929" i="2"/>
  <c r="N929" i="2"/>
  <c r="O929" i="2" s="1"/>
  <c r="AJ923" i="2"/>
  <c r="N1024" i="5" l="1"/>
  <c r="X1023" i="5"/>
  <c r="O1024" i="5"/>
  <c r="P1024" i="5" s="1"/>
  <c r="BK713" i="5"/>
  <c r="BM713" i="5" s="1"/>
  <c r="BN713" i="5" s="1"/>
  <c r="AV1026" i="5"/>
  <c r="AW1026" i="5" s="1"/>
  <c r="AT973" i="2"/>
  <c r="AU973" i="2" s="1"/>
  <c r="R929" i="2"/>
  <c r="S929" i="2" s="1"/>
  <c r="AK923" i="2"/>
  <c r="AB924" i="2"/>
  <c r="AD924" i="2" s="1"/>
  <c r="S1024" i="5" l="1"/>
  <c r="T1024" i="5" s="1"/>
  <c r="BA1026" i="5"/>
  <c r="AY973" i="2"/>
  <c r="V929" i="2"/>
  <c r="BO713" i="5"/>
  <c r="BP713" i="5" s="1"/>
  <c r="AE924" i="2"/>
  <c r="W1024" i="5" l="1"/>
  <c r="AT1027" i="5"/>
  <c r="BB1026" i="5"/>
  <c r="AR974" i="2"/>
  <c r="AZ973" i="2"/>
  <c r="BK714" i="5"/>
  <c r="W929" i="2"/>
  <c r="N930" i="2"/>
  <c r="O930" i="2" s="1"/>
  <c r="M930" i="2"/>
  <c r="AJ924" i="2"/>
  <c r="N1025" i="5" l="1"/>
  <c r="O1025" i="5"/>
  <c r="P1025" i="5" s="1"/>
  <c r="X1024" i="5"/>
  <c r="AV1027" i="5"/>
  <c r="AW1027" i="5" s="1"/>
  <c r="AT974" i="2"/>
  <c r="AU974" i="2" s="1"/>
  <c r="AY974" i="2" s="1"/>
  <c r="BM714" i="5"/>
  <c r="BN714" i="5" s="1"/>
  <c r="R930" i="2"/>
  <c r="S930" i="2" s="1"/>
  <c r="AK924" i="2"/>
  <c r="AB925" i="2"/>
  <c r="AD925" i="2" s="1"/>
  <c r="S1025" i="5" l="1"/>
  <c r="T1025" i="5" s="1"/>
  <c r="W1025" i="5" s="1"/>
  <c r="BA1027" i="5"/>
  <c r="AZ974" i="2"/>
  <c r="AR975" i="2"/>
  <c r="V930" i="2"/>
  <c r="BO714" i="5"/>
  <c r="BP714" i="5" s="1"/>
  <c r="AE925" i="2"/>
  <c r="I38" i="8" l="1"/>
  <c r="X1025" i="5"/>
  <c r="N1026" i="5"/>
  <c r="O1026" i="5"/>
  <c r="P1026" i="5" s="1"/>
  <c r="BB1027" i="5"/>
  <c r="AT975" i="2"/>
  <c r="AU975" i="2" s="1"/>
  <c r="AY975" i="2" s="1"/>
  <c r="M931" i="2"/>
  <c r="N931" i="2"/>
  <c r="O931" i="2" s="1"/>
  <c r="W930" i="2"/>
  <c r="BK715" i="5"/>
  <c r="AJ925" i="2"/>
  <c r="S1026" i="5" l="1"/>
  <c r="T1026" i="5" s="1"/>
  <c r="W1026" i="5" s="1"/>
  <c r="X1026" i="5" s="1"/>
  <c r="AZ975" i="2"/>
  <c r="AR976" i="2"/>
  <c r="R931" i="2"/>
  <c r="S931" i="2" s="1"/>
  <c r="BM715" i="5"/>
  <c r="BN715" i="5" s="1"/>
  <c r="AK925" i="2"/>
  <c r="AB926" i="2"/>
  <c r="AD926" i="2" s="1"/>
  <c r="O1027" i="5" l="1"/>
  <c r="P1027" i="5" s="1"/>
  <c r="N1027" i="5"/>
  <c r="AT976" i="2"/>
  <c r="AU976" i="2" s="1"/>
  <c r="AY976" i="2" s="1"/>
  <c r="V931" i="2"/>
  <c r="BO715" i="5"/>
  <c r="BP715" i="5" s="1"/>
  <c r="AE926" i="2"/>
  <c r="S1027" i="5" l="1"/>
  <c r="T1027" i="5" s="1"/>
  <c r="BK716" i="5"/>
  <c r="BM716" i="5" s="1"/>
  <c r="BN716" i="5" s="1"/>
  <c r="AR977" i="2"/>
  <c r="AZ976" i="2"/>
  <c r="W931" i="2"/>
  <c r="M932" i="2"/>
  <c r="N932" i="2"/>
  <c r="O932" i="2" s="1"/>
  <c r="AJ926" i="2"/>
  <c r="W1027" i="5" l="1"/>
  <c r="H38" i="8"/>
  <c r="AT977" i="2"/>
  <c r="AU977" i="2" s="1"/>
  <c r="AY977" i="2" s="1"/>
  <c r="R932" i="2"/>
  <c r="S932" i="2" s="1"/>
  <c r="BO716" i="5"/>
  <c r="BP716" i="5" s="1"/>
  <c r="AK926" i="2"/>
  <c r="AB927" i="2"/>
  <c r="AD927" i="2" s="1"/>
  <c r="X1027" i="5" l="1"/>
  <c r="AR978" i="2"/>
  <c r="AZ977" i="2"/>
  <c r="V932" i="2"/>
  <c r="BK717" i="5"/>
  <c r="AE927" i="2"/>
  <c r="AT978" i="2" l="1"/>
  <c r="N933" i="2"/>
  <c r="O933" i="2" s="1"/>
  <c r="W932" i="2"/>
  <c r="M933" i="2"/>
  <c r="BM717" i="5"/>
  <c r="BN717" i="5" s="1"/>
  <c r="BO717" i="5" s="1"/>
  <c r="BP717" i="5" s="1"/>
  <c r="AJ927" i="2"/>
  <c r="AU978" i="2" l="1"/>
  <c r="AY978" i="2" s="1"/>
  <c r="R933" i="2"/>
  <c r="S933" i="2" s="1"/>
  <c r="V933" i="2" s="1"/>
  <c r="BK718" i="5"/>
  <c r="AK927" i="2"/>
  <c r="AB928" i="2"/>
  <c r="AD928" i="2" s="1"/>
  <c r="AZ978" i="2" l="1"/>
  <c r="AR979" i="2"/>
  <c r="BM718" i="5"/>
  <c r="BN718" i="5" s="1"/>
  <c r="W933" i="2"/>
  <c r="M934" i="2"/>
  <c r="N934" i="2"/>
  <c r="O934" i="2" s="1"/>
  <c r="AE928" i="2"/>
  <c r="AT979" i="2" l="1"/>
  <c r="BO718" i="5"/>
  <c r="BP718" i="5" s="1"/>
  <c r="R934" i="2"/>
  <c r="S934" i="2" s="1"/>
  <c r="V934" i="2" s="1"/>
  <c r="AJ928" i="2"/>
  <c r="BK719" i="5" l="1"/>
  <c r="BM719" i="5" s="1"/>
  <c r="BN719" i="5" s="1"/>
  <c r="BO719" i="5" s="1"/>
  <c r="BP719" i="5" s="1"/>
  <c r="AU979" i="2"/>
  <c r="AY979" i="2" s="1"/>
  <c r="AB929" i="2"/>
  <c r="AD929" i="2" s="1"/>
  <c r="AK928" i="2"/>
  <c r="AR980" i="2" l="1"/>
  <c r="AZ979" i="2"/>
  <c r="BK720" i="5"/>
  <c r="W934" i="2"/>
  <c r="M935" i="2"/>
  <c r="N935" i="2"/>
  <c r="O935" i="2" s="1"/>
  <c r="AE929" i="2"/>
  <c r="AT980" i="2" l="1"/>
  <c r="BM720" i="5"/>
  <c r="BN720" i="5" s="1"/>
  <c r="R935" i="2"/>
  <c r="S935" i="2" s="1"/>
  <c r="AJ929" i="2"/>
  <c r="AU980" i="2" l="1"/>
  <c r="AY980" i="2" s="1"/>
  <c r="V935" i="2"/>
  <c r="BO720" i="5"/>
  <c r="BP720" i="5" s="1"/>
  <c r="AK929" i="2"/>
  <c r="AB930" i="2"/>
  <c r="AD930" i="2" s="1"/>
  <c r="AZ980" i="2" l="1"/>
  <c r="AR981" i="2"/>
  <c r="BK721" i="5"/>
  <c r="W935" i="2"/>
  <c r="N936" i="2"/>
  <c r="O936" i="2" s="1"/>
  <c r="M936" i="2"/>
  <c r="AE930" i="2"/>
  <c r="AT981" i="2" l="1"/>
  <c r="AU981" i="2" s="1"/>
  <c r="BM721" i="5"/>
  <c r="BN721" i="5" s="1"/>
  <c r="R936" i="2"/>
  <c r="S936" i="2" s="1"/>
  <c r="AJ930" i="2"/>
  <c r="AY981" i="2" l="1"/>
  <c r="V936" i="2"/>
  <c r="BO721" i="5"/>
  <c r="BP721" i="5" s="1"/>
  <c r="BK722" i="5"/>
  <c r="AB931" i="2"/>
  <c r="AD931" i="2" s="1"/>
  <c r="AK930" i="2"/>
  <c r="AZ981" i="2" l="1"/>
  <c r="AR982" i="2"/>
  <c r="M937" i="2"/>
  <c r="N937" i="2"/>
  <c r="O937" i="2" s="1"/>
  <c r="W936" i="2"/>
  <c r="BM722" i="5"/>
  <c r="BN722" i="5" s="1"/>
  <c r="AE931" i="2"/>
  <c r="AT982" i="2" l="1"/>
  <c r="AU982" i="2" s="1"/>
  <c r="AY982" i="2" s="1"/>
  <c r="R937" i="2"/>
  <c r="S937" i="2" s="1"/>
  <c r="BO722" i="5"/>
  <c r="BP722" i="5" s="1"/>
  <c r="AJ931" i="2"/>
  <c r="AZ982" i="2" l="1"/>
  <c r="AR983" i="2"/>
  <c r="V937" i="2"/>
  <c r="BK723" i="5"/>
  <c r="AK931" i="2"/>
  <c r="AB932" i="2"/>
  <c r="AD932" i="2" s="1"/>
  <c r="AT983" i="2" l="1"/>
  <c r="AU983" i="2" s="1"/>
  <c r="AY983" i="2" s="1"/>
  <c r="M938" i="2"/>
  <c r="W937" i="2"/>
  <c r="N938" i="2"/>
  <c r="O938" i="2" s="1"/>
  <c r="BM723" i="5"/>
  <c r="BN723" i="5" s="1"/>
  <c r="AE932" i="2"/>
  <c r="AZ983" i="2" l="1"/>
  <c r="AR984" i="2"/>
  <c r="R938" i="2"/>
  <c r="S938" i="2" s="1"/>
  <c r="V938" i="2" s="1"/>
  <c r="BO723" i="5"/>
  <c r="BP723" i="5" s="1"/>
  <c r="AJ932" i="2"/>
  <c r="AT984" i="2" l="1"/>
  <c r="AU984" i="2" s="1"/>
  <c r="BK724" i="5"/>
  <c r="W938" i="2"/>
  <c r="M939" i="2"/>
  <c r="N939" i="2"/>
  <c r="O939" i="2" s="1"/>
  <c r="AK932" i="2"/>
  <c r="AB933" i="2"/>
  <c r="AD933" i="2" s="1"/>
  <c r="AY984" i="2" l="1"/>
  <c r="BM724" i="5"/>
  <c r="BN724" i="5" s="1"/>
  <c r="R939" i="2"/>
  <c r="S939" i="2" s="1"/>
  <c r="AE933" i="2"/>
  <c r="AZ984" i="2" l="1"/>
  <c r="AR985" i="2"/>
  <c r="V939" i="2"/>
  <c r="BO724" i="5"/>
  <c r="BP724" i="5" s="1"/>
  <c r="AJ933" i="2"/>
  <c r="AT985" i="2" l="1"/>
  <c r="AU985" i="2" s="1"/>
  <c r="AY985" i="2" s="1"/>
  <c r="BK725" i="5"/>
  <c r="M940" i="2"/>
  <c r="N940" i="2"/>
  <c r="O940" i="2" s="1"/>
  <c r="W939" i="2"/>
  <c r="AK933" i="2"/>
  <c r="AB934" i="2"/>
  <c r="AD934" i="2" s="1"/>
  <c r="AZ985" i="2" l="1"/>
  <c r="AR986" i="2"/>
  <c r="BM725" i="5"/>
  <c r="BN725" i="5" s="1"/>
  <c r="R940" i="2"/>
  <c r="S940" i="2" s="1"/>
  <c r="AE934" i="2"/>
  <c r="AT986" i="2" l="1"/>
  <c r="AU986" i="2" s="1"/>
  <c r="V940" i="2"/>
  <c r="BO725" i="5"/>
  <c r="BP725" i="5" s="1"/>
  <c r="AJ934" i="2"/>
  <c r="AY986" i="2" l="1"/>
  <c r="BK726" i="5"/>
  <c r="W940" i="2"/>
  <c r="M941" i="2"/>
  <c r="N941" i="2"/>
  <c r="O941" i="2" s="1"/>
  <c r="AK934" i="2"/>
  <c r="AB935" i="2"/>
  <c r="AD935" i="2" s="1"/>
  <c r="AZ986" i="2" l="1"/>
  <c r="AR987" i="2"/>
  <c r="BM726" i="5"/>
  <c r="BN726" i="5" s="1"/>
  <c r="R941" i="2"/>
  <c r="S941" i="2" s="1"/>
  <c r="AE935" i="2"/>
  <c r="AT987" i="2" l="1"/>
  <c r="AU987" i="2" s="1"/>
  <c r="V941" i="2"/>
  <c r="BO726" i="5"/>
  <c r="BP726" i="5" s="1"/>
  <c r="AJ935" i="2"/>
  <c r="AY987" i="2" l="1"/>
  <c r="BK727" i="5"/>
  <c r="M942" i="2"/>
  <c r="N942" i="2"/>
  <c r="O942" i="2" s="1"/>
  <c r="W941" i="2"/>
  <c r="AK935" i="2"/>
  <c r="AB936" i="2"/>
  <c r="AD936" i="2" s="1"/>
  <c r="AZ987" i="2" l="1"/>
  <c r="AR988" i="2"/>
  <c r="BM727" i="5"/>
  <c r="BN727" i="5" s="1"/>
  <c r="R942" i="2"/>
  <c r="S942" i="2" s="1"/>
  <c r="AE936" i="2"/>
  <c r="AT988" i="2" l="1"/>
  <c r="AU988" i="2" s="1"/>
  <c r="V942" i="2"/>
  <c r="BO727" i="5"/>
  <c r="BP727" i="5" s="1"/>
  <c r="AJ936" i="2"/>
  <c r="AY988" i="2" l="1"/>
  <c r="W942" i="2"/>
  <c r="M943" i="2"/>
  <c r="N943" i="2"/>
  <c r="O943" i="2" s="1"/>
  <c r="BK728" i="5"/>
  <c r="AB937" i="2"/>
  <c r="AD937" i="2" s="1"/>
  <c r="AK936" i="2"/>
  <c r="AZ988" i="2" l="1"/>
  <c r="AR989" i="2"/>
  <c r="R943" i="2"/>
  <c r="S943" i="2" s="1"/>
  <c r="BM728" i="5"/>
  <c r="BN728" i="5" s="1"/>
  <c r="AE937" i="2"/>
  <c r="AT989" i="2" l="1"/>
  <c r="V943" i="2"/>
  <c r="BO728" i="5"/>
  <c r="BP728" i="5" s="1"/>
  <c r="AJ937" i="2"/>
  <c r="AU989" i="2" l="1"/>
  <c r="AY989" i="2" s="1"/>
  <c r="M944" i="2"/>
  <c r="W943" i="2"/>
  <c r="N944" i="2"/>
  <c r="O944" i="2" s="1"/>
  <c r="BK729" i="5"/>
  <c r="AK937" i="2"/>
  <c r="AB938" i="2"/>
  <c r="AD938" i="2" s="1"/>
  <c r="AR990" i="2" l="1"/>
  <c r="AZ989" i="2"/>
  <c r="R944" i="2"/>
  <c r="S944" i="2" s="1"/>
  <c r="BM729" i="5"/>
  <c r="BN729" i="5" s="1"/>
  <c r="BO729" i="5" s="1"/>
  <c r="BP729" i="5" s="1"/>
  <c r="AE938" i="2"/>
  <c r="AT990" i="2" l="1"/>
  <c r="AU990" i="2" s="1"/>
  <c r="V944" i="2"/>
  <c r="BK730" i="5"/>
  <c r="AJ938" i="2"/>
  <c r="AY990" i="2" l="1"/>
  <c r="W944" i="2"/>
  <c r="M945" i="2"/>
  <c r="N945" i="2"/>
  <c r="O945" i="2" s="1"/>
  <c r="BM730" i="5"/>
  <c r="BN730" i="5" s="1"/>
  <c r="AB939" i="2"/>
  <c r="AD939" i="2" s="1"/>
  <c r="AK938" i="2"/>
  <c r="AR991" i="2" l="1"/>
  <c r="AZ990" i="2"/>
  <c r="R945" i="2"/>
  <c r="S945" i="2" s="1"/>
  <c r="V945" i="2" s="1"/>
  <c r="BO730" i="5"/>
  <c r="BP730" i="5" s="1"/>
  <c r="AE939" i="2"/>
  <c r="AT991" i="2" l="1"/>
  <c r="BK731" i="5"/>
  <c r="W945" i="2"/>
  <c r="N946" i="2"/>
  <c r="O946" i="2" s="1"/>
  <c r="M946" i="2"/>
  <c r="AJ939" i="2"/>
  <c r="AU991" i="2" l="1"/>
  <c r="AY991" i="2" s="1"/>
  <c r="BM731" i="5"/>
  <c r="BN731" i="5" s="1"/>
  <c r="R946" i="2"/>
  <c r="S946" i="2" s="1"/>
  <c r="AK939" i="2"/>
  <c r="AB940" i="2"/>
  <c r="AD940" i="2" s="1"/>
  <c r="AZ991" i="2" l="1"/>
  <c r="AR992" i="2"/>
  <c r="V946" i="2"/>
  <c r="BO731" i="5"/>
  <c r="BP731" i="5" s="1"/>
  <c r="AE940" i="2"/>
  <c r="AT992" i="2" l="1"/>
  <c r="AU992" i="2" s="1"/>
  <c r="BK732" i="5"/>
  <c r="W946" i="2"/>
  <c r="N947" i="2"/>
  <c r="O947" i="2" s="1"/>
  <c r="M947" i="2"/>
  <c r="AJ940" i="2"/>
  <c r="AY992" i="2" l="1"/>
  <c r="BM732" i="5"/>
  <c r="BN732" i="5" s="1"/>
  <c r="R947" i="2"/>
  <c r="S947" i="2" s="1"/>
  <c r="AK940" i="2"/>
  <c r="AB941" i="2"/>
  <c r="AD941" i="2" s="1"/>
  <c r="AR993" i="2" l="1"/>
  <c r="AZ992" i="2"/>
  <c r="V947" i="2"/>
  <c r="BO732" i="5"/>
  <c r="BP732" i="5" s="1"/>
  <c r="AE941" i="2"/>
  <c r="AT993" i="2" l="1"/>
  <c r="BK733" i="5"/>
  <c r="W947" i="2"/>
  <c r="N948" i="2"/>
  <c r="O948" i="2" s="1"/>
  <c r="M948" i="2"/>
  <c r="AJ941" i="2"/>
  <c r="AU993" i="2" l="1"/>
  <c r="AY993" i="2" s="1"/>
  <c r="BM733" i="5"/>
  <c r="BN733" i="5" s="1"/>
  <c r="R948" i="2"/>
  <c r="S948" i="2" s="1"/>
  <c r="AK941" i="2"/>
  <c r="AB942" i="2"/>
  <c r="AD942" i="2" s="1"/>
  <c r="AZ993" i="2" l="1"/>
  <c r="AR994" i="2"/>
  <c r="V948" i="2"/>
  <c r="BO733" i="5"/>
  <c r="BP733" i="5" s="1"/>
  <c r="AE942" i="2"/>
  <c r="AT994" i="2" l="1"/>
  <c r="BK734" i="5"/>
  <c r="W948" i="2"/>
  <c r="N949" i="2"/>
  <c r="O949" i="2" s="1"/>
  <c r="M949" i="2"/>
  <c r="AJ942" i="2"/>
  <c r="AU994" i="2" l="1"/>
  <c r="AY994" i="2" s="1"/>
  <c r="BM734" i="5"/>
  <c r="BN734" i="5" s="1"/>
  <c r="R949" i="2"/>
  <c r="S949" i="2" s="1"/>
  <c r="AK942" i="2"/>
  <c r="AB943" i="2"/>
  <c r="AD943" i="2" s="1"/>
  <c r="AR995" i="2" l="1"/>
  <c r="AZ994" i="2"/>
  <c r="V949" i="2"/>
  <c r="BO734" i="5"/>
  <c r="BP734" i="5" s="1"/>
  <c r="AE943" i="2"/>
  <c r="AT995" i="2" l="1"/>
  <c r="W949" i="2"/>
  <c r="M950" i="2"/>
  <c r="N950" i="2"/>
  <c r="O950" i="2" s="1"/>
  <c r="BK735" i="5"/>
  <c r="AJ943" i="2"/>
  <c r="AU995" i="2" l="1"/>
  <c r="AY995" i="2" s="1"/>
  <c r="R950" i="2"/>
  <c r="S950" i="2" s="1"/>
  <c r="BM735" i="5"/>
  <c r="BN735" i="5" s="1"/>
  <c r="AK943" i="2"/>
  <c r="AB944" i="2"/>
  <c r="AD944" i="2" s="1"/>
  <c r="AZ995" i="2" l="1"/>
  <c r="AR996" i="2"/>
  <c r="V950" i="2"/>
  <c r="BO735" i="5"/>
  <c r="BP735" i="5" s="1"/>
  <c r="AE944" i="2"/>
  <c r="AT996" i="2" l="1"/>
  <c r="M951" i="2"/>
  <c r="W950" i="2"/>
  <c r="N951" i="2"/>
  <c r="O951" i="2" s="1"/>
  <c r="BK736" i="5"/>
  <c r="AJ944" i="2"/>
  <c r="AU996" i="2" l="1"/>
  <c r="AY996" i="2" s="1"/>
  <c r="R951" i="2"/>
  <c r="S951" i="2" s="1"/>
  <c r="V951" i="2" s="1"/>
  <c r="BM736" i="5"/>
  <c r="BN736" i="5" s="1"/>
  <c r="AB945" i="2"/>
  <c r="AD945" i="2" s="1"/>
  <c r="AK944" i="2"/>
  <c r="AZ996" i="2" l="1"/>
  <c r="AR997" i="2"/>
  <c r="BO736" i="5"/>
  <c r="BP736" i="5" s="1"/>
  <c r="W951" i="2"/>
  <c r="N952" i="2"/>
  <c r="O952" i="2" s="1"/>
  <c r="M952" i="2"/>
  <c r="AE945" i="2"/>
  <c r="AT997" i="2" l="1"/>
  <c r="AU997" i="2" s="1"/>
  <c r="BK737" i="5"/>
  <c r="R952" i="2"/>
  <c r="S952" i="2" s="1"/>
  <c r="AJ945" i="2"/>
  <c r="AY997" i="2" l="1"/>
  <c r="V952" i="2"/>
  <c r="BM737" i="5"/>
  <c r="BN737" i="5" s="1"/>
  <c r="AK945" i="2"/>
  <c r="AB946" i="2"/>
  <c r="AD946" i="2" s="1"/>
  <c r="AR998" i="2" l="1"/>
  <c r="AT998" i="2" s="1"/>
  <c r="AU998" i="2" s="1"/>
  <c r="AZ997" i="2"/>
  <c r="BO737" i="5"/>
  <c r="BP737" i="5" s="1"/>
  <c r="W952" i="2"/>
  <c r="M953" i="2"/>
  <c r="N953" i="2"/>
  <c r="O953" i="2" s="1"/>
  <c r="AE946" i="2"/>
  <c r="AY998" i="2" l="1"/>
  <c r="BK738" i="5"/>
  <c r="R953" i="2"/>
  <c r="S953" i="2" s="1"/>
  <c r="AJ946" i="2"/>
  <c r="AZ998" i="2" l="1"/>
  <c r="AR999" i="2"/>
  <c r="V953" i="2"/>
  <c r="BM738" i="5"/>
  <c r="BN738" i="5" s="1"/>
  <c r="AK946" i="2"/>
  <c r="AB947" i="2"/>
  <c r="AD947" i="2" s="1"/>
  <c r="AT999" i="2" l="1"/>
  <c r="AU999" i="2" s="1"/>
  <c r="BO738" i="5"/>
  <c r="BP738" i="5" s="1"/>
  <c r="N954" i="2"/>
  <c r="O954" i="2" s="1"/>
  <c r="M954" i="2"/>
  <c r="W953" i="2"/>
  <c r="AE947" i="2"/>
  <c r="BK739" i="5" l="1"/>
  <c r="BM739" i="5" s="1"/>
  <c r="BN739" i="5" s="1"/>
  <c r="AY999" i="2"/>
  <c r="R954" i="2"/>
  <c r="S954" i="2" s="1"/>
  <c r="V954" i="2" s="1"/>
  <c r="AJ947" i="2"/>
  <c r="AZ999" i="2" l="1"/>
  <c r="AR1000" i="2"/>
  <c r="BO739" i="5"/>
  <c r="BP739" i="5" s="1"/>
  <c r="AK947" i="2"/>
  <c r="AB948" i="2"/>
  <c r="AD948" i="2" s="1"/>
  <c r="AT1000" i="2" l="1"/>
  <c r="AU1000" i="2" s="1"/>
  <c r="W954" i="2"/>
  <c r="M955" i="2"/>
  <c r="N955" i="2"/>
  <c r="O955" i="2" s="1"/>
  <c r="BK740" i="5"/>
  <c r="AE948" i="2"/>
  <c r="AY1000" i="2" l="1"/>
  <c r="R955" i="2"/>
  <c r="S955" i="2" s="1"/>
  <c r="BM740" i="5"/>
  <c r="BN740" i="5" s="1"/>
  <c r="AJ948" i="2"/>
  <c r="AZ1000" i="2" l="1"/>
  <c r="AR1001" i="2"/>
  <c r="V955" i="2"/>
  <c r="W955" i="2" s="1"/>
  <c r="BO740" i="5"/>
  <c r="BP740" i="5" s="1"/>
  <c r="AK948" i="2"/>
  <c r="AB949" i="2"/>
  <c r="AD949" i="2" s="1"/>
  <c r="AT1001" i="2" l="1"/>
  <c r="M956" i="2"/>
  <c r="N956" i="2"/>
  <c r="O956" i="2" s="1"/>
  <c r="BK741" i="5"/>
  <c r="AE949" i="2"/>
  <c r="AU1001" i="2" l="1"/>
  <c r="AY1001" i="2" s="1"/>
  <c r="R956" i="2"/>
  <c r="S956" i="2" s="1"/>
  <c r="BM741" i="5"/>
  <c r="BN741" i="5" s="1"/>
  <c r="BO741" i="5" s="1"/>
  <c r="BP741" i="5" s="1"/>
  <c r="AJ949" i="2"/>
  <c r="AR1002" i="2" l="1"/>
  <c r="AZ1001" i="2"/>
  <c r="V956" i="2"/>
  <c r="BK742" i="5"/>
  <c r="AK949" i="2"/>
  <c r="AB950" i="2"/>
  <c r="AD950" i="2" s="1"/>
  <c r="AT1002" i="2" l="1"/>
  <c r="W956" i="2"/>
  <c r="M957" i="2"/>
  <c r="N957" i="2"/>
  <c r="O957" i="2" s="1"/>
  <c r="BM742" i="5"/>
  <c r="BN742" i="5" s="1"/>
  <c r="AE950" i="2"/>
  <c r="AU1002" i="2" l="1"/>
  <c r="AY1002" i="2" s="1"/>
  <c r="R957" i="2"/>
  <c r="S957" i="2" s="1"/>
  <c r="BO742" i="5"/>
  <c r="BP742" i="5" s="1"/>
  <c r="AJ950" i="2"/>
  <c r="AR1003" i="2" l="1"/>
  <c r="AZ1002" i="2"/>
  <c r="V957" i="2"/>
  <c r="N958" i="2" s="1"/>
  <c r="O958" i="2" s="1"/>
  <c r="BK743" i="5"/>
  <c r="AK950" i="2"/>
  <c r="AB951" i="2"/>
  <c r="AD951" i="2" s="1"/>
  <c r="AT1003" i="2" l="1"/>
  <c r="M958" i="2"/>
  <c r="R958" i="2" s="1"/>
  <c r="S958" i="2" s="1"/>
  <c r="W957" i="2"/>
  <c r="BM743" i="5"/>
  <c r="BN743" i="5" s="1"/>
  <c r="AE951" i="2"/>
  <c r="AU1003" i="2" l="1"/>
  <c r="AY1003" i="2" s="1"/>
  <c r="AZ1003" i="2" s="1"/>
  <c r="V958" i="2"/>
  <c r="BO743" i="5"/>
  <c r="BP743" i="5" s="1"/>
  <c r="AJ951" i="2"/>
  <c r="AR1004" i="2" l="1"/>
  <c r="AT1004" i="2" s="1"/>
  <c r="BK744" i="5"/>
  <c r="W958" i="2"/>
  <c r="N959" i="2"/>
  <c r="O959" i="2" s="1"/>
  <c r="M959" i="2"/>
  <c r="AK951" i="2"/>
  <c r="AB952" i="2"/>
  <c r="AD952" i="2" s="1"/>
  <c r="AU1004" i="2" l="1"/>
  <c r="AY1004" i="2" s="1"/>
  <c r="BM744" i="5"/>
  <c r="BN744" i="5" s="1"/>
  <c r="R959" i="2"/>
  <c r="S959" i="2" s="1"/>
  <c r="AE952" i="2"/>
  <c r="AR1005" i="2" l="1"/>
  <c r="AZ1004" i="2"/>
  <c r="V959" i="2"/>
  <c r="M960" i="2" s="1"/>
  <c r="BO744" i="5"/>
  <c r="BP744" i="5" s="1"/>
  <c r="AJ952" i="2"/>
  <c r="AT1005" i="2" l="1"/>
  <c r="BK745" i="5"/>
  <c r="N960" i="2"/>
  <c r="O960" i="2" s="1"/>
  <c r="R960" i="2" s="1"/>
  <c r="S960" i="2" s="1"/>
  <c r="W959" i="2"/>
  <c r="AB953" i="2"/>
  <c r="AD953" i="2" s="1"/>
  <c r="AK952" i="2"/>
  <c r="AU1005" i="2" l="1"/>
  <c r="AY1005" i="2" s="1"/>
  <c r="V960" i="2"/>
  <c r="BM745" i="5"/>
  <c r="BN745" i="5" s="1"/>
  <c r="AE953" i="2"/>
  <c r="AR1006" i="2" l="1"/>
  <c r="AZ1005" i="2"/>
  <c r="W960" i="2"/>
  <c r="M961" i="2"/>
  <c r="N961" i="2"/>
  <c r="O961" i="2" s="1"/>
  <c r="BO745" i="5"/>
  <c r="BP745" i="5" s="1"/>
  <c r="AJ953" i="2"/>
  <c r="AT1006" i="2" l="1"/>
  <c r="AU1006" i="2" s="1"/>
  <c r="R961" i="2"/>
  <c r="S961" i="2" s="1"/>
  <c r="BK746" i="5"/>
  <c r="AK953" i="2"/>
  <c r="AB954" i="2"/>
  <c r="AD954" i="2" s="1"/>
  <c r="AY1006" i="2" l="1"/>
  <c r="AR1007" i="2" s="1"/>
  <c r="V961" i="2"/>
  <c r="BM746" i="5"/>
  <c r="BN746" i="5" s="1"/>
  <c r="BO746" i="5" s="1"/>
  <c r="BP746" i="5" s="1"/>
  <c r="AE954" i="2"/>
  <c r="AZ1006" i="2" l="1"/>
  <c r="AT1007" i="2"/>
  <c r="AU1007" i="2" s="1"/>
  <c r="M962" i="2"/>
  <c r="W961" i="2"/>
  <c r="N962" i="2"/>
  <c r="O962" i="2" s="1"/>
  <c r="BK747" i="5"/>
  <c r="AJ954" i="2"/>
  <c r="R962" i="2" l="1"/>
  <c r="S962" i="2" s="1"/>
  <c r="AY1007" i="2"/>
  <c r="BM747" i="5"/>
  <c r="BN747" i="5" s="1"/>
  <c r="AB955" i="2"/>
  <c r="AD955" i="2" s="1"/>
  <c r="AK954" i="2"/>
  <c r="V962" i="2" l="1"/>
  <c r="AZ1007" i="2"/>
  <c r="AR1008" i="2"/>
  <c r="BO747" i="5"/>
  <c r="BP747" i="5" s="1"/>
  <c r="AE955" i="2"/>
  <c r="N963" i="2" l="1"/>
  <c r="O963" i="2" s="1"/>
  <c r="M963" i="2"/>
  <c r="AT1008" i="2"/>
  <c r="AU1008" i="2" s="1"/>
  <c r="AY1008" i="2" s="1"/>
  <c r="W962" i="2"/>
  <c r="BK748" i="5"/>
  <c r="AJ955" i="2"/>
  <c r="R963" i="2" l="1"/>
  <c r="S963" i="2" s="1"/>
  <c r="V963" i="2" s="1"/>
  <c r="AZ1008" i="2"/>
  <c r="AR1009" i="2"/>
  <c r="BM748" i="5"/>
  <c r="BN748" i="5" s="1"/>
  <c r="AK955" i="2"/>
  <c r="AB956" i="2"/>
  <c r="AD956" i="2" s="1"/>
  <c r="AT1009" i="2" l="1"/>
  <c r="BO748" i="5"/>
  <c r="BP748" i="5" s="1"/>
  <c r="W963" i="2"/>
  <c r="M964" i="2"/>
  <c r="N964" i="2"/>
  <c r="O964" i="2" s="1"/>
  <c r="AE956" i="2"/>
  <c r="AU1009" i="2" l="1"/>
  <c r="AY1009" i="2" s="1"/>
  <c r="BK749" i="5"/>
  <c r="R964" i="2"/>
  <c r="S964" i="2" s="1"/>
  <c r="AJ956" i="2"/>
  <c r="AZ1009" i="2" l="1"/>
  <c r="AR1010" i="2"/>
  <c r="V964" i="2"/>
  <c r="BM749" i="5"/>
  <c r="BN749" i="5" s="1"/>
  <c r="AK956" i="2"/>
  <c r="AB957" i="2"/>
  <c r="AD957" i="2" s="1"/>
  <c r="AT1010" i="2" l="1"/>
  <c r="BO749" i="5"/>
  <c r="BP749" i="5" s="1"/>
  <c r="N965" i="2"/>
  <c r="O965" i="2" s="1"/>
  <c r="M965" i="2"/>
  <c r="W964" i="2"/>
  <c r="AE957" i="2"/>
  <c r="AU1010" i="2" l="1"/>
  <c r="AY1010" i="2" s="1"/>
  <c r="BK750" i="5"/>
  <c r="R965" i="2"/>
  <c r="S965" i="2" s="1"/>
  <c r="AJ957" i="2"/>
  <c r="AZ1010" i="2" l="1"/>
  <c r="AR1011" i="2"/>
  <c r="AT1011" i="2" s="1"/>
  <c r="V965" i="2"/>
  <c r="BM750" i="5"/>
  <c r="BN750" i="5" s="1"/>
  <c r="AK957" i="2"/>
  <c r="AB958" i="2"/>
  <c r="AD958" i="2" s="1"/>
  <c r="AU1011" i="2" l="1"/>
  <c r="AY1011" i="2" s="1"/>
  <c r="M966" i="2"/>
  <c r="W965" i="2"/>
  <c r="N966" i="2"/>
  <c r="O966" i="2" s="1"/>
  <c r="BO750" i="5"/>
  <c r="BK751" i="5"/>
  <c r="AE958" i="2"/>
  <c r="BP750" i="5" l="1"/>
  <c r="AZ1011" i="2"/>
  <c r="AR1012" i="2"/>
  <c r="R966" i="2"/>
  <c r="S966" i="2" s="1"/>
  <c r="V966" i="2" s="1"/>
  <c r="BM751" i="5"/>
  <c r="BN751" i="5" s="1"/>
  <c r="BO751" i="5" s="1"/>
  <c r="BP751" i="5" s="1"/>
  <c r="AJ958" i="2"/>
  <c r="AT1012" i="2" l="1"/>
  <c r="BK752" i="5"/>
  <c r="W966" i="2"/>
  <c r="N967" i="2"/>
  <c r="O967" i="2" s="1"/>
  <c r="M967" i="2"/>
  <c r="AK958" i="2"/>
  <c r="AB959" i="2"/>
  <c r="AD959" i="2" s="1"/>
  <c r="AU1012" i="2" l="1"/>
  <c r="BM752" i="5"/>
  <c r="BN752" i="5" s="1"/>
  <c r="R967" i="2"/>
  <c r="S967" i="2" s="1"/>
  <c r="AE959" i="2"/>
  <c r="AY1012" i="2" l="1"/>
  <c r="V967" i="2"/>
  <c r="BO752" i="5"/>
  <c r="BP752" i="5" s="1"/>
  <c r="AJ959" i="2"/>
  <c r="AZ1012" i="2" l="1"/>
  <c r="AR1013" i="2"/>
  <c r="BK753" i="5"/>
  <c r="W967" i="2"/>
  <c r="M968" i="2"/>
  <c r="N968" i="2"/>
  <c r="O968" i="2" s="1"/>
  <c r="AK959" i="2"/>
  <c r="AB960" i="2"/>
  <c r="AD960" i="2" s="1"/>
  <c r="AT1013" i="2" l="1"/>
  <c r="BM753" i="5"/>
  <c r="BN753" i="5" s="1"/>
  <c r="R968" i="2"/>
  <c r="S968" i="2" s="1"/>
  <c r="AE960" i="2"/>
  <c r="AU1013" i="2" l="1"/>
  <c r="AY1013" i="2" s="1"/>
  <c r="V968" i="2"/>
  <c r="BO753" i="5"/>
  <c r="BP753" i="5" s="1"/>
  <c r="AJ960" i="2"/>
  <c r="AZ1013" i="2" l="1"/>
  <c r="AR1014" i="2"/>
  <c r="BK754" i="5"/>
  <c r="W968" i="2"/>
  <c r="N969" i="2"/>
  <c r="O969" i="2" s="1"/>
  <c r="M969" i="2"/>
  <c r="AB961" i="2"/>
  <c r="AD961" i="2" s="1"/>
  <c r="AK960" i="2"/>
  <c r="AT1014" i="2" l="1"/>
  <c r="AU1014" i="2" s="1"/>
  <c r="BM754" i="5"/>
  <c r="BN754" i="5" s="1"/>
  <c r="BO754" i="5" s="1"/>
  <c r="BP754" i="5" s="1"/>
  <c r="R969" i="2"/>
  <c r="S969" i="2" s="1"/>
  <c r="AE961" i="2"/>
  <c r="AY1014" i="2" l="1"/>
  <c r="V969" i="2"/>
  <c r="BK755" i="5"/>
  <c r="AJ961" i="2"/>
  <c r="AR1015" i="2" l="1"/>
  <c r="AZ1014" i="2"/>
  <c r="BM755" i="5"/>
  <c r="BN755" i="5" s="1"/>
  <c r="W969" i="2"/>
  <c r="N970" i="2"/>
  <c r="O970" i="2" s="1"/>
  <c r="M970" i="2"/>
  <c r="AK961" i="2"/>
  <c r="AB962" i="2"/>
  <c r="AD962" i="2" s="1"/>
  <c r="AT1015" i="2" l="1"/>
  <c r="AU1015" i="2" s="1"/>
  <c r="BO755" i="5"/>
  <c r="BP755" i="5" s="1"/>
  <c r="R970" i="2"/>
  <c r="S970" i="2" s="1"/>
  <c r="AE962" i="2"/>
  <c r="BK756" i="5" l="1"/>
  <c r="BM756" i="5" s="1"/>
  <c r="BN756" i="5" s="1"/>
  <c r="AY1015" i="2"/>
  <c r="V970" i="2"/>
  <c r="AJ962" i="2"/>
  <c r="AZ1015" i="2" l="1"/>
  <c r="AR1016" i="2"/>
  <c r="BO756" i="5"/>
  <c r="W970" i="2"/>
  <c r="N971" i="2"/>
  <c r="O971" i="2" s="1"/>
  <c r="M971" i="2"/>
  <c r="AB963" i="2"/>
  <c r="AD963" i="2" s="1"/>
  <c r="AK962" i="2"/>
  <c r="BP756" i="5" l="1"/>
  <c r="BK757" i="5"/>
  <c r="BM757" i="5" s="1"/>
  <c r="BN757" i="5" s="1"/>
  <c r="AT1016" i="2"/>
  <c r="AU1016" i="2" s="1"/>
  <c r="R971" i="2"/>
  <c r="S971" i="2" s="1"/>
  <c r="AE963" i="2"/>
  <c r="AY1016" i="2" l="1"/>
  <c r="V971" i="2"/>
  <c r="BO757" i="5"/>
  <c r="BP757" i="5" s="1"/>
  <c r="AJ963" i="2"/>
  <c r="AR1017" i="2" l="1"/>
  <c r="AZ1016" i="2"/>
  <c r="BK758" i="5"/>
  <c r="W971" i="2"/>
  <c r="N972" i="2"/>
  <c r="O972" i="2" s="1"/>
  <c r="M972" i="2"/>
  <c r="AK963" i="2"/>
  <c r="AB964" i="2"/>
  <c r="AD964" i="2" s="1"/>
  <c r="AT1017" i="2" l="1"/>
  <c r="BM758" i="5"/>
  <c r="BN758" i="5" s="1"/>
  <c r="R972" i="2"/>
  <c r="S972" i="2" s="1"/>
  <c r="AE964" i="2"/>
  <c r="AU1017" i="2" l="1"/>
  <c r="AY1017" i="2" s="1"/>
  <c r="V972" i="2"/>
  <c r="BO758" i="5"/>
  <c r="BP758" i="5" s="1"/>
  <c r="BK759" i="5"/>
  <c r="AJ964" i="2"/>
  <c r="AZ1017" i="2" l="1"/>
  <c r="AR1018" i="2"/>
  <c r="BM759" i="5"/>
  <c r="BN759" i="5" s="1"/>
  <c r="M973" i="2"/>
  <c r="N973" i="2"/>
  <c r="O973" i="2" s="1"/>
  <c r="W972" i="2"/>
  <c r="AK964" i="2"/>
  <c r="AB965" i="2"/>
  <c r="AD965" i="2" s="1"/>
  <c r="AT1018" i="2" l="1"/>
  <c r="BO759" i="5"/>
  <c r="BP759" i="5" s="1"/>
  <c r="R973" i="2"/>
  <c r="S973" i="2" s="1"/>
  <c r="AE965" i="2"/>
  <c r="AU1018" i="2" l="1"/>
  <c r="AY1018" i="2" s="1"/>
  <c r="V973" i="2"/>
  <c r="BK760" i="5"/>
  <c r="AJ965" i="2"/>
  <c r="AR1019" i="2" l="1"/>
  <c r="AZ1018" i="2"/>
  <c r="BM760" i="5"/>
  <c r="BN760" i="5" s="1"/>
  <c r="W973" i="2"/>
  <c r="M974" i="2"/>
  <c r="N974" i="2"/>
  <c r="O974" i="2" s="1"/>
  <c r="AK965" i="2"/>
  <c r="AB966" i="2"/>
  <c r="AD966" i="2" s="1"/>
  <c r="AT1019" i="2" l="1"/>
  <c r="BO760" i="5"/>
  <c r="BP760" i="5" s="1"/>
  <c r="R974" i="2"/>
  <c r="S974" i="2" s="1"/>
  <c r="AE966" i="2"/>
  <c r="BK761" i="5" l="1"/>
  <c r="BM761" i="5" s="1"/>
  <c r="BN761" i="5" s="1"/>
  <c r="AU1019" i="2"/>
  <c r="AY1019" i="2" s="1"/>
  <c r="V974" i="2"/>
  <c r="AJ966" i="2"/>
  <c r="AR1020" i="2" l="1"/>
  <c r="AZ1019" i="2"/>
  <c r="BO761" i="5"/>
  <c r="BP761" i="5" s="1"/>
  <c r="W974" i="2"/>
  <c r="M975" i="2"/>
  <c r="N975" i="2"/>
  <c r="O975" i="2" s="1"/>
  <c r="AK966" i="2"/>
  <c r="AB967" i="2"/>
  <c r="AD967" i="2" s="1"/>
  <c r="AT1020" i="2" l="1"/>
  <c r="BK762" i="5"/>
  <c r="R975" i="2"/>
  <c r="S975" i="2" s="1"/>
  <c r="AE967" i="2"/>
  <c r="AU1020" i="2" l="1"/>
  <c r="AY1020" i="2" s="1"/>
  <c r="V975" i="2"/>
  <c r="BM762" i="5"/>
  <c r="BN762" i="5" s="1"/>
  <c r="AJ967" i="2"/>
  <c r="AZ1020" i="2" l="1"/>
  <c r="AR1021" i="2"/>
  <c r="BO762" i="5"/>
  <c r="BP762" i="5" s="1"/>
  <c r="W975" i="2"/>
  <c r="N976" i="2"/>
  <c r="O976" i="2" s="1"/>
  <c r="M976" i="2"/>
  <c r="AK967" i="2"/>
  <c r="AB968" i="2"/>
  <c r="AD968" i="2" s="1"/>
  <c r="BK763" i="5" l="1"/>
  <c r="BM763" i="5" s="1"/>
  <c r="BN763" i="5" s="1"/>
  <c r="AT1021" i="2"/>
  <c r="R976" i="2"/>
  <c r="S976" i="2" s="1"/>
  <c r="V976" i="2" s="1"/>
  <c r="AE968" i="2"/>
  <c r="AU1021" i="2" l="1"/>
  <c r="AY1021" i="2" s="1"/>
  <c r="BO763" i="5"/>
  <c r="BP763" i="5" s="1"/>
  <c r="AJ968" i="2"/>
  <c r="AR1022" i="2" l="1"/>
  <c r="AZ1021" i="2"/>
  <c r="W976" i="2"/>
  <c r="M977" i="2"/>
  <c r="N977" i="2"/>
  <c r="O977" i="2" s="1"/>
  <c r="BK764" i="5"/>
  <c r="AB969" i="2"/>
  <c r="AD969" i="2" s="1"/>
  <c r="AK968" i="2"/>
  <c r="AT1022" i="2" l="1"/>
  <c r="AU1022" i="2" s="1"/>
  <c r="R977" i="2"/>
  <c r="S977" i="2" s="1"/>
  <c r="BM764" i="5"/>
  <c r="BN764" i="5" s="1"/>
  <c r="AE969" i="2"/>
  <c r="AY1022" i="2" l="1"/>
  <c r="V977" i="2"/>
  <c r="BO764" i="5"/>
  <c r="BP764" i="5" s="1"/>
  <c r="AJ969" i="2"/>
  <c r="AR1023" i="2" l="1"/>
  <c r="AZ1022" i="2"/>
  <c r="N978" i="2"/>
  <c r="O978" i="2" s="1"/>
  <c r="M978" i="2"/>
  <c r="W977" i="2"/>
  <c r="BK765" i="5"/>
  <c r="AK969" i="2"/>
  <c r="AB970" i="2"/>
  <c r="AD970" i="2" s="1"/>
  <c r="AT1023" i="2" l="1"/>
  <c r="R978" i="2"/>
  <c r="S978" i="2" s="1"/>
  <c r="V978" i="2" s="1"/>
  <c r="BM765" i="5"/>
  <c r="BN765" i="5" s="1"/>
  <c r="BO765" i="5" s="1"/>
  <c r="BP765" i="5" s="1"/>
  <c r="AE970" i="2"/>
  <c r="AU1023" i="2" l="1"/>
  <c r="AY1023" i="2" s="1"/>
  <c r="BK766" i="5"/>
  <c r="W978" i="2"/>
  <c r="M979" i="2"/>
  <c r="N979" i="2"/>
  <c r="O979" i="2" s="1"/>
  <c r="AJ970" i="2"/>
  <c r="AZ1023" i="2" l="1"/>
  <c r="AR1024" i="2"/>
  <c r="BM766" i="5"/>
  <c r="BN766" i="5" s="1"/>
  <c r="BO766" i="5" s="1"/>
  <c r="BP766" i="5" s="1"/>
  <c r="R979" i="2"/>
  <c r="S979" i="2" s="1"/>
  <c r="AB971" i="2"/>
  <c r="AD971" i="2" s="1"/>
  <c r="AK970" i="2"/>
  <c r="AT1024" i="2" l="1"/>
  <c r="AU1024" i="2" s="1"/>
  <c r="V979" i="2"/>
  <c r="BK767" i="5"/>
  <c r="AE971" i="2"/>
  <c r="AY1024" i="2" l="1"/>
  <c r="BM767" i="5"/>
  <c r="BN767" i="5" s="1"/>
  <c r="BO767" i="5" s="1"/>
  <c r="BP767" i="5" s="1"/>
  <c r="W979" i="2"/>
  <c r="N980" i="2"/>
  <c r="O980" i="2" s="1"/>
  <c r="M980" i="2"/>
  <c r="AJ971" i="2"/>
  <c r="AZ1024" i="2" l="1"/>
  <c r="AR1025" i="2"/>
  <c r="BK768" i="5"/>
  <c r="R980" i="2"/>
  <c r="S980" i="2" s="1"/>
  <c r="AK971" i="2"/>
  <c r="AB972" i="2"/>
  <c r="AD972" i="2" s="1"/>
  <c r="AT1025" i="2" l="1"/>
  <c r="V980" i="2"/>
  <c r="BM768" i="5"/>
  <c r="BN768" i="5" s="1"/>
  <c r="AE972" i="2"/>
  <c r="AU1025" i="2" l="1"/>
  <c r="AY1025" i="2" s="1"/>
  <c r="BO768" i="5"/>
  <c r="BP768" i="5" s="1"/>
  <c r="W980" i="2"/>
  <c r="N981" i="2"/>
  <c r="O981" i="2" s="1"/>
  <c r="M981" i="2"/>
  <c r="AJ972" i="2"/>
  <c r="AR1026" i="2" l="1"/>
  <c r="AZ1025" i="2"/>
  <c r="BK769" i="5"/>
  <c r="R981" i="2"/>
  <c r="S981" i="2" s="1"/>
  <c r="AK972" i="2"/>
  <c r="AB973" i="2"/>
  <c r="AD973" i="2" s="1"/>
  <c r="AT1026" i="2" l="1"/>
  <c r="AU1026" i="2" s="1"/>
  <c r="V981" i="2"/>
  <c r="BM769" i="5"/>
  <c r="BN769" i="5" s="1"/>
  <c r="AE973" i="2"/>
  <c r="AY1026" i="2" l="1"/>
  <c r="W981" i="2"/>
  <c r="N982" i="2"/>
  <c r="O982" i="2" s="1"/>
  <c r="M982" i="2"/>
  <c r="BO769" i="5"/>
  <c r="BP769" i="5" s="1"/>
  <c r="AJ973" i="2"/>
  <c r="AR1027" i="2" l="1"/>
  <c r="AZ1026" i="2"/>
  <c r="R982" i="2"/>
  <c r="S982" i="2" s="1"/>
  <c r="BK770" i="5"/>
  <c r="AK973" i="2"/>
  <c r="AB974" i="2"/>
  <c r="AD974" i="2" s="1"/>
  <c r="AT1027" i="2" l="1"/>
  <c r="V982" i="2"/>
  <c r="BM770" i="5"/>
  <c r="BN770" i="5" s="1"/>
  <c r="AE974" i="2"/>
  <c r="AU1027" i="2" l="1"/>
  <c r="AY1027" i="2" s="1"/>
  <c r="W982" i="2"/>
  <c r="N983" i="2"/>
  <c r="O983" i="2" s="1"/>
  <c r="M983" i="2"/>
  <c r="BO770" i="5"/>
  <c r="BP770" i="5" s="1"/>
  <c r="AJ974" i="2"/>
  <c r="AZ1027" i="2" l="1"/>
  <c r="R983" i="2"/>
  <c r="S983" i="2" s="1"/>
  <c r="BK771" i="5"/>
  <c r="AK974" i="2"/>
  <c r="AB975" i="2"/>
  <c r="AD975" i="2" s="1"/>
  <c r="V983" i="2" l="1"/>
  <c r="N984" i="2" s="1"/>
  <c r="O984" i="2" s="1"/>
  <c r="BM771" i="5"/>
  <c r="BN771" i="5" s="1"/>
  <c r="AE975" i="2"/>
  <c r="W983" i="2" l="1"/>
  <c r="M984" i="2"/>
  <c r="BO771" i="5"/>
  <c r="BP771" i="5" s="1"/>
  <c r="AJ975" i="2"/>
  <c r="R984" i="2" l="1"/>
  <c r="S984" i="2" s="1"/>
  <c r="V984" i="2" s="1"/>
  <c r="BK772" i="5"/>
  <c r="AK975" i="2"/>
  <c r="AB976" i="2"/>
  <c r="AD976" i="2" s="1"/>
  <c r="W984" i="2" l="1"/>
  <c r="N985" i="2"/>
  <c r="O985" i="2" s="1"/>
  <c r="M985" i="2"/>
  <c r="BM772" i="5"/>
  <c r="BN772" i="5" s="1"/>
  <c r="AE976" i="2"/>
  <c r="R985" i="2" l="1"/>
  <c r="S985" i="2" s="1"/>
  <c r="BO772" i="5"/>
  <c r="BP772" i="5" s="1"/>
  <c r="AJ976" i="2"/>
  <c r="V985" i="2" l="1"/>
  <c r="BK773" i="5"/>
  <c r="AB977" i="2"/>
  <c r="AD977" i="2" s="1"/>
  <c r="AK976" i="2"/>
  <c r="M986" i="2" l="1"/>
  <c r="N986" i="2"/>
  <c r="O986" i="2" s="1"/>
  <c r="W985" i="2"/>
  <c r="BM773" i="5"/>
  <c r="BN773" i="5" s="1"/>
  <c r="BO773" i="5" s="1"/>
  <c r="BP773" i="5" s="1"/>
  <c r="AE977" i="2"/>
  <c r="R986" i="2" l="1"/>
  <c r="S986" i="2" s="1"/>
  <c r="BK774" i="5"/>
  <c r="AJ977" i="2"/>
  <c r="V986" i="2" l="1"/>
  <c r="M987" i="2" s="1"/>
  <c r="BM774" i="5"/>
  <c r="BN774" i="5" s="1"/>
  <c r="BO774" i="5" s="1"/>
  <c r="BP774" i="5" s="1"/>
  <c r="AK977" i="2"/>
  <c r="AB978" i="2"/>
  <c r="AD978" i="2" s="1"/>
  <c r="W986" i="2" l="1"/>
  <c r="N987" i="2"/>
  <c r="O987" i="2" s="1"/>
  <c r="R987" i="2" s="1"/>
  <c r="S987" i="2" s="1"/>
  <c r="BK775" i="5"/>
  <c r="AE978" i="2"/>
  <c r="V987" i="2" l="1"/>
  <c r="BM775" i="5"/>
  <c r="BN775" i="5" s="1"/>
  <c r="BO775" i="5" s="1"/>
  <c r="BP775" i="5" s="1"/>
  <c r="AJ978" i="2"/>
  <c r="W987" i="2" l="1"/>
  <c r="N988" i="2"/>
  <c r="O988" i="2" s="1"/>
  <c r="M988" i="2"/>
  <c r="BK776" i="5"/>
  <c r="AK978" i="2"/>
  <c r="AB979" i="2"/>
  <c r="AD979" i="2" s="1"/>
  <c r="R988" i="2" l="1"/>
  <c r="S988" i="2" s="1"/>
  <c r="BM776" i="5"/>
  <c r="BN776" i="5" s="1"/>
  <c r="AE979" i="2"/>
  <c r="V988" i="2" l="1"/>
  <c r="BO776" i="5"/>
  <c r="BP776" i="5" s="1"/>
  <c r="AJ979" i="2"/>
  <c r="BK777" i="5" l="1"/>
  <c r="BM777" i="5" s="1"/>
  <c r="BN777" i="5" s="1"/>
  <c r="BO777" i="5" s="1"/>
  <c r="BP777" i="5" s="1"/>
  <c r="N989" i="2"/>
  <c r="O989" i="2" s="1"/>
  <c r="M989" i="2"/>
  <c r="W988" i="2"/>
  <c r="AK979" i="2"/>
  <c r="AB980" i="2"/>
  <c r="AD980" i="2" s="1"/>
  <c r="R989" i="2" l="1"/>
  <c r="S989" i="2" s="1"/>
  <c r="V989" i="2" s="1"/>
  <c r="BK778" i="5"/>
  <c r="AE980" i="2"/>
  <c r="M990" i="2" l="1"/>
  <c r="N990" i="2"/>
  <c r="O990" i="2" s="1"/>
  <c r="W989" i="2"/>
  <c r="BM778" i="5"/>
  <c r="BN778" i="5" s="1"/>
  <c r="AJ980" i="2"/>
  <c r="R990" i="2" l="1"/>
  <c r="S990" i="2" s="1"/>
  <c r="BO778" i="5"/>
  <c r="BP778" i="5" s="1"/>
  <c r="AK980" i="2"/>
  <c r="AB981" i="2"/>
  <c r="AD981" i="2" s="1"/>
  <c r="BK779" i="5" l="1"/>
  <c r="BM779" i="5" s="1"/>
  <c r="BN779" i="5" s="1"/>
  <c r="BO779" i="5" s="1"/>
  <c r="BP779" i="5" s="1"/>
  <c r="V990" i="2"/>
  <c r="AE981" i="2"/>
  <c r="M991" i="2" l="1"/>
  <c r="N991" i="2"/>
  <c r="O991" i="2" s="1"/>
  <c r="W990" i="2"/>
  <c r="BK780" i="5"/>
  <c r="AJ981" i="2"/>
  <c r="R991" i="2" l="1"/>
  <c r="S991" i="2" s="1"/>
  <c r="BM780" i="5"/>
  <c r="BN780" i="5" s="1"/>
  <c r="AK981" i="2"/>
  <c r="AB982" i="2"/>
  <c r="AD982" i="2" s="1"/>
  <c r="V991" i="2" l="1"/>
  <c r="BO780" i="5"/>
  <c r="AE982" i="2"/>
  <c r="BP780" i="5" l="1"/>
  <c r="BK781" i="5"/>
  <c r="BM781" i="5" s="1"/>
  <c r="BN781" i="5" s="1"/>
  <c r="N992" i="2"/>
  <c r="O992" i="2" s="1"/>
  <c r="W991" i="2"/>
  <c r="M992" i="2"/>
  <c r="AJ982" i="2"/>
  <c r="R992" i="2" l="1"/>
  <c r="S992" i="2" s="1"/>
  <c r="BO781" i="5"/>
  <c r="BP781" i="5" s="1"/>
  <c r="AK982" i="2"/>
  <c r="AB983" i="2"/>
  <c r="AD983" i="2" s="1"/>
  <c r="BK782" i="5" l="1"/>
  <c r="BM782" i="5" s="1"/>
  <c r="BN782" i="5" s="1"/>
  <c r="V992" i="2"/>
  <c r="AE983" i="2"/>
  <c r="M993" i="2" l="1"/>
  <c r="N993" i="2"/>
  <c r="O993" i="2" s="1"/>
  <c r="W992" i="2"/>
  <c r="BO782" i="5"/>
  <c r="BP782" i="5" s="1"/>
  <c r="AJ983" i="2"/>
  <c r="BK783" i="5" l="1"/>
  <c r="BM783" i="5" s="1"/>
  <c r="BN783" i="5" s="1"/>
  <c r="R993" i="2"/>
  <c r="S993" i="2" s="1"/>
  <c r="AK983" i="2"/>
  <c r="AB984" i="2"/>
  <c r="AD984" i="2" s="1"/>
  <c r="V993" i="2" l="1"/>
  <c r="BO783" i="5"/>
  <c r="BP783" i="5" s="1"/>
  <c r="AE984" i="2"/>
  <c r="M994" i="2" l="1"/>
  <c r="N994" i="2"/>
  <c r="O994" i="2" s="1"/>
  <c r="W993" i="2"/>
  <c r="BK784" i="5"/>
  <c r="AJ984" i="2"/>
  <c r="R994" i="2" l="1"/>
  <c r="S994" i="2" s="1"/>
  <c r="V994" i="2" s="1"/>
  <c r="BM784" i="5"/>
  <c r="BN784" i="5" s="1"/>
  <c r="AB985" i="2"/>
  <c r="AD985" i="2" s="1"/>
  <c r="AK984" i="2"/>
  <c r="BO784" i="5" l="1"/>
  <c r="BP784" i="5" s="1"/>
  <c r="W994" i="2"/>
  <c r="M995" i="2"/>
  <c r="N995" i="2"/>
  <c r="O995" i="2" s="1"/>
  <c r="AE985" i="2"/>
  <c r="BK785" i="5" l="1"/>
  <c r="R995" i="2"/>
  <c r="S995" i="2" s="1"/>
  <c r="AJ985" i="2"/>
  <c r="V995" i="2" l="1"/>
  <c r="BM785" i="5"/>
  <c r="BN785" i="5" s="1"/>
  <c r="AK985" i="2"/>
  <c r="AB986" i="2"/>
  <c r="AD986" i="2" s="1"/>
  <c r="BO785" i="5" l="1"/>
  <c r="BP785" i="5" s="1"/>
  <c r="N996" i="2"/>
  <c r="O996" i="2" s="1"/>
  <c r="W995" i="2"/>
  <c r="M996" i="2"/>
  <c r="AE986" i="2"/>
  <c r="BK786" i="5" l="1"/>
  <c r="R996" i="2"/>
  <c r="S996" i="2" s="1"/>
  <c r="AJ986" i="2"/>
  <c r="V996" i="2" l="1"/>
  <c r="BM786" i="5"/>
  <c r="BN786" i="5" s="1"/>
  <c r="AB987" i="2"/>
  <c r="AD987" i="2" s="1"/>
  <c r="AK986" i="2"/>
  <c r="BO786" i="5" l="1"/>
  <c r="BP786" i="5" s="1"/>
  <c r="W996" i="2"/>
  <c r="N997" i="2"/>
  <c r="O997" i="2" s="1"/>
  <c r="M997" i="2"/>
  <c r="AE987" i="2"/>
  <c r="BK787" i="5" l="1"/>
  <c r="R997" i="2"/>
  <c r="S997" i="2" s="1"/>
  <c r="AJ987" i="2"/>
  <c r="V997" i="2" l="1"/>
  <c r="BM787" i="5"/>
  <c r="BN787" i="5" s="1"/>
  <c r="AK987" i="2"/>
  <c r="AB988" i="2"/>
  <c r="AD988" i="2" s="1"/>
  <c r="BO787" i="5" l="1"/>
  <c r="BP787" i="5" s="1"/>
  <c r="W997" i="2"/>
  <c r="N998" i="2"/>
  <c r="O998" i="2" s="1"/>
  <c r="M998" i="2"/>
  <c r="AE988" i="2"/>
  <c r="BK788" i="5" l="1"/>
  <c r="R998" i="2"/>
  <c r="S998" i="2" s="1"/>
  <c r="AJ988" i="2"/>
  <c r="V998" i="2" l="1"/>
  <c r="BM788" i="5"/>
  <c r="BN788" i="5" s="1"/>
  <c r="AK988" i="2"/>
  <c r="AB989" i="2"/>
  <c r="AD989" i="2" s="1"/>
  <c r="BO788" i="5" l="1"/>
  <c r="BP788" i="5" s="1"/>
  <c r="W998" i="2"/>
  <c r="N999" i="2"/>
  <c r="O999" i="2" s="1"/>
  <c r="M999" i="2"/>
  <c r="AE989" i="2"/>
  <c r="BK789" i="5" l="1"/>
  <c r="R999" i="2"/>
  <c r="S999" i="2" s="1"/>
  <c r="AJ989" i="2"/>
  <c r="V999" i="2" l="1"/>
  <c r="BM789" i="5"/>
  <c r="BN789" i="5" s="1"/>
  <c r="BO789" i="5" s="1"/>
  <c r="BP789" i="5" s="1"/>
  <c r="AK989" i="2"/>
  <c r="AB990" i="2"/>
  <c r="AD990" i="2" s="1"/>
  <c r="BK790" i="5" l="1"/>
  <c r="M1000" i="2"/>
  <c r="W999" i="2"/>
  <c r="N1000" i="2"/>
  <c r="O1000" i="2" s="1"/>
  <c r="AE990" i="2"/>
  <c r="BM790" i="5" l="1"/>
  <c r="BN790" i="5" s="1"/>
  <c r="R1000" i="2"/>
  <c r="S1000" i="2" s="1"/>
  <c r="AJ990" i="2"/>
  <c r="V1000" i="2" l="1"/>
  <c r="BO790" i="5"/>
  <c r="BP790" i="5" s="1"/>
  <c r="AK990" i="2"/>
  <c r="AB991" i="2"/>
  <c r="AD991" i="2" s="1"/>
  <c r="BK791" i="5" l="1"/>
  <c r="W1000" i="2"/>
  <c r="M1001" i="2"/>
  <c r="N1001" i="2"/>
  <c r="O1001" i="2" s="1"/>
  <c r="AE991" i="2"/>
  <c r="BM791" i="5" l="1"/>
  <c r="BN791" i="5" s="1"/>
  <c r="R1001" i="2"/>
  <c r="S1001" i="2" s="1"/>
  <c r="AJ991" i="2"/>
  <c r="V1001" i="2" l="1"/>
  <c r="BO791" i="5"/>
  <c r="BP791" i="5" s="1"/>
  <c r="AK991" i="2"/>
  <c r="AB992" i="2"/>
  <c r="AD992" i="2" s="1"/>
  <c r="BK792" i="5" l="1"/>
  <c r="W1001" i="2"/>
  <c r="M1002" i="2"/>
  <c r="N1002" i="2"/>
  <c r="O1002" i="2" s="1"/>
  <c r="AE992" i="2"/>
  <c r="BM792" i="5" l="1"/>
  <c r="BN792" i="5" s="1"/>
  <c r="R1002" i="2"/>
  <c r="S1002" i="2" s="1"/>
  <c r="AJ992" i="2"/>
  <c r="V1002" i="2" l="1"/>
  <c r="BO792" i="5"/>
  <c r="BP792" i="5" s="1"/>
  <c r="AB993" i="2"/>
  <c r="AD993" i="2" s="1"/>
  <c r="AK992" i="2"/>
  <c r="BK793" i="5" l="1"/>
  <c r="M1003" i="2"/>
  <c r="N1003" i="2"/>
  <c r="O1003" i="2" s="1"/>
  <c r="W1002" i="2"/>
  <c r="AE993" i="2"/>
  <c r="BM793" i="5" l="1"/>
  <c r="BN793" i="5" s="1"/>
  <c r="R1003" i="2"/>
  <c r="S1003" i="2" s="1"/>
  <c r="AJ993" i="2"/>
  <c r="V1003" i="2" l="1"/>
  <c r="BO793" i="5"/>
  <c r="BP793" i="5" s="1"/>
  <c r="AK993" i="2"/>
  <c r="AB994" i="2"/>
  <c r="AD994" i="2" s="1"/>
  <c r="W1003" i="2" l="1"/>
  <c r="N1004" i="2"/>
  <c r="O1004" i="2" s="1"/>
  <c r="M1004" i="2"/>
  <c r="BK794" i="5"/>
  <c r="AE994" i="2"/>
  <c r="R1004" i="2" l="1"/>
  <c r="S1004" i="2" s="1"/>
  <c r="BM794" i="5"/>
  <c r="BN794" i="5" s="1"/>
  <c r="AJ994" i="2"/>
  <c r="V1004" i="2" l="1"/>
  <c r="BO794" i="5"/>
  <c r="BP794" i="5" s="1"/>
  <c r="AB995" i="2"/>
  <c r="AD995" i="2" s="1"/>
  <c r="AK994" i="2"/>
  <c r="N1005" i="2" l="1"/>
  <c r="O1005" i="2" s="1"/>
  <c r="M1005" i="2"/>
  <c r="W1004" i="2"/>
  <c r="BK795" i="5"/>
  <c r="AE995" i="2"/>
  <c r="R1005" i="2" l="1"/>
  <c r="S1005" i="2" s="1"/>
  <c r="BM795" i="5"/>
  <c r="BN795" i="5" s="1"/>
  <c r="AJ995" i="2"/>
  <c r="V1005" i="2" l="1"/>
  <c r="BO795" i="5"/>
  <c r="BP795" i="5" s="1"/>
  <c r="AK995" i="2"/>
  <c r="AB996" i="2"/>
  <c r="AD996" i="2" s="1"/>
  <c r="M1006" i="2" l="1"/>
  <c r="N1006" i="2"/>
  <c r="O1006" i="2" s="1"/>
  <c r="W1005" i="2"/>
  <c r="BK796" i="5"/>
  <c r="AE996" i="2"/>
  <c r="R1006" i="2" l="1"/>
  <c r="S1006" i="2" s="1"/>
  <c r="BM796" i="5"/>
  <c r="BN796" i="5" s="1"/>
  <c r="AJ996" i="2"/>
  <c r="V1006" i="2" l="1"/>
  <c r="BO796" i="5"/>
  <c r="BP796" i="5" s="1"/>
  <c r="AK996" i="2"/>
  <c r="AB997" i="2"/>
  <c r="AD997" i="2" s="1"/>
  <c r="M1007" i="2" l="1"/>
  <c r="N1007" i="2"/>
  <c r="O1007" i="2" s="1"/>
  <c r="W1006" i="2"/>
  <c r="BK797" i="5"/>
  <c r="AE997" i="2"/>
  <c r="R1007" i="2" l="1"/>
  <c r="S1007" i="2" s="1"/>
  <c r="BM797" i="5"/>
  <c r="BN797" i="5" s="1"/>
  <c r="AJ997" i="2"/>
  <c r="V1007" i="2" l="1"/>
  <c r="BO797" i="5"/>
  <c r="BP797" i="5" s="1"/>
  <c r="AK997" i="2"/>
  <c r="AB998" i="2"/>
  <c r="AD998" i="2" s="1"/>
  <c r="M1008" i="2" l="1"/>
  <c r="N1008" i="2"/>
  <c r="O1008" i="2" s="1"/>
  <c r="W1007" i="2"/>
  <c r="BK798" i="5"/>
  <c r="AE998" i="2"/>
  <c r="R1008" i="2" l="1"/>
  <c r="S1008" i="2" s="1"/>
  <c r="BM798" i="5"/>
  <c r="BN798" i="5" s="1"/>
  <c r="AJ998" i="2"/>
  <c r="V1008" i="2" l="1"/>
  <c r="N1009" i="2" s="1"/>
  <c r="O1009" i="2" s="1"/>
  <c r="BO798" i="5"/>
  <c r="BP798" i="5" s="1"/>
  <c r="AK998" i="2"/>
  <c r="AB999" i="2"/>
  <c r="AD999" i="2" s="1"/>
  <c r="W1008" i="2" l="1"/>
  <c r="M1009" i="2"/>
  <c r="R1009" i="2" s="1"/>
  <c r="S1009" i="2" s="1"/>
  <c r="BK799" i="5"/>
  <c r="AE999" i="2"/>
  <c r="V1009" i="2" l="1"/>
  <c r="BM799" i="5"/>
  <c r="BN799" i="5" s="1"/>
  <c r="AJ999" i="2"/>
  <c r="N1010" i="2" l="1"/>
  <c r="O1010" i="2" s="1"/>
  <c r="W1009" i="2"/>
  <c r="M1010" i="2"/>
  <c r="BO799" i="5"/>
  <c r="BP799" i="5" s="1"/>
  <c r="AK999" i="2"/>
  <c r="AB1000" i="2"/>
  <c r="AD1000" i="2" s="1"/>
  <c r="R1010" i="2" l="1"/>
  <c r="S1010" i="2" s="1"/>
  <c r="BK800" i="5"/>
  <c r="AE1000" i="2"/>
  <c r="V1010" i="2" l="1"/>
  <c r="W1010" i="2" s="1"/>
  <c r="BM800" i="5"/>
  <c r="BN800" i="5" s="1"/>
  <c r="AJ1000" i="2"/>
  <c r="M1011" i="2" l="1"/>
  <c r="N1011" i="2"/>
  <c r="O1011" i="2" s="1"/>
  <c r="BO800" i="5"/>
  <c r="BP800" i="5" s="1"/>
  <c r="AB1001" i="2"/>
  <c r="AD1001" i="2" s="1"/>
  <c r="AK1000" i="2"/>
  <c r="R1011" i="2" l="1"/>
  <c r="S1011" i="2" s="1"/>
  <c r="BK801" i="5"/>
  <c r="AE1001" i="2"/>
  <c r="V1011" i="2" l="1"/>
  <c r="W1011" i="2" s="1"/>
  <c r="BM801" i="5"/>
  <c r="BN801" i="5" s="1"/>
  <c r="AJ1001" i="2"/>
  <c r="M1012" i="2" l="1"/>
  <c r="N1012" i="2"/>
  <c r="O1012" i="2" s="1"/>
  <c r="BO801" i="5"/>
  <c r="BP801" i="5" s="1"/>
  <c r="AK1001" i="2"/>
  <c r="AB1002" i="2"/>
  <c r="AD1002" i="2" s="1"/>
  <c r="R1012" i="2" l="1"/>
  <c r="S1012" i="2" s="1"/>
  <c r="V1012" i="2" s="1"/>
  <c r="W1012" i="2" s="1"/>
  <c r="BK802" i="5"/>
  <c r="AE1002" i="2"/>
  <c r="BM802" i="5" l="1"/>
  <c r="BN802" i="5" s="1"/>
  <c r="N1013" i="2"/>
  <c r="O1013" i="2" s="1"/>
  <c r="M1013" i="2"/>
  <c r="AJ1002" i="2"/>
  <c r="BO802" i="5" l="1"/>
  <c r="BP802" i="5" s="1"/>
  <c r="R1013" i="2"/>
  <c r="S1013" i="2" s="1"/>
  <c r="AB1003" i="2"/>
  <c r="AD1003" i="2" s="1"/>
  <c r="AK1002" i="2"/>
  <c r="V1013" i="2" l="1"/>
  <c r="BK803" i="5"/>
  <c r="AE1003" i="2"/>
  <c r="W1013" i="2" l="1"/>
  <c r="M1014" i="2"/>
  <c r="N1014" i="2"/>
  <c r="O1014" i="2" s="1"/>
  <c r="BM803" i="5"/>
  <c r="BN803" i="5" s="1"/>
  <c r="AJ1003" i="2"/>
  <c r="R1014" i="2" l="1"/>
  <c r="S1014" i="2" s="1"/>
  <c r="BO803" i="5"/>
  <c r="BP803" i="5" s="1"/>
  <c r="AK1003" i="2"/>
  <c r="AB1004" i="2"/>
  <c r="AD1004" i="2" s="1"/>
  <c r="V1014" i="2" l="1"/>
  <c r="BK804" i="5"/>
  <c r="AE1004" i="2"/>
  <c r="W1014" i="2" l="1"/>
  <c r="N1015" i="2"/>
  <c r="O1015" i="2" s="1"/>
  <c r="M1015" i="2"/>
  <c r="BM804" i="5"/>
  <c r="BN804" i="5" s="1"/>
  <c r="AJ1004" i="2"/>
  <c r="R1015" i="2" l="1"/>
  <c r="S1015" i="2" s="1"/>
  <c r="BO804" i="5"/>
  <c r="BP804" i="5" s="1"/>
  <c r="AK1004" i="2"/>
  <c r="AB1005" i="2"/>
  <c r="AD1005" i="2" s="1"/>
  <c r="V1015" i="2" l="1"/>
  <c r="BK805" i="5"/>
  <c r="AE1005" i="2"/>
  <c r="M1016" i="2" l="1"/>
  <c r="N1016" i="2"/>
  <c r="O1016" i="2" s="1"/>
  <c r="W1015" i="2"/>
  <c r="BM805" i="5"/>
  <c r="BN805" i="5" s="1"/>
  <c r="AJ1005" i="2"/>
  <c r="R1016" i="2" l="1"/>
  <c r="S1016" i="2" s="1"/>
  <c r="BO805" i="5"/>
  <c r="BP805" i="5" s="1"/>
  <c r="AK1005" i="2"/>
  <c r="AB1006" i="2"/>
  <c r="AD1006" i="2" s="1"/>
  <c r="V1016" i="2" l="1"/>
  <c r="BK806" i="5"/>
  <c r="AE1006" i="2"/>
  <c r="W1016" i="2" l="1"/>
  <c r="M1017" i="2"/>
  <c r="N1017" i="2"/>
  <c r="O1017" i="2" s="1"/>
  <c r="BM806" i="5"/>
  <c r="BN806" i="5" s="1"/>
  <c r="AJ1006" i="2"/>
  <c r="R1017" i="2" l="1"/>
  <c r="S1017" i="2" s="1"/>
  <c r="BO806" i="5"/>
  <c r="BP806" i="5" s="1"/>
  <c r="AK1006" i="2"/>
  <c r="AB1007" i="2"/>
  <c r="AD1007" i="2" s="1"/>
  <c r="V1017" i="2" l="1"/>
  <c r="BK807" i="5"/>
  <c r="AE1007" i="2"/>
  <c r="W1017" i="2" l="1"/>
  <c r="M1018" i="2"/>
  <c r="N1018" i="2"/>
  <c r="O1018" i="2" s="1"/>
  <c r="BM807" i="5"/>
  <c r="BN807" i="5" s="1"/>
  <c r="AJ1007" i="2"/>
  <c r="R1018" i="2" l="1"/>
  <c r="S1018" i="2" s="1"/>
  <c r="BO807" i="5"/>
  <c r="BP807" i="5" s="1"/>
  <c r="AK1007" i="2"/>
  <c r="AB1008" i="2"/>
  <c r="AD1008" i="2" s="1"/>
  <c r="V1018" i="2" l="1"/>
  <c r="W1018" i="2" s="1"/>
  <c r="BK808" i="5"/>
  <c r="AE1008" i="2"/>
  <c r="M1019" i="2" l="1"/>
  <c r="N1019" i="2"/>
  <c r="O1019" i="2" s="1"/>
  <c r="BM808" i="5"/>
  <c r="BN808" i="5" s="1"/>
  <c r="AJ1008" i="2"/>
  <c r="R1019" i="2" l="1"/>
  <c r="S1019" i="2" s="1"/>
  <c r="BO808" i="5"/>
  <c r="BP808" i="5" s="1"/>
  <c r="AB1009" i="2"/>
  <c r="AD1009" i="2" s="1"/>
  <c r="AK1008" i="2"/>
  <c r="V1019" i="2" l="1"/>
  <c r="W1019" i="2" s="1"/>
  <c r="BK809" i="5"/>
  <c r="AE1009" i="2"/>
  <c r="N1020" i="2" l="1"/>
  <c r="O1020" i="2" s="1"/>
  <c r="M1020" i="2"/>
  <c r="BM809" i="5"/>
  <c r="BN809" i="5" s="1"/>
  <c r="AJ1009" i="2"/>
  <c r="R1020" i="2" l="1"/>
  <c r="S1020" i="2" s="1"/>
  <c r="BO809" i="5"/>
  <c r="BP809" i="5" s="1"/>
  <c r="AK1009" i="2"/>
  <c r="AB1010" i="2"/>
  <c r="AD1010" i="2" s="1"/>
  <c r="BK810" i="5" l="1"/>
  <c r="BM810" i="5" s="1"/>
  <c r="BN810" i="5" s="1"/>
  <c r="V1020" i="2"/>
  <c r="N1021" i="2" s="1"/>
  <c r="O1021" i="2" s="1"/>
  <c r="AE1010" i="2"/>
  <c r="M1021" i="2" l="1"/>
  <c r="R1021" i="2" s="1"/>
  <c r="S1021" i="2" s="1"/>
  <c r="V1021" i="2" s="1"/>
  <c r="W1020" i="2"/>
  <c r="BO810" i="5"/>
  <c r="BP810" i="5" s="1"/>
  <c r="AJ1010" i="2"/>
  <c r="BK811" i="5" l="1"/>
  <c r="AK1010" i="2"/>
  <c r="AB1011" i="2"/>
  <c r="AD1011" i="2" s="1"/>
  <c r="W1021" i="2" l="1"/>
  <c r="BM811" i="5"/>
  <c r="BN811" i="5" s="1"/>
  <c r="N1022" i="2"/>
  <c r="O1022" i="2" s="1"/>
  <c r="M1022" i="2"/>
  <c r="AE1011" i="2"/>
  <c r="BO811" i="5" l="1"/>
  <c r="BP811" i="5" s="1"/>
  <c r="R1022" i="2"/>
  <c r="S1022" i="2" s="1"/>
  <c r="AJ1011" i="2"/>
  <c r="V1022" i="2" l="1"/>
  <c r="BK812" i="5"/>
  <c r="AK1011" i="2"/>
  <c r="AB1012" i="2"/>
  <c r="AD1012" i="2" s="1"/>
  <c r="BM812" i="5" l="1"/>
  <c r="BN812" i="5" s="1"/>
  <c r="W1022" i="2"/>
  <c r="M1023" i="2"/>
  <c r="N1023" i="2"/>
  <c r="O1023" i="2" s="1"/>
  <c r="AE1012" i="2"/>
  <c r="BO812" i="5" l="1"/>
  <c r="BP812" i="5" s="1"/>
  <c r="R1023" i="2"/>
  <c r="S1023" i="2" s="1"/>
  <c r="AJ1012" i="2"/>
  <c r="V1023" i="2" l="1"/>
  <c r="BK813" i="5"/>
  <c r="AK1012" i="2"/>
  <c r="AB1013" i="2"/>
  <c r="AD1013" i="2" s="1"/>
  <c r="BM813" i="5" l="1"/>
  <c r="BN813" i="5" s="1"/>
  <c r="BO813" i="5" s="1"/>
  <c r="BP813" i="5" s="1"/>
  <c r="W1023" i="2"/>
  <c r="M1024" i="2"/>
  <c r="N1024" i="2"/>
  <c r="O1024" i="2" s="1"/>
  <c r="AE1013" i="2"/>
  <c r="BK814" i="5" l="1"/>
  <c r="R1024" i="2"/>
  <c r="S1024" i="2" s="1"/>
  <c r="AJ1013" i="2"/>
  <c r="V1024" i="2" l="1"/>
  <c r="BM814" i="5"/>
  <c r="BN814" i="5" s="1"/>
  <c r="AK1013" i="2"/>
  <c r="AB1014" i="2"/>
  <c r="AD1014" i="2" s="1"/>
  <c r="BO814" i="5" l="1"/>
  <c r="BP814" i="5" s="1"/>
  <c r="W1024" i="2"/>
  <c r="M1025" i="2"/>
  <c r="N1025" i="2"/>
  <c r="O1025" i="2" s="1"/>
  <c r="AE1014" i="2"/>
  <c r="BK815" i="5" l="1"/>
  <c r="R1025" i="2"/>
  <c r="S1025" i="2" s="1"/>
  <c r="AJ1014" i="2"/>
  <c r="V1025" i="2" l="1"/>
  <c r="BM815" i="5"/>
  <c r="BN815" i="5" s="1"/>
  <c r="AK1014" i="2"/>
  <c r="AB1015" i="2"/>
  <c r="AD1015" i="2" s="1"/>
  <c r="BO815" i="5" l="1"/>
  <c r="W1025" i="2"/>
  <c r="M1026" i="2"/>
  <c r="N1026" i="2"/>
  <c r="O1026" i="2" s="1"/>
  <c r="AE1015" i="2"/>
  <c r="BP815" i="5" l="1"/>
  <c r="BK816" i="5"/>
  <c r="BM816" i="5" s="1"/>
  <c r="BN816" i="5" s="1"/>
  <c r="R1026" i="2"/>
  <c r="S1026" i="2" s="1"/>
  <c r="AJ1015" i="2"/>
  <c r="V1026" i="2" l="1"/>
  <c r="BO816" i="5"/>
  <c r="BP816" i="5" s="1"/>
  <c r="AK1015" i="2"/>
  <c r="AB1016" i="2"/>
  <c r="AD1016" i="2" s="1"/>
  <c r="BK817" i="5" l="1"/>
  <c r="W1026" i="2"/>
  <c r="M1027" i="2"/>
  <c r="N1027" i="2"/>
  <c r="O1027" i="2" s="1"/>
  <c r="AE1016" i="2"/>
  <c r="BM817" i="5" l="1"/>
  <c r="BN817" i="5" s="1"/>
  <c r="R1027" i="2"/>
  <c r="S1027" i="2" s="1"/>
  <c r="AJ1016" i="2"/>
  <c r="V1027" i="2" l="1"/>
  <c r="BO817" i="5"/>
  <c r="BP817" i="5" s="1"/>
  <c r="AB1017" i="2"/>
  <c r="AD1017" i="2" s="1"/>
  <c r="AK1016" i="2"/>
  <c r="BK818" i="5" l="1"/>
  <c r="W1027" i="2"/>
  <c r="AE1017" i="2"/>
  <c r="BM818" i="5" l="1"/>
  <c r="BN818" i="5" s="1"/>
  <c r="AJ1017" i="2"/>
  <c r="BO818" i="5" l="1"/>
  <c r="BP818" i="5" s="1"/>
  <c r="AK1017" i="2"/>
  <c r="AB1018" i="2"/>
  <c r="AD1018" i="2" s="1"/>
  <c r="BK819" i="5" l="1"/>
  <c r="AE1018" i="2"/>
  <c r="BM819" i="5" l="1"/>
  <c r="BN819" i="5" s="1"/>
  <c r="AJ1018" i="2"/>
  <c r="BO819" i="5" l="1"/>
  <c r="BP819" i="5" s="1"/>
  <c r="AB1019" i="2"/>
  <c r="AD1019" i="2" s="1"/>
  <c r="AK1018" i="2"/>
  <c r="BK820" i="5" l="1"/>
  <c r="AE1019" i="2"/>
  <c r="BM820" i="5" l="1"/>
  <c r="BN820" i="5" s="1"/>
  <c r="BO820" i="5" s="1"/>
  <c r="BP820" i="5" s="1"/>
  <c r="AJ1019" i="2"/>
  <c r="BK821" i="5" l="1"/>
  <c r="AK1019" i="2"/>
  <c r="AB1020" i="2"/>
  <c r="AD1020" i="2" s="1"/>
  <c r="BM821" i="5" l="1"/>
  <c r="BN821" i="5" s="1"/>
  <c r="AE1020" i="2"/>
  <c r="BO821" i="5" l="1"/>
  <c r="BP821" i="5" s="1"/>
  <c r="AJ1020" i="2"/>
  <c r="BK822" i="5" l="1"/>
  <c r="AK1020" i="2"/>
  <c r="AB1021" i="2"/>
  <c r="AD1021" i="2" s="1"/>
  <c r="BM822" i="5" l="1"/>
  <c r="BN822" i="5" s="1"/>
  <c r="AE1021" i="2"/>
  <c r="BO822" i="5" l="1"/>
  <c r="BP822" i="5" s="1"/>
  <c r="AJ1021" i="2"/>
  <c r="BK823" i="5" l="1"/>
  <c r="AK1021" i="2"/>
  <c r="AB1022" i="2"/>
  <c r="AD1022" i="2" s="1"/>
  <c r="BM823" i="5" l="1"/>
  <c r="BN823" i="5" s="1"/>
  <c r="AE1022" i="2"/>
  <c r="BO823" i="5" l="1"/>
  <c r="BP823" i="5" s="1"/>
  <c r="AJ1022" i="2"/>
  <c r="BK824" i="5" l="1"/>
  <c r="AK1022" i="2"/>
  <c r="AB1023" i="2"/>
  <c r="AD1023" i="2" s="1"/>
  <c r="BM824" i="5" l="1"/>
  <c r="BN824" i="5" s="1"/>
  <c r="AE1023" i="2"/>
  <c r="BO824" i="5" l="1"/>
  <c r="BP824" i="5" s="1"/>
  <c r="AJ1023" i="2"/>
  <c r="BK825" i="5" l="1"/>
  <c r="AK1023" i="2"/>
  <c r="AB1024" i="2"/>
  <c r="AD1024" i="2" s="1"/>
  <c r="BM825" i="5" l="1"/>
  <c r="BN825" i="5" s="1"/>
  <c r="AE1024" i="2"/>
  <c r="BO825" i="5" l="1"/>
  <c r="BP825" i="5" s="1"/>
  <c r="AJ1024" i="2"/>
  <c r="BK826" i="5" l="1"/>
  <c r="AB1025" i="2"/>
  <c r="AD1025" i="2" s="1"/>
  <c r="AK1024" i="2"/>
  <c r="BM826" i="5" l="1"/>
  <c r="BN826" i="5" s="1"/>
  <c r="AE1025" i="2"/>
  <c r="BO826" i="5" l="1"/>
  <c r="BP826" i="5" s="1"/>
  <c r="AJ1025" i="2"/>
  <c r="BK827" i="5" l="1"/>
  <c r="AK1025" i="2"/>
  <c r="AB1026" i="2"/>
  <c r="AD1026" i="2" s="1"/>
  <c r="BM827" i="5" l="1"/>
  <c r="BN827" i="5" s="1"/>
  <c r="AE1026" i="2"/>
  <c r="BO827" i="5" l="1"/>
  <c r="BP827" i="5" s="1"/>
  <c r="AJ1026" i="2"/>
  <c r="BK828" i="5" l="1"/>
  <c r="AB1027" i="2"/>
  <c r="AD1027" i="2" s="1"/>
  <c r="AK1026" i="2"/>
  <c r="BM828" i="5" l="1"/>
  <c r="BN828" i="5" s="1"/>
  <c r="AE1027" i="2"/>
  <c r="BO828" i="5" l="1"/>
  <c r="BP828" i="5" s="1"/>
  <c r="AJ1027" i="2"/>
  <c r="BK829" i="5" l="1"/>
  <c r="AK1027" i="2"/>
  <c r="BM829" i="5" l="1"/>
  <c r="BN829" i="5" s="1"/>
  <c r="BO829" i="5" l="1"/>
  <c r="BP829" i="5" s="1"/>
  <c r="BK830" i="5" l="1"/>
  <c r="BM830" i="5" l="1"/>
  <c r="BN830" i="5" s="1"/>
  <c r="BO830" i="5" s="1"/>
  <c r="BP830" i="5" s="1"/>
  <c r="BK831" i="5" l="1"/>
  <c r="BM831" i="5" l="1"/>
  <c r="BN831" i="5" s="1"/>
  <c r="BO831" i="5" s="1"/>
  <c r="BP831" i="5" s="1"/>
  <c r="BK832" i="5" l="1"/>
  <c r="BM832" i="5" l="1"/>
  <c r="BN832" i="5" l="1"/>
  <c r="BO832" i="5" s="1"/>
  <c r="BK833" i="5" l="1"/>
  <c r="BM833" i="5" s="1"/>
  <c r="BP832" i="5"/>
  <c r="BN833" i="5" l="1"/>
  <c r="BO833" i="5" s="1"/>
  <c r="BK834" i="5" l="1"/>
  <c r="BM834" i="5" s="1"/>
  <c r="BP833" i="5"/>
  <c r="BN834" i="5" l="1"/>
  <c r="BO834" i="5" s="1"/>
  <c r="BK835" i="5" l="1"/>
  <c r="BM835" i="5" s="1"/>
  <c r="BP834" i="5"/>
  <c r="BN835" i="5" l="1"/>
  <c r="BO835" i="5" s="1"/>
  <c r="BK836" i="5" l="1"/>
  <c r="BM836" i="5" s="1"/>
  <c r="BP835" i="5"/>
  <c r="BN836" i="5" l="1"/>
  <c r="BO836" i="5" s="1"/>
  <c r="BK837" i="5" l="1"/>
  <c r="BM837" i="5" s="1"/>
  <c r="BP836" i="5"/>
  <c r="BN837" i="5" l="1"/>
  <c r="BO837" i="5" s="1"/>
  <c r="BK838" i="5" l="1"/>
  <c r="BM838" i="5" s="1"/>
  <c r="BP837" i="5"/>
  <c r="BN838" i="5" l="1"/>
  <c r="BO838" i="5" s="1"/>
  <c r="BK839" i="5" l="1"/>
  <c r="BM839" i="5" s="1"/>
  <c r="BP838" i="5"/>
  <c r="BN839" i="5" l="1"/>
  <c r="BO839" i="5" s="1"/>
  <c r="BK840" i="5" l="1"/>
  <c r="BM840" i="5" s="1"/>
  <c r="BP839" i="5"/>
  <c r="BN840" i="5" l="1"/>
  <c r="BO840" i="5" s="1"/>
  <c r="BK841" i="5" l="1"/>
  <c r="BM841" i="5" s="1"/>
  <c r="BP840" i="5"/>
  <c r="BN841" i="5" l="1"/>
  <c r="BO841" i="5" s="1"/>
  <c r="BK842" i="5" l="1"/>
  <c r="BM842" i="5" s="1"/>
  <c r="BP841" i="5"/>
  <c r="BN842" i="5" l="1"/>
  <c r="BO842" i="5" s="1"/>
  <c r="BK843" i="5" l="1"/>
  <c r="BM843" i="5" s="1"/>
  <c r="BP842" i="5"/>
  <c r="BN843" i="5" l="1"/>
  <c r="BO843" i="5" s="1"/>
  <c r="BK844" i="5" l="1"/>
  <c r="BM844" i="5" s="1"/>
  <c r="BP843" i="5"/>
  <c r="BN844" i="5" l="1"/>
  <c r="BO844" i="5" s="1"/>
  <c r="BK845" i="5" l="1"/>
  <c r="BM845" i="5" s="1"/>
  <c r="BN845" i="5" s="1"/>
  <c r="BP844" i="5"/>
  <c r="BO845" i="5" l="1"/>
  <c r="BP845" i="5" s="1"/>
  <c r="BK846" i="5"/>
  <c r="BM846" i="5" l="1"/>
  <c r="BN846" i="5" s="1"/>
  <c r="BO846" i="5" s="1"/>
  <c r="BP846" i="5" s="1"/>
  <c r="BK847" i="5" l="1"/>
  <c r="BM847" i="5" l="1"/>
  <c r="BN847" i="5" s="1"/>
  <c r="BO847" i="5" s="1"/>
  <c r="BP847" i="5" s="1"/>
  <c r="BK848" i="5" l="1"/>
  <c r="BM848" i="5" l="1"/>
  <c r="BN848" i="5" s="1"/>
  <c r="BO848" i="5" s="1"/>
  <c r="BP848" i="5" l="1"/>
  <c r="BK849" i="5"/>
  <c r="BM849" i="5" s="1"/>
  <c r="BN849" i="5" s="1"/>
  <c r="BO849" i="5" l="1"/>
  <c r="BP849" i="5" s="1"/>
  <c r="BK850" i="5" l="1"/>
  <c r="BM850" i="5" l="1"/>
  <c r="BN850" i="5" s="1"/>
  <c r="BO850" i="5" l="1"/>
  <c r="BP850" i="5" s="1"/>
  <c r="BK851" i="5"/>
  <c r="BM851" i="5" l="1"/>
  <c r="BN851" i="5" s="1"/>
  <c r="BO851" i="5" s="1"/>
  <c r="BP851" i="5" s="1"/>
  <c r="BK852" i="5" l="1"/>
  <c r="BM852" i="5" l="1"/>
  <c r="BN852" i="5" s="1"/>
  <c r="BO852" i="5" s="1"/>
  <c r="BP852" i="5" s="1"/>
  <c r="BK853" i="5" l="1"/>
  <c r="BM853" i="5" l="1"/>
  <c r="BN853" i="5" s="1"/>
  <c r="BO853" i="5" s="1"/>
  <c r="BP853" i="5" s="1"/>
  <c r="BK854" i="5" l="1"/>
  <c r="BM854" i="5" l="1"/>
  <c r="BN854" i="5" s="1"/>
  <c r="BO854" i="5" l="1"/>
  <c r="BP854" i="5" s="1"/>
  <c r="BK855" i="5"/>
  <c r="BM855" i="5" l="1"/>
  <c r="BN855" i="5" s="1"/>
  <c r="BO855" i="5" l="1"/>
  <c r="BP855" i="5" s="1"/>
  <c r="BK856" i="5"/>
  <c r="BM856" i="5" l="1"/>
  <c r="BN856" i="5" s="1"/>
  <c r="BO856" i="5" l="1"/>
  <c r="BP856" i="5" s="1"/>
  <c r="BK857" i="5"/>
  <c r="BM857" i="5" l="1"/>
  <c r="BN857" i="5" s="1"/>
  <c r="BO857" i="5" s="1"/>
  <c r="BP857" i="5" s="1"/>
  <c r="BK858" i="5" l="1"/>
  <c r="BM858" i="5" l="1"/>
  <c r="BN858" i="5" s="1"/>
  <c r="BO858" i="5" s="1"/>
  <c r="BP858" i="5" s="1"/>
  <c r="BK859" i="5" l="1"/>
  <c r="BM859" i="5" l="1"/>
  <c r="BN859" i="5" s="1"/>
  <c r="BO859" i="5" s="1"/>
  <c r="BP859" i="5" s="1"/>
  <c r="BK860" i="5" l="1"/>
  <c r="BM860" i="5" l="1"/>
  <c r="BN860" i="5" s="1"/>
  <c r="BO860" i="5" s="1"/>
  <c r="BP860" i="5" s="1"/>
  <c r="BK861" i="5" l="1"/>
  <c r="BM861" i="5" l="1"/>
  <c r="BN861" i="5" s="1"/>
  <c r="BO861" i="5" s="1"/>
  <c r="BP861" i="5" s="1"/>
  <c r="BK862" i="5" l="1"/>
  <c r="BM862" i="5" l="1"/>
  <c r="BN862" i="5" s="1"/>
  <c r="BO862" i="5" l="1"/>
  <c r="BP862" i="5" s="1"/>
  <c r="BK863" i="5"/>
  <c r="BM863" i="5" l="1"/>
  <c r="BN863" i="5" s="1"/>
  <c r="BO863" i="5" s="1"/>
  <c r="BP863" i="5" s="1"/>
  <c r="BK864" i="5" l="1"/>
  <c r="BM864" i="5" l="1"/>
  <c r="BN864" i="5" s="1"/>
  <c r="BO864" i="5" s="1"/>
  <c r="BP864" i="5" s="1"/>
  <c r="BK865" i="5" l="1"/>
  <c r="BM865" i="5" l="1"/>
  <c r="BN865" i="5" s="1"/>
  <c r="BO865" i="5" s="1"/>
  <c r="BP865" i="5" s="1"/>
  <c r="BK866" i="5" l="1"/>
  <c r="BM866" i="5" l="1"/>
  <c r="BN866" i="5" s="1"/>
  <c r="BO866" i="5" s="1"/>
  <c r="BP866" i="5" s="1"/>
  <c r="BK867" i="5" l="1"/>
  <c r="BM867" i="5" l="1"/>
  <c r="BN867" i="5" s="1"/>
  <c r="BO867" i="5" l="1"/>
  <c r="BK868" i="5"/>
  <c r="BP867" i="5" l="1"/>
  <c r="BM868" i="5"/>
  <c r="BN868" i="5" s="1"/>
  <c r="BO868" i="5" s="1"/>
  <c r="BP868" i="5" s="1"/>
  <c r="BK869" i="5" l="1"/>
  <c r="BM869" i="5" l="1"/>
  <c r="BN869" i="5" s="1"/>
  <c r="BO869" i="5" s="1"/>
  <c r="BP869" i="5" s="1"/>
  <c r="BK870" i="5" l="1"/>
  <c r="BM870" i="5" l="1"/>
  <c r="BN870" i="5" s="1"/>
  <c r="BO870" i="5" s="1"/>
  <c r="BP870" i="5" s="1"/>
  <c r="BK871" i="5" l="1"/>
  <c r="BM871" i="5" l="1"/>
  <c r="BN871" i="5" s="1"/>
  <c r="BO871" i="5" s="1"/>
  <c r="BP871" i="5" s="1"/>
  <c r="BK872" i="5" l="1"/>
  <c r="BM872" i="5" l="1"/>
  <c r="BN872" i="5" l="1"/>
  <c r="BO872" i="5" s="1"/>
  <c r="BK873" i="5" l="1"/>
  <c r="BM873" i="5" s="1"/>
  <c r="BP872" i="5"/>
  <c r="BN873" i="5" l="1"/>
  <c r="BO873" i="5" s="1"/>
  <c r="BK874" i="5" l="1"/>
  <c r="BM874" i="5" s="1"/>
  <c r="BP873" i="5"/>
  <c r="BN874" i="5" l="1"/>
  <c r="BO874" i="5" s="1"/>
  <c r="BK875" i="5" l="1"/>
  <c r="BM875" i="5" s="1"/>
  <c r="BP874" i="5"/>
  <c r="BN875" i="5" l="1"/>
  <c r="BO875" i="5" s="1"/>
  <c r="BK876" i="5" l="1"/>
  <c r="BM876" i="5" s="1"/>
  <c r="BP875" i="5"/>
  <c r="BN876" i="5" l="1"/>
  <c r="BO876" i="5" s="1"/>
  <c r="BK877" i="5" l="1"/>
  <c r="BM877" i="5" s="1"/>
  <c r="BP876" i="5"/>
  <c r="BN877" i="5" l="1"/>
  <c r="BO877" i="5" s="1"/>
  <c r="BK878" i="5" l="1"/>
  <c r="BM878" i="5" s="1"/>
  <c r="BP877" i="5"/>
  <c r="BN878" i="5" l="1"/>
  <c r="BO878" i="5" s="1"/>
  <c r="BK879" i="5" l="1"/>
  <c r="BM879" i="5" s="1"/>
  <c r="BP878" i="5"/>
  <c r="BN879" i="5" l="1"/>
  <c r="BO879" i="5" s="1"/>
  <c r="BK880" i="5" l="1"/>
  <c r="BM880" i="5" s="1"/>
  <c r="BP879" i="5"/>
  <c r="BN880" i="5" l="1"/>
  <c r="BO880" i="5" s="1"/>
  <c r="BK881" i="5" l="1"/>
  <c r="BM881" i="5" s="1"/>
  <c r="BP880" i="5"/>
  <c r="BN881" i="5" l="1"/>
  <c r="BO881" i="5" s="1"/>
  <c r="BK882" i="5" l="1"/>
  <c r="BM882" i="5" s="1"/>
  <c r="BP881" i="5"/>
  <c r="BN882" i="5" l="1"/>
  <c r="BO882" i="5" s="1"/>
  <c r="BK883" i="5" l="1"/>
  <c r="BM883" i="5" s="1"/>
  <c r="BP882" i="5"/>
  <c r="BN883" i="5" l="1"/>
  <c r="BO883" i="5" s="1"/>
  <c r="BK884" i="5" l="1"/>
  <c r="BM884" i="5" s="1"/>
  <c r="BP883" i="5"/>
  <c r="BN884" i="5" l="1"/>
  <c r="BO884" i="5" s="1"/>
  <c r="BK885" i="5" l="1"/>
  <c r="BM885" i="5" s="1"/>
  <c r="BP884" i="5"/>
  <c r="BN885" i="5" l="1"/>
  <c r="BO885" i="5" s="1"/>
  <c r="BK886" i="5" l="1"/>
  <c r="BM886" i="5" s="1"/>
  <c r="BP885" i="5"/>
  <c r="BN886" i="5" l="1"/>
  <c r="BO886" i="5" s="1"/>
  <c r="BK887" i="5" l="1"/>
  <c r="BM887" i="5" s="1"/>
  <c r="BP886" i="5"/>
  <c r="BN887" i="5" l="1"/>
  <c r="BO887" i="5" s="1"/>
  <c r="BK888" i="5" l="1"/>
  <c r="BM888" i="5" s="1"/>
  <c r="BP887" i="5"/>
  <c r="BN888" i="5" l="1"/>
  <c r="BO888" i="5" s="1"/>
  <c r="BK889" i="5" l="1"/>
  <c r="BM889" i="5" s="1"/>
  <c r="BP888" i="5"/>
  <c r="BN889" i="5" l="1"/>
  <c r="BO889" i="5" s="1"/>
  <c r="BK890" i="5" l="1"/>
  <c r="BM890" i="5" s="1"/>
  <c r="BP889" i="5"/>
  <c r="BN890" i="5" l="1"/>
  <c r="BO890" i="5" s="1"/>
  <c r="BK891" i="5" l="1"/>
  <c r="BM891" i="5" s="1"/>
  <c r="BP890" i="5"/>
  <c r="BN891" i="5" l="1"/>
  <c r="BO891" i="5" s="1"/>
  <c r="BK892" i="5" l="1"/>
  <c r="BM892" i="5" s="1"/>
  <c r="BN892" i="5" s="1"/>
  <c r="BP891" i="5"/>
  <c r="BO892" i="5" l="1"/>
  <c r="BP892" i="5" s="1"/>
  <c r="BK893" i="5"/>
  <c r="BM893" i="5" l="1"/>
  <c r="BN893" i="5" l="1"/>
  <c r="BO893" i="5" s="1"/>
  <c r="BK894" i="5" l="1"/>
  <c r="BM894" i="5" s="1"/>
  <c r="BP893" i="5"/>
  <c r="BN894" i="5" l="1"/>
  <c r="BO894" i="5" s="1"/>
  <c r="BK895" i="5" l="1"/>
  <c r="BM895" i="5" s="1"/>
  <c r="BN895" i="5" s="1"/>
  <c r="BO895" i="5" s="1"/>
  <c r="BP895" i="5" s="1"/>
  <c r="BP894" i="5"/>
  <c r="BK896" i="5" l="1"/>
  <c r="BM896" i="5" l="1"/>
  <c r="BN896" i="5" s="1"/>
  <c r="BO896" i="5" l="1"/>
  <c r="BP896" i="5" l="1"/>
  <c r="BK897" i="5"/>
  <c r="BM897" i="5" s="1"/>
  <c r="BN897" i="5" s="1"/>
  <c r="BO897" i="5" l="1"/>
  <c r="BP897" i="5" s="1"/>
  <c r="BK898" i="5" l="1"/>
  <c r="BM898" i="5" s="1"/>
  <c r="BN898" i="5" l="1"/>
  <c r="BO898" i="5" s="1"/>
  <c r="BK899" i="5" l="1"/>
  <c r="BM899" i="5" s="1"/>
  <c r="BP898" i="5"/>
  <c r="BN899" i="5" l="1"/>
  <c r="BO899" i="5" s="1"/>
  <c r="BK900" i="5" l="1"/>
  <c r="BM900" i="5" s="1"/>
  <c r="BP899" i="5"/>
  <c r="BN900" i="5" l="1"/>
  <c r="BO900" i="5" s="1"/>
  <c r="BK901" i="5" l="1"/>
  <c r="BM901" i="5" s="1"/>
  <c r="BN901" i="5" s="1"/>
  <c r="BP900" i="5"/>
  <c r="BO901" i="5" l="1"/>
  <c r="BP901" i="5" s="1"/>
  <c r="BK902" i="5" l="1"/>
  <c r="BM902" i="5" s="1"/>
  <c r="BN902" i="5" s="1"/>
  <c r="BO902" i="5" l="1"/>
  <c r="BP902" i="5" s="1"/>
  <c r="BK903" i="5"/>
  <c r="BM903" i="5" l="1"/>
  <c r="BN903" i="5" s="1"/>
  <c r="BO903" i="5" s="1"/>
  <c r="BP903" i="5" s="1"/>
  <c r="BK904" i="5" l="1"/>
  <c r="BM904" i="5" l="1"/>
  <c r="BN904" i="5" s="1"/>
  <c r="BO904" i="5" s="1"/>
  <c r="BP904" i="5" s="1"/>
  <c r="BK905" i="5" l="1"/>
  <c r="BM905" i="5" l="1"/>
  <c r="BN905" i="5" s="1"/>
  <c r="BO905" i="5" s="1"/>
  <c r="BP905" i="5" s="1"/>
  <c r="BK906" i="5" l="1"/>
  <c r="BM906" i="5" l="1"/>
  <c r="BN906" i="5" s="1"/>
  <c r="BO906" i="5" s="1"/>
  <c r="BP906" i="5" s="1"/>
  <c r="BK907" i="5" l="1"/>
  <c r="BM907" i="5" l="1"/>
  <c r="BN907" i="5" s="1"/>
  <c r="BO907" i="5" l="1"/>
  <c r="BP907" i="5" l="1"/>
  <c r="BK908" i="5"/>
  <c r="BM908" i="5" s="1"/>
  <c r="BN908" i="5" s="1"/>
  <c r="BO908" i="5" l="1"/>
  <c r="BP908" i="5" s="1"/>
  <c r="BK909" i="5" l="1"/>
  <c r="BM909" i="5" s="1"/>
  <c r="BN909" i="5" s="1"/>
  <c r="BO909" i="5" s="1"/>
  <c r="BP909" i="5" s="1"/>
  <c r="BK910" i="5" l="1"/>
  <c r="BM910" i="5" l="1"/>
  <c r="BN910" i="5" s="1"/>
  <c r="BO910" i="5" s="1"/>
  <c r="BP910" i="5" s="1"/>
  <c r="BK911" i="5" l="1"/>
  <c r="BM911" i="5" l="1"/>
  <c r="BN911" i="5" s="1"/>
  <c r="BO911" i="5" s="1"/>
  <c r="BP911" i="5" s="1"/>
  <c r="BK912" i="5" l="1"/>
  <c r="BM912" i="5" l="1"/>
  <c r="BN912" i="5" s="1"/>
  <c r="BO912" i="5" l="1"/>
  <c r="BP912" i="5" s="1"/>
  <c r="BK913" i="5" l="1"/>
  <c r="BM913" i="5" s="1"/>
  <c r="BN913" i="5" s="1"/>
  <c r="BO913" i="5" l="1"/>
  <c r="BP913" i="5" l="1"/>
  <c r="BK914" i="5"/>
  <c r="BM914" i="5" s="1"/>
  <c r="BN914" i="5" s="1"/>
  <c r="BO914" i="5" l="1"/>
  <c r="BP914" i="5" l="1"/>
  <c r="BK915" i="5"/>
  <c r="BM915" i="5" s="1"/>
  <c r="BN915" i="5" s="1"/>
  <c r="BO915" i="5" l="1"/>
  <c r="BP915" i="5" l="1"/>
  <c r="BK916" i="5"/>
  <c r="BM916" i="5" s="1"/>
  <c r="BN916" i="5" s="1"/>
  <c r="BO916" i="5" s="1"/>
  <c r="BP916" i="5" s="1"/>
  <c r="BK917" i="5" l="1"/>
  <c r="BM917" i="5" l="1"/>
  <c r="BN917" i="5" s="1"/>
  <c r="BO917" i="5" l="1"/>
  <c r="BP917" i="5" l="1"/>
  <c r="BK918" i="5"/>
  <c r="BM918" i="5" s="1"/>
  <c r="BN918" i="5" s="1"/>
  <c r="BO918" i="5" l="1"/>
  <c r="BP918" i="5" s="1"/>
  <c r="BK919" i="5" l="1"/>
  <c r="BM919" i="5" s="1"/>
  <c r="BN919" i="5" s="1"/>
  <c r="BO919" i="5" l="1"/>
  <c r="BP919" i="5" s="1"/>
  <c r="BK920" i="5"/>
  <c r="BM920" i="5" l="1"/>
  <c r="BN920" i="5" s="1"/>
  <c r="BO920" i="5" s="1"/>
  <c r="BP920" i="5" s="1"/>
  <c r="BK921" i="5" l="1"/>
  <c r="BM921" i="5" l="1"/>
  <c r="BN921" i="5" s="1"/>
  <c r="BO921" i="5" s="1"/>
  <c r="BP921" i="5" s="1"/>
  <c r="BK922" i="5" l="1"/>
  <c r="BM922" i="5" l="1"/>
  <c r="BN922" i="5" s="1"/>
  <c r="BO922" i="5" s="1"/>
  <c r="BP922" i="5" s="1"/>
  <c r="BK923" i="5" l="1"/>
  <c r="BM923" i="5" l="1"/>
  <c r="BN923" i="5" s="1"/>
  <c r="BO923" i="5" l="1"/>
  <c r="BK924" i="5"/>
  <c r="BP923" i="5" l="1"/>
  <c r="BM924" i="5"/>
  <c r="BN924" i="5" s="1"/>
  <c r="BO924" i="5" s="1"/>
  <c r="BP924" i="5" s="1"/>
  <c r="BK925" i="5" l="1"/>
  <c r="BM925" i="5" l="1"/>
  <c r="BN925" i="5" s="1"/>
  <c r="BO925" i="5" s="1"/>
  <c r="BP925" i="5" s="1"/>
  <c r="BK926" i="5" l="1"/>
  <c r="BM926" i="5" l="1"/>
  <c r="BN926" i="5" s="1"/>
  <c r="BO926" i="5" s="1"/>
  <c r="BP926" i="5" s="1"/>
  <c r="BK927" i="5" l="1"/>
  <c r="BM927" i="5" l="1"/>
  <c r="BN927" i="5" s="1"/>
  <c r="BO927" i="5" s="1"/>
  <c r="BP927" i="5" s="1"/>
  <c r="BK928" i="5" l="1"/>
  <c r="BM928" i="5" l="1"/>
  <c r="BN928" i="5" s="1"/>
  <c r="BO928" i="5" s="1"/>
  <c r="BP928" i="5" s="1"/>
  <c r="BK929" i="5" l="1"/>
  <c r="BM929" i="5" l="1"/>
  <c r="BN929" i="5" s="1"/>
  <c r="BO929" i="5" l="1"/>
  <c r="BP929" i="5" s="1"/>
  <c r="BK930" i="5"/>
  <c r="BM930" i="5" l="1"/>
  <c r="BN930" i="5" s="1"/>
  <c r="BO930" i="5" s="1"/>
  <c r="BP930" i="5" s="1"/>
  <c r="BK931" i="5" l="1"/>
  <c r="BM931" i="5" l="1"/>
  <c r="BN931" i="5" s="1"/>
  <c r="BO931" i="5" s="1"/>
  <c r="BP931" i="5" s="1"/>
  <c r="BK932" i="5" l="1"/>
  <c r="BM932" i="5" l="1"/>
  <c r="BN932" i="5" s="1"/>
  <c r="BO932" i="5" s="1"/>
  <c r="BP932" i="5" s="1"/>
  <c r="BK933" i="5" l="1"/>
  <c r="BM933" i="5" l="1"/>
  <c r="BN933" i="5" s="1"/>
  <c r="BO933" i="5" s="1"/>
  <c r="BP933" i="5" s="1"/>
  <c r="BK934" i="5" l="1"/>
  <c r="BM934" i="5" l="1"/>
  <c r="BN934" i="5" s="1"/>
  <c r="BO934" i="5" s="1"/>
  <c r="BP934" i="5" s="1"/>
  <c r="BK935" i="5" l="1"/>
  <c r="BM935" i="5" l="1"/>
  <c r="BN935" i="5" s="1"/>
  <c r="BO935" i="5" l="1"/>
  <c r="BP935" i="5" s="1"/>
  <c r="BK936" i="5" l="1"/>
  <c r="BM936" i="5" s="1"/>
  <c r="BN936" i="5" l="1"/>
  <c r="BO936" i="5" s="1"/>
  <c r="BK937" i="5" l="1"/>
  <c r="BM937" i="5" s="1"/>
  <c r="BP936" i="5"/>
  <c r="BN937" i="5" l="1"/>
  <c r="BO937" i="5" s="1"/>
  <c r="BK938" i="5" l="1"/>
  <c r="BM938" i="5" s="1"/>
  <c r="BP937" i="5"/>
  <c r="BN938" i="5" l="1"/>
  <c r="BO938" i="5" s="1"/>
  <c r="BK939" i="5" l="1"/>
  <c r="BM939" i="5" s="1"/>
  <c r="BN939" i="5" s="1"/>
  <c r="BP938" i="5"/>
  <c r="BO939" i="5" l="1"/>
  <c r="BP939" i="5" s="1"/>
  <c r="BK940" i="5"/>
  <c r="BM940" i="5" l="1"/>
  <c r="BN940" i="5" s="1"/>
  <c r="BO940" i="5" l="1"/>
  <c r="BP940" i="5" s="1"/>
  <c r="BK941" i="5"/>
  <c r="BM941" i="5" l="1"/>
  <c r="BN941" i="5" s="1"/>
  <c r="BO941" i="5" l="1"/>
  <c r="BP941" i="5" s="1"/>
  <c r="BK942" i="5" l="1"/>
  <c r="BM942" i="5" s="1"/>
  <c r="BN942" i="5" s="1"/>
  <c r="BO942" i="5" s="1"/>
  <c r="BP942" i="5" s="1"/>
  <c r="BK943" i="5" l="1"/>
  <c r="BM943" i="5" l="1"/>
  <c r="BN943" i="5" s="1"/>
  <c r="BO943" i="5" s="1"/>
  <c r="BP943" i="5" s="1"/>
  <c r="BK944" i="5" l="1"/>
  <c r="BM944" i="5" l="1"/>
  <c r="BN944" i="5" s="1"/>
  <c r="BO944" i="5" l="1"/>
  <c r="BP944" i="5" s="1"/>
  <c r="BK945" i="5" l="1"/>
  <c r="BM945" i="5" s="1"/>
  <c r="BN945" i="5" s="1"/>
  <c r="BO945" i="5" l="1"/>
  <c r="BP945" i="5" s="1"/>
  <c r="BK946" i="5" l="1"/>
  <c r="BM946" i="5" s="1"/>
  <c r="BN946" i="5" s="1"/>
  <c r="BO946" i="5" l="1"/>
  <c r="BP946" i="5" s="1"/>
  <c r="BK947" i="5"/>
  <c r="BM947" i="5" l="1"/>
  <c r="BN947" i="5" s="1"/>
  <c r="BO947" i="5" l="1"/>
  <c r="BP947" i="5" s="1"/>
  <c r="BK948" i="5"/>
  <c r="BM948" i="5" l="1"/>
  <c r="BN948" i="5" s="1"/>
  <c r="BO948" i="5" l="1"/>
  <c r="BK949" i="5"/>
  <c r="BP948" i="5" l="1"/>
  <c r="BM949" i="5"/>
  <c r="BN949" i="5" s="1"/>
  <c r="BO949" i="5" l="1"/>
  <c r="BP949" i="5" s="1"/>
  <c r="BK950" i="5" l="1"/>
  <c r="BM950" i="5" s="1"/>
  <c r="BN950" i="5" s="1"/>
  <c r="BO950" i="5" l="1"/>
  <c r="BP950" i="5" l="1"/>
  <c r="BK951" i="5"/>
  <c r="BM951" i="5" s="1"/>
  <c r="BN951" i="5" s="1"/>
  <c r="BO951" i="5" l="1"/>
  <c r="BP951" i="5" s="1"/>
  <c r="BK952" i="5"/>
  <c r="BM952" i="5" l="1"/>
  <c r="BN952" i="5" s="1"/>
  <c r="BO952" i="5" s="1"/>
  <c r="BP952" i="5" s="1"/>
  <c r="BK953" i="5" l="1"/>
  <c r="BM953" i="5" l="1"/>
  <c r="BN953" i="5" s="1"/>
  <c r="BO953" i="5" s="1"/>
  <c r="BP953" i="5" s="1"/>
  <c r="BK954" i="5" l="1"/>
  <c r="BM954" i="5" l="1"/>
  <c r="BN954" i="5" s="1"/>
  <c r="BO954" i="5" s="1"/>
  <c r="BP954" i="5" s="1"/>
  <c r="BK955" i="5" l="1"/>
  <c r="BM955" i="5" l="1"/>
  <c r="BN955" i="5" s="1"/>
  <c r="BO955" i="5" l="1"/>
  <c r="BP955" i="5" s="1"/>
  <c r="BK956" i="5"/>
  <c r="BM956" i="5" l="1"/>
  <c r="BN956" i="5" s="1"/>
  <c r="BO956" i="5" l="1"/>
  <c r="BP956" i="5" s="1"/>
  <c r="BK957" i="5" l="1"/>
  <c r="BM957" i="5" s="1"/>
  <c r="BN957" i="5" s="1"/>
  <c r="BO957" i="5" l="1"/>
  <c r="BP957" i="5" s="1"/>
  <c r="BK958" i="5"/>
  <c r="BM958" i="5" l="1"/>
  <c r="BN958" i="5" s="1"/>
  <c r="BO958" i="5" l="1"/>
  <c r="BP958" i="5" s="1"/>
  <c r="BK959" i="5"/>
  <c r="BM959" i="5" l="1"/>
  <c r="BN959" i="5" s="1"/>
  <c r="BO959" i="5" l="1"/>
  <c r="BK960" i="5"/>
  <c r="BP959" i="5" l="1"/>
  <c r="BM960" i="5"/>
  <c r="BN960" i="5" s="1"/>
  <c r="BO960" i="5" s="1"/>
  <c r="BP960" i="5" s="1"/>
  <c r="BK961" i="5" l="1"/>
  <c r="BM961" i="5" l="1"/>
  <c r="BN961" i="5" s="1"/>
  <c r="BO961" i="5" s="1"/>
  <c r="BP961" i="5" s="1"/>
  <c r="BK962" i="5" l="1"/>
  <c r="BM962" i="5" l="1"/>
  <c r="BN962" i="5" s="1"/>
  <c r="BO962" i="5" s="1"/>
  <c r="BP962" i="5" s="1"/>
  <c r="BK963" i="5" l="1"/>
  <c r="BM963" i="5" l="1"/>
  <c r="BN963" i="5" s="1"/>
  <c r="BO963" i="5" s="1"/>
  <c r="BP963" i="5" s="1"/>
  <c r="BK964" i="5" l="1"/>
  <c r="BM964" i="5" l="1"/>
  <c r="BN964" i="5" s="1"/>
  <c r="BO964" i="5" s="1"/>
  <c r="BP964" i="5" s="1"/>
  <c r="BK965" i="5" l="1"/>
  <c r="BM965" i="5" l="1"/>
  <c r="BN965" i="5" s="1"/>
  <c r="BO965" i="5" l="1"/>
  <c r="BP965" i="5" s="1"/>
  <c r="BK966" i="5" l="1"/>
  <c r="BM966" i="5" s="1"/>
  <c r="BN966" i="5" s="1"/>
  <c r="BO966" i="5" s="1"/>
  <c r="BP966" i="5" s="1"/>
  <c r="BK967" i="5" l="1"/>
  <c r="BM967" i="5" l="1"/>
  <c r="BN967" i="5" s="1"/>
  <c r="BO967" i="5" l="1"/>
  <c r="BP967" i="5" l="1"/>
  <c r="BK968" i="5"/>
  <c r="BM968" i="5" s="1"/>
  <c r="BN968" i="5" s="1"/>
  <c r="BO968" i="5" s="1"/>
  <c r="BP968" i="5" s="1"/>
  <c r="BK969" i="5" l="1"/>
  <c r="BM969" i="5" l="1"/>
  <c r="BN969" i="5" s="1"/>
  <c r="BO969" i="5" s="1"/>
  <c r="BP969" i="5" s="1"/>
  <c r="BK970" i="5" l="1"/>
  <c r="BM970" i="5" l="1"/>
  <c r="BN970" i="5" s="1"/>
  <c r="BO970" i="5" l="1"/>
  <c r="BP970" i="5" l="1"/>
  <c r="BK971" i="5"/>
  <c r="BM971" i="5" s="1"/>
  <c r="BN971" i="5" s="1"/>
  <c r="BO971" i="5" l="1"/>
  <c r="BP971" i="5" s="1"/>
  <c r="BK972" i="5" l="1"/>
  <c r="BM972" i="5" s="1"/>
  <c r="BN972" i="5" s="1"/>
  <c r="BO972" i="5" s="1"/>
  <c r="BP972" i="5" s="1"/>
  <c r="BK973" i="5" l="1"/>
  <c r="BM973" i="5" l="1"/>
  <c r="BN973" i="5" s="1"/>
  <c r="BO973" i="5" s="1"/>
  <c r="BP973" i="5" s="1"/>
  <c r="BK974" i="5" l="1"/>
  <c r="BM974" i="5" l="1"/>
  <c r="BN974" i="5" s="1"/>
  <c r="BO974" i="5" s="1"/>
  <c r="BP974" i="5" s="1"/>
  <c r="BK975" i="5" l="1"/>
  <c r="BM975" i="5" l="1"/>
  <c r="BN975" i="5" s="1"/>
  <c r="BO975" i="5" s="1"/>
  <c r="BP975" i="5" s="1"/>
  <c r="BK976" i="5" l="1"/>
  <c r="BM976" i="5" l="1"/>
  <c r="BN976" i="5" s="1"/>
  <c r="BO976" i="5" l="1"/>
  <c r="BK977" i="5"/>
  <c r="BP976" i="5" l="1"/>
  <c r="BM977" i="5"/>
  <c r="BN977" i="5" s="1"/>
  <c r="BO977" i="5" s="1"/>
  <c r="BP977" i="5" s="1"/>
  <c r="BK978" i="5" l="1"/>
  <c r="BM978" i="5" l="1"/>
  <c r="BN978" i="5" s="1"/>
  <c r="BO978" i="5" s="1"/>
  <c r="BP978" i="5" s="1"/>
  <c r="BK979" i="5" l="1"/>
  <c r="BM979" i="5" l="1"/>
  <c r="BN979" i="5" s="1"/>
  <c r="BO979" i="5" l="1"/>
  <c r="BP979" i="5" s="1"/>
  <c r="BK980" i="5"/>
  <c r="BM980" i="5" l="1"/>
  <c r="BN980" i="5" s="1"/>
  <c r="BO980" i="5" l="1"/>
  <c r="BP980" i="5" l="1"/>
  <c r="BK981" i="5"/>
  <c r="BM981" i="5" s="1"/>
  <c r="BN981" i="5" s="1"/>
  <c r="BO981" i="5" l="1"/>
  <c r="BP981" i="5" s="1"/>
  <c r="BK982" i="5"/>
  <c r="BM982" i="5" l="1"/>
  <c r="BN982" i="5" s="1"/>
  <c r="BO982" i="5" s="1"/>
  <c r="BP982" i="5" s="1"/>
  <c r="BK983" i="5" l="1"/>
  <c r="BM983" i="5" l="1"/>
  <c r="BN983" i="5" s="1"/>
  <c r="BO983" i="5" l="1"/>
  <c r="BP983" i="5" s="1"/>
  <c r="BK984" i="5" l="1"/>
  <c r="BM984" i="5" s="1"/>
  <c r="BN984" i="5" s="1"/>
  <c r="BO984" i="5" s="1"/>
  <c r="BP984" i="5" s="1"/>
  <c r="BK985" i="5" l="1"/>
  <c r="BM985" i="5" l="1"/>
  <c r="BN985" i="5" s="1"/>
  <c r="BO985" i="5" l="1"/>
  <c r="BP985" i="5" s="1"/>
  <c r="BK986" i="5" l="1"/>
  <c r="BM986" i="5" s="1"/>
  <c r="BN986" i="5" l="1"/>
  <c r="BO986" i="5" s="1"/>
  <c r="BK987" i="5" l="1"/>
  <c r="BM987" i="5" s="1"/>
  <c r="BP986" i="5"/>
  <c r="BN987" i="5" l="1"/>
  <c r="BO987" i="5" s="1"/>
  <c r="BK988" i="5" l="1"/>
  <c r="BM988" i="5" s="1"/>
  <c r="BP987" i="5"/>
  <c r="BN988" i="5" l="1"/>
  <c r="BO988" i="5" s="1"/>
  <c r="BK989" i="5" l="1"/>
  <c r="BM989" i="5" s="1"/>
  <c r="BP988" i="5"/>
  <c r="BN989" i="5" l="1"/>
  <c r="BO989" i="5" s="1"/>
  <c r="BK990" i="5" l="1"/>
  <c r="BM990" i="5" s="1"/>
  <c r="BP989" i="5"/>
  <c r="BN990" i="5" l="1"/>
  <c r="BO990" i="5" s="1"/>
  <c r="BK991" i="5" l="1"/>
  <c r="BM991" i="5" s="1"/>
  <c r="BN991" i="5" s="1"/>
  <c r="BP990" i="5"/>
  <c r="BO991" i="5" l="1"/>
  <c r="BP991" i="5" s="1"/>
  <c r="BK992" i="5" l="1"/>
  <c r="BM992" i="5" s="1"/>
  <c r="BN992" i="5" s="1"/>
  <c r="BO992" i="5" l="1"/>
  <c r="BP992" i="5" s="1"/>
  <c r="BK993" i="5"/>
  <c r="BM993" i="5" l="1"/>
  <c r="BN993" i="5" s="1"/>
  <c r="BO993" i="5" s="1"/>
  <c r="BP993" i="5" s="1"/>
  <c r="BK994" i="5" l="1"/>
  <c r="BM994" i="5" l="1"/>
  <c r="BN994" i="5" s="1"/>
  <c r="BO994" i="5" s="1"/>
  <c r="BP994" i="5" s="1"/>
  <c r="BK995" i="5" l="1"/>
  <c r="BM995" i="5" l="1"/>
  <c r="BN995" i="5" s="1"/>
  <c r="BO995" i="5" l="1"/>
  <c r="BP995" i="5" s="1"/>
  <c r="BK996" i="5"/>
  <c r="BM996" i="5" l="1"/>
  <c r="BN996" i="5" s="1"/>
  <c r="BO996" i="5" s="1"/>
  <c r="BP996" i="5" s="1"/>
  <c r="BK997" i="5" l="1"/>
  <c r="BM997" i="5" l="1"/>
  <c r="BN997" i="5" s="1"/>
  <c r="BO997" i="5" s="1"/>
  <c r="BP997" i="5" s="1"/>
  <c r="BK998" i="5" l="1"/>
  <c r="BM998" i="5" l="1"/>
  <c r="BN998" i="5" s="1"/>
  <c r="BO998" i="5" s="1"/>
  <c r="BP998" i="5" s="1"/>
  <c r="BK999" i="5" l="1"/>
  <c r="BM999" i="5" l="1"/>
  <c r="BN999" i="5" s="1"/>
  <c r="BO999" i="5" s="1"/>
  <c r="BP999" i="5" s="1"/>
  <c r="BK1000" i="5" l="1"/>
  <c r="BM1000" i="5" l="1"/>
  <c r="BN1000" i="5" s="1"/>
  <c r="BO1000" i="5" l="1"/>
  <c r="BP1000" i="5" s="1"/>
  <c r="BK1001" i="5" l="1"/>
  <c r="BM1001" i="5" s="1"/>
  <c r="BN1001" i="5" s="1"/>
  <c r="BO1001" i="5" l="1"/>
  <c r="BP1001" i="5" s="1"/>
  <c r="BK1002" i="5" l="1"/>
  <c r="BM1002" i="5" s="1"/>
  <c r="BN1002" i="5" s="1"/>
  <c r="BO1002" i="5" l="1"/>
  <c r="BP1002" i="5" s="1"/>
  <c r="BK1003" i="5"/>
  <c r="BM1003" i="5" l="1"/>
  <c r="BN1003" i="5" s="1"/>
  <c r="BO1003" i="5" l="1"/>
  <c r="BP1003" i="5" l="1"/>
  <c r="BK1004" i="5"/>
  <c r="BM1004" i="5" s="1"/>
  <c r="BN1004" i="5" s="1"/>
  <c r="BO1004" i="5" s="1"/>
  <c r="BP1004" i="5" s="1"/>
  <c r="BK1005" i="5" l="1"/>
  <c r="BM1005" i="5" l="1"/>
  <c r="BN1005" i="5" s="1"/>
  <c r="BO1005" i="5" s="1"/>
  <c r="BP1005" i="5" s="1"/>
  <c r="BK1006" i="5" l="1"/>
  <c r="BM1006" i="5" l="1"/>
  <c r="BN1006" i="5" s="1"/>
  <c r="BO1006" i="5" s="1"/>
  <c r="BP1006" i="5" s="1"/>
  <c r="BK1007" i="5" l="1"/>
  <c r="BM1007" i="5" l="1"/>
  <c r="BN1007" i="5" s="1"/>
  <c r="BO1007" i="5" l="1"/>
  <c r="BP1007" i="5" s="1"/>
  <c r="BK1008" i="5" l="1"/>
  <c r="BM1008" i="5" s="1"/>
  <c r="BN1008" i="5" s="1"/>
  <c r="BO1008" i="5" s="1"/>
  <c r="BP1008" i="5" s="1"/>
  <c r="BK1009" i="5" l="1"/>
  <c r="BM1009" i="5" l="1"/>
  <c r="BN1009" i="5" s="1"/>
  <c r="BO1009" i="5" l="1"/>
  <c r="BP1009" i="5" s="1"/>
  <c r="BK1010" i="5" l="1"/>
  <c r="BM1010" i="5" s="1"/>
  <c r="BN1010" i="5" s="1"/>
  <c r="BO1010" i="5" l="1"/>
  <c r="BP1010" i="5" s="1"/>
  <c r="BK1011" i="5" l="1"/>
  <c r="BM1011" i="5" s="1"/>
  <c r="BN1011" i="5" s="1"/>
  <c r="BO1011" i="5" s="1"/>
  <c r="BP1011" i="5" s="1"/>
  <c r="BK1012" i="5" l="1"/>
  <c r="BM1012" i="5" l="1"/>
  <c r="BN1012" i="5" s="1"/>
  <c r="BO1012" i="5" s="1"/>
  <c r="BP1012" i="5" s="1"/>
  <c r="BK1013" i="5" l="1"/>
  <c r="BM1013" i="5" l="1"/>
  <c r="BN1013" i="5" s="1"/>
  <c r="BO1013" i="5" s="1"/>
  <c r="BP1013" i="5" s="1"/>
  <c r="BK1014" i="5" l="1"/>
  <c r="BM1014" i="5" l="1"/>
  <c r="BN1014" i="5" s="1"/>
  <c r="BO1014" i="5" s="1"/>
  <c r="BP1014" i="5" s="1"/>
  <c r="BK1015" i="5" l="1"/>
  <c r="BM1015" i="5" l="1"/>
  <c r="BN1015" i="5" s="1"/>
  <c r="BO1015" i="5" s="1"/>
  <c r="BP1015" i="5" s="1"/>
  <c r="BK1016" i="5" l="1"/>
  <c r="BM1016" i="5" l="1"/>
  <c r="BN1016" i="5" s="1"/>
  <c r="BO1016" i="5" l="1"/>
  <c r="BP1016" i="5" s="1"/>
  <c r="BK1017" i="5" l="1"/>
  <c r="BM1017" i="5" s="1"/>
  <c r="BN1017" i="5" s="1"/>
  <c r="BO1017" i="5" s="1"/>
  <c r="BP1017" i="5" s="1"/>
  <c r="BK1018" i="5" l="1"/>
  <c r="BM1018" i="5" l="1"/>
  <c r="BN1018" i="5" s="1"/>
  <c r="BO1018" i="5" l="1"/>
  <c r="BP1018" i="5" s="1"/>
  <c r="BK1019" i="5" l="1"/>
  <c r="BM1019" i="5" s="1"/>
  <c r="BN1019" i="5" s="1"/>
  <c r="BO1019" i="5" s="1"/>
  <c r="BP1019" i="5" s="1"/>
  <c r="BK1020" i="5" l="1"/>
  <c r="BM1020" i="5" l="1"/>
  <c r="BN1020" i="5" s="1"/>
  <c r="BO1020" i="5" s="1"/>
  <c r="BP1020" i="5" s="1"/>
  <c r="BK1021" i="5" l="1"/>
  <c r="BM1021" i="5" l="1"/>
  <c r="BN1021" i="5" s="1"/>
  <c r="BO1021" i="5" s="1"/>
  <c r="BP1021" i="5" s="1"/>
  <c r="BK1022" i="5" l="1"/>
  <c r="BM1022" i="5" l="1"/>
  <c r="BN1022" i="5" s="1"/>
  <c r="BO1022" i="5" l="1"/>
  <c r="BP1022" i="5" l="1"/>
  <c r="BK1023" i="5"/>
  <c r="BM1023" i="5" s="1"/>
  <c r="BN1023" i="5" s="1"/>
  <c r="BO1023" i="5" l="1"/>
  <c r="BP1023" i="5" s="1"/>
  <c r="BK1024" i="5" l="1"/>
  <c r="BM1024" i="5" s="1"/>
  <c r="BN1024" i="5" s="1"/>
  <c r="BO1024" i="5" l="1"/>
  <c r="BP1024" i="5" s="1"/>
  <c r="BK1025" i="5"/>
  <c r="BM1025" i="5" l="1"/>
  <c r="BN1025" i="5" s="1"/>
  <c r="BO1025" i="5" s="1"/>
  <c r="BP1025" i="5" s="1"/>
  <c r="BK1026" i="5" l="1"/>
  <c r="BM1026" i="5" l="1"/>
  <c r="BN1026" i="5" s="1"/>
  <c r="BO1026" i="5" l="1"/>
  <c r="BK1027" i="5"/>
  <c r="BP1026" i="5" l="1"/>
  <c r="BM1027" i="5"/>
  <c r="BN1027" i="5" s="1"/>
  <c r="BO1027" i="5" s="1"/>
  <c r="BP1027" i="5" s="1"/>
  <c r="K38" i="8" l="1"/>
  <c r="L38" i="8" s="1"/>
  <c r="M38" i="8" s="1"/>
</calcChain>
</file>

<file path=xl/sharedStrings.xml><?xml version="1.0" encoding="utf-8"?>
<sst xmlns="http://schemas.openxmlformats.org/spreadsheetml/2006/main" count="628" uniqueCount="229">
  <si>
    <t>Befektetni kívánt rész</t>
  </si>
  <si>
    <t>Kiegészítők</t>
  </si>
  <si>
    <t>Hozam</t>
  </si>
  <si>
    <t>Díjfizetés gyakorisága</t>
  </si>
  <si>
    <t>Díjfizetés módja</t>
  </si>
  <si>
    <t>Deviza</t>
  </si>
  <si>
    <t>Választott index mértéke</t>
  </si>
  <si>
    <t>Születési dátum</t>
  </si>
  <si>
    <t>Válaszott eszközalap kínálat</t>
  </si>
  <si>
    <t>Feltételezett éves hozam</t>
  </si>
  <si>
    <t>Bruttó/nettó</t>
  </si>
  <si>
    <t>Eszközalap neve</t>
  </si>
  <si>
    <t>Egyedi</t>
  </si>
  <si>
    <t>Basic</t>
  </si>
  <si>
    <t>Forint alapú módozatok esetében</t>
  </si>
  <si>
    <t>Euró alapú módozatok esetében</t>
  </si>
  <si>
    <t>x</t>
  </si>
  <si>
    <t>Kockázat</t>
  </si>
  <si>
    <t>Premium</t>
  </si>
  <si>
    <t>Balaton likviditási forint eszközalap</t>
  </si>
  <si>
    <t>Kincstár magyar kötvény eszközalap</t>
  </si>
  <si>
    <t>Maraton magyar kötvény eszközalap</t>
  </si>
  <si>
    <t>Balance globális kötvény eszközalap</t>
  </si>
  <si>
    <t>Ritmus aktívan menedzselt vegyes eszközalap</t>
  </si>
  <si>
    <t>Optimum 2030 céldátum eszközalap</t>
  </si>
  <si>
    <t>Optimum 2040 céldátum eszközalap</t>
  </si>
  <si>
    <t>Korona magyar részvény eszközalap</t>
  </si>
  <si>
    <t>Global Top nemzetközi részvény eszközalapja</t>
  </si>
  <si>
    <t>Euro Top európai részvény eszközalap</t>
  </si>
  <si>
    <t>US Top amerikai részvény eszközalap</t>
  </si>
  <si>
    <t>Long Life nemzetközi részvény eszközalap</t>
  </si>
  <si>
    <t>Euro Palace európai ingatlan részvény eszközalap</t>
  </si>
  <si>
    <t>Aranysárkány kínai részvény eszközalapja</t>
  </si>
  <si>
    <t>Kasmír indiai részvény eszközalapja</t>
  </si>
  <si>
    <t>Tengerszem európai állampapír eszközalap</t>
  </si>
  <si>
    <t>Euro Top euró övezeti részvény eszközalap</t>
  </si>
  <si>
    <t>Havi</t>
  </si>
  <si>
    <t>Negyedéves</t>
  </si>
  <si>
    <t>Féléves</t>
  </si>
  <si>
    <t>Éves</t>
  </si>
  <si>
    <t>Egyszeri</t>
  </si>
  <si>
    <t>Postai</t>
  </si>
  <si>
    <t>Folyószámla</t>
  </si>
  <si>
    <t>Átutalás</t>
  </si>
  <si>
    <t>Díjnet</t>
  </si>
  <si>
    <t>Eszközalap kínálat</t>
  </si>
  <si>
    <t>Forint</t>
  </si>
  <si>
    <t>Euró</t>
  </si>
  <si>
    <t>Index</t>
  </si>
  <si>
    <t>Megfontolt</t>
  </si>
  <si>
    <t>Kiegyensúlyozott</t>
  </si>
  <si>
    <t>Növekedési</t>
  </si>
  <si>
    <t>Ajánlatra</t>
  </si>
  <si>
    <t>Végleges</t>
  </si>
  <si>
    <t>Választott portfólió</t>
  </si>
  <si>
    <t>Portfólió</t>
  </si>
  <si>
    <t>Sorszám</t>
  </si>
  <si>
    <t>Év</t>
  </si>
  <si>
    <t>Hó</t>
  </si>
  <si>
    <t>Befizetések</t>
  </si>
  <si>
    <t>Kiegészítők összesen</t>
  </si>
  <si>
    <t>Díjbeszedési díj</t>
  </si>
  <si>
    <t>Szerződéskötési kts</t>
  </si>
  <si>
    <t>Befektetési rész</t>
  </si>
  <si>
    <t>Nyitó érték</t>
  </si>
  <si>
    <t>Kockázatnak kitett összeg</t>
  </si>
  <si>
    <t>Kockázati díj</t>
  </si>
  <si>
    <t>Adminsztrációs díj</t>
  </si>
  <si>
    <t>Vagyonarányos kts</t>
  </si>
  <si>
    <t>Záró érték</t>
  </si>
  <si>
    <t>VV rendsz.</t>
  </si>
  <si>
    <t>Díjfiz. Mód</t>
  </si>
  <si>
    <t>Legördülő listák</t>
  </si>
  <si>
    <t>Díjfizetés</t>
  </si>
  <si>
    <t>Rendszeres</t>
  </si>
  <si>
    <t>Forintos</t>
  </si>
  <si>
    <t>Eurós</t>
  </si>
  <si>
    <t>Biztosítási évek</t>
  </si>
  <si>
    <t>Eseti befizetések</t>
  </si>
  <si>
    <t>Szerződéskötési kts - Manhattan</t>
  </si>
  <si>
    <t>Szerződéskötési kts - MNyP</t>
  </si>
  <si>
    <t>Vagyonarányos - Manhattan</t>
  </si>
  <si>
    <t>Vagyonarányos - MNyP</t>
  </si>
  <si>
    <t>Vagyonarányos - PP</t>
  </si>
  <si>
    <t>Fix</t>
  </si>
  <si>
    <t>Adminisztrációs kts</t>
  </si>
  <si>
    <t>Számítási alap</t>
  </si>
  <si>
    <t>Tarifa</t>
  </si>
  <si>
    <t>Kockázati díj - Manhattan</t>
  </si>
  <si>
    <t>Kockázati díj - MNyP</t>
  </si>
  <si>
    <t>Költség</t>
  </si>
  <si>
    <t>Tranzakciós költség - Manhattan+MNyP</t>
  </si>
  <si>
    <t>Tranzakciós költség - PP</t>
  </si>
  <si>
    <t>min.:</t>
  </si>
  <si>
    <t>max.:</t>
  </si>
  <si>
    <t>Szorzó</t>
  </si>
  <si>
    <t>Biztosítási összeg - Manhattan</t>
  </si>
  <si>
    <t>Biztosítási összeg - MNyP</t>
  </si>
  <si>
    <t>Eseti</t>
  </si>
  <si>
    <t>Minimális díj - Manhattan</t>
  </si>
  <si>
    <t>Minimális díj - MNyP</t>
  </si>
  <si>
    <t>Minimális díj - PP</t>
  </si>
  <si>
    <t>Díjmódosítás</t>
  </si>
  <si>
    <t>RVV utáni min.</t>
  </si>
  <si>
    <t>Limitek</t>
  </si>
  <si>
    <t>Bónusz - Manhattan</t>
  </si>
  <si>
    <t>Bónusz - MNyP</t>
  </si>
  <si>
    <t>10. éves bónusz</t>
  </si>
  <si>
    <t>Lejárati bónusz</t>
  </si>
  <si>
    <t>Visszavásárlás - Manhattan</t>
  </si>
  <si>
    <t>Visszavásárlás - MNyP</t>
  </si>
  <si>
    <t>Befektetésre szánt összeg</t>
  </si>
  <si>
    <t>Eseti befizetés</t>
  </si>
  <si>
    <t>Költség index</t>
  </si>
  <si>
    <t>Gyakorisági segéd</t>
  </si>
  <si>
    <t>Díjbeszedési költség</t>
  </si>
  <si>
    <t>Belépési kor</t>
  </si>
  <si>
    <t>Adminisztrációs kts.</t>
  </si>
  <si>
    <t>RVV</t>
  </si>
  <si>
    <t>Egyedi RVV</t>
  </si>
  <si>
    <t>Egyedi hozam</t>
  </si>
  <si>
    <t>Egyedi bef.ö.</t>
  </si>
  <si>
    <t>Egyedi eseti</t>
  </si>
  <si>
    <t>Bonus éves hozam</t>
  </si>
  <si>
    <t>Adójóváírás éves hozam</t>
  </si>
  <si>
    <t>Feltételezett havi hozam</t>
  </si>
  <si>
    <t>Eseti havi hozam</t>
  </si>
  <si>
    <t>Bonus havi hozam</t>
  </si>
  <si>
    <t>Adójóváírás havi hozam</t>
  </si>
  <si>
    <t>VV bónusz</t>
  </si>
  <si>
    <t>Bónuszra jogoslut?</t>
  </si>
  <si>
    <t>Bónusz RP</t>
  </si>
  <si>
    <t>Bónusz SP</t>
  </si>
  <si>
    <t>RVV költség</t>
  </si>
  <si>
    <t>PP éves hozam</t>
  </si>
  <si>
    <t>Portfólió Plusz</t>
  </si>
  <si>
    <t>Adókedvezmény</t>
  </si>
  <si>
    <t>Bónusz jóváírások</t>
  </si>
  <si>
    <t>Visszavásárlási érték</t>
  </si>
  <si>
    <t>Teljes szerződés</t>
  </si>
  <si>
    <t>Összesen</t>
  </si>
  <si>
    <t>VV PP</t>
  </si>
  <si>
    <t>Főbiztosítás</t>
  </si>
  <si>
    <t>Bónusz</t>
  </si>
  <si>
    <t>Biztosítás kezdete</t>
  </si>
  <si>
    <t>Bizt. tartama év</t>
  </si>
  <si>
    <t>Bizt. tartama hó</t>
  </si>
  <si>
    <t>Utolsó hó korrekció</t>
  </si>
  <si>
    <t>Lejárati dátum</t>
  </si>
  <si>
    <t>Élő?</t>
  </si>
  <si>
    <t>Bónusz 10 év</t>
  </si>
  <si>
    <t>Bónusz lejárati</t>
  </si>
  <si>
    <t>Bónusz alap</t>
  </si>
  <si>
    <t>Van adótérítés?</t>
  </si>
  <si>
    <t>Adójáváírás</t>
  </si>
  <si>
    <t>Adókedvezmény - MNyP</t>
  </si>
  <si>
    <t>Jóváírás hónapja</t>
  </si>
  <si>
    <t>Adójáváírásra jogoslut?</t>
  </si>
  <si>
    <t>Befizetés aránya</t>
  </si>
  <si>
    <t>Számolólap</t>
  </si>
  <si>
    <t>A Biztosított neve</t>
  </si>
  <si>
    <t>Adó év</t>
  </si>
  <si>
    <t>A biztosítás pénzneme</t>
  </si>
  <si>
    <t>A díjfizetés módja</t>
  </si>
  <si>
    <t>A díjfizetés gyakorisága</t>
  </si>
  <si>
    <t>A Biztosított születési dátuma</t>
  </si>
  <si>
    <t>Unit linked kalkulátor</t>
  </si>
  <si>
    <t>Várható éves hozam</t>
  </si>
  <si>
    <t>Választható portfóliók</t>
  </si>
  <si>
    <t>Választás</t>
  </si>
  <si>
    <t>Igen</t>
  </si>
  <si>
    <t>Nincs</t>
  </si>
  <si>
    <t>Egyéni korrekció</t>
  </si>
  <si>
    <t>Piac konzisztens hozam korrekció</t>
  </si>
  <si>
    <t>Ajánlat szerinti</t>
  </si>
  <si>
    <t>Részleges visszavásárlások</t>
  </si>
  <si>
    <t>Főszámla</t>
  </si>
  <si>
    <t>=KEREK.LE(HA(SZUM($U$20:$V20)=0;HA($D$2="Egyszeri";$AJ20;$AH20+$AI20);0);HA($D$4="Forint";0;2))</t>
  </si>
  <si>
    <t>=$N20-$P20-$Q20+$S20-$T20-KEREK.FEL(HA(ÜRES($V20);$U20;$V20)/HA($D$2="Egyszeri";FKERES($B20+HA($C20=12;1;0);Paraméterek!$V$256:$W$261;2);HA($B20=1;1;FKERES($B20+HA($C20=12;1;0);Paraméterek!$I$257:$T$277;VKERES($M$11+1;Paraméterek!$J$255:$T$256;2))));HA($D$4="Forint";0;2))</t>
  </si>
  <si>
    <t>Számla értékek</t>
  </si>
  <si>
    <t>=HA(SZUM($U$20:$V20)=0;$BM20;0)</t>
  </si>
  <si>
    <t>Befizetésre került összegek</t>
  </si>
  <si>
    <t>forint alapú, rendszeres díjas</t>
  </si>
  <si>
    <t>euró alapú, rendszeres díjas</t>
  </si>
  <si>
    <t>forint alapú, egyszeri díjas</t>
  </si>
  <si>
    <t>euró alapú, egyszeri díjas</t>
  </si>
  <si>
    <t xml:space="preserve">MET-689 jelű </t>
  </si>
  <si>
    <t xml:space="preserve">MET-789 jelű </t>
  </si>
  <si>
    <t xml:space="preserve">MET-649 jelű </t>
  </si>
  <si>
    <t xml:space="preserve">MET-749 jelű </t>
  </si>
  <si>
    <t xml:space="preserve">MET-728 jelű </t>
  </si>
  <si>
    <t xml:space="preserve">MET-628 jelű </t>
  </si>
  <si>
    <t xml:space="preserve">MET-788 jelű </t>
  </si>
  <si>
    <t xml:space="preserve">MET-688 jelű </t>
  </si>
  <si>
    <t>A biztosított neve:</t>
  </si>
  <si>
    <t>A biztosított születési dátuma:</t>
  </si>
  <si>
    <t>A biztosított életkora:</t>
  </si>
  <si>
    <t>A válaszott díjfizetési mód:</t>
  </si>
  <si>
    <t>A Főszámla választott portfóliója:</t>
  </si>
  <si>
    <t>A Portfólió Plusz választott portfóliója:</t>
  </si>
  <si>
    <t>A biztosítás kezdte:</t>
  </si>
  <si>
    <t>A díjfizetés gyakorisága:</t>
  </si>
  <si>
    <t>A számítást befolyásoló piac konzisztens hozam korrekció mértéke:</t>
  </si>
  <si>
    <t>Az alábbi kalkulációt befolyásoló további paraméterek:</t>
  </si>
  <si>
    <t>A biztosított életére és egészségére számított további díjak, éves:</t>
  </si>
  <si>
    <t>Az értékkövetés mértéke</t>
  </si>
  <si>
    <t>Választott eszközalap kínálat</t>
  </si>
  <si>
    <t>A kockázatviselés kezdete</t>
  </si>
  <si>
    <t>A választott értékkövetés mértéke, évi:</t>
  </si>
  <si>
    <t>A választott eszközalap kínálat:</t>
  </si>
  <si>
    <t>A Portfólió Plusz feltételezett hozama éves:</t>
  </si>
  <si>
    <t>A Főszámla feltételezett hozama éves:</t>
  </si>
  <si>
    <t>VV Adókedvezmény</t>
  </si>
  <si>
    <t>A lejárat utáni adókedvezmény várható mértéke:</t>
  </si>
  <si>
    <t>Az illusztráció kizárólag a biztosítási ajánlatban meghatározott biztosítási szerződés és a Biztosító számára átlagos biztosítási kockázatot jelentő ajánlattevő ügyfél életkorának figyelembevételével, továbbá azon feltételezések alapján készült, hogy az ügyfél eleget tesz közlési és változás bejelentési kötelezettségének, minden biztosítási évfordulón él az értékkövetés jogával, a biztosítási díjat a tartam végéig fizeti, nem él visszavásárlási-, díjmentesítési- és felmondási jogával, a biztosítási szerződés a tartam végéig hatályban marad,  illetve a szabályozói környezet nem változik oly módon, hogy az befolyással bírna a befektetések értékére.</t>
  </si>
  <si>
    <t>A biztosító a kalkuláció elkészítése során a biztosító által kezdeményezett összes, a szerződő döntésétől függetlenül felmerülő, költségelvonást érvényesíti.</t>
  </si>
  <si>
    <t>A kalkuláció elkészítésekor a biztosító a díjbeszedési költséget és az adminisztrációs költséget minden évfordulón megnöveli  3%-kal.</t>
  </si>
  <si>
    <r>
      <t>Az illusztráció kizárólag a biztosítási ajánlatban meghatározott biztosítási szerződés és a Biztosító számára átlagos biztosítási kockázatot jelentő ajánlattevő ügyfél életkorának figyelembevételével, továbbá azon feltételezések alapján készült, hogy az ügyfél eleget tesz közlési és változás bejelentési kötelezettségének, minden biztosítási évfordulón él az értékkövetés jogával, a biztosítási díjat a tartam végéig fizeti, nem él visszavásárlási-, díjmentesítési- és felmondási jogával, a biztosítási szerződés a tartam végéig hatályban marad, a szerződő évente igénybe veszi az adóvisszatérítést</t>
    </r>
    <r>
      <rPr>
        <sz val="10"/>
        <rFont val="Arial"/>
        <family val="2"/>
        <charset val="238"/>
      </rPr>
      <t>, illetve a szabályozói környezet nem változik oly módon, hogy az negatív befolyással bírna a befektetések értékére.</t>
    </r>
  </si>
  <si>
    <t>Az eszközalapok hozamának, illetve átlagos hozamának mértéke, azok referencia indexeinek múltbeli hosszútávú hozamain alapszik.</t>
  </si>
  <si>
    <r>
      <t xml:space="preserve">Az alábbi táblázatban a Befizetett összegek az adott évig </t>
    </r>
    <r>
      <rPr>
        <b/>
        <sz val="10"/>
        <rFont val="Arial"/>
        <family val="2"/>
        <charset val="238"/>
      </rPr>
      <t>összesítve</t>
    </r>
    <r>
      <rPr>
        <sz val="10"/>
        <rFont val="Arial"/>
        <family val="2"/>
        <charset val="238"/>
      </rPr>
      <t xml:space="preserve"> kerülnek feltüntetve.</t>
    </r>
  </si>
  <si>
    <r>
      <t xml:space="preserve">Az alábbi táblázatban a Befizetett összegek az adott </t>
    </r>
    <r>
      <rPr>
        <b/>
        <sz val="10"/>
        <rFont val="Arial"/>
        <family val="2"/>
        <charset val="238"/>
      </rPr>
      <t>évre</t>
    </r>
    <r>
      <rPr>
        <sz val="10"/>
        <rFont val="Arial"/>
        <family val="2"/>
        <charset val="238"/>
      </rPr>
      <t xml:space="preserve"> kerülnek feltüntetve.</t>
    </r>
  </si>
  <si>
    <r>
      <t xml:space="preserve">Tájékoztatás:
</t>
    </r>
    <r>
      <rPr>
        <sz val="10"/>
        <rFont val="Arial"/>
        <family val="2"/>
        <charset val="238"/>
      </rPr>
      <t xml:space="preserve">A szemléltetést szolgáló illusztráció nem minősül a biztosítási tevékenységét Magyarország területén a MetLife Europe d.a.c. Magyarországi Fióktelepén keresztül kifejtő MetLife Europe d.a.c. („Biztosító”) a tőke megóvására, illetve a hozamra vonatkozó garancia vállalásának, illetve a tőke megóvására vagy a hozamra vonatkozó ígéretének, illetve bármilyen egyéb kötelezettségvállalásának.
</t>
    </r>
    <r>
      <rPr>
        <b/>
        <sz val="10"/>
        <color rgb="FFDB0A5B"/>
        <rFont val="Arial"/>
        <family val="2"/>
        <charset val="238"/>
      </rPr>
      <t>Az illusztráció kizárólag általános tájékoztatási célt szolgál!</t>
    </r>
  </si>
  <si>
    <t>Lejárati hó eleje</t>
  </si>
  <si>
    <t>Napok száma</t>
  </si>
  <si>
    <t>Évforduló</t>
  </si>
  <si>
    <t>Utolsó évforduló</t>
  </si>
  <si>
    <t>Utolsó hóforduló</t>
  </si>
  <si>
    <t>Egésznapok</t>
  </si>
  <si>
    <t>v1.2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</si>
</sst>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quot;év&quot;"/>
    <numFmt numFmtId="165" formatCode="#,##0.0000"/>
    <numFmt numFmtId="166" formatCode="0\ &quot;év&quot;"/>
    <numFmt numFmtId="167" formatCode="0.0000"/>
  </numFmts>
  <fonts count="15" x14ac:knownFonts="1">
    <font>
      <sz val="10"/>
      <color theme="1"/>
      <name val="Arial"/>
      <family val="2"/>
      <charset val="238"/>
    </font>
    <font>
      <sz val="10"/>
      <name val="Arial"/>
      <family val="2"/>
      <charset val="238"/>
    </font>
    <font>
      <sz val="10"/>
      <name val="Arial"/>
      <family val="2"/>
      <charset val="238"/>
    </font>
    <font>
      <sz val="10"/>
      <name val="Arial"/>
      <family val="2"/>
      <charset val="238"/>
    </font>
    <font>
      <b/>
      <sz val="10"/>
      <color theme="1"/>
      <name val="Arial"/>
      <family val="2"/>
      <charset val="238"/>
    </font>
    <font>
      <b/>
      <sz val="10"/>
      <color theme="0"/>
      <name val="Arial"/>
      <family val="2"/>
      <charset val="238"/>
    </font>
    <font>
      <sz val="10"/>
      <name val="Arial"/>
      <family val="2"/>
      <charset val="238"/>
    </font>
    <font>
      <b/>
      <sz val="24"/>
      <color theme="1"/>
      <name val="Arial"/>
      <family val="2"/>
      <charset val="238"/>
    </font>
    <font>
      <i/>
      <sz val="10"/>
      <color theme="1"/>
      <name val="Arial"/>
      <family val="2"/>
      <charset val="238"/>
    </font>
    <font>
      <b/>
      <sz val="10"/>
      <color rgb="FFDB0A5B"/>
      <name val="Arial"/>
      <family val="2"/>
      <charset val="238"/>
    </font>
    <font>
      <sz val="10"/>
      <color rgb="FFDB0A5B"/>
      <name val="Arial"/>
      <family val="2"/>
      <charset val="238"/>
    </font>
    <font>
      <sz val="10"/>
      <color theme="0"/>
      <name val="Arial"/>
      <family val="2"/>
      <charset val="238"/>
    </font>
    <font>
      <b/>
      <sz val="16"/>
      <color theme="0"/>
      <name val="Arial"/>
      <family val="2"/>
      <charset val="238"/>
    </font>
    <font>
      <sz val="16"/>
      <color theme="0"/>
      <name val="Arial"/>
      <family val="2"/>
      <charset val="238"/>
    </font>
    <font>
      <b/>
      <sz val="10"/>
      <name val="Arial"/>
      <family val="2"/>
      <charset val="238"/>
    </font>
  </fonts>
  <fills count="6">
    <fill>
      <patternFill patternType="none"/>
    </fill>
    <fill>
      <patternFill patternType="gray125"/>
    </fill>
    <fill>
      <patternFill patternType="solid">
        <fgColor rgb="FF0061A0"/>
        <bgColor indexed="64"/>
      </patternFill>
    </fill>
    <fill>
      <patternFill patternType="solid">
        <fgColor theme="0"/>
        <bgColor indexed="64"/>
      </patternFill>
    </fill>
    <fill>
      <patternFill patternType="solid">
        <fgColor rgb="FF0090DA"/>
        <bgColor indexed="64"/>
      </patternFill>
    </fill>
    <fill>
      <patternFill patternType="solid">
        <fgColor rgb="FFA4CE4E"/>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auto="1"/>
      </top>
      <bottom style="thin">
        <color auto="1"/>
      </bottom>
      <diagonal/>
    </border>
    <border>
      <left/>
      <right/>
      <top/>
      <bottom style="thin">
        <color theme="0"/>
      </bottom>
      <diagonal/>
    </border>
    <border>
      <left/>
      <right/>
      <top style="thin">
        <color theme="0"/>
      </top>
      <bottom/>
      <diagonal/>
    </border>
    <border>
      <left/>
      <right/>
      <top style="thin">
        <color theme="0"/>
      </top>
      <bottom style="thin">
        <color theme="0"/>
      </bottom>
      <diagonal/>
    </border>
  </borders>
  <cellStyleXfs count="1">
    <xf numFmtId="0" fontId="0" fillId="0" borderId="0"/>
  </cellStyleXfs>
  <cellXfs count="116">
    <xf numFmtId="0" fontId="0" fillId="0" borderId="0" xfId="0"/>
    <xf numFmtId="0" fontId="0" fillId="0" borderId="0" xfId="0"/>
    <xf numFmtId="10" fontId="0" fillId="0" borderId="0" xfId="0" applyNumberFormat="1"/>
    <xf numFmtId="9" fontId="0" fillId="0" borderId="0" xfId="0" applyNumberFormat="1"/>
    <xf numFmtId="14" fontId="0" fillId="0" borderId="0" xfId="0" applyNumberFormat="1"/>
    <xf numFmtId="3" fontId="0" fillId="0" borderId="0" xfId="0" applyNumberFormat="1"/>
    <xf numFmtId="0" fontId="4" fillId="0" borderId="0" xfId="0" applyFont="1"/>
    <xf numFmtId="164" fontId="4" fillId="0" borderId="0" xfId="0" applyNumberFormat="1" applyFont="1"/>
    <xf numFmtId="164" fontId="0" fillId="0" borderId="0" xfId="0" applyNumberFormat="1" applyFont="1"/>
    <xf numFmtId="0" fontId="0" fillId="0" borderId="0" xfId="0" applyFont="1"/>
    <xf numFmtId="4" fontId="0" fillId="0" borderId="0" xfId="0" applyNumberFormat="1"/>
    <xf numFmtId="165" fontId="0" fillId="0" borderId="0" xfId="0" applyNumberFormat="1"/>
    <xf numFmtId="0" fontId="0" fillId="0" borderId="0" xfId="0" applyNumberFormat="1"/>
    <xf numFmtId="4" fontId="0" fillId="0" borderId="1" xfId="0" applyNumberFormat="1" applyBorder="1"/>
    <xf numFmtId="167" fontId="0" fillId="0" borderId="0" xfId="0" applyNumberFormat="1"/>
    <xf numFmtId="0" fontId="0" fillId="0" borderId="0" xfId="0" applyNumberFormat="1" applyFont="1"/>
    <xf numFmtId="1" fontId="0" fillId="0" borderId="0" xfId="0" applyNumberFormat="1"/>
    <xf numFmtId="0" fontId="8" fillId="0" borderId="0" xfId="0" applyFont="1"/>
    <xf numFmtId="0" fontId="0" fillId="0" borderId="0" xfId="0" quotePrefix="1" applyNumberFormat="1"/>
    <xf numFmtId="0" fontId="0" fillId="3" borderId="0" xfId="0" applyFill="1" applyBorder="1" applyAlignment="1" applyProtection="1">
      <alignment vertical="center"/>
      <protection hidden="1"/>
    </xf>
    <xf numFmtId="0" fontId="8" fillId="3" borderId="0" xfId="0" applyFont="1" applyFill="1" applyBorder="1" applyAlignment="1" applyProtection="1">
      <alignment vertical="center"/>
      <protection hidden="1"/>
    </xf>
    <xf numFmtId="0" fontId="11" fillId="3" borderId="0" xfId="0" applyFont="1" applyFill="1" applyBorder="1" applyAlignment="1" applyProtection="1">
      <alignment vertical="center"/>
      <protection hidden="1"/>
    </xf>
    <xf numFmtId="0" fontId="5" fillId="2" borderId="0" xfId="0" applyFont="1" applyFill="1" applyBorder="1" applyAlignment="1" applyProtection="1">
      <alignment horizontal="center" vertical="center"/>
      <protection hidden="1"/>
    </xf>
    <xf numFmtId="10" fontId="0" fillId="3" borderId="4" xfId="0" applyNumberFormat="1" applyFill="1" applyBorder="1" applyAlignment="1" applyProtection="1">
      <alignment horizontal="center" vertical="center"/>
      <protection hidden="1"/>
    </xf>
    <xf numFmtId="9" fontId="0" fillId="3" borderId="4" xfId="0" applyNumberFormat="1" applyFill="1" applyBorder="1" applyAlignment="1" applyProtection="1">
      <alignment horizontal="center" vertical="center"/>
      <protection hidden="1"/>
    </xf>
    <xf numFmtId="10" fontId="11" fillId="3" borderId="0" xfId="0" applyNumberFormat="1" applyFont="1" applyFill="1" applyBorder="1" applyAlignment="1" applyProtection="1">
      <alignment vertical="center"/>
      <protection hidden="1"/>
    </xf>
    <xf numFmtId="10" fontId="0" fillId="3" borderId="5" xfId="0" applyNumberFormat="1" applyFill="1" applyBorder="1" applyAlignment="1" applyProtection="1">
      <alignment horizontal="center" vertical="center"/>
      <protection hidden="1"/>
    </xf>
    <xf numFmtId="9" fontId="0" fillId="3" borderId="5" xfId="0" applyNumberFormat="1" applyFill="1" applyBorder="1" applyAlignment="1" applyProtection="1">
      <alignment horizontal="center" vertical="center"/>
      <protection hidden="1"/>
    </xf>
    <xf numFmtId="0" fontId="0" fillId="3" borderId="0" xfId="0" applyFill="1" applyAlignment="1" applyProtection="1">
      <alignment vertical="center"/>
      <protection hidden="1"/>
    </xf>
    <xf numFmtId="0" fontId="0" fillId="3" borderId="0" xfId="0" applyFont="1" applyFill="1" applyBorder="1" applyAlignment="1" applyProtection="1">
      <alignment vertical="center"/>
      <protection hidden="1"/>
    </xf>
    <xf numFmtId="0" fontId="0" fillId="0" borderId="1" xfId="0" applyBorder="1"/>
    <xf numFmtId="0" fontId="0" fillId="0" borderId="1" xfId="0" applyNumberFormat="1" applyBorder="1"/>
    <xf numFmtId="3" fontId="0" fillId="0" borderId="1" xfId="0" applyNumberFormat="1" applyBorder="1"/>
    <xf numFmtId="10" fontId="0" fillId="0" borderId="1" xfId="0" applyNumberFormat="1" applyBorder="1"/>
    <xf numFmtId="1" fontId="0" fillId="0" borderId="1" xfId="0" applyNumberFormat="1" applyBorder="1"/>
    <xf numFmtId="14" fontId="0" fillId="0" borderId="1" xfId="0" applyNumberFormat="1" applyBorder="1"/>
    <xf numFmtId="14" fontId="4" fillId="0" borderId="1" xfId="0" applyNumberFormat="1" applyFont="1" applyBorder="1"/>
    <xf numFmtId="0" fontId="4" fillId="0" borderId="1" xfId="0" applyFont="1" applyBorder="1"/>
    <xf numFmtId="9" fontId="0" fillId="0" borderId="1" xfId="0" applyNumberFormat="1" applyBorder="1"/>
    <xf numFmtId="9" fontId="4" fillId="0" borderId="1" xfId="0" applyNumberFormat="1" applyFont="1" applyBorder="1"/>
    <xf numFmtId="3" fontId="4" fillId="0" borderId="1" xfId="0" applyNumberFormat="1" applyFont="1" applyBorder="1"/>
    <xf numFmtId="10" fontId="4" fillId="0" borderId="1" xfId="0" applyNumberFormat="1" applyFont="1" applyBorder="1"/>
    <xf numFmtId="0" fontId="5" fillId="2" borderId="0" xfId="0" applyFont="1" applyFill="1" applyBorder="1" applyAlignment="1" applyProtection="1">
      <alignment horizontal="center" vertical="center" wrapText="1"/>
      <protection hidden="1"/>
    </xf>
    <xf numFmtId="0" fontId="4" fillId="3" borderId="0" xfId="0" applyFont="1" applyFill="1" applyAlignment="1" applyProtection="1">
      <alignment vertical="center"/>
      <protection hidden="1"/>
    </xf>
    <xf numFmtId="10" fontId="0" fillId="3" borderId="1" xfId="0" applyNumberFormat="1" applyFill="1" applyBorder="1" applyAlignment="1" applyProtection="1">
      <alignment vertical="center"/>
      <protection hidden="1"/>
    </xf>
    <xf numFmtId="3" fontId="0" fillId="3" borderId="1" xfId="0" applyNumberFormat="1" applyFill="1" applyBorder="1" applyAlignment="1" applyProtection="1">
      <alignment vertical="center"/>
      <protection hidden="1"/>
    </xf>
    <xf numFmtId="0" fontId="11" fillId="3" borderId="0" xfId="0" applyFont="1" applyFill="1" applyAlignment="1" applyProtection="1">
      <alignment vertical="center"/>
      <protection hidden="1"/>
    </xf>
    <xf numFmtId="166" fontId="11" fillId="4" borderId="4" xfId="0" applyNumberFormat="1" applyFont="1" applyFill="1" applyBorder="1" applyAlignment="1" applyProtection="1">
      <alignment horizontal="center" vertical="center"/>
      <protection hidden="1"/>
    </xf>
    <xf numFmtId="4" fontId="0" fillId="3" borderId="4" xfId="0" applyNumberFormat="1" applyFill="1" applyBorder="1" applyAlignment="1" applyProtection="1">
      <alignment vertical="center"/>
      <protection hidden="1"/>
    </xf>
    <xf numFmtId="4" fontId="0" fillId="5" borderId="4" xfId="0" applyNumberFormat="1" applyFill="1" applyBorder="1" applyAlignment="1" applyProtection="1">
      <alignment vertical="center"/>
      <protection hidden="1"/>
    </xf>
    <xf numFmtId="4" fontId="10" fillId="3" borderId="4" xfId="0" applyNumberFormat="1" applyFont="1" applyFill="1" applyBorder="1" applyAlignment="1" applyProtection="1">
      <alignment vertical="center"/>
      <protection hidden="1"/>
    </xf>
    <xf numFmtId="166" fontId="11" fillId="4" borderId="5" xfId="0" applyNumberFormat="1" applyFont="1" applyFill="1" applyBorder="1" applyAlignment="1" applyProtection="1">
      <alignment horizontal="center" vertical="center"/>
      <protection hidden="1"/>
    </xf>
    <xf numFmtId="4" fontId="0" fillId="3" borderId="5" xfId="0" applyNumberFormat="1" applyFill="1" applyBorder="1" applyAlignment="1" applyProtection="1">
      <alignment vertical="center"/>
      <protection hidden="1"/>
    </xf>
    <xf numFmtId="4" fontId="0" fillId="5" borderId="5" xfId="0" applyNumberFormat="1" applyFill="1" applyBorder="1" applyAlignment="1" applyProtection="1">
      <alignment vertical="center"/>
      <protection hidden="1"/>
    </xf>
    <xf numFmtId="0" fontId="9" fillId="3" borderId="0" xfId="0" applyFont="1" applyFill="1" applyBorder="1" applyAlignment="1" applyProtection="1">
      <alignment vertical="center"/>
      <protection hidden="1"/>
    </xf>
    <xf numFmtId="9" fontId="9" fillId="3" borderId="4" xfId="0" applyNumberFormat="1" applyFont="1" applyFill="1" applyBorder="1" applyAlignment="1" applyProtection="1">
      <alignment horizontal="center" vertical="center"/>
      <protection locked="0"/>
    </xf>
    <xf numFmtId="9" fontId="9" fillId="3" borderId="5" xfId="0" applyNumberFormat="1" applyFont="1" applyFill="1" applyBorder="1" applyAlignment="1" applyProtection="1">
      <alignment horizontal="center" vertical="center"/>
      <protection locked="0"/>
    </xf>
    <xf numFmtId="0" fontId="5" fillId="2" borderId="0" xfId="0" applyFont="1" applyFill="1" applyBorder="1" applyAlignment="1" applyProtection="1">
      <alignment horizontal="center" vertical="center"/>
      <protection hidden="1"/>
    </xf>
    <xf numFmtId="0" fontId="0" fillId="0" borderId="0" xfId="0" quotePrefix="1"/>
    <xf numFmtId="0" fontId="0" fillId="5" borderId="1" xfId="0" applyFont="1" applyFill="1" applyBorder="1" applyAlignment="1" applyProtection="1">
      <alignment horizontal="center" vertical="center"/>
      <protection locked="0"/>
    </xf>
    <xf numFmtId="0" fontId="5" fillId="2" borderId="0" xfId="0" applyFont="1" applyFill="1" applyBorder="1" applyAlignment="1" applyProtection="1">
      <alignment horizontal="center" vertical="center" wrapText="1"/>
      <protection hidden="1"/>
    </xf>
    <xf numFmtId="0" fontId="3" fillId="0" borderId="4" xfId="0" applyFont="1" applyBorder="1" applyAlignment="1">
      <alignment horizontal="left" vertical="center"/>
    </xf>
    <xf numFmtId="0" fontId="3" fillId="0" borderId="5" xfId="0" applyFont="1" applyBorder="1" applyAlignment="1">
      <alignment horizontal="left" vertical="center"/>
    </xf>
    <xf numFmtId="0" fontId="5" fillId="2" borderId="6" xfId="0" applyFont="1" applyFill="1" applyBorder="1" applyAlignment="1" applyProtection="1">
      <alignment horizontal="center" vertical="center"/>
      <protection hidden="1"/>
    </xf>
    <xf numFmtId="0" fontId="5" fillId="2" borderId="2" xfId="0" applyFont="1" applyFill="1" applyBorder="1" applyAlignment="1" applyProtection="1">
      <alignment horizontal="left" vertical="center"/>
      <protection hidden="1"/>
    </xf>
    <xf numFmtId="0" fontId="5" fillId="2" borderId="5" xfId="0" applyFont="1" applyFill="1" applyBorder="1" applyAlignment="1" applyProtection="1">
      <alignment horizontal="left" vertical="center"/>
      <protection hidden="1"/>
    </xf>
    <xf numFmtId="0" fontId="5" fillId="2" borderId="3" xfId="0" applyFont="1" applyFill="1" applyBorder="1" applyAlignment="1" applyProtection="1">
      <alignment horizontal="left" vertical="center"/>
      <protection hidden="1"/>
    </xf>
    <xf numFmtId="0" fontId="0" fillId="5" borderId="1" xfId="0" applyFill="1" applyBorder="1" applyAlignment="1" applyProtection="1">
      <alignment horizontal="center" vertical="center"/>
      <protection locked="0"/>
    </xf>
    <xf numFmtId="14" fontId="0" fillId="5" borderId="1" xfId="0" applyNumberFormat="1" applyFont="1" applyFill="1" applyBorder="1" applyAlignment="1" applyProtection="1">
      <alignment horizontal="center" vertical="center"/>
      <protection locked="0"/>
    </xf>
    <xf numFmtId="0" fontId="0" fillId="5" borderId="1" xfId="0" applyFont="1" applyFill="1" applyBorder="1" applyAlignment="1" applyProtection="1">
      <alignment horizontal="right" vertical="center"/>
      <protection locked="0"/>
    </xf>
    <xf numFmtId="0" fontId="7" fillId="3" borderId="0" xfId="0" applyFont="1" applyFill="1" applyBorder="1" applyAlignment="1" applyProtection="1">
      <alignment horizontal="center" vertical="center"/>
      <protection hidden="1"/>
    </xf>
    <xf numFmtId="0" fontId="10" fillId="3" borderId="0" xfId="0" applyFont="1" applyFill="1" applyBorder="1" applyAlignment="1" applyProtection="1">
      <alignment horizontal="left" vertical="center"/>
      <protection hidden="1"/>
    </xf>
    <xf numFmtId="14" fontId="4" fillId="3" borderId="1" xfId="0" applyNumberFormat="1" applyFont="1" applyFill="1" applyBorder="1" applyAlignment="1" applyProtection="1">
      <alignment horizontal="center" vertical="center"/>
      <protection hidden="1"/>
    </xf>
    <xf numFmtId="0" fontId="0" fillId="5" borderId="2" xfId="0" applyFill="1" applyBorder="1" applyAlignment="1" applyProtection="1">
      <alignment horizontal="center" vertical="center"/>
      <protection locked="0"/>
    </xf>
    <xf numFmtId="0" fontId="0" fillId="5" borderId="5" xfId="0" applyFill="1" applyBorder="1" applyAlignment="1" applyProtection="1">
      <alignment horizontal="center" vertical="center"/>
      <protection locked="0"/>
    </xf>
    <xf numFmtId="0" fontId="0" fillId="5" borderId="3" xfId="0" applyFill="1" applyBorder="1" applyAlignment="1" applyProtection="1">
      <alignment horizontal="center" vertical="center"/>
      <protection locked="0"/>
    </xf>
    <xf numFmtId="9" fontId="0" fillId="5" borderId="1" xfId="0" applyNumberFormat="1" applyFill="1" applyBorder="1" applyAlignment="1" applyProtection="1">
      <alignment horizontal="center" vertical="center"/>
      <protection locked="0"/>
    </xf>
    <xf numFmtId="10" fontId="4" fillId="3" borderId="1" xfId="0" applyNumberFormat="1" applyFont="1" applyFill="1" applyBorder="1" applyAlignment="1" applyProtection="1">
      <alignment horizontal="center" vertical="center"/>
      <protection hidden="1"/>
    </xf>
    <xf numFmtId="10" fontId="0" fillId="5" borderId="1" xfId="0" applyNumberFormat="1" applyFill="1" applyBorder="1" applyAlignment="1" applyProtection="1">
      <alignment horizontal="center" vertical="center"/>
      <protection locked="0"/>
    </xf>
    <xf numFmtId="0" fontId="5" fillId="2" borderId="1" xfId="0" applyFont="1" applyFill="1" applyBorder="1" applyAlignment="1" applyProtection="1">
      <alignment horizontal="left" vertical="center"/>
      <protection hidden="1"/>
    </xf>
    <xf numFmtId="0" fontId="8" fillId="3" borderId="1" xfId="0" applyFont="1" applyFill="1" applyBorder="1" applyAlignment="1" applyProtection="1">
      <alignment horizontal="right" vertical="center"/>
      <protection hidden="1"/>
    </xf>
    <xf numFmtId="0" fontId="5" fillId="2" borderId="0" xfId="0" applyFont="1" applyFill="1" applyBorder="1" applyAlignment="1" applyProtection="1">
      <alignment horizontal="center" vertical="center"/>
      <protection hidden="1"/>
    </xf>
    <xf numFmtId="0" fontId="10" fillId="3" borderId="4" xfId="0" applyFont="1" applyFill="1" applyBorder="1" applyAlignment="1" applyProtection="1">
      <alignment horizontal="left" vertical="center"/>
      <protection hidden="1"/>
    </xf>
    <xf numFmtId="0" fontId="10" fillId="3" borderId="5" xfId="0" applyFont="1" applyFill="1" applyBorder="1" applyAlignment="1" applyProtection="1">
      <alignment horizontal="left" vertical="center"/>
      <protection hidden="1"/>
    </xf>
    <xf numFmtId="0" fontId="11" fillId="4" borderId="5" xfId="0" applyFont="1" applyFill="1" applyBorder="1" applyAlignment="1" applyProtection="1">
      <alignment horizontal="center" vertical="center"/>
      <protection locked="0"/>
    </xf>
    <xf numFmtId="0" fontId="12" fillId="2" borderId="0" xfId="0" applyFont="1" applyFill="1" applyBorder="1" applyAlignment="1" applyProtection="1">
      <alignment horizontal="center" vertical="center"/>
      <protection hidden="1"/>
    </xf>
    <xf numFmtId="0" fontId="12" fillId="2" borderId="6" xfId="0" applyFont="1" applyFill="1" applyBorder="1" applyAlignment="1" applyProtection="1">
      <alignment horizontal="center" vertical="center"/>
      <protection hidden="1"/>
    </xf>
    <xf numFmtId="0" fontId="5" fillId="2" borderId="0" xfId="0" applyFont="1" applyFill="1" applyAlignment="1" applyProtection="1">
      <alignment horizontal="center" vertical="center"/>
      <protection hidden="1"/>
    </xf>
    <xf numFmtId="0" fontId="5" fillId="2" borderId="0" xfId="0" applyFont="1" applyFill="1" applyAlignment="1" applyProtection="1">
      <alignment horizontal="center" vertical="center" wrapText="1"/>
      <protection hidden="1"/>
    </xf>
    <xf numFmtId="0" fontId="5" fillId="2" borderId="7" xfId="0" applyFont="1" applyFill="1" applyBorder="1" applyAlignment="1" applyProtection="1">
      <alignment horizontal="center" vertical="center"/>
      <protection hidden="1"/>
    </xf>
    <xf numFmtId="0" fontId="0" fillId="5" borderId="4" xfId="0" applyFill="1" applyBorder="1" applyAlignment="1" applyProtection="1">
      <alignment horizontal="center" vertical="center"/>
      <protection locked="0"/>
    </xf>
    <xf numFmtId="0" fontId="11" fillId="4" borderId="4" xfId="0" applyFont="1" applyFill="1" applyBorder="1" applyAlignment="1" applyProtection="1">
      <alignment horizontal="center" vertical="center"/>
      <protection locked="0"/>
    </xf>
    <xf numFmtId="0" fontId="0" fillId="3" borderId="5" xfId="0" applyFill="1" applyBorder="1" applyAlignment="1" applyProtection="1">
      <alignment horizontal="center" vertical="center"/>
      <protection hidden="1"/>
    </xf>
    <xf numFmtId="0" fontId="0" fillId="3" borderId="4" xfId="0" applyFill="1" applyBorder="1" applyAlignment="1" applyProtection="1">
      <alignment horizontal="center" vertical="center"/>
      <protection hidden="1"/>
    </xf>
    <xf numFmtId="0" fontId="11" fillId="3" borderId="4" xfId="0" applyFont="1" applyFill="1" applyBorder="1" applyAlignment="1" applyProtection="1">
      <alignment horizontal="center" vertical="center"/>
      <protection hidden="1"/>
    </xf>
    <xf numFmtId="0" fontId="11" fillId="3" borderId="5" xfId="0" applyFont="1" applyFill="1" applyBorder="1" applyAlignment="1" applyProtection="1">
      <alignment horizontal="center" vertical="center"/>
      <protection hidden="1"/>
    </xf>
    <xf numFmtId="0" fontId="4" fillId="0" borderId="0" xfId="0" applyFont="1" applyAlignment="1">
      <alignment horizontal="center"/>
    </xf>
    <xf numFmtId="0" fontId="5" fillId="2" borderId="7" xfId="0" applyFont="1" applyFill="1" applyBorder="1" applyAlignment="1" applyProtection="1">
      <alignment horizontal="center" vertical="center" wrapText="1"/>
      <protection hidden="1"/>
    </xf>
    <xf numFmtId="0" fontId="11" fillId="4" borderId="1" xfId="0" applyFont="1" applyFill="1" applyBorder="1" applyAlignment="1" applyProtection="1">
      <alignment horizontal="left" vertical="center"/>
      <protection hidden="1"/>
    </xf>
    <xf numFmtId="0" fontId="6" fillId="3" borderId="2" xfId="0" applyFont="1" applyFill="1" applyBorder="1" applyAlignment="1" applyProtection="1">
      <alignment horizontal="left" vertical="center"/>
      <protection hidden="1"/>
    </xf>
    <xf numFmtId="0" fontId="6" fillId="3" borderId="5" xfId="0" applyFont="1" applyFill="1" applyBorder="1" applyAlignment="1" applyProtection="1">
      <alignment horizontal="left" vertical="center"/>
      <protection hidden="1"/>
    </xf>
    <xf numFmtId="0" fontId="6" fillId="3" borderId="3" xfId="0" applyFont="1" applyFill="1" applyBorder="1" applyAlignment="1" applyProtection="1">
      <alignment horizontal="left" vertical="center"/>
      <protection hidden="1"/>
    </xf>
    <xf numFmtId="0" fontId="2" fillId="3" borderId="2" xfId="0" applyFont="1" applyFill="1" applyBorder="1" applyAlignment="1" applyProtection="1">
      <alignment horizontal="left" vertical="center"/>
      <protection hidden="1"/>
    </xf>
    <xf numFmtId="14" fontId="0" fillId="3" borderId="1" xfId="0" applyNumberFormat="1" applyFill="1" applyBorder="1" applyAlignment="1" applyProtection="1">
      <alignment horizontal="center" vertical="center"/>
      <protection hidden="1"/>
    </xf>
    <xf numFmtId="0" fontId="0" fillId="3" borderId="1" xfId="0" applyFill="1" applyBorder="1" applyAlignment="1" applyProtection="1">
      <alignment horizontal="center" vertical="center"/>
      <protection hidden="1"/>
    </xf>
    <xf numFmtId="9" fontId="0" fillId="3" borderId="1" xfId="0" applyNumberFormat="1" applyFill="1" applyBorder="1" applyAlignment="1" applyProtection="1">
      <alignment horizontal="center" vertical="center"/>
      <protection hidden="1"/>
    </xf>
    <xf numFmtId="10" fontId="0" fillId="3" borderId="1" xfId="0" applyNumberFormat="1" applyFill="1" applyBorder="1" applyAlignment="1" applyProtection="1">
      <alignment horizontal="center" vertical="center"/>
      <protection hidden="1"/>
    </xf>
    <xf numFmtId="3" fontId="0" fillId="3" borderId="1" xfId="0" applyNumberFormat="1" applyFill="1" applyBorder="1" applyAlignment="1" applyProtection="1">
      <alignment horizontal="center" vertical="center"/>
      <protection hidden="1"/>
    </xf>
    <xf numFmtId="0" fontId="7" fillId="3" borderId="0" xfId="0" applyFont="1" applyFill="1" applyAlignment="1" applyProtection="1">
      <alignment horizontal="center" vertical="center"/>
      <protection hidden="1"/>
    </xf>
    <xf numFmtId="164" fontId="0" fillId="3" borderId="1" xfId="0" applyNumberFormat="1" applyFill="1" applyBorder="1" applyAlignment="1" applyProtection="1">
      <alignment horizontal="center" vertical="center"/>
      <protection hidden="1"/>
    </xf>
    <xf numFmtId="0" fontId="5" fillId="2" borderId="6" xfId="0" applyFont="1" applyFill="1" applyBorder="1" applyAlignment="1" applyProtection="1">
      <alignment horizontal="center" vertical="center" wrapText="1"/>
      <protection hidden="1"/>
    </xf>
    <xf numFmtId="0" fontId="5" fillId="2" borderId="8" xfId="0" applyFont="1" applyFill="1" applyBorder="1" applyAlignment="1" applyProtection="1">
      <alignment horizontal="center" vertical="center" wrapText="1"/>
      <protection hidden="1"/>
    </xf>
    <xf numFmtId="0" fontId="13" fillId="2" borderId="0" xfId="0" applyFont="1" applyFill="1" applyAlignment="1" applyProtection="1">
      <alignment horizontal="center" vertical="center"/>
      <protection hidden="1"/>
    </xf>
    <xf numFmtId="0" fontId="14" fillId="3" borderId="4" xfId="0" applyFont="1" applyFill="1" applyBorder="1" applyAlignment="1" applyProtection="1">
      <alignment horizontal="left" vertical="top" wrapText="1"/>
      <protection hidden="1"/>
    </xf>
    <xf numFmtId="0" fontId="2" fillId="3" borderId="4" xfId="0" applyFont="1" applyFill="1" applyBorder="1" applyAlignment="1" applyProtection="1">
      <alignment horizontal="left" vertical="top" wrapText="1"/>
      <protection hidden="1"/>
    </xf>
    <xf numFmtId="0" fontId="2" fillId="3" borderId="5" xfId="0" applyFont="1" applyFill="1" applyBorder="1" applyAlignment="1" applyProtection="1">
      <alignment horizontal="left" vertical="top" wrapText="1"/>
      <protection hidden="1"/>
    </xf>
  </cellXfs>
  <cellStyles count="1">
    <cellStyle name="Normál" xfId="0" builtinId="0"/>
  </cellStyles>
  <dxfs count="111">
    <dxf>
      <numFmt numFmtId="168" formatCode="#,##0.00\ [$€-1]"/>
    </dxf>
    <dxf>
      <numFmt numFmtId="169" formatCode="#,##0\ &quot;Ft&quot;"/>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70" formatCode="_-* #,##0.00\ [$€-1]_-;\-* #,##0.00\ [$€-1]_-;_-* &quot;-&quot;??\ [$€-1]_-;_-@_-"/>
    </dxf>
    <dxf>
      <numFmt numFmtId="169" formatCode="#,##0\ &quot;Ft&quot;"/>
    </dxf>
    <dxf>
      <numFmt numFmtId="170" formatCode="_-* #,##0.00\ [$€-1]_-;\-* #,##0.00\ [$€-1]_-;_-* &quot;-&quot;??\ [$€-1]_-;_-@_-"/>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70" formatCode="_-* #,##0.00\ [$€-1]_-;\-* #,##0.00\ [$€-1]_-;_-* &quot;-&quot;??\ [$€-1]_-;_-@_-"/>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8" formatCode="#,##0.00\ [$€-1]"/>
    </dxf>
    <dxf>
      <numFmt numFmtId="169" formatCode="#,##0\ &quot;Ft&quot;"/>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70" formatCode="_-* #,##0.00\ [$€-1]_-;\-* #,##0.00\ [$€-1]_-;_-* &quot;-&quot;??\ [$€-1]_-;_-@_-"/>
    </dxf>
    <dxf>
      <numFmt numFmtId="169" formatCode="#,##0\ &quot;Ft&quot;"/>
    </dxf>
    <dxf>
      <numFmt numFmtId="170" formatCode="_-* #,##0.00\ [$€-1]_-;\-* #,##0.00\ [$€-1]_-;_-* &quot;-&quot;??\ [$€-1]_-;_-@_-"/>
    </dxf>
    <dxf>
      <numFmt numFmtId="168" formatCode="#,##0.00\ [$€-1]"/>
    </dxf>
    <dxf>
      <numFmt numFmtId="169" formatCode="#,##0\ &quot;Ft&quot;"/>
    </dxf>
    <dxf>
      <numFmt numFmtId="168" formatCode="#,##0.00\ [$€-1]"/>
    </dxf>
    <dxf>
      <numFmt numFmtId="169" formatCode="#,##0\ &quot;Ft&quot;"/>
    </dxf>
    <dxf>
      <numFmt numFmtId="168" formatCode="#,##0.00\ [$€-1]"/>
    </dxf>
    <dxf>
      <numFmt numFmtId="169" formatCode="#,##0\ &quot;Ft&quot;"/>
    </dxf>
    <dxf>
      <numFmt numFmtId="169" formatCode="#,##0\ &quot;Ft&quot;"/>
    </dxf>
    <dxf>
      <numFmt numFmtId="170" formatCode="_-* #,##0.00\ [$€-1]_-;\-* #,##0.00\ [$€-1]_-;_-* &quot;-&quot;??\ [$€-1]_-;_-@_-"/>
    </dxf>
    <dxf>
      <numFmt numFmtId="169" formatCode="#,##0\ &quot;Ft&quot;"/>
    </dxf>
    <dxf>
      <numFmt numFmtId="168" formatCode="#,##0.00\ [$€-1]"/>
    </dxf>
    <dxf>
      <numFmt numFmtId="169" formatCode="#,##0\ &quot;Ft&quot;"/>
    </dxf>
    <dxf>
      <numFmt numFmtId="168" formatCode="#,##0.00\ [$€-1]"/>
    </dxf>
    <dxf>
      <border>
        <bottom style="thin">
          <color rgb="FFDB0A5B"/>
        </bottom>
        <vertical/>
        <horizontal/>
      </border>
    </dxf>
    <dxf>
      <font>
        <b/>
        <i/>
        <color rgb="FF007362"/>
      </font>
    </dxf>
    <dxf>
      <font>
        <b/>
        <i/>
        <color rgb="FFA16009"/>
      </font>
    </dxf>
    <dxf>
      <font>
        <b/>
        <i/>
        <color rgb="FFA30E15"/>
      </font>
    </dxf>
    <dxf>
      <font>
        <b/>
        <i/>
        <color rgb="FF606099"/>
      </font>
    </dxf>
    <dxf>
      <font>
        <b/>
        <i/>
        <color rgb="FF96A59C"/>
      </font>
    </dxf>
    <dxf>
      <font>
        <b/>
        <i/>
        <color rgb="FF0E59A8"/>
      </font>
    </dxf>
    <dxf>
      <font>
        <b/>
        <i/>
        <color rgb="FF679120"/>
      </font>
    </dxf>
    <dxf>
      <font>
        <b/>
        <i/>
        <color rgb="FFE8A202"/>
      </font>
    </dxf>
    <dxf>
      <font>
        <b/>
        <i/>
        <color rgb="FFC50E35"/>
      </font>
    </dxf>
    <dxf>
      <font>
        <b/>
        <i/>
        <color rgb="FFA87EB6"/>
      </font>
    </dxf>
    <dxf>
      <font>
        <b/>
        <i/>
        <color rgb="FF5C9ED8"/>
      </font>
    </dxf>
    <dxf>
      <font>
        <b/>
        <i/>
        <color rgb="FFA1AE14"/>
      </font>
    </dxf>
    <dxf>
      <font>
        <b/>
        <i/>
        <color rgb="FFFFD93E"/>
      </font>
    </dxf>
    <dxf>
      <font>
        <b/>
        <i/>
        <color rgb="FFED7D13"/>
      </font>
    </dxf>
    <dxf>
      <font>
        <b/>
        <i/>
        <color rgb="FF006AB6"/>
      </font>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b/>
        <i/>
        <color rgb="FF007362"/>
      </font>
    </dxf>
    <dxf>
      <font>
        <b/>
        <i/>
        <color rgb="FFA16009"/>
      </font>
    </dxf>
    <dxf>
      <font>
        <b/>
        <i/>
        <color rgb="FFA30E15"/>
      </font>
    </dxf>
    <dxf>
      <font>
        <b/>
        <i/>
        <color rgb="FF606099"/>
      </font>
    </dxf>
    <dxf>
      <font>
        <b/>
        <i/>
        <color rgb="FF96A59C"/>
      </font>
    </dxf>
    <dxf>
      <font>
        <b/>
        <i/>
        <color rgb="FF0E59A8"/>
      </font>
    </dxf>
    <dxf>
      <font>
        <b/>
        <i/>
        <color rgb="FF679120"/>
      </font>
    </dxf>
    <dxf>
      <font>
        <b/>
        <i/>
        <color rgb="FFE8A202"/>
      </font>
    </dxf>
    <dxf>
      <font>
        <b/>
        <i/>
        <color rgb="FFC50E35"/>
      </font>
    </dxf>
    <dxf>
      <font>
        <b/>
        <i/>
        <color rgb="FFA87EB6"/>
      </font>
    </dxf>
    <dxf>
      <font>
        <b/>
        <i/>
        <color rgb="FF5C9ED8"/>
      </font>
    </dxf>
    <dxf>
      <font>
        <b/>
        <i/>
        <color rgb="FFA1AE14"/>
      </font>
    </dxf>
    <dxf>
      <font>
        <b/>
        <i/>
        <color rgb="FFFFD93E"/>
      </font>
    </dxf>
    <dxf>
      <font>
        <b/>
        <i/>
        <color rgb="FFED7D13"/>
      </font>
    </dxf>
    <dxf>
      <font>
        <b/>
        <i/>
        <color rgb="FF006AB6"/>
      </font>
    </dxf>
    <dxf>
      <numFmt numFmtId="168" formatCode="#,##0.00\ [$€-1]"/>
    </dxf>
    <dxf>
      <numFmt numFmtId="169" formatCode="#,##0\ &quot;Ft&quot;"/>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
      <font>
        <color theme="0"/>
      </font>
      <fill>
        <patternFill>
          <bgColor rgb="FF0090DA"/>
        </patternFill>
      </fill>
    </dxf>
  </dxfs>
  <tableStyles count="0" defaultTableStyle="TableStyleMedium2" defaultPivotStyle="PivotStyleLight16"/>
  <colors>
    <mruColors>
      <color rgb="FFDB0A5B"/>
      <color rgb="FFA4CE4E"/>
      <color rgb="FF0090DA"/>
      <color rgb="FF0061A0"/>
      <color rgb="FF007362"/>
      <color rgb="FFA16009"/>
      <color rgb="FFA30E15"/>
      <color rgb="FF606099"/>
      <color rgb="FF96A59C"/>
      <color rgb="FF0E59A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u-H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Ajánlat!$L$24</c:f>
              <c:strCache>
                <c:ptCount val="1"/>
              </c:strCache>
            </c:strRef>
          </c:tx>
          <c:dPt>
            <c:idx val="0"/>
            <c:bubble3D val="0"/>
            <c:spPr>
              <a:solidFill>
                <a:srgbClr val="006AB6"/>
              </a:solidFill>
            </c:spPr>
            <c:extLst>
              <c:ext xmlns:c16="http://schemas.microsoft.com/office/drawing/2014/chart" uri="{C3380CC4-5D6E-409C-BE32-E72D297353CC}">
                <c16:uniqueId val="{00000001-8B21-4D7E-A870-92B72B9E9C79}"/>
              </c:ext>
            </c:extLst>
          </c:dPt>
          <c:dPt>
            <c:idx val="1"/>
            <c:bubble3D val="0"/>
            <c:spPr>
              <a:solidFill>
                <a:srgbClr val="ED7D13"/>
              </a:solidFill>
            </c:spPr>
            <c:extLst>
              <c:ext xmlns:c16="http://schemas.microsoft.com/office/drawing/2014/chart" uri="{C3380CC4-5D6E-409C-BE32-E72D297353CC}">
                <c16:uniqueId val="{00000003-8B21-4D7E-A870-92B72B9E9C79}"/>
              </c:ext>
            </c:extLst>
          </c:dPt>
          <c:dPt>
            <c:idx val="2"/>
            <c:bubble3D val="0"/>
            <c:spPr>
              <a:solidFill>
                <a:srgbClr val="FFD93E"/>
              </a:solidFill>
            </c:spPr>
            <c:extLst>
              <c:ext xmlns:c16="http://schemas.microsoft.com/office/drawing/2014/chart" uri="{C3380CC4-5D6E-409C-BE32-E72D297353CC}">
                <c16:uniqueId val="{00000005-8B21-4D7E-A870-92B72B9E9C79}"/>
              </c:ext>
            </c:extLst>
          </c:dPt>
          <c:dPt>
            <c:idx val="3"/>
            <c:bubble3D val="0"/>
            <c:spPr>
              <a:solidFill>
                <a:srgbClr val="A1AE14"/>
              </a:solidFill>
            </c:spPr>
            <c:extLst>
              <c:ext xmlns:c16="http://schemas.microsoft.com/office/drawing/2014/chart" uri="{C3380CC4-5D6E-409C-BE32-E72D297353CC}">
                <c16:uniqueId val="{00000007-8B21-4D7E-A870-92B72B9E9C79}"/>
              </c:ext>
            </c:extLst>
          </c:dPt>
          <c:dPt>
            <c:idx val="4"/>
            <c:bubble3D val="0"/>
            <c:spPr>
              <a:solidFill>
                <a:srgbClr val="5C9ED8"/>
              </a:solidFill>
            </c:spPr>
            <c:extLst>
              <c:ext xmlns:c16="http://schemas.microsoft.com/office/drawing/2014/chart" uri="{C3380CC4-5D6E-409C-BE32-E72D297353CC}">
                <c16:uniqueId val="{00000009-8B21-4D7E-A870-92B72B9E9C79}"/>
              </c:ext>
            </c:extLst>
          </c:dPt>
          <c:dPt>
            <c:idx val="5"/>
            <c:bubble3D val="0"/>
            <c:spPr>
              <a:solidFill>
                <a:srgbClr val="A87EB6"/>
              </a:solidFill>
            </c:spPr>
            <c:extLst>
              <c:ext xmlns:c16="http://schemas.microsoft.com/office/drawing/2014/chart" uri="{C3380CC4-5D6E-409C-BE32-E72D297353CC}">
                <c16:uniqueId val="{0000000B-8B21-4D7E-A870-92B72B9E9C79}"/>
              </c:ext>
            </c:extLst>
          </c:dPt>
          <c:dPt>
            <c:idx val="6"/>
            <c:bubble3D val="0"/>
            <c:spPr>
              <a:solidFill>
                <a:srgbClr val="C50E35"/>
              </a:solidFill>
            </c:spPr>
            <c:extLst>
              <c:ext xmlns:c16="http://schemas.microsoft.com/office/drawing/2014/chart" uri="{C3380CC4-5D6E-409C-BE32-E72D297353CC}">
                <c16:uniqueId val="{0000000D-8B21-4D7E-A870-92B72B9E9C79}"/>
              </c:ext>
            </c:extLst>
          </c:dPt>
          <c:dPt>
            <c:idx val="7"/>
            <c:bubble3D val="0"/>
            <c:spPr>
              <a:solidFill>
                <a:srgbClr val="E8A202"/>
              </a:solidFill>
            </c:spPr>
            <c:extLst>
              <c:ext xmlns:c16="http://schemas.microsoft.com/office/drawing/2014/chart" uri="{C3380CC4-5D6E-409C-BE32-E72D297353CC}">
                <c16:uniqueId val="{0000000F-8B21-4D7E-A870-92B72B9E9C79}"/>
              </c:ext>
            </c:extLst>
          </c:dPt>
          <c:dPt>
            <c:idx val="8"/>
            <c:bubble3D val="0"/>
            <c:spPr>
              <a:solidFill>
                <a:srgbClr val="679120"/>
              </a:solidFill>
            </c:spPr>
            <c:extLst>
              <c:ext xmlns:c16="http://schemas.microsoft.com/office/drawing/2014/chart" uri="{C3380CC4-5D6E-409C-BE32-E72D297353CC}">
                <c16:uniqueId val="{00000011-8B21-4D7E-A870-92B72B9E9C79}"/>
              </c:ext>
            </c:extLst>
          </c:dPt>
          <c:dPt>
            <c:idx val="9"/>
            <c:bubble3D val="0"/>
            <c:spPr>
              <a:solidFill>
                <a:srgbClr val="0E59A8"/>
              </a:solidFill>
            </c:spPr>
            <c:extLst>
              <c:ext xmlns:c16="http://schemas.microsoft.com/office/drawing/2014/chart" uri="{C3380CC4-5D6E-409C-BE32-E72D297353CC}">
                <c16:uniqueId val="{00000013-8B21-4D7E-A870-92B72B9E9C79}"/>
              </c:ext>
            </c:extLst>
          </c:dPt>
          <c:dPt>
            <c:idx val="10"/>
            <c:bubble3D val="0"/>
            <c:spPr>
              <a:solidFill>
                <a:srgbClr val="96A59C"/>
              </a:solidFill>
            </c:spPr>
            <c:extLst>
              <c:ext xmlns:c16="http://schemas.microsoft.com/office/drawing/2014/chart" uri="{C3380CC4-5D6E-409C-BE32-E72D297353CC}">
                <c16:uniqueId val="{00000015-8B21-4D7E-A870-92B72B9E9C79}"/>
              </c:ext>
            </c:extLst>
          </c:dPt>
          <c:dPt>
            <c:idx val="11"/>
            <c:bubble3D val="0"/>
            <c:spPr>
              <a:solidFill>
                <a:srgbClr val="606099"/>
              </a:solidFill>
            </c:spPr>
            <c:extLst>
              <c:ext xmlns:c16="http://schemas.microsoft.com/office/drawing/2014/chart" uri="{C3380CC4-5D6E-409C-BE32-E72D297353CC}">
                <c16:uniqueId val="{00000017-8B21-4D7E-A870-92B72B9E9C79}"/>
              </c:ext>
            </c:extLst>
          </c:dPt>
          <c:dPt>
            <c:idx val="12"/>
            <c:bubble3D val="0"/>
            <c:spPr>
              <a:solidFill>
                <a:srgbClr val="A30E15"/>
              </a:solidFill>
            </c:spPr>
            <c:extLst>
              <c:ext xmlns:c16="http://schemas.microsoft.com/office/drawing/2014/chart" uri="{C3380CC4-5D6E-409C-BE32-E72D297353CC}">
                <c16:uniqueId val="{00000019-8B21-4D7E-A870-92B72B9E9C79}"/>
              </c:ext>
            </c:extLst>
          </c:dPt>
          <c:dPt>
            <c:idx val="13"/>
            <c:bubble3D val="0"/>
            <c:spPr>
              <a:solidFill>
                <a:srgbClr val="A16009"/>
              </a:solidFill>
            </c:spPr>
            <c:extLst>
              <c:ext xmlns:c16="http://schemas.microsoft.com/office/drawing/2014/chart" uri="{C3380CC4-5D6E-409C-BE32-E72D297353CC}">
                <c16:uniqueId val="{0000001B-8B21-4D7E-A870-92B72B9E9C79}"/>
              </c:ext>
            </c:extLst>
          </c:dPt>
          <c:dPt>
            <c:idx val="14"/>
            <c:bubble3D val="0"/>
            <c:spPr>
              <a:solidFill>
                <a:srgbClr val="007362"/>
              </a:solidFill>
            </c:spPr>
            <c:extLst>
              <c:ext xmlns:c16="http://schemas.microsoft.com/office/drawing/2014/chart" uri="{C3380CC4-5D6E-409C-BE32-E72D297353CC}">
                <c16:uniqueId val="{0000001D-8B21-4D7E-A870-92B72B9E9C79}"/>
              </c:ext>
            </c:extLst>
          </c:dPt>
          <c:cat>
            <c:multiLvlStrRef>
              <c:f>Ajánlat!$B$25:$F$39</c:f>
            </c:multiLvlStrRef>
          </c:cat>
          <c:val>
            <c:numRef>
              <c:f>Ajánlat!$L$25:$L$39</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1E-8B21-4D7E-A870-92B72B9E9C79}"/>
            </c:ext>
          </c:extLst>
        </c:ser>
        <c:dLbls>
          <c:showLegendKey val="0"/>
          <c:showVal val="0"/>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hu-HU"/>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Tranzakciók!$L$10</c:f>
              <c:strCache>
                <c:ptCount val="1"/>
                <c:pt idx="0">
                  <c:v>Ajánlat szerinti portfólió</c:v>
                </c:pt>
              </c:strCache>
            </c:strRef>
          </c:tx>
          <c:dPt>
            <c:idx val="0"/>
            <c:bubble3D val="0"/>
            <c:spPr>
              <a:solidFill>
                <a:srgbClr val="006AB6"/>
              </a:solidFill>
            </c:spPr>
            <c:extLst>
              <c:ext xmlns:c16="http://schemas.microsoft.com/office/drawing/2014/chart" uri="{C3380CC4-5D6E-409C-BE32-E72D297353CC}">
                <c16:uniqueId val="{00000001-7D28-44B9-87F1-39EF2E2E3923}"/>
              </c:ext>
            </c:extLst>
          </c:dPt>
          <c:dPt>
            <c:idx val="1"/>
            <c:bubble3D val="0"/>
            <c:spPr>
              <a:solidFill>
                <a:srgbClr val="ED7D13"/>
              </a:solidFill>
            </c:spPr>
            <c:extLst>
              <c:ext xmlns:c16="http://schemas.microsoft.com/office/drawing/2014/chart" uri="{C3380CC4-5D6E-409C-BE32-E72D297353CC}">
                <c16:uniqueId val="{00000003-7D28-44B9-87F1-39EF2E2E3923}"/>
              </c:ext>
            </c:extLst>
          </c:dPt>
          <c:dPt>
            <c:idx val="2"/>
            <c:bubble3D val="0"/>
            <c:spPr>
              <a:solidFill>
                <a:srgbClr val="FFD93E"/>
              </a:solidFill>
            </c:spPr>
            <c:extLst>
              <c:ext xmlns:c16="http://schemas.microsoft.com/office/drawing/2014/chart" uri="{C3380CC4-5D6E-409C-BE32-E72D297353CC}">
                <c16:uniqueId val="{00000005-7D28-44B9-87F1-39EF2E2E3923}"/>
              </c:ext>
            </c:extLst>
          </c:dPt>
          <c:dPt>
            <c:idx val="3"/>
            <c:bubble3D val="0"/>
            <c:spPr>
              <a:solidFill>
                <a:srgbClr val="A1AE14"/>
              </a:solidFill>
            </c:spPr>
            <c:extLst>
              <c:ext xmlns:c16="http://schemas.microsoft.com/office/drawing/2014/chart" uri="{C3380CC4-5D6E-409C-BE32-E72D297353CC}">
                <c16:uniqueId val="{00000007-7D28-44B9-87F1-39EF2E2E3923}"/>
              </c:ext>
            </c:extLst>
          </c:dPt>
          <c:dPt>
            <c:idx val="4"/>
            <c:bubble3D val="0"/>
            <c:spPr>
              <a:solidFill>
                <a:srgbClr val="5C9ED8"/>
              </a:solidFill>
            </c:spPr>
            <c:extLst>
              <c:ext xmlns:c16="http://schemas.microsoft.com/office/drawing/2014/chart" uri="{C3380CC4-5D6E-409C-BE32-E72D297353CC}">
                <c16:uniqueId val="{00000009-7D28-44B9-87F1-39EF2E2E3923}"/>
              </c:ext>
            </c:extLst>
          </c:dPt>
          <c:dPt>
            <c:idx val="5"/>
            <c:bubble3D val="0"/>
            <c:spPr>
              <a:solidFill>
                <a:srgbClr val="A87EB6"/>
              </a:solidFill>
            </c:spPr>
            <c:extLst>
              <c:ext xmlns:c16="http://schemas.microsoft.com/office/drawing/2014/chart" uri="{C3380CC4-5D6E-409C-BE32-E72D297353CC}">
                <c16:uniqueId val="{0000000B-7D28-44B9-87F1-39EF2E2E3923}"/>
              </c:ext>
            </c:extLst>
          </c:dPt>
          <c:dPt>
            <c:idx val="6"/>
            <c:bubble3D val="0"/>
            <c:spPr>
              <a:solidFill>
                <a:srgbClr val="C50E35"/>
              </a:solidFill>
            </c:spPr>
            <c:extLst>
              <c:ext xmlns:c16="http://schemas.microsoft.com/office/drawing/2014/chart" uri="{C3380CC4-5D6E-409C-BE32-E72D297353CC}">
                <c16:uniqueId val="{0000000D-7D28-44B9-87F1-39EF2E2E3923}"/>
              </c:ext>
            </c:extLst>
          </c:dPt>
          <c:dPt>
            <c:idx val="7"/>
            <c:bubble3D val="0"/>
            <c:spPr>
              <a:solidFill>
                <a:srgbClr val="E8A202"/>
              </a:solidFill>
            </c:spPr>
            <c:extLst>
              <c:ext xmlns:c16="http://schemas.microsoft.com/office/drawing/2014/chart" uri="{C3380CC4-5D6E-409C-BE32-E72D297353CC}">
                <c16:uniqueId val="{0000000F-7D28-44B9-87F1-39EF2E2E3923}"/>
              </c:ext>
            </c:extLst>
          </c:dPt>
          <c:dPt>
            <c:idx val="8"/>
            <c:bubble3D val="0"/>
            <c:spPr>
              <a:solidFill>
                <a:srgbClr val="679120"/>
              </a:solidFill>
            </c:spPr>
            <c:extLst>
              <c:ext xmlns:c16="http://schemas.microsoft.com/office/drawing/2014/chart" uri="{C3380CC4-5D6E-409C-BE32-E72D297353CC}">
                <c16:uniqueId val="{00000011-7D28-44B9-87F1-39EF2E2E3923}"/>
              </c:ext>
            </c:extLst>
          </c:dPt>
          <c:dPt>
            <c:idx val="9"/>
            <c:bubble3D val="0"/>
            <c:spPr>
              <a:solidFill>
                <a:srgbClr val="0E59A8"/>
              </a:solidFill>
            </c:spPr>
            <c:extLst>
              <c:ext xmlns:c16="http://schemas.microsoft.com/office/drawing/2014/chart" uri="{C3380CC4-5D6E-409C-BE32-E72D297353CC}">
                <c16:uniqueId val="{00000013-7D28-44B9-87F1-39EF2E2E3923}"/>
              </c:ext>
            </c:extLst>
          </c:dPt>
          <c:dPt>
            <c:idx val="10"/>
            <c:bubble3D val="0"/>
            <c:spPr>
              <a:solidFill>
                <a:srgbClr val="96A59C"/>
              </a:solidFill>
            </c:spPr>
            <c:extLst>
              <c:ext xmlns:c16="http://schemas.microsoft.com/office/drawing/2014/chart" uri="{C3380CC4-5D6E-409C-BE32-E72D297353CC}">
                <c16:uniqueId val="{00000015-7D28-44B9-87F1-39EF2E2E3923}"/>
              </c:ext>
            </c:extLst>
          </c:dPt>
          <c:dPt>
            <c:idx val="11"/>
            <c:bubble3D val="0"/>
            <c:spPr>
              <a:solidFill>
                <a:srgbClr val="606099"/>
              </a:solidFill>
            </c:spPr>
            <c:extLst>
              <c:ext xmlns:c16="http://schemas.microsoft.com/office/drawing/2014/chart" uri="{C3380CC4-5D6E-409C-BE32-E72D297353CC}">
                <c16:uniqueId val="{00000017-7D28-44B9-87F1-39EF2E2E3923}"/>
              </c:ext>
            </c:extLst>
          </c:dPt>
          <c:dPt>
            <c:idx val="12"/>
            <c:bubble3D val="0"/>
            <c:spPr>
              <a:solidFill>
                <a:srgbClr val="A30E15"/>
              </a:solidFill>
            </c:spPr>
            <c:extLst>
              <c:ext xmlns:c16="http://schemas.microsoft.com/office/drawing/2014/chart" uri="{C3380CC4-5D6E-409C-BE32-E72D297353CC}">
                <c16:uniqueId val="{00000019-7D28-44B9-87F1-39EF2E2E3923}"/>
              </c:ext>
            </c:extLst>
          </c:dPt>
          <c:dPt>
            <c:idx val="13"/>
            <c:bubble3D val="0"/>
            <c:spPr>
              <a:solidFill>
                <a:srgbClr val="A16009"/>
              </a:solidFill>
            </c:spPr>
            <c:extLst>
              <c:ext xmlns:c16="http://schemas.microsoft.com/office/drawing/2014/chart" uri="{C3380CC4-5D6E-409C-BE32-E72D297353CC}">
                <c16:uniqueId val="{0000001B-7D28-44B9-87F1-39EF2E2E3923}"/>
              </c:ext>
            </c:extLst>
          </c:dPt>
          <c:dPt>
            <c:idx val="14"/>
            <c:bubble3D val="0"/>
            <c:spPr>
              <a:solidFill>
                <a:srgbClr val="007362"/>
              </a:solidFill>
            </c:spPr>
            <c:extLst>
              <c:ext xmlns:c16="http://schemas.microsoft.com/office/drawing/2014/chart" uri="{C3380CC4-5D6E-409C-BE32-E72D297353CC}">
                <c16:uniqueId val="{0000001D-7D28-44B9-87F1-39EF2E2E3923}"/>
              </c:ext>
            </c:extLst>
          </c:dPt>
          <c:cat>
            <c:multiLvlStrRef>
              <c:f>Tranzakciók!$B$11:$F$25</c:f>
            </c:multiLvlStrRef>
          </c:cat>
          <c:val>
            <c:numRef>
              <c:f>Tranzakciók!$L$11:$L$25</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1E-7D28-44B9-87F1-39EF2E2E3923}"/>
            </c:ext>
          </c:extLst>
        </c:ser>
        <c:dLbls>
          <c:showLegendKey val="0"/>
          <c:showVal val="0"/>
          <c:showCatName val="0"/>
          <c:showSerName val="0"/>
          <c:showPercent val="0"/>
          <c:showBubbleSize val="0"/>
          <c:showLeaderLines val="1"/>
        </c:dLbls>
      </c:pie3DChart>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9526</xdr:colOff>
      <xdr:row>22</xdr:row>
      <xdr:rowOff>0</xdr:rowOff>
    </xdr:from>
    <xdr:to>
      <xdr:col>18</xdr:col>
      <xdr:colOff>600076</xdr:colOff>
      <xdr:row>39</xdr:row>
      <xdr:rowOff>4762</xdr:rowOff>
    </xdr:to>
    <xdr:graphicFrame macro="">
      <xdr:nvGraphicFramePr>
        <xdr:cNvPr id="6" name="Diagram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9526</xdr:colOff>
      <xdr:row>8</xdr:row>
      <xdr:rowOff>0</xdr:rowOff>
    </xdr:from>
    <xdr:to>
      <xdr:col>18</xdr:col>
      <xdr:colOff>600076</xdr:colOff>
      <xdr:row>25</xdr:row>
      <xdr:rowOff>4762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olnar\AppData\Local\Microsoft\Windows\Temporary%20Internet%20Files\Content.Outlook\J6FKNT7N\Metropolitan%20-%20Tarifalo%20-%20Index%20%2020160630_1100_T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C"/>
      <sheetName val="Számolólap"/>
      <sheetName val="Ul részletek"/>
      <sheetName val="Illusztráció"/>
      <sheetName val="PP részletek"/>
      <sheetName val="PP_Illusztr."/>
      <sheetName val="ARMADA"/>
      <sheetName val="portfóliók"/>
      <sheetName val="VV"/>
      <sheetName val="Jellemzők"/>
      <sheetName val="kock"/>
      <sheetName val="TC_2"/>
      <sheetName val="TC_adatok"/>
      <sheetName val="Sheet1"/>
      <sheetName val="Orvosi vizsgálatok"/>
      <sheetName val="Orvosok"/>
      <sheetName val="Vizsgálati nyomtatványok"/>
      <sheetName val="Jogtext"/>
    </sheetNames>
    <sheetDataSet>
      <sheetData sheetId="0"/>
      <sheetData sheetId="1"/>
      <sheetData sheetId="2"/>
      <sheetData sheetId="3"/>
      <sheetData sheetId="4"/>
      <sheetData sheetId="5"/>
      <sheetData sheetId="6"/>
      <sheetData sheetId="7"/>
      <sheetData sheetId="8"/>
      <sheetData sheetId="9">
        <row r="37">
          <cell r="A37">
            <v>0</v>
          </cell>
        </row>
      </sheetData>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61A0"/>
  </sheetPr>
  <dimension ref="B1:S39"/>
  <sheetViews>
    <sheetView tabSelected="1" zoomScaleNormal="100" workbookViewId="0">
      <selection activeCell="B1" sqref="B1:H2"/>
    </sheetView>
  </sheetViews>
  <sheetFormatPr defaultRowHeight="12.75" x14ac:dyDescent="0.2"/>
  <cols>
    <col min="1" max="4" width="9.140625" style="19"/>
    <col min="5" max="5" width="9.140625" style="19" customWidth="1"/>
    <col min="6" max="6" width="9.140625" style="19"/>
    <col min="7" max="7" width="11.85546875" style="19" customWidth="1"/>
    <col min="8" max="8" width="10.5703125" style="19" bestFit="1" customWidth="1"/>
    <col min="9" max="9" width="16.5703125" style="19" bestFit="1" customWidth="1"/>
    <col min="10" max="10" width="11.28515625" style="19" customWidth="1"/>
    <col min="11" max="16384" width="9.140625" style="19"/>
  </cols>
  <sheetData>
    <row r="1" spans="2:19" x14ac:dyDescent="0.2">
      <c r="B1" s="70" t="s">
        <v>166</v>
      </c>
      <c r="C1" s="70"/>
      <c r="D1" s="70"/>
      <c r="E1" s="70"/>
      <c r="F1" s="70"/>
      <c r="G1" s="70"/>
      <c r="H1" s="70"/>
    </row>
    <row r="2" spans="2:19" x14ac:dyDescent="0.2">
      <c r="B2" s="70"/>
      <c r="C2" s="70"/>
      <c r="D2" s="70"/>
      <c r="E2" s="70"/>
      <c r="F2" s="70"/>
      <c r="G2" s="70"/>
      <c r="H2" s="70"/>
      <c r="I2" s="20" t="s">
        <v>228</v>
      </c>
      <c r="J2" s="71" t="str">
        <f>IF(ISBLANK($E$7),"",IF(Segédlet!$B$48="",IF(Segédlet!$B$47="",IF(Segédlet!$B$46="",IF(Segédlet!$B$45="",IF(Segédlet!$B$44="",IF(Segédlet!$B$43="","",Segédlet!$B$43),Segédlet!$B$44),Segédlet!$B$45),Segédlet!$B$46),Segédlet!$B$47),Segédlet!$B$48))</f>
        <v/>
      </c>
      <c r="K2" s="71"/>
      <c r="L2" s="71"/>
      <c r="M2" s="71"/>
      <c r="N2" s="71"/>
      <c r="O2" s="71"/>
      <c r="P2" s="71"/>
      <c r="Q2" s="71"/>
      <c r="R2" s="71"/>
      <c r="S2" s="71"/>
    </row>
    <row r="3" spans="2:19" x14ac:dyDescent="0.2">
      <c r="J3" s="71" t="str">
        <f ca="1">IF(OR($E$15="",$E$7="",Segédlet!$B$54=""),"",IF(Segédlet!$B$53&gt;=Segédlet!$B$54,IF($E$15&gt;=Segédlet!$B$53,"","A Manhattan biztosítás időszaki díja nem éri el a minimális "&amp;Segédlet!$B$53&amp;IF(Számítás_UL!$D$4="Forint"," Ft-ot."," €-ot.")),IF($E$15&gt;=Segédlet!$B$54,"","A Nyugdíjbiztosítás időszaki díja nem éri el a minimális "&amp;Segédlet!$B$54&amp;IF(Számítás_Ny!$D$4="Forint"," Ft-ot."," €-ot."))))</f>
        <v/>
      </c>
      <c r="K3" s="71"/>
      <c r="L3" s="71"/>
      <c r="M3" s="71"/>
      <c r="N3" s="71"/>
      <c r="O3" s="71"/>
      <c r="P3" s="71"/>
      <c r="Q3" s="71"/>
      <c r="R3" s="71"/>
      <c r="S3" s="71"/>
    </row>
    <row r="4" spans="2:19" x14ac:dyDescent="0.2">
      <c r="J4" s="71" t="str">
        <f>IF(AND($E$9="Euró",Számítás_UL!$D$3&lt;&gt;"Átutalás"),"Az euróban történő díjfizetés, csak közvetlen banki átutalással történő fizetéssel lehetséges.","")</f>
        <v/>
      </c>
      <c r="K4" s="71"/>
      <c r="L4" s="71"/>
      <c r="M4" s="71"/>
      <c r="N4" s="71"/>
      <c r="O4" s="71"/>
      <c r="P4" s="71"/>
      <c r="Q4" s="71"/>
      <c r="R4" s="71"/>
      <c r="S4" s="71"/>
    </row>
    <row r="5" spans="2:19" x14ac:dyDescent="0.2">
      <c r="B5" s="79" t="s">
        <v>160</v>
      </c>
      <c r="C5" s="79"/>
      <c r="D5" s="79"/>
      <c r="E5" s="67"/>
      <c r="F5" s="67"/>
      <c r="G5" s="67"/>
      <c r="H5" s="67"/>
      <c r="J5" s="71" t="str">
        <f>IF(COUNT($K$25:$K$39)&gt;10,"Egyszerre maximum csak 10 eszközalap választható!",IF(AND($N$9="Egyedi",SUM($K$25:$K$39)&lt;&gt;1),"Nem 100%-ban van elosztva az eszközalapok közt a biztosításis díj!",""))</f>
        <v/>
      </c>
      <c r="K5" s="71"/>
      <c r="L5" s="71"/>
      <c r="M5" s="71"/>
      <c r="N5" s="71"/>
      <c r="O5" s="71"/>
      <c r="P5" s="71"/>
      <c r="Q5" s="71"/>
      <c r="R5" s="71"/>
      <c r="S5" s="71"/>
    </row>
    <row r="7" spans="2:19" x14ac:dyDescent="0.2">
      <c r="B7" s="79" t="s">
        <v>165</v>
      </c>
      <c r="C7" s="79"/>
      <c r="D7" s="79"/>
      <c r="E7" s="68"/>
      <c r="F7" s="68"/>
      <c r="G7" s="68"/>
      <c r="H7" s="68"/>
      <c r="I7" s="54" t="str">
        <f>IF($J$2="","","!")</f>
        <v/>
      </c>
      <c r="J7" s="79" t="s">
        <v>206</v>
      </c>
      <c r="K7" s="79"/>
      <c r="L7" s="79"/>
      <c r="M7" s="79"/>
      <c r="N7" s="67"/>
      <c r="O7" s="67"/>
      <c r="P7" s="67"/>
      <c r="Q7" s="67"/>
    </row>
    <row r="9" spans="2:19" x14ac:dyDescent="0.2">
      <c r="B9" s="79" t="s">
        <v>162</v>
      </c>
      <c r="C9" s="79"/>
      <c r="D9" s="79"/>
      <c r="E9" s="67"/>
      <c r="F9" s="67"/>
      <c r="G9" s="67"/>
      <c r="H9" s="67"/>
      <c r="I9" s="54" t="str">
        <f>IF($J$4="","","!")</f>
        <v/>
      </c>
      <c r="J9" s="64" t="s">
        <v>54</v>
      </c>
      <c r="K9" s="65"/>
      <c r="L9" s="65"/>
      <c r="M9" s="66"/>
      <c r="N9" s="59"/>
      <c r="O9" s="59"/>
      <c r="P9" s="59"/>
      <c r="Q9" s="59"/>
    </row>
    <row r="11" spans="2:19" x14ac:dyDescent="0.2">
      <c r="B11" s="64" t="s">
        <v>164</v>
      </c>
      <c r="C11" s="65"/>
      <c r="D11" s="66"/>
      <c r="E11" s="73"/>
      <c r="F11" s="74"/>
      <c r="G11" s="74"/>
      <c r="H11" s="75"/>
      <c r="J11" s="64" t="s">
        <v>172</v>
      </c>
      <c r="K11" s="65"/>
      <c r="L11" s="65"/>
      <c r="M11" s="66"/>
      <c r="N11" s="78"/>
      <c r="O11" s="78"/>
      <c r="P11" s="78"/>
      <c r="Q11" s="78"/>
    </row>
    <row r="13" spans="2:19" x14ac:dyDescent="0.2">
      <c r="B13" s="79" t="s">
        <v>163</v>
      </c>
      <c r="C13" s="79"/>
      <c r="D13" s="79"/>
      <c r="E13" s="67"/>
      <c r="F13" s="67"/>
      <c r="G13" s="67"/>
      <c r="H13" s="67"/>
      <c r="J13" s="79" t="s">
        <v>173</v>
      </c>
      <c r="K13" s="79"/>
      <c r="L13" s="79"/>
      <c r="M13" s="79"/>
      <c r="N13" s="78"/>
      <c r="O13" s="78"/>
      <c r="P13" s="78"/>
      <c r="Q13" s="78"/>
    </row>
    <row r="15" spans="2:19" x14ac:dyDescent="0.2">
      <c r="B15" s="79" t="str">
        <f>"A biztosítás "&amp;Számítás_UL!$D$2&amp;" díja"</f>
        <v>A biztosítás Éves díja</v>
      </c>
      <c r="C15" s="79"/>
      <c r="D15" s="79"/>
      <c r="E15" s="69"/>
      <c r="F15" s="69"/>
      <c r="G15" s="80" t="str">
        <f>IF($E$15="","",IF($J$4="","+ "&amp;IF($E$11="Egyszeri","további ","befizetésenkénti ")&amp;Számítás_UL!$M$3&amp;IF($E$9="Euró"," €"," Ft"),""))</f>
        <v/>
      </c>
      <c r="H15" s="80"/>
      <c r="I15" s="54" t="str">
        <f ca="1">IF($J$3="","","!")</f>
        <v/>
      </c>
      <c r="J15" s="79" t="s">
        <v>9</v>
      </c>
      <c r="K15" s="79"/>
      <c r="L15" s="79"/>
      <c r="M15" s="79"/>
      <c r="N15" s="77">
        <f>IF(ISBLANK($N$9),0,IF($N$9="Megfontolt",SUMPRODUCT($G$25:$G$39,$H$25:$H$39),IF($N$9="Kiegyensúlyozott",SUMPRODUCT($G$25:$G$39,$I$25:$I$39),IF($N$9="Növekedési",SUMPRODUCT($G$25:$G$39,$J$25:$J$39),IF($L$23="OK",SUMPRODUCT($G$25:$G$39,$K$25:$K$39),0)))))+$N$11</f>
        <v>0</v>
      </c>
      <c r="O15" s="77"/>
      <c r="P15" s="77"/>
      <c r="Q15" s="77"/>
    </row>
    <row r="17" spans="2:17" x14ac:dyDescent="0.2">
      <c r="B17" s="64" t="s">
        <v>205</v>
      </c>
      <c r="C17" s="65"/>
      <c r="D17" s="66"/>
      <c r="E17" s="76"/>
      <c r="F17" s="76"/>
      <c r="G17" s="76"/>
      <c r="H17" s="76"/>
      <c r="J17" s="79" t="s">
        <v>207</v>
      </c>
      <c r="K17" s="79"/>
      <c r="L17" s="79"/>
      <c r="M17" s="79"/>
      <c r="N17" s="72">
        <f ca="1">TODAY()+1</f>
        <v>43624</v>
      </c>
      <c r="O17" s="72"/>
      <c r="P17" s="72"/>
      <c r="Q17" s="72"/>
    </row>
    <row r="20" spans="2:17" x14ac:dyDescent="0.2">
      <c r="B20" s="79" t="str">
        <f>"Az alábbi számítás "&amp;IF(ISBLANK($E$5),"a biztosított",$E$5)&amp;" anyagi biztonságát mutatja be. De "&amp;IF(ISBLANK($E$5),"a biztosított",$E$5)&amp;" élete és egészsége is biztosítva van?"</f>
        <v>Az alábbi számítás a biztosított anyagi biztonságát mutatja be. De a biztosított élete és egészsége is biztosítva van?</v>
      </c>
      <c r="C20" s="79"/>
      <c r="D20" s="79"/>
      <c r="E20" s="79"/>
      <c r="F20" s="79"/>
      <c r="G20" s="79"/>
      <c r="H20" s="79"/>
      <c r="I20" s="79"/>
      <c r="J20" s="79"/>
      <c r="K20" s="79"/>
      <c r="L20" s="79"/>
      <c r="M20" s="79"/>
      <c r="N20" s="59"/>
      <c r="O20" s="59"/>
      <c r="P20" s="59"/>
      <c r="Q20" s="59"/>
    </row>
    <row r="23" spans="2:17" x14ac:dyDescent="0.2">
      <c r="B23" s="81" t="s">
        <v>11</v>
      </c>
      <c r="C23" s="81"/>
      <c r="D23" s="81"/>
      <c r="E23" s="81"/>
      <c r="F23" s="81"/>
      <c r="G23" s="60" t="s">
        <v>167</v>
      </c>
      <c r="H23" s="63" t="s">
        <v>168</v>
      </c>
      <c r="I23" s="63"/>
      <c r="J23" s="63"/>
      <c r="K23" s="63"/>
      <c r="L23" s="21" t="str">
        <f>IF(AND(SUM($K$25:$K$39)=1,COUNT($K$25:$K$39)&lt;=10),"OK","")</f>
        <v/>
      </c>
    </row>
    <row r="24" spans="2:17" x14ac:dyDescent="0.2">
      <c r="B24" s="81"/>
      <c r="C24" s="81"/>
      <c r="D24" s="81"/>
      <c r="E24" s="81"/>
      <c r="F24" s="81"/>
      <c r="G24" s="60"/>
      <c r="H24" s="57" t="s">
        <v>49</v>
      </c>
      <c r="I24" s="57" t="s">
        <v>50</v>
      </c>
      <c r="J24" s="57" t="s">
        <v>51</v>
      </c>
      <c r="K24" s="57" t="s">
        <v>12</v>
      </c>
      <c r="L24" s="21" t="str">
        <f>IF(ISBLANK($N$9),"",$N$9&amp;" portfólió")</f>
        <v/>
      </c>
    </row>
    <row r="25" spans="2:17" x14ac:dyDescent="0.2">
      <c r="B25" s="61" t="str">
        <f>IF(ISBLANK($N$7),"",Segédlet!$N6)</f>
        <v/>
      </c>
      <c r="C25" s="61"/>
      <c r="D25" s="61"/>
      <c r="E25" s="61"/>
      <c r="F25" s="61"/>
      <c r="G25" s="23" t="str">
        <f>IF($B25="","",VLOOKUP($B25,IF(OR(ISBLANK($E$9),$E$9="Forint"),Segédlet!$B$6:$I$20,Segédlet!$B$27:$I$38),3,0))</f>
        <v/>
      </c>
      <c r="H25" s="24" t="str">
        <f>IF($N$7="Basic","",IF($B25="","",VLOOKUP($B25,IF(OR(ISBLANK($E$9),$E$9="Forint"),Segédlet!$B$6:$I$20,Segédlet!$B$27:$I$38),6,0)))</f>
        <v/>
      </c>
      <c r="I25" s="24" t="str">
        <f>IF($N$7="Basic","",IF($B25="","",VLOOKUP($B25,IF(OR(ISBLANK($E$9),$E$9="Forint"),Segédlet!$B$6:$I$20,Segédlet!$B$27:$I$38),7,0)))</f>
        <v/>
      </c>
      <c r="J25" s="24" t="str">
        <f>IF($N$7="Basic","",IF($B25="","",VLOOKUP($B25,IF(OR(ISBLANK($E$9),$E$9="Forint"),Segédlet!$B$6:$I$20,Segédlet!$B$27:$I$38),8,0)))</f>
        <v/>
      </c>
      <c r="K25" s="55"/>
      <c r="L25" s="25" t="str">
        <f>IF(OR(ISBLANK($N$9),AND($N$9="Egyedi",$L$23="")),"",HLOOKUP($N$9,$H$24:$K$39,2,0))</f>
        <v/>
      </c>
    </row>
    <row r="26" spans="2:17" x14ac:dyDescent="0.2">
      <c r="B26" s="62" t="str">
        <f>IF(ISBLANK($N$7),"",Segédlet!$N7)</f>
        <v/>
      </c>
      <c r="C26" s="62"/>
      <c r="D26" s="62"/>
      <c r="E26" s="62"/>
      <c r="F26" s="62"/>
      <c r="G26" s="26" t="str">
        <f>IF($B26="","",VLOOKUP($B26,IF(OR(ISBLANK($E$9),$E$9="Forint"),Segédlet!$B$6:$I$20,Segédlet!$B$27:$I$38),3,0))</f>
        <v/>
      </c>
      <c r="H26" s="27" t="str">
        <f>IF($N$7="Basic","",IF($B26="","",VLOOKUP($B26,IF(OR(ISBLANK($E$9),$E$9="Forint"),Segédlet!$B$6:$I$20,Segédlet!$B$27:$I$38),6,0)))</f>
        <v/>
      </c>
      <c r="I26" s="27" t="str">
        <f>IF($N$7="Basic","",IF($B26="","",VLOOKUP($B26,IF(OR(ISBLANK($E$9),$E$9="Forint"),Segédlet!$B$6:$I$20,Segédlet!$B$27:$I$38),7,0)))</f>
        <v/>
      </c>
      <c r="J26" s="27" t="str">
        <f>IF($N$7="Basic","",IF($B26="","",VLOOKUP($B26,IF(OR(ISBLANK($E$9),$E$9="Forint"),Segédlet!$B$6:$I$20,Segédlet!$B$27:$I$38),8,0)))</f>
        <v/>
      </c>
      <c r="K26" s="56"/>
      <c r="L26" s="25" t="str">
        <f>IF(OR(ISBLANK($N$9),AND($N$9="Egyedi",$L$23="")),"",HLOOKUP($N$9,$H$24:$K$39,3,0))</f>
        <v/>
      </c>
    </row>
    <row r="27" spans="2:17" x14ac:dyDescent="0.2">
      <c r="B27" s="62" t="str">
        <f>IF(ISBLANK($N$7),"",Segédlet!$N8)</f>
        <v/>
      </c>
      <c r="C27" s="62"/>
      <c r="D27" s="62"/>
      <c r="E27" s="62"/>
      <c r="F27" s="62"/>
      <c r="G27" s="26" t="str">
        <f>IF($B27="","",VLOOKUP($B27,IF(OR(ISBLANK($E$9),$E$9="Forint"),Segédlet!$B$6:$I$20,Segédlet!$B$27:$I$38),3,0))</f>
        <v/>
      </c>
      <c r="H27" s="27" t="str">
        <f>IF($N$7="Basic","",IF($B27="","",VLOOKUP($B27,IF(OR(ISBLANK($E$9),$E$9="Forint"),Segédlet!$B$6:$I$20,Segédlet!$B$27:$I$38),6,0)))</f>
        <v/>
      </c>
      <c r="I27" s="27" t="str">
        <f>IF($N$7="Basic","",IF($B27="","",VLOOKUP($B27,IF(OR(ISBLANK($E$9),$E$9="Forint"),Segédlet!$B$6:$I$20,Segédlet!$B$27:$I$38),7,0)))</f>
        <v/>
      </c>
      <c r="J27" s="27" t="str">
        <f>IF($N$7="Basic","",IF($B27="","",VLOOKUP($B27,IF(OR(ISBLANK($E$9),$E$9="Forint"),Segédlet!$B$6:$I$20,Segédlet!$B$27:$I$38),8,0)))</f>
        <v/>
      </c>
      <c r="K27" s="56"/>
      <c r="L27" s="25" t="str">
        <f>IF(OR(ISBLANK($N$9),AND($N$9="Egyedi",$L$23="")),"",HLOOKUP($N$9,$H$24:$K$39,4,0))</f>
        <v/>
      </c>
    </row>
    <row r="28" spans="2:17" x14ac:dyDescent="0.2">
      <c r="B28" s="62" t="str">
        <f>IF(ISBLANK($N$7),"",Segédlet!$N9)</f>
        <v/>
      </c>
      <c r="C28" s="62"/>
      <c r="D28" s="62"/>
      <c r="E28" s="62"/>
      <c r="F28" s="62"/>
      <c r="G28" s="26" t="str">
        <f>IF($B28="","",VLOOKUP($B28,IF(OR(ISBLANK($E$9),$E$9="Forint"),Segédlet!$B$6:$I$20,Segédlet!$B$27:$I$38),3,0))</f>
        <v/>
      </c>
      <c r="H28" s="27" t="str">
        <f>IF($N$7="Basic","",IF($B28="","",VLOOKUP($B28,IF(OR(ISBLANK($E$9),$E$9="Forint"),Segédlet!$B$6:$I$20,Segédlet!$B$27:$I$38),6,0)))</f>
        <v/>
      </c>
      <c r="I28" s="27" t="str">
        <f>IF($N$7="Basic","",IF($B28="","",VLOOKUP($B28,IF(OR(ISBLANK($E$9),$E$9="Forint"),Segédlet!$B$6:$I$20,Segédlet!$B$27:$I$38),7,0)))</f>
        <v/>
      </c>
      <c r="J28" s="27" t="str">
        <f>IF($N$7="Basic","",IF($B28="","",VLOOKUP($B28,IF(OR(ISBLANK($E$9),$E$9="Forint"),Segédlet!$B$6:$I$20,Segédlet!$B$27:$I$38),8,0)))</f>
        <v/>
      </c>
      <c r="K28" s="56"/>
      <c r="L28" s="25" t="str">
        <f>IF(OR(ISBLANK($N$9),AND($N$9="Egyedi",$L$23="")),"",HLOOKUP($N$9,$H$24:$K$39,5,0))</f>
        <v/>
      </c>
    </row>
    <row r="29" spans="2:17" x14ac:dyDescent="0.2">
      <c r="B29" s="62" t="str">
        <f>IF(ISBLANK($N$7),"",Segédlet!$N10)</f>
        <v/>
      </c>
      <c r="C29" s="62"/>
      <c r="D29" s="62"/>
      <c r="E29" s="62"/>
      <c r="F29" s="62"/>
      <c r="G29" s="26" t="str">
        <f>IF($B29="","",VLOOKUP($B29,IF(OR(ISBLANK($E$9),$E$9="Forint"),Segédlet!$B$6:$I$20,Segédlet!$B$27:$I$38),3,0))</f>
        <v/>
      </c>
      <c r="H29" s="27" t="str">
        <f>IF($N$7="Basic","",IF($B29="","",VLOOKUP($B29,IF(OR(ISBLANK($E$9),$E$9="Forint"),Segédlet!$B$6:$I$20,Segédlet!$B$27:$I$38),6,0)))</f>
        <v/>
      </c>
      <c r="I29" s="27" t="str">
        <f>IF($N$7="Basic","",IF($B29="","",VLOOKUP($B29,IF(OR(ISBLANK($E$9),$E$9="Forint"),Segédlet!$B$6:$I$20,Segédlet!$B$27:$I$38),7,0)))</f>
        <v/>
      </c>
      <c r="J29" s="27" t="str">
        <f>IF($N$7="Basic","",IF($B29="","",VLOOKUP($B29,IF(OR(ISBLANK($E$9),$E$9="Forint"),Segédlet!$B$6:$I$20,Segédlet!$B$27:$I$38),8,0)))</f>
        <v/>
      </c>
      <c r="K29" s="56"/>
      <c r="L29" s="25" t="str">
        <f>IF(OR(ISBLANK($N$9),AND($N$9="Egyedi",$L$23="")),"",HLOOKUP($N$9,$H$24:$K$39,6,0))</f>
        <v/>
      </c>
    </row>
    <row r="30" spans="2:17" x14ac:dyDescent="0.2">
      <c r="B30" s="62" t="str">
        <f>IF(ISBLANK($N$7),"",Segédlet!$N11)</f>
        <v/>
      </c>
      <c r="C30" s="62"/>
      <c r="D30" s="62"/>
      <c r="E30" s="62"/>
      <c r="F30" s="62"/>
      <c r="G30" s="26" t="str">
        <f>IF($B30="","",VLOOKUP($B30,IF(OR(ISBLANK($E$9),$E$9="Forint"),Segédlet!$B$6:$I$20,Segédlet!$B$27:$I$38),3,0))</f>
        <v/>
      </c>
      <c r="H30" s="27" t="str">
        <f>IF($N$7="Basic","",IF($B30="","",VLOOKUP($B30,IF(OR(ISBLANK($E$9),$E$9="Forint"),Segédlet!$B$6:$I$20,Segédlet!$B$27:$I$38),6,0)))</f>
        <v/>
      </c>
      <c r="I30" s="27" t="str">
        <f>IF($N$7="Basic","",IF($B30="","",VLOOKUP($B30,IF(OR(ISBLANK($E$9),$E$9="Forint"),Segédlet!$B$6:$I$20,Segédlet!$B$27:$I$38),7,0)))</f>
        <v/>
      </c>
      <c r="J30" s="27" t="str">
        <f>IF($N$7="Basic","",IF($B30="","",VLOOKUP($B30,IF(OR(ISBLANK($E$9),$E$9="Forint"),Segédlet!$B$6:$I$20,Segédlet!$B$27:$I$38),8,0)))</f>
        <v/>
      </c>
      <c r="K30" s="56"/>
      <c r="L30" s="25" t="str">
        <f>IF(OR(ISBLANK($N$9),AND($N$9="Egyedi",$L$23="")),"",HLOOKUP($N$9,$H$24:$K$39,7,0))</f>
        <v/>
      </c>
    </row>
    <row r="31" spans="2:17" x14ac:dyDescent="0.2">
      <c r="B31" s="62" t="str">
        <f>IF(ISBLANK($N$7),"",Segédlet!$N12)</f>
        <v/>
      </c>
      <c r="C31" s="62"/>
      <c r="D31" s="62"/>
      <c r="E31" s="62"/>
      <c r="F31" s="62"/>
      <c r="G31" s="26" t="str">
        <f>IF($B31="","",VLOOKUP($B31,IF(OR(ISBLANK($E$9),$E$9="Forint"),Segédlet!$B$6:$I$20,Segédlet!$B$27:$I$38),3,0))</f>
        <v/>
      </c>
      <c r="H31" s="27" t="str">
        <f>IF($N$7="Basic","",IF($B31="","",VLOOKUP($B31,IF(OR(ISBLANK($E$9),$E$9="Forint"),Segédlet!$B$6:$I$20,Segédlet!$B$27:$I$38),6,0)))</f>
        <v/>
      </c>
      <c r="I31" s="27" t="str">
        <f>IF($N$7="Basic","",IF($B31="","",VLOOKUP($B31,IF(OR(ISBLANK($E$9),$E$9="Forint"),Segédlet!$B$6:$I$20,Segédlet!$B$27:$I$38),7,0)))</f>
        <v/>
      </c>
      <c r="J31" s="27" t="str">
        <f>IF($N$7="Basic","",IF($B31="","",VLOOKUP($B31,IF(OR(ISBLANK($E$9),$E$9="Forint"),Segédlet!$B$6:$I$20,Segédlet!$B$27:$I$38),8,0)))</f>
        <v/>
      </c>
      <c r="K31" s="56"/>
      <c r="L31" s="25" t="str">
        <f>IF(OR(ISBLANK($N$9),AND($N$9="Egyedi",$L$23="")),"",HLOOKUP($N$9,$H$24:$K$39,8,0))</f>
        <v/>
      </c>
    </row>
    <row r="32" spans="2:17" x14ac:dyDescent="0.2">
      <c r="B32" s="62" t="str">
        <f>IF(ISBLANK($N$7),"",Segédlet!$N13)</f>
        <v/>
      </c>
      <c r="C32" s="62"/>
      <c r="D32" s="62"/>
      <c r="E32" s="62"/>
      <c r="F32" s="62"/>
      <c r="G32" s="26" t="str">
        <f>IF($B32="","",VLOOKUP($B32,IF(OR(ISBLANK($E$9),$E$9="Forint"),Segédlet!$B$6:$I$20,Segédlet!$B$27:$I$38),3,0))</f>
        <v/>
      </c>
      <c r="H32" s="27" t="str">
        <f>IF($N$7="Basic","",IF($B32="","",VLOOKUP($B32,IF(OR(ISBLANK($E$9),$E$9="Forint"),Segédlet!$B$6:$I$20,Segédlet!$B$27:$I$38),6,0)))</f>
        <v/>
      </c>
      <c r="I32" s="27" t="str">
        <f>IF($N$7="Basic","",IF($B32="","",VLOOKUP($B32,IF(OR(ISBLANK($E$9),$E$9="Forint"),Segédlet!$B$6:$I$20,Segédlet!$B$27:$I$38),7,0)))</f>
        <v/>
      </c>
      <c r="J32" s="27" t="str">
        <f>IF($N$7="Basic","",IF($B32="","",VLOOKUP($B32,IF(OR(ISBLANK($E$9),$E$9="Forint"),Segédlet!$B$6:$I$20,Segédlet!$B$27:$I$38),8,0)))</f>
        <v/>
      </c>
      <c r="K32" s="56"/>
      <c r="L32" s="25" t="str">
        <f>IF(OR(ISBLANK($N$9),AND($N$9="Egyedi",$L$23="")),"",HLOOKUP($N$9,$H$24:$K$39,9,0))</f>
        <v/>
      </c>
    </row>
    <row r="33" spans="2:12" x14ac:dyDescent="0.2">
      <c r="B33" s="62" t="str">
        <f>IF(ISBLANK($N$7),"",Segédlet!$N14)</f>
        <v/>
      </c>
      <c r="C33" s="62"/>
      <c r="D33" s="62"/>
      <c r="E33" s="62"/>
      <c r="F33" s="62"/>
      <c r="G33" s="26" t="str">
        <f>IF($B33="","",VLOOKUP($B33,IF(OR(ISBLANK($E$9),$E$9="Forint"),Segédlet!$B$6:$I$20,Segédlet!$B$27:$I$38),3,0))</f>
        <v/>
      </c>
      <c r="H33" s="27" t="str">
        <f>IF($N$7="Basic","",IF($B33="","",VLOOKUP($B33,IF(OR(ISBLANK($E$9),$E$9="Forint"),Segédlet!$B$6:$I$20,Segédlet!$B$27:$I$38),6,0)))</f>
        <v/>
      </c>
      <c r="I33" s="27" t="str">
        <f>IF($N$7="Basic","",IF($B33="","",VLOOKUP($B33,IF(OR(ISBLANK($E$9),$E$9="Forint"),Segédlet!$B$6:$I$20,Segédlet!$B$27:$I$38),7,0)))</f>
        <v/>
      </c>
      <c r="J33" s="27" t="str">
        <f>IF($N$7="Basic","",IF($B33="","",VLOOKUP($B33,IF(OR(ISBLANK($E$9),$E$9="Forint"),Segédlet!$B$6:$I$20,Segédlet!$B$27:$I$38),8,0)))</f>
        <v/>
      </c>
      <c r="K33" s="56"/>
      <c r="L33" s="25" t="str">
        <f>IF(OR(ISBLANK($N$9),AND($N$9="Egyedi",$L$23="")),"",HLOOKUP($N$9,$H$24:$K$39,10,0))</f>
        <v/>
      </c>
    </row>
    <row r="34" spans="2:12" x14ac:dyDescent="0.2">
      <c r="B34" s="62" t="str">
        <f>IF(ISBLANK($N$7),"",Segédlet!$N15)</f>
        <v/>
      </c>
      <c r="C34" s="62"/>
      <c r="D34" s="62"/>
      <c r="E34" s="62"/>
      <c r="F34" s="62"/>
      <c r="G34" s="26" t="str">
        <f>IF($B34="","",VLOOKUP($B34,IF(OR(ISBLANK($E$9),$E$9="Forint"),Segédlet!$B$6:$I$20,Segédlet!$B$27:$I$38),3,0))</f>
        <v/>
      </c>
      <c r="H34" s="27" t="str">
        <f>IF($N$7="Basic","",IF($B34="","",VLOOKUP($B34,IF(OR(ISBLANK($E$9),$E$9="Forint"),Segédlet!$B$6:$I$20,Segédlet!$B$27:$I$38),6,0)))</f>
        <v/>
      </c>
      <c r="I34" s="27" t="str">
        <f>IF($N$7="Basic","",IF($B34="","",VLOOKUP($B34,IF(OR(ISBLANK($E$9),$E$9="Forint"),Segédlet!$B$6:$I$20,Segédlet!$B$27:$I$38),7,0)))</f>
        <v/>
      </c>
      <c r="J34" s="27" t="str">
        <f>IF($N$7="Basic","",IF($B34="","",VLOOKUP($B34,IF(OR(ISBLANK($E$9),$E$9="Forint"),Segédlet!$B$6:$I$20,Segédlet!$B$27:$I$38),8,0)))</f>
        <v/>
      </c>
      <c r="K34" s="56"/>
      <c r="L34" s="25" t="str">
        <f>IF(OR(ISBLANK($N$9),AND($N$9="Egyedi",$L$23="")),"",HLOOKUP($N$9,$H$24:$K$39,11,0))</f>
        <v/>
      </c>
    </row>
    <row r="35" spans="2:12" x14ac:dyDescent="0.2">
      <c r="B35" s="62" t="str">
        <f>IF(ISBLANK($N$7),"",Segédlet!$N16)</f>
        <v/>
      </c>
      <c r="C35" s="62"/>
      <c r="D35" s="62"/>
      <c r="E35" s="62"/>
      <c r="F35" s="62"/>
      <c r="G35" s="26" t="str">
        <f>IF($B35="","",VLOOKUP($B35,IF(OR(ISBLANK($E$9),$E$9="Forint"),Segédlet!$B$6:$I$20,Segédlet!$B$27:$I$38),3,0))</f>
        <v/>
      </c>
      <c r="H35" s="27" t="str">
        <f>IF($N$7="Basic","",IF($B35="","",VLOOKUP($B35,IF(OR(ISBLANK($E$9),$E$9="Forint"),Segédlet!$B$6:$I$20,Segédlet!$B$27:$I$38),6,0)))</f>
        <v/>
      </c>
      <c r="I35" s="27" t="str">
        <f>IF($N$7="Basic","",IF($B35="","",VLOOKUP($B35,IF(OR(ISBLANK($E$9),$E$9="Forint"),Segédlet!$B$6:$I$20,Segédlet!$B$27:$I$38),7,0)))</f>
        <v/>
      </c>
      <c r="J35" s="27" t="str">
        <f>IF($N$7="Basic","",IF($B35="","",VLOOKUP($B35,IF(OR(ISBLANK($E$9),$E$9="Forint"),Segédlet!$B$6:$I$20,Segédlet!$B$27:$I$38),8,0)))</f>
        <v/>
      </c>
      <c r="K35" s="56"/>
      <c r="L35" s="25" t="str">
        <f>IF(OR(ISBLANK($N$9),AND($N$9="Egyedi",$L$23="")),"",HLOOKUP($N$9,$H$24:$K$39,12,0))</f>
        <v/>
      </c>
    </row>
    <row r="36" spans="2:12" x14ac:dyDescent="0.2">
      <c r="B36" s="62" t="str">
        <f>IF(ISBLANK($N$7),"",Segédlet!$N17)</f>
        <v/>
      </c>
      <c r="C36" s="62"/>
      <c r="D36" s="62"/>
      <c r="E36" s="62"/>
      <c r="F36" s="62"/>
      <c r="G36" s="26" t="str">
        <f>IF($B36="","",VLOOKUP($B36,IF(OR(ISBLANK($E$9),$E$9="Forint"),Segédlet!$B$6:$I$20,Segédlet!$B$27:$I$38),3,0))</f>
        <v/>
      </c>
      <c r="H36" s="27" t="str">
        <f>IF($N$7="Basic","",IF($B36="","",VLOOKUP($B36,IF(OR(ISBLANK($E$9),$E$9="Forint"),Segédlet!$B$6:$I$20,Segédlet!$B$27:$I$38),6,0)))</f>
        <v/>
      </c>
      <c r="I36" s="27" t="str">
        <f>IF($N$7="Basic","",IF($B36="","",VLOOKUP($B36,IF(OR(ISBLANK($E$9),$E$9="Forint"),Segédlet!$B$6:$I$20,Segédlet!$B$27:$I$38),7,0)))</f>
        <v/>
      </c>
      <c r="J36" s="27" t="str">
        <f>IF($N$7="Basic","",IF($B36="","",VLOOKUP($B36,IF(OR(ISBLANK($E$9),$E$9="Forint"),Segédlet!$B$6:$I$20,Segédlet!$B$27:$I$38),8,0)))</f>
        <v/>
      </c>
      <c r="K36" s="56"/>
      <c r="L36" s="25" t="str">
        <f>IF(OR(ISBLANK($N$9),AND($N$9="Egyedi",$L$23="")),"",HLOOKUP($N$9,$H$24:$K$39,13,0))</f>
        <v/>
      </c>
    </row>
    <row r="37" spans="2:12" x14ac:dyDescent="0.2">
      <c r="B37" s="62" t="str">
        <f>IF(ISBLANK($N$7),"",Segédlet!$N18)</f>
        <v/>
      </c>
      <c r="C37" s="62"/>
      <c r="D37" s="62"/>
      <c r="E37" s="62"/>
      <c r="F37" s="62"/>
      <c r="G37" s="26" t="str">
        <f>IF($B37="","",VLOOKUP($B37,IF(OR(ISBLANK($E$9),$E$9="Forint"),Segédlet!$B$6:$I$20,Segédlet!$B$27:$I$38),3,0))</f>
        <v/>
      </c>
      <c r="H37" s="27" t="str">
        <f>IF($N$7="Basic","",IF($B37="","",VLOOKUP($B37,IF(OR(ISBLANK($E$9),$E$9="Forint"),Segédlet!$B$6:$I$20,Segédlet!$B$27:$I$38),6,0)))</f>
        <v/>
      </c>
      <c r="I37" s="27" t="str">
        <f>IF($N$7="Basic","",IF($B37="","",VLOOKUP($B37,IF(OR(ISBLANK($E$9),$E$9="Forint"),Segédlet!$B$6:$I$20,Segédlet!$B$27:$I$38),7,0)))</f>
        <v/>
      </c>
      <c r="J37" s="27" t="str">
        <f>IF($N$7="Basic","",IF($B37="","",VLOOKUP($B37,IF(OR(ISBLANK($E$9),$E$9="Forint"),Segédlet!$B$6:$I$20,Segédlet!$B$27:$I$38),8,0)))</f>
        <v/>
      </c>
      <c r="K37" s="56"/>
      <c r="L37" s="25" t="str">
        <f>IF(OR(ISBLANK($N$9),AND($N$9="Egyedi",$L$23="")),"",HLOOKUP($N$9,$H$24:$K$39,14,0))</f>
        <v/>
      </c>
    </row>
    <row r="38" spans="2:12" x14ac:dyDescent="0.2">
      <c r="B38" s="62" t="str">
        <f>IF(ISBLANK($N$7),"",Segédlet!$N19)</f>
        <v/>
      </c>
      <c r="C38" s="62"/>
      <c r="D38" s="62"/>
      <c r="E38" s="62"/>
      <c r="F38" s="62"/>
      <c r="G38" s="26" t="str">
        <f>IF($B38="","",VLOOKUP($B38,IF(OR(ISBLANK($E$9),$E$9="Forint"),Segédlet!$B$6:$I$20,Segédlet!$B$27:$I$38),3,0))</f>
        <v/>
      </c>
      <c r="H38" s="27" t="str">
        <f>IF($N$7="Basic","",IF($B38="","",VLOOKUP($B38,IF(OR(ISBLANK($E$9),$E$9="Forint"),Segédlet!$B$6:$I$20,Segédlet!$B$27:$I$38),6,0)))</f>
        <v/>
      </c>
      <c r="I38" s="27" t="str">
        <f>IF($N$7="Basic","",IF($B38="","",VLOOKUP($B38,IF(OR(ISBLANK($E$9),$E$9="Forint"),Segédlet!$B$6:$I$20,Segédlet!$B$27:$I$38),7,0)))</f>
        <v/>
      </c>
      <c r="J38" s="27" t="str">
        <f>IF($N$7="Basic","",IF($B38="","",VLOOKUP($B38,IF(OR(ISBLANK($E$9),$E$9="Forint"),Segédlet!$B$6:$I$20,Segédlet!$B$27:$I$38),8,0)))</f>
        <v/>
      </c>
      <c r="K38" s="56"/>
      <c r="L38" s="25" t="str">
        <f>IF(OR(ISBLANK($N$9),AND($N$9="Egyedi",$L$23="")),"",HLOOKUP($N$9,$H$24:$K$39,15,0))</f>
        <v/>
      </c>
    </row>
    <row r="39" spans="2:12" x14ac:dyDescent="0.2">
      <c r="B39" s="62" t="str">
        <f>IF(ISBLANK($N$7),"",Segédlet!$N20)</f>
        <v/>
      </c>
      <c r="C39" s="62"/>
      <c r="D39" s="62"/>
      <c r="E39" s="62"/>
      <c r="F39" s="62"/>
      <c r="G39" s="26" t="str">
        <f>IF($B39="","",VLOOKUP($B39,IF(OR(ISBLANK($E$9),$E$9="Forint"),Segédlet!$B$6:$I$20,Segédlet!$B$27:$I$38),3,0))</f>
        <v/>
      </c>
      <c r="H39" s="27" t="str">
        <f>IF($N$7="Basic","",IF($B39="","",VLOOKUP($B39,IF(OR(ISBLANK($E$9),$E$9="Forint"),Segédlet!$B$6:$I$20,Segédlet!$B$27:$I$38),6,0)))</f>
        <v/>
      </c>
      <c r="I39" s="27" t="str">
        <f>IF($N$7="Basic","",IF($B39="","",VLOOKUP($B39,IF(OR(ISBLANK($E$9),$E$9="Forint"),Segédlet!$B$6:$I$20,Segédlet!$B$27:$I$38),7,0)))</f>
        <v/>
      </c>
      <c r="J39" s="27" t="str">
        <f>IF($N$7="Basic","",IF($B39="","",VLOOKUP($B39,IF(OR(ISBLANK($E$9),$E$9="Forint"),Segédlet!$B$6:$I$20,Segédlet!$B$27:$I$38),8,0)))</f>
        <v/>
      </c>
      <c r="K39" s="56"/>
      <c r="L39" s="25" t="str">
        <f>IF(OR(ISBLANK($N$9),AND($N$9="Egyedi",$L$23="")),"",HLOOKUP($N$9,$H$24:$K$39,16,0))</f>
        <v/>
      </c>
    </row>
  </sheetData>
  <sheetProtection password="D9D3" sheet="1" objects="1" scenarios="1"/>
  <mergeCells count="52">
    <mergeCell ref="J5:S5"/>
    <mergeCell ref="B39:F39"/>
    <mergeCell ref="G15:H15"/>
    <mergeCell ref="B5:D5"/>
    <mergeCell ref="B7:D7"/>
    <mergeCell ref="B15:D15"/>
    <mergeCell ref="B13:D13"/>
    <mergeCell ref="B9:D9"/>
    <mergeCell ref="B20:M20"/>
    <mergeCell ref="J17:M17"/>
    <mergeCell ref="J7:M7"/>
    <mergeCell ref="B23:F24"/>
    <mergeCell ref="B38:F38"/>
    <mergeCell ref="J15:M15"/>
    <mergeCell ref="B34:F34"/>
    <mergeCell ref="B17:D17"/>
    <mergeCell ref="B37:F37"/>
    <mergeCell ref="B1:H2"/>
    <mergeCell ref="J2:S2"/>
    <mergeCell ref="J4:S4"/>
    <mergeCell ref="N17:Q17"/>
    <mergeCell ref="E11:H11"/>
    <mergeCell ref="E17:H17"/>
    <mergeCell ref="N7:Q7"/>
    <mergeCell ref="N15:Q15"/>
    <mergeCell ref="N13:Q13"/>
    <mergeCell ref="N11:Q11"/>
    <mergeCell ref="J3:S3"/>
    <mergeCell ref="J9:M9"/>
    <mergeCell ref="J11:M11"/>
    <mergeCell ref="N9:Q9"/>
    <mergeCell ref="J13:M13"/>
    <mergeCell ref="B11:D11"/>
    <mergeCell ref="B33:F33"/>
    <mergeCell ref="B35:F35"/>
    <mergeCell ref="B36:F36"/>
    <mergeCell ref="E5:H5"/>
    <mergeCell ref="E7:H7"/>
    <mergeCell ref="E13:H13"/>
    <mergeCell ref="E9:H9"/>
    <mergeCell ref="E15:F15"/>
    <mergeCell ref="B28:F28"/>
    <mergeCell ref="B29:F29"/>
    <mergeCell ref="B30:F30"/>
    <mergeCell ref="B31:F31"/>
    <mergeCell ref="B32:F32"/>
    <mergeCell ref="N20:Q20"/>
    <mergeCell ref="G23:G24"/>
    <mergeCell ref="B25:F25"/>
    <mergeCell ref="B26:F26"/>
    <mergeCell ref="B27:F27"/>
    <mergeCell ref="H23:K23"/>
  </mergeCells>
  <conditionalFormatting sqref="K25">
    <cfRule type="expression" dxfId="110" priority="30">
      <formula>$B$25&lt;&gt;""</formula>
    </cfRule>
  </conditionalFormatting>
  <conditionalFormatting sqref="K26">
    <cfRule type="expression" dxfId="109" priority="29">
      <formula>$B$26&lt;&gt;""</formula>
    </cfRule>
  </conditionalFormatting>
  <conditionalFormatting sqref="K27">
    <cfRule type="expression" dxfId="108" priority="28">
      <formula>$B$27&lt;&gt;""</formula>
    </cfRule>
  </conditionalFormatting>
  <conditionalFormatting sqref="K28">
    <cfRule type="expression" dxfId="107" priority="27">
      <formula>$B$28&lt;&gt;""</formula>
    </cfRule>
  </conditionalFormatting>
  <conditionalFormatting sqref="K29">
    <cfRule type="expression" dxfId="106" priority="26">
      <formula>$B$29&lt;&gt;""</formula>
    </cfRule>
  </conditionalFormatting>
  <conditionalFormatting sqref="K30">
    <cfRule type="expression" dxfId="105" priority="25">
      <formula>$B$30&lt;&gt;""</formula>
    </cfRule>
  </conditionalFormatting>
  <conditionalFormatting sqref="K31">
    <cfRule type="expression" dxfId="104" priority="24">
      <formula>$B$31&lt;&gt;""</formula>
    </cfRule>
  </conditionalFormatting>
  <conditionalFormatting sqref="K32">
    <cfRule type="expression" dxfId="103" priority="23">
      <formula>$B$32&lt;&gt;""</formula>
    </cfRule>
  </conditionalFormatting>
  <conditionalFormatting sqref="K33">
    <cfRule type="expression" dxfId="102" priority="22">
      <formula>$B$33&lt;&gt;""</formula>
    </cfRule>
  </conditionalFormatting>
  <conditionalFormatting sqref="K34">
    <cfRule type="expression" dxfId="101" priority="21">
      <formula>$B$34&lt;&gt;""</formula>
    </cfRule>
  </conditionalFormatting>
  <conditionalFormatting sqref="K35">
    <cfRule type="expression" dxfId="100" priority="20">
      <formula>$B$35&lt;&gt;""</formula>
    </cfRule>
  </conditionalFormatting>
  <conditionalFormatting sqref="K36">
    <cfRule type="expression" dxfId="99" priority="19">
      <formula>$B$36&lt;&gt;""</formula>
    </cfRule>
  </conditionalFormatting>
  <conditionalFormatting sqref="K37">
    <cfRule type="expression" dxfId="98" priority="18">
      <formula>$B$37&lt;&gt;""</formula>
    </cfRule>
  </conditionalFormatting>
  <conditionalFormatting sqref="K38">
    <cfRule type="expression" dxfId="97" priority="17">
      <formula>$B$38&lt;&gt;""</formula>
    </cfRule>
  </conditionalFormatting>
  <conditionalFormatting sqref="K39">
    <cfRule type="expression" dxfId="96" priority="16">
      <formula>$B$39&lt;&gt;""</formula>
    </cfRule>
  </conditionalFormatting>
  <conditionalFormatting sqref="E15:F15">
    <cfRule type="expression" dxfId="95" priority="91">
      <formula>$E$9&lt;&gt;"Euró"</formula>
    </cfRule>
    <cfRule type="expression" dxfId="94" priority="92">
      <formula>$E$9="Euró"</formula>
    </cfRule>
  </conditionalFormatting>
  <conditionalFormatting sqref="B25">
    <cfRule type="expression" dxfId="93" priority="15">
      <formula>$L$25</formula>
    </cfRule>
  </conditionalFormatting>
  <conditionalFormatting sqref="B26">
    <cfRule type="expression" dxfId="92" priority="14">
      <formula>$L$26</formula>
    </cfRule>
  </conditionalFormatting>
  <conditionalFormatting sqref="B27">
    <cfRule type="expression" dxfId="91" priority="13">
      <formula>$L$27</formula>
    </cfRule>
  </conditionalFormatting>
  <conditionalFormatting sqref="B28">
    <cfRule type="expression" dxfId="90" priority="12">
      <formula>$L$28</formula>
    </cfRule>
  </conditionalFormatting>
  <conditionalFormatting sqref="B29">
    <cfRule type="expression" dxfId="89" priority="11">
      <formula>$L$29</formula>
    </cfRule>
  </conditionalFormatting>
  <conditionalFormatting sqref="B30">
    <cfRule type="expression" dxfId="88" priority="10">
      <formula>$L$30</formula>
    </cfRule>
  </conditionalFormatting>
  <conditionalFormatting sqref="B31">
    <cfRule type="expression" dxfId="87" priority="9">
      <formula>$L$31</formula>
    </cfRule>
  </conditionalFormatting>
  <conditionalFormatting sqref="B32">
    <cfRule type="expression" dxfId="86" priority="8">
      <formula>$L$32</formula>
    </cfRule>
  </conditionalFormatting>
  <conditionalFormatting sqref="B33">
    <cfRule type="expression" dxfId="85" priority="7">
      <formula>$L$33</formula>
    </cfRule>
  </conditionalFormatting>
  <conditionalFormatting sqref="B34">
    <cfRule type="expression" dxfId="84" priority="6">
      <formula>$L$34</formula>
    </cfRule>
  </conditionalFormatting>
  <conditionalFormatting sqref="B35">
    <cfRule type="expression" dxfId="83" priority="5">
      <formula>$L$35</formula>
    </cfRule>
  </conditionalFormatting>
  <conditionalFormatting sqref="B36">
    <cfRule type="expression" dxfId="82" priority="4">
      <formula>$L$36</formula>
    </cfRule>
  </conditionalFormatting>
  <conditionalFormatting sqref="B37">
    <cfRule type="expression" dxfId="81" priority="3">
      <formula>$L$37</formula>
    </cfRule>
  </conditionalFormatting>
  <conditionalFormatting sqref="B38">
    <cfRule type="expression" dxfId="80" priority="2">
      <formula>$L$38</formula>
    </cfRule>
  </conditionalFormatting>
  <conditionalFormatting sqref="B39">
    <cfRule type="expression" dxfId="79" priority="1">
      <formula>$L$39</formula>
    </cfRule>
  </conditionalFormatting>
  <dataValidations count="13">
    <dataValidation type="decimal" allowBlank="1" showInputMessage="1" showErrorMessage="1" sqref="K25:K39" xr:uid="{00000000-0002-0000-0000-000000000000}">
      <formula1>0</formula1>
      <formula2>1</formula2>
    </dataValidation>
    <dataValidation type="list" allowBlank="1" showInputMessage="1" showErrorMessage="1" sqref="X20" xr:uid="{00000000-0002-0000-0000-000001000000}">
      <formula1>Díj_Mód</formula1>
    </dataValidation>
    <dataValidation type="decimal" allowBlank="1" showInputMessage="1" showErrorMessage="1" errorTitle="Érvénytelen adat" error="A biztosított min. 16 és 93 év közötti, nyugdíjbiztosítások esetén min. 18 és 62 év közötti személy lehet._x000a__x000a_Születési dátumát, az alábbi formátumban kell megadani:_x000a__x000a_Pl.: 1970.06.30" promptTitle="A Biztosított születési dátuma" prompt="Itt állítható be a Biztosított életkora. Akinek min. 16 évesnek, illetve nyugdíjbiztosítás választása esetén min. 18 évesnek kell lennie._x000a__x000a_Ezt a mezőt mindenféleképpen ki kell tölteni!_x000a_Pl.: 1970.06.30" sqref="E7:H7" xr:uid="{00000000-0002-0000-0000-000002000000}">
      <formula1>DATE(YEAR(TODAY()-93*365.25),"01","01")</formula1>
      <formula2>DATE(YEAR(TODAY()-16*365.25),"12","31")</formula2>
    </dataValidation>
    <dataValidation operator="greaterThan" allowBlank="1" errorTitle="Érvénytelen adat" error="A biztosítás kezdtének időpontja nem lehet korábbi a mai napnál." promptTitle="A biztosítás kezdte" prompt="Itt állítható be, hogy a szerződés melyik naptól kerüljön érvénybe. Jelentősége a nyugdíjbiztosítások tartamánál van._x000a__x000a_Amennyiben nem kerül kitöltésre, úgy alapértelmezetten a holnapi napot veszi alapul." sqref="N17:Q17" xr:uid="{00000000-0002-0000-0000-000003000000}"/>
    <dataValidation allowBlank="1" showInputMessage="1" showErrorMessage="1" promptTitle="A Biztosított neve" prompt="Amennyiben személyre szabott kalkulációt szeretne, itt adható meg a biztosított neve." sqref="E5:H5" xr:uid="{00000000-0002-0000-0000-000004000000}"/>
    <dataValidation type="list" allowBlank="1" showInputMessage="1" showErrorMessage="1" errorTitle="Érvénytelen adat" error="A díjfizetés módja csak a következők egyike lehet:_x000a_- Postai_x000a_- Folyószámla_x000a_- Átutalás_x000a_- Díjnet" promptTitle="A díjfizetés módja" prompt="Itt állítható be a biztosítás díjfizetés módja._x000a__x000a_Amennyiben a mező üresen marad, úgy alapértelmezetten egyéni banki átutalással történő díjfizetéssel történik a számítás." sqref="E13:H13" xr:uid="{00000000-0002-0000-0000-000005000000}">
      <formula1>Díj_Mód</formula1>
    </dataValidation>
    <dataValidation type="list" allowBlank="1" showInputMessage="1" showErrorMessage="1" errorTitle="Érvénytelen adat" error="A díjfizetés deviza neme csak a következők egyike lehet:_x000a_- Forint_x000a_- Euró" promptTitle="Deviza" prompt="Itt állítható be a biztosítás deviza neme._x000a__x000a_Amennyiben a mező üresen marad, úgy alapértelmezetten forintos díjfizetéssel történik a számítás." sqref="E9:H9" xr:uid="{00000000-0002-0000-0000-000006000000}">
      <formula1>Deviza</formula1>
    </dataValidation>
    <dataValidation type="list" allowBlank="1" showInputMessage="1" showErrorMessage="1" errorTitle="Érvénytelen adat" error="Az értékkövetés mértéke csak a következők egyike lehet:_x000a_- 0%_x000a_- 3%_x000a_- 6%_x000a_- 10%" promptTitle="Az értékkövetés mértéke" prompt="Itt állítható be az éves értékkövetés, fix mértéke._x000a__x000a_Amennyiben a mező üresen marad, úgy alapértelmezetten 3%-os értékkövetéssel történik a számítás." sqref="E17:H17" xr:uid="{00000000-0002-0000-0000-000007000000}">
      <formula1>Index</formula1>
    </dataValidation>
    <dataValidation type="list" allowBlank="1" showInputMessage="1" showErrorMessage="1" errorTitle="Érvénytelen adat" error="Az eszközalap kínálat csak a következők egyike lehet:_x000a_- Basic_x000a_- Premium" promptTitle="Válaszott eszközalap kínálat" prompt="Itt állítható be az elérni kívánt eszközalapok köre._x000a_A Premium kínálattal díjtalanok az árfolyam figyelő szolgáltatásaink._x000a__x000a_Ezt a mezőt mindenféleképpen ki kell tölteni!" sqref="N7:Q7" xr:uid="{00000000-0002-0000-0000-000008000000}">
      <formula1>Ea_Kínálat</formula1>
    </dataValidation>
    <dataValidation type="list" allowBlank="1" showInputMessage="1" showErrorMessage="1" errorTitle="Érvénytelen adat" error="A Biztosított fedezeti szintje csak a következők egyike lehet:_x000a_- Igen_x000a_- Nincs" promptTitle="A Biztosított további fedezete" prompt="Itt állítható, hogy rendelkezik-e a Biztosított további élet-, baleset-, egészségbiztosítási fedezetekkel, vagy sem._x000a__x000a_Amennyiben a mező üresen marad, úgy alapértelmezetten 10%-nyi extra díjjal történik a számítás." sqref="N20:Q20" xr:uid="{00000000-0002-0000-0000-000009000000}">
      <formula1>Választás</formula1>
    </dataValidation>
    <dataValidation type="decimal" allowBlank="1" showInputMessage="1" showErrorMessage="1" errorTitle="Érvénytelen adat" error="Az Egyéni korrekció mértéke -15% és +15% között lehet." promptTitle="Egyéni korrekció" prompt="Itt módosítható a válaszott befektetési portfólió feltételezett hozama._x000a__x000a_Továbbá, itt lehet megadni a fiktív portfólió hozamát is." sqref="N11:Q11" xr:uid="{00000000-0002-0000-0000-00000A000000}">
      <formula1>-0.15</formula1>
      <formula2>0.15</formula2>
    </dataValidation>
    <dataValidation type="decimal" allowBlank="1" showInputMessage="1" showErrorMessage="1" errorTitle="Érvénytelen adat" error="Az piac konzisztens hozam korrekció mértéke csak 0% és 3% között lehet." promptTitle="Piac konzisztens hozam korrekció" prompt="Itt állítható be egy olyan érték/költség szint, ami olyan piaci szintet feltételez, hogy egy, az eszközalap napi árfolyamából elvont költségekkel rendelkező eszközalap nettó hozamával összehasonlítható legyen." sqref="N13:Q13" xr:uid="{00000000-0002-0000-0000-00000B000000}">
      <formula1>0</formula1>
      <formula2>0.03</formula2>
    </dataValidation>
    <dataValidation type="list" allowBlank="1" showInputMessage="1" showErrorMessage="1" errorTitle="Érvénytelen adat" error="A díjfizetés gyakorisága csak a következők egyike lehet:_x000a_- Egyszeri_x000a_- Éves_x000a_- Féléves_x000a_- Negyedéves_x000a_- Havi" promptTitle="A díjfizetés gyakorisága" prompt="Itt állítható be a biztosítás díjfizetési gyakorisága._x000a__x000a_Amennyiben a mező üresen marad, úgy alapértelmezetten éves díjfizetéssel történik a számítás." sqref="E11:H11" xr:uid="{00000000-0002-0000-0000-00000C000000}">
      <formula1>Díj_Gyak</formula1>
    </dataValidation>
  </dataValidations>
  <pageMargins left="0.7" right="0.7" top="0.75" bottom="0.75" header="0.3" footer="0.3"/>
  <pageSetup paperSize="9" scale="71"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itle="Érvénytelen adat" error="Az eszközalap kínálat csak a következők egyike lehet:_x000a_- Megfontolt_x000a_- Kiegyensúlyozott_x000a_- Növekedési_x000a_- Egyedi" promptTitle="Választott portfólió" prompt="Itt állítható be, hogy milyen befektetési portfóliót feltételezzen a kalkuláció._x000a__x000a_Amennyiben a mező üressen marad, úgy alapértelmezetten egy fiktív, nem meghatározott kínálattal történik a számítás." xr:uid="{00000000-0002-0000-0000-00000D000000}">
          <x14:formula1>
            <xm:f>IF($N$7="Basic",Paraméterek!$G$7,Portfólió)</xm:f>
          </x14:formula1>
          <xm:sqref>N9:Q9</xm:sqref>
        </x14:dataValidation>
        <x14:dataValidation type="decimal" operator="greaterThanOrEqual" allowBlank="1" showInputMessage="1" showErrorMessage="1" errorTitle="Érvénytelen adat" error="A biztosítás havi díja min. 10 000 Ft vagy 33,30 €._x000a__x000a_Nyugdíjbiztosítás esetében minimális díjak magasabbak is lehetnek." promptTitle="A biztosítás díja" prompt="Itt állítható be a válaszott díjgyakoriságnak megfelelően válaszott, fizetendő díj nagysága._x000a__x000a_Ezt a mezőt mindenféleképpen ki kell tölteni!" xr:uid="{00000000-0002-0000-0000-00000E000000}">
          <x14:formula1>
            <xm:f>MIN(Segédlet!$B$53,Segédlet!$B$54)</xm:f>
          </x14:formula1>
          <xm:sqref>E15:F15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61A0"/>
  </sheetPr>
  <dimension ref="B1:S115"/>
  <sheetViews>
    <sheetView zoomScaleNormal="100" workbookViewId="0">
      <selection activeCell="B1" sqref="B1:H2"/>
    </sheetView>
  </sheetViews>
  <sheetFormatPr defaultRowHeight="12.75" x14ac:dyDescent="0.2"/>
  <cols>
    <col min="1" max="6" width="9.140625" style="28"/>
    <col min="7" max="7" width="11.85546875" style="28" customWidth="1"/>
    <col min="8" max="8" width="10.5703125" style="28" customWidth="1"/>
    <col min="9" max="9" width="16.5703125" style="28" customWidth="1"/>
    <col min="10" max="10" width="11.28515625" style="28" customWidth="1"/>
    <col min="11" max="25" width="9.140625" style="28"/>
    <col min="26" max="26" width="10.28515625" style="28" bestFit="1" customWidth="1"/>
    <col min="27" max="16384" width="9.140625" style="28"/>
  </cols>
  <sheetData>
    <row r="1" spans="2:19" x14ac:dyDescent="0.2">
      <c r="B1" s="70" t="str">
        <f>Ajánlat!$B$1</f>
        <v>Unit linked kalkulátor</v>
      </c>
      <c r="C1" s="70"/>
      <c r="D1" s="70"/>
      <c r="E1" s="70"/>
      <c r="F1" s="70"/>
      <c r="G1" s="70"/>
      <c r="H1" s="70"/>
      <c r="I1" s="19"/>
    </row>
    <row r="2" spans="2:19" x14ac:dyDescent="0.2">
      <c r="B2" s="70"/>
      <c r="C2" s="70"/>
      <c r="D2" s="70"/>
      <c r="E2" s="70"/>
      <c r="F2" s="70"/>
      <c r="G2" s="70"/>
      <c r="H2" s="70"/>
      <c r="I2" s="20" t="str">
        <f>Ajánlat!$I$2</f>
        <v>v1.2</v>
      </c>
    </row>
    <row r="5" spans="2:19" x14ac:dyDescent="0.2">
      <c r="B5" s="79" t="s">
        <v>54</v>
      </c>
      <c r="C5" s="79"/>
      <c r="D5" s="79"/>
      <c r="E5" s="59"/>
      <c r="F5" s="59"/>
      <c r="G5" s="59"/>
      <c r="H5" s="59"/>
      <c r="I5" s="29"/>
      <c r="J5" s="29"/>
      <c r="K5" s="29"/>
      <c r="L5" s="29"/>
      <c r="M5" s="29"/>
      <c r="N5" s="29"/>
      <c r="O5" s="29"/>
      <c r="P5" s="29"/>
      <c r="Q5" s="29"/>
      <c r="R5" s="29"/>
      <c r="S5" s="29"/>
    </row>
    <row r="6" spans="2:19" x14ac:dyDescent="0.2">
      <c r="B6" s="19"/>
      <c r="C6" s="19"/>
      <c r="D6" s="19"/>
      <c r="E6" s="19"/>
      <c r="F6" s="19"/>
      <c r="G6" s="19"/>
      <c r="H6" s="19"/>
      <c r="I6" s="19"/>
      <c r="J6" s="19"/>
      <c r="K6" s="19"/>
      <c r="L6" s="19"/>
      <c r="M6" s="19"/>
      <c r="N6" s="19"/>
      <c r="O6" s="19"/>
      <c r="P6" s="19"/>
      <c r="Q6" s="19"/>
      <c r="R6" s="19"/>
      <c r="S6" s="19"/>
    </row>
    <row r="7" spans="2:19" x14ac:dyDescent="0.2">
      <c r="B7" s="79" t="s">
        <v>172</v>
      </c>
      <c r="C7" s="79"/>
      <c r="D7" s="79"/>
      <c r="E7" s="78"/>
      <c r="F7" s="78"/>
      <c r="G7" s="78"/>
      <c r="H7" s="78"/>
      <c r="I7" s="19"/>
      <c r="J7" s="79" t="s">
        <v>9</v>
      </c>
      <c r="K7" s="79"/>
      <c r="L7" s="79"/>
      <c r="M7" s="79"/>
      <c r="N7" s="77">
        <f>IF(OR(ISBLANK($E$5),$E$5="Ajánlat szerinti"),Ajánlat!$N$15,IF($E$5="Megfontolt",SUMPRODUCT($G$11:$G$25,$H$11:$H$25),IF($E$5="Kiegyensúlyozott",SUMPRODUCT($G$11:$G$25,$I$11:$I$25),IF($E$5="Növekedési",SUMPRODUCT($G$11:$G$25,$J$11:$J$25),IF($L$9="OK",SUMPRODUCT($G$11:$G$25,$K$11:$K$25),0)))))+$E$7</f>
        <v>0</v>
      </c>
      <c r="O7" s="77"/>
      <c r="P7" s="77"/>
      <c r="Q7" s="77"/>
      <c r="R7" s="19"/>
      <c r="S7" s="19"/>
    </row>
    <row r="8" spans="2:19" x14ac:dyDescent="0.2">
      <c r="B8" s="19"/>
      <c r="C8" s="19"/>
      <c r="D8" s="19"/>
      <c r="E8" s="19"/>
      <c r="F8" s="19"/>
      <c r="G8" s="19"/>
      <c r="H8" s="19"/>
      <c r="I8" s="19"/>
      <c r="J8" s="19"/>
      <c r="K8" s="19"/>
      <c r="L8" s="19"/>
      <c r="M8" s="19"/>
      <c r="N8" s="19"/>
      <c r="O8" s="19"/>
      <c r="P8" s="19"/>
      <c r="Q8" s="19"/>
      <c r="R8" s="19"/>
      <c r="S8" s="19"/>
    </row>
    <row r="9" spans="2:19" ht="12.75" customHeight="1" x14ac:dyDescent="0.2">
      <c r="B9" s="81" t="s">
        <v>11</v>
      </c>
      <c r="C9" s="81"/>
      <c r="D9" s="81"/>
      <c r="E9" s="81"/>
      <c r="F9" s="81"/>
      <c r="G9" s="60" t="s">
        <v>167</v>
      </c>
      <c r="H9" s="63" t="s">
        <v>168</v>
      </c>
      <c r="I9" s="63"/>
      <c r="J9" s="63"/>
      <c r="K9" s="63"/>
      <c r="L9" s="21" t="str">
        <f>IF(AND(SUM($K$11:$K$25)=1,COUNT($K$11:$K$25)&lt;=10),"OK","")</f>
        <v/>
      </c>
      <c r="M9" s="19"/>
      <c r="N9" s="19"/>
      <c r="O9" s="19"/>
      <c r="P9" s="19"/>
      <c r="Q9" s="19"/>
      <c r="R9" s="19"/>
      <c r="S9" s="19"/>
    </row>
    <row r="10" spans="2:19" x14ac:dyDescent="0.2">
      <c r="B10" s="81"/>
      <c r="C10" s="81"/>
      <c r="D10" s="81"/>
      <c r="E10" s="81"/>
      <c r="F10" s="81"/>
      <c r="G10" s="60"/>
      <c r="H10" s="22" t="s">
        <v>49</v>
      </c>
      <c r="I10" s="22" t="s">
        <v>50</v>
      </c>
      <c r="J10" s="22" t="s">
        <v>51</v>
      </c>
      <c r="K10" s="22" t="s">
        <v>12</v>
      </c>
      <c r="L10" s="21" t="str">
        <f>IF(ISBLANK($E$5),"Ajánlat szerinti portfólió",$E$5&amp;" portfólió")</f>
        <v>Ajánlat szerinti portfólió</v>
      </c>
      <c r="M10" s="19"/>
      <c r="N10" s="19"/>
      <c r="O10" s="19"/>
      <c r="P10" s="19"/>
      <c r="Q10" s="19"/>
      <c r="R10" s="19"/>
      <c r="S10" s="19"/>
    </row>
    <row r="11" spans="2:19" x14ac:dyDescent="0.2">
      <c r="B11" s="61" t="str">
        <f>IF(ISBLANK(Ajánlat!$N$7),"",Segédlet!$N6)</f>
        <v/>
      </c>
      <c r="C11" s="61" t="str">
        <f>IF(OR(ISBLANK(Ajánlat!$E$9),ISBLANK(Ajánlat!$N$7)),"",Segédlet!#REF!)</f>
        <v/>
      </c>
      <c r="D11" s="61" t="str">
        <f>IF(OR(ISBLANK(Ajánlat!$E$9),ISBLANK(Ajánlat!$N$7)),"",Segédlet!#REF!)</f>
        <v/>
      </c>
      <c r="E11" s="61" t="str">
        <f>IF(OR(ISBLANK(Ajánlat!$E$9),ISBLANK(Ajánlat!$N$7)),"",Segédlet!#REF!)</f>
        <v/>
      </c>
      <c r="F11" s="61" t="str">
        <f>IF(OR(ISBLANK(Ajánlat!$E$9),ISBLANK(Ajánlat!$N$7)),"",Segédlet!#REF!)</f>
        <v/>
      </c>
      <c r="G11" s="23" t="str">
        <f>IF($B11="","",VLOOKUP($B11,IF(OR(ISBLANK(Ajánlat!$E$9),Ajánlat!$E$9="Forint"),Segédlet!$B$6:$I$20,Segédlet!$B$27:$I$38),3,0))</f>
        <v/>
      </c>
      <c r="H11" s="24" t="str">
        <f>IF(Ajánlat!$N$7="Basic","",IF($B11="","",VLOOKUP($B11,IF(OR(ISBLANK(Ajánlat!$E$9),Ajánlat!$E$9="Forint"),Segédlet!$B$6:$I$20,Segédlet!$B$27:$I$38),6,0)))</f>
        <v/>
      </c>
      <c r="I11" s="24" t="str">
        <f>IF(Ajánlat!$N$7="Basic","",IF($B11="","",VLOOKUP($B11,IF(OR(ISBLANK(Ajánlat!$E$9),Ajánlat!$E$9="Forint"),Segédlet!$B$6:$I$20,Segédlet!$B$27:$I$38),7,0)))</f>
        <v/>
      </c>
      <c r="J11" s="24" t="str">
        <f>IF(Ajánlat!$N$7="Basic","",IF($B11="","",VLOOKUP($B11,IF(OR(ISBLANK(Ajánlat!$E$9),Ajánlat!$E$9="Forint"),Segédlet!$B$6:$I$20,Segédlet!$B$27:$I$38),8,0)))</f>
        <v/>
      </c>
      <c r="K11" s="55"/>
      <c r="L11" s="25" t="str">
        <f>IF(OR(ISBLANK($E$5),$E$5="Ajánlat szerinti"),Ajánlat!$L$25,IF(AND($E$5="Egyedi",$L$9=""),"",HLOOKUP($E$5,$H$10:$K$25,2,0)))</f>
        <v/>
      </c>
      <c r="M11" s="19"/>
      <c r="N11" s="19"/>
      <c r="O11" s="19"/>
      <c r="P11" s="19"/>
      <c r="Q11" s="19"/>
      <c r="R11" s="19"/>
      <c r="S11" s="19"/>
    </row>
    <row r="12" spans="2:19" x14ac:dyDescent="0.2">
      <c r="B12" s="62" t="str">
        <f>IF(ISBLANK(Ajánlat!$N$7),"",Segédlet!$N7)</f>
        <v/>
      </c>
      <c r="C12" s="62" t="str">
        <f>IF(OR(ISBLANK(Ajánlat!$E$9),ISBLANK(Ajánlat!$N$7)),"",Segédlet!#REF!)</f>
        <v/>
      </c>
      <c r="D12" s="62" t="str">
        <f>IF(OR(ISBLANK(Ajánlat!$E$9),ISBLANK(Ajánlat!$N$7)),"",Segédlet!#REF!)</f>
        <v/>
      </c>
      <c r="E12" s="62" t="str">
        <f>IF(OR(ISBLANK(Ajánlat!$E$9),ISBLANK(Ajánlat!$N$7)),"",Segédlet!#REF!)</f>
        <v/>
      </c>
      <c r="F12" s="62" t="str">
        <f>IF(OR(ISBLANK(Ajánlat!$E$9),ISBLANK(Ajánlat!$N$7)),"",Segédlet!#REF!)</f>
        <v/>
      </c>
      <c r="G12" s="23" t="str">
        <f>IF($B12="","",VLOOKUP($B12,IF(OR(ISBLANK(Ajánlat!$E$9),Ajánlat!$E$9="Forint"),Segédlet!$B$6:$I$20,Segédlet!$B$27:$I$38),3,0))</f>
        <v/>
      </c>
      <c r="H12" s="24" t="str">
        <f>IF(Ajánlat!$N$7="Basic","",IF($B12="","",VLOOKUP($B12,IF(OR(ISBLANK(Ajánlat!$E$9),Ajánlat!$E$9="Forint"),Segédlet!$B$6:$I$20,Segédlet!$B$27:$I$38),6,0)))</f>
        <v/>
      </c>
      <c r="I12" s="24" t="str">
        <f>IF(Ajánlat!$N$7="Basic","",IF($B12="","",VLOOKUP($B12,IF(OR(ISBLANK(Ajánlat!$E$9),Ajánlat!$E$9="Forint"),Segédlet!$B$6:$I$20,Segédlet!$B$27:$I$38),7,0)))</f>
        <v/>
      </c>
      <c r="J12" s="24" t="str">
        <f>IF(Ajánlat!$N$7="Basic","",IF($B12="","",VLOOKUP($B12,IF(OR(ISBLANK(Ajánlat!$E$9),Ajánlat!$E$9="Forint"),Segédlet!$B$6:$I$20,Segédlet!$B$27:$I$38),8,0)))</f>
        <v/>
      </c>
      <c r="K12" s="56"/>
      <c r="L12" s="25" t="str">
        <f>IF(OR(ISBLANK($E$5),$E$5="Ajánlat szerinti"),Ajánlat!$L$26,IF(AND($E$5="Egyedi",$L$9=""),"",HLOOKUP($E$5,$H$10:$K$25,3,0)))</f>
        <v/>
      </c>
      <c r="M12" s="19"/>
      <c r="N12" s="19"/>
      <c r="O12" s="19"/>
      <c r="P12" s="19"/>
      <c r="Q12" s="19"/>
      <c r="R12" s="19"/>
      <c r="S12" s="19"/>
    </row>
    <row r="13" spans="2:19" x14ac:dyDescent="0.2">
      <c r="B13" s="62" t="str">
        <f>IF(ISBLANK(Ajánlat!$N$7),"",Segédlet!$N8)</f>
        <v/>
      </c>
      <c r="C13" s="62" t="str">
        <f>IF(OR(ISBLANK(Ajánlat!$E$9),ISBLANK(Ajánlat!$N$7)),"",Segédlet!#REF!)</f>
        <v/>
      </c>
      <c r="D13" s="62" t="str">
        <f>IF(OR(ISBLANK(Ajánlat!$E$9),ISBLANK(Ajánlat!$N$7)),"",Segédlet!#REF!)</f>
        <v/>
      </c>
      <c r="E13" s="62" t="str">
        <f>IF(OR(ISBLANK(Ajánlat!$E$9),ISBLANK(Ajánlat!$N$7)),"",Segédlet!#REF!)</f>
        <v/>
      </c>
      <c r="F13" s="62" t="str">
        <f>IF(OR(ISBLANK(Ajánlat!$E$9),ISBLANK(Ajánlat!$N$7)),"",Segédlet!#REF!)</f>
        <v/>
      </c>
      <c r="G13" s="23" t="str">
        <f>IF($B13="","",VLOOKUP($B13,IF(OR(ISBLANK(Ajánlat!$E$9),Ajánlat!$E$9="Forint"),Segédlet!$B$6:$I$20,Segédlet!$B$27:$I$38),3,0))</f>
        <v/>
      </c>
      <c r="H13" s="24" t="str">
        <f>IF(Ajánlat!$N$7="Basic","",IF($B13="","",VLOOKUP($B13,IF(OR(ISBLANK(Ajánlat!$E$9),Ajánlat!$E$9="Forint"),Segédlet!$B$6:$I$20,Segédlet!$B$27:$I$38),6,0)))</f>
        <v/>
      </c>
      <c r="I13" s="24" t="str">
        <f>IF(Ajánlat!$N$7="Basic","",IF($B13="","",VLOOKUP($B13,IF(OR(ISBLANK(Ajánlat!$E$9),Ajánlat!$E$9="Forint"),Segédlet!$B$6:$I$20,Segédlet!$B$27:$I$38),7,0)))</f>
        <v/>
      </c>
      <c r="J13" s="24" t="str">
        <f>IF(Ajánlat!$N$7="Basic","",IF($B13="","",VLOOKUP($B13,IF(OR(ISBLANK(Ajánlat!$E$9),Ajánlat!$E$9="Forint"),Segédlet!$B$6:$I$20,Segédlet!$B$27:$I$38),8,0)))</f>
        <v/>
      </c>
      <c r="K13" s="56"/>
      <c r="L13" s="25" t="str">
        <f>IF(OR(ISBLANK($E$5),$E$5="Ajánlat szerinti"),Ajánlat!$L$27,IF(AND($E$5="Egyedi",$L$9=""),"",HLOOKUP($E$5,$H$10:$K$25,4,0)))</f>
        <v/>
      </c>
      <c r="M13" s="19"/>
      <c r="N13" s="19"/>
      <c r="O13" s="19"/>
      <c r="P13" s="19"/>
      <c r="Q13" s="19"/>
      <c r="R13" s="19"/>
      <c r="S13" s="19"/>
    </row>
    <row r="14" spans="2:19" x14ac:dyDescent="0.2">
      <c r="B14" s="62" t="str">
        <f>IF(ISBLANK(Ajánlat!$N$7),"",Segédlet!$N9)</f>
        <v/>
      </c>
      <c r="C14" s="62" t="str">
        <f>IF(OR(ISBLANK(Ajánlat!$E$9),ISBLANK(Ajánlat!$N$7)),"",Segédlet!#REF!)</f>
        <v/>
      </c>
      <c r="D14" s="62" t="str">
        <f>IF(OR(ISBLANK(Ajánlat!$E$9),ISBLANK(Ajánlat!$N$7)),"",Segédlet!#REF!)</f>
        <v/>
      </c>
      <c r="E14" s="62" t="str">
        <f>IF(OR(ISBLANK(Ajánlat!$E$9),ISBLANK(Ajánlat!$N$7)),"",Segédlet!#REF!)</f>
        <v/>
      </c>
      <c r="F14" s="62" t="str">
        <f>IF(OR(ISBLANK(Ajánlat!$E$9),ISBLANK(Ajánlat!$N$7)),"",Segédlet!#REF!)</f>
        <v/>
      </c>
      <c r="G14" s="23" t="str">
        <f>IF($B14="","",VLOOKUP($B14,IF(OR(ISBLANK(Ajánlat!$E$9),Ajánlat!$E$9="Forint"),Segédlet!$B$6:$I$20,Segédlet!$B$27:$I$38),3,0))</f>
        <v/>
      </c>
      <c r="H14" s="24" t="str">
        <f>IF(Ajánlat!$N$7="Basic","",IF($B14="","",VLOOKUP($B14,IF(OR(ISBLANK(Ajánlat!$E$9),Ajánlat!$E$9="Forint"),Segédlet!$B$6:$I$20,Segédlet!$B$27:$I$38),6,0)))</f>
        <v/>
      </c>
      <c r="I14" s="24" t="str">
        <f>IF(Ajánlat!$N$7="Basic","",IF($B14="","",VLOOKUP($B14,IF(OR(ISBLANK(Ajánlat!$E$9),Ajánlat!$E$9="Forint"),Segédlet!$B$6:$I$20,Segédlet!$B$27:$I$38),7,0)))</f>
        <v/>
      </c>
      <c r="J14" s="24" t="str">
        <f>IF(Ajánlat!$N$7="Basic","",IF($B14="","",VLOOKUP($B14,IF(OR(ISBLANK(Ajánlat!$E$9),Ajánlat!$E$9="Forint"),Segédlet!$B$6:$I$20,Segédlet!$B$27:$I$38),8,0)))</f>
        <v/>
      </c>
      <c r="K14" s="56"/>
      <c r="L14" s="25" t="str">
        <f>IF(OR(ISBLANK($E$5),$E$5="Ajánlat szerinti"),Ajánlat!$L$28,IF(AND($E$5="Egyedi",$L$9=""),"",HLOOKUP($E$5,$H$10:$K$25,5,0)))</f>
        <v/>
      </c>
      <c r="M14" s="19"/>
      <c r="N14" s="19"/>
      <c r="O14" s="19"/>
      <c r="P14" s="19"/>
      <c r="Q14" s="19"/>
      <c r="R14" s="19"/>
      <c r="S14" s="19"/>
    </row>
    <row r="15" spans="2:19" x14ac:dyDescent="0.2">
      <c r="B15" s="62" t="str">
        <f>IF(ISBLANK(Ajánlat!$N$7),"",Segédlet!$N10)</f>
        <v/>
      </c>
      <c r="C15" s="62" t="str">
        <f>IF(OR(ISBLANK(Ajánlat!$E$9),ISBLANK(Ajánlat!$N$7)),"",Segédlet!#REF!)</f>
        <v/>
      </c>
      <c r="D15" s="62" t="str">
        <f>IF(OR(ISBLANK(Ajánlat!$E$9),ISBLANK(Ajánlat!$N$7)),"",Segédlet!#REF!)</f>
        <v/>
      </c>
      <c r="E15" s="62" t="str">
        <f>IF(OR(ISBLANK(Ajánlat!$E$9),ISBLANK(Ajánlat!$N$7)),"",Segédlet!#REF!)</f>
        <v/>
      </c>
      <c r="F15" s="62" t="str">
        <f>IF(OR(ISBLANK(Ajánlat!$E$9),ISBLANK(Ajánlat!$N$7)),"",Segédlet!#REF!)</f>
        <v/>
      </c>
      <c r="G15" s="23" t="str">
        <f>IF($B15="","",VLOOKUP($B15,IF(OR(ISBLANK(Ajánlat!$E$9),Ajánlat!$E$9="Forint"),Segédlet!$B$6:$I$20,Segédlet!$B$27:$I$38),3,0))</f>
        <v/>
      </c>
      <c r="H15" s="24" t="str">
        <f>IF(Ajánlat!$N$7="Basic","",IF($B15="","",VLOOKUP($B15,IF(OR(ISBLANK(Ajánlat!$E$9),Ajánlat!$E$9="Forint"),Segédlet!$B$6:$I$20,Segédlet!$B$27:$I$38),6,0)))</f>
        <v/>
      </c>
      <c r="I15" s="24" t="str">
        <f>IF(Ajánlat!$N$7="Basic","",IF($B15="","",VLOOKUP($B15,IF(OR(ISBLANK(Ajánlat!$E$9),Ajánlat!$E$9="Forint"),Segédlet!$B$6:$I$20,Segédlet!$B$27:$I$38),7,0)))</f>
        <v/>
      </c>
      <c r="J15" s="24" t="str">
        <f>IF(Ajánlat!$N$7="Basic","",IF($B15="","",VLOOKUP($B15,IF(OR(ISBLANK(Ajánlat!$E$9),Ajánlat!$E$9="Forint"),Segédlet!$B$6:$I$20,Segédlet!$B$27:$I$38),8,0)))</f>
        <v/>
      </c>
      <c r="K15" s="56"/>
      <c r="L15" s="25" t="str">
        <f>IF(OR(ISBLANK($E$5),$E$5="Ajánlat szerinti"),Ajánlat!$L$29,IF(AND($E$5="Egyedi",$L$9=""),"",HLOOKUP($E$5,$H$10:$K$25,6,0)))</f>
        <v/>
      </c>
      <c r="M15" s="19"/>
      <c r="N15" s="19"/>
      <c r="O15" s="19"/>
      <c r="P15" s="19"/>
      <c r="Q15" s="19"/>
      <c r="R15" s="19"/>
      <c r="S15" s="19"/>
    </row>
    <row r="16" spans="2:19" x14ac:dyDescent="0.2">
      <c r="B16" s="62" t="str">
        <f>IF(ISBLANK(Ajánlat!$N$7),"",Segédlet!$N11)</f>
        <v/>
      </c>
      <c r="C16" s="62" t="str">
        <f>IF(OR(ISBLANK(Ajánlat!$E$9),ISBLANK(Ajánlat!$N$7)),"",Segédlet!#REF!)</f>
        <v/>
      </c>
      <c r="D16" s="62" t="str">
        <f>IF(OR(ISBLANK(Ajánlat!$E$9),ISBLANK(Ajánlat!$N$7)),"",Segédlet!#REF!)</f>
        <v/>
      </c>
      <c r="E16" s="62" t="str">
        <f>IF(OR(ISBLANK(Ajánlat!$E$9),ISBLANK(Ajánlat!$N$7)),"",Segédlet!#REF!)</f>
        <v/>
      </c>
      <c r="F16" s="62" t="str">
        <f>IF(OR(ISBLANK(Ajánlat!$E$9),ISBLANK(Ajánlat!$N$7)),"",Segédlet!#REF!)</f>
        <v/>
      </c>
      <c r="G16" s="23" t="str">
        <f>IF($B16="","",VLOOKUP($B16,IF(OR(ISBLANK(Ajánlat!$E$9),Ajánlat!$E$9="Forint"),Segédlet!$B$6:$I$20,Segédlet!$B$27:$I$38),3,0))</f>
        <v/>
      </c>
      <c r="H16" s="24" t="str">
        <f>IF(Ajánlat!$N$7="Basic","",IF($B16="","",VLOOKUP($B16,IF(OR(ISBLANK(Ajánlat!$E$9),Ajánlat!$E$9="Forint"),Segédlet!$B$6:$I$20,Segédlet!$B$27:$I$38),6,0)))</f>
        <v/>
      </c>
      <c r="I16" s="24" t="str">
        <f>IF(Ajánlat!$N$7="Basic","",IF($B16="","",VLOOKUP($B16,IF(OR(ISBLANK(Ajánlat!$E$9),Ajánlat!$E$9="Forint"),Segédlet!$B$6:$I$20,Segédlet!$B$27:$I$38),7,0)))</f>
        <v/>
      </c>
      <c r="J16" s="24" t="str">
        <f>IF(Ajánlat!$N$7="Basic","",IF($B16="","",VLOOKUP($B16,IF(OR(ISBLANK(Ajánlat!$E$9),Ajánlat!$E$9="Forint"),Segédlet!$B$6:$I$20,Segédlet!$B$27:$I$38),8,0)))</f>
        <v/>
      </c>
      <c r="K16" s="56"/>
      <c r="L16" s="25" t="str">
        <f>IF(OR(ISBLANK($E$5),$E$5="Ajánlat szerinti"),Ajánlat!$L$30,IF(AND($E$5="Egyedi",$L$9=""),"",HLOOKUP($E$5,$H$10:$K$25,7,0)))</f>
        <v/>
      </c>
      <c r="M16" s="19"/>
      <c r="N16" s="19"/>
      <c r="O16" s="19"/>
      <c r="P16" s="19"/>
      <c r="Q16" s="19"/>
      <c r="R16" s="19"/>
      <c r="S16" s="19"/>
    </row>
    <row r="17" spans="2:19" x14ac:dyDescent="0.2">
      <c r="B17" s="62" t="str">
        <f>IF(ISBLANK(Ajánlat!$N$7),"",Segédlet!$N12)</f>
        <v/>
      </c>
      <c r="C17" s="62" t="str">
        <f>IF(OR(ISBLANK(Ajánlat!$E$9),ISBLANK(Ajánlat!$N$7)),"",Segédlet!#REF!)</f>
        <v/>
      </c>
      <c r="D17" s="62" t="str">
        <f>IF(OR(ISBLANK(Ajánlat!$E$9),ISBLANK(Ajánlat!$N$7)),"",Segédlet!#REF!)</f>
        <v/>
      </c>
      <c r="E17" s="62" t="str">
        <f>IF(OR(ISBLANK(Ajánlat!$E$9),ISBLANK(Ajánlat!$N$7)),"",Segédlet!#REF!)</f>
        <v/>
      </c>
      <c r="F17" s="62" t="str">
        <f>IF(OR(ISBLANK(Ajánlat!$E$9),ISBLANK(Ajánlat!$N$7)),"",Segédlet!#REF!)</f>
        <v/>
      </c>
      <c r="G17" s="23" t="str">
        <f>IF($B17="","",VLOOKUP($B17,IF(OR(ISBLANK(Ajánlat!$E$9),Ajánlat!$E$9="Forint"),Segédlet!$B$6:$I$20,Segédlet!$B$27:$I$38),3,0))</f>
        <v/>
      </c>
      <c r="H17" s="24" t="str">
        <f>IF(Ajánlat!$N$7="Basic","",IF($B17="","",VLOOKUP($B17,IF(OR(ISBLANK(Ajánlat!$E$9),Ajánlat!$E$9="Forint"),Segédlet!$B$6:$I$20,Segédlet!$B$27:$I$38),6,0)))</f>
        <v/>
      </c>
      <c r="I17" s="24" t="str">
        <f>IF(Ajánlat!$N$7="Basic","",IF($B17="","",VLOOKUP($B17,IF(OR(ISBLANK(Ajánlat!$E$9),Ajánlat!$E$9="Forint"),Segédlet!$B$6:$I$20,Segédlet!$B$27:$I$38),7,0)))</f>
        <v/>
      </c>
      <c r="J17" s="24" t="str">
        <f>IF(Ajánlat!$N$7="Basic","",IF($B17="","",VLOOKUP($B17,IF(OR(ISBLANK(Ajánlat!$E$9),Ajánlat!$E$9="Forint"),Segédlet!$B$6:$I$20,Segédlet!$B$27:$I$38),8,0)))</f>
        <v/>
      </c>
      <c r="K17" s="56"/>
      <c r="L17" s="25" t="str">
        <f>IF(OR(ISBLANK($E$5),$E$5="Ajánlat szerinti"),Ajánlat!$L$31,IF(AND($E$5="Egyedi",$L$9=""),"",HLOOKUP($E$5,$H$10:$K$25,8,0)))</f>
        <v/>
      </c>
      <c r="M17" s="19"/>
      <c r="N17" s="19"/>
      <c r="O17" s="19"/>
      <c r="P17" s="19"/>
      <c r="Q17" s="19"/>
      <c r="R17" s="19"/>
      <c r="S17" s="19"/>
    </row>
    <row r="18" spans="2:19" x14ac:dyDescent="0.2">
      <c r="B18" s="62" t="str">
        <f>IF(ISBLANK(Ajánlat!$N$7),"",Segédlet!$N13)</f>
        <v/>
      </c>
      <c r="C18" s="62" t="str">
        <f>IF(OR(ISBLANK(Ajánlat!$E$9),ISBLANK(Ajánlat!$N$7)),"",Segédlet!#REF!)</f>
        <v/>
      </c>
      <c r="D18" s="62" t="str">
        <f>IF(OR(ISBLANK(Ajánlat!$E$9),ISBLANK(Ajánlat!$N$7)),"",Segédlet!#REF!)</f>
        <v/>
      </c>
      <c r="E18" s="62" t="str">
        <f>IF(OR(ISBLANK(Ajánlat!$E$9),ISBLANK(Ajánlat!$N$7)),"",Segédlet!#REF!)</f>
        <v/>
      </c>
      <c r="F18" s="62" t="str">
        <f>IF(OR(ISBLANK(Ajánlat!$E$9),ISBLANK(Ajánlat!$N$7)),"",Segédlet!#REF!)</f>
        <v/>
      </c>
      <c r="G18" s="23" t="str">
        <f>IF($B18="","",VLOOKUP($B18,IF(OR(ISBLANK(Ajánlat!$E$9),Ajánlat!$E$9="Forint"),Segédlet!$B$6:$I$20,Segédlet!$B$27:$I$38),3,0))</f>
        <v/>
      </c>
      <c r="H18" s="24" t="str">
        <f>IF(Ajánlat!$N$7="Basic","",IF($B18="","",VLOOKUP($B18,IF(OR(ISBLANK(Ajánlat!$E$9),Ajánlat!$E$9="Forint"),Segédlet!$B$6:$I$20,Segédlet!$B$27:$I$38),6,0)))</f>
        <v/>
      </c>
      <c r="I18" s="24" t="str">
        <f>IF(Ajánlat!$N$7="Basic","",IF($B18="","",VLOOKUP($B18,IF(OR(ISBLANK(Ajánlat!$E$9),Ajánlat!$E$9="Forint"),Segédlet!$B$6:$I$20,Segédlet!$B$27:$I$38),7,0)))</f>
        <v/>
      </c>
      <c r="J18" s="24" t="str">
        <f>IF(Ajánlat!$N$7="Basic","",IF($B18="","",VLOOKUP($B18,IF(OR(ISBLANK(Ajánlat!$E$9),Ajánlat!$E$9="Forint"),Segédlet!$B$6:$I$20,Segédlet!$B$27:$I$38),8,0)))</f>
        <v/>
      </c>
      <c r="K18" s="56"/>
      <c r="L18" s="25" t="str">
        <f>IF(OR(ISBLANK($E$5),$E$5="Ajánlat szerinti"),Ajánlat!$L$32,IF(AND($E$5="Egyedi",$L$9=""),"",HLOOKUP($E$5,$H$10:$K$25,9,0)))</f>
        <v/>
      </c>
      <c r="M18" s="19"/>
      <c r="N18" s="19"/>
      <c r="O18" s="19"/>
      <c r="P18" s="19"/>
      <c r="Q18" s="19"/>
      <c r="R18" s="19"/>
      <c r="S18" s="19"/>
    </row>
    <row r="19" spans="2:19" x14ac:dyDescent="0.2">
      <c r="B19" s="62" t="str">
        <f>IF(ISBLANK(Ajánlat!$N$7),"",Segédlet!$N14)</f>
        <v/>
      </c>
      <c r="C19" s="62" t="str">
        <f>IF(OR(ISBLANK(Ajánlat!$E$9),ISBLANK(Ajánlat!$N$7)),"",Segédlet!#REF!)</f>
        <v/>
      </c>
      <c r="D19" s="62" t="str">
        <f>IF(OR(ISBLANK(Ajánlat!$E$9),ISBLANK(Ajánlat!$N$7)),"",Segédlet!#REF!)</f>
        <v/>
      </c>
      <c r="E19" s="62" t="str">
        <f>IF(OR(ISBLANK(Ajánlat!$E$9),ISBLANK(Ajánlat!$N$7)),"",Segédlet!#REF!)</f>
        <v/>
      </c>
      <c r="F19" s="62" t="str">
        <f>IF(OR(ISBLANK(Ajánlat!$E$9),ISBLANK(Ajánlat!$N$7)),"",Segédlet!#REF!)</f>
        <v/>
      </c>
      <c r="G19" s="23" t="str">
        <f>IF($B19="","",VLOOKUP($B19,IF(OR(ISBLANK(Ajánlat!$E$9),Ajánlat!$E$9="Forint"),Segédlet!$B$6:$I$20,Segédlet!$B$27:$I$38),3,0))</f>
        <v/>
      </c>
      <c r="H19" s="24" t="str">
        <f>IF(Ajánlat!$N$7="Basic","",IF($B19="","",VLOOKUP($B19,IF(OR(ISBLANK(Ajánlat!$E$9),Ajánlat!$E$9="Forint"),Segédlet!$B$6:$I$20,Segédlet!$B$27:$I$38),6,0)))</f>
        <v/>
      </c>
      <c r="I19" s="24" t="str">
        <f>IF(Ajánlat!$N$7="Basic","",IF($B19="","",VLOOKUP($B19,IF(OR(ISBLANK(Ajánlat!$E$9),Ajánlat!$E$9="Forint"),Segédlet!$B$6:$I$20,Segédlet!$B$27:$I$38),7,0)))</f>
        <v/>
      </c>
      <c r="J19" s="24" t="str">
        <f>IF(Ajánlat!$N$7="Basic","",IF($B19="","",VLOOKUP($B19,IF(OR(ISBLANK(Ajánlat!$E$9),Ajánlat!$E$9="Forint"),Segédlet!$B$6:$I$20,Segédlet!$B$27:$I$38),8,0)))</f>
        <v/>
      </c>
      <c r="K19" s="56"/>
      <c r="L19" s="25" t="str">
        <f>IF(OR(ISBLANK($E$5),$E$5="Ajánlat szerinti"),Ajánlat!$L$33,IF(AND($E$5="Egyedi",$L$9=""),"",HLOOKUP($E$5,$H$10:$K$25,10,0)))</f>
        <v/>
      </c>
      <c r="M19" s="19"/>
      <c r="N19" s="19"/>
      <c r="O19" s="19"/>
      <c r="P19" s="19"/>
      <c r="Q19" s="19"/>
      <c r="R19" s="19"/>
      <c r="S19" s="19"/>
    </row>
    <row r="20" spans="2:19" x14ac:dyDescent="0.2">
      <c r="B20" s="62" t="str">
        <f>IF(ISBLANK(Ajánlat!$N$7),"",Segédlet!$N15)</f>
        <v/>
      </c>
      <c r="C20" s="62" t="str">
        <f>IF(OR(ISBLANK(Ajánlat!$E$9),ISBLANK(Ajánlat!$N$7)),"",Segédlet!#REF!)</f>
        <v/>
      </c>
      <c r="D20" s="62" t="str">
        <f>IF(OR(ISBLANK(Ajánlat!$E$9),ISBLANK(Ajánlat!$N$7)),"",Segédlet!#REF!)</f>
        <v/>
      </c>
      <c r="E20" s="62" t="str">
        <f>IF(OR(ISBLANK(Ajánlat!$E$9),ISBLANK(Ajánlat!$N$7)),"",Segédlet!#REF!)</f>
        <v/>
      </c>
      <c r="F20" s="62" t="str">
        <f>IF(OR(ISBLANK(Ajánlat!$E$9),ISBLANK(Ajánlat!$N$7)),"",Segédlet!#REF!)</f>
        <v/>
      </c>
      <c r="G20" s="23" t="str">
        <f>IF($B20="","",VLOOKUP($B20,IF(OR(ISBLANK(Ajánlat!$E$9),Ajánlat!$E$9="Forint"),Segédlet!$B$6:$I$20,Segédlet!$B$27:$I$38),3,0))</f>
        <v/>
      </c>
      <c r="H20" s="24" t="str">
        <f>IF(Ajánlat!$N$7="Basic","",IF($B20="","",VLOOKUP($B20,IF(OR(ISBLANK(Ajánlat!$E$9),Ajánlat!$E$9="Forint"),Segédlet!$B$6:$I$20,Segédlet!$B$27:$I$38),6,0)))</f>
        <v/>
      </c>
      <c r="I20" s="24" t="str">
        <f>IF(Ajánlat!$N$7="Basic","",IF($B20="","",VLOOKUP($B20,IF(OR(ISBLANK(Ajánlat!$E$9),Ajánlat!$E$9="Forint"),Segédlet!$B$6:$I$20,Segédlet!$B$27:$I$38),7,0)))</f>
        <v/>
      </c>
      <c r="J20" s="24" t="str">
        <f>IF(Ajánlat!$N$7="Basic","",IF($B20="","",VLOOKUP($B20,IF(OR(ISBLANK(Ajánlat!$E$9),Ajánlat!$E$9="Forint"),Segédlet!$B$6:$I$20,Segédlet!$B$27:$I$38),8,0)))</f>
        <v/>
      </c>
      <c r="K20" s="56"/>
      <c r="L20" s="25" t="str">
        <f>IF(OR(ISBLANK($E$5),$E$5="Ajánlat szerinti"),Ajánlat!$L$34,IF(AND($E$5="Egyedi",$L$9=""),"",HLOOKUP($E$5,$H$10:$K$25,11,0)))</f>
        <v/>
      </c>
      <c r="M20" s="19"/>
      <c r="N20" s="19"/>
      <c r="O20" s="19"/>
      <c r="P20" s="19"/>
      <c r="Q20" s="19"/>
      <c r="R20" s="19"/>
      <c r="S20" s="19"/>
    </row>
    <row r="21" spans="2:19" x14ac:dyDescent="0.2">
      <c r="B21" s="62" t="str">
        <f>IF(ISBLANK(Ajánlat!$N$7),"",Segédlet!$N16)</f>
        <v/>
      </c>
      <c r="C21" s="62" t="str">
        <f>IF(OR(ISBLANK(Ajánlat!$E$9),ISBLANK(Ajánlat!$N$7)),"",Segédlet!#REF!)</f>
        <v/>
      </c>
      <c r="D21" s="62" t="str">
        <f>IF(OR(ISBLANK(Ajánlat!$E$9),ISBLANK(Ajánlat!$N$7)),"",Segédlet!#REF!)</f>
        <v/>
      </c>
      <c r="E21" s="62" t="str">
        <f>IF(OR(ISBLANK(Ajánlat!$E$9),ISBLANK(Ajánlat!$N$7)),"",Segédlet!#REF!)</f>
        <v/>
      </c>
      <c r="F21" s="62" t="str">
        <f>IF(OR(ISBLANK(Ajánlat!$E$9),ISBLANK(Ajánlat!$N$7)),"",Segédlet!#REF!)</f>
        <v/>
      </c>
      <c r="G21" s="23" t="str">
        <f>IF($B21="","",VLOOKUP($B21,IF(OR(ISBLANK(Ajánlat!$E$9),Ajánlat!$E$9="Forint"),Segédlet!$B$6:$I$20,Segédlet!$B$27:$I$38),3,0))</f>
        <v/>
      </c>
      <c r="H21" s="24" t="str">
        <f>IF(Ajánlat!$N$7="Basic","",IF($B21="","",VLOOKUP($B21,IF(OR(ISBLANK(Ajánlat!$E$9),Ajánlat!$E$9="Forint"),Segédlet!$B$6:$I$20,Segédlet!$B$27:$I$38),6,0)))</f>
        <v/>
      </c>
      <c r="I21" s="24" t="str">
        <f>IF(Ajánlat!$N$7="Basic","",IF($B21="","",VLOOKUP($B21,IF(OR(ISBLANK(Ajánlat!$E$9),Ajánlat!$E$9="Forint"),Segédlet!$B$6:$I$20,Segédlet!$B$27:$I$38),7,0)))</f>
        <v/>
      </c>
      <c r="J21" s="24" t="str">
        <f>IF(Ajánlat!$N$7="Basic","",IF($B21="","",VLOOKUP($B21,IF(OR(ISBLANK(Ajánlat!$E$9),Ajánlat!$E$9="Forint"),Segédlet!$B$6:$I$20,Segédlet!$B$27:$I$38),8,0)))</f>
        <v/>
      </c>
      <c r="K21" s="56"/>
      <c r="L21" s="25" t="str">
        <f>IF(OR(ISBLANK($E$5),$E$5="Ajánlat szerinti"),Ajánlat!$L$35,IF(AND($E$5="Egyedi",$L$9=""),"",HLOOKUP($E$5,$H$10:$K$25,12,0)))</f>
        <v/>
      </c>
      <c r="M21" s="19"/>
      <c r="N21" s="19"/>
      <c r="O21" s="19"/>
      <c r="P21" s="19"/>
      <c r="Q21" s="19"/>
      <c r="R21" s="19"/>
      <c r="S21" s="19"/>
    </row>
    <row r="22" spans="2:19" x14ac:dyDescent="0.2">
      <c r="B22" s="62" t="str">
        <f>IF(ISBLANK(Ajánlat!$N$7),"",Segédlet!$N17)</f>
        <v/>
      </c>
      <c r="C22" s="62" t="str">
        <f>IF(OR(ISBLANK(Ajánlat!$E$9),ISBLANK(Ajánlat!$N$7)),"",Segédlet!#REF!)</f>
        <v/>
      </c>
      <c r="D22" s="62" t="str">
        <f>IF(OR(ISBLANK(Ajánlat!$E$9),ISBLANK(Ajánlat!$N$7)),"",Segédlet!#REF!)</f>
        <v/>
      </c>
      <c r="E22" s="62" t="str">
        <f>IF(OR(ISBLANK(Ajánlat!$E$9),ISBLANK(Ajánlat!$N$7)),"",Segédlet!#REF!)</f>
        <v/>
      </c>
      <c r="F22" s="62" t="str">
        <f>IF(OR(ISBLANK(Ajánlat!$E$9),ISBLANK(Ajánlat!$N$7)),"",Segédlet!#REF!)</f>
        <v/>
      </c>
      <c r="G22" s="23" t="str">
        <f>IF($B22="","",VLOOKUP($B22,IF(OR(ISBLANK(Ajánlat!$E$9),Ajánlat!$E$9="Forint"),Segédlet!$B$6:$I$20,Segédlet!$B$27:$I$38),3,0))</f>
        <v/>
      </c>
      <c r="H22" s="24" t="str">
        <f>IF(Ajánlat!$N$7="Basic","",IF($B22="","",VLOOKUP($B22,IF(OR(ISBLANK(Ajánlat!$E$9),Ajánlat!$E$9="Forint"),Segédlet!$B$6:$I$20,Segédlet!$B$27:$I$38),6,0)))</f>
        <v/>
      </c>
      <c r="I22" s="24" t="str">
        <f>IF(Ajánlat!$N$7="Basic","",IF($B22="","",VLOOKUP($B22,IF(OR(ISBLANK(Ajánlat!$E$9),Ajánlat!$E$9="Forint"),Segédlet!$B$6:$I$20,Segédlet!$B$27:$I$38),7,0)))</f>
        <v/>
      </c>
      <c r="J22" s="24" t="str">
        <f>IF(Ajánlat!$N$7="Basic","",IF($B22="","",VLOOKUP($B22,IF(OR(ISBLANK(Ajánlat!$E$9),Ajánlat!$E$9="Forint"),Segédlet!$B$6:$I$20,Segédlet!$B$27:$I$38),8,0)))</f>
        <v/>
      </c>
      <c r="K22" s="56"/>
      <c r="L22" s="25" t="str">
        <f>IF(OR(ISBLANK($E$5),$E$5="Ajánlat szerinti"),Ajánlat!$L$36,IF(AND($E$5="Egyedi",$L$9=""),"",HLOOKUP($E$5,$H$10:$K$25,13,0)))</f>
        <v/>
      </c>
      <c r="M22" s="19"/>
      <c r="N22" s="19"/>
      <c r="O22" s="19"/>
      <c r="P22" s="19"/>
      <c r="Q22" s="19"/>
      <c r="R22" s="19"/>
      <c r="S22" s="19"/>
    </row>
    <row r="23" spans="2:19" x14ac:dyDescent="0.2">
      <c r="B23" s="62" t="str">
        <f>IF(ISBLANK(Ajánlat!$N$7),"",Segédlet!$N18)</f>
        <v/>
      </c>
      <c r="C23" s="62" t="str">
        <f>IF(OR(ISBLANK(Ajánlat!$E$9),ISBLANK(Ajánlat!$N$7)),"",Segédlet!#REF!)</f>
        <v/>
      </c>
      <c r="D23" s="62" t="str">
        <f>IF(OR(ISBLANK(Ajánlat!$E$9),ISBLANK(Ajánlat!$N$7)),"",Segédlet!#REF!)</f>
        <v/>
      </c>
      <c r="E23" s="62" t="str">
        <f>IF(OR(ISBLANK(Ajánlat!$E$9),ISBLANK(Ajánlat!$N$7)),"",Segédlet!#REF!)</f>
        <v/>
      </c>
      <c r="F23" s="62" t="str">
        <f>IF(OR(ISBLANK(Ajánlat!$E$9),ISBLANK(Ajánlat!$N$7)),"",Segédlet!#REF!)</f>
        <v/>
      </c>
      <c r="G23" s="23" t="str">
        <f>IF($B23="","",VLOOKUP($B23,IF(OR(ISBLANK(Ajánlat!$E$9),Ajánlat!$E$9="Forint"),Segédlet!$B$6:$I$20,Segédlet!$B$27:$I$38),3,0))</f>
        <v/>
      </c>
      <c r="H23" s="24" t="str">
        <f>IF(Ajánlat!$N$7="Basic","",IF($B23="","",VLOOKUP($B23,IF(OR(ISBLANK(Ajánlat!$E$9),Ajánlat!$E$9="Forint"),Segédlet!$B$6:$I$20,Segédlet!$B$27:$I$38),6,0)))</f>
        <v/>
      </c>
      <c r="I23" s="24" t="str">
        <f>IF(Ajánlat!$N$7="Basic","",IF($B23="","",VLOOKUP($B23,IF(OR(ISBLANK(Ajánlat!$E$9),Ajánlat!$E$9="Forint"),Segédlet!$B$6:$I$20,Segédlet!$B$27:$I$38),7,0)))</f>
        <v/>
      </c>
      <c r="J23" s="24" t="str">
        <f>IF(Ajánlat!$N$7="Basic","",IF($B23="","",VLOOKUP($B23,IF(OR(ISBLANK(Ajánlat!$E$9),Ajánlat!$E$9="Forint"),Segédlet!$B$6:$I$20,Segédlet!$B$27:$I$38),8,0)))</f>
        <v/>
      </c>
      <c r="K23" s="56"/>
      <c r="L23" s="25" t="str">
        <f>IF(OR(ISBLANK($E$5),$E$5="Ajánlat szerinti"),Ajánlat!$L$37,IF(AND($E$5="Egyedi",$L$9=""),"",HLOOKUP($E$5,$H$10:$K$25,14,0)))</f>
        <v/>
      </c>
      <c r="M23" s="19"/>
      <c r="N23" s="19"/>
      <c r="O23" s="19"/>
      <c r="P23" s="19"/>
      <c r="Q23" s="19"/>
      <c r="R23" s="19"/>
      <c r="S23" s="19"/>
    </row>
    <row r="24" spans="2:19" x14ac:dyDescent="0.2">
      <c r="B24" s="62" t="str">
        <f>IF(ISBLANK(Ajánlat!$N$7),"",Segédlet!$N19)</f>
        <v/>
      </c>
      <c r="C24" s="62" t="str">
        <f>IF(OR(ISBLANK(Ajánlat!$E$9),ISBLANK(Ajánlat!$N$7)),"",Segédlet!#REF!)</f>
        <v/>
      </c>
      <c r="D24" s="62" t="str">
        <f>IF(OR(ISBLANK(Ajánlat!$E$9),ISBLANK(Ajánlat!$N$7)),"",Segédlet!#REF!)</f>
        <v/>
      </c>
      <c r="E24" s="62" t="str">
        <f>IF(OR(ISBLANK(Ajánlat!$E$9),ISBLANK(Ajánlat!$N$7)),"",Segédlet!#REF!)</f>
        <v/>
      </c>
      <c r="F24" s="62" t="str">
        <f>IF(OR(ISBLANK(Ajánlat!$E$9),ISBLANK(Ajánlat!$N$7)),"",Segédlet!#REF!)</f>
        <v/>
      </c>
      <c r="G24" s="23" t="str">
        <f>IF($B24="","",VLOOKUP($B24,IF(OR(ISBLANK(Ajánlat!$E$9),Ajánlat!$E$9="Forint"),Segédlet!$B$6:$I$20,Segédlet!$B$27:$I$38),3,0))</f>
        <v/>
      </c>
      <c r="H24" s="24" t="str">
        <f>IF(Ajánlat!$N$7="Basic","",IF($B24="","",VLOOKUP($B24,IF(OR(ISBLANK(Ajánlat!$E$9),Ajánlat!$E$9="Forint"),Segédlet!$B$6:$I$20,Segédlet!$B$27:$I$38),6,0)))</f>
        <v/>
      </c>
      <c r="I24" s="24" t="str">
        <f>IF(Ajánlat!$N$7="Basic","",IF($B24="","",VLOOKUP($B24,IF(OR(ISBLANK(Ajánlat!$E$9),Ajánlat!$E$9="Forint"),Segédlet!$B$6:$I$20,Segédlet!$B$27:$I$38),7,0)))</f>
        <v/>
      </c>
      <c r="J24" s="24" t="str">
        <f>IF(Ajánlat!$N$7="Basic","",IF($B24="","",VLOOKUP($B24,IF(OR(ISBLANK(Ajánlat!$E$9),Ajánlat!$E$9="Forint"),Segédlet!$B$6:$I$20,Segédlet!$B$27:$I$38),8,0)))</f>
        <v/>
      </c>
      <c r="K24" s="56"/>
      <c r="L24" s="25" t="str">
        <f>IF(OR(ISBLANK($E$5),$E$5="Ajánlat szerinti"),Ajánlat!$L$38,IF(AND($E$5="Egyedi",$L$9=""),"",HLOOKUP($E$5,$H$10:$K$25,15,0)))</f>
        <v/>
      </c>
      <c r="M24" s="19"/>
      <c r="N24" s="19"/>
      <c r="O24" s="19"/>
      <c r="P24" s="19"/>
      <c r="Q24" s="19"/>
      <c r="R24" s="19"/>
      <c r="S24" s="19"/>
    </row>
    <row r="25" spans="2:19" x14ac:dyDescent="0.2">
      <c r="B25" s="62" t="str">
        <f>IF(ISBLANK(Ajánlat!$N$7),"",Segédlet!$N20)</f>
        <v/>
      </c>
      <c r="C25" s="62" t="str">
        <f>IF(OR(ISBLANK(Ajánlat!$E$9),ISBLANK(Ajánlat!$N$7)),"",Segédlet!#REF!)</f>
        <v/>
      </c>
      <c r="D25" s="62" t="str">
        <f>IF(OR(ISBLANK(Ajánlat!$E$9),ISBLANK(Ajánlat!$N$7)),"",Segédlet!#REF!)</f>
        <v/>
      </c>
      <c r="E25" s="62" t="str">
        <f>IF(OR(ISBLANK(Ajánlat!$E$9),ISBLANK(Ajánlat!$N$7)),"",Segédlet!#REF!)</f>
        <v/>
      </c>
      <c r="F25" s="62" t="str">
        <f>IF(OR(ISBLANK(Ajánlat!$E$9),ISBLANK(Ajánlat!$N$7)),"",Segédlet!#REF!)</f>
        <v/>
      </c>
      <c r="G25" s="23" t="str">
        <f>IF($B25="","",VLOOKUP($B25,IF(OR(ISBLANK(Ajánlat!$E$9),Ajánlat!$E$9="Forint"),Segédlet!$B$6:$I$20,Segédlet!$B$27:$I$38),3,0))</f>
        <v/>
      </c>
      <c r="H25" s="24" t="str">
        <f>IF(Ajánlat!$N$7="Basic","",IF($B25="","",VLOOKUP($B25,IF(OR(ISBLANK(Ajánlat!$E$9),Ajánlat!$E$9="Forint"),Segédlet!$B$6:$I$20,Segédlet!$B$27:$I$38),6,0)))</f>
        <v/>
      </c>
      <c r="I25" s="24" t="str">
        <f>IF(Ajánlat!$N$7="Basic","",IF($B25="","",VLOOKUP($B25,IF(OR(ISBLANK(Ajánlat!$E$9),Ajánlat!$E$9="Forint"),Segédlet!$B$6:$I$20,Segédlet!$B$27:$I$38),7,0)))</f>
        <v/>
      </c>
      <c r="J25" s="24" t="str">
        <f>IF(Ajánlat!$N$7="Basic","",IF($B25="","",VLOOKUP($B25,IF(OR(ISBLANK(Ajánlat!$E$9),Ajánlat!$E$9="Forint"),Segédlet!$B$6:$I$20,Segédlet!$B$27:$I$38),8,0)))</f>
        <v/>
      </c>
      <c r="K25" s="56"/>
      <c r="L25" s="25" t="str">
        <f>IF(OR(ISBLANK($E$5),$E$5="Ajánlat szerinti"),Ajánlat!$L$39,IF(AND($E$5="Egyedi",$L$9=""),"",HLOOKUP($E$5,$H$10:$K$25,16,0)))</f>
        <v/>
      </c>
      <c r="M25" s="19"/>
      <c r="N25" s="19"/>
      <c r="O25" s="19"/>
      <c r="P25" s="19"/>
      <c r="Q25" s="19"/>
      <c r="R25" s="19"/>
      <c r="S25" s="19"/>
    </row>
    <row r="28" spans="2:19" x14ac:dyDescent="0.2">
      <c r="B28" s="87" t="s">
        <v>77</v>
      </c>
      <c r="C28" s="87"/>
      <c r="D28" s="85" t="s">
        <v>176</v>
      </c>
      <c r="E28" s="85"/>
      <c r="F28" s="85"/>
      <c r="G28" s="85"/>
      <c r="H28" s="85"/>
      <c r="I28" s="85"/>
      <c r="J28" s="85"/>
      <c r="K28" s="85" t="s">
        <v>135</v>
      </c>
      <c r="L28" s="85"/>
      <c r="M28" s="85"/>
      <c r="N28" s="85"/>
      <c r="O28" s="85"/>
      <c r="P28" s="85"/>
      <c r="Q28" s="85"/>
      <c r="R28" s="85"/>
      <c r="S28" s="85"/>
    </row>
    <row r="29" spans="2:19" x14ac:dyDescent="0.2">
      <c r="B29" s="87"/>
      <c r="C29" s="87"/>
      <c r="D29" s="86"/>
      <c r="E29" s="86"/>
      <c r="F29" s="86"/>
      <c r="G29" s="86"/>
      <c r="H29" s="86"/>
      <c r="I29" s="86"/>
      <c r="J29" s="86"/>
      <c r="K29" s="86"/>
      <c r="L29" s="86"/>
      <c r="M29" s="86"/>
      <c r="N29" s="86"/>
      <c r="O29" s="86"/>
      <c r="P29" s="86"/>
      <c r="Q29" s="86"/>
      <c r="R29" s="86"/>
      <c r="S29" s="86"/>
    </row>
    <row r="30" spans="2:19" x14ac:dyDescent="0.2">
      <c r="B30" s="87"/>
      <c r="C30" s="87"/>
      <c r="D30" s="87" t="s">
        <v>78</v>
      </c>
      <c r="E30" s="87"/>
      <c r="F30" s="88" t="s">
        <v>175</v>
      </c>
      <c r="G30" s="88"/>
      <c r="H30" s="89"/>
      <c r="I30" s="89"/>
      <c r="J30" s="89"/>
      <c r="K30" s="87" t="s">
        <v>59</v>
      </c>
      <c r="L30" s="87"/>
      <c r="M30" s="88" t="s">
        <v>175</v>
      </c>
      <c r="N30" s="88"/>
      <c r="O30" s="89"/>
      <c r="P30" s="89"/>
      <c r="Q30" s="89"/>
      <c r="R30" s="89"/>
      <c r="S30" s="89"/>
    </row>
    <row r="31" spans="2:19" x14ac:dyDescent="0.2">
      <c r="B31" s="87"/>
      <c r="C31" s="87"/>
      <c r="D31" s="87"/>
      <c r="E31" s="87"/>
      <c r="F31" s="88"/>
      <c r="G31" s="88"/>
      <c r="H31" s="87"/>
      <c r="I31" s="87"/>
      <c r="J31" s="87"/>
      <c r="K31" s="87"/>
      <c r="L31" s="87"/>
      <c r="M31" s="88"/>
      <c r="N31" s="88"/>
      <c r="O31" s="87"/>
      <c r="P31" s="87"/>
      <c r="Q31" s="87"/>
      <c r="R31" s="87"/>
      <c r="S31" s="87"/>
    </row>
    <row r="32" spans="2:19" x14ac:dyDescent="0.2">
      <c r="B32" s="93">
        <v>1</v>
      </c>
      <c r="C32" s="93"/>
      <c r="D32" s="90"/>
      <c r="E32" s="90"/>
      <c r="F32" s="94"/>
      <c r="G32" s="94"/>
      <c r="H32" s="82" t="str">
        <f ca="1">IF(AND($B32&gt;Számítás_Ny!$M$11+IF(Számítás_Ny!$M$13=0,0,1),COUNTIF(D32:G32,"&gt;0")),"Nyugdíjbiztosításnál nem vesszük figyelembe!","")</f>
        <v/>
      </c>
      <c r="I32" s="82"/>
      <c r="J32" s="82"/>
      <c r="K32" s="90"/>
      <c r="L32" s="90"/>
      <c r="M32" s="91"/>
      <c r="N32" s="91"/>
      <c r="O32" s="82" t="str">
        <f ca="1">IF(AND($B32&gt;Számítás_Ny!$M$11+IF(Számítás_Ny!$M$13=0,0,1),COUNTIF(K32:N32,"&gt;0")),"Nyugdíjbiztosításnál nem vesszük figyelembe!","")</f>
        <v/>
      </c>
      <c r="P32" s="82"/>
      <c r="Q32" s="82"/>
      <c r="R32" s="82"/>
      <c r="S32" s="82"/>
    </row>
    <row r="33" spans="2:19" x14ac:dyDescent="0.2">
      <c r="B33" s="92">
        <v>2</v>
      </c>
      <c r="C33" s="92"/>
      <c r="D33" s="74"/>
      <c r="E33" s="74"/>
      <c r="F33" s="95"/>
      <c r="G33" s="95"/>
      <c r="H33" s="82" t="str">
        <f ca="1">IF(AND($B33&gt;Számítás_Ny!$M$11+IF(Számítás_Ny!$M$13=0,0,1),COUNTIF(D33:G33,"&gt;0")),"Nyugdíjbiztosításnál nem vesszük figyelembe!","")</f>
        <v/>
      </c>
      <c r="I33" s="82"/>
      <c r="J33" s="82"/>
      <c r="K33" s="74"/>
      <c r="L33" s="74"/>
      <c r="M33" s="84"/>
      <c r="N33" s="84"/>
      <c r="O33" s="82" t="str">
        <f ca="1">IF(AND($B33&gt;Számítás_Ny!$M$11+IF(Számítás_Ny!$M$13=0,0,1),COUNTIF(K33:N33,"&gt;0")),"Nyugdíjbiztosításnál nem vesszük figyelembe!","")</f>
        <v/>
      </c>
      <c r="P33" s="82"/>
      <c r="Q33" s="82"/>
      <c r="R33" s="82"/>
      <c r="S33" s="82"/>
    </row>
    <row r="34" spans="2:19" x14ac:dyDescent="0.2">
      <c r="B34" s="92">
        <v>3</v>
      </c>
      <c r="C34" s="92"/>
      <c r="D34" s="74"/>
      <c r="E34" s="74"/>
      <c r="F34" s="84"/>
      <c r="G34" s="84"/>
      <c r="H34" s="82" t="str">
        <f ca="1">IF(AND($B34&gt;Számítás_Ny!$M$11+IF(Számítás_Ny!$M$13=0,0,1),COUNTIF(D34:G34,"&gt;0")),"Nyugdíjbiztosításnál nem vesszük figyelembe!","")</f>
        <v/>
      </c>
      <c r="I34" s="82"/>
      <c r="J34" s="82"/>
      <c r="K34" s="74"/>
      <c r="L34" s="74"/>
      <c r="M34" s="84"/>
      <c r="N34" s="84"/>
      <c r="O34" s="82" t="str">
        <f ca="1">IF(AND($B34&gt;Számítás_Ny!$M$11+IF(Számítás_Ny!$M$13=0,0,1),COUNTIF(K34:N34,"&gt;0")),"Nyugdíjbiztosításnál nem vesszük figyelembe!","")</f>
        <v/>
      </c>
      <c r="P34" s="82"/>
      <c r="Q34" s="82"/>
      <c r="R34" s="82"/>
      <c r="S34" s="82"/>
    </row>
    <row r="35" spans="2:19" x14ac:dyDescent="0.2">
      <c r="B35" s="92">
        <v>4</v>
      </c>
      <c r="C35" s="92"/>
      <c r="D35" s="74"/>
      <c r="E35" s="74"/>
      <c r="F35" s="84"/>
      <c r="G35" s="84"/>
      <c r="H35" s="82" t="str">
        <f ca="1">IF(AND($B35&gt;Számítás_Ny!$M$11+IF(Számítás_Ny!$M$13=0,0,1),COUNTIF(D35:G35,"&gt;0")),"Nyugdíjbiztosításnál nem vesszük figyelembe!","")</f>
        <v/>
      </c>
      <c r="I35" s="82"/>
      <c r="J35" s="82"/>
      <c r="K35" s="74"/>
      <c r="L35" s="74"/>
      <c r="M35" s="84"/>
      <c r="N35" s="84"/>
      <c r="O35" s="82" t="str">
        <f ca="1">IF(AND($B35&gt;Számítás_Ny!$M$11+IF(Számítás_Ny!$M$13=0,0,1),COUNTIF(K35:N35,"&gt;0")),"Nyugdíjbiztosításnál nem vesszük figyelembe!","")</f>
        <v/>
      </c>
      <c r="P35" s="82"/>
      <c r="Q35" s="82"/>
      <c r="R35" s="82"/>
      <c r="S35" s="82"/>
    </row>
    <row r="36" spans="2:19" x14ac:dyDescent="0.2">
      <c r="B36" s="92">
        <v>5</v>
      </c>
      <c r="C36" s="92"/>
      <c r="D36" s="74"/>
      <c r="E36" s="74"/>
      <c r="F36" s="84"/>
      <c r="G36" s="84"/>
      <c r="H36" s="82" t="str">
        <f ca="1">IF(AND($B36&gt;Számítás_Ny!$M$11+IF(Számítás_Ny!$M$13=0,0,1),COUNTIF(D36:G36,"&gt;0")),"Nyugdíjbiztosításnál nem vesszük figyelembe!","")</f>
        <v/>
      </c>
      <c r="I36" s="82"/>
      <c r="J36" s="82"/>
      <c r="K36" s="74"/>
      <c r="L36" s="74"/>
      <c r="M36" s="84"/>
      <c r="N36" s="84"/>
      <c r="O36" s="82" t="str">
        <f ca="1">IF(AND($B36&gt;Számítás_Ny!$M$11+IF(Számítás_Ny!$M$13=0,0,1),COUNTIF(K36:N36,"&gt;0")),"Nyugdíjbiztosításnál nem vesszük figyelembe!","")</f>
        <v/>
      </c>
      <c r="P36" s="82"/>
      <c r="Q36" s="82"/>
      <c r="R36" s="82"/>
      <c r="S36" s="82"/>
    </row>
    <row r="37" spans="2:19" x14ac:dyDescent="0.2">
      <c r="B37" s="92">
        <v>6</v>
      </c>
      <c r="C37" s="92"/>
      <c r="D37" s="74"/>
      <c r="E37" s="74"/>
      <c r="F37" s="84"/>
      <c r="G37" s="84"/>
      <c r="H37" s="82" t="str">
        <f ca="1">IF(AND($B37&gt;Számítás_Ny!$M$11+IF(Számítás_Ny!$M$13=0,0,1),COUNTIF(D37:G37,"&gt;0")),"Nyugdíjbiztosításnál nem vesszük figyelembe!","")</f>
        <v/>
      </c>
      <c r="I37" s="82"/>
      <c r="J37" s="82"/>
      <c r="K37" s="74"/>
      <c r="L37" s="74"/>
      <c r="M37" s="84"/>
      <c r="N37" s="84"/>
      <c r="O37" s="82" t="str">
        <f ca="1">IF(AND($B37&gt;Számítás_Ny!$M$11+IF(Számítás_Ny!$M$13=0,0,1),COUNTIF(K37:N37,"&gt;0")),"Nyugdíjbiztosításnál nem vesszük figyelembe!","")</f>
        <v/>
      </c>
      <c r="P37" s="82"/>
      <c r="Q37" s="82"/>
      <c r="R37" s="82"/>
      <c r="S37" s="82"/>
    </row>
    <row r="38" spans="2:19" x14ac:dyDescent="0.2">
      <c r="B38" s="92">
        <v>7</v>
      </c>
      <c r="C38" s="92"/>
      <c r="D38" s="74"/>
      <c r="E38" s="74"/>
      <c r="F38" s="84"/>
      <c r="G38" s="84"/>
      <c r="H38" s="82" t="str">
        <f ca="1">IF(AND($B38&gt;Számítás_Ny!$M$11+IF(Számítás_Ny!$M$13=0,0,1),COUNTIF(D38:G38,"&gt;0")),"Nyugdíjbiztosításnál nem vesszük figyelembe!","")</f>
        <v/>
      </c>
      <c r="I38" s="82"/>
      <c r="J38" s="82"/>
      <c r="K38" s="74"/>
      <c r="L38" s="74"/>
      <c r="M38" s="84"/>
      <c r="N38" s="84"/>
      <c r="O38" s="82" t="str">
        <f ca="1">IF(AND($B38&gt;Számítás_Ny!$M$11+IF(Számítás_Ny!$M$13=0,0,1),COUNTIF(K38:N38,"&gt;0")),"Nyugdíjbiztosításnál nem vesszük figyelembe!","")</f>
        <v/>
      </c>
      <c r="P38" s="82"/>
      <c r="Q38" s="82"/>
      <c r="R38" s="82"/>
      <c r="S38" s="82"/>
    </row>
    <row r="39" spans="2:19" x14ac:dyDescent="0.2">
      <c r="B39" s="92">
        <v>8</v>
      </c>
      <c r="C39" s="92"/>
      <c r="D39" s="74"/>
      <c r="E39" s="74"/>
      <c r="F39" s="84"/>
      <c r="G39" s="84"/>
      <c r="H39" s="82" t="str">
        <f ca="1">IF(AND($B39&gt;Számítás_Ny!$M$11+IF(Számítás_Ny!$M$13=0,0,1),COUNTIF(D39:G39,"&gt;0")),"Nyugdíjbiztosításnál nem vesszük figyelembe!","")</f>
        <v/>
      </c>
      <c r="I39" s="82"/>
      <c r="J39" s="82"/>
      <c r="K39" s="74"/>
      <c r="L39" s="74"/>
      <c r="M39" s="84"/>
      <c r="N39" s="84"/>
      <c r="O39" s="82" t="str">
        <f ca="1">IF(AND($B39&gt;Számítás_Ny!$M$11+IF(Számítás_Ny!$M$13=0,0,1),COUNTIF(K39:N39,"&gt;0")),"Nyugdíjbiztosításnál nem vesszük figyelembe!","")</f>
        <v/>
      </c>
      <c r="P39" s="82"/>
      <c r="Q39" s="82"/>
      <c r="R39" s="82"/>
      <c r="S39" s="82"/>
    </row>
    <row r="40" spans="2:19" x14ac:dyDescent="0.2">
      <c r="B40" s="92">
        <v>9</v>
      </c>
      <c r="C40" s="92"/>
      <c r="D40" s="74"/>
      <c r="E40" s="74"/>
      <c r="F40" s="84"/>
      <c r="G40" s="84"/>
      <c r="H40" s="82" t="str">
        <f ca="1">IF(AND($B40&gt;Számítás_Ny!$M$11+IF(Számítás_Ny!$M$13=0,0,1),COUNTIF(D40:G40,"&gt;0")),"Nyugdíjbiztosításnál nem vesszük figyelembe!","")</f>
        <v/>
      </c>
      <c r="I40" s="82"/>
      <c r="J40" s="82"/>
      <c r="K40" s="74"/>
      <c r="L40" s="74"/>
      <c r="M40" s="84"/>
      <c r="N40" s="84"/>
      <c r="O40" s="82" t="str">
        <f ca="1">IF(AND($B40&gt;Számítás_Ny!$M$11+IF(Számítás_Ny!$M$13=0,0,1),COUNTIF(K40:N40,"&gt;0")),"Nyugdíjbiztosításnál nem vesszük figyelembe!","")</f>
        <v/>
      </c>
      <c r="P40" s="82"/>
      <c r="Q40" s="82"/>
      <c r="R40" s="82"/>
      <c r="S40" s="82"/>
    </row>
    <row r="41" spans="2:19" x14ac:dyDescent="0.2">
      <c r="B41" s="92">
        <v>10</v>
      </c>
      <c r="C41" s="92"/>
      <c r="D41" s="74"/>
      <c r="E41" s="74"/>
      <c r="F41" s="84"/>
      <c r="G41" s="84"/>
      <c r="H41" s="82" t="str">
        <f ca="1">IF(AND($B41&gt;Számítás_Ny!$M$11+IF(Számítás_Ny!$M$13=0,0,1),COUNTIF(D41:G41,"&gt;0")),"Nyugdíjbiztosításnál nem vesszük figyelembe!","")</f>
        <v/>
      </c>
      <c r="I41" s="82"/>
      <c r="J41" s="82"/>
      <c r="K41" s="74"/>
      <c r="L41" s="74"/>
      <c r="M41" s="84"/>
      <c r="N41" s="84"/>
      <c r="O41" s="82" t="str">
        <f ca="1">IF(AND($B41&gt;Számítás_Ny!$M$11+IF(Számítás_Ny!$M$13=0,0,1),COUNTIF(K41:N41,"&gt;0")),"Nyugdíjbiztosításnál nem vesszük figyelembe!","")</f>
        <v/>
      </c>
      <c r="P41" s="82"/>
      <c r="Q41" s="82"/>
      <c r="R41" s="82"/>
      <c r="S41" s="82"/>
    </row>
    <row r="42" spans="2:19" x14ac:dyDescent="0.2">
      <c r="B42" s="92">
        <v>11</v>
      </c>
      <c r="C42" s="92"/>
      <c r="D42" s="74"/>
      <c r="E42" s="74"/>
      <c r="F42" s="84"/>
      <c r="G42" s="84"/>
      <c r="H42" s="82" t="str">
        <f ca="1">IF(AND($B42&gt;Számítás_Ny!$M$11+IF(Számítás_Ny!$M$13=0,0,1),COUNTIF(D42:G42,"&gt;0")),"Nyugdíjbiztosításnál nem vesszük figyelembe!","")</f>
        <v/>
      </c>
      <c r="I42" s="82"/>
      <c r="J42" s="82"/>
      <c r="K42" s="74"/>
      <c r="L42" s="74"/>
      <c r="M42" s="84"/>
      <c r="N42" s="84"/>
      <c r="O42" s="82" t="str">
        <f ca="1">IF(AND($B42&gt;Számítás_Ny!$M$11+IF(Számítás_Ny!$M$13=0,0,1),COUNTIF(K42:N42,"&gt;0")),"Nyugdíjbiztosításnál nem vesszük figyelembe!","")</f>
        <v/>
      </c>
      <c r="P42" s="82"/>
      <c r="Q42" s="82"/>
      <c r="R42" s="82"/>
      <c r="S42" s="82"/>
    </row>
    <row r="43" spans="2:19" x14ac:dyDescent="0.2">
      <c r="B43" s="92">
        <v>12</v>
      </c>
      <c r="C43" s="92"/>
      <c r="D43" s="74"/>
      <c r="E43" s="74"/>
      <c r="F43" s="84"/>
      <c r="G43" s="84"/>
      <c r="H43" s="82" t="str">
        <f ca="1">IF(AND($B43&gt;Számítás_Ny!$M$11+IF(Számítás_Ny!$M$13=0,0,1),COUNTIF(D43:G43,"&gt;0")),"Nyugdíjbiztosításnál nem vesszük figyelembe!","")</f>
        <v/>
      </c>
      <c r="I43" s="82"/>
      <c r="J43" s="82"/>
      <c r="K43" s="74"/>
      <c r="L43" s="74"/>
      <c r="M43" s="84"/>
      <c r="N43" s="84"/>
      <c r="O43" s="82" t="str">
        <f ca="1">IF(AND($B43&gt;Számítás_Ny!$M$11+IF(Számítás_Ny!$M$13=0,0,1),COUNTIF(K43:N43,"&gt;0")),"Nyugdíjbiztosításnál nem vesszük figyelembe!","")</f>
        <v/>
      </c>
      <c r="P43" s="82"/>
      <c r="Q43" s="82"/>
      <c r="R43" s="82"/>
      <c r="S43" s="82"/>
    </row>
    <row r="44" spans="2:19" x14ac:dyDescent="0.2">
      <c r="B44" s="92">
        <v>13</v>
      </c>
      <c r="C44" s="92"/>
      <c r="D44" s="74"/>
      <c r="E44" s="74"/>
      <c r="F44" s="84"/>
      <c r="G44" s="84"/>
      <c r="H44" s="82" t="str">
        <f ca="1">IF(AND($B44&gt;Számítás_Ny!$M$11+IF(Számítás_Ny!$M$13=0,0,1),COUNTIF(D44:G44,"&gt;0")),"Nyugdíjbiztosításnál nem vesszük figyelembe!","")</f>
        <v/>
      </c>
      <c r="I44" s="82"/>
      <c r="J44" s="82"/>
      <c r="K44" s="74"/>
      <c r="L44" s="74"/>
      <c r="M44" s="84"/>
      <c r="N44" s="84"/>
      <c r="O44" s="82" t="str">
        <f ca="1">IF(AND($B44&gt;Számítás_Ny!$M$11+IF(Számítás_Ny!$M$13=0,0,1),COUNTIF(K44:N44,"&gt;0")),"Nyugdíjbiztosításnál nem vesszük figyelembe!","")</f>
        <v/>
      </c>
      <c r="P44" s="82"/>
      <c r="Q44" s="82"/>
      <c r="R44" s="82"/>
      <c r="S44" s="82"/>
    </row>
    <row r="45" spans="2:19" x14ac:dyDescent="0.2">
      <c r="B45" s="92">
        <v>14</v>
      </c>
      <c r="C45" s="92"/>
      <c r="D45" s="74"/>
      <c r="E45" s="74"/>
      <c r="F45" s="84"/>
      <c r="G45" s="84"/>
      <c r="H45" s="82" t="str">
        <f ca="1">IF(AND($B45&gt;Számítás_Ny!$M$11+IF(Számítás_Ny!$M$13=0,0,1),COUNTIF(D45:G45,"&gt;0")),"Nyugdíjbiztosításnál nem vesszük figyelembe!","")</f>
        <v/>
      </c>
      <c r="I45" s="82"/>
      <c r="J45" s="82"/>
      <c r="K45" s="74"/>
      <c r="L45" s="74"/>
      <c r="M45" s="84"/>
      <c r="N45" s="84"/>
      <c r="O45" s="82" t="str">
        <f ca="1">IF(AND($B45&gt;Számítás_Ny!$M$11+IF(Számítás_Ny!$M$13=0,0,1),COUNTIF(K45:N45,"&gt;0")),"Nyugdíjbiztosításnál nem vesszük figyelembe!","")</f>
        <v/>
      </c>
      <c r="P45" s="82"/>
      <c r="Q45" s="82"/>
      <c r="R45" s="82"/>
      <c r="S45" s="82"/>
    </row>
    <row r="46" spans="2:19" x14ac:dyDescent="0.2">
      <c r="B46" s="92">
        <v>15</v>
      </c>
      <c r="C46" s="92"/>
      <c r="D46" s="74"/>
      <c r="E46" s="74"/>
      <c r="F46" s="84"/>
      <c r="G46" s="84"/>
      <c r="H46" s="82" t="str">
        <f ca="1">IF(AND($B46&gt;Számítás_Ny!$M$11+IF(Számítás_Ny!$M$13=0,0,1),COUNTIF(D46:G46,"&gt;0")),"Nyugdíjbiztosításnál nem vesszük figyelembe!","")</f>
        <v/>
      </c>
      <c r="I46" s="82"/>
      <c r="J46" s="82"/>
      <c r="K46" s="74"/>
      <c r="L46" s="74"/>
      <c r="M46" s="84"/>
      <c r="N46" s="84"/>
      <c r="O46" s="82" t="str">
        <f ca="1">IF(AND($B46&gt;Számítás_Ny!$M$11+IF(Számítás_Ny!$M$13=0,0,1),COUNTIF(K46:N46,"&gt;0")),"Nyugdíjbiztosításnál nem vesszük figyelembe!","")</f>
        <v/>
      </c>
      <c r="P46" s="82"/>
      <c r="Q46" s="82"/>
      <c r="R46" s="82"/>
      <c r="S46" s="82"/>
    </row>
    <row r="47" spans="2:19" x14ac:dyDescent="0.2">
      <c r="B47" s="92">
        <v>16</v>
      </c>
      <c r="C47" s="92"/>
      <c r="D47" s="74"/>
      <c r="E47" s="74"/>
      <c r="F47" s="84"/>
      <c r="G47" s="84"/>
      <c r="H47" s="82" t="str">
        <f ca="1">IF(AND($B47&gt;Számítás_Ny!$M$11+IF(Számítás_Ny!$M$13=0,0,1),COUNTIF(D47:G47,"&gt;0")),"Nyugdíjbiztosításnál nem vesszük figyelembe!","")</f>
        <v/>
      </c>
      <c r="I47" s="82"/>
      <c r="J47" s="82"/>
      <c r="K47" s="74"/>
      <c r="L47" s="74"/>
      <c r="M47" s="84"/>
      <c r="N47" s="84"/>
      <c r="O47" s="82" t="str">
        <f ca="1">IF(AND($B47&gt;Számítás_Ny!$M$11+IF(Számítás_Ny!$M$13=0,0,1),COUNTIF(K47:N47,"&gt;0")),"Nyugdíjbiztosításnál nem vesszük figyelembe!","")</f>
        <v/>
      </c>
      <c r="P47" s="82"/>
      <c r="Q47" s="82"/>
      <c r="R47" s="82"/>
      <c r="S47" s="82"/>
    </row>
    <row r="48" spans="2:19" x14ac:dyDescent="0.2">
      <c r="B48" s="92">
        <v>17</v>
      </c>
      <c r="C48" s="92"/>
      <c r="D48" s="74"/>
      <c r="E48" s="74"/>
      <c r="F48" s="84"/>
      <c r="G48" s="84"/>
      <c r="H48" s="82" t="str">
        <f ca="1">IF(AND($B48&gt;Számítás_Ny!$M$11+IF(Számítás_Ny!$M$13=0,0,1),COUNTIF(D48:G48,"&gt;0")),"Nyugdíjbiztosításnál nem vesszük figyelembe!","")</f>
        <v/>
      </c>
      <c r="I48" s="82"/>
      <c r="J48" s="82"/>
      <c r="K48" s="74"/>
      <c r="L48" s="74"/>
      <c r="M48" s="84"/>
      <c r="N48" s="84"/>
      <c r="O48" s="82" t="str">
        <f ca="1">IF(AND($B48&gt;Számítás_Ny!$M$11+IF(Számítás_Ny!$M$13=0,0,1),COUNTIF(K48:N48,"&gt;0")),"Nyugdíjbiztosításnál nem vesszük figyelembe!","")</f>
        <v/>
      </c>
      <c r="P48" s="82"/>
      <c r="Q48" s="82"/>
      <c r="R48" s="82"/>
      <c r="S48" s="82"/>
    </row>
    <row r="49" spans="2:19" x14ac:dyDescent="0.2">
      <c r="B49" s="92">
        <v>18</v>
      </c>
      <c r="C49" s="92"/>
      <c r="D49" s="74"/>
      <c r="E49" s="74"/>
      <c r="F49" s="84"/>
      <c r="G49" s="84"/>
      <c r="H49" s="82" t="str">
        <f ca="1">IF(AND($B49&gt;Számítás_Ny!$M$11+IF(Számítás_Ny!$M$13=0,0,1),COUNTIF(D49:G49,"&gt;0")),"Nyugdíjbiztosításnál nem vesszük figyelembe!","")</f>
        <v/>
      </c>
      <c r="I49" s="82"/>
      <c r="J49" s="82"/>
      <c r="K49" s="74"/>
      <c r="L49" s="74"/>
      <c r="M49" s="84"/>
      <c r="N49" s="84"/>
      <c r="O49" s="82" t="str">
        <f ca="1">IF(AND($B49&gt;Számítás_Ny!$M$11+IF(Számítás_Ny!$M$13=0,0,1),COUNTIF(K49:N49,"&gt;0")),"Nyugdíjbiztosításnál nem vesszük figyelembe!","")</f>
        <v/>
      </c>
      <c r="P49" s="82"/>
      <c r="Q49" s="82"/>
      <c r="R49" s="82"/>
      <c r="S49" s="82"/>
    </row>
    <row r="50" spans="2:19" x14ac:dyDescent="0.2">
      <c r="B50" s="92">
        <v>19</v>
      </c>
      <c r="C50" s="92"/>
      <c r="D50" s="74"/>
      <c r="E50" s="74"/>
      <c r="F50" s="84"/>
      <c r="G50" s="84"/>
      <c r="H50" s="82" t="str">
        <f ca="1">IF(AND($B50&gt;Számítás_Ny!$M$11+IF(Számítás_Ny!$M$13=0,0,1),COUNTIF(D50:G50,"&gt;0")),"Nyugdíjbiztosításnál nem vesszük figyelembe!","")</f>
        <v/>
      </c>
      <c r="I50" s="82"/>
      <c r="J50" s="82"/>
      <c r="K50" s="74"/>
      <c r="L50" s="74"/>
      <c r="M50" s="84"/>
      <c r="N50" s="84"/>
      <c r="O50" s="82" t="str">
        <f ca="1">IF(AND($B50&gt;Számítás_Ny!$M$11+IF(Számítás_Ny!$M$13=0,0,1),COUNTIF(K50:N50,"&gt;0")),"Nyugdíjbiztosításnál nem vesszük figyelembe!","")</f>
        <v/>
      </c>
      <c r="P50" s="82"/>
      <c r="Q50" s="82"/>
      <c r="R50" s="82"/>
      <c r="S50" s="82"/>
    </row>
    <row r="51" spans="2:19" x14ac:dyDescent="0.2">
      <c r="B51" s="92">
        <v>20</v>
      </c>
      <c r="C51" s="92"/>
      <c r="D51" s="74"/>
      <c r="E51" s="74"/>
      <c r="F51" s="84"/>
      <c r="G51" s="84"/>
      <c r="H51" s="82" t="str">
        <f ca="1">IF(AND($B51&gt;Számítás_Ny!$M$11+IF(Számítás_Ny!$M$13=0,0,1),COUNTIF(D51:G51,"&gt;0")),"Nyugdíjbiztosításnál nem vesszük figyelembe!","")</f>
        <v/>
      </c>
      <c r="I51" s="82"/>
      <c r="J51" s="82"/>
      <c r="K51" s="74"/>
      <c r="L51" s="74"/>
      <c r="M51" s="84"/>
      <c r="N51" s="84"/>
      <c r="O51" s="82" t="str">
        <f ca="1">IF(AND($B51&gt;Számítás_Ny!$M$11+IF(Számítás_Ny!$M$13=0,0,1),COUNTIF(K51:N51,"&gt;0")),"Nyugdíjbiztosításnál nem vesszük figyelembe!","")</f>
        <v/>
      </c>
      <c r="P51" s="82"/>
      <c r="Q51" s="82"/>
      <c r="R51" s="82"/>
      <c r="S51" s="82"/>
    </row>
    <row r="52" spans="2:19" x14ac:dyDescent="0.2">
      <c r="B52" s="92">
        <v>21</v>
      </c>
      <c r="C52" s="92"/>
      <c r="D52" s="74"/>
      <c r="E52" s="74"/>
      <c r="F52" s="84"/>
      <c r="G52" s="84"/>
      <c r="H52" s="82" t="str">
        <f ca="1">IF(AND($B52&gt;Számítás_Ny!$M$11+IF(Számítás_Ny!$M$13=0,0,1),COUNTIF(D52:G52,"&gt;0")),"Nyugdíjbiztosításnál nem vesszük figyelembe!","")</f>
        <v/>
      </c>
      <c r="I52" s="82"/>
      <c r="J52" s="82"/>
      <c r="K52" s="74"/>
      <c r="L52" s="74"/>
      <c r="M52" s="84"/>
      <c r="N52" s="84"/>
      <c r="O52" s="82" t="str">
        <f ca="1">IF(AND($B52&gt;Számítás_Ny!$M$11+IF(Számítás_Ny!$M$13=0,0,1),COUNTIF(K52:N52,"&gt;0")),"Nyugdíjbiztosításnál nem vesszük figyelembe!","")</f>
        <v/>
      </c>
      <c r="P52" s="82"/>
      <c r="Q52" s="82"/>
      <c r="R52" s="82"/>
      <c r="S52" s="82"/>
    </row>
    <row r="53" spans="2:19" x14ac:dyDescent="0.2">
      <c r="B53" s="92">
        <v>22</v>
      </c>
      <c r="C53" s="92"/>
      <c r="D53" s="74"/>
      <c r="E53" s="74"/>
      <c r="F53" s="84"/>
      <c r="G53" s="84"/>
      <c r="H53" s="82" t="str">
        <f ca="1">IF(AND($B53&gt;Számítás_Ny!$M$11+IF(Számítás_Ny!$M$13=0,0,1),COUNTIF(D53:G53,"&gt;0")),"Nyugdíjbiztosításnál nem vesszük figyelembe!","")</f>
        <v/>
      </c>
      <c r="I53" s="82"/>
      <c r="J53" s="82"/>
      <c r="K53" s="74"/>
      <c r="L53" s="74"/>
      <c r="M53" s="84"/>
      <c r="N53" s="84"/>
      <c r="O53" s="82" t="str">
        <f ca="1">IF(AND($B53&gt;Számítás_Ny!$M$11+IF(Számítás_Ny!$M$13=0,0,1),COUNTIF(K53:N53,"&gt;0")),"Nyugdíjbiztosításnál nem vesszük figyelembe!","")</f>
        <v/>
      </c>
      <c r="P53" s="82"/>
      <c r="Q53" s="82"/>
      <c r="R53" s="82"/>
      <c r="S53" s="82"/>
    </row>
    <row r="54" spans="2:19" x14ac:dyDescent="0.2">
      <c r="B54" s="92">
        <v>23</v>
      </c>
      <c r="C54" s="92"/>
      <c r="D54" s="74"/>
      <c r="E54" s="74"/>
      <c r="F54" s="84"/>
      <c r="G54" s="84"/>
      <c r="H54" s="82" t="str">
        <f ca="1">IF(AND($B54&gt;Számítás_Ny!$M$11+IF(Számítás_Ny!$M$13=0,0,1),COUNTIF(D54:G54,"&gt;0")),"Nyugdíjbiztosításnál nem vesszük figyelembe!","")</f>
        <v/>
      </c>
      <c r="I54" s="82"/>
      <c r="J54" s="82"/>
      <c r="K54" s="74"/>
      <c r="L54" s="74"/>
      <c r="M54" s="84"/>
      <c r="N54" s="84"/>
      <c r="O54" s="82" t="str">
        <f ca="1">IF(AND($B54&gt;Számítás_Ny!$M$11+IF(Számítás_Ny!$M$13=0,0,1),COUNTIF(K54:N54,"&gt;0")),"Nyugdíjbiztosításnál nem vesszük figyelembe!","")</f>
        <v/>
      </c>
      <c r="P54" s="82"/>
      <c r="Q54" s="82"/>
      <c r="R54" s="82"/>
      <c r="S54" s="82"/>
    </row>
    <row r="55" spans="2:19" x14ac:dyDescent="0.2">
      <c r="B55" s="92">
        <v>24</v>
      </c>
      <c r="C55" s="92"/>
      <c r="D55" s="74"/>
      <c r="E55" s="74"/>
      <c r="F55" s="84"/>
      <c r="G55" s="84"/>
      <c r="H55" s="82" t="str">
        <f ca="1">IF(AND($B55&gt;Számítás_Ny!$M$11+IF(Számítás_Ny!$M$13=0,0,1),COUNTIF(D55:G55,"&gt;0")),"Nyugdíjbiztosításnál nem vesszük figyelembe!","")</f>
        <v/>
      </c>
      <c r="I55" s="82"/>
      <c r="J55" s="82"/>
      <c r="K55" s="74"/>
      <c r="L55" s="74"/>
      <c r="M55" s="84"/>
      <c r="N55" s="84"/>
      <c r="O55" s="82" t="str">
        <f ca="1">IF(AND($B55&gt;Számítás_Ny!$M$11+IF(Számítás_Ny!$M$13=0,0,1),COUNTIF(K55:N55,"&gt;0")),"Nyugdíjbiztosításnál nem vesszük figyelembe!","")</f>
        <v/>
      </c>
      <c r="P55" s="82"/>
      <c r="Q55" s="82"/>
      <c r="R55" s="82"/>
      <c r="S55" s="82"/>
    </row>
    <row r="56" spans="2:19" x14ac:dyDescent="0.2">
      <c r="B56" s="92">
        <v>25</v>
      </c>
      <c r="C56" s="92"/>
      <c r="D56" s="74"/>
      <c r="E56" s="74"/>
      <c r="F56" s="84"/>
      <c r="G56" s="84"/>
      <c r="H56" s="82" t="str">
        <f ca="1">IF(AND($B56&gt;Számítás_Ny!$M$11+IF(Számítás_Ny!$M$13=0,0,1),COUNTIF(D56:G56,"&gt;0")),"Nyugdíjbiztosításnál nem vesszük figyelembe!","")</f>
        <v/>
      </c>
      <c r="I56" s="82"/>
      <c r="J56" s="82"/>
      <c r="K56" s="74"/>
      <c r="L56" s="74"/>
      <c r="M56" s="84"/>
      <c r="N56" s="84"/>
      <c r="O56" s="82" t="str">
        <f ca="1">IF(AND($B56&gt;Számítás_Ny!$M$11+IF(Számítás_Ny!$M$13=0,0,1),COUNTIF(K56:N56,"&gt;0")),"Nyugdíjbiztosításnál nem vesszük figyelembe!","")</f>
        <v/>
      </c>
      <c r="P56" s="82"/>
      <c r="Q56" s="82"/>
      <c r="R56" s="82"/>
      <c r="S56" s="82"/>
    </row>
    <row r="57" spans="2:19" x14ac:dyDescent="0.2">
      <c r="B57" s="92">
        <v>26</v>
      </c>
      <c r="C57" s="92"/>
      <c r="D57" s="74"/>
      <c r="E57" s="74"/>
      <c r="F57" s="84"/>
      <c r="G57" s="84"/>
      <c r="H57" s="82" t="str">
        <f ca="1">IF(AND($B57&gt;Számítás_Ny!$M$11+IF(Számítás_Ny!$M$13=0,0,1),COUNTIF(D57:G57,"&gt;0")),"Nyugdíjbiztosításnál nem vesszük figyelembe!","")</f>
        <v/>
      </c>
      <c r="I57" s="82"/>
      <c r="J57" s="82"/>
      <c r="K57" s="74"/>
      <c r="L57" s="74"/>
      <c r="M57" s="84"/>
      <c r="N57" s="84"/>
      <c r="O57" s="82" t="str">
        <f ca="1">IF(AND($B57&gt;Számítás_Ny!$M$11+IF(Számítás_Ny!$M$13=0,0,1),COUNTIF(K57:N57,"&gt;0")),"Nyugdíjbiztosításnál nem vesszük figyelembe!","")</f>
        <v/>
      </c>
      <c r="P57" s="82"/>
      <c r="Q57" s="82"/>
      <c r="R57" s="82"/>
      <c r="S57" s="82"/>
    </row>
    <row r="58" spans="2:19" x14ac:dyDescent="0.2">
      <c r="B58" s="92">
        <v>27</v>
      </c>
      <c r="C58" s="92"/>
      <c r="D58" s="74"/>
      <c r="E58" s="74"/>
      <c r="F58" s="84"/>
      <c r="G58" s="84"/>
      <c r="H58" s="82" t="str">
        <f ca="1">IF(AND($B58&gt;Számítás_Ny!$M$11+IF(Számítás_Ny!$M$13=0,0,1),COUNTIF(D58:G58,"&gt;0")),"Nyugdíjbiztosításnál nem vesszük figyelembe!","")</f>
        <v/>
      </c>
      <c r="I58" s="82"/>
      <c r="J58" s="82"/>
      <c r="K58" s="74"/>
      <c r="L58" s="74"/>
      <c r="M58" s="84"/>
      <c r="N58" s="84"/>
      <c r="O58" s="82" t="str">
        <f ca="1">IF(AND($B58&gt;Számítás_Ny!$M$11+IF(Számítás_Ny!$M$13=0,0,1),COUNTIF(K58:N58,"&gt;0")),"Nyugdíjbiztosításnál nem vesszük figyelembe!","")</f>
        <v/>
      </c>
      <c r="P58" s="82"/>
      <c r="Q58" s="82"/>
      <c r="R58" s="82"/>
      <c r="S58" s="82"/>
    </row>
    <row r="59" spans="2:19" x14ac:dyDescent="0.2">
      <c r="B59" s="92">
        <v>28</v>
      </c>
      <c r="C59" s="92"/>
      <c r="D59" s="74"/>
      <c r="E59" s="74"/>
      <c r="F59" s="84"/>
      <c r="G59" s="84"/>
      <c r="H59" s="82" t="str">
        <f ca="1">IF(AND($B59&gt;Számítás_Ny!$M$11+IF(Számítás_Ny!$M$13=0,0,1),COUNTIF(D59:G59,"&gt;0")),"Nyugdíjbiztosításnál nem vesszük figyelembe!","")</f>
        <v/>
      </c>
      <c r="I59" s="82"/>
      <c r="J59" s="82"/>
      <c r="K59" s="74"/>
      <c r="L59" s="74"/>
      <c r="M59" s="84"/>
      <c r="N59" s="84"/>
      <c r="O59" s="82" t="str">
        <f ca="1">IF(AND($B59&gt;Számítás_Ny!$M$11+IF(Számítás_Ny!$M$13=0,0,1),COUNTIF(K59:N59,"&gt;0")),"Nyugdíjbiztosításnál nem vesszük figyelembe!","")</f>
        <v/>
      </c>
      <c r="P59" s="82"/>
      <c r="Q59" s="82"/>
      <c r="R59" s="82"/>
      <c r="S59" s="82"/>
    </row>
    <row r="60" spans="2:19" x14ac:dyDescent="0.2">
      <c r="B60" s="92">
        <v>29</v>
      </c>
      <c r="C60" s="92"/>
      <c r="D60" s="74"/>
      <c r="E60" s="74"/>
      <c r="F60" s="84"/>
      <c r="G60" s="84"/>
      <c r="H60" s="82" t="str">
        <f ca="1">IF(AND($B60&gt;Számítás_Ny!$M$11+IF(Számítás_Ny!$M$13=0,0,1),COUNTIF(D60:G60,"&gt;0")),"Nyugdíjbiztosításnál nem vesszük figyelembe!","")</f>
        <v/>
      </c>
      <c r="I60" s="82"/>
      <c r="J60" s="82"/>
      <c r="K60" s="74"/>
      <c r="L60" s="74"/>
      <c r="M60" s="84"/>
      <c r="N60" s="84"/>
      <c r="O60" s="82" t="str">
        <f ca="1">IF(AND($B60&gt;Számítás_Ny!$M$11+IF(Számítás_Ny!$M$13=0,0,1),COUNTIF(K60:N60,"&gt;0")),"Nyugdíjbiztosításnál nem vesszük figyelembe!","")</f>
        <v/>
      </c>
      <c r="P60" s="82"/>
      <c r="Q60" s="82"/>
      <c r="R60" s="82"/>
      <c r="S60" s="82"/>
    </row>
    <row r="61" spans="2:19" x14ac:dyDescent="0.2">
      <c r="B61" s="92">
        <v>30</v>
      </c>
      <c r="C61" s="92"/>
      <c r="D61" s="74"/>
      <c r="E61" s="74"/>
      <c r="F61" s="84"/>
      <c r="G61" s="84"/>
      <c r="H61" s="82" t="str">
        <f ca="1">IF(AND($B61&gt;Számítás_Ny!$M$11+IF(Számítás_Ny!$M$13=0,0,1),COUNTIF(D61:G61,"&gt;0")),"Nyugdíjbiztosításnál nem vesszük figyelembe!","")</f>
        <v/>
      </c>
      <c r="I61" s="82"/>
      <c r="J61" s="82"/>
      <c r="K61" s="74"/>
      <c r="L61" s="74"/>
      <c r="M61" s="84"/>
      <c r="N61" s="84"/>
      <c r="O61" s="82" t="str">
        <f ca="1">IF(AND($B61&gt;Számítás_Ny!$M$11+IF(Számítás_Ny!$M$13=0,0,1),COUNTIF(K61:N61,"&gt;0")),"Nyugdíjbiztosításnál nem vesszük figyelembe!","")</f>
        <v/>
      </c>
      <c r="P61" s="82"/>
      <c r="Q61" s="82"/>
      <c r="R61" s="82"/>
      <c r="S61" s="82"/>
    </row>
    <row r="62" spans="2:19" x14ac:dyDescent="0.2">
      <c r="B62" s="92">
        <v>31</v>
      </c>
      <c r="C62" s="92"/>
      <c r="D62" s="74"/>
      <c r="E62" s="74"/>
      <c r="F62" s="84"/>
      <c r="G62" s="84"/>
      <c r="H62" s="82" t="str">
        <f ca="1">IF(AND($B62&gt;Számítás_Ny!$M$11+IF(Számítás_Ny!$M$13=0,0,1),COUNTIF(D62:G62,"&gt;0")),"Nyugdíjbiztosításnál nem vesszük figyelembe!","")</f>
        <v/>
      </c>
      <c r="I62" s="82"/>
      <c r="J62" s="82"/>
      <c r="K62" s="74"/>
      <c r="L62" s="74"/>
      <c r="M62" s="84"/>
      <c r="N62" s="84"/>
      <c r="O62" s="82" t="str">
        <f ca="1">IF(AND($B62&gt;Számítás_Ny!$M$11+IF(Számítás_Ny!$M$13=0,0,1),COUNTIF(K62:N62,"&gt;0")),"Nyugdíjbiztosításnál nem vesszük figyelembe!","")</f>
        <v/>
      </c>
      <c r="P62" s="82"/>
      <c r="Q62" s="82"/>
      <c r="R62" s="82"/>
      <c r="S62" s="82"/>
    </row>
    <row r="63" spans="2:19" x14ac:dyDescent="0.2">
      <c r="B63" s="92">
        <v>32</v>
      </c>
      <c r="C63" s="92"/>
      <c r="D63" s="74"/>
      <c r="E63" s="74"/>
      <c r="F63" s="84"/>
      <c r="G63" s="84"/>
      <c r="H63" s="83" t="str">
        <f ca="1">IF(AND($B63&gt;Számítás_Ny!$M$11+IF(Számítás_Ny!$M$13=0,0,1),COUNTIF(D63:G63,"&gt;0")),"Nyugdíjbiztosításnál nem vesszük figyelembe!","")</f>
        <v/>
      </c>
      <c r="I63" s="83"/>
      <c r="J63" s="83"/>
      <c r="K63" s="74"/>
      <c r="L63" s="74"/>
      <c r="M63" s="84"/>
      <c r="N63" s="84"/>
      <c r="O63" s="82" t="str">
        <f ca="1">IF(AND($B63&gt;Számítás_Ny!$M$11+IF(Számítás_Ny!$M$13=0,0,1),COUNTIF(K63:N63,"&gt;0")),"Nyugdíjbiztosításnál nem vesszük figyelembe!","")</f>
        <v/>
      </c>
      <c r="P63" s="82"/>
      <c r="Q63" s="82"/>
      <c r="R63" s="82"/>
      <c r="S63" s="82"/>
    </row>
    <row r="64" spans="2:19" x14ac:dyDescent="0.2">
      <c r="B64" s="92">
        <v>33</v>
      </c>
      <c r="C64" s="92"/>
      <c r="D64" s="74"/>
      <c r="E64" s="74"/>
      <c r="F64" s="84"/>
      <c r="G64" s="84"/>
      <c r="H64" s="82" t="str">
        <f ca="1">IF(AND($B64&gt;Számítás_Ny!$M$11+IF(Számítás_Ny!$M$13=0,0,1),COUNTIF(D64:G64,"&gt;0")),"Nyugdíjbiztosításnál nem vesszük figyelembe!","")</f>
        <v/>
      </c>
      <c r="I64" s="82"/>
      <c r="J64" s="82"/>
      <c r="K64" s="74"/>
      <c r="L64" s="74"/>
      <c r="M64" s="84"/>
      <c r="N64" s="84"/>
      <c r="O64" s="82" t="str">
        <f ca="1">IF(AND($B64&gt;Számítás_Ny!$M$11+IF(Számítás_Ny!$M$13=0,0,1),COUNTIF(K64:N64,"&gt;0")),"Nyugdíjbiztosításnál nem vesszük figyelembe!","")</f>
        <v/>
      </c>
      <c r="P64" s="82"/>
      <c r="Q64" s="82"/>
      <c r="R64" s="82"/>
      <c r="S64" s="82"/>
    </row>
    <row r="65" spans="2:19" x14ac:dyDescent="0.2">
      <c r="B65" s="92">
        <v>34</v>
      </c>
      <c r="C65" s="92"/>
      <c r="D65" s="74"/>
      <c r="E65" s="74"/>
      <c r="F65" s="84"/>
      <c r="G65" s="84"/>
      <c r="H65" s="82" t="str">
        <f ca="1">IF(AND($B65&gt;Számítás_Ny!$M$11+IF(Számítás_Ny!$M$13=0,0,1),COUNTIF(D65:G65,"&gt;0")),"Nyugdíjbiztosításnál nem vesszük figyelembe!","")</f>
        <v/>
      </c>
      <c r="I65" s="82"/>
      <c r="J65" s="82"/>
      <c r="K65" s="74"/>
      <c r="L65" s="74"/>
      <c r="M65" s="84"/>
      <c r="N65" s="84"/>
      <c r="O65" s="82" t="str">
        <f ca="1">IF(AND($B65&gt;Számítás_Ny!$M$11+IF(Számítás_Ny!$M$13=0,0,1),COUNTIF(K65:N65,"&gt;0")),"Nyugdíjbiztosításnál nem vesszük figyelembe!","")</f>
        <v/>
      </c>
      <c r="P65" s="82"/>
      <c r="Q65" s="82"/>
      <c r="R65" s="82"/>
      <c r="S65" s="82"/>
    </row>
    <row r="66" spans="2:19" x14ac:dyDescent="0.2">
      <c r="B66" s="92">
        <v>35</v>
      </c>
      <c r="C66" s="92"/>
      <c r="D66" s="74"/>
      <c r="E66" s="74"/>
      <c r="F66" s="84"/>
      <c r="G66" s="84"/>
      <c r="H66" s="82" t="str">
        <f ca="1">IF(AND($B66&gt;Számítás_Ny!$M$11+IF(Számítás_Ny!$M$13=0,0,1),COUNTIF(D66:G66,"&gt;0")),"Nyugdíjbiztosításnál nem vesszük figyelembe!","")</f>
        <v/>
      </c>
      <c r="I66" s="82"/>
      <c r="J66" s="82"/>
      <c r="K66" s="74"/>
      <c r="L66" s="74"/>
      <c r="M66" s="84"/>
      <c r="N66" s="84"/>
      <c r="O66" s="82" t="str">
        <f ca="1">IF(AND($B66&gt;Számítás_Ny!$M$11+IF(Számítás_Ny!$M$13=0,0,1),COUNTIF(K66:N66,"&gt;0")),"Nyugdíjbiztosításnál nem vesszük figyelembe!","")</f>
        <v/>
      </c>
      <c r="P66" s="82"/>
      <c r="Q66" s="82"/>
      <c r="R66" s="82"/>
      <c r="S66" s="82"/>
    </row>
    <row r="67" spans="2:19" x14ac:dyDescent="0.2">
      <c r="B67" s="92">
        <v>36</v>
      </c>
      <c r="C67" s="92"/>
      <c r="D67" s="74"/>
      <c r="E67" s="74"/>
      <c r="F67" s="84"/>
      <c r="G67" s="84"/>
      <c r="H67" s="82" t="str">
        <f ca="1">IF(AND($B67&gt;Számítás_Ny!$M$11+IF(Számítás_Ny!$M$13=0,0,1),COUNTIF(D67:G67,"&gt;0")),"Nyugdíjbiztosításnál nem vesszük figyelembe!","")</f>
        <v/>
      </c>
      <c r="I67" s="82"/>
      <c r="J67" s="82"/>
      <c r="K67" s="74"/>
      <c r="L67" s="74"/>
      <c r="M67" s="84"/>
      <c r="N67" s="84"/>
      <c r="O67" s="82" t="str">
        <f ca="1">IF(AND($B67&gt;Számítás_Ny!$M$11+IF(Számítás_Ny!$M$13=0,0,1),COUNTIF(K67:N67,"&gt;0")),"Nyugdíjbiztosításnál nem vesszük figyelembe!","")</f>
        <v/>
      </c>
      <c r="P67" s="82"/>
      <c r="Q67" s="82"/>
      <c r="R67" s="82"/>
      <c r="S67" s="82"/>
    </row>
    <row r="68" spans="2:19" x14ac:dyDescent="0.2">
      <c r="B68" s="92">
        <v>37</v>
      </c>
      <c r="C68" s="92"/>
      <c r="D68" s="74"/>
      <c r="E68" s="74"/>
      <c r="F68" s="84"/>
      <c r="G68" s="84"/>
      <c r="H68" s="82" t="str">
        <f ca="1">IF(AND($B68&gt;Számítás_Ny!$M$11+IF(Számítás_Ny!$M$13=0,0,1),COUNTIF(D68:G68,"&gt;0")),"Nyugdíjbiztosításnál nem vesszük figyelembe!","")</f>
        <v/>
      </c>
      <c r="I68" s="82"/>
      <c r="J68" s="82"/>
      <c r="K68" s="74"/>
      <c r="L68" s="74"/>
      <c r="M68" s="84"/>
      <c r="N68" s="84"/>
      <c r="O68" s="82" t="str">
        <f ca="1">IF(AND($B68&gt;Számítás_Ny!$M$11+IF(Számítás_Ny!$M$13=0,0,1),COUNTIF(K68:N68,"&gt;0")),"Nyugdíjbiztosításnál nem vesszük figyelembe!","")</f>
        <v/>
      </c>
      <c r="P68" s="82"/>
      <c r="Q68" s="82"/>
      <c r="R68" s="82"/>
      <c r="S68" s="82"/>
    </row>
    <row r="69" spans="2:19" x14ac:dyDescent="0.2">
      <c r="B69" s="92">
        <v>38</v>
      </c>
      <c r="C69" s="92"/>
      <c r="D69" s="74"/>
      <c r="E69" s="74"/>
      <c r="F69" s="84"/>
      <c r="G69" s="84"/>
      <c r="H69" s="82" t="str">
        <f ca="1">IF(AND($B69&gt;Számítás_Ny!$M$11+IF(Számítás_Ny!$M$13=0,0,1),COUNTIF(D69:G69,"&gt;0")),"Nyugdíjbiztosításnál nem vesszük figyelembe!","")</f>
        <v/>
      </c>
      <c r="I69" s="82"/>
      <c r="J69" s="82"/>
      <c r="K69" s="74"/>
      <c r="L69" s="74"/>
      <c r="M69" s="84"/>
      <c r="N69" s="84"/>
      <c r="O69" s="82" t="str">
        <f ca="1">IF(AND($B69&gt;Számítás_Ny!$M$11+IF(Számítás_Ny!$M$13=0,0,1),COUNTIF(K69:N69,"&gt;0")),"Nyugdíjbiztosításnál nem vesszük figyelembe!","")</f>
        <v/>
      </c>
      <c r="P69" s="82"/>
      <c r="Q69" s="82"/>
      <c r="R69" s="82"/>
      <c r="S69" s="82"/>
    </row>
    <row r="70" spans="2:19" x14ac:dyDescent="0.2">
      <c r="B70" s="92">
        <v>39</v>
      </c>
      <c r="C70" s="92"/>
      <c r="D70" s="74"/>
      <c r="E70" s="74"/>
      <c r="F70" s="84"/>
      <c r="G70" s="84"/>
      <c r="H70" s="82" t="str">
        <f ca="1">IF(AND($B70&gt;Számítás_Ny!$M$11+IF(Számítás_Ny!$M$13=0,0,1),COUNTIF(D70:G70,"&gt;0")),"Nyugdíjbiztosításnál nem vesszük figyelembe!","")</f>
        <v/>
      </c>
      <c r="I70" s="82"/>
      <c r="J70" s="82"/>
      <c r="K70" s="74"/>
      <c r="L70" s="74"/>
      <c r="M70" s="84"/>
      <c r="N70" s="84"/>
      <c r="O70" s="82" t="str">
        <f ca="1">IF(AND($B70&gt;Számítás_Ny!$M$11+IF(Számítás_Ny!$M$13=0,0,1),COUNTIF(K70:N70,"&gt;0")),"Nyugdíjbiztosításnál nem vesszük figyelembe!","")</f>
        <v/>
      </c>
      <c r="P70" s="82"/>
      <c r="Q70" s="82"/>
      <c r="R70" s="82"/>
      <c r="S70" s="82"/>
    </row>
    <row r="71" spans="2:19" x14ac:dyDescent="0.2">
      <c r="B71" s="92">
        <v>40</v>
      </c>
      <c r="C71" s="92"/>
      <c r="D71" s="74"/>
      <c r="E71" s="74"/>
      <c r="F71" s="84"/>
      <c r="G71" s="84"/>
      <c r="H71" s="82" t="str">
        <f ca="1">IF(AND($B71&gt;Számítás_Ny!$M$11+IF(Számítás_Ny!$M$13=0,0,1),COUNTIF(D71:G71,"&gt;0")),"Nyugdíjbiztosításnál nem vesszük figyelembe!","")</f>
        <v/>
      </c>
      <c r="I71" s="82"/>
      <c r="J71" s="82"/>
      <c r="K71" s="74"/>
      <c r="L71" s="74"/>
      <c r="M71" s="84"/>
      <c r="N71" s="84"/>
      <c r="O71" s="82" t="str">
        <f ca="1">IF(AND($B71&gt;Számítás_Ny!$M$11+IF(Számítás_Ny!$M$13=0,0,1),COUNTIF(K71:N71,"&gt;0")),"Nyugdíjbiztosításnál nem vesszük figyelembe!","")</f>
        <v/>
      </c>
      <c r="P71" s="82"/>
      <c r="Q71" s="82"/>
      <c r="R71" s="82"/>
      <c r="S71" s="82"/>
    </row>
    <row r="72" spans="2:19" x14ac:dyDescent="0.2">
      <c r="B72" s="92">
        <v>41</v>
      </c>
      <c r="C72" s="92"/>
      <c r="D72" s="74"/>
      <c r="E72" s="74"/>
      <c r="F72" s="84"/>
      <c r="G72" s="84"/>
      <c r="H72" s="82" t="str">
        <f ca="1">IF(AND($B72&gt;Számítás_Ny!$M$11+IF(Számítás_Ny!$M$13=0,0,1),COUNTIF(D72:G72,"&gt;0")),"Nyugdíjbiztosításnál nem vesszük figyelembe!","")</f>
        <v/>
      </c>
      <c r="I72" s="82"/>
      <c r="J72" s="82"/>
      <c r="K72" s="74"/>
      <c r="L72" s="74"/>
      <c r="M72" s="84"/>
      <c r="N72" s="84"/>
      <c r="O72" s="82" t="str">
        <f ca="1">IF(AND($B72&gt;Számítás_Ny!$M$11+IF(Számítás_Ny!$M$13=0,0,1),COUNTIF(K72:N72,"&gt;0")),"Nyugdíjbiztosításnál nem vesszük figyelembe!","")</f>
        <v/>
      </c>
      <c r="P72" s="82"/>
      <c r="Q72" s="82"/>
      <c r="R72" s="82"/>
      <c r="S72" s="82"/>
    </row>
    <row r="73" spans="2:19" x14ac:dyDescent="0.2">
      <c r="B73" s="92">
        <v>42</v>
      </c>
      <c r="C73" s="92"/>
      <c r="D73" s="74"/>
      <c r="E73" s="74"/>
      <c r="F73" s="84"/>
      <c r="G73" s="84"/>
      <c r="H73" s="82" t="str">
        <f ca="1">IF(AND($B73&gt;Számítás_Ny!$M$11+IF(Számítás_Ny!$M$13=0,0,1),COUNTIF(D73:G73,"&gt;0")),"Nyugdíjbiztosításnál nem vesszük figyelembe!","")</f>
        <v/>
      </c>
      <c r="I73" s="82"/>
      <c r="J73" s="82"/>
      <c r="K73" s="74"/>
      <c r="L73" s="74"/>
      <c r="M73" s="84"/>
      <c r="N73" s="84"/>
      <c r="O73" s="82" t="str">
        <f ca="1">IF(AND($B73&gt;Számítás_Ny!$M$11+IF(Számítás_Ny!$M$13=0,0,1),COUNTIF(K73:N73,"&gt;0")),"Nyugdíjbiztosításnál nem vesszük figyelembe!","")</f>
        <v/>
      </c>
      <c r="P73" s="82"/>
      <c r="Q73" s="82"/>
      <c r="R73" s="82"/>
      <c r="S73" s="82"/>
    </row>
    <row r="74" spans="2:19" x14ac:dyDescent="0.2">
      <c r="B74" s="92">
        <v>43</v>
      </c>
      <c r="C74" s="92"/>
      <c r="D74" s="74"/>
      <c r="E74" s="74"/>
      <c r="F74" s="84"/>
      <c r="G74" s="84"/>
      <c r="H74" s="82" t="str">
        <f ca="1">IF(AND($B74&gt;Számítás_Ny!$M$11+IF(Számítás_Ny!$M$13=0,0,1),COUNTIF(D74:G74,"&gt;0")),"Nyugdíjbiztosításnál nem vesszük figyelembe!","")</f>
        <v/>
      </c>
      <c r="I74" s="82"/>
      <c r="J74" s="82"/>
      <c r="K74" s="74"/>
      <c r="L74" s="74"/>
      <c r="M74" s="84"/>
      <c r="N74" s="84"/>
      <c r="O74" s="82" t="str">
        <f ca="1">IF(AND($B74&gt;Számítás_Ny!$M$11+IF(Számítás_Ny!$M$13=0,0,1),COUNTIF(K74:N74,"&gt;0")),"Nyugdíjbiztosításnál nem vesszük figyelembe!","")</f>
        <v/>
      </c>
      <c r="P74" s="82"/>
      <c r="Q74" s="82"/>
      <c r="R74" s="82"/>
      <c r="S74" s="82"/>
    </row>
    <row r="75" spans="2:19" x14ac:dyDescent="0.2">
      <c r="B75" s="92">
        <v>44</v>
      </c>
      <c r="C75" s="92"/>
      <c r="D75" s="74"/>
      <c r="E75" s="74"/>
      <c r="F75" s="84"/>
      <c r="G75" s="84"/>
      <c r="H75" s="82" t="str">
        <f ca="1">IF(AND($B75&gt;Számítás_Ny!$M$11+IF(Számítás_Ny!$M$13=0,0,1),COUNTIF(D75:G75,"&gt;0")),"Nyugdíjbiztosításnál nem vesszük figyelembe!","")</f>
        <v/>
      </c>
      <c r="I75" s="82"/>
      <c r="J75" s="82"/>
      <c r="K75" s="74"/>
      <c r="L75" s="74"/>
      <c r="M75" s="84"/>
      <c r="N75" s="84"/>
      <c r="O75" s="82" t="str">
        <f ca="1">IF(AND($B75&gt;Számítás_Ny!$M$11+IF(Számítás_Ny!$M$13=0,0,1),COUNTIF(K75:N75,"&gt;0")),"Nyugdíjbiztosításnál nem vesszük figyelembe!","")</f>
        <v/>
      </c>
      <c r="P75" s="82"/>
      <c r="Q75" s="82"/>
      <c r="R75" s="82"/>
      <c r="S75" s="82"/>
    </row>
    <row r="76" spans="2:19" x14ac:dyDescent="0.2">
      <c r="B76" s="92">
        <v>45</v>
      </c>
      <c r="C76" s="92"/>
      <c r="D76" s="74"/>
      <c r="E76" s="74"/>
      <c r="F76" s="84"/>
      <c r="G76" s="84"/>
      <c r="H76" s="82" t="str">
        <f ca="1">IF(AND($B76&gt;Számítás_Ny!$M$11+IF(Számítás_Ny!$M$13=0,0,1),COUNTIF(D76:G76,"&gt;0")),"Nyugdíjbiztosításnál nem vesszük figyelembe!","")</f>
        <v/>
      </c>
      <c r="I76" s="82"/>
      <c r="J76" s="82"/>
      <c r="K76" s="74"/>
      <c r="L76" s="74"/>
      <c r="M76" s="84"/>
      <c r="N76" s="84"/>
      <c r="O76" s="82" t="str">
        <f ca="1">IF(AND($B76&gt;Számítás_Ny!$M$11+IF(Számítás_Ny!$M$13=0,0,1),COUNTIF(K76:N76,"&gt;0")),"Nyugdíjbiztosításnál nem vesszük figyelembe!","")</f>
        <v/>
      </c>
      <c r="P76" s="82"/>
      <c r="Q76" s="82"/>
      <c r="R76" s="82"/>
      <c r="S76" s="82"/>
    </row>
    <row r="77" spans="2:19" x14ac:dyDescent="0.2">
      <c r="B77" s="92">
        <v>46</v>
      </c>
      <c r="C77" s="92"/>
      <c r="D77" s="74"/>
      <c r="E77" s="74"/>
      <c r="F77" s="84"/>
      <c r="G77" s="84"/>
      <c r="H77" s="82" t="str">
        <f ca="1">IF(AND($B77&gt;Számítás_Ny!$M$11+IF(Számítás_Ny!$M$13=0,0,1),COUNTIF(D77:G77,"&gt;0")),"Nyugdíjbiztosításnál nem vesszük figyelembe!","")</f>
        <v/>
      </c>
      <c r="I77" s="82"/>
      <c r="J77" s="82"/>
      <c r="K77" s="74"/>
      <c r="L77" s="74"/>
      <c r="M77" s="84"/>
      <c r="N77" s="84"/>
      <c r="O77" s="82" t="str">
        <f ca="1">IF(AND($B77&gt;Számítás_Ny!$M$11+IF(Számítás_Ny!$M$13=0,0,1),COUNTIF(K77:N77,"&gt;0")),"Nyugdíjbiztosításnál nem vesszük figyelembe!","")</f>
        <v/>
      </c>
      <c r="P77" s="82"/>
      <c r="Q77" s="82"/>
      <c r="R77" s="82"/>
      <c r="S77" s="82"/>
    </row>
    <row r="78" spans="2:19" x14ac:dyDescent="0.2">
      <c r="B78" s="92">
        <v>47</v>
      </c>
      <c r="C78" s="92"/>
      <c r="D78" s="74"/>
      <c r="E78" s="74"/>
      <c r="F78" s="84"/>
      <c r="G78" s="84"/>
      <c r="H78" s="82" t="str">
        <f ca="1">IF(AND($B78&gt;Számítás_Ny!$M$11+IF(Számítás_Ny!$M$13=0,0,1),COUNTIF(D78:G78,"&gt;0")),"Nyugdíjbiztosításnál nem vesszük figyelembe!","")</f>
        <v/>
      </c>
      <c r="I78" s="82"/>
      <c r="J78" s="82"/>
      <c r="K78" s="74"/>
      <c r="L78" s="74"/>
      <c r="M78" s="84"/>
      <c r="N78" s="84"/>
      <c r="O78" s="82" t="str">
        <f ca="1">IF(AND($B78&gt;Számítás_Ny!$M$11+IF(Számítás_Ny!$M$13=0,0,1),COUNTIF(K78:N78,"&gt;0")),"Nyugdíjbiztosításnál nem vesszük figyelembe!","")</f>
        <v/>
      </c>
      <c r="P78" s="82"/>
      <c r="Q78" s="82"/>
      <c r="R78" s="82"/>
      <c r="S78" s="82"/>
    </row>
    <row r="79" spans="2:19" x14ac:dyDescent="0.2">
      <c r="B79" s="92">
        <v>48</v>
      </c>
      <c r="C79" s="92"/>
      <c r="D79" s="74"/>
      <c r="E79" s="74"/>
      <c r="F79" s="84"/>
      <c r="G79" s="84"/>
      <c r="H79" s="82" t="str">
        <f ca="1">IF(AND($B79&gt;Számítás_Ny!$M$11+IF(Számítás_Ny!$M$13=0,0,1),COUNTIF(D79:G79,"&gt;0")),"Nyugdíjbiztosításnál nem vesszük figyelembe!","")</f>
        <v/>
      </c>
      <c r="I79" s="82"/>
      <c r="J79" s="82"/>
      <c r="K79" s="74"/>
      <c r="L79" s="74"/>
      <c r="M79" s="84"/>
      <c r="N79" s="84"/>
      <c r="O79" s="82" t="str">
        <f ca="1">IF(AND($B79&gt;Számítás_Ny!$M$11+IF(Számítás_Ny!$M$13=0,0,1),COUNTIF(K79:N79,"&gt;0")),"Nyugdíjbiztosításnál nem vesszük figyelembe!","")</f>
        <v/>
      </c>
      <c r="P79" s="82"/>
      <c r="Q79" s="82"/>
      <c r="R79" s="82"/>
      <c r="S79" s="82"/>
    </row>
    <row r="80" spans="2:19" x14ac:dyDescent="0.2">
      <c r="B80" s="92">
        <v>49</v>
      </c>
      <c r="C80" s="92"/>
      <c r="D80" s="74"/>
      <c r="E80" s="74"/>
      <c r="F80" s="84"/>
      <c r="G80" s="84"/>
      <c r="H80" s="82" t="str">
        <f ca="1">IF(AND($B80&gt;Számítás_Ny!$M$11+IF(Számítás_Ny!$M$13=0,0,1),COUNTIF(D80:G80,"&gt;0")),"Nyugdíjbiztosításnál nem vesszük figyelembe!","")</f>
        <v/>
      </c>
      <c r="I80" s="82"/>
      <c r="J80" s="82"/>
      <c r="K80" s="74"/>
      <c r="L80" s="74"/>
      <c r="M80" s="84"/>
      <c r="N80" s="84"/>
      <c r="O80" s="82" t="str">
        <f ca="1">IF(AND($B80&gt;Számítás_Ny!$M$11+IF(Számítás_Ny!$M$13=0,0,1),COUNTIF(K80:N80,"&gt;0")),"Nyugdíjbiztosításnál nem vesszük figyelembe!","")</f>
        <v/>
      </c>
      <c r="P80" s="82"/>
      <c r="Q80" s="82"/>
      <c r="R80" s="82"/>
      <c r="S80" s="82"/>
    </row>
    <row r="81" spans="2:19" x14ac:dyDescent="0.2">
      <c r="B81" s="92">
        <v>50</v>
      </c>
      <c r="C81" s="92"/>
      <c r="D81" s="74"/>
      <c r="E81" s="74"/>
      <c r="F81" s="84"/>
      <c r="G81" s="84"/>
      <c r="H81" s="82" t="str">
        <f ca="1">IF(AND($B81&gt;Számítás_Ny!$M$11+IF(Számítás_Ny!$M$13=0,0,1),COUNTIF(D81:G81,"&gt;0")),"Nyugdíjbiztosításnál nem vesszük figyelembe!","")</f>
        <v/>
      </c>
      <c r="I81" s="82"/>
      <c r="J81" s="82"/>
      <c r="K81" s="74"/>
      <c r="L81" s="74"/>
      <c r="M81" s="84"/>
      <c r="N81" s="84"/>
      <c r="O81" s="82" t="str">
        <f ca="1">IF(AND($B81&gt;Számítás_Ny!$M$11+IF(Számítás_Ny!$M$13=0,0,1),COUNTIF(K81:N81,"&gt;0")),"Nyugdíjbiztosításnál nem vesszük figyelembe!","")</f>
        <v/>
      </c>
      <c r="P81" s="82"/>
      <c r="Q81" s="82"/>
      <c r="R81" s="82"/>
      <c r="S81" s="82"/>
    </row>
    <row r="82" spans="2:19" x14ac:dyDescent="0.2">
      <c r="B82" s="92">
        <v>51</v>
      </c>
      <c r="C82" s="92"/>
      <c r="D82" s="74"/>
      <c r="E82" s="74"/>
      <c r="F82" s="84"/>
      <c r="G82" s="84"/>
      <c r="H82" s="82" t="str">
        <f ca="1">IF(AND($B82&gt;Számítás_Ny!$M$11+IF(Számítás_Ny!$M$13=0,0,1),COUNTIF(D82:G82,"&gt;0")),"Nyugdíjbiztosításnál nem vesszük figyelembe!","")</f>
        <v/>
      </c>
      <c r="I82" s="82"/>
      <c r="J82" s="82"/>
      <c r="K82" s="74"/>
      <c r="L82" s="74"/>
      <c r="M82" s="84"/>
      <c r="N82" s="84"/>
      <c r="O82" s="82" t="str">
        <f ca="1">IF(AND($B82&gt;Számítás_Ny!$M$11+IF(Számítás_Ny!$M$13=0,0,1),COUNTIF(K82:N82,"&gt;0")),"Nyugdíjbiztosításnál nem vesszük figyelembe!","")</f>
        <v/>
      </c>
      <c r="P82" s="82"/>
      <c r="Q82" s="82"/>
      <c r="R82" s="82"/>
      <c r="S82" s="82"/>
    </row>
    <row r="83" spans="2:19" x14ac:dyDescent="0.2">
      <c r="B83" s="92">
        <v>52</v>
      </c>
      <c r="C83" s="92"/>
      <c r="D83" s="74"/>
      <c r="E83" s="74"/>
      <c r="F83" s="84"/>
      <c r="G83" s="84"/>
      <c r="H83" s="82" t="str">
        <f ca="1">IF(AND($B83&gt;Számítás_Ny!$M$11+IF(Számítás_Ny!$M$13=0,0,1),COUNTIF(D83:G83,"&gt;0")),"Nyugdíjbiztosításnál nem vesszük figyelembe!","")</f>
        <v/>
      </c>
      <c r="I83" s="82"/>
      <c r="J83" s="82"/>
      <c r="K83" s="74"/>
      <c r="L83" s="74"/>
      <c r="M83" s="84"/>
      <c r="N83" s="84"/>
      <c r="O83" s="82" t="str">
        <f ca="1">IF(AND($B83&gt;Számítás_Ny!$M$11+IF(Számítás_Ny!$M$13=0,0,1),COUNTIF(K83:N83,"&gt;0")),"Nyugdíjbiztosításnál nem vesszük figyelembe!","")</f>
        <v/>
      </c>
      <c r="P83" s="82"/>
      <c r="Q83" s="82"/>
      <c r="R83" s="82"/>
      <c r="S83" s="82"/>
    </row>
    <row r="84" spans="2:19" x14ac:dyDescent="0.2">
      <c r="B84" s="92">
        <v>53</v>
      </c>
      <c r="C84" s="92"/>
      <c r="D84" s="74"/>
      <c r="E84" s="74"/>
      <c r="F84" s="84"/>
      <c r="G84" s="84"/>
      <c r="H84" s="82" t="str">
        <f ca="1">IF(AND($B84&gt;Számítás_Ny!$M$11+IF(Számítás_Ny!$M$13=0,0,1),COUNTIF(D84:G84,"&gt;0")),"Nyugdíjbiztosításnál nem vesszük figyelembe!","")</f>
        <v/>
      </c>
      <c r="I84" s="82"/>
      <c r="J84" s="82"/>
      <c r="K84" s="74"/>
      <c r="L84" s="74"/>
      <c r="M84" s="84"/>
      <c r="N84" s="84"/>
      <c r="O84" s="82" t="str">
        <f ca="1">IF(AND($B84&gt;Számítás_Ny!$M$11+IF(Számítás_Ny!$M$13=0,0,1),COUNTIF(K84:N84,"&gt;0")),"Nyugdíjbiztosításnál nem vesszük figyelembe!","")</f>
        <v/>
      </c>
      <c r="P84" s="82"/>
      <c r="Q84" s="82"/>
      <c r="R84" s="82"/>
      <c r="S84" s="82"/>
    </row>
    <row r="85" spans="2:19" x14ac:dyDescent="0.2">
      <c r="B85" s="92">
        <v>54</v>
      </c>
      <c r="C85" s="92"/>
      <c r="D85" s="74"/>
      <c r="E85" s="74"/>
      <c r="F85" s="84"/>
      <c r="G85" s="84"/>
      <c r="H85" s="82" t="str">
        <f ca="1">IF(AND($B85&gt;Számítás_Ny!$M$11+IF(Számítás_Ny!$M$13=0,0,1),COUNTIF(D85:G85,"&gt;0")),"Nyugdíjbiztosításnál nem vesszük figyelembe!","")</f>
        <v/>
      </c>
      <c r="I85" s="82"/>
      <c r="J85" s="82"/>
      <c r="K85" s="74"/>
      <c r="L85" s="74"/>
      <c r="M85" s="84"/>
      <c r="N85" s="84"/>
      <c r="O85" s="82" t="str">
        <f ca="1">IF(AND($B85&gt;Számítás_Ny!$M$11+IF(Számítás_Ny!$M$13=0,0,1),COUNTIF(K85:N85,"&gt;0")),"Nyugdíjbiztosításnál nem vesszük figyelembe!","")</f>
        <v/>
      </c>
      <c r="P85" s="82"/>
      <c r="Q85" s="82"/>
      <c r="R85" s="82"/>
      <c r="S85" s="82"/>
    </row>
    <row r="86" spans="2:19" x14ac:dyDescent="0.2">
      <c r="B86" s="92">
        <v>55</v>
      </c>
      <c r="C86" s="92"/>
      <c r="D86" s="74"/>
      <c r="E86" s="74"/>
      <c r="F86" s="84"/>
      <c r="G86" s="84"/>
      <c r="H86" s="82" t="str">
        <f ca="1">IF(AND($B86&gt;Számítás_Ny!$M$11+IF(Számítás_Ny!$M$13=0,0,1),COUNTIF(D86:G86,"&gt;0")),"Nyugdíjbiztosításnál nem vesszük figyelembe!","")</f>
        <v/>
      </c>
      <c r="I86" s="82"/>
      <c r="J86" s="82"/>
      <c r="K86" s="74"/>
      <c r="L86" s="74"/>
      <c r="M86" s="84"/>
      <c r="N86" s="84"/>
      <c r="O86" s="82" t="str">
        <f ca="1">IF(AND($B86&gt;Számítás_Ny!$M$11+IF(Számítás_Ny!$M$13=0,0,1),COUNTIF(K86:N86,"&gt;0")),"Nyugdíjbiztosításnál nem vesszük figyelembe!","")</f>
        <v/>
      </c>
      <c r="P86" s="82"/>
      <c r="Q86" s="82"/>
      <c r="R86" s="82"/>
      <c r="S86" s="82"/>
    </row>
    <row r="87" spans="2:19" x14ac:dyDescent="0.2">
      <c r="B87" s="92">
        <v>56</v>
      </c>
      <c r="C87" s="92"/>
      <c r="D87" s="74"/>
      <c r="E87" s="74"/>
      <c r="F87" s="84"/>
      <c r="G87" s="84"/>
      <c r="H87" s="82" t="str">
        <f ca="1">IF(AND($B87&gt;Számítás_Ny!$M$11+IF(Számítás_Ny!$M$13=0,0,1),COUNTIF(D87:G87,"&gt;0")),"Nyugdíjbiztosításnál nem vesszük figyelembe!","")</f>
        <v/>
      </c>
      <c r="I87" s="82"/>
      <c r="J87" s="82"/>
      <c r="K87" s="74"/>
      <c r="L87" s="74"/>
      <c r="M87" s="84"/>
      <c r="N87" s="84"/>
      <c r="O87" s="82" t="str">
        <f ca="1">IF(AND($B87&gt;Számítás_Ny!$M$11+IF(Számítás_Ny!$M$13=0,0,1),COUNTIF(K87:N87,"&gt;0")),"Nyugdíjbiztosításnál nem vesszük figyelembe!","")</f>
        <v/>
      </c>
      <c r="P87" s="82"/>
      <c r="Q87" s="82"/>
      <c r="R87" s="82"/>
      <c r="S87" s="82"/>
    </row>
    <row r="88" spans="2:19" x14ac:dyDescent="0.2">
      <c r="B88" s="92">
        <v>57</v>
      </c>
      <c r="C88" s="92"/>
      <c r="D88" s="74"/>
      <c r="E88" s="74"/>
      <c r="F88" s="84"/>
      <c r="G88" s="84"/>
      <c r="H88" s="82" t="str">
        <f ca="1">IF(AND($B88&gt;Számítás_Ny!$M$11+IF(Számítás_Ny!$M$13=0,0,1),COUNTIF(D88:G88,"&gt;0")),"Nyugdíjbiztosításnál nem vesszük figyelembe!","")</f>
        <v/>
      </c>
      <c r="I88" s="82"/>
      <c r="J88" s="82"/>
      <c r="K88" s="74"/>
      <c r="L88" s="74"/>
      <c r="M88" s="84"/>
      <c r="N88" s="84"/>
      <c r="O88" s="82" t="str">
        <f ca="1">IF(AND($B88&gt;Számítás_Ny!$M$11+IF(Számítás_Ny!$M$13=0,0,1),COUNTIF(K88:N88,"&gt;0")),"Nyugdíjbiztosításnál nem vesszük figyelembe!","")</f>
        <v/>
      </c>
      <c r="P88" s="82"/>
      <c r="Q88" s="82"/>
      <c r="R88" s="82"/>
      <c r="S88" s="82"/>
    </row>
    <row r="89" spans="2:19" x14ac:dyDescent="0.2">
      <c r="B89" s="92">
        <v>58</v>
      </c>
      <c r="C89" s="92"/>
      <c r="D89" s="74"/>
      <c r="E89" s="74"/>
      <c r="F89" s="84"/>
      <c r="G89" s="84"/>
      <c r="H89" s="82" t="str">
        <f ca="1">IF(AND($B89&gt;Számítás_Ny!$M$11+IF(Számítás_Ny!$M$13=0,0,1),COUNTIF(D89:G89,"&gt;0")),"Nyugdíjbiztosításnál nem vesszük figyelembe!","")</f>
        <v/>
      </c>
      <c r="I89" s="82"/>
      <c r="J89" s="82"/>
      <c r="K89" s="74"/>
      <c r="L89" s="74"/>
      <c r="M89" s="84"/>
      <c r="N89" s="84"/>
      <c r="O89" s="82" t="str">
        <f ca="1">IF(AND($B89&gt;Számítás_Ny!$M$11+IF(Számítás_Ny!$M$13=0,0,1),COUNTIF(K89:N89,"&gt;0")),"Nyugdíjbiztosításnál nem vesszük figyelembe!","")</f>
        <v/>
      </c>
      <c r="P89" s="82"/>
      <c r="Q89" s="82"/>
      <c r="R89" s="82"/>
      <c r="S89" s="82"/>
    </row>
    <row r="90" spans="2:19" x14ac:dyDescent="0.2">
      <c r="B90" s="92">
        <v>59</v>
      </c>
      <c r="C90" s="92"/>
      <c r="D90" s="74"/>
      <c r="E90" s="74"/>
      <c r="F90" s="84"/>
      <c r="G90" s="84"/>
      <c r="H90" s="82" t="str">
        <f ca="1">IF(AND($B90&gt;Számítás_Ny!$M$11+IF(Számítás_Ny!$M$13=0,0,1),COUNTIF(D90:G90,"&gt;0")),"Nyugdíjbiztosításnál nem vesszük figyelembe!","")</f>
        <v/>
      </c>
      <c r="I90" s="82"/>
      <c r="J90" s="82"/>
      <c r="K90" s="74"/>
      <c r="L90" s="74"/>
      <c r="M90" s="84"/>
      <c r="N90" s="84"/>
      <c r="O90" s="82" t="str">
        <f ca="1">IF(AND($B90&gt;Számítás_Ny!$M$11+IF(Számítás_Ny!$M$13=0,0,1),COUNTIF(K90:N90,"&gt;0")),"Nyugdíjbiztosításnál nem vesszük figyelembe!","")</f>
        <v/>
      </c>
      <c r="P90" s="82"/>
      <c r="Q90" s="82"/>
      <c r="R90" s="82"/>
      <c r="S90" s="82"/>
    </row>
    <row r="91" spans="2:19" x14ac:dyDescent="0.2">
      <c r="B91" s="92">
        <v>60</v>
      </c>
      <c r="C91" s="92"/>
      <c r="D91" s="74"/>
      <c r="E91" s="74"/>
      <c r="F91" s="84"/>
      <c r="G91" s="84"/>
      <c r="H91" s="82" t="str">
        <f ca="1">IF(AND($B91&gt;Számítás_Ny!$M$11+IF(Számítás_Ny!$M$13=0,0,1),COUNTIF(D91:G91,"&gt;0")),"Nyugdíjbiztosításnál nem vesszük figyelembe!","")</f>
        <v/>
      </c>
      <c r="I91" s="82"/>
      <c r="J91" s="82"/>
      <c r="K91" s="74"/>
      <c r="L91" s="74"/>
      <c r="M91" s="84"/>
      <c r="N91" s="84"/>
      <c r="O91" s="82" t="str">
        <f ca="1">IF(AND($B91&gt;Számítás_Ny!$M$11+IF(Számítás_Ny!$M$13=0,0,1),COUNTIF(K91:N91,"&gt;0")),"Nyugdíjbiztosításnál nem vesszük figyelembe!","")</f>
        <v/>
      </c>
      <c r="P91" s="82"/>
      <c r="Q91" s="82"/>
      <c r="R91" s="82"/>
      <c r="S91" s="82"/>
    </row>
    <row r="92" spans="2:19" x14ac:dyDescent="0.2">
      <c r="B92" s="92">
        <v>61</v>
      </c>
      <c r="C92" s="92"/>
      <c r="D92" s="74"/>
      <c r="E92" s="74"/>
      <c r="F92" s="84"/>
      <c r="G92" s="84"/>
      <c r="H92" s="82" t="str">
        <f ca="1">IF(AND($B92&gt;Számítás_Ny!$M$11+IF(Számítás_Ny!$M$13=0,0,1),COUNTIF(D92:G92,"&gt;0")),"Nyugdíjbiztosításnál nem vesszük figyelembe!","")</f>
        <v/>
      </c>
      <c r="I92" s="82"/>
      <c r="J92" s="82"/>
      <c r="K92" s="74"/>
      <c r="L92" s="74"/>
      <c r="M92" s="84"/>
      <c r="N92" s="84"/>
      <c r="O92" s="82" t="str">
        <f ca="1">IF(AND($B92&gt;Számítás_Ny!$M$11+IF(Számítás_Ny!$M$13=0,0,1),COUNTIF(K92:N92,"&gt;0")),"Nyugdíjbiztosításnál nem vesszük figyelembe!","")</f>
        <v/>
      </c>
      <c r="P92" s="82"/>
      <c r="Q92" s="82"/>
      <c r="R92" s="82"/>
      <c r="S92" s="82"/>
    </row>
    <row r="93" spans="2:19" x14ac:dyDescent="0.2">
      <c r="B93" s="92">
        <v>62</v>
      </c>
      <c r="C93" s="92"/>
      <c r="D93" s="74"/>
      <c r="E93" s="74"/>
      <c r="F93" s="84"/>
      <c r="G93" s="84"/>
      <c r="H93" s="82" t="str">
        <f ca="1">IF(AND($B93&gt;Számítás_Ny!$M$11+IF(Számítás_Ny!$M$13=0,0,1),COUNTIF(D93:G93,"&gt;0")),"Nyugdíjbiztosításnál nem vesszük figyelembe!","")</f>
        <v/>
      </c>
      <c r="I93" s="82"/>
      <c r="J93" s="82"/>
      <c r="K93" s="74"/>
      <c r="L93" s="74"/>
      <c r="M93" s="84"/>
      <c r="N93" s="84"/>
      <c r="O93" s="82" t="str">
        <f ca="1">IF(AND($B93&gt;Számítás_Ny!$M$11+IF(Számítás_Ny!$M$13=0,0,1),COUNTIF(K93:N93,"&gt;0")),"Nyugdíjbiztosításnál nem vesszük figyelembe!","")</f>
        <v/>
      </c>
      <c r="P93" s="82"/>
      <c r="Q93" s="82"/>
      <c r="R93" s="82"/>
      <c r="S93" s="82"/>
    </row>
    <row r="94" spans="2:19" x14ac:dyDescent="0.2">
      <c r="B94" s="92">
        <v>63</v>
      </c>
      <c r="C94" s="92"/>
      <c r="D94" s="74"/>
      <c r="E94" s="74"/>
      <c r="F94" s="84"/>
      <c r="G94" s="84"/>
      <c r="H94" s="82" t="str">
        <f ca="1">IF(AND($B94&gt;Számítás_Ny!$M$11+IF(Számítás_Ny!$M$13=0,0,1),COUNTIF(D94:G94,"&gt;0")),"Nyugdíjbiztosításnál nem vesszük figyelembe!","")</f>
        <v/>
      </c>
      <c r="I94" s="82"/>
      <c r="J94" s="82"/>
      <c r="K94" s="74"/>
      <c r="L94" s="74"/>
      <c r="M94" s="84"/>
      <c r="N94" s="84"/>
      <c r="O94" s="82" t="str">
        <f ca="1">IF(AND($B94&gt;Számítás_Ny!$M$11+IF(Számítás_Ny!$M$13=0,0,1),COUNTIF(K94:N94,"&gt;0")),"Nyugdíjbiztosításnál nem vesszük figyelembe!","")</f>
        <v/>
      </c>
      <c r="P94" s="82"/>
      <c r="Q94" s="82"/>
      <c r="R94" s="82"/>
      <c r="S94" s="82"/>
    </row>
    <row r="95" spans="2:19" x14ac:dyDescent="0.2">
      <c r="B95" s="92">
        <v>64</v>
      </c>
      <c r="C95" s="92"/>
      <c r="D95" s="74"/>
      <c r="E95" s="74"/>
      <c r="F95" s="84"/>
      <c r="G95" s="84"/>
      <c r="H95" s="82" t="str">
        <f ca="1">IF(AND($B95&gt;Számítás_Ny!$M$11+IF(Számítás_Ny!$M$13=0,0,1),COUNTIF(D95:G95,"&gt;0")),"Nyugdíjbiztosításnál nem vesszük figyelembe!","")</f>
        <v/>
      </c>
      <c r="I95" s="82"/>
      <c r="J95" s="82"/>
      <c r="K95" s="74"/>
      <c r="L95" s="74"/>
      <c r="M95" s="84"/>
      <c r="N95" s="84"/>
      <c r="O95" s="82" t="str">
        <f ca="1">IF(AND($B95&gt;Számítás_Ny!$M$11+IF(Számítás_Ny!$M$13=0,0,1),COUNTIF(K95:N95,"&gt;0")),"Nyugdíjbiztosításnál nem vesszük figyelembe!","")</f>
        <v/>
      </c>
      <c r="P95" s="82"/>
      <c r="Q95" s="82"/>
      <c r="R95" s="82"/>
      <c r="S95" s="82"/>
    </row>
    <row r="96" spans="2:19" x14ac:dyDescent="0.2">
      <c r="B96" s="92">
        <v>65</v>
      </c>
      <c r="C96" s="92"/>
      <c r="D96" s="74"/>
      <c r="E96" s="74"/>
      <c r="F96" s="84"/>
      <c r="G96" s="84"/>
      <c r="H96" s="82" t="str">
        <f ca="1">IF(AND($B96&gt;Számítás_Ny!$M$11+IF(Számítás_Ny!$M$13=0,0,1),COUNTIF(D96:G96,"&gt;0")),"Nyugdíjbiztosításnál nem vesszük figyelembe!","")</f>
        <v/>
      </c>
      <c r="I96" s="82"/>
      <c r="J96" s="82"/>
      <c r="K96" s="74"/>
      <c r="L96" s="74"/>
      <c r="M96" s="84"/>
      <c r="N96" s="84"/>
      <c r="O96" s="82" t="str">
        <f ca="1">IF(AND($B96&gt;Számítás_Ny!$M$11+IF(Számítás_Ny!$M$13=0,0,1),COUNTIF(K96:N96,"&gt;0")),"Nyugdíjbiztosításnál nem vesszük figyelembe!","")</f>
        <v/>
      </c>
      <c r="P96" s="82"/>
      <c r="Q96" s="82"/>
      <c r="R96" s="82"/>
      <c r="S96" s="82"/>
    </row>
    <row r="97" spans="2:19" x14ac:dyDescent="0.2">
      <c r="B97" s="92">
        <v>66</v>
      </c>
      <c r="C97" s="92"/>
      <c r="D97" s="74"/>
      <c r="E97" s="74"/>
      <c r="F97" s="84"/>
      <c r="G97" s="84"/>
      <c r="H97" s="82" t="str">
        <f ca="1">IF(AND($B97&gt;Számítás_Ny!$M$11+IF(Számítás_Ny!$M$13=0,0,1),COUNTIF(D97:G97,"&gt;0")),"Nyugdíjbiztosításnál nem vesszük figyelembe!","")</f>
        <v/>
      </c>
      <c r="I97" s="82"/>
      <c r="J97" s="82"/>
      <c r="K97" s="74"/>
      <c r="L97" s="74"/>
      <c r="M97" s="84"/>
      <c r="N97" s="84"/>
      <c r="O97" s="82" t="str">
        <f ca="1">IF(AND($B97&gt;Számítás_Ny!$M$11+IF(Számítás_Ny!$M$13=0,0,1),COUNTIF(K97:N97,"&gt;0")),"Nyugdíjbiztosításnál nem vesszük figyelembe!","")</f>
        <v/>
      </c>
      <c r="P97" s="82"/>
      <c r="Q97" s="82"/>
      <c r="R97" s="82"/>
      <c r="S97" s="82"/>
    </row>
    <row r="98" spans="2:19" x14ac:dyDescent="0.2">
      <c r="B98" s="92">
        <v>67</v>
      </c>
      <c r="C98" s="92"/>
      <c r="D98" s="74"/>
      <c r="E98" s="74"/>
      <c r="F98" s="84"/>
      <c r="G98" s="84"/>
      <c r="H98" s="82" t="str">
        <f ca="1">IF(AND($B98&gt;Számítás_Ny!$M$11+IF(Számítás_Ny!$M$13=0,0,1),COUNTIF(D98:G98,"&gt;0")),"Nyugdíjbiztosításnál nem vesszük figyelembe!","")</f>
        <v/>
      </c>
      <c r="I98" s="82"/>
      <c r="J98" s="82"/>
      <c r="K98" s="74"/>
      <c r="L98" s="74"/>
      <c r="M98" s="84"/>
      <c r="N98" s="84"/>
      <c r="O98" s="82" t="str">
        <f ca="1">IF(AND($B98&gt;Számítás_Ny!$M$11+IF(Számítás_Ny!$M$13=0,0,1),COUNTIF(K98:N98,"&gt;0")),"Nyugdíjbiztosításnál nem vesszük figyelembe!","")</f>
        <v/>
      </c>
      <c r="P98" s="82"/>
      <c r="Q98" s="82"/>
      <c r="R98" s="82"/>
      <c r="S98" s="82"/>
    </row>
    <row r="99" spans="2:19" x14ac:dyDescent="0.2">
      <c r="B99" s="92">
        <v>68</v>
      </c>
      <c r="C99" s="92"/>
      <c r="D99" s="74"/>
      <c r="E99" s="74"/>
      <c r="F99" s="84"/>
      <c r="G99" s="84"/>
      <c r="H99" s="82" t="str">
        <f ca="1">IF(AND($B99&gt;Számítás_Ny!$M$11+IF(Számítás_Ny!$M$13=0,0,1),COUNTIF(D99:G99,"&gt;0")),"Nyugdíjbiztosításnál nem vesszük figyelembe!","")</f>
        <v/>
      </c>
      <c r="I99" s="82"/>
      <c r="J99" s="82"/>
      <c r="K99" s="74"/>
      <c r="L99" s="74"/>
      <c r="M99" s="84"/>
      <c r="N99" s="84"/>
      <c r="O99" s="82" t="str">
        <f ca="1">IF(AND($B99&gt;Számítás_Ny!$M$11+IF(Számítás_Ny!$M$13=0,0,1),COUNTIF(K99:N99,"&gt;0")),"Nyugdíjbiztosításnál nem vesszük figyelembe!","")</f>
        <v/>
      </c>
      <c r="P99" s="82"/>
      <c r="Q99" s="82"/>
      <c r="R99" s="82"/>
      <c r="S99" s="82"/>
    </row>
    <row r="100" spans="2:19" x14ac:dyDescent="0.2">
      <c r="B100" s="92">
        <v>69</v>
      </c>
      <c r="C100" s="92"/>
      <c r="D100" s="74"/>
      <c r="E100" s="74"/>
      <c r="F100" s="84"/>
      <c r="G100" s="84"/>
      <c r="H100" s="82" t="str">
        <f ca="1">IF(AND($B100&gt;Számítás_Ny!$M$11+IF(Számítás_Ny!$M$13=0,0,1),COUNTIF(D100:G100,"&gt;0")),"Nyugdíjbiztosításnál nem vesszük figyelembe!","")</f>
        <v/>
      </c>
      <c r="I100" s="82"/>
      <c r="J100" s="82"/>
      <c r="K100" s="74"/>
      <c r="L100" s="74"/>
      <c r="M100" s="84"/>
      <c r="N100" s="84"/>
      <c r="O100" s="82" t="str">
        <f ca="1">IF(AND($B100&gt;Számítás_Ny!$M$11+IF(Számítás_Ny!$M$13=0,0,1),COUNTIF(K100:N100,"&gt;0")),"Nyugdíjbiztosításnál nem vesszük figyelembe!","")</f>
        <v/>
      </c>
      <c r="P100" s="82"/>
      <c r="Q100" s="82"/>
      <c r="R100" s="82"/>
      <c r="S100" s="82"/>
    </row>
    <row r="101" spans="2:19" x14ac:dyDescent="0.2">
      <c r="B101" s="92">
        <v>70</v>
      </c>
      <c r="C101" s="92"/>
      <c r="D101" s="74"/>
      <c r="E101" s="74"/>
      <c r="F101" s="84"/>
      <c r="G101" s="84"/>
      <c r="H101" s="82" t="str">
        <f ca="1">IF(AND($B101&gt;Számítás_Ny!$M$11+IF(Számítás_Ny!$M$13=0,0,1),COUNTIF(D101:G101,"&gt;0")),"Nyugdíjbiztosításnál nem vesszük figyelembe!","")</f>
        <v/>
      </c>
      <c r="I101" s="82"/>
      <c r="J101" s="82"/>
      <c r="K101" s="74"/>
      <c r="L101" s="74"/>
      <c r="M101" s="84"/>
      <c r="N101" s="84"/>
      <c r="O101" s="82" t="str">
        <f ca="1">IF(AND($B101&gt;Számítás_Ny!$M$11+IF(Számítás_Ny!$M$13=0,0,1),COUNTIF(K101:N101,"&gt;0")),"Nyugdíjbiztosításnál nem vesszük figyelembe!","")</f>
        <v/>
      </c>
      <c r="P101" s="82"/>
      <c r="Q101" s="82"/>
      <c r="R101" s="82"/>
      <c r="S101" s="82"/>
    </row>
    <row r="102" spans="2:19" x14ac:dyDescent="0.2">
      <c r="B102" s="92">
        <v>71</v>
      </c>
      <c r="C102" s="92"/>
      <c r="D102" s="74"/>
      <c r="E102" s="74"/>
      <c r="F102" s="84"/>
      <c r="G102" s="84"/>
      <c r="H102" s="82" t="str">
        <f ca="1">IF(AND($B102&gt;Számítás_Ny!$M$11+IF(Számítás_Ny!$M$13=0,0,1),COUNTIF(D102:G102,"&gt;0")),"Nyugdíjbiztosításnál nem vesszük figyelembe!","")</f>
        <v/>
      </c>
      <c r="I102" s="82"/>
      <c r="J102" s="82"/>
      <c r="K102" s="74"/>
      <c r="L102" s="74"/>
      <c r="M102" s="84"/>
      <c r="N102" s="84"/>
      <c r="O102" s="82" t="str">
        <f ca="1">IF(AND($B102&gt;Számítás_Ny!$M$11+IF(Számítás_Ny!$M$13=0,0,1),COUNTIF(K102:N102,"&gt;0")),"Nyugdíjbiztosításnál nem vesszük figyelembe!","")</f>
        <v/>
      </c>
      <c r="P102" s="82"/>
      <c r="Q102" s="82"/>
      <c r="R102" s="82"/>
      <c r="S102" s="82"/>
    </row>
    <row r="103" spans="2:19" x14ac:dyDescent="0.2">
      <c r="B103" s="92">
        <v>72</v>
      </c>
      <c r="C103" s="92"/>
      <c r="D103" s="74"/>
      <c r="E103" s="74"/>
      <c r="F103" s="84"/>
      <c r="G103" s="84"/>
      <c r="H103" s="82" t="str">
        <f ca="1">IF(AND($B103&gt;Számítás_Ny!$M$11+IF(Számítás_Ny!$M$13=0,0,1),COUNTIF(D103:G103,"&gt;0")),"Nyugdíjbiztosításnál nem vesszük figyelembe!","")</f>
        <v/>
      </c>
      <c r="I103" s="82"/>
      <c r="J103" s="82"/>
      <c r="K103" s="74"/>
      <c r="L103" s="74"/>
      <c r="M103" s="84"/>
      <c r="N103" s="84"/>
      <c r="O103" s="82" t="str">
        <f ca="1">IF(AND($B103&gt;Számítás_Ny!$M$11+IF(Számítás_Ny!$M$13=0,0,1),COUNTIF(K103:N103,"&gt;0")),"Nyugdíjbiztosításnál nem vesszük figyelembe!","")</f>
        <v/>
      </c>
      <c r="P103" s="82"/>
      <c r="Q103" s="82"/>
      <c r="R103" s="82"/>
      <c r="S103" s="82"/>
    </row>
    <row r="104" spans="2:19" x14ac:dyDescent="0.2">
      <c r="B104" s="92">
        <v>73</v>
      </c>
      <c r="C104" s="92"/>
      <c r="D104" s="74"/>
      <c r="E104" s="74"/>
      <c r="F104" s="84"/>
      <c r="G104" s="84"/>
      <c r="H104" s="82" t="str">
        <f ca="1">IF(AND($B104&gt;Számítás_Ny!$M$11+IF(Számítás_Ny!$M$13=0,0,1),COUNTIF(D104:G104,"&gt;0")),"Nyugdíjbiztosításnál nem vesszük figyelembe!","")</f>
        <v/>
      </c>
      <c r="I104" s="82"/>
      <c r="J104" s="82"/>
      <c r="K104" s="74"/>
      <c r="L104" s="74"/>
      <c r="M104" s="84"/>
      <c r="N104" s="84"/>
      <c r="O104" s="82" t="str">
        <f ca="1">IF(AND($B104&gt;Számítás_Ny!$M$11+IF(Számítás_Ny!$M$13=0,0,1),COUNTIF(K104:N104,"&gt;0")),"Nyugdíjbiztosításnál nem vesszük figyelembe!","")</f>
        <v/>
      </c>
      <c r="P104" s="82"/>
      <c r="Q104" s="82"/>
      <c r="R104" s="82"/>
      <c r="S104" s="82"/>
    </row>
    <row r="105" spans="2:19" x14ac:dyDescent="0.2">
      <c r="B105" s="92">
        <v>74</v>
      </c>
      <c r="C105" s="92"/>
      <c r="D105" s="74"/>
      <c r="E105" s="74"/>
      <c r="F105" s="84"/>
      <c r="G105" s="84"/>
      <c r="H105" s="82" t="str">
        <f ca="1">IF(AND($B105&gt;Számítás_Ny!$M$11+IF(Számítás_Ny!$M$13=0,0,1),COUNTIF(D105:G105,"&gt;0")),"Nyugdíjbiztosításnál nem vesszük figyelembe!","")</f>
        <v/>
      </c>
      <c r="I105" s="82"/>
      <c r="J105" s="82"/>
      <c r="K105" s="74"/>
      <c r="L105" s="74"/>
      <c r="M105" s="84"/>
      <c r="N105" s="84"/>
      <c r="O105" s="82" t="str">
        <f ca="1">IF(AND($B105&gt;Számítás_Ny!$M$11+IF(Számítás_Ny!$M$13=0,0,1),COUNTIF(K105:N105,"&gt;0")),"Nyugdíjbiztosításnál nem vesszük figyelembe!","")</f>
        <v/>
      </c>
      <c r="P105" s="82"/>
      <c r="Q105" s="82"/>
      <c r="R105" s="82"/>
      <c r="S105" s="82"/>
    </row>
    <row r="106" spans="2:19" x14ac:dyDescent="0.2">
      <c r="B106" s="92">
        <v>75</v>
      </c>
      <c r="C106" s="92"/>
      <c r="D106" s="74"/>
      <c r="E106" s="74"/>
      <c r="F106" s="84"/>
      <c r="G106" s="84"/>
      <c r="H106" s="82" t="str">
        <f ca="1">IF(AND($B106&gt;Számítás_Ny!$M$11+IF(Számítás_Ny!$M$13=0,0,1),COUNTIF(D106:G106,"&gt;0")),"Nyugdíjbiztosításnál nem vesszük figyelembe!","")</f>
        <v/>
      </c>
      <c r="I106" s="82"/>
      <c r="J106" s="82"/>
      <c r="K106" s="74"/>
      <c r="L106" s="74"/>
      <c r="M106" s="84"/>
      <c r="N106" s="84"/>
      <c r="O106" s="82" t="str">
        <f ca="1">IF(AND($B106&gt;Számítás_Ny!$M$11+IF(Számítás_Ny!$M$13=0,0,1),COUNTIF(K106:N106,"&gt;0")),"Nyugdíjbiztosításnál nem vesszük figyelembe!","")</f>
        <v/>
      </c>
      <c r="P106" s="82"/>
      <c r="Q106" s="82"/>
      <c r="R106" s="82"/>
      <c r="S106" s="82"/>
    </row>
    <row r="107" spans="2:19" x14ac:dyDescent="0.2">
      <c r="B107" s="92">
        <v>76</v>
      </c>
      <c r="C107" s="92"/>
      <c r="D107" s="74"/>
      <c r="E107" s="74"/>
      <c r="F107" s="84"/>
      <c r="G107" s="84"/>
      <c r="H107" s="82" t="str">
        <f ca="1">IF(AND($B107&gt;Számítás_Ny!$M$11+IF(Számítás_Ny!$M$13=0,0,1),COUNTIF(D107:G107,"&gt;0")),"Nyugdíjbiztosításnál nem vesszük figyelembe!","")</f>
        <v/>
      </c>
      <c r="I107" s="82"/>
      <c r="J107" s="82"/>
      <c r="K107" s="74"/>
      <c r="L107" s="74"/>
      <c r="M107" s="84"/>
      <c r="N107" s="84"/>
      <c r="O107" s="82" t="str">
        <f ca="1">IF(AND($B107&gt;Számítás_Ny!$M$11+IF(Számítás_Ny!$M$13=0,0,1),COUNTIF(K107:N107,"&gt;0")),"Nyugdíjbiztosításnál nem vesszük figyelembe!","")</f>
        <v/>
      </c>
      <c r="P107" s="82"/>
      <c r="Q107" s="82"/>
      <c r="R107" s="82"/>
      <c r="S107" s="82"/>
    </row>
    <row r="108" spans="2:19" x14ac:dyDescent="0.2">
      <c r="B108" s="92">
        <v>77</v>
      </c>
      <c r="C108" s="92"/>
      <c r="D108" s="74"/>
      <c r="E108" s="74"/>
      <c r="F108" s="84"/>
      <c r="G108" s="84"/>
      <c r="H108" s="82" t="str">
        <f ca="1">IF(AND($B108&gt;Számítás_Ny!$M$11+IF(Számítás_Ny!$M$13=0,0,1),COUNTIF(D108:G108,"&gt;0")),"Nyugdíjbiztosításnál nem vesszük figyelembe!","")</f>
        <v/>
      </c>
      <c r="I108" s="82"/>
      <c r="J108" s="82"/>
      <c r="K108" s="74"/>
      <c r="L108" s="74"/>
      <c r="M108" s="84"/>
      <c r="N108" s="84"/>
      <c r="O108" s="82" t="str">
        <f ca="1">IF(AND($B108&gt;Számítás_Ny!$M$11+IF(Számítás_Ny!$M$13=0,0,1),COUNTIF(K108:N108,"&gt;0")),"Nyugdíjbiztosításnál nem vesszük figyelembe!","")</f>
        <v/>
      </c>
      <c r="P108" s="82"/>
      <c r="Q108" s="82"/>
      <c r="R108" s="82"/>
      <c r="S108" s="82"/>
    </row>
    <row r="109" spans="2:19" x14ac:dyDescent="0.2">
      <c r="B109" s="92">
        <v>78</v>
      </c>
      <c r="C109" s="92"/>
      <c r="D109" s="74"/>
      <c r="E109" s="74"/>
      <c r="F109" s="84"/>
      <c r="G109" s="84"/>
      <c r="H109" s="82" t="str">
        <f ca="1">IF(AND($B109&gt;Számítás_Ny!$M$11+IF(Számítás_Ny!$M$13=0,0,1),COUNTIF(D109:G109,"&gt;0")),"Nyugdíjbiztosításnál nem vesszük figyelembe!","")</f>
        <v/>
      </c>
      <c r="I109" s="82"/>
      <c r="J109" s="82"/>
      <c r="K109" s="74"/>
      <c r="L109" s="74"/>
      <c r="M109" s="84"/>
      <c r="N109" s="84"/>
      <c r="O109" s="82" t="str">
        <f ca="1">IF(AND($B109&gt;Számítás_Ny!$M$11+IF(Számítás_Ny!$M$13=0,0,1),COUNTIF(K109:N109,"&gt;0")),"Nyugdíjbiztosításnál nem vesszük figyelembe!","")</f>
        <v/>
      </c>
      <c r="P109" s="82"/>
      <c r="Q109" s="82"/>
      <c r="R109" s="82"/>
      <c r="S109" s="82"/>
    </row>
    <row r="110" spans="2:19" x14ac:dyDescent="0.2">
      <c r="B110" s="92">
        <v>79</v>
      </c>
      <c r="C110" s="92"/>
      <c r="D110" s="74"/>
      <c r="E110" s="74"/>
      <c r="F110" s="84"/>
      <c r="G110" s="84"/>
      <c r="H110" s="82" t="str">
        <f ca="1">IF(AND($B110&gt;Számítás_Ny!$M$11+IF(Számítás_Ny!$M$13=0,0,1),COUNTIF(D110:G110,"&gt;0")),"Nyugdíjbiztosításnál nem vesszük figyelembe!","")</f>
        <v/>
      </c>
      <c r="I110" s="82"/>
      <c r="J110" s="82"/>
      <c r="K110" s="74"/>
      <c r="L110" s="74"/>
      <c r="M110" s="84"/>
      <c r="N110" s="84"/>
      <c r="O110" s="82" t="str">
        <f ca="1">IF(AND($B110&gt;Számítás_Ny!$M$11+IF(Számítás_Ny!$M$13=0,0,1),COUNTIF(K110:N110,"&gt;0")),"Nyugdíjbiztosításnál nem vesszük figyelembe!","")</f>
        <v/>
      </c>
      <c r="P110" s="82"/>
      <c r="Q110" s="82"/>
      <c r="R110" s="82"/>
      <c r="S110" s="82"/>
    </row>
    <row r="111" spans="2:19" x14ac:dyDescent="0.2">
      <c r="B111" s="92">
        <v>80</v>
      </c>
      <c r="C111" s="92"/>
      <c r="D111" s="74"/>
      <c r="E111" s="74"/>
      <c r="F111" s="84"/>
      <c r="G111" s="84"/>
      <c r="H111" s="82" t="str">
        <f ca="1">IF(AND($B111&gt;Számítás_Ny!$M$11+IF(Számítás_Ny!$M$13=0,0,1),COUNTIF(D111:G111,"&gt;0")),"Nyugdíjbiztosításnál nem vesszük figyelembe!","")</f>
        <v/>
      </c>
      <c r="I111" s="82"/>
      <c r="J111" s="82"/>
      <c r="K111" s="74"/>
      <c r="L111" s="74"/>
      <c r="M111" s="84"/>
      <c r="N111" s="84"/>
      <c r="O111" s="82" t="str">
        <f ca="1">IF(AND($B111&gt;Számítás_Ny!$M$11+IF(Számítás_Ny!$M$13=0,0,1),COUNTIF(K111:N111,"&gt;0")),"Nyugdíjbiztosításnál nem vesszük figyelembe!","")</f>
        <v/>
      </c>
      <c r="P111" s="82"/>
      <c r="Q111" s="82"/>
      <c r="R111" s="82"/>
      <c r="S111" s="82"/>
    </row>
    <row r="112" spans="2:19" x14ac:dyDescent="0.2">
      <c r="B112" s="92">
        <v>81</v>
      </c>
      <c r="C112" s="92"/>
      <c r="D112" s="74"/>
      <c r="E112" s="74"/>
      <c r="F112" s="84"/>
      <c r="G112" s="84"/>
      <c r="H112" s="82" t="str">
        <f ca="1">IF(AND($B112&gt;Számítás_Ny!$M$11+IF(Számítás_Ny!$M$13=0,0,1),COUNTIF(D112:G112,"&gt;0")),"Nyugdíjbiztosításnál nem vesszük figyelembe!","")</f>
        <v/>
      </c>
      <c r="I112" s="82"/>
      <c r="J112" s="82"/>
      <c r="K112" s="74"/>
      <c r="L112" s="74"/>
      <c r="M112" s="84"/>
      <c r="N112" s="84"/>
      <c r="O112" s="82" t="str">
        <f ca="1">IF(AND($B112&gt;Számítás_Ny!$M$11+IF(Számítás_Ny!$M$13=0,0,1),COUNTIF(K112:N112,"&gt;0")),"Nyugdíjbiztosításnál nem vesszük figyelembe!","")</f>
        <v/>
      </c>
      <c r="P112" s="82"/>
      <c r="Q112" s="82"/>
      <c r="R112" s="82"/>
      <c r="S112" s="82"/>
    </row>
    <row r="113" spans="2:19" x14ac:dyDescent="0.2">
      <c r="B113" s="92">
        <v>82</v>
      </c>
      <c r="C113" s="92"/>
      <c r="D113" s="74"/>
      <c r="E113" s="74"/>
      <c r="F113" s="84"/>
      <c r="G113" s="84"/>
      <c r="H113" s="82" t="str">
        <f ca="1">IF(AND($B113&gt;Számítás_Ny!$M$11+IF(Számítás_Ny!$M$13=0,0,1),COUNTIF(D113:G113,"&gt;0")),"Nyugdíjbiztosításnál nem vesszük figyelembe!","")</f>
        <v/>
      </c>
      <c r="I113" s="82"/>
      <c r="J113" s="82"/>
      <c r="K113" s="74"/>
      <c r="L113" s="74"/>
      <c r="M113" s="84"/>
      <c r="N113" s="84"/>
      <c r="O113" s="82" t="str">
        <f ca="1">IF(AND($B113&gt;Számítás_Ny!$M$11+IF(Számítás_Ny!$M$13=0,0,1),COUNTIF(K113:N113,"&gt;0")),"Nyugdíjbiztosításnál nem vesszük figyelembe!","")</f>
        <v/>
      </c>
      <c r="P113" s="82"/>
      <c r="Q113" s="82"/>
      <c r="R113" s="82"/>
      <c r="S113" s="82"/>
    </row>
    <row r="114" spans="2:19" x14ac:dyDescent="0.2">
      <c r="B114" s="92">
        <v>83</v>
      </c>
      <c r="C114" s="92"/>
      <c r="D114" s="74"/>
      <c r="E114" s="74"/>
      <c r="F114" s="84"/>
      <c r="G114" s="84"/>
      <c r="H114" s="82" t="str">
        <f ca="1">IF(AND($B114&gt;Számítás_Ny!$M$11+IF(Számítás_Ny!$M$13=0,0,1),COUNTIF(D114:G114,"&gt;0")),"Nyugdíjbiztosításnál nem vesszük figyelembe!","")</f>
        <v/>
      </c>
      <c r="I114" s="82"/>
      <c r="J114" s="82"/>
      <c r="K114" s="74"/>
      <c r="L114" s="74"/>
      <c r="M114" s="84"/>
      <c r="N114" s="84"/>
      <c r="O114" s="82" t="str">
        <f ca="1">IF(AND($B114&gt;Számítás_Ny!$M$11+IF(Számítás_Ny!$M$13=0,0,1),COUNTIF(K114:N114,"&gt;0")),"Nyugdíjbiztosításnál nem vesszük figyelembe!","")</f>
        <v/>
      </c>
      <c r="P114" s="82"/>
      <c r="Q114" s="82"/>
      <c r="R114" s="82"/>
      <c r="S114" s="82"/>
    </row>
    <row r="115" spans="2:19" x14ac:dyDescent="0.2">
      <c r="B115" s="92">
        <v>84</v>
      </c>
      <c r="C115" s="92"/>
      <c r="D115" s="74"/>
      <c r="E115" s="74"/>
      <c r="F115" s="84"/>
      <c r="G115" s="84"/>
      <c r="H115" s="82" t="str">
        <f ca="1">IF(AND($B115&gt;Számítás_Ny!$M$11+IF(Számítás_Ny!$M$13=0,0,1),COUNTIF(D115:G115,"&gt;0")),"Nyugdíjbiztosításnál nem vesszük figyelembe!","")</f>
        <v/>
      </c>
      <c r="I115" s="82"/>
      <c r="J115" s="82"/>
      <c r="K115" s="74"/>
      <c r="L115" s="74"/>
      <c r="M115" s="84"/>
      <c r="N115" s="84"/>
      <c r="O115" s="82" t="str">
        <f ca="1">IF(AND($B115&gt;Számítás_Ny!$M$11+IF(Számítás_Ny!$M$13=0,0,1),COUNTIF(K115:N115,"&gt;0")),"Nyugdíjbiztosításnál nem vesszük figyelembe!","")</f>
        <v/>
      </c>
      <c r="P115" s="82"/>
      <c r="Q115" s="82"/>
      <c r="R115" s="82"/>
      <c r="S115" s="82"/>
    </row>
  </sheetData>
  <sheetProtection password="D9D3" sheet="1" objects="1" scenarios="1"/>
  <mergeCells count="622">
    <mergeCell ref="J7:M7"/>
    <mergeCell ref="N7:Q7"/>
    <mergeCell ref="B9:F10"/>
    <mergeCell ref="G9:G10"/>
    <mergeCell ref="H9:K9"/>
    <mergeCell ref="B11:F11"/>
    <mergeCell ref="B12:F12"/>
    <mergeCell ref="B13:F13"/>
    <mergeCell ref="B14:F14"/>
    <mergeCell ref="B25:F25"/>
    <mergeCell ref="B1:H2"/>
    <mergeCell ref="D32:E32"/>
    <mergeCell ref="D33:E33"/>
    <mergeCell ref="D34:E34"/>
    <mergeCell ref="F32:G32"/>
    <mergeCell ref="F33:G33"/>
    <mergeCell ref="F34:G34"/>
    <mergeCell ref="B28:C31"/>
    <mergeCell ref="B20:F20"/>
    <mergeCell ref="B21:F21"/>
    <mergeCell ref="B22:F22"/>
    <mergeCell ref="B23:F23"/>
    <mergeCell ref="B24:F24"/>
    <mergeCell ref="B15:F15"/>
    <mergeCell ref="B16:F16"/>
    <mergeCell ref="B17:F17"/>
    <mergeCell ref="B18:F18"/>
    <mergeCell ref="B19:F19"/>
    <mergeCell ref="B5:D5"/>
    <mergeCell ref="E5:H5"/>
    <mergeCell ref="B7:D7"/>
    <mergeCell ref="E7:H7"/>
    <mergeCell ref="D41:E41"/>
    <mergeCell ref="D42:E42"/>
    <mergeCell ref="D43:E43"/>
    <mergeCell ref="D44:E44"/>
    <mergeCell ref="D45:E45"/>
    <mergeCell ref="D35:E35"/>
    <mergeCell ref="D36:E36"/>
    <mergeCell ref="D38:E38"/>
    <mergeCell ref="D39:E39"/>
    <mergeCell ref="D40:E40"/>
    <mergeCell ref="D37:E37"/>
    <mergeCell ref="D51:E51"/>
    <mergeCell ref="D52:E52"/>
    <mergeCell ref="D53:E53"/>
    <mergeCell ref="D54:E54"/>
    <mergeCell ref="D55:E55"/>
    <mergeCell ref="D46:E46"/>
    <mergeCell ref="D47:E47"/>
    <mergeCell ref="D48:E48"/>
    <mergeCell ref="D49:E49"/>
    <mergeCell ref="D50:E50"/>
    <mergeCell ref="D61:E61"/>
    <mergeCell ref="D62:E62"/>
    <mergeCell ref="D63:E63"/>
    <mergeCell ref="D64:E64"/>
    <mergeCell ref="D65:E65"/>
    <mergeCell ref="D56:E56"/>
    <mergeCell ref="D57:E57"/>
    <mergeCell ref="D58:E58"/>
    <mergeCell ref="D59:E59"/>
    <mergeCell ref="D60:E60"/>
    <mergeCell ref="D71:E71"/>
    <mergeCell ref="D72:E72"/>
    <mergeCell ref="D73:E73"/>
    <mergeCell ref="D74:E74"/>
    <mergeCell ref="D75:E75"/>
    <mergeCell ref="D66:E66"/>
    <mergeCell ref="D67:E67"/>
    <mergeCell ref="D68:E68"/>
    <mergeCell ref="D69:E69"/>
    <mergeCell ref="D70:E70"/>
    <mergeCell ref="D81:E81"/>
    <mergeCell ref="D82:E82"/>
    <mergeCell ref="D83:E83"/>
    <mergeCell ref="D84:E84"/>
    <mergeCell ref="D85:E85"/>
    <mergeCell ref="D76:E76"/>
    <mergeCell ref="D77:E77"/>
    <mergeCell ref="D78:E78"/>
    <mergeCell ref="D79:E79"/>
    <mergeCell ref="D80:E80"/>
    <mergeCell ref="D115:E115"/>
    <mergeCell ref="D106:E106"/>
    <mergeCell ref="D107:E107"/>
    <mergeCell ref="D108:E108"/>
    <mergeCell ref="D109:E109"/>
    <mergeCell ref="D110:E110"/>
    <mergeCell ref="D101:E101"/>
    <mergeCell ref="D102:E102"/>
    <mergeCell ref="D103:E103"/>
    <mergeCell ref="D104:E104"/>
    <mergeCell ref="D105:E105"/>
    <mergeCell ref="F35:G35"/>
    <mergeCell ref="F36:G36"/>
    <mergeCell ref="F37:G37"/>
    <mergeCell ref="F38:G38"/>
    <mergeCell ref="F39:G39"/>
    <mergeCell ref="D111:E111"/>
    <mergeCell ref="D112:E112"/>
    <mergeCell ref="D113:E113"/>
    <mergeCell ref="D114:E114"/>
    <mergeCell ref="D96:E96"/>
    <mergeCell ref="D97:E97"/>
    <mergeCell ref="D98:E98"/>
    <mergeCell ref="D99:E99"/>
    <mergeCell ref="D100:E100"/>
    <mergeCell ref="D91:E91"/>
    <mergeCell ref="D92:E92"/>
    <mergeCell ref="D93:E93"/>
    <mergeCell ref="D94:E94"/>
    <mergeCell ref="D95:E95"/>
    <mergeCell ref="D86:E86"/>
    <mergeCell ref="D87:E87"/>
    <mergeCell ref="D88:E88"/>
    <mergeCell ref="D89:E89"/>
    <mergeCell ref="D90:E90"/>
    <mergeCell ref="F45:G45"/>
    <mergeCell ref="F46:G46"/>
    <mergeCell ref="F47:G47"/>
    <mergeCell ref="F48:G48"/>
    <mergeCell ref="F49:G49"/>
    <mergeCell ref="F40:G40"/>
    <mergeCell ref="F41:G41"/>
    <mergeCell ref="F42:G42"/>
    <mergeCell ref="F43:G43"/>
    <mergeCell ref="F44:G44"/>
    <mergeCell ref="F55:G55"/>
    <mergeCell ref="F56:G56"/>
    <mergeCell ref="F57:G57"/>
    <mergeCell ref="F58:G58"/>
    <mergeCell ref="F59:G59"/>
    <mergeCell ref="F50:G50"/>
    <mergeCell ref="F51:G51"/>
    <mergeCell ref="F52:G52"/>
    <mergeCell ref="F53:G53"/>
    <mergeCell ref="F54:G54"/>
    <mergeCell ref="F65:G65"/>
    <mergeCell ref="F66:G66"/>
    <mergeCell ref="F67:G67"/>
    <mergeCell ref="F68:G68"/>
    <mergeCell ref="F69:G69"/>
    <mergeCell ref="F60:G60"/>
    <mergeCell ref="F61:G61"/>
    <mergeCell ref="F62:G62"/>
    <mergeCell ref="F63:G63"/>
    <mergeCell ref="F64:G64"/>
    <mergeCell ref="F75:G75"/>
    <mergeCell ref="F76:G76"/>
    <mergeCell ref="F77:G77"/>
    <mergeCell ref="F78:G78"/>
    <mergeCell ref="F79:G79"/>
    <mergeCell ref="F70:G70"/>
    <mergeCell ref="F71:G71"/>
    <mergeCell ref="F72:G72"/>
    <mergeCell ref="F73:G73"/>
    <mergeCell ref="F74:G74"/>
    <mergeCell ref="F85:G85"/>
    <mergeCell ref="F86:G86"/>
    <mergeCell ref="F87:G87"/>
    <mergeCell ref="F88:G88"/>
    <mergeCell ref="F89:G89"/>
    <mergeCell ref="F80:G80"/>
    <mergeCell ref="F81:G81"/>
    <mergeCell ref="F82:G82"/>
    <mergeCell ref="F83:G83"/>
    <mergeCell ref="F84:G84"/>
    <mergeCell ref="F95:G95"/>
    <mergeCell ref="F96:G96"/>
    <mergeCell ref="F97:G97"/>
    <mergeCell ref="F98:G98"/>
    <mergeCell ref="F99:G99"/>
    <mergeCell ref="F90:G90"/>
    <mergeCell ref="F91:G91"/>
    <mergeCell ref="F92:G92"/>
    <mergeCell ref="F93:G93"/>
    <mergeCell ref="F94:G94"/>
    <mergeCell ref="F114:G114"/>
    <mergeCell ref="F105:G105"/>
    <mergeCell ref="F106:G106"/>
    <mergeCell ref="F107:G107"/>
    <mergeCell ref="F108:G108"/>
    <mergeCell ref="F109:G109"/>
    <mergeCell ref="F100:G100"/>
    <mergeCell ref="F101:G101"/>
    <mergeCell ref="F102:G102"/>
    <mergeCell ref="F103:G103"/>
    <mergeCell ref="F104:G104"/>
    <mergeCell ref="B46:C46"/>
    <mergeCell ref="B47:C47"/>
    <mergeCell ref="B48:C48"/>
    <mergeCell ref="B49:C49"/>
    <mergeCell ref="B50:C50"/>
    <mergeCell ref="F115:G115"/>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F110:G110"/>
    <mergeCell ref="F111:G111"/>
    <mergeCell ref="F112:G112"/>
    <mergeCell ref="F113:G113"/>
    <mergeCell ref="B56:C56"/>
    <mergeCell ref="B57:C57"/>
    <mergeCell ref="B58:C58"/>
    <mergeCell ref="B59:C59"/>
    <mergeCell ref="B60:C60"/>
    <mergeCell ref="B51:C51"/>
    <mergeCell ref="B52:C52"/>
    <mergeCell ref="B53:C53"/>
    <mergeCell ref="B54:C54"/>
    <mergeCell ref="B55:C55"/>
    <mergeCell ref="B66:C66"/>
    <mergeCell ref="B67:C67"/>
    <mergeCell ref="B68:C68"/>
    <mergeCell ref="B69:C69"/>
    <mergeCell ref="B70:C70"/>
    <mergeCell ref="B61:C61"/>
    <mergeCell ref="B62:C62"/>
    <mergeCell ref="B63:C63"/>
    <mergeCell ref="B64:C64"/>
    <mergeCell ref="B65:C65"/>
    <mergeCell ref="B76:C76"/>
    <mergeCell ref="B77:C77"/>
    <mergeCell ref="B78:C78"/>
    <mergeCell ref="B79:C79"/>
    <mergeCell ref="B80:C80"/>
    <mergeCell ref="B71:C71"/>
    <mergeCell ref="B72:C72"/>
    <mergeCell ref="B73:C73"/>
    <mergeCell ref="B74:C74"/>
    <mergeCell ref="B75:C75"/>
    <mergeCell ref="B86:C86"/>
    <mergeCell ref="B87:C87"/>
    <mergeCell ref="B88:C88"/>
    <mergeCell ref="B89:C89"/>
    <mergeCell ref="B90:C90"/>
    <mergeCell ref="B81:C81"/>
    <mergeCell ref="B82:C82"/>
    <mergeCell ref="B83:C83"/>
    <mergeCell ref="B84:C84"/>
    <mergeCell ref="B85:C85"/>
    <mergeCell ref="B112:C112"/>
    <mergeCell ref="B113:C113"/>
    <mergeCell ref="B114:C114"/>
    <mergeCell ref="B115:C115"/>
    <mergeCell ref="B106:C106"/>
    <mergeCell ref="B107:C107"/>
    <mergeCell ref="B108:C108"/>
    <mergeCell ref="B109:C109"/>
    <mergeCell ref="B110:C110"/>
    <mergeCell ref="K34:L34"/>
    <mergeCell ref="K35:L35"/>
    <mergeCell ref="K36:L36"/>
    <mergeCell ref="K37:L37"/>
    <mergeCell ref="K38:L38"/>
    <mergeCell ref="K32:L32"/>
    <mergeCell ref="M32:N32"/>
    <mergeCell ref="K33:L33"/>
    <mergeCell ref="B111:C111"/>
    <mergeCell ref="B101:C101"/>
    <mergeCell ref="B102:C102"/>
    <mergeCell ref="B103:C103"/>
    <mergeCell ref="B104:C104"/>
    <mergeCell ref="B105:C105"/>
    <mergeCell ref="B96:C96"/>
    <mergeCell ref="B97:C97"/>
    <mergeCell ref="B98:C98"/>
    <mergeCell ref="B99:C99"/>
    <mergeCell ref="B100:C100"/>
    <mergeCell ref="B91:C91"/>
    <mergeCell ref="B92:C92"/>
    <mergeCell ref="B93:C93"/>
    <mergeCell ref="B94:C94"/>
    <mergeCell ref="B95:C95"/>
    <mergeCell ref="K44:L44"/>
    <mergeCell ref="K45:L45"/>
    <mergeCell ref="K46:L46"/>
    <mergeCell ref="K47:L47"/>
    <mergeCell ref="K48:L48"/>
    <mergeCell ref="K39:L39"/>
    <mergeCell ref="K40:L40"/>
    <mergeCell ref="K41:L41"/>
    <mergeCell ref="K42:L42"/>
    <mergeCell ref="K43:L43"/>
    <mergeCell ref="K54:L54"/>
    <mergeCell ref="K55:L55"/>
    <mergeCell ref="K56:L56"/>
    <mergeCell ref="K57:L57"/>
    <mergeCell ref="K58:L58"/>
    <mergeCell ref="K49:L49"/>
    <mergeCell ref="K50:L50"/>
    <mergeCell ref="K51:L51"/>
    <mergeCell ref="K52:L52"/>
    <mergeCell ref="K53:L53"/>
    <mergeCell ref="K64:L64"/>
    <mergeCell ref="K65:L65"/>
    <mergeCell ref="K66:L66"/>
    <mergeCell ref="K67:L67"/>
    <mergeCell ref="K68:L68"/>
    <mergeCell ref="K59:L59"/>
    <mergeCell ref="K60:L60"/>
    <mergeCell ref="K61:L61"/>
    <mergeCell ref="K62:L62"/>
    <mergeCell ref="K63:L63"/>
    <mergeCell ref="K74:L74"/>
    <mergeCell ref="K75:L75"/>
    <mergeCell ref="K76:L76"/>
    <mergeCell ref="K77:L77"/>
    <mergeCell ref="K78:L78"/>
    <mergeCell ref="K69:L69"/>
    <mergeCell ref="K70:L70"/>
    <mergeCell ref="K71:L71"/>
    <mergeCell ref="K72:L72"/>
    <mergeCell ref="K73:L73"/>
    <mergeCell ref="K84:L84"/>
    <mergeCell ref="K85:L85"/>
    <mergeCell ref="K86:L86"/>
    <mergeCell ref="K87:L87"/>
    <mergeCell ref="K88:L88"/>
    <mergeCell ref="K79:L79"/>
    <mergeCell ref="K80:L80"/>
    <mergeCell ref="K81:L81"/>
    <mergeCell ref="K82:L82"/>
    <mergeCell ref="K83:L83"/>
    <mergeCell ref="K94:L94"/>
    <mergeCell ref="K95:L95"/>
    <mergeCell ref="K96:L96"/>
    <mergeCell ref="K97:L97"/>
    <mergeCell ref="K98:L98"/>
    <mergeCell ref="K89:L89"/>
    <mergeCell ref="K90:L90"/>
    <mergeCell ref="K91:L91"/>
    <mergeCell ref="K92:L92"/>
    <mergeCell ref="K93:L93"/>
    <mergeCell ref="K112:L112"/>
    <mergeCell ref="K113:L113"/>
    <mergeCell ref="K104:L104"/>
    <mergeCell ref="K105:L105"/>
    <mergeCell ref="K106:L106"/>
    <mergeCell ref="K107:L107"/>
    <mergeCell ref="K108:L108"/>
    <mergeCell ref="K99:L99"/>
    <mergeCell ref="K100:L100"/>
    <mergeCell ref="K101:L101"/>
    <mergeCell ref="K102:L102"/>
    <mergeCell ref="K103:L103"/>
    <mergeCell ref="M47:N47"/>
    <mergeCell ref="M48:N48"/>
    <mergeCell ref="M49:N49"/>
    <mergeCell ref="M50:N50"/>
    <mergeCell ref="M51:N51"/>
    <mergeCell ref="K114:L114"/>
    <mergeCell ref="K115:L115"/>
    <mergeCell ref="M33:N33"/>
    <mergeCell ref="M34:N34"/>
    <mergeCell ref="M35:N35"/>
    <mergeCell ref="M36:N36"/>
    <mergeCell ref="M37:N37"/>
    <mergeCell ref="M38:N38"/>
    <mergeCell ref="M39:N39"/>
    <mergeCell ref="M40:N40"/>
    <mergeCell ref="M41:N41"/>
    <mergeCell ref="M42:N42"/>
    <mergeCell ref="M43:N43"/>
    <mergeCell ref="M44:N44"/>
    <mergeCell ref="M45:N45"/>
    <mergeCell ref="M46:N46"/>
    <mergeCell ref="K109:L109"/>
    <mergeCell ref="K110:L110"/>
    <mergeCell ref="K111:L111"/>
    <mergeCell ref="M57:N57"/>
    <mergeCell ref="M58:N58"/>
    <mergeCell ref="M59:N59"/>
    <mergeCell ref="M60:N60"/>
    <mergeCell ref="M61:N61"/>
    <mergeCell ref="M52:N52"/>
    <mergeCell ref="M53:N53"/>
    <mergeCell ref="M54:N54"/>
    <mergeCell ref="M55:N55"/>
    <mergeCell ref="M56:N56"/>
    <mergeCell ref="M67:N67"/>
    <mergeCell ref="M68:N68"/>
    <mergeCell ref="M69:N69"/>
    <mergeCell ref="M70:N70"/>
    <mergeCell ref="M71:N71"/>
    <mergeCell ref="M62:N62"/>
    <mergeCell ref="M63:N63"/>
    <mergeCell ref="M64:N64"/>
    <mergeCell ref="M65:N65"/>
    <mergeCell ref="M66:N66"/>
    <mergeCell ref="M77:N77"/>
    <mergeCell ref="M78:N78"/>
    <mergeCell ref="M79:N79"/>
    <mergeCell ref="M80:N80"/>
    <mergeCell ref="M81:N81"/>
    <mergeCell ref="M72:N72"/>
    <mergeCell ref="M73:N73"/>
    <mergeCell ref="M74:N74"/>
    <mergeCell ref="M75:N75"/>
    <mergeCell ref="M76:N76"/>
    <mergeCell ref="M87:N87"/>
    <mergeCell ref="M88:N88"/>
    <mergeCell ref="M89:N89"/>
    <mergeCell ref="M90:N90"/>
    <mergeCell ref="M91:N91"/>
    <mergeCell ref="M82:N82"/>
    <mergeCell ref="M83:N83"/>
    <mergeCell ref="M84:N84"/>
    <mergeCell ref="M85:N85"/>
    <mergeCell ref="M86:N86"/>
    <mergeCell ref="M106:N106"/>
    <mergeCell ref="M97:N97"/>
    <mergeCell ref="M98:N98"/>
    <mergeCell ref="M99:N99"/>
    <mergeCell ref="M100:N100"/>
    <mergeCell ref="M101:N101"/>
    <mergeCell ref="M92:N92"/>
    <mergeCell ref="M93:N93"/>
    <mergeCell ref="M94:N94"/>
    <mergeCell ref="M95:N95"/>
    <mergeCell ref="M96:N96"/>
    <mergeCell ref="M112:N112"/>
    <mergeCell ref="M113:N113"/>
    <mergeCell ref="M114:N114"/>
    <mergeCell ref="M115:N115"/>
    <mergeCell ref="D28:J29"/>
    <mergeCell ref="K28:S29"/>
    <mergeCell ref="D30:E31"/>
    <mergeCell ref="F30:G31"/>
    <mergeCell ref="K30:L31"/>
    <mergeCell ref="M30:N31"/>
    <mergeCell ref="H30:J31"/>
    <mergeCell ref="O30:S31"/>
    <mergeCell ref="H32:J32"/>
    <mergeCell ref="H33:J33"/>
    <mergeCell ref="H34:J34"/>
    <mergeCell ref="M107:N107"/>
    <mergeCell ref="M108:N108"/>
    <mergeCell ref="M109:N109"/>
    <mergeCell ref="M110:N110"/>
    <mergeCell ref="M111:N111"/>
    <mergeCell ref="M102:N102"/>
    <mergeCell ref="M103:N103"/>
    <mergeCell ref="M104:N104"/>
    <mergeCell ref="M105:N105"/>
    <mergeCell ref="H40:J40"/>
    <mergeCell ref="H41:J41"/>
    <mergeCell ref="H42:J42"/>
    <mergeCell ref="H43:J43"/>
    <mergeCell ref="H44:J44"/>
    <mergeCell ref="H35:J35"/>
    <mergeCell ref="H36:J36"/>
    <mergeCell ref="H37:J37"/>
    <mergeCell ref="H38:J38"/>
    <mergeCell ref="H39:J39"/>
    <mergeCell ref="H50:J50"/>
    <mergeCell ref="H51:J51"/>
    <mergeCell ref="H52:J52"/>
    <mergeCell ref="H53:J53"/>
    <mergeCell ref="H54:J54"/>
    <mergeCell ref="H45:J45"/>
    <mergeCell ref="H46:J46"/>
    <mergeCell ref="H47:J47"/>
    <mergeCell ref="H48:J48"/>
    <mergeCell ref="H49:J49"/>
    <mergeCell ref="H60:J60"/>
    <mergeCell ref="H61:J61"/>
    <mergeCell ref="H62:J62"/>
    <mergeCell ref="H63:J63"/>
    <mergeCell ref="H64:J64"/>
    <mergeCell ref="H55:J55"/>
    <mergeCell ref="H56:J56"/>
    <mergeCell ref="H57:J57"/>
    <mergeCell ref="H58:J58"/>
    <mergeCell ref="H59:J59"/>
    <mergeCell ref="H70:J70"/>
    <mergeCell ref="H71:J71"/>
    <mergeCell ref="H72:J72"/>
    <mergeCell ref="H73:J73"/>
    <mergeCell ref="H74:J74"/>
    <mergeCell ref="H65:J65"/>
    <mergeCell ref="H66:J66"/>
    <mergeCell ref="H67:J67"/>
    <mergeCell ref="H68:J68"/>
    <mergeCell ref="H69:J69"/>
    <mergeCell ref="H80:J80"/>
    <mergeCell ref="H81:J81"/>
    <mergeCell ref="H82:J82"/>
    <mergeCell ref="H83:J83"/>
    <mergeCell ref="H84:J84"/>
    <mergeCell ref="H75:J75"/>
    <mergeCell ref="H76:J76"/>
    <mergeCell ref="H77:J77"/>
    <mergeCell ref="H78:J78"/>
    <mergeCell ref="H79:J79"/>
    <mergeCell ref="H90:J90"/>
    <mergeCell ref="H91:J91"/>
    <mergeCell ref="H92:J92"/>
    <mergeCell ref="H93:J93"/>
    <mergeCell ref="H94:J94"/>
    <mergeCell ref="H85:J85"/>
    <mergeCell ref="H86:J86"/>
    <mergeCell ref="H87:J87"/>
    <mergeCell ref="H88:J88"/>
    <mergeCell ref="H89:J89"/>
    <mergeCell ref="H108:J108"/>
    <mergeCell ref="H109:J109"/>
    <mergeCell ref="H100:J100"/>
    <mergeCell ref="H101:J101"/>
    <mergeCell ref="H102:J102"/>
    <mergeCell ref="H103:J103"/>
    <mergeCell ref="H104:J104"/>
    <mergeCell ref="H95:J95"/>
    <mergeCell ref="H96:J96"/>
    <mergeCell ref="H97:J97"/>
    <mergeCell ref="H98:J98"/>
    <mergeCell ref="H99:J99"/>
    <mergeCell ref="H115:J115"/>
    <mergeCell ref="O32:S32"/>
    <mergeCell ref="O33:S33"/>
    <mergeCell ref="O34:S34"/>
    <mergeCell ref="O35:S35"/>
    <mergeCell ref="O36:S36"/>
    <mergeCell ref="O37:S37"/>
    <mergeCell ref="O38:S38"/>
    <mergeCell ref="O39:S39"/>
    <mergeCell ref="O40:S40"/>
    <mergeCell ref="O41:S41"/>
    <mergeCell ref="O42:S42"/>
    <mergeCell ref="O43:S43"/>
    <mergeCell ref="O44:S44"/>
    <mergeCell ref="O45:S45"/>
    <mergeCell ref="O46:S46"/>
    <mergeCell ref="H110:J110"/>
    <mergeCell ref="H111:J111"/>
    <mergeCell ref="H112:J112"/>
    <mergeCell ref="H113:J113"/>
    <mergeCell ref="H114:J114"/>
    <mergeCell ref="H105:J105"/>
    <mergeCell ref="H106:J106"/>
    <mergeCell ref="H107:J107"/>
    <mergeCell ref="O52:S52"/>
    <mergeCell ref="O53:S53"/>
    <mergeCell ref="O54:S54"/>
    <mergeCell ref="O55:S55"/>
    <mergeCell ref="O56:S56"/>
    <mergeCell ref="O47:S47"/>
    <mergeCell ref="O48:S48"/>
    <mergeCell ref="O49:S49"/>
    <mergeCell ref="O50:S50"/>
    <mergeCell ref="O51:S51"/>
    <mergeCell ref="O62:S62"/>
    <mergeCell ref="O63:S63"/>
    <mergeCell ref="O64:S64"/>
    <mergeCell ref="O65:S65"/>
    <mergeCell ref="O66:S66"/>
    <mergeCell ref="O57:S57"/>
    <mergeCell ref="O58:S58"/>
    <mergeCell ref="O59:S59"/>
    <mergeCell ref="O60:S60"/>
    <mergeCell ref="O61:S61"/>
    <mergeCell ref="O72:S72"/>
    <mergeCell ref="O73:S73"/>
    <mergeCell ref="O74:S74"/>
    <mergeCell ref="O75:S75"/>
    <mergeCell ref="O76:S76"/>
    <mergeCell ref="O67:S67"/>
    <mergeCell ref="O68:S68"/>
    <mergeCell ref="O69:S69"/>
    <mergeCell ref="O70:S70"/>
    <mergeCell ref="O71:S71"/>
    <mergeCell ref="O82:S82"/>
    <mergeCell ref="O83:S83"/>
    <mergeCell ref="O84:S84"/>
    <mergeCell ref="O85:S85"/>
    <mergeCell ref="O86:S86"/>
    <mergeCell ref="O77:S77"/>
    <mergeCell ref="O78:S78"/>
    <mergeCell ref="O79:S79"/>
    <mergeCell ref="O80:S80"/>
    <mergeCell ref="O81:S81"/>
    <mergeCell ref="O92:S92"/>
    <mergeCell ref="O93:S93"/>
    <mergeCell ref="O94:S94"/>
    <mergeCell ref="O95:S95"/>
    <mergeCell ref="O96:S96"/>
    <mergeCell ref="O87:S87"/>
    <mergeCell ref="O88:S88"/>
    <mergeCell ref="O89:S89"/>
    <mergeCell ref="O90:S90"/>
    <mergeCell ref="O91:S91"/>
    <mergeCell ref="O102:S102"/>
    <mergeCell ref="O103:S103"/>
    <mergeCell ref="O104:S104"/>
    <mergeCell ref="O105:S105"/>
    <mergeCell ref="O106:S106"/>
    <mergeCell ref="O97:S97"/>
    <mergeCell ref="O98:S98"/>
    <mergeCell ref="O99:S99"/>
    <mergeCell ref="O100:S100"/>
    <mergeCell ref="O101:S101"/>
    <mergeCell ref="O112:S112"/>
    <mergeCell ref="O113:S113"/>
    <mergeCell ref="O114:S114"/>
    <mergeCell ref="O115:S115"/>
    <mergeCell ref="O107:S107"/>
    <mergeCell ref="O108:S108"/>
    <mergeCell ref="O109:S109"/>
    <mergeCell ref="O110:S110"/>
    <mergeCell ref="O111:S111"/>
  </mergeCells>
  <conditionalFormatting sqref="K11">
    <cfRule type="expression" dxfId="78" priority="76">
      <formula>$B$11&lt;&gt;""</formula>
    </cfRule>
  </conditionalFormatting>
  <conditionalFormatting sqref="K12">
    <cfRule type="expression" dxfId="77" priority="77">
      <formula>$B$12&lt;&gt;""</formula>
    </cfRule>
  </conditionalFormatting>
  <conditionalFormatting sqref="K13">
    <cfRule type="expression" dxfId="76" priority="78">
      <formula>$B$13&lt;&gt;""</formula>
    </cfRule>
  </conditionalFormatting>
  <conditionalFormatting sqref="K14">
    <cfRule type="expression" dxfId="75" priority="79">
      <formula>$B$14&lt;&gt;""</formula>
    </cfRule>
  </conditionalFormatting>
  <conditionalFormatting sqref="K15">
    <cfRule type="expression" dxfId="74" priority="80">
      <formula>$B$15&lt;&gt;""</formula>
    </cfRule>
  </conditionalFormatting>
  <conditionalFormatting sqref="K16">
    <cfRule type="expression" dxfId="73" priority="81">
      <formula>$B$16&lt;&gt;""</formula>
    </cfRule>
  </conditionalFormatting>
  <conditionalFormatting sqref="K17">
    <cfRule type="expression" dxfId="72" priority="82">
      <formula>$B$17&lt;&gt;""</formula>
    </cfRule>
  </conditionalFormatting>
  <conditionalFormatting sqref="K18">
    <cfRule type="expression" dxfId="71" priority="83">
      <formula>$B$18&lt;&gt;""</formula>
    </cfRule>
  </conditionalFormatting>
  <conditionalFormatting sqref="K19">
    <cfRule type="expression" dxfId="70" priority="84">
      <formula>$B$19&lt;&gt;""</formula>
    </cfRule>
  </conditionalFormatting>
  <conditionalFormatting sqref="K20">
    <cfRule type="expression" dxfId="69" priority="85">
      <formula>$B$20&lt;&gt;""</formula>
    </cfRule>
  </conditionalFormatting>
  <conditionalFormatting sqref="K21">
    <cfRule type="expression" dxfId="68" priority="86">
      <formula>$B$21&lt;&gt;""</formula>
    </cfRule>
  </conditionalFormatting>
  <conditionalFormatting sqref="K22">
    <cfRule type="expression" dxfId="67" priority="87">
      <formula>$B$22&lt;&gt;""</formula>
    </cfRule>
  </conditionalFormatting>
  <conditionalFormatting sqref="K23">
    <cfRule type="expression" dxfId="66" priority="88">
      <formula>$B$23&lt;&gt;""</formula>
    </cfRule>
  </conditionalFormatting>
  <conditionalFormatting sqref="K24">
    <cfRule type="expression" dxfId="65" priority="89">
      <formula>$B$24&lt;&gt;""</formula>
    </cfRule>
  </conditionalFormatting>
  <conditionalFormatting sqref="K25">
    <cfRule type="expression" dxfId="64" priority="90">
      <formula>$B$25&lt;&gt;""</formula>
    </cfRule>
  </conditionalFormatting>
  <conditionalFormatting sqref="B11">
    <cfRule type="expression" dxfId="63" priority="15">
      <formula>$L$11</formula>
    </cfRule>
  </conditionalFormatting>
  <conditionalFormatting sqref="B12">
    <cfRule type="expression" dxfId="62" priority="14">
      <formula>$L$12</formula>
    </cfRule>
  </conditionalFormatting>
  <conditionalFormatting sqref="B13">
    <cfRule type="expression" dxfId="61" priority="13">
      <formula>$L$13</formula>
    </cfRule>
  </conditionalFormatting>
  <conditionalFormatting sqref="B14">
    <cfRule type="expression" dxfId="60" priority="12">
      <formula>$L$14</formula>
    </cfRule>
  </conditionalFormatting>
  <conditionalFormatting sqref="B15">
    <cfRule type="expression" dxfId="59" priority="11">
      <formula>$L$15</formula>
    </cfRule>
  </conditionalFormatting>
  <conditionalFormatting sqref="B16">
    <cfRule type="expression" dxfId="58" priority="10">
      <formula>$L$16</formula>
    </cfRule>
  </conditionalFormatting>
  <conditionalFormatting sqref="B17">
    <cfRule type="expression" dxfId="57" priority="9">
      <formula>$L$17</formula>
    </cfRule>
  </conditionalFormatting>
  <conditionalFormatting sqref="B18">
    <cfRule type="expression" dxfId="56" priority="8">
      <formula>$L$18</formula>
    </cfRule>
  </conditionalFormatting>
  <conditionalFormatting sqref="B19">
    <cfRule type="expression" dxfId="55" priority="7">
      <formula>$L$19</formula>
    </cfRule>
  </conditionalFormatting>
  <conditionalFormatting sqref="B20">
    <cfRule type="expression" dxfId="54" priority="6">
      <formula>$L$20</formula>
    </cfRule>
  </conditionalFormatting>
  <conditionalFormatting sqref="B21">
    <cfRule type="expression" dxfId="53" priority="5">
      <formula>$L$21</formula>
    </cfRule>
  </conditionalFormatting>
  <conditionalFormatting sqref="B22">
    <cfRule type="expression" dxfId="52" priority="4">
      <formula>$L$22</formula>
    </cfRule>
  </conditionalFormatting>
  <conditionalFormatting sqref="B23">
    <cfRule type="expression" dxfId="51" priority="3">
      <formula>$L$23</formula>
    </cfRule>
  </conditionalFormatting>
  <conditionalFormatting sqref="B24">
    <cfRule type="expression" dxfId="50" priority="2">
      <formula>$L$24</formula>
    </cfRule>
  </conditionalFormatting>
  <conditionalFormatting sqref="B25">
    <cfRule type="expression" dxfId="49" priority="1">
      <formula>$L$25</formula>
    </cfRule>
  </conditionalFormatting>
  <dataValidations count="4">
    <dataValidation type="decimal" allowBlank="1" showInputMessage="1" showErrorMessage="1" sqref="N5" xr:uid="{00000000-0002-0000-0100-000000000000}">
      <formula1>0</formula1>
      <formula2>0.03</formula2>
    </dataValidation>
    <dataValidation type="decimal" allowBlank="1" showInputMessage="1" showErrorMessage="1" sqref="K11:K25" xr:uid="{00000000-0002-0000-0100-000001000000}">
      <formula1>0</formula1>
      <formula2>1</formula2>
    </dataValidation>
    <dataValidation type="decimal" operator="greaterThanOrEqual" allowBlank="1" showInputMessage="1" showErrorMessage="1" sqref="F32:G115 M32:N115" xr:uid="{00000000-0002-0000-0100-000002000000}">
      <formula1>0</formula1>
    </dataValidation>
    <dataValidation type="decimal" allowBlank="1" showInputMessage="1" showErrorMessage="1" errorTitle="Érvénytelen adat" error="Az Egyéni korrekció mértéke -15% és +15% között lehet." promptTitle="Egyéni korrekció" prompt="Itt módosítható a Portfólió Plusz alszámlá(k)ra válaszott befektetési portfólió feltételezett hozama._x000a__x000a_Továbbá, itt lehet megadni az Ajánlat szerinti portfólió hozamától való eltérés mértékét is." sqref="E7:H7" xr:uid="{00000000-0002-0000-0100-000003000000}">
      <formula1>-0.15</formula1>
      <formula2>0.15</formula2>
    </dataValidation>
  </dataValidations>
  <pageMargins left="0.7" right="0.7" top="0.75" bottom="0.75" header="0.3" footer="0.3"/>
  <pageSetup paperSize="9" scale="71"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19" id="{EA91829C-A4F2-442E-B69B-3B40C2BFA91D}">
            <xm:f>$B32=Számítás_Ny!$M$11+IF(Számítás_Ny!$M$13=0,0,1)</xm:f>
            <x14:dxf>
              <border>
                <bottom style="thin">
                  <color rgb="FFDB0A5B"/>
                </bottom>
                <vertical/>
                <horizontal/>
              </border>
            </x14:dxf>
          </x14:cfRule>
          <xm:sqref>B32:S115</xm:sqref>
        </x14:conditionalFormatting>
        <x14:conditionalFormatting xmlns:xm="http://schemas.microsoft.com/office/excel/2006/main">
          <x14:cfRule type="expression" priority="22" id="{A7287233-5466-4E9B-AEFB-2A7517C3BFAB}">
            <xm:f>Számítás_UL!$D$4="Euró"</xm:f>
            <x14:dxf>
              <numFmt numFmtId="168" formatCode="#,##0.00\ [$€-1]"/>
            </x14:dxf>
          </x14:cfRule>
          <x14:cfRule type="expression" priority="23" id="{D475F574-1B39-4C78-AA08-558E81F553AA}">
            <xm:f>Számítás_UL!$D$4="Forint"</xm:f>
            <x14:dxf>
              <numFmt numFmtId="169" formatCode="#,##0\ &quot;Ft&quot;"/>
            </x14:dxf>
          </x14:cfRule>
          <xm:sqref>D32:G115</xm:sqref>
        </x14:conditionalFormatting>
        <x14:conditionalFormatting xmlns:xm="http://schemas.microsoft.com/office/excel/2006/main">
          <x14:cfRule type="expression" priority="16" id="{A034F08D-BD8E-4C1E-AC66-7503E777134F}">
            <xm:f>Számítás_UL!$D$4="Euró"</xm:f>
            <x14:dxf>
              <numFmt numFmtId="168" formatCode="#,##0.00\ [$€-1]"/>
            </x14:dxf>
          </x14:cfRule>
          <x14:cfRule type="expression" priority="17" id="{DD3D21B5-70CB-4F68-A064-87DE0B4DDCE6}">
            <xm:f>Számítás_UL!$D$4="Forint"</xm:f>
            <x14:dxf>
              <numFmt numFmtId="169" formatCode="#,##0\ &quot;Ft&quot;"/>
            </x14:dxf>
          </x14:cfRule>
          <xm:sqref>K32:N115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errorTitle="Érvénytelen adat" error="Az eszközalap kínálat csak a következők egyike lehet:_x000a_- Megfontolt_x000a_- Kiegyensúlyozott_x000a_- Növekedési_x000a_- Egyedi_x000a_- Ajánlat szerinti" promptTitle="Választott portfólió" prompt="Itt állítható be, hogy milyen befektetési portfóliót feltételezzen a kalkuláció a Portfólió Plusz alszámlá(k)ra._x000a__x000a_Amennyiben a mező üresen marad, úgy alapértelmezetten főszámlával megyegyező kínálattal történik a számítás." xr:uid="{00000000-0002-0000-0100-000004000000}">
          <x14:formula1>
            <xm:f>IF(Ajánlat!$N$7="Basic",Paraméterek!$G$7,Portfólió_PP)</xm:f>
          </x14:formula1>
          <xm:sqref>E5:H5</xm:sqref>
        </x14:dataValidation>
        <x14:dataValidation type="decimal" operator="greaterThanOrEqual" allowBlank="1" showInputMessage="1" showErrorMessage="1" xr:uid="{00000000-0002-0000-0100-000005000000}">
          <x14:formula1>
            <xm:f>IF(Számítás_UL!$D$4="Forint",Paraméterek!$H$173,Paraméterek!$H$178)</xm:f>
          </x14:formula1>
          <xm:sqref>D32:E115</xm:sqref>
        </x14:dataValidation>
        <x14:dataValidation type="decimal" operator="greaterThanOrEqual" allowBlank="1" showInputMessage="1" showErrorMessage="1" xr:uid="{00000000-0002-0000-0100-000006000000}">
          <x14:formula1>
            <xm:f>IF(Számítás_UL!$D$4="Forint",$H$173,$H$178)</xm:f>
          </x14:formula1>
          <xm:sqref>K32:L115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B0A5B"/>
  </sheetPr>
  <dimension ref="A1:AZ1027"/>
  <sheetViews>
    <sheetView workbookViewId="0">
      <selection activeCell="B4" sqref="B4:M5"/>
    </sheetView>
  </sheetViews>
  <sheetFormatPr defaultRowHeight="12.75" x14ac:dyDescent="0.2"/>
  <cols>
    <col min="2" max="4" width="10.140625" bestFit="1" customWidth="1"/>
    <col min="5" max="6" width="10.28515625" bestFit="1" customWidth="1"/>
    <col min="7" max="8" width="10.140625" bestFit="1" customWidth="1"/>
    <col min="9" max="9" width="9.28515625" bestFit="1" customWidth="1"/>
    <col min="10" max="11" width="10.28515625" customWidth="1"/>
    <col min="12" max="12" width="10" customWidth="1"/>
    <col min="13" max="13" width="15.140625" customWidth="1"/>
    <col min="14" max="14" width="11.5703125" customWidth="1"/>
    <col min="15" max="15" width="10.140625" customWidth="1"/>
    <col min="16" max="16" width="12.7109375" style="12" bestFit="1" customWidth="1"/>
    <col min="17" max="17" width="10.28515625" style="12" bestFit="1" customWidth="1"/>
    <col min="18" max="18" width="12.7109375" style="12" customWidth="1"/>
    <col min="19" max="19" width="11.5703125" style="12" customWidth="1"/>
    <col min="20" max="20" width="9.140625" style="12"/>
    <col min="21" max="21" width="9.7109375" style="12" bestFit="1" customWidth="1"/>
    <col min="22" max="23" width="15.5703125" style="12" customWidth="1"/>
    <col min="24" max="27" width="9.140625" style="12"/>
    <col min="28" max="28" width="14.28515625" style="12" customWidth="1"/>
    <col min="29" max="29" width="9.140625" style="12"/>
    <col min="30" max="30" width="12.42578125" style="12" customWidth="1"/>
    <col min="31" max="31" width="11.85546875" style="12" customWidth="1"/>
    <col min="32" max="32" width="12.42578125" style="12" customWidth="1"/>
    <col min="33" max="35" width="9.140625" style="12"/>
    <col min="36" max="36" width="14.42578125" style="12" customWidth="1"/>
    <col min="37" max="37" width="13.5703125" style="12" customWidth="1"/>
    <col min="38" max="42" width="9.140625" style="12"/>
    <col min="43" max="43" width="10.140625" style="12" bestFit="1" customWidth="1"/>
    <col min="44" max="45" width="9.140625" style="12"/>
    <col min="46" max="46" width="9.28515625" style="1" bestFit="1" customWidth="1"/>
    <col min="47" max="48" width="9.140625" style="12"/>
    <col min="49" max="49" width="11.7109375" style="12" bestFit="1" customWidth="1"/>
    <col min="50" max="50" width="9.140625" style="12"/>
    <col min="51" max="51" width="12.7109375" style="12" bestFit="1" customWidth="1"/>
    <col min="52" max="16384" width="9.140625" style="12"/>
  </cols>
  <sheetData>
    <row r="1" spans="1:46" x14ac:dyDescent="0.2">
      <c r="A1" s="30" t="s">
        <v>7</v>
      </c>
      <c r="B1" s="35">
        <f>Ajánlat!$E$7</f>
        <v>0</v>
      </c>
      <c r="C1" s="36"/>
      <c r="D1" s="35">
        <f>IF(ISBLANK($C$1),$B$1,$C$1)</f>
        <v>0</v>
      </c>
      <c r="G1" s="30" t="str">
        <f ca="1">IF(COUNTIF($G$2:$G$4,"!")&gt;0,"!","OK")</f>
        <v>!</v>
      </c>
      <c r="K1" t="s">
        <v>114</v>
      </c>
      <c r="M1">
        <f>IF($D$2="Havi",1,IF($D$2="Éves",12,IF($D$2="Féléves",6,IF($D$2="Egyszeri","e",3))))</f>
        <v>12</v>
      </c>
    </row>
    <row r="2" spans="1:46" x14ac:dyDescent="0.2">
      <c r="A2" s="30" t="s">
        <v>3</v>
      </c>
      <c r="B2" s="30" t="str">
        <f>IF(ISBLANK(Ajánlat!$E$11),"Éves",Ajánlat!$E$11)</f>
        <v>Éves</v>
      </c>
      <c r="C2" s="37"/>
      <c r="D2" s="30" t="str">
        <f>IF(ISBLANK($C$2),$B$2,$C$2)</f>
        <v>Éves</v>
      </c>
      <c r="G2" s="30" t="str">
        <f ca="1">IF(AND($M$4&gt;=Segédlet!$C$43,$M$4&lt;Segédlet!$C$47),"OK",IF(AND($M$4&gt;=Segédlet!$C$47,$M$4&lt;Segédlet!$C$48),IF($D$2="Egyszeri","OK","!"),"!"))</f>
        <v>!</v>
      </c>
      <c r="K2" t="s">
        <v>113</v>
      </c>
      <c r="M2" s="2">
        <f>Paraméterek!$C$50</f>
        <v>0.03</v>
      </c>
    </row>
    <row r="3" spans="1:46" x14ac:dyDescent="0.2">
      <c r="A3" s="30" t="s">
        <v>4</v>
      </c>
      <c r="B3" s="30" t="str">
        <f>IF(ISBLANK(Ajánlat!$E$13),"Átutalás",Ajánlat!$E$13)</f>
        <v>Átutalás</v>
      </c>
      <c r="C3" s="37"/>
      <c r="D3" s="30" t="str">
        <f>IF(ISBLANK($C$3),$B$3,$C$3)</f>
        <v>Átutalás</v>
      </c>
      <c r="G3" s="30" t="str">
        <f>IF(Ajánlat!$E$15&gt;=Segédlet!$B$53,"OK","!")</f>
        <v>!</v>
      </c>
      <c r="K3" t="s">
        <v>115</v>
      </c>
      <c r="M3">
        <f>VLOOKUP($D$3,Paraméterek!$B$16:$F$19,IF($D$2="Egyszeri",IF($D$4="Forint",4,5),IF($D$4="Forint",2,3)),0)</f>
        <v>100</v>
      </c>
      <c r="AF3" s="18"/>
    </row>
    <row r="4" spans="1:46" x14ac:dyDescent="0.2">
      <c r="A4" s="30" t="s">
        <v>5</v>
      </c>
      <c r="B4" s="30" t="str">
        <f>IF(ISBLANK(Ajánlat!$E$9),"Forint",Ajánlat!$E$9)</f>
        <v>Forint</v>
      </c>
      <c r="C4" s="37"/>
      <c r="D4" s="30" t="str">
        <f>IF(ISBLANK($C$4),$B$4,$C$4)</f>
        <v>Forint</v>
      </c>
      <c r="G4" s="30" t="str">
        <f>IF(Ajánlat!$J$4="","OK","!")</f>
        <v>OK</v>
      </c>
      <c r="K4" t="s">
        <v>116</v>
      </c>
      <c r="M4" s="5">
        <f ca="1">YEAR(TODAY())-YEAR($D$1)</f>
        <v>119</v>
      </c>
    </row>
    <row r="5" spans="1:46" x14ac:dyDescent="0.2">
      <c r="A5" s="30" t="s">
        <v>8</v>
      </c>
      <c r="B5" s="30" t="str">
        <f>IF(ISBLANK(Ajánlat!$N$7),"Premium",Ajánlat!$N$7)</f>
        <v>Premium</v>
      </c>
      <c r="C5" s="37"/>
      <c r="D5" s="30" t="str">
        <f>IF(ISBLANK($C$5),$B$5,$C$5)</f>
        <v>Premium</v>
      </c>
      <c r="E5" s="12"/>
      <c r="K5" t="s">
        <v>117</v>
      </c>
      <c r="M5">
        <f>VLOOKUP($D$5,Paraméterek!B46:D47,IF($D$4="Forint",2,3),0)</f>
        <v>550</v>
      </c>
      <c r="AF5" s="18"/>
    </row>
    <row r="6" spans="1:46" x14ac:dyDescent="0.2">
      <c r="A6" s="30" t="s">
        <v>6</v>
      </c>
      <c r="B6" s="38">
        <f>IF(ISBLANK(Ajánlat!$E$17),3%,Ajánlat!$E$17)</f>
        <v>0.03</v>
      </c>
      <c r="C6" s="39"/>
      <c r="D6" s="38">
        <f>IF(ISBLANK($C$6),$B$6,$C$6)</f>
        <v>0.03</v>
      </c>
      <c r="K6" s="1" t="s">
        <v>125</v>
      </c>
      <c r="M6" s="2">
        <f>POWER(1+$D$10+$D$9,1/12)-1</f>
        <v>0</v>
      </c>
    </row>
    <row r="7" spans="1:46" x14ac:dyDescent="0.2">
      <c r="A7" s="30" t="s">
        <v>0</v>
      </c>
      <c r="B7" s="32">
        <f>Ajánlat!$E$15</f>
        <v>0</v>
      </c>
      <c r="C7" s="40"/>
      <c r="D7" s="32">
        <f>IF(ISBLANK($C$7),$B$7,$C$7)</f>
        <v>0</v>
      </c>
      <c r="E7" t="str">
        <f>IF(AND($D$2="Havi",$D$3="Postai",$D$7*12&lt;150000),"Nem lehetséges!","")</f>
        <v/>
      </c>
      <c r="K7" s="1" t="s">
        <v>126</v>
      </c>
      <c r="M7" s="2">
        <f>POWER(1+$D$11+$D$9,1/12)-1</f>
        <v>0</v>
      </c>
    </row>
    <row r="8" spans="1:46" x14ac:dyDescent="0.2">
      <c r="A8" s="30" t="s">
        <v>1</v>
      </c>
      <c r="B8" s="32" t="str">
        <f>IF(ISBLANK(Ajánlat!$N$20),"Nincs",Ajánlat!$N$20)</f>
        <v>Nincs</v>
      </c>
      <c r="C8" s="40"/>
      <c r="D8" s="32" t="str">
        <f>IF(ISBLANK($C$8),$B$8,$C$8)</f>
        <v>Nincs</v>
      </c>
      <c r="E8" s="5"/>
      <c r="K8" s="1" t="s">
        <v>127</v>
      </c>
      <c r="M8" s="2">
        <f>POWER(1+$D$12+$D$9,1/12)-1</f>
        <v>0</v>
      </c>
    </row>
    <row r="9" spans="1:46" x14ac:dyDescent="0.2">
      <c r="A9" s="30" t="s">
        <v>10</v>
      </c>
      <c r="B9" s="33">
        <f>Ajánlat!$N$13</f>
        <v>0</v>
      </c>
      <c r="C9" s="41"/>
      <c r="D9" s="33">
        <f>IF(ISBLANK($C$9),$B$9,$C$9)</f>
        <v>0</v>
      </c>
      <c r="E9" s="2"/>
      <c r="K9" s="1" t="s">
        <v>128</v>
      </c>
      <c r="M9" s="2">
        <f>POWER(1+$D$13+$D$9,1/12)-1</f>
        <v>0</v>
      </c>
    </row>
    <row r="10" spans="1:46" x14ac:dyDescent="0.2">
      <c r="A10" s="30" t="s">
        <v>9</v>
      </c>
      <c r="B10" s="33">
        <f>Ajánlat!$N$15</f>
        <v>0</v>
      </c>
      <c r="C10" s="41"/>
      <c r="D10" s="33">
        <f>IF(ISBLANK($C$10),$B$10,$C$10)</f>
        <v>0</v>
      </c>
    </row>
    <row r="11" spans="1:46" x14ac:dyDescent="0.2">
      <c r="A11" s="30" t="s">
        <v>134</v>
      </c>
      <c r="B11" s="33">
        <f>Tranzakciók!$N$7</f>
        <v>0</v>
      </c>
      <c r="C11" s="41"/>
      <c r="D11" s="33">
        <f>IF(ISBLANK($C$11),$B$11,$C$11)</f>
        <v>0</v>
      </c>
    </row>
    <row r="12" spans="1:46" x14ac:dyDescent="0.2">
      <c r="A12" s="30" t="s">
        <v>123</v>
      </c>
      <c r="B12" s="33">
        <f>$B$11</f>
        <v>0</v>
      </c>
      <c r="C12" s="41"/>
      <c r="D12" s="33">
        <f>IF(ISBLANK($C$12),$B$12,$C$12)</f>
        <v>0</v>
      </c>
    </row>
    <row r="13" spans="1:46" x14ac:dyDescent="0.2">
      <c r="A13" s="30" t="s">
        <v>124</v>
      </c>
      <c r="B13" s="33">
        <f>$B$11</f>
        <v>0</v>
      </c>
      <c r="C13" s="41"/>
      <c r="D13" s="33">
        <f>IF(ISBLANK($C$13),$B$13,$C$13)</f>
        <v>0</v>
      </c>
    </row>
    <row r="15" spans="1:46" x14ac:dyDescent="0.2">
      <c r="H15" s="12"/>
      <c r="I15" s="12"/>
      <c r="J15" s="12"/>
      <c r="K15" s="12"/>
      <c r="L15" s="12"/>
      <c r="M15" s="12"/>
      <c r="N15" s="12"/>
      <c r="O15" s="12"/>
      <c r="AF15" s="18"/>
      <c r="AT15" s="12"/>
    </row>
    <row r="17" spans="1:52" x14ac:dyDescent="0.2">
      <c r="O17" s="12"/>
      <c r="AS17" s="1"/>
      <c r="AT17" s="12"/>
    </row>
    <row r="18" spans="1:52" x14ac:dyDescent="0.2">
      <c r="A18" t="s">
        <v>142</v>
      </c>
      <c r="D18" s="9"/>
      <c r="I18" s="9"/>
      <c r="L18" s="12"/>
      <c r="M18" s="12"/>
      <c r="N18" s="12"/>
      <c r="O18" s="12"/>
      <c r="P18" s="9"/>
      <c r="Q18" s="6"/>
      <c r="T18" s="15"/>
      <c r="Y18" s="12" t="s">
        <v>143</v>
      </c>
      <c r="AM18" s="12" t="s">
        <v>135</v>
      </c>
      <c r="AP18" s="1"/>
      <c r="AT18" s="12"/>
    </row>
    <row r="19" spans="1:52" x14ac:dyDescent="0.2">
      <c r="A19" s="30" t="s">
        <v>56</v>
      </c>
      <c r="B19" s="30" t="s">
        <v>57</v>
      </c>
      <c r="C19" s="30" t="s">
        <v>58</v>
      </c>
      <c r="D19" s="30" t="s">
        <v>111</v>
      </c>
      <c r="E19" s="30" t="s">
        <v>121</v>
      </c>
      <c r="F19" s="30" t="s">
        <v>112</v>
      </c>
      <c r="G19" s="30" t="s">
        <v>122</v>
      </c>
      <c r="H19" s="30" t="s">
        <v>60</v>
      </c>
      <c r="I19" s="30" t="s">
        <v>61</v>
      </c>
      <c r="J19" s="30" t="s">
        <v>59</v>
      </c>
      <c r="K19" s="30" t="s">
        <v>62</v>
      </c>
      <c r="L19" s="30" t="s">
        <v>63</v>
      </c>
      <c r="M19" s="30" t="s">
        <v>64</v>
      </c>
      <c r="N19" s="30" t="s">
        <v>65</v>
      </c>
      <c r="O19" s="30" t="s">
        <v>66</v>
      </c>
      <c r="P19" s="30" t="s">
        <v>67</v>
      </c>
      <c r="Q19" s="30" t="s">
        <v>120</v>
      </c>
      <c r="R19" s="30" t="s">
        <v>2</v>
      </c>
      <c r="S19" s="30" t="s">
        <v>68</v>
      </c>
      <c r="T19" s="30" t="s">
        <v>118</v>
      </c>
      <c r="U19" s="30" t="s">
        <v>119</v>
      </c>
      <c r="V19" s="30" t="s">
        <v>69</v>
      </c>
      <c r="W19" s="31" t="s">
        <v>70</v>
      </c>
      <c r="Y19" s="30" t="s">
        <v>56</v>
      </c>
      <c r="Z19" s="30" t="s">
        <v>57</v>
      </c>
      <c r="AA19" s="30" t="s">
        <v>58</v>
      </c>
      <c r="AB19" s="30" t="s">
        <v>64</v>
      </c>
      <c r="AC19" s="30" t="s">
        <v>120</v>
      </c>
      <c r="AD19" s="30" t="s">
        <v>2</v>
      </c>
      <c r="AE19" s="30" t="s">
        <v>68</v>
      </c>
      <c r="AF19" s="30" t="s">
        <v>152</v>
      </c>
      <c r="AG19" s="30" t="s">
        <v>131</v>
      </c>
      <c r="AH19" s="30" t="s">
        <v>132</v>
      </c>
      <c r="AI19" s="30" t="s">
        <v>130</v>
      </c>
      <c r="AJ19" s="30" t="s">
        <v>69</v>
      </c>
      <c r="AK19" s="30" t="s">
        <v>129</v>
      </c>
      <c r="AM19" s="30" t="s">
        <v>56</v>
      </c>
      <c r="AN19" s="30" t="s">
        <v>57</v>
      </c>
      <c r="AO19" s="30" t="s">
        <v>58</v>
      </c>
      <c r="AP19" s="30" t="s">
        <v>112</v>
      </c>
      <c r="AQ19" s="30" t="s">
        <v>122</v>
      </c>
      <c r="AR19" s="30" t="s">
        <v>64</v>
      </c>
      <c r="AS19" s="30" t="s">
        <v>120</v>
      </c>
      <c r="AT19" s="30" t="s">
        <v>2</v>
      </c>
      <c r="AU19" s="30" t="s">
        <v>68</v>
      </c>
      <c r="AV19" s="30" t="s">
        <v>118</v>
      </c>
      <c r="AW19" s="30" t="s">
        <v>119</v>
      </c>
      <c r="AX19" s="30" t="s">
        <v>133</v>
      </c>
      <c r="AY19" s="30" t="s">
        <v>69</v>
      </c>
      <c r="AZ19" s="30" t="s">
        <v>141</v>
      </c>
    </row>
    <row r="20" spans="1:52" x14ac:dyDescent="0.2">
      <c r="A20" s="32">
        <v>1</v>
      </c>
      <c r="B20" s="32">
        <v>1</v>
      </c>
      <c r="C20" s="32">
        <v>1</v>
      </c>
      <c r="D20" s="13">
        <f>IF($D$2="Egyszeri",IF($A20=1,$D$7,0),ROUNDUP(IF($D$2="Havi",$D$7,IF(MOD($C20,$M$1)-1=0,$D$7,0))*(1+$D$6)^($B20-1),IF($D$4="Forint",0,2)))</f>
        <v>0</v>
      </c>
      <c r="E20" s="13"/>
      <c r="F20" s="13">
        <f>Tranzakciók!$D$32</f>
        <v>0</v>
      </c>
      <c r="G20" s="13"/>
      <c r="H20" s="13">
        <f>ROUNDUP(IF(AND($D$8="Nincs",$D$2&lt;&gt;"Egyszeri"),$D20*10%,0),IF($D$4="Forint",0,2))</f>
        <v>0</v>
      </c>
      <c r="I20" s="13">
        <f>IF($D$2="Egyszeri",IF($A20=1,$M$3,0),ROUNDUP(IF($D$2="Havi",$M$3,IF(MOD($C20,$M$1)-1=0,$M$3,0))*(1+$M$2)^($B20-1),IF($D$4="Forint",0,2)))</f>
        <v>100</v>
      </c>
      <c r="J20" s="13">
        <f>IF(ISBLANK($E20),$D20,$E20)+IF(ISBLANK($G20),$F20,$G20)+$H20+$I20</f>
        <v>100</v>
      </c>
      <c r="K20" s="13">
        <f>ROUNDUP(IF($D$2="Egyszeri",$D20,IF($D$2="Havi",SUM($D$20:$D$31),IF(MOD($C20,$M$1)-1=0,SUM($D$20:$D$31),0))/12*$M$1)*VLOOKUP($B20,Paraméterek!$B$27:$D$30,IF($D$2="Egyszeri",3,2)),IF($D$4="Forint",0,2))</f>
        <v>0</v>
      </c>
      <c r="L20" s="13">
        <f>$D20-$K20+IF(ISBLANK($G20),$F20,$G20)</f>
        <v>0</v>
      </c>
      <c r="M20" s="13">
        <f>$L20</f>
        <v>0</v>
      </c>
      <c r="N20" s="13">
        <f ca="1">VLOOKUP($M$4-1+$B20,Paraméterek!$B$121:$D$122,IF($D$4="Forint",2,3))</f>
        <v>10000</v>
      </c>
      <c r="O20" s="13">
        <f ca="1">ROUNDUP($N20*Paraméterek!$C$58/Paraméterek!$C$56,IF($D$4="Forint",0,2))</f>
        <v>2</v>
      </c>
      <c r="P20" s="13">
        <f>ROUNDUP($M$5*(1+$M$2)^($B20-1),IF($D$4="Forint",0,2))</f>
        <v>550</v>
      </c>
      <c r="Q20" s="33"/>
      <c r="R20" s="13">
        <f ca="1">ROUNDDOWN(($M20-$O20-$P20)*IF(ISBLANK($Q20),$M$6,$Q20),IF($D$4="Forint",0,2))</f>
        <v>0</v>
      </c>
      <c r="S20" s="13">
        <f ca="1">ROUNDUP(($M20-$O20-$P20+$R20)*VLOOKUP($B20,Paraméterek!$B$38:$D$39,IF($D$2="Egyszeri",3,2))/12,IF($D$4="Forint",0,2))</f>
        <v>-2</v>
      </c>
      <c r="T20" s="30"/>
      <c r="U20" s="13"/>
      <c r="V20" s="13">
        <f ca="1">$M20-$O20-$P20+$R20-$S20-IF(ROUNDUP(IF(ISBLANK($U20),$T20,$U20)/IF(AND($B20=1,$D$2&lt;&gt;"Egyszeri"),1,VLOOKUP($B20+IF($C20=12,1,0),Paraméterek!$B$257:$D$267,IF($D$2="Egyszeri",3,2))),IF($D$4="Forint",0,2))&gt;$M20-$O20-$P20+$R20-$S20-IF($D$4="Forint",Paraméterek!$C$216,Paraméterek!$D$216),0,ROUNDUP(IF(ISBLANK($U20),$T20,$U20)/IF(AND($B20=1,$D$2&lt;&gt;"Egyszeri"),1,VLOOKUP($B20+IF($C20=12,1,0),Paraméterek!$B$257:$D$267,IF($D$2="Egyszeri",3,2))),IF($D$4="Forint",0,2)))</f>
        <v>-550</v>
      </c>
      <c r="W20" s="13">
        <f ca="1">ROUNDDOWN($V20*VLOOKUP($B20+IF($C20=12,1,0),Paraméterek!$B$257:$D$267,IF($D$2="Egyszeri",3,2)),IF($D$4="Forint",0,2))</f>
        <v>-357</v>
      </c>
      <c r="Y20" s="32">
        <v>1</v>
      </c>
      <c r="Z20" s="32">
        <v>1</v>
      </c>
      <c r="AA20" s="32">
        <v>1</v>
      </c>
      <c r="AB20" s="13">
        <v>0</v>
      </c>
      <c r="AC20" s="33"/>
      <c r="AD20" s="13">
        <f>ROUNDDOWN($AB20*IF(ISBLANK($AC20),$M$8,$AC20),IF($D$4="Forint",0,2))</f>
        <v>0</v>
      </c>
      <c r="AE20" s="13">
        <f>ROUNDUP(($AB20+$AD20)*VLOOKUP($Z20,Paraméterek!$P$38:$Q$38,2)/12,IF($D$4="Forint",0,2))</f>
        <v>0</v>
      </c>
      <c r="AF20" s="13">
        <f>IF($D$2="Egyszeri",IF($D$7&gt;=IF($D$4="Forint",Paraméterek!$P$223,Paraméterek!$P$224),$D$7-IF($D$4="Forint",Paraméterek!$F$223,Paraméterek!$F$224),0),MIN(IF($AA20=12,AVERAGE($D$20:$D20)*12,0),SUM($D$20:$D$31)))</f>
        <v>0</v>
      </c>
      <c r="AG20" s="13">
        <f>IF(AND($Z20&gt;=10,MOD($Z20,5)=0),$AF20*IF($AA20=12,VLOOKUP($Z20,Paraméterek!$B$225:$F$240,IF($AF20&lt;IF($D$4="Forint",Paraméterek!$C$223,Paraméterek!$C$224),2,IF($AF20&lt;IF($D$4="Forint",Paraméterek!$D$223,Paraméterek!$D$224),3,4))),0),0)</f>
        <v>0</v>
      </c>
      <c r="AH20" s="13">
        <f>IF(AND($Z20&gt;=5,MOD($Z20,5)=0),IF($AA20=12,VLOOKUP($Z20,Paraméterek!$B$225:$F$240,5),0),IF(OR($Z20=3,$Z20=4),IF($AA20=12,VLOOKUP($Z20,Paraméterek!$B$225:$F$240,5,0),0),0))*$AF20</f>
        <v>0</v>
      </c>
      <c r="AI20" s="13">
        <f>ROUNDDOWN(IF(SUM($T$20:$U20)=0,IF($D$2="Egyszeri",$AH20,$AG20),0),IF($D$4="Forint",0,2))</f>
        <v>0</v>
      </c>
      <c r="AJ20" s="13">
        <f>$AB20+$AD20-$AE20+$AI20</f>
        <v>0</v>
      </c>
      <c r="AK20" s="13">
        <f>$AJ20</f>
        <v>0</v>
      </c>
      <c r="AM20" s="32">
        <v>1</v>
      </c>
      <c r="AN20" s="32">
        <v>1</v>
      </c>
      <c r="AO20" s="32">
        <v>1</v>
      </c>
      <c r="AP20" s="13">
        <f>Tranzakciók!$K$32</f>
        <v>0</v>
      </c>
      <c r="AQ20" s="32"/>
      <c r="AR20" s="13">
        <f>IF(ISBLANK($AQ20),$AP20,$AQ20)</f>
        <v>0</v>
      </c>
      <c r="AS20" s="33"/>
      <c r="AT20" s="13">
        <f>ROUNDDOWN($AR20*IF(ISBLANK($AS20),$M$7,$AS20),IF($D$4="Forint",0,2))</f>
        <v>0</v>
      </c>
      <c r="AU20" s="13">
        <f>ROUNDUP(($AR20+$AT20)*VLOOKUP($AN20,Paraméterek!$P$38:$Q$38,2)/12,IF($D$4="Forint",0,2))</f>
        <v>0</v>
      </c>
      <c r="AV20" s="30"/>
      <c r="AW20" s="13"/>
      <c r="AX20" s="13">
        <f>ROUNDUP(IF(SUM($AV20:$AW20)=0,0,IF(IF(ISBLANK($AW20),$AV20,$AW20)*Paraméterek!$J$112&lt;IF($D$4="Forint",Paraméterek!$J$113,Paraméterek!$K$113),IF($D$4="Forint",Paraméterek!$J$113,Paraméterek!$K$113),IF(IF(ISBLANK($AW20),$AV20,$AW20)*Paraméterek!$J$112&gt;IF($D$4="Forint",Paraméterek!$J$114,Paraméterek!$K$114),IF($D$4="Forint",Paraméterek!$J$114,Paraméterek!$K$114),IF(ISBLANK($AW20),$AV20,$AW20)*Paraméterek!$J$112))),IF($D$4="Forint",0,2))</f>
        <v>0</v>
      </c>
      <c r="AY20" s="13">
        <f>$AR20+$AT20-$AU20-IF(ROUNDDOWN(IF(ISBLANK($AW20),$AV20,$AW20),IF($D$4="Forint",0,2))&gt;$AR20+$AT20-$AU20-IF($D$4="Forint",Paraméterek!$J$114,Paraméterek!$K$114),0,ROUNDDOWN(IF(ISBLANK($AW20),$AV20,$AW20),IF($D$4="Forint",0,2))-$AX20)</f>
        <v>0</v>
      </c>
      <c r="AZ20" s="13">
        <f>$AY20</f>
        <v>0</v>
      </c>
    </row>
    <row r="21" spans="1:52" x14ac:dyDescent="0.2">
      <c r="A21" s="32">
        <v>2</v>
      </c>
      <c r="B21" s="32">
        <v>1</v>
      </c>
      <c r="C21" s="32">
        <v>2</v>
      </c>
      <c r="D21" s="13">
        <f t="shared" ref="D21:D84" si="0">IF($D$2="Egyszeri",IF($A21=1,$D$7,0),ROUNDUP(IF($D$2="Havi",$D$7,IF(MOD($C21,$M$1)-1=0,$D$7,0))*(1+$D$6)^($B21-1),IF($D$4="Forint",0,2)))</f>
        <v>0</v>
      </c>
      <c r="E21" s="13"/>
      <c r="F21" s="13"/>
      <c r="G21" s="13"/>
      <c r="H21" s="13">
        <f t="shared" ref="H21:H84" si="1">ROUNDUP(IF(AND($D$8="Nincs",$D$2&lt;&gt;"Egyszeri"),$D21*10%,0),IF($D$4="Forint",0,2))</f>
        <v>0</v>
      </c>
      <c r="I21" s="13">
        <f t="shared" ref="I21:I84" si="2">IF($D$2="Egyszeri",IF($A21=1,$M$3,0),ROUNDUP(IF($D$2="Havi",$M$3,IF(MOD($C21,$M$1)-1=0,$M$3,0))*(1+$M$2)^($B21-1),IF($D$4="Forint",0,2)))</f>
        <v>0</v>
      </c>
      <c r="J21" s="13">
        <f t="shared" ref="J21:J84" si="3">IF(ISBLANK($E21),$D21,$E21)+IF(ISBLANK($G21),$F21,$G21)+$H21+$I21</f>
        <v>0</v>
      </c>
      <c r="K21" s="13">
        <f>ROUNDUP(IF($D$2="Egyszeri",$D21,IF($D$2="Havi",SUM($D$20:$D$31),IF(MOD($C21,$M$1)-1=0,SUM($D$20:$D$31),0))/12*$M$1)*VLOOKUP($B21,Paraméterek!$B$27:$D$30,IF($D$2="Egyszeri",3,2)),IF($D$4="Forint",0,2))</f>
        <v>0</v>
      </c>
      <c r="L21" s="13">
        <f t="shared" ref="L21:L84" si="4">$D21-$K21+IF(ISBLANK($G21),$F21,$G21)</f>
        <v>0</v>
      </c>
      <c r="M21" s="13">
        <f ca="1">$L21+$V20</f>
        <v>-550</v>
      </c>
      <c r="N21" s="13">
        <f ca="1">IF($V20&gt;=VLOOKUP($M$4-1+$B21,Paraméterek!$B$121:$D$122,IF($D$4="Forint",2,3)),0,VLOOKUP($M$4-1+$B21,Paraméterek!$B$121:$D$122,IF($D$4="Forint",2,3))-$V20)</f>
        <v>10550</v>
      </c>
      <c r="O21" s="13">
        <f ca="1">ROUNDUP($N21*Paraméterek!$C$58/Paraméterek!$C$56,IF($D$4="Forint",0,2))</f>
        <v>2</v>
      </c>
      <c r="P21" s="13">
        <f t="shared" ref="P21:P84" si="5">ROUNDUP($M$5*(1+$M$2)^($B21-1),IF($D$4="Forint",0,2))</f>
        <v>550</v>
      </c>
      <c r="Q21" s="33"/>
      <c r="R21" s="13">
        <f t="shared" ref="R21:R84" ca="1" si="6">ROUNDDOWN(($M21-$O21-$P21)*IF(ISBLANK($Q21),$M$6,$Q21),IF($D$4="Forint",0,2))</f>
        <v>0</v>
      </c>
      <c r="S21" s="13">
        <f ca="1">ROUNDUP(($M21-$O21-$P21+$R21)*VLOOKUP($B21,Paraméterek!$B$38:$D$39,IF($D$2="Egyszeri",3,2))/12,IF($D$4="Forint",0,2))</f>
        <v>-3</v>
      </c>
      <c r="T21" s="30"/>
      <c r="U21" s="13"/>
      <c r="V21" s="13">
        <f ca="1">$M21-$O21-$P21+$R21-$S21-IF(ROUNDUP(IF(ISBLANK($U21),$T21,$U21)/IF(AND($B21=1,$D$2&lt;&gt;"Egyszeri"),1,VLOOKUP($B21+IF($C21=12,1,0),Paraméterek!$B$257:$D$267,IF($D$2="Egyszeri",3,2))),IF($D$4="Forint",0,2))&gt;$M21-$O21-$P21+$R21-$S21-IF($D$4="Forint",Paraméterek!$C$216,Paraméterek!$D$216),0,ROUNDUP(IF(ISBLANK($U21),$T21,$U21)/IF(AND($B21=1,$D$2&lt;&gt;"Egyszeri"),1,VLOOKUP($B21+IF($C21=12,1,0),Paraméterek!$B$257:$D$267,IF($D$2="Egyszeri",3,2))),IF($D$4="Forint",0,2)))</f>
        <v>-1099</v>
      </c>
      <c r="W21" s="13">
        <f ca="1">ROUNDDOWN($V21*VLOOKUP($B21+IF($C21=12,1,0),Paraméterek!$B$257:$D$267,IF($D$2="Egyszeri",3,2)),IF($D$4="Forint",0,2))</f>
        <v>-714</v>
      </c>
      <c r="Y21" s="32">
        <v>2</v>
      </c>
      <c r="Z21" s="32">
        <v>1</v>
      </c>
      <c r="AA21" s="32">
        <v>2</v>
      </c>
      <c r="AB21" s="13">
        <f>$AJ20</f>
        <v>0</v>
      </c>
      <c r="AC21" s="33"/>
      <c r="AD21" s="13">
        <f t="shared" ref="AD21:AD84" si="7">ROUNDDOWN($AB21*IF(ISBLANK($AC21),$M$8,$AC21),IF($D$4="Forint",0,2))</f>
        <v>0</v>
      </c>
      <c r="AE21" s="13">
        <f>ROUNDUP(($AB21+$AD21)*VLOOKUP($Z21,Paraméterek!$P$38:$Q$38,2)/12,IF($D$4="Forint",0,2))</f>
        <v>0</v>
      </c>
      <c r="AF21" s="13">
        <f>IF($D$2="Egyszeri",IF($D$7&gt;=IF($D$4="Forint",Paraméterek!$P$223,Paraméterek!$P$224),$D$7-IF($D$4="Forint",Paraméterek!$F$223,Paraméterek!$F$224),0),MIN(IF($AA21=12,AVERAGE($D$20:$D21)*12,0),SUM($D$20:$D$31)))</f>
        <v>0</v>
      </c>
      <c r="AG21" s="13">
        <f>IF(AND($Z21&gt;=10,MOD($Z21,5)=0),$AF21*IF($AA21=12,VLOOKUP($Z21,Paraméterek!$B$225:$F$240,IF($AF21&lt;IF($D$4="Forint",Paraméterek!$C$223,Paraméterek!$C$224),2,IF($AF21&lt;IF($D$4="Forint",Paraméterek!$D$223,Paraméterek!$D$224),3,4))),0),0)</f>
        <v>0</v>
      </c>
      <c r="AH21" s="13">
        <f>IF(AND($Z21&gt;=5,MOD($Z21,5)=0),IF($AA21=12,VLOOKUP($Z21,Paraméterek!$B$225:$F$240,5),0),IF(OR($Z21=3,$Z21=4),IF($AA21=12,VLOOKUP($Z21,Paraméterek!$B$225:$F$240,5,0),0),0))*$AF21</f>
        <v>0</v>
      </c>
      <c r="AI21" s="13">
        <f>ROUNDDOWN(IF(SUM($T$20:$U21)=0,IF($D$2="Egyszeri",$AH21,$AG21),0),IF($D$4="Forint",0,2))</f>
        <v>0</v>
      </c>
      <c r="AJ21" s="13">
        <f>$AB21+$AD21-$AE21+$AI21</f>
        <v>0</v>
      </c>
      <c r="AK21" s="13">
        <f>$AJ21</f>
        <v>0</v>
      </c>
      <c r="AM21" s="32">
        <v>2</v>
      </c>
      <c r="AN21" s="32">
        <v>1</v>
      </c>
      <c r="AO21" s="32">
        <v>2</v>
      </c>
      <c r="AP21" s="13"/>
      <c r="AQ21" s="32"/>
      <c r="AR21" s="13">
        <f>IF(ISBLANK($AQ21),$AP21,$AQ21)+$AY20</f>
        <v>0</v>
      </c>
      <c r="AS21" s="33"/>
      <c r="AT21" s="13">
        <f t="shared" ref="AT21:AT84" si="8">ROUNDDOWN($AR21*IF(ISBLANK($AS21),$M$7,$AS21),IF($D$4="Forint",0,2))</f>
        <v>0</v>
      </c>
      <c r="AU21" s="13">
        <f>ROUNDUP(($AR21+$AT21)*VLOOKUP($AN21,Paraméterek!$P$38:$Q$38,2)/12,IF($D$4="Forint",0,2))</f>
        <v>0</v>
      </c>
      <c r="AV21" s="30"/>
      <c r="AW21" s="13"/>
      <c r="AX21" s="13">
        <f>ROUNDUP(IF(SUM($AV21:$AW21)=0,0,IF(IF(ISBLANK($AW21),$AV21,$AW21)*Paraméterek!$J$112&lt;IF($D$4="Forint",Paraméterek!$J$113,Paraméterek!$K$113),IF($D$4="Forint",Paraméterek!$J$113,Paraméterek!$K$113),IF(IF(ISBLANK($AW21),$AV21,$AW21)*Paraméterek!$J$112&gt;IF($D$4="Forint",Paraméterek!$J$114,Paraméterek!$K$114),IF($D$4="Forint",Paraméterek!$J$114,Paraméterek!$K$114),IF(ISBLANK($AW21),$AV21,$AW21)*Paraméterek!$J$112))),IF($D$4="Forint",0,2))</f>
        <v>0</v>
      </c>
      <c r="AY21" s="13">
        <f>$AR21+$AT21-$AU21-IF(ROUNDDOWN(IF(ISBLANK($AW21),$AV21,$AW21),IF($D$4="Forint",0,2))&gt;$AR21+$AT21-$AU21-IF($D$4="Forint",Paraméterek!$J$114,Paraméterek!$K$114),0,ROUNDDOWN(IF(ISBLANK($AW21),$AV21,$AW21),IF($D$4="Forint",0,2))-$AX21)</f>
        <v>0</v>
      </c>
      <c r="AZ21" s="13">
        <f t="shared" ref="AZ21:AZ84" si="9">$AY21</f>
        <v>0</v>
      </c>
    </row>
    <row r="22" spans="1:52" x14ac:dyDescent="0.2">
      <c r="A22" s="32">
        <v>3</v>
      </c>
      <c r="B22" s="32">
        <v>1</v>
      </c>
      <c r="C22" s="32">
        <v>3</v>
      </c>
      <c r="D22" s="13">
        <f t="shared" si="0"/>
        <v>0</v>
      </c>
      <c r="E22" s="13"/>
      <c r="F22" s="13"/>
      <c r="G22" s="13"/>
      <c r="H22" s="13">
        <f t="shared" si="1"/>
        <v>0</v>
      </c>
      <c r="I22" s="13">
        <f t="shared" si="2"/>
        <v>0</v>
      </c>
      <c r="J22" s="13">
        <f t="shared" si="3"/>
        <v>0</v>
      </c>
      <c r="K22" s="13">
        <f>ROUNDUP(IF($D$2="Egyszeri",$D22,IF($D$2="Havi",SUM($D$20:$D$31),IF(MOD($C22,$M$1)-1=0,SUM($D$20:$D$31),0))/12*$M$1)*VLOOKUP($B22,Paraméterek!$B$27:$D$30,IF($D$2="Egyszeri",3,2)),IF($D$4="Forint",0,2))</f>
        <v>0</v>
      </c>
      <c r="L22" s="13">
        <f t="shared" si="4"/>
        <v>0</v>
      </c>
      <c r="M22" s="13">
        <f t="shared" ref="M22:M85" ca="1" si="10">$L22+$V21</f>
        <v>-1099</v>
      </c>
      <c r="N22" s="13">
        <f ca="1">IF($V21&gt;=VLOOKUP($M$4-1+$B22,Paraméterek!$B$121:$D$122,IF($D$4="Forint",2,3)),0,VLOOKUP($M$4-1+$B22,Paraméterek!$B$121:$D$122,IF($D$4="Forint",2,3))-$V21)</f>
        <v>11099</v>
      </c>
      <c r="O22" s="13">
        <f ca="1">ROUNDUP($N22*Paraméterek!$C$58/Paraméterek!$C$56,IF($D$4="Forint",0,2))</f>
        <v>2</v>
      </c>
      <c r="P22" s="13">
        <f t="shared" si="5"/>
        <v>550</v>
      </c>
      <c r="Q22" s="33"/>
      <c r="R22" s="13">
        <f t="shared" ca="1" si="6"/>
        <v>0</v>
      </c>
      <c r="S22" s="13">
        <f ca="1">ROUNDUP(($M22-$O22-$P22+$R22)*VLOOKUP($B22,Paraméterek!$B$38:$D$39,IF($D$2="Egyszeri",3,2))/12,IF($D$4="Forint",0,2))</f>
        <v>-5</v>
      </c>
      <c r="T22" s="30"/>
      <c r="U22" s="13"/>
      <c r="V22" s="13">
        <f ca="1">$M22-$O22-$P22+$R22-$S22-IF(ROUNDUP(IF(ISBLANK($U22),$T22,$U22)/IF(AND($B22=1,$D$2&lt;&gt;"Egyszeri"),1,VLOOKUP($B22+IF($C22=12,1,0),Paraméterek!$B$257:$D$267,IF($D$2="Egyszeri",3,2))),IF($D$4="Forint",0,2))&gt;$M22-$O22-$P22+$R22-$S22-IF($D$4="Forint",Paraméterek!$C$216,Paraméterek!$D$216),0,ROUNDUP(IF(ISBLANK($U22),$T22,$U22)/IF(AND($B22=1,$D$2&lt;&gt;"Egyszeri"),1,VLOOKUP($B22+IF($C22=12,1,0),Paraméterek!$B$257:$D$267,IF($D$2="Egyszeri",3,2))),IF($D$4="Forint",0,2)))</f>
        <v>-1646</v>
      </c>
      <c r="W22" s="13">
        <f ca="1">ROUNDDOWN($V22*VLOOKUP($B22+IF($C22=12,1,0),Paraméterek!$B$257:$D$267,IF($D$2="Egyszeri",3,2)),IF($D$4="Forint",0,2))</f>
        <v>-1069</v>
      </c>
      <c r="Y22" s="32">
        <v>3</v>
      </c>
      <c r="Z22" s="32">
        <v>1</v>
      </c>
      <c r="AA22" s="32">
        <v>3</v>
      </c>
      <c r="AB22" s="13">
        <f t="shared" ref="AB22:AB85" si="11">$AJ21</f>
        <v>0</v>
      </c>
      <c r="AC22" s="33"/>
      <c r="AD22" s="13">
        <f t="shared" si="7"/>
        <v>0</v>
      </c>
      <c r="AE22" s="13">
        <f>ROUNDUP(($AB22+$AD22)*VLOOKUP($Z22,Paraméterek!$P$38:$Q$38,2)/12,IF($D$4="Forint",0,2))</f>
        <v>0</v>
      </c>
      <c r="AF22" s="13">
        <f>IF($D$2="Egyszeri",IF($D$7&gt;=IF($D$4="Forint",Paraméterek!$P$223,Paraméterek!$P$224),$D$7-IF($D$4="Forint",Paraméterek!$F$223,Paraméterek!$F$224),0),MIN(IF($AA22=12,AVERAGE($D$20:$D22)*12,0),SUM($D$20:$D$31)))</f>
        <v>0</v>
      </c>
      <c r="AG22" s="13">
        <f>IF(AND($Z22&gt;=10,MOD($Z22,5)=0),$AF22*IF($AA22=12,VLOOKUP($Z22,Paraméterek!$B$225:$F$240,IF($AF22&lt;IF($D$4="Forint",Paraméterek!$C$223,Paraméterek!$C$224),2,IF($AF22&lt;IF($D$4="Forint",Paraméterek!$D$223,Paraméterek!$D$224),3,4))),0),0)</f>
        <v>0</v>
      </c>
      <c r="AH22" s="13">
        <f>IF(AND($Z22&gt;=5,MOD($Z22,5)=0),IF($AA22=12,VLOOKUP($Z22,Paraméterek!$B$225:$F$240,5),0),IF(OR($Z22=3,$Z22=4),IF($AA22=12,VLOOKUP($Z22,Paraméterek!$B$225:$F$240,5,0),0),0))*$AF22</f>
        <v>0</v>
      </c>
      <c r="AI22" s="13">
        <f>ROUNDDOWN(IF(SUM($T$20:$U22)=0,IF($D$2="Egyszeri",$AH22,$AG22),0),IF($D$4="Forint",0,2))</f>
        <v>0</v>
      </c>
      <c r="AJ22" s="13">
        <f t="shared" ref="AJ22:AJ85" si="12">$AB22+$AD22-$AE22+$AI22</f>
        <v>0</v>
      </c>
      <c r="AK22" s="13">
        <f t="shared" ref="AK22:AK85" si="13">$AJ22</f>
        <v>0</v>
      </c>
      <c r="AM22" s="32">
        <v>3</v>
      </c>
      <c r="AN22" s="32">
        <v>1</v>
      </c>
      <c r="AO22" s="32">
        <v>3</v>
      </c>
      <c r="AP22" s="13"/>
      <c r="AQ22" s="32"/>
      <c r="AR22" s="13">
        <f t="shared" ref="AR22:AR85" si="14">IF(ISBLANK($AQ22),$AP22,$AQ22)+$AY21</f>
        <v>0</v>
      </c>
      <c r="AS22" s="33"/>
      <c r="AT22" s="13">
        <f t="shared" si="8"/>
        <v>0</v>
      </c>
      <c r="AU22" s="13">
        <f>ROUNDUP(($AR22+$AT22)*VLOOKUP($AN22,Paraméterek!$P$38:$Q$38,2)/12,IF($D$4="Forint",0,2))</f>
        <v>0</v>
      </c>
      <c r="AV22" s="30"/>
      <c r="AW22" s="13"/>
      <c r="AX22" s="13">
        <f>ROUNDUP(IF(SUM($AV22:$AW22)=0,0,IF(IF(ISBLANK($AW22),$AV22,$AW22)*Paraméterek!$J$112&lt;IF($D$4="Forint",Paraméterek!$J$113,Paraméterek!$K$113),IF($D$4="Forint",Paraméterek!$J$113,Paraméterek!$K$113),IF(IF(ISBLANK($AW22),$AV22,$AW22)*Paraméterek!$J$112&gt;IF($D$4="Forint",Paraméterek!$J$114,Paraméterek!$K$114),IF($D$4="Forint",Paraméterek!$J$114,Paraméterek!$K$114),IF(ISBLANK($AW22),$AV22,$AW22)*Paraméterek!$J$112))),IF($D$4="Forint",0,2))</f>
        <v>0</v>
      </c>
      <c r="AY22" s="13">
        <f>$AR22+$AT22-$AU22-IF(ROUNDDOWN(IF(ISBLANK($AW22),$AV22,$AW22),IF($D$4="Forint",0,2))&gt;$AR22+$AT22-$AU22-IF($D$4="Forint",Paraméterek!$J$114,Paraméterek!$K$114),0,ROUNDDOWN(IF(ISBLANK($AW22),$AV22,$AW22),IF($D$4="Forint",0,2))-$AX22)</f>
        <v>0</v>
      </c>
      <c r="AZ22" s="13">
        <f t="shared" si="9"/>
        <v>0</v>
      </c>
    </row>
    <row r="23" spans="1:52" x14ac:dyDescent="0.2">
      <c r="A23" s="32">
        <v>4</v>
      </c>
      <c r="B23" s="32">
        <v>1</v>
      </c>
      <c r="C23" s="32">
        <v>4</v>
      </c>
      <c r="D23" s="13">
        <f t="shared" si="0"/>
        <v>0</v>
      </c>
      <c r="E23" s="13"/>
      <c r="F23" s="13"/>
      <c r="G23" s="13"/>
      <c r="H23" s="13">
        <f t="shared" si="1"/>
        <v>0</v>
      </c>
      <c r="I23" s="13">
        <f t="shared" si="2"/>
        <v>0</v>
      </c>
      <c r="J23" s="13">
        <f t="shared" si="3"/>
        <v>0</v>
      </c>
      <c r="K23" s="13">
        <f>ROUNDUP(IF($D$2="Egyszeri",$D23,IF($D$2="Havi",SUM($D$20:$D$31),IF(MOD($C23,$M$1)-1=0,SUM($D$20:$D$31),0))/12*$M$1)*VLOOKUP($B23,Paraméterek!$B$27:$D$30,IF($D$2="Egyszeri",3,2)),IF($D$4="Forint",0,2))</f>
        <v>0</v>
      </c>
      <c r="L23" s="13">
        <f t="shared" si="4"/>
        <v>0</v>
      </c>
      <c r="M23" s="13">
        <f t="shared" ca="1" si="10"/>
        <v>-1646</v>
      </c>
      <c r="N23" s="13">
        <f ca="1">IF($V22&gt;=VLOOKUP($M$4-1+$B23,Paraméterek!$B$121:$D$122,IF($D$4="Forint",2,3)),0,VLOOKUP($M$4-1+$B23,Paraméterek!$B$121:$D$122,IF($D$4="Forint",2,3))-$V22)</f>
        <v>11646</v>
      </c>
      <c r="O23" s="13">
        <f ca="1">ROUNDUP($N23*Paraméterek!$C$58/Paraméterek!$C$56,IF($D$4="Forint",0,2))</f>
        <v>2</v>
      </c>
      <c r="P23" s="13">
        <f t="shared" si="5"/>
        <v>550</v>
      </c>
      <c r="Q23" s="33"/>
      <c r="R23" s="13">
        <f t="shared" ca="1" si="6"/>
        <v>0</v>
      </c>
      <c r="S23" s="13">
        <f ca="1">ROUNDUP(($M23-$O23-$P23+$R23)*VLOOKUP($B23,Paraméterek!$B$38:$D$39,IF($D$2="Egyszeri",3,2))/12,IF($D$4="Forint",0,2))</f>
        <v>-6</v>
      </c>
      <c r="T23" s="30"/>
      <c r="U23" s="13"/>
      <c r="V23" s="13">
        <f ca="1">$M23-$O23-$P23+$R23-$S23-IF(ROUNDUP(IF(ISBLANK($U23),$T23,$U23)/IF(AND($B23=1,$D$2&lt;&gt;"Egyszeri"),1,VLOOKUP($B23+IF($C23=12,1,0),Paraméterek!$B$257:$D$267,IF($D$2="Egyszeri",3,2))),IF($D$4="Forint",0,2))&gt;$M23-$O23-$P23+$R23-$S23-IF($D$4="Forint",Paraméterek!$C$216,Paraméterek!$D$216),0,ROUNDUP(IF(ISBLANK($U23),$T23,$U23)/IF(AND($B23=1,$D$2&lt;&gt;"Egyszeri"),1,VLOOKUP($B23+IF($C23=12,1,0),Paraméterek!$B$257:$D$267,IF($D$2="Egyszeri",3,2))),IF($D$4="Forint",0,2)))</f>
        <v>-2192</v>
      </c>
      <c r="W23" s="13">
        <f ca="1">ROUNDDOWN($V23*VLOOKUP($B23+IF($C23=12,1,0),Paraméterek!$B$257:$D$267,IF($D$2="Egyszeri",3,2)),IF($D$4="Forint",0,2))</f>
        <v>-1424</v>
      </c>
      <c r="Y23" s="32">
        <v>4</v>
      </c>
      <c r="Z23" s="32">
        <v>1</v>
      </c>
      <c r="AA23" s="32">
        <v>4</v>
      </c>
      <c r="AB23" s="13">
        <f t="shared" si="11"/>
        <v>0</v>
      </c>
      <c r="AC23" s="33"/>
      <c r="AD23" s="13">
        <f t="shared" si="7"/>
        <v>0</v>
      </c>
      <c r="AE23" s="13">
        <f>ROUNDUP(($AB23+$AD23)*VLOOKUP($Z23,Paraméterek!$P$38:$Q$38,2)/12,IF($D$4="Forint",0,2))</f>
        <v>0</v>
      </c>
      <c r="AF23" s="13">
        <f>IF($D$2="Egyszeri",IF($D$7&gt;=IF($D$4="Forint",Paraméterek!$P$223,Paraméterek!$P$224),$D$7-IF($D$4="Forint",Paraméterek!$F$223,Paraméterek!$F$224),0),MIN(IF($AA23=12,AVERAGE($D$20:$D23)*12,0),SUM($D$20:$D$31)))</f>
        <v>0</v>
      </c>
      <c r="AG23" s="13">
        <f>IF(AND($Z23&gt;=10,MOD($Z23,5)=0),$AF23*IF($AA23=12,VLOOKUP($Z23,Paraméterek!$B$225:$F$240,IF($AF23&lt;IF($D$4="Forint",Paraméterek!$C$223,Paraméterek!$C$224),2,IF($AF23&lt;IF($D$4="Forint",Paraméterek!$D$223,Paraméterek!$D$224),3,4))),0),0)</f>
        <v>0</v>
      </c>
      <c r="AH23" s="13">
        <f>IF(AND($Z23&gt;=5,MOD($Z23,5)=0),IF($AA23=12,VLOOKUP($Z23,Paraméterek!$B$225:$F$240,5),0),IF(OR($Z23=3,$Z23=4),IF($AA23=12,VLOOKUP($Z23,Paraméterek!$B$225:$F$240,5,0),0),0))*$AF23</f>
        <v>0</v>
      </c>
      <c r="AI23" s="13">
        <f>ROUNDDOWN(IF(SUM($T$20:$U23)=0,IF($D$2="Egyszeri",$AH23,$AG23),0),IF($D$4="Forint",0,2))</f>
        <v>0</v>
      </c>
      <c r="AJ23" s="13">
        <f t="shared" si="12"/>
        <v>0</v>
      </c>
      <c r="AK23" s="13">
        <f t="shared" si="13"/>
        <v>0</v>
      </c>
      <c r="AM23" s="32">
        <v>4</v>
      </c>
      <c r="AN23" s="32">
        <v>1</v>
      </c>
      <c r="AO23" s="32">
        <v>4</v>
      </c>
      <c r="AP23" s="13"/>
      <c r="AQ23" s="32"/>
      <c r="AR23" s="13">
        <f t="shared" si="14"/>
        <v>0</v>
      </c>
      <c r="AS23" s="33"/>
      <c r="AT23" s="13">
        <f t="shared" si="8"/>
        <v>0</v>
      </c>
      <c r="AU23" s="13">
        <f>ROUNDUP(($AR23+$AT23)*VLOOKUP($AN23,Paraméterek!$P$38:$Q$38,2)/12,IF($D$4="Forint",0,2))</f>
        <v>0</v>
      </c>
      <c r="AV23" s="30"/>
      <c r="AW23" s="13"/>
      <c r="AX23" s="13">
        <f>ROUNDUP(IF(SUM($AV23:$AW23)=0,0,IF(IF(ISBLANK($AW23),$AV23,$AW23)*Paraméterek!$J$112&lt;IF($D$4="Forint",Paraméterek!$J$113,Paraméterek!$K$113),IF($D$4="Forint",Paraméterek!$J$113,Paraméterek!$K$113),IF(IF(ISBLANK($AW23),$AV23,$AW23)*Paraméterek!$J$112&gt;IF($D$4="Forint",Paraméterek!$J$114,Paraméterek!$K$114),IF($D$4="Forint",Paraméterek!$J$114,Paraméterek!$K$114),IF(ISBLANK($AW23),$AV23,$AW23)*Paraméterek!$J$112))),IF($D$4="Forint",0,2))</f>
        <v>0</v>
      </c>
      <c r="AY23" s="13">
        <f>$AR23+$AT23-$AU23-IF(ROUNDDOWN(IF(ISBLANK($AW23),$AV23,$AW23),IF($D$4="Forint",0,2))&gt;$AR23+$AT23-$AU23-IF($D$4="Forint",Paraméterek!$J$114,Paraméterek!$K$114),0,ROUNDDOWN(IF(ISBLANK($AW23),$AV23,$AW23),IF($D$4="Forint",0,2))-$AX23)</f>
        <v>0</v>
      </c>
      <c r="AZ23" s="13">
        <f t="shared" si="9"/>
        <v>0</v>
      </c>
    </row>
    <row r="24" spans="1:52" x14ac:dyDescent="0.2">
      <c r="A24" s="32">
        <v>5</v>
      </c>
      <c r="B24" s="32">
        <v>1</v>
      </c>
      <c r="C24" s="32">
        <v>5</v>
      </c>
      <c r="D24" s="13">
        <f t="shared" si="0"/>
        <v>0</v>
      </c>
      <c r="E24" s="13"/>
      <c r="F24" s="13"/>
      <c r="G24" s="13"/>
      <c r="H24" s="13">
        <f t="shared" si="1"/>
        <v>0</v>
      </c>
      <c r="I24" s="13">
        <f t="shared" si="2"/>
        <v>0</v>
      </c>
      <c r="J24" s="13">
        <f t="shared" si="3"/>
        <v>0</v>
      </c>
      <c r="K24" s="13">
        <f>ROUNDUP(IF($D$2="Egyszeri",$D24,IF($D$2="Havi",SUM($D$20:$D$31),IF(MOD($C24,$M$1)-1=0,SUM($D$20:$D$31),0))/12*$M$1)*VLOOKUP($B24,Paraméterek!$B$27:$D$30,IF($D$2="Egyszeri",3,2)),IF($D$4="Forint",0,2))</f>
        <v>0</v>
      </c>
      <c r="L24" s="13">
        <f t="shared" si="4"/>
        <v>0</v>
      </c>
      <c r="M24" s="13">
        <f t="shared" ca="1" si="10"/>
        <v>-2192</v>
      </c>
      <c r="N24" s="13">
        <f ca="1">IF($V23&gt;=VLOOKUP($M$4-1+$B24,Paraméterek!$B$121:$D$122,IF($D$4="Forint",2,3)),0,VLOOKUP($M$4-1+$B24,Paraméterek!$B$121:$D$122,IF($D$4="Forint",2,3))-$V23)</f>
        <v>12192</v>
      </c>
      <c r="O24" s="13">
        <f ca="1">ROUNDUP($N24*Paraméterek!$C$58/Paraméterek!$C$56,IF($D$4="Forint",0,2))</f>
        <v>2</v>
      </c>
      <c r="P24" s="13">
        <f t="shared" si="5"/>
        <v>550</v>
      </c>
      <c r="Q24" s="33"/>
      <c r="R24" s="13">
        <f t="shared" ca="1" si="6"/>
        <v>0</v>
      </c>
      <c r="S24" s="13">
        <f ca="1">ROUNDUP(($M24-$O24-$P24+$R24)*VLOOKUP($B24,Paraméterek!$B$38:$D$39,IF($D$2="Egyszeri",3,2))/12,IF($D$4="Forint",0,2))</f>
        <v>-8</v>
      </c>
      <c r="T24" s="30"/>
      <c r="U24" s="13"/>
      <c r="V24" s="13">
        <f ca="1">$M24-$O24-$P24+$R24-$S24-IF(ROUNDUP(IF(ISBLANK($U24),$T24,$U24)/IF(AND($B24=1,$D$2&lt;&gt;"Egyszeri"),1,VLOOKUP($B24+IF($C24=12,1,0),Paraméterek!$B$257:$D$267,IF($D$2="Egyszeri",3,2))),IF($D$4="Forint",0,2))&gt;$M24-$O24-$P24+$R24-$S24-IF($D$4="Forint",Paraméterek!$C$216,Paraméterek!$D$216),0,ROUNDUP(IF(ISBLANK($U24),$T24,$U24)/IF(AND($B24=1,$D$2&lt;&gt;"Egyszeri"),1,VLOOKUP($B24+IF($C24=12,1,0),Paraméterek!$B$257:$D$267,IF($D$2="Egyszeri",3,2))),IF($D$4="Forint",0,2)))</f>
        <v>-2736</v>
      </c>
      <c r="W24" s="13">
        <f ca="1">ROUNDDOWN($V24*VLOOKUP($B24+IF($C24=12,1,0),Paraméterek!$B$257:$D$267,IF($D$2="Egyszeri",3,2)),IF($D$4="Forint",0,2))</f>
        <v>-1778</v>
      </c>
      <c r="Y24" s="32">
        <v>5</v>
      </c>
      <c r="Z24" s="32">
        <v>1</v>
      </c>
      <c r="AA24" s="32">
        <v>5</v>
      </c>
      <c r="AB24" s="13">
        <f t="shared" si="11"/>
        <v>0</v>
      </c>
      <c r="AC24" s="33"/>
      <c r="AD24" s="13">
        <f t="shared" si="7"/>
        <v>0</v>
      </c>
      <c r="AE24" s="13">
        <f>ROUNDUP(($AB24+$AD24)*VLOOKUP($Z24,Paraméterek!$P$38:$Q$38,2)/12,IF($D$4="Forint",0,2))</f>
        <v>0</v>
      </c>
      <c r="AF24" s="13">
        <f>IF($D$2="Egyszeri",IF($D$7&gt;=IF($D$4="Forint",Paraméterek!$P$223,Paraméterek!$P$224),$D$7-IF($D$4="Forint",Paraméterek!$F$223,Paraméterek!$F$224),0),MIN(IF($AA24=12,AVERAGE($D$20:$D24)*12,0),SUM($D$20:$D$31)))</f>
        <v>0</v>
      </c>
      <c r="AG24" s="13">
        <f>IF(AND($Z24&gt;=10,MOD($Z24,5)=0),$AF24*IF($AA24=12,VLOOKUP($Z24,Paraméterek!$B$225:$F$240,IF($AF24&lt;IF($D$4="Forint",Paraméterek!$C$223,Paraméterek!$C$224),2,IF($AF24&lt;IF($D$4="Forint",Paraméterek!$D$223,Paraméterek!$D$224),3,4))),0),0)</f>
        <v>0</v>
      </c>
      <c r="AH24" s="13">
        <f>IF(AND($Z24&gt;=5,MOD($Z24,5)=0),IF($AA24=12,VLOOKUP($Z24,Paraméterek!$B$225:$F$240,5),0),IF(OR($Z24=3,$Z24=4),IF($AA24=12,VLOOKUP($Z24,Paraméterek!$B$225:$F$240,5,0),0),0))*$AF24</f>
        <v>0</v>
      </c>
      <c r="AI24" s="13">
        <f>ROUNDDOWN(IF(SUM($T$20:$U24)=0,IF($D$2="Egyszeri",$AH24,$AG24),0),IF($D$4="Forint",0,2))</f>
        <v>0</v>
      </c>
      <c r="AJ24" s="13">
        <f t="shared" si="12"/>
        <v>0</v>
      </c>
      <c r="AK24" s="13">
        <f t="shared" si="13"/>
        <v>0</v>
      </c>
      <c r="AM24" s="32">
        <v>5</v>
      </c>
      <c r="AN24" s="32">
        <v>1</v>
      </c>
      <c r="AO24" s="32">
        <v>5</v>
      </c>
      <c r="AP24" s="13"/>
      <c r="AQ24" s="32"/>
      <c r="AR24" s="13">
        <f t="shared" si="14"/>
        <v>0</v>
      </c>
      <c r="AS24" s="33"/>
      <c r="AT24" s="13">
        <f t="shared" si="8"/>
        <v>0</v>
      </c>
      <c r="AU24" s="13">
        <f>ROUNDUP(($AR24+$AT24)*VLOOKUP($AN24,Paraméterek!$P$38:$Q$38,2)/12,IF($D$4="Forint",0,2))</f>
        <v>0</v>
      </c>
      <c r="AV24" s="30"/>
      <c r="AW24" s="13"/>
      <c r="AX24" s="13">
        <f>ROUNDUP(IF(SUM($AV24:$AW24)=0,0,IF(IF(ISBLANK($AW24),$AV24,$AW24)*Paraméterek!$J$112&lt;IF($D$4="Forint",Paraméterek!$J$113,Paraméterek!$K$113),IF($D$4="Forint",Paraméterek!$J$113,Paraméterek!$K$113),IF(IF(ISBLANK($AW24),$AV24,$AW24)*Paraméterek!$J$112&gt;IF($D$4="Forint",Paraméterek!$J$114,Paraméterek!$K$114),IF($D$4="Forint",Paraméterek!$J$114,Paraméterek!$K$114),IF(ISBLANK($AW24),$AV24,$AW24)*Paraméterek!$J$112))),IF($D$4="Forint",0,2))</f>
        <v>0</v>
      </c>
      <c r="AY24" s="13">
        <f>$AR24+$AT24-$AU24-IF(ROUNDDOWN(IF(ISBLANK($AW24),$AV24,$AW24),IF($D$4="Forint",0,2))&gt;$AR24+$AT24-$AU24-IF($D$4="Forint",Paraméterek!$J$114,Paraméterek!$K$114),0,ROUNDDOWN(IF(ISBLANK($AW24),$AV24,$AW24),IF($D$4="Forint",0,2))-$AX24)</f>
        <v>0</v>
      </c>
      <c r="AZ24" s="13">
        <f t="shared" si="9"/>
        <v>0</v>
      </c>
    </row>
    <row r="25" spans="1:52" x14ac:dyDescent="0.2">
      <c r="A25" s="32">
        <v>6</v>
      </c>
      <c r="B25" s="32">
        <v>1</v>
      </c>
      <c r="C25" s="32">
        <v>6</v>
      </c>
      <c r="D25" s="13">
        <f t="shared" si="0"/>
        <v>0</v>
      </c>
      <c r="E25" s="13"/>
      <c r="F25" s="13"/>
      <c r="G25" s="13"/>
      <c r="H25" s="13">
        <f t="shared" si="1"/>
        <v>0</v>
      </c>
      <c r="I25" s="13">
        <f t="shared" si="2"/>
        <v>0</v>
      </c>
      <c r="J25" s="13">
        <f t="shared" si="3"/>
        <v>0</v>
      </c>
      <c r="K25" s="13">
        <f>ROUNDUP(IF($D$2="Egyszeri",$D25,IF($D$2="Havi",SUM($D$20:$D$31),IF(MOD($C25,$M$1)-1=0,SUM($D$20:$D$31),0))/12*$M$1)*VLOOKUP($B25,Paraméterek!$B$27:$D$30,IF($D$2="Egyszeri",3,2)),IF($D$4="Forint",0,2))</f>
        <v>0</v>
      </c>
      <c r="L25" s="13">
        <f t="shared" si="4"/>
        <v>0</v>
      </c>
      <c r="M25" s="13">
        <f t="shared" ca="1" si="10"/>
        <v>-2736</v>
      </c>
      <c r="N25" s="13">
        <f ca="1">IF($V24&gt;=VLOOKUP($M$4-1+$B25,Paraméterek!$B$121:$D$122,IF($D$4="Forint",2,3)),0,VLOOKUP($M$4-1+$B25,Paraméterek!$B$121:$D$122,IF($D$4="Forint",2,3))-$V24)</f>
        <v>12736</v>
      </c>
      <c r="O25" s="13">
        <f ca="1">ROUNDUP($N25*Paraméterek!$C$58/Paraméterek!$C$56,IF($D$4="Forint",0,2))</f>
        <v>3</v>
      </c>
      <c r="P25" s="13">
        <f t="shared" si="5"/>
        <v>550</v>
      </c>
      <c r="Q25" s="33"/>
      <c r="R25" s="13">
        <f t="shared" ca="1" si="6"/>
        <v>0</v>
      </c>
      <c r="S25" s="13">
        <f ca="1">ROUNDUP(($M25-$O25-$P25+$R25)*VLOOKUP($B25,Paraméterek!$B$38:$D$39,IF($D$2="Egyszeri",3,2))/12,IF($D$4="Forint",0,2))</f>
        <v>-9</v>
      </c>
      <c r="T25" s="30"/>
      <c r="U25" s="13"/>
      <c r="V25" s="13">
        <f ca="1">$M25-$O25-$P25+$R25-$S25-IF(ROUNDUP(IF(ISBLANK($U25),$T25,$U25)/IF(AND($B25=1,$D$2&lt;&gt;"Egyszeri"),1,VLOOKUP($B25+IF($C25=12,1,0),Paraméterek!$B$257:$D$267,IF($D$2="Egyszeri",3,2))),IF($D$4="Forint",0,2))&gt;$M25-$O25-$P25+$R25-$S25-IF($D$4="Forint",Paraméterek!$C$216,Paraméterek!$D$216),0,ROUNDUP(IF(ISBLANK($U25),$T25,$U25)/IF(AND($B25=1,$D$2&lt;&gt;"Egyszeri"),1,VLOOKUP($B25+IF($C25=12,1,0),Paraméterek!$B$257:$D$267,IF($D$2="Egyszeri",3,2))),IF($D$4="Forint",0,2)))</f>
        <v>-3280</v>
      </c>
      <c r="W25" s="13">
        <f ca="1">ROUNDDOWN($V25*VLOOKUP($B25+IF($C25=12,1,0),Paraméterek!$B$257:$D$267,IF($D$2="Egyszeri",3,2)),IF($D$4="Forint",0,2))</f>
        <v>-2132</v>
      </c>
      <c r="Y25" s="32">
        <v>6</v>
      </c>
      <c r="Z25" s="32">
        <v>1</v>
      </c>
      <c r="AA25" s="32">
        <v>6</v>
      </c>
      <c r="AB25" s="13">
        <f t="shared" si="11"/>
        <v>0</v>
      </c>
      <c r="AC25" s="33"/>
      <c r="AD25" s="13">
        <f t="shared" si="7"/>
        <v>0</v>
      </c>
      <c r="AE25" s="13">
        <f>ROUNDUP(($AB25+$AD25)*VLOOKUP($Z25,Paraméterek!$P$38:$Q$38,2)/12,IF($D$4="Forint",0,2))</f>
        <v>0</v>
      </c>
      <c r="AF25" s="13">
        <f>IF($D$2="Egyszeri",IF($D$7&gt;=IF($D$4="Forint",Paraméterek!$P$223,Paraméterek!$P$224),$D$7-IF($D$4="Forint",Paraméterek!$F$223,Paraméterek!$F$224),0),MIN(IF($AA25=12,AVERAGE($D$20:$D25)*12,0),SUM($D$20:$D$31)))</f>
        <v>0</v>
      </c>
      <c r="AG25" s="13">
        <f>IF(AND($Z25&gt;=10,MOD($Z25,5)=0),$AF25*IF($AA25=12,VLOOKUP($Z25,Paraméterek!$B$225:$F$240,IF($AF25&lt;IF($D$4="Forint",Paraméterek!$C$223,Paraméterek!$C$224),2,IF($AF25&lt;IF($D$4="Forint",Paraméterek!$D$223,Paraméterek!$D$224),3,4))),0),0)</f>
        <v>0</v>
      </c>
      <c r="AH25" s="13">
        <f>IF(AND($Z25&gt;=5,MOD($Z25,5)=0),IF($AA25=12,VLOOKUP($Z25,Paraméterek!$B$225:$F$240,5),0),IF(OR($Z25=3,$Z25=4),IF($AA25=12,VLOOKUP($Z25,Paraméterek!$B$225:$F$240,5,0),0),0))*$AF25</f>
        <v>0</v>
      </c>
      <c r="AI25" s="13">
        <f>ROUNDDOWN(IF(SUM($T$20:$U25)=0,IF($D$2="Egyszeri",$AH25,$AG25),0),IF($D$4="Forint",0,2))</f>
        <v>0</v>
      </c>
      <c r="AJ25" s="13">
        <f t="shared" si="12"/>
        <v>0</v>
      </c>
      <c r="AK25" s="13">
        <f t="shared" si="13"/>
        <v>0</v>
      </c>
      <c r="AM25" s="32">
        <v>6</v>
      </c>
      <c r="AN25" s="32">
        <v>1</v>
      </c>
      <c r="AO25" s="32">
        <v>6</v>
      </c>
      <c r="AP25" s="13"/>
      <c r="AQ25" s="32"/>
      <c r="AR25" s="13">
        <f t="shared" si="14"/>
        <v>0</v>
      </c>
      <c r="AS25" s="33"/>
      <c r="AT25" s="13">
        <f t="shared" si="8"/>
        <v>0</v>
      </c>
      <c r="AU25" s="13">
        <f>ROUNDUP(($AR25+$AT25)*VLOOKUP($AN25,Paraméterek!$P$38:$Q$38,2)/12,IF($D$4="Forint",0,2))</f>
        <v>0</v>
      </c>
      <c r="AV25" s="30"/>
      <c r="AW25" s="13"/>
      <c r="AX25" s="13">
        <f>ROUNDUP(IF(SUM($AV25:$AW25)=0,0,IF(IF(ISBLANK($AW25),$AV25,$AW25)*Paraméterek!$J$112&lt;IF($D$4="Forint",Paraméterek!$J$113,Paraméterek!$K$113),IF($D$4="Forint",Paraméterek!$J$113,Paraméterek!$K$113),IF(IF(ISBLANK($AW25),$AV25,$AW25)*Paraméterek!$J$112&gt;IF($D$4="Forint",Paraméterek!$J$114,Paraméterek!$K$114),IF($D$4="Forint",Paraméterek!$J$114,Paraméterek!$K$114),IF(ISBLANK($AW25),$AV25,$AW25)*Paraméterek!$J$112))),IF($D$4="Forint",0,2))</f>
        <v>0</v>
      </c>
      <c r="AY25" s="13">
        <f>$AR25+$AT25-$AU25-IF(ROUNDDOWN(IF(ISBLANK($AW25),$AV25,$AW25),IF($D$4="Forint",0,2))&gt;$AR25+$AT25-$AU25-IF($D$4="Forint",Paraméterek!$J$114,Paraméterek!$K$114),0,ROUNDDOWN(IF(ISBLANK($AW25),$AV25,$AW25),IF($D$4="Forint",0,2))-$AX25)</f>
        <v>0</v>
      </c>
      <c r="AZ25" s="13">
        <f t="shared" si="9"/>
        <v>0</v>
      </c>
    </row>
    <row r="26" spans="1:52" x14ac:dyDescent="0.2">
      <c r="A26" s="32">
        <v>7</v>
      </c>
      <c r="B26" s="32">
        <v>1</v>
      </c>
      <c r="C26" s="32">
        <v>7</v>
      </c>
      <c r="D26" s="13">
        <f t="shared" si="0"/>
        <v>0</v>
      </c>
      <c r="E26" s="13"/>
      <c r="F26" s="13"/>
      <c r="G26" s="13"/>
      <c r="H26" s="13">
        <f t="shared" si="1"/>
        <v>0</v>
      </c>
      <c r="I26" s="13">
        <f t="shared" si="2"/>
        <v>0</v>
      </c>
      <c r="J26" s="13">
        <f t="shared" si="3"/>
        <v>0</v>
      </c>
      <c r="K26" s="13">
        <f>ROUNDUP(IF($D$2="Egyszeri",$D26,IF($D$2="Havi",SUM($D$20:$D$31),IF(MOD($C26,$M$1)-1=0,SUM($D$20:$D$31),0))/12*$M$1)*VLOOKUP($B26,Paraméterek!$B$27:$D$30,IF($D$2="Egyszeri",3,2)),IF($D$4="Forint",0,2))</f>
        <v>0</v>
      </c>
      <c r="L26" s="13">
        <f t="shared" si="4"/>
        <v>0</v>
      </c>
      <c r="M26" s="13">
        <f t="shared" ca="1" si="10"/>
        <v>-3280</v>
      </c>
      <c r="N26" s="13">
        <f ca="1">IF($V25&gt;=VLOOKUP($M$4-1+$B26,Paraméterek!$B$121:$D$122,IF($D$4="Forint",2,3)),0,VLOOKUP($M$4-1+$B26,Paraméterek!$B$121:$D$122,IF($D$4="Forint",2,3))-$V25)</f>
        <v>13280</v>
      </c>
      <c r="O26" s="13">
        <f ca="1">ROUNDUP($N26*Paraméterek!$C$58/Paraméterek!$C$56,IF($D$4="Forint",0,2))</f>
        <v>3</v>
      </c>
      <c r="P26" s="13">
        <f t="shared" si="5"/>
        <v>550</v>
      </c>
      <c r="Q26" s="33"/>
      <c r="R26" s="13">
        <f t="shared" ca="1" si="6"/>
        <v>0</v>
      </c>
      <c r="S26" s="13">
        <f ca="1">ROUNDUP(($M26-$O26-$P26+$R26)*VLOOKUP($B26,Paraméterek!$B$38:$D$39,IF($D$2="Egyszeri",3,2))/12,IF($D$4="Forint",0,2))</f>
        <v>-11</v>
      </c>
      <c r="T26" s="30"/>
      <c r="U26" s="13"/>
      <c r="V26" s="13">
        <f ca="1">$M26-$O26-$P26+$R26-$S26-IF(ROUNDUP(IF(ISBLANK($U26),$T26,$U26)/IF(AND($B26=1,$D$2&lt;&gt;"Egyszeri"),1,VLOOKUP($B26+IF($C26=12,1,0),Paraméterek!$B$257:$D$267,IF($D$2="Egyszeri",3,2))),IF($D$4="Forint",0,2))&gt;$M26-$O26-$P26+$R26-$S26-IF($D$4="Forint",Paraméterek!$C$216,Paraméterek!$D$216),0,ROUNDUP(IF(ISBLANK($U26),$T26,$U26)/IF(AND($B26=1,$D$2&lt;&gt;"Egyszeri"),1,VLOOKUP($B26+IF($C26=12,1,0),Paraméterek!$B$257:$D$267,IF($D$2="Egyszeri",3,2))),IF($D$4="Forint",0,2)))</f>
        <v>-3822</v>
      </c>
      <c r="W26" s="13">
        <f ca="1">ROUNDDOWN($V26*VLOOKUP($B26+IF($C26=12,1,0),Paraméterek!$B$257:$D$267,IF($D$2="Egyszeri",3,2)),IF($D$4="Forint",0,2))</f>
        <v>-2484</v>
      </c>
      <c r="Y26" s="32">
        <v>7</v>
      </c>
      <c r="Z26" s="32">
        <v>1</v>
      </c>
      <c r="AA26" s="32">
        <v>7</v>
      </c>
      <c r="AB26" s="13">
        <f t="shared" si="11"/>
        <v>0</v>
      </c>
      <c r="AC26" s="33"/>
      <c r="AD26" s="13">
        <f t="shared" si="7"/>
        <v>0</v>
      </c>
      <c r="AE26" s="13">
        <f>ROUNDUP(($AB26+$AD26)*VLOOKUP($Z26,Paraméterek!$P$38:$Q$38,2)/12,IF($D$4="Forint",0,2))</f>
        <v>0</v>
      </c>
      <c r="AF26" s="13">
        <f>IF($D$2="Egyszeri",IF($D$7&gt;=IF($D$4="Forint",Paraméterek!$P$223,Paraméterek!$P$224),$D$7-IF($D$4="Forint",Paraméterek!$F$223,Paraméterek!$F$224),0),MIN(IF($AA26=12,AVERAGE($D$20:$D26)*12,0),SUM($D$20:$D$31)))</f>
        <v>0</v>
      </c>
      <c r="AG26" s="13">
        <f>IF(AND($Z26&gt;=10,MOD($Z26,5)=0),$AF26*IF($AA26=12,VLOOKUP($Z26,Paraméterek!$B$225:$F$240,IF($AF26&lt;IF($D$4="Forint",Paraméterek!$C$223,Paraméterek!$C$224),2,IF($AF26&lt;IF($D$4="Forint",Paraméterek!$D$223,Paraméterek!$D$224),3,4))),0),0)</f>
        <v>0</v>
      </c>
      <c r="AH26" s="13">
        <f>IF(AND($Z26&gt;=5,MOD($Z26,5)=0),IF($AA26=12,VLOOKUP($Z26,Paraméterek!$B$225:$F$240,5),0),IF(OR($Z26=3,$Z26=4),IF($AA26=12,VLOOKUP($Z26,Paraméterek!$B$225:$F$240,5,0),0),0))*$AF26</f>
        <v>0</v>
      </c>
      <c r="AI26" s="13">
        <f>ROUNDDOWN(IF(SUM($T$20:$U26)=0,IF($D$2="Egyszeri",$AH26,$AG26),0),IF($D$4="Forint",0,2))</f>
        <v>0</v>
      </c>
      <c r="AJ26" s="13">
        <f t="shared" si="12"/>
        <v>0</v>
      </c>
      <c r="AK26" s="13">
        <f t="shared" si="13"/>
        <v>0</v>
      </c>
      <c r="AM26" s="32">
        <v>7</v>
      </c>
      <c r="AN26" s="32">
        <v>1</v>
      </c>
      <c r="AO26" s="32">
        <v>7</v>
      </c>
      <c r="AP26" s="13"/>
      <c r="AQ26" s="32"/>
      <c r="AR26" s="13">
        <f t="shared" si="14"/>
        <v>0</v>
      </c>
      <c r="AS26" s="33"/>
      <c r="AT26" s="13">
        <f t="shared" si="8"/>
        <v>0</v>
      </c>
      <c r="AU26" s="13">
        <f>ROUNDUP(($AR26+$AT26)*VLOOKUP($AN26,Paraméterek!$P$38:$Q$38,2)/12,IF($D$4="Forint",0,2))</f>
        <v>0</v>
      </c>
      <c r="AV26" s="30"/>
      <c r="AW26" s="13"/>
      <c r="AX26" s="13">
        <f>ROUNDUP(IF(SUM($AV26:$AW26)=0,0,IF(IF(ISBLANK($AW26),$AV26,$AW26)*Paraméterek!$J$112&lt;IF($D$4="Forint",Paraméterek!$J$113,Paraméterek!$K$113),IF($D$4="Forint",Paraméterek!$J$113,Paraméterek!$K$113),IF(IF(ISBLANK($AW26),$AV26,$AW26)*Paraméterek!$J$112&gt;IF($D$4="Forint",Paraméterek!$J$114,Paraméterek!$K$114),IF($D$4="Forint",Paraméterek!$J$114,Paraméterek!$K$114),IF(ISBLANK($AW26),$AV26,$AW26)*Paraméterek!$J$112))),IF($D$4="Forint",0,2))</f>
        <v>0</v>
      </c>
      <c r="AY26" s="13">
        <f>$AR26+$AT26-$AU26-IF(ROUNDDOWN(IF(ISBLANK($AW26),$AV26,$AW26),IF($D$4="Forint",0,2))&gt;$AR26+$AT26-$AU26-IF($D$4="Forint",Paraméterek!$J$114,Paraméterek!$K$114),0,ROUNDDOWN(IF(ISBLANK($AW26),$AV26,$AW26),IF($D$4="Forint",0,2))-$AX26)</f>
        <v>0</v>
      </c>
      <c r="AZ26" s="13">
        <f t="shared" si="9"/>
        <v>0</v>
      </c>
    </row>
    <row r="27" spans="1:52" x14ac:dyDescent="0.2">
      <c r="A27" s="32">
        <v>8</v>
      </c>
      <c r="B27" s="32">
        <v>1</v>
      </c>
      <c r="C27" s="32">
        <v>8</v>
      </c>
      <c r="D27" s="13">
        <f t="shared" si="0"/>
        <v>0</v>
      </c>
      <c r="E27" s="13"/>
      <c r="F27" s="13"/>
      <c r="G27" s="13"/>
      <c r="H27" s="13">
        <f t="shared" si="1"/>
        <v>0</v>
      </c>
      <c r="I27" s="13">
        <f t="shared" si="2"/>
        <v>0</v>
      </c>
      <c r="J27" s="13">
        <f t="shared" si="3"/>
        <v>0</v>
      </c>
      <c r="K27" s="13">
        <f>ROUNDUP(IF($D$2="Egyszeri",$D27,IF($D$2="Havi",SUM($D$20:$D$31),IF(MOD($C27,$M$1)-1=0,SUM($D$20:$D$31),0))/12*$M$1)*VLOOKUP($B27,Paraméterek!$B$27:$D$30,IF($D$2="Egyszeri",3,2)),IF($D$4="Forint",0,2))</f>
        <v>0</v>
      </c>
      <c r="L27" s="13">
        <f t="shared" si="4"/>
        <v>0</v>
      </c>
      <c r="M27" s="13">
        <f t="shared" ca="1" si="10"/>
        <v>-3822</v>
      </c>
      <c r="N27" s="13">
        <f ca="1">IF($V26&gt;=VLOOKUP($M$4-1+$B27,Paraméterek!$B$121:$D$122,IF($D$4="Forint",2,3)),0,VLOOKUP($M$4-1+$B27,Paraméterek!$B$121:$D$122,IF($D$4="Forint",2,3))-$V26)</f>
        <v>13822</v>
      </c>
      <c r="O27" s="13">
        <f ca="1">ROUNDUP($N27*Paraméterek!$C$58/Paraméterek!$C$56,IF($D$4="Forint",0,2))</f>
        <v>3</v>
      </c>
      <c r="P27" s="13">
        <f t="shared" si="5"/>
        <v>550</v>
      </c>
      <c r="Q27" s="33"/>
      <c r="R27" s="13">
        <f t="shared" ca="1" si="6"/>
        <v>0</v>
      </c>
      <c r="S27" s="13">
        <f ca="1">ROUNDUP(($M27-$O27-$P27+$R27)*VLOOKUP($B27,Paraméterek!$B$38:$D$39,IF($D$2="Egyszeri",3,2))/12,IF($D$4="Forint",0,2))</f>
        <v>-12</v>
      </c>
      <c r="T27" s="30"/>
      <c r="U27" s="13"/>
      <c r="V27" s="13">
        <f ca="1">$M27-$O27-$P27+$R27-$S27-IF(ROUNDUP(IF(ISBLANK($U27),$T27,$U27)/IF(AND($B27=1,$D$2&lt;&gt;"Egyszeri"),1,VLOOKUP($B27+IF($C27=12,1,0),Paraméterek!$B$257:$D$267,IF($D$2="Egyszeri",3,2))),IF($D$4="Forint",0,2))&gt;$M27-$O27-$P27+$R27-$S27-IF($D$4="Forint",Paraméterek!$C$216,Paraméterek!$D$216),0,ROUNDUP(IF(ISBLANK($U27),$T27,$U27)/IF(AND($B27=1,$D$2&lt;&gt;"Egyszeri"),1,VLOOKUP($B27+IF($C27=12,1,0),Paraméterek!$B$257:$D$267,IF($D$2="Egyszeri",3,2))),IF($D$4="Forint",0,2)))</f>
        <v>-4363</v>
      </c>
      <c r="W27" s="13">
        <f ca="1">ROUNDDOWN($V27*VLOOKUP($B27+IF($C27=12,1,0),Paraméterek!$B$257:$D$267,IF($D$2="Egyszeri",3,2)),IF($D$4="Forint",0,2))</f>
        <v>-2835</v>
      </c>
      <c r="Y27" s="32">
        <v>8</v>
      </c>
      <c r="Z27" s="32">
        <v>1</v>
      </c>
      <c r="AA27" s="32">
        <v>8</v>
      </c>
      <c r="AB27" s="13">
        <f t="shared" si="11"/>
        <v>0</v>
      </c>
      <c r="AC27" s="33"/>
      <c r="AD27" s="13">
        <f t="shared" si="7"/>
        <v>0</v>
      </c>
      <c r="AE27" s="13">
        <f>ROUNDUP(($AB27+$AD27)*VLOOKUP($Z27,Paraméterek!$P$38:$Q$38,2)/12,IF($D$4="Forint",0,2))</f>
        <v>0</v>
      </c>
      <c r="AF27" s="13">
        <f>IF($D$2="Egyszeri",IF($D$7&gt;=IF($D$4="Forint",Paraméterek!$P$223,Paraméterek!$P$224),$D$7-IF($D$4="Forint",Paraméterek!$F$223,Paraméterek!$F$224),0),MIN(IF($AA27=12,AVERAGE($D$20:$D27)*12,0),SUM($D$20:$D$31)))</f>
        <v>0</v>
      </c>
      <c r="AG27" s="13">
        <f>IF(AND($Z27&gt;=10,MOD($Z27,5)=0),$AF27*IF($AA27=12,VLOOKUP($Z27,Paraméterek!$B$225:$F$240,IF($AF27&lt;IF($D$4="Forint",Paraméterek!$C$223,Paraméterek!$C$224),2,IF($AF27&lt;IF($D$4="Forint",Paraméterek!$D$223,Paraméterek!$D$224),3,4))),0),0)</f>
        <v>0</v>
      </c>
      <c r="AH27" s="13">
        <f>IF(AND($Z27&gt;=5,MOD($Z27,5)=0),IF($AA27=12,VLOOKUP($Z27,Paraméterek!$B$225:$F$240,5),0),IF(OR($Z27=3,$Z27=4),IF($AA27=12,VLOOKUP($Z27,Paraméterek!$B$225:$F$240,5,0),0),0))*$AF27</f>
        <v>0</v>
      </c>
      <c r="AI27" s="13">
        <f>ROUNDDOWN(IF(SUM($T$20:$U27)=0,IF($D$2="Egyszeri",$AH27,$AG27),0),IF($D$4="Forint",0,2))</f>
        <v>0</v>
      </c>
      <c r="AJ27" s="13">
        <f t="shared" si="12"/>
        <v>0</v>
      </c>
      <c r="AK27" s="13">
        <f t="shared" si="13"/>
        <v>0</v>
      </c>
      <c r="AM27" s="32">
        <v>8</v>
      </c>
      <c r="AN27" s="32">
        <v>1</v>
      </c>
      <c r="AO27" s="32">
        <v>8</v>
      </c>
      <c r="AP27" s="13"/>
      <c r="AQ27" s="32"/>
      <c r="AR27" s="13">
        <f t="shared" si="14"/>
        <v>0</v>
      </c>
      <c r="AS27" s="33"/>
      <c r="AT27" s="13">
        <f t="shared" si="8"/>
        <v>0</v>
      </c>
      <c r="AU27" s="13">
        <f>ROUNDUP(($AR27+$AT27)*VLOOKUP($AN27,Paraméterek!$P$38:$Q$38,2)/12,IF($D$4="Forint",0,2))</f>
        <v>0</v>
      </c>
      <c r="AV27" s="30"/>
      <c r="AW27" s="13"/>
      <c r="AX27" s="13">
        <f>ROUNDUP(IF(SUM($AV27:$AW27)=0,0,IF(IF(ISBLANK($AW27),$AV27,$AW27)*Paraméterek!$J$112&lt;IF($D$4="Forint",Paraméterek!$J$113,Paraméterek!$K$113),IF($D$4="Forint",Paraméterek!$J$113,Paraméterek!$K$113),IF(IF(ISBLANK($AW27),$AV27,$AW27)*Paraméterek!$J$112&gt;IF($D$4="Forint",Paraméterek!$J$114,Paraméterek!$K$114),IF($D$4="Forint",Paraméterek!$J$114,Paraméterek!$K$114),IF(ISBLANK($AW27),$AV27,$AW27)*Paraméterek!$J$112))),IF($D$4="Forint",0,2))</f>
        <v>0</v>
      </c>
      <c r="AY27" s="13">
        <f>$AR27+$AT27-$AU27-IF(ROUNDDOWN(IF(ISBLANK($AW27),$AV27,$AW27),IF($D$4="Forint",0,2))&gt;$AR27+$AT27-$AU27-IF($D$4="Forint",Paraméterek!$J$114,Paraméterek!$K$114),0,ROUNDDOWN(IF(ISBLANK($AW27),$AV27,$AW27),IF($D$4="Forint",0,2))-$AX27)</f>
        <v>0</v>
      </c>
      <c r="AZ27" s="13">
        <f t="shared" si="9"/>
        <v>0</v>
      </c>
    </row>
    <row r="28" spans="1:52" x14ac:dyDescent="0.2">
      <c r="A28" s="32">
        <v>9</v>
      </c>
      <c r="B28" s="32">
        <v>1</v>
      </c>
      <c r="C28" s="32">
        <v>9</v>
      </c>
      <c r="D28" s="13">
        <f t="shared" si="0"/>
        <v>0</v>
      </c>
      <c r="E28" s="13"/>
      <c r="F28" s="13"/>
      <c r="G28" s="13"/>
      <c r="H28" s="13">
        <f t="shared" si="1"/>
        <v>0</v>
      </c>
      <c r="I28" s="13">
        <f t="shared" si="2"/>
        <v>0</v>
      </c>
      <c r="J28" s="13">
        <f t="shared" si="3"/>
        <v>0</v>
      </c>
      <c r="K28" s="13">
        <f>ROUNDUP(IF($D$2="Egyszeri",$D28,IF($D$2="Havi",SUM($D$20:$D$31),IF(MOD($C28,$M$1)-1=0,SUM($D$20:$D$31),0))/12*$M$1)*VLOOKUP($B28,Paraméterek!$B$27:$D$30,IF($D$2="Egyszeri",3,2)),IF($D$4="Forint",0,2))</f>
        <v>0</v>
      </c>
      <c r="L28" s="13">
        <f t="shared" si="4"/>
        <v>0</v>
      </c>
      <c r="M28" s="13">
        <f t="shared" ca="1" si="10"/>
        <v>-4363</v>
      </c>
      <c r="N28" s="13">
        <f ca="1">IF($V27&gt;=VLOOKUP($M$4-1+$B28,Paraméterek!$B$121:$D$122,IF($D$4="Forint",2,3)),0,VLOOKUP($M$4-1+$B28,Paraméterek!$B$121:$D$122,IF($D$4="Forint",2,3))-$V27)</f>
        <v>14363</v>
      </c>
      <c r="O28" s="13">
        <f ca="1">ROUNDUP($N28*Paraméterek!$C$58/Paraméterek!$C$56,IF($D$4="Forint",0,2))</f>
        <v>3</v>
      </c>
      <c r="P28" s="13">
        <f t="shared" si="5"/>
        <v>550</v>
      </c>
      <c r="Q28" s="33"/>
      <c r="R28" s="13">
        <f t="shared" ca="1" si="6"/>
        <v>0</v>
      </c>
      <c r="S28" s="13">
        <f ca="1">ROUNDUP(($M28-$O28-$P28+$R28)*VLOOKUP($B28,Paraméterek!$B$38:$D$39,IF($D$2="Egyszeri",3,2))/12,IF($D$4="Forint",0,2))</f>
        <v>-14</v>
      </c>
      <c r="T28" s="30"/>
      <c r="U28" s="13"/>
      <c r="V28" s="13">
        <f ca="1">$M28-$O28-$P28+$R28-$S28-IF(ROUNDUP(IF(ISBLANK($U28),$T28,$U28)/IF(AND($B28=1,$D$2&lt;&gt;"Egyszeri"),1,VLOOKUP($B28+IF($C28=12,1,0),Paraméterek!$B$257:$D$267,IF($D$2="Egyszeri",3,2))),IF($D$4="Forint",0,2))&gt;$M28-$O28-$P28+$R28-$S28-IF($D$4="Forint",Paraméterek!$C$216,Paraméterek!$D$216),0,ROUNDUP(IF(ISBLANK($U28),$T28,$U28)/IF(AND($B28=1,$D$2&lt;&gt;"Egyszeri"),1,VLOOKUP($B28+IF($C28=12,1,0),Paraméterek!$B$257:$D$267,IF($D$2="Egyszeri",3,2))),IF($D$4="Forint",0,2)))</f>
        <v>-4902</v>
      </c>
      <c r="W28" s="13">
        <f ca="1">ROUNDDOWN($V28*VLOOKUP($B28+IF($C28=12,1,0),Paraméterek!$B$257:$D$267,IF($D$2="Egyszeri",3,2)),IF($D$4="Forint",0,2))</f>
        <v>-3186</v>
      </c>
      <c r="Y28" s="32">
        <v>9</v>
      </c>
      <c r="Z28" s="32">
        <v>1</v>
      </c>
      <c r="AA28" s="32">
        <v>9</v>
      </c>
      <c r="AB28" s="13">
        <f t="shared" si="11"/>
        <v>0</v>
      </c>
      <c r="AC28" s="33"/>
      <c r="AD28" s="13">
        <f t="shared" si="7"/>
        <v>0</v>
      </c>
      <c r="AE28" s="13">
        <f>ROUNDUP(($AB28+$AD28)*VLOOKUP($Z28,Paraméterek!$P$38:$Q$38,2)/12,IF($D$4="Forint",0,2))</f>
        <v>0</v>
      </c>
      <c r="AF28" s="13">
        <f>IF($D$2="Egyszeri",IF($D$7&gt;=IF($D$4="Forint",Paraméterek!$P$223,Paraméterek!$P$224),$D$7-IF($D$4="Forint",Paraméterek!$F$223,Paraméterek!$F$224),0),MIN(IF($AA28=12,AVERAGE($D$20:$D28)*12,0),SUM($D$20:$D$31)))</f>
        <v>0</v>
      </c>
      <c r="AG28" s="13">
        <f>IF(AND($Z28&gt;=10,MOD($Z28,5)=0),$AF28*IF($AA28=12,VLOOKUP($Z28,Paraméterek!$B$225:$F$240,IF($AF28&lt;IF($D$4="Forint",Paraméterek!$C$223,Paraméterek!$C$224),2,IF($AF28&lt;IF($D$4="Forint",Paraméterek!$D$223,Paraméterek!$D$224),3,4))),0),0)</f>
        <v>0</v>
      </c>
      <c r="AH28" s="13">
        <f>IF(AND($Z28&gt;=5,MOD($Z28,5)=0),IF($AA28=12,VLOOKUP($Z28,Paraméterek!$B$225:$F$240,5),0),IF(OR($Z28=3,$Z28=4),IF($AA28=12,VLOOKUP($Z28,Paraméterek!$B$225:$F$240,5,0),0),0))*$AF28</f>
        <v>0</v>
      </c>
      <c r="AI28" s="13">
        <f>ROUNDDOWN(IF(SUM($T$20:$U28)=0,IF($D$2="Egyszeri",$AH28,$AG28),0),IF($D$4="Forint",0,2))</f>
        <v>0</v>
      </c>
      <c r="AJ28" s="13">
        <f t="shared" si="12"/>
        <v>0</v>
      </c>
      <c r="AK28" s="13">
        <f t="shared" si="13"/>
        <v>0</v>
      </c>
      <c r="AM28" s="32">
        <v>9</v>
      </c>
      <c r="AN28" s="32">
        <v>1</v>
      </c>
      <c r="AO28" s="32">
        <v>9</v>
      </c>
      <c r="AP28" s="13"/>
      <c r="AQ28" s="32"/>
      <c r="AR28" s="13">
        <f t="shared" si="14"/>
        <v>0</v>
      </c>
      <c r="AS28" s="33"/>
      <c r="AT28" s="13">
        <f t="shared" si="8"/>
        <v>0</v>
      </c>
      <c r="AU28" s="13">
        <f>ROUNDUP(($AR28+$AT28)*VLOOKUP($AN28,Paraméterek!$P$38:$Q$38,2)/12,IF($D$4="Forint",0,2))</f>
        <v>0</v>
      </c>
      <c r="AV28" s="30"/>
      <c r="AW28" s="13"/>
      <c r="AX28" s="13">
        <f>ROUNDUP(IF(SUM($AV28:$AW28)=0,0,IF(IF(ISBLANK($AW28),$AV28,$AW28)*Paraméterek!$J$112&lt;IF($D$4="Forint",Paraméterek!$J$113,Paraméterek!$K$113),IF($D$4="Forint",Paraméterek!$J$113,Paraméterek!$K$113),IF(IF(ISBLANK($AW28),$AV28,$AW28)*Paraméterek!$J$112&gt;IF($D$4="Forint",Paraméterek!$J$114,Paraméterek!$K$114),IF($D$4="Forint",Paraméterek!$J$114,Paraméterek!$K$114),IF(ISBLANK($AW28),$AV28,$AW28)*Paraméterek!$J$112))),IF($D$4="Forint",0,2))</f>
        <v>0</v>
      </c>
      <c r="AY28" s="13">
        <f>$AR28+$AT28-$AU28-IF(ROUNDDOWN(IF(ISBLANK($AW28),$AV28,$AW28),IF($D$4="Forint",0,2))&gt;$AR28+$AT28-$AU28-IF($D$4="Forint",Paraméterek!$J$114,Paraméterek!$K$114),0,ROUNDDOWN(IF(ISBLANK($AW28),$AV28,$AW28),IF($D$4="Forint",0,2))-$AX28)</f>
        <v>0</v>
      </c>
      <c r="AZ28" s="13">
        <f t="shared" si="9"/>
        <v>0</v>
      </c>
    </row>
    <row r="29" spans="1:52" x14ac:dyDescent="0.2">
      <c r="A29" s="32">
        <v>10</v>
      </c>
      <c r="B29" s="32">
        <v>1</v>
      </c>
      <c r="C29" s="32">
        <v>10</v>
      </c>
      <c r="D29" s="13">
        <f t="shared" si="0"/>
        <v>0</v>
      </c>
      <c r="E29" s="13"/>
      <c r="F29" s="13"/>
      <c r="G29" s="13"/>
      <c r="H29" s="13">
        <f t="shared" si="1"/>
        <v>0</v>
      </c>
      <c r="I29" s="13">
        <f t="shared" si="2"/>
        <v>0</v>
      </c>
      <c r="J29" s="13">
        <f t="shared" si="3"/>
        <v>0</v>
      </c>
      <c r="K29" s="13">
        <f>ROUNDUP(IF($D$2="Egyszeri",$D29,IF($D$2="Havi",SUM($D$20:$D$31),IF(MOD($C29,$M$1)-1=0,SUM($D$20:$D$31),0))/12*$M$1)*VLOOKUP($B29,Paraméterek!$B$27:$D$30,IF($D$2="Egyszeri",3,2)),IF($D$4="Forint",0,2))</f>
        <v>0</v>
      </c>
      <c r="L29" s="13">
        <f t="shared" si="4"/>
        <v>0</v>
      </c>
      <c r="M29" s="13">
        <f t="shared" ca="1" si="10"/>
        <v>-4902</v>
      </c>
      <c r="N29" s="13">
        <f ca="1">IF($V28&gt;=VLOOKUP($M$4-1+$B29,Paraméterek!$B$121:$D$122,IF($D$4="Forint",2,3)),0,VLOOKUP($M$4-1+$B29,Paraméterek!$B$121:$D$122,IF($D$4="Forint",2,3))-$V28)</f>
        <v>14902</v>
      </c>
      <c r="O29" s="13">
        <f ca="1">ROUNDUP($N29*Paraméterek!$C$58/Paraméterek!$C$56,IF($D$4="Forint",0,2))</f>
        <v>3</v>
      </c>
      <c r="P29" s="13">
        <f t="shared" si="5"/>
        <v>550</v>
      </c>
      <c r="Q29" s="33"/>
      <c r="R29" s="13">
        <f t="shared" ca="1" si="6"/>
        <v>0</v>
      </c>
      <c r="S29" s="13">
        <f ca="1">ROUNDUP(($M29-$O29-$P29+$R29)*VLOOKUP($B29,Paraméterek!$B$38:$D$39,IF($D$2="Egyszeri",3,2))/12,IF($D$4="Forint",0,2))</f>
        <v>-15</v>
      </c>
      <c r="T29" s="30"/>
      <c r="U29" s="13"/>
      <c r="V29" s="13">
        <f ca="1">$M29-$O29-$P29+$R29-$S29-IF(ROUNDUP(IF(ISBLANK($U29),$T29,$U29)/IF(AND($B29=1,$D$2&lt;&gt;"Egyszeri"),1,VLOOKUP($B29+IF($C29=12,1,0),Paraméterek!$B$257:$D$267,IF($D$2="Egyszeri",3,2))),IF($D$4="Forint",0,2))&gt;$M29-$O29-$P29+$R29-$S29-IF($D$4="Forint",Paraméterek!$C$216,Paraméterek!$D$216),0,ROUNDUP(IF(ISBLANK($U29),$T29,$U29)/IF(AND($B29=1,$D$2&lt;&gt;"Egyszeri"),1,VLOOKUP($B29+IF($C29=12,1,0),Paraméterek!$B$257:$D$267,IF($D$2="Egyszeri",3,2))),IF($D$4="Forint",0,2)))</f>
        <v>-5440</v>
      </c>
      <c r="W29" s="13">
        <f ca="1">ROUNDDOWN($V29*VLOOKUP($B29+IF($C29=12,1,0),Paraméterek!$B$257:$D$267,IF($D$2="Egyszeri",3,2)),IF($D$4="Forint",0,2))</f>
        <v>-3536</v>
      </c>
      <c r="Y29" s="32">
        <v>10</v>
      </c>
      <c r="Z29" s="32">
        <v>1</v>
      </c>
      <c r="AA29" s="32">
        <v>10</v>
      </c>
      <c r="AB29" s="13">
        <f t="shared" si="11"/>
        <v>0</v>
      </c>
      <c r="AC29" s="33"/>
      <c r="AD29" s="13">
        <f t="shared" si="7"/>
        <v>0</v>
      </c>
      <c r="AE29" s="13">
        <f>ROUNDUP(($AB29+$AD29)*VLOOKUP($Z29,Paraméterek!$P$38:$Q$38,2)/12,IF($D$4="Forint",0,2))</f>
        <v>0</v>
      </c>
      <c r="AF29" s="13">
        <f>IF($D$2="Egyszeri",IF($D$7&gt;=IF($D$4="Forint",Paraméterek!$P$223,Paraméterek!$P$224),$D$7-IF($D$4="Forint",Paraméterek!$F$223,Paraméterek!$F$224),0),MIN(IF($AA29=12,AVERAGE($D$20:$D29)*12,0),SUM($D$20:$D$31)))</f>
        <v>0</v>
      </c>
      <c r="AG29" s="13">
        <f>IF(AND($Z29&gt;=10,MOD($Z29,5)=0),$AF29*IF($AA29=12,VLOOKUP($Z29,Paraméterek!$B$225:$F$240,IF($AF29&lt;IF($D$4="Forint",Paraméterek!$C$223,Paraméterek!$C$224),2,IF($AF29&lt;IF($D$4="Forint",Paraméterek!$D$223,Paraméterek!$D$224),3,4))),0),0)</f>
        <v>0</v>
      </c>
      <c r="AH29" s="13">
        <f>IF(AND($Z29&gt;=5,MOD($Z29,5)=0),IF($AA29=12,VLOOKUP($Z29,Paraméterek!$B$225:$F$240,5),0),IF(OR($Z29=3,$Z29=4),IF($AA29=12,VLOOKUP($Z29,Paraméterek!$B$225:$F$240,5,0),0),0))*$AF29</f>
        <v>0</v>
      </c>
      <c r="AI29" s="13">
        <f>ROUNDDOWN(IF(SUM($T$20:$U29)=0,IF($D$2="Egyszeri",$AH29,$AG29),0),IF($D$4="Forint",0,2))</f>
        <v>0</v>
      </c>
      <c r="AJ29" s="13">
        <f t="shared" si="12"/>
        <v>0</v>
      </c>
      <c r="AK29" s="13">
        <f t="shared" si="13"/>
        <v>0</v>
      </c>
      <c r="AM29" s="32">
        <v>10</v>
      </c>
      <c r="AN29" s="32">
        <v>1</v>
      </c>
      <c r="AO29" s="32">
        <v>10</v>
      </c>
      <c r="AP29" s="13"/>
      <c r="AQ29" s="32"/>
      <c r="AR29" s="13">
        <f t="shared" si="14"/>
        <v>0</v>
      </c>
      <c r="AS29" s="33"/>
      <c r="AT29" s="13">
        <f t="shared" si="8"/>
        <v>0</v>
      </c>
      <c r="AU29" s="13">
        <f>ROUNDUP(($AR29+$AT29)*VLOOKUP($AN29,Paraméterek!$P$38:$Q$38,2)/12,IF($D$4="Forint",0,2))</f>
        <v>0</v>
      </c>
      <c r="AV29" s="30"/>
      <c r="AW29" s="13"/>
      <c r="AX29" s="13">
        <f>ROUNDUP(IF(SUM($AV29:$AW29)=0,0,IF(IF(ISBLANK($AW29),$AV29,$AW29)*Paraméterek!$J$112&lt;IF($D$4="Forint",Paraméterek!$J$113,Paraméterek!$K$113),IF($D$4="Forint",Paraméterek!$J$113,Paraméterek!$K$113),IF(IF(ISBLANK($AW29),$AV29,$AW29)*Paraméterek!$J$112&gt;IF($D$4="Forint",Paraméterek!$J$114,Paraméterek!$K$114),IF($D$4="Forint",Paraméterek!$J$114,Paraméterek!$K$114),IF(ISBLANK($AW29),$AV29,$AW29)*Paraméterek!$J$112))),IF($D$4="Forint",0,2))</f>
        <v>0</v>
      </c>
      <c r="AY29" s="13">
        <f>$AR29+$AT29-$AU29-IF(ROUNDDOWN(IF(ISBLANK($AW29),$AV29,$AW29),IF($D$4="Forint",0,2))&gt;$AR29+$AT29-$AU29-IF($D$4="Forint",Paraméterek!$J$114,Paraméterek!$K$114),0,ROUNDDOWN(IF(ISBLANK($AW29),$AV29,$AW29),IF($D$4="Forint",0,2))-$AX29)</f>
        <v>0</v>
      </c>
      <c r="AZ29" s="13">
        <f t="shared" si="9"/>
        <v>0</v>
      </c>
    </row>
    <row r="30" spans="1:52" x14ac:dyDescent="0.2">
      <c r="A30" s="32">
        <v>11</v>
      </c>
      <c r="B30" s="32">
        <v>1</v>
      </c>
      <c r="C30" s="32">
        <v>11</v>
      </c>
      <c r="D30" s="13">
        <f t="shared" si="0"/>
        <v>0</v>
      </c>
      <c r="E30" s="13"/>
      <c r="F30" s="13"/>
      <c r="G30" s="13"/>
      <c r="H30" s="13">
        <f t="shared" si="1"/>
        <v>0</v>
      </c>
      <c r="I30" s="13">
        <f t="shared" si="2"/>
        <v>0</v>
      </c>
      <c r="J30" s="13">
        <f t="shared" si="3"/>
        <v>0</v>
      </c>
      <c r="K30" s="13">
        <f>ROUNDUP(IF($D$2="Egyszeri",$D30,IF($D$2="Havi",SUM($D$20:$D$31),IF(MOD($C30,$M$1)-1=0,SUM($D$20:$D$31),0))/12*$M$1)*VLOOKUP($B30,Paraméterek!$B$27:$D$30,IF($D$2="Egyszeri",3,2)),IF($D$4="Forint",0,2))</f>
        <v>0</v>
      </c>
      <c r="L30" s="13">
        <f t="shared" si="4"/>
        <v>0</v>
      </c>
      <c r="M30" s="13">
        <f t="shared" ca="1" si="10"/>
        <v>-5440</v>
      </c>
      <c r="N30" s="13">
        <f ca="1">IF($V29&gt;=VLOOKUP($M$4-1+$B30,Paraméterek!$B$121:$D$122,IF($D$4="Forint",2,3)),0,VLOOKUP($M$4-1+$B30,Paraméterek!$B$121:$D$122,IF($D$4="Forint",2,3))-$V29)</f>
        <v>15440</v>
      </c>
      <c r="O30" s="13">
        <f ca="1">ROUNDUP($N30*Paraméterek!$C$58/Paraméterek!$C$56,IF($D$4="Forint",0,2))</f>
        <v>3</v>
      </c>
      <c r="P30" s="13">
        <f t="shared" si="5"/>
        <v>550</v>
      </c>
      <c r="Q30" s="33"/>
      <c r="R30" s="13">
        <f t="shared" ca="1" si="6"/>
        <v>0</v>
      </c>
      <c r="S30" s="13">
        <f ca="1">ROUNDUP(($M30-$O30-$P30+$R30)*VLOOKUP($B30,Paraméterek!$B$38:$D$39,IF($D$2="Egyszeri",3,2))/12,IF($D$4="Forint",0,2))</f>
        <v>-17</v>
      </c>
      <c r="T30" s="30"/>
      <c r="U30" s="13"/>
      <c r="V30" s="13">
        <f ca="1">$M30-$O30-$P30+$R30-$S30-IF(ROUNDUP(IF(ISBLANK($U30),$T30,$U30)/IF(AND($B30=1,$D$2&lt;&gt;"Egyszeri"),1,VLOOKUP($B30+IF($C30=12,1,0),Paraméterek!$B$257:$D$267,IF($D$2="Egyszeri",3,2))),IF($D$4="Forint",0,2))&gt;$M30-$O30-$P30+$R30-$S30-IF($D$4="Forint",Paraméterek!$C$216,Paraméterek!$D$216),0,ROUNDUP(IF(ISBLANK($U30),$T30,$U30)/IF(AND($B30=1,$D$2&lt;&gt;"Egyszeri"),1,VLOOKUP($B30+IF($C30=12,1,0),Paraméterek!$B$257:$D$267,IF($D$2="Egyszeri",3,2))),IF($D$4="Forint",0,2)))</f>
        <v>-5976</v>
      </c>
      <c r="W30" s="13">
        <f ca="1">ROUNDDOWN($V30*VLOOKUP($B30+IF($C30=12,1,0),Paraméterek!$B$257:$D$267,IF($D$2="Egyszeri",3,2)),IF($D$4="Forint",0,2))</f>
        <v>-3884</v>
      </c>
      <c r="Y30" s="32">
        <v>11</v>
      </c>
      <c r="Z30" s="32">
        <v>1</v>
      </c>
      <c r="AA30" s="32">
        <v>11</v>
      </c>
      <c r="AB30" s="13">
        <f t="shared" si="11"/>
        <v>0</v>
      </c>
      <c r="AC30" s="33"/>
      <c r="AD30" s="13">
        <f t="shared" si="7"/>
        <v>0</v>
      </c>
      <c r="AE30" s="13">
        <f>ROUNDUP(($AB30+$AD30)*VLOOKUP($Z30,Paraméterek!$P$38:$Q$38,2)/12,IF($D$4="Forint",0,2))</f>
        <v>0</v>
      </c>
      <c r="AF30" s="13">
        <f>IF($D$2="Egyszeri",IF($D$7&gt;=IF($D$4="Forint",Paraméterek!$P$223,Paraméterek!$P$224),$D$7-IF($D$4="Forint",Paraméterek!$F$223,Paraméterek!$F$224),0),MIN(IF($AA30=12,AVERAGE($D$20:$D30)*12,0),SUM($D$20:$D$31)))</f>
        <v>0</v>
      </c>
      <c r="AG30" s="13">
        <f>IF(AND($Z30&gt;=10,MOD($Z30,5)=0),$AF30*IF($AA30=12,VLOOKUP($Z30,Paraméterek!$B$225:$F$240,IF($AF30&lt;IF($D$4="Forint",Paraméterek!$C$223,Paraméterek!$C$224),2,IF($AF30&lt;IF($D$4="Forint",Paraméterek!$D$223,Paraméterek!$D$224),3,4))),0),0)</f>
        <v>0</v>
      </c>
      <c r="AH30" s="13">
        <f>IF(AND($Z30&gt;=5,MOD($Z30,5)=0),IF($AA30=12,VLOOKUP($Z30,Paraméterek!$B$225:$F$240,5),0),IF(OR($Z30=3,$Z30=4),IF($AA30=12,VLOOKUP($Z30,Paraméterek!$B$225:$F$240,5,0),0),0))*$AF30</f>
        <v>0</v>
      </c>
      <c r="AI30" s="13">
        <f>ROUNDDOWN(IF(SUM($T$20:$U30)=0,IF($D$2="Egyszeri",$AH30,$AG30),0),IF($D$4="Forint",0,2))</f>
        <v>0</v>
      </c>
      <c r="AJ30" s="13">
        <f t="shared" si="12"/>
        <v>0</v>
      </c>
      <c r="AK30" s="13">
        <f t="shared" si="13"/>
        <v>0</v>
      </c>
      <c r="AM30" s="32">
        <v>11</v>
      </c>
      <c r="AN30" s="32">
        <v>1</v>
      </c>
      <c r="AO30" s="32">
        <v>11</v>
      </c>
      <c r="AP30" s="13"/>
      <c r="AQ30" s="32"/>
      <c r="AR30" s="13">
        <f t="shared" si="14"/>
        <v>0</v>
      </c>
      <c r="AS30" s="33"/>
      <c r="AT30" s="13">
        <f t="shared" si="8"/>
        <v>0</v>
      </c>
      <c r="AU30" s="13">
        <f>ROUNDUP(($AR30+$AT30)*VLOOKUP($AN30,Paraméterek!$P$38:$Q$38,2)/12,IF($D$4="Forint",0,2))</f>
        <v>0</v>
      </c>
      <c r="AV30" s="30"/>
      <c r="AW30" s="13"/>
      <c r="AX30" s="13">
        <f>ROUNDUP(IF(SUM($AV30:$AW30)=0,0,IF(IF(ISBLANK($AW30),$AV30,$AW30)*Paraméterek!$J$112&lt;IF($D$4="Forint",Paraméterek!$J$113,Paraméterek!$K$113),IF($D$4="Forint",Paraméterek!$J$113,Paraméterek!$K$113),IF(IF(ISBLANK($AW30),$AV30,$AW30)*Paraméterek!$J$112&gt;IF($D$4="Forint",Paraméterek!$J$114,Paraméterek!$K$114),IF($D$4="Forint",Paraméterek!$J$114,Paraméterek!$K$114),IF(ISBLANK($AW30),$AV30,$AW30)*Paraméterek!$J$112))),IF($D$4="Forint",0,2))</f>
        <v>0</v>
      </c>
      <c r="AY30" s="13">
        <f>$AR30+$AT30-$AU30-IF(ROUNDDOWN(IF(ISBLANK($AW30),$AV30,$AW30),IF($D$4="Forint",0,2))&gt;$AR30+$AT30-$AU30-IF($D$4="Forint",Paraméterek!$J$114,Paraméterek!$K$114),0,ROUNDDOWN(IF(ISBLANK($AW30),$AV30,$AW30),IF($D$4="Forint",0,2))-$AX30)</f>
        <v>0</v>
      </c>
      <c r="AZ30" s="13">
        <f t="shared" si="9"/>
        <v>0</v>
      </c>
    </row>
    <row r="31" spans="1:52" x14ac:dyDescent="0.2">
      <c r="A31" s="32">
        <v>12</v>
      </c>
      <c r="B31" s="32">
        <v>1</v>
      </c>
      <c r="C31" s="32">
        <v>12</v>
      </c>
      <c r="D31" s="13">
        <f t="shared" si="0"/>
        <v>0</v>
      </c>
      <c r="E31" s="13"/>
      <c r="F31" s="13"/>
      <c r="G31" s="13"/>
      <c r="H31" s="13">
        <f t="shared" si="1"/>
        <v>0</v>
      </c>
      <c r="I31" s="13">
        <f t="shared" si="2"/>
        <v>0</v>
      </c>
      <c r="J31" s="13">
        <f t="shared" si="3"/>
        <v>0</v>
      </c>
      <c r="K31" s="13">
        <f>ROUNDUP(IF($D$2="Egyszeri",$D31,IF($D$2="Havi",SUM($D$20:$D$31),IF(MOD($C31,$M$1)-1=0,SUM($D$20:$D$31),0))/12*$M$1)*VLOOKUP($B31,Paraméterek!$B$27:$D$30,IF($D$2="Egyszeri",3,2)),IF($D$4="Forint",0,2))</f>
        <v>0</v>
      </c>
      <c r="L31" s="13">
        <f t="shared" si="4"/>
        <v>0</v>
      </c>
      <c r="M31" s="13">
        <f t="shared" ca="1" si="10"/>
        <v>-5976</v>
      </c>
      <c r="N31" s="13">
        <f ca="1">IF($V30&gt;=VLOOKUP($M$4-1+$B31,Paraméterek!$B$121:$D$122,IF($D$4="Forint",2,3)),0,VLOOKUP($M$4-1+$B31,Paraméterek!$B$121:$D$122,IF($D$4="Forint",2,3))-$V30)</f>
        <v>15976</v>
      </c>
      <c r="O31" s="13">
        <f ca="1">ROUNDUP($N31*Paraméterek!$C$58/Paraméterek!$C$56,IF($D$4="Forint",0,2))</f>
        <v>3</v>
      </c>
      <c r="P31" s="13">
        <f t="shared" si="5"/>
        <v>550</v>
      </c>
      <c r="Q31" s="33"/>
      <c r="R31" s="13">
        <f t="shared" ca="1" si="6"/>
        <v>0</v>
      </c>
      <c r="S31" s="13">
        <f ca="1">ROUNDUP(($M31-$O31-$P31+$R31)*VLOOKUP($B31,Paraméterek!$B$38:$D$39,IF($D$2="Egyszeri",3,2))/12,IF($D$4="Forint",0,2))</f>
        <v>-18</v>
      </c>
      <c r="T31" s="13">
        <f>Tranzakciók!$F$32</f>
        <v>0</v>
      </c>
      <c r="U31" s="13"/>
      <c r="V31" s="13">
        <f ca="1">$M31-$O31-$P31+$R31-$S31-IF(ROUNDUP(IF(ISBLANK($U31),$T31,$U31)/IF(AND($B31=1,$D$2&lt;&gt;"Egyszeri"),1,VLOOKUP($B31+IF($C31=12,1,0),Paraméterek!$B$257:$D$267,IF($D$2="Egyszeri",3,2))),IF($D$4="Forint",0,2))&gt;$M31-$O31-$P31+$R31-$S31-IF($D$4="Forint",Paraméterek!$C$216,Paraméterek!$D$216),0,ROUNDUP(IF(ISBLANK($U31),$T31,$U31)/IF(AND($B31=1,$D$2&lt;&gt;"Egyszeri"),1,VLOOKUP($B31+IF($C31=12,1,0),Paraméterek!$B$257:$D$267,IF($D$2="Egyszeri",3,2))),IF($D$4="Forint",0,2)))</f>
        <v>-6511</v>
      </c>
      <c r="W31" s="13">
        <f ca="1">ROUNDDOWN($V31*VLOOKUP($B31+IF($C31=12,1,0),Paraméterek!$B$257:$D$267,IF($D$2="Egyszeri",3,2)),IF($D$4="Forint",0,2))</f>
        <v>-5208</v>
      </c>
      <c r="Y31" s="32">
        <v>12</v>
      </c>
      <c r="Z31" s="32">
        <v>1</v>
      </c>
      <c r="AA31" s="32">
        <v>12</v>
      </c>
      <c r="AB31" s="13">
        <f t="shared" si="11"/>
        <v>0</v>
      </c>
      <c r="AC31" s="33"/>
      <c r="AD31" s="13">
        <f t="shared" si="7"/>
        <v>0</v>
      </c>
      <c r="AE31" s="13">
        <f>ROUNDUP(($AB31+$AD31)*VLOOKUP($Z31,Paraméterek!$P$38:$Q$38,2)/12,IF($D$4="Forint",0,2))</f>
        <v>0</v>
      </c>
      <c r="AF31" s="13">
        <f>IF($D$2="Egyszeri",IF($D$7&gt;=IF($D$4="Forint",Paraméterek!$P$223,Paraméterek!$P$224),$D$7-IF($D$4="Forint",Paraméterek!$F$223,Paraméterek!$F$224),0),MIN(IF($AA31=12,AVERAGE($D$20:$D31)*12,0),SUM($D$20:$D$31)))</f>
        <v>0</v>
      </c>
      <c r="AG31" s="13">
        <f>IF(AND($Z31&gt;=10,MOD($Z31,5)=0),$AF31*IF($AA31=12,VLOOKUP($Z31,Paraméterek!$B$225:$F$240,IF($AF31&lt;IF($D$4="Forint",Paraméterek!$C$223,Paraméterek!$C$224),2,IF($AF31&lt;IF($D$4="Forint",Paraméterek!$D$223,Paraméterek!$D$224),3,4))),0),0)</f>
        <v>0</v>
      </c>
      <c r="AH31" s="13">
        <f>IF(AND($Z31&gt;=5,MOD($Z31,5)=0),IF($AA31=12,VLOOKUP($Z31,Paraméterek!$B$225:$F$240,5),0),IF(OR($Z31=3,$Z31=4),IF($AA31=12,VLOOKUP($Z31,Paraméterek!$B$225:$F$240,5,0),0),0))*$AF31</f>
        <v>0</v>
      </c>
      <c r="AI31" s="13">
        <f>ROUNDDOWN(IF(SUM($T$20:$U31)=0,IF($D$2="Egyszeri",$AH31,$AG31),0),IF($D$4="Forint",0,2))</f>
        <v>0</v>
      </c>
      <c r="AJ31" s="13">
        <f t="shared" si="12"/>
        <v>0</v>
      </c>
      <c r="AK31" s="13">
        <f t="shared" si="13"/>
        <v>0</v>
      </c>
      <c r="AM31" s="32">
        <v>12</v>
      </c>
      <c r="AN31" s="32">
        <v>1</v>
      </c>
      <c r="AO31" s="32">
        <v>12</v>
      </c>
      <c r="AP31" s="13"/>
      <c r="AQ31" s="32"/>
      <c r="AR31" s="13">
        <f t="shared" si="14"/>
        <v>0</v>
      </c>
      <c r="AS31" s="33"/>
      <c r="AT31" s="13">
        <f t="shared" si="8"/>
        <v>0</v>
      </c>
      <c r="AU31" s="13">
        <f>ROUNDUP(($AR31+$AT31)*VLOOKUP($AN31,Paraméterek!$P$38:$Q$38,2)/12,IF($D$4="Forint",0,2))</f>
        <v>0</v>
      </c>
      <c r="AV31" s="13">
        <f>Tranzakciók!$M$32</f>
        <v>0</v>
      </c>
      <c r="AW31" s="13"/>
      <c r="AX31" s="13">
        <f>ROUNDUP(IF(SUM($AV31:$AW31)=0,0,IF(IF(ISBLANK($AW31),$AV31,$AW31)*Paraméterek!$J$112&lt;IF($D$4="Forint",Paraméterek!$J$113,Paraméterek!$K$113),IF($D$4="Forint",Paraméterek!$J$113,Paraméterek!$K$113),IF(IF(ISBLANK($AW31),$AV31,$AW31)*Paraméterek!$J$112&gt;IF($D$4="Forint",Paraméterek!$J$114,Paraméterek!$K$114),IF($D$4="Forint",Paraméterek!$J$114,Paraméterek!$K$114),IF(ISBLANK($AW31),$AV31,$AW31)*Paraméterek!$J$112))),IF($D$4="Forint",0,2))</f>
        <v>0</v>
      </c>
      <c r="AY31" s="13">
        <f>$AR31+$AT31-$AU31-IF(ROUNDDOWN(IF(ISBLANK($AW31),$AV31,$AW31),IF($D$4="Forint",0,2))&gt;$AR31+$AT31-$AU31-IF($D$4="Forint",Paraméterek!$J$114,Paraméterek!$K$114),0,ROUNDDOWN(IF(ISBLANK($AW31),$AV31,$AW31),IF($D$4="Forint",0,2))-$AX31)</f>
        <v>0</v>
      </c>
      <c r="AZ31" s="13">
        <f t="shared" si="9"/>
        <v>0</v>
      </c>
    </row>
    <row r="32" spans="1:52" x14ac:dyDescent="0.2">
      <c r="A32" s="32">
        <v>13</v>
      </c>
      <c r="B32" s="32">
        <v>2</v>
      </c>
      <c r="C32" s="32">
        <v>1</v>
      </c>
      <c r="D32" s="13">
        <f t="shared" si="0"/>
        <v>0</v>
      </c>
      <c r="E32" s="13"/>
      <c r="F32" s="13">
        <f>Tranzakciók!$D$33</f>
        <v>0</v>
      </c>
      <c r="G32" s="13"/>
      <c r="H32" s="13">
        <f t="shared" si="1"/>
        <v>0</v>
      </c>
      <c r="I32" s="13">
        <f t="shared" si="2"/>
        <v>103</v>
      </c>
      <c r="J32" s="13">
        <f t="shared" si="3"/>
        <v>103</v>
      </c>
      <c r="K32" s="13">
        <f>ROUNDUP(IF($D$2="Egyszeri",$D32,IF($D$2="Havi",SUM($D$20:$D$31),IF(MOD($C32,$M$1)-1=0,SUM($D$20:$D$31),0))/12*$M$1)*VLOOKUP($B32,Paraméterek!$B$27:$D$30,IF($D$2="Egyszeri",3,2)),IF($D$4="Forint",0,2))</f>
        <v>0</v>
      </c>
      <c r="L32" s="13">
        <f t="shared" si="4"/>
        <v>0</v>
      </c>
      <c r="M32" s="13">
        <f t="shared" ca="1" si="10"/>
        <v>-6511</v>
      </c>
      <c r="N32" s="13">
        <f ca="1">IF($V31&gt;=VLOOKUP($M$4-1+$B32,Paraméterek!$B$121:$D$122,IF($D$4="Forint",2,3)),0,VLOOKUP($M$4-1+$B32,Paraméterek!$B$121:$D$122,IF($D$4="Forint",2,3))-$V31)</f>
        <v>16511</v>
      </c>
      <c r="O32" s="13">
        <f ca="1">ROUNDUP($N32*Paraméterek!$C$58/Paraméterek!$C$56,IF($D$4="Forint",0,2))</f>
        <v>3</v>
      </c>
      <c r="P32" s="13">
        <f t="shared" si="5"/>
        <v>567</v>
      </c>
      <c r="Q32" s="33"/>
      <c r="R32" s="13">
        <f t="shared" ca="1" si="6"/>
        <v>0</v>
      </c>
      <c r="S32" s="13">
        <f ca="1">ROUNDUP(($M32-$O32-$P32+$R32)*VLOOKUP($B32,Paraméterek!$B$38:$D$39,IF($D$2="Egyszeri",3,2))/12,IF($D$4="Forint",0,2))</f>
        <v>-20</v>
      </c>
      <c r="T32" s="13"/>
      <c r="U32" s="13"/>
      <c r="V32" s="13">
        <f ca="1">$M32-$O32-$P32+$R32-$S32-IF(ROUNDUP(IF(ISBLANK($U32),$T32,$U32)/IF(AND($B32=1,$D$2&lt;&gt;"Egyszeri"),1,VLOOKUP($B32+IF($C32=12,1,0),Paraméterek!$B$257:$D$267,IF($D$2="Egyszeri",3,2))),IF($D$4="Forint",0,2))&gt;$M32-$O32-$P32+$R32-$S32-IF($D$4="Forint",Paraméterek!$C$216,Paraméterek!$D$216),0,ROUNDUP(IF(ISBLANK($U32),$T32,$U32)/IF(AND($B32=1,$D$2&lt;&gt;"Egyszeri"),1,VLOOKUP($B32+IF($C32=12,1,0),Paraméterek!$B$257:$D$267,IF($D$2="Egyszeri",3,2))),IF($D$4="Forint",0,2)))</f>
        <v>-7061</v>
      </c>
      <c r="W32" s="13">
        <f ca="1">ROUNDDOWN($V32*VLOOKUP($B32+IF($C32=12,1,0),Paraméterek!$B$257:$D$267,IF($D$2="Egyszeri",3,2)),IF($D$4="Forint",0,2))</f>
        <v>-5648</v>
      </c>
      <c r="Y32" s="32">
        <v>13</v>
      </c>
      <c r="Z32" s="32">
        <v>2</v>
      </c>
      <c r="AA32" s="32">
        <v>1</v>
      </c>
      <c r="AB32" s="13">
        <f t="shared" si="11"/>
        <v>0</v>
      </c>
      <c r="AC32" s="33"/>
      <c r="AD32" s="13">
        <f t="shared" si="7"/>
        <v>0</v>
      </c>
      <c r="AE32" s="13">
        <f>ROUNDUP(($AB32+$AD32)*VLOOKUP($Z32,Paraméterek!$P$38:$Q$38,2)/12,IF($D$4="Forint",0,2))</f>
        <v>0</v>
      </c>
      <c r="AF32" s="13">
        <f>IF($D$2="Egyszeri",IF($D$7&gt;=IF($D$4="Forint",Paraméterek!$P$223,Paraméterek!$P$224),$D$7-IF($D$4="Forint",Paraméterek!$F$223,Paraméterek!$F$224),0),MIN(IF($AA32=12,AVERAGE($D$20:$D32)*12,0),SUM($D$20:$D$31)))</f>
        <v>0</v>
      </c>
      <c r="AG32" s="13">
        <f>IF(AND($Z32&gt;=10,MOD($Z32,5)=0),$AF32*IF($AA32=12,VLOOKUP($Z32,Paraméterek!$B$225:$F$240,IF($AF32&lt;IF($D$4="Forint",Paraméterek!$C$223,Paraméterek!$C$224),2,IF($AF32&lt;IF($D$4="Forint",Paraméterek!$D$223,Paraméterek!$D$224),3,4))),0),0)</f>
        <v>0</v>
      </c>
      <c r="AH32" s="13">
        <f>IF(AND($Z32&gt;=5,MOD($Z32,5)=0),IF($AA32=12,VLOOKUP($Z32,Paraméterek!$B$225:$F$240,5),0),IF(OR($Z32=3,$Z32=4),IF($AA32=12,VLOOKUP($Z32,Paraméterek!$B$225:$F$240,5,0),0),0))*$AF32</f>
        <v>0</v>
      </c>
      <c r="AI32" s="13">
        <f>ROUNDDOWN(IF(SUM($T$20:$U32)=0,IF($D$2="Egyszeri",$AH32,$AG32),0),IF($D$4="Forint",0,2))</f>
        <v>0</v>
      </c>
      <c r="AJ32" s="13">
        <f t="shared" si="12"/>
        <v>0</v>
      </c>
      <c r="AK32" s="13">
        <f t="shared" si="13"/>
        <v>0</v>
      </c>
      <c r="AM32" s="32">
        <v>13</v>
      </c>
      <c r="AN32" s="32">
        <v>2</v>
      </c>
      <c r="AO32" s="32">
        <v>1</v>
      </c>
      <c r="AP32" s="13">
        <f>Tranzakciók!$K$33</f>
        <v>0</v>
      </c>
      <c r="AQ32" s="32"/>
      <c r="AR32" s="13">
        <f t="shared" si="14"/>
        <v>0</v>
      </c>
      <c r="AS32" s="33"/>
      <c r="AT32" s="13">
        <f t="shared" si="8"/>
        <v>0</v>
      </c>
      <c r="AU32" s="13">
        <f>ROUNDUP(($AR32+$AT32)*VLOOKUP($AN32,Paraméterek!$P$38:$Q$38,2)/12,IF($D$4="Forint",0,2))</f>
        <v>0</v>
      </c>
      <c r="AV32" s="13"/>
      <c r="AW32" s="13"/>
      <c r="AX32" s="13">
        <f>ROUNDUP(IF(SUM($AV32:$AW32)=0,0,IF(IF(ISBLANK($AW32),$AV32,$AW32)*Paraméterek!$J$112&lt;IF($D$4="Forint",Paraméterek!$J$113,Paraméterek!$K$113),IF($D$4="Forint",Paraméterek!$J$113,Paraméterek!$K$113),IF(IF(ISBLANK($AW32),$AV32,$AW32)*Paraméterek!$J$112&gt;IF($D$4="Forint",Paraméterek!$J$114,Paraméterek!$K$114),IF($D$4="Forint",Paraméterek!$J$114,Paraméterek!$K$114),IF(ISBLANK($AW32),$AV32,$AW32)*Paraméterek!$J$112))),IF($D$4="Forint",0,2))</f>
        <v>0</v>
      </c>
      <c r="AY32" s="13">
        <f>$AR32+$AT32-$AU32-IF(ROUNDDOWN(IF(ISBLANK($AW32),$AV32,$AW32),IF($D$4="Forint",0,2))&gt;$AR32+$AT32-$AU32-IF($D$4="Forint",Paraméterek!$J$114,Paraméterek!$K$114),0,ROUNDDOWN(IF(ISBLANK($AW32),$AV32,$AW32),IF($D$4="Forint",0,2))-$AX32)</f>
        <v>0</v>
      </c>
      <c r="AZ32" s="13">
        <f t="shared" si="9"/>
        <v>0</v>
      </c>
    </row>
    <row r="33" spans="1:52" x14ac:dyDescent="0.2">
      <c r="A33" s="32">
        <v>14</v>
      </c>
      <c r="B33" s="32">
        <v>2</v>
      </c>
      <c r="C33" s="32">
        <v>2</v>
      </c>
      <c r="D33" s="13">
        <f t="shared" si="0"/>
        <v>0</v>
      </c>
      <c r="E33" s="13"/>
      <c r="F33" s="13"/>
      <c r="G33" s="13"/>
      <c r="H33" s="13">
        <f t="shared" si="1"/>
        <v>0</v>
      </c>
      <c r="I33" s="13">
        <f t="shared" si="2"/>
        <v>0</v>
      </c>
      <c r="J33" s="13">
        <f t="shared" si="3"/>
        <v>0</v>
      </c>
      <c r="K33" s="13">
        <f>ROUNDUP(IF($D$2="Egyszeri",$D33,IF($D$2="Havi",SUM($D$20:$D$31),IF(MOD($C33,$M$1)-1=0,SUM($D$20:$D$31),0))/12*$M$1)*VLOOKUP($B33,Paraméterek!$B$27:$D$30,IF($D$2="Egyszeri",3,2)),IF($D$4="Forint",0,2))</f>
        <v>0</v>
      </c>
      <c r="L33" s="13">
        <f t="shared" si="4"/>
        <v>0</v>
      </c>
      <c r="M33" s="13">
        <f t="shared" ca="1" si="10"/>
        <v>-7061</v>
      </c>
      <c r="N33" s="13">
        <f ca="1">IF($V32&gt;=VLOOKUP($M$4-1+$B33,Paraméterek!$B$121:$D$122,IF($D$4="Forint",2,3)),0,VLOOKUP($M$4-1+$B33,Paraméterek!$B$121:$D$122,IF($D$4="Forint",2,3))-$V32)</f>
        <v>17061</v>
      </c>
      <c r="O33" s="13">
        <f ca="1">ROUNDUP($N33*Paraméterek!$C$58/Paraméterek!$C$56,IF($D$4="Forint",0,2))</f>
        <v>3</v>
      </c>
      <c r="P33" s="13">
        <f t="shared" si="5"/>
        <v>567</v>
      </c>
      <c r="Q33" s="33"/>
      <c r="R33" s="13">
        <f t="shared" ca="1" si="6"/>
        <v>0</v>
      </c>
      <c r="S33" s="13">
        <f ca="1">ROUNDUP(($M33-$O33-$P33+$R33)*VLOOKUP($B33,Paraméterek!$B$38:$D$39,IF($D$2="Egyszeri",3,2))/12,IF($D$4="Forint",0,2))</f>
        <v>-21</v>
      </c>
      <c r="T33" s="13"/>
      <c r="U33" s="13"/>
      <c r="V33" s="13">
        <f ca="1">$M33-$O33-$P33+$R33-$S33-IF(ROUNDUP(IF(ISBLANK($U33),$T33,$U33)/IF(AND($B33=1,$D$2&lt;&gt;"Egyszeri"),1,VLOOKUP($B33+IF($C33=12,1,0),Paraméterek!$B$257:$D$267,IF($D$2="Egyszeri",3,2))),IF($D$4="Forint",0,2))&gt;$M33-$O33-$P33+$R33-$S33-IF($D$4="Forint",Paraméterek!$C$216,Paraméterek!$D$216),0,ROUNDUP(IF(ISBLANK($U33),$T33,$U33)/IF(AND($B33=1,$D$2&lt;&gt;"Egyszeri"),1,VLOOKUP($B33+IF($C33=12,1,0),Paraméterek!$B$257:$D$267,IF($D$2="Egyszeri",3,2))),IF($D$4="Forint",0,2)))</f>
        <v>-7610</v>
      </c>
      <c r="W33" s="13">
        <f ca="1">ROUNDDOWN($V33*VLOOKUP($B33+IF($C33=12,1,0),Paraméterek!$B$257:$D$267,IF($D$2="Egyszeri",3,2)),IF($D$4="Forint",0,2))</f>
        <v>-6088</v>
      </c>
      <c r="Y33" s="32">
        <v>14</v>
      </c>
      <c r="Z33" s="32">
        <v>2</v>
      </c>
      <c r="AA33" s="32">
        <v>2</v>
      </c>
      <c r="AB33" s="13">
        <f t="shared" si="11"/>
        <v>0</v>
      </c>
      <c r="AC33" s="33"/>
      <c r="AD33" s="13">
        <f t="shared" si="7"/>
        <v>0</v>
      </c>
      <c r="AE33" s="13">
        <f>ROUNDUP(($AB33+$AD33)*VLOOKUP($Z33,Paraméterek!$P$38:$Q$38,2)/12,IF($D$4="Forint",0,2))</f>
        <v>0</v>
      </c>
      <c r="AF33" s="13">
        <f>IF($D$2="Egyszeri",IF($D$7&gt;=IF($D$4="Forint",Paraméterek!$P$223,Paraméterek!$P$224),$D$7-IF($D$4="Forint",Paraméterek!$F$223,Paraméterek!$F$224),0),MIN(IF($AA33=12,AVERAGE($D$20:$D33)*12,0),SUM($D$20:$D$31)))</f>
        <v>0</v>
      </c>
      <c r="AG33" s="13">
        <f>IF(AND($Z33&gt;=10,MOD($Z33,5)=0),$AF33*IF($AA33=12,VLOOKUP($Z33,Paraméterek!$B$225:$F$240,IF($AF33&lt;IF($D$4="Forint",Paraméterek!$C$223,Paraméterek!$C$224),2,IF($AF33&lt;IF($D$4="Forint",Paraméterek!$D$223,Paraméterek!$D$224),3,4))),0),0)</f>
        <v>0</v>
      </c>
      <c r="AH33" s="13">
        <f>IF(AND($Z33&gt;=5,MOD($Z33,5)=0),IF($AA33=12,VLOOKUP($Z33,Paraméterek!$B$225:$F$240,5),0),IF(OR($Z33=3,$Z33=4),IF($AA33=12,VLOOKUP($Z33,Paraméterek!$B$225:$F$240,5,0),0),0))*$AF33</f>
        <v>0</v>
      </c>
      <c r="AI33" s="13">
        <f>ROUNDDOWN(IF(SUM($T$20:$U33)=0,IF($D$2="Egyszeri",$AH33,$AG33),0),IF($D$4="Forint",0,2))</f>
        <v>0</v>
      </c>
      <c r="AJ33" s="13">
        <f t="shared" si="12"/>
        <v>0</v>
      </c>
      <c r="AK33" s="13">
        <f t="shared" si="13"/>
        <v>0</v>
      </c>
      <c r="AM33" s="32">
        <v>14</v>
      </c>
      <c r="AN33" s="32">
        <v>2</v>
      </c>
      <c r="AO33" s="32">
        <v>2</v>
      </c>
      <c r="AP33" s="13"/>
      <c r="AQ33" s="32"/>
      <c r="AR33" s="13">
        <f t="shared" si="14"/>
        <v>0</v>
      </c>
      <c r="AS33" s="33"/>
      <c r="AT33" s="13">
        <f t="shared" si="8"/>
        <v>0</v>
      </c>
      <c r="AU33" s="13">
        <f>ROUNDUP(($AR33+$AT33)*VLOOKUP($AN33,Paraméterek!$P$38:$Q$38,2)/12,IF($D$4="Forint",0,2))</f>
        <v>0</v>
      </c>
      <c r="AV33" s="13"/>
      <c r="AW33" s="13"/>
      <c r="AX33" s="13">
        <f>ROUNDUP(IF(SUM($AV33:$AW33)=0,0,IF(IF(ISBLANK($AW33),$AV33,$AW33)*Paraméterek!$J$112&lt;IF($D$4="Forint",Paraméterek!$J$113,Paraméterek!$K$113),IF($D$4="Forint",Paraméterek!$J$113,Paraméterek!$K$113),IF(IF(ISBLANK($AW33),$AV33,$AW33)*Paraméterek!$J$112&gt;IF($D$4="Forint",Paraméterek!$J$114,Paraméterek!$K$114),IF($D$4="Forint",Paraméterek!$J$114,Paraméterek!$K$114),IF(ISBLANK($AW33),$AV33,$AW33)*Paraméterek!$J$112))),IF($D$4="Forint",0,2))</f>
        <v>0</v>
      </c>
      <c r="AY33" s="13">
        <f>$AR33+$AT33-$AU33-IF(ROUNDDOWN(IF(ISBLANK($AW33),$AV33,$AW33),IF($D$4="Forint",0,2))&gt;$AR33+$AT33-$AU33-IF($D$4="Forint",Paraméterek!$J$114,Paraméterek!$K$114),0,ROUNDDOWN(IF(ISBLANK($AW33),$AV33,$AW33),IF($D$4="Forint",0,2))-$AX33)</f>
        <v>0</v>
      </c>
      <c r="AZ33" s="13">
        <f t="shared" si="9"/>
        <v>0</v>
      </c>
    </row>
    <row r="34" spans="1:52" x14ac:dyDescent="0.2">
      <c r="A34" s="32">
        <v>15</v>
      </c>
      <c r="B34" s="32">
        <v>2</v>
      </c>
      <c r="C34" s="32">
        <v>3</v>
      </c>
      <c r="D34" s="13">
        <f t="shared" si="0"/>
        <v>0</v>
      </c>
      <c r="E34" s="13"/>
      <c r="F34" s="13"/>
      <c r="G34" s="13"/>
      <c r="H34" s="13">
        <f t="shared" si="1"/>
        <v>0</v>
      </c>
      <c r="I34" s="13">
        <f t="shared" si="2"/>
        <v>0</v>
      </c>
      <c r="J34" s="13">
        <f t="shared" si="3"/>
        <v>0</v>
      </c>
      <c r="K34" s="13">
        <f>ROUNDUP(IF($D$2="Egyszeri",$D34,IF($D$2="Havi",SUM($D$20:$D$31),IF(MOD($C34,$M$1)-1=0,SUM($D$20:$D$31),0))/12*$M$1)*VLOOKUP($B34,Paraméterek!$B$27:$D$30,IF($D$2="Egyszeri",3,2)),IF($D$4="Forint",0,2))</f>
        <v>0</v>
      </c>
      <c r="L34" s="13">
        <f t="shared" si="4"/>
        <v>0</v>
      </c>
      <c r="M34" s="13">
        <f t="shared" ca="1" si="10"/>
        <v>-7610</v>
      </c>
      <c r="N34" s="13">
        <f ca="1">IF($V33&gt;=VLOOKUP($M$4-1+$B34,Paraméterek!$B$121:$D$122,IF($D$4="Forint",2,3)),0,VLOOKUP($M$4-1+$B34,Paraméterek!$B$121:$D$122,IF($D$4="Forint",2,3))-$V33)</f>
        <v>17610</v>
      </c>
      <c r="O34" s="13">
        <f ca="1">ROUNDUP($N34*Paraméterek!$C$58/Paraméterek!$C$56,IF($D$4="Forint",0,2))</f>
        <v>3</v>
      </c>
      <c r="P34" s="13">
        <f t="shared" si="5"/>
        <v>567</v>
      </c>
      <c r="Q34" s="33"/>
      <c r="R34" s="13">
        <f t="shared" ca="1" si="6"/>
        <v>0</v>
      </c>
      <c r="S34" s="13">
        <f ca="1">ROUNDUP(($M34-$O34-$P34+$R34)*VLOOKUP($B34,Paraméterek!$B$38:$D$39,IF($D$2="Egyszeri",3,2))/12,IF($D$4="Forint",0,2))</f>
        <v>-23</v>
      </c>
      <c r="T34" s="13"/>
      <c r="U34" s="13"/>
      <c r="V34" s="13">
        <f ca="1">$M34-$O34-$P34+$R34-$S34-IF(ROUNDUP(IF(ISBLANK($U34),$T34,$U34)/IF(AND($B34=1,$D$2&lt;&gt;"Egyszeri"),1,VLOOKUP($B34+IF($C34=12,1,0),Paraméterek!$B$257:$D$267,IF($D$2="Egyszeri",3,2))),IF($D$4="Forint",0,2))&gt;$M34-$O34-$P34+$R34-$S34-IF($D$4="Forint",Paraméterek!$C$216,Paraméterek!$D$216),0,ROUNDUP(IF(ISBLANK($U34),$T34,$U34)/IF(AND($B34=1,$D$2&lt;&gt;"Egyszeri"),1,VLOOKUP($B34+IF($C34=12,1,0),Paraméterek!$B$257:$D$267,IF($D$2="Egyszeri",3,2))),IF($D$4="Forint",0,2)))</f>
        <v>-8157</v>
      </c>
      <c r="W34" s="13">
        <f ca="1">ROUNDDOWN($V34*VLOOKUP($B34+IF($C34=12,1,0),Paraméterek!$B$257:$D$267,IF($D$2="Egyszeri",3,2)),IF($D$4="Forint",0,2))</f>
        <v>-6525</v>
      </c>
      <c r="Y34" s="32">
        <v>15</v>
      </c>
      <c r="Z34" s="32">
        <v>2</v>
      </c>
      <c r="AA34" s="32">
        <v>3</v>
      </c>
      <c r="AB34" s="13">
        <f t="shared" si="11"/>
        <v>0</v>
      </c>
      <c r="AC34" s="33"/>
      <c r="AD34" s="13">
        <f t="shared" si="7"/>
        <v>0</v>
      </c>
      <c r="AE34" s="13">
        <f>ROUNDUP(($AB34+$AD34)*VLOOKUP($Z34,Paraméterek!$P$38:$Q$38,2)/12,IF($D$4="Forint",0,2))</f>
        <v>0</v>
      </c>
      <c r="AF34" s="13">
        <f>IF($D$2="Egyszeri",IF($D$7&gt;=IF($D$4="Forint",Paraméterek!$P$223,Paraméterek!$P$224),$D$7-IF($D$4="Forint",Paraméterek!$F$223,Paraméterek!$F$224),0),MIN(IF($AA34=12,AVERAGE($D$20:$D34)*12,0),SUM($D$20:$D$31)))</f>
        <v>0</v>
      </c>
      <c r="AG34" s="13">
        <f>IF(AND($Z34&gt;=10,MOD($Z34,5)=0),$AF34*IF($AA34=12,VLOOKUP($Z34,Paraméterek!$B$225:$F$240,IF($AF34&lt;IF($D$4="Forint",Paraméterek!$C$223,Paraméterek!$C$224),2,IF($AF34&lt;IF($D$4="Forint",Paraméterek!$D$223,Paraméterek!$D$224),3,4))),0),0)</f>
        <v>0</v>
      </c>
      <c r="AH34" s="13">
        <f>IF(AND($Z34&gt;=5,MOD($Z34,5)=0),IF($AA34=12,VLOOKUP($Z34,Paraméterek!$B$225:$F$240,5),0),IF(OR($Z34=3,$Z34=4),IF($AA34=12,VLOOKUP($Z34,Paraméterek!$B$225:$F$240,5,0),0),0))*$AF34</f>
        <v>0</v>
      </c>
      <c r="AI34" s="13">
        <f>ROUNDDOWN(IF(SUM($T$20:$U34)=0,IF($D$2="Egyszeri",$AH34,$AG34),0),IF($D$4="Forint",0,2))</f>
        <v>0</v>
      </c>
      <c r="AJ34" s="13">
        <f t="shared" si="12"/>
        <v>0</v>
      </c>
      <c r="AK34" s="13">
        <f t="shared" si="13"/>
        <v>0</v>
      </c>
      <c r="AM34" s="32">
        <v>15</v>
      </c>
      <c r="AN34" s="32">
        <v>2</v>
      </c>
      <c r="AO34" s="32">
        <v>3</v>
      </c>
      <c r="AP34" s="13"/>
      <c r="AQ34" s="32"/>
      <c r="AR34" s="13">
        <f t="shared" si="14"/>
        <v>0</v>
      </c>
      <c r="AS34" s="33"/>
      <c r="AT34" s="13">
        <f t="shared" si="8"/>
        <v>0</v>
      </c>
      <c r="AU34" s="13">
        <f>ROUNDUP(($AR34+$AT34)*VLOOKUP($AN34,Paraméterek!$P$38:$Q$38,2)/12,IF($D$4="Forint",0,2))</f>
        <v>0</v>
      </c>
      <c r="AV34" s="13"/>
      <c r="AW34" s="13"/>
      <c r="AX34" s="13">
        <f>ROUNDUP(IF(SUM($AV34:$AW34)=0,0,IF(IF(ISBLANK($AW34),$AV34,$AW34)*Paraméterek!$J$112&lt;IF($D$4="Forint",Paraméterek!$J$113,Paraméterek!$K$113),IF($D$4="Forint",Paraméterek!$J$113,Paraméterek!$K$113),IF(IF(ISBLANK($AW34),$AV34,$AW34)*Paraméterek!$J$112&gt;IF($D$4="Forint",Paraméterek!$J$114,Paraméterek!$K$114),IF($D$4="Forint",Paraméterek!$J$114,Paraméterek!$K$114),IF(ISBLANK($AW34),$AV34,$AW34)*Paraméterek!$J$112))),IF($D$4="Forint",0,2))</f>
        <v>0</v>
      </c>
      <c r="AY34" s="13">
        <f>$AR34+$AT34-$AU34-IF(ROUNDDOWN(IF(ISBLANK($AW34),$AV34,$AW34),IF($D$4="Forint",0,2))&gt;$AR34+$AT34-$AU34-IF($D$4="Forint",Paraméterek!$J$114,Paraméterek!$K$114),0,ROUNDDOWN(IF(ISBLANK($AW34),$AV34,$AW34),IF($D$4="Forint",0,2))-$AX34)</f>
        <v>0</v>
      </c>
      <c r="AZ34" s="13">
        <f t="shared" si="9"/>
        <v>0</v>
      </c>
    </row>
    <row r="35" spans="1:52" x14ac:dyDescent="0.2">
      <c r="A35" s="32">
        <v>16</v>
      </c>
      <c r="B35" s="32">
        <v>2</v>
      </c>
      <c r="C35" s="32">
        <v>4</v>
      </c>
      <c r="D35" s="13">
        <f t="shared" si="0"/>
        <v>0</v>
      </c>
      <c r="E35" s="13"/>
      <c r="F35" s="13"/>
      <c r="G35" s="13"/>
      <c r="H35" s="13">
        <f t="shared" si="1"/>
        <v>0</v>
      </c>
      <c r="I35" s="13">
        <f t="shared" si="2"/>
        <v>0</v>
      </c>
      <c r="J35" s="13">
        <f t="shared" si="3"/>
        <v>0</v>
      </c>
      <c r="K35" s="13">
        <f>ROUNDUP(IF($D$2="Egyszeri",$D35,IF($D$2="Havi",SUM($D$20:$D$31),IF(MOD($C35,$M$1)-1=0,SUM($D$20:$D$31),0))/12*$M$1)*VLOOKUP($B35,Paraméterek!$B$27:$D$30,IF($D$2="Egyszeri",3,2)),IF($D$4="Forint",0,2))</f>
        <v>0</v>
      </c>
      <c r="L35" s="13">
        <f t="shared" si="4"/>
        <v>0</v>
      </c>
      <c r="M35" s="13">
        <f t="shared" ca="1" si="10"/>
        <v>-8157</v>
      </c>
      <c r="N35" s="13">
        <f ca="1">IF($V34&gt;=VLOOKUP($M$4-1+$B35,Paraméterek!$B$121:$D$122,IF($D$4="Forint",2,3)),0,VLOOKUP($M$4-1+$B35,Paraméterek!$B$121:$D$122,IF($D$4="Forint",2,3))-$V34)</f>
        <v>18157</v>
      </c>
      <c r="O35" s="13">
        <f ca="1">ROUNDUP($N35*Paraméterek!$C$58/Paraméterek!$C$56,IF($D$4="Forint",0,2))</f>
        <v>3</v>
      </c>
      <c r="P35" s="13">
        <f t="shared" si="5"/>
        <v>567</v>
      </c>
      <c r="Q35" s="33"/>
      <c r="R35" s="13">
        <f t="shared" ca="1" si="6"/>
        <v>0</v>
      </c>
      <c r="S35" s="13">
        <f ca="1">ROUNDUP(($M35-$O35-$P35+$R35)*VLOOKUP($B35,Paraméterek!$B$38:$D$39,IF($D$2="Egyszeri",3,2))/12,IF($D$4="Forint",0,2))</f>
        <v>-24</v>
      </c>
      <c r="T35" s="13"/>
      <c r="U35" s="13"/>
      <c r="V35" s="13">
        <f ca="1">$M35-$O35-$P35+$R35-$S35-IF(ROUNDUP(IF(ISBLANK($U35),$T35,$U35)/IF(AND($B35=1,$D$2&lt;&gt;"Egyszeri"),1,VLOOKUP($B35+IF($C35=12,1,0),Paraméterek!$B$257:$D$267,IF($D$2="Egyszeri",3,2))),IF($D$4="Forint",0,2))&gt;$M35-$O35-$P35+$R35-$S35-IF($D$4="Forint",Paraméterek!$C$216,Paraméterek!$D$216),0,ROUNDUP(IF(ISBLANK($U35),$T35,$U35)/IF(AND($B35=1,$D$2&lt;&gt;"Egyszeri"),1,VLOOKUP($B35+IF($C35=12,1,0),Paraméterek!$B$257:$D$267,IF($D$2="Egyszeri",3,2))),IF($D$4="Forint",0,2)))</f>
        <v>-8703</v>
      </c>
      <c r="W35" s="13">
        <f ca="1">ROUNDDOWN($V35*VLOOKUP($B35+IF($C35=12,1,0),Paraméterek!$B$257:$D$267,IF($D$2="Egyszeri",3,2)),IF($D$4="Forint",0,2))</f>
        <v>-6962</v>
      </c>
      <c r="Y35" s="32">
        <v>16</v>
      </c>
      <c r="Z35" s="32">
        <v>2</v>
      </c>
      <c r="AA35" s="32">
        <v>4</v>
      </c>
      <c r="AB35" s="13">
        <f t="shared" si="11"/>
        <v>0</v>
      </c>
      <c r="AC35" s="33"/>
      <c r="AD35" s="13">
        <f t="shared" si="7"/>
        <v>0</v>
      </c>
      <c r="AE35" s="13">
        <f>ROUNDUP(($AB35+$AD35)*VLOOKUP($Z35,Paraméterek!$P$38:$Q$38,2)/12,IF($D$4="Forint",0,2))</f>
        <v>0</v>
      </c>
      <c r="AF35" s="13">
        <f>IF($D$2="Egyszeri",IF($D$7&gt;=IF($D$4="Forint",Paraméterek!$P$223,Paraméterek!$P$224),$D$7-IF($D$4="Forint",Paraméterek!$F$223,Paraméterek!$F$224),0),MIN(IF($AA35=12,AVERAGE($D$20:$D35)*12,0),SUM($D$20:$D$31)))</f>
        <v>0</v>
      </c>
      <c r="AG35" s="13">
        <f>IF(AND($Z35&gt;=10,MOD($Z35,5)=0),$AF35*IF($AA35=12,VLOOKUP($Z35,Paraméterek!$B$225:$F$240,IF($AF35&lt;IF($D$4="Forint",Paraméterek!$C$223,Paraméterek!$C$224),2,IF($AF35&lt;IF($D$4="Forint",Paraméterek!$D$223,Paraméterek!$D$224),3,4))),0),0)</f>
        <v>0</v>
      </c>
      <c r="AH35" s="13">
        <f>IF(AND($Z35&gt;=5,MOD($Z35,5)=0),IF($AA35=12,VLOOKUP($Z35,Paraméterek!$B$225:$F$240,5),0),IF(OR($Z35=3,$Z35=4),IF($AA35=12,VLOOKUP($Z35,Paraméterek!$B$225:$F$240,5,0),0),0))*$AF35</f>
        <v>0</v>
      </c>
      <c r="AI35" s="13">
        <f>ROUNDDOWN(IF(SUM($T$20:$U35)=0,IF($D$2="Egyszeri",$AH35,$AG35),0),IF($D$4="Forint",0,2))</f>
        <v>0</v>
      </c>
      <c r="AJ35" s="13">
        <f t="shared" si="12"/>
        <v>0</v>
      </c>
      <c r="AK35" s="13">
        <f t="shared" si="13"/>
        <v>0</v>
      </c>
      <c r="AM35" s="32">
        <v>16</v>
      </c>
      <c r="AN35" s="32">
        <v>2</v>
      </c>
      <c r="AO35" s="32">
        <v>4</v>
      </c>
      <c r="AP35" s="13"/>
      <c r="AQ35" s="32"/>
      <c r="AR35" s="13">
        <f t="shared" si="14"/>
        <v>0</v>
      </c>
      <c r="AS35" s="33"/>
      <c r="AT35" s="13">
        <f t="shared" si="8"/>
        <v>0</v>
      </c>
      <c r="AU35" s="13">
        <f>ROUNDUP(($AR35+$AT35)*VLOOKUP($AN35,Paraméterek!$P$38:$Q$38,2)/12,IF($D$4="Forint",0,2))</f>
        <v>0</v>
      </c>
      <c r="AV35" s="13"/>
      <c r="AW35" s="13"/>
      <c r="AX35" s="13">
        <f>ROUNDUP(IF(SUM($AV35:$AW35)=0,0,IF(IF(ISBLANK($AW35),$AV35,$AW35)*Paraméterek!$J$112&lt;IF($D$4="Forint",Paraméterek!$J$113,Paraméterek!$K$113),IF($D$4="Forint",Paraméterek!$J$113,Paraméterek!$K$113),IF(IF(ISBLANK($AW35),$AV35,$AW35)*Paraméterek!$J$112&gt;IF($D$4="Forint",Paraméterek!$J$114,Paraméterek!$K$114),IF($D$4="Forint",Paraméterek!$J$114,Paraméterek!$K$114),IF(ISBLANK($AW35),$AV35,$AW35)*Paraméterek!$J$112))),IF($D$4="Forint",0,2))</f>
        <v>0</v>
      </c>
      <c r="AY35" s="13">
        <f>$AR35+$AT35-$AU35-IF(ROUNDDOWN(IF(ISBLANK($AW35),$AV35,$AW35),IF($D$4="Forint",0,2))&gt;$AR35+$AT35-$AU35-IF($D$4="Forint",Paraméterek!$J$114,Paraméterek!$K$114),0,ROUNDDOWN(IF(ISBLANK($AW35),$AV35,$AW35),IF($D$4="Forint",0,2))-$AX35)</f>
        <v>0</v>
      </c>
      <c r="AZ35" s="13">
        <f t="shared" si="9"/>
        <v>0</v>
      </c>
    </row>
    <row r="36" spans="1:52" x14ac:dyDescent="0.2">
      <c r="A36" s="32">
        <v>17</v>
      </c>
      <c r="B36" s="32">
        <v>2</v>
      </c>
      <c r="C36" s="32">
        <v>5</v>
      </c>
      <c r="D36" s="13">
        <f t="shared" si="0"/>
        <v>0</v>
      </c>
      <c r="E36" s="13"/>
      <c r="F36" s="13"/>
      <c r="G36" s="13"/>
      <c r="H36" s="13">
        <f t="shared" si="1"/>
        <v>0</v>
      </c>
      <c r="I36" s="13">
        <f t="shared" si="2"/>
        <v>0</v>
      </c>
      <c r="J36" s="13">
        <f t="shared" si="3"/>
        <v>0</v>
      </c>
      <c r="K36" s="13">
        <f>ROUNDUP(IF($D$2="Egyszeri",$D36,IF($D$2="Havi",SUM($D$20:$D$31),IF(MOD($C36,$M$1)-1=0,SUM($D$20:$D$31),0))/12*$M$1)*VLOOKUP($B36,Paraméterek!$B$27:$D$30,IF($D$2="Egyszeri",3,2)),IF($D$4="Forint",0,2))</f>
        <v>0</v>
      </c>
      <c r="L36" s="13">
        <f t="shared" si="4"/>
        <v>0</v>
      </c>
      <c r="M36" s="13">
        <f t="shared" ca="1" si="10"/>
        <v>-8703</v>
      </c>
      <c r="N36" s="13">
        <f ca="1">IF($V35&gt;=VLOOKUP($M$4-1+$B36,Paraméterek!$B$121:$D$122,IF($D$4="Forint",2,3)),0,VLOOKUP($M$4-1+$B36,Paraméterek!$B$121:$D$122,IF($D$4="Forint",2,3))-$V35)</f>
        <v>18703</v>
      </c>
      <c r="O36" s="13">
        <f ca="1">ROUNDUP($N36*Paraméterek!$C$58/Paraméterek!$C$56,IF($D$4="Forint",0,2))</f>
        <v>3</v>
      </c>
      <c r="P36" s="13">
        <f t="shared" si="5"/>
        <v>567</v>
      </c>
      <c r="Q36" s="33"/>
      <c r="R36" s="13">
        <f t="shared" ca="1" si="6"/>
        <v>0</v>
      </c>
      <c r="S36" s="13">
        <f ca="1">ROUNDUP(($M36-$O36-$P36+$R36)*VLOOKUP($B36,Paraméterek!$B$38:$D$39,IF($D$2="Egyszeri",3,2))/12,IF($D$4="Forint",0,2))</f>
        <v>-26</v>
      </c>
      <c r="T36" s="13"/>
      <c r="U36" s="13"/>
      <c r="V36" s="13">
        <f ca="1">$M36-$O36-$P36+$R36-$S36-IF(ROUNDUP(IF(ISBLANK($U36),$T36,$U36)/IF(AND($B36=1,$D$2&lt;&gt;"Egyszeri"),1,VLOOKUP($B36+IF($C36=12,1,0),Paraméterek!$B$257:$D$267,IF($D$2="Egyszeri",3,2))),IF($D$4="Forint",0,2))&gt;$M36-$O36-$P36+$R36-$S36-IF($D$4="Forint",Paraméterek!$C$216,Paraméterek!$D$216),0,ROUNDUP(IF(ISBLANK($U36),$T36,$U36)/IF(AND($B36=1,$D$2&lt;&gt;"Egyszeri"),1,VLOOKUP($B36+IF($C36=12,1,0),Paraméterek!$B$257:$D$267,IF($D$2="Egyszeri",3,2))),IF($D$4="Forint",0,2)))</f>
        <v>-9247</v>
      </c>
      <c r="W36" s="13">
        <f ca="1">ROUNDDOWN($V36*VLOOKUP($B36+IF($C36=12,1,0),Paraméterek!$B$257:$D$267,IF($D$2="Egyszeri",3,2)),IF($D$4="Forint",0,2))</f>
        <v>-7397</v>
      </c>
      <c r="Y36" s="32">
        <v>17</v>
      </c>
      <c r="Z36" s="32">
        <v>2</v>
      </c>
      <c r="AA36" s="32">
        <v>5</v>
      </c>
      <c r="AB36" s="13">
        <f t="shared" si="11"/>
        <v>0</v>
      </c>
      <c r="AC36" s="33"/>
      <c r="AD36" s="13">
        <f t="shared" si="7"/>
        <v>0</v>
      </c>
      <c r="AE36" s="13">
        <f>ROUNDUP(($AB36+$AD36)*VLOOKUP($Z36,Paraméterek!$P$38:$Q$38,2)/12,IF($D$4="Forint",0,2))</f>
        <v>0</v>
      </c>
      <c r="AF36" s="13">
        <f>IF($D$2="Egyszeri",IF($D$7&gt;=IF($D$4="Forint",Paraméterek!$P$223,Paraméterek!$P$224),$D$7-IF($D$4="Forint",Paraméterek!$F$223,Paraméterek!$F$224),0),MIN(IF($AA36=12,AVERAGE($D$20:$D36)*12,0),SUM($D$20:$D$31)))</f>
        <v>0</v>
      </c>
      <c r="AG36" s="13">
        <f>IF(AND($Z36&gt;=10,MOD($Z36,5)=0),$AF36*IF($AA36=12,VLOOKUP($Z36,Paraméterek!$B$225:$F$240,IF($AF36&lt;IF($D$4="Forint",Paraméterek!$C$223,Paraméterek!$C$224),2,IF($AF36&lt;IF($D$4="Forint",Paraméterek!$D$223,Paraméterek!$D$224),3,4))),0),0)</f>
        <v>0</v>
      </c>
      <c r="AH36" s="13">
        <f>IF(AND($Z36&gt;=5,MOD($Z36,5)=0),IF($AA36=12,VLOOKUP($Z36,Paraméterek!$B$225:$F$240,5),0),IF(OR($Z36=3,$Z36=4),IF($AA36=12,VLOOKUP($Z36,Paraméterek!$B$225:$F$240,5,0),0),0))*$AF36</f>
        <v>0</v>
      </c>
      <c r="AI36" s="13">
        <f>ROUNDDOWN(IF(SUM($T$20:$U36)=0,IF($D$2="Egyszeri",$AH36,$AG36),0),IF($D$4="Forint",0,2))</f>
        <v>0</v>
      </c>
      <c r="AJ36" s="13">
        <f t="shared" si="12"/>
        <v>0</v>
      </c>
      <c r="AK36" s="13">
        <f t="shared" si="13"/>
        <v>0</v>
      </c>
      <c r="AM36" s="32">
        <v>17</v>
      </c>
      <c r="AN36" s="32">
        <v>2</v>
      </c>
      <c r="AO36" s="32">
        <v>5</v>
      </c>
      <c r="AP36" s="13"/>
      <c r="AQ36" s="32"/>
      <c r="AR36" s="13">
        <f t="shared" si="14"/>
        <v>0</v>
      </c>
      <c r="AS36" s="33"/>
      <c r="AT36" s="13">
        <f t="shared" si="8"/>
        <v>0</v>
      </c>
      <c r="AU36" s="13">
        <f>ROUNDUP(($AR36+$AT36)*VLOOKUP($AN36,Paraméterek!$P$38:$Q$38,2)/12,IF($D$4="Forint",0,2))</f>
        <v>0</v>
      </c>
      <c r="AV36" s="13"/>
      <c r="AW36" s="13"/>
      <c r="AX36" s="13">
        <f>ROUNDUP(IF(SUM($AV36:$AW36)=0,0,IF(IF(ISBLANK($AW36),$AV36,$AW36)*Paraméterek!$J$112&lt;IF($D$4="Forint",Paraméterek!$J$113,Paraméterek!$K$113),IF($D$4="Forint",Paraméterek!$J$113,Paraméterek!$K$113),IF(IF(ISBLANK($AW36),$AV36,$AW36)*Paraméterek!$J$112&gt;IF($D$4="Forint",Paraméterek!$J$114,Paraméterek!$K$114),IF($D$4="Forint",Paraméterek!$J$114,Paraméterek!$K$114),IF(ISBLANK($AW36),$AV36,$AW36)*Paraméterek!$J$112))),IF($D$4="Forint",0,2))</f>
        <v>0</v>
      </c>
      <c r="AY36" s="13">
        <f>$AR36+$AT36-$AU36-IF(ROUNDDOWN(IF(ISBLANK($AW36),$AV36,$AW36),IF($D$4="Forint",0,2))&gt;$AR36+$AT36-$AU36-IF($D$4="Forint",Paraméterek!$J$114,Paraméterek!$K$114),0,ROUNDDOWN(IF(ISBLANK($AW36),$AV36,$AW36),IF($D$4="Forint",0,2))-$AX36)</f>
        <v>0</v>
      </c>
      <c r="AZ36" s="13">
        <f t="shared" si="9"/>
        <v>0</v>
      </c>
    </row>
    <row r="37" spans="1:52" x14ac:dyDescent="0.2">
      <c r="A37" s="32">
        <v>18</v>
      </c>
      <c r="B37" s="32">
        <v>2</v>
      </c>
      <c r="C37" s="32">
        <v>6</v>
      </c>
      <c r="D37" s="13">
        <f t="shared" si="0"/>
        <v>0</v>
      </c>
      <c r="E37" s="13"/>
      <c r="F37" s="13"/>
      <c r="G37" s="13"/>
      <c r="H37" s="13">
        <f t="shared" si="1"/>
        <v>0</v>
      </c>
      <c r="I37" s="13">
        <f t="shared" si="2"/>
        <v>0</v>
      </c>
      <c r="J37" s="13">
        <f t="shared" si="3"/>
        <v>0</v>
      </c>
      <c r="K37" s="13">
        <f>ROUNDUP(IF($D$2="Egyszeri",$D37,IF($D$2="Havi",SUM($D$20:$D$31),IF(MOD($C37,$M$1)-1=0,SUM($D$20:$D$31),0))/12*$M$1)*VLOOKUP($B37,Paraméterek!$B$27:$D$30,IF($D$2="Egyszeri",3,2)),IF($D$4="Forint",0,2))</f>
        <v>0</v>
      </c>
      <c r="L37" s="13">
        <f t="shared" si="4"/>
        <v>0</v>
      </c>
      <c r="M37" s="13">
        <f t="shared" ca="1" si="10"/>
        <v>-9247</v>
      </c>
      <c r="N37" s="13">
        <f ca="1">IF($V36&gt;=VLOOKUP($M$4-1+$B37,Paraméterek!$B$121:$D$122,IF($D$4="Forint",2,3)),0,VLOOKUP($M$4-1+$B37,Paraméterek!$B$121:$D$122,IF($D$4="Forint",2,3))-$V36)</f>
        <v>19247</v>
      </c>
      <c r="O37" s="13">
        <f ca="1">ROUNDUP($N37*Paraméterek!$C$58/Paraméterek!$C$56,IF($D$4="Forint",0,2))</f>
        <v>4</v>
      </c>
      <c r="P37" s="13">
        <f t="shared" si="5"/>
        <v>567</v>
      </c>
      <c r="Q37" s="33"/>
      <c r="R37" s="13">
        <f t="shared" ca="1" si="6"/>
        <v>0</v>
      </c>
      <c r="S37" s="13">
        <f ca="1">ROUNDUP(($M37-$O37-$P37+$R37)*VLOOKUP($B37,Paraméterek!$B$38:$D$39,IF($D$2="Egyszeri",3,2))/12,IF($D$4="Forint",0,2))</f>
        <v>-27</v>
      </c>
      <c r="T37" s="13"/>
      <c r="U37" s="13"/>
      <c r="V37" s="13">
        <f ca="1">$M37-$O37-$P37+$R37-$S37-IF(ROUNDUP(IF(ISBLANK($U37),$T37,$U37)/IF(AND($B37=1,$D$2&lt;&gt;"Egyszeri"),1,VLOOKUP($B37+IF($C37=12,1,0),Paraméterek!$B$257:$D$267,IF($D$2="Egyszeri",3,2))),IF($D$4="Forint",0,2))&gt;$M37-$O37-$P37+$R37-$S37-IF($D$4="Forint",Paraméterek!$C$216,Paraméterek!$D$216),0,ROUNDUP(IF(ISBLANK($U37),$T37,$U37)/IF(AND($B37=1,$D$2&lt;&gt;"Egyszeri"),1,VLOOKUP($B37+IF($C37=12,1,0),Paraméterek!$B$257:$D$267,IF($D$2="Egyszeri",3,2))),IF($D$4="Forint",0,2)))</f>
        <v>-9791</v>
      </c>
      <c r="W37" s="13">
        <f ca="1">ROUNDDOWN($V37*VLOOKUP($B37+IF($C37=12,1,0),Paraméterek!$B$257:$D$267,IF($D$2="Egyszeri",3,2)),IF($D$4="Forint",0,2))</f>
        <v>-7832</v>
      </c>
      <c r="Y37" s="32">
        <v>18</v>
      </c>
      <c r="Z37" s="32">
        <v>2</v>
      </c>
      <c r="AA37" s="32">
        <v>6</v>
      </c>
      <c r="AB37" s="13">
        <f t="shared" si="11"/>
        <v>0</v>
      </c>
      <c r="AC37" s="33"/>
      <c r="AD37" s="13">
        <f t="shared" si="7"/>
        <v>0</v>
      </c>
      <c r="AE37" s="13">
        <f>ROUNDUP(($AB37+$AD37)*VLOOKUP($Z37,Paraméterek!$P$38:$Q$38,2)/12,IF($D$4="Forint",0,2))</f>
        <v>0</v>
      </c>
      <c r="AF37" s="13">
        <f>IF($D$2="Egyszeri",IF($D$7&gt;=IF($D$4="Forint",Paraméterek!$P$223,Paraméterek!$P$224),$D$7-IF($D$4="Forint",Paraméterek!$F$223,Paraméterek!$F$224),0),MIN(IF($AA37=12,AVERAGE($D$20:$D37)*12,0),SUM($D$20:$D$31)))</f>
        <v>0</v>
      </c>
      <c r="AG37" s="13">
        <f>IF(AND($Z37&gt;=10,MOD($Z37,5)=0),$AF37*IF($AA37=12,VLOOKUP($Z37,Paraméterek!$B$225:$F$240,IF($AF37&lt;IF($D$4="Forint",Paraméterek!$C$223,Paraméterek!$C$224),2,IF($AF37&lt;IF($D$4="Forint",Paraméterek!$D$223,Paraméterek!$D$224),3,4))),0),0)</f>
        <v>0</v>
      </c>
      <c r="AH37" s="13">
        <f>IF(AND($Z37&gt;=5,MOD($Z37,5)=0),IF($AA37=12,VLOOKUP($Z37,Paraméterek!$B$225:$F$240,5),0),IF(OR($Z37=3,$Z37=4),IF($AA37=12,VLOOKUP($Z37,Paraméterek!$B$225:$F$240,5,0),0),0))*$AF37</f>
        <v>0</v>
      </c>
      <c r="AI37" s="13">
        <f>ROUNDDOWN(IF(SUM($T$20:$U37)=0,IF($D$2="Egyszeri",$AH37,$AG37),0),IF($D$4="Forint",0,2))</f>
        <v>0</v>
      </c>
      <c r="AJ37" s="13">
        <f t="shared" si="12"/>
        <v>0</v>
      </c>
      <c r="AK37" s="13">
        <f t="shared" si="13"/>
        <v>0</v>
      </c>
      <c r="AM37" s="32">
        <v>18</v>
      </c>
      <c r="AN37" s="32">
        <v>2</v>
      </c>
      <c r="AO37" s="32">
        <v>6</v>
      </c>
      <c r="AP37" s="13"/>
      <c r="AQ37" s="32"/>
      <c r="AR37" s="13">
        <f t="shared" si="14"/>
        <v>0</v>
      </c>
      <c r="AS37" s="33"/>
      <c r="AT37" s="13">
        <f t="shared" si="8"/>
        <v>0</v>
      </c>
      <c r="AU37" s="13">
        <f>ROUNDUP(($AR37+$AT37)*VLOOKUP($AN37,Paraméterek!$P$38:$Q$38,2)/12,IF($D$4="Forint",0,2))</f>
        <v>0</v>
      </c>
      <c r="AV37" s="13"/>
      <c r="AW37" s="13"/>
      <c r="AX37" s="13">
        <f>ROUNDUP(IF(SUM($AV37:$AW37)=0,0,IF(IF(ISBLANK($AW37),$AV37,$AW37)*Paraméterek!$J$112&lt;IF($D$4="Forint",Paraméterek!$J$113,Paraméterek!$K$113),IF($D$4="Forint",Paraméterek!$J$113,Paraméterek!$K$113),IF(IF(ISBLANK($AW37),$AV37,$AW37)*Paraméterek!$J$112&gt;IF($D$4="Forint",Paraméterek!$J$114,Paraméterek!$K$114),IF($D$4="Forint",Paraméterek!$J$114,Paraméterek!$K$114),IF(ISBLANK($AW37),$AV37,$AW37)*Paraméterek!$J$112))),IF($D$4="Forint",0,2))</f>
        <v>0</v>
      </c>
      <c r="AY37" s="13">
        <f>$AR37+$AT37-$AU37-IF(ROUNDDOWN(IF(ISBLANK($AW37),$AV37,$AW37),IF($D$4="Forint",0,2))&gt;$AR37+$AT37-$AU37-IF($D$4="Forint",Paraméterek!$J$114,Paraméterek!$K$114),0,ROUNDDOWN(IF(ISBLANK($AW37),$AV37,$AW37),IF($D$4="Forint",0,2))-$AX37)</f>
        <v>0</v>
      </c>
      <c r="AZ37" s="13">
        <f t="shared" si="9"/>
        <v>0</v>
      </c>
    </row>
    <row r="38" spans="1:52" x14ac:dyDescent="0.2">
      <c r="A38" s="32">
        <v>19</v>
      </c>
      <c r="B38" s="32">
        <v>2</v>
      </c>
      <c r="C38" s="32">
        <v>7</v>
      </c>
      <c r="D38" s="13">
        <f t="shared" si="0"/>
        <v>0</v>
      </c>
      <c r="E38" s="13"/>
      <c r="F38" s="13"/>
      <c r="G38" s="13"/>
      <c r="H38" s="13">
        <f t="shared" si="1"/>
        <v>0</v>
      </c>
      <c r="I38" s="13">
        <f t="shared" si="2"/>
        <v>0</v>
      </c>
      <c r="J38" s="13">
        <f t="shared" si="3"/>
        <v>0</v>
      </c>
      <c r="K38" s="13">
        <f>ROUNDUP(IF($D$2="Egyszeri",$D38,IF($D$2="Havi",SUM($D$20:$D$31),IF(MOD($C38,$M$1)-1=0,SUM($D$20:$D$31),0))/12*$M$1)*VLOOKUP($B38,Paraméterek!$B$27:$D$30,IF($D$2="Egyszeri",3,2)),IF($D$4="Forint",0,2))</f>
        <v>0</v>
      </c>
      <c r="L38" s="13">
        <f t="shared" si="4"/>
        <v>0</v>
      </c>
      <c r="M38" s="13">
        <f t="shared" ca="1" si="10"/>
        <v>-9791</v>
      </c>
      <c r="N38" s="13">
        <f ca="1">IF($V37&gt;=VLOOKUP($M$4-1+$B38,Paraméterek!$B$121:$D$122,IF($D$4="Forint",2,3)),0,VLOOKUP($M$4-1+$B38,Paraméterek!$B$121:$D$122,IF($D$4="Forint",2,3))-$V37)</f>
        <v>19791</v>
      </c>
      <c r="O38" s="13">
        <f ca="1">ROUNDUP($N38*Paraméterek!$C$58/Paraméterek!$C$56,IF($D$4="Forint",0,2))</f>
        <v>4</v>
      </c>
      <c r="P38" s="13">
        <f t="shared" si="5"/>
        <v>567</v>
      </c>
      <c r="Q38" s="33"/>
      <c r="R38" s="13">
        <f t="shared" ca="1" si="6"/>
        <v>0</v>
      </c>
      <c r="S38" s="13">
        <f ca="1">ROUNDUP(($M38-$O38-$P38+$R38)*VLOOKUP($B38,Paraméterek!$B$38:$D$39,IF($D$2="Egyszeri",3,2))/12,IF($D$4="Forint",0,2))</f>
        <v>-29</v>
      </c>
      <c r="T38" s="13"/>
      <c r="U38" s="13"/>
      <c r="V38" s="13">
        <f ca="1">$M38-$O38-$P38+$R38-$S38-IF(ROUNDUP(IF(ISBLANK($U38),$T38,$U38)/IF(AND($B38=1,$D$2&lt;&gt;"Egyszeri"),1,VLOOKUP($B38+IF($C38=12,1,0),Paraméterek!$B$257:$D$267,IF($D$2="Egyszeri",3,2))),IF($D$4="Forint",0,2))&gt;$M38-$O38-$P38+$R38-$S38-IF($D$4="Forint",Paraméterek!$C$216,Paraméterek!$D$216),0,ROUNDUP(IF(ISBLANK($U38),$T38,$U38)/IF(AND($B38=1,$D$2&lt;&gt;"Egyszeri"),1,VLOOKUP($B38+IF($C38=12,1,0),Paraméterek!$B$257:$D$267,IF($D$2="Egyszeri",3,2))),IF($D$4="Forint",0,2)))</f>
        <v>-10333</v>
      </c>
      <c r="W38" s="13">
        <f ca="1">ROUNDDOWN($V38*VLOOKUP($B38+IF($C38=12,1,0),Paraméterek!$B$257:$D$267,IF($D$2="Egyszeri",3,2)),IF($D$4="Forint",0,2))</f>
        <v>-8266</v>
      </c>
      <c r="Y38" s="32">
        <v>19</v>
      </c>
      <c r="Z38" s="32">
        <v>2</v>
      </c>
      <c r="AA38" s="32">
        <v>7</v>
      </c>
      <c r="AB38" s="13">
        <f t="shared" si="11"/>
        <v>0</v>
      </c>
      <c r="AC38" s="33"/>
      <c r="AD38" s="13">
        <f t="shared" si="7"/>
        <v>0</v>
      </c>
      <c r="AE38" s="13">
        <f>ROUNDUP(($AB38+$AD38)*VLOOKUP($Z38,Paraméterek!$P$38:$Q$38,2)/12,IF($D$4="Forint",0,2))</f>
        <v>0</v>
      </c>
      <c r="AF38" s="13">
        <f>IF($D$2="Egyszeri",IF($D$7&gt;=IF($D$4="Forint",Paraméterek!$P$223,Paraméterek!$P$224),$D$7-IF($D$4="Forint",Paraméterek!$F$223,Paraméterek!$F$224),0),MIN(IF($AA38=12,AVERAGE($D$20:$D38)*12,0),SUM($D$20:$D$31)))</f>
        <v>0</v>
      </c>
      <c r="AG38" s="13">
        <f>IF(AND($Z38&gt;=10,MOD($Z38,5)=0),$AF38*IF($AA38=12,VLOOKUP($Z38,Paraméterek!$B$225:$F$240,IF($AF38&lt;IF($D$4="Forint",Paraméterek!$C$223,Paraméterek!$C$224),2,IF($AF38&lt;IF($D$4="Forint",Paraméterek!$D$223,Paraméterek!$D$224),3,4))),0),0)</f>
        <v>0</v>
      </c>
      <c r="AH38" s="13">
        <f>IF(AND($Z38&gt;=5,MOD($Z38,5)=0),IF($AA38=12,VLOOKUP($Z38,Paraméterek!$B$225:$F$240,5),0),IF(OR($Z38=3,$Z38=4),IF($AA38=12,VLOOKUP($Z38,Paraméterek!$B$225:$F$240,5,0),0),0))*$AF38</f>
        <v>0</v>
      </c>
      <c r="AI38" s="13">
        <f>ROUNDDOWN(IF(SUM($T$20:$U38)=0,IF($D$2="Egyszeri",$AH38,$AG38),0),IF($D$4="Forint",0,2))</f>
        <v>0</v>
      </c>
      <c r="AJ38" s="13">
        <f t="shared" si="12"/>
        <v>0</v>
      </c>
      <c r="AK38" s="13">
        <f t="shared" si="13"/>
        <v>0</v>
      </c>
      <c r="AM38" s="32">
        <v>19</v>
      </c>
      <c r="AN38" s="32">
        <v>2</v>
      </c>
      <c r="AO38" s="32">
        <v>7</v>
      </c>
      <c r="AP38" s="13"/>
      <c r="AQ38" s="32"/>
      <c r="AR38" s="13">
        <f t="shared" si="14"/>
        <v>0</v>
      </c>
      <c r="AS38" s="33"/>
      <c r="AT38" s="13">
        <f t="shared" si="8"/>
        <v>0</v>
      </c>
      <c r="AU38" s="13">
        <f>ROUNDUP(($AR38+$AT38)*VLOOKUP($AN38,Paraméterek!$P$38:$Q$38,2)/12,IF($D$4="Forint",0,2))</f>
        <v>0</v>
      </c>
      <c r="AV38" s="13"/>
      <c r="AW38" s="13"/>
      <c r="AX38" s="13">
        <f>ROUNDUP(IF(SUM($AV38:$AW38)=0,0,IF(IF(ISBLANK($AW38),$AV38,$AW38)*Paraméterek!$J$112&lt;IF($D$4="Forint",Paraméterek!$J$113,Paraméterek!$K$113),IF($D$4="Forint",Paraméterek!$J$113,Paraméterek!$K$113),IF(IF(ISBLANK($AW38),$AV38,$AW38)*Paraméterek!$J$112&gt;IF($D$4="Forint",Paraméterek!$J$114,Paraméterek!$K$114),IF($D$4="Forint",Paraméterek!$J$114,Paraméterek!$K$114),IF(ISBLANK($AW38),$AV38,$AW38)*Paraméterek!$J$112))),IF($D$4="Forint",0,2))</f>
        <v>0</v>
      </c>
      <c r="AY38" s="13">
        <f>$AR38+$AT38-$AU38-IF(ROUNDDOWN(IF(ISBLANK($AW38),$AV38,$AW38),IF($D$4="Forint",0,2))&gt;$AR38+$AT38-$AU38-IF($D$4="Forint",Paraméterek!$J$114,Paraméterek!$K$114),0,ROUNDDOWN(IF(ISBLANK($AW38),$AV38,$AW38),IF($D$4="Forint",0,2))-$AX38)</f>
        <v>0</v>
      </c>
      <c r="AZ38" s="13">
        <f t="shared" si="9"/>
        <v>0</v>
      </c>
    </row>
    <row r="39" spans="1:52" x14ac:dyDescent="0.2">
      <c r="A39" s="32">
        <v>20</v>
      </c>
      <c r="B39" s="32">
        <v>2</v>
      </c>
      <c r="C39" s="32">
        <v>8</v>
      </c>
      <c r="D39" s="13">
        <f t="shared" si="0"/>
        <v>0</v>
      </c>
      <c r="E39" s="13"/>
      <c r="F39" s="13"/>
      <c r="G39" s="13"/>
      <c r="H39" s="13">
        <f t="shared" si="1"/>
        <v>0</v>
      </c>
      <c r="I39" s="13">
        <f t="shared" si="2"/>
        <v>0</v>
      </c>
      <c r="J39" s="13">
        <f t="shared" si="3"/>
        <v>0</v>
      </c>
      <c r="K39" s="13">
        <f>ROUNDUP(IF($D$2="Egyszeri",$D39,IF($D$2="Havi",SUM($D$20:$D$31),IF(MOD($C39,$M$1)-1=0,SUM($D$20:$D$31),0))/12*$M$1)*VLOOKUP($B39,Paraméterek!$B$27:$D$30,IF($D$2="Egyszeri",3,2)),IF($D$4="Forint",0,2))</f>
        <v>0</v>
      </c>
      <c r="L39" s="13">
        <f t="shared" si="4"/>
        <v>0</v>
      </c>
      <c r="M39" s="13">
        <f t="shared" ca="1" si="10"/>
        <v>-10333</v>
      </c>
      <c r="N39" s="13">
        <f ca="1">IF($V38&gt;=VLOOKUP($M$4-1+$B39,Paraméterek!$B$121:$D$122,IF($D$4="Forint",2,3)),0,VLOOKUP($M$4-1+$B39,Paraméterek!$B$121:$D$122,IF($D$4="Forint",2,3))-$V38)</f>
        <v>20333</v>
      </c>
      <c r="O39" s="13">
        <f ca="1">ROUNDUP($N39*Paraméterek!$C$58/Paraméterek!$C$56,IF($D$4="Forint",0,2))</f>
        <v>4</v>
      </c>
      <c r="P39" s="13">
        <f t="shared" si="5"/>
        <v>567</v>
      </c>
      <c r="Q39" s="33"/>
      <c r="R39" s="13">
        <f t="shared" ca="1" si="6"/>
        <v>0</v>
      </c>
      <c r="S39" s="13">
        <f ca="1">ROUNDUP(($M39-$O39-$P39+$R39)*VLOOKUP($B39,Paraméterek!$B$38:$D$39,IF($D$2="Egyszeri",3,2))/12,IF($D$4="Forint",0,2))</f>
        <v>-30</v>
      </c>
      <c r="T39" s="13"/>
      <c r="U39" s="13"/>
      <c r="V39" s="13">
        <f ca="1">$M39-$O39-$P39+$R39-$S39-IF(ROUNDUP(IF(ISBLANK($U39),$T39,$U39)/IF(AND($B39=1,$D$2&lt;&gt;"Egyszeri"),1,VLOOKUP($B39+IF($C39=12,1,0),Paraméterek!$B$257:$D$267,IF($D$2="Egyszeri",3,2))),IF($D$4="Forint",0,2))&gt;$M39-$O39-$P39+$R39-$S39-IF($D$4="Forint",Paraméterek!$C$216,Paraméterek!$D$216),0,ROUNDUP(IF(ISBLANK($U39),$T39,$U39)/IF(AND($B39=1,$D$2&lt;&gt;"Egyszeri"),1,VLOOKUP($B39+IF($C39=12,1,0),Paraméterek!$B$257:$D$267,IF($D$2="Egyszeri",3,2))),IF($D$4="Forint",0,2)))</f>
        <v>-10874</v>
      </c>
      <c r="W39" s="13">
        <f ca="1">ROUNDDOWN($V39*VLOOKUP($B39+IF($C39=12,1,0),Paraméterek!$B$257:$D$267,IF($D$2="Egyszeri",3,2)),IF($D$4="Forint",0,2))</f>
        <v>-8699</v>
      </c>
      <c r="Y39" s="32">
        <v>20</v>
      </c>
      <c r="Z39" s="32">
        <v>2</v>
      </c>
      <c r="AA39" s="32">
        <v>8</v>
      </c>
      <c r="AB39" s="13">
        <f t="shared" si="11"/>
        <v>0</v>
      </c>
      <c r="AC39" s="33"/>
      <c r="AD39" s="13">
        <f t="shared" si="7"/>
        <v>0</v>
      </c>
      <c r="AE39" s="13">
        <f>ROUNDUP(($AB39+$AD39)*VLOOKUP($Z39,Paraméterek!$P$38:$Q$38,2)/12,IF($D$4="Forint",0,2))</f>
        <v>0</v>
      </c>
      <c r="AF39" s="13">
        <f>IF($D$2="Egyszeri",IF($D$7&gt;=IF($D$4="Forint",Paraméterek!$P$223,Paraméterek!$P$224),$D$7-IF($D$4="Forint",Paraméterek!$F$223,Paraméterek!$F$224),0),MIN(IF($AA39=12,AVERAGE($D$20:$D39)*12,0),SUM($D$20:$D$31)))</f>
        <v>0</v>
      </c>
      <c r="AG39" s="13">
        <f>IF(AND($Z39&gt;=10,MOD($Z39,5)=0),$AF39*IF($AA39=12,VLOOKUP($Z39,Paraméterek!$B$225:$F$240,IF($AF39&lt;IF($D$4="Forint",Paraméterek!$C$223,Paraméterek!$C$224),2,IF($AF39&lt;IF($D$4="Forint",Paraméterek!$D$223,Paraméterek!$D$224),3,4))),0),0)</f>
        <v>0</v>
      </c>
      <c r="AH39" s="13">
        <f>IF(AND($Z39&gt;=5,MOD($Z39,5)=0),IF($AA39=12,VLOOKUP($Z39,Paraméterek!$B$225:$F$240,5),0),IF(OR($Z39=3,$Z39=4),IF($AA39=12,VLOOKUP($Z39,Paraméterek!$B$225:$F$240,5,0),0),0))*$AF39</f>
        <v>0</v>
      </c>
      <c r="AI39" s="13">
        <f>ROUNDDOWN(IF(SUM($T$20:$U39)=0,IF($D$2="Egyszeri",$AH39,$AG39),0),IF($D$4="Forint",0,2))</f>
        <v>0</v>
      </c>
      <c r="AJ39" s="13">
        <f t="shared" si="12"/>
        <v>0</v>
      </c>
      <c r="AK39" s="13">
        <f t="shared" si="13"/>
        <v>0</v>
      </c>
      <c r="AM39" s="32">
        <v>20</v>
      </c>
      <c r="AN39" s="32">
        <v>2</v>
      </c>
      <c r="AO39" s="32">
        <v>8</v>
      </c>
      <c r="AP39" s="13"/>
      <c r="AQ39" s="32"/>
      <c r="AR39" s="13">
        <f t="shared" si="14"/>
        <v>0</v>
      </c>
      <c r="AS39" s="33"/>
      <c r="AT39" s="13">
        <f t="shared" si="8"/>
        <v>0</v>
      </c>
      <c r="AU39" s="13">
        <f>ROUNDUP(($AR39+$AT39)*VLOOKUP($AN39,Paraméterek!$P$38:$Q$38,2)/12,IF($D$4="Forint",0,2))</f>
        <v>0</v>
      </c>
      <c r="AV39" s="13"/>
      <c r="AW39" s="13"/>
      <c r="AX39" s="13">
        <f>ROUNDUP(IF(SUM($AV39:$AW39)=0,0,IF(IF(ISBLANK($AW39),$AV39,$AW39)*Paraméterek!$J$112&lt;IF($D$4="Forint",Paraméterek!$J$113,Paraméterek!$K$113),IF($D$4="Forint",Paraméterek!$J$113,Paraméterek!$K$113),IF(IF(ISBLANK($AW39),$AV39,$AW39)*Paraméterek!$J$112&gt;IF($D$4="Forint",Paraméterek!$J$114,Paraméterek!$K$114),IF($D$4="Forint",Paraméterek!$J$114,Paraméterek!$K$114),IF(ISBLANK($AW39),$AV39,$AW39)*Paraméterek!$J$112))),IF($D$4="Forint",0,2))</f>
        <v>0</v>
      </c>
      <c r="AY39" s="13">
        <f>$AR39+$AT39-$AU39-IF(ROUNDDOWN(IF(ISBLANK($AW39),$AV39,$AW39),IF($D$4="Forint",0,2))&gt;$AR39+$AT39-$AU39-IF($D$4="Forint",Paraméterek!$J$114,Paraméterek!$K$114),0,ROUNDDOWN(IF(ISBLANK($AW39),$AV39,$AW39),IF($D$4="Forint",0,2))-$AX39)</f>
        <v>0</v>
      </c>
      <c r="AZ39" s="13">
        <f t="shared" si="9"/>
        <v>0</v>
      </c>
    </row>
    <row r="40" spans="1:52" x14ac:dyDescent="0.2">
      <c r="A40" s="32">
        <v>21</v>
      </c>
      <c r="B40" s="32">
        <v>2</v>
      </c>
      <c r="C40" s="32">
        <v>9</v>
      </c>
      <c r="D40" s="13">
        <f t="shared" si="0"/>
        <v>0</v>
      </c>
      <c r="E40" s="13"/>
      <c r="F40" s="13"/>
      <c r="G40" s="13"/>
      <c r="H40" s="13">
        <f t="shared" si="1"/>
        <v>0</v>
      </c>
      <c r="I40" s="13">
        <f t="shared" si="2"/>
        <v>0</v>
      </c>
      <c r="J40" s="13">
        <f t="shared" si="3"/>
        <v>0</v>
      </c>
      <c r="K40" s="13">
        <f>ROUNDUP(IF($D$2="Egyszeri",$D40,IF($D$2="Havi",SUM($D$20:$D$31),IF(MOD($C40,$M$1)-1=0,SUM($D$20:$D$31),0))/12*$M$1)*VLOOKUP($B40,Paraméterek!$B$27:$D$30,IF($D$2="Egyszeri",3,2)),IF($D$4="Forint",0,2))</f>
        <v>0</v>
      </c>
      <c r="L40" s="13">
        <f t="shared" si="4"/>
        <v>0</v>
      </c>
      <c r="M40" s="13">
        <f t="shared" ca="1" si="10"/>
        <v>-10874</v>
      </c>
      <c r="N40" s="13">
        <f ca="1">IF($V39&gt;=VLOOKUP($M$4-1+$B40,Paraméterek!$B$121:$D$122,IF($D$4="Forint",2,3)),0,VLOOKUP($M$4-1+$B40,Paraméterek!$B$121:$D$122,IF($D$4="Forint",2,3))-$V39)</f>
        <v>20874</v>
      </c>
      <c r="O40" s="13">
        <f ca="1">ROUNDUP($N40*Paraméterek!$C$58/Paraméterek!$C$56,IF($D$4="Forint",0,2))</f>
        <v>4</v>
      </c>
      <c r="P40" s="13">
        <f t="shared" si="5"/>
        <v>567</v>
      </c>
      <c r="Q40" s="33"/>
      <c r="R40" s="13">
        <f t="shared" ca="1" si="6"/>
        <v>0</v>
      </c>
      <c r="S40" s="13">
        <f ca="1">ROUNDUP(($M40-$O40-$P40+$R40)*VLOOKUP($B40,Paraméterek!$B$38:$D$39,IF($D$2="Egyszeri",3,2))/12,IF($D$4="Forint",0,2))</f>
        <v>-31</v>
      </c>
      <c r="T40" s="13"/>
      <c r="U40" s="13"/>
      <c r="V40" s="13">
        <f ca="1">$M40-$O40-$P40+$R40-$S40-IF(ROUNDUP(IF(ISBLANK($U40),$T40,$U40)/IF(AND($B40=1,$D$2&lt;&gt;"Egyszeri"),1,VLOOKUP($B40+IF($C40=12,1,0),Paraméterek!$B$257:$D$267,IF($D$2="Egyszeri",3,2))),IF($D$4="Forint",0,2))&gt;$M40-$O40-$P40+$R40-$S40-IF($D$4="Forint",Paraméterek!$C$216,Paraméterek!$D$216),0,ROUNDUP(IF(ISBLANK($U40),$T40,$U40)/IF(AND($B40=1,$D$2&lt;&gt;"Egyszeri"),1,VLOOKUP($B40+IF($C40=12,1,0),Paraméterek!$B$257:$D$267,IF($D$2="Egyszeri",3,2))),IF($D$4="Forint",0,2)))</f>
        <v>-11414</v>
      </c>
      <c r="W40" s="13">
        <f ca="1">ROUNDDOWN($V40*VLOOKUP($B40+IF($C40=12,1,0),Paraméterek!$B$257:$D$267,IF($D$2="Egyszeri",3,2)),IF($D$4="Forint",0,2))</f>
        <v>-9131</v>
      </c>
      <c r="Y40" s="32">
        <v>21</v>
      </c>
      <c r="Z40" s="32">
        <v>2</v>
      </c>
      <c r="AA40" s="32">
        <v>9</v>
      </c>
      <c r="AB40" s="13">
        <f t="shared" si="11"/>
        <v>0</v>
      </c>
      <c r="AC40" s="33"/>
      <c r="AD40" s="13">
        <f t="shared" si="7"/>
        <v>0</v>
      </c>
      <c r="AE40" s="13">
        <f>ROUNDUP(($AB40+$AD40)*VLOOKUP($Z40,Paraméterek!$P$38:$Q$38,2)/12,IF($D$4="Forint",0,2))</f>
        <v>0</v>
      </c>
      <c r="AF40" s="13">
        <f>IF($D$2="Egyszeri",IF($D$7&gt;=IF($D$4="Forint",Paraméterek!$P$223,Paraméterek!$P$224),$D$7-IF($D$4="Forint",Paraméterek!$F$223,Paraméterek!$F$224),0),MIN(IF($AA40=12,AVERAGE($D$20:$D40)*12,0),SUM($D$20:$D$31)))</f>
        <v>0</v>
      </c>
      <c r="AG40" s="13">
        <f>IF(AND($Z40&gt;=10,MOD($Z40,5)=0),$AF40*IF($AA40=12,VLOOKUP($Z40,Paraméterek!$B$225:$F$240,IF($AF40&lt;IF($D$4="Forint",Paraméterek!$C$223,Paraméterek!$C$224),2,IF($AF40&lt;IF($D$4="Forint",Paraméterek!$D$223,Paraméterek!$D$224),3,4))),0),0)</f>
        <v>0</v>
      </c>
      <c r="AH40" s="13">
        <f>IF(AND($Z40&gt;=5,MOD($Z40,5)=0),IF($AA40=12,VLOOKUP($Z40,Paraméterek!$B$225:$F$240,5),0),IF(OR($Z40=3,$Z40=4),IF($AA40=12,VLOOKUP($Z40,Paraméterek!$B$225:$F$240,5,0),0),0))*$AF40</f>
        <v>0</v>
      </c>
      <c r="AI40" s="13">
        <f>ROUNDDOWN(IF(SUM($T$20:$U40)=0,IF($D$2="Egyszeri",$AH40,$AG40),0),IF($D$4="Forint",0,2))</f>
        <v>0</v>
      </c>
      <c r="AJ40" s="13">
        <f t="shared" si="12"/>
        <v>0</v>
      </c>
      <c r="AK40" s="13">
        <f t="shared" si="13"/>
        <v>0</v>
      </c>
      <c r="AM40" s="32">
        <v>21</v>
      </c>
      <c r="AN40" s="32">
        <v>2</v>
      </c>
      <c r="AO40" s="32">
        <v>9</v>
      </c>
      <c r="AP40" s="13"/>
      <c r="AQ40" s="32"/>
      <c r="AR40" s="13">
        <f t="shared" si="14"/>
        <v>0</v>
      </c>
      <c r="AS40" s="33"/>
      <c r="AT40" s="13">
        <f t="shared" si="8"/>
        <v>0</v>
      </c>
      <c r="AU40" s="13">
        <f>ROUNDUP(($AR40+$AT40)*VLOOKUP($AN40,Paraméterek!$P$38:$Q$38,2)/12,IF($D$4="Forint",0,2))</f>
        <v>0</v>
      </c>
      <c r="AV40" s="13"/>
      <c r="AW40" s="13"/>
      <c r="AX40" s="13">
        <f>ROUNDUP(IF(SUM($AV40:$AW40)=0,0,IF(IF(ISBLANK($AW40),$AV40,$AW40)*Paraméterek!$J$112&lt;IF($D$4="Forint",Paraméterek!$J$113,Paraméterek!$K$113),IF($D$4="Forint",Paraméterek!$J$113,Paraméterek!$K$113),IF(IF(ISBLANK($AW40),$AV40,$AW40)*Paraméterek!$J$112&gt;IF($D$4="Forint",Paraméterek!$J$114,Paraméterek!$K$114),IF($D$4="Forint",Paraméterek!$J$114,Paraméterek!$K$114),IF(ISBLANK($AW40),$AV40,$AW40)*Paraméterek!$J$112))),IF($D$4="Forint",0,2))</f>
        <v>0</v>
      </c>
      <c r="AY40" s="13">
        <f>$AR40+$AT40-$AU40-IF(ROUNDDOWN(IF(ISBLANK($AW40),$AV40,$AW40),IF($D$4="Forint",0,2))&gt;$AR40+$AT40-$AU40-IF($D$4="Forint",Paraméterek!$J$114,Paraméterek!$K$114),0,ROUNDDOWN(IF(ISBLANK($AW40),$AV40,$AW40),IF($D$4="Forint",0,2))-$AX40)</f>
        <v>0</v>
      </c>
      <c r="AZ40" s="13">
        <f t="shared" si="9"/>
        <v>0</v>
      </c>
    </row>
    <row r="41" spans="1:52" x14ac:dyDescent="0.2">
      <c r="A41" s="32">
        <v>22</v>
      </c>
      <c r="B41" s="32">
        <v>2</v>
      </c>
      <c r="C41" s="32">
        <v>10</v>
      </c>
      <c r="D41" s="13">
        <f t="shared" si="0"/>
        <v>0</v>
      </c>
      <c r="E41" s="13"/>
      <c r="F41" s="13"/>
      <c r="G41" s="13"/>
      <c r="H41" s="13">
        <f t="shared" si="1"/>
        <v>0</v>
      </c>
      <c r="I41" s="13">
        <f t="shared" si="2"/>
        <v>0</v>
      </c>
      <c r="J41" s="13">
        <f t="shared" si="3"/>
        <v>0</v>
      </c>
      <c r="K41" s="13">
        <f>ROUNDUP(IF($D$2="Egyszeri",$D41,IF($D$2="Havi",SUM($D$20:$D$31),IF(MOD($C41,$M$1)-1=0,SUM($D$20:$D$31),0))/12*$M$1)*VLOOKUP($B41,Paraméterek!$B$27:$D$30,IF($D$2="Egyszeri",3,2)),IF($D$4="Forint",0,2))</f>
        <v>0</v>
      </c>
      <c r="L41" s="13">
        <f t="shared" si="4"/>
        <v>0</v>
      </c>
      <c r="M41" s="13">
        <f t="shared" ca="1" si="10"/>
        <v>-11414</v>
      </c>
      <c r="N41" s="13">
        <f ca="1">IF($V40&gt;=VLOOKUP($M$4-1+$B41,Paraméterek!$B$121:$D$122,IF($D$4="Forint",2,3)),0,VLOOKUP($M$4-1+$B41,Paraméterek!$B$121:$D$122,IF($D$4="Forint",2,3))-$V40)</f>
        <v>21414</v>
      </c>
      <c r="O41" s="13">
        <f ca="1">ROUNDUP($N41*Paraméterek!$C$58/Paraméterek!$C$56,IF($D$4="Forint",0,2))</f>
        <v>4</v>
      </c>
      <c r="P41" s="13">
        <f t="shared" si="5"/>
        <v>567</v>
      </c>
      <c r="Q41" s="33"/>
      <c r="R41" s="13">
        <f t="shared" ca="1" si="6"/>
        <v>0</v>
      </c>
      <c r="S41" s="13">
        <f ca="1">ROUNDUP(($M41-$O41-$P41+$R41)*VLOOKUP($B41,Paraméterek!$B$38:$D$39,IF($D$2="Egyszeri",3,2))/12,IF($D$4="Forint",0,2))</f>
        <v>-33</v>
      </c>
      <c r="T41" s="13"/>
      <c r="U41" s="13"/>
      <c r="V41" s="13">
        <f ca="1">$M41-$O41-$P41+$R41-$S41-IF(ROUNDUP(IF(ISBLANK($U41),$T41,$U41)/IF(AND($B41=1,$D$2&lt;&gt;"Egyszeri"),1,VLOOKUP($B41+IF($C41=12,1,0),Paraméterek!$B$257:$D$267,IF($D$2="Egyszeri",3,2))),IF($D$4="Forint",0,2))&gt;$M41-$O41-$P41+$R41-$S41-IF($D$4="Forint",Paraméterek!$C$216,Paraméterek!$D$216),0,ROUNDUP(IF(ISBLANK($U41),$T41,$U41)/IF(AND($B41=1,$D$2&lt;&gt;"Egyszeri"),1,VLOOKUP($B41+IF($C41=12,1,0),Paraméterek!$B$257:$D$267,IF($D$2="Egyszeri",3,2))),IF($D$4="Forint",0,2)))</f>
        <v>-11952</v>
      </c>
      <c r="W41" s="13">
        <f ca="1">ROUNDDOWN($V41*VLOOKUP($B41+IF($C41=12,1,0),Paraméterek!$B$257:$D$267,IF($D$2="Egyszeri",3,2)),IF($D$4="Forint",0,2))</f>
        <v>-9561</v>
      </c>
      <c r="Y41" s="32">
        <v>22</v>
      </c>
      <c r="Z41" s="32">
        <v>2</v>
      </c>
      <c r="AA41" s="32">
        <v>10</v>
      </c>
      <c r="AB41" s="13">
        <f t="shared" si="11"/>
        <v>0</v>
      </c>
      <c r="AC41" s="33"/>
      <c r="AD41" s="13">
        <f t="shared" si="7"/>
        <v>0</v>
      </c>
      <c r="AE41" s="13">
        <f>ROUNDUP(($AB41+$AD41)*VLOOKUP($Z41,Paraméterek!$P$38:$Q$38,2)/12,IF($D$4="Forint",0,2))</f>
        <v>0</v>
      </c>
      <c r="AF41" s="13">
        <f>IF($D$2="Egyszeri",IF($D$7&gt;=IF($D$4="Forint",Paraméterek!$P$223,Paraméterek!$P$224),$D$7-IF($D$4="Forint",Paraméterek!$F$223,Paraméterek!$F$224),0),MIN(IF($AA41=12,AVERAGE($D$20:$D41)*12,0),SUM($D$20:$D$31)))</f>
        <v>0</v>
      </c>
      <c r="AG41" s="13">
        <f>IF(AND($Z41&gt;=10,MOD($Z41,5)=0),$AF41*IF($AA41=12,VLOOKUP($Z41,Paraméterek!$B$225:$F$240,IF($AF41&lt;IF($D$4="Forint",Paraméterek!$C$223,Paraméterek!$C$224),2,IF($AF41&lt;IF($D$4="Forint",Paraméterek!$D$223,Paraméterek!$D$224),3,4))),0),0)</f>
        <v>0</v>
      </c>
      <c r="AH41" s="13">
        <f>IF(AND($Z41&gt;=5,MOD($Z41,5)=0),IF($AA41=12,VLOOKUP($Z41,Paraméterek!$B$225:$F$240,5),0),IF(OR($Z41=3,$Z41=4),IF($AA41=12,VLOOKUP($Z41,Paraméterek!$B$225:$F$240,5,0),0),0))*$AF41</f>
        <v>0</v>
      </c>
      <c r="AI41" s="13">
        <f>ROUNDDOWN(IF(SUM($T$20:$U41)=0,IF($D$2="Egyszeri",$AH41,$AG41),0),IF($D$4="Forint",0,2))</f>
        <v>0</v>
      </c>
      <c r="AJ41" s="13">
        <f t="shared" si="12"/>
        <v>0</v>
      </c>
      <c r="AK41" s="13">
        <f t="shared" si="13"/>
        <v>0</v>
      </c>
      <c r="AM41" s="32">
        <v>22</v>
      </c>
      <c r="AN41" s="32">
        <v>2</v>
      </c>
      <c r="AO41" s="32">
        <v>10</v>
      </c>
      <c r="AP41" s="13"/>
      <c r="AQ41" s="32"/>
      <c r="AR41" s="13">
        <f t="shared" si="14"/>
        <v>0</v>
      </c>
      <c r="AS41" s="33"/>
      <c r="AT41" s="13">
        <f t="shared" si="8"/>
        <v>0</v>
      </c>
      <c r="AU41" s="13">
        <f>ROUNDUP(($AR41+$AT41)*VLOOKUP($AN41,Paraméterek!$P$38:$Q$38,2)/12,IF($D$4="Forint",0,2))</f>
        <v>0</v>
      </c>
      <c r="AV41" s="13"/>
      <c r="AW41" s="13"/>
      <c r="AX41" s="13">
        <f>ROUNDUP(IF(SUM($AV41:$AW41)=0,0,IF(IF(ISBLANK($AW41),$AV41,$AW41)*Paraméterek!$J$112&lt;IF($D$4="Forint",Paraméterek!$J$113,Paraméterek!$K$113),IF($D$4="Forint",Paraméterek!$J$113,Paraméterek!$K$113),IF(IF(ISBLANK($AW41),$AV41,$AW41)*Paraméterek!$J$112&gt;IF($D$4="Forint",Paraméterek!$J$114,Paraméterek!$K$114),IF($D$4="Forint",Paraméterek!$J$114,Paraméterek!$K$114),IF(ISBLANK($AW41),$AV41,$AW41)*Paraméterek!$J$112))),IF($D$4="Forint",0,2))</f>
        <v>0</v>
      </c>
      <c r="AY41" s="13">
        <f>$AR41+$AT41-$AU41-IF(ROUNDDOWN(IF(ISBLANK($AW41),$AV41,$AW41),IF($D$4="Forint",0,2))&gt;$AR41+$AT41-$AU41-IF($D$4="Forint",Paraméterek!$J$114,Paraméterek!$K$114),0,ROUNDDOWN(IF(ISBLANK($AW41),$AV41,$AW41),IF($D$4="Forint",0,2))-$AX41)</f>
        <v>0</v>
      </c>
      <c r="AZ41" s="13">
        <f t="shared" si="9"/>
        <v>0</v>
      </c>
    </row>
    <row r="42" spans="1:52" x14ac:dyDescent="0.2">
      <c r="A42" s="32">
        <v>23</v>
      </c>
      <c r="B42" s="32">
        <v>2</v>
      </c>
      <c r="C42" s="32">
        <v>11</v>
      </c>
      <c r="D42" s="13">
        <f t="shared" si="0"/>
        <v>0</v>
      </c>
      <c r="E42" s="13"/>
      <c r="F42" s="13"/>
      <c r="G42" s="13"/>
      <c r="H42" s="13">
        <f t="shared" si="1"/>
        <v>0</v>
      </c>
      <c r="I42" s="13">
        <f t="shared" si="2"/>
        <v>0</v>
      </c>
      <c r="J42" s="13">
        <f t="shared" si="3"/>
        <v>0</v>
      </c>
      <c r="K42" s="13">
        <f>ROUNDUP(IF($D$2="Egyszeri",$D42,IF($D$2="Havi",SUM($D$20:$D$31),IF(MOD($C42,$M$1)-1=0,SUM($D$20:$D$31),0))/12*$M$1)*VLOOKUP($B42,Paraméterek!$B$27:$D$30,IF($D$2="Egyszeri",3,2)),IF($D$4="Forint",0,2))</f>
        <v>0</v>
      </c>
      <c r="L42" s="13">
        <f t="shared" si="4"/>
        <v>0</v>
      </c>
      <c r="M42" s="13">
        <f t="shared" ca="1" si="10"/>
        <v>-11952</v>
      </c>
      <c r="N42" s="13">
        <f ca="1">IF($V41&gt;=VLOOKUP($M$4-1+$B42,Paraméterek!$B$121:$D$122,IF($D$4="Forint",2,3)),0,VLOOKUP($M$4-1+$B42,Paraméterek!$B$121:$D$122,IF($D$4="Forint",2,3))-$V41)</f>
        <v>21952</v>
      </c>
      <c r="O42" s="13">
        <f ca="1">ROUNDUP($N42*Paraméterek!$C$58/Paraméterek!$C$56,IF($D$4="Forint",0,2))</f>
        <v>4</v>
      </c>
      <c r="P42" s="13">
        <f t="shared" si="5"/>
        <v>567</v>
      </c>
      <c r="Q42" s="33"/>
      <c r="R42" s="13">
        <f t="shared" ca="1" si="6"/>
        <v>0</v>
      </c>
      <c r="S42" s="13">
        <f ca="1">ROUNDUP(($M42-$O42-$P42+$R42)*VLOOKUP($B42,Paraméterek!$B$38:$D$39,IF($D$2="Egyszeri",3,2))/12,IF($D$4="Forint",0,2))</f>
        <v>-34</v>
      </c>
      <c r="T42" s="13"/>
      <c r="U42" s="13"/>
      <c r="V42" s="13">
        <f ca="1">$M42-$O42-$P42+$R42-$S42-IF(ROUNDUP(IF(ISBLANK($U42),$T42,$U42)/IF(AND($B42=1,$D$2&lt;&gt;"Egyszeri"),1,VLOOKUP($B42+IF($C42=12,1,0),Paraméterek!$B$257:$D$267,IF($D$2="Egyszeri",3,2))),IF($D$4="Forint",0,2))&gt;$M42-$O42-$P42+$R42-$S42-IF($D$4="Forint",Paraméterek!$C$216,Paraméterek!$D$216),0,ROUNDUP(IF(ISBLANK($U42),$T42,$U42)/IF(AND($B42=1,$D$2&lt;&gt;"Egyszeri"),1,VLOOKUP($B42+IF($C42=12,1,0),Paraméterek!$B$257:$D$267,IF($D$2="Egyszeri",3,2))),IF($D$4="Forint",0,2)))</f>
        <v>-12489</v>
      </c>
      <c r="W42" s="13">
        <f ca="1">ROUNDDOWN($V42*VLOOKUP($B42+IF($C42=12,1,0),Paraméterek!$B$257:$D$267,IF($D$2="Egyszeri",3,2)),IF($D$4="Forint",0,2))</f>
        <v>-9991</v>
      </c>
      <c r="Y42" s="32">
        <v>23</v>
      </c>
      <c r="Z42" s="32">
        <v>2</v>
      </c>
      <c r="AA42" s="32">
        <v>11</v>
      </c>
      <c r="AB42" s="13">
        <f t="shared" si="11"/>
        <v>0</v>
      </c>
      <c r="AC42" s="33"/>
      <c r="AD42" s="13">
        <f t="shared" si="7"/>
        <v>0</v>
      </c>
      <c r="AE42" s="13">
        <f>ROUNDUP(($AB42+$AD42)*VLOOKUP($Z42,Paraméterek!$P$38:$Q$38,2)/12,IF($D$4="Forint",0,2))</f>
        <v>0</v>
      </c>
      <c r="AF42" s="13">
        <f>IF($D$2="Egyszeri",IF($D$7&gt;=IF($D$4="Forint",Paraméterek!$P$223,Paraméterek!$P$224),$D$7-IF($D$4="Forint",Paraméterek!$F$223,Paraméterek!$F$224),0),MIN(IF($AA42=12,AVERAGE($D$20:$D42)*12,0),SUM($D$20:$D$31)))</f>
        <v>0</v>
      </c>
      <c r="AG42" s="13">
        <f>IF(AND($Z42&gt;=10,MOD($Z42,5)=0),$AF42*IF($AA42=12,VLOOKUP($Z42,Paraméterek!$B$225:$F$240,IF($AF42&lt;IF($D$4="Forint",Paraméterek!$C$223,Paraméterek!$C$224),2,IF($AF42&lt;IF($D$4="Forint",Paraméterek!$D$223,Paraméterek!$D$224),3,4))),0),0)</f>
        <v>0</v>
      </c>
      <c r="AH42" s="13">
        <f>IF(AND($Z42&gt;=5,MOD($Z42,5)=0),IF($AA42=12,VLOOKUP($Z42,Paraméterek!$B$225:$F$240,5),0),IF(OR($Z42=3,$Z42=4),IF($AA42=12,VLOOKUP($Z42,Paraméterek!$B$225:$F$240,5,0),0),0))*$AF42</f>
        <v>0</v>
      </c>
      <c r="AI42" s="13">
        <f>ROUNDDOWN(IF(SUM($T$20:$U42)=0,IF($D$2="Egyszeri",$AH42,$AG42),0),IF($D$4="Forint",0,2))</f>
        <v>0</v>
      </c>
      <c r="AJ42" s="13">
        <f t="shared" si="12"/>
        <v>0</v>
      </c>
      <c r="AK42" s="13">
        <f t="shared" si="13"/>
        <v>0</v>
      </c>
      <c r="AM42" s="32">
        <v>23</v>
      </c>
      <c r="AN42" s="32">
        <v>2</v>
      </c>
      <c r="AO42" s="32">
        <v>11</v>
      </c>
      <c r="AP42" s="13"/>
      <c r="AQ42" s="32"/>
      <c r="AR42" s="13">
        <f t="shared" si="14"/>
        <v>0</v>
      </c>
      <c r="AS42" s="33"/>
      <c r="AT42" s="13">
        <f t="shared" si="8"/>
        <v>0</v>
      </c>
      <c r="AU42" s="13">
        <f>ROUNDUP(($AR42+$AT42)*VLOOKUP($AN42,Paraméterek!$P$38:$Q$38,2)/12,IF($D$4="Forint",0,2))</f>
        <v>0</v>
      </c>
      <c r="AV42" s="13"/>
      <c r="AW42" s="13"/>
      <c r="AX42" s="13">
        <f>ROUNDUP(IF(SUM($AV42:$AW42)=0,0,IF(IF(ISBLANK($AW42),$AV42,$AW42)*Paraméterek!$J$112&lt;IF($D$4="Forint",Paraméterek!$J$113,Paraméterek!$K$113),IF($D$4="Forint",Paraméterek!$J$113,Paraméterek!$K$113),IF(IF(ISBLANK($AW42),$AV42,$AW42)*Paraméterek!$J$112&gt;IF($D$4="Forint",Paraméterek!$J$114,Paraméterek!$K$114),IF($D$4="Forint",Paraméterek!$J$114,Paraméterek!$K$114),IF(ISBLANK($AW42),$AV42,$AW42)*Paraméterek!$J$112))),IF($D$4="Forint",0,2))</f>
        <v>0</v>
      </c>
      <c r="AY42" s="13">
        <f>$AR42+$AT42-$AU42-IF(ROUNDDOWN(IF(ISBLANK($AW42),$AV42,$AW42),IF($D$4="Forint",0,2))&gt;$AR42+$AT42-$AU42-IF($D$4="Forint",Paraméterek!$J$114,Paraméterek!$K$114),0,ROUNDDOWN(IF(ISBLANK($AW42),$AV42,$AW42),IF($D$4="Forint",0,2))-$AX42)</f>
        <v>0</v>
      </c>
      <c r="AZ42" s="13">
        <f t="shared" si="9"/>
        <v>0</v>
      </c>
    </row>
    <row r="43" spans="1:52" x14ac:dyDescent="0.2">
      <c r="A43" s="32">
        <v>24</v>
      </c>
      <c r="B43" s="32">
        <v>2</v>
      </c>
      <c r="C43" s="32">
        <v>12</v>
      </c>
      <c r="D43" s="13">
        <f t="shared" si="0"/>
        <v>0</v>
      </c>
      <c r="E43" s="13"/>
      <c r="F43" s="13"/>
      <c r="G43" s="13"/>
      <c r="H43" s="13">
        <f t="shared" si="1"/>
        <v>0</v>
      </c>
      <c r="I43" s="13">
        <f t="shared" si="2"/>
        <v>0</v>
      </c>
      <c r="J43" s="13">
        <f t="shared" si="3"/>
        <v>0</v>
      </c>
      <c r="K43" s="13">
        <f>ROUNDUP(IF($D$2="Egyszeri",$D43,IF($D$2="Havi",SUM($D$20:$D$31),IF(MOD($C43,$M$1)-1=0,SUM($D$20:$D$31),0))/12*$M$1)*VLOOKUP($B43,Paraméterek!$B$27:$D$30,IF($D$2="Egyszeri",3,2)),IF($D$4="Forint",0,2))</f>
        <v>0</v>
      </c>
      <c r="L43" s="13">
        <f t="shared" si="4"/>
        <v>0</v>
      </c>
      <c r="M43" s="13">
        <f t="shared" ca="1" si="10"/>
        <v>-12489</v>
      </c>
      <c r="N43" s="13">
        <f ca="1">IF($V42&gt;=VLOOKUP($M$4-1+$B43,Paraméterek!$B$121:$D$122,IF($D$4="Forint",2,3)),0,VLOOKUP($M$4-1+$B43,Paraméterek!$B$121:$D$122,IF($D$4="Forint",2,3))-$V42)</f>
        <v>22489</v>
      </c>
      <c r="O43" s="13">
        <f ca="1">ROUNDUP($N43*Paraméterek!$C$58/Paraméterek!$C$56,IF($D$4="Forint",0,2))</f>
        <v>4</v>
      </c>
      <c r="P43" s="13">
        <f t="shared" si="5"/>
        <v>567</v>
      </c>
      <c r="Q43" s="33"/>
      <c r="R43" s="13">
        <f t="shared" ca="1" si="6"/>
        <v>0</v>
      </c>
      <c r="S43" s="13">
        <f ca="1">ROUNDUP(($M43-$O43-$P43+$R43)*VLOOKUP($B43,Paraméterek!$B$38:$D$39,IF($D$2="Egyszeri",3,2))/12,IF($D$4="Forint",0,2))</f>
        <v>-36</v>
      </c>
      <c r="T43" s="13">
        <f>Tranzakciók!$F$33</f>
        <v>0</v>
      </c>
      <c r="U43" s="13"/>
      <c r="V43" s="13">
        <f ca="1">$M43-$O43-$P43+$R43-$S43-IF(ROUNDUP(IF(ISBLANK($U43),$T43,$U43)/IF(AND($B43=1,$D$2&lt;&gt;"Egyszeri"),1,VLOOKUP($B43+IF($C43=12,1,0),Paraméterek!$B$257:$D$267,IF($D$2="Egyszeri",3,2))),IF($D$4="Forint",0,2))&gt;$M43-$O43-$P43+$R43-$S43-IF($D$4="Forint",Paraméterek!$C$216,Paraméterek!$D$216),0,ROUNDUP(IF(ISBLANK($U43),$T43,$U43)/IF(AND($B43=1,$D$2&lt;&gt;"Egyszeri"),1,VLOOKUP($B43+IF($C43=12,1,0),Paraméterek!$B$257:$D$267,IF($D$2="Egyszeri",3,2))),IF($D$4="Forint",0,2)))</f>
        <v>-13024</v>
      </c>
      <c r="W43" s="13">
        <f ca="1">ROUNDDOWN($V43*VLOOKUP($B43+IF($C43=12,1,0),Paraméterek!$B$257:$D$267,IF($D$2="Egyszeri",3,2)),IF($D$4="Forint",0,2))</f>
        <v>-12503</v>
      </c>
      <c r="Y43" s="32">
        <v>24</v>
      </c>
      <c r="Z43" s="32">
        <v>2</v>
      </c>
      <c r="AA43" s="32">
        <v>12</v>
      </c>
      <c r="AB43" s="13">
        <f t="shared" si="11"/>
        <v>0</v>
      </c>
      <c r="AC43" s="33"/>
      <c r="AD43" s="13">
        <f t="shared" si="7"/>
        <v>0</v>
      </c>
      <c r="AE43" s="13">
        <f>ROUNDUP(($AB43+$AD43)*VLOOKUP($Z43,Paraméterek!$P$38:$Q$38,2)/12,IF($D$4="Forint",0,2))</f>
        <v>0</v>
      </c>
      <c r="AF43" s="13">
        <f>IF($D$2="Egyszeri",IF($D$7&gt;=IF($D$4="Forint",Paraméterek!$P$223,Paraméterek!$P$224),$D$7-IF($D$4="Forint",Paraméterek!$F$223,Paraméterek!$F$224),0),MIN(IF($AA43=12,AVERAGE($D$20:$D43)*12,0),SUM($D$20:$D$31)))</f>
        <v>0</v>
      </c>
      <c r="AG43" s="13">
        <f>IF(AND($Z43&gt;=10,MOD($Z43,5)=0),$AF43*IF($AA43=12,VLOOKUP($Z43,Paraméterek!$B$225:$F$240,IF($AF43&lt;IF($D$4="Forint",Paraméterek!$C$223,Paraméterek!$C$224),2,IF($AF43&lt;IF($D$4="Forint",Paraméterek!$D$223,Paraméterek!$D$224),3,4))),0),0)</f>
        <v>0</v>
      </c>
      <c r="AH43" s="13">
        <f>IF(AND($Z43&gt;=5,MOD($Z43,5)=0),IF($AA43=12,VLOOKUP($Z43,Paraméterek!$B$225:$F$240,5),0),IF(OR($Z43=3,$Z43=4),IF($AA43=12,VLOOKUP($Z43,Paraméterek!$B$225:$F$240,5,0),0),0))*$AF43</f>
        <v>0</v>
      </c>
      <c r="AI43" s="13">
        <f>ROUNDDOWN(IF(SUM($T$20:$U43)=0,IF($D$2="Egyszeri",$AH43,$AG43),0),IF($D$4="Forint",0,2))</f>
        <v>0</v>
      </c>
      <c r="AJ43" s="13">
        <f t="shared" si="12"/>
        <v>0</v>
      </c>
      <c r="AK43" s="13">
        <f t="shared" si="13"/>
        <v>0</v>
      </c>
      <c r="AM43" s="32">
        <v>24</v>
      </c>
      <c r="AN43" s="32">
        <v>2</v>
      </c>
      <c r="AO43" s="32">
        <v>12</v>
      </c>
      <c r="AP43" s="13"/>
      <c r="AQ43" s="32"/>
      <c r="AR43" s="13">
        <f t="shared" si="14"/>
        <v>0</v>
      </c>
      <c r="AS43" s="33"/>
      <c r="AT43" s="13">
        <f t="shared" si="8"/>
        <v>0</v>
      </c>
      <c r="AU43" s="13">
        <f>ROUNDUP(($AR43+$AT43)*VLOOKUP($AN43,Paraméterek!$P$38:$Q$38,2)/12,IF($D$4="Forint",0,2))</f>
        <v>0</v>
      </c>
      <c r="AV43" s="13">
        <f>Tranzakciók!$M$33</f>
        <v>0</v>
      </c>
      <c r="AW43" s="13"/>
      <c r="AX43" s="13">
        <f>ROUNDUP(IF(SUM($AV43:$AW43)=0,0,IF(IF(ISBLANK($AW43),$AV43,$AW43)*Paraméterek!$J$112&lt;IF($D$4="Forint",Paraméterek!$J$113,Paraméterek!$K$113),IF($D$4="Forint",Paraméterek!$J$113,Paraméterek!$K$113),IF(IF(ISBLANK($AW43),$AV43,$AW43)*Paraméterek!$J$112&gt;IF($D$4="Forint",Paraméterek!$J$114,Paraméterek!$K$114),IF($D$4="Forint",Paraméterek!$J$114,Paraméterek!$K$114),IF(ISBLANK($AW43),$AV43,$AW43)*Paraméterek!$J$112))),IF($D$4="Forint",0,2))</f>
        <v>0</v>
      </c>
      <c r="AY43" s="13">
        <f>$AR43+$AT43-$AU43-IF(ROUNDDOWN(IF(ISBLANK($AW43),$AV43,$AW43),IF($D$4="Forint",0,2))&gt;$AR43+$AT43-$AU43-IF($D$4="Forint",Paraméterek!$J$114,Paraméterek!$K$114),0,ROUNDDOWN(IF(ISBLANK($AW43),$AV43,$AW43),IF($D$4="Forint",0,2))-$AX43)</f>
        <v>0</v>
      </c>
      <c r="AZ43" s="13">
        <f t="shared" si="9"/>
        <v>0</v>
      </c>
    </row>
    <row r="44" spans="1:52" x14ac:dyDescent="0.2">
      <c r="A44" s="32">
        <v>25</v>
      </c>
      <c r="B44" s="32">
        <v>3</v>
      </c>
      <c r="C44" s="32">
        <v>1</v>
      </c>
      <c r="D44" s="13">
        <f t="shared" si="0"/>
        <v>0</v>
      </c>
      <c r="E44" s="13"/>
      <c r="F44" s="13">
        <f>Tranzakciók!$D$34</f>
        <v>0</v>
      </c>
      <c r="G44" s="13"/>
      <c r="H44" s="13">
        <f t="shared" si="1"/>
        <v>0</v>
      </c>
      <c r="I44" s="13">
        <f t="shared" si="2"/>
        <v>107</v>
      </c>
      <c r="J44" s="13">
        <f t="shared" si="3"/>
        <v>107</v>
      </c>
      <c r="K44" s="13">
        <f>ROUNDUP(IF($D$2="Egyszeri",$D44,IF($D$2="Havi",SUM($D$20:$D$31),IF(MOD($C44,$M$1)-1=0,SUM($D$20:$D$31),0))/12*$M$1)*VLOOKUP($B44,Paraméterek!$B$27:$D$30,IF($D$2="Egyszeri",3,2)),IF($D$4="Forint",0,2))</f>
        <v>0</v>
      </c>
      <c r="L44" s="13">
        <f t="shared" si="4"/>
        <v>0</v>
      </c>
      <c r="M44" s="13">
        <f t="shared" ca="1" si="10"/>
        <v>-13024</v>
      </c>
      <c r="N44" s="13">
        <f ca="1">IF($V43&gt;=VLOOKUP($M$4-1+$B44,Paraméterek!$B$121:$D$122,IF($D$4="Forint",2,3)),0,VLOOKUP($M$4-1+$B44,Paraméterek!$B$121:$D$122,IF($D$4="Forint",2,3))-$V43)</f>
        <v>23024</v>
      </c>
      <c r="O44" s="13">
        <f ca="1">ROUNDUP($N44*Paraméterek!$C$58/Paraméterek!$C$56,IF($D$4="Forint",0,2))</f>
        <v>4</v>
      </c>
      <c r="P44" s="13">
        <f t="shared" si="5"/>
        <v>584</v>
      </c>
      <c r="Q44" s="33"/>
      <c r="R44" s="13">
        <f t="shared" ca="1" si="6"/>
        <v>0</v>
      </c>
      <c r="S44" s="13">
        <f ca="1">ROUNDUP(($M44-$O44-$P44+$R44)*VLOOKUP($B44,Paraméterek!$B$38:$D$39,IF($D$2="Egyszeri",3,2))/12,IF($D$4="Forint",0,2))</f>
        <v>-37</v>
      </c>
      <c r="T44" s="13"/>
      <c r="U44" s="13"/>
      <c r="V44" s="13">
        <f ca="1">$M44-$O44-$P44+$R44-$S44-IF(ROUNDUP(IF(ISBLANK($U44),$T44,$U44)/IF(AND($B44=1,$D$2&lt;&gt;"Egyszeri"),1,VLOOKUP($B44+IF($C44=12,1,0),Paraméterek!$B$257:$D$267,IF($D$2="Egyszeri",3,2))),IF($D$4="Forint",0,2))&gt;$M44-$O44-$P44+$R44-$S44-IF($D$4="Forint",Paraméterek!$C$216,Paraméterek!$D$216),0,ROUNDUP(IF(ISBLANK($U44),$T44,$U44)/IF(AND($B44=1,$D$2&lt;&gt;"Egyszeri"),1,VLOOKUP($B44+IF($C44=12,1,0),Paraméterek!$B$257:$D$267,IF($D$2="Egyszeri",3,2))),IF($D$4="Forint",0,2)))</f>
        <v>-13575</v>
      </c>
      <c r="W44" s="13">
        <f ca="1">ROUNDDOWN($V44*VLOOKUP($B44+IF($C44=12,1,0),Paraméterek!$B$257:$D$267,IF($D$2="Egyszeri",3,2)),IF($D$4="Forint",0,2))</f>
        <v>-13032</v>
      </c>
      <c r="Y44" s="32">
        <v>25</v>
      </c>
      <c r="Z44" s="32">
        <v>3</v>
      </c>
      <c r="AA44" s="32">
        <v>1</v>
      </c>
      <c r="AB44" s="13">
        <f t="shared" si="11"/>
        <v>0</v>
      </c>
      <c r="AC44" s="33"/>
      <c r="AD44" s="13">
        <f t="shared" si="7"/>
        <v>0</v>
      </c>
      <c r="AE44" s="13">
        <f>ROUNDUP(($AB44+$AD44)*VLOOKUP($Z44,Paraméterek!$P$38:$Q$38,2)/12,IF($D$4="Forint",0,2))</f>
        <v>0</v>
      </c>
      <c r="AF44" s="13">
        <f>IF($D$2="Egyszeri",IF($D$7&gt;=IF($D$4="Forint",Paraméterek!$P$223,Paraméterek!$P$224),$D$7-IF($D$4="Forint",Paraméterek!$F$223,Paraméterek!$F$224),0),MIN(IF($AA44=12,AVERAGE($D$20:$D44)*12,0),SUM($D$20:$D$31)))</f>
        <v>0</v>
      </c>
      <c r="AG44" s="13">
        <f>IF(AND($Z44&gt;=10,MOD($Z44,5)=0),$AF44*IF($AA44=12,VLOOKUP($Z44,Paraméterek!$B$225:$F$240,IF($AF44&lt;IF($D$4="Forint",Paraméterek!$C$223,Paraméterek!$C$224),2,IF($AF44&lt;IF($D$4="Forint",Paraméterek!$D$223,Paraméterek!$D$224),3,4))),0),0)</f>
        <v>0</v>
      </c>
      <c r="AH44" s="13">
        <f>IF(AND($Z44&gt;=5,MOD($Z44,5)=0),IF($AA44=12,VLOOKUP($Z44,Paraméterek!$B$225:$F$240,5),0),IF(OR($Z44=3,$Z44=4),IF($AA44=12,VLOOKUP($Z44,Paraméterek!$B$225:$F$240,5,0),0),0))*$AF44</f>
        <v>0</v>
      </c>
      <c r="AI44" s="13">
        <f>ROUNDDOWN(IF(SUM($T$20:$U44)=0,IF($D$2="Egyszeri",$AH44,$AG44),0),IF($D$4="Forint",0,2))</f>
        <v>0</v>
      </c>
      <c r="AJ44" s="13">
        <f t="shared" si="12"/>
        <v>0</v>
      </c>
      <c r="AK44" s="13">
        <f t="shared" si="13"/>
        <v>0</v>
      </c>
      <c r="AM44" s="32">
        <v>25</v>
      </c>
      <c r="AN44" s="32">
        <v>3</v>
      </c>
      <c r="AO44" s="32">
        <v>1</v>
      </c>
      <c r="AP44" s="13">
        <f>Tranzakciók!$K$34</f>
        <v>0</v>
      </c>
      <c r="AQ44" s="32"/>
      <c r="AR44" s="13">
        <f t="shared" si="14"/>
        <v>0</v>
      </c>
      <c r="AS44" s="33"/>
      <c r="AT44" s="13">
        <f t="shared" si="8"/>
        <v>0</v>
      </c>
      <c r="AU44" s="13">
        <f>ROUNDUP(($AR44+$AT44)*VLOOKUP($AN44,Paraméterek!$P$38:$Q$38,2)/12,IF($D$4="Forint",0,2))</f>
        <v>0</v>
      </c>
      <c r="AV44" s="13"/>
      <c r="AW44" s="13"/>
      <c r="AX44" s="13">
        <f>ROUNDUP(IF(SUM($AV44:$AW44)=0,0,IF(IF(ISBLANK($AW44),$AV44,$AW44)*Paraméterek!$J$112&lt;IF($D$4="Forint",Paraméterek!$J$113,Paraméterek!$K$113),IF($D$4="Forint",Paraméterek!$J$113,Paraméterek!$K$113),IF(IF(ISBLANK($AW44),$AV44,$AW44)*Paraméterek!$J$112&gt;IF($D$4="Forint",Paraméterek!$J$114,Paraméterek!$K$114),IF($D$4="Forint",Paraméterek!$J$114,Paraméterek!$K$114),IF(ISBLANK($AW44),$AV44,$AW44)*Paraméterek!$J$112))),IF($D$4="Forint",0,2))</f>
        <v>0</v>
      </c>
      <c r="AY44" s="13">
        <f>$AR44+$AT44-$AU44-IF(ROUNDDOWN(IF(ISBLANK($AW44),$AV44,$AW44),IF($D$4="Forint",0,2))&gt;$AR44+$AT44-$AU44-IF($D$4="Forint",Paraméterek!$J$114,Paraméterek!$K$114),0,ROUNDDOWN(IF(ISBLANK($AW44),$AV44,$AW44),IF($D$4="Forint",0,2))-$AX44)</f>
        <v>0</v>
      </c>
      <c r="AZ44" s="13">
        <f t="shared" si="9"/>
        <v>0</v>
      </c>
    </row>
    <row r="45" spans="1:52" x14ac:dyDescent="0.2">
      <c r="A45" s="32">
        <v>26</v>
      </c>
      <c r="B45" s="32">
        <v>3</v>
      </c>
      <c r="C45" s="32">
        <v>2</v>
      </c>
      <c r="D45" s="13">
        <f t="shared" si="0"/>
        <v>0</v>
      </c>
      <c r="E45" s="13"/>
      <c r="F45" s="13"/>
      <c r="G45" s="13"/>
      <c r="H45" s="13">
        <f t="shared" si="1"/>
        <v>0</v>
      </c>
      <c r="I45" s="13">
        <f t="shared" si="2"/>
        <v>0</v>
      </c>
      <c r="J45" s="13">
        <f t="shared" si="3"/>
        <v>0</v>
      </c>
      <c r="K45" s="13">
        <f>ROUNDUP(IF($D$2="Egyszeri",$D45,IF($D$2="Havi",SUM($D$20:$D$31),IF(MOD($C45,$M$1)-1=0,SUM($D$20:$D$31),0))/12*$M$1)*VLOOKUP($B45,Paraméterek!$B$27:$D$30,IF($D$2="Egyszeri",3,2)),IF($D$4="Forint",0,2))</f>
        <v>0</v>
      </c>
      <c r="L45" s="13">
        <f t="shared" si="4"/>
        <v>0</v>
      </c>
      <c r="M45" s="13">
        <f t="shared" ca="1" si="10"/>
        <v>-13575</v>
      </c>
      <c r="N45" s="13">
        <f ca="1">IF($V44&gt;=VLOOKUP($M$4-1+$B45,Paraméterek!$B$121:$D$122,IF($D$4="Forint",2,3)),0,VLOOKUP($M$4-1+$B45,Paraméterek!$B$121:$D$122,IF($D$4="Forint",2,3))-$V44)</f>
        <v>23575</v>
      </c>
      <c r="O45" s="13">
        <f ca="1">ROUNDUP($N45*Paraméterek!$C$58/Paraméterek!$C$56,IF($D$4="Forint",0,2))</f>
        <v>4</v>
      </c>
      <c r="P45" s="13">
        <f t="shared" si="5"/>
        <v>584</v>
      </c>
      <c r="Q45" s="33"/>
      <c r="R45" s="13">
        <f t="shared" ca="1" si="6"/>
        <v>0</v>
      </c>
      <c r="S45" s="13">
        <f ca="1">ROUNDUP(($M45-$O45-$P45+$R45)*VLOOKUP($B45,Paraméterek!$B$38:$D$39,IF($D$2="Egyszeri",3,2))/12,IF($D$4="Forint",0,2))</f>
        <v>-39</v>
      </c>
      <c r="T45" s="13"/>
      <c r="U45" s="13"/>
      <c r="V45" s="13">
        <f ca="1">$M45-$O45-$P45+$R45-$S45-IF(ROUNDUP(IF(ISBLANK($U45),$T45,$U45)/IF(AND($B45=1,$D$2&lt;&gt;"Egyszeri"),1,VLOOKUP($B45+IF($C45=12,1,0),Paraméterek!$B$257:$D$267,IF($D$2="Egyszeri",3,2))),IF($D$4="Forint",0,2))&gt;$M45-$O45-$P45+$R45-$S45-IF($D$4="Forint",Paraméterek!$C$216,Paraméterek!$D$216),0,ROUNDUP(IF(ISBLANK($U45),$T45,$U45)/IF(AND($B45=1,$D$2&lt;&gt;"Egyszeri"),1,VLOOKUP($B45+IF($C45=12,1,0),Paraméterek!$B$257:$D$267,IF($D$2="Egyszeri",3,2))),IF($D$4="Forint",0,2)))</f>
        <v>-14124</v>
      </c>
      <c r="W45" s="13">
        <f ca="1">ROUNDDOWN($V45*VLOOKUP($B45+IF($C45=12,1,0),Paraméterek!$B$257:$D$267,IF($D$2="Egyszeri",3,2)),IF($D$4="Forint",0,2))</f>
        <v>-13559</v>
      </c>
      <c r="Y45" s="32">
        <v>26</v>
      </c>
      <c r="Z45" s="32">
        <v>3</v>
      </c>
      <c r="AA45" s="32">
        <v>2</v>
      </c>
      <c r="AB45" s="13">
        <f t="shared" si="11"/>
        <v>0</v>
      </c>
      <c r="AC45" s="33"/>
      <c r="AD45" s="13">
        <f t="shared" si="7"/>
        <v>0</v>
      </c>
      <c r="AE45" s="13">
        <f>ROUNDUP(($AB45+$AD45)*VLOOKUP($Z45,Paraméterek!$P$38:$Q$38,2)/12,IF($D$4="Forint",0,2))</f>
        <v>0</v>
      </c>
      <c r="AF45" s="13">
        <f>IF($D$2="Egyszeri",IF($D$7&gt;=IF($D$4="Forint",Paraméterek!$P$223,Paraméterek!$P$224),$D$7-IF($D$4="Forint",Paraméterek!$F$223,Paraméterek!$F$224),0),MIN(IF($AA45=12,AVERAGE($D$20:$D45)*12,0),SUM($D$20:$D$31)))</f>
        <v>0</v>
      </c>
      <c r="AG45" s="13">
        <f>IF(AND($Z45&gt;=10,MOD($Z45,5)=0),$AF45*IF($AA45=12,VLOOKUP($Z45,Paraméterek!$B$225:$F$240,IF($AF45&lt;IF($D$4="Forint",Paraméterek!$C$223,Paraméterek!$C$224),2,IF($AF45&lt;IF($D$4="Forint",Paraméterek!$D$223,Paraméterek!$D$224),3,4))),0),0)</f>
        <v>0</v>
      </c>
      <c r="AH45" s="13">
        <f>IF(AND($Z45&gt;=5,MOD($Z45,5)=0),IF($AA45=12,VLOOKUP($Z45,Paraméterek!$B$225:$F$240,5),0),IF(OR($Z45=3,$Z45=4),IF($AA45=12,VLOOKUP($Z45,Paraméterek!$B$225:$F$240,5,0),0),0))*$AF45</f>
        <v>0</v>
      </c>
      <c r="AI45" s="13">
        <f>ROUNDDOWN(IF(SUM($T$20:$U45)=0,IF($D$2="Egyszeri",$AH45,$AG45),0),IF($D$4="Forint",0,2))</f>
        <v>0</v>
      </c>
      <c r="AJ45" s="13">
        <f t="shared" si="12"/>
        <v>0</v>
      </c>
      <c r="AK45" s="13">
        <f t="shared" si="13"/>
        <v>0</v>
      </c>
      <c r="AM45" s="32">
        <v>26</v>
      </c>
      <c r="AN45" s="32">
        <v>3</v>
      </c>
      <c r="AO45" s="32">
        <v>2</v>
      </c>
      <c r="AP45" s="13"/>
      <c r="AQ45" s="32"/>
      <c r="AR45" s="13">
        <f t="shared" si="14"/>
        <v>0</v>
      </c>
      <c r="AS45" s="33"/>
      <c r="AT45" s="13">
        <f t="shared" si="8"/>
        <v>0</v>
      </c>
      <c r="AU45" s="13">
        <f>ROUNDUP(($AR45+$AT45)*VLOOKUP($AN45,Paraméterek!$P$38:$Q$38,2)/12,IF($D$4="Forint",0,2))</f>
        <v>0</v>
      </c>
      <c r="AV45" s="13"/>
      <c r="AW45" s="13"/>
      <c r="AX45" s="13">
        <f>ROUNDUP(IF(SUM($AV45:$AW45)=0,0,IF(IF(ISBLANK($AW45),$AV45,$AW45)*Paraméterek!$J$112&lt;IF($D$4="Forint",Paraméterek!$J$113,Paraméterek!$K$113),IF($D$4="Forint",Paraméterek!$J$113,Paraméterek!$K$113),IF(IF(ISBLANK($AW45),$AV45,$AW45)*Paraméterek!$J$112&gt;IF($D$4="Forint",Paraméterek!$J$114,Paraméterek!$K$114),IF($D$4="Forint",Paraméterek!$J$114,Paraméterek!$K$114),IF(ISBLANK($AW45),$AV45,$AW45)*Paraméterek!$J$112))),IF($D$4="Forint",0,2))</f>
        <v>0</v>
      </c>
      <c r="AY45" s="13">
        <f>$AR45+$AT45-$AU45-IF(ROUNDDOWN(IF(ISBLANK($AW45),$AV45,$AW45),IF($D$4="Forint",0,2))&gt;$AR45+$AT45-$AU45-IF($D$4="Forint",Paraméterek!$J$114,Paraméterek!$K$114),0,ROUNDDOWN(IF(ISBLANK($AW45),$AV45,$AW45),IF($D$4="Forint",0,2))-$AX45)</f>
        <v>0</v>
      </c>
      <c r="AZ45" s="13">
        <f t="shared" si="9"/>
        <v>0</v>
      </c>
    </row>
    <row r="46" spans="1:52" x14ac:dyDescent="0.2">
      <c r="A46" s="32">
        <v>27</v>
      </c>
      <c r="B46" s="32">
        <v>3</v>
      </c>
      <c r="C46" s="32">
        <v>3</v>
      </c>
      <c r="D46" s="13">
        <f t="shared" si="0"/>
        <v>0</v>
      </c>
      <c r="E46" s="13"/>
      <c r="F46" s="13"/>
      <c r="G46" s="13"/>
      <c r="H46" s="13">
        <f t="shared" si="1"/>
        <v>0</v>
      </c>
      <c r="I46" s="13">
        <f t="shared" si="2"/>
        <v>0</v>
      </c>
      <c r="J46" s="13">
        <f t="shared" si="3"/>
        <v>0</v>
      </c>
      <c r="K46" s="13">
        <f>ROUNDUP(IF($D$2="Egyszeri",$D46,IF($D$2="Havi",SUM($D$20:$D$31),IF(MOD($C46,$M$1)-1=0,SUM($D$20:$D$31),0))/12*$M$1)*VLOOKUP($B46,Paraméterek!$B$27:$D$30,IF($D$2="Egyszeri",3,2)),IF($D$4="Forint",0,2))</f>
        <v>0</v>
      </c>
      <c r="L46" s="13">
        <f t="shared" si="4"/>
        <v>0</v>
      </c>
      <c r="M46" s="13">
        <f t="shared" ca="1" si="10"/>
        <v>-14124</v>
      </c>
      <c r="N46" s="13">
        <f ca="1">IF($V45&gt;=VLOOKUP($M$4-1+$B46,Paraméterek!$B$121:$D$122,IF($D$4="Forint",2,3)),0,VLOOKUP($M$4-1+$B46,Paraméterek!$B$121:$D$122,IF($D$4="Forint",2,3))-$V45)</f>
        <v>24124</v>
      </c>
      <c r="O46" s="13">
        <f ca="1">ROUNDUP($N46*Paraméterek!$C$58/Paraméterek!$C$56,IF($D$4="Forint",0,2))</f>
        <v>4</v>
      </c>
      <c r="P46" s="13">
        <f t="shared" si="5"/>
        <v>584</v>
      </c>
      <c r="Q46" s="33"/>
      <c r="R46" s="13">
        <f t="shared" ca="1" si="6"/>
        <v>0</v>
      </c>
      <c r="S46" s="13">
        <f ca="1">ROUNDUP(($M46-$O46-$P46+$R46)*VLOOKUP($B46,Paraméterek!$B$38:$D$39,IF($D$2="Egyszeri",3,2))/12,IF($D$4="Forint",0,2))</f>
        <v>-40</v>
      </c>
      <c r="T46" s="13"/>
      <c r="U46" s="13"/>
      <c r="V46" s="13">
        <f ca="1">$M46-$O46-$P46+$R46-$S46-IF(ROUNDUP(IF(ISBLANK($U46),$T46,$U46)/IF(AND($B46=1,$D$2&lt;&gt;"Egyszeri"),1,VLOOKUP($B46+IF($C46=12,1,0),Paraméterek!$B$257:$D$267,IF($D$2="Egyszeri",3,2))),IF($D$4="Forint",0,2))&gt;$M46-$O46-$P46+$R46-$S46-IF($D$4="Forint",Paraméterek!$C$216,Paraméterek!$D$216),0,ROUNDUP(IF(ISBLANK($U46),$T46,$U46)/IF(AND($B46=1,$D$2&lt;&gt;"Egyszeri"),1,VLOOKUP($B46+IF($C46=12,1,0),Paraméterek!$B$257:$D$267,IF($D$2="Egyszeri",3,2))),IF($D$4="Forint",0,2)))</f>
        <v>-14672</v>
      </c>
      <c r="W46" s="13">
        <f ca="1">ROUNDDOWN($V46*VLOOKUP($B46+IF($C46=12,1,0),Paraméterek!$B$257:$D$267,IF($D$2="Egyszeri",3,2)),IF($D$4="Forint",0,2))</f>
        <v>-14085</v>
      </c>
      <c r="Y46" s="32">
        <v>27</v>
      </c>
      <c r="Z46" s="32">
        <v>3</v>
      </c>
      <c r="AA46" s="32">
        <v>3</v>
      </c>
      <c r="AB46" s="13">
        <f t="shared" si="11"/>
        <v>0</v>
      </c>
      <c r="AC46" s="33"/>
      <c r="AD46" s="13">
        <f t="shared" si="7"/>
        <v>0</v>
      </c>
      <c r="AE46" s="13">
        <f>ROUNDUP(($AB46+$AD46)*VLOOKUP($Z46,Paraméterek!$P$38:$Q$38,2)/12,IF($D$4="Forint",0,2))</f>
        <v>0</v>
      </c>
      <c r="AF46" s="13">
        <f>IF($D$2="Egyszeri",IF($D$7&gt;=IF($D$4="Forint",Paraméterek!$P$223,Paraméterek!$P$224),$D$7-IF($D$4="Forint",Paraméterek!$F$223,Paraméterek!$F$224),0),MIN(IF($AA46=12,AVERAGE($D$20:$D46)*12,0),SUM($D$20:$D$31)))</f>
        <v>0</v>
      </c>
      <c r="AG46" s="13">
        <f>IF(AND($Z46&gt;=10,MOD($Z46,5)=0),$AF46*IF($AA46=12,VLOOKUP($Z46,Paraméterek!$B$225:$F$240,IF($AF46&lt;IF($D$4="Forint",Paraméterek!$C$223,Paraméterek!$C$224),2,IF($AF46&lt;IF($D$4="Forint",Paraméterek!$D$223,Paraméterek!$D$224),3,4))),0),0)</f>
        <v>0</v>
      </c>
      <c r="AH46" s="13">
        <f>IF(AND($Z46&gt;=5,MOD($Z46,5)=0),IF($AA46=12,VLOOKUP($Z46,Paraméterek!$B$225:$F$240,5),0),IF(OR($Z46=3,$Z46=4),IF($AA46=12,VLOOKUP($Z46,Paraméterek!$B$225:$F$240,5,0),0),0))*$AF46</f>
        <v>0</v>
      </c>
      <c r="AI46" s="13">
        <f>ROUNDDOWN(IF(SUM($T$20:$U46)=0,IF($D$2="Egyszeri",$AH46,$AG46),0),IF($D$4="Forint",0,2))</f>
        <v>0</v>
      </c>
      <c r="AJ46" s="13">
        <f t="shared" si="12"/>
        <v>0</v>
      </c>
      <c r="AK46" s="13">
        <f t="shared" si="13"/>
        <v>0</v>
      </c>
      <c r="AM46" s="32">
        <v>27</v>
      </c>
      <c r="AN46" s="32">
        <v>3</v>
      </c>
      <c r="AO46" s="32">
        <v>3</v>
      </c>
      <c r="AP46" s="13"/>
      <c r="AQ46" s="32"/>
      <c r="AR46" s="13">
        <f t="shared" si="14"/>
        <v>0</v>
      </c>
      <c r="AS46" s="33"/>
      <c r="AT46" s="13">
        <f t="shared" si="8"/>
        <v>0</v>
      </c>
      <c r="AU46" s="13">
        <f>ROUNDUP(($AR46+$AT46)*VLOOKUP($AN46,Paraméterek!$P$38:$Q$38,2)/12,IF($D$4="Forint",0,2))</f>
        <v>0</v>
      </c>
      <c r="AV46" s="13"/>
      <c r="AW46" s="13"/>
      <c r="AX46" s="13">
        <f>ROUNDUP(IF(SUM($AV46:$AW46)=0,0,IF(IF(ISBLANK($AW46),$AV46,$AW46)*Paraméterek!$J$112&lt;IF($D$4="Forint",Paraméterek!$J$113,Paraméterek!$K$113),IF($D$4="Forint",Paraméterek!$J$113,Paraméterek!$K$113),IF(IF(ISBLANK($AW46),$AV46,$AW46)*Paraméterek!$J$112&gt;IF($D$4="Forint",Paraméterek!$J$114,Paraméterek!$K$114),IF($D$4="Forint",Paraméterek!$J$114,Paraméterek!$K$114),IF(ISBLANK($AW46),$AV46,$AW46)*Paraméterek!$J$112))),IF($D$4="Forint",0,2))</f>
        <v>0</v>
      </c>
      <c r="AY46" s="13">
        <f>$AR46+$AT46-$AU46-IF(ROUNDDOWN(IF(ISBLANK($AW46),$AV46,$AW46),IF($D$4="Forint",0,2))&gt;$AR46+$AT46-$AU46-IF($D$4="Forint",Paraméterek!$J$114,Paraméterek!$K$114),0,ROUNDDOWN(IF(ISBLANK($AW46),$AV46,$AW46),IF($D$4="Forint",0,2))-$AX46)</f>
        <v>0</v>
      </c>
      <c r="AZ46" s="13">
        <f t="shared" si="9"/>
        <v>0</v>
      </c>
    </row>
    <row r="47" spans="1:52" x14ac:dyDescent="0.2">
      <c r="A47" s="32">
        <v>28</v>
      </c>
      <c r="B47" s="32">
        <v>3</v>
      </c>
      <c r="C47" s="32">
        <v>4</v>
      </c>
      <c r="D47" s="13">
        <f t="shared" si="0"/>
        <v>0</v>
      </c>
      <c r="E47" s="13"/>
      <c r="F47" s="13"/>
      <c r="G47" s="13"/>
      <c r="H47" s="13">
        <f t="shared" si="1"/>
        <v>0</v>
      </c>
      <c r="I47" s="13">
        <f t="shared" si="2"/>
        <v>0</v>
      </c>
      <c r="J47" s="13">
        <f t="shared" si="3"/>
        <v>0</v>
      </c>
      <c r="K47" s="13">
        <f>ROUNDUP(IF($D$2="Egyszeri",$D47,IF($D$2="Havi",SUM($D$20:$D$31),IF(MOD($C47,$M$1)-1=0,SUM($D$20:$D$31),0))/12*$M$1)*VLOOKUP($B47,Paraméterek!$B$27:$D$30,IF($D$2="Egyszeri",3,2)),IF($D$4="Forint",0,2))</f>
        <v>0</v>
      </c>
      <c r="L47" s="13">
        <f t="shared" si="4"/>
        <v>0</v>
      </c>
      <c r="M47" s="13">
        <f t="shared" ca="1" si="10"/>
        <v>-14672</v>
      </c>
      <c r="N47" s="13">
        <f ca="1">IF($V46&gt;=VLOOKUP($M$4-1+$B47,Paraméterek!$B$121:$D$122,IF($D$4="Forint",2,3)),0,VLOOKUP($M$4-1+$B47,Paraméterek!$B$121:$D$122,IF($D$4="Forint",2,3))-$V46)</f>
        <v>24672</v>
      </c>
      <c r="O47" s="13">
        <f ca="1">ROUNDUP($N47*Paraméterek!$C$58/Paraméterek!$C$56,IF($D$4="Forint",0,2))</f>
        <v>4</v>
      </c>
      <c r="P47" s="13">
        <f t="shared" si="5"/>
        <v>584</v>
      </c>
      <c r="Q47" s="33"/>
      <c r="R47" s="13">
        <f t="shared" ca="1" si="6"/>
        <v>0</v>
      </c>
      <c r="S47" s="13">
        <f ca="1">ROUNDUP(($M47-$O47-$P47+$R47)*VLOOKUP($B47,Paraméterek!$B$38:$D$39,IF($D$2="Egyszeri",3,2))/12,IF($D$4="Forint",0,2))</f>
        <v>-42</v>
      </c>
      <c r="T47" s="13"/>
      <c r="U47" s="13"/>
      <c r="V47" s="13">
        <f ca="1">$M47-$O47-$P47+$R47-$S47-IF(ROUNDUP(IF(ISBLANK($U47),$T47,$U47)/IF(AND($B47=1,$D$2&lt;&gt;"Egyszeri"),1,VLOOKUP($B47+IF($C47=12,1,0),Paraméterek!$B$257:$D$267,IF($D$2="Egyszeri",3,2))),IF($D$4="Forint",0,2))&gt;$M47-$O47-$P47+$R47-$S47-IF($D$4="Forint",Paraméterek!$C$216,Paraméterek!$D$216),0,ROUNDUP(IF(ISBLANK($U47),$T47,$U47)/IF(AND($B47=1,$D$2&lt;&gt;"Egyszeri"),1,VLOOKUP($B47+IF($C47=12,1,0),Paraméterek!$B$257:$D$267,IF($D$2="Egyszeri",3,2))),IF($D$4="Forint",0,2)))</f>
        <v>-15218</v>
      </c>
      <c r="W47" s="13">
        <f ca="1">ROUNDDOWN($V47*VLOOKUP($B47+IF($C47=12,1,0),Paraméterek!$B$257:$D$267,IF($D$2="Egyszeri",3,2)),IF($D$4="Forint",0,2))</f>
        <v>-14609</v>
      </c>
      <c r="Y47" s="32">
        <v>28</v>
      </c>
      <c r="Z47" s="32">
        <v>3</v>
      </c>
      <c r="AA47" s="32">
        <v>4</v>
      </c>
      <c r="AB47" s="13">
        <f t="shared" si="11"/>
        <v>0</v>
      </c>
      <c r="AC47" s="33"/>
      <c r="AD47" s="13">
        <f t="shared" si="7"/>
        <v>0</v>
      </c>
      <c r="AE47" s="13">
        <f>ROUNDUP(($AB47+$AD47)*VLOOKUP($Z47,Paraméterek!$P$38:$Q$38,2)/12,IF($D$4="Forint",0,2))</f>
        <v>0</v>
      </c>
      <c r="AF47" s="13">
        <f>IF($D$2="Egyszeri",IF($D$7&gt;=IF($D$4="Forint",Paraméterek!$P$223,Paraméterek!$P$224),$D$7-IF($D$4="Forint",Paraméterek!$F$223,Paraméterek!$F$224),0),MIN(IF($AA47=12,AVERAGE($D$20:$D47)*12,0),SUM($D$20:$D$31)))</f>
        <v>0</v>
      </c>
      <c r="AG47" s="13">
        <f>IF(AND($Z47&gt;=10,MOD($Z47,5)=0),$AF47*IF($AA47=12,VLOOKUP($Z47,Paraméterek!$B$225:$F$240,IF($AF47&lt;IF($D$4="Forint",Paraméterek!$C$223,Paraméterek!$C$224),2,IF($AF47&lt;IF($D$4="Forint",Paraméterek!$D$223,Paraméterek!$D$224),3,4))),0),0)</f>
        <v>0</v>
      </c>
      <c r="AH47" s="13">
        <f>IF(AND($Z47&gt;=5,MOD($Z47,5)=0),IF($AA47=12,VLOOKUP($Z47,Paraméterek!$B$225:$F$240,5),0),IF(OR($Z47=3,$Z47=4),IF($AA47=12,VLOOKUP($Z47,Paraméterek!$B$225:$F$240,5,0),0),0))*$AF47</f>
        <v>0</v>
      </c>
      <c r="AI47" s="13">
        <f>ROUNDDOWN(IF(SUM($T$20:$U47)=0,IF($D$2="Egyszeri",$AH47,$AG47),0),IF($D$4="Forint",0,2))</f>
        <v>0</v>
      </c>
      <c r="AJ47" s="13">
        <f t="shared" si="12"/>
        <v>0</v>
      </c>
      <c r="AK47" s="13">
        <f t="shared" si="13"/>
        <v>0</v>
      </c>
      <c r="AM47" s="32">
        <v>28</v>
      </c>
      <c r="AN47" s="32">
        <v>3</v>
      </c>
      <c r="AO47" s="32">
        <v>4</v>
      </c>
      <c r="AP47" s="13"/>
      <c r="AQ47" s="32"/>
      <c r="AR47" s="13">
        <f t="shared" si="14"/>
        <v>0</v>
      </c>
      <c r="AS47" s="33"/>
      <c r="AT47" s="13">
        <f t="shared" si="8"/>
        <v>0</v>
      </c>
      <c r="AU47" s="13">
        <f>ROUNDUP(($AR47+$AT47)*VLOOKUP($AN47,Paraméterek!$P$38:$Q$38,2)/12,IF($D$4="Forint",0,2))</f>
        <v>0</v>
      </c>
      <c r="AV47" s="13"/>
      <c r="AW47" s="13"/>
      <c r="AX47" s="13">
        <f>ROUNDUP(IF(SUM($AV47:$AW47)=0,0,IF(IF(ISBLANK($AW47),$AV47,$AW47)*Paraméterek!$J$112&lt;IF($D$4="Forint",Paraméterek!$J$113,Paraméterek!$K$113),IF($D$4="Forint",Paraméterek!$J$113,Paraméterek!$K$113),IF(IF(ISBLANK($AW47),$AV47,$AW47)*Paraméterek!$J$112&gt;IF($D$4="Forint",Paraméterek!$J$114,Paraméterek!$K$114),IF($D$4="Forint",Paraméterek!$J$114,Paraméterek!$K$114),IF(ISBLANK($AW47),$AV47,$AW47)*Paraméterek!$J$112))),IF($D$4="Forint",0,2))</f>
        <v>0</v>
      </c>
      <c r="AY47" s="13">
        <f>$AR47+$AT47-$AU47-IF(ROUNDDOWN(IF(ISBLANK($AW47),$AV47,$AW47),IF($D$4="Forint",0,2))&gt;$AR47+$AT47-$AU47-IF($D$4="Forint",Paraméterek!$J$114,Paraméterek!$K$114),0,ROUNDDOWN(IF(ISBLANK($AW47),$AV47,$AW47),IF($D$4="Forint",0,2))-$AX47)</f>
        <v>0</v>
      </c>
      <c r="AZ47" s="13">
        <f t="shared" si="9"/>
        <v>0</v>
      </c>
    </row>
    <row r="48" spans="1:52" x14ac:dyDescent="0.2">
      <c r="A48" s="32">
        <v>29</v>
      </c>
      <c r="B48" s="32">
        <v>3</v>
      </c>
      <c r="C48" s="32">
        <v>5</v>
      </c>
      <c r="D48" s="13">
        <f t="shared" si="0"/>
        <v>0</v>
      </c>
      <c r="E48" s="13"/>
      <c r="F48" s="13"/>
      <c r="G48" s="13"/>
      <c r="H48" s="13">
        <f t="shared" si="1"/>
        <v>0</v>
      </c>
      <c r="I48" s="13">
        <f t="shared" si="2"/>
        <v>0</v>
      </c>
      <c r="J48" s="13">
        <f t="shared" si="3"/>
        <v>0</v>
      </c>
      <c r="K48" s="13">
        <f>ROUNDUP(IF($D$2="Egyszeri",$D48,IF($D$2="Havi",SUM($D$20:$D$31),IF(MOD($C48,$M$1)-1=0,SUM($D$20:$D$31),0))/12*$M$1)*VLOOKUP($B48,Paraméterek!$B$27:$D$30,IF($D$2="Egyszeri",3,2)),IF($D$4="Forint",0,2))</f>
        <v>0</v>
      </c>
      <c r="L48" s="13">
        <f t="shared" si="4"/>
        <v>0</v>
      </c>
      <c r="M48" s="13">
        <f t="shared" ca="1" si="10"/>
        <v>-15218</v>
      </c>
      <c r="N48" s="13">
        <f ca="1">IF($V47&gt;=VLOOKUP($M$4-1+$B48,Paraméterek!$B$121:$D$122,IF($D$4="Forint",2,3)),0,VLOOKUP($M$4-1+$B48,Paraméterek!$B$121:$D$122,IF($D$4="Forint",2,3))-$V47)</f>
        <v>25218</v>
      </c>
      <c r="O48" s="13">
        <f ca="1">ROUNDUP($N48*Paraméterek!$C$58/Paraméterek!$C$56,IF($D$4="Forint",0,2))</f>
        <v>5</v>
      </c>
      <c r="P48" s="13">
        <f t="shared" si="5"/>
        <v>584</v>
      </c>
      <c r="Q48" s="33"/>
      <c r="R48" s="13">
        <f t="shared" ca="1" si="6"/>
        <v>0</v>
      </c>
      <c r="S48" s="13">
        <f ca="1">ROUNDUP(($M48-$O48-$P48+$R48)*VLOOKUP($B48,Paraméterek!$B$38:$D$39,IF($D$2="Egyszeri",3,2))/12,IF($D$4="Forint",0,2))</f>
        <v>-43</v>
      </c>
      <c r="T48" s="13"/>
      <c r="U48" s="13"/>
      <c r="V48" s="13">
        <f ca="1">$M48-$O48-$P48+$R48-$S48-IF(ROUNDUP(IF(ISBLANK($U48),$T48,$U48)/IF(AND($B48=1,$D$2&lt;&gt;"Egyszeri"),1,VLOOKUP($B48+IF($C48=12,1,0),Paraméterek!$B$257:$D$267,IF($D$2="Egyszeri",3,2))),IF($D$4="Forint",0,2))&gt;$M48-$O48-$P48+$R48-$S48-IF($D$4="Forint",Paraméterek!$C$216,Paraméterek!$D$216),0,ROUNDUP(IF(ISBLANK($U48),$T48,$U48)/IF(AND($B48=1,$D$2&lt;&gt;"Egyszeri"),1,VLOOKUP($B48+IF($C48=12,1,0),Paraméterek!$B$257:$D$267,IF($D$2="Egyszeri",3,2))),IF($D$4="Forint",0,2)))</f>
        <v>-15764</v>
      </c>
      <c r="W48" s="13">
        <f ca="1">ROUNDDOWN($V48*VLOOKUP($B48+IF($C48=12,1,0),Paraméterek!$B$257:$D$267,IF($D$2="Egyszeri",3,2)),IF($D$4="Forint",0,2))</f>
        <v>-15133</v>
      </c>
      <c r="Y48" s="32">
        <v>29</v>
      </c>
      <c r="Z48" s="32">
        <v>3</v>
      </c>
      <c r="AA48" s="32">
        <v>5</v>
      </c>
      <c r="AB48" s="13">
        <f t="shared" si="11"/>
        <v>0</v>
      </c>
      <c r="AC48" s="33"/>
      <c r="AD48" s="13">
        <f t="shared" si="7"/>
        <v>0</v>
      </c>
      <c r="AE48" s="13">
        <f>ROUNDUP(($AB48+$AD48)*VLOOKUP($Z48,Paraméterek!$P$38:$Q$38,2)/12,IF($D$4="Forint",0,2))</f>
        <v>0</v>
      </c>
      <c r="AF48" s="13">
        <f>IF($D$2="Egyszeri",IF($D$7&gt;=IF($D$4="Forint",Paraméterek!$P$223,Paraméterek!$P$224),$D$7-IF($D$4="Forint",Paraméterek!$F$223,Paraméterek!$F$224),0),MIN(IF($AA48=12,AVERAGE($D$20:$D48)*12,0),SUM($D$20:$D$31)))</f>
        <v>0</v>
      </c>
      <c r="AG48" s="13">
        <f>IF(AND($Z48&gt;=10,MOD($Z48,5)=0),$AF48*IF($AA48=12,VLOOKUP($Z48,Paraméterek!$B$225:$F$240,IF($AF48&lt;IF($D$4="Forint",Paraméterek!$C$223,Paraméterek!$C$224),2,IF($AF48&lt;IF($D$4="Forint",Paraméterek!$D$223,Paraméterek!$D$224),3,4))),0),0)</f>
        <v>0</v>
      </c>
      <c r="AH48" s="13">
        <f>IF(AND($Z48&gt;=5,MOD($Z48,5)=0),IF($AA48=12,VLOOKUP($Z48,Paraméterek!$B$225:$F$240,5),0),IF(OR($Z48=3,$Z48=4),IF($AA48=12,VLOOKUP($Z48,Paraméterek!$B$225:$F$240,5,0),0),0))*$AF48</f>
        <v>0</v>
      </c>
      <c r="AI48" s="13">
        <f>ROUNDDOWN(IF(SUM($T$20:$U48)=0,IF($D$2="Egyszeri",$AH48,$AG48),0),IF($D$4="Forint",0,2))</f>
        <v>0</v>
      </c>
      <c r="AJ48" s="13">
        <f t="shared" si="12"/>
        <v>0</v>
      </c>
      <c r="AK48" s="13">
        <f t="shared" si="13"/>
        <v>0</v>
      </c>
      <c r="AM48" s="32">
        <v>29</v>
      </c>
      <c r="AN48" s="32">
        <v>3</v>
      </c>
      <c r="AO48" s="32">
        <v>5</v>
      </c>
      <c r="AP48" s="13"/>
      <c r="AQ48" s="32"/>
      <c r="AR48" s="13">
        <f t="shared" si="14"/>
        <v>0</v>
      </c>
      <c r="AS48" s="33"/>
      <c r="AT48" s="13">
        <f t="shared" si="8"/>
        <v>0</v>
      </c>
      <c r="AU48" s="13">
        <f>ROUNDUP(($AR48+$AT48)*VLOOKUP($AN48,Paraméterek!$P$38:$Q$38,2)/12,IF($D$4="Forint",0,2))</f>
        <v>0</v>
      </c>
      <c r="AV48" s="13"/>
      <c r="AW48" s="13"/>
      <c r="AX48" s="13">
        <f>ROUNDUP(IF(SUM($AV48:$AW48)=0,0,IF(IF(ISBLANK($AW48),$AV48,$AW48)*Paraméterek!$J$112&lt;IF($D$4="Forint",Paraméterek!$J$113,Paraméterek!$K$113),IF($D$4="Forint",Paraméterek!$J$113,Paraméterek!$K$113),IF(IF(ISBLANK($AW48),$AV48,$AW48)*Paraméterek!$J$112&gt;IF($D$4="Forint",Paraméterek!$J$114,Paraméterek!$K$114),IF($D$4="Forint",Paraméterek!$J$114,Paraméterek!$K$114),IF(ISBLANK($AW48),$AV48,$AW48)*Paraméterek!$J$112))),IF($D$4="Forint",0,2))</f>
        <v>0</v>
      </c>
      <c r="AY48" s="13">
        <f>$AR48+$AT48-$AU48-IF(ROUNDDOWN(IF(ISBLANK($AW48),$AV48,$AW48),IF($D$4="Forint",0,2))&gt;$AR48+$AT48-$AU48-IF($D$4="Forint",Paraméterek!$J$114,Paraméterek!$K$114),0,ROUNDDOWN(IF(ISBLANK($AW48),$AV48,$AW48),IF($D$4="Forint",0,2))-$AX48)</f>
        <v>0</v>
      </c>
      <c r="AZ48" s="13">
        <f t="shared" si="9"/>
        <v>0</v>
      </c>
    </row>
    <row r="49" spans="1:52" x14ac:dyDescent="0.2">
      <c r="A49" s="32">
        <v>30</v>
      </c>
      <c r="B49" s="32">
        <v>3</v>
      </c>
      <c r="C49" s="32">
        <v>6</v>
      </c>
      <c r="D49" s="13">
        <f t="shared" si="0"/>
        <v>0</v>
      </c>
      <c r="E49" s="13"/>
      <c r="F49" s="13"/>
      <c r="G49" s="13"/>
      <c r="H49" s="13">
        <f t="shared" si="1"/>
        <v>0</v>
      </c>
      <c r="I49" s="13">
        <f t="shared" si="2"/>
        <v>0</v>
      </c>
      <c r="J49" s="13">
        <f t="shared" si="3"/>
        <v>0</v>
      </c>
      <c r="K49" s="13">
        <f>ROUNDUP(IF($D$2="Egyszeri",$D49,IF($D$2="Havi",SUM($D$20:$D$31),IF(MOD($C49,$M$1)-1=0,SUM($D$20:$D$31),0))/12*$M$1)*VLOOKUP($B49,Paraméterek!$B$27:$D$30,IF($D$2="Egyszeri",3,2)),IF($D$4="Forint",0,2))</f>
        <v>0</v>
      </c>
      <c r="L49" s="13">
        <f t="shared" si="4"/>
        <v>0</v>
      </c>
      <c r="M49" s="13">
        <f t="shared" ca="1" si="10"/>
        <v>-15764</v>
      </c>
      <c r="N49" s="13">
        <f ca="1">IF($V48&gt;=VLOOKUP($M$4-1+$B49,Paraméterek!$B$121:$D$122,IF($D$4="Forint",2,3)),0,VLOOKUP($M$4-1+$B49,Paraméterek!$B$121:$D$122,IF($D$4="Forint",2,3))-$V48)</f>
        <v>25764</v>
      </c>
      <c r="O49" s="13">
        <f ca="1">ROUNDUP($N49*Paraméterek!$C$58/Paraméterek!$C$56,IF($D$4="Forint",0,2))</f>
        <v>5</v>
      </c>
      <c r="P49" s="13">
        <f t="shared" si="5"/>
        <v>584</v>
      </c>
      <c r="Q49" s="33"/>
      <c r="R49" s="13">
        <f t="shared" ca="1" si="6"/>
        <v>0</v>
      </c>
      <c r="S49" s="13">
        <f ca="1">ROUNDUP(($M49-$O49-$P49+$R49)*VLOOKUP($B49,Paraméterek!$B$38:$D$39,IF($D$2="Egyszeri",3,2))/12,IF($D$4="Forint",0,2))</f>
        <v>-45</v>
      </c>
      <c r="T49" s="13"/>
      <c r="U49" s="13"/>
      <c r="V49" s="13">
        <f ca="1">$M49-$O49-$P49+$R49-$S49-IF(ROUNDUP(IF(ISBLANK($U49),$T49,$U49)/IF(AND($B49=1,$D$2&lt;&gt;"Egyszeri"),1,VLOOKUP($B49+IF($C49=12,1,0),Paraméterek!$B$257:$D$267,IF($D$2="Egyszeri",3,2))),IF($D$4="Forint",0,2))&gt;$M49-$O49-$P49+$R49-$S49-IF($D$4="Forint",Paraméterek!$C$216,Paraméterek!$D$216),0,ROUNDUP(IF(ISBLANK($U49),$T49,$U49)/IF(AND($B49=1,$D$2&lt;&gt;"Egyszeri"),1,VLOOKUP($B49+IF($C49=12,1,0),Paraméterek!$B$257:$D$267,IF($D$2="Egyszeri",3,2))),IF($D$4="Forint",0,2)))</f>
        <v>-16308</v>
      </c>
      <c r="W49" s="13">
        <f ca="1">ROUNDDOWN($V49*VLOOKUP($B49+IF($C49=12,1,0),Paraméterek!$B$257:$D$267,IF($D$2="Egyszeri",3,2)),IF($D$4="Forint",0,2))</f>
        <v>-15655</v>
      </c>
      <c r="Y49" s="32">
        <v>30</v>
      </c>
      <c r="Z49" s="32">
        <v>3</v>
      </c>
      <c r="AA49" s="32">
        <v>6</v>
      </c>
      <c r="AB49" s="13">
        <f t="shared" si="11"/>
        <v>0</v>
      </c>
      <c r="AC49" s="33"/>
      <c r="AD49" s="13">
        <f t="shared" si="7"/>
        <v>0</v>
      </c>
      <c r="AE49" s="13">
        <f>ROUNDUP(($AB49+$AD49)*VLOOKUP($Z49,Paraméterek!$P$38:$Q$38,2)/12,IF($D$4="Forint",0,2))</f>
        <v>0</v>
      </c>
      <c r="AF49" s="13">
        <f>IF($D$2="Egyszeri",IF($D$7&gt;=IF($D$4="Forint",Paraméterek!$P$223,Paraméterek!$P$224),$D$7-IF($D$4="Forint",Paraméterek!$F$223,Paraméterek!$F$224),0),MIN(IF($AA49=12,AVERAGE($D$20:$D49)*12,0),SUM($D$20:$D$31)))</f>
        <v>0</v>
      </c>
      <c r="AG49" s="13">
        <f>IF(AND($Z49&gt;=10,MOD($Z49,5)=0),$AF49*IF($AA49=12,VLOOKUP($Z49,Paraméterek!$B$225:$F$240,IF($AF49&lt;IF($D$4="Forint",Paraméterek!$C$223,Paraméterek!$C$224),2,IF($AF49&lt;IF($D$4="Forint",Paraméterek!$D$223,Paraméterek!$D$224),3,4))),0),0)</f>
        <v>0</v>
      </c>
      <c r="AH49" s="13">
        <f>IF(AND($Z49&gt;=5,MOD($Z49,5)=0),IF($AA49=12,VLOOKUP($Z49,Paraméterek!$B$225:$F$240,5),0),IF(OR($Z49=3,$Z49=4),IF($AA49=12,VLOOKUP($Z49,Paraméterek!$B$225:$F$240,5,0),0),0))*$AF49</f>
        <v>0</v>
      </c>
      <c r="AI49" s="13">
        <f>ROUNDDOWN(IF(SUM($T$20:$U49)=0,IF($D$2="Egyszeri",$AH49,$AG49),0),IF($D$4="Forint",0,2))</f>
        <v>0</v>
      </c>
      <c r="AJ49" s="13">
        <f t="shared" si="12"/>
        <v>0</v>
      </c>
      <c r="AK49" s="13">
        <f t="shared" si="13"/>
        <v>0</v>
      </c>
      <c r="AM49" s="32">
        <v>30</v>
      </c>
      <c r="AN49" s="32">
        <v>3</v>
      </c>
      <c r="AO49" s="32">
        <v>6</v>
      </c>
      <c r="AP49" s="13"/>
      <c r="AQ49" s="32"/>
      <c r="AR49" s="13">
        <f t="shared" si="14"/>
        <v>0</v>
      </c>
      <c r="AS49" s="33"/>
      <c r="AT49" s="13">
        <f t="shared" si="8"/>
        <v>0</v>
      </c>
      <c r="AU49" s="13">
        <f>ROUNDUP(($AR49+$AT49)*VLOOKUP($AN49,Paraméterek!$P$38:$Q$38,2)/12,IF($D$4="Forint",0,2))</f>
        <v>0</v>
      </c>
      <c r="AV49" s="13"/>
      <c r="AW49" s="13"/>
      <c r="AX49" s="13">
        <f>ROUNDUP(IF(SUM($AV49:$AW49)=0,0,IF(IF(ISBLANK($AW49),$AV49,$AW49)*Paraméterek!$J$112&lt;IF($D$4="Forint",Paraméterek!$J$113,Paraméterek!$K$113),IF($D$4="Forint",Paraméterek!$J$113,Paraméterek!$K$113),IF(IF(ISBLANK($AW49),$AV49,$AW49)*Paraméterek!$J$112&gt;IF($D$4="Forint",Paraméterek!$J$114,Paraméterek!$K$114),IF($D$4="Forint",Paraméterek!$J$114,Paraméterek!$K$114),IF(ISBLANK($AW49),$AV49,$AW49)*Paraméterek!$J$112))),IF($D$4="Forint",0,2))</f>
        <v>0</v>
      </c>
      <c r="AY49" s="13">
        <f>$AR49+$AT49-$AU49-IF(ROUNDDOWN(IF(ISBLANK($AW49),$AV49,$AW49),IF($D$4="Forint",0,2))&gt;$AR49+$AT49-$AU49-IF($D$4="Forint",Paraméterek!$J$114,Paraméterek!$K$114),0,ROUNDDOWN(IF(ISBLANK($AW49),$AV49,$AW49),IF($D$4="Forint",0,2))-$AX49)</f>
        <v>0</v>
      </c>
      <c r="AZ49" s="13">
        <f t="shared" si="9"/>
        <v>0</v>
      </c>
    </row>
    <row r="50" spans="1:52" x14ac:dyDescent="0.2">
      <c r="A50" s="32">
        <v>31</v>
      </c>
      <c r="B50" s="32">
        <v>3</v>
      </c>
      <c r="C50" s="32">
        <v>7</v>
      </c>
      <c r="D50" s="13">
        <f t="shared" si="0"/>
        <v>0</v>
      </c>
      <c r="E50" s="13"/>
      <c r="F50" s="13"/>
      <c r="G50" s="13"/>
      <c r="H50" s="13">
        <f t="shared" si="1"/>
        <v>0</v>
      </c>
      <c r="I50" s="13">
        <f t="shared" si="2"/>
        <v>0</v>
      </c>
      <c r="J50" s="13">
        <f t="shared" si="3"/>
        <v>0</v>
      </c>
      <c r="K50" s="13">
        <f>ROUNDUP(IF($D$2="Egyszeri",$D50,IF($D$2="Havi",SUM($D$20:$D$31),IF(MOD($C50,$M$1)-1=0,SUM($D$20:$D$31),0))/12*$M$1)*VLOOKUP($B50,Paraméterek!$B$27:$D$30,IF($D$2="Egyszeri",3,2)),IF($D$4="Forint",0,2))</f>
        <v>0</v>
      </c>
      <c r="L50" s="13">
        <f t="shared" si="4"/>
        <v>0</v>
      </c>
      <c r="M50" s="13">
        <f t="shared" ca="1" si="10"/>
        <v>-16308</v>
      </c>
      <c r="N50" s="13">
        <f ca="1">IF($V49&gt;=VLOOKUP($M$4-1+$B50,Paraméterek!$B$121:$D$122,IF($D$4="Forint",2,3)),0,VLOOKUP($M$4-1+$B50,Paraméterek!$B$121:$D$122,IF($D$4="Forint",2,3))-$V49)</f>
        <v>26308</v>
      </c>
      <c r="O50" s="13">
        <f ca="1">ROUNDUP($N50*Paraméterek!$C$58/Paraméterek!$C$56,IF($D$4="Forint",0,2))</f>
        <v>5</v>
      </c>
      <c r="P50" s="13">
        <f t="shared" si="5"/>
        <v>584</v>
      </c>
      <c r="Q50" s="33"/>
      <c r="R50" s="13">
        <f t="shared" ca="1" si="6"/>
        <v>0</v>
      </c>
      <c r="S50" s="13">
        <f ca="1">ROUNDUP(($M50-$O50-$P50+$R50)*VLOOKUP($B50,Paraméterek!$B$38:$D$39,IF($D$2="Egyszeri",3,2))/12,IF($D$4="Forint",0,2))</f>
        <v>-46</v>
      </c>
      <c r="T50" s="13"/>
      <c r="U50" s="13"/>
      <c r="V50" s="13">
        <f ca="1">$M50-$O50-$P50+$R50-$S50-IF(ROUNDUP(IF(ISBLANK($U50),$T50,$U50)/IF(AND($B50=1,$D$2&lt;&gt;"Egyszeri"),1,VLOOKUP($B50+IF($C50=12,1,0),Paraméterek!$B$257:$D$267,IF($D$2="Egyszeri",3,2))),IF($D$4="Forint",0,2))&gt;$M50-$O50-$P50+$R50-$S50-IF($D$4="Forint",Paraméterek!$C$216,Paraméterek!$D$216),0,ROUNDUP(IF(ISBLANK($U50),$T50,$U50)/IF(AND($B50=1,$D$2&lt;&gt;"Egyszeri"),1,VLOOKUP($B50+IF($C50=12,1,0),Paraméterek!$B$257:$D$267,IF($D$2="Egyszeri",3,2))),IF($D$4="Forint",0,2)))</f>
        <v>-16851</v>
      </c>
      <c r="W50" s="13">
        <f ca="1">ROUNDDOWN($V50*VLOOKUP($B50+IF($C50=12,1,0),Paraméterek!$B$257:$D$267,IF($D$2="Egyszeri",3,2)),IF($D$4="Forint",0,2))</f>
        <v>-16176</v>
      </c>
      <c r="Y50" s="32">
        <v>31</v>
      </c>
      <c r="Z50" s="32">
        <v>3</v>
      </c>
      <c r="AA50" s="32">
        <v>7</v>
      </c>
      <c r="AB50" s="13">
        <f t="shared" si="11"/>
        <v>0</v>
      </c>
      <c r="AC50" s="33"/>
      <c r="AD50" s="13">
        <f t="shared" si="7"/>
        <v>0</v>
      </c>
      <c r="AE50" s="13">
        <f>ROUNDUP(($AB50+$AD50)*VLOOKUP($Z50,Paraméterek!$P$38:$Q$38,2)/12,IF($D$4="Forint",0,2))</f>
        <v>0</v>
      </c>
      <c r="AF50" s="13">
        <f>IF($D$2="Egyszeri",IF($D$7&gt;=IF($D$4="Forint",Paraméterek!$P$223,Paraméterek!$P$224),$D$7-IF($D$4="Forint",Paraméterek!$F$223,Paraméterek!$F$224),0),MIN(IF($AA50=12,AVERAGE($D$20:$D50)*12,0),SUM($D$20:$D$31)))</f>
        <v>0</v>
      </c>
      <c r="AG50" s="13">
        <f>IF(AND($Z50&gt;=10,MOD($Z50,5)=0),$AF50*IF($AA50=12,VLOOKUP($Z50,Paraméterek!$B$225:$F$240,IF($AF50&lt;IF($D$4="Forint",Paraméterek!$C$223,Paraméterek!$C$224),2,IF($AF50&lt;IF($D$4="Forint",Paraméterek!$D$223,Paraméterek!$D$224),3,4))),0),0)</f>
        <v>0</v>
      </c>
      <c r="AH50" s="13">
        <f>IF(AND($Z50&gt;=5,MOD($Z50,5)=0),IF($AA50=12,VLOOKUP($Z50,Paraméterek!$B$225:$F$240,5),0),IF(OR($Z50=3,$Z50=4),IF($AA50=12,VLOOKUP($Z50,Paraméterek!$B$225:$F$240,5,0),0),0))*$AF50</f>
        <v>0</v>
      </c>
      <c r="AI50" s="13">
        <f>ROUNDDOWN(IF(SUM($T$20:$U50)=0,IF($D$2="Egyszeri",$AH50,$AG50),0),IF($D$4="Forint",0,2))</f>
        <v>0</v>
      </c>
      <c r="AJ50" s="13">
        <f t="shared" si="12"/>
        <v>0</v>
      </c>
      <c r="AK50" s="13">
        <f t="shared" si="13"/>
        <v>0</v>
      </c>
      <c r="AM50" s="32">
        <v>31</v>
      </c>
      <c r="AN50" s="32">
        <v>3</v>
      </c>
      <c r="AO50" s="32">
        <v>7</v>
      </c>
      <c r="AP50" s="13"/>
      <c r="AQ50" s="32"/>
      <c r="AR50" s="13">
        <f t="shared" si="14"/>
        <v>0</v>
      </c>
      <c r="AS50" s="33"/>
      <c r="AT50" s="13">
        <f t="shared" si="8"/>
        <v>0</v>
      </c>
      <c r="AU50" s="13">
        <f>ROUNDUP(($AR50+$AT50)*VLOOKUP($AN50,Paraméterek!$P$38:$Q$38,2)/12,IF($D$4="Forint",0,2))</f>
        <v>0</v>
      </c>
      <c r="AV50" s="13"/>
      <c r="AW50" s="13"/>
      <c r="AX50" s="13">
        <f>ROUNDUP(IF(SUM($AV50:$AW50)=0,0,IF(IF(ISBLANK($AW50),$AV50,$AW50)*Paraméterek!$J$112&lt;IF($D$4="Forint",Paraméterek!$J$113,Paraméterek!$K$113),IF($D$4="Forint",Paraméterek!$J$113,Paraméterek!$K$113),IF(IF(ISBLANK($AW50),$AV50,$AW50)*Paraméterek!$J$112&gt;IF($D$4="Forint",Paraméterek!$J$114,Paraméterek!$K$114),IF($D$4="Forint",Paraméterek!$J$114,Paraméterek!$K$114),IF(ISBLANK($AW50),$AV50,$AW50)*Paraméterek!$J$112))),IF($D$4="Forint",0,2))</f>
        <v>0</v>
      </c>
      <c r="AY50" s="13">
        <f>$AR50+$AT50-$AU50-IF(ROUNDDOWN(IF(ISBLANK($AW50),$AV50,$AW50),IF($D$4="Forint",0,2))&gt;$AR50+$AT50-$AU50-IF($D$4="Forint",Paraméterek!$J$114,Paraméterek!$K$114),0,ROUNDDOWN(IF(ISBLANK($AW50),$AV50,$AW50),IF($D$4="Forint",0,2))-$AX50)</f>
        <v>0</v>
      </c>
      <c r="AZ50" s="13">
        <f t="shared" si="9"/>
        <v>0</v>
      </c>
    </row>
    <row r="51" spans="1:52" x14ac:dyDescent="0.2">
      <c r="A51" s="32">
        <v>32</v>
      </c>
      <c r="B51" s="32">
        <v>3</v>
      </c>
      <c r="C51" s="32">
        <v>8</v>
      </c>
      <c r="D51" s="13">
        <f t="shared" si="0"/>
        <v>0</v>
      </c>
      <c r="E51" s="13"/>
      <c r="F51" s="13"/>
      <c r="G51" s="13"/>
      <c r="H51" s="13">
        <f t="shared" si="1"/>
        <v>0</v>
      </c>
      <c r="I51" s="13">
        <f t="shared" si="2"/>
        <v>0</v>
      </c>
      <c r="J51" s="13">
        <f t="shared" si="3"/>
        <v>0</v>
      </c>
      <c r="K51" s="13">
        <f>ROUNDUP(IF($D$2="Egyszeri",$D51,IF($D$2="Havi",SUM($D$20:$D$31),IF(MOD($C51,$M$1)-1=0,SUM($D$20:$D$31),0))/12*$M$1)*VLOOKUP($B51,Paraméterek!$B$27:$D$30,IF($D$2="Egyszeri",3,2)),IF($D$4="Forint",0,2))</f>
        <v>0</v>
      </c>
      <c r="L51" s="13">
        <f t="shared" si="4"/>
        <v>0</v>
      </c>
      <c r="M51" s="13">
        <f t="shared" ca="1" si="10"/>
        <v>-16851</v>
      </c>
      <c r="N51" s="13">
        <f ca="1">IF($V50&gt;=VLOOKUP($M$4-1+$B51,Paraméterek!$B$121:$D$122,IF($D$4="Forint",2,3)),0,VLOOKUP($M$4-1+$B51,Paraméterek!$B$121:$D$122,IF($D$4="Forint",2,3))-$V50)</f>
        <v>26851</v>
      </c>
      <c r="O51" s="13">
        <f ca="1">ROUNDUP($N51*Paraméterek!$C$58/Paraméterek!$C$56,IF($D$4="Forint",0,2))</f>
        <v>5</v>
      </c>
      <c r="P51" s="13">
        <f t="shared" si="5"/>
        <v>584</v>
      </c>
      <c r="Q51" s="33"/>
      <c r="R51" s="13">
        <f t="shared" ca="1" si="6"/>
        <v>0</v>
      </c>
      <c r="S51" s="13">
        <f ca="1">ROUNDUP(($M51-$O51-$P51+$R51)*VLOOKUP($B51,Paraméterek!$B$38:$D$39,IF($D$2="Egyszeri",3,2))/12,IF($D$4="Forint",0,2))</f>
        <v>-48</v>
      </c>
      <c r="T51" s="13"/>
      <c r="U51" s="13"/>
      <c r="V51" s="13">
        <f ca="1">$M51-$O51-$P51+$R51-$S51-IF(ROUNDUP(IF(ISBLANK($U51),$T51,$U51)/IF(AND($B51=1,$D$2&lt;&gt;"Egyszeri"),1,VLOOKUP($B51+IF($C51=12,1,0),Paraméterek!$B$257:$D$267,IF($D$2="Egyszeri",3,2))),IF($D$4="Forint",0,2))&gt;$M51-$O51-$P51+$R51-$S51-IF($D$4="Forint",Paraméterek!$C$216,Paraméterek!$D$216),0,ROUNDUP(IF(ISBLANK($U51),$T51,$U51)/IF(AND($B51=1,$D$2&lt;&gt;"Egyszeri"),1,VLOOKUP($B51+IF($C51=12,1,0),Paraméterek!$B$257:$D$267,IF($D$2="Egyszeri",3,2))),IF($D$4="Forint",0,2)))</f>
        <v>-17392</v>
      </c>
      <c r="W51" s="13">
        <f ca="1">ROUNDDOWN($V51*VLOOKUP($B51+IF($C51=12,1,0),Paraméterek!$B$257:$D$267,IF($D$2="Egyszeri",3,2)),IF($D$4="Forint",0,2))</f>
        <v>-16696</v>
      </c>
      <c r="Y51" s="32">
        <v>32</v>
      </c>
      <c r="Z51" s="32">
        <v>3</v>
      </c>
      <c r="AA51" s="32">
        <v>8</v>
      </c>
      <c r="AB51" s="13">
        <f t="shared" si="11"/>
        <v>0</v>
      </c>
      <c r="AC51" s="33"/>
      <c r="AD51" s="13">
        <f t="shared" si="7"/>
        <v>0</v>
      </c>
      <c r="AE51" s="13">
        <f>ROUNDUP(($AB51+$AD51)*VLOOKUP($Z51,Paraméterek!$P$38:$Q$38,2)/12,IF($D$4="Forint",0,2))</f>
        <v>0</v>
      </c>
      <c r="AF51" s="13">
        <f>IF($D$2="Egyszeri",IF($D$7&gt;=IF($D$4="Forint",Paraméterek!$P$223,Paraméterek!$P$224),$D$7-IF($D$4="Forint",Paraméterek!$F$223,Paraméterek!$F$224),0),MIN(IF($AA51=12,AVERAGE($D$20:$D51)*12,0),SUM($D$20:$D$31)))</f>
        <v>0</v>
      </c>
      <c r="AG51" s="13">
        <f>IF(AND($Z51&gt;=10,MOD($Z51,5)=0),$AF51*IF($AA51=12,VLOOKUP($Z51,Paraméterek!$B$225:$F$240,IF($AF51&lt;IF($D$4="Forint",Paraméterek!$C$223,Paraméterek!$C$224),2,IF($AF51&lt;IF($D$4="Forint",Paraméterek!$D$223,Paraméterek!$D$224),3,4))),0),0)</f>
        <v>0</v>
      </c>
      <c r="AH51" s="13">
        <f>IF(AND($Z51&gt;=5,MOD($Z51,5)=0),IF($AA51=12,VLOOKUP($Z51,Paraméterek!$B$225:$F$240,5),0),IF(OR($Z51=3,$Z51=4),IF($AA51=12,VLOOKUP($Z51,Paraméterek!$B$225:$F$240,5,0),0),0))*$AF51</f>
        <v>0</v>
      </c>
      <c r="AI51" s="13">
        <f>ROUNDDOWN(IF(SUM($T$20:$U51)=0,IF($D$2="Egyszeri",$AH51,$AG51),0),IF($D$4="Forint",0,2))</f>
        <v>0</v>
      </c>
      <c r="AJ51" s="13">
        <f t="shared" si="12"/>
        <v>0</v>
      </c>
      <c r="AK51" s="13">
        <f t="shared" si="13"/>
        <v>0</v>
      </c>
      <c r="AM51" s="32">
        <v>32</v>
      </c>
      <c r="AN51" s="32">
        <v>3</v>
      </c>
      <c r="AO51" s="32">
        <v>8</v>
      </c>
      <c r="AP51" s="13"/>
      <c r="AQ51" s="32"/>
      <c r="AR51" s="13">
        <f t="shared" si="14"/>
        <v>0</v>
      </c>
      <c r="AS51" s="33"/>
      <c r="AT51" s="13">
        <f t="shared" si="8"/>
        <v>0</v>
      </c>
      <c r="AU51" s="13">
        <f>ROUNDUP(($AR51+$AT51)*VLOOKUP($AN51,Paraméterek!$P$38:$Q$38,2)/12,IF($D$4="Forint",0,2))</f>
        <v>0</v>
      </c>
      <c r="AV51" s="13"/>
      <c r="AW51" s="13"/>
      <c r="AX51" s="13">
        <f>ROUNDUP(IF(SUM($AV51:$AW51)=0,0,IF(IF(ISBLANK($AW51),$AV51,$AW51)*Paraméterek!$J$112&lt;IF($D$4="Forint",Paraméterek!$J$113,Paraméterek!$K$113),IF($D$4="Forint",Paraméterek!$J$113,Paraméterek!$K$113),IF(IF(ISBLANK($AW51),$AV51,$AW51)*Paraméterek!$J$112&gt;IF($D$4="Forint",Paraméterek!$J$114,Paraméterek!$K$114),IF($D$4="Forint",Paraméterek!$J$114,Paraméterek!$K$114),IF(ISBLANK($AW51),$AV51,$AW51)*Paraméterek!$J$112))),IF($D$4="Forint",0,2))</f>
        <v>0</v>
      </c>
      <c r="AY51" s="13">
        <f>$AR51+$AT51-$AU51-IF(ROUNDDOWN(IF(ISBLANK($AW51),$AV51,$AW51),IF($D$4="Forint",0,2))&gt;$AR51+$AT51-$AU51-IF($D$4="Forint",Paraméterek!$J$114,Paraméterek!$K$114),0,ROUNDDOWN(IF(ISBLANK($AW51),$AV51,$AW51),IF($D$4="Forint",0,2))-$AX51)</f>
        <v>0</v>
      </c>
      <c r="AZ51" s="13">
        <f t="shared" si="9"/>
        <v>0</v>
      </c>
    </row>
    <row r="52" spans="1:52" x14ac:dyDescent="0.2">
      <c r="A52" s="32">
        <v>33</v>
      </c>
      <c r="B52" s="32">
        <v>3</v>
      </c>
      <c r="C52" s="32">
        <v>9</v>
      </c>
      <c r="D52" s="13">
        <f t="shared" si="0"/>
        <v>0</v>
      </c>
      <c r="E52" s="13"/>
      <c r="F52" s="13"/>
      <c r="G52" s="13"/>
      <c r="H52" s="13">
        <f t="shared" si="1"/>
        <v>0</v>
      </c>
      <c r="I52" s="13">
        <f t="shared" si="2"/>
        <v>0</v>
      </c>
      <c r="J52" s="13">
        <f t="shared" si="3"/>
        <v>0</v>
      </c>
      <c r="K52" s="13">
        <f>ROUNDUP(IF($D$2="Egyszeri",$D52,IF($D$2="Havi",SUM($D$20:$D$31),IF(MOD($C52,$M$1)-1=0,SUM($D$20:$D$31),0))/12*$M$1)*VLOOKUP($B52,Paraméterek!$B$27:$D$30,IF($D$2="Egyszeri",3,2)),IF($D$4="Forint",0,2))</f>
        <v>0</v>
      </c>
      <c r="L52" s="13">
        <f t="shared" si="4"/>
        <v>0</v>
      </c>
      <c r="M52" s="13">
        <f t="shared" ca="1" si="10"/>
        <v>-17392</v>
      </c>
      <c r="N52" s="13">
        <f ca="1">IF($V51&gt;=VLOOKUP($M$4-1+$B52,Paraméterek!$B$121:$D$122,IF($D$4="Forint",2,3)),0,VLOOKUP($M$4-1+$B52,Paraméterek!$B$121:$D$122,IF($D$4="Forint",2,3))-$V51)</f>
        <v>27392</v>
      </c>
      <c r="O52" s="13">
        <f ca="1">ROUNDUP($N52*Paraméterek!$C$58/Paraméterek!$C$56,IF($D$4="Forint",0,2))</f>
        <v>5</v>
      </c>
      <c r="P52" s="13">
        <f t="shared" si="5"/>
        <v>584</v>
      </c>
      <c r="Q52" s="33"/>
      <c r="R52" s="13">
        <f t="shared" ca="1" si="6"/>
        <v>0</v>
      </c>
      <c r="S52" s="13">
        <f ca="1">ROUNDUP(($M52-$O52-$P52+$R52)*VLOOKUP($B52,Paraméterek!$B$38:$D$39,IF($D$2="Egyszeri",3,2))/12,IF($D$4="Forint",0,2))</f>
        <v>-49</v>
      </c>
      <c r="T52" s="13"/>
      <c r="U52" s="13"/>
      <c r="V52" s="13">
        <f ca="1">$M52-$O52-$P52+$R52-$S52-IF(ROUNDUP(IF(ISBLANK($U52),$T52,$U52)/IF(AND($B52=1,$D$2&lt;&gt;"Egyszeri"),1,VLOOKUP($B52+IF($C52=12,1,0),Paraméterek!$B$257:$D$267,IF($D$2="Egyszeri",3,2))),IF($D$4="Forint",0,2))&gt;$M52-$O52-$P52+$R52-$S52-IF($D$4="Forint",Paraméterek!$C$216,Paraméterek!$D$216),0,ROUNDUP(IF(ISBLANK($U52),$T52,$U52)/IF(AND($B52=1,$D$2&lt;&gt;"Egyszeri"),1,VLOOKUP($B52+IF($C52=12,1,0),Paraméterek!$B$257:$D$267,IF($D$2="Egyszeri",3,2))),IF($D$4="Forint",0,2)))</f>
        <v>-17932</v>
      </c>
      <c r="W52" s="13">
        <f ca="1">ROUNDDOWN($V52*VLOOKUP($B52+IF($C52=12,1,0),Paraméterek!$B$257:$D$267,IF($D$2="Egyszeri",3,2)),IF($D$4="Forint",0,2))</f>
        <v>-17214</v>
      </c>
      <c r="Y52" s="32">
        <v>33</v>
      </c>
      <c r="Z52" s="32">
        <v>3</v>
      </c>
      <c r="AA52" s="32">
        <v>9</v>
      </c>
      <c r="AB52" s="13">
        <f t="shared" si="11"/>
        <v>0</v>
      </c>
      <c r="AC52" s="33"/>
      <c r="AD52" s="13">
        <f t="shared" si="7"/>
        <v>0</v>
      </c>
      <c r="AE52" s="13">
        <f>ROUNDUP(($AB52+$AD52)*VLOOKUP($Z52,Paraméterek!$P$38:$Q$38,2)/12,IF($D$4="Forint",0,2))</f>
        <v>0</v>
      </c>
      <c r="AF52" s="13">
        <f>IF($D$2="Egyszeri",IF($D$7&gt;=IF($D$4="Forint",Paraméterek!$P$223,Paraméterek!$P$224),$D$7-IF($D$4="Forint",Paraméterek!$F$223,Paraméterek!$F$224),0),MIN(IF($AA52=12,AVERAGE($D$20:$D52)*12,0),SUM($D$20:$D$31)))</f>
        <v>0</v>
      </c>
      <c r="AG52" s="13">
        <f>IF(AND($Z52&gt;=10,MOD($Z52,5)=0),$AF52*IF($AA52=12,VLOOKUP($Z52,Paraméterek!$B$225:$F$240,IF($AF52&lt;IF($D$4="Forint",Paraméterek!$C$223,Paraméterek!$C$224),2,IF($AF52&lt;IF($D$4="Forint",Paraméterek!$D$223,Paraméterek!$D$224),3,4))),0),0)</f>
        <v>0</v>
      </c>
      <c r="AH52" s="13">
        <f>IF(AND($Z52&gt;=5,MOD($Z52,5)=0),IF($AA52=12,VLOOKUP($Z52,Paraméterek!$B$225:$F$240,5),0),IF(OR($Z52=3,$Z52=4),IF($AA52=12,VLOOKUP($Z52,Paraméterek!$B$225:$F$240,5,0),0),0))*$AF52</f>
        <v>0</v>
      </c>
      <c r="AI52" s="13">
        <f>ROUNDDOWN(IF(SUM($T$20:$U52)=0,IF($D$2="Egyszeri",$AH52,$AG52),0),IF($D$4="Forint",0,2))</f>
        <v>0</v>
      </c>
      <c r="AJ52" s="13">
        <f t="shared" si="12"/>
        <v>0</v>
      </c>
      <c r="AK52" s="13">
        <f t="shared" si="13"/>
        <v>0</v>
      </c>
      <c r="AM52" s="32">
        <v>33</v>
      </c>
      <c r="AN52" s="32">
        <v>3</v>
      </c>
      <c r="AO52" s="32">
        <v>9</v>
      </c>
      <c r="AP52" s="13"/>
      <c r="AQ52" s="32"/>
      <c r="AR52" s="13">
        <f t="shared" si="14"/>
        <v>0</v>
      </c>
      <c r="AS52" s="33"/>
      <c r="AT52" s="13">
        <f t="shared" si="8"/>
        <v>0</v>
      </c>
      <c r="AU52" s="13">
        <f>ROUNDUP(($AR52+$AT52)*VLOOKUP($AN52,Paraméterek!$P$38:$Q$38,2)/12,IF($D$4="Forint",0,2))</f>
        <v>0</v>
      </c>
      <c r="AV52" s="13"/>
      <c r="AW52" s="13"/>
      <c r="AX52" s="13">
        <f>ROUNDUP(IF(SUM($AV52:$AW52)=0,0,IF(IF(ISBLANK($AW52),$AV52,$AW52)*Paraméterek!$J$112&lt;IF($D$4="Forint",Paraméterek!$J$113,Paraméterek!$K$113),IF($D$4="Forint",Paraméterek!$J$113,Paraméterek!$K$113),IF(IF(ISBLANK($AW52),$AV52,$AW52)*Paraméterek!$J$112&gt;IF($D$4="Forint",Paraméterek!$J$114,Paraméterek!$K$114),IF($D$4="Forint",Paraméterek!$J$114,Paraméterek!$K$114),IF(ISBLANK($AW52),$AV52,$AW52)*Paraméterek!$J$112))),IF($D$4="Forint",0,2))</f>
        <v>0</v>
      </c>
      <c r="AY52" s="13">
        <f>$AR52+$AT52-$AU52-IF(ROUNDDOWN(IF(ISBLANK($AW52),$AV52,$AW52),IF($D$4="Forint",0,2))&gt;$AR52+$AT52-$AU52-IF($D$4="Forint",Paraméterek!$J$114,Paraméterek!$K$114),0,ROUNDDOWN(IF(ISBLANK($AW52),$AV52,$AW52),IF($D$4="Forint",0,2))-$AX52)</f>
        <v>0</v>
      </c>
      <c r="AZ52" s="13">
        <f t="shared" si="9"/>
        <v>0</v>
      </c>
    </row>
    <row r="53" spans="1:52" x14ac:dyDescent="0.2">
      <c r="A53" s="32">
        <v>34</v>
      </c>
      <c r="B53" s="32">
        <v>3</v>
      </c>
      <c r="C53" s="32">
        <v>10</v>
      </c>
      <c r="D53" s="13">
        <f t="shared" si="0"/>
        <v>0</v>
      </c>
      <c r="E53" s="13"/>
      <c r="F53" s="13"/>
      <c r="G53" s="13"/>
      <c r="H53" s="13">
        <f t="shared" si="1"/>
        <v>0</v>
      </c>
      <c r="I53" s="13">
        <f t="shared" si="2"/>
        <v>0</v>
      </c>
      <c r="J53" s="13">
        <f t="shared" si="3"/>
        <v>0</v>
      </c>
      <c r="K53" s="13">
        <f>ROUNDUP(IF($D$2="Egyszeri",$D53,IF($D$2="Havi",SUM($D$20:$D$31),IF(MOD($C53,$M$1)-1=0,SUM($D$20:$D$31),0))/12*$M$1)*VLOOKUP($B53,Paraméterek!$B$27:$D$30,IF($D$2="Egyszeri",3,2)),IF($D$4="Forint",0,2))</f>
        <v>0</v>
      </c>
      <c r="L53" s="13">
        <f t="shared" si="4"/>
        <v>0</v>
      </c>
      <c r="M53" s="13">
        <f t="shared" ca="1" si="10"/>
        <v>-17932</v>
      </c>
      <c r="N53" s="13">
        <f ca="1">IF($V52&gt;=VLOOKUP($M$4-1+$B53,Paraméterek!$B$121:$D$122,IF($D$4="Forint",2,3)),0,VLOOKUP($M$4-1+$B53,Paraméterek!$B$121:$D$122,IF($D$4="Forint",2,3))-$V52)</f>
        <v>27932</v>
      </c>
      <c r="O53" s="13">
        <f ca="1">ROUNDUP($N53*Paraméterek!$C$58/Paraméterek!$C$56,IF($D$4="Forint",0,2))</f>
        <v>5</v>
      </c>
      <c r="P53" s="13">
        <f t="shared" si="5"/>
        <v>584</v>
      </c>
      <c r="Q53" s="33"/>
      <c r="R53" s="13">
        <f t="shared" ca="1" si="6"/>
        <v>0</v>
      </c>
      <c r="S53" s="13">
        <f ca="1">ROUNDUP(($M53-$O53-$P53+$R53)*VLOOKUP($B53,Paraméterek!$B$38:$D$39,IF($D$2="Egyszeri",3,2))/12,IF($D$4="Forint",0,2))</f>
        <v>-51</v>
      </c>
      <c r="T53" s="13"/>
      <c r="U53" s="13"/>
      <c r="V53" s="13">
        <f ca="1">$M53-$O53-$P53+$R53-$S53-IF(ROUNDUP(IF(ISBLANK($U53),$T53,$U53)/IF(AND($B53=1,$D$2&lt;&gt;"Egyszeri"),1,VLOOKUP($B53+IF($C53=12,1,0),Paraméterek!$B$257:$D$267,IF($D$2="Egyszeri",3,2))),IF($D$4="Forint",0,2))&gt;$M53-$O53-$P53+$R53-$S53-IF($D$4="Forint",Paraméterek!$C$216,Paraméterek!$D$216),0,ROUNDUP(IF(ISBLANK($U53),$T53,$U53)/IF(AND($B53=1,$D$2&lt;&gt;"Egyszeri"),1,VLOOKUP($B53+IF($C53=12,1,0),Paraméterek!$B$257:$D$267,IF($D$2="Egyszeri",3,2))),IF($D$4="Forint",0,2)))</f>
        <v>-18470</v>
      </c>
      <c r="W53" s="13">
        <f ca="1">ROUNDDOWN($V53*VLOOKUP($B53+IF($C53=12,1,0),Paraméterek!$B$257:$D$267,IF($D$2="Egyszeri",3,2)),IF($D$4="Forint",0,2))</f>
        <v>-17731</v>
      </c>
      <c r="Y53" s="32">
        <v>34</v>
      </c>
      <c r="Z53" s="32">
        <v>3</v>
      </c>
      <c r="AA53" s="32">
        <v>10</v>
      </c>
      <c r="AB53" s="13">
        <f t="shared" si="11"/>
        <v>0</v>
      </c>
      <c r="AC53" s="33"/>
      <c r="AD53" s="13">
        <f t="shared" si="7"/>
        <v>0</v>
      </c>
      <c r="AE53" s="13">
        <f>ROUNDUP(($AB53+$AD53)*VLOOKUP($Z53,Paraméterek!$P$38:$Q$38,2)/12,IF($D$4="Forint",0,2))</f>
        <v>0</v>
      </c>
      <c r="AF53" s="13">
        <f>IF($D$2="Egyszeri",IF($D$7&gt;=IF($D$4="Forint",Paraméterek!$P$223,Paraméterek!$P$224),$D$7-IF($D$4="Forint",Paraméterek!$F$223,Paraméterek!$F$224),0),MIN(IF($AA53=12,AVERAGE($D$20:$D53)*12,0),SUM($D$20:$D$31)))</f>
        <v>0</v>
      </c>
      <c r="AG53" s="13">
        <f>IF(AND($Z53&gt;=10,MOD($Z53,5)=0),$AF53*IF($AA53=12,VLOOKUP($Z53,Paraméterek!$B$225:$F$240,IF($AF53&lt;IF($D$4="Forint",Paraméterek!$C$223,Paraméterek!$C$224),2,IF($AF53&lt;IF($D$4="Forint",Paraméterek!$D$223,Paraméterek!$D$224),3,4))),0),0)</f>
        <v>0</v>
      </c>
      <c r="AH53" s="13">
        <f>IF(AND($Z53&gt;=5,MOD($Z53,5)=0),IF($AA53=12,VLOOKUP($Z53,Paraméterek!$B$225:$F$240,5),0),IF(OR($Z53=3,$Z53=4),IF($AA53=12,VLOOKUP($Z53,Paraméterek!$B$225:$F$240,5,0),0),0))*$AF53</f>
        <v>0</v>
      </c>
      <c r="AI53" s="13">
        <f>ROUNDDOWN(IF(SUM($T$20:$U53)=0,IF($D$2="Egyszeri",$AH53,$AG53),0),IF($D$4="Forint",0,2))</f>
        <v>0</v>
      </c>
      <c r="AJ53" s="13">
        <f t="shared" si="12"/>
        <v>0</v>
      </c>
      <c r="AK53" s="13">
        <f t="shared" si="13"/>
        <v>0</v>
      </c>
      <c r="AM53" s="32">
        <v>34</v>
      </c>
      <c r="AN53" s="32">
        <v>3</v>
      </c>
      <c r="AO53" s="32">
        <v>10</v>
      </c>
      <c r="AP53" s="13"/>
      <c r="AQ53" s="32"/>
      <c r="AR53" s="13">
        <f t="shared" si="14"/>
        <v>0</v>
      </c>
      <c r="AS53" s="33"/>
      <c r="AT53" s="13">
        <f t="shared" si="8"/>
        <v>0</v>
      </c>
      <c r="AU53" s="13">
        <f>ROUNDUP(($AR53+$AT53)*VLOOKUP($AN53,Paraméterek!$P$38:$Q$38,2)/12,IF($D$4="Forint",0,2))</f>
        <v>0</v>
      </c>
      <c r="AV53" s="13"/>
      <c r="AW53" s="13"/>
      <c r="AX53" s="13">
        <f>ROUNDUP(IF(SUM($AV53:$AW53)=0,0,IF(IF(ISBLANK($AW53),$AV53,$AW53)*Paraméterek!$J$112&lt;IF($D$4="Forint",Paraméterek!$J$113,Paraméterek!$K$113),IF($D$4="Forint",Paraméterek!$J$113,Paraméterek!$K$113),IF(IF(ISBLANK($AW53),$AV53,$AW53)*Paraméterek!$J$112&gt;IF($D$4="Forint",Paraméterek!$J$114,Paraméterek!$K$114),IF($D$4="Forint",Paraméterek!$J$114,Paraméterek!$K$114),IF(ISBLANK($AW53),$AV53,$AW53)*Paraméterek!$J$112))),IF($D$4="Forint",0,2))</f>
        <v>0</v>
      </c>
      <c r="AY53" s="13">
        <f>$AR53+$AT53-$AU53-IF(ROUNDDOWN(IF(ISBLANK($AW53),$AV53,$AW53),IF($D$4="Forint",0,2))&gt;$AR53+$AT53-$AU53-IF($D$4="Forint",Paraméterek!$J$114,Paraméterek!$K$114),0,ROUNDDOWN(IF(ISBLANK($AW53),$AV53,$AW53),IF($D$4="Forint",0,2))-$AX53)</f>
        <v>0</v>
      </c>
      <c r="AZ53" s="13">
        <f t="shared" si="9"/>
        <v>0</v>
      </c>
    </row>
    <row r="54" spans="1:52" x14ac:dyDescent="0.2">
      <c r="A54" s="32">
        <v>35</v>
      </c>
      <c r="B54" s="32">
        <v>3</v>
      </c>
      <c r="C54" s="32">
        <v>11</v>
      </c>
      <c r="D54" s="13">
        <f t="shared" si="0"/>
        <v>0</v>
      </c>
      <c r="E54" s="13"/>
      <c r="F54" s="13"/>
      <c r="G54" s="13"/>
      <c r="H54" s="13">
        <f t="shared" si="1"/>
        <v>0</v>
      </c>
      <c r="I54" s="13">
        <f t="shared" si="2"/>
        <v>0</v>
      </c>
      <c r="J54" s="13">
        <f t="shared" si="3"/>
        <v>0</v>
      </c>
      <c r="K54" s="13">
        <f>ROUNDUP(IF($D$2="Egyszeri",$D54,IF($D$2="Havi",SUM($D$20:$D$31),IF(MOD($C54,$M$1)-1=0,SUM($D$20:$D$31),0))/12*$M$1)*VLOOKUP($B54,Paraméterek!$B$27:$D$30,IF($D$2="Egyszeri",3,2)),IF($D$4="Forint",0,2))</f>
        <v>0</v>
      </c>
      <c r="L54" s="13">
        <f t="shared" si="4"/>
        <v>0</v>
      </c>
      <c r="M54" s="13">
        <f t="shared" ca="1" si="10"/>
        <v>-18470</v>
      </c>
      <c r="N54" s="13">
        <f ca="1">IF($V53&gt;=VLOOKUP($M$4-1+$B54,Paraméterek!$B$121:$D$122,IF($D$4="Forint",2,3)),0,VLOOKUP($M$4-1+$B54,Paraméterek!$B$121:$D$122,IF($D$4="Forint",2,3))-$V53)</f>
        <v>28470</v>
      </c>
      <c r="O54" s="13">
        <f ca="1">ROUNDUP($N54*Paraméterek!$C$58/Paraméterek!$C$56,IF($D$4="Forint",0,2))</f>
        <v>5</v>
      </c>
      <c r="P54" s="13">
        <f t="shared" si="5"/>
        <v>584</v>
      </c>
      <c r="Q54" s="33"/>
      <c r="R54" s="13">
        <f t="shared" ca="1" si="6"/>
        <v>0</v>
      </c>
      <c r="S54" s="13">
        <f ca="1">ROUNDUP(($M54-$O54-$P54+$R54)*VLOOKUP($B54,Paraméterek!$B$38:$D$39,IF($D$2="Egyszeri",3,2))/12,IF($D$4="Forint",0,2))</f>
        <v>-52</v>
      </c>
      <c r="T54" s="13"/>
      <c r="U54" s="13"/>
      <c r="V54" s="13">
        <f ca="1">$M54-$O54-$P54+$R54-$S54-IF(ROUNDUP(IF(ISBLANK($U54),$T54,$U54)/IF(AND($B54=1,$D$2&lt;&gt;"Egyszeri"),1,VLOOKUP($B54+IF($C54=12,1,0),Paraméterek!$B$257:$D$267,IF($D$2="Egyszeri",3,2))),IF($D$4="Forint",0,2))&gt;$M54-$O54-$P54+$R54-$S54-IF($D$4="Forint",Paraméterek!$C$216,Paraméterek!$D$216),0,ROUNDUP(IF(ISBLANK($U54),$T54,$U54)/IF(AND($B54=1,$D$2&lt;&gt;"Egyszeri"),1,VLOOKUP($B54+IF($C54=12,1,0),Paraméterek!$B$257:$D$267,IF($D$2="Egyszeri",3,2))),IF($D$4="Forint",0,2)))</f>
        <v>-19007</v>
      </c>
      <c r="W54" s="13">
        <f ca="1">ROUNDDOWN($V54*VLOOKUP($B54+IF($C54=12,1,0),Paraméterek!$B$257:$D$267,IF($D$2="Egyszeri",3,2)),IF($D$4="Forint",0,2))</f>
        <v>-18246</v>
      </c>
      <c r="Y54" s="32">
        <v>35</v>
      </c>
      <c r="Z54" s="32">
        <v>3</v>
      </c>
      <c r="AA54" s="32">
        <v>11</v>
      </c>
      <c r="AB54" s="13">
        <f t="shared" si="11"/>
        <v>0</v>
      </c>
      <c r="AC54" s="33"/>
      <c r="AD54" s="13">
        <f t="shared" si="7"/>
        <v>0</v>
      </c>
      <c r="AE54" s="13">
        <f>ROUNDUP(($AB54+$AD54)*VLOOKUP($Z54,Paraméterek!$P$38:$Q$38,2)/12,IF($D$4="Forint",0,2))</f>
        <v>0</v>
      </c>
      <c r="AF54" s="13">
        <f>IF($D$2="Egyszeri",IF($D$7&gt;=IF($D$4="Forint",Paraméterek!$P$223,Paraméterek!$P$224),$D$7-IF($D$4="Forint",Paraméterek!$F$223,Paraméterek!$F$224),0),MIN(IF($AA54=12,AVERAGE($D$20:$D54)*12,0),SUM($D$20:$D$31)))</f>
        <v>0</v>
      </c>
      <c r="AG54" s="13">
        <f>IF(AND($Z54&gt;=10,MOD($Z54,5)=0),$AF54*IF($AA54=12,VLOOKUP($Z54,Paraméterek!$B$225:$F$240,IF($AF54&lt;IF($D$4="Forint",Paraméterek!$C$223,Paraméterek!$C$224),2,IF($AF54&lt;IF($D$4="Forint",Paraméterek!$D$223,Paraméterek!$D$224),3,4))),0),0)</f>
        <v>0</v>
      </c>
      <c r="AH54" s="13">
        <f>IF(AND($Z54&gt;=5,MOD($Z54,5)=0),IF($AA54=12,VLOOKUP($Z54,Paraméterek!$B$225:$F$240,5),0),IF(OR($Z54=3,$Z54=4),IF($AA54=12,VLOOKUP($Z54,Paraméterek!$B$225:$F$240,5,0),0),0))*$AF54</f>
        <v>0</v>
      </c>
      <c r="AI54" s="13">
        <f>ROUNDDOWN(IF(SUM($T$20:$U54)=0,IF($D$2="Egyszeri",$AH54,$AG54),0),IF($D$4="Forint",0,2))</f>
        <v>0</v>
      </c>
      <c r="AJ54" s="13">
        <f t="shared" si="12"/>
        <v>0</v>
      </c>
      <c r="AK54" s="13">
        <f t="shared" si="13"/>
        <v>0</v>
      </c>
      <c r="AM54" s="32">
        <v>35</v>
      </c>
      <c r="AN54" s="32">
        <v>3</v>
      </c>
      <c r="AO54" s="32">
        <v>11</v>
      </c>
      <c r="AP54" s="13"/>
      <c r="AQ54" s="32"/>
      <c r="AR54" s="13">
        <f t="shared" si="14"/>
        <v>0</v>
      </c>
      <c r="AS54" s="33"/>
      <c r="AT54" s="13">
        <f t="shared" si="8"/>
        <v>0</v>
      </c>
      <c r="AU54" s="13">
        <f>ROUNDUP(($AR54+$AT54)*VLOOKUP($AN54,Paraméterek!$P$38:$Q$38,2)/12,IF($D$4="Forint",0,2))</f>
        <v>0</v>
      </c>
      <c r="AV54" s="13"/>
      <c r="AW54" s="13"/>
      <c r="AX54" s="13">
        <f>ROUNDUP(IF(SUM($AV54:$AW54)=0,0,IF(IF(ISBLANK($AW54),$AV54,$AW54)*Paraméterek!$J$112&lt;IF($D$4="Forint",Paraméterek!$J$113,Paraméterek!$K$113),IF($D$4="Forint",Paraméterek!$J$113,Paraméterek!$K$113),IF(IF(ISBLANK($AW54),$AV54,$AW54)*Paraméterek!$J$112&gt;IF($D$4="Forint",Paraméterek!$J$114,Paraméterek!$K$114),IF($D$4="Forint",Paraméterek!$J$114,Paraméterek!$K$114),IF(ISBLANK($AW54),$AV54,$AW54)*Paraméterek!$J$112))),IF($D$4="Forint",0,2))</f>
        <v>0</v>
      </c>
      <c r="AY54" s="13">
        <f>$AR54+$AT54-$AU54-IF(ROUNDDOWN(IF(ISBLANK($AW54),$AV54,$AW54),IF($D$4="Forint",0,2))&gt;$AR54+$AT54-$AU54-IF($D$4="Forint",Paraméterek!$J$114,Paraméterek!$K$114),0,ROUNDDOWN(IF(ISBLANK($AW54),$AV54,$AW54),IF($D$4="Forint",0,2))-$AX54)</f>
        <v>0</v>
      </c>
      <c r="AZ54" s="13">
        <f t="shared" si="9"/>
        <v>0</v>
      </c>
    </row>
    <row r="55" spans="1:52" x14ac:dyDescent="0.2">
      <c r="A55" s="32">
        <v>36</v>
      </c>
      <c r="B55" s="32">
        <v>3</v>
      </c>
      <c r="C55" s="32">
        <v>12</v>
      </c>
      <c r="D55" s="13">
        <f t="shared" si="0"/>
        <v>0</v>
      </c>
      <c r="E55" s="13"/>
      <c r="F55" s="13"/>
      <c r="G55" s="13"/>
      <c r="H55" s="13">
        <f t="shared" si="1"/>
        <v>0</v>
      </c>
      <c r="I55" s="13">
        <f t="shared" si="2"/>
        <v>0</v>
      </c>
      <c r="J55" s="13">
        <f t="shared" si="3"/>
        <v>0</v>
      </c>
      <c r="K55" s="13">
        <f>ROUNDUP(IF($D$2="Egyszeri",$D55,IF($D$2="Havi",SUM($D$20:$D$31),IF(MOD($C55,$M$1)-1=0,SUM($D$20:$D$31),0))/12*$M$1)*VLOOKUP($B55,Paraméterek!$B$27:$D$30,IF($D$2="Egyszeri",3,2)),IF($D$4="Forint",0,2))</f>
        <v>0</v>
      </c>
      <c r="L55" s="13">
        <f t="shared" si="4"/>
        <v>0</v>
      </c>
      <c r="M55" s="13">
        <f t="shared" ca="1" si="10"/>
        <v>-19007</v>
      </c>
      <c r="N55" s="13">
        <f ca="1">IF($V54&gt;=VLOOKUP($M$4-1+$B55,Paraméterek!$B$121:$D$122,IF($D$4="Forint",2,3)),0,VLOOKUP($M$4-1+$B55,Paraméterek!$B$121:$D$122,IF($D$4="Forint",2,3))-$V54)</f>
        <v>29007</v>
      </c>
      <c r="O55" s="13">
        <f ca="1">ROUNDUP($N55*Paraméterek!$C$58/Paraméterek!$C$56,IF($D$4="Forint",0,2))</f>
        <v>5</v>
      </c>
      <c r="P55" s="13">
        <f t="shared" si="5"/>
        <v>584</v>
      </c>
      <c r="Q55" s="33"/>
      <c r="R55" s="13">
        <f t="shared" ca="1" si="6"/>
        <v>0</v>
      </c>
      <c r="S55" s="13">
        <f ca="1">ROUNDUP(($M55-$O55-$P55+$R55)*VLOOKUP($B55,Paraméterek!$B$38:$D$39,IF($D$2="Egyszeri",3,2))/12,IF($D$4="Forint",0,2))</f>
        <v>-54</v>
      </c>
      <c r="T55" s="13">
        <f>Tranzakciók!$F$34</f>
        <v>0</v>
      </c>
      <c r="U55" s="13"/>
      <c r="V55" s="13">
        <f ca="1">$M55-$O55-$P55+$R55-$S55-IF(ROUNDUP(IF(ISBLANK($U55),$T55,$U55)/IF(AND($B55=1,$D$2&lt;&gt;"Egyszeri"),1,VLOOKUP($B55+IF($C55=12,1,0),Paraméterek!$B$257:$D$267,IF($D$2="Egyszeri",3,2))),IF($D$4="Forint",0,2))&gt;$M55-$O55-$P55+$R55-$S55-IF($D$4="Forint",Paraméterek!$C$216,Paraméterek!$D$216),0,ROUNDUP(IF(ISBLANK($U55),$T55,$U55)/IF(AND($B55=1,$D$2&lt;&gt;"Egyszeri"),1,VLOOKUP($B55+IF($C55=12,1,0),Paraméterek!$B$257:$D$267,IF($D$2="Egyszeri",3,2))),IF($D$4="Forint",0,2)))</f>
        <v>-19542</v>
      </c>
      <c r="W55" s="13">
        <f ca="1">ROUNDDOWN($V55*VLOOKUP($B55+IF($C55=12,1,0),Paraméterek!$B$257:$D$267,IF($D$2="Egyszeri",3,2)),IF($D$4="Forint",0,2))</f>
        <v>-18760</v>
      </c>
      <c r="Y55" s="32">
        <v>36</v>
      </c>
      <c r="Z55" s="32">
        <v>3</v>
      </c>
      <c r="AA55" s="32">
        <v>12</v>
      </c>
      <c r="AB55" s="13">
        <f t="shared" si="11"/>
        <v>0</v>
      </c>
      <c r="AC55" s="33"/>
      <c r="AD55" s="13">
        <f t="shared" si="7"/>
        <v>0</v>
      </c>
      <c r="AE55" s="13">
        <f>ROUNDUP(($AB55+$AD55)*VLOOKUP($Z55,Paraméterek!$P$38:$Q$38,2)/12,IF($D$4="Forint",0,2))</f>
        <v>0</v>
      </c>
      <c r="AF55" s="13">
        <f>IF($D$2="Egyszeri",IF($D$7&gt;=IF($D$4="Forint",Paraméterek!$P$223,Paraméterek!$P$224),$D$7-IF($D$4="Forint",Paraméterek!$F$223,Paraméterek!$F$224),0),MIN(IF($AA55=12,AVERAGE($D$20:$D55)*12,0),SUM($D$20:$D$31)))</f>
        <v>0</v>
      </c>
      <c r="AG55" s="13">
        <f>IF(AND($Z55&gt;=10,MOD($Z55,5)=0),$AF55*IF($AA55=12,VLOOKUP($Z55,Paraméterek!$B$225:$F$240,IF($AF55&lt;IF($D$4="Forint",Paraméterek!$C$223,Paraméterek!$C$224),2,IF($AF55&lt;IF($D$4="Forint",Paraméterek!$D$223,Paraméterek!$D$224),3,4))),0),0)</f>
        <v>0</v>
      </c>
      <c r="AH55" s="13">
        <f>IF(AND($Z55&gt;=5,MOD($Z55,5)=0),IF($AA55=12,VLOOKUP($Z55,Paraméterek!$B$225:$F$240,5),0),IF(OR($Z55=3,$Z55=4),IF($AA55=12,VLOOKUP($Z55,Paraméterek!$B$225:$F$240,5,0),0),0))*$AF55</f>
        <v>0</v>
      </c>
      <c r="AI55" s="13">
        <f>ROUNDDOWN(IF(SUM($T$20:$U55)=0,IF($D$2="Egyszeri",$AH55,$AG55),0),IF($D$4="Forint",0,2))</f>
        <v>0</v>
      </c>
      <c r="AJ55" s="13">
        <f t="shared" si="12"/>
        <v>0</v>
      </c>
      <c r="AK55" s="13">
        <f t="shared" si="13"/>
        <v>0</v>
      </c>
      <c r="AM55" s="32">
        <v>36</v>
      </c>
      <c r="AN55" s="32">
        <v>3</v>
      </c>
      <c r="AO55" s="32">
        <v>12</v>
      </c>
      <c r="AP55" s="13"/>
      <c r="AQ55" s="32"/>
      <c r="AR55" s="13">
        <f t="shared" si="14"/>
        <v>0</v>
      </c>
      <c r="AS55" s="33"/>
      <c r="AT55" s="13">
        <f t="shared" si="8"/>
        <v>0</v>
      </c>
      <c r="AU55" s="13">
        <f>ROUNDUP(($AR55+$AT55)*VLOOKUP($AN55,Paraméterek!$P$38:$Q$38,2)/12,IF($D$4="Forint",0,2))</f>
        <v>0</v>
      </c>
      <c r="AV55" s="13">
        <f>Tranzakciók!$M$34</f>
        <v>0</v>
      </c>
      <c r="AW55" s="13"/>
      <c r="AX55" s="13">
        <f>ROUNDUP(IF(SUM($AV55:$AW55)=0,0,IF(IF(ISBLANK($AW55),$AV55,$AW55)*Paraméterek!$J$112&lt;IF($D$4="Forint",Paraméterek!$J$113,Paraméterek!$K$113),IF($D$4="Forint",Paraméterek!$J$113,Paraméterek!$K$113),IF(IF(ISBLANK($AW55),$AV55,$AW55)*Paraméterek!$J$112&gt;IF($D$4="Forint",Paraméterek!$J$114,Paraméterek!$K$114),IF($D$4="Forint",Paraméterek!$J$114,Paraméterek!$K$114),IF(ISBLANK($AW55),$AV55,$AW55)*Paraméterek!$J$112))),IF($D$4="Forint",0,2))</f>
        <v>0</v>
      </c>
      <c r="AY55" s="13">
        <f>$AR55+$AT55-$AU55-IF(ROUNDDOWN(IF(ISBLANK($AW55),$AV55,$AW55),IF($D$4="Forint",0,2))&gt;$AR55+$AT55-$AU55-IF($D$4="Forint",Paraméterek!$J$114,Paraméterek!$K$114),0,ROUNDDOWN(IF(ISBLANK($AW55),$AV55,$AW55),IF($D$4="Forint",0,2))-$AX55)</f>
        <v>0</v>
      </c>
      <c r="AZ55" s="13">
        <f t="shared" si="9"/>
        <v>0</v>
      </c>
    </row>
    <row r="56" spans="1:52" x14ac:dyDescent="0.2">
      <c r="A56" s="32">
        <v>37</v>
      </c>
      <c r="B56" s="32">
        <v>4</v>
      </c>
      <c r="C56" s="32">
        <v>1</v>
      </c>
      <c r="D56" s="13">
        <f t="shared" si="0"/>
        <v>0</v>
      </c>
      <c r="E56" s="13"/>
      <c r="F56" s="13">
        <f>Tranzakciók!$D$35</f>
        <v>0</v>
      </c>
      <c r="G56" s="13"/>
      <c r="H56" s="13">
        <f t="shared" si="1"/>
        <v>0</v>
      </c>
      <c r="I56" s="13">
        <f t="shared" si="2"/>
        <v>110</v>
      </c>
      <c r="J56" s="13">
        <f t="shared" si="3"/>
        <v>110</v>
      </c>
      <c r="K56" s="13">
        <f>ROUNDUP(IF($D$2="Egyszeri",$D56,IF($D$2="Havi",SUM($D$20:$D$31),IF(MOD($C56,$M$1)-1=0,SUM($D$20:$D$31),0))/12*$M$1)*VLOOKUP($B56,Paraméterek!$B$27:$D$30,IF($D$2="Egyszeri",3,2)),IF($D$4="Forint",0,2))</f>
        <v>0</v>
      </c>
      <c r="L56" s="13">
        <f t="shared" si="4"/>
        <v>0</v>
      </c>
      <c r="M56" s="13">
        <f t="shared" ca="1" si="10"/>
        <v>-19542</v>
      </c>
      <c r="N56" s="13">
        <f ca="1">IF($V55&gt;=VLOOKUP($M$4-1+$B56,Paraméterek!$B$121:$D$122,IF($D$4="Forint",2,3)),0,VLOOKUP($M$4-1+$B56,Paraméterek!$B$121:$D$122,IF($D$4="Forint",2,3))-$V55)</f>
        <v>29542</v>
      </c>
      <c r="O56" s="13">
        <f ca="1">ROUNDUP($N56*Paraméterek!$C$58/Paraméterek!$C$56,IF($D$4="Forint",0,2))</f>
        <v>5</v>
      </c>
      <c r="P56" s="13">
        <f t="shared" si="5"/>
        <v>601</v>
      </c>
      <c r="Q56" s="33"/>
      <c r="R56" s="13">
        <f t="shared" ca="1" si="6"/>
        <v>0</v>
      </c>
      <c r="S56" s="13">
        <f ca="1">ROUNDUP(($M56-$O56-$P56+$R56)*VLOOKUP($B56,Paraméterek!$B$38:$D$39,IF($D$2="Egyszeri",3,2))/12,IF($D$4="Forint",0,2))</f>
        <v>-55</v>
      </c>
      <c r="T56" s="13"/>
      <c r="U56" s="13"/>
      <c r="V56" s="13">
        <f ca="1">$M56-$O56-$P56+$R56-$S56-IF(ROUNDUP(IF(ISBLANK($U56),$T56,$U56)/IF(AND($B56=1,$D$2&lt;&gt;"Egyszeri"),1,VLOOKUP($B56+IF($C56=12,1,0),Paraméterek!$B$257:$D$267,IF($D$2="Egyszeri",3,2))),IF($D$4="Forint",0,2))&gt;$M56-$O56-$P56+$R56-$S56-IF($D$4="Forint",Paraméterek!$C$216,Paraméterek!$D$216),0,ROUNDUP(IF(ISBLANK($U56),$T56,$U56)/IF(AND($B56=1,$D$2&lt;&gt;"Egyszeri"),1,VLOOKUP($B56+IF($C56=12,1,0),Paraméterek!$B$257:$D$267,IF($D$2="Egyszeri",3,2))),IF($D$4="Forint",0,2)))</f>
        <v>-20093</v>
      </c>
      <c r="W56" s="13">
        <f ca="1">ROUNDDOWN($V56*VLOOKUP($B56+IF($C56=12,1,0),Paraméterek!$B$257:$D$267,IF($D$2="Egyszeri",3,2)),IF($D$4="Forint",0,2))</f>
        <v>-19289</v>
      </c>
      <c r="Y56" s="32">
        <v>37</v>
      </c>
      <c r="Z56" s="32">
        <v>4</v>
      </c>
      <c r="AA56" s="32">
        <v>1</v>
      </c>
      <c r="AB56" s="13">
        <f t="shared" si="11"/>
        <v>0</v>
      </c>
      <c r="AC56" s="33"/>
      <c r="AD56" s="13">
        <f t="shared" si="7"/>
        <v>0</v>
      </c>
      <c r="AE56" s="13">
        <f>ROUNDUP(($AB56+$AD56)*VLOOKUP($Z56,Paraméterek!$P$38:$Q$38,2)/12,IF($D$4="Forint",0,2))</f>
        <v>0</v>
      </c>
      <c r="AF56" s="13">
        <f>IF($D$2="Egyszeri",IF($D$7&gt;=IF($D$4="Forint",Paraméterek!$P$223,Paraméterek!$P$224),$D$7-IF($D$4="Forint",Paraméterek!$F$223,Paraméterek!$F$224),0),MIN(IF($AA56=12,AVERAGE($D$20:$D56)*12,0),SUM($D$20:$D$31)))</f>
        <v>0</v>
      </c>
      <c r="AG56" s="13">
        <f>IF(AND($Z56&gt;=10,MOD($Z56,5)=0),$AF56*IF($AA56=12,VLOOKUP($Z56,Paraméterek!$B$225:$F$240,IF($AF56&lt;IF($D$4="Forint",Paraméterek!$C$223,Paraméterek!$C$224),2,IF($AF56&lt;IF($D$4="Forint",Paraméterek!$D$223,Paraméterek!$D$224),3,4))),0),0)</f>
        <v>0</v>
      </c>
      <c r="AH56" s="13">
        <f>IF(AND($Z56&gt;=5,MOD($Z56,5)=0),IF($AA56=12,VLOOKUP($Z56,Paraméterek!$B$225:$F$240,5),0),IF(OR($Z56=3,$Z56=4),IF($AA56=12,VLOOKUP($Z56,Paraméterek!$B$225:$F$240,5,0),0),0))*$AF56</f>
        <v>0</v>
      </c>
      <c r="AI56" s="13">
        <f>ROUNDDOWN(IF(SUM($T$20:$U56)=0,IF($D$2="Egyszeri",$AH56,$AG56),0),IF($D$4="Forint",0,2))</f>
        <v>0</v>
      </c>
      <c r="AJ56" s="13">
        <f t="shared" si="12"/>
        <v>0</v>
      </c>
      <c r="AK56" s="13">
        <f t="shared" si="13"/>
        <v>0</v>
      </c>
      <c r="AM56" s="32">
        <v>37</v>
      </c>
      <c r="AN56" s="32">
        <v>4</v>
      </c>
      <c r="AO56" s="32">
        <v>1</v>
      </c>
      <c r="AP56" s="13">
        <f>Tranzakciók!$K$35</f>
        <v>0</v>
      </c>
      <c r="AQ56" s="32"/>
      <c r="AR56" s="13">
        <f t="shared" si="14"/>
        <v>0</v>
      </c>
      <c r="AS56" s="33"/>
      <c r="AT56" s="13">
        <f t="shared" si="8"/>
        <v>0</v>
      </c>
      <c r="AU56" s="13">
        <f>ROUNDUP(($AR56+$AT56)*VLOOKUP($AN56,Paraméterek!$P$38:$Q$38,2)/12,IF($D$4="Forint",0,2))</f>
        <v>0</v>
      </c>
      <c r="AV56" s="13"/>
      <c r="AW56" s="13"/>
      <c r="AX56" s="13">
        <f>ROUNDUP(IF(SUM($AV56:$AW56)=0,0,IF(IF(ISBLANK($AW56),$AV56,$AW56)*Paraméterek!$J$112&lt;IF($D$4="Forint",Paraméterek!$J$113,Paraméterek!$K$113),IF($D$4="Forint",Paraméterek!$J$113,Paraméterek!$K$113),IF(IF(ISBLANK($AW56),$AV56,$AW56)*Paraméterek!$J$112&gt;IF($D$4="Forint",Paraméterek!$J$114,Paraméterek!$K$114),IF($D$4="Forint",Paraméterek!$J$114,Paraméterek!$K$114),IF(ISBLANK($AW56),$AV56,$AW56)*Paraméterek!$J$112))),IF($D$4="Forint",0,2))</f>
        <v>0</v>
      </c>
      <c r="AY56" s="13">
        <f>$AR56+$AT56-$AU56-IF(ROUNDDOWN(IF(ISBLANK($AW56),$AV56,$AW56),IF($D$4="Forint",0,2))&gt;$AR56+$AT56-$AU56-IF($D$4="Forint",Paraméterek!$J$114,Paraméterek!$K$114),0,ROUNDDOWN(IF(ISBLANK($AW56),$AV56,$AW56),IF($D$4="Forint",0,2))-$AX56)</f>
        <v>0</v>
      </c>
      <c r="AZ56" s="13">
        <f t="shared" si="9"/>
        <v>0</v>
      </c>
    </row>
    <row r="57" spans="1:52" x14ac:dyDescent="0.2">
      <c r="A57" s="32">
        <v>38</v>
      </c>
      <c r="B57" s="32">
        <v>4</v>
      </c>
      <c r="C57" s="32">
        <v>2</v>
      </c>
      <c r="D57" s="13">
        <f t="shared" si="0"/>
        <v>0</v>
      </c>
      <c r="E57" s="13"/>
      <c r="F57" s="13"/>
      <c r="G57" s="13"/>
      <c r="H57" s="13">
        <f t="shared" si="1"/>
        <v>0</v>
      </c>
      <c r="I57" s="13">
        <f t="shared" si="2"/>
        <v>0</v>
      </c>
      <c r="J57" s="13">
        <f t="shared" si="3"/>
        <v>0</v>
      </c>
      <c r="K57" s="13">
        <f>ROUNDUP(IF($D$2="Egyszeri",$D57,IF($D$2="Havi",SUM($D$20:$D$31),IF(MOD($C57,$M$1)-1=0,SUM($D$20:$D$31),0))/12*$M$1)*VLOOKUP($B57,Paraméterek!$B$27:$D$30,IF($D$2="Egyszeri",3,2)),IF($D$4="Forint",0,2))</f>
        <v>0</v>
      </c>
      <c r="L57" s="13">
        <f t="shared" si="4"/>
        <v>0</v>
      </c>
      <c r="M57" s="13">
        <f t="shared" ca="1" si="10"/>
        <v>-20093</v>
      </c>
      <c r="N57" s="13">
        <f ca="1">IF($V56&gt;=VLOOKUP($M$4-1+$B57,Paraméterek!$B$121:$D$122,IF($D$4="Forint",2,3)),0,VLOOKUP($M$4-1+$B57,Paraméterek!$B$121:$D$122,IF($D$4="Forint",2,3))-$V56)</f>
        <v>30093</v>
      </c>
      <c r="O57" s="13">
        <f ca="1">ROUNDUP($N57*Paraméterek!$C$58/Paraméterek!$C$56,IF($D$4="Forint",0,2))</f>
        <v>5</v>
      </c>
      <c r="P57" s="13">
        <f t="shared" si="5"/>
        <v>601</v>
      </c>
      <c r="Q57" s="33"/>
      <c r="R57" s="13">
        <f t="shared" ca="1" si="6"/>
        <v>0</v>
      </c>
      <c r="S57" s="13">
        <f ca="1">ROUNDUP(($M57-$O57-$P57+$R57)*VLOOKUP($B57,Paraméterek!$B$38:$D$39,IF($D$2="Egyszeri",3,2))/12,IF($D$4="Forint",0,2))</f>
        <v>-57</v>
      </c>
      <c r="T57" s="13"/>
      <c r="U57" s="13"/>
      <c r="V57" s="13">
        <f ca="1">$M57-$O57-$P57+$R57-$S57-IF(ROUNDUP(IF(ISBLANK($U57),$T57,$U57)/IF(AND($B57=1,$D$2&lt;&gt;"Egyszeri"),1,VLOOKUP($B57+IF($C57=12,1,0),Paraméterek!$B$257:$D$267,IF($D$2="Egyszeri",3,2))),IF($D$4="Forint",0,2))&gt;$M57-$O57-$P57+$R57-$S57-IF($D$4="Forint",Paraméterek!$C$216,Paraméterek!$D$216),0,ROUNDUP(IF(ISBLANK($U57),$T57,$U57)/IF(AND($B57=1,$D$2&lt;&gt;"Egyszeri"),1,VLOOKUP($B57+IF($C57=12,1,0),Paraméterek!$B$257:$D$267,IF($D$2="Egyszeri",3,2))),IF($D$4="Forint",0,2)))</f>
        <v>-20642</v>
      </c>
      <c r="W57" s="13">
        <f ca="1">ROUNDDOWN($V57*VLOOKUP($B57+IF($C57=12,1,0),Paraméterek!$B$257:$D$267,IF($D$2="Egyszeri",3,2)),IF($D$4="Forint",0,2))</f>
        <v>-19816</v>
      </c>
      <c r="Y57" s="32">
        <v>38</v>
      </c>
      <c r="Z57" s="32">
        <v>4</v>
      </c>
      <c r="AA57" s="32">
        <v>2</v>
      </c>
      <c r="AB57" s="13">
        <f t="shared" si="11"/>
        <v>0</v>
      </c>
      <c r="AC57" s="33"/>
      <c r="AD57" s="13">
        <f t="shared" si="7"/>
        <v>0</v>
      </c>
      <c r="AE57" s="13">
        <f>ROUNDUP(($AB57+$AD57)*VLOOKUP($Z57,Paraméterek!$P$38:$Q$38,2)/12,IF($D$4="Forint",0,2))</f>
        <v>0</v>
      </c>
      <c r="AF57" s="13">
        <f>IF($D$2="Egyszeri",IF($D$7&gt;=IF($D$4="Forint",Paraméterek!$P$223,Paraméterek!$P$224),$D$7-IF($D$4="Forint",Paraméterek!$F$223,Paraméterek!$F$224),0),MIN(IF($AA57=12,AVERAGE($D$20:$D57)*12,0),SUM($D$20:$D$31)))</f>
        <v>0</v>
      </c>
      <c r="AG57" s="13">
        <f>IF(AND($Z57&gt;=10,MOD($Z57,5)=0),$AF57*IF($AA57=12,VLOOKUP($Z57,Paraméterek!$B$225:$F$240,IF($AF57&lt;IF($D$4="Forint",Paraméterek!$C$223,Paraméterek!$C$224),2,IF($AF57&lt;IF($D$4="Forint",Paraméterek!$D$223,Paraméterek!$D$224),3,4))),0),0)</f>
        <v>0</v>
      </c>
      <c r="AH57" s="13">
        <f>IF(AND($Z57&gt;=5,MOD($Z57,5)=0),IF($AA57=12,VLOOKUP($Z57,Paraméterek!$B$225:$F$240,5),0),IF(OR($Z57=3,$Z57=4),IF($AA57=12,VLOOKUP($Z57,Paraméterek!$B$225:$F$240,5,0),0),0))*$AF57</f>
        <v>0</v>
      </c>
      <c r="AI57" s="13">
        <f>ROUNDDOWN(IF(SUM($T$20:$U57)=0,IF($D$2="Egyszeri",$AH57,$AG57),0),IF($D$4="Forint",0,2))</f>
        <v>0</v>
      </c>
      <c r="AJ57" s="13">
        <f t="shared" si="12"/>
        <v>0</v>
      </c>
      <c r="AK57" s="13">
        <f t="shared" si="13"/>
        <v>0</v>
      </c>
      <c r="AM57" s="32">
        <v>38</v>
      </c>
      <c r="AN57" s="32">
        <v>4</v>
      </c>
      <c r="AO57" s="32">
        <v>2</v>
      </c>
      <c r="AP57" s="13"/>
      <c r="AQ57" s="32"/>
      <c r="AR57" s="13">
        <f t="shared" si="14"/>
        <v>0</v>
      </c>
      <c r="AS57" s="33"/>
      <c r="AT57" s="13">
        <f t="shared" si="8"/>
        <v>0</v>
      </c>
      <c r="AU57" s="13">
        <f>ROUNDUP(($AR57+$AT57)*VLOOKUP($AN57,Paraméterek!$P$38:$Q$38,2)/12,IF($D$4="Forint",0,2))</f>
        <v>0</v>
      </c>
      <c r="AV57" s="13"/>
      <c r="AW57" s="13"/>
      <c r="AX57" s="13">
        <f>ROUNDUP(IF(SUM($AV57:$AW57)=0,0,IF(IF(ISBLANK($AW57),$AV57,$AW57)*Paraméterek!$J$112&lt;IF($D$4="Forint",Paraméterek!$J$113,Paraméterek!$K$113),IF($D$4="Forint",Paraméterek!$J$113,Paraméterek!$K$113),IF(IF(ISBLANK($AW57),$AV57,$AW57)*Paraméterek!$J$112&gt;IF($D$4="Forint",Paraméterek!$J$114,Paraméterek!$K$114),IF($D$4="Forint",Paraméterek!$J$114,Paraméterek!$K$114),IF(ISBLANK($AW57),$AV57,$AW57)*Paraméterek!$J$112))),IF($D$4="Forint",0,2))</f>
        <v>0</v>
      </c>
      <c r="AY57" s="13">
        <f>$AR57+$AT57-$AU57-IF(ROUNDDOWN(IF(ISBLANK($AW57),$AV57,$AW57),IF($D$4="Forint",0,2))&gt;$AR57+$AT57-$AU57-IF($D$4="Forint",Paraméterek!$J$114,Paraméterek!$K$114),0,ROUNDDOWN(IF(ISBLANK($AW57),$AV57,$AW57),IF($D$4="Forint",0,2))-$AX57)</f>
        <v>0</v>
      </c>
      <c r="AZ57" s="13">
        <f t="shared" si="9"/>
        <v>0</v>
      </c>
    </row>
    <row r="58" spans="1:52" x14ac:dyDescent="0.2">
      <c r="A58" s="32">
        <v>39</v>
      </c>
      <c r="B58" s="32">
        <v>4</v>
      </c>
      <c r="C58" s="32">
        <v>3</v>
      </c>
      <c r="D58" s="13">
        <f t="shared" si="0"/>
        <v>0</v>
      </c>
      <c r="E58" s="13"/>
      <c r="F58" s="13"/>
      <c r="G58" s="13"/>
      <c r="H58" s="13">
        <f t="shared" si="1"/>
        <v>0</v>
      </c>
      <c r="I58" s="13">
        <f t="shared" si="2"/>
        <v>0</v>
      </c>
      <c r="J58" s="13">
        <f t="shared" si="3"/>
        <v>0</v>
      </c>
      <c r="K58" s="13">
        <f>ROUNDUP(IF($D$2="Egyszeri",$D58,IF($D$2="Havi",SUM($D$20:$D$31),IF(MOD($C58,$M$1)-1=0,SUM($D$20:$D$31),0))/12*$M$1)*VLOOKUP($B58,Paraméterek!$B$27:$D$30,IF($D$2="Egyszeri",3,2)),IF($D$4="Forint",0,2))</f>
        <v>0</v>
      </c>
      <c r="L58" s="13">
        <f t="shared" si="4"/>
        <v>0</v>
      </c>
      <c r="M58" s="13">
        <f t="shared" ca="1" si="10"/>
        <v>-20642</v>
      </c>
      <c r="N58" s="13">
        <f ca="1">IF($V57&gt;=VLOOKUP($M$4-1+$B58,Paraméterek!$B$121:$D$122,IF($D$4="Forint",2,3)),0,VLOOKUP($M$4-1+$B58,Paraméterek!$B$121:$D$122,IF($D$4="Forint",2,3))-$V57)</f>
        <v>30642</v>
      </c>
      <c r="O58" s="13">
        <f ca="1">ROUNDUP($N58*Paraméterek!$C$58/Paraméterek!$C$56,IF($D$4="Forint",0,2))</f>
        <v>5</v>
      </c>
      <c r="P58" s="13">
        <f t="shared" si="5"/>
        <v>601</v>
      </c>
      <c r="Q58" s="33"/>
      <c r="R58" s="13">
        <f t="shared" ca="1" si="6"/>
        <v>0</v>
      </c>
      <c r="S58" s="13">
        <f ca="1">ROUNDUP(($M58-$O58-$P58+$R58)*VLOOKUP($B58,Paraméterek!$B$38:$D$39,IF($D$2="Egyszeri",3,2))/12,IF($D$4="Forint",0,2))</f>
        <v>-58</v>
      </c>
      <c r="T58" s="13"/>
      <c r="U58" s="13"/>
      <c r="V58" s="13">
        <f ca="1">$M58-$O58-$P58+$R58-$S58-IF(ROUNDUP(IF(ISBLANK($U58),$T58,$U58)/IF(AND($B58=1,$D$2&lt;&gt;"Egyszeri"),1,VLOOKUP($B58+IF($C58=12,1,0),Paraméterek!$B$257:$D$267,IF($D$2="Egyszeri",3,2))),IF($D$4="Forint",0,2))&gt;$M58-$O58-$P58+$R58-$S58-IF($D$4="Forint",Paraméterek!$C$216,Paraméterek!$D$216),0,ROUNDUP(IF(ISBLANK($U58),$T58,$U58)/IF(AND($B58=1,$D$2&lt;&gt;"Egyszeri"),1,VLOOKUP($B58+IF($C58=12,1,0),Paraméterek!$B$257:$D$267,IF($D$2="Egyszeri",3,2))),IF($D$4="Forint",0,2)))</f>
        <v>-21190</v>
      </c>
      <c r="W58" s="13">
        <f ca="1">ROUNDDOWN($V58*VLOOKUP($B58+IF($C58=12,1,0),Paraméterek!$B$257:$D$267,IF($D$2="Egyszeri",3,2)),IF($D$4="Forint",0,2))</f>
        <v>-20342</v>
      </c>
      <c r="Y58" s="32">
        <v>39</v>
      </c>
      <c r="Z58" s="32">
        <v>4</v>
      </c>
      <c r="AA58" s="32">
        <v>3</v>
      </c>
      <c r="AB58" s="13">
        <f t="shared" si="11"/>
        <v>0</v>
      </c>
      <c r="AC58" s="33"/>
      <c r="AD58" s="13">
        <f t="shared" si="7"/>
        <v>0</v>
      </c>
      <c r="AE58" s="13">
        <f>ROUNDUP(($AB58+$AD58)*VLOOKUP($Z58,Paraméterek!$P$38:$Q$38,2)/12,IF($D$4="Forint",0,2))</f>
        <v>0</v>
      </c>
      <c r="AF58" s="13">
        <f>IF($D$2="Egyszeri",IF($D$7&gt;=IF($D$4="Forint",Paraméterek!$P$223,Paraméterek!$P$224),$D$7-IF($D$4="Forint",Paraméterek!$F$223,Paraméterek!$F$224),0),MIN(IF($AA58=12,AVERAGE($D$20:$D58)*12,0),SUM($D$20:$D$31)))</f>
        <v>0</v>
      </c>
      <c r="AG58" s="13">
        <f>IF(AND($Z58&gt;=10,MOD($Z58,5)=0),$AF58*IF($AA58=12,VLOOKUP($Z58,Paraméterek!$B$225:$F$240,IF($AF58&lt;IF($D$4="Forint",Paraméterek!$C$223,Paraméterek!$C$224),2,IF($AF58&lt;IF($D$4="Forint",Paraméterek!$D$223,Paraméterek!$D$224),3,4))),0),0)</f>
        <v>0</v>
      </c>
      <c r="AH58" s="13">
        <f>IF(AND($Z58&gt;=5,MOD($Z58,5)=0),IF($AA58=12,VLOOKUP($Z58,Paraméterek!$B$225:$F$240,5),0),IF(OR($Z58=3,$Z58=4),IF($AA58=12,VLOOKUP($Z58,Paraméterek!$B$225:$F$240,5,0),0),0))*$AF58</f>
        <v>0</v>
      </c>
      <c r="AI58" s="13">
        <f>ROUNDDOWN(IF(SUM($T$20:$U58)=0,IF($D$2="Egyszeri",$AH58,$AG58),0),IF($D$4="Forint",0,2))</f>
        <v>0</v>
      </c>
      <c r="AJ58" s="13">
        <f t="shared" si="12"/>
        <v>0</v>
      </c>
      <c r="AK58" s="13">
        <f t="shared" si="13"/>
        <v>0</v>
      </c>
      <c r="AM58" s="32">
        <v>39</v>
      </c>
      <c r="AN58" s="32">
        <v>4</v>
      </c>
      <c r="AO58" s="32">
        <v>3</v>
      </c>
      <c r="AP58" s="13"/>
      <c r="AQ58" s="32"/>
      <c r="AR58" s="13">
        <f t="shared" si="14"/>
        <v>0</v>
      </c>
      <c r="AS58" s="33"/>
      <c r="AT58" s="13">
        <f t="shared" si="8"/>
        <v>0</v>
      </c>
      <c r="AU58" s="13">
        <f>ROUNDUP(($AR58+$AT58)*VLOOKUP($AN58,Paraméterek!$P$38:$Q$38,2)/12,IF($D$4="Forint",0,2))</f>
        <v>0</v>
      </c>
      <c r="AV58" s="13"/>
      <c r="AW58" s="13"/>
      <c r="AX58" s="13">
        <f>ROUNDUP(IF(SUM($AV58:$AW58)=0,0,IF(IF(ISBLANK($AW58),$AV58,$AW58)*Paraméterek!$J$112&lt;IF($D$4="Forint",Paraméterek!$J$113,Paraméterek!$K$113),IF($D$4="Forint",Paraméterek!$J$113,Paraméterek!$K$113),IF(IF(ISBLANK($AW58),$AV58,$AW58)*Paraméterek!$J$112&gt;IF($D$4="Forint",Paraméterek!$J$114,Paraméterek!$K$114),IF($D$4="Forint",Paraméterek!$J$114,Paraméterek!$K$114),IF(ISBLANK($AW58),$AV58,$AW58)*Paraméterek!$J$112))),IF($D$4="Forint",0,2))</f>
        <v>0</v>
      </c>
      <c r="AY58" s="13">
        <f>$AR58+$AT58-$AU58-IF(ROUNDDOWN(IF(ISBLANK($AW58),$AV58,$AW58),IF($D$4="Forint",0,2))&gt;$AR58+$AT58-$AU58-IF($D$4="Forint",Paraméterek!$J$114,Paraméterek!$K$114),0,ROUNDDOWN(IF(ISBLANK($AW58),$AV58,$AW58),IF($D$4="Forint",0,2))-$AX58)</f>
        <v>0</v>
      </c>
      <c r="AZ58" s="13">
        <f t="shared" si="9"/>
        <v>0</v>
      </c>
    </row>
    <row r="59" spans="1:52" x14ac:dyDescent="0.2">
      <c r="A59" s="32">
        <v>40</v>
      </c>
      <c r="B59" s="32">
        <v>4</v>
      </c>
      <c r="C59" s="32">
        <v>4</v>
      </c>
      <c r="D59" s="13">
        <f t="shared" si="0"/>
        <v>0</v>
      </c>
      <c r="E59" s="13"/>
      <c r="F59" s="13"/>
      <c r="G59" s="13"/>
      <c r="H59" s="13">
        <f t="shared" si="1"/>
        <v>0</v>
      </c>
      <c r="I59" s="13">
        <f t="shared" si="2"/>
        <v>0</v>
      </c>
      <c r="J59" s="13">
        <f t="shared" si="3"/>
        <v>0</v>
      </c>
      <c r="K59" s="13">
        <f>ROUNDUP(IF($D$2="Egyszeri",$D59,IF($D$2="Havi",SUM($D$20:$D$31),IF(MOD($C59,$M$1)-1=0,SUM($D$20:$D$31),0))/12*$M$1)*VLOOKUP($B59,Paraméterek!$B$27:$D$30,IF($D$2="Egyszeri",3,2)),IF($D$4="Forint",0,2))</f>
        <v>0</v>
      </c>
      <c r="L59" s="13">
        <f t="shared" si="4"/>
        <v>0</v>
      </c>
      <c r="M59" s="13">
        <f t="shared" ca="1" si="10"/>
        <v>-21190</v>
      </c>
      <c r="N59" s="13">
        <f ca="1">IF($V58&gt;=VLOOKUP($M$4-1+$B59,Paraméterek!$B$121:$D$122,IF($D$4="Forint",2,3)),0,VLOOKUP($M$4-1+$B59,Paraméterek!$B$121:$D$122,IF($D$4="Forint",2,3))-$V58)</f>
        <v>31190</v>
      </c>
      <c r="O59" s="13">
        <f ca="1">ROUNDUP($N59*Paraméterek!$C$58/Paraméterek!$C$56,IF($D$4="Forint",0,2))</f>
        <v>5</v>
      </c>
      <c r="P59" s="13">
        <f t="shared" si="5"/>
        <v>601</v>
      </c>
      <c r="Q59" s="33"/>
      <c r="R59" s="13">
        <f t="shared" ca="1" si="6"/>
        <v>0</v>
      </c>
      <c r="S59" s="13">
        <f ca="1">ROUNDUP(($M59-$O59-$P59+$R59)*VLOOKUP($B59,Paraméterek!$B$38:$D$39,IF($D$2="Egyszeri",3,2))/12,IF($D$4="Forint",0,2))</f>
        <v>-60</v>
      </c>
      <c r="T59" s="13"/>
      <c r="U59" s="13"/>
      <c r="V59" s="13">
        <f ca="1">$M59-$O59-$P59+$R59-$S59-IF(ROUNDUP(IF(ISBLANK($U59),$T59,$U59)/IF(AND($B59=1,$D$2&lt;&gt;"Egyszeri"),1,VLOOKUP($B59+IF($C59=12,1,0),Paraméterek!$B$257:$D$267,IF($D$2="Egyszeri",3,2))),IF($D$4="Forint",0,2))&gt;$M59-$O59-$P59+$R59-$S59-IF($D$4="Forint",Paraméterek!$C$216,Paraméterek!$D$216),0,ROUNDUP(IF(ISBLANK($U59),$T59,$U59)/IF(AND($B59=1,$D$2&lt;&gt;"Egyszeri"),1,VLOOKUP($B59+IF($C59=12,1,0),Paraméterek!$B$257:$D$267,IF($D$2="Egyszeri",3,2))),IF($D$4="Forint",0,2)))</f>
        <v>-21736</v>
      </c>
      <c r="W59" s="13">
        <f ca="1">ROUNDDOWN($V59*VLOOKUP($B59+IF($C59=12,1,0),Paraméterek!$B$257:$D$267,IF($D$2="Egyszeri",3,2)),IF($D$4="Forint",0,2))</f>
        <v>-20866</v>
      </c>
      <c r="Y59" s="32">
        <v>40</v>
      </c>
      <c r="Z59" s="32">
        <v>4</v>
      </c>
      <c r="AA59" s="32">
        <v>4</v>
      </c>
      <c r="AB59" s="13">
        <f t="shared" si="11"/>
        <v>0</v>
      </c>
      <c r="AC59" s="33"/>
      <c r="AD59" s="13">
        <f t="shared" si="7"/>
        <v>0</v>
      </c>
      <c r="AE59" s="13">
        <f>ROUNDUP(($AB59+$AD59)*VLOOKUP($Z59,Paraméterek!$P$38:$Q$38,2)/12,IF($D$4="Forint",0,2))</f>
        <v>0</v>
      </c>
      <c r="AF59" s="13">
        <f>IF($D$2="Egyszeri",IF($D$7&gt;=IF($D$4="Forint",Paraméterek!$P$223,Paraméterek!$P$224),$D$7-IF($D$4="Forint",Paraméterek!$F$223,Paraméterek!$F$224),0),MIN(IF($AA59=12,AVERAGE($D$20:$D59)*12,0),SUM($D$20:$D$31)))</f>
        <v>0</v>
      </c>
      <c r="AG59" s="13">
        <f>IF(AND($Z59&gt;=10,MOD($Z59,5)=0),$AF59*IF($AA59=12,VLOOKUP($Z59,Paraméterek!$B$225:$F$240,IF($AF59&lt;IF($D$4="Forint",Paraméterek!$C$223,Paraméterek!$C$224),2,IF($AF59&lt;IF($D$4="Forint",Paraméterek!$D$223,Paraméterek!$D$224),3,4))),0),0)</f>
        <v>0</v>
      </c>
      <c r="AH59" s="13">
        <f>IF(AND($Z59&gt;=5,MOD($Z59,5)=0),IF($AA59=12,VLOOKUP($Z59,Paraméterek!$B$225:$F$240,5),0),IF(OR($Z59=3,$Z59=4),IF($AA59=12,VLOOKUP($Z59,Paraméterek!$B$225:$F$240,5,0),0),0))*$AF59</f>
        <v>0</v>
      </c>
      <c r="AI59" s="13">
        <f>ROUNDDOWN(IF(SUM($T$20:$U59)=0,IF($D$2="Egyszeri",$AH59,$AG59),0),IF($D$4="Forint",0,2))</f>
        <v>0</v>
      </c>
      <c r="AJ59" s="13">
        <f t="shared" si="12"/>
        <v>0</v>
      </c>
      <c r="AK59" s="13">
        <f t="shared" si="13"/>
        <v>0</v>
      </c>
      <c r="AM59" s="32">
        <v>40</v>
      </c>
      <c r="AN59" s="32">
        <v>4</v>
      </c>
      <c r="AO59" s="32">
        <v>4</v>
      </c>
      <c r="AP59" s="13"/>
      <c r="AQ59" s="32"/>
      <c r="AR59" s="13">
        <f t="shared" si="14"/>
        <v>0</v>
      </c>
      <c r="AS59" s="33"/>
      <c r="AT59" s="13">
        <f t="shared" si="8"/>
        <v>0</v>
      </c>
      <c r="AU59" s="13">
        <f>ROUNDUP(($AR59+$AT59)*VLOOKUP($AN59,Paraméterek!$P$38:$Q$38,2)/12,IF($D$4="Forint",0,2))</f>
        <v>0</v>
      </c>
      <c r="AV59" s="13"/>
      <c r="AW59" s="13"/>
      <c r="AX59" s="13">
        <f>ROUNDUP(IF(SUM($AV59:$AW59)=0,0,IF(IF(ISBLANK($AW59),$AV59,$AW59)*Paraméterek!$J$112&lt;IF($D$4="Forint",Paraméterek!$J$113,Paraméterek!$K$113),IF($D$4="Forint",Paraméterek!$J$113,Paraméterek!$K$113),IF(IF(ISBLANK($AW59),$AV59,$AW59)*Paraméterek!$J$112&gt;IF($D$4="Forint",Paraméterek!$J$114,Paraméterek!$K$114),IF($D$4="Forint",Paraméterek!$J$114,Paraméterek!$K$114),IF(ISBLANK($AW59),$AV59,$AW59)*Paraméterek!$J$112))),IF($D$4="Forint",0,2))</f>
        <v>0</v>
      </c>
      <c r="AY59" s="13">
        <f>$AR59+$AT59-$AU59-IF(ROUNDDOWN(IF(ISBLANK($AW59),$AV59,$AW59),IF($D$4="Forint",0,2))&gt;$AR59+$AT59-$AU59-IF($D$4="Forint",Paraméterek!$J$114,Paraméterek!$K$114),0,ROUNDDOWN(IF(ISBLANK($AW59),$AV59,$AW59),IF($D$4="Forint",0,2))-$AX59)</f>
        <v>0</v>
      </c>
      <c r="AZ59" s="13">
        <f t="shared" si="9"/>
        <v>0</v>
      </c>
    </row>
    <row r="60" spans="1:52" x14ac:dyDescent="0.2">
      <c r="A60" s="32">
        <v>41</v>
      </c>
      <c r="B60" s="32">
        <v>4</v>
      </c>
      <c r="C60" s="32">
        <v>5</v>
      </c>
      <c r="D60" s="13">
        <f t="shared" si="0"/>
        <v>0</v>
      </c>
      <c r="E60" s="13"/>
      <c r="F60" s="13"/>
      <c r="G60" s="13"/>
      <c r="H60" s="13">
        <f t="shared" si="1"/>
        <v>0</v>
      </c>
      <c r="I60" s="13">
        <f t="shared" si="2"/>
        <v>0</v>
      </c>
      <c r="J60" s="13">
        <f t="shared" si="3"/>
        <v>0</v>
      </c>
      <c r="K60" s="13">
        <f>ROUNDUP(IF($D$2="Egyszeri",$D60,IF($D$2="Havi",SUM($D$20:$D$31),IF(MOD($C60,$M$1)-1=0,SUM($D$20:$D$31),0))/12*$M$1)*VLOOKUP($B60,Paraméterek!$B$27:$D$30,IF($D$2="Egyszeri",3,2)),IF($D$4="Forint",0,2))</f>
        <v>0</v>
      </c>
      <c r="L60" s="13">
        <f t="shared" si="4"/>
        <v>0</v>
      </c>
      <c r="M60" s="13">
        <f t="shared" ca="1" si="10"/>
        <v>-21736</v>
      </c>
      <c r="N60" s="13">
        <f ca="1">IF($V59&gt;=VLOOKUP($M$4-1+$B60,Paraméterek!$B$121:$D$122,IF($D$4="Forint",2,3)),0,VLOOKUP($M$4-1+$B60,Paraméterek!$B$121:$D$122,IF($D$4="Forint",2,3))-$V59)</f>
        <v>31736</v>
      </c>
      <c r="O60" s="13">
        <f ca="1">ROUNDUP($N60*Paraméterek!$C$58/Paraméterek!$C$56,IF($D$4="Forint",0,2))</f>
        <v>6</v>
      </c>
      <c r="P60" s="13">
        <f t="shared" si="5"/>
        <v>601</v>
      </c>
      <c r="Q60" s="33"/>
      <c r="R60" s="13">
        <f t="shared" ca="1" si="6"/>
        <v>0</v>
      </c>
      <c r="S60" s="13">
        <f ca="1">ROUNDUP(($M60-$O60-$P60+$R60)*VLOOKUP($B60,Paraméterek!$B$38:$D$39,IF($D$2="Egyszeri",3,2))/12,IF($D$4="Forint",0,2))</f>
        <v>-61</v>
      </c>
      <c r="T60" s="13"/>
      <c r="U60" s="13"/>
      <c r="V60" s="13">
        <f ca="1">$M60-$O60-$P60+$R60-$S60-IF(ROUNDUP(IF(ISBLANK($U60),$T60,$U60)/IF(AND($B60=1,$D$2&lt;&gt;"Egyszeri"),1,VLOOKUP($B60+IF($C60=12,1,0),Paraméterek!$B$257:$D$267,IF($D$2="Egyszeri",3,2))),IF($D$4="Forint",0,2))&gt;$M60-$O60-$P60+$R60-$S60-IF($D$4="Forint",Paraméterek!$C$216,Paraméterek!$D$216),0,ROUNDUP(IF(ISBLANK($U60),$T60,$U60)/IF(AND($B60=1,$D$2&lt;&gt;"Egyszeri"),1,VLOOKUP($B60+IF($C60=12,1,0),Paraméterek!$B$257:$D$267,IF($D$2="Egyszeri",3,2))),IF($D$4="Forint",0,2)))</f>
        <v>-22282</v>
      </c>
      <c r="W60" s="13">
        <f ca="1">ROUNDDOWN($V60*VLOOKUP($B60+IF($C60=12,1,0),Paraméterek!$B$257:$D$267,IF($D$2="Egyszeri",3,2)),IF($D$4="Forint",0,2))</f>
        <v>-21390</v>
      </c>
      <c r="Y60" s="32">
        <v>41</v>
      </c>
      <c r="Z60" s="32">
        <v>4</v>
      </c>
      <c r="AA60" s="32">
        <v>5</v>
      </c>
      <c r="AB60" s="13">
        <f t="shared" si="11"/>
        <v>0</v>
      </c>
      <c r="AC60" s="33"/>
      <c r="AD60" s="13">
        <f t="shared" si="7"/>
        <v>0</v>
      </c>
      <c r="AE60" s="13">
        <f>ROUNDUP(($AB60+$AD60)*VLOOKUP($Z60,Paraméterek!$P$38:$Q$38,2)/12,IF($D$4="Forint",0,2))</f>
        <v>0</v>
      </c>
      <c r="AF60" s="13">
        <f>IF($D$2="Egyszeri",IF($D$7&gt;=IF($D$4="Forint",Paraméterek!$P$223,Paraméterek!$P$224),$D$7-IF($D$4="Forint",Paraméterek!$F$223,Paraméterek!$F$224),0),MIN(IF($AA60=12,AVERAGE($D$20:$D60)*12,0),SUM($D$20:$D$31)))</f>
        <v>0</v>
      </c>
      <c r="AG60" s="13">
        <f>IF(AND($Z60&gt;=10,MOD($Z60,5)=0),$AF60*IF($AA60=12,VLOOKUP($Z60,Paraméterek!$B$225:$F$240,IF($AF60&lt;IF($D$4="Forint",Paraméterek!$C$223,Paraméterek!$C$224),2,IF($AF60&lt;IF($D$4="Forint",Paraméterek!$D$223,Paraméterek!$D$224),3,4))),0),0)</f>
        <v>0</v>
      </c>
      <c r="AH60" s="13">
        <f>IF(AND($Z60&gt;=5,MOD($Z60,5)=0),IF($AA60=12,VLOOKUP($Z60,Paraméterek!$B$225:$F$240,5),0),IF(OR($Z60=3,$Z60=4),IF($AA60=12,VLOOKUP($Z60,Paraméterek!$B$225:$F$240,5,0),0),0))*$AF60</f>
        <v>0</v>
      </c>
      <c r="AI60" s="13">
        <f>ROUNDDOWN(IF(SUM($T$20:$U60)=0,IF($D$2="Egyszeri",$AH60,$AG60),0),IF($D$4="Forint",0,2))</f>
        <v>0</v>
      </c>
      <c r="AJ60" s="13">
        <f t="shared" si="12"/>
        <v>0</v>
      </c>
      <c r="AK60" s="13">
        <f t="shared" si="13"/>
        <v>0</v>
      </c>
      <c r="AM60" s="32">
        <v>41</v>
      </c>
      <c r="AN60" s="32">
        <v>4</v>
      </c>
      <c r="AO60" s="32">
        <v>5</v>
      </c>
      <c r="AP60" s="13"/>
      <c r="AQ60" s="32"/>
      <c r="AR60" s="13">
        <f t="shared" si="14"/>
        <v>0</v>
      </c>
      <c r="AS60" s="33"/>
      <c r="AT60" s="13">
        <f t="shared" si="8"/>
        <v>0</v>
      </c>
      <c r="AU60" s="13">
        <f>ROUNDUP(($AR60+$AT60)*VLOOKUP($AN60,Paraméterek!$P$38:$Q$38,2)/12,IF($D$4="Forint",0,2))</f>
        <v>0</v>
      </c>
      <c r="AV60" s="13"/>
      <c r="AW60" s="13"/>
      <c r="AX60" s="13">
        <f>ROUNDUP(IF(SUM($AV60:$AW60)=0,0,IF(IF(ISBLANK($AW60),$AV60,$AW60)*Paraméterek!$J$112&lt;IF($D$4="Forint",Paraméterek!$J$113,Paraméterek!$K$113),IF($D$4="Forint",Paraméterek!$J$113,Paraméterek!$K$113),IF(IF(ISBLANK($AW60),$AV60,$AW60)*Paraméterek!$J$112&gt;IF($D$4="Forint",Paraméterek!$J$114,Paraméterek!$K$114),IF($D$4="Forint",Paraméterek!$J$114,Paraméterek!$K$114),IF(ISBLANK($AW60),$AV60,$AW60)*Paraméterek!$J$112))),IF($D$4="Forint",0,2))</f>
        <v>0</v>
      </c>
      <c r="AY60" s="13">
        <f>$AR60+$AT60-$AU60-IF(ROUNDDOWN(IF(ISBLANK($AW60),$AV60,$AW60),IF($D$4="Forint",0,2))&gt;$AR60+$AT60-$AU60-IF($D$4="Forint",Paraméterek!$J$114,Paraméterek!$K$114),0,ROUNDDOWN(IF(ISBLANK($AW60),$AV60,$AW60),IF($D$4="Forint",0,2))-$AX60)</f>
        <v>0</v>
      </c>
      <c r="AZ60" s="13">
        <f t="shared" si="9"/>
        <v>0</v>
      </c>
    </row>
    <row r="61" spans="1:52" x14ac:dyDescent="0.2">
      <c r="A61" s="32">
        <v>42</v>
      </c>
      <c r="B61" s="32">
        <v>4</v>
      </c>
      <c r="C61" s="32">
        <v>6</v>
      </c>
      <c r="D61" s="13">
        <f t="shared" si="0"/>
        <v>0</v>
      </c>
      <c r="E61" s="13"/>
      <c r="F61" s="13"/>
      <c r="G61" s="13"/>
      <c r="H61" s="13">
        <f t="shared" si="1"/>
        <v>0</v>
      </c>
      <c r="I61" s="13">
        <f t="shared" si="2"/>
        <v>0</v>
      </c>
      <c r="J61" s="13">
        <f t="shared" si="3"/>
        <v>0</v>
      </c>
      <c r="K61" s="13">
        <f>ROUNDUP(IF($D$2="Egyszeri",$D61,IF($D$2="Havi",SUM($D$20:$D$31),IF(MOD($C61,$M$1)-1=0,SUM($D$20:$D$31),0))/12*$M$1)*VLOOKUP($B61,Paraméterek!$B$27:$D$30,IF($D$2="Egyszeri",3,2)),IF($D$4="Forint",0,2))</f>
        <v>0</v>
      </c>
      <c r="L61" s="13">
        <f t="shared" si="4"/>
        <v>0</v>
      </c>
      <c r="M61" s="13">
        <f t="shared" ca="1" si="10"/>
        <v>-22282</v>
      </c>
      <c r="N61" s="13">
        <f ca="1">IF($V60&gt;=VLOOKUP($M$4-1+$B61,Paraméterek!$B$121:$D$122,IF($D$4="Forint",2,3)),0,VLOOKUP($M$4-1+$B61,Paraméterek!$B$121:$D$122,IF($D$4="Forint",2,3))-$V60)</f>
        <v>32282</v>
      </c>
      <c r="O61" s="13">
        <f ca="1">ROUNDUP($N61*Paraméterek!$C$58/Paraméterek!$C$56,IF($D$4="Forint",0,2))</f>
        <v>6</v>
      </c>
      <c r="P61" s="13">
        <f t="shared" si="5"/>
        <v>601</v>
      </c>
      <c r="Q61" s="33"/>
      <c r="R61" s="13">
        <f t="shared" ca="1" si="6"/>
        <v>0</v>
      </c>
      <c r="S61" s="13">
        <f ca="1">ROUNDUP(($M61-$O61-$P61+$R61)*VLOOKUP($B61,Paraméterek!$B$38:$D$39,IF($D$2="Egyszeri",3,2))/12,IF($D$4="Forint",0,2))</f>
        <v>-62</v>
      </c>
      <c r="T61" s="13"/>
      <c r="U61" s="13"/>
      <c r="V61" s="13">
        <f ca="1">$M61-$O61-$P61+$R61-$S61-IF(ROUNDUP(IF(ISBLANK($U61),$T61,$U61)/IF(AND($B61=1,$D$2&lt;&gt;"Egyszeri"),1,VLOOKUP($B61+IF($C61=12,1,0),Paraméterek!$B$257:$D$267,IF($D$2="Egyszeri",3,2))),IF($D$4="Forint",0,2))&gt;$M61-$O61-$P61+$R61-$S61-IF($D$4="Forint",Paraméterek!$C$216,Paraméterek!$D$216),0,ROUNDUP(IF(ISBLANK($U61),$T61,$U61)/IF(AND($B61=1,$D$2&lt;&gt;"Egyszeri"),1,VLOOKUP($B61+IF($C61=12,1,0),Paraméterek!$B$257:$D$267,IF($D$2="Egyszeri",3,2))),IF($D$4="Forint",0,2)))</f>
        <v>-22827</v>
      </c>
      <c r="W61" s="13">
        <f ca="1">ROUNDDOWN($V61*VLOOKUP($B61+IF($C61=12,1,0),Paraméterek!$B$257:$D$267,IF($D$2="Egyszeri",3,2)),IF($D$4="Forint",0,2))</f>
        <v>-21913</v>
      </c>
      <c r="Y61" s="32">
        <v>42</v>
      </c>
      <c r="Z61" s="32">
        <v>4</v>
      </c>
      <c r="AA61" s="32">
        <v>6</v>
      </c>
      <c r="AB61" s="13">
        <f t="shared" si="11"/>
        <v>0</v>
      </c>
      <c r="AC61" s="33"/>
      <c r="AD61" s="13">
        <f t="shared" si="7"/>
        <v>0</v>
      </c>
      <c r="AE61" s="13">
        <f>ROUNDUP(($AB61+$AD61)*VLOOKUP($Z61,Paraméterek!$P$38:$Q$38,2)/12,IF($D$4="Forint",0,2))</f>
        <v>0</v>
      </c>
      <c r="AF61" s="13">
        <f>IF($D$2="Egyszeri",IF($D$7&gt;=IF($D$4="Forint",Paraméterek!$P$223,Paraméterek!$P$224),$D$7-IF($D$4="Forint",Paraméterek!$F$223,Paraméterek!$F$224),0),MIN(IF($AA61=12,AVERAGE($D$20:$D61)*12,0),SUM($D$20:$D$31)))</f>
        <v>0</v>
      </c>
      <c r="AG61" s="13">
        <f>IF(AND($Z61&gt;=10,MOD($Z61,5)=0),$AF61*IF($AA61=12,VLOOKUP($Z61,Paraméterek!$B$225:$F$240,IF($AF61&lt;IF($D$4="Forint",Paraméterek!$C$223,Paraméterek!$C$224),2,IF($AF61&lt;IF($D$4="Forint",Paraméterek!$D$223,Paraméterek!$D$224),3,4))),0),0)</f>
        <v>0</v>
      </c>
      <c r="AH61" s="13">
        <f>IF(AND($Z61&gt;=5,MOD($Z61,5)=0),IF($AA61=12,VLOOKUP($Z61,Paraméterek!$B$225:$F$240,5),0),IF(OR($Z61=3,$Z61=4),IF($AA61=12,VLOOKUP($Z61,Paraméterek!$B$225:$F$240,5,0),0),0))*$AF61</f>
        <v>0</v>
      </c>
      <c r="AI61" s="13">
        <f>ROUNDDOWN(IF(SUM($T$20:$U61)=0,IF($D$2="Egyszeri",$AH61,$AG61),0),IF($D$4="Forint",0,2))</f>
        <v>0</v>
      </c>
      <c r="AJ61" s="13">
        <f t="shared" si="12"/>
        <v>0</v>
      </c>
      <c r="AK61" s="13">
        <f t="shared" si="13"/>
        <v>0</v>
      </c>
      <c r="AM61" s="32">
        <v>42</v>
      </c>
      <c r="AN61" s="32">
        <v>4</v>
      </c>
      <c r="AO61" s="32">
        <v>6</v>
      </c>
      <c r="AP61" s="13"/>
      <c r="AQ61" s="32"/>
      <c r="AR61" s="13">
        <f t="shared" si="14"/>
        <v>0</v>
      </c>
      <c r="AS61" s="33"/>
      <c r="AT61" s="13">
        <f t="shared" si="8"/>
        <v>0</v>
      </c>
      <c r="AU61" s="13">
        <f>ROUNDUP(($AR61+$AT61)*VLOOKUP($AN61,Paraméterek!$P$38:$Q$38,2)/12,IF($D$4="Forint",0,2))</f>
        <v>0</v>
      </c>
      <c r="AV61" s="13"/>
      <c r="AW61" s="13"/>
      <c r="AX61" s="13">
        <f>ROUNDUP(IF(SUM($AV61:$AW61)=0,0,IF(IF(ISBLANK($AW61),$AV61,$AW61)*Paraméterek!$J$112&lt;IF($D$4="Forint",Paraméterek!$J$113,Paraméterek!$K$113),IF($D$4="Forint",Paraméterek!$J$113,Paraméterek!$K$113),IF(IF(ISBLANK($AW61),$AV61,$AW61)*Paraméterek!$J$112&gt;IF($D$4="Forint",Paraméterek!$J$114,Paraméterek!$K$114),IF($D$4="Forint",Paraméterek!$J$114,Paraméterek!$K$114),IF(ISBLANK($AW61),$AV61,$AW61)*Paraméterek!$J$112))),IF($D$4="Forint",0,2))</f>
        <v>0</v>
      </c>
      <c r="AY61" s="13">
        <f>$AR61+$AT61-$AU61-IF(ROUNDDOWN(IF(ISBLANK($AW61),$AV61,$AW61),IF($D$4="Forint",0,2))&gt;$AR61+$AT61-$AU61-IF($D$4="Forint",Paraméterek!$J$114,Paraméterek!$K$114),0,ROUNDDOWN(IF(ISBLANK($AW61),$AV61,$AW61),IF($D$4="Forint",0,2))-$AX61)</f>
        <v>0</v>
      </c>
      <c r="AZ61" s="13">
        <f t="shared" si="9"/>
        <v>0</v>
      </c>
    </row>
    <row r="62" spans="1:52" x14ac:dyDescent="0.2">
      <c r="A62" s="32">
        <v>43</v>
      </c>
      <c r="B62" s="32">
        <v>4</v>
      </c>
      <c r="C62" s="32">
        <v>7</v>
      </c>
      <c r="D62" s="13">
        <f t="shared" si="0"/>
        <v>0</v>
      </c>
      <c r="E62" s="13"/>
      <c r="F62" s="13"/>
      <c r="G62" s="13"/>
      <c r="H62" s="13">
        <f t="shared" si="1"/>
        <v>0</v>
      </c>
      <c r="I62" s="13">
        <f t="shared" si="2"/>
        <v>0</v>
      </c>
      <c r="J62" s="13">
        <f t="shared" si="3"/>
        <v>0</v>
      </c>
      <c r="K62" s="13">
        <f>ROUNDUP(IF($D$2="Egyszeri",$D62,IF($D$2="Havi",SUM($D$20:$D$31),IF(MOD($C62,$M$1)-1=0,SUM($D$20:$D$31),0))/12*$M$1)*VLOOKUP($B62,Paraméterek!$B$27:$D$30,IF($D$2="Egyszeri",3,2)),IF($D$4="Forint",0,2))</f>
        <v>0</v>
      </c>
      <c r="L62" s="13">
        <f t="shared" si="4"/>
        <v>0</v>
      </c>
      <c r="M62" s="13">
        <f t="shared" ca="1" si="10"/>
        <v>-22827</v>
      </c>
      <c r="N62" s="13">
        <f ca="1">IF($V61&gt;=VLOOKUP($M$4-1+$B62,Paraméterek!$B$121:$D$122,IF($D$4="Forint",2,3)),0,VLOOKUP($M$4-1+$B62,Paraméterek!$B$121:$D$122,IF($D$4="Forint",2,3))-$V61)</f>
        <v>32827</v>
      </c>
      <c r="O62" s="13">
        <f ca="1">ROUNDUP($N62*Paraméterek!$C$58/Paraméterek!$C$56,IF($D$4="Forint",0,2))</f>
        <v>6</v>
      </c>
      <c r="P62" s="13">
        <f t="shared" si="5"/>
        <v>601</v>
      </c>
      <c r="Q62" s="33"/>
      <c r="R62" s="13">
        <f t="shared" ca="1" si="6"/>
        <v>0</v>
      </c>
      <c r="S62" s="13">
        <f ca="1">ROUNDUP(($M62-$O62-$P62+$R62)*VLOOKUP($B62,Paraméterek!$B$38:$D$39,IF($D$2="Egyszeri",3,2))/12,IF($D$4="Forint",0,2))</f>
        <v>-64</v>
      </c>
      <c r="T62" s="13"/>
      <c r="U62" s="13"/>
      <c r="V62" s="13">
        <f ca="1">$M62-$O62-$P62+$R62-$S62-IF(ROUNDUP(IF(ISBLANK($U62),$T62,$U62)/IF(AND($B62=1,$D$2&lt;&gt;"Egyszeri"),1,VLOOKUP($B62+IF($C62=12,1,0),Paraméterek!$B$257:$D$267,IF($D$2="Egyszeri",3,2))),IF($D$4="Forint",0,2))&gt;$M62-$O62-$P62+$R62-$S62-IF($D$4="Forint",Paraméterek!$C$216,Paraméterek!$D$216),0,ROUNDUP(IF(ISBLANK($U62),$T62,$U62)/IF(AND($B62=1,$D$2&lt;&gt;"Egyszeri"),1,VLOOKUP($B62+IF($C62=12,1,0),Paraméterek!$B$257:$D$267,IF($D$2="Egyszeri",3,2))),IF($D$4="Forint",0,2)))</f>
        <v>-23370</v>
      </c>
      <c r="W62" s="13">
        <f ca="1">ROUNDDOWN($V62*VLOOKUP($B62+IF($C62=12,1,0),Paraméterek!$B$257:$D$267,IF($D$2="Egyszeri",3,2)),IF($D$4="Forint",0,2))</f>
        <v>-22435</v>
      </c>
      <c r="Y62" s="32">
        <v>43</v>
      </c>
      <c r="Z62" s="32">
        <v>4</v>
      </c>
      <c r="AA62" s="32">
        <v>7</v>
      </c>
      <c r="AB62" s="13">
        <f t="shared" si="11"/>
        <v>0</v>
      </c>
      <c r="AC62" s="33"/>
      <c r="AD62" s="13">
        <f t="shared" si="7"/>
        <v>0</v>
      </c>
      <c r="AE62" s="13">
        <f>ROUNDUP(($AB62+$AD62)*VLOOKUP($Z62,Paraméterek!$P$38:$Q$38,2)/12,IF($D$4="Forint",0,2))</f>
        <v>0</v>
      </c>
      <c r="AF62" s="13">
        <f>IF($D$2="Egyszeri",IF($D$7&gt;=IF($D$4="Forint",Paraméterek!$P$223,Paraméterek!$P$224),$D$7-IF($D$4="Forint",Paraméterek!$F$223,Paraméterek!$F$224),0),MIN(IF($AA62=12,AVERAGE($D$20:$D62)*12,0),SUM($D$20:$D$31)))</f>
        <v>0</v>
      </c>
      <c r="AG62" s="13">
        <f>IF(AND($Z62&gt;=10,MOD($Z62,5)=0),$AF62*IF($AA62=12,VLOOKUP($Z62,Paraméterek!$B$225:$F$240,IF($AF62&lt;IF($D$4="Forint",Paraméterek!$C$223,Paraméterek!$C$224),2,IF($AF62&lt;IF($D$4="Forint",Paraméterek!$D$223,Paraméterek!$D$224),3,4))),0),0)</f>
        <v>0</v>
      </c>
      <c r="AH62" s="13">
        <f>IF(AND($Z62&gt;=5,MOD($Z62,5)=0),IF($AA62=12,VLOOKUP($Z62,Paraméterek!$B$225:$F$240,5),0),IF(OR($Z62=3,$Z62=4),IF($AA62=12,VLOOKUP($Z62,Paraméterek!$B$225:$F$240,5,0),0),0))*$AF62</f>
        <v>0</v>
      </c>
      <c r="AI62" s="13">
        <f>ROUNDDOWN(IF(SUM($T$20:$U62)=0,IF($D$2="Egyszeri",$AH62,$AG62),0),IF($D$4="Forint",0,2))</f>
        <v>0</v>
      </c>
      <c r="AJ62" s="13">
        <f t="shared" si="12"/>
        <v>0</v>
      </c>
      <c r="AK62" s="13">
        <f t="shared" si="13"/>
        <v>0</v>
      </c>
      <c r="AM62" s="32">
        <v>43</v>
      </c>
      <c r="AN62" s="32">
        <v>4</v>
      </c>
      <c r="AO62" s="32">
        <v>7</v>
      </c>
      <c r="AP62" s="13"/>
      <c r="AQ62" s="32"/>
      <c r="AR62" s="13">
        <f t="shared" si="14"/>
        <v>0</v>
      </c>
      <c r="AS62" s="33"/>
      <c r="AT62" s="13">
        <f t="shared" si="8"/>
        <v>0</v>
      </c>
      <c r="AU62" s="13">
        <f>ROUNDUP(($AR62+$AT62)*VLOOKUP($AN62,Paraméterek!$P$38:$Q$38,2)/12,IF($D$4="Forint",0,2))</f>
        <v>0</v>
      </c>
      <c r="AV62" s="13"/>
      <c r="AW62" s="13"/>
      <c r="AX62" s="13">
        <f>ROUNDUP(IF(SUM($AV62:$AW62)=0,0,IF(IF(ISBLANK($AW62),$AV62,$AW62)*Paraméterek!$J$112&lt;IF($D$4="Forint",Paraméterek!$J$113,Paraméterek!$K$113),IF($D$4="Forint",Paraméterek!$J$113,Paraméterek!$K$113),IF(IF(ISBLANK($AW62),$AV62,$AW62)*Paraméterek!$J$112&gt;IF($D$4="Forint",Paraméterek!$J$114,Paraméterek!$K$114),IF($D$4="Forint",Paraméterek!$J$114,Paraméterek!$K$114),IF(ISBLANK($AW62),$AV62,$AW62)*Paraméterek!$J$112))),IF($D$4="Forint",0,2))</f>
        <v>0</v>
      </c>
      <c r="AY62" s="13">
        <f>$AR62+$AT62-$AU62-IF(ROUNDDOWN(IF(ISBLANK($AW62),$AV62,$AW62),IF($D$4="Forint",0,2))&gt;$AR62+$AT62-$AU62-IF($D$4="Forint",Paraméterek!$J$114,Paraméterek!$K$114),0,ROUNDDOWN(IF(ISBLANK($AW62),$AV62,$AW62),IF($D$4="Forint",0,2))-$AX62)</f>
        <v>0</v>
      </c>
      <c r="AZ62" s="13">
        <f t="shared" si="9"/>
        <v>0</v>
      </c>
    </row>
    <row r="63" spans="1:52" x14ac:dyDescent="0.2">
      <c r="A63" s="32">
        <v>44</v>
      </c>
      <c r="B63" s="32">
        <v>4</v>
      </c>
      <c r="C63" s="32">
        <v>8</v>
      </c>
      <c r="D63" s="13">
        <f t="shared" si="0"/>
        <v>0</v>
      </c>
      <c r="E63" s="13"/>
      <c r="F63" s="13"/>
      <c r="G63" s="13"/>
      <c r="H63" s="13">
        <f t="shared" si="1"/>
        <v>0</v>
      </c>
      <c r="I63" s="13">
        <f t="shared" si="2"/>
        <v>0</v>
      </c>
      <c r="J63" s="13">
        <f t="shared" si="3"/>
        <v>0</v>
      </c>
      <c r="K63" s="13">
        <f>ROUNDUP(IF($D$2="Egyszeri",$D63,IF($D$2="Havi",SUM($D$20:$D$31),IF(MOD($C63,$M$1)-1=0,SUM($D$20:$D$31),0))/12*$M$1)*VLOOKUP($B63,Paraméterek!$B$27:$D$30,IF($D$2="Egyszeri",3,2)),IF($D$4="Forint",0,2))</f>
        <v>0</v>
      </c>
      <c r="L63" s="13">
        <f t="shared" si="4"/>
        <v>0</v>
      </c>
      <c r="M63" s="13">
        <f t="shared" ca="1" si="10"/>
        <v>-23370</v>
      </c>
      <c r="N63" s="13">
        <f ca="1">IF($V62&gt;=VLOOKUP($M$4-1+$B63,Paraméterek!$B$121:$D$122,IF($D$4="Forint",2,3)),0,VLOOKUP($M$4-1+$B63,Paraméterek!$B$121:$D$122,IF($D$4="Forint",2,3))-$V62)</f>
        <v>33370</v>
      </c>
      <c r="O63" s="13">
        <f ca="1">ROUNDUP($N63*Paraméterek!$C$58/Paraméterek!$C$56,IF($D$4="Forint",0,2))</f>
        <v>6</v>
      </c>
      <c r="P63" s="13">
        <f t="shared" si="5"/>
        <v>601</v>
      </c>
      <c r="Q63" s="33"/>
      <c r="R63" s="13">
        <f t="shared" ca="1" si="6"/>
        <v>0</v>
      </c>
      <c r="S63" s="13">
        <f ca="1">ROUNDUP(($M63-$O63-$P63+$R63)*VLOOKUP($B63,Paraméterek!$B$38:$D$39,IF($D$2="Egyszeri",3,2))/12,IF($D$4="Forint",0,2))</f>
        <v>-65</v>
      </c>
      <c r="T63" s="13"/>
      <c r="U63" s="13"/>
      <c r="V63" s="13">
        <f ca="1">$M63-$O63-$P63+$R63-$S63-IF(ROUNDUP(IF(ISBLANK($U63),$T63,$U63)/IF(AND($B63=1,$D$2&lt;&gt;"Egyszeri"),1,VLOOKUP($B63+IF($C63=12,1,0),Paraméterek!$B$257:$D$267,IF($D$2="Egyszeri",3,2))),IF($D$4="Forint",0,2))&gt;$M63-$O63-$P63+$R63-$S63-IF($D$4="Forint",Paraméterek!$C$216,Paraméterek!$D$216),0,ROUNDUP(IF(ISBLANK($U63),$T63,$U63)/IF(AND($B63=1,$D$2&lt;&gt;"Egyszeri"),1,VLOOKUP($B63+IF($C63=12,1,0),Paraméterek!$B$257:$D$267,IF($D$2="Egyszeri",3,2))),IF($D$4="Forint",0,2)))</f>
        <v>-23912</v>
      </c>
      <c r="W63" s="13">
        <f ca="1">ROUNDDOWN($V63*VLOOKUP($B63+IF($C63=12,1,0),Paraméterek!$B$257:$D$267,IF($D$2="Egyszeri",3,2)),IF($D$4="Forint",0,2))</f>
        <v>-22955</v>
      </c>
      <c r="Y63" s="32">
        <v>44</v>
      </c>
      <c r="Z63" s="32">
        <v>4</v>
      </c>
      <c r="AA63" s="32">
        <v>8</v>
      </c>
      <c r="AB63" s="13">
        <f t="shared" si="11"/>
        <v>0</v>
      </c>
      <c r="AC63" s="33"/>
      <c r="AD63" s="13">
        <f t="shared" si="7"/>
        <v>0</v>
      </c>
      <c r="AE63" s="13">
        <f>ROUNDUP(($AB63+$AD63)*VLOOKUP($Z63,Paraméterek!$P$38:$Q$38,2)/12,IF($D$4="Forint",0,2))</f>
        <v>0</v>
      </c>
      <c r="AF63" s="13">
        <f>IF($D$2="Egyszeri",IF($D$7&gt;=IF($D$4="Forint",Paraméterek!$P$223,Paraméterek!$P$224),$D$7-IF($D$4="Forint",Paraméterek!$F$223,Paraméterek!$F$224),0),MIN(IF($AA63=12,AVERAGE($D$20:$D63)*12,0),SUM($D$20:$D$31)))</f>
        <v>0</v>
      </c>
      <c r="AG63" s="13">
        <f>IF(AND($Z63&gt;=10,MOD($Z63,5)=0),$AF63*IF($AA63=12,VLOOKUP($Z63,Paraméterek!$B$225:$F$240,IF($AF63&lt;IF($D$4="Forint",Paraméterek!$C$223,Paraméterek!$C$224),2,IF($AF63&lt;IF($D$4="Forint",Paraméterek!$D$223,Paraméterek!$D$224),3,4))),0),0)</f>
        <v>0</v>
      </c>
      <c r="AH63" s="13">
        <f>IF(AND($Z63&gt;=5,MOD($Z63,5)=0),IF($AA63=12,VLOOKUP($Z63,Paraméterek!$B$225:$F$240,5),0),IF(OR($Z63=3,$Z63=4),IF($AA63=12,VLOOKUP($Z63,Paraméterek!$B$225:$F$240,5,0),0),0))*$AF63</f>
        <v>0</v>
      </c>
      <c r="AI63" s="13">
        <f>ROUNDDOWN(IF(SUM($T$20:$U63)=0,IF($D$2="Egyszeri",$AH63,$AG63),0),IF($D$4="Forint",0,2))</f>
        <v>0</v>
      </c>
      <c r="AJ63" s="13">
        <f t="shared" si="12"/>
        <v>0</v>
      </c>
      <c r="AK63" s="13">
        <f t="shared" si="13"/>
        <v>0</v>
      </c>
      <c r="AM63" s="32">
        <v>44</v>
      </c>
      <c r="AN63" s="32">
        <v>4</v>
      </c>
      <c r="AO63" s="32">
        <v>8</v>
      </c>
      <c r="AP63" s="13"/>
      <c r="AQ63" s="32"/>
      <c r="AR63" s="13">
        <f t="shared" si="14"/>
        <v>0</v>
      </c>
      <c r="AS63" s="33"/>
      <c r="AT63" s="13">
        <f t="shared" si="8"/>
        <v>0</v>
      </c>
      <c r="AU63" s="13">
        <f>ROUNDUP(($AR63+$AT63)*VLOOKUP($AN63,Paraméterek!$P$38:$Q$38,2)/12,IF($D$4="Forint",0,2))</f>
        <v>0</v>
      </c>
      <c r="AV63" s="13"/>
      <c r="AW63" s="13"/>
      <c r="AX63" s="13">
        <f>ROUNDUP(IF(SUM($AV63:$AW63)=0,0,IF(IF(ISBLANK($AW63),$AV63,$AW63)*Paraméterek!$J$112&lt;IF($D$4="Forint",Paraméterek!$J$113,Paraméterek!$K$113),IF($D$4="Forint",Paraméterek!$J$113,Paraméterek!$K$113),IF(IF(ISBLANK($AW63),$AV63,$AW63)*Paraméterek!$J$112&gt;IF($D$4="Forint",Paraméterek!$J$114,Paraméterek!$K$114),IF($D$4="Forint",Paraméterek!$J$114,Paraméterek!$K$114),IF(ISBLANK($AW63),$AV63,$AW63)*Paraméterek!$J$112))),IF($D$4="Forint",0,2))</f>
        <v>0</v>
      </c>
      <c r="AY63" s="13">
        <f>$AR63+$AT63-$AU63-IF(ROUNDDOWN(IF(ISBLANK($AW63),$AV63,$AW63),IF($D$4="Forint",0,2))&gt;$AR63+$AT63-$AU63-IF($D$4="Forint",Paraméterek!$J$114,Paraméterek!$K$114),0,ROUNDDOWN(IF(ISBLANK($AW63),$AV63,$AW63),IF($D$4="Forint",0,2))-$AX63)</f>
        <v>0</v>
      </c>
      <c r="AZ63" s="13">
        <f t="shared" si="9"/>
        <v>0</v>
      </c>
    </row>
    <row r="64" spans="1:52" x14ac:dyDescent="0.2">
      <c r="A64" s="32">
        <v>45</v>
      </c>
      <c r="B64" s="32">
        <v>4</v>
      </c>
      <c r="C64" s="32">
        <v>9</v>
      </c>
      <c r="D64" s="13">
        <f t="shared" si="0"/>
        <v>0</v>
      </c>
      <c r="E64" s="13"/>
      <c r="F64" s="13"/>
      <c r="G64" s="13"/>
      <c r="H64" s="13">
        <f t="shared" si="1"/>
        <v>0</v>
      </c>
      <c r="I64" s="13">
        <f t="shared" si="2"/>
        <v>0</v>
      </c>
      <c r="J64" s="13">
        <f t="shared" si="3"/>
        <v>0</v>
      </c>
      <c r="K64" s="13">
        <f>ROUNDUP(IF($D$2="Egyszeri",$D64,IF($D$2="Havi",SUM($D$20:$D$31),IF(MOD($C64,$M$1)-1=0,SUM($D$20:$D$31),0))/12*$M$1)*VLOOKUP($B64,Paraméterek!$B$27:$D$30,IF($D$2="Egyszeri",3,2)),IF($D$4="Forint",0,2))</f>
        <v>0</v>
      </c>
      <c r="L64" s="13">
        <f t="shared" si="4"/>
        <v>0</v>
      </c>
      <c r="M64" s="13">
        <f t="shared" ca="1" si="10"/>
        <v>-23912</v>
      </c>
      <c r="N64" s="13">
        <f ca="1">IF($V63&gt;=VLOOKUP($M$4-1+$B64,Paraméterek!$B$121:$D$122,IF($D$4="Forint",2,3)),0,VLOOKUP($M$4-1+$B64,Paraméterek!$B$121:$D$122,IF($D$4="Forint",2,3))-$V63)</f>
        <v>33912</v>
      </c>
      <c r="O64" s="13">
        <f ca="1">ROUNDUP($N64*Paraméterek!$C$58/Paraméterek!$C$56,IF($D$4="Forint",0,2))</f>
        <v>6</v>
      </c>
      <c r="P64" s="13">
        <f t="shared" si="5"/>
        <v>601</v>
      </c>
      <c r="Q64" s="33"/>
      <c r="R64" s="13">
        <f t="shared" ca="1" si="6"/>
        <v>0</v>
      </c>
      <c r="S64" s="13">
        <f ca="1">ROUNDUP(($M64-$O64-$P64+$R64)*VLOOKUP($B64,Paraméterek!$B$38:$D$39,IF($D$2="Egyszeri",3,2))/12,IF($D$4="Forint",0,2))</f>
        <v>-67</v>
      </c>
      <c r="T64" s="13"/>
      <c r="U64" s="13"/>
      <c r="V64" s="13">
        <f ca="1">$M64-$O64-$P64+$R64-$S64-IF(ROUNDUP(IF(ISBLANK($U64),$T64,$U64)/IF(AND($B64=1,$D$2&lt;&gt;"Egyszeri"),1,VLOOKUP($B64+IF($C64=12,1,0),Paraméterek!$B$257:$D$267,IF($D$2="Egyszeri",3,2))),IF($D$4="Forint",0,2))&gt;$M64-$O64-$P64+$R64-$S64-IF($D$4="Forint",Paraméterek!$C$216,Paraméterek!$D$216),0,ROUNDUP(IF(ISBLANK($U64),$T64,$U64)/IF(AND($B64=1,$D$2&lt;&gt;"Egyszeri"),1,VLOOKUP($B64+IF($C64=12,1,0),Paraméterek!$B$257:$D$267,IF($D$2="Egyszeri",3,2))),IF($D$4="Forint",0,2)))</f>
        <v>-24452</v>
      </c>
      <c r="W64" s="13">
        <f ca="1">ROUNDDOWN($V64*VLOOKUP($B64+IF($C64=12,1,0),Paraméterek!$B$257:$D$267,IF($D$2="Egyszeri",3,2)),IF($D$4="Forint",0,2))</f>
        <v>-23473</v>
      </c>
      <c r="Y64" s="32">
        <v>45</v>
      </c>
      <c r="Z64" s="32">
        <v>4</v>
      </c>
      <c r="AA64" s="32">
        <v>9</v>
      </c>
      <c r="AB64" s="13">
        <f t="shared" si="11"/>
        <v>0</v>
      </c>
      <c r="AC64" s="33"/>
      <c r="AD64" s="13">
        <f t="shared" si="7"/>
        <v>0</v>
      </c>
      <c r="AE64" s="13">
        <f>ROUNDUP(($AB64+$AD64)*VLOOKUP($Z64,Paraméterek!$P$38:$Q$38,2)/12,IF($D$4="Forint",0,2))</f>
        <v>0</v>
      </c>
      <c r="AF64" s="13">
        <f>IF($D$2="Egyszeri",IF($D$7&gt;=IF($D$4="Forint",Paraméterek!$P$223,Paraméterek!$P$224),$D$7-IF($D$4="Forint",Paraméterek!$F$223,Paraméterek!$F$224),0),MIN(IF($AA64=12,AVERAGE($D$20:$D64)*12,0),SUM($D$20:$D$31)))</f>
        <v>0</v>
      </c>
      <c r="AG64" s="13">
        <f>IF(AND($Z64&gt;=10,MOD($Z64,5)=0),$AF64*IF($AA64=12,VLOOKUP($Z64,Paraméterek!$B$225:$F$240,IF($AF64&lt;IF($D$4="Forint",Paraméterek!$C$223,Paraméterek!$C$224),2,IF($AF64&lt;IF($D$4="Forint",Paraméterek!$D$223,Paraméterek!$D$224),3,4))),0),0)</f>
        <v>0</v>
      </c>
      <c r="AH64" s="13">
        <f>IF(AND($Z64&gt;=5,MOD($Z64,5)=0),IF($AA64=12,VLOOKUP($Z64,Paraméterek!$B$225:$F$240,5),0),IF(OR($Z64=3,$Z64=4),IF($AA64=12,VLOOKUP($Z64,Paraméterek!$B$225:$F$240,5,0),0),0))*$AF64</f>
        <v>0</v>
      </c>
      <c r="AI64" s="13">
        <f>ROUNDDOWN(IF(SUM($T$20:$U64)=0,IF($D$2="Egyszeri",$AH64,$AG64),0),IF($D$4="Forint",0,2))</f>
        <v>0</v>
      </c>
      <c r="AJ64" s="13">
        <f t="shared" si="12"/>
        <v>0</v>
      </c>
      <c r="AK64" s="13">
        <f t="shared" si="13"/>
        <v>0</v>
      </c>
      <c r="AM64" s="32">
        <v>45</v>
      </c>
      <c r="AN64" s="32">
        <v>4</v>
      </c>
      <c r="AO64" s="32">
        <v>9</v>
      </c>
      <c r="AP64" s="13"/>
      <c r="AQ64" s="32"/>
      <c r="AR64" s="13">
        <f t="shared" si="14"/>
        <v>0</v>
      </c>
      <c r="AS64" s="33"/>
      <c r="AT64" s="13">
        <f t="shared" si="8"/>
        <v>0</v>
      </c>
      <c r="AU64" s="13">
        <f>ROUNDUP(($AR64+$AT64)*VLOOKUP($AN64,Paraméterek!$P$38:$Q$38,2)/12,IF($D$4="Forint",0,2))</f>
        <v>0</v>
      </c>
      <c r="AV64" s="13"/>
      <c r="AW64" s="13"/>
      <c r="AX64" s="13">
        <f>ROUNDUP(IF(SUM($AV64:$AW64)=0,0,IF(IF(ISBLANK($AW64),$AV64,$AW64)*Paraméterek!$J$112&lt;IF($D$4="Forint",Paraméterek!$J$113,Paraméterek!$K$113),IF($D$4="Forint",Paraméterek!$J$113,Paraméterek!$K$113),IF(IF(ISBLANK($AW64),$AV64,$AW64)*Paraméterek!$J$112&gt;IF($D$4="Forint",Paraméterek!$J$114,Paraméterek!$K$114),IF($D$4="Forint",Paraméterek!$J$114,Paraméterek!$K$114),IF(ISBLANK($AW64),$AV64,$AW64)*Paraméterek!$J$112))),IF($D$4="Forint",0,2))</f>
        <v>0</v>
      </c>
      <c r="AY64" s="13">
        <f>$AR64+$AT64-$AU64-IF(ROUNDDOWN(IF(ISBLANK($AW64),$AV64,$AW64),IF($D$4="Forint",0,2))&gt;$AR64+$AT64-$AU64-IF($D$4="Forint",Paraméterek!$J$114,Paraméterek!$K$114),0,ROUNDDOWN(IF(ISBLANK($AW64),$AV64,$AW64),IF($D$4="Forint",0,2))-$AX64)</f>
        <v>0</v>
      </c>
      <c r="AZ64" s="13">
        <f t="shared" si="9"/>
        <v>0</v>
      </c>
    </row>
    <row r="65" spans="1:52" x14ac:dyDescent="0.2">
      <c r="A65" s="32">
        <v>46</v>
      </c>
      <c r="B65" s="32">
        <v>4</v>
      </c>
      <c r="C65" s="32">
        <v>10</v>
      </c>
      <c r="D65" s="13">
        <f t="shared" si="0"/>
        <v>0</v>
      </c>
      <c r="E65" s="13"/>
      <c r="F65" s="13"/>
      <c r="G65" s="13"/>
      <c r="H65" s="13">
        <f t="shared" si="1"/>
        <v>0</v>
      </c>
      <c r="I65" s="13">
        <f t="shared" si="2"/>
        <v>0</v>
      </c>
      <c r="J65" s="13">
        <f t="shared" si="3"/>
        <v>0</v>
      </c>
      <c r="K65" s="13">
        <f>ROUNDUP(IF($D$2="Egyszeri",$D65,IF($D$2="Havi",SUM($D$20:$D$31),IF(MOD($C65,$M$1)-1=0,SUM($D$20:$D$31),0))/12*$M$1)*VLOOKUP($B65,Paraméterek!$B$27:$D$30,IF($D$2="Egyszeri",3,2)),IF($D$4="Forint",0,2))</f>
        <v>0</v>
      </c>
      <c r="L65" s="13">
        <f t="shared" si="4"/>
        <v>0</v>
      </c>
      <c r="M65" s="13">
        <f t="shared" ca="1" si="10"/>
        <v>-24452</v>
      </c>
      <c r="N65" s="13">
        <f ca="1">IF($V64&gt;=VLOOKUP($M$4-1+$B65,Paraméterek!$B$121:$D$122,IF($D$4="Forint",2,3)),0,VLOOKUP($M$4-1+$B65,Paraméterek!$B$121:$D$122,IF($D$4="Forint",2,3))-$V64)</f>
        <v>34452</v>
      </c>
      <c r="O65" s="13">
        <f ca="1">ROUNDUP($N65*Paraméterek!$C$58/Paraméterek!$C$56,IF($D$4="Forint",0,2))</f>
        <v>6</v>
      </c>
      <c r="P65" s="13">
        <f t="shared" si="5"/>
        <v>601</v>
      </c>
      <c r="Q65" s="33"/>
      <c r="R65" s="13">
        <f t="shared" ca="1" si="6"/>
        <v>0</v>
      </c>
      <c r="S65" s="13">
        <f ca="1">ROUNDUP(($M65-$O65-$P65+$R65)*VLOOKUP($B65,Paraméterek!$B$38:$D$39,IF($D$2="Egyszeri",3,2))/12,IF($D$4="Forint",0,2))</f>
        <v>-68</v>
      </c>
      <c r="T65" s="13"/>
      <c r="U65" s="13"/>
      <c r="V65" s="13">
        <f ca="1">$M65-$O65-$P65+$R65-$S65-IF(ROUNDUP(IF(ISBLANK($U65),$T65,$U65)/IF(AND($B65=1,$D$2&lt;&gt;"Egyszeri"),1,VLOOKUP($B65+IF($C65=12,1,0),Paraméterek!$B$257:$D$267,IF($D$2="Egyszeri",3,2))),IF($D$4="Forint",0,2))&gt;$M65-$O65-$P65+$R65-$S65-IF($D$4="Forint",Paraméterek!$C$216,Paraméterek!$D$216),0,ROUNDUP(IF(ISBLANK($U65),$T65,$U65)/IF(AND($B65=1,$D$2&lt;&gt;"Egyszeri"),1,VLOOKUP($B65+IF($C65=12,1,0),Paraméterek!$B$257:$D$267,IF($D$2="Egyszeri",3,2))),IF($D$4="Forint",0,2)))</f>
        <v>-24991</v>
      </c>
      <c r="W65" s="13">
        <f ca="1">ROUNDDOWN($V65*VLOOKUP($B65+IF($C65=12,1,0),Paraméterek!$B$257:$D$267,IF($D$2="Egyszeri",3,2)),IF($D$4="Forint",0,2))</f>
        <v>-23991</v>
      </c>
      <c r="Y65" s="32">
        <v>46</v>
      </c>
      <c r="Z65" s="32">
        <v>4</v>
      </c>
      <c r="AA65" s="32">
        <v>10</v>
      </c>
      <c r="AB65" s="13">
        <f t="shared" si="11"/>
        <v>0</v>
      </c>
      <c r="AC65" s="33"/>
      <c r="AD65" s="13">
        <f t="shared" si="7"/>
        <v>0</v>
      </c>
      <c r="AE65" s="13">
        <f>ROUNDUP(($AB65+$AD65)*VLOOKUP($Z65,Paraméterek!$P$38:$Q$38,2)/12,IF($D$4="Forint",0,2))</f>
        <v>0</v>
      </c>
      <c r="AF65" s="13">
        <f>IF($D$2="Egyszeri",IF($D$7&gt;=IF($D$4="Forint",Paraméterek!$P$223,Paraméterek!$P$224),$D$7-IF($D$4="Forint",Paraméterek!$F$223,Paraméterek!$F$224),0),MIN(IF($AA65=12,AVERAGE($D$20:$D65)*12,0),SUM($D$20:$D$31)))</f>
        <v>0</v>
      </c>
      <c r="AG65" s="13">
        <f>IF(AND($Z65&gt;=10,MOD($Z65,5)=0),$AF65*IF($AA65=12,VLOOKUP($Z65,Paraméterek!$B$225:$F$240,IF($AF65&lt;IF($D$4="Forint",Paraméterek!$C$223,Paraméterek!$C$224),2,IF($AF65&lt;IF($D$4="Forint",Paraméterek!$D$223,Paraméterek!$D$224),3,4))),0),0)</f>
        <v>0</v>
      </c>
      <c r="AH65" s="13">
        <f>IF(AND($Z65&gt;=5,MOD($Z65,5)=0),IF($AA65=12,VLOOKUP($Z65,Paraméterek!$B$225:$F$240,5),0),IF(OR($Z65=3,$Z65=4),IF($AA65=12,VLOOKUP($Z65,Paraméterek!$B$225:$F$240,5,0),0),0))*$AF65</f>
        <v>0</v>
      </c>
      <c r="AI65" s="13">
        <f>ROUNDDOWN(IF(SUM($T$20:$U65)=0,IF($D$2="Egyszeri",$AH65,$AG65),0),IF($D$4="Forint",0,2))</f>
        <v>0</v>
      </c>
      <c r="AJ65" s="13">
        <f t="shared" si="12"/>
        <v>0</v>
      </c>
      <c r="AK65" s="13">
        <f t="shared" si="13"/>
        <v>0</v>
      </c>
      <c r="AM65" s="32">
        <v>46</v>
      </c>
      <c r="AN65" s="32">
        <v>4</v>
      </c>
      <c r="AO65" s="32">
        <v>10</v>
      </c>
      <c r="AP65" s="13"/>
      <c r="AQ65" s="32"/>
      <c r="AR65" s="13">
        <f t="shared" si="14"/>
        <v>0</v>
      </c>
      <c r="AS65" s="33"/>
      <c r="AT65" s="13">
        <f t="shared" si="8"/>
        <v>0</v>
      </c>
      <c r="AU65" s="13">
        <f>ROUNDUP(($AR65+$AT65)*VLOOKUP($AN65,Paraméterek!$P$38:$Q$38,2)/12,IF($D$4="Forint",0,2))</f>
        <v>0</v>
      </c>
      <c r="AV65" s="13"/>
      <c r="AW65" s="13"/>
      <c r="AX65" s="13">
        <f>ROUNDUP(IF(SUM($AV65:$AW65)=0,0,IF(IF(ISBLANK($AW65),$AV65,$AW65)*Paraméterek!$J$112&lt;IF($D$4="Forint",Paraméterek!$J$113,Paraméterek!$K$113),IF($D$4="Forint",Paraméterek!$J$113,Paraméterek!$K$113),IF(IF(ISBLANK($AW65),$AV65,$AW65)*Paraméterek!$J$112&gt;IF($D$4="Forint",Paraméterek!$J$114,Paraméterek!$K$114),IF($D$4="Forint",Paraméterek!$J$114,Paraméterek!$K$114),IF(ISBLANK($AW65),$AV65,$AW65)*Paraméterek!$J$112))),IF($D$4="Forint",0,2))</f>
        <v>0</v>
      </c>
      <c r="AY65" s="13">
        <f>$AR65+$AT65-$AU65-IF(ROUNDDOWN(IF(ISBLANK($AW65),$AV65,$AW65),IF($D$4="Forint",0,2))&gt;$AR65+$AT65-$AU65-IF($D$4="Forint",Paraméterek!$J$114,Paraméterek!$K$114),0,ROUNDDOWN(IF(ISBLANK($AW65),$AV65,$AW65),IF($D$4="Forint",0,2))-$AX65)</f>
        <v>0</v>
      </c>
      <c r="AZ65" s="13">
        <f t="shared" si="9"/>
        <v>0</v>
      </c>
    </row>
    <row r="66" spans="1:52" x14ac:dyDescent="0.2">
      <c r="A66" s="32">
        <v>47</v>
      </c>
      <c r="B66" s="32">
        <v>4</v>
      </c>
      <c r="C66" s="32">
        <v>11</v>
      </c>
      <c r="D66" s="13">
        <f t="shared" si="0"/>
        <v>0</v>
      </c>
      <c r="E66" s="13"/>
      <c r="F66" s="13"/>
      <c r="G66" s="13"/>
      <c r="H66" s="13">
        <f t="shared" si="1"/>
        <v>0</v>
      </c>
      <c r="I66" s="13">
        <f t="shared" si="2"/>
        <v>0</v>
      </c>
      <c r="J66" s="13">
        <f t="shared" si="3"/>
        <v>0</v>
      </c>
      <c r="K66" s="13">
        <f>ROUNDUP(IF($D$2="Egyszeri",$D66,IF($D$2="Havi",SUM($D$20:$D$31),IF(MOD($C66,$M$1)-1=0,SUM($D$20:$D$31),0))/12*$M$1)*VLOOKUP($B66,Paraméterek!$B$27:$D$30,IF($D$2="Egyszeri",3,2)),IF($D$4="Forint",0,2))</f>
        <v>0</v>
      </c>
      <c r="L66" s="13">
        <f t="shared" si="4"/>
        <v>0</v>
      </c>
      <c r="M66" s="13">
        <f t="shared" ca="1" si="10"/>
        <v>-24991</v>
      </c>
      <c r="N66" s="13">
        <f ca="1">IF($V65&gt;=VLOOKUP($M$4-1+$B66,Paraméterek!$B$121:$D$122,IF($D$4="Forint",2,3)),0,VLOOKUP($M$4-1+$B66,Paraméterek!$B$121:$D$122,IF($D$4="Forint",2,3))-$V65)</f>
        <v>34991</v>
      </c>
      <c r="O66" s="13">
        <f ca="1">ROUNDUP($N66*Paraméterek!$C$58/Paraméterek!$C$56,IF($D$4="Forint",0,2))</f>
        <v>6</v>
      </c>
      <c r="P66" s="13">
        <f t="shared" si="5"/>
        <v>601</v>
      </c>
      <c r="Q66" s="33"/>
      <c r="R66" s="13">
        <f t="shared" ca="1" si="6"/>
        <v>0</v>
      </c>
      <c r="S66" s="13">
        <f ca="1">ROUNDUP(($M66-$O66-$P66+$R66)*VLOOKUP($B66,Paraméterek!$B$38:$D$39,IF($D$2="Egyszeri",3,2))/12,IF($D$4="Forint",0,2))</f>
        <v>-70</v>
      </c>
      <c r="T66" s="13"/>
      <c r="U66" s="13"/>
      <c r="V66" s="13">
        <f ca="1">$M66-$O66-$P66+$R66-$S66-IF(ROUNDUP(IF(ISBLANK($U66),$T66,$U66)/IF(AND($B66=1,$D$2&lt;&gt;"Egyszeri"),1,VLOOKUP($B66+IF($C66=12,1,0),Paraméterek!$B$257:$D$267,IF($D$2="Egyszeri",3,2))),IF($D$4="Forint",0,2))&gt;$M66-$O66-$P66+$R66-$S66-IF($D$4="Forint",Paraméterek!$C$216,Paraméterek!$D$216),0,ROUNDUP(IF(ISBLANK($U66),$T66,$U66)/IF(AND($B66=1,$D$2&lt;&gt;"Egyszeri"),1,VLOOKUP($B66+IF($C66=12,1,0),Paraméterek!$B$257:$D$267,IF($D$2="Egyszeri",3,2))),IF($D$4="Forint",0,2)))</f>
        <v>-25528</v>
      </c>
      <c r="W66" s="13">
        <f ca="1">ROUNDDOWN($V66*VLOOKUP($B66+IF($C66=12,1,0),Paraméterek!$B$257:$D$267,IF($D$2="Egyszeri",3,2)),IF($D$4="Forint",0,2))</f>
        <v>-24506</v>
      </c>
      <c r="Y66" s="32">
        <v>47</v>
      </c>
      <c r="Z66" s="32">
        <v>4</v>
      </c>
      <c r="AA66" s="32">
        <v>11</v>
      </c>
      <c r="AB66" s="13">
        <f t="shared" si="11"/>
        <v>0</v>
      </c>
      <c r="AC66" s="33"/>
      <c r="AD66" s="13">
        <f t="shared" si="7"/>
        <v>0</v>
      </c>
      <c r="AE66" s="13">
        <f>ROUNDUP(($AB66+$AD66)*VLOOKUP($Z66,Paraméterek!$P$38:$Q$38,2)/12,IF($D$4="Forint",0,2))</f>
        <v>0</v>
      </c>
      <c r="AF66" s="13">
        <f>IF($D$2="Egyszeri",IF($D$7&gt;=IF($D$4="Forint",Paraméterek!$P$223,Paraméterek!$P$224),$D$7-IF($D$4="Forint",Paraméterek!$F$223,Paraméterek!$F$224),0),MIN(IF($AA66=12,AVERAGE($D$20:$D66)*12,0),SUM($D$20:$D$31)))</f>
        <v>0</v>
      </c>
      <c r="AG66" s="13">
        <f>IF(AND($Z66&gt;=10,MOD($Z66,5)=0),$AF66*IF($AA66=12,VLOOKUP($Z66,Paraméterek!$B$225:$F$240,IF($AF66&lt;IF($D$4="Forint",Paraméterek!$C$223,Paraméterek!$C$224),2,IF($AF66&lt;IF($D$4="Forint",Paraméterek!$D$223,Paraméterek!$D$224),3,4))),0),0)</f>
        <v>0</v>
      </c>
      <c r="AH66" s="13">
        <f>IF(AND($Z66&gt;=5,MOD($Z66,5)=0),IF($AA66=12,VLOOKUP($Z66,Paraméterek!$B$225:$F$240,5),0),IF(OR($Z66=3,$Z66=4),IF($AA66=12,VLOOKUP($Z66,Paraméterek!$B$225:$F$240,5,0),0),0))*$AF66</f>
        <v>0</v>
      </c>
      <c r="AI66" s="13">
        <f>ROUNDDOWN(IF(SUM($T$20:$U66)=0,IF($D$2="Egyszeri",$AH66,$AG66),0),IF($D$4="Forint",0,2))</f>
        <v>0</v>
      </c>
      <c r="AJ66" s="13">
        <f t="shared" si="12"/>
        <v>0</v>
      </c>
      <c r="AK66" s="13">
        <f t="shared" si="13"/>
        <v>0</v>
      </c>
      <c r="AM66" s="32">
        <v>47</v>
      </c>
      <c r="AN66" s="32">
        <v>4</v>
      </c>
      <c r="AO66" s="32">
        <v>11</v>
      </c>
      <c r="AP66" s="13"/>
      <c r="AQ66" s="32"/>
      <c r="AR66" s="13">
        <f t="shared" si="14"/>
        <v>0</v>
      </c>
      <c r="AS66" s="33"/>
      <c r="AT66" s="13">
        <f t="shared" si="8"/>
        <v>0</v>
      </c>
      <c r="AU66" s="13">
        <f>ROUNDUP(($AR66+$AT66)*VLOOKUP($AN66,Paraméterek!$P$38:$Q$38,2)/12,IF($D$4="Forint",0,2))</f>
        <v>0</v>
      </c>
      <c r="AV66" s="13"/>
      <c r="AW66" s="13"/>
      <c r="AX66" s="13">
        <f>ROUNDUP(IF(SUM($AV66:$AW66)=0,0,IF(IF(ISBLANK($AW66),$AV66,$AW66)*Paraméterek!$J$112&lt;IF($D$4="Forint",Paraméterek!$J$113,Paraméterek!$K$113),IF($D$4="Forint",Paraméterek!$J$113,Paraméterek!$K$113),IF(IF(ISBLANK($AW66),$AV66,$AW66)*Paraméterek!$J$112&gt;IF($D$4="Forint",Paraméterek!$J$114,Paraméterek!$K$114),IF($D$4="Forint",Paraméterek!$J$114,Paraméterek!$K$114),IF(ISBLANK($AW66),$AV66,$AW66)*Paraméterek!$J$112))),IF($D$4="Forint",0,2))</f>
        <v>0</v>
      </c>
      <c r="AY66" s="13">
        <f>$AR66+$AT66-$AU66-IF(ROUNDDOWN(IF(ISBLANK($AW66),$AV66,$AW66),IF($D$4="Forint",0,2))&gt;$AR66+$AT66-$AU66-IF($D$4="Forint",Paraméterek!$J$114,Paraméterek!$K$114),0,ROUNDDOWN(IF(ISBLANK($AW66),$AV66,$AW66),IF($D$4="Forint",0,2))-$AX66)</f>
        <v>0</v>
      </c>
      <c r="AZ66" s="13">
        <f t="shared" si="9"/>
        <v>0</v>
      </c>
    </row>
    <row r="67" spans="1:52" x14ac:dyDescent="0.2">
      <c r="A67" s="32">
        <v>48</v>
      </c>
      <c r="B67" s="32">
        <v>4</v>
      </c>
      <c r="C67" s="32">
        <v>12</v>
      </c>
      <c r="D67" s="13">
        <f t="shared" si="0"/>
        <v>0</v>
      </c>
      <c r="E67" s="13"/>
      <c r="F67" s="13"/>
      <c r="G67" s="13"/>
      <c r="H67" s="13">
        <f t="shared" si="1"/>
        <v>0</v>
      </c>
      <c r="I67" s="13">
        <f t="shared" si="2"/>
        <v>0</v>
      </c>
      <c r="J67" s="13">
        <f t="shared" si="3"/>
        <v>0</v>
      </c>
      <c r="K67" s="13">
        <f>ROUNDUP(IF($D$2="Egyszeri",$D67,IF($D$2="Havi",SUM($D$20:$D$31),IF(MOD($C67,$M$1)-1=0,SUM($D$20:$D$31),0))/12*$M$1)*VLOOKUP($B67,Paraméterek!$B$27:$D$30,IF($D$2="Egyszeri",3,2)),IF($D$4="Forint",0,2))</f>
        <v>0</v>
      </c>
      <c r="L67" s="13">
        <f t="shared" si="4"/>
        <v>0</v>
      </c>
      <c r="M67" s="13">
        <f t="shared" ca="1" si="10"/>
        <v>-25528</v>
      </c>
      <c r="N67" s="13">
        <f ca="1">IF($V66&gt;=VLOOKUP($M$4-1+$B67,Paraméterek!$B$121:$D$122,IF($D$4="Forint",2,3)),0,VLOOKUP($M$4-1+$B67,Paraméterek!$B$121:$D$122,IF($D$4="Forint",2,3))-$V66)</f>
        <v>35528</v>
      </c>
      <c r="O67" s="13">
        <f ca="1">ROUNDUP($N67*Paraméterek!$C$58/Paraméterek!$C$56,IF($D$4="Forint",0,2))</f>
        <v>6</v>
      </c>
      <c r="P67" s="13">
        <f t="shared" si="5"/>
        <v>601</v>
      </c>
      <c r="Q67" s="33"/>
      <c r="R67" s="13">
        <f t="shared" ca="1" si="6"/>
        <v>0</v>
      </c>
      <c r="S67" s="13">
        <f ca="1">ROUNDUP(($M67-$O67-$P67+$R67)*VLOOKUP($B67,Paraméterek!$B$38:$D$39,IF($D$2="Egyszeri",3,2))/12,IF($D$4="Forint",0,2))</f>
        <v>-71</v>
      </c>
      <c r="T67" s="13">
        <f>Tranzakciók!$F$35</f>
        <v>0</v>
      </c>
      <c r="U67" s="13"/>
      <c r="V67" s="13">
        <f ca="1">$M67-$O67-$P67+$R67-$S67-IF(ROUNDUP(IF(ISBLANK($U67),$T67,$U67)/IF(AND($B67=1,$D$2&lt;&gt;"Egyszeri"),1,VLOOKUP($B67+IF($C67=12,1,0),Paraméterek!$B$257:$D$267,IF($D$2="Egyszeri",3,2))),IF($D$4="Forint",0,2))&gt;$M67-$O67-$P67+$R67-$S67-IF($D$4="Forint",Paraméterek!$C$216,Paraméterek!$D$216),0,ROUNDUP(IF(ISBLANK($U67),$T67,$U67)/IF(AND($B67=1,$D$2&lt;&gt;"Egyszeri"),1,VLOOKUP($B67+IF($C67=12,1,0),Paraméterek!$B$257:$D$267,IF($D$2="Egyszeri",3,2))),IF($D$4="Forint",0,2)))</f>
        <v>-26064</v>
      </c>
      <c r="W67" s="13">
        <f ca="1">ROUNDDOWN($V67*VLOOKUP($B67+IF($C67=12,1,0),Paraméterek!$B$257:$D$267,IF($D$2="Egyszeri",3,2)),IF($D$4="Forint",0,2))</f>
        <v>-25021</v>
      </c>
      <c r="Y67" s="32">
        <v>48</v>
      </c>
      <c r="Z67" s="32">
        <v>4</v>
      </c>
      <c r="AA67" s="32">
        <v>12</v>
      </c>
      <c r="AB67" s="13">
        <f t="shared" si="11"/>
        <v>0</v>
      </c>
      <c r="AC67" s="33"/>
      <c r="AD67" s="13">
        <f t="shared" si="7"/>
        <v>0</v>
      </c>
      <c r="AE67" s="13">
        <f>ROUNDUP(($AB67+$AD67)*VLOOKUP($Z67,Paraméterek!$P$38:$Q$38,2)/12,IF($D$4="Forint",0,2))</f>
        <v>0</v>
      </c>
      <c r="AF67" s="13">
        <f>IF($D$2="Egyszeri",IF($D$7&gt;=IF($D$4="Forint",Paraméterek!$P$223,Paraméterek!$P$224),$D$7-IF($D$4="Forint",Paraméterek!$F$223,Paraméterek!$F$224),0),MIN(IF($AA67=12,AVERAGE($D$20:$D67)*12,0),SUM($D$20:$D$31)))</f>
        <v>0</v>
      </c>
      <c r="AG67" s="13">
        <f>IF(AND($Z67&gt;=10,MOD($Z67,5)=0),$AF67*IF($AA67=12,VLOOKUP($Z67,Paraméterek!$B$225:$F$240,IF($AF67&lt;IF($D$4="Forint",Paraméterek!$C$223,Paraméterek!$C$224),2,IF($AF67&lt;IF($D$4="Forint",Paraméterek!$D$223,Paraméterek!$D$224),3,4))),0),0)</f>
        <v>0</v>
      </c>
      <c r="AH67" s="13">
        <f>IF(AND($Z67&gt;=5,MOD($Z67,5)=0),IF($AA67=12,VLOOKUP($Z67,Paraméterek!$B$225:$F$240,5),0),IF(OR($Z67=3,$Z67=4),IF($AA67=12,VLOOKUP($Z67,Paraméterek!$B$225:$F$240,5,0),0),0))*$AF67</f>
        <v>0</v>
      </c>
      <c r="AI67" s="13">
        <f>ROUNDDOWN(IF(SUM($T$20:$U67)=0,IF($D$2="Egyszeri",$AH67,$AG67),0),IF($D$4="Forint",0,2))</f>
        <v>0</v>
      </c>
      <c r="AJ67" s="13">
        <f t="shared" si="12"/>
        <v>0</v>
      </c>
      <c r="AK67" s="13">
        <f t="shared" si="13"/>
        <v>0</v>
      </c>
      <c r="AM67" s="32">
        <v>48</v>
      </c>
      <c r="AN67" s="32">
        <v>4</v>
      </c>
      <c r="AO67" s="32">
        <v>12</v>
      </c>
      <c r="AP67" s="13"/>
      <c r="AQ67" s="32"/>
      <c r="AR67" s="13">
        <f t="shared" si="14"/>
        <v>0</v>
      </c>
      <c r="AS67" s="33"/>
      <c r="AT67" s="13">
        <f t="shared" si="8"/>
        <v>0</v>
      </c>
      <c r="AU67" s="13">
        <f>ROUNDUP(($AR67+$AT67)*VLOOKUP($AN67,Paraméterek!$P$38:$Q$38,2)/12,IF($D$4="Forint",0,2))</f>
        <v>0</v>
      </c>
      <c r="AV67" s="13">
        <f>Tranzakciók!$M$35</f>
        <v>0</v>
      </c>
      <c r="AW67" s="13"/>
      <c r="AX67" s="13">
        <f>ROUNDUP(IF(SUM($AV67:$AW67)=0,0,IF(IF(ISBLANK($AW67),$AV67,$AW67)*Paraméterek!$J$112&lt;IF($D$4="Forint",Paraméterek!$J$113,Paraméterek!$K$113),IF($D$4="Forint",Paraméterek!$J$113,Paraméterek!$K$113),IF(IF(ISBLANK($AW67),$AV67,$AW67)*Paraméterek!$J$112&gt;IF($D$4="Forint",Paraméterek!$J$114,Paraméterek!$K$114),IF($D$4="Forint",Paraméterek!$J$114,Paraméterek!$K$114),IF(ISBLANK($AW67),$AV67,$AW67)*Paraméterek!$J$112))),IF($D$4="Forint",0,2))</f>
        <v>0</v>
      </c>
      <c r="AY67" s="13">
        <f>$AR67+$AT67-$AU67-IF(ROUNDDOWN(IF(ISBLANK($AW67),$AV67,$AW67),IF($D$4="Forint",0,2))&gt;$AR67+$AT67-$AU67-IF($D$4="Forint",Paraméterek!$J$114,Paraméterek!$K$114),0,ROUNDDOWN(IF(ISBLANK($AW67),$AV67,$AW67),IF($D$4="Forint",0,2))-$AX67)</f>
        <v>0</v>
      </c>
      <c r="AZ67" s="13">
        <f t="shared" si="9"/>
        <v>0</v>
      </c>
    </row>
    <row r="68" spans="1:52" x14ac:dyDescent="0.2">
      <c r="A68" s="32">
        <v>49</v>
      </c>
      <c r="B68" s="32">
        <v>5</v>
      </c>
      <c r="C68" s="32">
        <v>1</v>
      </c>
      <c r="D68" s="13">
        <f t="shared" si="0"/>
        <v>0</v>
      </c>
      <c r="E68" s="13"/>
      <c r="F68" s="13">
        <f>Tranzakciók!$D$36</f>
        <v>0</v>
      </c>
      <c r="G68" s="13"/>
      <c r="H68" s="13">
        <f t="shared" si="1"/>
        <v>0</v>
      </c>
      <c r="I68" s="13">
        <f t="shared" si="2"/>
        <v>113</v>
      </c>
      <c r="J68" s="13">
        <f t="shared" si="3"/>
        <v>113</v>
      </c>
      <c r="K68" s="13">
        <f>ROUNDUP(IF($D$2="Egyszeri",$D68,IF($D$2="Havi",SUM($D$20:$D$31),IF(MOD($C68,$M$1)-1=0,SUM($D$20:$D$31),0))/12*$M$1)*VLOOKUP($B68,Paraméterek!$B$27:$D$30,IF($D$2="Egyszeri",3,2)),IF($D$4="Forint",0,2))</f>
        <v>0</v>
      </c>
      <c r="L68" s="13">
        <f t="shared" si="4"/>
        <v>0</v>
      </c>
      <c r="M68" s="13">
        <f t="shared" ca="1" si="10"/>
        <v>-26064</v>
      </c>
      <c r="N68" s="13">
        <f ca="1">IF($V67&gt;=VLOOKUP($M$4-1+$B68,Paraméterek!$B$121:$D$122,IF($D$4="Forint",2,3)),0,VLOOKUP($M$4-1+$B68,Paraméterek!$B$121:$D$122,IF($D$4="Forint",2,3))-$V67)</f>
        <v>36064</v>
      </c>
      <c r="O68" s="13">
        <f ca="1">ROUNDUP($N68*Paraméterek!$C$58/Paraméterek!$C$56,IF($D$4="Forint",0,2))</f>
        <v>6</v>
      </c>
      <c r="P68" s="13">
        <f t="shared" si="5"/>
        <v>620</v>
      </c>
      <c r="Q68" s="33"/>
      <c r="R68" s="13">
        <f t="shared" ca="1" si="6"/>
        <v>0</v>
      </c>
      <c r="S68" s="13">
        <f ca="1">ROUNDUP(($M68-$O68-$P68+$R68)*VLOOKUP($B68,Paraméterek!$B$38:$D$39,IF($D$2="Egyszeri",3,2))/12,IF($D$4="Forint",0,2))</f>
        <v>-73</v>
      </c>
      <c r="T68" s="13"/>
      <c r="U68" s="13"/>
      <c r="V68" s="13">
        <f ca="1">$M68-$O68-$P68+$R68-$S68-IF(ROUNDUP(IF(ISBLANK($U68),$T68,$U68)/IF(AND($B68=1,$D$2&lt;&gt;"Egyszeri"),1,VLOOKUP($B68+IF($C68=12,1,0),Paraméterek!$B$257:$D$267,IF($D$2="Egyszeri",3,2))),IF($D$4="Forint",0,2))&gt;$M68-$O68-$P68+$R68-$S68-IF($D$4="Forint",Paraméterek!$C$216,Paraméterek!$D$216),0,ROUNDUP(IF(ISBLANK($U68),$T68,$U68)/IF(AND($B68=1,$D$2&lt;&gt;"Egyszeri"),1,VLOOKUP($B68+IF($C68=12,1,0),Paraméterek!$B$257:$D$267,IF($D$2="Egyszeri",3,2))),IF($D$4="Forint",0,2)))</f>
        <v>-26617</v>
      </c>
      <c r="W68" s="13">
        <f ca="1">ROUNDDOWN($V68*VLOOKUP($B68+IF($C68=12,1,0),Paraméterek!$B$257:$D$267,IF($D$2="Egyszeri",3,2)),IF($D$4="Forint",0,2))</f>
        <v>-25552</v>
      </c>
      <c r="Y68" s="32">
        <v>49</v>
      </c>
      <c r="Z68" s="32">
        <v>5</v>
      </c>
      <c r="AA68" s="32">
        <v>1</v>
      </c>
      <c r="AB68" s="13">
        <f t="shared" si="11"/>
        <v>0</v>
      </c>
      <c r="AC68" s="33"/>
      <c r="AD68" s="13">
        <f t="shared" si="7"/>
        <v>0</v>
      </c>
      <c r="AE68" s="13">
        <f>ROUNDUP(($AB68+$AD68)*VLOOKUP($Z68,Paraméterek!$P$38:$Q$38,2)/12,IF($D$4="Forint",0,2))</f>
        <v>0</v>
      </c>
      <c r="AF68" s="13">
        <f>IF($D$2="Egyszeri",IF($D$7&gt;=IF($D$4="Forint",Paraméterek!$P$223,Paraméterek!$P$224),$D$7-IF($D$4="Forint",Paraméterek!$F$223,Paraméterek!$F$224),0),MIN(IF($AA68=12,AVERAGE($D$20:$D68)*12,0),SUM($D$20:$D$31)))</f>
        <v>0</v>
      </c>
      <c r="AG68" s="13">
        <f>IF(AND($Z68&gt;=10,MOD($Z68,5)=0),$AF68*IF($AA68=12,VLOOKUP($Z68,Paraméterek!$B$225:$F$240,IF($AF68&lt;IF($D$4="Forint",Paraméterek!$C$223,Paraméterek!$C$224),2,IF($AF68&lt;IF($D$4="Forint",Paraméterek!$D$223,Paraméterek!$D$224),3,4))),0),0)</f>
        <v>0</v>
      </c>
      <c r="AH68" s="13">
        <f>IF(AND($Z68&gt;=5,MOD($Z68,5)=0),IF($AA68=12,VLOOKUP($Z68,Paraméterek!$B$225:$F$240,5),0),IF(OR($Z68=3,$Z68=4),IF($AA68=12,VLOOKUP($Z68,Paraméterek!$B$225:$F$240,5,0),0),0))*$AF68</f>
        <v>0</v>
      </c>
      <c r="AI68" s="13">
        <f>ROUNDDOWN(IF(SUM($T$20:$U68)=0,IF($D$2="Egyszeri",$AH68,$AG68),0),IF($D$4="Forint",0,2))</f>
        <v>0</v>
      </c>
      <c r="AJ68" s="13">
        <f t="shared" si="12"/>
        <v>0</v>
      </c>
      <c r="AK68" s="13">
        <f t="shared" si="13"/>
        <v>0</v>
      </c>
      <c r="AM68" s="32">
        <v>49</v>
      </c>
      <c r="AN68" s="32">
        <v>5</v>
      </c>
      <c r="AO68" s="32">
        <v>1</v>
      </c>
      <c r="AP68" s="13">
        <f>Tranzakciók!$K$36</f>
        <v>0</v>
      </c>
      <c r="AQ68" s="32"/>
      <c r="AR68" s="13">
        <f t="shared" si="14"/>
        <v>0</v>
      </c>
      <c r="AS68" s="33"/>
      <c r="AT68" s="13">
        <f t="shared" si="8"/>
        <v>0</v>
      </c>
      <c r="AU68" s="13">
        <f>ROUNDUP(($AR68+$AT68)*VLOOKUP($AN68,Paraméterek!$P$38:$Q$38,2)/12,IF($D$4="Forint",0,2))</f>
        <v>0</v>
      </c>
      <c r="AV68" s="13"/>
      <c r="AW68" s="13"/>
      <c r="AX68" s="13">
        <f>ROUNDUP(IF(SUM($AV68:$AW68)=0,0,IF(IF(ISBLANK($AW68),$AV68,$AW68)*Paraméterek!$J$112&lt;IF($D$4="Forint",Paraméterek!$J$113,Paraméterek!$K$113),IF($D$4="Forint",Paraméterek!$J$113,Paraméterek!$K$113),IF(IF(ISBLANK($AW68),$AV68,$AW68)*Paraméterek!$J$112&gt;IF($D$4="Forint",Paraméterek!$J$114,Paraméterek!$K$114),IF($D$4="Forint",Paraméterek!$J$114,Paraméterek!$K$114),IF(ISBLANK($AW68),$AV68,$AW68)*Paraméterek!$J$112))),IF($D$4="Forint",0,2))</f>
        <v>0</v>
      </c>
      <c r="AY68" s="13">
        <f>$AR68+$AT68-$AU68-IF(ROUNDDOWN(IF(ISBLANK($AW68),$AV68,$AW68),IF($D$4="Forint",0,2))&gt;$AR68+$AT68-$AU68-IF($D$4="Forint",Paraméterek!$J$114,Paraméterek!$K$114),0,ROUNDDOWN(IF(ISBLANK($AW68),$AV68,$AW68),IF($D$4="Forint",0,2))-$AX68)</f>
        <v>0</v>
      </c>
      <c r="AZ68" s="13">
        <f t="shared" si="9"/>
        <v>0</v>
      </c>
    </row>
    <row r="69" spans="1:52" x14ac:dyDescent="0.2">
      <c r="A69" s="32">
        <v>50</v>
      </c>
      <c r="B69" s="32">
        <v>5</v>
      </c>
      <c r="C69" s="32">
        <v>2</v>
      </c>
      <c r="D69" s="13">
        <f t="shared" si="0"/>
        <v>0</v>
      </c>
      <c r="E69" s="13"/>
      <c r="F69" s="13"/>
      <c r="G69" s="13"/>
      <c r="H69" s="13">
        <f t="shared" si="1"/>
        <v>0</v>
      </c>
      <c r="I69" s="13">
        <f t="shared" si="2"/>
        <v>0</v>
      </c>
      <c r="J69" s="13">
        <f t="shared" si="3"/>
        <v>0</v>
      </c>
      <c r="K69" s="13">
        <f>ROUNDUP(IF($D$2="Egyszeri",$D69,IF($D$2="Havi",SUM($D$20:$D$31),IF(MOD($C69,$M$1)-1=0,SUM($D$20:$D$31),0))/12*$M$1)*VLOOKUP($B69,Paraméterek!$B$27:$D$30,IF($D$2="Egyszeri",3,2)),IF($D$4="Forint",0,2))</f>
        <v>0</v>
      </c>
      <c r="L69" s="13">
        <f t="shared" si="4"/>
        <v>0</v>
      </c>
      <c r="M69" s="13">
        <f t="shared" ca="1" si="10"/>
        <v>-26617</v>
      </c>
      <c r="N69" s="13">
        <f ca="1">IF($V68&gt;=VLOOKUP($M$4-1+$B69,Paraméterek!$B$121:$D$122,IF($D$4="Forint",2,3)),0,VLOOKUP($M$4-1+$B69,Paraméterek!$B$121:$D$122,IF($D$4="Forint",2,3))-$V68)</f>
        <v>36617</v>
      </c>
      <c r="O69" s="13">
        <f ca="1">ROUNDUP($N69*Paraméterek!$C$58/Paraméterek!$C$56,IF($D$4="Forint",0,2))</f>
        <v>6</v>
      </c>
      <c r="P69" s="13">
        <f t="shared" si="5"/>
        <v>620</v>
      </c>
      <c r="Q69" s="33"/>
      <c r="R69" s="13">
        <f t="shared" ca="1" si="6"/>
        <v>0</v>
      </c>
      <c r="S69" s="13">
        <f ca="1">ROUNDUP(($M69-$O69-$P69+$R69)*VLOOKUP($B69,Paraméterek!$B$38:$D$39,IF($D$2="Egyszeri",3,2))/12,IF($D$4="Forint",0,2))</f>
        <v>-74</v>
      </c>
      <c r="T69" s="13"/>
      <c r="U69" s="13"/>
      <c r="V69" s="13">
        <f ca="1">$M69-$O69-$P69+$R69-$S69-IF(ROUNDUP(IF(ISBLANK($U69),$T69,$U69)/IF(AND($B69=1,$D$2&lt;&gt;"Egyszeri"),1,VLOOKUP($B69+IF($C69=12,1,0),Paraméterek!$B$257:$D$267,IF($D$2="Egyszeri",3,2))),IF($D$4="Forint",0,2))&gt;$M69-$O69-$P69+$R69-$S69-IF($D$4="Forint",Paraméterek!$C$216,Paraméterek!$D$216),0,ROUNDUP(IF(ISBLANK($U69),$T69,$U69)/IF(AND($B69=1,$D$2&lt;&gt;"Egyszeri"),1,VLOOKUP($B69+IF($C69=12,1,0),Paraméterek!$B$257:$D$267,IF($D$2="Egyszeri",3,2))),IF($D$4="Forint",0,2)))</f>
        <v>-27169</v>
      </c>
      <c r="W69" s="13">
        <f ca="1">ROUNDDOWN($V69*VLOOKUP($B69+IF($C69=12,1,0),Paraméterek!$B$257:$D$267,IF($D$2="Egyszeri",3,2)),IF($D$4="Forint",0,2))</f>
        <v>-26082</v>
      </c>
      <c r="Y69" s="32">
        <v>50</v>
      </c>
      <c r="Z69" s="32">
        <v>5</v>
      </c>
      <c r="AA69" s="32">
        <v>2</v>
      </c>
      <c r="AB69" s="13">
        <f t="shared" si="11"/>
        <v>0</v>
      </c>
      <c r="AC69" s="33"/>
      <c r="AD69" s="13">
        <f t="shared" si="7"/>
        <v>0</v>
      </c>
      <c r="AE69" s="13">
        <f>ROUNDUP(($AB69+$AD69)*VLOOKUP($Z69,Paraméterek!$P$38:$Q$38,2)/12,IF($D$4="Forint",0,2))</f>
        <v>0</v>
      </c>
      <c r="AF69" s="13">
        <f>IF($D$2="Egyszeri",IF($D$7&gt;=IF($D$4="Forint",Paraméterek!$P$223,Paraméterek!$P$224),$D$7-IF($D$4="Forint",Paraméterek!$F$223,Paraméterek!$F$224),0),MIN(IF($AA69=12,AVERAGE($D$20:$D69)*12,0),SUM($D$20:$D$31)))</f>
        <v>0</v>
      </c>
      <c r="AG69" s="13">
        <f>IF(AND($Z69&gt;=10,MOD($Z69,5)=0),$AF69*IF($AA69=12,VLOOKUP($Z69,Paraméterek!$B$225:$F$240,IF($AF69&lt;IF($D$4="Forint",Paraméterek!$C$223,Paraméterek!$C$224),2,IF($AF69&lt;IF($D$4="Forint",Paraméterek!$D$223,Paraméterek!$D$224),3,4))),0),0)</f>
        <v>0</v>
      </c>
      <c r="AH69" s="13">
        <f>IF(AND($Z69&gt;=5,MOD($Z69,5)=0),IF($AA69=12,VLOOKUP($Z69,Paraméterek!$B$225:$F$240,5),0),IF(OR($Z69=3,$Z69=4),IF($AA69=12,VLOOKUP($Z69,Paraméterek!$B$225:$F$240,5,0),0),0))*$AF69</f>
        <v>0</v>
      </c>
      <c r="AI69" s="13">
        <f>ROUNDDOWN(IF(SUM($T$20:$U69)=0,IF($D$2="Egyszeri",$AH69,$AG69),0),IF($D$4="Forint",0,2))</f>
        <v>0</v>
      </c>
      <c r="AJ69" s="13">
        <f t="shared" si="12"/>
        <v>0</v>
      </c>
      <c r="AK69" s="13">
        <f t="shared" si="13"/>
        <v>0</v>
      </c>
      <c r="AM69" s="32">
        <v>50</v>
      </c>
      <c r="AN69" s="32">
        <v>5</v>
      </c>
      <c r="AO69" s="32">
        <v>2</v>
      </c>
      <c r="AP69" s="13"/>
      <c r="AQ69" s="32"/>
      <c r="AR69" s="13">
        <f t="shared" si="14"/>
        <v>0</v>
      </c>
      <c r="AS69" s="33"/>
      <c r="AT69" s="13">
        <f t="shared" si="8"/>
        <v>0</v>
      </c>
      <c r="AU69" s="13">
        <f>ROUNDUP(($AR69+$AT69)*VLOOKUP($AN69,Paraméterek!$P$38:$Q$38,2)/12,IF($D$4="Forint",0,2))</f>
        <v>0</v>
      </c>
      <c r="AV69" s="13"/>
      <c r="AW69" s="13"/>
      <c r="AX69" s="13">
        <f>ROUNDUP(IF(SUM($AV69:$AW69)=0,0,IF(IF(ISBLANK($AW69),$AV69,$AW69)*Paraméterek!$J$112&lt;IF($D$4="Forint",Paraméterek!$J$113,Paraméterek!$K$113),IF($D$4="Forint",Paraméterek!$J$113,Paraméterek!$K$113),IF(IF(ISBLANK($AW69),$AV69,$AW69)*Paraméterek!$J$112&gt;IF($D$4="Forint",Paraméterek!$J$114,Paraméterek!$K$114),IF($D$4="Forint",Paraméterek!$J$114,Paraméterek!$K$114),IF(ISBLANK($AW69),$AV69,$AW69)*Paraméterek!$J$112))),IF($D$4="Forint",0,2))</f>
        <v>0</v>
      </c>
      <c r="AY69" s="13">
        <f>$AR69+$AT69-$AU69-IF(ROUNDDOWN(IF(ISBLANK($AW69),$AV69,$AW69),IF($D$4="Forint",0,2))&gt;$AR69+$AT69-$AU69-IF($D$4="Forint",Paraméterek!$J$114,Paraméterek!$K$114),0,ROUNDDOWN(IF(ISBLANK($AW69),$AV69,$AW69),IF($D$4="Forint",0,2))-$AX69)</f>
        <v>0</v>
      </c>
      <c r="AZ69" s="13">
        <f t="shared" si="9"/>
        <v>0</v>
      </c>
    </row>
    <row r="70" spans="1:52" x14ac:dyDescent="0.2">
      <c r="A70" s="32">
        <v>51</v>
      </c>
      <c r="B70" s="32">
        <v>5</v>
      </c>
      <c r="C70" s="32">
        <v>3</v>
      </c>
      <c r="D70" s="13">
        <f t="shared" si="0"/>
        <v>0</v>
      </c>
      <c r="E70" s="13"/>
      <c r="F70" s="13"/>
      <c r="G70" s="13"/>
      <c r="H70" s="13">
        <f t="shared" si="1"/>
        <v>0</v>
      </c>
      <c r="I70" s="13">
        <f t="shared" si="2"/>
        <v>0</v>
      </c>
      <c r="J70" s="13">
        <f t="shared" si="3"/>
        <v>0</v>
      </c>
      <c r="K70" s="13">
        <f>ROUNDUP(IF($D$2="Egyszeri",$D70,IF($D$2="Havi",SUM($D$20:$D$31),IF(MOD($C70,$M$1)-1=0,SUM($D$20:$D$31),0))/12*$M$1)*VLOOKUP($B70,Paraméterek!$B$27:$D$30,IF($D$2="Egyszeri",3,2)),IF($D$4="Forint",0,2))</f>
        <v>0</v>
      </c>
      <c r="L70" s="13">
        <f t="shared" si="4"/>
        <v>0</v>
      </c>
      <c r="M70" s="13">
        <f t="shared" ca="1" si="10"/>
        <v>-27169</v>
      </c>
      <c r="N70" s="13">
        <f ca="1">IF($V69&gt;=VLOOKUP($M$4-1+$B70,Paraméterek!$B$121:$D$122,IF($D$4="Forint",2,3)),0,VLOOKUP($M$4-1+$B70,Paraméterek!$B$121:$D$122,IF($D$4="Forint",2,3))-$V69)</f>
        <v>37169</v>
      </c>
      <c r="O70" s="13">
        <f ca="1">ROUNDUP($N70*Paraméterek!$C$58/Paraméterek!$C$56,IF($D$4="Forint",0,2))</f>
        <v>6</v>
      </c>
      <c r="P70" s="13">
        <f t="shared" si="5"/>
        <v>620</v>
      </c>
      <c r="Q70" s="33"/>
      <c r="R70" s="13">
        <f t="shared" ca="1" si="6"/>
        <v>0</v>
      </c>
      <c r="S70" s="13">
        <f ca="1">ROUNDUP(($M70-$O70-$P70+$R70)*VLOOKUP($B70,Paraméterek!$B$38:$D$39,IF($D$2="Egyszeri",3,2))/12,IF($D$4="Forint",0,2))</f>
        <v>-76</v>
      </c>
      <c r="T70" s="13"/>
      <c r="U70" s="13"/>
      <c r="V70" s="13">
        <f ca="1">$M70-$O70-$P70+$R70-$S70-IF(ROUNDUP(IF(ISBLANK($U70),$T70,$U70)/IF(AND($B70=1,$D$2&lt;&gt;"Egyszeri"),1,VLOOKUP($B70+IF($C70=12,1,0),Paraméterek!$B$257:$D$267,IF($D$2="Egyszeri",3,2))),IF($D$4="Forint",0,2))&gt;$M70-$O70-$P70+$R70-$S70-IF($D$4="Forint",Paraméterek!$C$216,Paraméterek!$D$216),0,ROUNDUP(IF(ISBLANK($U70),$T70,$U70)/IF(AND($B70=1,$D$2&lt;&gt;"Egyszeri"),1,VLOOKUP($B70+IF($C70=12,1,0),Paraméterek!$B$257:$D$267,IF($D$2="Egyszeri",3,2))),IF($D$4="Forint",0,2)))</f>
        <v>-27719</v>
      </c>
      <c r="W70" s="13">
        <f ca="1">ROUNDDOWN($V70*VLOOKUP($B70+IF($C70=12,1,0),Paraméterek!$B$257:$D$267,IF($D$2="Egyszeri",3,2)),IF($D$4="Forint",0,2))</f>
        <v>-26610</v>
      </c>
      <c r="Y70" s="32">
        <v>51</v>
      </c>
      <c r="Z70" s="32">
        <v>5</v>
      </c>
      <c r="AA70" s="32">
        <v>3</v>
      </c>
      <c r="AB70" s="13">
        <f t="shared" si="11"/>
        <v>0</v>
      </c>
      <c r="AC70" s="33"/>
      <c r="AD70" s="13">
        <f t="shared" si="7"/>
        <v>0</v>
      </c>
      <c r="AE70" s="13">
        <f>ROUNDUP(($AB70+$AD70)*VLOOKUP($Z70,Paraméterek!$P$38:$Q$38,2)/12,IF($D$4="Forint",0,2))</f>
        <v>0</v>
      </c>
      <c r="AF70" s="13">
        <f>IF($D$2="Egyszeri",IF($D$7&gt;=IF($D$4="Forint",Paraméterek!$P$223,Paraméterek!$P$224),$D$7-IF($D$4="Forint",Paraméterek!$F$223,Paraméterek!$F$224),0),MIN(IF($AA70=12,AVERAGE($D$20:$D70)*12,0),SUM($D$20:$D$31)))</f>
        <v>0</v>
      </c>
      <c r="AG70" s="13">
        <f>IF(AND($Z70&gt;=10,MOD($Z70,5)=0),$AF70*IF($AA70=12,VLOOKUP($Z70,Paraméterek!$B$225:$F$240,IF($AF70&lt;IF($D$4="Forint",Paraméterek!$C$223,Paraméterek!$C$224),2,IF($AF70&lt;IF($D$4="Forint",Paraméterek!$D$223,Paraméterek!$D$224),3,4))),0),0)</f>
        <v>0</v>
      </c>
      <c r="AH70" s="13">
        <f>IF(AND($Z70&gt;=5,MOD($Z70,5)=0),IF($AA70=12,VLOOKUP($Z70,Paraméterek!$B$225:$F$240,5),0),IF(OR($Z70=3,$Z70=4),IF($AA70=12,VLOOKUP($Z70,Paraméterek!$B$225:$F$240,5,0),0),0))*$AF70</f>
        <v>0</v>
      </c>
      <c r="AI70" s="13">
        <f>ROUNDDOWN(IF(SUM($T$20:$U70)=0,IF($D$2="Egyszeri",$AH70,$AG70),0),IF($D$4="Forint",0,2))</f>
        <v>0</v>
      </c>
      <c r="AJ70" s="13">
        <f t="shared" si="12"/>
        <v>0</v>
      </c>
      <c r="AK70" s="13">
        <f t="shared" si="13"/>
        <v>0</v>
      </c>
      <c r="AM70" s="32">
        <v>51</v>
      </c>
      <c r="AN70" s="32">
        <v>5</v>
      </c>
      <c r="AO70" s="32">
        <v>3</v>
      </c>
      <c r="AP70" s="13"/>
      <c r="AQ70" s="32"/>
      <c r="AR70" s="13">
        <f t="shared" si="14"/>
        <v>0</v>
      </c>
      <c r="AS70" s="33"/>
      <c r="AT70" s="13">
        <f t="shared" si="8"/>
        <v>0</v>
      </c>
      <c r="AU70" s="13">
        <f>ROUNDUP(($AR70+$AT70)*VLOOKUP($AN70,Paraméterek!$P$38:$Q$38,2)/12,IF($D$4="Forint",0,2))</f>
        <v>0</v>
      </c>
      <c r="AV70" s="13"/>
      <c r="AW70" s="13"/>
      <c r="AX70" s="13">
        <f>ROUNDUP(IF(SUM($AV70:$AW70)=0,0,IF(IF(ISBLANK($AW70),$AV70,$AW70)*Paraméterek!$J$112&lt;IF($D$4="Forint",Paraméterek!$J$113,Paraméterek!$K$113),IF($D$4="Forint",Paraméterek!$J$113,Paraméterek!$K$113),IF(IF(ISBLANK($AW70),$AV70,$AW70)*Paraméterek!$J$112&gt;IF($D$4="Forint",Paraméterek!$J$114,Paraméterek!$K$114),IF($D$4="Forint",Paraméterek!$J$114,Paraméterek!$K$114),IF(ISBLANK($AW70),$AV70,$AW70)*Paraméterek!$J$112))),IF($D$4="Forint",0,2))</f>
        <v>0</v>
      </c>
      <c r="AY70" s="13">
        <f>$AR70+$AT70-$AU70-IF(ROUNDDOWN(IF(ISBLANK($AW70),$AV70,$AW70),IF($D$4="Forint",0,2))&gt;$AR70+$AT70-$AU70-IF($D$4="Forint",Paraméterek!$J$114,Paraméterek!$K$114),0,ROUNDDOWN(IF(ISBLANK($AW70),$AV70,$AW70),IF($D$4="Forint",0,2))-$AX70)</f>
        <v>0</v>
      </c>
      <c r="AZ70" s="13">
        <f t="shared" si="9"/>
        <v>0</v>
      </c>
    </row>
    <row r="71" spans="1:52" x14ac:dyDescent="0.2">
      <c r="A71" s="32">
        <v>52</v>
      </c>
      <c r="B71" s="32">
        <v>5</v>
      </c>
      <c r="C71" s="32">
        <v>4</v>
      </c>
      <c r="D71" s="13">
        <f t="shared" si="0"/>
        <v>0</v>
      </c>
      <c r="E71" s="13"/>
      <c r="F71" s="13"/>
      <c r="G71" s="13"/>
      <c r="H71" s="13">
        <f t="shared" si="1"/>
        <v>0</v>
      </c>
      <c r="I71" s="13">
        <f t="shared" si="2"/>
        <v>0</v>
      </c>
      <c r="J71" s="13">
        <f t="shared" si="3"/>
        <v>0</v>
      </c>
      <c r="K71" s="13">
        <f>ROUNDUP(IF($D$2="Egyszeri",$D71,IF($D$2="Havi",SUM($D$20:$D$31),IF(MOD($C71,$M$1)-1=0,SUM($D$20:$D$31),0))/12*$M$1)*VLOOKUP($B71,Paraméterek!$B$27:$D$30,IF($D$2="Egyszeri",3,2)),IF($D$4="Forint",0,2))</f>
        <v>0</v>
      </c>
      <c r="L71" s="13">
        <f t="shared" si="4"/>
        <v>0</v>
      </c>
      <c r="M71" s="13">
        <f t="shared" ca="1" si="10"/>
        <v>-27719</v>
      </c>
      <c r="N71" s="13">
        <f ca="1">IF($V70&gt;=VLOOKUP($M$4-1+$B71,Paraméterek!$B$121:$D$122,IF($D$4="Forint",2,3)),0,VLOOKUP($M$4-1+$B71,Paraméterek!$B$121:$D$122,IF($D$4="Forint",2,3))-$V70)</f>
        <v>37719</v>
      </c>
      <c r="O71" s="13">
        <f ca="1">ROUNDUP($N71*Paraméterek!$C$58/Paraméterek!$C$56,IF($D$4="Forint",0,2))</f>
        <v>7</v>
      </c>
      <c r="P71" s="13">
        <f t="shared" si="5"/>
        <v>620</v>
      </c>
      <c r="Q71" s="33"/>
      <c r="R71" s="13">
        <f t="shared" ca="1" si="6"/>
        <v>0</v>
      </c>
      <c r="S71" s="13">
        <f ca="1">ROUNDUP(($M71-$O71-$P71+$R71)*VLOOKUP($B71,Paraméterek!$B$38:$D$39,IF($D$2="Egyszeri",3,2))/12,IF($D$4="Forint",0,2))</f>
        <v>-77</v>
      </c>
      <c r="T71" s="13"/>
      <c r="U71" s="13"/>
      <c r="V71" s="13">
        <f ca="1">$M71-$O71-$P71+$R71-$S71-IF(ROUNDUP(IF(ISBLANK($U71),$T71,$U71)/IF(AND($B71=1,$D$2&lt;&gt;"Egyszeri"),1,VLOOKUP($B71+IF($C71=12,1,0),Paraméterek!$B$257:$D$267,IF($D$2="Egyszeri",3,2))),IF($D$4="Forint",0,2))&gt;$M71-$O71-$P71+$R71-$S71-IF($D$4="Forint",Paraméterek!$C$216,Paraméterek!$D$216),0,ROUNDUP(IF(ISBLANK($U71),$T71,$U71)/IF(AND($B71=1,$D$2&lt;&gt;"Egyszeri"),1,VLOOKUP($B71+IF($C71=12,1,0),Paraméterek!$B$257:$D$267,IF($D$2="Egyszeri",3,2))),IF($D$4="Forint",0,2)))</f>
        <v>-28269</v>
      </c>
      <c r="W71" s="13">
        <f ca="1">ROUNDDOWN($V71*VLOOKUP($B71+IF($C71=12,1,0),Paraméterek!$B$257:$D$267,IF($D$2="Egyszeri",3,2)),IF($D$4="Forint",0,2))</f>
        <v>-27138</v>
      </c>
      <c r="Y71" s="32">
        <v>52</v>
      </c>
      <c r="Z71" s="32">
        <v>5</v>
      </c>
      <c r="AA71" s="32">
        <v>4</v>
      </c>
      <c r="AB71" s="13">
        <f t="shared" si="11"/>
        <v>0</v>
      </c>
      <c r="AC71" s="33"/>
      <c r="AD71" s="13">
        <f t="shared" si="7"/>
        <v>0</v>
      </c>
      <c r="AE71" s="13">
        <f>ROUNDUP(($AB71+$AD71)*VLOOKUP($Z71,Paraméterek!$P$38:$Q$38,2)/12,IF($D$4="Forint",0,2))</f>
        <v>0</v>
      </c>
      <c r="AF71" s="13">
        <f>IF($D$2="Egyszeri",IF($D$7&gt;=IF($D$4="Forint",Paraméterek!$P$223,Paraméterek!$P$224),$D$7-IF($D$4="Forint",Paraméterek!$F$223,Paraméterek!$F$224),0),MIN(IF($AA71=12,AVERAGE($D$20:$D71)*12,0),SUM($D$20:$D$31)))</f>
        <v>0</v>
      </c>
      <c r="AG71" s="13">
        <f>IF(AND($Z71&gt;=10,MOD($Z71,5)=0),$AF71*IF($AA71=12,VLOOKUP($Z71,Paraméterek!$B$225:$F$240,IF($AF71&lt;IF($D$4="Forint",Paraméterek!$C$223,Paraméterek!$C$224),2,IF($AF71&lt;IF($D$4="Forint",Paraméterek!$D$223,Paraméterek!$D$224),3,4))),0),0)</f>
        <v>0</v>
      </c>
      <c r="AH71" s="13">
        <f>IF(AND($Z71&gt;=5,MOD($Z71,5)=0),IF($AA71=12,VLOOKUP($Z71,Paraméterek!$B$225:$F$240,5),0),IF(OR($Z71=3,$Z71=4),IF($AA71=12,VLOOKUP($Z71,Paraméterek!$B$225:$F$240,5,0),0),0))*$AF71</f>
        <v>0</v>
      </c>
      <c r="AI71" s="13">
        <f>ROUNDDOWN(IF(SUM($T$20:$U71)=0,IF($D$2="Egyszeri",$AH71,$AG71),0),IF($D$4="Forint",0,2))</f>
        <v>0</v>
      </c>
      <c r="AJ71" s="13">
        <f t="shared" si="12"/>
        <v>0</v>
      </c>
      <c r="AK71" s="13">
        <f t="shared" si="13"/>
        <v>0</v>
      </c>
      <c r="AM71" s="32">
        <v>52</v>
      </c>
      <c r="AN71" s="32">
        <v>5</v>
      </c>
      <c r="AO71" s="32">
        <v>4</v>
      </c>
      <c r="AP71" s="13"/>
      <c r="AQ71" s="32"/>
      <c r="AR71" s="13">
        <f t="shared" si="14"/>
        <v>0</v>
      </c>
      <c r="AS71" s="33"/>
      <c r="AT71" s="13">
        <f t="shared" si="8"/>
        <v>0</v>
      </c>
      <c r="AU71" s="13">
        <f>ROUNDUP(($AR71+$AT71)*VLOOKUP($AN71,Paraméterek!$P$38:$Q$38,2)/12,IF($D$4="Forint",0,2))</f>
        <v>0</v>
      </c>
      <c r="AV71" s="13"/>
      <c r="AW71" s="13"/>
      <c r="AX71" s="13">
        <f>ROUNDUP(IF(SUM($AV71:$AW71)=0,0,IF(IF(ISBLANK($AW71),$AV71,$AW71)*Paraméterek!$J$112&lt;IF($D$4="Forint",Paraméterek!$J$113,Paraméterek!$K$113),IF($D$4="Forint",Paraméterek!$J$113,Paraméterek!$K$113),IF(IF(ISBLANK($AW71),$AV71,$AW71)*Paraméterek!$J$112&gt;IF($D$4="Forint",Paraméterek!$J$114,Paraméterek!$K$114),IF($D$4="Forint",Paraméterek!$J$114,Paraméterek!$K$114),IF(ISBLANK($AW71),$AV71,$AW71)*Paraméterek!$J$112))),IF($D$4="Forint",0,2))</f>
        <v>0</v>
      </c>
      <c r="AY71" s="13">
        <f>$AR71+$AT71-$AU71-IF(ROUNDDOWN(IF(ISBLANK($AW71),$AV71,$AW71),IF($D$4="Forint",0,2))&gt;$AR71+$AT71-$AU71-IF($D$4="Forint",Paraméterek!$J$114,Paraméterek!$K$114),0,ROUNDDOWN(IF(ISBLANK($AW71),$AV71,$AW71),IF($D$4="Forint",0,2))-$AX71)</f>
        <v>0</v>
      </c>
      <c r="AZ71" s="13">
        <f t="shared" si="9"/>
        <v>0</v>
      </c>
    </row>
    <row r="72" spans="1:52" x14ac:dyDescent="0.2">
      <c r="A72" s="32">
        <v>53</v>
      </c>
      <c r="B72" s="32">
        <v>5</v>
      </c>
      <c r="C72" s="32">
        <v>5</v>
      </c>
      <c r="D72" s="13">
        <f t="shared" si="0"/>
        <v>0</v>
      </c>
      <c r="E72" s="13"/>
      <c r="F72" s="13"/>
      <c r="G72" s="13"/>
      <c r="H72" s="13">
        <f t="shared" si="1"/>
        <v>0</v>
      </c>
      <c r="I72" s="13">
        <f t="shared" si="2"/>
        <v>0</v>
      </c>
      <c r="J72" s="13">
        <f t="shared" si="3"/>
        <v>0</v>
      </c>
      <c r="K72" s="13">
        <f>ROUNDUP(IF($D$2="Egyszeri",$D72,IF($D$2="Havi",SUM($D$20:$D$31),IF(MOD($C72,$M$1)-1=0,SUM($D$20:$D$31),0))/12*$M$1)*VLOOKUP($B72,Paraméterek!$B$27:$D$30,IF($D$2="Egyszeri",3,2)),IF($D$4="Forint",0,2))</f>
        <v>0</v>
      </c>
      <c r="L72" s="13">
        <f t="shared" si="4"/>
        <v>0</v>
      </c>
      <c r="M72" s="13">
        <f t="shared" ca="1" si="10"/>
        <v>-28269</v>
      </c>
      <c r="N72" s="13">
        <f ca="1">IF($V71&gt;=VLOOKUP($M$4-1+$B72,Paraméterek!$B$121:$D$122,IF($D$4="Forint",2,3)),0,VLOOKUP($M$4-1+$B72,Paraméterek!$B$121:$D$122,IF($D$4="Forint",2,3))-$V71)</f>
        <v>38269</v>
      </c>
      <c r="O72" s="13">
        <f ca="1">ROUNDUP($N72*Paraméterek!$C$58/Paraméterek!$C$56,IF($D$4="Forint",0,2))</f>
        <v>7</v>
      </c>
      <c r="P72" s="13">
        <f t="shared" si="5"/>
        <v>620</v>
      </c>
      <c r="Q72" s="33"/>
      <c r="R72" s="13">
        <f t="shared" ca="1" si="6"/>
        <v>0</v>
      </c>
      <c r="S72" s="13">
        <f ca="1">ROUNDUP(($M72-$O72-$P72+$R72)*VLOOKUP($B72,Paraméterek!$B$38:$D$39,IF($D$2="Egyszeri",3,2))/12,IF($D$4="Forint",0,2))</f>
        <v>-79</v>
      </c>
      <c r="T72" s="13"/>
      <c r="U72" s="13"/>
      <c r="V72" s="13">
        <f ca="1">$M72-$O72-$P72+$R72-$S72-IF(ROUNDUP(IF(ISBLANK($U72),$T72,$U72)/IF(AND($B72=1,$D$2&lt;&gt;"Egyszeri"),1,VLOOKUP($B72+IF($C72=12,1,0),Paraméterek!$B$257:$D$267,IF($D$2="Egyszeri",3,2))),IF($D$4="Forint",0,2))&gt;$M72-$O72-$P72+$R72-$S72-IF($D$4="Forint",Paraméterek!$C$216,Paraméterek!$D$216),0,ROUNDUP(IF(ISBLANK($U72),$T72,$U72)/IF(AND($B72=1,$D$2&lt;&gt;"Egyszeri"),1,VLOOKUP($B72+IF($C72=12,1,0),Paraméterek!$B$257:$D$267,IF($D$2="Egyszeri",3,2))),IF($D$4="Forint",0,2)))</f>
        <v>-28817</v>
      </c>
      <c r="W72" s="13">
        <f ca="1">ROUNDDOWN($V72*VLOOKUP($B72+IF($C72=12,1,0),Paraméterek!$B$257:$D$267,IF($D$2="Egyszeri",3,2)),IF($D$4="Forint",0,2))</f>
        <v>-27664</v>
      </c>
      <c r="Y72" s="32">
        <v>53</v>
      </c>
      <c r="Z72" s="32">
        <v>5</v>
      </c>
      <c r="AA72" s="32">
        <v>5</v>
      </c>
      <c r="AB72" s="13">
        <f t="shared" si="11"/>
        <v>0</v>
      </c>
      <c r="AC72" s="33"/>
      <c r="AD72" s="13">
        <f t="shared" si="7"/>
        <v>0</v>
      </c>
      <c r="AE72" s="13">
        <f>ROUNDUP(($AB72+$AD72)*VLOOKUP($Z72,Paraméterek!$P$38:$Q$38,2)/12,IF($D$4="Forint",0,2))</f>
        <v>0</v>
      </c>
      <c r="AF72" s="13">
        <f>IF($D$2="Egyszeri",IF($D$7&gt;=IF($D$4="Forint",Paraméterek!$P$223,Paraméterek!$P$224),$D$7-IF($D$4="Forint",Paraméterek!$F$223,Paraméterek!$F$224),0),MIN(IF($AA72=12,AVERAGE($D$20:$D72)*12,0),SUM($D$20:$D$31)))</f>
        <v>0</v>
      </c>
      <c r="AG72" s="13">
        <f>IF(AND($Z72&gt;=10,MOD($Z72,5)=0),$AF72*IF($AA72=12,VLOOKUP($Z72,Paraméterek!$B$225:$F$240,IF($AF72&lt;IF($D$4="Forint",Paraméterek!$C$223,Paraméterek!$C$224),2,IF($AF72&lt;IF($D$4="Forint",Paraméterek!$D$223,Paraméterek!$D$224),3,4))),0),0)</f>
        <v>0</v>
      </c>
      <c r="AH72" s="13">
        <f>IF(AND($Z72&gt;=5,MOD($Z72,5)=0),IF($AA72=12,VLOOKUP($Z72,Paraméterek!$B$225:$F$240,5),0),IF(OR($Z72=3,$Z72=4),IF($AA72=12,VLOOKUP($Z72,Paraméterek!$B$225:$F$240,5,0),0),0))*$AF72</f>
        <v>0</v>
      </c>
      <c r="AI72" s="13">
        <f>ROUNDDOWN(IF(SUM($T$20:$U72)=0,IF($D$2="Egyszeri",$AH72,$AG72),0),IF($D$4="Forint",0,2))</f>
        <v>0</v>
      </c>
      <c r="AJ72" s="13">
        <f t="shared" si="12"/>
        <v>0</v>
      </c>
      <c r="AK72" s="13">
        <f t="shared" si="13"/>
        <v>0</v>
      </c>
      <c r="AM72" s="32">
        <v>53</v>
      </c>
      <c r="AN72" s="32">
        <v>5</v>
      </c>
      <c r="AO72" s="32">
        <v>5</v>
      </c>
      <c r="AP72" s="13"/>
      <c r="AQ72" s="32"/>
      <c r="AR72" s="13">
        <f t="shared" si="14"/>
        <v>0</v>
      </c>
      <c r="AS72" s="33"/>
      <c r="AT72" s="13">
        <f t="shared" si="8"/>
        <v>0</v>
      </c>
      <c r="AU72" s="13">
        <f>ROUNDUP(($AR72+$AT72)*VLOOKUP($AN72,Paraméterek!$P$38:$Q$38,2)/12,IF($D$4="Forint",0,2))</f>
        <v>0</v>
      </c>
      <c r="AV72" s="13"/>
      <c r="AW72" s="13"/>
      <c r="AX72" s="13">
        <f>ROUNDUP(IF(SUM($AV72:$AW72)=0,0,IF(IF(ISBLANK($AW72),$AV72,$AW72)*Paraméterek!$J$112&lt;IF($D$4="Forint",Paraméterek!$J$113,Paraméterek!$K$113),IF($D$4="Forint",Paraméterek!$J$113,Paraméterek!$K$113),IF(IF(ISBLANK($AW72),$AV72,$AW72)*Paraméterek!$J$112&gt;IF($D$4="Forint",Paraméterek!$J$114,Paraméterek!$K$114),IF($D$4="Forint",Paraméterek!$J$114,Paraméterek!$K$114),IF(ISBLANK($AW72),$AV72,$AW72)*Paraméterek!$J$112))),IF($D$4="Forint",0,2))</f>
        <v>0</v>
      </c>
      <c r="AY72" s="13">
        <f>$AR72+$AT72-$AU72-IF(ROUNDDOWN(IF(ISBLANK($AW72),$AV72,$AW72),IF($D$4="Forint",0,2))&gt;$AR72+$AT72-$AU72-IF($D$4="Forint",Paraméterek!$J$114,Paraméterek!$K$114),0,ROUNDDOWN(IF(ISBLANK($AW72),$AV72,$AW72),IF($D$4="Forint",0,2))-$AX72)</f>
        <v>0</v>
      </c>
      <c r="AZ72" s="13">
        <f t="shared" si="9"/>
        <v>0</v>
      </c>
    </row>
    <row r="73" spans="1:52" x14ac:dyDescent="0.2">
      <c r="A73" s="32">
        <v>54</v>
      </c>
      <c r="B73" s="32">
        <v>5</v>
      </c>
      <c r="C73" s="32">
        <v>6</v>
      </c>
      <c r="D73" s="13">
        <f t="shared" si="0"/>
        <v>0</v>
      </c>
      <c r="E73" s="13"/>
      <c r="F73" s="13"/>
      <c r="G73" s="13"/>
      <c r="H73" s="13">
        <f t="shared" si="1"/>
        <v>0</v>
      </c>
      <c r="I73" s="13">
        <f t="shared" si="2"/>
        <v>0</v>
      </c>
      <c r="J73" s="13">
        <f t="shared" si="3"/>
        <v>0</v>
      </c>
      <c r="K73" s="13">
        <f>ROUNDUP(IF($D$2="Egyszeri",$D73,IF($D$2="Havi",SUM($D$20:$D$31),IF(MOD($C73,$M$1)-1=0,SUM($D$20:$D$31),0))/12*$M$1)*VLOOKUP($B73,Paraméterek!$B$27:$D$30,IF($D$2="Egyszeri",3,2)),IF($D$4="Forint",0,2))</f>
        <v>0</v>
      </c>
      <c r="L73" s="13">
        <f t="shared" si="4"/>
        <v>0</v>
      </c>
      <c r="M73" s="13">
        <f t="shared" ca="1" si="10"/>
        <v>-28817</v>
      </c>
      <c r="N73" s="13">
        <f ca="1">IF($V72&gt;=VLOOKUP($M$4-1+$B73,Paraméterek!$B$121:$D$122,IF($D$4="Forint",2,3)),0,VLOOKUP($M$4-1+$B73,Paraméterek!$B$121:$D$122,IF($D$4="Forint",2,3))-$V72)</f>
        <v>38817</v>
      </c>
      <c r="O73" s="13">
        <f ca="1">ROUNDUP($N73*Paraméterek!$C$58/Paraméterek!$C$56,IF($D$4="Forint",0,2))</f>
        <v>7</v>
      </c>
      <c r="P73" s="13">
        <f t="shared" si="5"/>
        <v>620</v>
      </c>
      <c r="Q73" s="33"/>
      <c r="R73" s="13">
        <f t="shared" ca="1" si="6"/>
        <v>0</v>
      </c>
      <c r="S73" s="13">
        <f ca="1">ROUNDUP(($M73-$O73-$P73+$R73)*VLOOKUP($B73,Paraméterek!$B$38:$D$39,IF($D$2="Egyszeri",3,2))/12,IF($D$4="Forint",0,2))</f>
        <v>-80</v>
      </c>
      <c r="T73" s="13"/>
      <c r="U73" s="13"/>
      <c r="V73" s="13">
        <f ca="1">$M73-$O73-$P73+$R73-$S73-IF(ROUNDUP(IF(ISBLANK($U73),$T73,$U73)/IF(AND($B73=1,$D$2&lt;&gt;"Egyszeri"),1,VLOOKUP($B73+IF($C73=12,1,0),Paraméterek!$B$257:$D$267,IF($D$2="Egyszeri",3,2))),IF($D$4="Forint",0,2))&gt;$M73-$O73-$P73+$R73-$S73-IF($D$4="Forint",Paraméterek!$C$216,Paraméterek!$D$216),0,ROUNDUP(IF(ISBLANK($U73),$T73,$U73)/IF(AND($B73=1,$D$2&lt;&gt;"Egyszeri"),1,VLOOKUP($B73+IF($C73=12,1,0),Paraméterek!$B$257:$D$267,IF($D$2="Egyszeri",3,2))),IF($D$4="Forint",0,2)))</f>
        <v>-29364</v>
      </c>
      <c r="W73" s="13">
        <f ca="1">ROUNDDOWN($V73*VLOOKUP($B73+IF($C73=12,1,0),Paraméterek!$B$257:$D$267,IF($D$2="Egyszeri",3,2)),IF($D$4="Forint",0,2))</f>
        <v>-28189</v>
      </c>
      <c r="Y73" s="32">
        <v>54</v>
      </c>
      <c r="Z73" s="32">
        <v>5</v>
      </c>
      <c r="AA73" s="32">
        <v>6</v>
      </c>
      <c r="AB73" s="13">
        <f t="shared" si="11"/>
        <v>0</v>
      </c>
      <c r="AC73" s="33"/>
      <c r="AD73" s="13">
        <f t="shared" si="7"/>
        <v>0</v>
      </c>
      <c r="AE73" s="13">
        <f>ROUNDUP(($AB73+$AD73)*VLOOKUP($Z73,Paraméterek!$P$38:$Q$38,2)/12,IF($D$4="Forint",0,2))</f>
        <v>0</v>
      </c>
      <c r="AF73" s="13">
        <f>IF($D$2="Egyszeri",IF($D$7&gt;=IF($D$4="Forint",Paraméterek!$P$223,Paraméterek!$P$224),$D$7-IF($D$4="Forint",Paraméterek!$F$223,Paraméterek!$F$224),0),MIN(IF($AA73=12,AVERAGE($D$20:$D73)*12,0),SUM($D$20:$D$31)))</f>
        <v>0</v>
      </c>
      <c r="AG73" s="13">
        <f>IF(AND($Z73&gt;=10,MOD($Z73,5)=0),$AF73*IF($AA73=12,VLOOKUP($Z73,Paraméterek!$B$225:$F$240,IF($AF73&lt;IF($D$4="Forint",Paraméterek!$C$223,Paraméterek!$C$224),2,IF($AF73&lt;IF($D$4="Forint",Paraméterek!$D$223,Paraméterek!$D$224),3,4))),0),0)</f>
        <v>0</v>
      </c>
      <c r="AH73" s="13">
        <f>IF(AND($Z73&gt;=5,MOD($Z73,5)=0),IF($AA73=12,VLOOKUP($Z73,Paraméterek!$B$225:$F$240,5),0),IF(OR($Z73=3,$Z73=4),IF($AA73=12,VLOOKUP($Z73,Paraméterek!$B$225:$F$240,5,0),0),0))*$AF73</f>
        <v>0</v>
      </c>
      <c r="AI73" s="13">
        <f>ROUNDDOWN(IF(SUM($T$20:$U73)=0,IF($D$2="Egyszeri",$AH73,$AG73),0),IF($D$4="Forint",0,2))</f>
        <v>0</v>
      </c>
      <c r="AJ73" s="13">
        <f t="shared" si="12"/>
        <v>0</v>
      </c>
      <c r="AK73" s="13">
        <f t="shared" si="13"/>
        <v>0</v>
      </c>
      <c r="AM73" s="32">
        <v>54</v>
      </c>
      <c r="AN73" s="32">
        <v>5</v>
      </c>
      <c r="AO73" s="32">
        <v>6</v>
      </c>
      <c r="AP73" s="13"/>
      <c r="AQ73" s="32"/>
      <c r="AR73" s="13">
        <f t="shared" si="14"/>
        <v>0</v>
      </c>
      <c r="AS73" s="33"/>
      <c r="AT73" s="13">
        <f t="shared" si="8"/>
        <v>0</v>
      </c>
      <c r="AU73" s="13">
        <f>ROUNDUP(($AR73+$AT73)*VLOOKUP($AN73,Paraméterek!$P$38:$Q$38,2)/12,IF($D$4="Forint",0,2))</f>
        <v>0</v>
      </c>
      <c r="AV73" s="13"/>
      <c r="AW73" s="13"/>
      <c r="AX73" s="13">
        <f>ROUNDUP(IF(SUM($AV73:$AW73)=0,0,IF(IF(ISBLANK($AW73),$AV73,$AW73)*Paraméterek!$J$112&lt;IF($D$4="Forint",Paraméterek!$J$113,Paraméterek!$K$113),IF($D$4="Forint",Paraméterek!$J$113,Paraméterek!$K$113),IF(IF(ISBLANK($AW73),$AV73,$AW73)*Paraméterek!$J$112&gt;IF($D$4="Forint",Paraméterek!$J$114,Paraméterek!$K$114),IF($D$4="Forint",Paraméterek!$J$114,Paraméterek!$K$114),IF(ISBLANK($AW73),$AV73,$AW73)*Paraméterek!$J$112))),IF($D$4="Forint",0,2))</f>
        <v>0</v>
      </c>
      <c r="AY73" s="13">
        <f>$AR73+$AT73-$AU73-IF(ROUNDDOWN(IF(ISBLANK($AW73),$AV73,$AW73),IF($D$4="Forint",0,2))&gt;$AR73+$AT73-$AU73-IF($D$4="Forint",Paraméterek!$J$114,Paraméterek!$K$114),0,ROUNDDOWN(IF(ISBLANK($AW73),$AV73,$AW73),IF($D$4="Forint",0,2))-$AX73)</f>
        <v>0</v>
      </c>
      <c r="AZ73" s="13">
        <f t="shared" si="9"/>
        <v>0</v>
      </c>
    </row>
    <row r="74" spans="1:52" x14ac:dyDescent="0.2">
      <c r="A74" s="32">
        <v>55</v>
      </c>
      <c r="B74" s="32">
        <v>5</v>
      </c>
      <c r="C74" s="32">
        <v>7</v>
      </c>
      <c r="D74" s="13">
        <f t="shared" si="0"/>
        <v>0</v>
      </c>
      <c r="E74" s="13"/>
      <c r="F74" s="13"/>
      <c r="G74" s="13"/>
      <c r="H74" s="13">
        <f t="shared" si="1"/>
        <v>0</v>
      </c>
      <c r="I74" s="13">
        <f t="shared" si="2"/>
        <v>0</v>
      </c>
      <c r="J74" s="13">
        <f t="shared" si="3"/>
        <v>0</v>
      </c>
      <c r="K74" s="13">
        <f>ROUNDUP(IF($D$2="Egyszeri",$D74,IF($D$2="Havi",SUM($D$20:$D$31),IF(MOD($C74,$M$1)-1=0,SUM($D$20:$D$31),0))/12*$M$1)*VLOOKUP($B74,Paraméterek!$B$27:$D$30,IF($D$2="Egyszeri",3,2)),IF($D$4="Forint",0,2))</f>
        <v>0</v>
      </c>
      <c r="L74" s="13">
        <f t="shared" si="4"/>
        <v>0</v>
      </c>
      <c r="M74" s="13">
        <f t="shared" ca="1" si="10"/>
        <v>-29364</v>
      </c>
      <c r="N74" s="13">
        <f ca="1">IF($V73&gt;=VLOOKUP($M$4-1+$B74,Paraméterek!$B$121:$D$122,IF($D$4="Forint",2,3)),0,VLOOKUP($M$4-1+$B74,Paraméterek!$B$121:$D$122,IF($D$4="Forint",2,3))-$V73)</f>
        <v>39364</v>
      </c>
      <c r="O74" s="13">
        <f ca="1">ROUNDUP($N74*Paraméterek!$C$58/Paraméterek!$C$56,IF($D$4="Forint",0,2))</f>
        <v>7</v>
      </c>
      <c r="P74" s="13">
        <f t="shared" si="5"/>
        <v>620</v>
      </c>
      <c r="Q74" s="33"/>
      <c r="R74" s="13">
        <f t="shared" ca="1" si="6"/>
        <v>0</v>
      </c>
      <c r="S74" s="13">
        <f ca="1">ROUNDUP(($M74-$O74-$P74+$R74)*VLOOKUP($B74,Paraméterek!$B$38:$D$39,IF($D$2="Egyszeri",3,2))/12,IF($D$4="Forint",0,2))</f>
        <v>-82</v>
      </c>
      <c r="T74" s="13"/>
      <c r="U74" s="13"/>
      <c r="V74" s="13">
        <f ca="1">$M74-$O74-$P74+$R74-$S74-IF(ROUNDUP(IF(ISBLANK($U74),$T74,$U74)/IF(AND($B74=1,$D$2&lt;&gt;"Egyszeri"),1,VLOOKUP($B74+IF($C74=12,1,0),Paraméterek!$B$257:$D$267,IF($D$2="Egyszeri",3,2))),IF($D$4="Forint",0,2))&gt;$M74-$O74-$P74+$R74-$S74-IF($D$4="Forint",Paraméterek!$C$216,Paraméterek!$D$216),0,ROUNDUP(IF(ISBLANK($U74),$T74,$U74)/IF(AND($B74=1,$D$2&lt;&gt;"Egyszeri"),1,VLOOKUP($B74+IF($C74=12,1,0),Paraméterek!$B$257:$D$267,IF($D$2="Egyszeri",3,2))),IF($D$4="Forint",0,2)))</f>
        <v>-29909</v>
      </c>
      <c r="W74" s="13">
        <f ca="1">ROUNDDOWN($V74*VLOOKUP($B74+IF($C74=12,1,0),Paraméterek!$B$257:$D$267,IF($D$2="Egyszeri",3,2)),IF($D$4="Forint",0,2))</f>
        <v>-28712</v>
      </c>
      <c r="Y74" s="32">
        <v>55</v>
      </c>
      <c r="Z74" s="32">
        <v>5</v>
      </c>
      <c r="AA74" s="32">
        <v>7</v>
      </c>
      <c r="AB74" s="13">
        <f t="shared" si="11"/>
        <v>0</v>
      </c>
      <c r="AC74" s="33"/>
      <c r="AD74" s="13">
        <f t="shared" si="7"/>
        <v>0</v>
      </c>
      <c r="AE74" s="13">
        <f>ROUNDUP(($AB74+$AD74)*VLOOKUP($Z74,Paraméterek!$P$38:$Q$38,2)/12,IF($D$4="Forint",0,2))</f>
        <v>0</v>
      </c>
      <c r="AF74" s="13">
        <f>IF($D$2="Egyszeri",IF($D$7&gt;=IF($D$4="Forint",Paraméterek!$P$223,Paraméterek!$P$224),$D$7-IF($D$4="Forint",Paraméterek!$F$223,Paraméterek!$F$224),0),MIN(IF($AA74=12,AVERAGE($D$20:$D74)*12,0),SUM($D$20:$D$31)))</f>
        <v>0</v>
      </c>
      <c r="AG74" s="13">
        <f>IF(AND($Z74&gt;=10,MOD($Z74,5)=0),$AF74*IF($AA74=12,VLOOKUP($Z74,Paraméterek!$B$225:$F$240,IF($AF74&lt;IF($D$4="Forint",Paraméterek!$C$223,Paraméterek!$C$224),2,IF($AF74&lt;IF($D$4="Forint",Paraméterek!$D$223,Paraméterek!$D$224),3,4))),0),0)</f>
        <v>0</v>
      </c>
      <c r="AH74" s="13">
        <f>IF(AND($Z74&gt;=5,MOD($Z74,5)=0),IF($AA74=12,VLOOKUP($Z74,Paraméterek!$B$225:$F$240,5),0),IF(OR($Z74=3,$Z74=4),IF($AA74=12,VLOOKUP($Z74,Paraméterek!$B$225:$F$240,5,0),0),0))*$AF74</f>
        <v>0</v>
      </c>
      <c r="AI74" s="13">
        <f>ROUNDDOWN(IF(SUM($T$20:$U74)=0,IF($D$2="Egyszeri",$AH74,$AG74),0),IF($D$4="Forint",0,2))</f>
        <v>0</v>
      </c>
      <c r="AJ74" s="13">
        <f t="shared" si="12"/>
        <v>0</v>
      </c>
      <c r="AK74" s="13">
        <f t="shared" si="13"/>
        <v>0</v>
      </c>
      <c r="AM74" s="32">
        <v>55</v>
      </c>
      <c r="AN74" s="32">
        <v>5</v>
      </c>
      <c r="AO74" s="32">
        <v>7</v>
      </c>
      <c r="AP74" s="13"/>
      <c r="AQ74" s="32"/>
      <c r="AR74" s="13">
        <f t="shared" si="14"/>
        <v>0</v>
      </c>
      <c r="AS74" s="33"/>
      <c r="AT74" s="13">
        <f t="shared" si="8"/>
        <v>0</v>
      </c>
      <c r="AU74" s="13">
        <f>ROUNDUP(($AR74+$AT74)*VLOOKUP($AN74,Paraméterek!$P$38:$Q$38,2)/12,IF($D$4="Forint",0,2))</f>
        <v>0</v>
      </c>
      <c r="AV74" s="13"/>
      <c r="AW74" s="13"/>
      <c r="AX74" s="13">
        <f>ROUNDUP(IF(SUM($AV74:$AW74)=0,0,IF(IF(ISBLANK($AW74),$AV74,$AW74)*Paraméterek!$J$112&lt;IF($D$4="Forint",Paraméterek!$J$113,Paraméterek!$K$113),IF($D$4="Forint",Paraméterek!$J$113,Paraméterek!$K$113),IF(IF(ISBLANK($AW74),$AV74,$AW74)*Paraméterek!$J$112&gt;IF($D$4="Forint",Paraméterek!$J$114,Paraméterek!$K$114),IF($D$4="Forint",Paraméterek!$J$114,Paraméterek!$K$114),IF(ISBLANK($AW74),$AV74,$AW74)*Paraméterek!$J$112))),IF($D$4="Forint",0,2))</f>
        <v>0</v>
      </c>
      <c r="AY74" s="13">
        <f>$AR74+$AT74-$AU74-IF(ROUNDDOWN(IF(ISBLANK($AW74),$AV74,$AW74),IF($D$4="Forint",0,2))&gt;$AR74+$AT74-$AU74-IF($D$4="Forint",Paraméterek!$J$114,Paraméterek!$K$114),0,ROUNDDOWN(IF(ISBLANK($AW74),$AV74,$AW74),IF($D$4="Forint",0,2))-$AX74)</f>
        <v>0</v>
      </c>
      <c r="AZ74" s="13">
        <f t="shared" si="9"/>
        <v>0</v>
      </c>
    </row>
    <row r="75" spans="1:52" x14ac:dyDescent="0.2">
      <c r="A75" s="32">
        <v>56</v>
      </c>
      <c r="B75" s="32">
        <v>5</v>
      </c>
      <c r="C75" s="32">
        <v>8</v>
      </c>
      <c r="D75" s="13">
        <f t="shared" si="0"/>
        <v>0</v>
      </c>
      <c r="E75" s="13"/>
      <c r="F75" s="13"/>
      <c r="G75" s="13"/>
      <c r="H75" s="13">
        <f t="shared" si="1"/>
        <v>0</v>
      </c>
      <c r="I75" s="13">
        <f t="shared" si="2"/>
        <v>0</v>
      </c>
      <c r="J75" s="13">
        <f t="shared" si="3"/>
        <v>0</v>
      </c>
      <c r="K75" s="13">
        <f>ROUNDUP(IF($D$2="Egyszeri",$D75,IF($D$2="Havi",SUM($D$20:$D$31),IF(MOD($C75,$M$1)-1=0,SUM($D$20:$D$31),0))/12*$M$1)*VLOOKUP($B75,Paraméterek!$B$27:$D$30,IF($D$2="Egyszeri",3,2)),IF($D$4="Forint",0,2))</f>
        <v>0</v>
      </c>
      <c r="L75" s="13">
        <f t="shared" si="4"/>
        <v>0</v>
      </c>
      <c r="M75" s="13">
        <f t="shared" ca="1" si="10"/>
        <v>-29909</v>
      </c>
      <c r="N75" s="13">
        <f ca="1">IF($V74&gt;=VLOOKUP($M$4-1+$B75,Paraméterek!$B$121:$D$122,IF($D$4="Forint",2,3)),0,VLOOKUP($M$4-1+$B75,Paraméterek!$B$121:$D$122,IF($D$4="Forint",2,3))-$V74)</f>
        <v>39909</v>
      </c>
      <c r="O75" s="13">
        <f ca="1">ROUNDUP($N75*Paraméterek!$C$58/Paraméterek!$C$56,IF($D$4="Forint",0,2))</f>
        <v>7</v>
      </c>
      <c r="P75" s="13">
        <f t="shared" si="5"/>
        <v>620</v>
      </c>
      <c r="Q75" s="33"/>
      <c r="R75" s="13">
        <f t="shared" ca="1" si="6"/>
        <v>0</v>
      </c>
      <c r="S75" s="13">
        <f ca="1">ROUNDUP(($M75-$O75-$P75+$R75)*VLOOKUP($B75,Paraméterek!$B$38:$D$39,IF($D$2="Egyszeri",3,2))/12,IF($D$4="Forint",0,2))</f>
        <v>-83</v>
      </c>
      <c r="T75" s="13"/>
      <c r="U75" s="13"/>
      <c r="V75" s="13">
        <f ca="1">$M75-$O75-$P75+$R75-$S75-IF(ROUNDUP(IF(ISBLANK($U75),$T75,$U75)/IF(AND($B75=1,$D$2&lt;&gt;"Egyszeri"),1,VLOOKUP($B75+IF($C75=12,1,0),Paraméterek!$B$257:$D$267,IF($D$2="Egyszeri",3,2))),IF($D$4="Forint",0,2))&gt;$M75-$O75-$P75+$R75-$S75-IF($D$4="Forint",Paraméterek!$C$216,Paraméterek!$D$216),0,ROUNDUP(IF(ISBLANK($U75),$T75,$U75)/IF(AND($B75=1,$D$2&lt;&gt;"Egyszeri"),1,VLOOKUP($B75+IF($C75=12,1,0),Paraméterek!$B$257:$D$267,IF($D$2="Egyszeri",3,2))),IF($D$4="Forint",0,2)))</f>
        <v>-30453</v>
      </c>
      <c r="W75" s="13">
        <f ca="1">ROUNDDOWN($V75*VLOOKUP($B75+IF($C75=12,1,0),Paraméterek!$B$257:$D$267,IF($D$2="Egyszeri",3,2)),IF($D$4="Forint",0,2))</f>
        <v>-29234</v>
      </c>
      <c r="Y75" s="32">
        <v>56</v>
      </c>
      <c r="Z75" s="32">
        <v>5</v>
      </c>
      <c r="AA75" s="32">
        <v>8</v>
      </c>
      <c r="AB75" s="13">
        <f t="shared" si="11"/>
        <v>0</v>
      </c>
      <c r="AC75" s="33"/>
      <c r="AD75" s="13">
        <f t="shared" si="7"/>
        <v>0</v>
      </c>
      <c r="AE75" s="13">
        <f>ROUNDUP(($AB75+$AD75)*VLOOKUP($Z75,Paraméterek!$P$38:$Q$38,2)/12,IF($D$4="Forint",0,2))</f>
        <v>0</v>
      </c>
      <c r="AF75" s="13">
        <f>IF($D$2="Egyszeri",IF($D$7&gt;=IF($D$4="Forint",Paraméterek!$P$223,Paraméterek!$P$224),$D$7-IF($D$4="Forint",Paraméterek!$F$223,Paraméterek!$F$224),0),MIN(IF($AA75=12,AVERAGE($D$20:$D75)*12,0),SUM($D$20:$D$31)))</f>
        <v>0</v>
      </c>
      <c r="AG75" s="13">
        <f>IF(AND($Z75&gt;=10,MOD($Z75,5)=0),$AF75*IF($AA75=12,VLOOKUP($Z75,Paraméterek!$B$225:$F$240,IF($AF75&lt;IF($D$4="Forint",Paraméterek!$C$223,Paraméterek!$C$224),2,IF($AF75&lt;IF($D$4="Forint",Paraméterek!$D$223,Paraméterek!$D$224),3,4))),0),0)</f>
        <v>0</v>
      </c>
      <c r="AH75" s="13">
        <f>IF(AND($Z75&gt;=5,MOD($Z75,5)=0),IF($AA75=12,VLOOKUP($Z75,Paraméterek!$B$225:$F$240,5),0),IF(OR($Z75=3,$Z75=4),IF($AA75=12,VLOOKUP($Z75,Paraméterek!$B$225:$F$240,5,0),0),0))*$AF75</f>
        <v>0</v>
      </c>
      <c r="AI75" s="13">
        <f>ROUNDDOWN(IF(SUM($T$20:$U75)=0,IF($D$2="Egyszeri",$AH75,$AG75),0),IF($D$4="Forint",0,2))</f>
        <v>0</v>
      </c>
      <c r="AJ75" s="13">
        <f t="shared" si="12"/>
        <v>0</v>
      </c>
      <c r="AK75" s="13">
        <f t="shared" si="13"/>
        <v>0</v>
      </c>
      <c r="AM75" s="32">
        <v>56</v>
      </c>
      <c r="AN75" s="32">
        <v>5</v>
      </c>
      <c r="AO75" s="32">
        <v>8</v>
      </c>
      <c r="AP75" s="13"/>
      <c r="AQ75" s="32"/>
      <c r="AR75" s="13">
        <f t="shared" si="14"/>
        <v>0</v>
      </c>
      <c r="AS75" s="33"/>
      <c r="AT75" s="13">
        <f t="shared" si="8"/>
        <v>0</v>
      </c>
      <c r="AU75" s="13">
        <f>ROUNDUP(($AR75+$AT75)*VLOOKUP($AN75,Paraméterek!$P$38:$Q$38,2)/12,IF($D$4="Forint",0,2))</f>
        <v>0</v>
      </c>
      <c r="AV75" s="13"/>
      <c r="AW75" s="13"/>
      <c r="AX75" s="13">
        <f>ROUNDUP(IF(SUM($AV75:$AW75)=0,0,IF(IF(ISBLANK($AW75),$AV75,$AW75)*Paraméterek!$J$112&lt;IF($D$4="Forint",Paraméterek!$J$113,Paraméterek!$K$113),IF($D$4="Forint",Paraméterek!$J$113,Paraméterek!$K$113),IF(IF(ISBLANK($AW75),$AV75,$AW75)*Paraméterek!$J$112&gt;IF($D$4="Forint",Paraméterek!$J$114,Paraméterek!$K$114),IF($D$4="Forint",Paraméterek!$J$114,Paraméterek!$K$114),IF(ISBLANK($AW75),$AV75,$AW75)*Paraméterek!$J$112))),IF($D$4="Forint",0,2))</f>
        <v>0</v>
      </c>
      <c r="AY75" s="13">
        <f>$AR75+$AT75-$AU75-IF(ROUNDDOWN(IF(ISBLANK($AW75),$AV75,$AW75),IF($D$4="Forint",0,2))&gt;$AR75+$AT75-$AU75-IF($D$4="Forint",Paraméterek!$J$114,Paraméterek!$K$114),0,ROUNDDOWN(IF(ISBLANK($AW75),$AV75,$AW75),IF($D$4="Forint",0,2))-$AX75)</f>
        <v>0</v>
      </c>
      <c r="AZ75" s="13">
        <f t="shared" si="9"/>
        <v>0</v>
      </c>
    </row>
    <row r="76" spans="1:52" x14ac:dyDescent="0.2">
      <c r="A76" s="32">
        <v>57</v>
      </c>
      <c r="B76" s="32">
        <v>5</v>
      </c>
      <c r="C76" s="32">
        <v>9</v>
      </c>
      <c r="D76" s="13">
        <f t="shared" si="0"/>
        <v>0</v>
      </c>
      <c r="E76" s="13"/>
      <c r="F76" s="13"/>
      <c r="G76" s="13"/>
      <c r="H76" s="13">
        <f t="shared" si="1"/>
        <v>0</v>
      </c>
      <c r="I76" s="13">
        <f t="shared" si="2"/>
        <v>0</v>
      </c>
      <c r="J76" s="13">
        <f t="shared" si="3"/>
        <v>0</v>
      </c>
      <c r="K76" s="13">
        <f>ROUNDUP(IF($D$2="Egyszeri",$D76,IF($D$2="Havi",SUM($D$20:$D$31),IF(MOD($C76,$M$1)-1=0,SUM($D$20:$D$31),0))/12*$M$1)*VLOOKUP($B76,Paraméterek!$B$27:$D$30,IF($D$2="Egyszeri",3,2)),IF($D$4="Forint",0,2))</f>
        <v>0</v>
      </c>
      <c r="L76" s="13">
        <f t="shared" si="4"/>
        <v>0</v>
      </c>
      <c r="M76" s="13">
        <f t="shared" ca="1" si="10"/>
        <v>-30453</v>
      </c>
      <c r="N76" s="13">
        <f ca="1">IF($V75&gt;=VLOOKUP($M$4-1+$B76,Paraméterek!$B$121:$D$122,IF($D$4="Forint",2,3)),0,VLOOKUP($M$4-1+$B76,Paraméterek!$B$121:$D$122,IF($D$4="Forint",2,3))-$V75)</f>
        <v>40453</v>
      </c>
      <c r="O76" s="13">
        <f ca="1">ROUNDUP($N76*Paraméterek!$C$58/Paraméterek!$C$56,IF($D$4="Forint",0,2))</f>
        <v>7</v>
      </c>
      <c r="P76" s="13">
        <f t="shared" si="5"/>
        <v>620</v>
      </c>
      <c r="Q76" s="33"/>
      <c r="R76" s="13">
        <f t="shared" ca="1" si="6"/>
        <v>0</v>
      </c>
      <c r="S76" s="13">
        <f ca="1">ROUNDUP(($M76-$O76-$P76+$R76)*VLOOKUP($B76,Paraméterek!$B$38:$D$39,IF($D$2="Egyszeri",3,2))/12,IF($D$4="Forint",0,2))</f>
        <v>-85</v>
      </c>
      <c r="T76" s="13"/>
      <c r="U76" s="13"/>
      <c r="V76" s="13">
        <f ca="1">$M76-$O76-$P76+$R76-$S76-IF(ROUNDUP(IF(ISBLANK($U76),$T76,$U76)/IF(AND($B76=1,$D$2&lt;&gt;"Egyszeri"),1,VLOOKUP($B76+IF($C76=12,1,0),Paraméterek!$B$257:$D$267,IF($D$2="Egyszeri",3,2))),IF($D$4="Forint",0,2))&gt;$M76-$O76-$P76+$R76-$S76-IF($D$4="Forint",Paraméterek!$C$216,Paraméterek!$D$216),0,ROUNDUP(IF(ISBLANK($U76),$T76,$U76)/IF(AND($B76=1,$D$2&lt;&gt;"Egyszeri"),1,VLOOKUP($B76+IF($C76=12,1,0),Paraméterek!$B$257:$D$267,IF($D$2="Egyszeri",3,2))),IF($D$4="Forint",0,2)))</f>
        <v>-30995</v>
      </c>
      <c r="W76" s="13">
        <f ca="1">ROUNDDOWN($V76*VLOOKUP($B76+IF($C76=12,1,0),Paraméterek!$B$257:$D$267,IF($D$2="Egyszeri",3,2)),IF($D$4="Forint",0,2))</f>
        <v>-29755</v>
      </c>
      <c r="Y76" s="32">
        <v>57</v>
      </c>
      <c r="Z76" s="32">
        <v>5</v>
      </c>
      <c r="AA76" s="32">
        <v>9</v>
      </c>
      <c r="AB76" s="13">
        <f t="shared" si="11"/>
        <v>0</v>
      </c>
      <c r="AC76" s="33"/>
      <c r="AD76" s="13">
        <f t="shared" si="7"/>
        <v>0</v>
      </c>
      <c r="AE76" s="13">
        <f>ROUNDUP(($AB76+$AD76)*VLOOKUP($Z76,Paraméterek!$P$38:$Q$38,2)/12,IF($D$4="Forint",0,2))</f>
        <v>0</v>
      </c>
      <c r="AF76" s="13">
        <f>IF($D$2="Egyszeri",IF($D$7&gt;=IF($D$4="Forint",Paraméterek!$P$223,Paraméterek!$P$224),$D$7-IF($D$4="Forint",Paraméterek!$F$223,Paraméterek!$F$224),0),MIN(IF($AA76=12,AVERAGE($D$20:$D76)*12,0),SUM($D$20:$D$31)))</f>
        <v>0</v>
      </c>
      <c r="AG76" s="13">
        <f>IF(AND($Z76&gt;=10,MOD($Z76,5)=0),$AF76*IF($AA76=12,VLOOKUP($Z76,Paraméterek!$B$225:$F$240,IF($AF76&lt;IF($D$4="Forint",Paraméterek!$C$223,Paraméterek!$C$224),2,IF($AF76&lt;IF($D$4="Forint",Paraméterek!$D$223,Paraméterek!$D$224),3,4))),0),0)</f>
        <v>0</v>
      </c>
      <c r="AH76" s="13">
        <f>IF(AND($Z76&gt;=5,MOD($Z76,5)=0),IF($AA76=12,VLOOKUP($Z76,Paraméterek!$B$225:$F$240,5),0),IF(OR($Z76=3,$Z76=4),IF($AA76=12,VLOOKUP($Z76,Paraméterek!$B$225:$F$240,5,0),0),0))*$AF76</f>
        <v>0</v>
      </c>
      <c r="AI76" s="13">
        <f>ROUNDDOWN(IF(SUM($T$20:$U76)=0,IF($D$2="Egyszeri",$AH76,$AG76),0),IF($D$4="Forint",0,2))</f>
        <v>0</v>
      </c>
      <c r="AJ76" s="13">
        <f t="shared" si="12"/>
        <v>0</v>
      </c>
      <c r="AK76" s="13">
        <f t="shared" si="13"/>
        <v>0</v>
      </c>
      <c r="AM76" s="32">
        <v>57</v>
      </c>
      <c r="AN76" s="32">
        <v>5</v>
      </c>
      <c r="AO76" s="32">
        <v>9</v>
      </c>
      <c r="AP76" s="13"/>
      <c r="AQ76" s="32"/>
      <c r="AR76" s="13">
        <f t="shared" si="14"/>
        <v>0</v>
      </c>
      <c r="AS76" s="33"/>
      <c r="AT76" s="13">
        <f t="shared" si="8"/>
        <v>0</v>
      </c>
      <c r="AU76" s="13">
        <f>ROUNDUP(($AR76+$AT76)*VLOOKUP($AN76,Paraméterek!$P$38:$Q$38,2)/12,IF($D$4="Forint",0,2))</f>
        <v>0</v>
      </c>
      <c r="AV76" s="13"/>
      <c r="AW76" s="13"/>
      <c r="AX76" s="13">
        <f>ROUNDUP(IF(SUM($AV76:$AW76)=0,0,IF(IF(ISBLANK($AW76),$AV76,$AW76)*Paraméterek!$J$112&lt;IF($D$4="Forint",Paraméterek!$J$113,Paraméterek!$K$113),IF($D$4="Forint",Paraméterek!$J$113,Paraméterek!$K$113),IF(IF(ISBLANK($AW76),$AV76,$AW76)*Paraméterek!$J$112&gt;IF($D$4="Forint",Paraméterek!$J$114,Paraméterek!$K$114),IF($D$4="Forint",Paraméterek!$J$114,Paraméterek!$K$114),IF(ISBLANK($AW76),$AV76,$AW76)*Paraméterek!$J$112))),IF($D$4="Forint",0,2))</f>
        <v>0</v>
      </c>
      <c r="AY76" s="13">
        <f>$AR76+$AT76-$AU76-IF(ROUNDDOWN(IF(ISBLANK($AW76),$AV76,$AW76),IF($D$4="Forint",0,2))&gt;$AR76+$AT76-$AU76-IF($D$4="Forint",Paraméterek!$J$114,Paraméterek!$K$114),0,ROUNDDOWN(IF(ISBLANK($AW76),$AV76,$AW76),IF($D$4="Forint",0,2))-$AX76)</f>
        <v>0</v>
      </c>
      <c r="AZ76" s="13">
        <f t="shared" si="9"/>
        <v>0</v>
      </c>
    </row>
    <row r="77" spans="1:52" x14ac:dyDescent="0.2">
      <c r="A77" s="32">
        <v>58</v>
      </c>
      <c r="B77" s="32">
        <v>5</v>
      </c>
      <c r="C77" s="32">
        <v>10</v>
      </c>
      <c r="D77" s="13">
        <f t="shared" si="0"/>
        <v>0</v>
      </c>
      <c r="E77" s="13"/>
      <c r="F77" s="13"/>
      <c r="G77" s="13"/>
      <c r="H77" s="13">
        <f t="shared" si="1"/>
        <v>0</v>
      </c>
      <c r="I77" s="13">
        <f t="shared" si="2"/>
        <v>0</v>
      </c>
      <c r="J77" s="13">
        <f t="shared" si="3"/>
        <v>0</v>
      </c>
      <c r="K77" s="13">
        <f>ROUNDUP(IF($D$2="Egyszeri",$D77,IF($D$2="Havi",SUM($D$20:$D$31),IF(MOD($C77,$M$1)-1=0,SUM($D$20:$D$31),0))/12*$M$1)*VLOOKUP($B77,Paraméterek!$B$27:$D$30,IF($D$2="Egyszeri",3,2)),IF($D$4="Forint",0,2))</f>
        <v>0</v>
      </c>
      <c r="L77" s="13">
        <f t="shared" si="4"/>
        <v>0</v>
      </c>
      <c r="M77" s="13">
        <f t="shared" ca="1" si="10"/>
        <v>-30995</v>
      </c>
      <c r="N77" s="13">
        <f ca="1">IF($V76&gt;=VLOOKUP($M$4-1+$B77,Paraméterek!$B$121:$D$122,IF($D$4="Forint",2,3)),0,VLOOKUP($M$4-1+$B77,Paraméterek!$B$121:$D$122,IF($D$4="Forint",2,3))-$V76)</f>
        <v>40995</v>
      </c>
      <c r="O77" s="13">
        <f ca="1">ROUNDUP($N77*Paraméterek!$C$58/Paraméterek!$C$56,IF($D$4="Forint",0,2))</f>
        <v>7</v>
      </c>
      <c r="P77" s="13">
        <f t="shared" si="5"/>
        <v>620</v>
      </c>
      <c r="Q77" s="33"/>
      <c r="R77" s="13">
        <f t="shared" ca="1" si="6"/>
        <v>0</v>
      </c>
      <c r="S77" s="13">
        <f ca="1">ROUNDUP(($M77-$O77-$P77+$R77)*VLOOKUP($B77,Paraméterek!$B$38:$D$39,IF($D$2="Egyszeri",3,2))/12,IF($D$4="Forint",0,2))</f>
        <v>-86</v>
      </c>
      <c r="T77" s="13"/>
      <c r="U77" s="13"/>
      <c r="V77" s="13">
        <f ca="1">$M77-$O77-$P77+$R77-$S77-IF(ROUNDUP(IF(ISBLANK($U77),$T77,$U77)/IF(AND($B77=1,$D$2&lt;&gt;"Egyszeri"),1,VLOOKUP($B77+IF($C77=12,1,0),Paraméterek!$B$257:$D$267,IF($D$2="Egyszeri",3,2))),IF($D$4="Forint",0,2))&gt;$M77-$O77-$P77+$R77-$S77-IF($D$4="Forint",Paraméterek!$C$216,Paraméterek!$D$216),0,ROUNDUP(IF(ISBLANK($U77),$T77,$U77)/IF(AND($B77=1,$D$2&lt;&gt;"Egyszeri"),1,VLOOKUP($B77+IF($C77=12,1,0),Paraméterek!$B$257:$D$267,IF($D$2="Egyszeri",3,2))),IF($D$4="Forint",0,2)))</f>
        <v>-31536</v>
      </c>
      <c r="W77" s="13">
        <f ca="1">ROUNDDOWN($V77*VLOOKUP($B77+IF($C77=12,1,0),Paraméterek!$B$257:$D$267,IF($D$2="Egyszeri",3,2)),IF($D$4="Forint",0,2))</f>
        <v>-30274</v>
      </c>
      <c r="Y77" s="32">
        <v>58</v>
      </c>
      <c r="Z77" s="32">
        <v>5</v>
      </c>
      <c r="AA77" s="32">
        <v>10</v>
      </c>
      <c r="AB77" s="13">
        <f t="shared" si="11"/>
        <v>0</v>
      </c>
      <c r="AC77" s="33"/>
      <c r="AD77" s="13">
        <f t="shared" si="7"/>
        <v>0</v>
      </c>
      <c r="AE77" s="13">
        <f>ROUNDUP(($AB77+$AD77)*VLOOKUP($Z77,Paraméterek!$P$38:$Q$38,2)/12,IF($D$4="Forint",0,2))</f>
        <v>0</v>
      </c>
      <c r="AF77" s="13">
        <f>IF($D$2="Egyszeri",IF($D$7&gt;=IF($D$4="Forint",Paraméterek!$P$223,Paraméterek!$P$224),$D$7-IF($D$4="Forint",Paraméterek!$F$223,Paraméterek!$F$224),0),MIN(IF($AA77=12,AVERAGE($D$20:$D77)*12,0),SUM($D$20:$D$31)))</f>
        <v>0</v>
      </c>
      <c r="AG77" s="13">
        <f>IF(AND($Z77&gt;=10,MOD($Z77,5)=0),$AF77*IF($AA77=12,VLOOKUP($Z77,Paraméterek!$B$225:$F$240,IF($AF77&lt;IF($D$4="Forint",Paraméterek!$C$223,Paraméterek!$C$224),2,IF($AF77&lt;IF($D$4="Forint",Paraméterek!$D$223,Paraméterek!$D$224),3,4))),0),0)</f>
        <v>0</v>
      </c>
      <c r="AH77" s="13">
        <f>IF(AND($Z77&gt;=5,MOD($Z77,5)=0),IF($AA77=12,VLOOKUP($Z77,Paraméterek!$B$225:$F$240,5),0),IF(OR($Z77=3,$Z77=4),IF($AA77=12,VLOOKUP($Z77,Paraméterek!$B$225:$F$240,5,0),0),0))*$AF77</f>
        <v>0</v>
      </c>
      <c r="AI77" s="13">
        <f>ROUNDDOWN(IF(SUM($T$20:$U77)=0,IF($D$2="Egyszeri",$AH77,$AG77),0),IF($D$4="Forint",0,2))</f>
        <v>0</v>
      </c>
      <c r="AJ77" s="13">
        <f t="shared" si="12"/>
        <v>0</v>
      </c>
      <c r="AK77" s="13">
        <f t="shared" si="13"/>
        <v>0</v>
      </c>
      <c r="AM77" s="32">
        <v>58</v>
      </c>
      <c r="AN77" s="32">
        <v>5</v>
      </c>
      <c r="AO77" s="32">
        <v>10</v>
      </c>
      <c r="AP77" s="13"/>
      <c r="AQ77" s="32"/>
      <c r="AR77" s="13">
        <f t="shared" si="14"/>
        <v>0</v>
      </c>
      <c r="AS77" s="33"/>
      <c r="AT77" s="13">
        <f t="shared" si="8"/>
        <v>0</v>
      </c>
      <c r="AU77" s="13">
        <f>ROUNDUP(($AR77+$AT77)*VLOOKUP($AN77,Paraméterek!$P$38:$Q$38,2)/12,IF($D$4="Forint",0,2))</f>
        <v>0</v>
      </c>
      <c r="AV77" s="13"/>
      <c r="AW77" s="13"/>
      <c r="AX77" s="13">
        <f>ROUNDUP(IF(SUM($AV77:$AW77)=0,0,IF(IF(ISBLANK($AW77),$AV77,$AW77)*Paraméterek!$J$112&lt;IF($D$4="Forint",Paraméterek!$J$113,Paraméterek!$K$113),IF($D$4="Forint",Paraméterek!$J$113,Paraméterek!$K$113),IF(IF(ISBLANK($AW77),$AV77,$AW77)*Paraméterek!$J$112&gt;IF($D$4="Forint",Paraméterek!$J$114,Paraméterek!$K$114),IF($D$4="Forint",Paraméterek!$J$114,Paraméterek!$K$114),IF(ISBLANK($AW77),$AV77,$AW77)*Paraméterek!$J$112))),IF($D$4="Forint",0,2))</f>
        <v>0</v>
      </c>
      <c r="AY77" s="13">
        <f>$AR77+$AT77-$AU77-IF(ROUNDDOWN(IF(ISBLANK($AW77),$AV77,$AW77),IF($D$4="Forint",0,2))&gt;$AR77+$AT77-$AU77-IF($D$4="Forint",Paraméterek!$J$114,Paraméterek!$K$114),0,ROUNDDOWN(IF(ISBLANK($AW77),$AV77,$AW77),IF($D$4="Forint",0,2))-$AX77)</f>
        <v>0</v>
      </c>
      <c r="AZ77" s="13">
        <f t="shared" si="9"/>
        <v>0</v>
      </c>
    </row>
    <row r="78" spans="1:52" x14ac:dyDescent="0.2">
      <c r="A78" s="32">
        <v>59</v>
      </c>
      <c r="B78" s="32">
        <v>5</v>
      </c>
      <c r="C78" s="32">
        <v>11</v>
      </c>
      <c r="D78" s="13">
        <f t="shared" si="0"/>
        <v>0</v>
      </c>
      <c r="E78" s="13"/>
      <c r="F78" s="13"/>
      <c r="G78" s="13"/>
      <c r="H78" s="13">
        <f t="shared" si="1"/>
        <v>0</v>
      </c>
      <c r="I78" s="13">
        <f t="shared" si="2"/>
        <v>0</v>
      </c>
      <c r="J78" s="13">
        <f t="shared" si="3"/>
        <v>0</v>
      </c>
      <c r="K78" s="13">
        <f>ROUNDUP(IF($D$2="Egyszeri",$D78,IF($D$2="Havi",SUM($D$20:$D$31),IF(MOD($C78,$M$1)-1=0,SUM($D$20:$D$31),0))/12*$M$1)*VLOOKUP($B78,Paraméterek!$B$27:$D$30,IF($D$2="Egyszeri",3,2)),IF($D$4="Forint",0,2))</f>
        <v>0</v>
      </c>
      <c r="L78" s="13">
        <f t="shared" si="4"/>
        <v>0</v>
      </c>
      <c r="M78" s="13">
        <f t="shared" ca="1" si="10"/>
        <v>-31536</v>
      </c>
      <c r="N78" s="13">
        <f ca="1">IF($V77&gt;=VLOOKUP($M$4-1+$B78,Paraméterek!$B$121:$D$122,IF($D$4="Forint",2,3)),0,VLOOKUP($M$4-1+$B78,Paraméterek!$B$121:$D$122,IF($D$4="Forint",2,3))-$V77)</f>
        <v>41536</v>
      </c>
      <c r="O78" s="13">
        <f ca="1">ROUNDUP($N78*Paraméterek!$C$58/Paraméterek!$C$56,IF($D$4="Forint",0,2))</f>
        <v>7</v>
      </c>
      <c r="P78" s="13">
        <f t="shared" si="5"/>
        <v>620</v>
      </c>
      <c r="Q78" s="33"/>
      <c r="R78" s="13">
        <f t="shared" ca="1" si="6"/>
        <v>0</v>
      </c>
      <c r="S78" s="13">
        <f ca="1">ROUNDUP(($M78-$O78-$P78+$R78)*VLOOKUP($B78,Paraméterek!$B$38:$D$39,IF($D$2="Egyszeri",3,2))/12,IF($D$4="Forint",0,2))</f>
        <v>-88</v>
      </c>
      <c r="T78" s="13"/>
      <c r="U78" s="13"/>
      <c r="V78" s="13">
        <f ca="1">$M78-$O78-$P78+$R78-$S78-IF(ROUNDUP(IF(ISBLANK($U78),$T78,$U78)/IF(AND($B78=1,$D$2&lt;&gt;"Egyszeri"),1,VLOOKUP($B78+IF($C78=12,1,0),Paraméterek!$B$257:$D$267,IF($D$2="Egyszeri",3,2))),IF($D$4="Forint",0,2))&gt;$M78-$O78-$P78+$R78-$S78-IF($D$4="Forint",Paraméterek!$C$216,Paraméterek!$D$216),0,ROUNDUP(IF(ISBLANK($U78),$T78,$U78)/IF(AND($B78=1,$D$2&lt;&gt;"Egyszeri"),1,VLOOKUP($B78+IF($C78=12,1,0),Paraméterek!$B$257:$D$267,IF($D$2="Egyszeri",3,2))),IF($D$4="Forint",0,2)))</f>
        <v>-32075</v>
      </c>
      <c r="W78" s="13">
        <f ca="1">ROUNDDOWN($V78*VLOOKUP($B78+IF($C78=12,1,0),Paraméterek!$B$257:$D$267,IF($D$2="Egyszeri",3,2)),IF($D$4="Forint",0,2))</f>
        <v>-30792</v>
      </c>
      <c r="Y78" s="32">
        <v>59</v>
      </c>
      <c r="Z78" s="32">
        <v>5</v>
      </c>
      <c r="AA78" s="32">
        <v>11</v>
      </c>
      <c r="AB78" s="13">
        <f t="shared" si="11"/>
        <v>0</v>
      </c>
      <c r="AC78" s="33"/>
      <c r="AD78" s="13">
        <f t="shared" si="7"/>
        <v>0</v>
      </c>
      <c r="AE78" s="13">
        <f>ROUNDUP(($AB78+$AD78)*VLOOKUP($Z78,Paraméterek!$P$38:$Q$38,2)/12,IF($D$4="Forint",0,2))</f>
        <v>0</v>
      </c>
      <c r="AF78" s="13">
        <f>IF($D$2="Egyszeri",IF($D$7&gt;=IF($D$4="Forint",Paraméterek!$P$223,Paraméterek!$P$224),$D$7-IF($D$4="Forint",Paraméterek!$F$223,Paraméterek!$F$224),0),MIN(IF($AA78=12,AVERAGE($D$20:$D78)*12,0),SUM($D$20:$D$31)))</f>
        <v>0</v>
      </c>
      <c r="AG78" s="13">
        <f>IF(AND($Z78&gt;=10,MOD($Z78,5)=0),$AF78*IF($AA78=12,VLOOKUP($Z78,Paraméterek!$B$225:$F$240,IF($AF78&lt;IF($D$4="Forint",Paraméterek!$C$223,Paraméterek!$C$224),2,IF($AF78&lt;IF($D$4="Forint",Paraméterek!$D$223,Paraméterek!$D$224),3,4))),0),0)</f>
        <v>0</v>
      </c>
      <c r="AH78" s="13">
        <f>IF(AND($Z78&gt;=5,MOD($Z78,5)=0),IF($AA78=12,VLOOKUP($Z78,Paraméterek!$B$225:$F$240,5),0),IF(OR($Z78=3,$Z78=4),IF($AA78=12,VLOOKUP($Z78,Paraméterek!$B$225:$F$240,5,0),0),0))*$AF78</f>
        <v>0</v>
      </c>
      <c r="AI78" s="13">
        <f>ROUNDDOWN(IF(SUM($T$20:$U78)=0,IF($D$2="Egyszeri",$AH78,$AG78),0),IF($D$4="Forint",0,2))</f>
        <v>0</v>
      </c>
      <c r="AJ78" s="13">
        <f t="shared" si="12"/>
        <v>0</v>
      </c>
      <c r="AK78" s="13">
        <f t="shared" si="13"/>
        <v>0</v>
      </c>
      <c r="AM78" s="32">
        <v>59</v>
      </c>
      <c r="AN78" s="32">
        <v>5</v>
      </c>
      <c r="AO78" s="32">
        <v>11</v>
      </c>
      <c r="AP78" s="13"/>
      <c r="AQ78" s="32"/>
      <c r="AR78" s="13">
        <f t="shared" si="14"/>
        <v>0</v>
      </c>
      <c r="AS78" s="33"/>
      <c r="AT78" s="13">
        <f t="shared" si="8"/>
        <v>0</v>
      </c>
      <c r="AU78" s="13">
        <f>ROUNDUP(($AR78+$AT78)*VLOOKUP($AN78,Paraméterek!$P$38:$Q$38,2)/12,IF($D$4="Forint",0,2))</f>
        <v>0</v>
      </c>
      <c r="AV78" s="13"/>
      <c r="AW78" s="13"/>
      <c r="AX78" s="13">
        <f>ROUNDUP(IF(SUM($AV78:$AW78)=0,0,IF(IF(ISBLANK($AW78),$AV78,$AW78)*Paraméterek!$J$112&lt;IF($D$4="Forint",Paraméterek!$J$113,Paraméterek!$K$113),IF($D$4="Forint",Paraméterek!$J$113,Paraméterek!$K$113),IF(IF(ISBLANK($AW78),$AV78,$AW78)*Paraméterek!$J$112&gt;IF($D$4="Forint",Paraméterek!$J$114,Paraméterek!$K$114),IF($D$4="Forint",Paraméterek!$J$114,Paraméterek!$K$114),IF(ISBLANK($AW78),$AV78,$AW78)*Paraméterek!$J$112))),IF($D$4="Forint",0,2))</f>
        <v>0</v>
      </c>
      <c r="AY78" s="13">
        <f>$AR78+$AT78-$AU78-IF(ROUNDDOWN(IF(ISBLANK($AW78),$AV78,$AW78),IF($D$4="Forint",0,2))&gt;$AR78+$AT78-$AU78-IF($D$4="Forint",Paraméterek!$J$114,Paraméterek!$K$114),0,ROUNDDOWN(IF(ISBLANK($AW78),$AV78,$AW78),IF($D$4="Forint",0,2))-$AX78)</f>
        <v>0</v>
      </c>
      <c r="AZ78" s="13">
        <f t="shared" si="9"/>
        <v>0</v>
      </c>
    </row>
    <row r="79" spans="1:52" x14ac:dyDescent="0.2">
      <c r="A79" s="32">
        <v>60</v>
      </c>
      <c r="B79" s="32">
        <v>5</v>
      </c>
      <c r="C79" s="32">
        <v>12</v>
      </c>
      <c r="D79" s="13">
        <f t="shared" si="0"/>
        <v>0</v>
      </c>
      <c r="E79" s="13"/>
      <c r="F79" s="13"/>
      <c r="G79" s="13"/>
      <c r="H79" s="13">
        <f t="shared" si="1"/>
        <v>0</v>
      </c>
      <c r="I79" s="13">
        <f t="shared" si="2"/>
        <v>0</v>
      </c>
      <c r="J79" s="13">
        <f t="shared" si="3"/>
        <v>0</v>
      </c>
      <c r="K79" s="13">
        <f>ROUNDUP(IF($D$2="Egyszeri",$D79,IF($D$2="Havi",SUM($D$20:$D$31),IF(MOD($C79,$M$1)-1=0,SUM($D$20:$D$31),0))/12*$M$1)*VLOOKUP($B79,Paraméterek!$B$27:$D$30,IF($D$2="Egyszeri",3,2)),IF($D$4="Forint",0,2))</f>
        <v>0</v>
      </c>
      <c r="L79" s="13">
        <f t="shared" si="4"/>
        <v>0</v>
      </c>
      <c r="M79" s="13">
        <f t="shared" ca="1" si="10"/>
        <v>-32075</v>
      </c>
      <c r="N79" s="13">
        <f ca="1">IF($V78&gt;=VLOOKUP($M$4-1+$B79,Paraméterek!$B$121:$D$122,IF($D$4="Forint",2,3)),0,VLOOKUP($M$4-1+$B79,Paraméterek!$B$121:$D$122,IF($D$4="Forint",2,3))-$V78)</f>
        <v>42075</v>
      </c>
      <c r="O79" s="13">
        <f ca="1">ROUNDUP($N79*Paraméterek!$C$58/Paraméterek!$C$56,IF($D$4="Forint",0,2))</f>
        <v>7</v>
      </c>
      <c r="P79" s="13">
        <f t="shared" si="5"/>
        <v>620</v>
      </c>
      <c r="Q79" s="33"/>
      <c r="R79" s="13">
        <f t="shared" ca="1" si="6"/>
        <v>0</v>
      </c>
      <c r="S79" s="13">
        <f ca="1">ROUNDUP(($M79-$O79-$P79+$R79)*VLOOKUP($B79,Paraméterek!$B$38:$D$39,IF($D$2="Egyszeri",3,2))/12,IF($D$4="Forint",0,2))</f>
        <v>-89</v>
      </c>
      <c r="T79" s="13">
        <f>Tranzakciók!$F$36</f>
        <v>0</v>
      </c>
      <c r="U79" s="13"/>
      <c r="V79" s="13">
        <f ca="1">$M79-$O79-$P79+$R79-$S79-IF(ROUNDUP(IF(ISBLANK($U79),$T79,$U79)/IF(AND($B79=1,$D$2&lt;&gt;"Egyszeri"),1,VLOOKUP($B79+IF($C79=12,1,0),Paraméterek!$B$257:$D$267,IF($D$2="Egyszeri",3,2))),IF($D$4="Forint",0,2))&gt;$M79-$O79-$P79+$R79-$S79-IF($D$4="Forint",Paraméterek!$C$216,Paraméterek!$D$216),0,ROUNDUP(IF(ISBLANK($U79),$T79,$U79)/IF(AND($B79=1,$D$2&lt;&gt;"Egyszeri"),1,VLOOKUP($B79+IF($C79=12,1,0),Paraméterek!$B$257:$D$267,IF($D$2="Egyszeri",3,2))),IF($D$4="Forint",0,2)))</f>
        <v>-32613</v>
      </c>
      <c r="W79" s="13">
        <f ca="1">ROUNDDOWN($V79*VLOOKUP($B79+IF($C79=12,1,0),Paraméterek!$B$257:$D$267,IF($D$2="Egyszeri",3,2)),IF($D$4="Forint",0,2))</f>
        <v>-31308</v>
      </c>
      <c r="Y79" s="32">
        <v>60</v>
      </c>
      <c r="Z79" s="32">
        <v>5</v>
      </c>
      <c r="AA79" s="32">
        <v>12</v>
      </c>
      <c r="AB79" s="13">
        <f t="shared" si="11"/>
        <v>0</v>
      </c>
      <c r="AC79" s="33"/>
      <c r="AD79" s="13">
        <f t="shared" si="7"/>
        <v>0</v>
      </c>
      <c r="AE79" s="13">
        <f>ROUNDUP(($AB79+$AD79)*VLOOKUP($Z79,Paraméterek!$P$38:$Q$38,2)/12,IF($D$4="Forint",0,2))</f>
        <v>0</v>
      </c>
      <c r="AF79" s="13">
        <f>IF($D$2="Egyszeri",IF($D$7&gt;=IF($D$4="Forint",Paraméterek!$P$223,Paraméterek!$P$224),$D$7-IF($D$4="Forint",Paraméterek!$F$223,Paraméterek!$F$224),0),MIN(IF($AA79=12,AVERAGE($D$20:$D79)*12,0),SUM($D$20:$D$31)))</f>
        <v>0</v>
      </c>
      <c r="AG79" s="13">
        <f>IF(AND($Z79&gt;=10,MOD($Z79,5)=0),$AF79*IF($AA79=12,VLOOKUP($Z79,Paraméterek!$B$225:$F$240,IF($AF79&lt;IF($D$4="Forint",Paraméterek!$C$223,Paraméterek!$C$224),2,IF($AF79&lt;IF($D$4="Forint",Paraméterek!$D$223,Paraméterek!$D$224),3,4))),0),0)</f>
        <v>0</v>
      </c>
      <c r="AH79" s="13">
        <f>IF(AND($Z79&gt;=5,MOD($Z79,5)=0),IF($AA79=12,VLOOKUP($Z79,Paraméterek!$B$225:$F$240,5),0),IF(OR($Z79=3,$Z79=4),IF($AA79=12,VLOOKUP($Z79,Paraméterek!$B$225:$F$240,5,0),0),0))*$AF79</f>
        <v>0</v>
      </c>
      <c r="AI79" s="13">
        <f>ROUNDDOWN(IF(SUM($T$20:$U79)=0,IF($D$2="Egyszeri",$AH79,$AG79),0),IF($D$4="Forint",0,2))</f>
        <v>0</v>
      </c>
      <c r="AJ79" s="13">
        <f t="shared" si="12"/>
        <v>0</v>
      </c>
      <c r="AK79" s="13">
        <f t="shared" si="13"/>
        <v>0</v>
      </c>
      <c r="AM79" s="32">
        <v>60</v>
      </c>
      <c r="AN79" s="32">
        <v>5</v>
      </c>
      <c r="AO79" s="32">
        <v>12</v>
      </c>
      <c r="AP79" s="13"/>
      <c r="AQ79" s="32"/>
      <c r="AR79" s="13">
        <f t="shared" si="14"/>
        <v>0</v>
      </c>
      <c r="AS79" s="33"/>
      <c r="AT79" s="13">
        <f t="shared" si="8"/>
        <v>0</v>
      </c>
      <c r="AU79" s="13">
        <f>ROUNDUP(($AR79+$AT79)*VLOOKUP($AN79,Paraméterek!$P$38:$Q$38,2)/12,IF($D$4="Forint",0,2))</f>
        <v>0</v>
      </c>
      <c r="AV79" s="13">
        <f>Tranzakciók!$M$36</f>
        <v>0</v>
      </c>
      <c r="AW79" s="13"/>
      <c r="AX79" s="13">
        <f>ROUNDUP(IF(SUM($AV79:$AW79)=0,0,IF(IF(ISBLANK($AW79),$AV79,$AW79)*Paraméterek!$J$112&lt;IF($D$4="Forint",Paraméterek!$J$113,Paraméterek!$K$113),IF($D$4="Forint",Paraméterek!$J$113,Paraméterek!$K$113),IF(IF(ISBLANK($AW79),$AV79,$AW79)*Paraméterek!$J$112&gt;IF($D$4="Forint",Paraméterek!$J$114,Paraméterek!$K$114),IF($D$4="Forint",Paraméterek!$J$114,Paraméterek!$K$114),IF(ISBLANK($AW79),$AV79,$AW79)*Paraméterek!$J$112))),IF($D$4="Forint",0,2))</f>
        <v>0</v>
      </c>
      <c r="AY79" s="13">
        <f>$AR79+$AT79-$AU79-IF(ROUNDDOWN(IF(ISBLANK($AW79),$AV79,$AW79),IF($D$4="Forint",0,2))&gt;$AR79+$AT79-$AU79-IF($D$4="Forint",Paraméterek!$J$114,Paraméterek!$K$114),0,ROUNDDOWN(IF(ISBLANK($AW79),$AV79,$AW79),IF($D$4="Forint",0,2))-$AX79)</f>
        <v>0</v>
      </c>
      <c r="AZ79" s="13">
        <f t="shared" si="9"/>
        <v>0</v>
      </c>
    </row>
    <row r="80" spans="1:52" x14ac:dyDescent="0.2">
      <c r="A80" s="32">
        <v>61</v>
      </c>
      <c r="B80" s="32">
        <v>6</v>
      </c>
      <c r="C80" s="32">
        <v>1</v>
      </c>
      <c r="D80" s="13">
        <f t="shared" si="0"/>
        <v>0</v>
      </c>
      <c r="E80" s="13"/>
      <c r="F80" s="13">
        <f>Tranzakciók!$D$37</f>
        <v>0</v>
      </c>
      <c r="G80" s="13"/>
      <c r="H80" s="13">
        <f t="shared" si="1"/>
        <v>0</v>
      </c>
      <c r="I80" s="13">
        <f t="shared" si="2"/>
        <v>116</v>
      </c>
      <c r="J80" s="13">
        <f t="shared" si="3"/>
        <v>116</v>
      </c>
      <c r="K80" s="13">
        <f>ROUNDUP(IF($D$2="Egyszeri",$D80,IF($D$2="Havi",SUM($D$20:$D$31),IF(MOD($C80,$M$1)-1=0,SUM($D$20:$D$31),0))/12*$M$1)*VLOOKUP($B80,Paraméterek!$B$27:$D$30,IF($D$2="Egyszeri",3,2)),IF($D$4="Forint",0,2))</f>
        <v>0</v>
      </c>
      <c r="L80" s="13">
        <f t="shared" si="4"/>
        <v>0</v>
      </c>
      <c r="M80" s="13">
        <f t="shared" ca="1" si="10"/>
        <v>-32613</v>
      </c>
      <c r="N80" s="13">
        <f ca="1">IF($V79&gt;=VLOOKUP($M$4-1+$B80,Paraméterek!$B$121:$D$122,IF($D$4="Forint",2,3)),0,VLOOKUP($M$4-1+$B80,Paraméterek!$B$121:$D$122,IF($D$4="Forint",2,3))-$V79)</f>
        <v>42613</v>
      </c>
      <c r="O80" s="13">
        <f ca="1">ROUNDUP($N80*Paraméterek!$C$58/Paraméterek!$C$56,IF($D$4="Forint",0,2))</f>
        <v>7</v>
      </c>
      <c r="P80" s="13">
        <f t="shared" si="5"/>
        <v>638</v>
      </c>
      <c r="Q80" s="33"/>
      <c r="R80" s="13">
        <f t="shared" ca="1" si="6"/>
        <v>0</v>
      </c>
      <c r="S80" s="13">
        <f ca="1">ROUNDUP(($M80-$O80-$P80+$R80)*VLOOKUP($B80,Paraméterek!$B$38:$D$39,IF($D$2="Egyszeri",3,2))/12,IF($D$4="Forint",0,2))</f>
        <v>-91</v>
      </c>
      <c r="T80" s="13"/>
      <c r="U80" s="13"/>
      <c r="V80" s="13">
        <f ca="1">$M80-$O80-$P80+$R80-$S80-IF(ROUNDUP(IF(ISBLANK($U80),$T80,$U80)/IF(AND($B80=1,$D$2&lt;&gt;"Egyszeri"),1,VLOOKUP($B80+IF($C80=12,1,0),Paraméterek!$B$257:$D$267,IF($D$2="Egyszeri",3,2))),IF($D$4="Forint",0,2))&gt;$M80-$O80-$P80+$R80-$S80-IF($D$4="Forint",Paraméterek!$C$216,Paraméterek!$D$216),0,ROUNDUP(IF(ISBLANK($U80),$T80,$U80)/IF(AND($B80=1,$D$2&lt;&gt;"Egyszeri"),1,VLOOKUP($B80+IF($C80=12,1,0),Paraméterek!$B$257:$D$267,IF($D$2="Egyszeri",3,2))),IF($D$4="Forint",0,2)))</f>
        <v>-33167</v>
      </c>
      <c r="W80" s="13">
        <f ca="1">ROUNDDOWN($V80*VLOOKUP($B80+IF($C80=12,1,0),Paraméterek!$B$257:$D$267,IF($D$2="Egyszeri",3,2)),IF($D$4="Forint",0,2))</f>
        <v>-31840</v>
      </c>
      <c r="Y80" s="32">
        <v>61</v>
      </c>
      <c r="Z80" s="32">
        <v>6</v>
      </c>
      <c r="AA80" s="32">
        <v>1</v>
      </c>
      <c r="AB80" s="13">
        <f t="shared" si="11"/>
        <v>0</v>
      </c>
      <c r="AC80" s="33"/>
      <c r="AD80" s="13">
        <f t="shared" si="7"/>
        <v>0</v>
      </c>
      <c r="AE80" s="13">
        <f>ROUNDUP(($AB80+$AD80)*VLOOKUP($Z80,Paraméterek!$P$38:$Q$38,2)/12,IF($D$4="Forint",0,2))</f>
        <v>0</v>
      </c>
      <c r="AF80" s="13">
        <f>IF($D$2="Egyszeri",IF($D$7&gt;=IF($D$4="Forint",Paraméterek!$P$223,Paraméterek!$P$224),$D$7-IF($D$4="Forint",Paraméterek!$F$223,Paraméterek!$F$224),0),MIN(IF($AA80=12,AVERAGE($D$20:$D80)*12,0),SUM($D$20:$D$31)))</f>
        <v>0</v>
      </c>
      <c r="AG80" s="13">
        <f>IF(AND($Z80&gt;=10,MOD($Z80,5)=0),$AF80*IF($AA80=12,VLOOKUP($Z80,Paraméterek!$B$225:$F$240,IF($AF80&lt;IF($D$4="Forint",Paraméterek!$C$223,Paraméterek!$C$224),2,IF($AF80&lt;IF($D$4="Forint",Paraméterek!$D$223,Paraméterek!$D$224),3,4))),0),0)</f>
        <v>0</v>
      </c>
      <c r="AH80" s="13">
        <f>IF(AND($Z80&gt;=5,MOD($Z80,5)=0),IF($AA80=12,VLOOKUP($Z80,Paraméterek!$B$225:$F$240,5),0),IF(OR($Z80=3,$Z80=4),IF($AA80=12,VLOOKUP($Z80,Paraméterek!$B$225:$F$240,5,0),0),0))*$AF80</f>
        <v>0</v>
      </c>
      <c r="AI80" s="13">
        <f>ROUNDDOWN(IF(SUM($T$20:$U80)=0,IF($D$2="Egyszeri",$AH80,$AG80),0),IF($D$4="Forint",0,2))</f>
        <v>0</v>
      </c>
      <c r="AJ80" s="13">
        <f t="shared" si="12"/>
        <v>0</v>
      </c>
      <c r="AK80" s="13">
        <f t="shared" si="13"/>
        <v>0</v>
      </c>
      <c r="AM80" s="32">
        <v>61</v>
      </c>
      <c r="AN80" s="32">
        <v>6</v>
      </c>
      <c r="AO80" s="32">
        <v>1</v>
      </c>
      <c r="AP80" s="13">
        <f>Tranzakciók!$K$37</f>
        <v>0</v>
      </c>
      <c r="AQ80" s="32"/>
      <c r="AR80" s="13">
        <f t="shared" si="14"/>
        <v>0</v>
      </c>
      <c r="AS80" s="33"/>
      <c r="AT80" s="13">
        <f t="shared" si="8"/>
        <v>0</v>
      </c>
      <c r="AU80" s="13">
        <f>ROUNDUP(($AR80+$AT80)*VLOOKUP($AN80,Paraméterek!$P$38:$Q$38,2)/12,IF($D$4="Forint",0,2))</f>
        <v>0</v>
      </c>
      <c r="AV80" s="13"/>
      <c r="AW80" s="13"/>
      <c r="AX80" s="13">
        <f>ROUNDUP(IF(SUM($AV80:$AW80)=0,0,IF(IF(ISBLANK($AW80),$AV80,$AW80)*Paraméterek!$J$112&lt;IF($D$4="Forint",Paraméterek!$J$113,Paraméterek!$K$113),IF($D$4="Forint",Paraméterek!$J$113,Paraméterek!$K$113),IF(IF(ISBLANK($AW80),$AV80,$AW80)*Paraméterek!$J$112&gt;IF($D$4="Forint",Paraméterek!$J$114,Paraméterek!$K$114),IF($D$4="Forint",Paraméterek!$J$114,Paraméterek!$K$114),IF(ISBLANK($AW80),$AV80,$AW80)*Paraméterek!$J$112))),IF($D$4="Forint",0,2))</f>
        <v>0</v>
      </c>
      <c r="AY80" s="13">
        <f>$AR80+$AT80-$AU80-IF(ROUNDDOWN(IF(ISBLANK($AW80),$AV80,$AW80),IF($D$4="Forint",0,2))&gt;$AR80+$AT80-$AU80-IF($D$4="Forint",Paraméterek!$J$114,Paraméterek!$K$114),0,ROUNDDOWN(IF(ISBLANK($AW80),$AV80,$AW80),IF($D$4="Forint",0,2))-$AX80)</f>
        <v>0</v>
      </c>
      <c r="AZ80" s="13">
        <f t="shared" si="9"/>
        <v>0</v>
      </c>
    </row>
    <row r="81" spans="1:52" x14ac:dyDescent="0.2">
      <c r="A81" s="32">
        <v>62</v>
      </c>
      <c r="B81" s="32">
        <v>6</v>
      </c>
      <c r="C81" s="32">
        <v>2</v>
      </c>
      <c r="D81" s="13">
        <f t="shared" si="0"/>
        <v>0</v>
      </c>
      <c r="E81" s="13"/>
      <c r="F81" s="13"/>
      <c r="G81" s="13"/>
      <c r="H81" s="13">
        <f t="shared" si="1"/>
        <v>0</v>
      </c>
      <c r="I81" s="13">
        <f t="shared" si="2"/>
        <v>0</v>
      </c>
      <c r="J81" s="13">
        <f t="shared" si="3"/>
        <v>0</v>
      </c>
      <c r="K81" s="13">
        <f>ROUNDUP(IF($D$2="Egyszeri",$D81,IF($D$2="Havi",SUM($D$20:$D$31),IF(MOD($C81,$M$1)-1=0,SUM($D$20:$D$31),0))/12*$M$1)*VLOOKUP($B81,Paraméterek!$B$27:$D$30,IF($D$2="Egyszeri",3,2)),IF($D$4="Forint",0,2))</f>
        <v>0</v>
      </c>
      <c r="L81" s="13">
        <f t="shared" si="4"/>
        <v>0</v>
      </c>
      <c r="M81" s="13">
        <f t="shared" ca="1" si="10"/>
        <v>-33167</v>
      </c>
      <c r="N81" s="13">
        <f ca="1">IF($V80&gt;=VLOOKUP($M$4-1+$B81,Paraméterek!$B$121:$D$122,IF($D$4="Forint",2,3)),0,VLOOKUP($M$4-1+$B81,Paraméterek!$B$121:$D$122,IF($D$4="Forint",2,3))-$V80)</f>
        <v>43167</v>
      </c>
      <c r="O81" s="13">
        <f ca="1">ROUNDUP($N81*Paraméterek!$C$58/Paraméterek!$C$56,IF($D$4="Forint",0,2))</f>
        <v>7</v>
      </c>
      <c r="P81" s="13">
        <f t="shared" si="5"/>
        <v>638</v>
      </c>
      <c r="Q81" s="33"/>
      <c r="R81" s="13">
        <f t="shared" ca="1" si="6"/>
        <v>0</v>
      </c>
      <c r="S81" s="13">
        <f ca="1">ROUNDUP(($M81-$O81-$P81+$R81)*VLOOKUP($B81,Paraméterek!$B$38:$D$39,IF($D$2="Egyszeri",3,2))/12,IF($D$4="Forint",0,2))</f>
        <v>-92</v>
      </c>
      <c r="T81" s="13"/>
      <c r="U81" s="13"/>
      <c r="V81" s="13">
        <f ca="1">$M81-$O81-$P81+$R81-$S81-IF(ROUNDUP(IF(ISBLANK($U81),$T81,$U81)/IF(AND($B81=1,$D$2&lt;&gt;"Egyszeri"),1,VLOOKUP($B81+IF($C81=12,1,0),Paraméterek!$B$257:$D$267,IF($D$2="Egyszeri",3,2))),IF($D$4="Forint",0,2))&gt;$M81-$O81-$P81+$R81-$S81-IF($D$4="Forint",Paraméterek!$C$216,Paraméterek!$D$216),0,ROUNDUP(IF(ISBLANK($U81),$T81,$U81)/IF(AND($B81=1,$D$2&lt;&gt;"Egyszeri"),1,VLOOKUP($B81+IF($C81=12,1,0),Paraméterek!$B$257:$D$267,IF($D$2="Egyszeri",3,2))),IF($D$4="Forint",0,2)))</f>
        <v>-33720</v>
      </c>
      <c r="W81" s="13">
        <f ca="1">ROUNDDOWN($V81*VLOOKUP($B81+IF($C81=12,1,0),Paraméterek!$B$257:$D$267,IF($D$2="Egyszeri",3,2)),IF($D$4="Forint",0,2))</f>
        <v>-32371</v>
      </c>
      <c r="Y81" s="32">
        <v>62</v>
      </c>
      <c r="Z81" s="32">
        <v>6</v>
      </c>
      <c r="AA81" s="32">
        <v>2</v>
      </c>
      <c r="AB81" s="13">
        <f t="shared" si="11"/>
        <v>0</v>
      </c>
      <c r="AC81" s="33"/>
      <c r="AD81" s="13">
        <f t="shared" si="7"/>
        <v>0</v>
      </c>
      <c r="AE81" s="13">
        <f>ROUNDUP(($AB81+$AD81)*VLOOKUP($Z81,Paraméterek!$P$38:$Q$38,2)/12,IF($D$4="Forint",0,2))</f>
        <v>0</v>
      </c>
      <c r="AF81" s="13">
        <f>IF($D$2="Egyszeri",IF($D$7&gt;=IF($D$4="Forint",Paraméterek!$P$223,Paraméterek!$P$224),$D$7-IF($D$4="Forint",Paraméterek!$F$223,Paraméterek!$F$224),0),MIN(IF($AA81=12,AVERAGE($D$20:$D81)*12,0),SUM($D$20:$D$31)))</f>
        <v>0</v>
      </c>
      <c r="AG81" s="13">
        <f>IF(AND($Z81&gt;=10,MOD($Z81,5)=0),$AF81*IF($AA81=12,VLOOKUP($Z81,Paraméterek!$B$225:$F$240,IF($AF81&lt;IF($D$4="Forint",Paraméterek!$C$223,Paraméterek!$C$224),2,IF($AF81&lt;IF($D$4="Forint",Paraméterek!$D$223,Paraméterek!$D$224),3,4))),0),0)</f>
        <v>0</v>
      </c>
      <c r="AH81" s="13">
        <f>IF(AND($Z81&gt;=5,MOD($Z81,5)=0),IF($AA81=12,VLOOKUP($Z81,Paraméterek!$B$225:$F$240,5),0),IF(OR($Z81=3,$Z81=4),IF($AA81=12,VLOOKUP($Z81,Paraméterek!$B$225:$F$240,5,0),0),0))*$AF81</f>
        <v>0</v>
      </c>
      <c r="AI81" s="13">
        <f>ROUNDDOWN(IF(SUM($T$20:$U81)=0,IF($D$2="Egyszeri",$AH81,$AG81),0),IF($D$4="Forint",0,2))</f>
        <v>0</v>
      </c>
      <c r="AJ81" s="13">
        <f t="shared" si="12"/>
        <v>0</v>
      </c>
      <c r="AK81" s="13">
        <f t="shared" si="13"/>
        <v>0</v>
      </c>
      <c r="AM81" s="32">
        <v>62</v>
      </c>
      <c r="AN81" s="32">
        <v>6</v>
      </c>
      <c r="AO81" s="32">
        <v>2</v>
      </c>
      <c r="AP81" s="13"/>
      <c r="AQ81" s="32"/>
      <c r="AR81" s="13">
        <f t="shared" si="14"/>
        <v>0</v>
      </c>
      <c r="AS81" s="33"/>
      <c r="AT81" s="13">
        <f t="shared" si="8"/>
        <v>0</v>
      </c>
      <c r="AU81" s="13">
        <f>ROUNDUP(($AR81+$AT81)*VLOOKUP($AN81,Paraméterek!$P$38:$Q$38,2)/12,IF($D$4="Forint",0,2))</f>
        <v>0</v>
      </c>
      <c r="AV81" s="13"/>
      <c r="AW81" s="13"/>
      <c r="AX81" s="13">
        <f>ROUNDUP(IF(SUM($AV81:$AW81)=0,0,IF(IF(ISBLANK($AW81),$AV81,$AW81)*Paraméterek!$J$112&lt;IF($D$4="Forint",Paraméterek!$J$113,Paraméterek!$K$113),IF($D$4="Forint",Paraméterek!$J$113,Paraméterek!$K$113),IF(IF(ISBLANK($AW81),$AV81,$AW81)*Paraméterek!$J$112&gt;IF($D$4="Forint",Paraméterek!$J$114,Paraméterek!$K$114),IF($D$4="Forint",Paraméterek!$J$114,Paraméterek!$K$114),IF(ISBLANK($AW81),$AV81,$AW81)*Paraméterek!$J$112))),IF($D$4="Forint",0,2))</f>
        <v>0</v>
      </c>
      <c r="AY81" s="13">
        <f>$AR81+$AT81-$AU81-IF(ROUNDDOWN(IF(ISBLANK($AW81),$AV81,$AW81),IF($D$4="Forint",0,2))&gt;$AR81+$AT81-$AU81-IF($D$4="Forint",Paraméterek!$J$114,Paraméterek!$K$114),0,ROUNDDOWN(IF(ISBLANK($AW81),$AV81,$AW81),IF($D$4="Forint",0,2))-$AX81)</f>
        <v>0</v>
      </c>
      <c r="AZ81" s="13">
        <f t="shared" si="9"/>
        <v>0</v>
      </c>
    </row>
    <row r="82" spans="1:52" x14ac:dyDescent="0.2">
      <c r="A82" s="32">
        <v>63</v>
      </c>
      <c r="B82" s="32">
        <v>6</v>
      </c>
      <c r="C82" s="32">
        <v>3</v>
      </c>
      <c r="D82" s="13">
        <f t="shared" si="0"/>
        <v>0</v>
      </c>
      <c r="E82" s="13"/>
      <c r="F82" s="13"/>
      <c r="G82" s="13"/>
      <c r="H82" s="13">
        <f t="shared" si="1"/>
        <v>0</v>
      </c>
      <c r="I82" s="13">
        <f t="shared" si="2"/>
        <v>0</v>
      </c>
      <c r="J82" s="13">
        <f t="shared" si="3"/>
        <v>0</v>
      </c>
      <c r="K82" s="13">
        <f>ROUNDUP(IF($D$2="Egyszeri",$D82,IF($D$2="Havi",SUM($D$20:$D$31),IF(MOD($C82,$M$1)-1=0,SUM($D$20:$D$31),0))/12*$M$1)*VLOOKUP($B82,Paraméterek!$B$27:$D$30,IF($D$2="Egyszeri",3,2)),IF($D$4="Forint",0,2))</f>
        <v>0</v>
      </c>
      <c r="L82" s="13">
        <f t="shared" si="4"/>
        <v>0</v>
      </c>
      <c r="M82" s="13">
        <f t="shared" ca="1" si="10"/>
        <v>-33720</v>
      </c>
      <c r="N82" s="13">
        <f ca="1">IF($V81&gt;=VLOOKUP($M$4-1+$B82,Paraméterek!$B$121:$D$122,IF($D$4="Forint",2,3)),0,VLOOKUP($M$4-1+$B82,Paraméterek!$B$121:$D$122,IF($D$4="Forint",2,3))-$V81)</f>
        <v>43720</v>
      </c>
      <c r="O82" s="13">
        <f ca="1">ROUNDUP($N82*Paraméterek!$C$58/Paraméterek!$C$56,IF($D$4="Forint",0,2))</f>
        <v>7</v>
      </c>
      <c r="P82" s="13">
        <f t="shared" si="5"/>
        <v>638</v>
      </c>
      <c r="Q82" s="33"/>
      <c r="R82" s="13">
        <f t="shared" ca="1" si="6"/>
        <v>0</v>
      </c>
      <c r="S82" s="13">
        <f ca="1">ROUNDUP(($M82-$O82-$P82+$R82)*VLOOKUP($B82,Paraméterek!$B$38:$D$39,IF($D$2="Egyszeri",3,2))/12,IF($D$4="Forint",0,2))</f>
        <v>-94</v>
      </c>
      <c r="T82" s="13"/>
      <c r="U82" s="13"/>
      <c r="V82" s="13">
        <f ca="1">$M82-$O82-$P82+$R82-$S82-IF(ROUNDUP(IF(ISBLANK($U82),$T82,$U82)/IF(AND($B82=1,$D$2&lt;&gt;"Egyszeri"),1,VLOOKUP($B82+IF($C82=12,1,0),Paraméterek!$B$257:$D$267,IF($D$2="Egyszeri",3,2))),IF($D$4="Forint",0,2))&gt;$M82-$O82-$P82+$R82-$S82-IF($D$4="Forint",Paraméterek!$C$216,Paraméterek!$D$216),0,ROUNDUP(IF(ISBLANK($U82),$T82,$U82)/IF(AND($B82=1,$D$2&lt;&gt;"Egyszeri"),1,VLOOKUP($B82+IF($C82=12,1,0),Paraméterek!$B$257:$D$267,IF($D$2="Egyszeri",3,2))),IF($D$4="Forint",0,2)))</f>
        <v>-34271</v>
      </c>
      <c r="W82" s="13">
        <f ca="1">ROUNDDOWN($V82*VLOOKUP($B82+IF($C82=12,1,0),Paraméterek!$B$257:$D$267,IF($D$2="Egyszeri",3,2)),IF($D$4="Forint",0,2))</f>
        <v>-32900</v>
      </c>
      <c r="Y82" s="32">
        <v>63</v>
      </c>
      <c r="Z82" s="32">
        <v>6</v>
      </c>
      <c r="AA82" s="32">
        <v>3</v>
      </c>
      <c r="AB82" s="13">
        <f t="shared" si="11"/>
        <v>0</v>
      </c>
      <c r="AC82" s="33"/>
      <c r="AD82" s="13">
        <f t="shared" si="7"/>
        <v>0</v>
      </c>
      <c r="AE82" s="13">
        <f>ROUNDUP(($AB82+$AD82)*VLOOKUP($Z82,Paraméterek!$P$38:$Q$38,2)/12,IF($D$4="Forint",0,2))</f>
        <v>0</v>
      </c>
      <c r="AF82" s="13">
        <f>IF($D$2="Egyszeri",IF($D$7&gt;=IF($D$4="Forint",Paraméterek!$P$223,Paraméterek!$P$224),$D$7-IF($D$4="Forint",Paraméterek!$F$223,Paraméterek!$F$224),0),MIN(IF($AA82=12,AVERAGE($D$20:$D82)*12,0),SUM($D$20:$D$31)))</f>
        <v>0</v>
      </c>
      <c r="AG82" s="13">
        <f>IF(AND($Z82&gt;=10,MOD($Z82,5)=0),$AF82*IF($AA82=12,VLOOKUP($Z82,Paraméterek!$B$225:$F$240,IF($AF82&lt;IF($D$4="Forint",Paraméterek!$C$223,Paraméterek!$C$224),2,IF($AF82&lt;IF($D$4="Forint",Paraméterek!$D$223,Paraméterek!$D$224),3,4))),0),0)</f>
        <v>0</v>
      </c>
      <c r="AH82" s="13">
        <f>IF(AND($Z82&gt;=5,MOD($Z82,5)=0),IF($AA82=12,VLOOKUP($Z82,Paraméterek!$B$225:$F$240,5),0),IF(OR($Z82=3,$Z82=4),IF($AA82=12,VLOOKUP($Z82,Paraméterek!$B$225:$F$240,5,0),0),0))*$AF82</f>
        <v>0</v>
      </c>
      <c r="AI82" s="13">
        <f>ROUNDDOWN(IF(SUM($T$20:$U82)=0,IF($D$2="Egyszeri",$AH82,$AG82),0),IF($D$4="Forint",0,2))</f>
        <v>0</v>
      </c>
      <c r="AJ82" s="13">
        <f t="shared" si="12"/>
        <v>0</v>
      </c>
      <c r="AK82" s="13">
        <f t="shared" si="13"/>
        <v>0</v>
      </c>
      <c r="AM82" s="32">
        <v>63</v>
      </c>
      <c r="AN82" s="32">
        <v>6</v>
      </c>
      <c r="AO82" s="32">
        <v>3</v>
      </c>
      <c r="AP82" s="13"/>
      <c r="AQ82" s="32"/>
      <c r="AR82" s="13">
        <f t="shared" si="14"/>
        <v>0</v>
      </c>
      <c r="AS82" s="33"/>
      <c r="AT82" s="13">
        <f t="shared" si="8"/>
        <v>0</v>
      </c>
      <c r="AU82" s="13">
        <f>ROUNDUP(($AR82+$AT82)*VLOOKUP($AN82,Paraméterek!$P$38:$Q$38,2)/12,IF($D$4="Forint",0,2))</f>
        <v>0</v>
      </c>
      <c r="AV82" s="13"/>
      <c r="AW82" s="13"/>
      <c r="AX82" s="13">
        <f>ROUNDUP(IF(SUM($AV82:$AW82)=0,0,IF(IF(ISBLANK($AW82),$AV82,$AW82)*Paraméterek!$J$112&lt;IF($D$4="Forint",Paraméterek!$J$113,Paraméterek!$K$113),IF($D$4="Forint",Paraméterek!$J$113,Paraméterek!$K$113),IF(IF(ISBLANK($AW82),$AV82,$AW82)*Paraméterek!$J$112&gt;IF($D$4="Forint",Paraméterek!$J$114,Paraméterek!$K$114),IF($D$4="Forint",Paraméterek!$J$114,Paraméterek!$K$114),IF(ISBLANK($AW82),$AV82,$AW82)*Paraméterek!$J$112))),IF($D$4="Forint",0,2))</f>
        <v>0</v>
      </c>
      <c r="AY82" s="13">
        <f>$AR82+$AT82-$AU82-IF(ROUNDDOWN(IF(ISBLANK($AW82),$AV82,$AW82),IF($D$4="Forint",0,2))&gt;$AR82+$AT82-$AU82-IF($D$4="Forint",Paraméterek!$J$114,Paraméterek!$K$114),0,ROUNDDOWN(IF(ISBLANK($AW82),$AV82,$AW82),IF($D$4="Forint",0,2))-$AX82)</f>
        <v>0</v>
      </c>
      <c r="AZ82" s="13">
        <f t="shared" si="9"/>
        <v>0</v>
      </c>
    </row>
    <row r="83" spans="1:52" x14ac:dyDescent="0.2">
      <c r="A83" s="32">
        <v>64</v>
      </c>
      <c r="B83" s="32">
        <v>6</v>
      </c>
      <c r="C83" s="32">
        <v>4</v>
      </c>
      <c r="D83" s="13">
        <f t="shared" si="0"/>
        <v>0</v>
      </c>
      <c r="E83" s="13"/>
      <c r="F83" s="13"/>
      <c r="G83" s="13"/>
      <c r="H83" s="13">
        <f t="shared" si="1"/>
        <v>0</v>
      </c>
      <c r="I83" s="13">
        <f t="shared" si="2"/>
        <v>0</v>
      </c>
      <c r="J83" s="13">
        <f t="shared" si="3"/>
        <v>0</v>
      </c>
      <c r="K83" s="13">
        <f>ROUNDUP(IF($D$2="Egyszeri",$D83,IF($D$2="Havi",SUM($D$20:$D$31),IF(MOD($C83,$M$1)-1=0,SUM($D$20:$D$31),0))/12*$M$1)*VLOOKUP($B83,Paraméterek!$B$27:$D$30,IF($D$2="Egyszeri",3,2)),IF($D$4="Forint",0,2))</f>
        <v>0</v>
      </c>
      <c r="L83" s="13">
        <f t="shared" si="4"/>
        <v>0</v>
      </c>
      <c r="M83" s="13">
        <f t="shared" ca="1" si="10"/>
        <v>-34271</v>
      </c>
      <c r="N83" s="13">
        <f ca="1">IF($V82&gt;=VLOOKUP($M$4-1+$B83,Paraméterek!$B$121:$D$122,IF($D$4="Forint",2,3)),0,VLOOKUP($M$4-1+$B83,Paraméterek!$B$121:$D$122,IF($D$4="Forint",2,3))-$V82)</f>
        <v>44271</v>
      </c>
      <c r="O83" s="13">
        <f ca="1">ROUNDUP($N83*Paraméterek!$C$58/Paraméterek!$C$56,IF($D$4="Forint",0,2))</f>
        <v>8</v>
      </c>
      <c r="P83" s="13">
        <f t="shared" si="5"/>
        <v>638</v>
      </c>
      <c r="Q83" s="33"/>
      <c r="R83" s="13">
        <f t="shared" ca="1" si="6"/>
        <v>0</v>
      </c>
      <c r="S83" s="13">
        <f ca="1">ROUNDUP(($M83-$O83-$P83+$R83)*VLOOKUP($B83,Paraméterek!$B$38:$D$39,IF($D$2="Egyszeri",3,2))/12,IF($D$4="Forint",0,2))</f>
        <v>-95</v>
      </c>
      <c r="T83" s="13"/>
      <c r="U83" s="13"/>
      <c r="V83" s="13">
        <f ca="1">$M83-$O83-$P83+$R83-$S83-IF(ROUNDUP(IF(ISBLANK($U83),$T83,$U83)/IF(AND($B83=1,$D$2&lt;&gt;"Egyszeri"),1,VLOOKUP($B83+IF($C83=12,1,0),Paraméterek!$B$257:$D$267,IF($D$2="Egyszeri",3,2))),IF($D$4="Forint",0,2))&gt;$M83-$O83-$P83+$R83-$S83-IF($D$4="Forint",Paraméterek!$C$216,Paraméterek!$D$216),0,ROUNDUP(IF(ISBLANK($U83),$T83,$U83)/IF(AND($B83=1,$D$2&lt;&gt;"Egyszeri"),1,VLOOKUP($B83+IF($C83=12,1,0),Paraméterek!$B$257:$D$267,IF($D$2="Egyszeri",3,2))),IF($D$4="Forint",0,2)))</f>
        <v>-34822</v>
      </c>
      <c r="W83" s="13">
        <f ca="1">ROUNDDOWN($V83*VLOOKUP($B83+IF($C83=12,1,0),Paraméterek!$B$257:$D$267,IF($D$2="Egyszeri",3,2)),IF($D$4="Forint",0,2))</f>
        <v>-33429</v>
      </c>
      <c r="Y83" s="32">
        <v>64</v>
      </c>
      <c r="Z83" s="32">
        <v>6</v>
      </c>
      <c r="AA83" s="32">
        <v>4</v>
      </c>
      <c r="AB83" s="13">
        <f t="shared" si="11"/>
        <v>0</v>
      </c>
      <c r="AC83" s="33"/>
      <c r="AD83" s="13">
        <f t="shared" si="7"/>
        <v>0</v>
      </c>
      <c r="AE83" s="13">
        <f>ROUNDUP(($AB83+$AD83)*VLOOKUP($Z83,Paraméterek!$P$38:$Q$38,2)/12,IF($D$4="Forint",0,2))</f>
        <v>0</v>
      </c>
      <c r="AF83" s="13">
        <f>IF($D$2="Egyszeri",IF($D$7&gt;=IF($D$4="Forint",Paraméterek!$P$223,Paraméterek!$P$224),$D$7-IF($D$4="Forint",Paraméterek!$F$223,Paraméterek!$F$224),0),MIN(IF($AA83=12,AVERAGE($D$20:$D83)*12,0),SUM($D$20:$D$31)))</f>
        <v>0</v>
      </c>
      <c r="AG83" s="13">
        <f>IF(AND($Z83&gt;=10,MOD($Z83,5)=0),$AF83*IF($AA83=12,VLOOKUP($Z83,Paraméterek!$B$225:$F$240,IF($AF83&lt;IF($D$4="Forint",Paraméterek!$C$223,Paraméterek!$C$224),2,IF($AF83&lt;IF($D$4="Forint",Paraméterek!$D$223,Paraméterek!$D$224),3,4))),0),0)</f>
        <v>0</v>
      </c>
      <c r="AH83" s="13">
        <f>IF(AND($Z83&gt;=5,MOD($Z83,5)=0),IF($AA83=12,VLOOKUP($Z83,Paraméterek!$B$225:$F$240,5),0),IF(OR($Z83=3,$Z83=4),IF($AA83=12,VLOOKUP($Z83,Paraméterek!$B$225:$F$240,5,0),0),0))*$AF83</f>
        <v>0</v>
      </c>
      <c r="AI83" s="13">
        <f>ROUNDDOWN(IF(SUM($T$20:$U83)=0,IF($D$2="Egyszeri",$AH83,$AG83),0),IF($D$4="Forint",0,2))</f>
        <v>0</v>
      </c>
      <c r="AJ83" s="13">
        <f t="shared" si="12"/>
        <v>0</v>
      </c>
      <c r="AK83" s="13">
        <f t="shared" si="13"/>
        <v>0</v>
      </c>
      <c r="AM83" s="32">
        <v>64</v>
      </c>
      <c r="AN83" s="32">
        <v>6</v>
      </c>
      <c r="AO83" s="32">
        <v>4</v>
      </c>
      <c r="AP83" s="13"/>
      <c r="AQ83" s="32"/>
      <c r="AR83" s="13">
        <f t="shared" si="14"/>
        <v>0</v>
      </c>
      <c r="AS83" s="33"/>
      <c r="AT83" s="13">
        <f t="shared" si="8"/>
        <v>0</v>
      </c>
      <c r="AU83" s="13">
        <f>ROUNDUP(($AR83+$AT83)*VLOOKUP($AN83,Paraméterek!$P$38:$Q$38,2)/12,IF($D$4="Forint",0,2))</f>
        <v>0</v>
      </c>
      <c r="AV83" s="13"/>
      <c r="AW83" s="13"/>
      <c r="AX83" s="13">
        <f>ROUNDUP(IF(SUM($AV83:$AW83)=0,0,IF(IF(ISBLANK($AW83),$AV83,$AW83)*Paraméterek!$J$112&lt;IF($D$4="Forint",Paraméterek!$J$113,Paraméterek!$K$113),IF($D$4="Forint",Paraméterek!$J$113,Paraméterek!$K$113),IF(IF(ISBLANK($AW83),$AV83,$AW83)*Paraméterek!$J$112&gt;IF($D$4="Forint",Paraméterek!$J$114,Paraméterek!$K$114),IF($D$4="Forint",Paraméterek!$J$114,Paraméterek!$K$114),IF(ISBLANK($AW83),$AV83,$AW83)*Paraméterek!$J$112))),IF($D$4="Forint",0,2))</f>
        <v>0</v>
      </c>
      <c r="AY83" s="13">
        <f>$AR83+$AT83-$AU83-IF(ROUNDDOWN(IF(ISBLANK($AW83),$AV83,$AW83),IF($D$4="Forint",0,2))&gt;$AR83+$AT83-$AU83-IF($D$4="Forint",Paraméterek!$J$114,Paraméterek!$K$114),0,ROUNDDOWN(IF(ISBLANK($AW83),$AV83,$AW83),IF($D$4="Forint",0,2))-$AX83)</f>
        <v>0</v>
      </c>
      <c r="AZ83" s="13">
        <f t="shared" si="9"/>
        <v>0</v>
      </c>
    </row>
    <row r="84" spans="1:52" x14ac:dyDescent="0.2">
      <c r="A84" s="32">
        <v>65</v>
      </c>
      <c r="B84" s="32">
        <v>6</v>
      </c>
      <c r="C84" s="32">
        <v>5</v>
      </c>
      <c r="D84" s="13">
        <f t="shared" si="0"/>
        <v>0</v>
      </c>
      <c r="E84" s="13"/>
      <c r="F84" s="13"/>
      <c r="G84" s="13"/>
      <c r="H84" s="13">
        <f t="shared" si="1"/>
        <v>0</v>
      </c>
      <c r="I84" s="13">
        <f t="shared" si="2"/>
        <v>0</v>
      </c>
      <c r="J84" s="13">
        <f t="shared" si="3"/>
        <v>0</v>
      </c>
      <c r="K84" s="13">
        <f>ROUNDUP(IF($D$2="Egyszeri",$D84,IF($D$2="Havi",SUM($D$20:$D$31),IF(MOD($C84,$M$1)-1=0,SUM($D$20:$D$31),0))/12*$M$1)*VLOOKUP($B84,Paraméterek!$B$27:$D$30,IF($D$2="Egyszeri",3,2)),IF($D$4="Forint",0,2))</f>
        <v>0</v>
      </c>
      <c r="L84" s="13">
        <f t="shared" si="4"/>
        <v>0</v>
      </c>
      <c r="M84" s="13">
        <f t="shared" ca="1" si="10"/>
        <v>-34822</v>
      </c>
      <c r="N84" s="13">
        <f ca="1">IF($V83&gt;=VLOOKUP($M$4-1+$B84,Paraméterek!$B$121:$D$122,IF($D$4="Forint",2,3)),0,VLOOKUP($M$4-1+$B84,Paraméterek!$B$121:$D$122,IF($D$4="Forint",2,3))-$V83)</f>
        <v>44822</v>
      </c>
      <c r="O84" s="13">
        <f ca="1">ROUNDUP($N84*Paraméterek!$C$58/Paraméterek!$C$56,IF($D$4="Forint",0,2))</f>
        <v>8</v>
      </c>
      <c r="P84" s="13">
        <f t="shared" si="5"/>
        <v>638</v>
      </c>
      <c r="Q84" s="33"/>
      <c r="R84" s="13">
        <f t="shared" ca="1" si="6"/>
        <v>0</v>
      </c>
      <c r="S84" s="13">
        <f ca="1">ROUNDUP(($M84-$O84-$P84+$R84)*VLOOKUP($B84,Paraméterek!$B$38:$D$39,IF($D$2="Egyszeri",3,2))/12,IF($D$4="Forint",0,2))</f>
        <v>-97</v>
      </c>
      <c r="T84" s="13"/>
      <c r="U84" s="13"/>
      <c r="V84" s="13">
        <f ca="1">$M84-$O84-$P84+$R84-$S84-IF(ROUNDUP(IF(ISBLANK($U84),$T84,$U84)/IF(AND($B84=1,$D$2&lt;&gt;"Egyszeri"),1,VLOOKUP($B84+IF($C84=12,1,0),Paraméterek!$B$257:$D$267,IF($D$2="Egyszeri",3,2))),IF($D$4="Forint",0,2))&gt;$M84-$O84-$P84+$R84-$S84-IF($D$4="Forint",Paraméterek!$C$216,Paraméterek!$D$216),0,ROUNDUP(IF(ISBLANK($U84),$T84,$U84)/IF(AND($B84=1,$D$2&lt;&gt;"Egyszeri"),1,VLOOKUP($B84+IF($C84=12,1,0),Paraméterek!$B$257:$D$267,IF($D$2="Egyszeri",3,2))),IF($D$4="Forint",0,2)))</f>
        <v>-35371</v>
      </c>
      <c r="W84" s="13">
        <f ca="1">ROUNDDOWN($V84*VLOOKUP($B84+IF($C84=12,1,0),Paraméterek!$B$257:$D$267,IF($D$2="Egyszeri",3,2)),IF($D$4="Forint",0,2))</f>
        <v>-33956</v>
      </c>
      <c r="Y84" s="32">
        <v>65</v>
      </c>
      <c r="Z84" s="32">
        <v>6</v>
      </c>
      <c r="AA84" s="32">
        <v>5</v>
      </c>
      <c r="AB84" s="13">
        <f t="shared" si="11"/>
        <v>0</v>
      </c>
      <c r="AC84" s="33"/>
      <c r="AD84" s="13">
        <f t="shared" si="7"/>
        <v>0</v>
      </c>
      <c r="AE84" s="13">
        <f>ROUNDUP(($AB84+$AD84)*VLOOKUP($Z84,Paraméterek!$P$38:$Q$38,2)/12,IF($D$4="Forint",0,2))</f>
        <v>0</v>
      </c>
      <c r="AF84" s="13">
        <f>IF($D$2="Egyszeri",IF($D$7&gt;=IF($D$4="Forint",Paraméterek!$P$223,Paraméterek!$P$224),$D$7-IF($D$4="Forint",Paraméterek!$F$223,Paraméterek!$F$224),0),MIN(IF($AA84=12,AVERAGE($D$20:$D84)*12,0),SUM($D$20:$D$31)))</f>
        <v>0</v>
      </c>
      <c r="AG84" s="13">
        <f>IF(AND($Z84&gt;=10,MOD($Z84,5)=0),$AF84*IF($AA84=12,VLOOKUP($Z84,Paraméterek!$B$225:$F$240,IF($AF84&lt;IF($D$4="Forint",Paraméterek!$C$223,Paraméterek!$C$224),2,IF($AF84&lt;IF($D$4="Forint",Paraméterek!$D$223,Paraméterek!$D$224),3,4))),0),0)</f>
        <v>0</v>
      </c>
      <c r="AH84" s="13">
        <f>IF(AND($Z84&gt;=5,MOD($Z84,5)=0),IF($AA84=12,VLOOKUP($Z84,Paraméterek!$B$225:$F$240,5),0),IF(OR($Z84=3,$Z84=4),IF($AA84=12,VLOOKUP($Z84,Paraméterek!$B$225:$F$240,5,0),0),0))*$AF84</f>
        <v>0</v>
      </c>
      <c r="AI84" s="13">
        <f>ROUNDDOWN(IF(SUM($T$20:$U84)=0,IF($D$2="Egyszeri",$AH84,$AG84),0),IF($D$4="Forint",0,2))</f>
        <v>0</v>
      </c>
      <c r="AJ84" s="13">
        <f t="shared" si="12"/>
        <v>0</v>
      </c>
      <c r="AK84" s="13">
        <f t="shared" si="13"/>
        <v>0</v>
      </c>
      <c r="AM84" s="32">
        <v>65</v>
      </c>
      <c r="AN84" s="32">
        <v>6</v>
      </c>
      <c r="AO84" s="32">
        <v>5</v>
      </c>
      <c r="AP84" s="13"/>
      <c r="AQ84" s="32"/>
      <c r="AR84" s="13">
        <f t="shared" si="14"/>
        <v>0</v>
      </c>
      <c r="AS84" s="33"/>
      <c r="AT84" s="13">
        <f t="shared" si="8"/>
        <v>0</v>
      </c>
      <c r="AU84" s="13">
        <f>ROUNDUP(($AR84+$AT84)*VLOOKUP($AN84,Paraméterek!$P$38:$Q$38,2)/12,IF($D$4="Forint",0,2))</f>
        <v>0</v>
      </c>
      <c r="AV84" s="13"/>
      <c r="AW84" s="13"/>
      <c r="AX84" s="13">
        <f>ROUNDUP(IF(SUM($AV84:$AW84)=0,0,IF(IF(ISBLANK($AW84),$AV84,$AW84)*Paraméterek!$J$112&lt;IF($D$4="Forint",Paraméterek!$J$113,Paraméterek!$K$113),IF($D$4="Forint",Paraméterek!$J$113,Paraméterek!$K$113),IF(IF(ISBLANK($AW84),$AV84,$AW84)*Paraméterek!$J$112&gt;IF($D$4="Forint",Paraméterek!$J$114,Paraméterek!$K$114),IF($D$4="Forint",Paraméterek!$J$114,Paraméterek!$K$114),IF(ISBLANK($AW84),$AV84,$AW84)*Paraméterek!$J$112))),IF($D$4="Forint",0,2))</f>
        <v>0</v>
      </c>
      <c r="AY84" s="13">
        <f>$AR84+$AT84-$AU84-IF(ROUNDDOWN(IF(ISBLANK($AW84),$AV84,$AW84),IF($D$4="Forint",0,2))&gt;$AR84+$AT84-$AU84-IF($D$4="Forint",Paraméterek!$J$114,Paraméterek!$K$114),0,ROUNDDOWN(IF(ISBLANK($AW84),$AV84,$AW84),IF($D$4="Forint",0,2))-$AX84)</f>
        <v>0</v>
      </c>
      <c r="AZ84" s="13">
        <f t="shared" si="9"/>
        <v>0</v>
      </c>
    </row>
    <row r="85" spans="1:52" x14ac:dyDescent="0.2">
      <c r="A85" s="32">
        <v>66</v>
      </c>
      <c r="B85" s="32">
        <v>6</v>
      </c>
      <c r="C85" s="32">
        <v>6</v>
      </c>
      <c r="D85" s="13">
        <f t="shared" ref="D85:D148" si="15">IF($D$2="Egyszeri",IF($A85=1,$D$7,0),ROUNDUP(IF($D$2="Havi",$D$7,IF(MOD($C85,$M$1)-1=0,$D$7,0))*(1+$D$6)^($B85-1),IF($D$4="Forint",0,2)))</f>
        <v>0</v>
      </c>
      <c r="E85" s="13"/>
      <c r="F85" s="13"/>
      <c r="G85" s="13"/>
      <c r="H85" s="13">
        <f t="shared" ref="H85:H148" si="16">ROUNDUP(IF(AND($D$8="Nincs",$D$2&lt;&gt;"Egyszeri"),$D85*10%,0),IF($D$4="Forint",0,2))</f>
        <v>0</v>
      </c>
      <c r="I85" s="13">
        <f t="shared" ref="I85:I148" si="17">IF($D$2="Egyszeri",IF($A85=1,$M$3,0),ROUNDUP(IF($D$2="Havi",$M$3,IF(MOD($C85,$M$1)-1=0,$M$3,0))*(1+$M$2)^($B85-1),IF($D$4="Forint",0,2)))</f>
        <v>0</v>
      </c>
      <c r="J85" s="13">
        <f t="shared" ref="J85:J148" si="18">IF(ISBLANK($E85),$D85,$E85)+IF(ISBLANK($G85),$F85,$G85)+$H85+$I85</f>
        <v>0</v>
      </c>
      <c r="K85" s="13">
        <f>ROUNDUP(IF($D$2="Egyszeri",$D85,IF($D$2="Havi",SUM($D$20:$D$31),IF(MOD($C85,$M$1)-1=0,SUM($D$20:$D$31),0))/12*$M$1)*VLOOKUP($B85,Paraméterek!$B$27:$D$30,IF($D$2="Egyszeri",3,2)),IF($D$4="Forint",0,2))</f>
        <v>0</v>
      </c>
      <c r="L85" s="13">
        <f t="shared" ref="L85:L148" si="19">$D85-$K85+IF(ISBLANK($G85),$F85,$G85)</f>
        <v>0</v>
      </c>
      <c r="M85" s="13">
        <f t="shared" ca="1" si="10"/>
        <v>-35371</v>
      </c>
      <c r="N85" s="13">
        <f ca="1">IF($V84&gt;=VLOOKUP($M$4-1+$B85,Paraméterek!$B$121:$D$122,IF($D$4="Forint",2,3)),0,VLOOKUP($M$4-1+$B85,Paraméterek!$B$121:$D$122,IF($D$4="Forint",2,3))-$V84)</f>
        <v>45371</v>
      </c>
      <c r="O85" s="13">
        <f ca="1">ROUNDUP($N85*Paraméterek!$C$58/Paraméterek!$C$56,IF($D$4="Forint",0,2))</f>
        <v>8</v>
      </c>
      <c r="P85" s="13">
        <f t="shared" ref="P85:P148" si="20">ROUNDUP($M$5*(1+$M$2)^($B85-1),IF($D$4="Forint",0,2))</f>
        <v>638</v>
      </c>
      <c r="Q85" s="33"/>
      <c r="R85" s="13">
        <f t="shared" ref="R85:R148" ca="1" si="21">ROUNDDOWN(($M85-$O85-$P85)*IF(ISBLANK($Q85),$M$6,$Q85),IF($D$4="Forint",0,2))</f>
        <v>0</v>
      </c>
      <c r="S85" s="13">
        <f ca="1">ROUNDUP(($M85-$O85-$P85+$R85)*VLOOKUP($B85,Paraméterek!$B$38:$D$39,IF($D$2="Egyszeri",3,2))/12,IF($D$4="Forint",0,2))</f>
        <v>-98</v>
      </c>
      <c r="T85" s="13"/>
      <c r="U85" s="13"/>
      <c r="V85" s="13">
        <f ca="1">$M85-$O85-$P85+$R85-$S85-IF(ROUNDUP(IF(ISBLANK($U85),$T85,$U85)/IF(AND($B85=1,$D$2&lt;&gt;"Egyszeri"),1,VLOOKUP($B85+IF($C85=12,1,0),Paraméterek!$B$257:$D$267,IF($D$2="Egyszeri",3,2))),IF($D$4="Forint",0,2))&gt;$M85-$O85-$P85+$R85-$S85-IF($D$4="Forint",Paraméterek!$C$216,Paraméterek!$D$216),0,ROUNDUP(IF(ISBLANK($U85),$T85,$U85)/IF(AND($B85=1,$D$2&lt;&gt;"Egyszeri"),1,VLOOKUP($B85+IF($C85=12,1,0),Paraméterek!$B$257:$D$267,IF($D$2="Egyszeri",3,2))),IF($D$4="Forint",0,2)))</f>
        <v>-35919</v>
      </c>
      <c r="W85" s="13">
        <f ca="1">ROUNDDOWN($V85*VLOOKUP($B85+IF($C85=12,1,0),Paraméterek!$B$257:$D$267,IF($D$2="Egyszeri",3,2)),IF($D$4="Forint",0,2))</f>
        <v>-34482</v>
      </c>
      <c r="Y85" s="32">
        <v>66</v>
      </c>
      <c r="Z85" s="32">
        <v>6</v>
      </c>
      <c r="AA85" s="32">
        <v>6</v>
      </c>
      <c r="AB85" s="13">
        <f t="shared" si="11"/>
        <v>0</v>
      </c>
      <c r="AC85" s="33"/>
      <c r="AD85" s="13">
        <f t="shared" ref="AD85:AD148" si="22">ROUNDDOWN($AB85*IF(ISBLANK($AC85),$M$8,$AC85),IF($D$4="Forint",0,2))</f>
        <v>0</v>
      </c>
      <c r="AE85" s="13">
        <f>ROUNDUP(($AB85+$AD85)*VLOOKUP($Z85,Paraméterek!$P$38:$Q$38,2)/12,IF($D$4="Forint",0,2))</f>
        <v>0</v>
      </c>
      <c r="AF85" s="13">
        <f>IF($D$2="Egyszeri",IF($D$7&gt;=IF($D$4="Forint",Paraméterek!$P$223,Paraméterek!$P$224),$D$7-IF($D$4="Forint",Paraméterek!$F$223,Paraméterek!$F$224),0),MIN(IF($AA85=12,AVERAGE($D$20:$D85)*12,0),SUM($D$20:$D$31)))</f>
        <v>0</v>
      </c>
      <c r="AG85" s="13">
        <f>IF(AND($Z85&gt;=10,MOD($Z85,5)=0),$AF85*IF($AA85=12,VLOOKUP($Z85,Paraméterek!$B$225:$F$240,IF($AF85&lt;IF($D$4="Forint",Paraméterek!$C$223,Paraméterek!$C$224),2,IF($AF85&lt;IF($D$4="Forint",Paraméterek!$D$223,Paraméterek!$D$224),3,4))),0),0)</f>
        <v>0</v>
      </c>
      <c r="AH85" s="13">
        <f>IF(AND($Z85&gt;=5,MOD($Z85,5)=0),IF($AA85=12,VLOOKUP($Z85,Paraméterek!$B$225:$F$240,5),0),IF(OR($Z85=3,$Z85=4),IF($AA85=12,VLOOKUP($Z85,Paraméterek!$B$225:$F$240,5,0),0),0))*$AF85</f>
        <v>0</v>
      </c>
      <c r="AI85" s="13">
        <f>ROUNDDOWN(IF(SUM($T$20:$U85)=0,IF($D$2="Egyszeri",$AH85,$AG85),0),IF($D$4="Forint",0,2))</f>
        <v>0</v>
      </c>
      <c r="AJ85" s="13">
        <f t="shared" si="12"/>
        <v>0</v>
      </c>
      <c r="AK85" s="13">
        <f t="shared" si="13"/>
        <v>0</v>
      </c>
      <c r="AM85" s="32">
        <v>66</v>
      </c>
      <c r="AN85" s="32">
        <v>6</v>
      </c>
      <c r="AO85" s="32">
        <v>6</v>
      </c>
      <c r="AP85" s="13"/>
      <c r="AQ85" s="32"/>
      <c r="AR85" s="13">
        <f t="shared" si="14"/>
        <v>0</v>
      </c>
      <c r="AS85" s="33"/>
      <c r="AT85" s="13">
        <f t="shared" ref="AT85:AT148" si="23">ROUNDDOWN($AR85*IF(ISBLANK($AS85),$M$7,$AS85),IF($D$4="Forint",0,2))</f>
        <v>0</v>
      </c>
      <c r="AU85" s="13">
        <f>ROUNDUP(($AR85+$AT85)*VLOOKUP($AN85,Paraméterek!$P$38:$Q$38,2)/12,IF($D$4="Forint",0,2))</f>
        <v>0</v>
      </c>
      <c r="AV85" s="13"/>
      <c r="AW85" s="13"/>
      <c r="AX85" s="13">
        <f>ROUNDUP(IF(SUM($AV85:$AW85)=0,0,IF(IF(ISBLANK($AW85),$AV85,$AW85)*Paraméterek!$J$112&lt;IF($D$4="Forint",Paraméterek!$J$113,Paraméterek!$K$113),IF($D$4="Forint",Paraméterek!$J$113,Paraméterek!$K$113),IF(IF(ISBLANK($AW85),$AV85,$AW85)*Paraméterek!$J$112&gt;IF($D$4="Forint",Paraméterek!$J$114,Paraméterek!$K$114),IF($D$4="Forint",Paraméterek!$J$114,Paraméterek!$K$114),IF(ISBLANK($AW85),$AV85,$AW85)*Paraméterek!$J$112))),IF($D$4="Forint",0,2))</f>
        <v>0</v>
      </c>
      <c r="AY85" s="13">
        <f>$AR85+$AT85-$AU85-IF(ROUNDDOWN(IF(ISBLANK($AW85),$AV85,$AW85),IF($D$4="Forint",0,2))&gt;$AR85+$AT85-$AU85-IF($D$4="Forint",Paraméterek!$J$114,Paraméterek!$K$114),0,ROUNDDOWN(IF(ISBLANK($AW85),$AV85,$AW85),IF($D$4="Forint",0,2))-$AX85)</f>
        <v>0</v>
      </c>
      <c r="AZ85" s="13">
        <f t="shared" ref="AZ85:AZ148" si="24">$AY85</f>
        <v>0</v>
      </c>
    </row>
    <row r="86" spans="1:52" x14ac:dyDescent="0.2">
      <c r="A86" s="32">
        <v>67</v>
      </c>
      <c r="B86" s="32">
        <v>6</v>
      </c>
      <c r="C86" s="32">
        <v>7</v>
      </c>
      <c r="D86" s="13">
        <f t="shared" si="15"/>
        <v>0</v>
      </c>
      <c r="E86" s="13"/>
      <c r="F86" s="13"/>
      <c r="G86" s="13"/>
      <c r="H86" s="13">
        <f t="shared" si="16"/>
        <v>0</v>
      </c>
      <c r="I86" s="13">
        <f t="shared" si="17"/>
        <v>0</v>
      </c>
      <c r="J86" s="13">
        <f t="shared" si="18"/>
        <v>0</v>
      </c>
      <c r="K86" s="13">
        <f>ROUNDUP(IF($D$2="Egyszeri",$D86,IF($D$2="Havi",SUM($D$20:$D$31),IF(MOD($C86,$M$1)-1=0,SUM($D$20:$D$31),0))/12*$M$1)*VLOOKUP($B86,Paraméterek!$B$27:$D$30,IF($D$2="Egyszeri",3,2)),IF($D$4="Forint",0,2))</f>
        <v>0</v>
      </c>
      <c r="L86" s="13">
        <f t="shared" si="19"/>
        <v>0</v>
      </c>
      <c r="M86" s="13">
        <f t="shared" ref="M86:M149" ca="1" si="25">$L86+$V85</f>
        <v>-35919</v>
      </c>
      <c r="N86" s="13">
        <f ca="1">IF($V85&gt;=VLOOKUP($M$4-1+$B86,Paraméterek!$B$121:$D$122,IF($D$4="Forint",2,3)),0,VLOOKUP($M$4-1+$B86,Paraméterek!$B$121:$D$122,IF($D$4="Forint",2,3))-$V85)</f>
        <v>45919</v>
      </c>
      <c r="O86" s="13">
        <f ca="1">ROUNDUP($N86*Paraméterek!$C$58/Paraméterek!$C$56,IF($D$4="Forint",0,2))</f>
        <v>8</v>
      </c>
      <c r="P86" s="13">
        <f t="shared" si="20"/>
        <v>638</v>
      </c>
      <c r="Q86" s="33"/>
      <c r="R86" s="13">
        <f t="shared" ca="1" si="21"/>
        <v>0</v>
      </c>
      <c r="S86" s="13">
        <f ca="1">ROUNDUP(($M86-$O86-$P86+$R86)*VLOOKUP($B86,Paraméterek!$B$38:$D$39,IF($D$2="Egyszeri",3,2))/12,IF($D$4="Forint",0,2))</f>
        <v>-100</v>
      </c>
      <c r="T86" s="13"/>
      <c r="U86" s="13"/>
      <c r="V86" s="13">
        <f ca="1">$M86-$O86-$P86+$R86-$S86-IF(ROUNDUP(IF(ISBLANK($U86),$T86,$U86)/IF(AND($B86=1,$D$2&lt;&gt;"Egyszeri"),1,VLOOKUP($B86+IF($C86=12,1,0),Paraméterek!$B$257:$D$267,IF($D$2="Egyszeri",3,2))),IF($D$4="Forint",0,2))&gt;$M86-$O86-$P86+$R86-$S86-IF($D$4="Forint",Paraméterek!$C$216,Paraméterek!$D$216),0,ROUNDUP(IF(ISBLANK($U86),$T86,$U86)/IF(AND($B86=1,$D$2&lt;&gt;"Egyszeri"),1,VLOOKUP($B86+IF($C86=12,1,0),Paraméterek!$B$257:$D$267,IF($D$2="Egyszeri",3,2))),IF($D$4="Forint",0,2)))</f>
        <v>-36465</v>
      </c>
      <c r="W86" s="13">
        <f ca="1">ROUNDDOWN($V86*VLOOKUP($B86+IF($C86=12,1,0),Paraméterek!$B$257:$D$267,IF($D$2="Egyszeri",3,2)),IF($D$4="Forint",0,2))</f>
        <v>-35006</v>
      </c>
      <c r="Y86" s="32">
        <v>67</v>
      </c>
      <c r="Z86" s="32">
        <v>6</v>
      </c>
      <c r="AA86" s="32">
        <v>7</v>
      </c>
      <c r="AB86" s="13">
        <f t="shared" ref="AB86:AB149" si="26">$AJ85</f>
        <v>0</v>
      </c>
      <c r="AC86" s="33"/>
      <c r="AD86" s="13">
        <f t="shared" si="22"/>
        <v>0</v>
      </c>
      <c r="AE86" s="13">
        <f>ROUNDUP(($AB86+$AD86)*VLOOKUP($Z86,Paraméterek!$P$38:$Q$38,2)/12,IF($D$4="Forint",0,2))</f>
        <v>0</v>
      </c>
      <c r="AF86" s="13">
        <f>IF($D$2="Egyszeri",IF($D$7&gt;=IF($D$4="Forint",Paraméterek!$P$223,Paraméterek!$P$224),$D$7-IF($D$4="Forint",Paraméterek!$F$223,Paraméterek!$F$224),0),MIN(IF($AA86=12,AVERAGE($D$20:$D86)*12,0),SUM($D$20:$D$31)))</f>
        <v>0</v>
      </c>
      <c r="AG86" s="13">
        <f>IF(AND($Z86&gt;=10,MOD($Z86,5)=0),$AF86*IF($AA86=12,VLOOKUP($Z86,Paraméterek!$B$225:$F$240,IF($AF86&lt;IF($D$4="Forint",Paraméterek!$C$223,Paraméterek!$C$224),2,IF($AF86&lt;IF($D$4="Forint",Paraméterek!$D$223,Paraméterek!$D$224),3,4))),0),0)</f>
        <v>0</v>
      </c>
      <c r="AH86" s="13">
        <f>IF(AND($Z86&gt;=5,MOD($Z86,5)=0),IF($AA86=12,VLOOKUP($Z86,Paraméterek!$B$225:$F$240,5),0),IF(OR($Z86=3,$Z86=4),IF($AA86=12,VLOOKUP($Z86,Paraméterek!$B$225:$F$240,5,0),0),0))*$AF86</f>
        <v>0</v>
      </c>
      <c r="AI86" s="13">
        <f>ROUNDDOWN(IF(SUM($T$20:$U86)=0,IF($D$2="Egyszeri",$AH86,$AG86),0),IF($D$4="Forint",0,2))</f>
        <v>0</v>
      </c>
      <c r="AJ86" s="13">
        <f t="shared" ref="AJ86:AJ149" si="27">$AB86+$AD86-$AE86+$AI86</f>
        <v>0</v>
      </c>
      <c r="AK86" s="13">
        <f t="shared" ref="AK86:AK149" si="28">$AJ86</f>
        <v>0</v>
      </c>
      <c r="AM86" s="32">
        <v>67</v>
      </c>
      <c r="AN86" s="32">
        <v>6</v>
      </c>
      <c r="AO86" s="32">
        <v>7</v>
      </c>
      <c r="AP86" s="13"/>
      <c r="AQ86" s="32"/>
      <c r="AR86" s="13">
        <f t="shared" ref="AR86:AR149" si="29">IF(ISBLANK($AQ86),$AP86,$AQ86)+$AY85</f>
        <v>0</v>
      </c>
      <c r="AS86" s="33"/>
      <c r="AT86" s="13">
        <f t="shared" si="23"/>
        <v>0</v>
      </c>
      <c r="AU86" s="13">
        <f>ROUNDUP(($AR86+$AT86)*VLOOKUP($AN86,Paraméterek!$P$38:$Q$38,2)/12,IF($D$4="Forint",0,2))</f>
        <v>0</v>
      </c>
      <c r="AV86" s="13"/>
      <c r="AW86" s="13"/>
      <c r="AX86" s="13">
        <f>ROUNDUP(IF(SUM($AV86:$AW86)=0,0,IF(IF(ISBLANK($AW86),$AV86,$AW86)*Paraméterek!$J$112&lt;IF($D$4="Forint",Paraméterek!$J$113,Paraméterek!$K$113),IF($D$4="Forint",Paraméterek!$J$113,Paraméterek!$K$113),IF(IF(ISBLANK($AW86),$AV86,$AW86)*Paraméterek!$J$112&gt;IF($D$4="Forint",Paraméterek!$J$114,Paraméterek!$K$114),IF($D$4="Forint",Paraméterek!$J$114,Paraméterek!$K$114),IF(ISBLANK($AW86),$AV86,$AW86)*Paraméterek!$J$112))),IF($D$4="Forint",0,2))</f>
        <v>0</v>
      </c>
      <c r="AY86" s="13">
        <f>$AR86+$AT86-$AU86-IF(ROUNDDOWN(IF(ISBLANK($AW86),$AV86,$AW86),IF($D$4="Forint",0,2))&gt;$AR86+$AT86-$AU86-IF($D$4="Forint",Paraméterek!$J$114,Paraméterek!$K$114),0,ROUNDDOWN(IF(ISBLANK($AW86),$AV86,$AW86),IF($D$4="Forint",0,2))-$AX86)</f>
        <v>0</v>
      </c>
      <c r="AZ86" s="13">
        <f t="shared" si="24"/>
        <v>0</v>
      </c>
    </row>
    <row r="87" spans="1:52" x14ac:dyDescent="0.2">
      <c r="A87" s="32">
        <v>68</v>
      </c>
      <c r="B87" s="32">
        <v>6</v>
      </c>
      <c r="C87" s="32">
        <v>8</v>
      </c>
      <c r="D87" s="13">
        <f t="shared" si="15"/>
        <v>0</v>
      </c>
      <c r="E87" s="13"/>
      <c r="F87" s="13"/>
      <c r="G87" s="13"/>
      <c r="H87" s="13">
        <f t="shared" si="16"/>
        <v>0</v>
      </c>
      <c r="I87" s="13">
        <f t="shared" si="17"/>
        <v>0</v>
      </c>
      <c r="J87" s="13">
        <f t="shared" si="18"/>
        <v>0</v>
      </c>
      <c r="K87" s="13">
        <f>ROUNDUP(IF($D$2="Egyszeri",$D87,IF($D$2="Havi",SUM($D$20:$D$31),IF(MOD($C87,$M$1)-1=0,SUM($D$20:$D$31),0))/12*$M$1)*VLOOKUP($B87,Paraméterek!$B$27:$D$30,IF($D$2="Egyszeri",3,2)),IF($D$4="Forint",0,2))</f>
        <v>0</v>
      </c>
      <c r="L87" s="13">
        <f t="shared" si="19"/>
        <v>0</v>
      </c>
      <c r="M87" s="13">
        <f t="shared" ca="1" si="25"/>
        <v>-36465</v>
      </c>
      <c r="N87" s="13">
        <f ca="1">IF($V86&gt;=VLOOKUP($M$4-1+$B87,Paraméterek!$B$121:$D$122,IF($D$4="Forint",2,3)),0,VLOOKUP($M$4-1+$B87,Paraméterek!$B$121:$D$122,IF($D$4="Forint",2,3))-$V86)</f>
        <v>46465</v>
      </c>
      <c r="O87" s="13">
        <f ca="1">ROUNDUP($N87*Paraméterek!$C$58/Paraméterek!$C$56,IF($D$4="Forint",0,2))</f>
        <v>8</v>
      </c>
      <c r="P87" s="13">
        <f t="shared" si="20"/>
        <v>638</v>
      </c>
      <c r="Q87" s="33"/>
      <c r="R87" s="13">
        <f t="shared" ca="1" si="21"/>
        <v>0</v>
      </c>
      <c r="S87" s="13">
        <f ca="1">ROUNDUP(($M87-$O87-$P87+$R87)*VLOOKUP($B87,Paraméterek!$B$38:$D$39,IF($D$2="Egyszeri",3,2))/12,IF($D$4="Forint",0,2))</f>
        <v>-101</v>
      </c>
      <c r="T87" s="13"/>
      <c r="U87" s="13"/>
      <c r="V87" s="13">
        <f ca="1">$M87-$O87-$P87+$R87-$S87-IF(ROUNDUP(IF(ISBLANK($U87),$T87,$U87)/IF(AND($B87=1,$D$2&lt;&gt;"Egyszeri"),1,VLOOKUP($B87+IF($C87=12,1,0),Paraméterek!$B$257:$D$267,IF($D$2="Egyszeri",3,2))),IF($D$4="Forint",0,2))&gt;$M87-$O87-$P87+$R87-$S87-IF($D$4="Forint",Paraméterek!$C$216,Paraméterek!$D$216),0,ROUNDUP(IF(ISBLANK($U87),$T87,$U87)/IF(AND($B87=1,$D$2&lt;&gt;"Egyszeri"),1,VLOOKUP($B87+IF($C87=12,1,0),Paraméterek!$B$257:$D$267,IF($D$2="Egyszeri",3,2))),IF($D$4="Forint",0,2)))</f>
        <v>-37010</v>
      </c>
      <c r="W87" s="13">
        <f ca="1">ROUNDDOWN($V87*VLOOKUP($B87+IF($C87=12,1,0),Paraméterek!$B$257:$D$267,IF($D$2="Egyszeri",3,2)),IF($D$4="Forint",0,2))</f>
        <v>-35529</v>
      </c>
      <c r="Y87" s="32">
        <v>68</v>
      </c>
      <c r="Z87" s="32">
        <v>6</v>
      </c>
      <c r="AA87" s="32">
        <v>8</v>
      </c>
      <c r="AB87" s="13">
        <f t="shared" si="26"/>
        <v>0</v>
      </c>
      <c r="AC87" s="33"/>
      <c r="AD87" s="13">
        <f t="shared" si="22"/>
        <v>0</v>
      </c>
      <c r="AE87" s="13">
        <f>ROUNDUP(($AB87+$AD87)*VLOOKUP($Z87,Paraméterek!$P$38:$Q$38,2)/12,IF($D$4="Forint",0,2))</f>
        <v>0</v>
      </c>
      <c r="AF87" s="13">
        <f>IF($D$2="Egyszeri",IF($D$7&gt;=IF($D$4="Forint",Paraméterek!$P$223,Paraméterek!$P$224),$D$7-IF($D$4="Forint",Paraméterek!$F$223,Paraméterek!$F$224),0),MIN(IF($AA87=12,AVERAGE($D$20:$D87)*12,0),SUM($D$20:$D$31)))</f>
        <v>0</v>
      </c>
      <c r="AG87" s="13">
        <f>IF(AND($Z87&gt;=10,MOD($Z87,5)=0),$AF87*IF($AA87=12,VLOOKUP($Z87,Paraméterek!$B$225:$F$240,IF($AF87&lt;IF($D$4="Forint",Paraméterek!$C$223,Paraméterek!$C$224),2,IF($AF87&lt;IF($D$4="Forint",Paraméterek!$D$223,Paraméterek!$D$224),3,4))),0),0)</f>
        <v>0</v>
      </c>
      <c r="AH87" s="13">
        <f>IF(AND($Z87&gt;=5,MOD($Z87,5)=0),IF($AA87=12,VLOOKUP($Z87,Paraméterek!$B$225:$F$240,5),0),IF(OR($Z87=3,$Z87=4),IF($AA87=12,VLOOKUP($Z87,Paraméterek!$B$225:$F$240,5,0),0),0))*$AF87</f>
        <v>0</v>
      </c>
      <c r="AI87" s="13">
        <f>ROUNDDOWN(IF(SUM($T$20:$U87)=0,IF($D$2="Egyszeri",$AH87,$AG87),0),IF($D$4="Forint",0,2))</f>
        <v>0</v>
      </c>
      <c r="AJ87" s="13">
        <f t="shared" si="27"/>
        <v>0</v>
      </c>
      <c r="AK87" s="13">
        <f t="shared" si="28"/>
        <v>0</v>
      </c>
      <c r="AM87" s="32">
        <v>68</v>
      </c>
      <c r="AN87" s="32">
        <v>6</v>
      </c>
      <c r="AO87" s="32">
        <v>8</v>
      </c>
      <c r="AP87" s="13"/>
      <c r="AQ87" s="32"/>
      <c r="AR87" s="13">
        <f t="shared" si="29"/>
        <v>0</v>
      </c>
      <c r="AS87" s="33"/>
      <c r="AT87" s="13">
        <f t="shared" si="23"/>
        <v>0</v>
      </c>
      <c r="AU87" s="13">
        <f>ROUNDUP(($AR87+$AT87)*VLOOKUP($AN87,Paraméterek!$P$38:$Q$38,2)/12,IF($D$4="Forint",0,2))</f>
        <v>0</v>
      </c>
      <c r="AV87" s="13"/>
      <c r="AW87" s="13"/>
      <c r="AX87" s="13">
        <f>ROUNDUP(IF(SUM($AV87:$AW87)=0,0,IF(IF(ISBLANK($AW87),$AV87,$AW87)*Paraméterek!$J$112&lt;IF($D$4="Forint",Paraméterek!$J$113,Paraméterek!$K$113),IF($D$4="Forint",Paraméterek!$J$113,Paraméterek!$K$113),IF(IF(ISBLANK($AW87),$AV87,$AW87)*Paraméterek!$J$112&gt;IF($D$4="Forint",Paraméterek!$J$114,Paraméterek!$K$114),IF($D$4="Forint",Paraméterek!$J$114,Paraméterek!$K$114),IF(ISBLANK($AW87),$AV87,$AW87)*Paraméterek!$J$112))),IF($D$4="Forint",0,2))</f>
        <v>0</v>
      </c>
      <c r="AY87" s="13">
        <f>$AR87+$AT87-$AU87-IF(ROUNDDOWN(IF(ISBLANK($AW87),$AV87,$AW87),IF($D$4="Forint",0,2))&gt;$AR87+$AT87-$AU87-IF($D$4="Forint",Paraméterek!$J$114,Paraméterek!$K$114),0,ROUNDDOWN(IF(ISBLANK($AW87),$AV87,$AW87),IF($D$4="Forint",0,2))-$AX87)</f>
        <v>0</v>
      </c>
      <c r="AZ87" s="13">
        <f t="shared" si="24"/>
        <v>0</v>
      </c>
    </row>
    <row r="88" spans="1:52" x14ac:dyDescent="0.2">
      <c r="A88" s="32">
        <v>69</v>
      </c>
      <c r="B88" s="32">
        <v>6</v>
      </c>
      <c r="C88" s="32">
        <v>9</v>
      </c>
      <c r="D88" s="13">
        <f t="shared" si="15"/>
        <v>0</v>
      </c>
      <c r="E88" s="13"/>
      <c r="F88" s="13"/>
      <c r="G88" s="13"/>
      <c r="H88" s="13">
        <f t="shared" si="16"/>
        <v>0</v>
      </c>
      <c r="I88" s="13">
        <f t="shared" si="17"/>
        <v>0</v>
      </c>
      <c r="J88" s="13">
        <f t="shared" si="18"/>
        <v>0</v>
      </c>
      <c r="K88" s="13">
        <f>ROUNDUP(IF($D$2="Egyszeri",$D88,IF($D$2="Havi",SUM($D$20:$D$31),IF(MOD($C88,$M$1)-1=0,SUM($D$20:$D$31),0))/12*$M$1)*VLOOKUP($B88,Paraméterek!$B$27:$D$30,IF($D$2="Egyszeri",3,2)),IF($D$4="Forint",0,2))</f>
        <v>0</v>
      </c>
      <c r="L88" s="13">
        <f t="shared" si="19"/>
        <v>0</v>
      </c>
      <c r="M88" s="13">
        <f t="shared" ca="1" si="25"/>
        <v>-37010</v>
      </c>
      <c r="N88" s="13">
        <f ca="1">IF($V87&gt;=VLOOKUP($M$4-1+$B88,Paraméterek!$B$121:$D$122,IF($D$4="Forint",2,3)),0,VLOOKUP($M$4-1+$B88,Paraméterek!$B$121:$D$122,IF($D$4="Forint",2,3))-$V87)</f>
        <v>47010</v>
      </c>
      <c r="O88" s="13">
        <f ca="1">ROUNDUP($N88*Paraméterek!$C$58/Paraméterek!$C$56,IF($D$4="Forint",0,2))</f>
        <v>8</v>
      </c>
      <c r="P88" s="13">
        <f t="shared" si="20"/>
        <v>638</v>
      </c>
      <c r="Q88" s="33"/>
      <c r="R88" s="13">
        <f t="shared" ca="1" si="21"/>
        <v>0</v>
      </c>
      <c r="S88" s="13">
        <f ca="1">ROUNDUP(($M88-$O88-$P88+$R88)*VLOOKUP($B88,Paraméterek!$B$38:$D$39,IF($D$2="Egyszeri",3,2))/12,IF($D$4="Forint",0,2))</f>
        <v>-102</v>
      </c>
      <c r="T88" s="13"/>
      <c r="U88" s="13"/>
      <c r="V88" s="13">
        <f ca="1">$M88-$O88-$P88+$R88-$S88-IF(ROUNDUP(IF(ISBLANK($U88),$T88,$U88)/IF(AND($B88=1,$D$2&lt;&gt;"Egyszeri"),1,VLOOKUP($B88+IF($C88=12,1,0),Paraméterek!$B$257:$D$267,IF($D$2="Egyszeri",3,2))),IF($D$4="Forint",0,2))&gt;$M88-$O88-$P88+$R88-$S88-IF($D$4="Forint",Paraméterek!$C$216,Paraméterek!$D$216),0,ROUNDUP(IF(ISBLANK($U88),$T88,$U88)/IF(AND($B88=1,$D$2&lt;&gt;"Egyszeri"),1,VLOOKUP($B88+IF($C88=12,1,0),Paraméterek!$B$257:$D$267,IF($D$2="Egyszeri",3,2))),IF($D$4="Forint",0,2)))</f>
        <v>-37554</v>
      </c>
      <c r="W88" s="13">
        <f ca="1">ROUNDDOWN($V88*VLOOKUP($B88+IF($C88=12,1,0),Paraméterek!$B$257:$D$267,IF($D$2="Egyszeri",3,2)),IF($D$4="Forint",0,2))</f>
        <v>-36051</v>
      </c>
      <c r="Y88" s="32">
        <v>69</v>
      </c>
      <c r="Z88" s="32">
        <v>6</v>
      </c>
      <c r="AA88" s="32">
        <v>9</v>
      </c>
      <c r="AB88" s="13">
        <f t="shared" si="26"/>
        <v>0</v>
      </c>
      <c r="AC88" s="33"/>
      <c r="AD88" s="13">
        <f t="shared" si="22"/>
        <v>0</v>
      </c>
      <c r="AE88" s="13">
        <f>ROUNDUP(($AB88+$AD88)*VLOOKUP($Z88,Paraméterek!$P$38:$Q$38,2)/12,IF($D$4="Forint",0,2))</f>
        <v>0</v>
      </c>
      <c r="AF88" s="13">
        <f>IF($D$2="Egyszeri",IF($D$7&gt;=IF($D$4="Forint",Paraméterek!$P$223,Paraméterek!$P$224),$D$7-IF($D$4="Forint",Paraméterek!$F$223,Paraméterek!$F$224),0),MIN(IF($AA88=12,AVERAGE($D$20:$D88)*12,0),SUM($D$20:$D$31)))</f>
        <v>0</v>
      </c>
      <c r="AG88" s="13">
        <f>IF(AND($Z88&gt;=10,MOD($Z88,5)=0),$AF88*IF($AA88=12,VLOOKUP($Z88,Paraméterek!$B$225:$F$240,IF($AF88&lt;IF($D$4="Forint",Paraméterek!$C$223,Paraméterek!$C$224),2,IF($AF88&lt;IF($D$4="Forint",Paraméterek!$D$223,Paraméterek!$D$224),3,4))),0),0)</f>
        <v>0</v>
      </c>
      <c r="AH88" s="13">
        <f>IF(AND($Z88&gt;=5,MOD($Z88,5)=0),IF($AA88=12,VLOOKUP($Z88,Paraméterek!$B$225:$F$240,5),0),IF(OR($Z88=3,$Z88=4),IF($AA88=12,VLOOKUP($Z88,Paraméterek!$B$225:$F$240,5,0),0),0))*$AF88</f>
        <v>0</v>
      </c>
      <c r="AI88" s="13">
        <f>ROUNDDOWN(IF(SUM($T$20:$U88)=0,IF($D$2="Egyszeri",$AH88,$AG88),0),IF($D$4="Forint",0,2))</f>
        <v>0</v>
      </c>
      <c r="AJ88" s="13">
        <f t="shared" si="27"/>
        <v>0</v>
      </c>
      <c r="AK88" s="13">
        <f t="shared" si="28"/>
        <v>0</v>
      </c>
      <c r="AM88" s="32">
        <v>69</v>
      </c>
      <c r="AN88" s="32">
        <v>6</v>
      </c>
      <c r="AO88" s="32">
        <v>9</v>
      </c>
      <c r="AP88" s="13"/>
      <c r="AQ88" s="32"/>
      <c r="AR88" s="13">
        <f t="shared" si="29"/>
        <v>0</v>
      </c>
      <c r="AS88" s="33"/>
      <c r="AT88" s="13">
        <f t="shared" si="23"/>
        <v>0</v>
      </c>
      <c r="AU88" s="13">
        <f>ROUNDUP(($AR88+$AT88)*VLOOKUP($AN88,Paraméterek!$P$38:$Q$38,2)/12,IF($D$4="Forint",0,2))</f>
        <v>0</v>
      </c>
      <c r="AV88" s="13"/>
      <c r="AW88" s="13"/>
      <c r="AX88" s="13">
        <f>ROUNDUP(IF(SUM($AV88:$AW88)=0,0,IF(IF(ISBLANK($AW88),$AV88,$AW88)*Paraméterek!$J$112&lt;IF($D$4="Forint",Paraméterek!$J$113,Paraméterek!$K$113),IF($D$4="Forint",Paraméterek!$J$113,Paraméterek!$K$113),IF(IF(ISBLANK($AW88),$AV88,$AW88)*Paraméterek!$J$112&gt;IF($D$4="Forint",Paraméterek!$J$114,Paraméterek!$K$114),IF($D$4="Forint",Paraméterek!$J$114,Paraméterek!$K$114),IF(ISBLANK($AW88),$AV88,$AW88)*Paraméterek!$J$112))),IF($D$4="Forint",0,2))</f>
        <v>0</v>
      </c>
      <c r="AY88" s="13">
        <f>$AR88+$AT88-$AU88-IF(ROUNDDOWN(IF(ISBLANK($AW88),$AV88,$AW88),IF($D$4="Forint",0,2))&gt;$AR88+$AT88-$AU88-IF($D$4="Forint",Paraméterek!$J$114,Paraméterek!$K$114),0,ROUNDDOWN(IF(ISBLANK($AW88),$AV88,$AW88),IF($D$4="Forint",0,2))-$AX88)</f>
        <v>0</v>
      </c>
      <c r="AZ88" s="13">
        <f t="shared" si="24"/>
        <v>0</v>
      </c>
    </row>
    <row r="89" spans="1:52" x14ac:dyDescent="0.2">
      <c r="A89" s="32">
        <v>70</v>
      </c>
      <c r="B89" s="32">
        <v>6</v>
      </c>
      <c r="C89" s="32">
        <v>10</v>
      </c>
      <c r="D89" s="13">
        <f t="shared" si="15"/>
        <v>0</v>
      </c>
      <c r="E89" s="13"/>
      <c r="F89" s="13"/>
      <c r="G89" s="13"/>
      <c r="H89" s="13">
        <f t="shared" si="16"/>
        <v>0</v>
      </c>
      <c r="I89" s="13">
        <f t="shared" si="17"/>
        <v>0</v>
      </c>
      <c r="J89" s="13">
        <f t="shared" si="18"/>
        <v>0</v>
      </c>
      <c r="K89" s="13">
        <f>ROUNDUP(IF($D$2="Egyszeri",$D89,IF($D$2="Havi",SUM($D$20:$D$31),IF(MOD($C89,$M$1)-1=0,SUM($D$20:$D$31),0))/12*$M$1)*VLOOKUP($B89,Paraméterek!$B$27:$D$30,IF($D$2="Egyszeri",3,2)),IF($D$4="Forint",0,2))</f>
        <v>0</v>
      </c>
      <c r="L89" s="13">
        <f t="shared" si="19"/>
        <v>0</v>
      </c>
      <c r="M89" s="13">
        <f t="shared" ca="1" si="25"/>
        <v>-37554</v>
      </c>
      <c r="N89" s="13">
        <f ca="1">IF($V88&gt;=VLOOKUP($M$4-1+$B89,Paraméterek!$B$121:$D$122,IF($D$4="Forint",2,3)),0,VLOOKUP($M$4-1+$B89,Paraméterek!$B$121:$D$122,IF($D$4="Forint",2,3))-$V88)</f>
        <v>47554</v>
      </c>
      <c r="O89" s="13">
        <f ca="1">ROUNDUP($N89*Paraméterek!$C$58/Paraméterek!$C$56,IF($D$4="Forint",0,2))</f>
        <v>8</v>
      </c>
      <c r="P89" s="13">
        <f t="shared" si="20"/>
        <v>638</v>
      </c>
      <c r="Q89" s="33"/>
      <c r="R89" s="13">
        <f t="shared" ca="1" si="21"/>
        <v>0</v>
      </c>
      <c r="S89" s="13">
        <f ca="1">ROUNDUP(($M89-$O89-$P89+$R89)*VLOOKUP($B89,Paraméterek!$B$38:$D$39,IF($D$2="Egyszeri",3,2))/12,IF($D$4="Forint",0,2))</f>
        <v>-104</v>
      </c>
      <c r="T89" s="13"/>
      <c r="U89" s="13"/>
      <c r="V89" s="13">
        <f ca="1">$M89-$O89-$P89+$R89-$S89-IF(ROUNDUP(IF(ISBLANK($U89),$T89,$U89)/IF(AND($B89=1,$D$2&lt;&gt;"Egyszeri"),1,VLOOKUP($B89+IF($C89=12,1,0),Paraméterek!$B$257:$D$267,IF($D$2="Egyszeri",3,2))),IF($D$4="Forint",0,2))&gt;$M89-$O89-$P89+$R89-$S89-IF($D$4="Forint",Paraméterek!$C$216,Paraméterek!$D$216),0,ROUNDUP(IF(ISBLANK($U89),$T89,$U89)/IF(AND($B89=1,$D$2&lt;&gt;"Egyszeri"),1,VLOOKUP($B89+IF($C89=12,1,0),Paraméterek!$B$257:$D$267,IF($D$2="Egyszeri",3,2))),IF($D$4="Forint",0,2)))</f>
        <v>-38096</v>
      </c>
      <c r="W89" s="13">
        <f ca="1">ROUNDDOWN($V89*VLOOKUP($B89+IF($C89=12,1,0),Paraméterek!$B$257:$D$267,IF($D$2="Egyszeri",3,2)),IF($D$4="Forint",0,2))</f>
        <v>-36572</v>
      </c>
      <c r="Y89" s="32">
        <v>70</v>
      </c>
      <c r="Z89" s="32">
        <v>6</v>
      </c>
      <c r="AA89" s="32">
        <v>10</v>
      </c>
      <c r="AB89" s="13">
        <f t="shared" si="26"/>
        <v>0</v>
      </c>
      <c r="AC89" s="33"/>
      <c r="AD89" s="13">
        <f t="shared" si="22"/>
        <v>0</v>
      </c>
      <c r="AE89" s="13">
        <f>ROUNDUP(($AB89+$AD89)*VLOOKUP($Z89,Paraméterek!$P$38:$Q$38,2)/12,IF($D$4="Forint",0,2))</f>
        <v>0</v>
      </c>
      <c r="AF89" s="13">
        <f>IF($D$2="Egyszeri",IF($D$7&gt;=IF($D$4="Forint",Paraméterek!$P$223,Paraméterek!$P$224),$D$7-IF($D$4="Forint",Paraméterek!$F$223,Paraméterek!$F$224),0),MIN(IF($AA89=12,AVERAGE($D$20:$D89)*12,0),SUM($D$20:$D$31)))</f>
        <v>0</v>
      </c>
      <c r="AG89" s="13">
        <f>IF(AND($Z89&gt;=10,MOD($Z89,5)=0),$AF89*IF($AA89=12,VLOOKUP($Z89,Paraméterek!$B$225:$F$240,IF($AF89&lt;IF($D$4="Forint",Paraméterek!$C$223,Paraméterek!$C$224),2,IF($AF89&lt;IF($D$4="Forint",Paraméterek!$D$223,Paraméterek!$D$224),3,4))),0),0)</f>
        <v>0</v>
      </c>
      <c r="AH89" s="13">
        <f>IF(AND($Z89&gt;=5,MOD($Z89,5)=0),IF($AA89=12,VLOOKUP($Z89,Paraméterek!$B$225:$F$240,5),0),IF(OR($Z89=3,$Z89=4),IF($AA89=12,VLOOKUP($Z89,Paraméterek!$B$225:$F$240,5,0),0),0))*$AF89</f>
        <v>0</v>
      </c>
      <c r="AI89" s="13">
        <f>ROUNDDOWN(IF(SUM($T$20:$U89)=0,IF($D$2="Egyszeri",$AH89,$AG89),0),IF($D$4="Forint",0,2))</f>
        <v>0</v>
      </c>
      <c r="AJ89" s="13">
        <f t="shared" si="27"/>
        <v>0</v>
      </c>
      <c r="AK89" s="13">
        <f t="shared" si="28"/>
        <v>0</v>
      </c>
      <c r="AM89" s="32">
        <v>70</v>
      </c>
      <c r="AN89" s="32">
        <v>6</v>
      </c>
      <c r="AO89" s="32">
        <v>10</v>
      </c>
      <c r="AP89" s="13"/>
      <c r="AQ89" s="32"/>
      <c r="AR89" s="13">
        <f t="shared" si="29"/>
        <v>0</v>
      </c>
      <c r="AS89" s="33"/>
      <c r="AT89" s="13">
        <f t="shared" si="23"/>
        <v>0</v>
      </c>
      <c r="AU89" s="13">
        <f>ROUNDUP(($AR89+$AT89)*VLOOKUP($AN89,Paraméterek!$P$38:$Q$38,2)/12,IF($D$4="Forint",0,2))</f>
        <v>0</v>
      </c>
      <c r="AV89" s="13"/>
      <c r="AW89" s="13"/>
      <c r="AX89" s="13">
        <f>ROUNDUP(IF(SUM($AV89:$AW89)=0,0,IF(IF(ISBLANK($AW89),$AV89,$AW89)*Paraméterek!$J$112&lt;IF($D$4="Forint",Paraméterek!$J$113,Paraméterek!$K$113),IF($D$4="Forint",Paraméterek!$J$113,Paraméterek!$K$113),IF(IF(ISBLANK($AW89),$AV89,$AW89)*Paraméterek!$J$112&gt;IF($D$4="Forint",Paraméterek!$J$114,Paraméterek!$K$114),IF($D$4="Forint",Paraméterek!$J$114,Paraméterek!$K$114),IF(ISBLANK($AW89),$AV89,$AW89)*Paraméterek!$J$112))),IF($D$4="Forint",0,2))</f>
        <v>0</v>
      </c>
      <c r="AY89" s="13">
        <f>$AR89+$AT89-$AU89-IF(ROUNDDOWN(IF(ISBLANK($AW89),$AV89,$AW89),IF($D$4="Forint",0,2))&gt;$AR89+$AT89-$AU89-IF($D$4="Forint",Paraméterek!$J$114,Paraméterek!$K$114),0,ROUNDDOWN(IF(ISBLANK($AW89),$AV89,$AW89),IF($D$4="Forint",0,2))-$AX89)</f>
        <v>0</v>
      </c>
      <c r="AZ89" s="13">
        <f t="shared" si="24"/>
        <v>0</v>
      </c>
    </row>
    <row r="90" spans="1:52" x14ac:dyDescent="0.2">
      <c r="A90" s="32">
        <v>71</v>
      </c>
      <c r="B90" s="32">
        <v>6</v>
      </c>
      <c r="C90" s="32">
        <v>11</v>
      </c>
      <c r="D90" s="13">
        <f t="shared" si="15"/>
        <v>0</v>
      </c>
      <c r="E90" s="13"/>
      <c r="F90" s="13"/>
      <c r="G90" s="13"/>
      <c r="H90" s="13">
        <f t="shared" si="16"/>
        <v>0</v>
      </c>
      <c r="I90" s="13">
        <f t="shared" si="17"/>
        <v>0</v>
      </c>
      <c r="J90" s="13">
        <f t="shared" si="18"/>
        <v>0</v>
      </c>
      <c r="K90" s="13">
        <f>ROUNDUP(IF($D$2="Egyszeri",$D90,IF($D$2="Havi",SUM($D$20:$D$31),IF(MOD($C90,$M$1)-1=0,SUM($D$20:$D$31),0))/12*$M$1)*VLOOKUP($B90,Paraméterek!$B$27:$D$30,IF($D$2="Egyszeri",3,2)),IF($D$4="Forint",0,2))</f>
        <v>0</v>
      </c>
      <c r="L90" s="13">
        <f t="shared" si="19"/>
        <v>0</v>
      </c>
      <c r="M90" s="13">
        <f t="shared" ca="1" si="25"/>
        <v>-38096</v>
      </c>
      <c r="N90" s="13">
        <f ca="1">IF($V89&gt;=VLOOKUP($M$4-1+$B90,Paraméterek!$B$121:$D$122,IF($D$4="Forint",2,3)),0,VLOOKUP($M$4-1+$B90,Paraméterek!$B$121:$D$122,IF($D$4="Forint",2,3))-$V89)</f>
        <v>48096</v>
      </c>
      <c r="O90" s="13">
        <f ca="1">ROUNDUP($N90*Paraméterek!$C$58/Paraméterek!$C$56,IF($D$4="Forint",0,2))</f>
        <v>8</v>
      </c>
      <c r="P90" s="13">
        <f t="shared" si="20"/>
        <v>638</v>
      </c>
      <c r="Q90" s="33"/>
      <c r="R90" s="13">
        <f t="shared" ca="1" si="21"/>
        <v>0</v>
      </c>
      <c r="S90" s="13">
        <f ca="1">ROUNDUP(($M90-$O90-$P90+$R90)*VLOOKUP($B90,Paraméterek!$B$38:$D$39,IF($D$2="Egyszeri",3,2))/12,IF($D$4="Forint",0,2))</f>
        <v>-105</v>
      </c>
      <c r="T90" s="13"/>
      <c r="U90" s="13"/>
      <c r="V90" s="13">
        <f ca="1">$M90-$O90-$P90+$R90-$S90-IF(ROUNDUP(IF(ISBLANK($U90),$T90,$U90)/IF(AND($B90=1,$D$2&lt;&gt;"Egyszeri"),1,VLOOKUP($B90+IF($C90=12,1,0),Paraméterek!$B$257:$D$267,IF($D$2="Egyszeri",3,2))),IF($D$4="Forint",0,2))&gt;$M90-$O90-$P90+$R90-$S90-IF($D$4="Forint",Paraméterek!$C$216,Paraméterek!$D$216),0,ROUNDUP(IF(ISBLANK($U90),$T90,$U90)/IF(AND($B90=1,$D$2&lt;&gt;"Egyszeri"),1,VLOOKUP($B90+IF($C90=12,1,0),Paraméterek!$B$257:$D$267,IF($D$2="Egyszeri",3,2))),IF($D$4="Forint",0,2)))</f>
        <v>-38637</v>
      </c>
      <c r="W90" s="13">
        <f ca="1">ROUNDDOWN($V90*VLOOKUP($B90+IF($C90=12,1,0),Paraméterek!$B$257:$D$267,IF($D$2="Egyszeri",3,2)),IF($D$4="Forint",0,2))</f>
        <v>-37091</v>
      </c>
      <c r="Y90" s="32">
        <v>71</v>
      </c>
      <c r="Z90" s="32">
        <v>6</v>
      </c>
      <c r="AA90" s="32">
        <v>11</v>
      </c>
      <c r="AB90" s="13">
        <f t="shared" si="26"/>
        <v>0</v>
      </c>
      <c r="AC90" s="33"/>
      <c r="AD90" s="13">
        <f t="shared" si="22"/>
        <v>0</v>
      </c>
      <c r="AE90" s="13">
        <f>ROUNDUP(($AB90+$AD90)*VLOOKUP($Z90,Paraméterek!$P$38:$Q$38,2)/12,IF($D$4="Forint",0,2))</f>
        <v>0</v>
      </c>
      <c r="AF90" s="13">
        <f>IF($D$2="Egyszeri",IF($D$7&gt;=IF($D$4="Forint",Paraméterek!$P$223,Paraméterek!$P$224),$D$7-IF($D$4="Forint",Paraméterek!$F$223,Paraméterek!$F$224),0),MIN(IF($AA90=12,AVERAGE($D$20:$D90)*12,0),SUM($D$20:$D$31)))</f>
        <v>0</v>
      </c>
      <c r="AG90" s="13">
        <f>IF(AND($Z90&gt;=10,MOD($Z90,5)=0),$AF90*IF($AA90=12,VLOOKUP($Z90,Paraméterek!$B$225:$F$240,IF($AF90&lt;IF($D$4="Forint",Paraméterek!$C$223,Paraméterek!$C$224),2,IF($AF90&lt;IF($D$4="Forint",Paraméterek!$D$223,Paraméterek!$D$224),3,4))),0),0)</f>
        <v>0</v>
      </c>
      <c r="AH90" s="13">
        <f>IF(AND($Z90&gt;=5,MOD($Z90,5)=0),IF($AA90=12,VLOOKUP($Z90,Paraméterek!$B$225:$F$240,5),0),IF(OR($Z90=3,$Z90=4),IF($AA90=12,VLOOKUP($Z90,Paraméterek!$B$225:$F$240,5,0),0),0))*$AF90</f>
        <v>0</v>
      </c>
      <c r="AI90" s="13">
        <f>ROUNDDOWN(IF(SUM($T$20:$U90)=0,IF($D$2="Egyszeri",$AH90,$AG90),0),IF($D$4="Forint",0,2))</f>
        <v>0</v>
      </c>
      <c r="AJ90" s="13">
        <f t="shared" si="27"/>
        <v>0</v>
      </c>
      <c r="AK90" s="13">
        <f t="shared" si="28"/>
        <v>0</v>
      </c>
      <c r="AM90" s="32">
        <v>71</v>
      </c>
      <c r="AN90" s="32">
        <v>6</v>
      </c>
      <c r="AO90" s="32">
        <v>11</v>
      </c>
      <c r="AP90" s="13"/>
      <c r="AQ90" s="32"/>
      <c r="AR90" s="13">
        <f t="shared" si="29"/>
        <v>0</v>
      </c>
      <c r="AS90" s="33"/>
      <c r="AT90" s="13">
        <f t="shared" si="23"/>
        <v>0</v>
      </c>
      <c r="AU90" s="13">
        <f>ROUNDUP(($AR90+$AT90)*VLOOKUP($AN90,Paraméterek!$P$38:$Q$38,2)/12,IF($D$4="Forint",0,2))</f>
        <v>0</v>
      </c>
      <c r="AV90" s="13"/>
      <c r="AW90" s="13"/>
      <c r="AX90" s="13">
        <f>ROUNDUP(IF(SUM($AV90:$AW90)=0,0,IF(IF(ISBLANK($AW90),$AV90,$AW90)*Paraméterek!$J$112&lt;IF($D$4="Forint",Paraméterek!$J$113,Paraméterek!$K$113),IF($D$4="Forint",Paraméterek!$J$113,Paraméterek!$K$113),IF(IF(ISBLANK($AW90),$AV90,$AW90)*Paraméterek!$J$112&gt;IF($D$4="Forint",Paraméterek!$J$114,Paraméterek!$K$114),IF($D$4="Forint",Paraméterek!$J$114,Paraméterek!$K$114),IF(ISBLANK($AW90),$AV90,$AW90)*Paraméterek!$J$112))),IF($D$4="Forint",0,2))</f>
        <v>0</v>
      </c>
      <c r="AY90" s="13">
        <f>$AR90+$AT90-$AU90-IF(ROUNDDOWN(IF(ISBLANK($AW90),$AV90,$AW90),IF($D$4="Forint",0,2))&gt;$AR90+$AT90-$AU90-IF($D$4="Forint",Paraméterek!$J$114,Paraméterek!$K$114),0,ROUNDDOWN(IF(ISBLANK($AW90),$AV90,$AW90),IF($D$4="Forint",0,2))-$AX90)</f>
        <v>0</v>
      </c>
      <c r="AZ90" s="13">
        <f t="shared" si="24"/>
        <v>0</v>
      </c>
    </row>
    <row r="91" spans="1:52" x14ac:dyDescent="0.2">
      <c r="A91" s="32">
        <v>72</v>
      </c>
      <c r="B91" s="32">
        <v>6</v>
      </c>
      <c r="C91" s="32">
        <v>12</v>
      </c>
      <c r="D91" s="13">
        <f t="shared" si="15"/>
        <v>0</v>
      </c>
      <c r="E91" s="13"/>
      <c r="F91" s="13"/>
      <c r="G91" s="13"/>
      <c r="H91" s="13">
        <f t="shared" si="16"/>
        <v>0</v>
      </c>
      <c r="I91" s="13">
        <f t="shared" si="17"/>
        <v>0</v>
      </c>
      <c r="J91" s="13">
        <f t="shared" si="18"/>
        <v>0</v>
      </c>
      <c r="K91" s="13">
        <f>ROUNDUP(IF($D$2="Egyszeri",$D91,IF($D$2="Havi",SUM($D$20:$D$31),IF(MOD($C91,$M$1)-1=0,SUM($D$20:$D$31),0))/12*$M$1)*VLOOKUP($B91,Paraméterek!$B$27:$D$30,IF($D$2="Egyszeri",3,2)),IF($D$4="Forint",0,2))</f>
        <v>0</v>
      </c>
      <c r="L91" s="13">
        <f t="shared" si="19"/>
        <v>0</v>
      </c>
      <c r="M91" s="13">
        <f t="shared" ca="1" si="25"/>
        <v>-38637</v>
      </c>
      <c r="N91" s="13">
        <f ca="1">IF($V90&gt;=VLOOKUP($M$4-1+$B91,Paraméterek!$B$121:$D$122,IF($D$4="Forint",2,3)),0,VLOOKUP($M$4-1+$B91,Paraméterek!$B$121:$D$122,IF($D$4="Forint",2,3))-$V90)</f>
        <v>48637</v>
      </c>
      <c r="O91" s="13">
        <f ca="1">ROUNDUP($N91*Paraméterek!$C$58/Paraméterek!$C$56,IF($D$4="Forint",0,2))</f>
        <v>8</v>
      </c>
      <c r="P91" s="13">
        <f t="shared" si="20"/>
        <v>638</v>
      </c>
      <c r="Q91" s="33"/>
      <c r="R91" s="13">
        <f t="shared" ca="1" si="21"/>
        <v>0</v>
      </c>
      <c r="S91" s="13">
        <f ca="1">ROUNDUP(($M91-$O91-$P91+$R91)*VLOOKUP($B91,Paraméterek!$B$38:$D$39,IF($D$2="Egyszeri",3,2))/12,IF($D$4="Forint",0,2))</f>
        <v>-107</v>
      </c>
      <c r="T91" s="13">
        <f>Tranzakciók!$F$37</f>
        <v>0</v>
      </c>
      <c r="U91" s="13"/>
      <c r="V91" s="13">
        <f ca="1">$M91-$O91-$P91+$R91-$S91-IF(ROUNDUP(IF(ISBLANK($U91),$T91,$U91)/IF(AND($B91=1,$D$2&lt;&gt;"Egyszeri"),1,VLOOKUP($B91+IF($C91=12,1,0),Paraméterek!$B$257:$D$267,IF($D$2="Egyszeri",3,2))),IF($D$4="Forint",0,2))&gt;$M91-$O91-$P91+$R91-$S91-IF($D$4="Forint",Paraméterek!$C$216,Paraméterek!$D$216),0,ROUNDUP(IF(ISBLANK($U91),$T91,$U91)/IF(AND($B91=1,$D$2&lt;&gt;"Egyszeri"),1,VLOOKUP($B91+IF($C91=12,1,0),Paraméterek!$B$257:$D$267,IF($D$2="Egyszeri",3,2))),IF($D$4="Forint",0,2)))</f>
        <v>-39176</v>
      </c>
      <c r="W91" s="13">
        <f ca="1">ROUNDDOWN($V91*VLOOKUP($B91+IF($C91=12,1,0),Paraméterek!$B$257:$D$267,IF($D$2="Egyszeri",3,2)),IF($D$4="Forint",0,2))</f>
        <v>-37608</v>
      </c>
      <c r="Y91" s="32">
        <v>72</v>
      </c>
      <c r="Z91" s="32">
        <v>6</v>
      </c>
      <c r="AA91" s="32">
        <v>12</v>
      </c>
      <c r="AB91" s="13">
        <f t="shared" si="26"/>
        <v>0</v>
      </c>
      <c r="AC91" s="33"/>
      <c r="AD91" s="13">
        <f t="shared" si="22"/>
        <v>0</v>
      </c>
      <c r="AE91" s="13">
        <f>ROUNDUP(($AB91+$AD91)*VLOOKUP($Z91,Paraméterek!$P$38:$Q$38,2)/12,IF($D$4="Forint",0,2))</f>
        <v>0</v>
      </c>
      <c r="AF91" s="13">
        <f>IF($D$2="Egyszeri",IF($D$7&gt;=IF($D$4="Forint",Paraméterek!$P$223,Paraméterek!$P$224),$D$7-IF($D$4="Forint",Paraméterek!$F$223,Paraméterek!$F$224),0),MIN(IF($AA91=12,AVERAGE($D$20:$D91)*12,0),SUM($D$20:$D$31)))</f>
        <v>0</v>
      </c>
      <c r="AG91" s="13">
        <f>IF(AND($Z91&gt;=10,MOD($Z91,5)=0),$AF91*IF($AA91=12,VLOOKUP($Z91,Paraméterek!$B$225:$F$240,IF($AF91&lt;IF($D$4="Forint",Paraméterek!$C$223,Paraméterek!$C$224),2,IF($AF91&lt;IF($D$4="Forint",Paraméterek!$D$223,Paraméterek!$D$224),3,4))),0),0)</f>
        <v>0</v>
      </c>
      <c r="AH91" s="13">
        <f>IF(AND($Z91&gt;=5,MOD($Z91,5)=0),IF($AA91=12,VLOOKUP($Z91,Paraméterek!$B$225:$F$240,5),0),IF(OR($Z91=3,$Z91=4),IF($AA91=12,VLOOKUP($Z91,Paraméterek!$B$225:$F$240,5,0),0),0))*$AF91</f>
        <v>0</v>
      </c>
      <c r="AI91" s="13">
        <f>ROUNDDOWN(IF(SUM($T$20:$U91)=0,IF($D$2="Egyszeri",$AH91,$AG91),0),IF($D$4="Forint",0,2))</f>
        <v>0</v>
      </c>
      <c r="AJ91" s="13">
        <f t="shared" si="27"/>
        <v>0</v>
      </c>
      <c r="AK91" s="13">
        <f t="shared" si="28"/>
        <v>0</v>
      </c>
      <c r="AM91" s="32">
        <v>72</v>
      </c>
      <c r="AN91" s="32">
        <v>6</v>
      </c>
      <c r="AO91" s="32">
        <v>12</v>
      </c>
      <c r="AP91" s="13"/>
      <c r="AQ91" s="32"/>
      <c r="AR91" s="13">
        <f t="shared" si="29"/>
        <v>0</v>
      </c>
      <c r="AS91" s="33"/>
      <c r="AT91" s="13">
        <f t="shared" si="23"/>
        <v>0</v>
      </c>
      <c r="AU91" s="13">
        <f>ROUNDUP(($AR91+$AT91)*VLOOKUP($AN91,Paraméterek!$P$38:$Q$38,2)/12,IF($D$4="Forint",0,2))</f>
        <v>0</v>
      </c>
      <c r="AV91" s="13">
        <f>Tranzakciók!$M$37</f>
        <v>0</v>
      </c>
      <c r="AW91" s="13"/>
      <c r="AX91" s="13">
        <f>ROUNDUP(IF(SUM($AV91:$AW91)=0,0,IF(IF(ISBLANK($AW91),$AV91,$AW91)*Paraméterek!$J$112&lt;IF($D$4="Forint",Paraméterek!$J$113,Paraméterek!$K$113),IF($D$4="Forint",Paraméterek!$J$113,Paraméterek!$K$113),IF(IF(ISBLANK($AW91),$AV91,$AW91)*Paraméterek!$J$112&gt;IF($D$4="Forint",Paraméterek!$J$114,Paraméterek!$K$114),IF($D$4="Forint",Paraméterek!$J$114,Paraméterek!$K$114),IF(ISBLANK($AW91),$AV91,$AW91)*Paraméterek!$J$112))),IF($D$4="Forint",0,2))</f>
        <v>0</v>
      </c>
      <c r="AY91" s="13">
        <f>$AR91+$AT91-$AU91-IF(ROUNDDOWN(IF(ISBLANK($AW91),$AV91,$AW91),IF($D$4="Forint",0,2))&gt;$AR91+$AT91-$AU91-IF($D$4="Forint",Paraméterek!$J$114,Paraméterek!$K$114),0,ROUNDDOWN(IF(ISBLANK($AW91),$AV91,$AW91),IF($D$4="Forint",0,2))-$AX91)</f>
        <v>0</v>
      </c>
      <c r="AZ91" s="13">
        <f t="shared" si="24"/>
        <v>0</v>
      </c>
    </row>
    <row r="92" spans="1:52" x14ac:dyDescent="0.2">
      <c r="A92" s="32">
        <v>73</v>
      </c>
      <c r="B92" s="32">
        <v>7</v>
      </c>
      <c r="C92" s="32">
        <v>1</v>
      </c>
      <c r="D92" s="13">
        <f t="shared" si="15"/>
        <v>0</v>
      </c>
      <c r="E92" s="13"/>
      <c r="F92" s="13">
        <f>Tranzakciók!$D$38</f>
        <v>0</v>
      </c>
      <c r="G92" s="13"/>
      <c r="H92" s="13">
        <f t="shared" si="16"/>
        <v>0</v>
      </c>
      <c r="I92" s="13">
        <f t="shared" si="17"/>
        <v>120</v>
      </c>
      <c r="J92" s="13">
        <f t="shared" si="18"/>
        <v>120</v>
      </c>
      <c r="K92" s="13">
        <f>ROUNDUP(IF($D$2="Egyszeri",$D92,IF($D$2="Havi",SUM($D$20:$D$31),IF(MOD($C92,$M$1)-1=0,SUM($D$20:$D$31),0))/12*$M$1)*VLOOKUP($B92,Paraméterek!$B$27:$D$30,IF($D$2="Egyszeri",3,2)),IF($D$4="Forint",0,2))</f>
        <v>0</v>
      </c>
      <c r="L92" s="13">
        <f t="shared" si="19"/>
        <v>0</v>
      </c>
      <c r="M92" s="13">
        <f t="shared" ca="1" si="25"/>
        <v>-39176</v>
      </c>
      <c r="N92" s="13">
        <f ca="1">IF($V91&gt;=VLOOKUP($M$4-1+$B92,Paraméterek!$B$121:$D$122,IF($D$4="Forint",2,3)),0,VLOOKUP($M$4-1+$B92,Paraméterek!$B$121:$D$122,IF($D$4="Forint",2,3))-$V91)</f>
        <v>49176</v>
      </c>
      <c r="O92" s="13">
        <f ca="1">ROUNDUP($N92*Paraméterek!$C$58/Paraméterek!$C$56,IF($D$4="Forint",0,2))</f>
        <v>8</v>
      </c>
      <c r="P92" s="13">
        <f t="shared" si="20"/>
        <v>657</v>
      </c>
      <c r="Q92" s="33"/>
      <c r="R92" s="13">
        <f t="shared" ca="1" si="21"/>
        <v>0</v>
      </c>
      <c r="S92" s="13">
        <f ca="1">ROUNDUP(($M92-$O92-$P92+$R92)*VLOOKUP($B92,Paraméterek!$B$38:$D$39,IF($D$2="Egyszeri",3,2))/12,IF($D$4="Forint",0,2))</f>
        <v>-108</v>
      </c>
      <c r="T92" s="13"/>
      <c r="U92" s="13"/>
      <c r="V92" s="13">
        <f ca="1">$M92-$O92-$P92+$R92-$S92-IF(ROUNDUP(IF(ISBLANK($U92),$T92,$U92)/IF(AND($B92=1,$D$2&lt;&gt;"Egyszeri"),1,VLOOKUP($B92+IF($C92=12,1,0),Paraméterek!$B$257:$D$267,IF($D$2="Egyszeri",3,2))),IF($D$4="Forint",0,2))&gt;$M92-$O92-$P92+$R92-$S92-IF($D$4="Forint",Paraméterek!$C$216,Paraméterek!$D$216),0,ROUNDUP(IF(ISBLANK($U92),$T92,$U92)/IF(AND($B92=1,$D$2&lt;&gt;"Egyszeri"),1,VLOOKUP($B92+IF($C92=12,1,0),Paraméterek!$B$257:$D$267,IF($D$2="Egyszeri",3,2))),IF($D$4="Forint",0,2)))</f>
        <v>-39733</v>
      </c>
      <c r="W92" s="13">
        <f ca="1">ROUNDDOWN($V92*VLOOKUP($B92+IF($C92=12,1,0),Paraméterek!$B$257:$D$267,IF($D$2="Egyszeri",3,2)),IF($D$4="Forint",0,2))</f>
        <v>-38143</v>
      </c>
      <c r="Y92" s="32">
        <v>73</v>
      </c>
      <c r="Z92" s="32">
        <v>7</v>
      </c>
      <c r="AA92" s="32">
        <v>1</v>
      </c>
      <c r="AB92" s="13">
        <f t="shared" si="26"/>
        <v>0</v>
      </c>
      <c r="AC92" s="33"/>
      <c r="AD92" s="13">
        <f t="shared" si="22"/>
        <v>0</v>
      </c>
      <c r="AE92" s="13">
        <f>ROUNDUP(($AB92+$AD92)*VLOOKUP($Z92,Paraméterek!$P$38:$Q$38,2)/12,IF($D$4="Forint",0,2))</f>
        <v>0</v>
      </c>
      <c r="AF92" s="13">
        <f>IF($D$2="Egyszeri",IF($D$7&gt;=IF($D$4="Forint",Paraméterek!$P$223,Paraméterek!$P$224),$D$7-IF($D$4="Forint",Paraméterek!$F$223,Paraméterek!$F$224),0),MIN(IF($AA92=12,AVERAGE($D$20:$D92)*12,0),SUM($D$20:$D$31)))</f>
        <v>0</v>
      </c>
      <c r="AG92" s="13">
        <f>IF(AND($Z92&gt;=10,MOD($Z92,5)=0),$AF92*IF($AA92=12,VLOOKUP($Z92,Paraméterek!$B$225:$F$240,IF($AF92&lt;IF($D$4="Forint",Paraméterek!$C$223,Paraméterek!$C$224),2,IF($AF92&lt;IF($D$4="Forint",Paraméterek!$D$223,Paraméterek!$D$224),3,4))),0),0)</f>
        <v>0</v>
      </c>
      <c r="AH92" s="13">
        <f>IF(AND($Z92&gt;=5,MOD($Z92,5)=0),IF($AA92=12,VLOOKUP($Z92,Paraméterek!$B$225:$F$240,5),0),IF(OR($Z92=3,$Z92=4),IF($AA92=12,VLOOKUP($Z92,Paraméterek!$B$225:$F$240,5,0),0),0))*$AF92</f>
        <v>0</v>
      </c>
      <c r="AI92" s="13">
        <f>ROUNDDOWN(IF(SUM($T$20:$U92)=0,IF($D$2="Egyszeri",$AH92,$AG92),0),IF($D$4="Forint",0,2))</f>
        <v>0</v>
      </c>
      <c r="AJ92" s="13">
        <f t="shared" si="27"/>
        <v>0</v>
      </c>
      <c r="AK92" s="13">
        <f t="shared" si="28"/>
        <v>0</v>
      </c>
      <c r="AM92" s="32">
        <v>73</v>
      </c>
      <c r="AN92" s="32">
        <v>7</v>
      </c>
      <c r="AO92" s="32">
        <v>1</v>
      </c>
      <c r="AP92" s="13">
        <f>Tranzakciók!$K$38</f>
        <v>0</v>
      </c>
      <c r="AQ92" s="32"/>
      <c r="AR92" s="13">
        <f t="shared" si="29"/>
        <v>0</v>
      </c>
      <c r="AS92" s="33"/>
      <c r="AT92" s="13">
        <f t="shared" si="23"/>
        <v>0</v>
      </c>
      <c r="AU92" s="13">
        <f>ROUNDUP(($AR92+$AT92)*VLOOKUP($AN92,Paraméterek!$P$38:$Q$38,2)/12,IF($D$4="Forint",0,2))</f>
        <v>0</v>
      </c>
      <c r="AV92" s="13"/>
      <c r="AW92" s="13"/>
      <c r="AX92" s="13">
        <f>ROUNDUP(IF(SUM($AV92:$AW92)=0,0,IF(IF(ISBLANK($AW92),$AV92,$AW92)*Paraméterek!$J$112&lt;IF($D$4="Forint",Paraméterek!$J$113,Paraméterek!$K$113),IF($D$4="Forint",Paraméterek!$J$113,Paraméterek!$K$113),IF(IF(ISBLANK($AW92),$AV92,$AW92)*Paraméterek!$J$112&gt;IF($D$4="Forint",Paraméterek!$J$114,Paraméterek!$K$114),IF($D$4="Forint",Paraméterek!$J$114,Paraméterek!$K$114),IF(ISBLANK($AW92),$AV92,$AW92)*Paraméterek!$J$112))),IF($D$4="Forint",0,2))</f>
        <v>0</v>
      </c>
      <c r="AY92" s="13">
        <f>$AR92+$AT92-$AU92-IF(ROUNDDOWN(IF(ISBLANK($AW92),$AV92,$AW92),IF($D$4="Forint",0,2))&gt;$AR92+$AT92-$AU92-IF($D$4="Forint",Paraméterek!$J$114,Paraméterek!$K$114),0,ROUNDDOWN(IF(ISBLANK($AW92),$AV92,$AW92),IF($D$4="Forint",0,2))-$AX92)</f>
        <v>0</v>
      </c>
      <c r="AZ92" s="13">
        <f t="shared" si="24"/>
        <v>0</v>
      </c>
    </row>
    <row r="93" spans="1:52" x14ac:dyDescent="0.2">
      <c r="A93" s="32">
        <v>74</v>
      </c>
      <c r="B93" s="32">
        <v>7</v>
      </c>
      <c r="C93" s="32">
        <v>2</v>
      </c>
      <c r="D93" s="13">
        <f t="shared" si="15"/>
        <v>0</v>
      </c>
      <c r="E93" s="13"/>
      <c r="F93" s="13"/>
      <c r="G93" s="13"/>
      <c r="H93" s="13">
        <f t="shared" si="16"/>
        <v>0</v>
      </c>
      <c r="I93" s="13">
        <f t="shared" si="17"/>
        <v>0</v>
      </c>
      <c r="J93" s="13">
        <f t="shared" si="18"/>
        <v>0</v>
      </c>
      <c r="K93" s="13">
        <f>ROUNDUP(IF($D$2="Egyszeri",$D93,IF($D$2="Havi",SUM($D$20:$D$31),IF(MOD($C93,$M$1)-1=0,SUM($D$20:$D$31),0))/12*$M$1)*VLOOKUP($B93,Paraméterek!$B$27:$D$30,IF($D$2="Egyszeri",3,2)),IF($D$4="Forint",0,2))</f>
        <v>0</v>
      </c>
      <c r="L93" s="13">
        <f t="shared" si="19"/>
        <v>0</v>
      </c>
      <c r="M93" s="13">
        <f t="shared" ca="1" si="25"/>
        <v>-39733</v>
      </c>
      <c r="N93" s="13">
        <f ca="1">IF($V92&gt;=VLOOKUP($M$4-1+$B93,Paraméterek!$B$121:$D$122,IF($D$4="Forint",2,3)),0,VLOOKUP($M$4-1+$B93,Paraméterek!$B$121:$D$122,IF($D$4="Forint",2,3))-$V92)</f>
        <v>49733</v>
      </c>
      <c r="O93" s="13">
        <f ca="1">ROUNDUP($N93*Paraméterek!$C$58/Paraméterek!$C$56,IF($D$4="Forint",0,2))</f>
        <v>8</v>
      </c>
      <c r="P93" s="13">
        <f t="shared" si="20"/>
        <v>657</v>
      </c>
      <c r="Q93" s="33"/>
      <c r="R93" s="13">
        <f t="shared" ca="1" si="21"/>
        <v>0</v>
      </c>
      <c r="S93" s="13">
        <f ca="1">ROUNDUP(($M93-$O93-$P93+$R93)*VLOOKUP($B93,Paraméterek!$B$38:$D$39,IF($D$2="Egyszeri",3,2))/12,IF($D$4="Forint",0,2))</f>
        <v>-110</v>
      </c>
      <c r="T93" s="13"/>
      <c r="U93" s="13"/>
      <c r="V93" s="13">
        <f ca="1">$M93-$O93-$P93+$R93-$S93-IF(ROUNDUP(IF(ISBLANK($U93),$T93,$U93)/IF(AND($B93=1,$D$2&lt;&gt;"Egyszeri"),1,VLOOKUP($B93+IF($C93=12,1,0),Paraméterek!$B$257:$D$267,IF($D$2="Egyszeri",3,2))),IF($D$4="Forint",0,2))&gt;$M93-$O93-$P93+$R93-$S93-IF($D$4="Forint",Paraméterek!$C$216,Paraméterek!$D$216),0,ROUNDUP(IF(ISBLANK($U93),$T93,$U93)/IF(AND($B93=1,$D$2&lt;&gt;"Egyszeri"),1,VLOOKUP($B93+IF($C93=12,1,0),Paraméterek!$B$257:$D$267,IF($D$2="Egyszeri",3,2))),IF($D$4="Forint",0,2)))</f>
        <v>-40288</v>
      </c>
      <c r="W93" s="13">
        <f ca="1">ROUNDDOWN($V93*VLOOKUP($B93+IF($C93=12,1,0),Paraméterek!$B$257:$D$267,IF($D$2="Egyszeri",3,2)),IF($D$4="Forint",0,2))</f>
        <v>-38676</v>
      </c>
      <c r="Y93" s="32">
        <v>74</v>
      </c>
      <c r="Z93" s="32">
        <v>7</v>
      </c>
      <c r="AA93" s="32">
        <v>2</v>
      </c>
      <c r="AB93" s="13">
        <f t="shared" si="26"/>
        <v>0</v>
      </c>
      <c r="AC93" s="33"/>
      <c r="AD93" s="13">
        <f t="shared" si="22"/>
        <v>0</v>
      </c>
      <c r="AE93" s="13">
        <f>ROUNDUP(($AB93+$AD93)*VLOOKUP($Z93,Paraméterek!$P$38:$Q$38,2)/12,IF($D$4="Forint",0,2))</f>
        <v>0</v>
      </c>
      <c r="AF93" s="13">
        <f>IF($D$2="Egyszeri",IF($D$7&gt;=IF($D$4="Forint",Paraméterek!$P$223,Paraméterek!$P$224),$D$7-IF($D$4="Forint",Paraméterek!$F$223,Paraméterek!$F$224),0),MIN(IF($AA93=12,AVERAGE($D$20:$D93)*12,0),SUM($D$20:$D$31)))</f>
        <v>0</v>
      </c>
      <c r="AG93" s="13">
        <f>IF(AND($Z93&gt;=10,MOD($Z93,5)=0),$AF93*IF($AA93=12,VLOOKUP($Z93,Paraméterek!$B$225:$F$240,IF($AF93&lt;IF($D$4="Forint",Paraméterek!$C$223,Paraméterek!$C$224),2,IF($AF93&lt;IF($D$4="Forint",Paraméterek!$D$223,Paraméterek!$D$224),3,4))),0),0)</f>
        <v>0</v>
      </c>
      <c r="AH93" s="13">
        <f>IF(AND($Z93&gt;=5,MOD($Z93,5)=0),IF($AA93=12,VLOOKUP($Z93,Paraméterek!$B$225:$F$240,5),0),IF(OR($Z93=3,$Z93=4),IF($AA93=12,VLOOKUP($Z93,Paraméterek!$B$225:$F$240,5,0),0),0))*$AF93</f>
        <v>0</v>
      </c>
      <c r="AI93" s="13">
        <f>ROUNDDOWN(IF(SUM($T$20:$U93)=0,IF($D$2="Egyszeri",$AH93,$AG93),0),IF($D$4="Forint",0,2))</f>
        <v>0</v>
      </c>
      <c r="AJ93" s="13">
        <f t="shared" si="27"/>
        <v>0</v>
      </c>
      <c r="AK93" s="13">
        <f t="shared" si="28"/>
        <v>0</v>
      </c>
      <c r="AM93" s="32">
        <v>74</v>
      </c>
      <c r="AN93" s="32">
        <v>7</v>
      </c>
      <c r="AO93" s="32">
        <v>2</v>
      </c>
      <c r="AP93" s="13"/>
      <c r="AQ93" s="32"/>
      <c r="AR93" s="13">
        <f t="shared" si="29"/>
        <v>0</v>
      </c>
      <c r="AS93" s="33"/>
      <c r="AT93" s="13">
        <f t="shared" si="23"/>
        <v>0</v>
      </c>
      <c r="AU93" s="13">
        <f>ROUNDUP(($AR93+$AT93)*VLOOKUP($AN93,Paraméterek!$P$38:$Q$38,2)/12,IF($D$4="Forint",0,2))</f>
        <v>0</v>
      </c>
      <c r="AV93" s="13"/>
      <c r="AW93" s="13"/>
      <c r="AX93" s="13">
        <f>ROUNDUP(IF(SUM($AV93:$AW93)=0,0,IF(IF(ISBLANK($AW93),$AV93,$AW93)*Paraméterek!$J$112&lt;IF($D$4="Forint",Paraméterek!$J$113,Paraméterek!$K$113),IF($D$4="Forint",Paraméterek!$J$113,Paraméterek!$K$113),IF(IF(ISBLANK($AW93),$AV93,$AW93)*Paraméterek!$J$112&gt;IF($D$4="Forint",Paraméterek!$J$114,Paraméterek!$K$114),IF($D$4="Forint",Paraméterek!$J$114,Paraméterek!$K$114),IF(ISBLANK($AW93),$AV93,$AW93)*Paraméterek!$J$112))),IF($D$4="Forint",0,2))</f>
        <v>0</v>
      </c>
      <c r="AY93" s="13">
        <f>$AR93+$AT93-$AU93-IF(ROUNDDOWN(IF(ISBLANK($AW93),$AV93,$AW93),IF($D$4="Forint",0,2))&gt;$AR93+$AT93-$AU93-IF($D$4="Forint",Paraméterek!$J$114,Paraméterek!$K$114),0,ROUNDDOWN(IF(ISBLANK($AW93),$AV93,$AW93),IF($D$4="Forint",0,2))-$AX93)</f>
        <v>0</v>
      </c>
      <c r="AZ93" s="13">
        <f t="shared" si="24"/>
        <v>0</v>
      </c>
    </row>
    <row r="94" spans="1:52" x14ac:dyDescent="0.2">
      <c r="A94" s="32">
        <v>75</v>
      </c>
      <c r="B94" s="32">
        <v>7</v>
      </c>
      <c r="C94" s="32">
        <v>3</v>
      </c>
      <c r="D94" s="13">
        <f t="shared" si="15"/>
        <v>0</v>
      </c>
      <c r="E94" s="13"/>
      <c r="F94" s="13"/>
      <c r="G94" s="13"/>
      <c r="H94" s="13">
        <f t="shared" si="16"/>
        <v>0</v>
      </c>
      <c r="I94" s="13">
        <f t="shared" si="17"/>
        <v>0</v>
      </c>
      <c r="J94" s="13">
        <f t="shared" si="18"/>
        <v>0</v>
      </c>
      <c r="K94" s="13">
        <f>ROUNDUP(IF($D$2="Egyszeri",$D94,IF($D$2="Havi",SUM($D$20:$D$31),IF(MOD($C94,$M$1)-1=0,SUM($D$20:$D$31),0))/12*$M$1)*VLOOKUP($B94,Paraméterek!$B$27:$D$30,IF($D$2="Egyszeri",3,2)),IF($D$4="Forint",0,2))</f>
        <v>0</v>
      </c>
      <c r="L94" s="13">
        <f t="shared" si="19"/>
        <v>0</v>
      </c>
      <c r="M94" s="13">
        <f t="shared" ca="1" si="25"/>
        <v>-40288</v>
      </c>
      <c r="N94" s="13">
        <f ca="1">IF($V93&gt;=VLOOKUP($M$4-1+$B94,Paraméterek!$B$121:$D$122,IF($D$4="Forint",2,3)),0,VLOOKUP($M$4-1+$B94,Paraméterek!$B$121:$D$122,IF($D$4="Forint",2,3))-$V93)</f>
        <v>50288</v>
      </c>
      <c r="O94" s="13">
        <f ca="1">ROUNDUP($N94*Paraméterek!$C$58/Paraméterek!$C$56,IF($D$4="Forint",0,2))</f>
        <v>9</v>
      </c>
      <c r="P94" s="13">
        <f t="shared" si="20"/>
        <v>657</v>
      </c>
      <c r="Q94" s="33"/>
      <c r="R94" s="13">
        <f t="shared" ca="1" si="21"/>
        <v>0</v>
      </c>
      <c r="S94" s="13">
        <f ca="1">ROUNDUP(($M94-$O94-$P94+$R94)*VLOOKUP($B94,Paraméterek!$B$38:$D$39,IF($D$2="Egyszeri",3,2))/12,IF($D$4="Forint",0,2))</f>
        <v>-111</v>
      </c>
      <c r="T94" s="13"/>
      <c r="U94" s="13"/>
      <c r="V94" s="13">
        <f ca="1">$M94-$O94-$P94+$R94-$S94-IF(ROUNDUP(IF(ISBLANK($U94),$T94,$U94)/IF(AND($B94=1,$D$2&lt;&gt;"Egyszeri"),1,VLOOKUP($B94+IF($C94=12,1,0),Paraméterek!$B$257:$D$267,IF($D$2="Egyszeri",3,2))),IF($D$4="Forint",0,2))&gt;$M94-$O94-$P94+$R94-$S94-IF($D$4="Forint",Paraméterek!$C$216,Paraméterek!$D$216),0,ROUNDUP(IF(ISBLANK($U94),$T94,$U94)/IF(AND($B94=1,$D$2&lt;&gt;"Egyszeri"),1,VLOOKUP($B94+IF($C94=12,1,0),Paraméterek!$B$257:$D$267,IF($D$2="Egyszeri",3,2))),IF($D$4="Forint",0,2)))</f>
        <v>-40843</v>
      </c>
      <c r="W94" s="13">
        <f ca="1">ROUNDDOWN($V94*VLOOKUP($B94+IF($C94=12,1,0),Paraméterek!$B$257:$D$267,IF($D$2="Egyszeri",3,2)),IF($D$4="Forint",0,2))</f>
        <v>-39209</v>
      </c>
      <c r="Y94" s="32">
        <v>75</v>
      </c>
      <c r="Z94" s="32">
        <v>7</v>
      </c>
      <c r="AA94" s="32">
        <v>3</v>
      </c>
      <c r="AB94" s="13">
        <f t="shared" si="26"/>
        <v>0</v>
      </c>
      <c r="AC94" s="33"/>
      <c r="AD94" s="13">
        <f t="shared" si="22"/>
        <v>0</v>
      </c>
      <c r="AE94" s="13">
        <f>ROUNDUP(($AB94+$AD94)*VLOOKUP($Z94,Paraméterek!$P$38:$Q$38,2)/12,IF($D$4="Forint",0,2))</f>
        <v>0</v>
      </c>
      <c r="AF94" s="13">
        <f>IF($D$2="Egyszeri",IF($D$7&gt;=IF($D$4="Forint",Paraméterek!$P$223,Paraméterek!$P$224),$D$7-IF($D$4="Forint",Paraméterek!$F$223,Paraméterek!$F$224),0),MIN(IF($AA94=12,AVERAGE($D$20:$D94)*12,0),SUM($D$20:$D$31)))</f>
        <v>0</v>
      </c>
      <c r="AG94" s="13">
        <f>IF(AND($Z94&gt;=10,MOD($Z94,5)=0),$AF94*IF($AA94=12,VLOOKUP($Z94,Paraméterek!$B$225:$F$240,IF($AF94&lt;IF($D$4="Forint",Paraméterek!$C$223,Paraméterek!$C$224),2,IF($AF94&lt;IF($D$4="Forint",Paraméterek!$D$223,Paraméterek!$D$224),3,4))),0),0)</f>
        <v>0</v>
      </c>
      <c r="AH94" s="13">
        <f>IF(AND($Z94&gt;=5,MOD($Z94,5)=0),IF($AA94=12,VLOOKUP($Z94,Paraméterek!$B$225:$F$240,5),0),IF(OR($Z94=3,$Z94=4),IF($AA94=12,VLOOKUP($Z94,Paraméterek!$B$225:$F$240,5,0),0),0))*$AF94</f>
        <v>0</v>
      </c>
      <c r="AI94" s="13">
        <f>ROUNDDOWN(IF(SUM($T$20:$U94)=0,IF($D$2="Egyszeri",$AH94,$AG94),0),IF($D$4="Forint",0,2))</f>
        <v>0</v>
      </c>
      <c r="AJ94" s="13">
        <f t="shared" si="27"/>
        <v>0</v>
      </c>
      <c r="AK94" s="13">
        <f t="shared" si="28"/>
        <v>0</v>
      </c>
      <c r="AM94" s="32">
        <v>75</v>
      </c>
      <c r="AN94" s="32">
        <v>7</v>
      </c>
      <c r="AO94" s="32">
        <v>3</v>
      </c>
      <c r="AP94" s="13"/>
      <c r="AQ94" s="32"/>
      <c r="AR94" s="13">
        <f t="shared" si="29"/>
        <v>0</v>
      </c>
      <c r="AS94" s="33"/>
      <c r="AT94" s="13">
        <f t="shared" si="23"/>
        <v>0</v>
      </c>
      <c r="AU94" s="13">
        <f>ROUNDUP(($AR94+$AT94)*VLOOKUP($AN94,Paraméterek!$P$38:$Q$38,2)/12,IF($D$4="Forint",0,2))</f>
        <v>0</v>
      </c>
      <c r="AV94" s="13"/>
      <c r="AW94" s="13"/>
      <c r="AX94" s="13">
        <f>ROUNDUP(IF(SUM($AV94:$AW94)=0,0,IF(IF(ISBLANK($AW94),$AV94,$AW94)*Paraméterek!$J$112&lt;IF($D$4="Forint",Paraméterek!$J$113,Paraméterek!$K$113),IF($D$4="Forint",Paraméterek!$J$113,Paraméterek!$K$113),IF(IF(ISBLANK($AW94),$AV94,$AW94)*Paraméterek!$J$112&gt;IF($D$4="Forint",Paraméterek!$J$114,Paraméterek!$K$114),IF($D$4="Forint",Paraméterek!$J$114,Paraméterek!$K$114),IF(ISBLANK($AW94),$AV94,$AW94)*Paraméterek!$J$112))),IF($D$4="Forint",0,2))</f>
        <v>0</v>
      </c>
      <c r="AY94" s="13">
        <f>$AR94+$AT94-$AU94-IF(ROUNDDOWN(IF(ISBLANK($AW94),$AV94,$AW94),IF($D$4="Forint",0,2))&gt;$AR94+$AT94-$AU94-IF($D$4="Forint",Paraméterek!$J$114,Paraméterek!$K$114),0,ROUNDDOWN(IF(ISBLANK($AW94),$AV94,$AW94),IF($D$4="Forint",0,2))-$AX94)</f>
        <v>0</v>
      </c>
      <c r="AZ94" s="13">
        <f t="shared" si="24"/>
        <v>0</v>
      </c>
    </row>
    <row r="95" spans="1:52" x14ac:dyDescent="0.2">
      <c r="A95" s="32">
        <v>76</v>
      </c>
      <c r="B95" s="32">
        <v>7</v>
      </c>
      <c r="C95" s="32">
        <v>4</v>
      </c>
      <c r="D95" s="13">
        <f t="shared" si="15"/>
        <v>0</v>
      </c>
      <c r="E95" s="13"/>
      <c r="F95" s="13"/>
      <c r="G95" s="13"/>
      <c r="H95" s="13">
        <f t="shared" si="16"/>
        <v>0</v>
      </c>
      <c r="I95" s="13">
        <f t="shared" si="17"/>
        <v>0</v>
      </c>
      <c r="J95" s="13">
        <f t="shared" si="18"/>
        <v>0</v>
      </c>
      <c r="K95" s="13">
        <f>ROUNDUP(IF($D$2="Egyszeri",$D95,IF($D$2="Havi",SUM($D$20:$D$31),IF(MOD($C95,$M$1)-1=0,SUM($D$20:$D$31),0))/12*$M$1)*VLOOKUP($B95,Paraméterek!$B$27:$D$30,IF($D$2="Egyszeri",3,2)),IF($D$4="Forint",0,2))</f>
        <v>0</v>
      </c>
      <c r="L95" s="13">
        <f t="shared" si="19"/>
        <v>0</v>
      </c>
      <c r="M95" s="13">
        <f t="shared" ca="1" si="25"/>
        <v>-40843</v>
      </c>
      <c r="N95" s="13">
        <f ca="1">IF($V94&gt;=VLOOKUP($M$4-1+$B95,Paraméterek!$B$121:$D$122,IF($D$4="Forint",2,3)),0,VLOOKUP($M$4-1+$B95,Paraméterek!$B$121:$D$122,IF($D$4="Forint",2,3))-$V94)</f>
        <v>50843</v>
      </c>
      <c r="O95" s="13">
        <f ca="1">ROUNDUP($N95*Paraméterek!$C$58/Paraméterek!$C$56,IF($D$4="Forint",0,2))</f>
        <v>9</v>
      </c>
      <c r="P95" s="13">
        <f t="shared" si="20"/>
        <v>657</v>
      </c>
      <c r="Q95" s="33"/>
      <c r="R95" s="13">
        <f t="shared" ca="1" si="21"/>
        <v>0</v>
      </c>
      <c r="S95" s="13">
        <f ca="1">ROUNDUP(($M95-$O95-$P95+$R95)*VLOOKUP($B95,Paraméterek!$B$38:$D$39,IF($D$2="Egyszeri",3,2))/12,IF($D$4="Forint",0,2))</f>
        <v>-113</v>
      </c>
      <c r="T95" s="13"/>
      <c r="U95" s="13"/>
      <c r="V95" s="13">
        <f ca="1">$M95-$O95-$P95+$R95-$S95-IF(ROUNDUP(IF(ISBLANK($U95),$T95,$U95)/IF(AND($B95=1,$D$2&lt;&gt;"Egyszeri"),1,VLOOKUP($B95+IF($C95=12,1,0),Paraméterek!$B$257:$D$267,IF($D$2="Egyszeri",3,2))),IF($D$4="Forint",0,2))&gt;$M95-$O95-$P95+$R95-$S95-IF($D$4="Forint",Paraméterek!$C$216,Paraméterek!$D$216),0,ROUNDUP(IF(ISBLANK($U95),$T95,$U95)/IF(AND($B95=1,$D$2&lt;&gt;"Egyszeri"),1,VLOOKUP($B95+IF($C95=12,1,0),Paraméterek!$B$257:$D$267,IF($D$2="Egyszeri",3,2))),IF($D$4="Forint",0,2)))</f>
        <v>-41396</v>
      </c>
      <c r="W95" s="13">
        <f ca="1">ROUNDDOWN($V95*VLOOKUP($B95+IF($C95=12,1,0),Paraméterek!$B$257:$D$267,IF($D$2="Egyszeri",3,2)),IF($D$4="Forint",0,2))</f>
        <v>-39740</v>
      </c>
      <c r="Y95" s="32">
        <v>76</v>
      </c>
      <c r="Z95" s="32">
        <v>7</v>
      </c>
      <c r="AA95" s="32">
        <v>4</v>
      </c>
      <c r="AB95" s="13">
        <f t="shared" si="26"/>
        <v>0</v>
      </c>
      <c r="AC95" s="33"/>
      <c r="AD95" s="13">
        <f t="shared" si="22"/>
        <v>0</v>
      </c>
      <c r="AE95" s="13">
        <f>ROUNDUP(($AB95+$AD95)*VLOOKUP($Z95,Paraméterek!$P$38:$Q$38,2)/12,IF($D$4="Forint",0,2))</f>
        <v>0</v>
      </c>
      <c r="AF95" s="13">
        <f>IF($D$2="Egyszeri",IF($D$7&gt;=IF($D$4="Forint",Paraméterek!$P$223,Paraméterek!$P$224),$D$7-IF($D$4="Forint",Paraméterek!$F$223,Paraméterek!$F$224),0),MIN(IF($AA95=12,AVERAGE($D$20:$D95)*12,0),SUM($D$20:$D$31)))</f>
        <v>0</v>
      </c>
      <c r="AG95" s="13">
        <f>IF(AND($Z95&gt;=10,MOD($Z95,5)=0),$AF95*IF($AA95=12,VLOOKUP($Z95,Paraméterek!$B$225:$F$240,IF($AF95&lt;IF($D$4="Forint",Paraméterek!$C$223,Paraméterek!$C$224),2,IF($AF95&lt;IF($D$4="Forint",Paraméterek!$D$223,Paraméterek!$D$224),3,4))),0),0)</f>
        <v>0</v>
      </c>
      <c r="AH95" s="13">
        <f>IF(AND($Z95&gt;=5,MOD($Z95,5)=0),IF($AA95=12,VLOOKUP($Z95,Paraméterek!$B$225:$F$240,5),0),IF(OR($Z95=3,$Z95=4),IF($AA95=12,VLOOKUP($Z95,Paraméterek!$B$225:$F$240,5,0),0),0))*$AF95</f>
        <v>0</v>
      </c>
      <c r="AI95" s="13">
        <f>ROUNDDOWN(IF(SUM($T$20:$U95)=0,IF($D$2="Egyszeri",$AH95,$AG95),0),IF($D$4="Forint",0,2))</f>
        <v>0</v>
      </c>
      <c r="AJ95" s="13">
        <f t="shared" si="27"/>
        <v>0</v>
      </c>
      <c r="AK95" s="13">
        <f t="shared" si="28"/>
        <v>0</v>
      </c>
      <c r="AM95" s="32">
        <v>76</v>
      </c>
      <c r="AN95" s="32">
        <v>7</v>
      </c>
      <c r="AO95" s="32">
        <v>4</v>
      </c>
      <c r="AP95" s="13"/>
      <c r="AQ95" s="32"/>
      <c r="AR95" s="13">
        <f t="shared" si="29"/>
        <v>0</v>
      </c>
      <c r="AS95" s="33"/>
      <c r="AT95" s="13">
        <f t="shared" si="23"/>
        <v>0</v>
      </c>
      <c r="AU95" s="13">
        <f>ROUNDUP(($AR95+$AT95)*VLOOKUP($AN95,Paraméterek!$P$38:$Q$38,2)/12,IF($D$4="Forint",0,2))</f>
        <v>0</v>
      </c>
      <c r="AV95" s="13"/>
      <c r="AW95" s="13"/>
      <c r="AX95" s="13">
        <f>ROUNDUP(IF(SUM($AV95:$AW95)=0,0,IF(IF(ISBLANK($AW95),$AV95,$AW95)*Paraméterek!$J$112&lt;IF($D$4="Forint",Paraméterek!$J$113,Paraméterek!$K$113),IF($D$4="Forint",Paraméterek!$J$113,Paraméterek!$K$113),IF(IF(ISBLANK($AW95),$AV95,$AW95)*Paraméterek!$J$112&gt;IF($D$4="Forint",Paraméterek!$J$114,Paraméterek!$K$114),IF($D$4="Forint",Paraméterek!$J$114,Paraméterek!$K$114),IF(ISBLANK($AW95),$AV95,$AW95)*Paraméterek!$J$112))),IF($D$4="Forint",0,2))</f>
        <v>0</v>
      </c>
      <c r="AY95" s="13">
        <f>$AR95+$AT95-$AU95-IF(ROUNDDOWN(IF(ISBLANK($AW95),$AV95,$AW95),IF($D$4="Forint",0,2))&gt;$AR95+$AT95-$AU95-IF($D$4="Forint",Paraméterek!$J$114,Paraméterek!$K$114),0,ROUNDDOWN(IF(ISBLANK($AW95),$AV95,$AW95),IF($D$4="Forint",0,2))-$AX95)</f>
        <v>0</v>
      </c>
      <c r="AZ95" s="13">
        <f t="shared" si="24"/>
        <v>0</v>
      </c>
    </row>
    <row r="96" spans="1:52" x14ac:dyDescent="0.2">
      <c r="A96" s="32">
        <v>77</v>
      </c>
      <c r="B96" s="32">
        <v>7</v>
      </c>
      <c r="C96" s="32">
        <v>5</v>
      </c>
      <c r="D96" s="13">
        <f t="shared" si="15"/>
        <v>0</v>
      </c>
      <c r="E96" s="13"/>
      <c r="F96" s="13"/>
      <c r="G96" s="13"/>
      <c r="H96" s="13">
        <f t="shared" si="16"/>
        <v>0</v>
      </c>
      <c r="I96" s="13">
        <f t="shared" si="17"/>
        <v>0</v>
      </c>
      <c r="J96" s="13">
        <f t="shared" si="18"/>
        <v>0</v>
      </c>
      <c r="K96" s="13">
        <f>ROUNDUP(IF($D$2="Egyszeri",$D96,IF($D$2="Havi",SUM($D$20:$D$31),IF(MOD($C96,$M$1)-1=0,SUM($D$20:$D$31),0))/12*$M$1)*VLOOKUP($B96,Paraméterek!$B$27:$D$30,IF($D$2="Egyszeri",3,2)),IF($D$4="Forint",0,2))</f>
        <v>0</v>
      </c>
      <c r="L96" s="13">
        <f t="shared" si="19"/>
        <v>0</v>
      </c>
      <c r="M96" s="13">
        <f t="shared" ca="1" si="25"/>
        <v>-41396</v>
      </c>
      <c r="N96" s="13">
        <f ca="1">IF($V95&gt;=VLOOKUP($M$4-1+$B96,Paraméterek!$B$121:$D$122,IF($D$4="Forint",2,3)),0,VLOOKUP($M$4-1+$B96,Paraméterek!$B$121:$D$122,IF($D$4="Forint",2,3))-$V95)</f>
        <v>51396</v>
      </c>
      <c r="O96" s="13">
        <f ca="1">ROUNDUP($N96*Paraméterek!$C$58/Paraméterek!$C$56,IF($D$4="Forint",0,2))</f>
        <v>9</v>
      </c>
      <c r="P96" s="13">
        <f t="shared" si="20"/>
        <v>657</v>
      </c>
      <c r="Q96" s="33"/>
      <c r="R96" s="13">
        <f t="shared" ca="1" si="21"/>
        <v>0</v>
      </c>
      <c r="S96" s="13">
        <f ca="1">ROUNDUP(($M96-$O96-$P96+$R96)*VLOOKUP($B96,Paraméterek!$B$38:$D$39,IF($D$2="Egyszeri",3,2))/12,IF($D$4="Forint",0,2))</f>
        <v>-114</v>
      </c>
      <c r="T96" s="13"/>
      <c r="U96" s="13"/>
      <c r="V96" s="13">
        <f ca="1">$M96-$O96-$P96+$R96-$S96-IF(ROUNDUP(IF(ISBLANK($U96),$T96,$U96)/IF(AND($B96=1,$D$2&lt;&gt;"Egyszeri"),1,VLOOKUP($B96+IF($C96=12,1,0),Paraméterek!$B$257:$D$267,IF($D$2="Egyszeri",3,2))),IF($D$4="Forint",0,2))&gt;$M96-$O96-$P96+$R96-$S96-IF($D$4="Forint",Paraméterek!$C$216,Paraméterek!$D$216),0,ROUNDUP(IF(ISBLANK($U96),$T96,$U96)/IF(AND($B96=1,$D$2&lt;&gt;"Egyszeri"),1,VLOOKUP($B96+IF($C96=12,1,0),Paraméterek!$B$257:$D$267,IF($D$2="Egyszeri",3,2))),IF($D$4="Forint",0,2)))</f>
        <v>-41948</v>
      </c>
      <c r="W96" s="13">
        <f ca="1">ROUNDDOWN($V96*VLOOKUP($B96+IF($C96=12,1,0),Paraméterek!$B$257:$D$267,IF($D$2="Egyszeri",3,2)),IF($D$4="Forint",0,2))</f>
        <v>-40270</v>
      </c>
      <c r="Y96" s="32">
        <v>77</v>
      </c>
      <c r="Z96" s="32">
        <v>7</v>
      </c>
      <c r="AA96" s="32">
        <v>5</v>
      </c>
      <c r="AB96" s="13">
        <f t="shared" si="26"/>
        <v>0</v>
      </c>
      <c r="AC96" s="33"/>
      <c r="AD96" s="13">
        <f t="shared" si="22"/>
        <v>0</v>
      </c>
      <c r="AE96" s="13">
        <f>ROUNDUP(($AB96+$AD96)*VLOOKUP($Z96,Paraméterek!$P$38:$Q$38,2)/12,IF($D$4="Forint",0,2))</f>
        <v>0</v>
      </c>
      <c r="AF96" s="13">
        <f>IF($D$2="Egyszeri",IF($D$7&gt;=IF($D$4="Forint",Paraméterek!$P$223,Paraméterek!$P$224),$D$7-IF($D$4="Forint",Paraméterek!$F$223,Paraméterek!$F$224),0),MIN(IF($AA96=12,AVERAGE($D$20:$D96)*12,0),SUM($D$20:$D$31)))</f>
        <v>0</v>
      </c>
      <c r="AG96" s="13">
        <f>IF(AND($Z96&gt;=10,MOD($Z96,5)=0),$AF96*IF($AA96=12,VLOOKUP($Z96,Paraméterek!$B$225:$F$240,IF($AF96&lt;IF($D$4="Forint",Paraméterek!$C$223,Paraméterek!$C$224),2,IF($AF96&lt;IF($D$4="Forint",Paraméterek!$D$223,Paraméterek!$D$224),3,4))),0),0)</f>
        <v>0</v>
      </c>
      <c r="AH96" s="13">
        <f>IF(AND($Z96&gt;=5,MOD($Z96,5)=0),IF($AA96=12,VLOOKUP($Z96,Paraméterek!$B$225:$F$240,5),0),IF(OR($Z96=3,$Z96=4),IF($AA96=12,VLOOKUP($Z96,Paraméterek!$B$225:$F$240,5,0),0),0))*$AF96</f>
        <v>0</v>
      </c>
      <c r="AI96" s="13">
        <f>ROUNDDOWN(IF(SUM($T$20:$U96)=0,IF($D$2="Egyszeri",$AH96,$AG96),0),IF($D$4="Forint",0,2))</f>
        <v>0</v>
      </c>
      <c r="AJ96" s="13">
        <f t="shared" si="27"/>
        <v>0</v>
      </c>
      <c r="AK96" s="13">
        <f t="shared" si="28"/>
        <v>0</v>
      </c>
      <c r="AM96" s="32">
        <v>77</v>
      </c>
      <c r="AN96" s="32">
        <v>7</v>
      </c>
      <c r="AO96" s="32">
        <v>5</v>
      </c>
      <c r="AP96" s="13"/>
      <c r="AQ96" s="32"/>
      <c r="AR96" s="13">
        <f t="shared" si="29"/>
        <v>0</v>
      </c>
      <c r="AS96" s="33"/>
      <c r="AT96" s="13">
        <f t="shared" si="23"/>
        <v>0</v>
      </c>
      <c r="AU96" s="13">
        <f>ROUNDUP(($AR96+$AT96)*VLOOKUP($AN96,Paraméterek!$P$38:$Q$38,2)/12,IF($D$4="Forint",0,2))</f>
        <v>0</v>
      </c>
      <c r="AV96" s="13"/>
      <c r="AW96" s="13"/>
      <c r="AX96" s="13">
        <f>ROUNDUP(IF(SUM($AV96:$AW96)=0,0,IF(IF(ISBLANK($AW96),$AV96,$AW96)*Paraméterek!$J$112&lt;IF($D$4="Forint",Paraméterek!$J$113,Paraméterek!$K$113),IF($D$4="Forint",Paraméterek!$J$113,Paraméterek!$K$113),IF(IF(ISBLANK($AW96),$AV96,$AW96)*Paraméterek!$J$112&gt;IF($D$4="Forint",Paraméterek!$J$114,Paraméterek!$K$114),IF($D$4="Forint",Paraméterek!$J$114,Paraméterek!$K$114),IF(ISBLANK($AW96),$AV96,$AW96)*Paraméterek!$J$112))),IF($D$4="Forint",0,2))</f>
        <v>0</v>
      </c>
      <c r="AY96" s="13">
        <f>$AR96+$AT96-$AU96-IF(ROUNDDOWN(IF(ISBLANK($AW96),$AV96,$AW96),IF($D$4="Forint",0,2))&gt;$AR96+$AT96-$AU96-IF($D$4="Forint",Paraméterek!$J$114,Paraméterek!$K$114),0,ROUNDDOWN(IF(ISBLANK($AW96),$AV96,$AW96),IF($D$4="Forint",0,2))-$AX96)</f>
        <v>0</v>
      </c>
      <c r="AZ96" s="13">
        <f t="shared" si="24"/>
        <v>0</v>
      </c>
    </row>
    <row r="97" spans="1:52" x14ac:dyDescent="0.2">
      <c r="A97" s="32">
        <v>78</v>
      </c>
      <c r="B97" s="32">
        <v>7</v>
      </c>
      <c r="C97" s="32">
        <v>6</v>
      </c>
      <c r="D97" s="13">
        <f t="shared" si="15"/>
        <v>0</v>
      </c>
      <c r="E97" s="13"/>
      <c r="F97" s="13"/>
      <c r="G97" s="13"/>
      <c r="H97" s="13">
        <f t="shared" si="16"/>
        <v>0</v>
      </c>
      <c r="I97" s="13">
        <f t="shared" si="17"/>
        <v>0</v>
      </c>
      <c r="J97" s="13">
        <f t="shared" si="18"/>
        <v>0</v>
      </c>
      <c r="K97" s="13">
        <f>ROUNDUP(IF($D$2="Egyszeri",$D97,IF($D$2="Havi",SUM($D$20:$D$31),IF(MOD($C97,$M$1)-1=0,SUM($D$20:$D$31),0))/12*$M$1)*VLOOKUP($B97,Paraméterek!$B$27:$D$30,IF($D$2="Egyszeri",3,2)),IF($D$4="Forint",0,2))</f>
        <v>0</v>
      </c>
      <c r="L97" s="13">
        <f t="shared" si="19"/>
        <v>0</v>
      </c>
      <c r="M97" s="13">
        <f t="shared" ca="1" si="25"/>
        <v>-41948</v>
      </c>
      <c r="N97" s="13">
        <f ca="1">IF($V96&gt;=VLOOKUP($M$4-1+$B97,Paraméterek!$B$121:$D$122,IF($D$4="Forint",2,3)),0,VLOOKUP($M$4-1+$B97,Paraméterek!$B$121:$D$122,IF($D$4="Forint",2,3))-$V96)</f>
        <v>51948</v>
      </c>
      <c r="O97" s="13">
        <f ca="1">ROUNDUP($N97*Paraméterek!$C$58/Paraméterek!$C$56,IF($D$4="Forint",0,2))</f>
        <v>9</v>
      </c>
      <c r="P97" s="13">
        <f t="shared" si="20"/>
        <v>657</v>
      </c>
      <c r="Q97" s="33"/>
      <c r="R97" s="13">
        <f t="shared" ca="1" si="21"/>
        <v>0</v>
      </c>
      <c r="S97" s="13">
        <f ca="1">ROUNDUP(($M97-$O97-$P97+$R97)*VLOOKUP($B97,Paraméterek!$B$38:$D$39,IF($D$2="Egyszeri",3,2))/12,IF($D$4="Forint",0,2))</f>
        <v>-116</v>
      </c>
      <c r="T97" s="13"/>
      <c r="U97" s="13"/>
      <c r="V97" s="13">
        <f ca="1">$M97-$O97-$P97+$R97-$S97-IF(ROUNDUP(IF(ISBLANK($U97),$T97,$U97)/IF(AND($B97=1,$D$2&lt;&gt;"Egyszeri"),1,VLOOKUP($B97+IF($C97=12,1,0),Paraméterek!$B$257:$D$267,IF($D$2="Egyszeri",3,2))),IF($D$4="Forint",0,2))&gt;$M97-$O97-$P97+$R97-$S97-IF($D$4="Forint",Paraméterek!$C$216,Paraméterek!$D$216),0,ROUNDUP(IF(ISBLANK($U97),$T97,$U97)/IF(AND($B97=1,$D$2&lt;&gt;"Egyszeri"),1,VLOOKUP($B97+IF($C97=12,1,0),Paraméterek!$B$257:$D$267,IF($D$2="Egyszeri",3,2))),IF($D$4="Forint",0,2)))</f>
        <v>-42498</v>
      </c>
      <c r="W97" s="13">
        <f ca="1">ROUNDDOWN($V97*VLOOKUP($B97+IF($C97=12,1,0),Paraméterek!$B$257:$D$267,IF($D$2="Egyszeri",3,2)),IF($D$4="Forint",0,2))</f>
        <v>-40798</v>
      </c>
      <c r="Y97" s="32">
        <v>78</v>
      </c>
      <c r="Z97" s="32">
        <v>7</v>
      </c>
      <c r="AA97" s="32">
        <v>6</v>
      </c>
      <c r="AB97" s="13">
        <f t="shared" si="26"/>
        <v>0</v>
      </c>
      <c r="AC97" s="33"/>
      <c r="AD97" s="13">
        <f t="shared" si="22"/>
        <v>0</v>
      </c>
      <c r="AE97" s="13">
        <f>ROUNDUP(($AB97+$AD97)*VLOOKUP($Z97,Paraméterek!$P$38:$Q$38,2)/12,IF($D$4="Forint",0,2))</f>
        <v>0</v>
      </c>
      <c r="AF97" s="13">
        <f>IF($D$2="Egyszeri",IF($D$7&gt;=IF($D$4="Forint",Paraméterek!$P$223,Paraméterek!$P$224),$D$7-IF($D$4="Forint",Paraméterek!$F$223,Paraméterek!$F$224),0),MIN(IF($AA97=12,AVERAGE($D$20:$D97)*12,0),SUM($D$20:$D$31)))</f>
        <v>0</v>
      </c>
      <c r="AG97" s="13">
        <f>IF(AND($Z97&gt;=10,MOD($Z97,5)=0),$AF97*IF($AA97=12,VLOOKUP($Z97,Paraméterek!$B$225:$F$240,IF($AF97&lt;IF($D$4="Forint",Paraméterek!$C$223,Paraméterek!$C$224),2,IF($AF97&lt;IF($D$4="Forint",Paraméterek!$D$223,Paraméterek!$D$224),3,4))),0),0)</f>
        <v>0</v>
      </c>
      <c r="AH97" s="13">
        <f>IF(AND($Z97&gt;=5,MOD($Z97,5)=0),IF($AA97=12,VLOOKUP($Z97,Paraméterek!$B$225:$F$240,5),0),IF(OR($Z97=3,$Z97=4),IF($AA97=12,VLOOKUP($Z97,Paraméterek!$B$225:$F$240,5,0),0),0))*$AF97</f>
        <v>0</v>
      </c>
      <c r="AI97" s="13">
        <f>ROUNDDOWN(IF(SUM($T$20:$U97)=0,IF($D$2="Egyszeri",$AH97,$AG97),0),IF($D$4="Forint",0,2))</f>
        <v>0</v>
      </c>
      <c r="AJ97" s="13">
        <f t="shared" si="27"/>
        <v>0</v>
      </c>
      <c r="AK97" s="13">
        <f t="shared" si="28"/>
        <v>0</v>
      </c>
      <c r="AM97" s="32">
        <v>78</v>
      </c>
      <c r="AN97" s="32">
        <v>7</v>
      </c>
      <c r="AO97" s="32">
        <v>6</v>
      </c>
      <c r="AP97" s="13"/>
      <c r="AQ97" s="32"/>
      <c r="AR97" s="13">
        <f t="shared" si="29"/>
        <v>0</v>
      </c>
      <c r="AS97" s="33"/>
      <c r="AT97" s="13">
        <f t="shared" si="23"/>
        <v>0</v>
      </c>
      <c r="AU97" s="13">
        <f>ROUNDUP(($AR97+$AT97)*VLOOKUP($AN97,Paraméterek!$P$38:$Q$38,2)/12,IF($D$4="Forint",0,2))</f>
        <v>0</v>
      </c>
      <c r="AV97" s="13"/>
      <c r="AW97" s="13"/>
      <c r="AX97" s="13">
        <f>ROUNDUP(IF(SUM($AV97:$AW97)=0,0,IF(IF(ISBLANK($AW97),$AV97,$AW97)*Paraméterek!$J$112&lt;IF($D$4="Forint",Paraméterek!$J$113,Paraméterek!$K$113),IF($D$4="Forint",Paraméterek!$J$113,Paraméterek!$K$113),IF(IF(ISBLANK($AW97),$AV97,$AW97)*Paraméterek!$J$112&gt;IF($D$4="Forint",Paraméterek!$J$114,Paraméterek!$K$114),IF($D$4="Forint",Paraméterek!$J$114,Paraméterek!$K$114),IF(ISBLANK($AW97),$AV97,$AW97)*Paraméterek!$J$112))),IF($D$4="Forint",0,2))</f>
        <v>0</v>
      </c>
      <c r="AY97" s="13">
        <f>$AR97+$AT97-$AU97-IF(ROUNDDOWN(IF(ISBLANK($AW97),$AV97,$AW97),IF($D$4="Forint",0,2))&gt;$AR97+$AT97-$AU97-IF($D$4="Forint",Paraméterek!$J$114,Paraméterek!$K$114),0,ROUNDDOWN(IF(ISBLANK($AW97),$AV97,$AW97),IF($D$4="Forint",0,2))-$AX97)</f>
        <v>0</v>
      </c>
      <c r="AZ97" s="13">
        <f t="shared" si="24"/>
        <v>0</v>
      </c>
    </row>
    <row r="98" spans="1:52" x14ac:dyDescent="0.2">
      <c r="A98" s="32">
        <v>79</v>
      </c>
      <c r="B98" s="32">
        <v>7</v>
      </c>
      <c r="C98" s="32">
        <v>7</v>
      </c>
      <c r="D98" s="13">
        <f t="shared" si="15"/>
        <v>0</v>
      </c>
      <c r="E98" s="13"/>
      <c r="F98" s="13"/>
      <c r="G98" s="13"/>
      <c r="H98" s="13">
        <f t="shared" si="16"/>
        <v>0</v>
      </c>
      <c r="I98" s="13">
        <f t="shared" si="17"/>
        <v>0</v>
      </c>
      <c r="J98" s="13">
        <f t="shared" si="18"/>
        <v>0</v>
      </c>
      <c r="K98" s="13">
        <f>ROUNDUP(IF($D$2="Egyszeri",$D98,IF($D$2="Havi",SUM($D$20:$D$31),IF(MOD($C98,$M$1)-1=0,SUM($D$20:$D$31),0))/12*$M$1)*VLOOKUP($B98,Paraméterek!$B$27:$D$30,IF($D$2="Egyszeri",3,2)),IF($D$4="Forint",0,2))</f>
        <v>0</v>
      </c>
      <c r="L98" s="13">
        <f t="shared" si="19"/>
        <v>0</v>
      </c>
      <c r="M98" s="13">
        <f t="shared" ca="1" si="25"/>
        <v>-42498</v>
      </c>
      <c r="N98" s="13">
        <f ca="1">IF($V97&gt;=VLOOKUP($M$4-1+$B98,Paraméterek!$B$121:$D$122,IF($D$4="Forint",2,3)),0,VLOOKUP($M$4-1+$B98,Paraméterek!$B$121:$D$122,IF($D$4="Forint",2,3))-$V97)</f>
        <v>52498</v>
      </c>
      <c r="O98" s="13">
        <f ca="1">ROUNDUP($N98*Paraméterek!$C$58/Paraméterek!$C$56,IF($D$4="Forint",0,2))</f>
        <v>9</v>
      </c>
      <c r="P98" s="13">
        <f t="shared" si="20"/>
        <v>657</v>
      </c>
      <c r="Q98" s="33"/>
      <c r="R98" s="13">
        <f t="shared" ca="1" si="21"/>
        <v>0</v>
      </c>
      <c r="S98" s="13">
        <f ca="1">ROUNDUP(($M98-$O98-$P98+$R98)*VLOOKUP($B98,Paraméterek!$B$38:$D$39,IF($D$2="Egyszeri",3,2))/12,IF($D$4="Forint",0,2))</f>
        <v>-117</v>
      </c>
      <c r="T98" s="13"/>
      <c r="U98" s="13"/>
      <c r="V98" s="13">
        <f ca="1">$M98-$O98-$P98+$R98-$S98-IF(ROUNDUP(IF(ISBLANK($U98),$T98,$U98)/IF(AND($B98=1,$D$2&lt;&gt;"Egyszeri"),1,VLOOKUP($B98+IF($C98=12,1,0),Paraméterek!$B$257:$D$267,IF($D$2="Egyszeri",3,2))),IF($D$4="Forint",0,2))&gt;$M98-$O98-$P98+$R98-$S98-IF($D$4="Forint",Paraméterek!$C$216,Paraméterek!$D$216),0,ROUNDUP(IF(ISBLANK($U98),$T98,$U98)/IF(AND($B98=1,$D$2&lt;&gt;"Egyszeri"),1,VLOOKUP($B98+IF($C98=12,1,0),Paraméterek!$B$257:$D$267,IF($D$2="Egyszeri",3,2))),IF($D$4="Forint",0,2)))</f>
        <v>-43047</v>
      </c>
      <c r="W98" s="13">
        <f ca="1">ROUNDDOWN($V98*VLOOKUP($B98+IF($C98=12,1,0),Paraméterek!$B$257:$D$267,IF($D$2="Egyszeri",3,2)),IF($D$4="Forint",0,2))</f>
        <v>-41325</v>
      </c>
      <c r="Y98" s="32">
        <v>79</v>
      </c>
      <c r="Z98" s="32">
        <v>7</v>
      </c>
      <c r="AA98" s="32">
        <v>7</v>
      </c>
      <c r="AB98" s="13">
        <f t="shared" si="26"/>
        <v>0</v>
      </c>
      <c r="AC98" s="33"/>
      <c r="AD98" s="13">
        <f t="shared" si="22"/>
        <v>0</v>
      </c>
      <c r="AE98" s="13">
        <f>ROUNDUP(($AB98+$AD98)*VLOOKUP($Z98,Paraméterek!$P$38:$Q$38,2)/12,IF($D$4="Forint",0,2))</f>
        <v>0</v>
      </c>
      <c r="AF98" s="13">
        <f>IF($D$2="Egyszeri",IF($D$7&gt;=IF($D$4="Forint",Paraméterek!$P$223,Paraméterek!$P$224),$D$7-IF($D$4="Forint",Paraméterek!$F$223,Paraméterek!$F$224),0),MIN(IF($AA98=12,AVERAGE($D$20:$D98)*12,0),SUM($D$20:$D$31)))</f>
        <v>0</v>
      </c>
      <c r="AG98" s="13">
        <f>IF(AND($Z98&gt;=10,MOD($Z98,5)=0),$AF98*IF($AA98=12,VLOOKUP($Z98,Paraméterek!$B$225:$F$240,IF($AF98&lt;IF($D$4="Forint",Paraméterek!$C$223,Paraméterek!$C$224),2,IF($AF98&lt;IF($D$4="Forint",Paraméterek!$D$223,Paraméterek!$D$224),3,4))),0),0)</f>
        <v>0</v>
      </c>
      <c r="AH98" s="13">
        <f>IF(AND($Z98&gt;=5,MOD($Z98,5)=0),IF($AA98=12,VLOOKUP($Z98,Paraméterek!$B$225:$F$240,5),0),IF(OR($Z98=3,$Z98=4),IF($AA98=12,VLOOKUP($Z98,Paraméterek!$B$225:$F$240,5,0),0),0))*$AF98</f>
        <v>0</v>
      </c>
      <c r="AI98" s="13">
        <f>ROUNDDOWN(IF(SUM($T$20:$U98)=0,IF($D$2="Egyszeri",$AH98,$AG98),0),IF($D$4="Forint",0,2))</f>
        <v>0</v>
      </c>
      <c r="AJ98" s="13">
        <f t="shared" si="27"/>
        <v>0</v>
      </c>
      <c r="AK98" s="13">
        <f t="shared" si="28"/>
        <v>0</v>
      </c>
      <c r="AM98" s="32">
        <v>79</v>
      </c>
      <c r="AN98" s="32">
        <v>7</v>
      </c>
      <c r="AO98" s="32">
        <v>7</v>
      </c>
      <c r="AP98" s="13"/>
      <c r="AQ98" s="32"/>
      <c r="AR98" s="13">
        <f t="shared" si="29"/>
        <v>0</v>
      </c>
      <c r="AS98" s="33"/>
      <c r="AT98" s="13">
        <f t="shared" si="23"/>
        <v>0</v>
      </c>
      <c r="AU98" s="13">
        <f>ROUNDUP(($AR98+$AT98)*VLOOKUP($AN98,Paraméterek!$P$38:$Q$38,2)/12,IF($D$4="Forint",0,2))</f>
        <v>0</v>
      </c>
      <c r="AV98" s="13"/>
      <c r="AW98" s="13"/>
      <c r="AX98" s="13">
        <f>ROUNDUP(IF(SUM($AV98:$AW98)=0,0,IF(IF(ISBLANK($AW98),$AV98,$AW98)*Paraméterek!$J$112&lt;IF($D$4="Forint",Paraméterek!$J$113,Paraméterek!$K$113),IF($D$4="Forint",Paraméterek!$J$113,Paraméterek!$K$113),IF(IF(ISBLANK($AW98),$AV98,$AW98)*Paraméterek!$J$112&gt;IF($D$4="Forint",Paraméterek!$J$114,Paraméterek!$K$114),IF($D$4="Forint",Paraméterek!$J$114,Paraméterek!$K$114),IF(ISBLANK($AW98),$AV98,$AW98)*Paraméterek!$J$112))),IF($D$4="Forint",0,2))</f>
        <v>0</v>
      </c>
      <c r="AY98" s="13">
        <f>$AR98+$AT98-$AU98-IF(ROUNDDOWN(IF(ISBLANK($AW98),$AV98,$AW98),IF($D$4="Forint",0,2))&gt;$AR98+$AT98-$AU98-IF($D$4="Forint",Paraméterek!$J$114,Paraméterek!$K$114),0,ROUNDDOWN(IF(ISBLANK($AW98),$AV98,$AW98),IF($D$4="Forint",0,2))-$AX98)</f>
        <v>0</v>
      </c>
      <c r="AZ98" s="13">
        <f t="shared" si="24"/>
        <v>0</v>
      </c>
    </row>
    <row r="99" spans="1:52" x14ac:dyDescent="0.2">
      <c r="A99" s="32">
        <v>80</v>
      </c>
      <c r="B99" s="32">
        <v>7</v>
      </c>
      <c r="C99" s="32">
        <v>8</v>
      </c>
      <c r="D99" s="13">
        <f t="shared" si="15"/>
        <v>0</v>
      </c>
      <c r="E99" s="13"/>
      <c r="F99" s="13"/>
      <c r="G99" s="13"/>
      <c r="H99" s="13">
        <f t="shared" si="16"/>
        <v>0</v>
      </c>
      <c r="I99" s="13">
        <f t="shared" si="17"/>
        <v>0</v>
      </c>
      <c r="J99" s="13">
        <f t="shared" si="18"/>
        <v>0</v>
      </c>
      <c r="K99" s="13">
        <f>ROUNDUP(IF($D$2="Egyszeri",$D99,IF($D$2="Havi",SUM($D$20:$D$31),IF(MOD($C99,$M$1)-1=0,SUM($D$20:$D$31),0))/12*$M$1)*VLOOKUP($B99,Paraméterek!$B$27:$D$30,IF($D$2="Egyszeri",3,2)),IF($D$4="Forint",0,2))</f>
        <v>0</v>
      </c>
      <c r="L99" s="13">
        <f t="shared" si="19"/>
        <v>0</v>
      </c>
      <c r="M99" s="13">
        <f t="shared" ca="1" si="25"/>
        <v>-43047</v>
      </c>
      <c r="N99" s="13">
        <f ca="1">IF($V98&gt;=VLOOKUP($M$4-1+$B99,Paraméterek!$B$121:$D$122,IF($D$4="Forint",2,3)),0,VLOOKUP($M$4-1+$B99,Paraméterek!$B$121:$D$122,IF($D$4="Forint",2,3))-$V98)</f>
        <v>53047</v>
      </c>
      <c r="O99" s="13">
        <f ca="1">ROUNDUP($N99*Paraméterek!$C$58/Paraméterek!$C$56,IF($D$4="Forint",0,2))</f>
        <v>9</v>
      </c>
      <c r="P99" s="13">
        <f t="shared" si="20"/>
        <v>657</v>
      </c>
      <c r="Q99" s="33"/>
      <c r="R99" s="13">
        <f t="shared" ca="1" si="21"/>
        <v>0</v>
      </c>
      <c r="S99" s="13">
        <f ca="1">ROUNDUP(($M99-$O99-$P99+$R99)*VLOOKUP($B99,Paraméterek!$B$38:$D$39,IF($D$2="Egyszeri",3,2))/12,IF($D$4="Forint",0,2))</f>
        <v>-119</v>
      </c>
      <c r="T99" s="13"/>
      <c r="U99" s="13"/>
      <c r="V99" s="13">
        <f ca="1">$M99-$O99-$P99+$R99-$S99-IF(ROUNDUP(IF(ISBLANK($U99),$T99,$U99)/IF(AND($B99=1,$D$2&lt;&gt;"Egyszeri"),1,VLOOKUP($B99+IF($C99=12,1,0),Paraméterek!$B$257:$D$267,IF($D$2="Egyszeri",3,2))),IF($D$4="Forint",0,2))&gt;$M99-$O99-$P99+$R99-$S99-IF($D$4="Forint",Paraméterek!$C$216,Paraméterek!$D$216),0,ROUNDUP(IF(ISBLANK($U99),$T99,$U99)/IF(AND($B99=1,$D$2&lt;&gt;"Egyszeri"),1,VLOOKUP($B99+IF($C99=12,1,0),Paraméterek!$B$257:$D$267,IF($D$2="Egyszeri",3,2))),IF($D$4="Forint",0,2)))</f>
        <v>-43594</v>
      </c>
      <c r="W99" s="13">
        <f ca="1">ROUNDDOWN($V99*VLOOKUP($B99+IF($C99=12,1,0),Paraméterek!$B$257:$D$267,IF($D$2="Egyszeri",3,2)),IF($D$4="Forint",0,2))</f>
        <v>-41850</v>
      </c>
      <c r="Y99" s="32">
        <v>80</v>
      </c>
      <c r="Z99" s="32">
        <v>7</v>
      </c>
      <c r="AA99" s="32">
        <v>8</v>
      </c>
      <c r="AB99" s="13">
        <f t="shared" si="26"/>
        <v>0</v>
      </c>
      <c r="AC99" s="33"/>
      <c r="AD99" s="13">
        <f t="shared" si="22"/>
        <v>0</v>
      </c>
      <c r="AE99" s="13">
        <f>ROUNDUP(($AB99+$AD99)*VLOOKUP($Z99,Paraméterek!$P$38:$Q$38,2)/12,IF($D$4="Forint",0,2))</f>
        <v>0</v>
      </c>
      <c r="AF99" s="13">
        <f>IF($D$2="Egyszeri",IF($D$7&gt;=IF($D$4="Forint",Paraméterek!$P$223,Paraméterek!$P$224),$D$7-IF($D$4="Forint",Paraméterek!$F$223,Paraméterek!$F$224),0),MIN(IF($AA99=12,AVERAGE($D$20:$D99)*12,0),SUM($D$20:$D$31)))</f>
        <v>0</v>
      </c>
      <c r="AG99" s="13">
        <f>IF(AND($Z99&gt;=10,MOD($Z99,5)=0),$AF99*IF($AA99=12,VLOOKUP($Z99,Paraméterek!$B$225:$F$240,IF($AF99&lt;IF($D$4="Forint",Paraméterek!$C$223,Paraméterek!$C$224),2,IF($AF99&lt;IF($D$4="Forint",Paraméterek!$D$223,Paraméterek!$D$224),3,4))),0),0)</f>
        <v>0</v>
      </c>
      <c r="AH99" s="13">
        <f>IF(AND($Z99&gt;=5,MOD($Z99,5)=0),IF($AA99=12,VLOOKUP($Z99,Paraméterek!$B$225:$F$240,5),0),IF(OR($Z99=3,$Z99=4),IF($AA99=12,VLOOKUP($Z99,Paraméterek!$B$225:$F$240,5,0),0),0))*$AF99</f>
        <v>0</v>
      </c>
      <c r="AI99" s="13">
        <f>ROUNDDOWN(IF(SUM($T$20:$U99)=0,IF($D$2="Egyszeri",$AH99,$AG99),0),IF($D$4="Forint",0,2))</f>
        <v>0</v>
      </c>
      <c r="AJ99" s="13">
        <f t="shared" si="27"/>
        <v>0</v>
      </c>
      <c r="AK99" s="13">
        <f t="shared" si="28"/>
        <v>0</v>
      </c>
      <c r="AM99" s="32">
        <v>80</v>
      </c>
      <c r="AN99" s="32">
        <v>7</v>
      </c>
      <c r="AO99" s="32">
        <v>8</v>
      </c>
      <c r="AP99" s="13"/>
      <c r="AQ99" s="32"/>
      <c r="AR99" s="13">
        <f t="shared" si="29"/>
        <v>0</v>
      </c>
      <c r="AS99" s="33"/>
      <c r="AT99" s="13">
        <f t="shared" si="23"/>
        <v>0</v>
      </c>
      <c r="AU99" s="13">
        <f>ROUNDUP(($AR99+$AT99)*VLOOKUP($AN99,Paraméterek!$P$38:$Q$38,2)/12,IF($D$4="Forint",0,2))</f>
        <v>0</v>
      </c>
      <c r="AV99" s="13"/>
      <c r="AW99" s="13"/>
      <c r="AX99" s="13">
        <f>ROUNDUP(IF(SUM($AV99:$AW99)=0,0,IF(IF(ISBLANK($AW99),$AV99,$AW99)*Paraméterek!$J$112&lt;IF($D$4="Forint",Paraméterek!$J$113,Paraméterek!$K$113),IF($D$4="Forint",Paraméterek!$J$113,Paraméterek!$K$113),IF(IF(ISBLANK($AW99),$AV99,$AW99)*Paraméterek!$J$112&gt;IF($D$4="Forint",Paraméterek!$J$114,Paraméterek!$K$114),IF($D$4="Forint",Paraméterek!$J$114,Paraméterek!$K$114),IF(ISBLANK($AW99),$AV99,$AW99)*Paraméterek!$J$112))),IF($D$4="Forint",0,2))</f>
        <v>0</v>
      </c>
      <c r="AY99" s="13">
        <f>$AR99+$AT99-$AU99-IF(ROUNDDOWN(IF(ISBLANK($AW99),$AV99,$AW99),IF($D$4="Forint",0,2))&gt;$AR99+$AT99-$AU99-IF($D$4="Forint",Paraméterek!$J$114,Paraméterek!$K$114),0,ROUNDDOWN(IF(ISBLANK($AW99),$AV99,$AW99),IF($D$4="Forint",0,2))-$AX99)</f>
        <v>0</v>
      </c>
      <c r="AZ99" s="13">
        <f t="shared" si="24"/>
        <v>0</v>
      </c>
    </row>
    <row r="100" spans="1:52" x14ac:dyDescent="0.2">
      <c r="A100" s="32">
        <v>81</v>
      </c>
      <c r="B100" s="32">
        <v>7</v>
      </c>
      <c r="C100" s="32">
        <v>9</v>
      </c>
      <c r="D100" s="13">
        <f t="shared" si="15"/>
        <v>0</v>
      </c>
      <c r="E100" s="13"/>
      <c r="F100" s="13"/>
      <c r="G100" s="13"/>
      <c r="H100" s="13">
        <f t="shared" si="16"/>
        <v>0</v>
      </c>
      <c r="I100" s="13">
        <f t="shared" si="17"/>
        <v>0</v>
      </c>
      <c r="J100" s="13">
        <f t="shared" si="18"/>
        <v>0</v>
      </c>
      <c r="K100" s="13">
        <f>ROUNDUP(IF($D$2="Egyszeri",$D100,IF($D$2="Havi",SUM($D$20:$D$31),IF(MOD($C100,$M$1)-1=0,SUM($D$20:$D$31),0))/12*$M$1)*VLOOKUP($B100,Paraméterek!$B$27:$D$30,IF($D$2="Egyszeri",3,2)),IF($D$4="Forint",0,2))</f>
        <v>0</v>
      </c>
      <c r="L100" s="13">
        <f t="shared" si="19"/>
        <v>0</v>
      </c>
      <c r="M100" s="13">
        <f t="shared" ca="1" si="25"/>
        <v>-43594</v>
      </c>
      <c r="N100" s="13">
        <f ca="1">IF($V99&gt;=VLOOKUP($M$4-1+$B100,Paraméterek!$B$121:$D$122,IF($D$4="Forint",2,3)),0,VLOOKUP($M$4-1+$B100,Paraméterek!$B$121:$D$122,IF($D$4="Forint",2,3))-$V99)</f>
        <v>53594</v>
      </c>
      <c r="O100" s="13">
        <f ca="1">ROUNDUP($N100*Paraméterek!$C$58/Paraméterek!$C$56,IF($D$4="Forint",0,2))</f>
        <v>9</v>
      </c>
      <c r="P100" s="13">
        <f t="shared" si="20"/>
        <v>657</v>
      </c>
      <c r="Q100" s="33"/>
      <c r="R100" s="13">
        <f t="shared" ca="1" si="21"/>
        <v>0</v>
      </c>
      <c r="S100" s="13">
        <f ca="1">ROUNDUP(($M100-$O100-$P100+$R100)*VLOOKUP($B100,Paraméterek!$B$38:$D$39,IF($D$2="Egyszeri",3,2))/12,IF($D$4="Forint",0,2))</f>
        <v>-120</v>
      </c>
      <c r="T100" s="13"/>
      <c r="U100" s="13"/>
      <c r="V100" s="13">
        <f ca="1">$M100-$O100-$P100+$R100-$S100-IF(ROUNDUP(IF(ISBLANK($U100),$T100,$U100)/IF(AND($B100=1,$D$2&lt;&gt;"Egyszeri"),1,VLOOKUP($B100+IF($C100=12,1,0),Paraméterek!$B$257:$D$267,IF($D$2="Egyszeri",3,2))),IF($D$4="Forint",0,2))&gt;$M100-$O100-$P100+$R100-$S100-IF($D$4="Forint",Paraméterek!$C$216,Paraméterek!$D$216),0,ROUNDUP(IF(ISBLANK($U100),$T100,$U100)/IF(AND($B100=1,$D$2&lt;&gt;"Egyszeri"),1,VLOOKUP($B100+IF($C100=12,1,0),Paraméterek!$B$257:$D$267,IF($D$2="Egyszeri",3,2))),IF($D$4="Forint",0,2)))</f>
        <v>-44140</v>
      </c>
      <c r="W100" s="13">
        <f ca="1">ROUNDDOWN($V100*VLOOKUP($B100+IF($C100=12,1,0),Paraméterek!$B$257:$D$267,IF($D$2="Egyszeri",3,2)),IF($D$4="Forint",0,2))</f>
        <v>-42374</v>
      </c>
      <c r="Y100" s="32">
        <v>81</v>
      </c>
      <c r="Z100" s="32">
        <v>7</v>
      </c>
      <c r="AA100" s="32">
        <v>9</v>
      </c>
      <c r="AB100" s="13">
        <f t="shared" si="26"/>
        <v>0</v>
      </c>
      <c r="AC100" s="33"/>
      <c r="AD100" s="13">
        <f t="shared" si="22"/>
        <v>0</v>
      </c>
      <c r="AE100" s="13">
        <f>ROUNDUP(($AB100+$AD100)*VLOOKUP($Z100,Paraméterek!$P$38:$Q$38,2)/12,IF($D$4="Forint",0,2))</f>
        <v>0</v>
      </c>
      <c r="AF100" s="13">
        <f>IF($D$2="Egyszeri",IF($D$7&gt;=IF($D$4="Forint",Paraméterek!$P$223,Paraméterek!$P$224),$D$7-IF($D$4="Forint",Paraméterek!$F$223,Paraméterek!$F$224),0),MIN(IF($AA100=12,AVERAGE($D$20:$D100)*12,0),SUM($D$20:$D$31)))</f>
        <v>0</v>
      </c>
      <c r="AG100" s="13">
        <f>IF(AND($Z100&gt;=10,MOD($Z100,5)=0),$AF100*IF($AA100=12,VLOOKUP($Z100,Paraméterek!$B$225:$F$240,IF($AF100&lt;IF($D$4="Forint",Paraméterek!$C$223,Paraméterek!$C$224),2,IF($AF100&lt;IF($D$4="Forint",Paraméterek!$D$223,Paraméterek!$D$224),3,4))),0),0)</f>
        <v>0</v>
      </c>
      <c r="AH100" s="13">
        <f>IF(AND($Z100&gt;=5,MOD($Z100,5)=0),IF($AA100=12,VLOOKUP($Z100,Paraméterek!$B$225:$F$240,5),0),IF(OR($Z100=3,$Z100=4),IF($AA100=12,VLOOKUP($Z100,Paraméterek!$B$225:$F$240,5,0),0),0))*$AF100</f>
        <v>0</v>
      </c>
      <c r="AI100" s="13">
        <f>ROUNDDOWN(IF(SUM($T$20:$U100)=0,IF($D$2="Egyszeri",$AH100,$AG100),0),IF($D$4="Forint",0,2))</f>
        <v>0</v>
      </c>
      <c r="AJ100" s="13">
        <f t="shared" si="27"/>
        <v>0</v>
      </c>
      <c r="AK100" s="13">
        <f t="shared" si="28"/>
        <v>0</v>
      </c>
      <c r="AM100" s="32">
        <v>81</v>
      </c>
      <c r="AN100" s="32">
        <v>7</v>
      </c>
      <c r="AO100" s="32">
        <v>9</v>
      </c>
      <c r="AP100" s="13"/>
      <c r="AQ100" s="32"/>
      <c r="AR100" s="13">
        <f t="shared" si="29"/>
        <v>0</v>
      </c>
      <c r="AS100" s="33"/>
      <c r="AT100" s="13">
        <f t="shared" si="23"/>
        <v>0</v>
      </c>
      <c r="AU100" s="13">
        <f>ROUNDUP(($AR100+$AT100)*VLOOKUP($AN100,Paraméterek!$P$38:$Q$38,2)/12,IF($D$4="Forint",0,2))</f>
        <v>0</v>
      </c>
      <c r="AV100" s="13"/>
      <c r="AW100" s="13"/>
      <c r="AX100" s="13">
        <f>ROUNDUP(IF(SUM($AV100:$AW100)=0,0,IF(IF(ISBLANK($AW100),$AV100,$AW100)*Paraméterek!$J$112&lt;IF($D$4="Forint",Paraméterek!$J$113,Paraméterek!$K$113),IF($D$4="Forint",Paraméterek!$J$113,Paraméterek!$K$113),IF(IF(ISBLANK($AW100),$AV100,$AW100)*Paraméterek!$J$112&gt;IF($D$4="Forint",Paraméterek!$J$114,Paraméterek!$K$114),IF($D$4="Forint",Paraméterek!$J$114,Paraméterek!$K$114),IF(ISBLANK($AW100),$AV100,$AW100)*Paraméterek!$J$112))),IF($D$4="Forint",0,2))</f>
        <v>0</v>
      </c>
      <c r="AY100" s="13">
        <f>$AR100+$AT100-$AU100-IF(ROUNDDOWN(IF(ISBLANK($AW100),$AV100,$AW100),IF($D$4="Forint",0,2))&gt;$AR100+$AT100-$AU100-IF($D$4="Forint",Paraméterek!$J$114,Paraméterek!$K$114),0,ROUNDDOWN(IF(ISBLANK($AW100),$AV100,$AW100),IF($D$4="Forint",0,2))-$AX100)</f>
        <v>0</v>
      </c>
      <c r="AZ100" s="13">
        <f t="shared" si="24"/>
        <v>0</v>
      </c>
    </row>
    <row r="101" spans="1:52" x14ac:dyDescent="0.2">
      <c r="A101" s="32">
        <v>82</v>
      </c>
      <c r="B101" s="32">
        <v>7</v>
      </c>
      <c r="C101" s="32">
        <v>10</v>
      </c>
      <c r="D101" s="13">
        <f t="shared" si="15"/>
        <v>0</v>
      </c>
      <c r="E101" s="13"/>
      <c r="F101" s="13"/>
      <c r="G101" s="13"/>
      <c r="H101" s="13">
        <f t="shared" si="16"/>
        <v>0</v>
      </c>
      <c r="I101" s="13">
        <f t="shared" si="17"/>
        <v>0</v>
      </c>
      <c r="J101" s="13">
        <f t="shared" si="18"/>
        <v>0</v>
      </c>
      <c r="K101" s="13">
        <f>ROUNDUP(IF($D$2="Egyszeri",$D101,IF($D$2="Havi",SUM($D$20:$D$31),IF(MOD($C101,$M$1)-1=0,SUM($D$20:$D$31),0))/12*$M$1)*VLOOKUP($B101,Paraméterek!$B$27:$D$30,IF($D$2="Egyszeri",3,2)),IF($D$4="Forint",0,2))</f>
        <v>0</v>
      </c>
      <c r="L101" s="13">
        <f t="shared" si="19"/>
        <v>0</v>
      </c>
      <c r="M101" s="13">
        <f t="shared" ca="1" si="25"/>
        <v>-44140</v>
      </c>
      <c r="N101" s="13">
        <f ca="1">IF($V100&gt;=VLOOKUP($M$4-1+$B101,Paraméterek!$B$121:$D$122,IF($D$4="Forint",2,3)),0,VLOOKUP($M$4-1+$B101,Paraméterek!$B$121:$D$122,IF($D$4="Forint",2,3))-$V100)</f>
        <v>54140</v>
      </c>
      <c r="O101" s="13">
        <f ca="1">ROUNDUP($N101*Paraméterek!$C$58/Paraméterek!$C$56,IF($D$4="Forint",0,2))</f>
        <v>9</v>
      </c>
      <c r="P101" s="13">
        <f t="shared" si="20"/>
        <v>657</v>
      </c>
      <c r="Q101" s="33"/>
      <c r="R101" s="13">
        <f t="shared" ca="1" si="21"/>
        <v>0</v>
      </c>
      <c r="S101" s="13">
        <f ca="1">ROUNDUP(($M101-$O101-$P101+$R101)*VLOOKUP($B101,Paraméterek!$B$38:$D$39,IF($D$2="Egyszeri",3,2))/12,IF($D$4="Forint",0,2))</f>
        <v>-122</v>
      </c>
      <c r="T101" s="13"/>
      <c r="U101" s="13"/>
      <c r="V101" s="13">
        <f ca="1">$M101-$O101-$P101+$R101-$S101-IF(ROUNDUP(IF(ISBLANK($U101),$T101,$U101)/IF(AND($B101=1,$D$2&lt;&gt;"Egyszeri"),1,VLOOKUP($B101+IF($C101=12,1,0),Paraméterek!$B$257:$D$267,IF($D$2="Egyszeri",3,2))),IF($D$4="Forint",0,2))&gt;$M101-$O101-$P101+$R101-$S101-IF($D$4="Forint",Paraméterek!$C$216,Paraméterek!$D$216),0,ROUNDUP(IF(ISBLANK($U101),$T101,$U101)/IF(AND($B101=1,$D$2&lt;&gt;"Egyszeri"),1,VLOOKUP($B101+IF($C101=12,1,0),Paraméterek!$B$257:$D$267,IF($D$2="Egyszeri",3,2))),IF($D$4="Forint",0,2)))</f>
        <v>-44684</v>
      </c>
      <c r="W101" s="13">
        <f ca="1">ROUNDDOWN($V101*VLOOKUP($B101+IF($C101=12,1,0),Paraméterek!$B$257:$D$267,IF($D$2="Egyszeri",3,2)),IF($D$4="Forint",0,2))</f>
        <v>-42896</v>
      </c>
      <c r="Y101" s="32">
        <v>82</v>
      </c>
      <c r="Z101" s="32">
        <v>7</v>
      </c>
      <c r="AA101" s="32">
        <v>10</v>
      </c>
      <c r="AB101" s="13">
        <f t="shared" si="26"/>
        <v>0</v>
      </c>
      <c r="AC101" s="33"/>
      <c r="AD101" s="13">
        <f t="shared" si="22"/>
        <v>0</v>
      </c>
      <c r="AE101" s="13">
        <f>ROUNDUP(($AB101+$AD101)*VLOOKUP($Z101,Paraméterek!$P$38:$Q$38,2)/12,IF($D$4="Forint",0,2))</f>
        <v>0</v>
      </c>
      <c r="AF101" s="13">
        <f>IF($D$2="Egyszeri",IF($D$7&gt;=IF($D$4="Forint",Paraméterek!$P$223,Paraméterek!$P$224),$D$7-IF($D$4="Forint",Paraméterek!$F$223,Paraméterek!$F$224),0),MIN(IF($AA101=12,AVERAGE($D$20:$D101)*12,0),SUM($D$20:$D$31)))</f>
        <v>0</v>
      </c>
      <c r="AG101" s="13">
        <f>IF(AND($Z101&gt;=10,MOD($Z101,5)=0),$AF101*IF($AA101=12,VLOOKUP($Z101,Paraméterek!$B$225:$F$240,IF($AF101&lt;IF($D$4="Forint",Paraméterek!$C$223,Paraméterek!$C$224),2,IF($AF101&lt;IF($D$4="Forint",Paraméterek!$D$223,Paraméterek!$D$224),3,4))),0),0)</f>
        <v>0</v>
      </c>
      <c r="AH101" s="13">
        <f>IF(AND($Z101&gt;=5,MOD($Z101,5)=0),IF($AA101=12,VLOOKUP($Z101,Paraméterek!$B$225:$F$240,5),0),IF(OR($Z101=3,$Z101=4),IF($AA101=12,VLOOKUP($Z101,Paraméterek!$B$225:$F$240,5,0),0),0))*$AF101</f>
        <v>0</v>
      </c>
      <c r="AI101" s="13">
        <f>ROUNDDOWN(IF(SUM($T$20:$U101)=0,IF($D$2="Egyszeri",$AH101,$AG101),0),IF($D$4="Forint",0,2))</f>
        <v>0</v>
      </c>
      <c r="AJ101" s="13">
        <f t="shared" si="27"/>
        <v>0</v>
      </c>
      <c r="AK101" s="13">
        <f t="shared" si="28"/>
        <v>0</v>
      </c>
      <c r="AM101" s="32">
        <v>82</v>
      </c>
      <c r="AN101" s="32">
        <v>7</v>
      </c>
      <c r="AO101" s="32">
        <v>10</v>
      </c>
      <c r="AP101" s="13"/>
      <c r="AQ101" s="32"/>
      <c r="AR101" s="13">
        <f t="shared" si="29"/>
        <v>0</v>
      </c>
      <c r="AS101" s="33"/>
      <c r="AT101" s="13">
        <f t="shared" si="23"/>
        <v>0</v>
      </c>
      <c r="AU101" s="13">
        <f>ROUNDUP(($AR101+$AT101)*VLOOKUP($AN101,Paraméterek!$P$38:$Q$38,2)/12,IF($D$4="Forint",0,2))</f>
        <v>0</v>
      </c>
      <c r="AV101" s="13"/>
      <c r="AW101" s="13"/>
      <c r="AX101" s="13">
        <f>ROUNDUP(IF(SUM($AV101:$AW101)=0,0,IF(IF(ISBLANK($AW101),$AV101,$AW101)*Paraméterek!$J$112&lt;IF($D$4="Forint",Paraméterek!$J$113,Paraméterek!$K$113),IF($D$4="Forint",Paraméterek!$J$113,Paraméterek!$K$113),IF(IF(ISBLANK($AW101),$AV101,$AW101)*Paraméterek!$J$112&gt;IF($D$4="Forint",Paraméterek!$J$114,Paraméterek!$K$114),IF($D$4="Forint",Paraméterek!$J$114,Paraméterek!$K$114),IF(ISBLANK($AW101),$AV101,$AW101)*Paraméterek!$J$112))),IF($D$4="Forint",0,2))</f>
        <v>0</v>
      </c>
      <c r="AY101" s="13">
        <f>$AR101+$AT101-$AU101-IF(ROUNDDOWN(IF(ISBLANK($AW101),$AV101,$AW101),IF($D$4="Forint",0,2))&gt;$AR101+$AT101-$AU101-IF($D$4="Forint",Paraméterek!$J$114,Paraméterek!$K$114),0,ROUNDDOWN(IF(ISBLANK($AW101),$AV101,$AW101),IF($D$4="Forint",0,2))-$AX101)</f>
        <v>0</v>
      </c>
      <c r="AZ101" s="13">
        <f t="shared" si="24"/>
        <v>0</v>
      </c>
    </row>
    <row r="102" spans="1:52" x14ac:dyDescent="0.2">
      <c r="A102" s="32">
        <v>83</v>
      </c>
      <c r="B102" s="32">
        <v>7</v>
      </c>
      <c r="C102" s="32">
        <v>11</v>
      </c>
      <c r="D102" s="13">
        <f t="shared" si="15"/>
        <v>0</v>
      </c>
      <c r="E102" s="13"/>
      <c r="F102" s="13"/>
      <c r="G102" s="13"/>
      <c r="H102" s="13">
        <f t="shared" si="16"/>
        <v>0</v>
      </c>
      <c r="I102" s="13">
        <f t="shared" si="17"/>
        <v>0</v>
      </c>
      <c r="J102" s="13">
        <f t="shared" si="18"/>
        <v>0</v>
      </c>
      <c r="K102" s="13">
        <f>ROUNDUP(IF($D$2="Egyszeri",$D102,IF($D$2="Havi",SUM($D$20:$D$31),IF(MOD($C102,$M$1)-1=0,SUM($D$20:$D$31),0))/12*$M$1)*VLOOKUP($B102,Paraméterek!$B$27:$D$30,IF($D$2="Egyszeri",3,2)),IF($D$4="Forint",0,2))</f>
        <v>0</v>
      </c>
      <c r="L102" s="13">
        <f t="shared" si="19"/>
        <v>0</v>
      </c>
      <c r="M102" s="13">
        <f t="shared" ca="1" si="25"/>
        <v>-44684</v>
      </c>
      <c r="N102" s="13">
        <f ca="1">IF($V101&gt;=VLOOKUP($M$4-1+$B102,Paraméterek!$B$121:$D$122,IF($D$4="Forint",2,3)),0,VLOOKUP($M$4-1+$B102,Paraméterek!$B$121:$D$122,IF($D$4="Forint",2,3))-$V101)</f>
        <v>54684</v>
      </c>
      <c r="O102" s="13">
        <f ca="1">ROUNDUP($N102*Paraméterek!$C$58/Paraméterek!$C$56,IF($D$4="Forint",0,2))</f>
        <v>9</v>
      </c>
      <c r="P102" s="13">
        <f t="shared" si="20"/>
        <v>657</v>
      </c>
      <c r="Q102" s="33"/>
      <c r="R102" s="13">
        <f t="shared" ca="1" si="21"/>
        <v>0</v>
      </c>
      <c r="S102" s="13">
        <f ca="1">ROUNDUP(($M102-$O102-$P102+$R102)*VLOOKUP($B102,Paraméterek!$B$38:$D$39,IF($D$2="Egyszeri",3,2))/12,IF($D$4="Forint",0,2))</f>
        <v>-123</v>
      </c>
      <c r="T102" s="13"/>
      <c r="U102" s="13"/>
      <c r="V102" s="13">
        <f ca="1">$M102-$O102-$P102+$R102-$S102-IF(ROUNDUP(IF(ISBLANK($U102),$T102,$U102)/IF(AND($B102=1,$D$2&lt;&gt;"Egyszeri"),1,VLOOKUP($B102+IF($C102=12,1,0),Paraméterek!$B$257:$D$267,IF($D$2="Egyszeri",3,2))),IF($D$4="Forint",0,2))&gt;$M102-$O102-$P102+$R102-$S102-IF($D$4="Forint",Paraméterek!$C$216,Paraméterek!$D$216),0,ROUNDUP(IF(ISBLANK($U102),$T102,$U102)/IF(AND($B102=1,$D$2&lt;&gt;"Egyszeri"),1,VLOOKUP($B102+IF($C102=12,1,0),Paraméterek!$B$257:$D$267,IF($D$2="Egyszeri",3,2))),IF($D$4="Forint",0,2)))</f>
        <v>-45227</v>
      </c>
      <c r="W102" s="13">
        <f ca="1">ROUNDDOWN($V102*VLOOKUP($B102+IF($C102=12,1,0),Paraméterek!$B$257:$D$267,IF($D$2="Egyszeri",3,2)),IF($D$4="Forint",0,2))</f>
        <v>-43417</v>
      </c>
      <c r="Y102" s="32">
        <v>83</v>
      </c>
      <c r="Z102" s="32">
        <v>7</v>
      </c>
      <c r="AA102" s="32">
        <v>11</v>
      </c>
      <c r="AB102" s="13">
        <f t="shared" si="26"/>
        <v>0</v>
      </c>
      <c r="AC102" s="33"/>
      <c r="AD102" s="13">
        <f t="shared" si="22"/>
        <v>0</v>
      </c>
      <c r="AE102" s="13">
        <f>ROUNDUP(($AB102+$AD102)*VLOOKUP($Z102,Paraméterek!$P$38:$Q$38,2)/12,IF($D$4="Forint",0,2))</f>
        <v>0</v>
      </c>
      <c r="AF102" s="13">
        <f>IF($D$2="Egyszeri",IF($D$7&gt;=IF($D$4="Forint",Paraméterek!$P$223,Paraméterek!$P$224),$D$7-IF($D$4="Forint",Paraméterek!$F$223,Paraméterek!$F$224),0),MIN(IF($AA102=12,AVERAGE($D$20:$D102)*12,0),SUM($D$20:$D$31)))</f>
        <v>0</v>
      </c>
      <c r="AG102" s="13">
        <f>IF(AND($Z102&gt;=10,MOD($Z102,5)=0),$AF102*IF($AA102=12,VLOOKUP($Z102,Paraméterek!$B$225:$F$240,IF($AF102&lt;IF($D$4="Forint",Paraméterek!$C$223,Paraméterek!$C$224),2,IF($AF102&lt;IF($D$4="Forint",Paraméterek!$D$223,Paraméterek!$D$224),3,4))),0),0)</f>
        <v>0</v>
      </c>
      <c r="AH102" s="13">
        <f>IF(AND($Z102&gt;=5,MOD($Z102,5)=0),IF($AA102=12,VLOOKUP($Z102,Paraméterek!$B$225:$F$240,5),0),IF(OR($Z102=3,$Z102=4),IF($AA102=12,VLOOKUP($Z102,Paraméterek!$B$225:$F$240,5,0),0),0))*$AF102</f>
        <v>0</v>
      </c>
      <c r="AI102" s="13">
        <f>ROUNDDOWN(IF(SUM($T$20:$U102)=0,IF($D$2="Egyszeri",$AH102,$AG102),0),IF($D$4="Forint",0,2))</f>
        <v>0</v>
      </c>
      <c r="AJ102" s="13">
        <f t="shared" si="27"/>
        <v>0</v>
      </c>
      <c r="AK102" s="13">
        <f t="shared" si="28"/>
        <v>0</v>
      </c>
      <c r="AM102" s="32">
        <v>83</v>
      </c>
      <c r="AN102" s="32">
        <v>7</v>
      </c>
      <c r="AO102" s="32">
        <v>11</v>
      </c>
      <c r="AP102" s="13"/>
      <c r="AQ102" s="32"/>
      <c r="AR102" s="13">
        <f t="shared" si="29"/>
        <v>0</v>
      </c>
      <c r="AS102" s="33"/>
      <c r="AT102" s="13">
        <f t="shared" si="23"/>
        <v>0</v>
      </c>
      <c r="AU102" s="13">
        <f>ROUNDUP(($AR102+$AT102)*VLOOKUP($AN102,Paraméterek!$P$38:$Q$38,2)/12,IF($D$4="Forint",0,2))</f>
        <v>0</v>
      </c>
      <c r="AV102" s="13"/>
      <c r="AW102" s="13"/>
      <c r="AX102" s="13">
        <f>ROUNDUP(IF(SUM($AV102:$AW102)=0,0,IF(IF(ISBLANK($AW102),$AV102,$AW102)*Paraméterek!$J$112&lt;IF($D$4="Forint",Paraméterek!$J$113,Paraméterek!$K$113),IF($D$4="Forint",Paraméterek!$J$113,Paraméterek!$K$113),IF(IF(ISBLANK($AW102),$AV102,$AW102)*Paraméterek!$J$112&gt;IF($D$4="Forint",Paraméterek!$J$114,Paraméterek!$K$114),IF($D$4="Forint",Paraméterek!$J$114,Paraméterek!$K$114),IF(ISBLANK($AW102),$AV102,$AW102)*Paraméterek!$J$112))),IF($D$4="Forint",0,2))</f>
        <v>0</v>
      </c>
      <c r="AY102" s="13">
        <f>$AR102+$AT102-$AU102-IF(ROUNDDOWN(IF(ISBLANK($AW102),$AV102,$AW102),IF($D$4="Forint",0,2))&gt;$AR102+$AT102-$AU102-IF($D$4="Forint",Paraméterek!$J$114,Paraméterek!$K$114),0,ROUNDDOWN(IF(ISBLANK($AW102),$AV102,$AW102),IF($D$4="Forint",0,2))-$AX102)</f>
        <v>0</v>
      </c>
      <c r="AZ102" s="13">
        <f t="shared" si="24"/>
        <v>0</v>
      </c>
    </row>
    <row r="103" spans="1:52" x14ac:dyDescent="0.2">
      <c r="A103" s="32">
        <v>84</v>
      </c>
      <c r="B103" s="32">
        <v>7</v>
      </c>
      <c r="C103" s="32">
        <v>12</v>
      </c>
      <c r="D103" s="13">
        <f t="shared" si="15"/>
        <v>0</v>
      </c>
      <c r="E103" s="13"/>
      <c r="F103" s="13"/>
      <c r="G103" s="13"/>
      <c r="H103" s="13">
        <f t="shared" si="16"/>
        <v>0</v>
      </c>
      <c r="I103" s="13">
        <f t="shared" si="17"/>
        <v>0</v>
      </c>
      <c r="J103" s="13">
        <f t="shared" si="18"/>
        <v>0</v>
      </c>
      <c r="K103" s="13">
        <f>ROUNDUP(IF($D$2="Egyszeri",$D103,IF($D$2="Havi",SUM($D$20:$D$31),IF(MOD($C103,$M$1)-1=0,SUM($D$20:$D$31),0))/12*$M$1)*VLOOKUP($B103,Paraméterek!$B$27:$D$30,IF($D$2="Egyszeri",3,2)),IF($D$4="Forint",0,2))</f>
        <v>0</v>
      </c>
      <c r="L103" s="13">
        <f t="shared" si="19"/>
        <v>0</v>
      </c>
      <c r="M103" s="13">
        <f t="shared" ca="1" si="25"/>
        <v>-45227</v>
      </c>
      <c r="N103" s="13">
        <f ca="1">IF($V102&gt;=VLOOKUP($M$4-1+$B103,Paraméterek!$B$121:$D$122,IF($D$4="Forint",2,3)),0,VLOOKUP($M$4-1+$B103,Paraméterek!$B$121:$D$122,IF($D$4="Forint",2,3))-$V102)</f>
        <v>55227</v>
      </c>
      <c r="O103" s="13">
        <f ca="1">ROUNDUP($N103*Paraméterek!$C$58/Paraméterek!$C$56,IF($D$4="Forint",0,2))</f>
        <v>9</v>
      </c>
      <c r="P103" s="13">
        <f t="shared" si="20"/>
        <v>657</v>
      </c>
      <c r="Q103" s="33"/>
      <c r="R103" s="13">
        <f t="shared" ca="1" si="21"/>
        <v>0</v>
      </c>
      <c r="S103" s="13">
        <f ca="1">ROUNDUP(($M103-$O103-$P103+$R103)*VLOOKUP($B103,Paraméterek!$B$38:$D$39,IF($D$2="Egyszeri",3,2))/12,IF($D$4="Forint",0,2))</f>
        <v>-125</v>
      </c>
      <c r="T103" s="13">
        <f>Tranzakciók!$F$38</f>
        <v>0</v>
      </c>
      <c r="U103" s="13"/>
      <c r="V103" s="13">
        <f ca="1">$M103-$O103-$P103+$R103-$S103-IF(ROUNDUP(IF(ISBLANK($U103),$T103,$U103)/IF(AND($B103=1,$D$2&lt;&gt;"Egyszeri"),1,VLOOKUP($B103+IF($C103=12,1,0),Paraméterek!$B$257:$D$267,IF($D$2="Egyszeri",3,2))),IF($D$4="Forint",0,2))&gt;$M103-$O103-$P103+$R103-$S103-IF($D$4="Forint",Paraméterek!$C$216,Paraméterek!$D$216),0,ROUNDUP(IF(ISBLANK($U103),$T103,$U103)/IF(AND($B103=1,$D$2&lt;&gt;"Egyszeri"),1,VLOOKUP($B103+IF($C103=12,1,0),Paraméterek!$B$257:$D$267,IF($D$2="Egyszeri",3,2))),IF($D$4="Forint",0,2)))</f>
        <v>-45768</v>
      </c>
      <c r="W103" s="13">
        <f ca="1">ROUNDDOWN($V103*VLOOKUP($B103+IF($C103=12,1,0),Paraméterek!$B$257:$D$267,IF($D$2="Egyszeri",3,2)),IF($D$4="Forint",0,2))</f>
        <v>-44394</v>
      </c>
      <c r="Y103" s="32">
        <v>84</v>
      </c>
      <c r="Z103" s="32">
        <v>7</v>
      </c>
      <c r="AA103" s="32">
        <v>12</v>
      </c>
      <c r="AB103" s="13">
        <f t="shared" si="26"/>
        <v>0</v>
      </c>
      <c r="AC103" s="33"/>
      <c r="AD103" s="13">
        <f t="shared" si="22"/>
        <v>0</v>
      </c>
      <c r="AE103" s="13">
        <f>ROUNDUP(($AB103+$AD103)*VLOOKUP($Z103,Paraméterek!$P$38:$Q$38,2)/12,IF($D$4="Forint",0,2))</f>
        <v>0</v>
      </c>
      <c r="AF103" s="13">
        <f>IF($D$2="Egyszeri",IF($D$7&gt;=IF($D$4="Forint",Paraméterek!$P$223,Paraméterek!$P$224),$D$7-IF($D$4="Forint",Paraméterek!$F$223,Paraméterek!$F$224),0),MIN(IF($AA103=12,AVERAGE($D$20:$D103)*12,0),SUM($D$20:$D$31)))</f>
        <v>0</v>
      </c>
      <c r="AG103" s="13">
        <f>IF(AND($Z103&gt;=10,MOD($Z103,5)=0),$AF103*IF($AA103=12,VLOOKUP($Z103,Paraméterek!$B$225:$F$240,IF($AF103&lt;IF($D$4="Forint",Paraméterek!$C$223,Paraméterek!$C$224),2,IF($AF103&lt;IF($D$4="Forint",Paraméterek!$D$223,Paraméterek!$D$224),3,4))),0),0)</f>
        <v>0</v>
      </c>
      <c r="AH103" s="13">
        <f>IF(AND($Z103&gt;=5,MOD($Z103,5)=0),IF($AA103=12,VLOOKUP($Z103,Paraméterek!$B$225:$F$240,5),0),IF(OR($Z103=3,$Z103=4),IF($AA103=12,VLOOKUP($Z103,Paraméterek!$B$225:$F$240,5,0),0),0))*$AF103</f>
        <v>0</v>
      </c>
      <c r="AI103" s="13">
        <f>ROUNDDOWN(IF(SUM($T$20:$U103)=0,IF($D$2="Egyszeri",$AH103,$AG103),0),IF($D$4="Forint",0,2))</f>
        <v>0</v>
      </c>
      <c r="AJ103" s="13">
        <f t="shared" si="27"/>
        <v>0</v>
      </c>
      <c r="AK103" s="13">
        <f t="shared" si="28"/>
        <v>0</v>
      </c>
      <c r="AM103" s="32">
        <v>84</v>
      </c>
      <c r="AN103" s="32">
        <v>7</v>
      </c>
      <c r="AO103" s="32">
        <v>12</v>
      </c>
      <c r="AP103" s="13"/>
      <c r="AQ103" s="32"/>
      <c r="AR103" s="13">
        <f t="shared" si="29"/>
        <v>0</v>
      </c>
      <c r="AS103" s="33"/>
      <c r="AT103" s="13">
        <f t="shared" si="23"/>
        <v>0</v>
      </c>
      <c r="AU103" s="13">
        <f>ROUNDUP(($AR103+$AT103)*VLOOKUP($AN103,Paraméterek!$P$38:$Q$38,2)/12,IF($D$4="Forint",0,2))</f>
        <v>0</v>
      </c>
      <c r="AV103" s="13">
        <f>Tranzakciók!$M$38</f>
        <v>0</v>
      </c>
      <c r="AW103" s="13"/>
      <c r="AX103" s="13">
        <f>ROUNDUP(IF(SUM($AV103:$AW103)=0,0,IF(IF(ISBLANK($AW103),$AV103,$AW103)*Paraméterek!$J$112&lt;IF($D$4="Forint",Paraméterek!$J$113,Paraméterek!$K$113),IF($D$4="Forint",Paraméterek!$J$113,Paraméterek!$K$113),IF(IF(ISBLANK($AW103),$AV103,$AW103)*Paraméterek!$J$112&gt;IF($D$4="Forint",Paraméterek!$J$114,Paraméterek!$K$114),IF($D$4="Forint",Paraméterek!$J$114,Paraméterek!$K$114),IF(ISBLANK($AW103),$AV103,$AW103)*Paraméterek!$J$112))),IF($D$4="Forint",0,2))</f>
        <v>0</v>
      </c>
      <c r="AY103" s="13">
        <f>$AR103+$AT103-$AU103-IF(ROUNDDOWN(IF(ISBLANK($AW103),$AV103,$AW103),IF($D$4="Forint",0,2))&gt;$AR103+$AT103-$AU103-IF($D$4="Forint",Paraméterek!$J$114,Paraméterek!$K$114),0,ROUNDDOWN(IF(ISBLANK($AW103),$AV103,$AW103),IF($D$4="Forint",0,2))-$AX103)</f>
        <v>0</v>
      </c>
      <c r="AZ103" s="13">
        <f t="shared" si="24"/>
        <v>0</v>
      </c>
    </row>
    <row r="104" spans="1:52" x14ac:dyDescent="0.2">
      <c r="A104" s="32">
        <v>85</v>
      </c>
      <c r="B104" s="32">
        <v>8</v>
      </c>
      <c r="C104" s="32">
        <v>1</v>
      </c>
      <c r="D104" s="13">
        <f t="shared" si="15"/>
        <v>0</v>
      </c>
      <c r="E104" s="13"/>
      <c r="F104" s="13">
        <f>Tranzakciók!$D$39</f>
        <v>0</v>
      </c>
      <c r="G104" s="13"/>
      <c r="H104" s="13">
        <f t="shared" si="16"/>
        <v>0</v>
      </c>
      <c r="I104" s="13">
        <f t="shared" si="17"/>
        <v>123</v>
      </c>
      <c r="J104" s="13">
        <f t="shared" si="18"/>
        <v>123</v>
      </c>
      <c r="K104" s="13">
        <f>ROUNDUP(IF($D$2="Egyszeri",$D104,IF($D$2="Havi",SUM($D$20:$D$31),IF(MOD($C104,$M$1)-1=0,SUM($D$20:$D$31),0))/12*$M$1)*VLOOKUP($B104,Paraméterek!$B$27:$D$30,IF($D$2="Egyszeri",3,2)),IF($D$4="Forint",0,2))</f>
        <v>0</v>
      </c>
      <c r="L104" s="13">
        <f t="shared" si="19"/>
        <v>0</v>
      </c>
      <c r="M104" s="13">
        <f t="shared" ca="1" si="25"/>
        <v>-45768</v>
      </c>
      <c r="N104" s="13">
        <f ca="1">IF($V103&gt;=VLOOKUP($M$4-1+$B104,Paraméterek!$B$121:$D$122,IF($D$4="Forint",2,3)),0,VLOOKUP($M$4-1+$B104,Paraméterek!$B$121:$D$122,IF($D$4="Forint",2,3))-$V103)</f>
        <v>55768</v>
      </c>
      <c r="O104" s="13">
        <f ca="1">ROUNDUP($N104*Paraméterek!$C$58/Paraméterek!$C$56,IF($D$4="Forint",0,2))</f>
        <v>9</v>
      </c>
      <c r="P104" s="13">
        <f t="shared" si="20"/>
        <v>677</v>
      </c>
      <c r="Q104" s="33"/>
      <c r="R104" s="13">
        <f t="shared" ca="1" si="21"/>
        <v>0</v>
      </c>
      <c r="S104" s="13">
        <f ca="1">ROUNDUP(($M104-$O104-$P104+$R104)*VLOOKUP($B104,Paraméterek!$B$38:$D$39,IF($D$2="Egyszeri",3,2))/12,IF($D$4="Forint",0,2))</f>
        <v>-126</v>
      </c>
      <c r="T104" s="13"/>
      <c r="U104" s="13"/>
      <c r="V104" s="13">
        <f ca="1">$M104-$O104-$P104+$R104-$S104-IF(ROUNDUP(IF(ISBLANK($U104),$T104,$U104)/IF(AND($B104=1,$D$2&lt;&gt;"Egyszeri"),1,VLOOKUP($B104+IF($C104=12,1,0),Paraméterek!$B$257:$D$267,IF($D$2="Egyszeri",3,2))),IF($D$4="Forint",0,2))&gt;$M104-$O104-$P104+$R104-$S104-IF($D$4="Forint",Paraméterek!$C$216,Paraméterek!$D$216),0,ROUNDUP(IF(ISBLANK($U104),$T104,$U104)/IF(AND($B104=1,$D$2&lt;&gt;"Egyszeri"),1,VLOOKUP($B104+IF($C104=12,1,0),Paraméterek!$B$257:$D$267,IF($D$2="Egyszeri",3,2))),IF($D$4="Forint",0,2)))</f>
        <v>-46328</v>
      </c>
      <c r="W104" s="13">
        <f ca="1">ROUNDDOWN($V104*VLOOKUP($B104+IF($C104=12,1,0),Paraméterek!$B$257:$D$267,IF($D$2="Egyszeri",3,2)),IF($D$4="Forint",0,2))</f>
        <v>-44938</v>
      </c>
      <c r="Y104" s="32">
        <v>85</v>
      </c>
      <c r="Z104" s="32">
        <v>8</v>
      </c>
      <c r="AA104" s="32">
        <v>1</v>
      </c>
      <c r="AB104" s="13">
        <f t="shared" si="26"/>
        <v>0</v>
      </c>
      <c r="AC104" s="33"/>
      <c r="AD104" s="13">
        <f t="shared" si="22"/>
        <v>0</v>
      </c>
      <c r="AE104" s="13">
        <f>ROUNDUP(($AB104+$AD104)*VLOOKUP($Z104,Paraméterek!$P$38:$Q$38,2)/12,IF($D$4="Forint",0,2))</f>
        <v>0</v>
      </c>
      <c r="AF104" s="13">
        <f>IF($D$2="Egyszeri",IF($D$7&gt;=IF($D$4="Forint",Paraméterek!$P$223,Paraméterek!$P$224),$D$7-IF($D$4="Forint",Paraméterek!$F$223,Paraméterek!$F$224),0),MIN(IF($AA104=12,AVERAGE($D$20:$D104)*12,0),SUM($D$20:$D$31)))</f>
        <v>0</v>
      </c>
      <c r="AG104" s="13">
        <f>IF(AND($Z104&gt;=10,MOD($Z104,5)=0),$AF104*IF($AA104=12,VLOOKUP($Z104,Paraméterek!$B$225:$F$240,IF($AF104&lt;IF($D$4="Forint",Paraméterek!$C$223,Paraméterek!$C$224),2,IF($AF104&lt;IF($D$4="Forint",Paraméterek!$D$223,Paraméterek!$D$224),3,4))),0),0)</f>
        <v>0</v>
      </c>
      <c r="AH104" s="13">
        <f>IF(AND($Z104&gt;=5,MOD($Z104,5)=0),IF($AA104=12,VLOOKUP($Z104,Paraméterek!$B$225:$F$240,5),0),IF(OR($Z104=3,$Z104=4),IF($AA104=12,VLOOKUP($Z104,Paraméterek!$B$225:$F$240,5,0),0),0))*$AF104</f>
        <v>0</v>
      </c>
      <c r="AI104" s="13">
        <f>ROUNDDOWN(IF(SUM($T$20:$U104)=0,IF($D$2="Egyszeri",$AH104,$AG104),0),IF($D$4="Forint",0,2))</f>
        <v>0</v>
      </c>
      <c r="AJ104" s="13">
        <f t="shared" si="27"/>
        <v>0</v>
      </c>
      <c r="AK104" s="13">
        <f t="shared" si="28"/>
        <v>0</v>
      </c>
      <c r="AM104" s="32">
        <v>85</v>
      </c>
      <c r="AN104" s="32">
        <v>8</v>
      </c>
      <c r="AO104" s="32">
        <v>1</v>
      </c>
      <c r="AP104" s="13">
        <f>Tranzakciók!$K$39</f>
        <v>0</v>
      </c>
      <c r="AQ104" s="32"/>
      <c r="AR104" s="13">
        <f t="shared" si="29"/>
        <v>0</v>
      </c>
      <c r="AS104" s="33"/>
      <c r="AT104" s="13">
        <f t="shared" si="23"/>
        <v>0</v>
      </c>
      <c r="AU104" s="13">
        <f>ROUNDUP(($AR104+$AT104)*VLOOKUP($AN104,Paraméterek!$P$38:$Q$38,2)/12,IF($D$4="Forint",0,2))</f>
        <v>0</v>
      </c>
      <c r="AV104" s="13"/>
      <c r="AW104" s="13"/>
      <c r="AX104" s="13">
        <f>ROUNDUP(IF(SUM($AV104:$AW104)=0,0,IF(IF(ISBLANK($AW104),$AV104,$AW104)*Paraméterek!$J$112&lt;IF($D$4="Forint",Paraméterek!$J$113,Paraméterek!$K$113),IF($D$4="Forint",Paraméterek!$J$113,Paraméterek!$K$113),IF(IF(ISBLANK($AW104),$AV104,$AW104)*Paraméterek!$J$112&gt;IF($D$4="Forint",Paraméterek!$J$114,Paraméterek!$K$114),IF($D$4="Forint",Paraméterek!$J$114,Paraméterek!$K$114),IF(ISBLANK($AW104),$AV104,$AW104)*Paraméterek!$J$112))),IF($D$4="Forint",0,2))</f>
        <v>0</v>
      </c>
      <c r="AY104" s="13">
        <f>$AR104+$AT104-$AU104-IF(ROUNDDOWN(IF(ISBLANK($AW104),$AV104,$AW104),IF($D$4="Forint",0,2))&gt;$AR104+$AT104-$AU104-IF($D$4="Forint",Paraméterek!$J$114,Paraméterek!$K$114),0,ROUNDDOWN(IF(ISBLANK($AW104),$AV104,$AW104),IF($D$4="Forint",0,2))-$AX104)</f>
        <v>0</v>
      </c>
      <c r="AZ104" s="13">
        <f t="shared" si="24"/>
        <v>0</v>
      </c>
    </row>
    <row r="105" spans="1:52" x14ac:dyDescent="0.2">
      <c r="A105" s="32">
        <v>86</v>
      </c>
      <c r="B105" s="32">
        <v>8</v>
      </c>
      <c r="C105" s="32">
        <v>2</v>
      </c>
      <c r="D105" s="13">
        <f t="shared" si="15"/>
        <v>0</v>
      </c>
      <c r="E105" s="13"/>
      <c r="F105" s="13"/>
      <c r="G105" s="13"/>
      <c r="H105" s="13">
        <f t="shared" si="16"/>
        <v>0</v>
      </c>
      <c r="I105" s="13">
        <f t="shared" si="17"/>
        <v>0</v>
      </c>
      <c r="J105" s="13">
        <f t="shared" si="18"/>
        <v>0</v>
      </c>
      <c r="K105" s="13">
        <f>ROUNDUP(IF($D$2="Egyszeri",$D105,IF($D$2="Havi",SUM($D$20:$D$31),IF(MOD($C105,$M$1)-1=0,SUM($D$20:$D$31),0))/12*$M$1)*VLOOKUP($B105,Paraméterek!$B$27:$D$30,IF($D$2="Egyszeri",3,2)),IF($D$4="Forint",0,2))</f>
        <v>0</v>
      </c>
      <c r="L105" s="13">
        <f t="shared" si="19"/>
        <v>0</v>
      </c>
      <c r="M105" s="13">
        <f t="shared" ca="1" si="25"/>
        <v>-46328</v>
      </c>
      <c r="N105" s="13">
        <f ca="1">IF($V104&gt;=VLOOKUP($M$4-1+$B105,Paraméterek!$B$121:$D$122,IF($D$4="Forint",2,3)),0,VLOOKUP($M$4-1+$B105,Paraméterek!$B$121:$D$122,IF($D$4="Forint",2,3))-$V104)</f>
        <v>56328</v>
      </c>
      <c r="O105" s="13">
        <f ca="1">ROUNDUP($N105*Paraméterek!$C$58/Paraméterek!$C$56,IF($D$4="Forint",0,2))</f>
        <v>9</v>
      </c>
      <c r="P105" s="13">
        <f t="shared" si="20"/>
        <v>677</v>
      </c>
      <c r="Q105" s="33"/>
      <c r="R105" s="13">
        <f t="shared" ca="1" si="21"/>
        <v>0</v>
      </c>
      <c r="S105" s="13">
        <f ca="1">ROUNDUP(($M105-$O105-$P105+$R105)*VLOOKUP($B105,Paraméterek!$B$38:$D$39,IF($D$2="Egyszeri",3,2))/12,IF($D$4="Forint",0,2))</f>
        <v>-128</v>
      </c>
      <c r="T105" s="13"/>
      <c r="U105" s="13"/>
      <c r="V105" s="13">
        <f ca="1">$M105-$O105-$P105+$R105-$S105-IF(ROUNDUP(IF(ISBLANK($U105),$T105,$U105)/IF(AND($B105=1,$D$2&lt;&gt;"Egyszeri"),1,VLOOKUP($B105+IF($C105=12,1,0),Paraméterek!$B$257:$D$267,IF($D$2="Egyszeri",3,2))),IF($D$4="Forint",0,2))&gt;$M105-$O105-$P105+$R105-$S105-IF($D$4="Forint",Paraméterek!$C$216,Paraméterek!$D$216),0,ROUNDUP(IF(ISBLANK($U105),$T105,$U105)/IF(AND($B105=1,$D$2&lt;&gt;"Egyszeri"),1,VLOOKUP($B105+IF($C105=12,1,0),Paraméterek!$B$257:$D$267,IF($D$2="Egyszeri",3,2))),IF($D$4="Forint",0,2)))</f>
        <v>-46886</v>
      </c>
      <c r="W105" s="13">
        <f ca="1">ROUNDDOWN($V105*VLOOKUP($B105+IF($C105=12,1,0),Paraméterek!$B$257:$D$267,IF($D$2="Egyszeri",3,2)),IF($D$4="Forint",0,2))</f>
        <v>-45479</v>
      </c>
      <c r="Y105" s="32">
        <v>86</v>
      </c>
      <c r="Z105" s="32">
        <v>8</v>
      </c>
      <c r="AA105" s="32">
        <v>2</v>
      </c>
      <c r="AB105" s="13">
        <f t="shared" si="26"/>
        <v>0</v>
      </c>
      <c r="AC105" s="33"/>
      <c r="AD105" s="13">
        <f t="shared" si="22"/>
        <v>0</v>
      </c>
      <c r="AE105" s="13">
        <f>ROUNDUP(($AB105+$AD105)*VLOOKUP($Z105,Paraméterek!$P$38:$Q$38,2)/12,IF($D$4="Forint",0,2))</f>
        <v>0</v>
      </c>
      <c r="AF105" s="13">
        <f>IF($D$2="Egyszeri",IF($D$7&gt;=IF($D$4="Forint",Paraméterek!$P$223,Paraméterek!$P$224),$D$7-IF($D$4="Forint",Paraméterek!$F$223,Paraméterek!$F$224),0),MIN(IF($AA105=12,AVERAGE($D$20:$D105)*12,0),SUM($D$20:$D$31)))</f>
        <v>0</v>
      </c>
      <c r="AG105" s="13">
        <f>IF(AND($Z105&gt;=10,MOD($Z105,5)=0),$AF105*IF($AA105=12,VLOOKUP($Z105,Paraméterek!$B$225:$F$240,IF($AF105&lt;IF($D$4="Forint",Paraméterek!$C$223,Paraméterek!$C$224),2,IF($AF105&lt;IF($D$4="Forint",Paraméterek!$D$223,Paraméterek!$D$224),3,4))),0),0)</f>
        <v>0</v>
      </c>
      <c r="AH105" s="13">
        <f>IF(AND($Z105&gt;=5,MOD($Z105,5)=0),IF($AA105=12,VLOOKUP($Z105,Paraméterek!$B$225:$F$240,5),0),IF(OR($Z105=3,$Z105=4),IF($AA105=12,VLOOKUP($Z105,Paraméterek!$B$225:$F$240,5,0),0),0))*$AF105</f>
        <v>0</v>
      </c>
      <c r="AI105" s="13">
        <f>ROUNDDOWN(IF(SUM($T$20:$U105)=0,IF($D$2="Egyszeri",$AH105,$AG105),0),IF($D$4="Forint",0,2))</f>
        <v>0</v>
      </c>
      <c r="AJ105" s="13">
        <f t="shared" si="27"/>
        <v>0</v>
      </c>
      <c r="AK105" s="13">
        <f t="shared" si="28"/>
        <v>0</v>
      </c>
      <c r="AM105" s="32">
        <v>86</v>
      </c>
      <c r="AN105" s="32">
        <v>8</v>
      </c>
      <c r="AO105" s="32">
        <v>2</v>
      </c>
      <c r="AP105" s="13"/>
      <c r="AQ105" s="32"/>
      <c r="AR105" s="13">
        <f t="shared" si="29"/>
        <v>0</v>
      </c>
      <c r="AS105" s="33"/>
      <c r="AT105" s="13">
        <f t="shared" si="23"/>
        <v>0</v>
      </c>
      <c r="AU105" s="13">
        <f>ROUNDUP(($AR105+$AT105)*VLOOKUP($AN105,Paraméterek!$P$38:$Q$38,2)/12,IF($D$4="Forint",0,2))</f>
        <v>0</v>
      </c>
      <c r="AV105" s="13"/>
      <c r="AW105" s="13"/>
      <c r="AX105" s="13">
        <f>ROUNDUP(IF(SUM($AV105:$AW105)=0,0,IF(IF(ISBLANK($AW105),$AV105,$AW105)*Paraméterek!$J$112&lt;IF($D$4="Forint",Paraméterek!$J$113,Paraméterek!$K$113),IF($D$4="Forint",Paraméterek!$J$113,Paraméterek!$K$113),IF(IF(ISBLANK($AW105),$AV105,$AW105)*Paraméterek!$J$112&gt;IF($D$4="Forint",Paraméterek!$J$114,Paraméterek!$K$114),IF($D$4="Forint",Paraméterek!$J$114,Paraméterek!$K$114),IF(ISBLANK($AW105),$AV105,$AW105)*Paraméterek!$J$112))),IF($D$4="Forint",0,2))</f>
        <v>0</v>
      </c>
      <c r="AY105" s="13">
        <f>$AR105+$AT105-$AU105-IF(ROUNDDOWN(IF(ISBLANK($AW105),$AV105,$AW105),IF($D$4="Forint",0,2))&gt;$AR105+$AT105-$AU105-IF($D$4="Forint",Paraméterek!$J$114,Paraméterek!$K$114),0,ROUNDDOWN(IF(ISBLANK($AW105),$AV105,$AW105),IF($D$4="Forint",0,2))-$AX105)</f>
        <v>0</v>
      </c>
      <c r="AZ105" s="13">
        <f t="shared" si="24"/>
        <v>0</v>
      </c>
    </row>
    <row r="106" spans="1:52" x14ac:dyDescent="0.2">
      <c r="A106" s="32">
        <v>87</v>
      </c>
      <c r="B106" s="32">
        <v>8</v>
      </c>
      <c r="C106" s="32">
        <v>3</v>
      </c>
      <c r="D106" s="13">
        <f t="shared" si="15"/>
        <v>0</v>
      </c>
      <c r="E106" s="13"/>
      <c r="F106" s="13"/>
      <c r="G106" s="13"/>
      <c r="H106" s="13">
        <f t="shared" si="16"/>
        <v>0</v>
      </c>
      <c r="I106" s="13">
        <f t="shared" si="17"/>
        <v>0</v>
      </c>
      <c r="J106" s="13">
        <f t="shared" si="18"/>
        <v>0</v>
      </c>
      <c r="K106" s="13">
        <f>ROUNDUP(IF($D$2="Egyszeri",$D106,IF($D$2="Havi",SUM($D$20:$D$31),IF(MOD($C106,$M$1)-1=0,SUM($D$20:$D$31),0))/12*$M$1)*VLOOKUP($B106,Paraméterek!$B$27:$D$30,IF($D$2="Egyszeri",3,2)),IF($D$4="Forint",0,2))</f>
        <v>0</v>
      </c>
      <c r="L106" s="13">
        <f t="shared" si="19"/>
        <v>0</v>
      </c>
      <c r="M106" s="13">
        <f t="shared" ca="1" si="25"/>
        <v>-46886</v>
      </c>
      <c r="N106" s="13">
        <f ca="1">IF($V105&gt;=VLOOKUP($M$4-1+$B106,Paraméterek!$B$121:$D$122,IF($D$4="Forint",2,3)),0,VLOOKUP($M$4-1+$B106,Paraméterek!$B$121:$D$122,IF($D$4="Forint",2,3))-$V105)</f>
        <v>56886</v>
      </c>
      <c r="O106" s="13">
        <f ca="1">ROUNDUP($N106*Paraméterek!$C$58/Paraméterek!$C$56,IF($D$4="Forint",0,2))</f>
        <v>10</v>
      </c>
      <c r="P106" s="13">
        <f t="shared" si="20"/>
        <v>677</v>
      </c>
      <c r="Q106" s="33"/>
      <c r="R106" s="13">
        <f t="shared" ca="1" si="21"/>
        <v>0</v>
      </c>
      <c r="S106" s="13">
        <f ca="1">ROUNDUP(($M106-$O106-$P106+$R106)*VLOOKUP($B106,Paraméterek!$B$38:$D$39,IF($D$2="Egyszeri",3,2))/12,IF($D$4="Forint",0,2))</f>
        <v>-129</v>
      </c>
      <c r="T106" s="13"/>
      <c r="U106" s="13"/>
      <c r="V106" s="13">
        <f ca="1">$M106-$O106-$P106+$R106-$S106-IF(ROUNDUP(IF(ISBLANK($U106),$T106,$U106)/IF(AND($B106=1,$D$2&lt;&gt;"Egyszeri"),1,VLOOKUP($B106+IF($C106=12,1,0),Paraméterek!$B$257:$D$267,IF($D$2="Egyszeri",3,2))),IF($D$4="Forint",0,2))&gt;$M106-$O106-$P106+$R106-$S106-IF($D$4="Forint",Paraméterek!$C$216,Paraméterek!$D$216),0,ROUNDUP(IF(ISBLANK($U106),$T106,$U106)/IF(AND($B106=1,$D$2&lt;&gt;"Egyszeri"),1,VLOOKUP($B106+IF($C106=12,1,0),Paraméterek!$B$257:$D$267,IF($D$2="Egyszeri",3,2))),IF($D$4="Forint",0,2)))</f>
        <v>-47444</v>
      </c>
      <c r="W106" s="13">
        <f ca="1">ROUNDDOWN($V106*VLOOKUP($B106+IF($C106=12,1,0),Paraméterek!$B$257:$D$267,IF($D$2="Egyszeri",3,2)),IF($D$4="Forint",0,2))</f>
        <v>-46020</v>
      </c>
      <c r="Y106" s="32">
        <v>87</v>
      </c>
      <c r="Z106" s="32">
        <v>8</v>
      </c>
      <c r="AA106" s="32">
        <v>3</v>
      </c>
      <c r="AB106" s="13">
        <f t="shared" si="26"/>
        <v>0</v>
      </c>
      <c r="AC106" s="33"/>
      <c r="AD106" s="13">
        <f t="shared" si="22"/>
        <v>0</v>
      </c>
      <c r="AE106" s="13">
        <f>ROUNDUP(($AB106+$AD106)*VLOOKUP($Z106,Paraméterek!$P$38:$Q$38,2)/12,IF($D$4="Forint",0,2))</f>
        <v>0</v>
      </c>
      <c r="AF106" s="13">
        <f>IF($D$2="Egyszeri",IF($D$7&gt;=IF($D$4="Forint",Paraméterek!$P$223,Paraméterek!$P$224),$D$7-IF($D$4="Forint",Paraméterek!$F$223,Paraméterek!$F$224),0),MIN(IF($AA106=12,AVERAGE($D$20:$D106)*12,0),SUM($D$20:$D$31)))</f>
        <v>0</v>
      </c>
      <c r="AG106" s="13">
        <f>IF(AND($Z106&gt;=10,MOD($Z106,5)=0),$AF106*IF($AA106=12,VLOOKUP($Z106,Paraméterek!$B$225:$F$240,IF($AF106&lt;IF($D$4="Forint",Paraméterek!$C$223,Paraméterek!$C$224),2,IF($AF106&lt;IF($D$4="Forint",Paraméterek!$D$223,Paraméterek!$D$224),3,4))),0),0)</f>
        <v>0</v>
      </c>
      <c r="AH106" s="13">
        <f>IF(AND($Z106&gt;=5,MOD($Z106,5)=0),IF($AA106=12,VLOOKUP($Z106,Paraméterek!$B$225:$F$240,5),0),IF(OR($Z106=3,$Z106=4),IF($AA106=12,VLOOKUP($Z106,Paraméterek!$B$225:$F$240,5,0),0),0))*$AF106</f>
        <v>0</v>
      </c>
      <c r="AI106" s="13">
        <f>ROUNDDOWN(IF(SUM($T$20:$U106)=0,IF($D$2="Egyszeri",$AH106,$AG106),0),IF($D$4="Forint",0,2))</f>
        <v>0</v>
      </c>
      <c r="AJ106" s="13">
        <f t="shared" si="27"/>
        <v>0</v>
      </c>
      <c r="AK106" s="13">
        <f t="shared" si="28"/>
        <v>0</v>
      </c>
      <c r="AM106" s="32">
        <v>87</v>
      </c>
      <c r="AN106" s="32">
        <v>8</v>
      </c>
      <c r="AO106" s="32">
        <v>3</v>
      </c>
      <c r="AP106" s="13"/>
      <c r="AQ106" s="32"/>
      <c r="AR106" s="13">
        <f t="shared" si="29"/>
        <v>0</v>
      </c>
      <c r="AS106" s="33"/>
      <c r="AT106" s="13">
        <f t="shared" si="23"/>
        <v>0</v>
      </c>
      <c r="AU106" s="13">
        <f>ROUNDUP(($AR106+$AT106)*VLOOKUP($AN106,Paraméterek!$P$38:$Q$38,2)/12,IF($D$4="Forint",0,2))</f>
        <v>0</v>
      </c>
      <c r="AV106" s="13"/>
      <c r="AW106" s="13"/>
      <c r="AX106" s="13">
        <f>ROUNDUP(IF(SUM($AV106:$AW106)=0,0,IF(IF(ISBLANK($AW106),$AV106,$AW106)*Paraméterek!$J$112&lt;IF($D$4="Forint",Paraméterek!$J$113,Paraméterek!$K$113),IF($D$4="Forint",Paraméterek!$J$113,Paraméterek!$K$113),IF(IF(ISBLANK($AW106),$AV106,$AW106)*Paraméterek!$J$112&gt;IF($D$4="Forint",Paraméterek!$J$114,Paraméterek!$K$114),IF($D$4="Forint",Paraméterek!$J$114,Paraméterek!$K$114),IF(ISBLANK($AW106),$AV106,$AW106)*Paraméterek!$J$112))),IF($D$4="Forint",0,2))</f>
        <v>0</v>
      </c>
      <c r="AY106" s="13">
        <f>$AR106+$AT106-$AU106-IF(ROUNDDOWN(IF(ISBLANK($AW106),$AV106,$AW106),IF($D$4="Forint",0,2))&gt;$AR106+$AT106-$AU106-IF($D$4="Forint",Paraméterek!$J$114,Paraméterek!$K$114),0,ROUNDDOWN(IF(ISBLANK($AW106),$AV106,$AW106),IF($D$4="Forint",0,2))-$AX106)</f>
        <v>0</v>
      </c>
      <c r="AZ106" s="13">
        <f t="shared" si="24"/>
        <v>0</v>
      </c>
    </row>
    <row r="107" spans="1:52" x14ac:dyDescent="0.2">
      <c r="A107" s="32">
        <v>88</v>
      </c>
      <c r="B107" s="32">
        <v>8</v>
      </c>
      <c r="C107" s="32">
        <v>4</v>
      </c>
      <c r="D107" s="13">
        <f t="shared" si="15"/>
        <v>0</v>
      </c>
      <c r="E107" s="13"/>
      <c r="F107" s="13"/>
      <c r="G107" s="13"/>
      <c r="H107" s="13">
        <f t="shared" si="16"/>
        <v>0</v>
      </c>
      <c r="I107" s="13">
        <f t="shared" si="17"/>
        <v>0</v>
      </c>
      <c r="J107" s="13">
        <f t="shared" si="18"/>
        <v>0</v>
      </c>
      <c r="K107" s="13">
        <f>ROUNDUP(IF($D$2="Egyszeri",$D107,IF($D$2="Havi",SUM($D$20:$D$31),IF(MOD($C107,$M$1)-1=0,SUM($D$20:$D$31),0))/12*$M$1)*VLOOKUP($B107,Paraméterek!$B$27:$D$30,IF($D$2="Egyszeri",3,2)),IF($D$4="Forint",0,2))</f>
        <v>0</v>
      </c>
      <c r="L107" s="13">
        <f t="shared" si="19"/>
        <v>0</v>
      </c>
      <c r="M107" s="13">
        <f t="shared" ca="1" si="25"/>
        <v>-47444</v>
      </c>
      <c r="N107" s="13">
        <f ca="1">IF($V106&gt;=VLOOKUP($M$4-1+$B107,Paraméterek!$B$121:$D$122,IF($D$4="Forint",2,3)),0,VLOOKUP($M$4-1+$B107,Paraméterek!$B$121:$D$122,IF($D$4="Forint",2,3))-$V106)</f>
        <v>57444</v>
      </c>
      <c r="O107" s="13">
        <f ca="1">ROUNDUP($N107*Paraméterek!$C$58/Paraméterek!$C$56,IF($D$4="Forint",0,2))</f>
        <v>10</v>
      </c>
      <c r="P107" s="13">
        <f t="shared" si="20"/>
        <v>677</v>
      </c>
      <c r="Q107" s="33"/>
      <c r="R107" s="13">
        <f t="shared" ca="1" si="21"/>
        <v>0</v>
      </c>
      <c r="S107" s="13">
        <f ca="1">ROUNDUP(($M107-$O107-$P107+$R107)*VLOOKUP($B107,Paraméterek!$B$38:$D$39,IF($D$2="Egyszeri",3,2))/12,IF($D$4="Forint",0,2))</f>
        <v>-131</v>
      </c>
      <c r="T107" s="13"/>
      <c r="U107" s="13"/>
      <c r="V107" s="13">
        <f ca="1">$M107-$O107-$P107+$R107-$S107-IF(ROUNDUP(IF(ISBLANK($U107),$T107,$U107)/IF(AND($B107=1,$D$2&lt;&gt;"Egyszeri"),1,VLOOKUP($B107+IF($C107=12,1,0),Paraméterek!$B$257:$D$267,IF($D$2="Egyszeri",3,2))),IF($D$4="Forint",0,2))&gt;$M107-$O107-$P107+$R107-$S107-IF($D$4="Forint",Paraméterek!$C$216,Paraméterek!$D$216),0,ROUNDUP(IF(ISBLANK($U107),$T107,$U107)/IF(AND($B107=1,$D$2&lt;&gt;"Egyszeri"),1,VLOOKUP($B107+IF($C107=12,1,0),Paraméterek!$B$257:$D$267,IF($D$2="Egyszeri",3,2))),IF($D$4="Forint",0,2)))</f>
        <v>-48000</v>
      </c>
      <c r="W107" s="13">
        <f ca="1">ROUNDDOWN($V107*VLOOKUP($B107+IF($C107=12,1,0),Paraméterek!$B$257:$D$267,IF($D$2="Egyszeri",3,2)),IF($D$4="Forint",0,2))</f>
        <v>-46560</v>
      </c>
      <c r="Y107" s="32">
        <v>88</v>
      </c>
      <c r="Z107" s="32">
        <v>8</v>
      </c>
      <c r="AA107" s="32">
        <v>4</v>
      </c>
      <c r="AB107" s="13">
        <f t="shared" si="26"/>
        <v>0</v>
      </c>
      <c r="AC107" s="33"/>
      <c r="AD107" s="13">
        <f t="shared" si="22"/>
        <v>0</v>
      </c>
      <c r="AE107" s="13">
        <f>ROUNDUP(($AB107+$AD107)*VLOOKUP($Z107,Paraméterek!$P$38:$Q$38,2)/12,IF($D$4="Forint",0,2))</f>
        <v>0</v>
      </c>
      <c r="AF107" s="13">
        <f>IF($D$2="Egyszeri",IF($D$7&gt;=IF($D$4="Forint",Paraméterek!$P$223,Paraméterek!$P$224),$D$7-IF($D$4="Forint",Paraméterek!$F$223,Paraméterek!$F$224),0),MIN(IF($AA107=12,AVERAGE($D$20:$D107)*12,0),SUM($D$20:$D$31)))</f>
        <v>0</v>
      </c>
      <c r="AG107" s="13">
        <f>IF(AND($Z107&gt;=10,MOD($Z107,5)=0),$AF107*IF($AA107=12,VLOOKUP($Z107,Paraméterek!$B$225:$F$240,IF($AF107&lt;IF($D$4="Forint",Paraméterek!$C$223,Paraméterek!$C$224),2,IF($AF107&lt;IF($D$4="Forint",Paraméterek!$D$223,Paraméterek!$D$224),3,4))),0),0)</f>
        <v>0</v>
      </c>
      <c r="AH107" s="13">
        <f>IF(AND($Z107&gt;=5,MOD($Z107,5)=0),IF($AA107=12,VLOOKUP($Z107,Paraméterek!$B$225:$F$240,5),0),IF(OR($Z107=3,$Z107=4),IF($AA107=12,VLOOKUP($Z107,Paraméterek!$B$225:$F$240,5,0),0),0))*$AF107</f>
        <v>0</v>
      </c>
      <c r="AI107" s="13">
        <f>ROUNDDOWN(IF(SUM($T$20:$U107)=0,IF($D$2="Egyszeri",$AH107,$AG107),0),IF($D$4="Forint",0,2))</f>
        <v>0</v>
      </c>
      <c r="AJ107" s="13">
        <f t="shared" si="27"/>
        <v>0</v>
      </c>
      <c r="AK107" s="13">
        <f t="shared" si="28"/>
        <v>0</v>
      </c>
      <c r="AM107" s="32">
        <v>88</v>
      </c>
      <c r="AN107" s="32">
        <v>8</v>
      </c>
      <c r="AO107" s="32">
        <v>4</v>
      </c>
      <c r="AP107" s="13"/>
      <c r="AQ107" s="32"/>
      <c r="AR107" s="13">
        <f t="shared" si="29"/>
        <v>0</v>
      </c>
      <c r="AS107" s="33"/>
      <c r="AT107" s="13">
        <f t="shared" si="23"/>
        <v>0</v>
      </c>
      <c r="AU107" s="13">
        <f>ROUNDUP(($AR107+$AT107)*VLOOKUP($AN107,Paraméterek!$P$38:$Q$38,2)/12,IF($D$4="Forint",0,2))</f>
        <v>0</v>
      </c>
      <c r="AV107" s="13"/>
      <c r="AW107" s="13"/>
      <c r="AX107" s="13">
        <f>ROUNDUP(IF(SUM($AV107:$AW107)=0,0,IF(IF(ISBLANK($AW107),$AV107,$AW107)*Paraméterek!$J$112&lt;IF($D$4="Forint",Paraméterek!$J$113,Paraméterek!$K$113),IF($D$4="Forint",Paraméterek!$J$113,Paraméterek!$K$113),IF(IF(ISBLANK($AW107),$AV107,$AW107)*Paraméterek!$J$112&gt;IF($D$4="Forint",Paraméterek!$J$114,Paraméterek!$K$114),IF($D$4="Forint",Paraméterek!$J$114,Paraméterek!$K$114),IF(ISBLANK($AW107),$AV107,$AW107)*Paraméterek!$J$112))),IF($D$4="Forint",0,2))</f>
        <v>0</v>
      </c>
      <c r="AY107" s="13">
        <f>$AR107+$AT107-$AU107-IF(ROUNDDOWN(IF(ISBLANK($AW107),$AV107,$AW107),IF($D$4="Forint",0,2))&gt;$AR107+$AT107-$AU107-IF($D$4="Forint",Paraméterek!$J$114,Paraméterek!$K$114),0,ROUNDDOWN(IF(ISBLANK($AW107),$AV107,$AW107),IF($D$4="Forint",0,2))-$AX107)</f>
        <v>0</v>
      </c>
      <c r="AZ107" s="13">
        <f t="shared" si="24"/>
        <v>0</v>
      </c>
    </row>
    <row r="108" spans="1:52" x14ac:dyDescent="0.2">
      <c r="A108" s="32">
        <v>89</v>
      </c>
      <c r="B108" s="32">
        <v>8</v>
      </c>
      <c r="C108" s="32">
        <v>5</v>
      </c>
      <c r="D108" s="13">
        <f t="shared" si="15"/>
        <v>0</v>
      </c>
      <c r="E108" s="13"/>
      <c r="F108" s="13"/>
      <c r="G108" s="13"/>
      <c r="H108" s="13">
        <f t="shared" si="16"/>
        <v>0</v>
      </c>
      <c r="I108" s="13">
        <f t="shared" si="17"/>
        <v>0</v>
      </c>
      <c r="J108" s="13">
        <f t="shared" si="18"/>
        <v>0</v>
      </c>
      <c r="K108" s="13">
        <f>ROUNDUP(IF($D$2="Egyszeri",$D108,IF($D$2="Havi",SUM($D$20:$D$31),IF(MOD($C108,$M$1)-1=0,SUM($D$20:$D$31),0))/12*$M$1)*VLOOKUP($B108,Paraméterek!$B$27:$D$30,IF($D$2="Egyszeri",3,2)),IF($D$4="Forint",0,2))</f>
        <v>0</v>
      </c>
      <c r="L108" s="13">
        <f t="shared" si="19"/>
        <v>0</v>
      </c>
      <c r="M108" s="13">
        <f t="shared" ca="1" si="25"/>
        <v>-48000</v>
      </c>
      <c r="N108" s="13">
        <f ca="1">IF($V107&gt;=VLOOKUP($M$4-1+$B108,Paraméterek!$B$121:$D$122,IF($D$4="Forint",2,3)),0,VLOOKUP($M$4-1+$B108,Paraméterek!$B$121:$D$122,IF($D$4="Forint",2,3))-$V107)</f>
        <v>58000</v>
      </c>
      <c r="O108" s="13">
        <f ca="1">ROUNDUP($N108*Paraméterek!$C$58/Paraméterek!$C$56,IF($D$4="Forint",0,2))</f>
        <v>10</v>
      </c>
      <c r="P108" s="13">
        <f t="shared" si="20"/>
        <v>677</v>
      </c>
      <c r="Q108" s="33"/>
      <c r="R108" s="13">
        <f t="shared" ca="1" si="21"/>
        <v>0</v>
      </c>
      <c r="S108" s="13">
        <f ca="1">ROUNDUP(($M108-$O108-$P108+$R108)*VLOOKUP($B108,Paraméterek!$B$38:$D$39,IF($D$2="Egyszeri",3,2))/12,IF($D$4="Forint",0,2))</f>
        <v>-132</v>
      </c>
      <c r="T108" s="13"/>
      <c r="U108" s="13"/>
      <c r="V108" s="13">
        <f ca="1">$M108-$O108-$P108+$R108-$S108-IF(ROUNDUP(IF(ISBLANK($U108),$T108,$U108)/IF(AND($B108=1,$D$2&lt;&gt;"Egyszeri"),1,VLOOKUP($B108+IF($C108=12,1,0),Paraméterek!$B$257:$D$267,IF($D$2="Egyszeri",3,2))),IF($D$4="Forint",0,2))&gt;$M108-$O108-$P108+$R108-$S108-IF($D$4="Forint",Paraméterek!$C$216,Paraméterek!$D$216),0,ROUNDUP(IF(ISBLANK($U108),$T108,$U108)/IF(AND($B108=1,$D$2&lt;&gt;"Egyszeri"),1,VLOOKUP($B108+IF($C108=12,1,0),Paraméterek!$B$257:$D$267,IF($D$2="Egyszeri",3,2))),IF($D$4="Forint",0,2)))</f>
        <v>-48555</v>
      </c>
      <c r="W108" s="13">
        <f ca="1">ROUNDDOWN($V108*VLOOKUP($B108+IF($C108=12,1,0),Paraméterek!$B$257:$D$267,IF($D$2="Egyszeri",3,2)),IF($D$4="Forint",0,2))</f>
        <v>-47098</v>
      </c>
      <c r="Y108" s="32">
        <v>89</v>
      </c>
      <c r="Z108" s="32">
        <v>8</v>
      </c>
      <c r="AA108" s="32">
        <v>5</v>
      </c>
      <c r="AB108" s="13">
        <f t="shared" si="26"/>
        <v>0</v>
      </c>
      <c r="AC108" s="33"/>
      <c r="AD108" s="13">
        <f t="shared" si="22"/>
        <v>0</v>
      </c>
      <c r="AE108" s="13">
        <f>ROUNDUP(($AB108+$AD108)*VLOOKUP($Z108,Paraméterek!$P$38:$Q$38,2)/12,IF($D$4="Forint",0,2))</f>
        <v>0</v>
      </c>
      <c r="AF108" s="13">
        <f>IF($D$2="Egyszeri",IF($D$7&gt;=IF($D$4="Forint",Paraméterek!$P$223,Paraméterek!$P$224),$D$7-IF($D$4="Forint",Paraméterek!$F$223,Paraméterek!$F$224),0),MIN(IF($AA108=12,AVERAGE($D$20:$D108)*12,0),SUM($D$20:$D$31)))</f>
        <v>0</v>
      </c>
      <c r="AG108" s="13">
        <f>IF(AND($Z108&gt;=10,MOD($Z108,5)=0),$AF108*IF($AA108=12,VLOOKUP($Z108,Paraméterek!$B$225:$F$240,IF($AF108&lt;IF($D$4="Forint",Paraméterek!$C$223,Paraméterek!$C$224),2,IF($AF108&lt;IF($D$4="Forint",Paraméterek!$D$223,Paraméterek!$D$224),3,4))),0),0)</f>
        <v>0</v>
      </c>
      <c r="AH108" s="13">
        <f>IF(AND($Z108&gt;=5,MOD($Z108,5)=0),IF($AA108=12,VLOOKUP($Z108,Paraméterek!$B$225:$F$240,5),0),IF(OR($Z108=3,$Z108=4),IF($AA108=12,VLOOKUP($Z108,Paraméterek!$B$225:$F$240,5,0),0),0))*$AF108</f>
        <v>0</v>
      </c>
      <c r="AI108" s="13">
        <f>ROUNDDOWN(IF(SUM($T$20:$U108)=0,IF($D$2="Egyszeri",$AH108,$AG108),0),IF($D$4="Forint",0,2))</f>
        <v>0</v>
      </c>
      <c r="AJ108" s="13">
        <f t="shared" si="27"/>
        <v>0</v>
      </c>
      <c r="AK108" s="13">
        <f t="shared" si="28"/>
        <v>0</v>
      </c>
      <c r="AM108" s="32">
        <v>89</v>
      </c>
      <c r="AN108" s="32">
        <v>8</v>
      </c>
      <c r="AO108" s="32">
        <v>5</v>
      </c>
      <c r="AP108" s="13"/>
      <c r="AQ108" s="32"/>
      <c r="AR108" s="13">
        <f t="shared" si="29"/>
        <v>0</v>
      </c>
      <c r="AS108" s="33"/>
      <c r="AT108" s="13">
        <f t="shared" si="23"/>
        <v>0</v>
      </c>
      <c r="AU108" s="13">
        <f>ROUNDUP(($AR108+$AT108)*VLOOKUP($AN108,Paraméterek!$P$38:$Q$38,2)/12,IF($D$4="Forint",0,2))</f>
        <v>0</v>
      </c>
      <c r="AV108" s="13"/>
      <c r="AW108" s="13"/>
      <c r="AX108" s="13">
        <f>ROUNDUP(IF(SUM($AV108:$AW108)=0,0,IF(IF(ISBLANK($AW108),$AV108,$AW108)*Paraméterek!$J$112&lt;IF($D$4="Forint",Paraméterek!$J$113,Paraméterek!$K$113),IF($D$4="Forint",Paraméterek!$J$113,Paraméterek!$K$113),IF(IF(ISBLANK($AW108),$AV108,$AW108)*Paraméterek!$J$112&gt;IF($D$4="Forint",Paraméterek!$J$114,Paraméterek!$K$114),IF($D$4="Forint",Paraméterek!$J$114,Paraméterek!$K$114),IF(ISBLANK($AW108),$AV108,$AW108)*Paraméterek!$J$112))),IF($D$4="Forint",0,2))</f>
        <v>0</v>
      </c>
      <c r="AY108" s="13">
        <f>$AR108+$AT108-$AU108-IF(ROUNDDOWN(IF(ISBLANK($AW108),$AV108,$AW108),IF($D$4="Forint",0,2))&gt;$AR108+$AT108-$AU108-IF($D$4="Forint",Paraméterek!$J$114,Paraméterek!$K$114),0,ROUNDDOWN(IF(ISBLANK($AW108),$AV108,$AW108),IF($D$4="Forint",0,2))-$AX108)</f>
        <v>0</v>
      </c>
      <c r="AZ108" s="13">
        <f t="shared" si="24"/>
        <v>0</v>
      </c>
    </row>
    <row r="109" spans="1:52" x14ac:dyDescent="0.2">
      <c r="A109" s="32">
        <v>90</v>
      </c>
      <c r="B109" s="32">
        <v>8</v>
      </c>
      <c r="C109" s="32">
        <v>6</v>
      </c>
      <c r="D109" s="13">
        <f t="shared" si="15"/>
        <v>0</v>
      </c>
      <c r="E109" s="13"/>
      <c r="F109" s="13"/>
      <c r="G109" s="13"/>
      <c r="H109" s="13">
        <f t="shared" si="16"/>
        <v>0</v>
      </c>
      <c r="I109" s="13">
        <f t="shared" si="17"/>
        <v>0</v>
      </c>
      <c r="J109" s="13">
        <f t="shared" si="18"/>
        <v>0</v>
      </c>
      <c r="K109" s="13">
        <f>ROUNDUP(IF($D$2="Egyszeri",$D109,IF($D$2="Havi",SUM($D$20:$D$31),IF(MOD($C109,$M$1)-1=0,SUM($D$20:$D$31),0))/12*$M$1)*VLOOKUP($B109,Paraméterek!$B$27:$D$30,IF($D$2="Egyszeri",3,2)),IF($D$4="Forint",0,2))</f>
        <v>0</v>
      </c>
      <c r="L109" s="13">
        <f t="shared" si="19"/>
        <v>0</v>
      </c>
      <c r="M109" s="13">
        <f t="shared" ca="1" si="25"/>
        <v>-48555</v>
      </c>
      <c r="N109" s="13">
        <f ca="1">IF($V108&gt;=VLOOKUP($M$4-1+$B109,Paraméterek!$B$121:$D$122,IF($D$4="Forint",2,3)),0,VLOOKUP($M$4-1+$B109,Paraméterek!$B$121:$D$122,IF($D$4="Forint",2,3))-$V108)</f>
        <v>58555</v>
      </c>
      <c r="O109" s="13">
        <f ca="1">ROUNDUP($N109*Paraméterek!$C$58/Paraméterek!$C$56,IF($D$4="Forint",0,2))</f>
        <v>10</v>
      </c>
      <c r="P109" s="13">
        <f t="shared" si="20"/>
        <v>677</v>
      </c>
      <c r="Q109" s="33"/>
      <c r="R109" s="13">
        <f t="shared" ca="1" si="21"/>
        <v>0</v>
      </c>
      <c r="S109" s="13">
        <f ca="1">ROUNDUP(($M109-$O109-$P109+$R109)*VLOOKUP($B109,Paraméterek!$B$38:$D$39,IF($D$2="Egyszeri",3,2))/12,IF($D$4="Forint",0,2))</f>
        <v>-134</v>
      </c>
      <c r="T109" s="13"/>
      <c r="U109" s="13"/>
      <c r="V109" s="13">
        <f ca="1">$M109-$O109-$P109+$R109-$S109-IF(ROUNDUP(IF(ISBLANK($U109),$T109,$U109)/IF(AND($B109=1,$D$2&lt;&gt;"Egyszeri"),1,VLOOKUP($B109+IF($C109=12,1,0),Paraméterek!$B$257:$D$267,IF($D$2="Egyszeri",3,2))),IF($D$4="Forint",0,2))&gt;$M109-$O109-$P109+$R109-$S109-IF($D$4="Forint",Paraméterek!$C$216,Paraméterek!$D$216),0,ROUNDUP(IF(ISBLANK($U109),$T109,$U109)/IF(AND($B109=1,$D$2&lt;&gt;"Egyszeri"),1,VLOOKUP($B109+IF($C109=12,1,0),Paraméterek!$B$257:$D$267,IF($D$2="Egyszeri",3,2))),IF($D$4="Forint",0,2)))</f>
        <v>-49108</v>
      </c>
      <c r="W109" s="13">
        <f ca="1">ROUNDDOWN($V109*VLOOKUP($B109+IF($C109=12,1,0),Paraméterek!$B$257:$D$267,IF($D$2="Egyszeri",3,2)),IF($D$4="Forint",0,2))</f>
        <v>-47634</v>
      </c>
      <c r="Y109" s="32">
        <v>90</v>
      </c>
      <c r="Z109" s="32">
        <v>8</v>
      </c>
      <c r="AA109" s="32">
        <v>6</v>
      </c>
      <c r="AB109" s="13">
        <f t="shared" si="26"/>
        <v>0</v>
      </c>
      <c r="AC109" s="33"/>
      <c r="AD109" s="13">
        <f t="shared" si="22"/>
        <v>0</v>
      </c>
      <c r="AE109" s="13">
        <f>ROUNDUP(($AB109+$AD109)*VLOOKUP($Z109,Paraméterek!$P$38:$Q$38,2)/12,IF($D$4="Forint",0,2))</f>
        <v>0</v>
      </c>
      <c r="AF109" s="13">
        <f>IF($D$2="Egyszeri",IF($D$7&gt;=IF($D$4="Forint",Paraméterek!$P$223,Paraméterek!$P$224),$D$7-IF($D$4="Forint",Paraméterek!$F$223,Paraméterek!$F$224),0),MIN(IF($AA109=12,AVERAGE($D$20:$D109)*12,0),SUM($D$20:$D$31)))</f>
        <v>0</v>
      </c>
      <c r="AG109" s="13">
        <f>IF(AND($Z109&gt;=10,MOD($Z109,5)=0),$AF109*IF($AA109=12,VLOOKUP($Z109,Paraméterek!$B$225:$F$240,IF($AF109&lt;IF($D$4="Forint",Paraméterek!$C$223,Paraméterek!$C$224),2,IF($AF109&lt;IF($D$4="Forint",Paraméterek!$D$223,Paraméterek!$D$224),3,4))),0),0)</f>
        <v>0</v>
      </c>
      <c r="AH109" s="13">
        <f>IF(AND($Z109&gt;=5,MOD($Z109,5)=0),IF($AA109=12,VLOOKUP($Z109,Paraméterek!$B$225:$F$240,5),0),IF(OR($Z109=3,$Z109=4),IF($AA109=12,VLOOKUP($Z109,Paraméterek!$B$225:$F$240,5,0),0),0))*$AF109</f>
        <v>0</v>
      </c>
      <c r="AI109" s="13">
        <f>ROUNDDOWN(IF(SUM($T$20:$U109)=0,IF($D$2="Egyszeri",$AH109,$AG109),0),IF($D$4="Forint",0,2))</f>
        <v>0</v>
      </c>
      <c r="AJ109" s="13">
        <f t="shared" si="27"/>
        <v>0</v>
      </c>
      <c r="AK109" s="13">
        <f t="shared" si="28"/>
        <v>0</v>
      </c>
      <c r="AM109" s="32">
        <v>90</v>
      </c>
      <c r="AN109" s="32">
        <v>8</v>
      </c>
      <c r="AO109" s="32">
        <v>6</v>
      </c>
      <c r="AP109" s="13"/>
      <c r="AQ109" s="32"/>
      <c r="AR109" s="13">
        <f t="shared" si="29"/>
        <v>0</v>
      </c>
      <c r="AS109" s="33"/>
      <c r="AT109" s="13">
        <f t="shared" si="23"/>
        <v>0</v>
      </c>
      <c r="AU109" s="13">
        <f>ROUNDUP(($AR109+$AT109)*VLOOKUP($AN109,Paraméterek!$P$38:$Q$38,2)/12,IF($D$4="Forint",0,2))</f>
        <v>0</v>
      </c>
      <c r="AV109" s="13"/>
      <c r="AW109" s="13"/>
      <c r="AX109" s="13">
        <f>ROUNDUP(IF(SUM($AV109:$AW109)=0,0,IF(IF(ISBLANK($AW109),$AV109,$AW109)*Paraméterek!$J$112&lt;IF($D$4="Forint",Paraméterek!$J$113,Paraméterek!$K$113),IF($D$4="Forint",Paraméterek!$J$113,Paraméterek!$K$113),IF(IF(ISBLANK($AW109),$AV109,$AW109)*Paraméterek!$J$112&gt;IF($D$4="Forint",Paraméterek!$J$114,Paraméterek!$K$114),IF($D$4="Forint",Paraméterek!$J$114,Paraméterek!$K$114),IF(ISBLANK($AW109),$AV109,$AW109)*Paraméterek!$J$112))),IF($D$4="Forint",0,2))</f>
        <v>0</v>
      </c>
      <c r="AY109" s="13">
        <f>$AR109+$AT109-$AU109-IF(ROUNDDOWN(IF(ISBLANK($AW109),$AV109,$AW109),IF($D$4="Forint",0,2))&gt;$AR109+$AT109-$AU109-IF($D$4="Forint",Paraméterek!$J$114,Paraméterek!$K$114),0,ROUNDDOWN(IF(ISBLANK($AW109),$AV109,$AW109),IF($D$4="Forint",0,2))-$AX109)</f>
        <v>0</v>
      </c>
      <c r="AZ109" s="13">
        <f t="shared" si="24"/>
        <v>0</v>
      </c>
    </row>
    <row r="110" spans="1:52" x14ac:dyDescent="0.2">
      <c r="A110" s="32">
        <v>91</v>
      </c>
      <c r="B110" s="32">
        <v>8</v>
      </c>
      <c r="C110" s="32">
        <v>7</v>
      </c>
      <c r="D110" s="13">
        <f t="shared" si="15"/>
        <v>0</v>
      </c>
      <c r="E110" s="13"/>
      <c r="F110" s="13"/>
      <c r="G110" s="13"/>
      <c r="H110" s="13">
        <f t="shared" si="16"/>
        <v>0</v>
      </c>
      <c r="I110" s="13">
        <f t="shared" si="17"/>
        <v>0</v>
      </c>
      <c r="J110" s="13">
        <f t="shared" si="18"/>
        <v>0</v>
      </c>
      <c r="K110" s="13">
        <f>ROUNDUP(IF($D$2="Egyszeri",$D110,IF($D$2="Havi",SUM($D$20:$D$31),IF(MOD($C110,$M$1)-1=0,SUM($D$20:$D$31),0))/12*$M$1)*VLOOKUP($B110,Paraméterek!$B$27:$D$30,IF($D$2="Egyszeri",3,2)),IF($D$4="Forint",0,2))</f>
        <v>0</v>
      </c>
      <c r="L110" s="13">
        <f t="shared" si="19"/>
        <v>0</v>
      </c>
      <c r="M110" s="13">
        <f t="shared" ca="1" si="25"/>
        <v>-49108</v>
      </c>
      <c r="N110" s="13">
        <f ca="1">IF($V109&gt;=VLOOKUP($M$4-1+$B110,Paraméterek!$B$121:$D$122,IF($D$4="Forint",2,3)),0,VLOOKUP($M$4-1+$B110,Paraméterek!$B$121:$D$122,IF($D$4="Forint",2,3))-$V109)</f>
        <v>59108</v>
      </c>
      <c r="O110" s="13">
        <f ca="1">ROUNDUP($N110*Paraméterek!$C$58/Paraméterek!$C$56,IF($D$4="Forint",0,2))</f>
        <v>10</v>
      </c>
      <c r="P110" s="13">
        <f t="shared" si="20"/>
        <v>677</v>
      </c>
      <c r="Q110" s="33"/>
      <c r="R110" s="13">
        <f t="shared" ca="1" si="21"/>
        <v>0</v>
      </c>
      <c r="S110" s="13">
        <f ca="1">ROUNDUP(($M110-$O110-$P110+$R110)*VLOOKUP($B110,Paraméterek!$B$38:$D$39,IF($D$2="Egyszeri",3,2))/12,IF($D$4="Forint",0,2))</f>
        <v>-135</v>
      </c>
      <c r="T110" s="13"/>
      <c r="U110" s="13"/>
      <c r="V110" s="13">
        <f ca="1">$M110-$O110-$P110+$R110-$S110-IF(ROUNDUP(IF(ISBLANK($U110),$T110,$U110)/IF(AND($B110=1,$D$2&lt;&gt;"Egyszeri"),1,VLOOKUP($B110+IF($C110=12,1,0),Paraméterek!$B$257:$D$267,IF($D$2="Egyszeri",3,2))),IF($D$4="Forint",0,2))&gt;$M110-$O110-$P110+$R110-$S110-IF($D$4="Forint",Paraméterek!$C$216,Paraméterek!$D$216),0,ROUNDUP(IF(ISBLANK($U110),$T110,$U110)/IF(AND($B110=1,$D$2&lt;&gt;"Egyszeri"),1,VLOOKUP($B110+IF($C110=12,1,0),Paraméterek!$B$257:$D$267,IF($D$2="Egyszeri",3,2))),IF($D$4="Forint",0,2)))</f>
        <v>-49660</v>
      </c>
      <c r="W110" s="13">
        <f ca="1">ROUNDDOWN($V110*VLOOKUP($B110+IF($C110=12,1,0),Paraméterek!$B$257:$D$267,IF($D$2="Egyszeri",3,2)),IF($D$4="Forint",0,2))</f>
        <v>-48170</v>
      </c>
      <c r="Y110" s="32">
        <v>91</v>
      </c>
      <c r="Z110" s="32">
        <v>8</v>
      </c>
      <c r="AA110" s="32">
        <v>7</v>
      </c>
      <c r="AB110" s="13">
        <f t="shared" si="26"/>
        <v>0</v>
      </c>
      <c r="AC110" s="33"/>
      <c r="AD110" s="13">
        <f t="shared" si="22"/>
        <v>0</v>
      </c>
      <c r="AE110" s="13">
        <f>ROUNDUP(($AB110+$AD110)*VLOOKUP($Z110,Paraméterek!$P$38:$Q$38,2)/12,IF($D$4="Forint",0,2))</f>
        <v>0</v>
      </c>
      <c r="AF110" s="13">
        <f>IF($D$2="Egyszeri",IF($D$7&gt;=IF($D$4="Forint",Paraméterek!$P$223,Paraméterek!$P$224),$D$7-IF($D$4="Forint",Paraméterek!$F$223,Paraméterek!$F$224),0),MIN(IF($AA110=12,AVERAGE($D$20:$D110)*12,0),SUM($D$20:$D$31)))</f>
        <v>0</v>
      </c>
      <c r="AG110" s="13">
        <f>IF(AND($Z110&gt;=10,MOD($Z110,5)=0),$AF110*IF($AA110=12,VLOOKUP($Z110,Paraméterek!$B$225:$F$240,IF($AF110&lt;IF($D$4="Forint",Paraméterek!$C$223,Paraméterek!$C$224),2,IF($AF110&lt;IF($D$4="Forint",Paraméterek!$D$223,Paraméterek!$D$224),3,4))),0),0)</f>
        <v>0</v>
      </c>
      <c r="AH110" s="13">
        <f>IF(AND($Z110&gt;=5,MOD($Z110,5)=0),IF($AA110=12,VLOOKUP($Z110,Paraméterek!$B$225:$F$240,5),0),IF(OR($Z110=3,$Z110=4),IF($AA110=12,VLOOKUP($Z110,Paraméterek!$B$225:$F$240,5,0),0),0))*$AF110</f>
        <v>0</v>
      </c>
      <c r="AI110" s="13">
        <f>ROUNDDOWN(IF(SUM($T$20:$U110)=0,IF($D$2="Egyszeri",$AH110,$AG110),0),IF($D$4="Forint",0,2))</f>
        <v>0</v>
      </c>
      <c r="AJ110" s="13">
        <f t="shared" si="27"/>
        <v>0</v>
      </c>
      <c r="AK110" s="13">
        <f t="shared" si="28"/>
        <v>0</v>
      </c>
      <c r="AM110" s="32">
        <v>91</v>
      </c>
      <c r="AN110" s="32">
        <v>8</v>
      </c>
      <c r="AO110" s="32">
        <v>7</v>
      </c>
      <c r="AP110" s="13"/>
      <c r="AQ110" s="32"/>
      <c r="AR110" s="13">
        <f t="shared" si="29"/>
        <v>0</v>
      </c>
      <c r="AS110" s="33"/>
      <c r="AT110" s="13">
        <f t="shared" si="23"/>
        <v>0</v>
      </c>
      <c r="AU110" s="13">
        <f>ROUNDUP(($AR110+$AT110)*VLOOKUP($AN110,Paraméterek!$P$38:$Q$38,2)/12,IF($D$4="Forint",0,2))</f>
        <v>0</v>
      </c>
      <c r="AV110" s="13"/>
      <c r="AW110" s="13"/>
      <c r="AX110" s="13">
        <f>ROUNDUP(IF(SUM($AV110:$AW110)=0,0,IF(IF(ISBLANK($AW110),$AV110,$AW110)*Paraméterek!$J$112&lt;IF($D$4="Forint",Paraméterek!$J$113,Paraméterek!$K$113),IF($D$4="Forint",Paraméterek!$J$113,Paraméterek!$K$113),IF(IF(ISBLANK($AW110),$AV110,$AW110)*Paraméterek!$J$112&gt;IF($D$4="Forint",Paraméterek!$J$114,Paraméterek!$K$114),IF($D$4="Forint",Paraméterek!$J$114,Paraméterek!$K$114),IF(ISBLANK($AW110),$AV110,$AW110)*Paraméterek!$J$112))),IF($D$4="Forint",0,2))</f>
        <v>0</v>
      </c>
      <c r="AY110" s="13">
        <f>$AR110+$AT110-$AU110-IF(ROUNDDOWN(IF(ISBLANK($AW110),$AV110,$AW110),IF($D$4="Forint",0,2))&gt;$AR110+$AT110-$AU110-IF($D$4="Forint",Paraméterek!$J$114,Paraméterek!$K$114),0,ROUNDDOWN(IF(ISBLANK($AW110),$AV110,$AW110),IF($D$4="Forint",0,2))-$AX110)</f>
        <v>0</v>
      </c>
      <c r="AZ110" s="13">
        <f t="shared" si="24"/>
        <v>0</v>
      </c>
    </row>
    <row r="111" spans="1:52" x14ac:dyDescent="0.2">
      <c r="A111" s="32">
        <v>92</v>
      </c>
      <c r="B111" s="32">
        <v>8</v>
      </c>
      <c r="C111" s="32">
        <v>8</v>
      </c>
      <c r="D111" s="13">
        <f t="shared" si="15"/>
        <v>0</v>
      </c>
      <c r="E111" s="13"/>
      <c r="F111" s="13"/>
      <c r="G111" s="13"/>
      <c r="H111" s="13">
        <f t="shared" si="16"/>
        <v>0</v>
      </c>
      <c r="I111" s="13">
        <f t="shared" si="17"/>
        <v>0</v>
      </c>
      <c r="J111" s="13">
        <f t="shared" si="18"/>
        <v>0</v>
      </c>
      <c r="K111" s="13">
        <f>ROUNDUP(IF($D$2="Egyszeri",$D111,IF($D$2="Havi",SUM($D$20:$D$31),IF(MOD($C111,$M$1)-1=0,SUM($D$20:$D$31),0))/12*$M$1)*VLOOKUP($B111,Paraméterek!$B$27:$D$30,IF($D$2="Egyszeri",3,2)),IF($D$4="Forint",0,2))</f>
        <v>0</v>
      </c>
      <c r="L111" s="13">
        <f t="shared" si="19"/>
        <v>0</v>
      </c>
      <c r="M111" s="13">
        <f t="shared" ca="1" si="25"/>
        <v>-49660</v>
      </c>
      <c r="N111" s="13">
        <f ca="1">IF($V110&gt;=VLOOKUP($M$4-1+$B111,Paraméterek!$B$121:$D$122,IF($D$4="Forint",2,3)),0,VLOOKUP($M$4-1+$B111,Paraméterek!$B$121:$D$122,IF($D$4="Forint",2,3))-$V110)</f>
        <v>59660</v>
      </c>
      <c r="O111" s="13">
        <f ca="1">ROUNDUP($N111*Paraméterek!$C$58/Paraméterek!$C$56,IF($D$4="Forint",0,2))</f>
        <v>10</v>
      </c>
      <c r="P111" s="13">
        <f t="shared" si="20"/>
        <v>677</v>
      </c>
      <c r="Q111" s="33"/>
      <c r="R111" s="13">
        <f t="shared" ca="1" si="21"/>
        <v>0</v>
      </c>
      <c r="S111" s="13">
        <f ca="1">ROUNDUP(($M111-$O111-$P111+$R111)*VLOOKUP($B111,Paraméterek!$B$38:$D$39,IF($D$2="Egyszeri",3,2))/12,IF($D$4="Forint",0,2))</f>
        <v>-137</v>
      </c>
      <c r="T111" s="13"/>
      <c r="U111" s="13"/>
      <c r="V111" s="13">
        <f ca="1">$M111-$O111-$P111+$R111-$S111-IF(ROUNDUP(IF(ISBLANK($U111),$T111,$U111)/IF(AND($B111=1,$D$2&lt;&gt;"Egyszeri"),1,VLOOKUP($B111+IF($C111=12,1,0),Paraméterek!$B$257:$D$267,IF($D$2="Egyszeri",3,2))),IF($D$4="Forint",0,2))&gt;$M111-$O111-$P111+$R111-$S111-IF($D$4="Forint",Paraméterek!$C$216,Paraméterek!$D$216),0,ROUNDUP(IF(ISBLANK($U111),$T111,$U111)/IF(AND($B111=1,$D$2&lt;&gt;"Egyszeri"),1,VLOOKUP($B111+IF($C111=12,1,0),Paraméterek!$B$257:$D$267,IF($D$2="Egyszeri",3,2))),IF($D$4="Forint",0,2)))</f>
        <v>-50210</v>
      </c>
      <c r="W111" s="13">
        <f ca="1">ROUNDDOWN($V111*VLOOKUP($B111+IF($C111=12,1,0),Paraméterek!$B$257:$D$267,IF($D$2="Egyszeri",3,2)),IF($D$4="Forint",0,2))</f>
        <v>-48703</v>
      </c>
      <c r="Y111" s="32">
        <v>92</v>
      </c>
      <c r="Z111" s="32">
        <v>8</v>
      </c>
      <c r="AA111" s="32">
        <v>8</v>
      </c>
      <c r="AB111" s="13">
        <f t="shared" si="26"/>
        <v>0</v>
      </c>
      <c r="AC111" s="33"/>
      <c r="AD111" s="13">
        <f t="shared" si="22"/>
        <v>0</v>
      </c>
      <c r="AE111" s="13">
        <f>ROUNDUP(($AB111+$AD111)*VLOOKUP($Z111,Paraméterek!$P$38:$Q$38,2)/12,IF($D$4="Forint",0,2))</f>
        <v>0</v>
      </c>
      <c r="AF111" s="13">
        <f>IF($D$2="Egyszeri",IF($D$7&gt;=IF($D$4="Forint",Paraméterek!$P$223,Paraméterek!$P$224),$D$7-IF($D$4="Forint",Paraméterek!$F$223,Paraméterek!$F$224),0),MIN(IF($AA111=12,AVERAGE($D$20:$D111)*12,0),SUM($D$20:$D$31)))</f>
        <v>0</v>
      </c>
      <c r="AG111" s="13">
        <f>IF(AND($Z111&gt;=10,MOD($Z111,5)=0),$AF111*IF($AA111=12,VLOOKUP($Z111,Paraméterek!$B$225:$F$240,IF($AF111&lt;IF($D$4="Forint",Paraméterek!$C$223,Paraméterek!$C$224),2,IF($AF111&lt;IF($D$4="Forint",Paraméterek!$D$223,Paraméterek!$D$224),3,4))),0),0)</f>
        <v>0</v>
      </c>
      <c r="AH111" s="13">
        <f>IF(AND($Z111&gt;=5,MOD($Z111,5)=0),IF($AA111=12,VLOOKUP($Z111,Paraméterek!$B$225:$F$240,5),0),IF(OR($Z111=3,$Z111=4),IF($AA111=12,VLOOKUP($Z111,Paraméterek!$B$225:$F$240,5,0),0),0))*$AF111</f>
        <v>0</v>
      </c>
      <c r="AI111" s="13">
        <f>ROUNDDOWN(IF(SUM($T$20:$U111)=0,IF($D$2="Egyszeri",$AH111,$AG111),0),IF($D$4="Forint",0,2))</f>
        <v>0</v>
      </c>
      <c r="AJ111" s="13">
        <f t="shared" si="27"/>
        <v>0</v>
      </c>
      <c r="AK111" s="13">
        <f t="shared" si="28"/>
        <v>0</v>
      </c>
      <c r="AM111" s="32">
        <v>92</v>
      </c>
      <c r="AN111" s="32">
        <v>8</v>
      </c>
      <c r="AO111" s="32">
        <v>8</v>
      </c>
      <c r="AP111" s="13"/>
      <c r="AQ111" s="32"/>
      <c r="AR111" s="13">
        <f t="shared" si="29"/>
        <v>0</v>
      </c>
      <c r="AS111" s="33"/>
      <c r="AT111" s="13">
        <f t="shared" si="23"/>
        <v>0</v>
      </c>
      <c r="AU111" s="13">
        <f>ROUNDUP(($AR111+$AT111)*VLOOKUP($AN111,Paraméterek!$P$38:$Q$38,2)/12,IF($D$4="Forint",0,2))</f>
        <v>0</v>
      </c>
      <c r="AV111" s="13"/>
      <c r="AW111" s="13"/>
      <c r="AX111" s="13">
        <f>ROUNDUP(IF(SUM($AV111:$AW111)=0,0,IF(IF(ISBLANK($AW111),$AV111,$AW111)*Paraméterek!$J$112&lt;IF($D$4="Forint",Paraméterek!$J$113,Paraméterek!$K$113),IF($D$4="Forint",Paraméterek!$J$113,Paraméterek!$K$113),IF(IF(ISBLANK($AW111),$AV111,$AW111)*Paraméterek!$J$112&gt;IF($D$4="Forint",Paraméterek!$J$114,Paraméterek!$K$114),IF($D$4="Forint",Paraméterek!$J$114,Paraméterek!$K$114),IF(ISBLANK($AW111),$AV111,$AW111)*Paraméterek!$J$112))),IF($D$4="Forint",0,2))</f>
        <v>0</v>
      </c>
      <c r="AY111" s="13">
        <f>$AR111+$AT111-$AU111-IF(ROUNDDOWN(IF(ISBLANK($AW111),$AV111,$AW111),IF($D$4="Forint",0,2))&gt;$AR111+$AT111-$AU111-IF($D$4="Forint",Paraméterek!$J$114,Paraméterek!$K$114),0,ROUNDDOWN(IF(ISBLANK($AW111),$AV111,$AW111),IF($D$4="Forint",0,2))-$AX111)</f>
        <v>0</v>
      </c>
      <c r="AZ111" s="13">
        <f t="shared" si="24"/>
        <v>0</v>
      </c>
    </row>
    <row r="112" spans="1:52" x14ac:dyDescent="0.2">
      <c r="A112" s="32">
        <v>93</v>
      </c>
      <c r="B112" s="32">
        <v>8</v>
      </c>
      <c r="C112" s="32">
        <v>9</v>
      </c>
      <c r="D112" s="13">
        <f t="shared" si="15"/>
        <v>0</v>
      </c>
      <c r="E112" s="13"/>
      <c r="F112" s="13"/>
      <c r="G112" s="13"/>
      <c r="H112" s="13">
        <f t="shared" si="16"/>
        <v>0</v>
      </c>
      <c r="I112" s="13">
        <f t="shared" si="17"/>
        <v>0</v>
      </c>
      <c r="J112" s="13">
        <f t="shared" si="18"/>
        <v>0</v>
      </c>
      <c r="K112" s="13">
        <f>ROUNDUP(IF($D$2="Egyszeri",$D112,IF($D$2="Havi",SUM($D$20:$D$31),IF(MOD($C112,$M$1)-1=0,SUM($D$20:$D$31),0))/12*$M$1)*VLOOKUP($B112,Paraméterek!$B$27:$D$30,IF($D$2="Egyszeri",3,2)),IF($D$4="Forint",0,2))</f>
        <v>0</v>
      </c>
      <c r="L112" s="13">
        <f t="shared" si="19"/>
        <v>0</v>
      </c>
      <c r="M112" s="13">
        <f t="shared" ca="1" si="25"/>
        <v>-50210</v>
      </c>
      <c r="N112" s="13">
        <f ca="1">IF($V111&gt;=VLOOKUP($M$4-1+$B112,Paraméterek!$B$121:$D$122,IF($D$4="Forint",2,3)),0,VLOOKUP($M$4-1+$B112,Paraméterek!$B$121:$D$122,IF($D$4="Forint",2,3))-$V111)</f>
        <v>60210</v>
      </c>
      <c r="O112" s="13">
        <f ca="1">ROUNDUP($N112*Paraméterek!$C$58/Paraméterek!$C$56,IF($D$4="Forint",0,2))</f>
        <v>10</v>
      </c>
      <c r="P112" s="13">
        <f t="shared" si="20"/>
        <v>677</v>
      </c>
      <c r="Q112" s="33"/>
      <c r="R112" s="13">
        <f t="shared" ca="1" si="21"/>
        <v>0</v>
      </c>
      <c r="S112" s="13">
        <f ca="1">ROUNDUP(($M112-$O112-$P112+$R112)*VLOOKUP($B112,Paraméterek!$B$38:$D$39,IF($D$2="Egyszeri",3,2))/12,IF($D$4="Forint",0,2))</f>
        <v>-138</v>
      </c>
      <c r="T112" s="13"/>
      <c r="U112" s="13"/>
      <c r="V112" s="13">
        <f ca="1">$M112-$O112-$P112+$R112-$S112-IF(ROUNDUP(IF(ISBLANK($U112),$T112,$U112)/IF(AND($B112=1,$D$2&lt;&gt;"Egyszeri"),1,VLOOKUP($B112+IF($C112=12,1,0),Paraméterek!$B$257:$D$267,IF($D$2="Egyszeri",3,2))),IF($D$4="Forint",0,2))&gt;$M112-$O112-$P112+$R112-$S112-IF($D$4="Forint",Paraméterek!$C$216,Paraméterek!$D$216),0,ROUNDUP(IF(ISBLANK($U112),$T112,$U112)/IF(AND($B112=1,$D$2&lt;&gt;"Egyszeri"),1,VLOOKUP($B112+IF($C112=12,1,0),Paraméterek!$B$257:$D$267,IF($D$2="Egyszeri",3,2))),IF($D$4="Forint",0,2)))</f>
        <v>-50759</v>
      </c>
      <c r="W112" s="13">
        <f ca="1">ROUNDDOWN($V112*VLOOKUP($B112+IF($C112=12,1,0),Paraméterek!$B$257:$D$267,IF($D$2="Egyszeri",3,2)),IF($D$4="Forint",0,2))</f>
        <v>-49236</v>
      </c>
      <c r="Y112" s="32">
        <v>93</v>
      </c>
      <c r="Z112" s="32">
        <v>8</v>
      </c>
      <c r="AA112" s="32">
        <v>9</v>
      </c>
      <c r="AB112" s="13">
        <f t="shared" si="26"/>
        <v>0</v>
      </c>
      <c r="AC112" s="33"/>
      <c r="AD112" s="13">
        <f t="shared" si="22"/>
        <v>0</v>
      </c>
      <c r="AE112" s="13">
        <f>ROUNDUP(($AB112+$AD112)*VLOOKUP($Z112,Paraméterek!$P$38:$Q$38,2)/12,IF($D$4="Forint",0,2))</f>
        <v>0</v>
      </c>
      <c r="AF112" s="13">
        <f>IF($D$2="Egyszeri",IF($D$7&gt;=IF($D$4="Forint",Paraméterek!$P$223,Paraméterek!$P$224),$D$7-IF($D$4="Forint",Paraméterek!$F$223,Paraméterek!$F$224),0),MIN(IF($AA112=12,AVERAGE($D$20:$D112)*12,0),SUM($D$20:$D$31)))</f>
        <v>0</v>
      </c>
      <c r="AG112" s="13">
        <f>IF(AND($Z112&gt;=10,MOD($Z112,5)=0),$AF112*IF($AA112=12,VLOOKUP($Z112,Paraméterek!$B$225:$F$240,IF($AF112&lt;IF($D$4="Forint",Paraméterek!$C$223,Paraméterek!$C$224),2,IF($AF112&lt;IF($D$4="Forint",Paraméterek!$D$223,Paraméterek!$D$224),3,4))),0),0)</f>
        <v>0</v>
      </c>
      <c r="AH112" s="13">
        <f>IF(AND($Z112&gt;=5,MOD($Z112,5)=0),IF($AA112=12,VLOOKUP($Z112,Paraméterek!$B$225:$F$240,5),0),IF(OR($Z112=3,$Z112=4),IF($AA112=12,VLOOKUP($Z112,Paraméterek!$B$225:$F$240,5,0),0),0))*$AF112</f>
        <v>0</v>
      </c>
      <c r="AI112" s="13">
        <f>ROUNDDOWN(IF(SUM($T$20:$U112)=0,IF($D$2="Egyszeri",$AH112,$AG112),0),IF($D$4="Forint",0,2))</f>
        <v>0</v>
      </c>
      <c r="AJ112" s="13">
        <f t="shared" si="27"/>
        <v>0</v>
      </c>
      <c r="AK112" s="13">
        <f t="shared" si="28"/>
        <v>0</v>
      </c>
      <c r="AM112" s="32">
        <v>93</v>
      </c>
      <c r="AN112" s="32">
        <v>8</v>
      </c>
      <c r="AO112" s="32">
        <v>9</v>
      </c>
      <c r="AP112" s="13"/>
      <c r="AQ112" s="32"/>
      <c r="AR112" s="13">
        <f t="shared" si="29"/>
        <v>0</v>
      </c>
      <c r="AS112" s="33"/>
      <c r="AT112" s="13">
        <f t="shared" si="23"/>
        <v>0</v>
      </c>
      <c r="AU112" s="13">
        <f>ROUNDUP(($AR112+$AT112)*VLOOKUP($AN112,Paraméterek!$P$38:$Q$38,2)/12,IF($D$4="Forint",0,2))</f>
        <v>0</v>
      </c>
      <c r="AV112" s="13"/>
      <c r="AW112" s="13"/>
      <c r="AX112" s="13">
        <f>ROUNDUP(IF(SUM($AV112:$AW112)=0,0,IF(IF(ISBLANK($AW112),$AV112,$AW112)*Paraméterek!$J$112&lt;IF($D$4="Forint",Paraméterek!$J$113,Paraméterek!$K$113),IF($D$4="Forint",Paraméterek!$J$113,Paraméterek!$K$113),IF(IF(ISBLANK($AW112),$AV112,$AW112)*Paraméterek!$J$112&gt;IF($D$4="Forint",Paraméterek!$J$114,Paraméterek!$K$114),IF($D$4="Forint",Paraméterek!$J$114,Paraméterek!$K$114),IF(ISBLANK($AW112),$AV112,$AW112)*Paraméterek!$J$112))),IF($D$4="Forint",0,2))</f>
        <v>0</v>
      </c>
      <c r="AY112" s="13">
        <f>$AR112+$AT112-$AU112-IF(ROUNDDOWN(IF(ISBLANK($AW112),$AV112,$AW112),IF($D$4="Forint",0,2))&gt;$AR112+$AT112-$AU112-IF($D$4="Forint",Paraméterek!$J$114,Paraméterek!$K$114),0,ROUNDDOWN(IF(ISBLANK($AW112),$AV112,$AW112),IF($D$4="Forint",0,2))-$AX112)</f>
        <v>0</v>
      </c>
      <c r="AZ112" s="13">
        <f t="shared" si="24"/>
        <v>0</v>
      </c>
    </row>
    <row r="113" spans="1:52" x14ac:dyDescent="0.2">
      <c r="A113" s="32">
        <v>94</v>
      </c>
      <c r="B113" s="32">
        <v>8</v>
      </c>
      <c r="C113" s="32">
        <v>10</v>
      </c>
      <c r="D113" s="13">
        <f t="shared" si="15"/>
        <v>0</v>
      </c>
      <c r="E113" s="13"/>
      <c r="F113" s="13"/>
      <c r="G113" s="13"/>
      <c r="H113" s="13">
        <f t="shared" si="16"/>
        <v>0</v>
      </c>
      <c r="I113" s="13">
        <f t="shared" si="17"/>
        <v>0</v>
      </c>
      <c r="J113" s="13">
        <f t="shared" si="18"/>
        <v>0</v>
      </c>
      <c r="K113" s="13">
        <f>ROUNDUP(IF($D$2="Egyszeri",$D113,IF($D$2="Havi",SUM($D$20:$D$31),IF(MOD($C113,$M$1)-1=0,SUM($D$20:$D$31),0))/12*$M$1)*VLOOKUP($B113,Paraméterek!$B$27:$D$30,IF($D$2="Egyszeri",3,2)),IF($D$4="Forint",0,2))</f>
        <v>0</v>
      </c>
      <c r="L113" s="13">
        <f t="shared" si="19"/>
        <v>0</v>
      </c>
      <c r="M113" s="13">
        <f t="shared" ca="1" si="25"/>
        <v>-50759</v>
      </c>
      <c r="N113" s="13">
        <f ca="1">IF($V112&gt;=VLOOKUP($M$4-1+$B113,Paraméterek!$B$121:$D$122,IF($D$4="Forint",2,3)),0,VLOOKUP($M$4-1+$B113,Paraméterek!$B$121:$D$122,IF($D$4="Forint",2,3))-$V112)</f>
        <v>60759</v>
      </c>
      <c r="O113" s="13">
        <f ca="1">ROUNDUP($N113*Paraméterek!$C$58/Paraméterek!$C$56,IF($D$4="Forint",0,2))</f>
        <v>10</v>
      </c>
      <c r="P113" s="13">
        <f t="shared" si="20"/>
        <v>677</v>
      </c>
      <c r="Q113" s="33"/>
      <c r="R113" s="13">
        <f t="shared" ca="1" si="21"/>
        <v>0</v>
      </c>
      <c r="S113" s="13">
        <f ca="1">ROUNDUP(($M113-$O113-$P113+$R113)*VLOOKUP($B113,Paraméterek!$B$38:$D$39,IF($D$2="Egyszeri",3,2))/12,IF($D$4="Forint",0,2))</f>
        <v>-140</v>
      </c>
      <c r="T113" s="13"/>
      <c r="U113" s="13"/>
      <c r="V113" s="13">
        <f ca="1">$M113-$O113-$P113+$R113-$S113-IF(ROUNDUP(IF(ISBLANK($U113),$T113,$U113)/IF(AND($B113=1,$D$2&lt;&gt;"Egyszeri"),1,VLOOKUP($B113+IF($C113=12,1,0),Paraméterek!$B$257:$D$267,IF($D$2="Egyszeri",3,2))),IF($D$4="Forint",0,2))&gt;$M113-$O113-$P113+$R113-$S113-IF($D$4="Forint",Paraméterek!$C$216,Paraméterek!$D$216),0,ROUNDUP(IF(ISBLANK($U113),$T113,$U113)/IF(AND($B113=1,$D$2&lt;&gt;"Egyszeri"),1,VLOOKUP($B113+IF($C113=12,1,0),Paraméterek!$B$257:$D$267,IF($D$2="Egyszeri",3,2))),IF($D$4="Forint",0,2)))</f>
        <v>-51306</v>
      </c>
      <c r="W113" s="13">
        <f ca="1">ROUNDDOWN($V113*VLOOKUP($B113+IF($C113=12,1,0),Paraméterek!$B$257:$D$267,IF($D$2="Egyszeri",3,2)),IF($D$4="Forint",0,2))</f>
        <v>-49766</v>
      </c>
      <c r="Y113" s="32">
        <v>94</v>
      </c>
      <c r="Z113" s="32">
        <v>8</v>
      </c>
      <c r="AA113" s="32">
        <v>10</v>
      </c>
      <c r="AB113" s="13">
        <f t="shared" si="26"/>
        <v>0</v>
      </c>
      <c r="AC113" s="33"/>
      <c r="AD113" s="13">
        <f t="shared" si="22"/>
        <v>0</v>
      </c>
      <c r="AE113" s="13">
        <f>ROUNDUP(($AB113+$AD113)*VLOOKUP($Z113,Paraméterek!$P$38:$Q$38,2)/12,IF($D$4="Forint",0,2))</f>
        <v>0</v>
      </c>
      <c r="AF113" s="13">
        <f>IF($D$2="Egyszeri",IF($D$7&gt;=IF($D$4="Forint",Paraméterek!$P$223,Paraméterek!$P$224),$D$7-IF($D$4="Forint",Paraméterek!$F$223,Paraméterek!$F$224),0),MIN(IF($AA113=12,AVERAGE($D$20:$D113)*12,0),SUM($D$20:$D$31)))</f>
        <v>0</v>
      </c>
      <c r="AG113" s="13">
        <f>IF(AND($Z113&gt;=10,MOD($Z113,5)=0),$AF113*IF($AA113=12,VLOOKUP($Z113,Paraméterek!$B$225:$F$240,IF($AF113&lt;IF($D$4="Forint",Paraméterek!$C$223,Paraméterek!$C$224),2,IF($AF113&lt;IF($D$4="Forint",Paraméterek!$D$223,Paraméterek!$D$224),3,4))),0),0)</f>
        <v>0</v>
      </c>
      <c r="AH113" s="13">
        <f>IF(AND($Z113&gt;=5,MOD($Z113,5)=0),IF($AA113=12,VLOOKUP($Z113,Paraméterek!$B$225:$F$240,5),0),IF(OR($Z113=3,$Z113=4),IF($AA113=12,VLOOKUP($Z113,Paraméterek!$B$225:$F$240,5,0),0),0))*$AF113</f>
        <v>0</v>
      </c>
      <c r="AI113" s="13">
        <f>ROUNDDOWN(IF(SUM($T$20:$U113)=0,IF($D$2="Egyszeri",$AH113,$AG113),0),IF($D$4="Forint",0,2))</f>
        <v>0</v>
      </c>
      <c r="AJ113" s="13">
        <f t="shared" si="27"/>
        <v>0</v>
      </c>
      <c r="AK113" s="13">
        <f t="shared" si="28"/>
        <v>0</v>
      </c>
      <c r="AM113" s="32">
        <v>94</v>
      </c>
      <c r="AN113" s="32">
        <v>8</v>
      </c>
      <c r="AO113" s="32">
        <v>10</v>
      </c>
      <c r="AP113" s="13"/>
      <c r="AQ113" s="32"/>
      <c r="AR113" s="13">
        <f t="shared" si="29"/>
        <v>0</v>
      </c>
      <c r="AS113" s="33"/>
      <c r="AT113" s="13">
        <f t="shared" si="23"/>
        <v>0</v>
      </c>
      <c r="AU113" s="13">
        <f>ROUNDUP(($AR113+$AT113)*VLOOKUP($AN113,Paraméterek!$P$38:$Q$38,2)/12,IF($D$4="Forint",0,2))</f>
        <v>0</v>
      </c>
      <c r="AV113" s="13"/>
      <c r="AW113" s="13"/>
      <c r="AX113" s="13">
        <f>ROUNDUP(IF(SUM($AV113:$AW113)=0,0,IF(IF(ISBLANK($AW113),$AV113,$AW113)*Paraméterek!$J$112&lt;IF($D$4="Forint",Paraméterek!$J$113,Paraméterek!$K$113),IF($D$4="Forint",Paraméterek!$J$113,Paraméterek!$K$113),IF(IF(ISBLANK($AW113),$AV113,$AW113)*Paraméterek!$J$112&gt;IF($D$4="Forint",Paraméterek!$J$114,Paraméterek!$K$114),IF($D$4="Forint",Paraméterek!$J$114,Paraméterek!$K$114),IF(ISBLANK($AW113),$AV113,$AW113)*Paraméterek!$J$112))),IF($D$4="Forint",0,2))</f>
        <v>0</v>
      </c>
      <c r="AY113" s="13">
        <f>$AR113+$AT113-$AU113-IF(ROUNDDOWN(IF(ISBLANK($AW113),$AV113,$AW113),IF($D$4="Forint",0,2))&gt;$AR113+$AT113-$AU113-IF($D$4="Forint",Paraméterek!$J$114,Paraméterek!$K$114),0,ROUNDDOWN(IF(ISBLANK($AW113),$AV113,$AW113),IF($D$4="Forint",0,2))-$AX113)</f>
        <v>0</v>
      </c>
      <c r="AZ113" s="13">
        <f t="shared" si="24"/>
        <v>0</v>
      </c>
    </row>
    <row r="114" spans="1:52" x14ac:dyDescent="0.2">
      <c r="A114" s="32">
        <v>95</v>
      </c>
      <c r="B114" s="32">
        <v>8</v>
      </c>
      <c r="C114" s="32">
        <v>11</v>
      </c>
      <c r="D114" s="13">
        <f t="shared" si="15"/>
        <v>0</v>
      </c>
      <c r="E114" s="13"/>
      <c r="F114" s="13"/>
      <c r="G114" s="13"/>
      <c r="H114" s="13">
        <f t="shared" si="16"/>
        <v>0</v>
      </c>
      <c r="I114" s="13">
        <f t="shared" si="17"/>
        <v>0</v>
      </c>
      <c r="J114" s="13">
        <f t="shared" si="18"/>
        <v>0</v>
      </c>
      <c r="K114" s="13">
        <f>ROUNDUP(IF($D$2="Egyszeri",$D114,IF($D$2="Havi",SUM($D$20:$D$31),IF(MOD($C114,$M$1)-1=0,SUM($D$20:$D$31),0))/12*$M$1)*VLOOKUP($B114,Paraméterek!$B$27:$D$30,IF($D$2="Egyszeri",3,2)),IF($D$4="Forint",0,2))</f>
        <v>0</v>
      </c>
      <c r="L114" s="13">
        <f t="shared" si="19"/>
        <v>0</v>
      </c>
      <c r="M114" s="13">
        <f t="shared" ca="1" si="25"/>
        <v>-51306</v>
      </c>
      <c r="N114" s="13">
        <f ca="1">IF($V113&gt;=VLOOKUP($M$4-1+$B114,Paraméterek!$B$121:$D$122,IF($D$4="Forint",2,3)),0,VLOOKUP($M$4-1+$B114,Paraméterek!$B$121:$D$122,IF($D$4="Forint",2,3))-$V113)</f>
        <v>61306</v>
      </c>
      <c r="O114" s="13">
        <f ca="1">ROUNDUP($N114*Paraméterek!$C$58/Paraméterek!$C$56,IF($D$4="Forint",0,2))</f>
        <v>10</v>
      </c>
      <c r="P114" s="13">
        <f t="shared" si="20"/>
        <v>677</v>
      </c>
      <c r="Q114" s="33"/>
      <c r="R114" s="13">
        <f t="shared" ca="1" si="21"/>
        <v>0</v>
      </c>
      <c r="S114" s="13">
        <f ca="1">ROUNDUP(($M114-$O114-$P114+$R114)*VLOOKUP($B114,Paraméterek!$B$38:$D$39,IF($D$2="Egyszeri",3,2))/12,IF($D$4="Forint",0,2))</f>
        <v>-141</v>
      </c>
      <c r="T114" s="13"/>
      <c r="U114" s="13"/>
      <c r="V114" s="13">
        <f ca="1">$M114-$O114-$P114+$R114-$S114-IF(ROUNDUP(IF(ISBLANK($U114),$T114,$U114)/IF(AND($B114=1,$D$2&lt;&gt;"Egyszeri"),1,VLOOKUP($B114+IF($C114=12,1,0),Paraméterek!$B$257:$D$267,IF($D$2="Egyszeri",3,2))),IF($D$4="Forint",0,2))&gt;$M114-$O114-$P114+$R114-$S114-IF($D$4="Forint",Paraméterek!$C$216,Paraméterek!$D$216),0,ROUNDUP(IF(ISBLANK($U114),$T114,$U114)/IF(AND($B114=1,$D$2&lt;&gt;"Egyszeri"),1,VLOOKUP($B114+IF($C114=12,1,0),Paraméterek!$B$257:$D$267,IF($D$2="Egyszeri",3,2))),IF($D$4="Forint",0,2)))</f>
        <v>-51852</v>
      </c>
      <c r="W114" s="13">
        <f ca="1">ROUNDDOWN($V114*VLOOKUP($B114+IF($C114=12,1,0),Paraméterek!$B$257:$D$267,IF($D$2="Egyszeri",3,2)),IF($D$4="Forint",0,2))</f>
        <v>-50296</v>
      </c>
      <c r="Y114" s="32">
        <v>95</v>
      </c>
      <c r="Z114" s="32">
        <v>8</v>
      </c>
      <c r="AA114" s="32">
        <v>11</v>
      </c>
      <c r="AB114" s="13">
        <f t="shared" si="26"/>
        <v>0</v>
      </c>
      <c r="AC114" s="33"/>
      <c r="AD114" s="13">
        <f t="shared" si="22"/>
        <v>0</v>
      </c>
      <c r="AE114" s="13">
        <f>ROUNDUP(($AB114+$AD114)*VLOOKUP($Z114,Paraméterek!$P$38:$Q$38,2)/12,IF($D$4="Forint",0,2))</f>
        <v>0</v>
      </c>
      <c r="AF114" s="13">
        <f>IF($D$2="Egyszeri",IF($D$7&gt;=IF($D$4="Forint",Paraméterek!$P$223,Paraméterek!$P$224),$D$7-IF($D$4="Forint",Paraméterek!$F$223,Paraméterek!$F$224),0),MIN(IF($AA114=12,AVERAGE($D$20:$D114)*12,0),SUM($D$20:$D$31)))</f>
        <v>0</v>
      </c>
      <c r="AG114" s="13">
        <f>IF(AND($Z114&gt;=10,MOD($Z114,5)=0),$AF114*IF($AA114=12,VLOOKUP($Z114,Paraméterek!$B$225:$F$240,IF($AF114&lt;IF($D$4="Forint",Paraméterek!$C$223,Paraméterek!$C$224),2,IF($AF114&lt;IF($D$4="Forint",Paraméterek!$D$223,Paraméterek!$D$224),3,4))),0),0)</f>
        <v>0</v>
      </c>
      <c r="AH114" s="13">
        <f>IF(AND($Z114&gt;=5,MOD($Z114,5)=0),IF($AA114=12,VLOOKUP($Z114,Paraméterek!$B$225:$F$240,5),0),IF(OR($Z114=3,$Z114=4),IF($AA114=12,VLOOKUP($Z114,Paraméterek!$B$225:$F$240,5,0),0),0))*$AF114</f>
        <v>0</v>
      </c>
      <c r="AI114" s="13">
        <f>ROUNDDOWN(IF(SUM($T$20:$U114)=0,IF($D$2="Egyszeri",$AH114,$AG114),0),IF($D$4="Forint",0,2))</f>
        <v>0</v>
      </c>
      <c r="AJ114" s="13">
        <f t="shared" si="27"/>
        <v>0</v>
      </c>
      <c r="AK114" s="13">
        <f t="shared" si="28"/>
        <v>0</v>
      </c>
      <c r="AM114" s="32">
        <v>95</v>
      </c>
      <c r="AN114" s="32">
        <v>8</v>
      </c>
      <c r="AO114" s="32">
        <v>11</v>
      </c>
      <c r="AP114" s="13"/>
      <c r="AQ114" s="32"/>
      <c r="AR114" s="13">
        <f t="shared" si="29"/>
        <v>0</v>
      </c>
      <c r="AS114" s="33"/>
      <c r="AT114" s="13">
        <f t="shared" si="23"/>
        <v>0</v>
      </c>
      <c r="AU114" s="13">
        <f>ROUNDUP(($AR114+$AT114)*VLOOKUP($AN114,Paraméterek!$P$38:$Q$38,2)/12,IF($D$4="Forint",0,2))</f>
        <v>0</v>
      </c>
      <c r="AV114" s="13"/>
      <c r="AW114" s="13"/>
      <c r="AX114" s="13">
        <f>ROUNDUP(IF(SUM($AV114:$AW114)=0,0,IF(IF(ISBLANK($AW114),$AV114,$AW114)*Paraméterek!$J$112&lt;IF($D$4="Forint",Paraméterek!$J$113,Paraméterek!$K$113),IF($D$4="Forint",Paraméterek!$J$113,Paraméterek!$K$113),IF(IF(ISBLANK($AW114),$AV114,$AW114)*Paraméterek!$J$112&gt;IF($D$4="Forint",Paraméterek!$J$114,Paraméterek!$K$114),IF($D$4="Forint",Paraméterek!$J$114,Paraméterek!$K$114),IF(ISBLANK($AW114),$AV114,$AW114)*Paraméterek!$J$112))),IF($D$4="Forint",0,2))</f>
        <v>0</v>
      </c>
      <c r="AY114" s="13">
        <f>$AR114+$AT114-$AU114-IF(ROUNDDOWN(IF(ISBLANK($AW114),$AV114,$AW114),IF($D$4="Forint",0,2))&gt;$AR114+$AT114-$AU114-IF($D$4="Forint",Paraméterek!$J$114,Paraméterek!$K$114),0,ROUNDDOWN(IF(ISBLANK($AW114),$AV114,$AW114),IF($D$4="Forint",0,2))-$AX114)</f>
        <v>0</v>
      </c>
      <c r="AZ114" s="13">
        <f t="shared" si="24"/>
        <v>0</v>
      </c>
    </row>
    <row r="115" spans="1:52" x14ac:dyDescent="0.2">
      <c r="A115" s="32">
        <v>96</v>
      </c>
      <c r="B115" s="32">
        <v>8</v>
      </c>
      <c r="C115" s="32">
        <v>12</v>
      </c>
      <c r="D115" s="13">
        <f t="shared" si="15"/>
        <v>0</v>
      </c>
      <c r="E115" s="13"/>
      <c r="F115" s="13"/>
      <c r="G115" s="13"/>
      <c r="H115" s="13">
        <f t="shared" si="16"/>
        <v>0</v>
      </c>
      <c r="I115" s="13">
        <f t="shared" si="17"/>
        <v>0</v>
      </c>
      <c r="J115" s="13">
        <f t="shared" si="18"/>
        <v>0</v>
      </c>
      <c r="K115" s="13">
        <f>ROUNDUP(IF($D$2="Egyszeri",$D115,IF($D$2="Havi",SUM($D$20:$D$31),IF(MOD($C115,$M$1)-1=0,SUM($D$20:$D$31),0))/12*$M$1)*VLOOKUP($B115,Paraméterek!$B$27:$D$30,IF($D$2="Egyszeri",3,2)),IF($D$4="Forint",0,2))</f>
        <v>0</v>
      </c>
      <c r="L115" s="13">
        <f t="shared" si="19"/>
        <v>0</v>
      </c>
      <c r="M115" s="13">
        <f t="shared" ca="1" si="25"/>
        <v>-51852</v>
      </c>
      <c r="N115" s="13">
        <f ca="1">IF($V114&gt;=VLOOKUP($M$4-1+$B115,Paraméterek!$B$121:$D$122,IF($D$4="Forint",2,3)),0,VLOOKUP($M$4-1+$B115,Paraméterek!$B$121:$D$122,IF($D$4="Forint",2,3))-$V114)</f>
        <v>61852</v>
      </c>
      <c r="O115" s="13">
        <f ca="1">ROUNDUP($N115*Paraméterek!$C$58/Paraméterek!$C$56,IF($D$4="Forint",0,2))</f>
        <v>10</v>
      </c>
      <c r="P115" s="13">
        <f t="shared" si="20"/>
        <v>677</v>
      </c>
      <c r="Q115" s="33"/>
      <c r="R115" s="13">
        <f t="shared" ca="1" si="21"/>
        <v>0</v>
      </c>
      <c r="S115" s="13">
        <f ca="1">ROUNDUP(($M115-$O115-$P115+$R115)*VLOOKUP($B115,Paraméterek!$B$38:$D$39,IF($D$2="Egyszeri",3,2))/12,IF($D$4="Forint",0,2))</f>
        <v>-143</v>
      </c>
      <c r="T115" s="13">
        <f>Tranzakciók!$F$39</f>
        <v>0</v>
      </c>
      <c r="U115" s="13"/>
      <c r="V115" s="13">
        <f ca="1">$M115-$O115-$P115+$R115-$S115-IF(ROUNDUP(IF(ISBLANK($U115),$T115,$U115)/IF(AND($B115=1,$D$2&lt;&gt;"Egyszeri"),1,VLOOKUP($B115+IF($C115=12,1,0),Paraméterek!$B$257:$D$267,IF($D$2="Egyszeri",3,2))),IF($D$4="Forint",0,2))&gt;$M115-$O115-$P115+$R115-$S115-IF($D$4="Forint",Paraméterek!$C$216,Paraméterek!$D$216),0,ROUNDUP(IF(ISBLANK($U115),$T115,$U115)/IF(AND($B115=1,$D$2&lt;&gt;"Egyszeri"),1,VLOOKUP($B115+IF($C115=12,1,0),Paraméterek!$B$257:$D$267,IF($D$2="Egyszeri",3,2))),IF($D$4="Forint",0,2)))</f>
        <v>-52396</v>
      </c>
      <c r="W115" s="13">
        <f ca="1">ROUNDDOWN($V115*VLOOKUP($B115+IF($C115=12,1,0),Paraméterek!$B$257:$D$267,IF($D$2="Egyszeri",3,2)),IF($D$4="Forint",0,2))</f>
        <v>-51348</v>
      </c>
      <c r="Y115" s="32">
        <v>96</v>
      </c>
      <c r="Z115" s="32">
        <v>8</v>
      </c>
      <c r="AA115" s="32">
        <v>12</v>
      </c>
      <c r="AB115" s="13">
        <f t="shared" si="26"/>
        <v>0</v>
      </c>
      <c r="AC115" s="33"/>
      <c r="AD115" s="13">
        <f t="shared" si="22"/>
        <v>0</v>
      </c>
      <c r="AE115" s="13">
        <f>ROUNDUP(($AB115+$AD115)*VLOOKUP($Z115,Paraméterek!$P$38:$Q$38,2)/12,IF($D$4="Forint",0,2))</f>
        <v>0</v>
      </c>
      <c r="AF115" s="13">
        <f>IF($D$2="Egyszeri",IF($D$7&gt;=IF($D$4="Forint",Paraméterek!$P$223,Paraméterek!$P$224),$D$7-IF($D$4="Forint",Paraméterek!$F$223,Paraméterek!$F$224),0),MIN(IF($AA115=12,AVERAGE($D$20:$D115)*12,0),SUM($D$20:$D$31)))</f>
        <v>0</v>
      </c>
      <c r="AG115" s="13">
        <f>IF(AND($Z115&gt;=10,MOD($Z115,5)=0),$AF115*IF($AA115=12,VLOOKUP($Z115,Paraméterek!$B$225:$F$240,IF($AF115&lt;IF($D$4="Forint",Paraméterek!$C$223,Paraméterek!$C$224),2,IF($AF115&lt;IF($D$4="Forint",Paraméterek!$D$223,Paraméterek!$D$224),3,4))),0),0)</f>
        <v>0</v>
      </c>
      <c r="AH115" s="13">
        <f>IF(AND($Z115&gt;=5,MOD($Z115,5)=0),IF($AA115=12,VLOOKUP($Z115,Paraméterek!$B$225:$F$240,5),0),IF(OR($Z115=3,$Z115=4),IF($AA115=12,VLOOKUP($Z115,Paraméterek!$B$225:$F$240,5,0),0),0))*$AF115</f>
        <v>0</v>
      </c>
      <c r="AI115" s="13">
        <f>ROUNDDOWN(IF(SUM($T$20:$U115)=0,IF($D$2="Egyszeri",$AH115,$AG115),0),IF($D$4="Forint",0,2))</f>
        <v>0</v>
      </c>
      <c r="AJ115" s="13">
        <f t="shared" si="27"/>
        <v>0</v>
      </c>
      <c r="AK115" s="13">
        <f t="shared" si="28"/>
        <v>0</v>
      </c>
      <c r="AM115" s="32">
        <v>96</v>
      </c>
      <c r="AN115" s="32">
        <v>8</v>
      </c>
      <c r="AO115" s="32">
        <v>12</v>
      </c>
      <c r="AP115" s="13"/>
      <c r="AQ115" s="32"/>
      <c r="AR115" s="13">
        <f t="shared" si="29"/>
        <v>0</v>
      </c>
      <c r="AS115" s="33"/>
      <c r="AT115" s="13">
        <f t="shared" si="23"/>
        <v>0</v>
      </c>
      <c r="AU115" s="13">
        <f>ROUNDUP(($AR115+$AT115)*VLOOKUP($AN115,Paraméterek!$P$38:$Q$38,2)/12,IF($D$4="Forint",0,2))</f>
        <v>0</v>
      </c>
      <c r="AV115" s="13">
        <f>Tranzakciók!$M$39</f>
        <v>0</v>
      </c>
      <c r="AW115" s="13"/>
      <c r="AX115" s="13">
        <f>ROUNDUP(IF(SUM($AV115:$AW115)=0,0,IF(IF(ISBLANK($AW115),$AV115,$AW115)*Paraméterek!$J$112&lt;IF($D$4="Forint",Paraméterek!$J$113,Paraméterek!$K$113),IF($D$4="Forint",Paraméterek!$J$113,Paraméterek!$K$113),IF(IF(ISBLANK($AW115),$AV115,$AW115)*Paraméterek!$J$112&gt;IF($D$4="Forint",Paraméterek!$J$114,Paraméterek!$K$114),IF($D$4="Forint",Paraméterek!$J$114,Paraméterek!$K$114),IF(ISBLANK($AW115),$AV115,$AW115)*Paraméterek!$J$112))),IF($D$4="Forint",0,2))</f>
        <v>0</v>
      </c>
      <c r="AY115" s="13">
        <f>$AR115+$AT115-$AU115-IF(ROUNDDOWN(IF(ISBLANK($AW115),$AV115,$AW115),IF($D$4="Forint",0,2))&gt;$AR115+$AT115-$AU115-IF($D$4="Forint",Paraméterek!$J$114,Paraméterek!$K$114),0,ROUNDDOWN(IF(ISBLANK($AW115),$AV115,$AW115),IF($D$4="Forint",0,2))-$AX115)</f>
        <v>0</v>
      </c>
      <c r="AZ115" s="13">
        <f t="shared" si="24"/>
        <v>0</v>
      </c>
    </row>
    <row r="116" spans="1:52" x14ac:dyDescent="0.2">
      <c r="A116" s="32">
        <v>97</v>
      </c>
      <c r="B116" s="32">
        <v>9</v>
      </c>
      <c r="C116" s="32">
        <v>1</v>
      </c>
      <c r="D116" s="13">
        <f t="shared" si="15"/>
        <v>0</v>
      </c>
      <c r="E116" s="13"/>
      <c r="F116" s="13">
        <f>Tranzakciók!$D$40</f>
        <v>0</v>
      </c>
      <c r="G116" s="13"/>
      <c r="H116" s="13">
        <f t="shared" si="16"/>
        <v>0</v>
      </c>
      <c r="I116" s="13">
        <f t="shared" si="17"/>
        <v>127</v>
      </c>
      <c r="J116" s="13">
        <f t="shared" si="18"/>
        <v>127</v>
      </c>
      <c r="K116" s="13">
        <f>ROUNDUP(IF($D$2="Egyszeri",$D116,IF($D$2="Havi",SUM($D$20:$D$31),IF(MOD($C116,$M$1)-1=0,SUM($D$20:$D$31),0))/12*$M$1)*VLOOKUP($B116,Paraméterek!$B$27:$D$30,IF($D$2="Egyszeri",3,2)),IF($D$4="Forint",0,2))</f>
        <v>0</v>
      </c>
      <c r="L116" s="13">
        <f t="shared" si="19"/>
        <v>0</v>
      </c>
      <c r="M116" s="13">
        <f t="shared" ca="1" si="25"/>
        <v>-52396</v>
      </c>
      <c r="N116" s="13">
        <f ca="1">IF($V115&gt;=VLOOKUP($M$4-1+$B116,Paraméterek!$B$121:$D$122,IF($D$4="Forint",2,3)),0,VLOOKUP($M$4-1+$B116,Paraméterek!$B$121:$D$122,IF($D$4="Forint",2,3))-$V115)</f>
        <v>62396</v>
      </c>
      <c r="O116" s="13">
        <f ca="1">ROUNDUP($N116*Paraméterek!$C$58/Paraméterek!$C$56,IF($D$4="Forint",0,2))</f>
        <v>10</v>
      </c>
      <c r="P116" s="13">
        <f t="shared" si="20"/>
        <v>697</v>
      </c>
      <c r="Q116" s="33"/>
      <c r="R116" s="13">
        <f t="shared" ca="1" si="21"/>
        <v>0</v>
      </c>
      <c r="S116" s="13">
        <f ca="1">ROUNDUP(($M116-$O116-$P116+$R116)*VLOOKUP($B116,Paraméterek!$B$38:$D$39,IF($D$2="Egyszeri",3,2))/12,IF($D$4="Forint",0,2))</f>
        <v>-144</v>
      </c>
      <c r="T116" s="13"/>
      <c r="U116" s="13"/>
      <c r="V116" s="13">
        <f ca="1">$M116-$O116-$P116+$R116-$S116-IF(ROUNDUP(IF(ISBLANK($U116),$T116,$U116)/IF(AND($B116=1,$D$2&lt;&gt;"Egyszeri"),1,VLOOKUP($B116+IF($C116=12,1,0),Paraméterek!$B$257:$D$267,IF($D$2="Egyszeri",3,2))),IF($D$4="Forint",0,2))&gt;$M116-$O116-$P116+$R116-$S116-IF($D$4="Forint",Paraméterek!$C$216,Paraméterek!$D$216),0,ROUNDUP(IF(ISBLANK($U116),$T116,$U116)/IF(AND($B116=1,$D$2&lt;&gt;"Egyszeri"),1,VLOOKUP($B116+IF($C116=12,1,0),Paraméterek!$B$257:$D$267,IF($D$2="Egyszeri",3,2))),IF($D$4="Forint",0,2)))</f>
        <v>-52959</v>
      </c>
      <c r="W116" s="13">
        <f ca="1">ROUNDDOWN($V116*VLOOKUP($B116+IF($C116=12,1,0),Paraméterek!$B$257:$D$267,IF($D$2="Egyszeri",3,2)),IF($D$4="Forint",0,2))</f>
        <v>-51899</v>
      </c>
      <c r="Y116" s="32">
        <v>97</v>
      </c>
      <c r="Z116" s="32">
        <v>9</v>
      </c>
      <c r="AA116" s="32">
        <v>1</v>
      </c>
      <c r="AB116" s="13">
        <f t="shared" si="26"/>
        <v>0</v>
      </c>
      <c r="AC116" s="33"/>
      <c r="AD116" s="13">
        <f t="shared" si="22"/>
        <v>0</v>
      </c>
      <c r="AE116" s="13">
        <f>ROUNDUP(($AB116+$AD116)*VLOOKUP($Z116,Paraméterek!$P$38:$Q$38,2)/12,IF($D$4="Forint",0,2))</f>
        <v>0</v>
      </c>
      <c r="AF116" s="13">
        <f>IF($D$2="Egyszeri",IF($D$7&gt;=IF($D$4="Forint",Paraméterek!$P$223,Paraméterek!$P$224),$D$7-IF($D$4="Forint",Paraméterek!$F$223,Paraméterek!$F$224),0),MIN(IF($AA116=12,AVERAGE($D$20:$D116)*12,0),SUM($D$20:$D$31)))</f>
        <v>0</v>
      </c>
      <c r="AG116" s="13">
        <f>IF(AND($Z116&gt;=10,MOD($Z116,5)=0),$AF116*IF($AA116=12,VLOOKUP($Z116,Paraméterek!$B$225:$F$240,IF($AF116&lt;IF($D$4="Forint",Paraméterek!$C$223,Paraméterek!$C$224),2,IF($AF116&lt;IF($D$4="Forint",Paraméterek!$D$223,Paraméterek!$D$224),3,4))),0),0)</f>
        <v>0</v>
      </c>
      <c r="AH116" s="13">
        <f>IF(AND($Z116&gt;=5,MOD($Z116,5)=0),IF($AA116=12,VLOOKUP($Z116,Paraméterek!$B$225:$F$240,5),0),IF(OR($Z116=3,$Z116=4),IF($AA116=12,VLOOKUP($Z116,Paraméterek!$B$225:$F$240,5,0),0),0))*$AF116</f>
        <v>0</v>
      </c>
      <c r="AI116" s="13">
        <f>ROUNDDOWN(IF(SUM($T$20:$U116)=0,IF($D$2="Egyszeri",$AH116,$AG116),0),IF($D$4="Forint",0,2))</f>
        <v>0</v>
      </c>
      <c r="AJ116" s="13">
        <f t="shared" si="27"/>
        <v>0</v>
      </c>
      <c r="AK116" s="13">
        <f t="shared" si="28"/>
        <v>0</v>
      </c>
      <c r="AM116" s="32">
        <v>97</v>
      </c>
      <c r="AN116" s="32">
        <v>9</v>
      </c>
      <c r="AO116" s="32">
        <v>1</v>
      </c>
      <c r="AP116" s="13">
        <f>Tranzakciók!$K$40</f>
        <v>0</v>
      </c>
      <c r="AQ116" s="32"/>
      <c r="AR116" s="13">
        <f t="shared" si="29"/>
        <v>0</v>
      </c>
      <c r="AS116" s="33"/>
      <c r="AT116" s="13">
        <f t="shared" si="23"/>
        <v>0</v>
      </c>
      <c r="AU116" s="13">
        <f>ROUNDUP(($AR116+$AT116)*VLOOKUP($AN116,Paraméterek!$P$38:$Q$38,2)/12,IF($D$4="Forint",0,2))</f>
        <v>0</v>
      </c>
      <c r="AV116" s="13"/>
      <c r="AW116" s="13"/>
      <c r="AX116" s="13">
        <f>ROUNDUP(IF(SUM($AV116:$AW116)=0,0,IF(IF(ISBLANK($AW116),$AV116,$AW116)*Paraméterek!$J$112&lt;IF($D$4="Forint",Paraméterek!$J$113,Paraméterek!$K$113),IF($D$4="Forint",Paraméterek!$J$113,Paraméterek!$K$113),IF(IF(ISBLANK($AW116),$AV116,$AW116)*Paraméterek!$J$112&gt;IF($D$4="Forint",Paraméterek!$J$114,Paraméterek!$K$114),IF($D$4="Forint",Paraméterek!$J$114,Paraméterek!$K$114),IF(ISBLANK($AW116),$AV116,$AW116)*Paraméterek!$J$112))),IF($D$4="Forint",0,2))</f>
        <v>0</v>
      </c>
      <c r="AY116" s="13">
        <f>$AR116+$AT116-$AU116-IF(ROUNDDOWN(IF(ISBLANK($AW116),$AV116,$AW116),IF($D$4="Forint",0,2))&gt;$AR116+$AT116-$AU116-IF($D$4="Forint",Paraméterek!$J$114,Paraméterek!$K$114),0,ROUNDDOWN(IF(ISBLANK($AW116),$AV116,$AW116),IF($D$4="Forint",0,2))-$AX116)</f>
        <v>0</v>
      </c>
      <c r="AZ116" s="13">
        <f t="shared" si="24"/>
        <v>0</v>
      </c>
    </row>
    <row r="117" spans="1:52" x14ac:dyDescent="0.2">
      <c r="A117" s="32">
        <v>98</v>
      </c>
      <c r="B117" s="32">
        <v>9</v>
      </c>
      <c r="C117" s="32">
        <v>2</v>
      </c>
      <c r="D117" s="13">
        <f t="shared" si="15"/>
        <v>0</v>
      </c>
      <c r="E117" s="13"/>
      <c r="F117" s="13"/>
      <c r="G117" s="13"/>
      <c r="H117" s="13">
        <f t="shared" si="16"/>
        <v>0</v>
      </c>
      <c r="I117" s="13">
        <f t="shared" si="17"/>
        <v>0</v>
      </c>
      <c r="J117" s="13">
        <f t="shared" si="18"/>
        <v>0</v>
      </c>
      <c r="K117" s="13">
        <f>ROUNDUP(IF($D$2="Egyszeri",$D117,IF($D$2="Havi",SUM($D$20:$D$31),IF(MOD($C117,$M$1)-1=0,SUM($D$20:$D$31),0))/12*$M$1)*VLOOKUP($B117,Paraméterek!$B$27:$D$30,IF($D$2="Egyszeri",3,2)),IF($D$4="Forint",0,2))</f>
        <v>0</v>
      </c>
      <c r="L117" s="13">
        <f t="shared" si="19"/>
        <v>0</v>
      </c>
      <c r="M117" s="13">
        <f t="shared" ca="1" si="25"/>
        <v>-52959</v>
      </c>
      <c r="N117" s="13">
        <f ca="1">IF($V116&gt;=VLOOKUP($M$4-1+$B117,Paraméterek!$B$121:$D$122,IF($D$4="Forint",2,3)),0,VLOOKUP($M$4-1+$B117,Paraméterek!$B$121:$D$122,IF($D$4="Forint",2,3))-$V116)</f>
        <v>62959</v>
      </c>
      <c r="O117" s="13">
        <f ca="1">ROUNDUP($N117*Paraméterek!$C$58/Paraméterek!$C$56,IF($D$4="Forint",0,2))</f>
        <v>11</v>
      </c>
      <c r="P117" s="13">
        <f t="shared" si="20"/>
        <v>697</v>
      </c>
      <c r="Q117" s="33"/>
      <c r="R117" s="13">
        <f t="shared" ca="1" si="21"/>
        <v>0</v>
      </c>
      <c r="S117" s="13">
        <f ca="1">ROUNDUP(($M117-$O117-$P117+$R117)*VLOOKUP($B117,Paraméterek!$B$38:$D$39,IF($D$2="Egyszeri",3,2))/12,IF($D$4="Forint",0,2))</f>
        <v>-146</v>
      </c>
      <c r="T117" s="13"/>
      <c r="U117" s="13"/>
      <c r="V117" s="13">
        <f ca="1">$M117-$O117-$P117+$R117-$S117-IF(ROUNDUP(IF(ISBLANK($U117),$T117,$U117)/IF(AND($B117=1,$D$2&lt;&gt;"Egyszeri"),1,VLOOKUP($B117+IF($C117=12,1,0),Paraméterek!$B$257:$D$267,IF($D$2="Egyszeri",3,2))),IF($D$4="Forint",0,2))&gt;$M117-$O117-$P117+$R117-$S117-IF($D$4="Forint",Paraméterek!$C$216,Paraméterek!$D$216),0,ROUNDUP(IF(ISBLANK($U117),$T117,$U117)/IF(AND($B117=1,$D$2&lt;&gt;"Egyszeri"),1,VLOOKUP($B117+IF($C117=12,1,0),Paraméterek!$B$257:$D$267,IF($D$2="Egyszeri",3,2))),IF($D$4="Forint",0,2)))</f>
        <v>-53521</v>
      </c>
      <c r="W117" s="13">
        <f ca="1">ROUNDDOWN($V117*VLOOKUP($B117+IF($C117=12,1,0),Paraméterek!$B$257:$D$267,IF($D$2="Egyszeri",3,2)),IF($D$4="Forint",0,2))</f>
        <v>-52450</v>
      </c>
      <c r="Y117" s="32">
        <v>98</v>
      </c>
      <c r="Z117" s="32">
        <v>9</v>
      </c>
      <c r="AA117" s="32">
        <v>2</v>
      </c>
      <c r="AB117" s="13">
        <f t="shared" si="26"/>
        <v>0</v>
      </c>
      <c r="AC117" s="33"/>
      <c r="AD117" s="13">
        <f t="shared" si="22"/>
        <v>0</v>
      </c>
      <c r="AE117" s="13">
        <f>ROUNDUP(($AB117+$AD117)*VLOOKUP($Z117,Paraméterek!$P$38:$Q$38,2)/12,IF($D$4="Forint",0,2))</f>
        <v>0</v>
      </c>
      <c r="AF117" s="13">
        <f>IF($D$2="Egyszeri",IF($D$7&gt;=IF($D$4="Forint",Paraméterek!$P$223,Paraméterek!$P$224),$D$7-IF($D$4="Forint",Paraméterek!$F$223,Paraméterek!$F$224),0),MIN(IF($AA117=12,AVERAGE($D$20:$D117)*12,0),SUM($D$20:$D$31)))</f>
        <v>0</v>
      </c>
      <c r="AG117" s="13">
        <f>IF(AND($Z117&gt;=10,MOD($Z117,5)=0),$AF117*IF($AA117=12,VLOOKUP($Z117,Paraméterek!$B$225:$F$240,IF($AF117&lt;IF($D$4="Forint",Paraméterek!$C$223,Paraméterek!$C$224),2,IF($AF117&lt;IF($D$4="Forint",Paraméterek!$D$223,Paraméterek!$D$224),3,4))),0),0)</f>
        <v>0</v>
      </c>
      <c r="AH117" s="13">
        <f>IF(AND($Z117&gt;=5,MOD($Z117,5)=0),IF($AA117=12,VLOOKUP($Z117,Paraméterek!$B$225:$F$240,5),0),IF(OR($Z117=3,$Z117=4),IF($AA117=12,VLOOKUP($Z117,Paraméterek!$B$225:$F$240,5,0),0),0))*$AF117</f>
        <v>0</v>
      </c>
      <c r="AI117" s="13">
        <f>ROUNDDOWN(IF(SUM($T$20:$U117)=0,IF($D$2="Egyszeri",$AH117,$AG117),0),IF($D$4="Forint",0,2))</f>
        <v>0</v>
      </c>
      <c r="AJ117" s="13">
        <f t="shared" si="27"/>
        <v>0</v>
      </c>
      <c r="AK117" s="13">
        <f t="shared" si="28"/>
        <v>0</v>
      </c>
      <c r="AM117" s="32">
        <v>98</v>
      </c>
      <c r="AN117" s="32">
        <v>9</v>
      </c>
      <c r="AO117" s="32">
        <v>2</v>
      </c>
      <c r="AP117" s="13"/>
      <c r="AQ117" s="32"/>
      <c r="AR117" s="13">
        <f t="shared" si="29"/>
        <v>0</v>
      </c>
      <c r="AS117" s="33"/>
      <c r="AT117" s="13">
        <f t="shared" si="23"/>
        <v>0</v>
      </c>
      <c r="AU117" s="13">
        <f>ROUNDUP(($AR117+$AT117)*VLOOKUP($AN117,Paraméterek!$P$38:$Q$38,2)/12,IF($D$4="Forint",0,2))</f>
        <v>0</v>
      </c>
      <c r="AV117" s="13"/>
      <c r="AW117" s="13"/>
      <c r="AX117" s="13">
        <f>ROUNDUP(IF(SUM($AV117:$AW117)=0,0,IF(IF(ISBLANK($AW117),$AV117,$AW117)*Paraméterek!$J$112&lt;IF($D$4="Forint",Paraméterek!$J$113,Paraméterek!$K$113),IF($D$4="Forint",Paraméterek!$J$113,Paraméterek!$K$113),IF(IF(ISBLANK($AW117),$AV117,$AW117)*Paraméterek!$J$112&gt;IF($D$4="Forint",Paraméterek!$J$114,Paraméterek!$K$114),IF($D$4="Forint",Paraméterek!$J$114,Paraméterek!$K$114),IF(ISBLANK($AW117),$AV117,$AW117)*Paraméterek!$J$112))),IF($D$4="Forint",0,2))</f>
        <v>0</v>
      </c>
      <c r="AY117" s="13">
        <f>$AR117+$AT117-$AU117-IF(ROUNDDOWN(IF(ISBLANK($AW117),$AV117,$AW117),IF($D$4="Forint",0,2))&gt;$AR117+$AT117-$AU117-IF($D$4="Forint",Paraméterek!$J$114,Paraméterek!$K$114),0,ROUNDDOWN(IF(ISBLANK($AW117),$AV117,$AW117),IF($D$4="Forint",0,2))-$AX117)</f>
        <v>0</v>
      </c>
      <c r="AZ117" s="13">
        <f t="shared" si="24"/>
        <v>0</v>
      </c>
    </row>
    <row r="118" spans="1:52" x14ac:dyDescent="0.2">
      <c r="A118" s="32">
        <v>99</v>
      </c>
      <c r="B118" s="32">
        <v>9</v>
      </c>
      <c r="C118" s="32">
        <v>3</v>
      </c>
      <c r="D118" s="13">
        <f t="shared" si="15"/>
        <v>0</v>
      </c>
      <c r="E118" s="13"/>
      <c r="F118" s="13"/>
      <c r="G118" s="13"/>
      <c r="H118" s="13">
        <f t="shared" si="16"/>
        <v>0</v>
      </c>
      <c r="I118" s="13">
        <f t="shared" si="17"/>
        <v>0</v>
      </c>
      <c r="J118" s="13">
        <f t="shared" si="18"/>
        <v>0</v>
      </c>
      <c r="K118" s="13">
        <f>ROUNDUP(IF($D$2="Egyszeri",$D118,IF($D$2="Havi",SUM($D$20:$D$31),IF(MOD($C118,$M$1)-1=0,SUM($D$20:$D$31),0))/12*$M$1)*VLOOKUP($B118,Paraméterek!$B$27:$D$30,IF($D$2="Egyszeri",3,2)),IF($D$4="Forint",0,2))</f>
        <v>0</v>
      </c>
      <c r="L118" s="13">
        <f t="shared" si="19"/>
        <v>0</v>
      </c>
      <c r="M118" s="13">
        <f t="shared" ca="1" si="25"/>
        <v>-53521</v>
      </c>
      <c r="N118" s="13">
        <f ca="1">IF($V117&gt;=VLOOKUP($M$4-1+$B118,Paraméterek!$B$121:$D$122,IF($D$4="Forint",2,3)),0,VLOOKUP($M$4-1+$B118,Paraméterek!$B$121:$D$122,IF($D$4="Forint",2,3))-$V117)</f>
        <v>63521</v>
      </c>
      <c r="O118" s="13">
        <f ca="1">ROUNDUP($N118*Paraméterek!$C$58/Paraméterek!$C$56,IF($D$4="Forint",0,2))</f>
        <v>11</v>
      </c>
      <c r="P118" s="13">
        <f t="shared" si="20"/>
        <v>697</v>
      </c>
      <c r="Q118" s="33"/>
      <c r="R118" s="13">
        <f t="shared" ca="1" si="21"/>
        <v>0</v>
      </c>
      <c r="S118" s="13">
        <f ca="1">ROUNDUP(($M118-$O118-$P118+$R118)*VLOOKUP($B118,Paraméterek!$B$38:$D$39,IF($D$2="Egyszeri",3,2))/12,IF($D$4="Forint",0,2))</f>
        <v>-147</v>
      </c>
      <c r="T118" s="13"/>
      <c r="U118" s="13"/>
      <c r="V118" s="13">
        <f ca="1">$M118-$O118-$P118+$R118-$S118-IF(ROUNDUP(IF(ISBLANK($U118),$T118,$U118)/IF(AND($B118=1,$D$2&lt;&gt;"Egyszeri"),1,VLOOKUP($B118+IF($C118=12,1,0),Paraméterek!$B$257:$D$267,IF($D$2="Egyszeri",3,2))),IF($D$4="Forint",0,2))&gt;$M118-$O118-$P118+$R118-$S118-IF($D$4="Forint",Paraméterek!$C$216,Paraméterek!$D$216),0,ROUNDUP(IF(ISBLANK($U118),$T118,$U118)/IF(AND($B118=1,$D$2&lt;&gt;"Egyszeri"),1,VLOOKUP($B118+IF($C118=12,1,0),Paraméterek!$B$257:$D$267,IF($D$2="Egyszeri",3,2))),IF($D$4="Forint",0,2)))</f>
        <v>-54082</v>
      </c>
      <c r="W118" s="13">
        <f ca="1">ROUNDDOWN($V118*VLOOKUP($B118+IF($C118=12,1,0),Paraméterek!$B$257:$D$267,IF($D$2="Egyszeri",3,2)),IF($D$4="Forint",0,2))</f>
        <v>-53000</v>
      </c>
      <c r="Y118" s="32">
        <v>99</v>
      </c>
      <c r="Z118" s="32">
        <v>9</v>
      </c>
      <c r="AA118" s="32">
        <v>3</v>
      </c>
      <c r="AB118" s="13">
        <f t="shared" si="26"/>
        <v>0</v>
      </c>
      <c r="AC118" s="33"/>
      <c r="AD118" s="13">
        <f t="shared" si="22"/>
        <v>0</v>
      </c>
      <c r="AE118" s="13">
        <f>ROUNDUP(($AB118+$AD118)*VLOOKUP($Z118,Paraméterek!$P$38:$Q$38,2)/12,IF($D$4="Forint",0,2))</f>
        <v>0</v>
      </c>
      <c r="AF118" s="13">
        <f>IF($D$2="Egyszeri",IF($D$7&gt;=IF($D$4="Forint",Paraméterek!$P$223,Paraméterek!$P$224),$D$7-IF($D$4="Forint",Paraméterek!$F$223,Paraméterek!$F$224),0),MIN(IF($AA118=12,AVERAGE($D$20:$D118)*12,0),SUM($D$20:$D$31)))</f>
        <v>0</v>
      </c>
      <c r="AG118" s="13">
        <f>IF(AND($Z118&gt;=10,MOD($Z118,5)=0),$AF118*IF($AA118=12,VLOOKUP($Z118,Paraméterek!$B$225:$F$240,IF($AF118&lt;IF($D$4="Forint",Paraméterek!$C$223,Paraméterek!$C$224),2,IF($AF118&lt;IF($D$4="Forint",Paraméterek!$D$223,Paraméterek!$D$224),3,4))),0),0)</f>
        <v>0</v>
      </c>
      <c r="AH118" s="13">
        <f>IF(AND($Z118&gt;=5,MOD($Z118,5)=0),IF($AA118=12,VLOOKUP($Z118,Paraméterek!$B$225:$F$240,5),0),IF(OR($Z118=3,$Z118=4),IF($AA118=12,VLOOKUP($Z118,Paraméterek!$B$225:$F$240,5,0),0),0))*$AF118</f>
        <v>0</v>
      </c>
      <c r="AI118" s="13">
        <f>ROUNDDOWN(IF(SUM($T$20:$U118)=0,IF($D$2="Egyszeri",$AH118,$AG118),0),IF($D$4="Forint",0,2))</f>
        <v>0</v>
      </c>
      <c r="AJ118" s="13">
        <f t="shared" si="27"/>
        <v>0</v>
      </c>
      <c r="AK118" s="13">
        <f t="shared" si="28"/>
        <v>0</v>
      </c>
      <c r="AM118" s="32">
        <v>99</v>
      </c>
      <c r="AN118" s="32">
        <v>9</v>
      </c>
      <c r="AO118" s="32">
        <v>3</v>
      </c>
      <c r="AP118" s="13"/>
      <c r="AQ118" s="32"/>
      <c r="AR118" s="13">
        <f t="shared" si="29"/>
        <v>0</v>
      </c>
      <c r="AS118" s="33"/>
      <c r="AT118" s="13">
        <f t="shared" si="23"/>
        <v>0</v>
      </c>
      <c r="AU118" s="13">
        <f>ROUNDUP(($AR118+$AT118)*VLOOKUP($AN118,Paraméterek!$P$38:$Q$38,2)/12,IF($D$4="Forint",0,2))</f>
        <v>0</v>
      </c>
      <c r="AV118" s="13"/>
      <c r="AW118" s="13"/>
      <c r="AX118" s="13">
        <f>ROUNDUP(IF(SUM($AV118:$AW118)=0,0,IF(IF(ISBLANK($AW118),$AV118,$AW118)*Paraméterek!$J$112&lt;IF($D$4="Forint",Paraméterek!$J$113,Paraméterek!$K$113),IF($D$4="Forint",Paraméterek!$J$113,Paraméterek!$K$113),IF(IF(ISBLANK($AW118),$AV118,$AW118)*Paraméterek!$J$112&gt;IF($D$4="Forint",Paraméterek!$J$114,Paraméterek!$K$114),IF($D$4="Forint",Paraméterek!$J$114,Paraméterek!$K$114),IF(ISBLANK($AW118),$AV118,$AW118)*Paraméterek!$J$112))),IF($D$4="Forint",0,2))</f>
        <v>0</v>
      </c>
      <c r="AY118" s="13">
        <f>$AR118+$AT118-$AU118-IF(ROUNDDOWN(IF(ISBLANK($AW118),$AV118,$AW118),IF($D$4="Forint",0,2))&gt;$AR118+$AT118-$AU118-IF($D$4="Forint",Paraméterek!$J$114,Paraméterek!$K$114),0,ROUNDDOWN(IF(ISBLANK($AW118),$AV118,$AW118),IF($D$4="Forint",0,2))-$AX118)</f>
        <v>0</v>
      </c>
      <c r="AZ118" s="13">
        <f t="shared" si="24"/>
        <v>0</v>
      </c>
    </row>
    <row r="119" spans="1:52" x14ac:dyDescent="0.2">
      <c r="A119" s="32">
        <v>100</v>
      </c>
      <c r="B119" s="32">
        <v>9</v>
      </c>
      <c r="C119" s="32">
        <v>4</v>
      </c>
      <c r="D119" s="13">
        <f t="shared" si="15"/>
        <v>0</v>
      </c>
      <c r="E119" s="13"/>
      <c r="F119" s="13"/>
      <c r="G119" s="13"/>
      <c r="H119" s="13">
        <f t="shared" si="16"/>
        <v>0</v>
      </c>
      <c r="I119" s="13">
        <f t="shared" si="17"/>
        <v>0</v>
      </c>
      <c r="J119" s="13">
        <f t="shared" si="18"/>
        <v>0</v>
      </c>
      <c r="K119" s="13">
        <f>ROUNDUP(IF($D$2="Egyszeri",$D119,IF($D$2="Havi",SUM($D$20:$D$31),IF(MOD($C119,$M$1)-1=0,SUM($D$20:$D$31),0))/12*$M$1)*VLOOKUP($B119,Paraméterek!$B$27:$D$30,IF($D$2="Egyszeri",3,2)),IF($D$4="Forint",0,2))</f>
        <v>0</v>
      </c>
      <c r="L119" s="13">
        <f t="shared" si="19"/>
        <v>0</v>
      </c>
      <c r="M119" s="13">
        <f t="shared" ca="1" si="25"/>
        <v>-54082</v>
      </c>
      <c r="N119" s="13">
        <f ca="1">IF($V118&gt;=VLOOKUP($M$4-1+$B119,Paraméterek!$B$121:$D$122,IF($D$4="Forint",2,3)),0,VLOOKUP($M$4-1+$B119,Paraméterek!$B$121:$D$122,IF($D$4="Forint",2,3))-$V118)</f>
        <v>64082</v>
      </c>
      <c r="O119" s="13">
        <f ca="1">ROUNDUP($N119*Paraméterek!$C$58/Paraméterek!$C$56,IF($D$4="Forint",0,2))</f>
        <v>11</v>
      </c>
      <c r="P119" s="13">
        <f t="shared" si="20"/>
        <v>697</v>
      </c>
      <c r="Q119" s="33"/>
      <c r="R119" s="13">
        <f t="shared" ca="1" si="21"/>
        <v>0</v>
      </c>
      <c r="S119" s="13">
        <f ca="1">ROUNDUP(($M119-$O119-$P119+$R119)*VLOOKUP($B119,Paraméterek!$B$38:$D$39,IF($D$2="Egyszeri",3,2))/12,IF($D$4="Forint",0,2))</f>
        <v>-149</v>
      </c>
      <c r="T119" s="13"/>
      <c r="U119" s="13"/>
      <c r="V119" s="13">
        <f ca="1">$M119-$O119-$P119+$R119-$S119-IF(ROUNDUP(IF(ISBLANK($U119),$T119,$U119)/IF(AND($B119=1,$D$2&lt;&gt;"Egyszeri"),1,VLOOKUP($B119+IF($C119=12,1,0),Paraméterek!$B$257:$D$267,IF($D$2="Egyszeri",3,2))),IF($D$4="Forint",0,2))&gt;$M119-$O119-$P119+$R119-$S119-IF($D$4="Forint",Paraméterek!$C$216,Paraméterek!$D$216),0,ROUNDUP(IF(ISBLANK($U119),$T119,$U119)/IF(AND($B119=1,$D$2&lt;&gt;"Egyszeri"),1,VLOOKUP($B119+IF($C119=12,1,0),Paraméterek!$B$257:$D$267,IF($D$2="Egyszeri",3,2))),IF($D$4="Forint",0,2)))</f>
        <v>-54641</v>
      </c>
      <c r="W119" s="13">
        <f ca="1">ROUNDDOWN($V119*VLOOKUP($B119+IF($C119=12,1,0),Paraméterek!$B$257:$D$267,IF($D$2="Egyszeri",3,2)),IF($D$4="Forint",0,2))</f>
        <v>-53548</v>
      </c>
      <c r="Y119" s="32">
        <v>100</v>
      </c>
      <c r="Z119" s="32">
        <v>9</v>
      </c>
      <c r="AA119" s="32">
        <v>4</v>
      </c>
      <c r="AB119" s="13">
        <f t="shared" si="26"/>
        <v>0</v>
      </c>
      <c r="AC119" s="33"/>
      <c r="AD119" s="13">
        <f t="shared" si="22"/>
        <v>0</v>
      </c>
      <c r="AE119" s="13">
        <f>ROUNDUP(($AB119+$AD119)*VLOOKUP($Z119,Paraméterek!$P$38:$Q$38,2)/12,IF($D$4="Forint",0,2))</f>
        <v>0</v>
      </c>
      <c r="AF119" s="13">
        <f>IF($D$2="Egyszeri",IF($D$7&gt;=IF($D$4="Forint",Paraméterek!$P$223,Paraméterek!$P$224),$D$7-IF($D$4="Forint",Paraméterek!$F$223,Paraméterek!$F$224),0),MIN(IF($AA119=12,AVERAGE($D$20:$D119)*12,0),SUM($D$20:$D$31)))</f>
        <v>0</v>
      </c>
      <c r="AG119" s="13">
        <f>IF(AND($Z119&gt;=10,MOD($Z119,5)=0),$AF119*IF($AA119=12,VLOOKUP($Z119,Paraméterek!$B$225:$F$240,IF($AF119&lt;IF($D$4="Forint",Paraméterek!$C$223,Paraméterek!$C$224),2,IF($AF119&lt;IF($D$4="Forint",Paraméterek!$D$223,Paraméterek!$D$224),3,4))),0),0)</f>
        <v>0</v>
      </c>
      <c r="AH119" s="13">
        <f>IF(AND($Z119&gt;=5,MOD($Z119,5)=0),IF($AA119=12,VLOOKUP($Z119,Paraméterek!$B$225:$F$240,5),0),IF(OR($Z119=3,$Z119=4),IF($AA119=12,VLOOKUP($Z119,Paraméterek!$B$225:$F$240,5,0),0),0))*$AF119</f>
        <v>0</v>
      </c>
      <c r="AI119" s="13">
        <f>ROUNDDOWN(IF(SUM($T$20:$U119)=0,IF($D$2="Egyszeri",$AH119,$AG119),0),IF($D$4="Forint",0,2))</f>
        <v>0</v>
      </c>
      <c r="AJ119" s="13">
        <f t="shared" si="27"/>
        <v>0</v>
      </c>
      <c r="AK119" s="13">
        <f t="shared" si="28"/>
        <v>0</v>
      </c>
      <c r="AM119" s="32">
        <v>100</v>
      </c>
      <c r="AN119" s="32">
        <v>9</v>
      </c>
      <c r="AO119" s="32">
        <v>4</v>
      </c>
      <c r="AP119" s="13"/>
      <c r="AQ119" s="32"/>
      <c r="AR119" s="13">
        <f t="shared" si="29"/>
        <v>0</v>
      </c>
      <c r="AS119" s="33"/>
      <c r="AT119" s="13">
        <f t="shared" si="23"/>
        <v>0</v>
      </c>
      <c r="AU119" s="13">
        <f>ROUNDUP(($AR119+$AT119)*VLOOKUP($AN119,Paraméterek!$P$38:$Q$38,2)/12,IF($D$4="Forint",0,2))</f>
        <v>0</v>
      </c>
      <c r="AV119" s="13"/>
      <c r="AW119" s="13"/>
      <c r="AX119" s="13">
        <f>ROUNDUP(IF(SUM($AV119:$AW119)=0,0,IF(IF(ISBLANK($AW119),$AV119,$AW119)*Paraméterek!$J$112&lt;IF($D$4="Forint",Paraméterek!$J$113,Paraméterek!$K$113),IF($D$4="Forint",Paraméterek!$J$113,Paraméterek!$K$113),IF(IF(ISBLANK($AW119),$AV119,$AW119)*Paraméterek!$J$112&gt;IF($D$4="Forint",Paraméterek!$J$114,Paraméterek!$K$114),IF($D$4="Forint",Paraméterek!$J$114,Paraméterek!$K$114),IF(ISBLANK($AW119),$AV119,$AW119)*Paraméterek!$J$112))),IF($D$4="Forint",0,2))</f>
        <v>0</v>
      </c>
      <c r="AY119" s="13">
        <f>$AR119+$AT119-$AU119-IF(ROUNDDOWN(IF(ISBLANK($AW119),$AV119,$AW119),IF($D$4="Forint",0,2))&gt;$AR119+$AT119-$AU119-IF($D$4="Forint",Paraméterek!$J$114,Paraméterek!$K$114),0,ROUNDDOWN(IF(ISBLANK($AW119),$AV119,$AW119),IF($D$4="Forint",0,2))-$AX119)</f>
        <v>0</v>
      </c>
      <c r="AZ119" s="13">
        <f t="shared" si="24"/>
        <v>0</v>
      </c>
    </row>
    <row r="120" spans="1:52" x14ac:dyDescent="0.2">
      <c r="A120" s="32">
        <v>101</v>
      </c>
      <c r="B120" s="32">
        <v>9</v>
      </c>
      <c r="C120" s="32">
        <v>5</v>
      </c>
      <c r="D120" s="13">
        <f t="shared" si="15"/>
        <v>0</v>
      </c>
      <c r="E120" s="13"/>
      <c r="F120" s="13"/>
      <c r="G120" s="13"/>
      <c r="H120" s="13">
        <f t="shared" si="16"/>
        <v>0</v>
      </c>
      <c r="I120" s="13">
        <f t="shared" si="17"/>
        <v>0</v>
      </c>
      <c r="J120" s="13">
        <f t="shared" si="18"/>
        <v>0</v>
      </c>
      <c r="K120" s="13">
        <f>ROUNDUP(IF($D$2="Egyszeri",$D120,IF($D$2="Havi",SUM($D$20:$D$31),IF(MOD($C120,$M$1)-1=0,SUM($D$20:$D$31),0))/12*$M$1)*VLOOKUP($B120,Paraméterek!$B$27:$D$30,IF($D$2="Egyszeri",3,2)),IF($D$4="Forint",0,2))</f>
        <v>0</v>
      </c>
      <c r="L120" s="13">
        <f t="shared" si="19"/>
        <v>0</v>
      </c>
      <c r="M120" s="13">
        <f t="shared" ca="1" si="25"/>
        <v>-54641</v>
      </c>
      <c r="N120" s="13">
        <f ca="1">IF($V119&gt;=VLOOKUP($M$4-1+$B120,Paraméterek!$B$121:$D$122,IF($D$4="Forint",2,3)),0,VLOOKUP($M$4-1+$B120,Paraméterek!$B$121:$D$122,IF($D$4="Forint",2,3))-$V119)</f>
        <v>64641</v>
      </c>
      <c r="O120" s="13">
        <f ca="1">ROUNDUP($N120*Paraméterek!$C$58/Paraméterek!$C$56,IF($D$4="Forint",0,2))</f>
        <v>11</v>
      </c>
      <c r="P120" s="13">
        <f t="shared" si="20"/>
        <v>697</v>
      </c>
      <c r="Q120" s="33"/>
      <c r="R120" s="13">
        <f t="shared" ca="1" si="21"/>
        <v>0</v>
      </c>
      <c r="S120" s="13">
        <f ca="1">ROUNDUP(($M120-$O120-$P120+$R120)*VLOOKUP($B120,Paraméterek!$B$38:$D$39,IF($D$2="Egyszeri",3,2))/12,IF($D$4="Forint",0,2))</f>
        <v>-150</v>
      </c>
      <c r="T120" s="13"/>
      <c r="U120" s="13"/>
      <c r="V120" s="13">
        <f ca="1">$M120-$O120-$P120+$R120-$S120-IF(ROUNDUP(IF(ISBLANK($U120),$T120,$U120)/IF(AND($B120=1,$D$2&lt;&gt;"Egyszeri"),1,VLOOKUP($B120+IF($C120=12,1,0),Paraméterek!$B$257:$D$267,IF($D$2="Egyszeri",3,2))),IF($D$4="Forint",0,2))&gt;$M120-$O120-$P120+$R120-$S120-IF($D$4="Forint",Paraméterek!$C$216,Paraméterek!$D$216),0,ROUNDUP(IF(ISBLANK($U120),$T120,$U120)/IF(AND($B120=1,$D$2&lt;&gt;"Egyszeri"),1,VLOOKUP($B120+IF($C120=12,1,0),Paraméterek!$B$257:$D$267,IF($D$2="Egyszeri",3,2))),IF($D$4="Forint",0,2)))</f>
        <v>-55199</v>
      </c>
      <c r="W120" s="13">
        <f ca="1">ROUNDDOWN($V120*VLOOKUP($B120+IF($C120=12,1,0),Paraméterek!$B$257:$D$267,IF($D$2="Egyszeri",3,2)),IF($D$4="Forint",0,2))</f>
        <v>-54095</v>
      </c>
      <c r="Y120" s="32">
        <v>101</v>
      </c>
      <c r="Z120" s="32">
        <v>9</v>
      </c>
      <c r="AA120" s="32">
        <v>5</v>
      </c>
      <c r="AB120" s="13">
        <f t="shared" si="26"/>
        <v>0</v>
      </c>
      <c r="AC120" s="33"/>
      <c r="AD120" s="13">
        <f t="shared" si="22"/>
        <v>0</v>
      </c>
      <c r="AE120" s="13">
        <f>ROUNDUP(($AB120+$AD120)*VLOOKUP($Z120,Paraméterek!$P$38:$Q$38,2)/12,IF($D$4="Forint",0,2))</f>
        <v>0</v>
      </c>
      <c r="AF120" s="13">
        <f>IF($D$2="Egyszeri",IF($D$7&gt;=IF($D$4="Forint",Paraméterek!$P$223,Paraméterek!$P$224),$D$7-IF($D$4="Forint",Paraméterek!$F$223,Paraméterek!$F$224),0),MIN(IF($AA120=12,AVERAGE($D$20:$D120)*12,0),SUM($D$20:$D$31)))</f>
        <v>0</v>
      </c>
      <c r="AG120" s="13">
        <f>IF(AND($Z120&gt;=10,MOD($Z120,5)=0),$AF120*IF($AA120=12,VLOOKUP($Z120,Paraméterek!$B$225:$F$240,IF($AF120&lt;IF($D$4="Forint",Paraméterek!$C$223,Paraméterek!$C$224),2,IF($AF120&lt;IF($D$4="Forint",Paraméterek!$D$223,Paraméterek!$D$224),3,4))),0),0)</f>
        <v>0</v>
      </c>
      <c r="AH120" s="13">
        <f>IF(AND($Z120&gt;=5,MOD($Z120,5)=0),IF($AA120=12,VLOOKUP($Z120,Paraméterek!$B$225:$F$240,5),0),IF(OR($Z120=3,$Z120=4),IF($AA120=12,VLOOKUP($Z120,Paraméterek!$B$225:$F$240,5,0),0),0))*$AF120</f>
        <v>0</v>
      </c>
      <c r="AI120" s="13">
        <f>ROUNDDOWN(IF(SUM($T$20:$U120)=0,IF($D$2="Egyszeri",$AH120,$AG120),0),IF($D$4="Forint",0,2))</f>
        <v>0</v>
      </c>
      <c r="AJ120" s="13">
        <f t="shared" si="27"/>
        <v>0</v>
      </c>
      <c r="AK120" s="13">
        <f t="shared" si="28"/>
        <v>0</v>
      </c>
      <c r="AM120" s="32">
        <v>101</v>
      </c>
      <c r="AN120" s="32">
        <v>9</v>
      </c>
      <c r="AO120" s="32">
        <v>5</v>
      </c>
      <c r="AP120" s="13"/>
      <c r="AQ120" s="32"/>
      <c r="AR120" s="13">
        <f t="shared" si="29"/>
        <v>0</v>
      </c>
      <c r="AS120" s="33"/>
      <c r="AT120" s="13">
        <f t="shared" si="23"/>
        <v>0</v>
      </c>
      <c r="AU120" s="13">
        <f>ROUNDUP(($AR120+$AT120)*VLOOKUP($AN120,Paraméterek!$P$38:$Q$38,2)/12,IF($D$4="Forint",0,2))</f>
        <v>0</v>
      </c>
      <c r="AV120" s="13"/>
      <c r="AW120" s="13"/>
      <c r="AX120" s="13">
        <f>ROUNDUP(IF(SUM($AV120:$AW120)=0,0,IF(IF(ISBLANK($AW120),$AV120,$AW120)*Paraméterek!$J$112&lt;IF($D$4="Forint",Paraméterek!$J$113,Paraméterek!$K$113),IF($D$4="Forint",Paraméterek!$J$113,Paraméterek!$K$113),IF(IF(ISBLANK($AW120),$AV120,$AW120)*Paraméterek!$J$112&gt;IF($D$4="Forint",Paraméterek!$J$114,Paraméterek!$K$114),IF($D$4="Forint",Paraméterek!$J$114,Paraméterek!$K$114),IF(ISBLANK($AW120),$AV120,$AW120)*Paraméterek!$J$112))),IF($D$4="Forint",0,2))</f>
        <v>0</v>
      </c>
      <c r="AY120" s="13">
        <f>$AR120+$AT120-$AU120-IF(ROUNDDOWN(IF(ISBLANK($AW120),$AV120,$AW120),IF($D$4="Forint",0,2))&gt;$AR120+$AT120-$AU120-IF($D$4="Forint",Paraméterek!$J$114,Paraméterek!$K$114),0,ROUNDDOWN(IF(ISBLANK($AW120),$AV120,$AW120),IF($D$4="Forint",0,2))-$AX120)</f>
        <v>0</v>
      </c>
      <c r="AZ120" s="13">
        <f t="shared" si="24"/>
        <v>0</v>
      </c>
    </row>
    <row r="121" spans="1:52" x14ac:dyDescent="0.2">
      <c r="A121" s="32">
        <v>102</v>
      </c>
      <c r="B121" s="32">
        <v>9</v>
      </c>
      <c r="C121" s="32">
        <v>6</v>
      </c>
      <c r="D121" s="13">
        <f t="shared" si="15"/>
        <v>0</v>
      </c>
      <c r="E121" s="13"/>
      <c r="F121" s="13"/>
      <c r="G121" s="13"/>
      <c r="H121" s="13">
        <f t="shared" si="16"/>
        <v>0</v>
      </c>
      <c r="I121" s="13">
        <f t="shared" si="17"/>
        <v>0</v>
      </c>
      <c r="J121" s="13">
        <f t="shared" si="18"/>
        <v>0</v>
      </c>
      <c r="K121" s="13">
        <f>ROUNDUP(IF($D$2="Egyszeri",$D121,IF($D$2="Havi",SUM($D$20:$D$31),IF(MOD($C121,$M$1)-1=0,SUM($D$20:$D$31),0))/12*$M$1)*VLOOKUP($B121,Paraméterek!$B$27:$D$30,IF($D$2="Egyszeri",3,2)),IF($D$4="Forint",0,2))</f>
        <v>0</v>
      </c>
      <c r="L121" s="13">
        <f t="shared" si="19"/>
        <v>0</v>
      </c>
      <c r="M121" s="13">
        <f t="shared" ca="1" si="25"/>
        <v>-55199</v>
      </c>
      <c r="N121" s="13">
        <f ca="1">IF($V120&gt;=VLOOKUP($M$4-1+$B121,Paraméterek!$B$121:$D$122,IF($D$4="Forint",2,3)),0,VLOOKUP($M$4-1+$B121,Paraméterek!$B$121:$D$122,IF($D$4="Forint",2,3))-$V120)</f>
        <v>65199</v>
      </c>
      <c r="O121" s="13">
        <f ca="1">ROUNDUP($N121*Paraméterek!$C$58/Paraméterek!$C$56,IF($D$4="Forint",0,2))</f>
        <v>11</v>
      </c>
      <c r="P121" s="13">
        <f t="shared" si="20"/>
        <v>697</v>
      </c>
      <c r="Q121" s="33"/>
      <c r="R121" s="13">
        <f t="shared" ca="1" si="21"/>
        <v>0</v>
      </c>
      <c r="S121" s="13">
        <f ca="1">ROUNDUP(($M121-$O121-$P121+$R121)*VLOOKUP($B121,Paraméterek!$B$38:$D$39,IF($D$2="Egyszeri",3,2))/12,IF($D$4="Forint",0,2))</f>
        <v>-152</v>
      </c>
      <c r="T121" s="13"/>
      <c r="U121" s="13"/>
      <c r="V121" s="13">
        <f ca="1">$M121-$O121-$P121+$R121-$S121-IF(ROUNDUP(IF(ISBLANK($U121),$T121,$U121)/IF(AND($B121=1,$D$2&lt;&gt;"Egyszeri"),1,VLOOKUP($B121+IF($C121=12,1,0),Paraméterek!$B$257:$D$267,IF($D$2="Egyszeri",3,2))),IF($D$4="Forint",0,2))&gt;$M121-$O121-$P121+$R121-$S121-IF($D$4="Forint",Paraméterek!$C$216,Paraméterek!$D$216),0,ROUNDUP(IF(ISBLANK($U121),$T121,$U121)/IF(AND($B121=1,$D$2&lt;&gt;"Egyszeri"),1,VLOOKUP($B121+IF($C121=12,1,0),Paraméterek!$B$257:$D$267,IF($D$2="Egyszeri",3,2))),IF($D$4="Forint",0,2)))</f>
        <v>-55755</v>
      </c>
      <c r="W121" s="13">
        <f ca="1">ROUNDDOWN($V121*VLOOKUP($B121+IF($C121=12,1,0),Paraméterek!$B$257:$D$267,IF($D$2="Egyszeri",3,2)),IF($D$4="Forint",0,2))</f>
        <v>-54639</v>
      </c>
      <c r="Y121" s="32">
        <v>102</v>
      </c>
      <c r="Z121" s="32">
        <v>9</v>
      </c>
      <c r="AA121" s="32">
        <v>6</v>
      </c>
      <c r="AB121" s="13">
        <f t="shared" si="26"/>
        <v>0</v>
      </c>
      <c r="AC121" s="33"/>
      <c r="AD121" s="13">
        <f t="shared" si="22"/>
        <v>0</v>
      </c>
      <c r="AE121" s="13">
        <f>ROUNDUP(($AB121+$AD121)*VLOOKUP($Z121,Paraméterek!$P$38:$Q$38,2)/12,IF($D$4="Forint",0,2))</f>
        <v>0</v>
      </c>
      <c r="AF121" s="13">
        <f>IF($D$2="Egyszeri",IF($D$7&gt;=IF($D$4="Forint",Paraméterek!$P$223,Paraméterek!$P$224),$D$7-IF($D$4="Forint",Paraméterek!$F$223,Paraméterek!$F$224),0),MIN(IF($AA121=12,AVERAGE($D$20:$D121)*12,0),SUM($D$20:$D$31)))</f>
        <v>0</v>
      </c>
      <c r="AG121" s="13">
        <f>IF(AND($Z121&gt;=10,MOD($Z121,5)=0),$AF121*IF($AA121=12,VLOOKUP($Z121,Paraméterek!$B$225:$F$240,IF($AF121&lt;IF($D$4="Forint",Paraméterek!$C$223,Paraméterek!$C$224),2,IF($AF121&lt;IF($D$4="Forint",Paraméterek!$D$223,Paraméterek!$D$224),3,4))),0),0)</f>
        <v>0</v>
      </c>
      <c r="AH121" s="13">
        <f>IF(AND($Z121&gt;=5,MOD($Z121,5)=0),IF($AA121=12,VLOOKUP($Z121,Paraméterek!$B$225:$F$240,5),0),IF(OR($Z121=3,$Z121=4),IF($AA121=12,VLOOKUP($Z121,Paraméterek!$B$225:$F$240,5,0),0),0))*$AF121</f>
        <v>0</v>
      </c>
      <c r="AI121" s="13">
        <f>ROUNDDOWN(IF(SUM($T$20:$U121)=0,IF($D$2="Egyszeri",$AH121,$AG121),0),IF($D$4="Forint",0,2))</f>
        <v>0</v>
      </c>
      <c r="AJ121" s="13">
        <f t="shared" si="27"/>
        <v>0</v>
      </c>
      <c r="AK121" s="13">
        <f t="shared" si="28"/>
        <v>0</v>
      </c>
      <c r="AM121" s="32">
        <v>102</v>
      </c>
      <c r="AN121" s="32">
        <v>9</v>
      </c>
      <c r="AO121" s="32">
        <v>6</v>
      </c>
      <c r="AP121" s="13"/>
      <c r="AQ121" s="32"/>
      <c r="AR121" s="13">
        <f t="shared" si="29"/>
        <v>0</v>
      </c>
      <c r="AS121" s="33"/>
      <c r="AT121" s="13">
        <f t="shared" si="23"/>
        <v>0</v>
      </c>
      <c r="AU121" s="13">
        <f>ROUNDUP(($AR121+$AT121)*VLOOKUP($AN121,Paraméterek!$P$38:$Q$38,2)/12,IF($D$4="Forint",0,2))</f>
        <v>0</v>
      </c>
      <c r="AV121" s="13"/>
      <c r="AW121" s="13"/>
      <c r="AX121" s="13">
        <f>ROUNDUP(IF(SUM($AV121:$AW121)=0,0,IF(IF(ISBLANK($AW121),$AV121,$AW121)*Paraméterek!$J$112&lt;IF($D$4="Forint",Paraméterek!$J$113,Paraméterek!$K$113),IF($D$4="Forint",Paraméterek!$J$113,Paraméterek!$K$113),IF(IF(ISBLANK($AW121),$AV121,$AW121)*Paraméterek!$J$112&gt;IF($D$4="Forint",Paraméterek!$J$114,Paraméterek!$K$114),IF($D$4="Forint",Paraméterek!$J$114,Paraméterek!$K$114),IF(ISBLANK($AW121),$AV121,$AW121)*Paraméterek!$J$112))),IF($D$4="Forint",0,2))</f>
        <v>0</v>
      </c>
      <c r="AY121" s="13">
        <f>$AR121+$AT121-$AU121-IF(ROUNDDOWN(IF(ISBLANK($AW121),$AV121,$AW121),IF($D$4="Forint",0,2))&gt;$AR121+$AT121-$AU121-IF($D$4="Forint",Paraméterek!$J$114,Paraméterek!$K$114),0,ROUNDDOWN(IF(ISBLANK($AW121),$AV121,$AW121),IF($D$4="Forint",0,2))-$AX121)</f>
        <v>0</v>
      </c>
      <c r="AZ121" s="13">
        <f t="shared" si="24"/>
        <v>0</v>
      </c>
    </row>
    <row r="122" spans="1:52" x14ac:dyDescent="0.2">
      <c r="A122" s="32">
        <v>103</v>
      </c>
      <c r="B122" s="32">
        <v>9</v>
      </c>
      <c r="C122" s="32">
        <v>7</v>
      </c>
      <c r="D122" s="13">
        <f t="shared" si="15"/>
        <v>0</v>
      </c>
      <c r="E122" s="13"/>
      <c r="F122" s="13"/>
      <c r="G122" s="13"/>
      <c r="H122" s="13">
        <f t="shared" si="16"/>
        <v>0</v>
      </c>
      <c r="I122" s="13">
        <f t="shared" si="17"/>
        <v>0</v>
      </c>
      <c r="J122" s="13">
        <f t="shared" si="18"/>
        <v>0</v>
      </c>
      <c r="K122" s="13">
        <f>ROUNDUP(IF($D$2="Egyszeri",$D122,IF($D$2="Havi",SUM($D$20:$D$31),IF(MOD($C122,$M$1)-1=0,SUM($D$20:$D$31),0))/12*$M$1)*VLOOKUP($B122,Paraméterek!$B$27:$D$30,IF($D$2="Egyszeri",3,2)),IF($D$4="Forint",0,2))</f>
        <v>0</v>
      </c>
      <c r="L122" s="13">
        <f t="shared" si="19"/>
        <v>0</v>
      </c>
      <c r="M122" s="13">
        <f t="shared" ca="1" si="25"/>
        <v>-55755</v>
      </c>
      <c r="N122" s="13">
        <f ca="1">IF($V121&gt;=VLOOKUP($M$4-1+$B122,Paraméterek!$B$121:$D$122,IF($D$4="Forint",2,3)),0,VLOOKUP($M$4-1+$B122,Paraméterek!$B$121:$D$122,IF($D$4="Forint",2,3))-$V121)</f>
        <v>65755</v>
      </c>
      <c r="O122" s="13">
        <f ca="1">ROUNDUP($N122*Paraméterek!$C$58/Paraméterek!$C$56,IF($D$4="Forint",0,2))</f>
        <v>11</v>
      </c>
      <c r="P122" s="13">
        <f t="shared" si="20"/>
        <v>697</v>
      </c>
      <c r="Q122" s="33"/>
      <c r="R122" s="13">
        <f t="shared" ca="1" si="21"/>
        <v>0</v>
      </c>
      <c r="S122" s="13">
        <f ca="1">ROUNDUP(($M122-$O122-$P122+$R122)*VLOOKUP($B122,Paraméterek!$B$38:$D$39,IF($D$2="Egyszeri",3,2))/12,IF($D$4="Forint",0,2))</f>
        <v>-153</v>
      </c>
      <c r="T122" s="13"/>
      <c r="U122" s="13"/>
      <c r="V122" s="13">
        <f ca="1">$M122-$O122-$P122+$R122-$S122-IF(ROUNDUP(IF(ISBLANK($U122),$T122,$U122)/IF(AND($B122=1,$D$2&lt;&gt;"Egyszeri"),1,VLOOKUP($B122+IF($C122=12,1,0),Paraméterek!$B$257:$D$267,IF($D$2="Egyszeri",3,2))),IF($D$4="Forint",0,2))&gt;$M122-$O122-$P122+$R122-$S122-IF($D$4="Forint",Paraméterek!$C$216,Paraméterek!$D$216),0,ROUNDUP(IF(ISBLANK($U122),$T122,$U122)/IF(AND($B122=1,$D$2&lt;&gt;"Egyszeri"),1,VLOOKUP($B122+IF($C122=12,1,0),Paraméterek!$B$257:$D$267,IF($D$2="Egyszeri",3,2))),IF($D$4="Forint",0,2)))</f>
        <v>-56310</v>
      </c>
      <c r="W122" s="13">
        <f ca="1">ROUNDDOWN($V122*VLOOKUP($B122+IF($C122=12,1,0),Paraméterek!$B$257:$D$267,IF($D$2="Egyszeri",3,2)),IF($D$4="Forint",0,2))</f>
        <v>-55183</v>
      </c>
      <c r="Y122" s="32">
        <v>103</v>
      </c>
      <c r="Z122" s="32">
        <v>9</v>
      </c>
      <c r="AA122" s="32">
        <v>7</v>
      </c>
      <c r="AB122" s="13">
        <f t="shared" si="26"/>
        <v>0</v>
      </c>
      <c r="AC122" s="33"/>
      <c r="AD122" s="13">
        <f t="shared" si="22"/>
        <v>0</v>
      </c>
      <c r="AE122" s="13">
        <f>ROUNDUP(($AB122+$AD122)*VLOOKUP($Z122,Paraméterek!$P$38:$Q$38,2)/12,IF($D$4="Forint",0,2))</f>
        <v>0</v>
      </c>
      <c r="AF122" s="13">
        <f>IF($D$2="Egyszeri",IF($D$7&gt;=IF($D$4="Forint",Paraméterek!$P$223,Paraméterek!$P$224),$D$7-IF($D$4="Forint",Paraméterek!$F$223,Paraméterek!$F$224),0),MIN(IF($AA122=12,AVERAGE($D$20:$D122)*12,0),SUM($D$20:$D$31)))</f>
        <v>0</v>
      </c>
      <c r="AG122" s="13">
        <f>IF(AND($Z122&gt;=10,MOD($Z122,5)=0),$AF122*IF($AA122=12,VLOOKUP($Z122,Paraméterek!$B$225:$F$240,IF($AF122&lt;IF($D$4="Forint",Paraméterek!$C$223,Paraméterek!$C$224),2,IF($AF122&lt;IF($D$4="Forint",Paraméterek!$D$223,Paraméterek!$D$224),3,4))),0),0)</f>
        <v>0</v>
      </c>
      <c r="AH122" s="13">
        <f>IF(AND($Z122&gt;=5,MOD($Z122,5)=0),IF($AA122=12,VLOOKUP($Z122,Paraméterek!$B$225:$F$240,5),0),IF(OR($Z122=3,$Z122=4),IF($AA122=12,VLOOKUP($Z122,Paraméterek!$B$225:$F$240,5,0),0),0))*$AF122</f>
        <v>0</v>
      </c>
      <c r="AI122" s="13">
        <f>ROUNDDOWN(IF(SUM($T$20:$U122)=0,IF($D$2="Egyszeri",$AH122,$AG122),0),IF($D$4="Forint",0,2))</f>
        <v>0</v>
      </c>
      <c r="AJ122" s="13">
        <f t="shared" si="27"/>
        <v>0</v>
      </c>
      <c r="AK122" s="13">
        <f t="shared" si="28"/>
        <v>0</v>
      </c>
      <c r="AM122" s="32">
        <v>103</v>
      </c>
      <c r="AN122" s="32">
        <v>9</v>
      </c>
      <c r="AO122" s="32">
        <v>7</v>
      </c>
      <c r="AP122" s="13"/>
      <c r="AQ122" s="32"/>
      <c r="AR122" s="13">
        <f t="shared" si="29"/>
        <v>0</v>
      </c>
      <c r="AS122" s="33"/>
      <c r="AT122" s="13">
        <f t="shared" si="23"/>
        <v>0</v>
      </c>
      <c r="AU122" s="13">
        <f>ROUNDUP(($AR122+$AT122)*VLOOKUP($AN122,Paraméterek!$P$38:$Q$38,2)/12,IF($D$4="Forint",0,2))</f>
        <v>0</v>
      </c>
      <c r="AV122" s="13"/>
      <c r="AW122" s="13"/>
      <c r="AX122" s="13">
        <f>ROUNDUP(IF(SUM($AV122:$AW122)=0,0,IF(IF(ISBLANK($AW122),$AV122,$AW122)*Paraméterek!$J$112&lt;IF($D$4="Forint",Paraméterek!$J$113,Paraméterek!$K$113),IF($D$4="Forint",Paraméterek!$J$113,Paraméterek!$K$113),IF(IF(ISBLANK($AW122),$AV122,$AW122)*Paraméterek!$J$112&gt;IF($D$4="Forint",Paraméterek!$J$114,Paraméterek!$K$114),IF($D$4="Forint",Paraméterek!$J$114,Paraméterek!$K$114),IF(ISBLANK($AW122),$AV122,$AW122)*Paraméterek!$J$112))),IF($D$4="Forint",0,2))</f>
        <v>0</v>
      </c>
      <c r="AY122" s="13">
        <f>$AR122+$AT122-$AU122-IF(ROUNDDOWN(IF(ISBLANK($AW122),$AV122,$AW122),IF($D$4="Forint",0,2))&gt;$AR122+$AT122-$AU122-IF($D$4="Forint",Paraméterek!$J$114,Paraméterek!$K$114),0,ROUNDDOWN(IF(ISBLANK($AW122),$AV122,$AW122),IF($D$4="Forint",0,2))-$AX122)</f>
        <v>0</v>
      </c>
      <c r="AZ122" s="13">
        <f t="shared" si="24"/>
        <v>0</v>
      </c>
    </row>
    <row r="123" spans="1:52" x14ac:dyDescent="0.2">
      <c r="A123" s="32">
        <v>104</v>
      </c>
      <c r="B123" s="32">
        <v>9</v>
      </c>
      <c r="C123" s="32">
        <v>8</v>
      </c>
      <c r="D123" s="13">
        <f t="shared" si="15"/>
        <v>0</v>
      </c>
      <c r="E123" s="13"/>
      <c r="F123" s="13"/>
      <c r="G123" s="13"/>
      <c r="H123" s="13">
        <f t="shared" si="16"/>
        <v>0</v>
      </c>
      <c r="I123" s="13">
        <f t="shared" si="17"/>
        <v>0</v>
      </c>
      <c r="J123" s="13">
        <f t="shared" si="18"/>
        <v>0</v>
      </c>
      <c r="K123" s="13">
        <f>ROUNDUP(IF($D$2="Egyszeri",$D123,IF($D$2="Havi",SUM($D$20:$D$31),IF(MOD($C123,$M$1)-1=0,SUM($D$20:$D$31),0))/12*$M$1)*VLOOKUP($B123,Paraméterek!$B$27:$D$30,IF($D$2="Egyszeri",3,2)),IF($D$4="Forint",0,2))</f>
        <v>0</v>
      </c>
      <c r="L123" s="13">
        <f t="shared" si="19"/>
        <v>0</v>
      </c>
      <c r="M123" s="13">
        <f t="shared" ca="1" si="25"/>
        <v>-56310</v>
      </c>
      <c r="N123" s="13">
        <f ca="1">IF($V122&gt;=VLOOKUP($M$4-1+$B123,Paraméterek!$B$121:$D$122,IF($D$4="Forint",2,3)),0,VLOOKUP($M$4-1+$B123,Paraméterek!$B$121:$D$122,IF($D$4="Forint",2,3))-$V122)</f>
        <v>66310</v>
      </c>
      <c r="O123" s="13">
        <f ca="1">ROUNDUP($N123*Paraméterek!$C$58/Paraméterek!$C$56,IF($D$4="Forint",0,2))</f>
        <v>11</v>
      </c>
      <c r="P123" s="13">
        <f t="shared" si="20"/>
        <v>697</v>
      </c>
      <c r="Q123" s="33"/>
      <c r="R123" s="13">
        <f t="shared" ca="1" si="21"/>
        <v>0</v>
      </c>
      <c r="S123" s="13">
        <f ca="1">ROUNDUP(($M123-$O123-$P123+$R123)*VLOOKUP($B123,Paraméterek!$B$38:$D$39,IF($D$2="Egyszeri",3,2))/12,IF($D$4="Forint",0,2))</f>
        <v>-155</v>
      </c>
      <c r="T123" s="13"/>
      <c r="U123" s="13"/>
      <c r="V123" s="13">
        <f ca="1">$M123-$O123-$P123+$R123-$S123-IF(ROUNDUP(IF(ISBLANK($U123),$T123,$U123)/IF(AND($B123=1,$D$2&lt;&gt;"Egyszeri"),1,VLOOKUP($B123+IF($C123=12,1,0),Paraméterek!$B$257:$D$267,IF($D$2="Egyszeri",3,2))),IF($D$4="Forint",0,2))&gt;$M123-$O123-$P123+$R123-$S123-IF($D$4="Forint",Paraméterek!$C$216,Paraméterek!$D$216),0,ROUNDUP(IF(ISBLANK($U123),$T123,$U123)/IF(AND($B123=1,$D$2&lt;&gt;"Egyszeri"),1,VLOOKUP($B123+IF($C123=12,1,0),Paraméterek!$B$257:$D$267,IF($D$2="Egyszeri",3,2))),IF($D$4="Forint",0,2)))</f>
        <v>-56863</v>
      </c>
      <c r="W123" s="13">
        <f ca="1">ROUNDDOWN($V123*VLOOKUP($B123+IF($C123=12,1,0),Paraméterek!$B$257:$D$267,IF($D$2="Egyszeri",3,2)),IF($D$4="Forint",0,2))</f>
        <v>-55725</v>
      </c>
      <c r="Y123" s="32">
        <v>104</v>
      </c>
      <c r="Z123" s="32">
        <v>9</v>
      </c>
      <c r="AA123" s="32">
        <v>8</v>
      </c>
      <c r="AB123" s="13">
        <f t="shared" si="26"/>
        <v>0</v>
      </c>
      <c r="AC123" s="33"/>
      <c r="AD123" s="13">
        <f t="shared" si="22"/>
        <v>0</v>
      </c>
      <c r="AE123" s="13">
        <f>ROUNDUP(($AB123+$AD123)*VLOOKUP($Z123,Paraméterek!$P$38:$Q$38,2)/12,IF($D$4="Forint",0,2))</f>
        <v>0</v>
      </c>
      <c r="AF123" s="13">
        <f>IF($D$2="Egyszeri",IF($D$7&gt;=IF($D$4="Forint",Paraméterek!$P$223,Paraméterek!$P$224),$D$7-IF($D$4="Forint",Paraméterek!$F$223,Paraméterek!$F$224),0),MIN(IF($AA123=12,AVERAGE($D$20:$D123)*12,0),SUM($D$20:$D$31)))</f>
        <v>0</v>
      </c>
      <c r="AG123" s="13">
        <f>IF(AND($Z123&gt;=10,MOD($Z123,5)=0),$AF123*IF($AA123=12,VLOOKUP($Z123,Paraméterek!$B$225:$F$240,IF($AF123&lt;IF($D$4="Forint",Paraméterek!$C$223,Paraméterek!$C$224),2,IF($AF123&lt;IF($D$4="Forint",Paraméterek!$D$223,Paraméterek!$D$224),3,4))),0),0)</f>
        <v>0</v>
      </c>
      <c r="AH123" s="13">
        <f>IF(AND($Z123&gt;=5,MOD($Z123,5)=0),IF($AA123=12,VLOOKUP($Z123,Paraméterek!$B$225:$F$240,5),0),IF(OR($Z123=3,$Z123=4),IF($AA123=12,VLOOKUP($Z123,Paraméterek!$B$225:$F$240,5,0),0),0))*$AF123</f>
        <v>0</v>
      </c>
      <c r="AI123" s="13">
        <f>ROUNDDOWN(IF(SUM($T$20:$U123)=0,IF($D$2="Egyszeri",$AH123,$AG123),0),IF($D$4="Forint",0,2))</f>
        <v>0</v>
      </c>
      <c r="AJ123" s="13">
        <f t="shared" si="27"/>
        <v>0</v>
      </c>
      <c r="AK123" s="13">
        <f t="shared" si="28"/>
        <v>0</v>
      </c>
      <c r="AM123" s="32">
        <v>104</v>
      </c>
      <c r="AN123" s="32">
        <v>9</v>
      </c>
      <c r="AO123" s="32">
        <v>8</v>
      </c>
      <c r="AP123" s="13"/>
      <c r="AQ123" s="32"/>
      <c r="AR123" s="13">
        <f t="shared" si="29"/>
        <v>0</v>
      </c>
      <c r="AS123" s="33"/>
      <c r="AT123" s="13">
        <f t="shared" si="23"/>
        <v>0</v>
      </c>
      <c r="AU123" s="13">
        <f>ROUNDUP(($AR123+$AT123)*VLOOKUP($AN123,Paraméterek!$P$38:$Q$38,2)/12,IF($D$4="Forint",0,2))</f>
        <v>0</v>
      </c>
      <c r="AV123" s="13"/>
      <c r="AW123" s="13"/>
      <c r="AX123" s="13">
        <f>ROUNDUP(IF(SUM($AV123:$AW123)=0,0,IF(IF(ISBLANK($AW123),$AV123,$AW123)*Paraméterek!$J$112&lt;IF($D$4="Forint",Paraméterek!$J$113,Paraméterek!$K$113),IF($D$4="Forint",Paraméterek!$J$113,Paraméterek!$K$113),IF(IF(ISBLANK($AW123),$AV123,$AW123)*Paraméterek!$J$112&gt;IF($D$4="Forint",Paraméterek!$J$114,Paraméterek!$K$114),IF($D$4="Forint",Paraméterek!$J$114,Paraméterek!$K$114),IF(ISBLANK($AW123),$AV123,$AW123)*Paraméterek!$J$112))),IF($D$4="Forint",0,2))</f>
        <v>0</v>
      </c>
      <c r="AY123" s="13">
        <f>$AR123+$AT123-$AU123-IF(ROUNDDOWN(IF(ISBLANK($AW123),$AV123,$AW123),IF($D$4="Forint",0,2))&gt;$AR123+$AT123-$AU123-IF($D$4="Forint",Paraméterek!$J$114,Paraméterek!$K$114),0,ROUNDDOWN(IF(ISBLANK($AW123),$AV123,$AW123),IF($D$4="Forint",0,2))-$AX123)</f>
        <v>0</v>
      </c>
      <c r="AZ123" s="13">
        <f t="shared" si="24"/>
        <v>0</v>
      </c>
    </row>
    <row r="124" spans="1:52" x14ac:dyDescent="0.2">
      <c r="A124" s="32">
        <v>105</v>
      </c>
      <c r="B124" s="32">
        <v>9</v>
      </c>
      <c r="C124" s="32">
        <v>9</v>
      </c>
      <c r="D124" s="13">
        <f t="shared" si="15"/>
        <v>0</v>
      </c>
      <c r="E124" s="13"/>
      <c r="F124" s="13"/>
      <c r="G124" s="13"/>
      <c r="H124" s="13">
        <f t="shared" si="16"/>
        <v>0</v>
      </c>
      <c r="I124" s="13">
        <f t="shared" si="17"/>
        <v>0</v>
      </c>
      <c r="J124" s="13">
        <f t="shared" si="18"/>
        <v>0</v>
      </c>
      <c r="K124" s="13">
        <f>ROUNDUP(IF($D$2="Egyszeri",$D124,IF($D$2="Havi",SUM($D$20:$D$31),IF(MOD($C124,$M$1)-1=0,SUM($D$20:$D$31),0))/12*$M$1)*VLOOKUP($B124,Paraméterek!$B$27:$D$30,IF($D$2="Egyszeri",3,2)),IF($D$4="Forint",0,2))</f>
        <v>0</v>
      </c>
      <c r="L124" s="13">
        <f t="shared" si="19"/>
        <v>0</v>
      </c>
      <c r="M124" s="13">
        <f t="shared" ca="1" si="25"/>
        <v>-56863</v>
      </c>
      <c r="N124" s="13">
        <f ca="1">IF($V123&gt;=VLOOKUP($M$4-1+$B124,Paraméterek!$B$121:$D$122,IF($D$4="Forint",2,3)),0,VLOOKUP($M$4-1+$B124,Paraméterek!$B$121:$D$122,IF($D$4="Forint",2,3))-$V123)</f>
        <v>66863</v>
      </c>
      <c r="O124" s="13">
        <f ca="1">ROUNDUP($N124*Paraméterek!$C$58/Paraméterek!$C$56,IF($D$4="Forint",0,2))</f>
        <v>11</v>
      </c>
      <c r="P124" s="13">
        <f t="shared" si="20"/>
        <v>697</v>
      </c>
      <c r="Q124" s="33"/>
      <c r="R124" s="13">
        <f t="shared" ca="1" si="21"/>
        <v>0</v>
      </c>
      <c r="S124" s="13">
        <f ca="1">ROUNDUP(($M124-$O124-$P124+$R124)*VLOOKUP($B124,Paraméterek!$B$38:$D$39,IF($D$2="Egyszeri",3,2))/12,IF($D$4="Forint",0,2))</f>
        <v>-156</v>
      </c>
      <c r="T124" s="13"/>
      <c r="U124" s="13"/>
      <c r="V124" s="13">
        <f ca="1">$M124-$O124-$P124+$R124-$S124-IF(ROUNDUP(IF(ISBLANK($U124),$T124,$U124)/IF(AND($B124=1,$D$2&lt;&gt;"Egyszeri"),1,VLOOKUP($B124+IF($C124=12,1,0),Paraméterek!$B$257:$D$267,IF($D$2="Egyszeri",3,2))),IF($D$4="Forint",0,2))&gt;$M124-$O124-$P124+$R124-$S124-IF($D$4="Forint",Paraméterek!$C$216,Paraméterek!$D$216),0,ROUNDUP(IF(ISBLANK($U124),$T124,$U124)/IF(AND($B124=1,$D$2&lt;&gt;"Egyszeri"),1,VLOOKUP($B124+IF($C124=12,1,0),Paraméterek!$B$257:$D$267,IF($D$2="Egyszeri",3,2))),IF($D$4="Forint",0,2)))</f>
        <v>-57415</v>
      </c>
      <c r="W124" s="13">
        <f ca="1">ROUNDDOWN($V124*VLOOKUP($B124+IF($C124=12,1,0),Paraméterek!$B$257:$D$267,IF($D$2="Egyszeri",3,2)),IF($D$4="Forint",0,2))</f>
        <v>-56266</v>
      </c>
      <c r="Y124" s="32">
        <v>105</v>
      </c>
      <c r="Z124" s="32">
        <v>9</v>
      </c>
      <c r="AA124" s="32">
        <v>9</v>
      </c>
      <c r="AB124" s="13">
        <f t="shared" si="26"/>
        <v>0</v>
      </c>
      <c r="AC124" s="33"/>
      <c r="AD124" s="13">
        <f t="shared" si="22"/>
        <v>0</v>
      </c>
      <c r="AE124" s="13">
        <f>ROUNDUP(($AB124+$AD124)*VLOOKUP($Z124,Paraméterek!$P$38:$Q$38,2)/12,IF($D$4="Forint",0,2))</f>
        <v>0</v>
      </c>
      <c r="AF124" s="13">
        <f>IF($D$2="Egyszeri",IF($D$7&gt;=IF($D$4="Forint",Paraméterek!$P$223,Paraméterek!$P$224),$D$7-IF($D$4="Forint",Paraméterek!$F$223,Paraméterek!$F$224),0),MIN(IF($AA124=12,AVERAGE($D$20:$D124)*12,0),SUM($D$20:$D$31)))</f>
        <v>0</v>
      </c>
      <c r="AG124" s="13">
        <f>IF(AND($Z124&gt;=10,MOD($Z124,5)=0),$AF124*IF($AA124=12,VLOOKUP($Z124,Paraméterek!$B$225:$F$240,IF($AF124&lt;IF($D$4="Forint",Paraméterek!$C$223,Paraméterek!$C$224),2,IF($AF124&lt;IF($D$4="Forint",Paraméterek!$D$223,Paraméterek!$D$224),3,4))),0),0)</f>
        <v>0</v>
      </c>
      <c r="AH124" s="13">
        <f>IF(AND($Z124&gt;=5,MOD($Z124,5)=0),IF($AA124=12,VLOOKUP($Z124,Paraméterek!$B$225:$F$240,5),0),IF(OR($Z124=3,$Z124=4),IF($AA124=12,VLOOKUP($Z124,Paraméterek!$B$225:$F$240,5,0),0),0))*$AF124</f>
        <v>0</v>
      </c>
      <c r="AI124" s="13">
        <f>ROUNDDOWN(IF(SUM($T$20:$U124)=0,IF($D$2="Egyszeri",$AH124,$AG124),0),IF($D$4="Forint",0,2))</f>
        <v>0</v>
      </c>
      <c r="AJ124" s="13">
        <f t="shared" si="27"/>
        <v>0</v>
      </c>
      <c r="AK124" s="13">
        <f t="shared" si="28"/>
        <v>0</v>
      </c>
      <c r="AM124" s="32">
        <v>105</v>
      </c>
      <c r="AN124" s="32">
        <v>9</v>
      </c>
      <c r="AO124" s="32">
        <v>9</v>
      </c>
      <c r="AP124" s="13"/>
      <c r="AQ124" s="32"/>
      <c r="AR124" s="13">
        <f t="shared" si="29"/>
        <v>0</v>
      </c>
      <c r="AS124" s="33"/>
      <c r="AT124" s="13">
        <f t="shared" si="23"/>
        <v>0</v>
      </c>
      <c r="AU124" s="13">
        <f>ROUNDUP(($AR124+$AT124)*VLOOKUP($AN124,Paraméterek!$P$38:$Q$38,2)/12,IF($D$4="Forint",0,2))</f>
        <v>0</v>
      </c>
      <c r="AV124" s="13"/>
      <c r="AW124" s="13"/>
      <c r="AX124" s="13">
        <f>ROUNDUP(IF(SUM($AV124:$AW124)=0,0,IF(IF(ISBLANK($AW124),$AV124,$AW124)*Paraméterek!$J$112&lt;IF($D$4="Forint",Paraméterek!$J$113,Paraméterek!$K$113),IF($D$4="Forint",Paraméterek!$J$113,Paraméterek!$K$113),IF(IF(ISBLANK($AW124),$AV124,$AW124)*Paraméterek!$J$112&gt;IF($D$4="Forint",Paraméterek!$J$114,Paraméterek!$K$114),IF($D$4="Forint",Paraméterek!$J$114,Paraméterek!$K$114),IF(ISBLANK($AW124),$AV124,$AW124)*Paraméterek!$J$112))),IF($D$4="Forint",0,2))</f>
        <v>0</v>
      </c>
      <c r="AY124" s="13">
        <f>$AR124+$AT124-$AU124-IF(ROUNDDOWN(IF(ISBLANK($AW124),$AV124,$AW124),IF($D$4="Forint",0,2))&gt;$AR124+$AT124-$AU124-IF($D$4="Forint",Paraméterek!$J$114,Paraméterek!$K$114),0,ROUNDDOWN(IF(ISBLANK($AW124),$AV124,$AW124),IF($D$4="Forint",0,2))-$AX124)</f>
        <v>0</v>
      </c>
      <c r="AZ124" s="13">
        <f t="shared" si="24"/>
        <v>0</v>
      </c>
    </row>
    <row r="125" spans="1:52" x14ac:dyDescent="0.2">
      <c r="A125" s="32">
        <v>106</v>
      </c>
      <c r="B125" s="32">
        <v>9</v>
      </c>
      <c r="C125" s="32">
        <v>10</v>
      </c>
      <c r="D125" s="13">
        <f t="shared" si="15"/>
        <v>0</v>
      </c>
      <c r="E125" s="13"/>
      <c r="F125" s="13"/>
      <c r="G125" s="13"/>
      <c r="H125" s="13">
        <f t="shared" si="16"/>
        <v>0</v>
      </c>
      <c r="I125" s="13">
        <f t="shared" si="17"/>
        <v>0</v>
      </c>
      <c r="J125" s="13">
        <f t="shared" si="18"/>
        <v>0</v>
      </c>
      <c r="K125" s="13">
        <f>ROUNDUP(IF($D$2="Egyszeri",$D125,IF($D$2="Havi",SUM($D$20:$D$31),IF(MOD($C125,$M$1)-1=0,SUM($D$20:$D$31),0))/12*$M$1)*VLOOKUP($B125,Paraméterek!$B$27:$D$30,IF($D$2="Egyszeri",3,2)),IF($D$4="Forint",0,2))</f>
        <v>0</v>
      </c>
      <c r="L125" s="13">
        <f t="shared" si="19"/>
        <v>0</v>
      </c>
      <c r="M125" s="13">
        <f t="shared" ca="1" si="25"/>
        <v>-57415</v>
      </c>
      <c r="N125" s="13">
        <f ca="1">IF($V124&gt;=VLOOKUP($M$4-1+$B125,Paraméterek!$B$121:$D$122,IF($D$4="Forint",2,3)),0,VLOOKUP($M$4-1+$B125,Paraméterek!$B$121:$D$122,IF($D$4="Forint",2,3))-$V124)</f>
        <v>67415</v>
      </c>
      <c r="O125" s="13">
        <f ca="1">ROUNDUP($N125*Paraméterek!$C$58/Paraméterek!$C$56,IF($D$4="Forint",0,2))</f>
        <v>11</v>
      </c>
      <c r="P125" s="13">
        <f t="shared" si="20"/>
        <v>697</v>
      </c>
      <c r="Q125" s="33"/>
      <c r="R125" s="13">
        <f t="shared" ca="1" si="21"/>
        <v>0</v>
      </c>
      <c r="S125" s="13">
        <f ca="1">ROUNDUP(($M125-$O125-$P125+$R125)*VLOOKUP($B125,Paraméterek!$B$38:$D$39,IF($D$2="Egyszeri",3,2))/12,IF($D$4="Forint",0,2))</f>
        <v>-158</v>
      </c>
      <c r="T125" s="13"/>
      <c r="U125" s="13"/>
      <c r="V125" s="13">
        <f ca="1">$M125-$O125-$P125+$R125-$S125-IF(ROUNDUP(IF(ISBLANK($U125),$T125,$U125)/IF(AND($B125=1,$D$2&lt;&gt;"Egyszeri"),1,VLOOKUP($B125+IF($C125=12,1,0),Paraméterek!$B$257:$D$267,IF($D$2="Egyszeri",3,2))),IF($D$4="Forint",0,2))&gt;$M125-$O125-$P125+$R125-$S125-IF($D$4="Forint",Paraméterek!$C$216,Paraméterek!$D$216),0,ROUNDUP(IF(ISBLANK($U125),$T125,$U125)/IF(AND($B125=1,$D$2&lt;&gt;"Egyszeri"),1,VLOOKUP($B125+IF($C125=12,1,0),Paraméterek!$B$257:$D$267,IF($D$2="Egyszeri",3,2))),IF($D$4="Forint",0,2)))</f>
        <v>-57965</v>
      </c>
      <c r="W125" s="13">
        <f ca="1">ROUNDDOWN($V125*VLOOKUP($B125+IF($C125=12,1,0),Paraméterek!$B$257:$D$267,IF($D$2="Egyszeri",3,2)),IF($D$4="Forint",0,2))</f>
        <v>-56805</v>
      </c>
      <c r="Y125" s="32">
        <v>106</v>
      </c>
      <c r="Z125" s="32">
        <v>9</v>
      </c>
      <c r="AA125" s="32">
        <v>10</v>
      </c>
      <c r="AB125" s="13">
        <f t="shared" si="26"/>
        <v>0</v>
      </c>
      <c r="AC125" s="33"/>
      <c r="AD125" s="13">
        <f t="shared" si="22"/>
        <v>0</v>
      </c>
      <c r="AE125" s="13">
        <f>ROUNDUP(($AB125+$AD125)*VLOOKUP($Z125,Paraméterek!$P$38:$Q$38,2)/12,IF($D$4="Forint",0,2))</f>
        <v>0</v>
      </c>
      <c r="AF125" s="13">
        <f>IF($D$2="Egyszeri",IF($D$7&gt;=IF($D$4="Forint",Paraméterek!$P$223,Paraméterek!$P$224),$D$7-IF($D$4="Forint",Paraméterek!$F$223,Paraméterek!$F$224),0),MIN(IF($AA125=12,AVERAGE($D$20:$D125)*12,0),SUM($D$20:$D$31)))</f>
        <v>0</v>
      </c>
      <c r="AG125" s="13">
        <f>IF(AND($Z125&gt;=10,MOD($Z125,5)=0),$AF125*IF($AA125=12,VLOOKUP($Z125,Paraméterek!$B$225:$F$240,IF($AF125&lt;IF($D$4="Forint",Paraméterek!$C$223,Paraméterek!$C$224),2,IF($AF125&lt;IF($D$4="Forint",Paraméterek!$D$223,Paraméterek!$D$224),3,4))),0),0)</f>
        <v>0</v>
      </c>
      <c r="AH125" s="13">
        <f>IF(AND($Z125&gt;=5,MOD($Z125,5)=0),IF($AA125=12,VLOOKUP($Z125,Paraméterek!$B$225:$F$240,5),0),IF(OR($Z125=3,$Z125=4),IF($AA125=12,VLOOKUP($Z125,Paraméterek!$B$225:$F$240,5,0),0),0))*$AF125</f>
        <v>0</v>
      </c>
      <c r="AI125" s="13">
        <f>ROUNDDOWN(IF(SUM($T$20:$U125)=0,IF($D$2="Egyszeri",$AH125,$AG125),0),IF($D$4="Forint",0,2))</f>
        <v>0</v>
      </c>
      <c r="AJ125" s="13">
        <f t="shared" si="27"/>
        <v>0</v>
      </c>
      <c r="AK125" s="13">
        <f t="shared" si="28"/>
        <v>0</v>
      </c>
      <c r="AM125" s="32">
        <v>106</v>
      </c>
      <c r="AN125" s="32">
        <v>9</v>
      </c>
      <c r="AO125" s="32">
        <v>10</v>
      </c>
      <c r="AP125" s="13"/>
      <c r="AQ125" s="32"/>
      <c r="AR125" s="13">
        <f t="shared" si="29"/>
        <v>0</v>
      </c>
      <c r="AS125" s="33"/>
      <c r="AT125" s="13">
        <f t="shared" si="23"/>
        <v>0</v>
      </c>
      <c r="AU125" s="13">
        <f>ROUNDUP(($AR125+$AT125)*VLOOKUP($AN125,Paraméterek!$P$38:$Q$38,2)/12,IF($D$4="Forint",0,2))</f>
        <v>0</v>
      </c>
      <c r="AV125" s="13"/>
      <c r="AW125" s="13"/>
      <c r="AX125" s="13">
        <f>ROUNDUP(IF(SUM($AV125:$AW125)=0,0,IF(IF(ISBLANK($AW125),$AV125,$AW125)*Paraméterek!$J$112&lt;IF($D$4="Forint",Paraméterek!$J$113,Paraméterek!$K$113),IF($D$4="Forint",Paraméterek!$J$113,Paraméterek!$K$113),IF(IF(ISBLANK($AW125),$AV125,$AW125)*Paraméterek!$J$112&gt;IF($D$4="Forint",Paraméterek!$J$114,Paraméterek!$K$114),IF($D$4="Forint",Paraméterek!$J$114,Paraméterek!$K$114),IF(ISBLANK($AW125),$AV125,$AW125)*Paraméterek!$J$112))),IF($D$4="Forint",0,2))</f>
        <v>0</v>
      </c>
      <c r="AY125" s="13">
        <f>$AR125+$AT125-$AU125-IF(ROUNDDOWN(IF(ISBLANK($AW125),$AV125,$AW125),IF($D$4="Forint",0,2))&gt;$AR125+$AT125-$AU125-IF($D$4="Forint",Paraméterek!$J$114,Paraméterek!$K$114),0,ROUNDDOWN(IF(ISBLANK($AW125),$AV125,$AW125),IF($D$4="Forint",0,2))-$AX125)</f>
        <v>0</v>
      </c>
      <c r="AZ125" s="13">
        <f t="shared" si="24"/>
        <v>0</v>
      </c>
    </row>
    <row r="126" spans="1:52" x14ac:dyDescent="0.2">
      <c r="A126" s="32">
        <v>107</v>
      </c>
      <c r="B126" s="32">
        <v>9</v>
      </c>
      <c r="C126" s="32">
        <v>11</v>
      </c>
      <c r="D126" s="13">
        <f t="shared" si="15"/>
        <v>0</v>
      </c>
      <c r="E126" s="13"/>
      <c r="F126" s="13"/>
      <c r="G126" s="13"/>
      <c r="H126" s="13">
        <f t="shared" si="16"/>
        <v>0</v>
      </c>
      <c r="I126" s="13">
        <f t="shared" si="17"/>
        <v>0</v>
      </c>
      <c r="J126" s="13">
        <f t="shared" si="18"/>
        <v>0</v>
      </c>
      <c r="K126" s="13">
        <f>ROUNDUP(IF($D$2="Egyszeri",$D126,IF($D$2="Havi",SUM($D$20:$D$31),IF(MOD($C126,$M$1)-1=0,SUM($D$20:$D$31),0))/12*$M$1)*VLOOKUP($B126,Paraméterek!$B$27:$D$30,IF($D$2="Egyszeri",3,2)),IF($D$4="Forint",0,2))</f>
        <v>0</v>
      </c>
      <c r="L126" s="13">
        <f t="shared" si="19"/>
        <v>0</v>
      </c>
      <c r="M126" s="13">
        <f t="shared" ca="1" si="25"/>
        <v>-57965</v>
      </c>
      <c r="N126" s="13">
        <f ca="1">IF($V125&gt;=VLOOKUP($M$4-1+$B126,Paraméterek!$B$121:$D$122,IF($D$4="Forint",2,3)),0,VLOOKUP($M$4-1+$B126,Paraméterek!$B$121:$D$122,IF($D$4="Forint",2,3))-$V125)</f>
        <v>67965</v>
      </c>
      <c r="O126" s="13">
        <f ca="1">ROUNDUP($N126*Paraméterek!$C$58/Paraméterek!$C$56,IF($D$4="Forint",0,2))</f>
        <v>11</v>
      </c>
      <c r="P126" s="13">
        <f t="shared" si="20"/>
        <v>697</v>
      </c>
      <c r="Q126" s="33"/>
      <c r="R126" s="13">
        <f t="shared" ca="1" si="21"/>
        <v>0</v>
      </c>
      <c r="S126" s="13">
        <f ca="1">ROUNDUP(($M126-$O126-$P126+$R126)*VLOOKUP($B126,Paraméterek!$B$38:$D$39,IF($D$2="Egyszeri",3,2))/12,IF($D$4="Forint",0,2))</f>
        <v>-159</v>
      </c>
      <c r="T126" s="13"/>
      <c r="U126" s="13"/>
      <c r="V126" s="13">
        <f ca="1">$M126-$O126-$P126+$R126-$S126-IF(ROUNDUP(IF(ISBLANK($U126),$T126,$U126)/IF(AND($B126=1,$D$2&lt;&gt;"Egyszeri"),1,VLOOKUP($B126+IF($C126=12,1,0),Paraméterek!$B$257:$D$267,IF($D$2="Egyszeri",3,2))),IF($D$4="Forint",0,2))&gt;$M126-$O126-$P126+$R126-$S126-IF($D$4="Forint",Paraméterek!$C$216,Paraméterek!$D$216),0,ROUNDUP(IF(ISBLANK($U126),$T126,$U126)/IF(AND($B126=1,$D$2&lt;&gt;"Egyszeri"),1,VLOOKUP($B126+IF($C126=12,1,0),Paraméterek!$B$257:$D$267,IF($D$2="Egyszeri",3,2))),IF($D$4="Forint",0,2)))</f>
        <v>-58514</v>
      </c>
      <c r="W126" s="13">
        <f ca="1">ROUNDDOWN($V126*VLOOKUP($B126+IF($C126=12,1,0),Paraméterek!$B$257:$D$267,IF($D$2="Egyszeri",3,2)),IF($D$4="Forint",0,2))</f>
        <v>-57343</v>
      </c>
      <c r="Y126" s="32">
        <v>107</v>
      </c>
      <c r="Z126" s="32">
        <v>9</v>
      </c>
      <c r="AA126" s="32">
        <v>11</v>
      </c>
      <c r="AB126" s="13">
        <f t="shared" si="26"/>
        <v>0</v>
      </c>
      <c r="AC126" s="33"/>
      <c r="AD126" s="13">
        <f t="shared" si="22"/>
        <v>0</v>
      </c>
      <c r="AE126" s="13">
        <f>ROUNDUP(($AB126+$AD126)*VLOOKUP($Z126,Paraméterek!$P$38:$Q$38,2)/12,IF($D$4="Forint",0,2))</f>
        <v>0</v>
      </c>
      <c r="AF126" s="13">
        <f>IF($D$2="Egyszeri",IF($D$7&gt;=IF($D$4="Forint",Paraméterek!$P$223,Paraméterek!$P$224),$D$7-IF($D$4="Forint",Paraméterek!$F$223,Paraméterek!$F$224),0),MIN(IF($AA126=12,AVERAGE($D$20:$D126)*12,0),SUM($D$20:$D$31)))</f>
        <v>0</v>
      </c>
      <c r="AG126" s="13">
        <f>IF(AND($Z126&gt;=10,MOD($Z126,5)=0),$AF126*IF($AA126=12,VLOOKUP($Z126,Paraméterek!$B$225:$F$240,IF($AF126&lt;IF($D$4="Forint",Paraméterek!$C$223,Paraméterek!$C$224),2,IF($AF126&lt;IF($D$4="Forint",Paraméterek!$D$223,Paraméterek!$D$224),3,4))),0),0)</f>
        <v>0</v>
      </c>
      <c r="AH126" s="13">
        <f>IF(AND($Z126&gt;=5,MOD($Z126,5)=0),IF($AA126=12,VLOOKUP($Z126,Paraméterek!$B$225:$F$240,5),0),IF(OR($Z126=3,$Z126=4),IF($AA126=12,VLOOKUP($Z126,Paraméterek!$B$225:$F$240,5,0),0),0))*$AF126</f>
        <v>0</v>
      </c>
      <c r="AI126" s="13">
        <f>ROUNDDOWN(IF(SUM($T$20:$U126)=0,IF($D$2="Egyszeri",$AH126,$AG126),0),IF($D$4="Forint",0,2))</f>
        <v>0</v>
      </c>
      <c r="AJ126" s="13">
        <f t="shared" si="27"/>
        <v>0</v>
      </c>
      <c r="AK126" s="13">
        <f t="shared" si="28"/>
        <v>0</v>
      </c>
      <c r="AM126" s="32">
        <v>107</v>
      </c>
      <c r="AN126" s="32">
        <v>9</v>
      </c>
      <c r="AO126" s="32">
        <v>11</v>
      </c>
      <c r="AP126" s="13"/>
      <c r="AQ126" s="32"/>
      <c r="AR126" s="13">
        <f t="shared" si="29"/>
        <v>0</v>
      </c>
      <c r="AS126" s="33"/>
      <c r="AT126" s="13">
        <f t="shared" si="23"/>
        <v>0</v>
      </c>
      <c r="AU126" s="13">
        <f>ROUNDUP(($AR126+$AT126)*VLOOKUP($AN126,Paraméterek!$P$38:$Q$38,2)/12,IF($D$4="Forint",0,2))</f>
        <v>0</v>
      </c>
      <c r="AV126" s="13"/>
      <c r="AW126" s="13"/>
      <c r="AX126" s="13">
        <f>ROUNDUP(IF(SUM($AV126:$AW126)=0,0,IF(IF(ISBLANK($AW126),$AV126,$AW126)*Paraméterek!$J$112&lt;IF($D$4="Forint",Paraméterek!$J$113,Paraméterek!$K$113),IF($D$4="Forint",Paraméterek!$J$113,Paraméterek!$K$113),IF(IF(ISBLANK($AW126),$AV126,$AW126)*Paraméterek!$J$112&gt;IF($D$4="Forint",Paraméterek!$J$114,Paraméterek!$K$114),IF($D$4="Forint",Paraméterek!$J$114,Paraméterek!$K$114),IF(ISBLANK($AW126),$AV126,$AW126)*Paraméterek!$J$112))),IF($D$4="Forint",0,2))</f>
        <v>0</v>
      </c>
      <c r="AY126" s="13">
        <f>$AR126+$AT126-$AU126-IF(ROUNDDOWN(IF(ISBLANK($AW126),$AV126,$AW126),IF($D$4="Forint",0,2))&gt;$AR126+$AT126-$AU126-IF($D$4="Forint",Paraméterek!$J$114,Paraméterek!$K$114),0,ROUNDDOWN(IF(ISBLANK($AW126),$AV126,$AW126),IF($D$4="Forint",0,2))-$AX126)</f>
        <v>0</v>
      </c>
      <c r="AZ126" s="13">
        <f t="shared" si="24"/>
        <v>0</v>
      </c>
    </row>
    <row r="127" spans="1:52" x14ac:dyDescent="0.2">
      <c r="A127" s="32">
        <v>108</v>
      </c>
      <c r="B127" s="32">
        <v>9</v>
      </c>
      <c r="C127" s="32">
        <v>12</v>
      </c>
      <c r="D127" s="13">
        <f t="shared" si="15"/>
        <v>0</v>
      </c>
      <c r="E127" s="13"/>
      <c r="F127" s="13"/>
      <c r="G127" s="13"/>
      <c r="H127" s="13">
        <f t="shared" si="16"/>
        <v>0</v>
      </c>
      <c r="I127" s="13">
        <f t="shared" si="17"/>
        <v>0</v>
      </c>
      <c r="J127" s="13">
        <f t="shared" si="18"/>
        <v>0</v>
      </c>
      <c r="K127" s="13">
        <f>ROUNDUP(IF($D$2="Egyszeri",$D127,IF($D$2="Havi",SUM($D$20:$D$31),IF(MOD($C127,$M$1)-1=0,SUM($D$20:$D$31),0))/12*$M$1)*VLOOKUP($B127,Paraméterek!$B$27:$D$30,IF($D$2="Egyszeri",3,2)),IF($D$4="Forint",0,2))</f>
        <v>0</v>
      </c>
      <c r="L127" s="13">
        <f t="shared" si="19"/>
        <v>0</v>
      </c>
      <c r="M127" s="13">
        <f t="shared" ca="1" si="25"/>
        <v>-58514</v>
      </c>
      <c r="N127" s="13">
        <f ca="1">IF($V126&gt;=VLOOKUP($M$4-1+$B127,Paraméterek!$B$121:$D$122,IF($D$4="Forint",2,3)),0,VLOOKUP($M$4-1+$B127,Paraméterek!$B$121:$D$122,IF($D$4="Forint",2,3))-$V126)</f>
        <v>68514</v>
      </c>
      <c r="O127" s="13">
        <f ca="1">ROUNDUP($N127*Paraméterek!$C$58/Paraméterek!$C$56,IF($D$4="Forint",0,2))</f>
        <v>11</v>
      </c>
      <c r="P127" s="13">
        <f t="shared" si="20"/>
        <v>697</v>
      </c>
      <c r="Q127" s="33"/>
      <c r="R127" s="13">
        <f t="shared" ca="1" si="21"/>
        <v>0</v>
      </c>
      <c r="S127" s="13">
        <f ca="1">ROUNDUP(($M127-$O127-$P127+$R127)*VLOOKUP($B127,Paraméterek!$B$38:$D$39,IF($D$2="Egyszeri",3,2))/12,IF($D$4="Forint",0,2))</f>
        <v>-161</v>
      </c>
      <c r="T127" s="13">
        <f>Tranzakciók!$F$40</f>
        <v>0</v>
      </c>
      <c r="U127" s="13"/>
      <c r="V127" s="13">
        <f ca="1">$M127-$O127-$P127+$R127-$S127-IF(ROUNDUP(IF(ISBLANK($U127),$T127,$U127)/IF(AND($B127=1,$D$2&lt;&gt;"Egyszeri"),1,VLOOKUP($B127+IF($C127=12,1,0),Paraméterek!$B$257:$D$267,IF($D$2="Egyszeri",3,2))),IF($D$4="Forint",0,2))&gt;$M127-$O127-$P127+$R127-$S127-IF($D$4="Forint",Paraméterek!$C$216,Paraméterek!$D$216),0,ROUNDUP(IF(ISBLANK($U127),$T127,$U127)/IF(AND($B127=1,$D$2&lt;&gt;"Egyszeri"),1,VLOOKUP($B127+IF($C127=12,1,0),Paraméterek!$B$257:$D$267,IF($D$2="Egyszeri",3,2))),IF($D$4="Forint",0,2)))</f>
        <v>-59061</v>
      </c>
      <c r="W127" s="13">
        <f ca="1">ROUNDDOWN($V127*VLOOKUP($B127+IF($C127=12,1,0),Paraméterek!$B$257:$D$267,IF($D$2="Egyszeri",3,2)),IF($D$4="Forint",0,2))</f>
        <v>-58470</v>
      </c>
      <c r="Y127" s="32">
        <v>108</v>
      </c>
      <c r="Z127" s="32">
        <v>9</v>
      </c>
      <c r="AA127" s="32">
        <v>12</v>
      </c>
      <c r="AB127" s="13">
        <f t="shared" si="26"/>
        <v>0</v>
      </c>
      <c r="AC127" s="33"/>
      <c r="AD127" s="13">
        <f t="shared" si="22"/>
        <v>0</v>
      </c>
      <c r="AE127" s="13">
        <f>ROUNDUP(($AB127+$AD127)*VLOOKUP($Z127,Paraméterek!$P$38:$Q$38,2)/12,IF($D$4="Forint",0,2))</f>
        <v>0</v>
      </c>
      <c r="AF127" s="13">
        <f>IF($D$2="Egyszeri",IF($D$7&gt;=IF($D$4="Forint",Paraméterek!$P$223,Paraméterek!$P$224),$D$7-IF($D$4="Forint",Paraméterek!$F$223,Paraméterek!$F$224),0),MIN(IF($AA127=12,AVERAGE($D$20:$D127)*12,0),SUM($D$20:$D$31)))</f>
        <v>0</v>
      </c>
      <c r="AG127" s="13">
        <f>IF(AND($Z127&gt;=10,MOD($Z127,5)=0),$AF127*IF($AA127=12,VLOOKUP($Z127,Paraméterek!$B$225:$F$240,IF($AF127&lt;IF($D$4="Forint",Paraméterek!$C$223,Paraméterek!$C$224),2,IF($AF127&lt;IF($D$4="Forint",Paraméterek!$D$223,Paraméterek!$D$224),3,4))),0),0)</f>
        <v>0</v>
      </c>
      <c r="AH127" s="13">
        <f>IF(AND($Z127&gt;=5,MOD($Z127,5)=0),IF($AA127=12,VLOOKUP($Z127,Paraméterek!$B$225:$F$240,5),0),IF(OR($Z127=3,$Z127=4),IF($AA127=12,VLOOKUP($Z127,Paraméterek!$B$225:$F$240,5,0),0),0))*$AF127</f>
        <v>0</v>
      </c>
      <c r="AI127" s="13">
        <f>ROUNDDOWN(IF(SUM($T$20:$U127)=0,IF($D$2="Egyszeri",$AH127,$AG127),0),IF($D$4="Forint",0,2))</f>
        <v>0</v>
      </c>
      <c r="AJ127" s="13">
        <f t="shared" si="27"/>
        <v>0</v>
      </c>
      <c r="AK127" s="13">
        <f t="shared" si="28"/>
        <v>0</v>
      </c>
      <c r="AM127" s="32">
        <v>108</v>
      </c>
      <c r="AN127" s="32">
        <v>9</v>
      </c>
      <c r="AO127" s="32">
        <v>12</v>
      </c>
      <c r="AP127" s="13"/>
      <c r="AQ127" s="32"/>
      <c r="AR127" s="13">
        <f t="shared" si="29"/>
        <v>0</v>
      </c>
      <c r="AS127" s="33"/>
      <c r="AT127" s="13">
        <f t="shared" si="23"/>
        <v>0</v>
      </c>
      <c r="AU127" s="13">
        <f>ROUNDUP(($AR127+$AT127)*VLOOKUP($AN127,Paraméterek!$P$38:$Q$38,2)/12,IF($D$4="Forint",0,2))</f>
        <v>0</v>
      </c>
      <c r="AV127" s="13">
        <f>Tranzakciók!$M$40</f>
        <v>0</v>
      </c>
      <c r="AW127" s="13"/>
      <c r="AX127" s="13">
        <f>ROUNDUP(IF(SUM($AV127:$AW127)=0,0,IF(IF(ISBLANK($AW127),$AV127,$AW127)*Paraméterek!$J$112&lt;IF($D$4="Forint",Paraméterek!$J$113,Paraméterek!$K$113),IF($D$4="Forint",Paraméterek!$J$113,Paraméterek!$K$113),IF(IF(ISBLANK($AW127),$AV127,$AW127)*Paraméterek!$J$112&gt;IF($D$4="Forint",Paraméterek!$J$114,Paraméterek!$K$114),IF($D$4="Forint",Paraméterek!$J$114,Paraméterek!$K$114),IF(ISBLANK($AW127),$AV127,$AW127)*Paraméterek!$J$112))),IF($D$4="Forint",0,2))</f>
        <v>0</v>
      </c>
      <c r="AY127" s="13">
        <f>$AR127+$AT127-$AU127-IF(ROUNDDOWN(IF(ISBLANK($AW127),$AV127,$AW127),IF($D$4="Forint",0,2))&gt;$AR127+$AT127-$AU127-IF($D$4="Forint",Paraméterek!$J$114,Paraméterek!$K$114),0,ROUNDDOWN(IF(ISBLANK($AW127),$AV127,$AW127),IF($D$4="Forint",0,2))-$AX127)</f>
        <v>0</v>
      </c>
      <c r="AZ127" s="13">
        <f t="shared" si="24"/>
        <v>0</v>
      </c>
    </row>
    <row r="128" spans="1:52" x14ac:dyDescent="0.2">
      <c r="A128" s="32">
        <v>109</v>
      </c>
      <c r="B128" s="32">
        <v>10</v>
      </c>
      <c r="C128" s="32">
        <v>1</v>
      </c>
      <c r="D128" s="13">
        <f t="shared" si="15"/>
        <v>0</v>
      </c>
      <c r="E128" s="13"/>
      <c r="F128" s="13">
        <f>Tranzakciók!$D$41</f>
        <v>0</v>
      </c>
      <c r="G128" s="13"/>
      <c r="H128" s="13">
        <f t="shared" si="16"/>
        <v>0</v>
      </c>
      <c r="I128" s="13">
        <f t="shared" si="17"/>
        <v>131</v>
      </c>
      <c r="J128" s="13">
        <f t="shared" si="18"/>
        <v>131</v>
      </c>
      <c r="K128" s="13">
        <f>ROUNDUP(IF($D$2="Egyszeri",$D128,IF($D$2="Havi",SUM($D$20:$D$31),IF(MOD($C128,$M$1)-1=0,SUM($D$20:$D$31),0))/12*$M$1)*VLOOKUP($B128,Paraméterek!$B$27:$D$30,IF($D$2="Egyszeri",3,2)),IF($D$4="Forint",0,2))</f>
        <v>0</v>
      </c>
      <c r="L128" s="13">
        <f t="shared" si="19"/>
        <v>0</v>
      </c>
      <c r="M128" s="13">
        <f t="shared" ca="1" si="25"/>
        <v>-59061</v>
      </c>
      <c r="N128" s="13">
        <f ca="1">IF($V127&gt;=VLOOKUP($M$4-1+$B128,Paraméterek!$B$121:$D$122,IF($D$4="Forint",2,3)),0,VLOOKUP($M$4-1+$B128,Paraméterek!$B$121:$D$122,IF($D$4="Forint",2,3))-$V127)</f>
        <v>69061</v>
      </c>
      <c r="O128" s="13">
        <f ca="1">ROUNDUP($N128*Paraméterek!$C$58/Paraméterek!$C$56,IF($D$4="Forint",0,2))</f>
        <v>11</v>
      </c>
      <c r="P128" s="13">
        <f t="shared" si="20"/>
        <v>718</v>
      </c>
      <c r="Q128" s="33"/>
      <c r="R128" s="13">
        <f t="shared" ca="1" si="21"/>
        <v>0</v>
      </c>
      <c r="S128" s="13">
        <f ca="1">ROUNDUP(($M128-$O128-$P128+$R128)*VLOOKUP($B128,Paraméterek!$B$38:$D$39,IF($D$2="Egyszeri",3,2))/12,IF($D$4="Forint",0,2))</f>
        <v>-162</v>
      </c>
      <c r="T128" s="13"/>
      <c r="U128" s="13"/>
      <c r="V128" s="13">
        <f ca="1">$M128-$O128-$P128+$R128-$S128-IF(ROUNDUP(IF(ISBLANK($U128),$T128,$U128)/IF(AND($B128=1,$D$2&lt;&gt;"Egyszeri"),1,VLOOKUP($B128+IF($C128=12,1,0),Paraméterek!$B$257:$D$267,IF($D$2="Egyszeri",3,2))),IF($D$4="Forint",0,2))&gt;$M128-$O128-$P128+$R128-$S128-IF($D$4="Forint",Paraméterek!$C$216,Paraméterek!$D$216),0,ROUNDUP(IF(ISBLANK($U128),$T128,$U128)/IF(AND($B128=1,$D$2&lt;&gt;"Egyszeri"),1,VLOOKUP($B128+IF($C128=12,1,0),Paraméterek!$B$257:$D$267,IF($D$2="Egyszeri",3,2))),IF($D$4="Forint",0,2)))</f>
        <v>-59628</v>
      </c>
      <c r="W128" s="13">
        <f ca="1">ROUNDDOWN($V128*VLOOKUP($B128+IF($C128=12,1,0),Paraméterek!$B$257:$D$267,IF($D$2="Egyszeri",3,2)),IF($D$4="Forint",0,2))</f>
        <v>-59031</v>
      </c>
      <c r="Y128" s="32">
        <v>109</v>
      </c>
      <c r="Z128" s="32">
        <v>10</v>
      </c>
      <c r="AA128" s="32">
        <v>1</v>
      </c>
      <c r="AB128" s="13">
        <f t="shared" si="26"/>
        <v>0</v>
      </c>
      <c r="AC128" s="33"/>
      <c r="AD128" s="13">
        <f t="shared" si="22"/>
        <v>0</v>
      </c>
      <c r="AE128" s="13">
        <f>ROUNDUP(($AB128+$AD128)*VLOOKUP($Z128,Paraméterek!$P$38:$Q$38,2)/12,IF($D$4="Forint",0,2))</f>
        <v>0</v>
      </c>
      <c r="AF128" s="13">
        <f>IF($D$2="Egyszeri",IF($D$7&gt;=IF($D$4="Forint",Paraméterek!$P$223,Paraméterek!$P$224),$D$7-IF($D$4="Forint",Paraméterek!$F$223,Paraméterek!$F$224),0),MIN(IF($AA128=12,AVERAGE($D$20:$D128)*12,0),SUM($D$20:$D$31)))</f>
        <v>0</v>
      </c>
      <c r="AG128" s="13">
        <f>IF(AND($Z128&gt;=10,MOD($Z128,5)=0),$AF128*IF($AA128=12,VLOOKUP($Z128,Paraméterek!$B$225:$F$240,IF($AF128&lt;IF($D$4="Forint",Paraméterek!$C$223,Paraméterek!$C$224),2,IF($AF128&lt;IF($D$4="Forint",Paraméterek!$D$223,Paraméterek!$D$224),3,4))),0),0)</f>
        <v>0</v>
      </c>
      <c r="AH128" s="13">
        <f>IF(AND($Z128&gt;=5,MOD($Z128,5)=0),IF($AA128=12,VLOOKUP($Z128,Paraméterek!$B$225:$F$240,5),0),IF(OR($Z128=3,$Z128=4),IF($AA128=12,VLOOKUP($Z128,Paraméterek!$B$225:$F$240,5,0),0),0))*$AF128</f>
        <v>0</v>
      </c>
      <c r="AI128" s="13">
        <f>ROUNDDOWN(IF(SUM($T$20:$U128)=0,IF($D$2="Egyszeri",$AH128,$AG128),0),IF($D$4="Forint",0,2))</f>
        <v>0</v>
      </c>
      <c r="AJ128" s="13">
        <f t="shared" si="27"/>
        <v>0</v>
      </c>
      <c r="AK128" s="13">
        <f t="shared" si="28"/>
        <v>0</v>
      </c>
      <c r="AM128" s="32">
        <v>109</v>
      </c>
      <c r="AN128" s="32">
        <v>10</v>
      </c>
      <c r="AO128" s="32">
        <v>1</v>
      </c>
      <c r="AP128" s="13">
        <f>Tranzakciók!$K$41</f>
        <v>0</v>
      </c>
      <c r="AQ128" s="32"/>
      <c r="AR128" s="13">
        <f t="shared" si="29"/>
        <v>0</v>
      </c>
      <c r="AS128" s="33"/>
      <c r="AT128" s="13">
        <f t="shared" si="23"/>
        <v>0</v>
      </c>
      <c r="AU128" s="13">
        <f>ROUNDUP(($AR128+$AT128)*VLOOKUP($AN128,Paraméterek!$P$38:$Q$38,2)/12,IF($D$4="Forint",0,2))</f>
        <v>0</v>
      </c>
      <c r="AV128" s="13"/>
      <c r="AW128" s="13"/>
      <c r="AX128" s="13">
        <f>ROUNDUP(IF(SUM($AV128:$AW128)=0,0,IF(IF(ISBLANK($AW128),$AV128,$AW128)*Paraméterek!$J$112&lt;IF($D$4="Forint",Paraméterek!$J$113,Paraméterek!$K$113),IF($D$4="Forint",Paraméterek!$J$113,Paraméterek!$K$113),IF(IF(ISBLANK($AW128),$AV128,$AW128)*Paraméterek!$J$112&gt;IF($D$4="Forint",Paraméterek!$J$114,Paraméterek!$K$114),IF($D$4="Forint",Paraméterek!$J$114,Paraméterek!$K$114),IF(ISBLANK($AW128),$AV128,$AW128)*Paraméterek!$J$112))),IF($D$4="Forint",0,2))</f>
        <v>0</v>
      </c>
      <c r="AY128" s="13">
        <f>$AR128+$AT128-$AU128-IF(ROUNDDOWN(IF(ISBLANK($AW128),$AV128,$AW128),IF($D$4="Forint",0,2))&gt;$AR128+$AT128-$AU128-IF($D$4="Forint",Paraméterek!$J$114,Paraméterek!$K$114),0,ROUNDDOWN(IF(ISBLANK($AW128),$AV128,$AW128),IF($D$4="Forint",0,2))-$AX128)</f>
        <v>0</v>
      </c>
      <c r="AZ128" s="13">
        <f t="shared" si="24"/>
        <v>0</v>
      </c>
    </row>
    <row r="129" spans="1:52" x14ac:dyDescent="0.2">
      <c r="A129" s="32">
        <v>110</v>
      </c>
      <c r="B129" s="32">
        <v>10</v>
      </c>
      <c r="C129" s="32">
        <v>2</v>
      </c>
      <c r="D129" s="13">
        <f t="shared" si="15"/>
        <v>0</v>
      </c>
      <c r="E129" s="13"/>
      <c r="F129" s="13"/>
      <c r="G129" s="13"/>
      <c r="H129" s="13">
        <f t="shared" si="16"/>
        <v>0</v>
      </c>
      <c r="I129" s="13">
        <f t="shared" si="17"/>
        <v>0</v>
      </c>
      <c r="J129" s="13">
        <f t="shared" si="18"/>
        <v>0</v>
      </c>
      <c r="K129" s="13">
        <f>ROUNDUP(IF($D$2="Egyszeri",$D129,IF($D$2="Havi",SUM($D$20:$D$31),IF(MOD($C129,$M$1)-1=0,SUM($D$20:$D$31),0))/12*$M$1)*VLOOKUP($B129,Paraméterek!$B$27:$D$30,IF($D$2="Egyszeri",3,2)),IF($D$4="Forint",0,2))</f>
        <v>0</v>
      </c>
      <c r="L129" s="13">
        <f t="shared" si="19"/>
        <v>0</v>
      </c>
      <c r="M129" s="13">
        <f t="shared" ca="1" si="25"/>
        <v>-59628</v>
      </c>
      <c r="N129" s="13">
        <f ca="1">IF($V128&gt;=VLOOKUP($M$4-1+$B129,Paraméterek!$B$121:$D$122,IF($D$4="Forint",2,3)),0,VLOOKUP($M$4-1+$B129,Paraméterek!$B$121:$D$122,IF($D$4="Forint",2,3))-$V128)</f>
        <v>69628</v>
      </c>
      <c r="O129" s="13">
        <f ca="1">ROUNDUP($N129*Paraméterek!$C$58/Paraméterek!$C$56,IF($D$4="Forint",0,2))</f>
        <v>12</v>
      </c>
      <c r="P129" s="13">
        <f t="shared" si="20"/>
        <v>718</v>
      </c>
      <c r="Q129" s="33"/>
      <c r="R129" s="13">
        <f t="shared" ca="1" si="21"/>
        <v>0</v>
      </c>
      <c r="S129" s="13">
        <f ca="1">ROUNDUP(($M129-$O129-$P129+$R129)*VLOOKUP($B129,Paraméterek!$B$38:$D$39,IF($D$2="Egyszeri",3,2))/12,IF($D$4="Forint",0,2))</f>
        <v>-164</v>
      </c>
      <c r="T129" s="13"/>
      <c r="U129" s="13"/>
      <c r="V129" s="13">
        <f ca="1">$M129-$O129-$P129+$R129-$S129-IF(ROUNDUP(IF(ISBLANK($U129),$T129,$U129)/IF(AND($B129=1,$D$2&lt;&gt;"Egyszeri"),1,VLOOKUP($B129+IF($C129=12,1,0),Paraméterek!$B$257:$D$267,IF($D$2="Egyszeri",3,2))),IF($D$4="Forint",0,2))&gt;$M129-$O129-$P129+$R129-$S129-IF($D$4="Forint",Paraméterek!$C$216,Paraméterek!$D$216),0,ROUNDUP(IF(ISBLANK($U129),$T129,$U129)/IF(AND($B129=1,$D$2&lt;&gt;"Egyszeri"),1,VLOOKUP($B129+IF($C129=12,1,0),Paraméterek!$B$257:$D$267,IF($D$2="Egyszeri",3,2))),IF($D$4="Forint",0,2)))</f>
        <v>-60194</v>
      </c>
      <c r="W129" s="13">
        <f ca="1">ROUNDDOWN($V129*VLOOKUP($B129+IF($C129=12,1,0),Paraméterek!$B$257:$D$267,IF($D$2="Egyszeri",3,2)),IF($D$4="Forint",0,2))</f>
        <v>-59592</v>
      </c>
      <c r="Y129" s="32">
        <v>110</v>
      </c>
      <c r="Z129" s="32">
        <v>10</v>
      </c>
      <c r="AA129" s="32">
        <v>2</v>
      </c>
      <c r="AB129" s="13">
        <f t="shared" si="26"/>
        <v>0</v>
      </c>
      <c r="AC129" s="33"/>
      <c r="AD129" s="13">
        <f t="shared" si="22"/>
        <v>0</v>
      </c>
      <c r="AE129" s="13">
        <f>ROUNDUP(($AB129+$AD129)*VLOOKUP($Z129,Paraméterek!$P$38:$Q$38,2)/12,IF($D$4="Forint",0,2))</f>
        <v>0</v>
      </c>
      <c r="AF129" s="13">
        <f>IF($D$2="Egyszeri",IF($D$7&gt;=IF($D$4="Forint",Paraméterek!$P$223,Paraméterek!$P$224),$D$7-IF($D$4="Forint",Paraméterek!$F$223,Paraméterek!$F$224),0),MIN(IF($AA129=12,AVERAGE($D$20:$D129)*12,0),SUM($D$20:$D$31)))</f>
        <v>0</v>
      </c>
      <c r="AG129" s="13">
        <f>IF(AND($Z129&gt;=10,MOD($Z129,5)=0),$AF129*IF($AA129=12,VLOOKUP($Z129,Paraméterek!$B$225:$F$240,IF($AF129&lt;IF($D$4="Forint",Paraméterek!$C$223,Paraméterek!$C$224),2,IF($AF129&lt;IF($D$4="Forint",Paraméterek!$D$223,Paraméterek!$D$224),3,4))),0),0)</f>
        <v>0</v>
      </c>
      <c r="AH129" s="13">
        <f>IF(AND($Z129&gt;=5,MOD($Z129,5)=0),IF($AA129=12,VLOOKUP($Z129,Paraméterek!$B$225:$F$240,5),0),IF(OR($Z129=3,$Z129=4),IF($AA129=12,VLOOKUP($Z129,Paraméterek!$B$225:$F$240,5,0),0),0))*$AF129</f>
        <v>0</v>
      </c>
      <c r="AI129" s="13">
        <f>ROUNDDOWN(IF(SUM($T$20:$U129)=0,IF($D$2="Egyszeri",$AH129,$AG129),0),IF($D$4="Forint",0,2))</f>
        <v>0</v>
      </c>
      <c r="AJ129" s="13">
        <f t="shared" si="27"/>
        <v>0</v>
      </c>
      <c r="AK129" s="13">
        <f t="shared" si="28"/>
        <v>0</v>
      </c>
      <c r="AM129" s="32">
        <v>110</v>
      </c>
      <c r="AN129" s="32">
        <v>10</v>
      </c>
      <c r="AO129" s="32">
        <v>2</v>
      </c>
      <c r="AP129" s="13"/>
      <c r="AQ129" s="32"/>
      <c r="AR129" s="13">
        <f t="shared" si="29"/>
        <v>0</v>
      </c>
      <c r="AS129" s="33"/>
      <c r="AT129" s="13">
        <f t="shared" si="23"/>
        <v>0</v>
      </c>
      <c r="AU129" s="13">
        <f>ROUNDUP(($AR129+$AT129)*VLOOKUP($AN129,Paraméterek!$P$38:$Q$38,2)/12,IF($D$4="Forint",0,2))</f>
        <v>0</v>
      </c>
      <c r="AV129" s="13"/>
      <c r="AW129" s="13"/>
      <c r="AX129" s="13">
        <f>ROUNDUP(IF(SUM($AV129:$AW129)=0,0,IF(IF(ISBLANK($AW129),$AV129,$AW129)*Paraméterek!$J$112&lt;IF($D$4="Forint",Paraméterek!$J$113,Paraméterek!$K$113),IF($D$4="Forint",Paraméterek!$J$113,Paraméterek!$K$113),IF(IF(ISBLANK($AW129),$AV129,$AW129)*Paraméterek!$J$112&gt;IF($D$4="Forint",Paraméterek!$J$114,Paraméterek!$K$114),IF($D$4="Forint",Paraméterek!$J$114,Paraméterek!$K$114),IF(ISBLANK($AW129),$AV129,$AW129)*Paraméterek!$J$112))),IF($D$4="Forint",0,2))</f>
        <v>0</v>
      </c>
      <c r="AY129" s="13">
        <f>$AR129+$AT129-$AU129-IF(ROUNDDOWN(IF(ISBLANK($AW129),$AV129,$AW129),IF($D$4="Forint",0,2))&gt;$AR129+$AT129-$AU129-IF($D$4="Forint",Paraméterek!$J$114,Paraméterek!$K$114),0,ROUNDDOWN(IF(ISBLANK($AW129),$AV129,$AW129),IF($D$4="Forint",0,2))-$AX129)</f>
        <v>0</v>
      </c>
      <c r="AZ129" s="13">
        <f t="shared" si="24"/>
        <v>0</v>
      </c>
    </row>
    <row r="130" spans="1:52" x14ac:dyDescent="0.2">
      <c r="A130" s="32">
        <v>111</v>
      </c>
      <c r="B130" s="32">
        <v>10</v>
      </c>
      <c r="C130" s="32">
        <v>3</v>
      </c>
      <c r="D130" s="13">
        <f t="shared" si="15"/>
        <v>0</v>
      </c>
      <c r="E130" s="13"/>
      <c r="F130" s="13"/>
      <c r="G130" s="13"/>
      <c r="H130" s="13">
        <f t="shared" si="16"/>
        <v>0</v>
      </c>
      <c r="I130" s="13">
        <f t="shared" si="17"/>
        <v>0</v>
      </c>
      <c r="J130" s="13">
        <f t="shared" si="18"/>
        <v>0</v>
      </c>
      <c r="K130" s="13">
        <f>ROUNDUP(IF($D$2="Egyszeri",$D130,IF($D$2="Havi",SUM($D$20:$D$31),IF(MOD($C130,$M$1)-1=0,SUM($D$20:$D$31),0))/12*$M$1)*VLOOKUP($B130,Paraméterek!$B$27:$D$30,IF($D$2="Egyszeri",3,2)),IF($D$4="Forint",0,2))</f>
        <v>0</v>
      </c>
      <c r="L130" s="13">
        <f t="shared" si="19"/>
        <v>0</v>
      </c>
      <c r="M130" s="13">
        <f t="shared" ca="1" si="25"/>
        <v>-60194</v>
      </c>
      <c r="N130" s="13">
        <f ca="1">IF($V129&gt;=VLOOKUP($M$4-1+$B130,Paraméterek!$B$121:$D$122,IF($D$4="Forint",2,3)),0,VLOOKUP($M$4-1+$B130,Paraméterek!$B$121:$D$122,IF($D$4="Forint",2,3))-$V129)</f>
        <v>70194</v>
      </c>
      <c r="O130" s="13">
        <f ca="1">ROUNDUP($N130*Paraméterek!$C$58/Paraméterek!$C$56,IF($D$4="Forint",0,2))</f>
        <v>12</v>
      </c>
      <c r="P130" s="13">
        <f t="shared" si="20"/>
        <v>718</v>
      </c>
      <c r="Q130" s="33"/>
      <c r="R130" s="13">
        <f t="shared" ca="1" si="21"/>
        <v>0</v>
      </c>
      <c r="S130" s="13">
        <f ca="1">ROUNDUP(($M130-$O130-$P130+$R130)*VLOOKUP($B130,Paraméterek!$B$38:$D$39,IF($D$2="Egyszeri",3,2))/12,IF($D$4="Forint",0,2))</f>
        <v>-166</v>
      </c>
      <c r="T130" s="13"/>
      <c r="U130" s="13"/>
      <c r="V130" s="13">
        <f ca="1">$M130-$O130-$P130+$R130-$S130-IF(ROUNDUP(IF(ISBLANK($U130),$T130,$U130)/IF(AND($B130=1,$D$2&lt;&gt;"Egyszeri"),1,VLOOKUP($B130+IF($C130=12,1,0),Paraméterek!$B$257:$D$267,IF($D$2="Egyszeri",3,2))),IF($D$4="Forint",0,2))&gt;$M130-$O130-$P130+$R130-$S130-IF($D$4="Forint",Paraméterek!$C$216,Paraméterek!$D$216),0,ROUNDUP(IF(ISBLANK($U130),$T130,$U130)/IF(AND($B130=1,$D$2&lt;&gt;"Egyszeri"),1,VLOOKUP($B130+IF($C130=12,1,0),Paraméterek!$B$257:$D$267,IF($D$2="Egyszeri",3,2))),IF($D$4="Forint",0,2)))</f>
        <v>-60758</v>
      </c>
      <c r="W130" s="13">
        <f ca="1">ROUNDDOWN($V130*VLOOKUP($B130+IF($C130=12,1,0),Paraméterek!$B$257:$D$267,IF($D$2="Egyszeri",3,2)),IF($D$4="Forint",0,2))</f>
        <v>-60150</v>
      </c>
      <c r="Y130" s="32">
        <v>111</v>
      </c>
      <c r="Z130" s="32">
        <v>10</v>
      </c>
      <c r="AA130" s="32">
        <v>3</v>
      </c>
      <c r="AB130" s="13">
        <f t="shared" si="26"/>
        <v>0</v>
      </c>
      <c r="AC130" s="33"/>
      <c r="AD130" s="13">
        <f t="shared" si="22"/>
        <v>0</v>
      </c>
      <c r="AE130" s="13">
        <f>ROUNDUP(($AB130+$AD130)*VLOOKUP($Z130,Paraméterek!$P$38:$Q$38,2)/12,IF($D$4="Forint",0,2))</f>
        <v>0</v>
      </c>
      <c r="AF130" s="13">
        <f>IF($D$2="Egyszeri",IF($D$7&gt;=IF($D$4="Forint",Paraméterek!$P$223,Paraméterek!$P$224),$D$7-IF($D$4="Forint",Paraméterek!$F$223,Paraméterek!$F$224),0),MIN(IF($AA130=12,AVERAGE($D$20:$D130)*12,0),SUM($D$20:$D$31)))</f>
        <v>0</v>
      </c>
      <c r="AG130" s="13">
        <f>IF(AND($Z130&gt;=10,MOD($Z130,5)=0),$AF130*IF($AA130=12,VLOOKUP($Z130,Paraméterek!$B$225:$F$240,IF($AF130&lt;IF($D$4="Forint",Paraméterek!$C$223,Paraméterek!$C$224),2,IF($AF130&lt;IF($D$4="Forint",Paraméterek!$D$223,Paraméterek!$D$224),3,4))),0),0)</f>
        <v>0</v>
      </c>
      <c r="AH130" s="13">
        <f>IF(AND($Z130&gt;=5,MOD($Z130,5)=0),IF($AA130=12,VLOOKUP($Z130,Paraméterek!$B$225:$F$240,5),0),IF(OR($Z130=3,$Z130=4),IF($AA130=12,VLOOKUP($Z130,Paraméterek!$B$225:$F$240,5,0),0),0))*$AF130</f>
        <v>0</v>
      </c>
      <c r="AI130" s="13">
        <f>ROUNDDOWN(IF(SUM($T$20:$U130)=0,IF($D$2="Egyszeri",$AH130,$AG130),0),IF($D$4="Forint",0,2))</f>
        <v>0</v>
      </c>
      <c r="AJ130" s="13">
        <f t="shared" si="27"/>
        <v>0</v>
      </c>
      <c r="AK130" s="13">
        <f t="shared" si="28"/>
        <v>0</v>
      </c>
      <c r="AM130" s="32">
        <v>111</v>
      </c>
      <c r="AN130" s="32">
        <v>10</v>
      </c>
      <c r="AO130" s="32">
        <v>3</v>
      </c>
      <c r="AP130" s="13"/>
      <c r="AQ130" s="32"/>
      <c r="AR130" s="13">
        <f t="shared" si="29"/>
        <v>0</v>
      </c>
      <c r="AS130" s="33"/>
      <c r="AT130" s="13">
        <f t="shared" si="23"/>
        <v>0</v>
      </c>
      <c r="AU130" s="13">
        <f>ROUNDUP(($AR130+$AT130)*VLOOKUP($AN130,Paraméterek!$P$38:$Q$38,2)/12,IF($D$4="Forint",0,2))</f>
        <v>0</v>
      </c>
      <c r="AV130" s="13"/>
      <c r="AW130" s="13"/>
      <c r="AX130" s="13">
        <f>ROUNDUP(IF(SUM($AV130:$AW130)=0,0,IF(IF(ISBLANK($AW130),$AV130,$AW130)*Paraméterek!$J$112&lt;IF($D$4="Forint",Paraméterek!$J$113,Paraméterek!$K$113),IF($D$4="Forint",Paraméterek!$J$113,Paraméterek!$K$113),IF(IF(ISBLANK($AW130),$AV130,$AW130)*Paraméterek!$J$112&gt;IF($D$4="Forint",Paraméterek!$J$114,Paraméterek!$K$114),IF($D$4="Forint",Paraméterek!$J$114,Paraméterek!$K$114),IF(ISBLANK($AW130),$AV130,$AW130)*Paraméterek!$J$112))),IF($D$4="Forint",0,2))</f>
        <v>0</v>
      </c>
      <c r="AY130" s="13">
        <f>$AR130+$AT130-$AU130-IF(ROUNDDOWN(IF(ISBLANK($AW130),$AV130,$AW130),IF($D$4="Forint",0,2))&gt;$AR130+$AT130-$AU130-IF($D$4="Forint",Paraméterek!$J$114,Paraméterek!$K$114),0,ROUNDDOWN(IF(ISBLANK($AW130),$AV130,$AW130),IF($D$4="Forint",0,2))-$AX130)</f>
        <v>0</v>
      </c>
      <c r="AZ130" s="13">
        <f t="shared" si="24"/>
        <v>0</v>
      </c>
    </row>
    <row r="131" spans="1:52" x14ac:dyDescent="0.2">
      <c r="A131" s="32">
        <v>112</v>
      </c>
      <c r="B131" s="32">
        <v>10</v>
      </c>
      <c r="C131" s="32">
        <v>4</v>
      </c>
      <c r="D131" s="13">
        <f t="shared" si="15"/>
        <v>0</v>
      </c>
      <c r="E131" s="13"/>
      <c r="F131" s="13"/>
      <c r="G131" s="13"/>
      <c r="H131" s="13">
        <f t="shared" si="16"/>
        <v>0</v>
      </c>
      <c r="I131" s="13">
        <f t="shared" si="17"/>
        <v>0</v>
      </c>
      <c r="J131" s="13">
        <f t="shared" si="18"/>
        <v>0</v>
      </c>
      <c r="K131" s="13">
        <f>ROUNDUP(IF($D$2="Egyszeri",$D131,IF($D$2="Havi",SUM($D$20:$D$31),IF(MOD($C131,$M$1)-1=0,SUM($D$20:$D$31),0))/12*$M$1)*VLOOKUP($B131,Paraméterek!$B$27:$D$30,IF($D$2="Egyszeri",3,2)),IF($D$4="Forint",0,2))</f>
        <v>0</v>
      </c>
      <c r="L131" s="13">
        <f t="shared" si="19"/>
        <v>0</v>
      </c>
      <c r="M131" s="13">
        <f t="shared" ca="1" si="25"/>
        <v>-60758</v>
      </c>
      <c r="N131" s="13">
        <f ca="1">IF($V130&gt;=VLOOKUP($M$4-1+$B131,Paraméterek!$B$121:$D$122,IF($D$4="Forint",2,3)),0,VLOOKUP($M$4-1+$B131,Paraméterek!$B$121:$D$122,IF($D$4="Forint",2,3))-$V130)</f>
        <v>70758</v>
      </c>
      <c r="O131" s="13">
        <f ca="1">ROUNDUP($N131*Paraméterek!$C$58/Paraméterek!$C$56,IF($D$4="Forint",0,2))</f>
        <v>12</v>
      </c>
      <c r="P131" s="13">
        <f t="shared" si="20"/>
        <v>718</v>
      </c>
      <c r="Q131" s="33"/>
      <c r="R131" s="13">
        <f t="shared" ca="1" si="21"/>
        <v>0</v>
      </c>
      <c r="S131" s="13">
        <f ca="1">ROUNDUP(($M131-$O131-$P131+$R131)*VLOOKUP($B131,Paraméterek!$B$38:$D$39,IF($D$2="Egyszeri",3,2))/12,IF($D$4="Forint",0,2))</f>
        <v>-167</v>
      </c>
      <c r="T131" s="13"/>
      <c r="U131" s="13"/>
      <c r="V131" s="13">
        <f ca="1">$M131-$O131-$P131+$R131-$S131-IF(ROUNDUP(IF(ISBLANK($U131),$T131,$U131)/IF(AND($B131=1,$D$2&lt;&gt;"Egyszeri"),1,VLOOKUP($B131+IF($C131=12,1,0),Paraméterek!$B$257:$D$267,IF($D$2="Egyszeri",3,2))),IF($D$4="Forint",0,2))&gt;$M131-$O131-$P131+$R131-$S131-IF($D$4="Forint",Paraméterek!$C$216,Paraméterek!$D$216),0,ROUNDUP(IF(ISBLANK($U131),$T131,$U131)/IF(AND($B131=1,$D$2&lt;&gt;"Egyszeri"),1,VLOOKUP($B131+IF($C131=12,1,0),Paraméterek!$B$257:$D$267,IF($D$2="Egyszeri",3,2))),IF($D$4="Forint",0,2)))</f>
        <v>-61321</v>
      </c>
      <c r="W131" s="13">
        <f ca="1">ROUNDDOWN($V131*VLOOKUP($B131+IF($C131=12,1,0),Paraméterek!$B$257:$D$267,IF($D$2="Egyszeri",3,2)),IF($D$4="Forint",0,2))</f>
        <v>-60707</v>
      </c>
      <c r="Y131" s="32">
        <v>112</v>
      </c>
      <c r="Z131" s="32">
        <v>10</v>
      </c>
      <c r="AA131" s="32">
        <v>4</v>
      </c>
      <c r="AB131" s="13">
        <f t="shared" si="26"/>
        <v>0</v>
      </c>
      <c r="AC131" s="33"/>
      <c r="AD131" s="13">
        <f t="shared" si="22"/>
        <v>0</v>
      </c>
      <c r="AE131" s="13">
        <f>ROUNDUP(($AB131+$AD131)*VLOOKUP($Z131,Paraméterek!$P$38:$Q$38,2)/12,IF($D$4="Forint",0,2))</f>
        <v>0</v>
      </c>
      <c r="AF131" s="13">
        <f>IF($D$2="Egyszeri",IF($D$7&gt;=IF($D$4="Forint",Paraméterek!$P$223,Paraméterek!$P$224),$D$7-IF($D$4="Forint",Paraméterek!$F$223,Paraméterek!$F$224),0),MIN(IF($AA131=12,AVERAGE($D$20:$D131)*12,0),SUM($D$20:$D$31)))</f>
        <v>0</v>
      </c>
      <c r="AG131" s="13">
        <f>IF(AND($Z131&gt;=10,MOD($Z131,5)=0),$AF131*IF($AA131=12,VLOOKUP($Z131,Paraméterek!$B$225:$F$240,IF($AF131&lt;IF($D$4="Forint",Paraméterek!$C$223,Paraméterek!$C$224),2,IF($AF131&lt;IF($D$4="Forint",Paraméterek!$D$223,Paraméterek!$D$224),3,4))),0),0)</f>
        <v>0</v>
      </c>
      <c r="AH131" s="13">
        <f>IF(AND($Z131&gt;=5,MOD($Z131,5)=0),IF($AA131=12,VLOOKUP($Z131,Paraméterek!$B$225:$F$240,5),0),IF(OR($Z131=3,$Z131=4),IF($AA131=12,VLOOKUP($Z131,Paraméterek!$B$225:$F$240,5,0),0),0))*$AF131</f>
        <v>0</v>
      </c>
      <c r="AI131" s="13">
        <f>ROUNDDOWN(IF(SUM($T$20:$U131)=0,IF($D$2="Egyszeri",$AH131,$AG131),0),IF($D$4="Forint",0,2))</f>
        <v>0</v>
      </c>
      <c r="AJ131" s="13">
        <f t="shared" si="27"/>
        <v>0</v>
      </c>
      <c r="AK131" s="13">
        <f t="shared" si="28"/>
        <v>0</v>
      </c>
      <c r="AM131" s="32">
        <v>112</v>
      </c>
      <c r="AN131" s="32">
        <v>10</v>
      </c>
      <c r="AO131" s="32">
        <v>4</v>
      </c>
      <c r="AP131" s="13"/>
      <c r="AQ131" s="32"/>
      <c r="AR131" s="13">
        <f t="shared" si="29"/>
        <v>0</v>
      </c>
      <c r="AS131" s="33"/>
      <c r="AT131" s="13">
        <f t="shared" si="23"/>
        <v>0</v>
      </c>
      <c r="AU131" s="13">
        <f>ROUNDUP(($AR131+$AT131)*VLOOKUP($AN131,Paraméterek!$P$38:$Q$38,2)/12,IF($D$4="Forint",0,2))</f>
        <v>0</v>
      </c>
      <c r="AV131" s="13"/>
      <c r="AW131" s="13"/>
      <c r="AX131" s="13">
        <f>ROUNDUP(IF(SUM($AV131:$AW131)=0,0,IF(IF(ISBLANK($AW131),$AV131,$AW131)*Paraméterek!$J$112&lt;IF($D$4="Forint",Paraméterek!$J$113,Paraméterek!$K$113),IF($D$4="Forint",Paraméterek!$J$113,Paraméterek!$K$113),IF(IF(ISBLANK($AW131),$AV131,$AW131)*Paraméterek!$J$112&gt;IF($D$4="Forint",Paraméterek!$J$114,Paraméterek!$K$114),IF($D$4="Forint",Paraméterek!$J$114,Paraméterek!$K$114),IF(ISBLANK($AW131),$AV131,$AW131)*Paraméterek!$J$112))),IF($D$4="Forint",0,2))</f>
        <v>0</v>
      </c>
      <c r="AY131" s="13">
        <f>$AR131+$AT131-$AU131-IF(ROUNDDOWN(IF(ISBLANK($AW131),$AV131,$AW131),IF($D$4="Forint",0,2))&gt;$AR131+$AT131-$AU131-IF($D$4="Forint",Paraméterek!$J$114,Paraméterek!$K$114),0,ROUNDDOWN(IF(ISBLANK($AW131),$AV131,$AW131),IF($D$4="Forint",0,2))-$AX131)</f>
        <v>0</v>
      </c>
      <c r="AZ131" s="13">
        <f t="shared" si="24"/>
        <v>0</v>
      </c>
    </row>
    <row r="132" spans="1:52" x14ac:dyDescent="0.2">
      <c r="A132" s="32">
        <v>113</v>
      </c>
      <c r="B132" s="32">
        <v>10</v>
      </c>
      <c r="C132" s="32">
        <v>5</v>
      </c>
      <c r="D132" s="13">
        <f t="shared" si="15"/>
        <v>0</v>
      </c>
      <c r="E132" s="13"/>
      <c r="F132" s="13"/>
      <c r="G132" s="13"/>
      <c r="H132" s="13">
        <f t="shared" si="16"/>
        <v>0</v>
      </c>
      <c r="I132" s="13">
        <f t="shared" si="17"/>
        <v>0</v>
      </c>
      <c r="J132" s="13">
        <f t="shared" si="18"/>
        <v>0</v>
      </c>
      <c r="K132" s="13">
        <f>ROUNDUP(IF($D$2="Egyszeri",$D132,IF($D$2="Havi",SUM($D$20:$D$31),IF(MOD($C132,$M$1)-1=0,SUM($D$20:$D$31),0))/12*$M$1)*VLOOKUP($B132,Paraméterek!$B$27:$D$30,IF($D$2="Egyszeri",3,2)),IF($D$4="Forint",0,2))</f>
        <v>0</v>
      </c>
      <c r="L132" s="13">
        <f t="shared" si="19"/>
        <v>0</v>
      </c>
      <c r="M132" s="13">
        <f t="shared" ca="1" si="25"/>
        <v>-61321</v>
      </c>
      <c r="N132" s="13">
        <f ca="1">IF($V131&gt;=VLOOKUP($M$4-1+$B132,Paraméterek!$B$121:$D$122,IF($D$4="Forint",2,3)),0,VLOOKUP($M$4-1+$B132,Paraméterek!$B$121:$D$122,IF($D$4="Forint",2,3))-$V131)</f>
        <v>71321</v>
      </c>
      <c r="O132" s="13">
        <f ca="1">ROUNDUP($N132*Paraméterek!$C$58/Paraméterek!$C$56,IF($D$4="Forint",0,2))</f>
        <v>12</v>
      </c>
      <c r="P132" s="13">
        <f t="shared" si="20"/>
        <v>718</v>
      </c>
      <c r="Q132" s="33"/>
      <c r="R132" s="13">
        <f t="shared" ca="1" si="21"/>
        <v>0</v>
      </c>
      <c r="S132" s="13">
        <f ca="1">ROUNDUP(($M132-$O132-$P132+$R132)*VLOOKUP($B132,Paraméterek!$B$38:$D$39,IF($D$2="Egyszeri",3,2))/12,IF($D$4="Forint",0,2))</f>
        <v>-169</v>
      </c>
      <c r="T132" s="13"/>
      <c r="U132" s="13"/>
      <c r="V132" s="13">
        <f ca="1">$M132-$O132-$P132+$R132-$S132-IF(ROUNDUP(IF(ISBLANK($U132),$T132,$U132)/IF(AND($B132=1,$D$2&lt;&gt;"Egyszeri"),1,VLOOKUP($B132+IF($C132=12,1,0),Paraméterek!$B$257:$D$267,IF($D$2="Egyszeri",3,2))),IF($D$4="Forint",0,2))&gt;$M132-$O132-$P132+$R132-$S132-IF($D$4="Forint",Paraméterek!$C$216,Paraméterek!$D$216),0,ROUNDUP(IF(ISBLANK($U132),$T132,$U132)/IF(AND($B132=1,$D$2&lt;&gt;"Egyszeri"),1,VLOOKUP($B132+IF($C132=12,1,0),Paraméterek!$B$257:$D$267,IF($D$2="Egyszeri",3,2))),IF($D$4="Forint",0,2)))</f>
        <v>-61882</v>
      </c>
      <c r="W132" s="13">
        <f ca="1">ROUNDDOWN($V132*VLOOKUP($B132+IF($C132=12,1,0),Paraméterek!$B$257:$D$267,IF($D$2="Egyszeri",3,2)),IF($D$4="Forint",0,2))</f>
        <v>-61263</v>
      </c>
      <c r="Y132" s="32">
        <v>113</v>
      </c>
      <c r="Z132" s="32">
        <v>10</v>
      </c>
      <c r="AA132" s="32">
        <v>5</v>
      </c>
      <c r="AB132" s="13">
        <f t="shared" si="26"/>
        <v>0</v>
      </c>
      <c r="AC132" s="33"/>
      <c r="AD132" s="13">
        <f t="shared" si="22"/>
        <v>0</v>
      </c>
      <c r="AE132" s="13">
        <f>ROUNDUP(($AB132+$AD132)*VLOOKUP($Z132,Paraméterek!$P$38:$Q$38,2)/12,IF($D$4="Forint",0,2))</f>
        <v>0</v>
      </c>
      <c r="AF132" s="13">
        <f>IF($D$2="Egyszeri",IF($D$7&gt;=IF($D$4="Forint",Paraméterek!$P$223,Paraméterek!$P$224),$D$7-IF($D$4="Forint",Paraméterek!$F$223,Paraméterek!$F$224),0),MIN(IF($AA132=12,AVERAGE($D$20:$D132)*12,0),SUM($D$20:$D$31)))</f>
        <v>0</v>
      </c>
      <c r="AG132" s="13">
        <f>IF(AND($Z132&gt;=10,MOD($Z132,5)=0),$AF132*IF($AA132=12,VLOOKUP($Z132,Paraméterek!$B$225:$F$240,IF($AF132&lt;IF($D$4="Forint",Paraméterek!$C$223,Paraméterek!$C$224),2,IF($AF132&lt;IF($D$4="Forint",Paraméterek!$D$223,Paraméterek!$D$224),3,4))),0),0)</f>
        <v>0</v>
      </c>
      <c r="AH132" s="13">
        <f>IF(AND($Z132&gt;=5,MOD($Z132,5)=0),IF($AA132=12,VLOOKUP($Z132,Paraméterek!$B$225:$F$240,5),0),IF(OR($Z132=3,$Z132=4),IF($AA132=12,VLOOKUP($Z132,Paraméterek!$B$225:$F$240,5,0),0),0))*$AF132</f>
        <v>0</v>
      </c>
      <c r="AI132" s="13">
        <f>ROUNDDOWN(IF(SUM($T$20:$U132)=0,IF($D$2="Egyszeri",$AH132,$AG132),0),IF($D$4="Forint",0,2))</f>
        <v>0</v>
      </c>
      <c r="AJ132" s="13">
        <f t="shared" si="27"/>
        <v>0</v>
      </c>
      <c r="AK132" s="13">
        <f t="shared" si="28"/>
        <v>0</v>
      </c>
      <c r="AM132" s="32">
        <v>113</v>
      </c>
      <c r="AN132" s="32">
        <v>10</v>
      </c>
      <c r="AO132" s="32">
        <v>5</v>
      </c>
      <c r="AP132" s="13"/>
      <c r="AQ132" s="32"/>
      <c r="AR132" s="13">
        <f t="shared" si="29"/>
        <v>0</v>
      </c>
      <c r="AS132" s="33"/>
      <c r="AT132" s="13">
        <f t="shared" si="23"/>
        <v>0</v>
      </c>
      <c r="AU132" s="13">
        <f>ROUNDUP(($AR132+$AT132)*VLOOKUP($AN132,Paraméterek!$P$38:$Q$38,2)/12,IF($D$4="Forint",0,2))</f>
        <v>0</v>
      </c>
      <c r="AV132" s="13"/>
      <c r="AW132" s="13"/>
      <c r="AX132" s="13">
        <f>ROUNDUP(IF(SUM($AV132:$AW132)=0,0,IF(IF(ISBLANK($AW132),$AV132,$AW132)*Paraméterek!$J$112&lt;IF($D$4="Forint",Paraméterek!$J$113,Paraméterek!$K$113),IF($D$4="Forint",Paraméterek!$J$113,Paraméterek!$K$113),IF(IF(ISBLANK($AW132),$AV132,$AW132)*Paraméterek!$J$112&gt;IF($D$4="Forint",Paraméterek!$J$114,Paraméterek!$K$114),IF($D$4="Forint",Paraméterek!$J$114,Paraméterek!$K$114),IF(ISBLANK($AW132),$AV132,$AW132)*Paraméterek!$J$112))),IF($D$4="Forint",0,2))</f>
        <v>0</v>
      </c>
      <c r="AY132" s="13">
        <f>$AR132+$AT132-$AU132-IF(ROUNDDOWN(IF(ISBLANK($AW132),$AV132,$AW132),IF($D$4="Forint",0,2))&gt;$AR132+$AT132-$AU132-IF($D$4="Forint",Paraméterek!$J$114,Paraméterek!$K$114),0,ROUNDDOWN(IF(ISBLANK($AW132),$AV132,$AW132),IF($D$4="Forint",0,2))-$AX132)</f>
        <v>0</v>
      </c>
      <c r="AZ132" s="13">
        <f t="shared" si="24"/>
        <v>0</v>
      </c>
    </row>
    <row r="133" spans="1:52" x14ac:dyDescent="0.2">
      <c r="A133" s="32">
        <v>114</v>
      </c>
      <c r="B133" s="32">
        <v>10</v>
      </c>
      <c r="C133" s="32">
        <v>6</v>
      </c>
      <c r="D133" s="13">
        <f t="shared" si="15"/>
        <v>0</v>
      </c>
      <c r="E133" s="13"/>
      <c r="F133" s="13"/>
      <c r="G133" s="13"/>
      <c r="H133" s="13">
        <f t="shared" si="16"/>
        <v>0</v>
      </c>
      <c r="I133" s="13">
        <f t="shared" si="17"/>
        <v>0</v>
      </c>
      <c r="J133" s="13">
        <f t="shared" si="18"/>
        <v>0</v>
      </c>
      <c r="K133" s="13">
        <f>ROUNDUP(IF($D$2="Egyszeri",$D133,IF($D$2="Havi",SUM($D$20:$D$31),IF(MOD($C133,$M$1)-1=0,SUM($D$20:$D$31),0))/12*$M$1)*VLOOKUP($B133,Paraméterek!$B$27:$D$30,IF($D$2="Egyszeri",3,2)),IF($D$4="Forint",0,2))</f>
        <v>0</v>
      </c>
      <c r="L133" s="13">
        <f t="shared" si="19"/>
        <v>0</v>
      </c>
      <c r="M133" s="13">
        <f t="shared" ca="1" si="25"/>
        <v>-61882</v>
      </c>
      <c r="N133" s="13">
        <f ca="1">IF($V132&gt;=VLOOKUP($M$4-1+$B133,Paraméterek!$B$121:$D$122,IF($D$4="Forint",2,3)),0,VLOOKUP($M$4-1+$B133,Paraméterek!$B$121:$D$122,IF($D$4="Forint",2,3))-$V132)</f>
        <v>71882</v>
      </c>
      <c r="O133" s="13">
        <f ca="1">ROUNDUP($N133*Paraméterek!$C$58/Paraméterek!$C$56,IF($D$4="Forint",0,2))</f>
        <v>12</v>
      </c>
      <c r="P133" s="13">
        <f t="shared" si="20"/>
        <v>718</v>
      </c>
      <c r="Q133" s="33"/>
      <c r="R133" s="13">
        <f t="shared" ca="1" si="21"/>
        <v>0</v>
      </c>
      <c r="S133" s="13">
        <f ca="1">ROUNDUP(($M133-$O133-$P133+$R133)*VLOOKUP($B133,Paraméterek!$B$38:$D$39,IF($D$2="Egyszeri",3,2))/12,IF($D$4="Forint",0,2))</f>
        <v>-170</v>
      </c>
      <c r="T133" s="13"/>
      <c r="U133" s="13"/>
      <c r="V133" s="13">
        <f ca="1">$M133-$O133-$P133+$R133-$S133-IF(ROUNDUP(IF(ISBLANK($U133),$T133,$U133)/IF(AND($B133=1,$D$2&lt;&gt;"Egyszeri"),1,VLOOKUP($B133+IF($C133=12,1,0),Paraméterek!$B$257:$D$267,IF($D$2="Egyszeri",3,2))),IF($D$4="Forint",0,2))&gt;$M133-$O133-$P133+$R133-$S133-IF($D$4="Forint",Paraméterek!$C$216,Paraméterek!$D$216),0,ROUNDUP(IF(ISBLANK($U133),$T133,$U133)/IF(AND($B133=1,$D$2&lt;&gt;"Egyszeri"),1,VLOOKUP($B133+IF($C133=12,1,0),Paraméterek!$B$257:$D$267,IF($D$2="Egyszeri",3,2))),IF($D$4="Forint",0,2)))</f>
        <v>-62442</v>
      </c>
      <c r="W133" s="13">
        <f ca="1">ROUNDDOWN($V133*VLOOKUP($B133+IF($C133=12,1,0),Paraméterek!$B$257:$D$267,IF($D$2="Egyszeri",3,2)),IF($D$4="Forint",0,2))</f>
        <v>-61817</v>
      </c>
      <c r="Y133" s="32">
        <v>114</v>
      </c>
      <c r="Z133" s="32">
        <v>10</v>
      </c>
      <c r="AA133" s="32">
        <v>6</v>
      </c>
      <c r="AB133" s="13">
        <f t="shared" si="26"/>
        <v>0</v>
      </c>
      <c r="AC133" s="33"/>
      <c r="AD133" s="13">
        <f t="shared" si="22"/>
        <v>0</v>
      </c>
      <c r="AE133" s="13">
        <f>ROUNDUP(($AB133+$AD133)*VLOOKUP($Z133,Paraméterek!$P$38:$Q$38,2)/12,IF($D$4="Forint",0,2))</f>
        <v>0</v>
      </c>
      <c r="AF133" s="13">
        <f>IF($D$2="Egyszeri",IF($D$7&gt;=IF($D$4="Forint",Paraméterek!$P$223,Paraméterek!$P$224),$D$7-IF($D$4="Forint",Paraméterek!$F$223,Paraméterek!$F$224),0),MIN(IF($AA133=12,AVERAGE($D$20:$D133)*12,0),SUM($D$20:$D$31)))</f>
        <v>0</v>
      </c>
      <c r="AG133" s="13">
        <f>IF(AND($Z133&gt;=10,MOD($Z133,5)=0),$AF133*IF($AA133=12,VLOOKUP($Z133,Paraméterek!$B$225:$F$240,IF($AF133&lt;IF($D$4="Forint",Paraméterek!$C$223,Paraméterek!$C$224),2,IF($AF133&lt;IF($D$4="Forint",Paraméterek!$D$223,Paraméterek!$D$224),3,4))),0),0)</f>
        <v>0</v>
      </c>
      <c r="AH133" s="13">
        <f>IF(AND($Z133&gt;=5,MOD($Z133,5)=0),IF($AA133=12,VLOOKUP($Z133,Paraméterek!$B$225:$F$240,5),0),IF(OR($Z133=3,$Z133=4),IF($AA133=12,VLOOKUP($Z133,Paraméterek!$B$225:$F$240,5,0),0),0))*$AF133</f>
        <v>0</v>
      </c>
      <c r="AI133" s="13">
        <f>ROUNDDOWN(IF(SUM($T$20:$U133)=0,IF($D$2="Egyszeri",$AH133,$AG133),0),IF($D$4="Forint",0,2))</f>
        <v>0</v>
      </c>
      <c r="AJ133" s="13">
        <f t="shared" si="27"/>
        <v>0</v>
      </c>
      <c r="AK133" s="13">
        <f t="shared" si="28"/>
        <v>0</v>
      </c>
      <c r="AM133" s="32">
        <v>114</v>
      </c>
      <c r="AN133" s="32">
        <v>10</v>
      </c>
      <c r="AO133" s="32">
        <v>6</v>
      </c>
      <c r="AP133" s="13"/>
      <c r="AQ133" s="32"/>
      <c r="AR133" s="13">
        <f t="shared" si="29"/>
        <v>0</v>
      </c>
      <c r="AS133" s="33"/>
      <c r="AT133" s="13">
        <f t="shared" si="23"/>
        <v>0</v>
      </c>
      <c r="AU133" s="13">
        <f>ROUNDUP(($AR133+$AT133)*VLOOKUP($AN133,Paraméterek!$P$38:$Q$38,2)/12,IF($D$4="Forint",0,2))</f>
        <v>0</v>
      </c>
      <c r="AV133" s="13"/>
      <c r="AW133" s="13"/>
      <c r="AX133" s="13">
        <f>ROUNDUP(IF(SUM($AV133:$AW133)=0,0,IF(IF(ISBLANK($AW133),$AV133,$AW133)*Paraméterek!$J$112&lt;IF($D$4="Forint",Paraméterek!$J$113,Paraméterek!$K$113),IF($D$4="Forint",Paraméterek!$J$113,Paraméterek!$K$113),IF(IF(ISBLANK($AW133),$AV133,$AW133)*Paraméterek!$J$112&gt;IF($D$4="Forint",Paraméterek!$J$114,Paraméterek!$K$114),IF($D$4="Forint",Paraméterek!$J$114,Paraméterek!$K$114),IF(ISBLANK($AW133),$AV133,$AW133)*Paraméterek!$J$112))),IF($D$4="Forint",0,2))</f>
        <v>0</v>
      </c>
      <c r="AY133" s="13">
        <f>$AR133+$AT133-$AU133-IF(ROUNDDOWN(IF(ISBLANK($AW133),$AV133,$AW133),IF($D$4="Forint",0,2))&gt;$AR133+$AT133-$AU133-IF($D$4="Forint",Paraméterek!$J$114,Paraméterek!$K$114),0,ROUNDDOWN(IF(ISBLANK($AW133),$AV133,$AW133),IF($D$4="Forint",0,2))-$AX133)</f>
        <v>0</v>
      </c>
      <c r="AZ133" s="13">
        <f t="shared" si="24"/>
        <v>0</v>
      </c>
    </row>
    <row r="134" spans="1:52" x14ac:dyDescent="0.2">
      <c r="A134" s="32">
        <v>115</v>
      </c>
      <c r="B134" s="32">
        <v>10</v>
      </c>
      <c r="C134" s="32">
        <v>7</v>
      </c>
      <c r="D134" s="13">
        <f t="shared" si="15"/>
        <v>0</v>
      </c>
      <c r="E134" s="13"/>
      <c r="F134" s="13"/>
      <c r="G134" s="13"/>
      <c r="H134" s="13">
        <f t="shared" si="16"/>
        <v>0</v>
      </c>
      <c r="I134" s="13">
        <f t="shared" si="17"/>
        <v>0</v>
      </c>
      <c r="J134" s="13">
        <f t="shared" si="18"/>
        <v>0</v>
      </c>
      <c r="K134" s="13">
        <f>ROUNDUP(IF($D$2="Egyszeri",$D134,IF($D$2="Havi",SUM($D$20:$D$31),IF(MOD($C134,$M$1)-1=0,SUM($D$20:$D$31),0))/12*$M$1)*VLOOKUP($B134,Paraméterek!$B$27:$D$30,IF($D$2="Egyszeri",3,2)),IF($D$4="Forint",0,2))</f>
        <v>0</v>
      </c>
      <c r="L134" s="13">
        <f t="shared" si="19"/>
        <v>0</v>
      </c>
      <c r="M134" s="13">
        <f t="shared" ca="1" si="25"/>
        <v>-62442</v>
      </c>
      <c r="N134" s="13">
        <f ca="1">IF($V133&gt;=VLOOKUP($M$4-1+$B134,Paraméterek!$B$121:$D$122,IF($D$4="Forint",2,3)),0,VLOOKUP($M$4-1+$B134,Paraméterek!$B$121:$D$122,IF($D$4="Forint",2,3))-$V133)</f>
        <v>72442</v>
      </c>
      <c r="O134" s="13">
        <f ca="1">ROUNDUP($N134*Paraméterek!$C$58/Paraméterek!$C$56,IF($D$4="Forint",0,2))</f>
        <v>12</v>
      </c>
      <c r="P134" s="13">
        <f t="shared" si="20"/>
        <v>718</v>
      </c>
      <c r="Q134" s="33"/>
      <c r="R134" s="13">
        <f t="shared" ca="1" si="21"/>
        <v>0</v>
      </c>
      <c r="S134" s="13">
        <f ca="1">ROUNDUP(($M134-$O134-$P134+$R134)*VLOOKUP($B134,Paraméterek!$B$38:$D$39,IF($D$2="Egyszeri",3,2))/12,IF($D$4="Forint",0,2))</f>
        <v>-172</v>
      </c>
      <c r="T134" s="13"/>
      <c r="U134" s="13"/>
      <c r="V134" s="13">
        <f ca="1">$M134-$O134-$P134+$R134-$S134-IF(ROUNDUP(IF(ISBLANK($U134),$T134,$U134)/IF(AND($B134=1,$D$2&lt;&gt;"Egyszeri"),1,VLOOKUP($B134+IF($C134=12,1,0),Paraméterek!$B$257:$D$267,IF($D$2="Egyszeri",3,2))),IF($D$4="Forint",0,2))&gt;$M134-$O134-$P134+$R134-$S134-IF($D$4="Forint",Paraméterek!$C$216,Paraméterek!$D$216),0,ROUNDUP(IF(ISBLANK($U134),$T134,$U134)/IF(AND($B134=1,$D$2&lt;&gt;"Egyszeri"),1,VLOOKUP($B134+IF($C134=12,1,0),Paraméterek!$B$257:$D$267,IF($D$2="Egyszeri",3,2))),IF($D$4="Forint",0,2)))</f>
        <v>-63000</v>
      </c>
      <c r="W134" s="13">
        <f ca="1">ROUNDDOWN($V134*VLOOKUP($B134+IF($C134=12,1,0),Paraméterek!$B$257:$D$267,IF($D$2="Egyszeri",3,2)),IF($D$4="Forint",0,2))</f>
        <v>-62370</v>
      </c>
      <c r="Y134" s="32">
        <v>115</v>
      </c>
      <c r="Z134" s="32">
        <v>10</v>
      </c>
      <c r="AA134" s="32">
        <v>7</v>
      </c>
      <c r="AB134" s="13">
        <f t="shared" si="26"/>
        <v>0</v>
      </c>
      <c r="AC134" s="33"/>
      <c r="AD134" s="13">
        <f t="shared" si="22"/>
        <v>0</v>
      </c>
      <c r="AE134" s="13">
        <f>ROUNDUP(($AB134+$AD134)*VLOOKUP($Z134,Paraméterek!$P$38:$Q$38,2)/12,IF($D$4="Forint",0,2))</f>
        <v>0</v>
      </c>
      <c r="AF134" s="13">
        <f>IF($D$2="Egyszeri",IF($D$7&gt;=IF($D$4="Forint",Paraméterek!$P$223,Paraméterek!$P$224),$D$7-IF($D$4="Forint",Paraméterek!$F$223,Paraméterek!$F$224),0),MIN(IF($AA134=12,AVERAGE($D$20:$D134)*12,0),SUM($D$20:$D$31)))</f>
        <v>0</v>
      </c>
      <c r="AG134" s="13">
        <f>IF(AND($Z134&gt;=10,MOD($Z134,5)=0),$AF134*IF($AA134=12,VLOOKUP($Z134,Paraméterek!$B$225:$F$240,IF($AF134&lt;IF($D$4="Forint",Paraméterek!$C$223,Paraméterek!$C$224),2,IF($AF134&lt;IF($D$4="Forint",Paraméterek!$D$223,Paraméterek!$D$224),3,4))),0),0)</f>
        <v>0</v>
      </c>
      <c r="AH134" s="13">
        <f>IF(AND($Z134&gt;=5,MOD($Z134,5)=0),IF($AA134=12,VLOOKUP($Z134,Paraméterek!$B$225:$F$240,5),0),IF(OR($Z134=3,$Z134=4),IF($AA134=12,VLOOKUP($Z134,Paraméterek!$B$225:$F$240,5,0),0),0))*$AF134</f>
        <v>0</v>
      </c>
      <c r="AI134" s="13">
        <f>ROUNDDOWN(IF(SUM($T$20:$U134)=0,IF($D$2="Egyszeri",$AH134,$AG134),0),IF($D$4="Forint",0,2))</f>
        <v>0</v>
      </c>
      <c r="AJ134" s="13">
        <f t="shared" si="27"/>
        <v>0</v>
      </c>
      <c r="AK134" s="13">
        <f t="shared" si="28"/>
        <v>0</v>
      </c>
      <c r="AM134" s="32">
        <v>115</v>
      </c>
      <c r="AN134" s="32">
        <v>10</v>
      </c>
      <c r="AO134" s="32">
        <v>7</v>
      </c>
      <c r="AP134" s="13"/>
      <c r="AQ134" s="32"/>
      <c r="AR134" s="13">
        <f t="shared" si="29"/>
        <v>0</v>
      </c>
      <c r="AS134" s="33"/>
      <c r="AT134" s="13">
        <f t="shared" si="23"/>
        <v>0</v>
      </c>
      <c r="AU134" s="13">
        <f>ROUNDUP(($AR134+$AT134)*VLOOKUP($AN134,Paraméterek!$P$38:$Q$38,2)/12,IF($D$4="Forint",0,2))</f>
        <v>0</v>
      </c>
      <c r="AV134" s="13"/>
      <c r="AW134" s="13"/>
      <c r="AX134" s="13">
        <f>ROUNDUP(IF(SUM($AV134:$AW134)=0,0,IF(IF(ISBLANK($AW134),$AV134,$AW134)*Paraméterek!$J$112&lt;IF($D$4="Forint",Paraméterek!$J$113,Paraméterek!$K$113),IF($D$4="Forint",Paraméterek!$J$113,Paraméterek!$K$113),IF(IF(ISBLANK($AW134),$AV134,$AW134)*Paraméterek!$J$112&gt;IF($D$4="Forint",Paraméterek!$J$114,Paraméterek!$K$114),IF($D$4="Forint",Paraméterek!$J$114,Paraméterek!$K$114),IF(ISBLANK($AW134),$AV134,$AW134)*Paraméterek!$J$112))),IF($D$4="Forint",0,2))</f>
        <v>0</v>
      </c>
      <c r="AY134" s="13">
        <f>$AR134+$AT134-$AU134-IF(ROUNDDOWN(IF(ISBLANK($AW134),$AV134,$AW134),IF($D$4="Forint",0,2))&gt;$AR134+$AT134-$AU134-IF($D$4="Forint",Paraméterek!$J$114,Paraméterek!$K$114),0,ROUNDDOWN(IF(ISBLANK($AW134),$AV134,$AW134),IF($D$4="Forint",0,2))-$AX134)</f>
        <v>0</v>
      </c>
      <c r="AZ134" s="13">
        <f t="shared" si="24"/>
        <v>0</v>
      </c>
    </row>
    <row r="135" spans="1:52" x14ac:dyDescent="0.2">
      <c r="A135" s="32">
        <v>116</v>
      </c>
      <c r="B135" s="32">
        <v>10</v>
      </c>
      <c r="C135" s="32">
        <v>8</v>
      </c>
      <c r="D135" s="13">
        <f t="shared" si="15"/>
        <v>0</v>
      </c>
      <c r="E135" s="13"/>
      <c r="F135" s="13"/>
      <c r="G135" s="13"/>
      <c r="H135" s="13">
        <f t="shared" si="16"/>
        <v>0</v>
      </c>
      <c r="I135" s="13">
        <f t="shared" si="17"/>
        <v>0</v>
      </c>
      <c r="J135" s="13">
        <f t="shared" si="18"/>
        <v>0</v>
      </c>
      <c r="K135" s="13">
        <f>ROUNDUP(IF($D$2="Egyszeri",$D135,IF($D$2="Havi",SUM($D$20:$D$31),IF(MOD($C135,$M$1)-1=0,SUM($D$20:$D$31),0))/12*$M$1)*VLOOKUP($B135,Paraméterek!$B$27:$D$30,IF($D$2="Egyszeri",3,2)),IF($D$4="Forint",0,2))</f>
        <v>0</v>
      </c>
      <c r="L135" s="13">
        <f t="shared" si="19"/>
        <v>0</v>
      </c>
      <c r="M135" s="13">
        <f t="shared" ca="1" si="25"/>
        <v>-63000</v>
      </c>
      <c r="N135" s="13">
        <f ca="1">IF($V134&gt;=VLOOKUP($M$4-1+$B135,Paraméterek!$B$121:$D$122,IF($D$4="Forint",2,3)),0,VLOOKUP($M$4-1+$B135,Paraméterek!$B$121:$D$122,IF($D$4="Forint",2,3))-$V134)</f>
        <v>73000</v>
      </c>
      <c r="O135" s="13">
        <f ca="1">ROUNDUP($N135*Paraméterek!$C$58/Paraméterek!$C$56,IF($D$4="Forint",0,2))</f>
        <v>12</v>
      </c>
      <c r="P135" s="13">
        <f t="shared" si="20"/>
        <v>718</v>
      </c>
      <c r="Q135" s="33"/>
      <c r="R135" s="13">
        <f t="shared" ca="1" si="21"/>
        <v>0</v>
      </c>
      <c r="S135" s="13">
        <f ca="1">ROUNDUP(($M135-$O135-$P135+$R135)*VLOOKUP($B135,Paraméterek!$B$38:$D$39,IF($D$2="Egyszeri",3,2))/12,IF($D$4="Forint",0,2))</f>
        <v>-173</v>
      </c>
      <c r="T135" s="13"/>
      <c r="U135" s="13"/>
      <c r="V135" s="13">
        <f ca="1">$M135-$O135-$P135+$R135-$S135-IF(ROUNDUP(IF(ISBLANK($U135),$T135,$U135)/IF(AND($B135=1,$D$2&lt;&gt;"Egyszeri"),1,VLOOKUP($B135+IF($C135=12,1,0),Paraméterek!$B$257:$D$267,IF($D$2="Egyszeri",3,2))),IF($D$4="Forint",0,2))&gt;$M135-$O135-$P135+$R135-$S135-IF($D$4="Forint",Paraméterek!$C$216,Paraméterek!$D$216),0,ROUNDUP(IF(ISBLANK($U135),$T135,$U135)/IF(AND($B135=1,$D$2&lt;&gt;"Egyszeri"),1,VLOOKUP($B135+IF($C135=12,1,0),Paraméterek!$B$257:$D$267,IF($D$2="Egyszeri",3,2))),IF($D$4="Forint",0,2)))</f>
        <v>-63557</v>
      </c>
      <c r="W135" s="13">
        <f ca="1">ROUNDDOWN($V135*VLOOKUP($B135+IF($C135=12,1,0),Paraméterek!$B$257:$D$267,IF($D$2="Egyszeri",3,2)),IF($D$4="Forint",0,2))</f>
        <v>-62921</v>
      </c>
      <c r="Y135" s="32">
        <v>116</v>
      </c>
      <c r="Z135" s="32">
        <v>10</v>
      </c>
      <c r="AA135" s="32">
        <v>8</v>
      </c>
      <c r="AB135" s="13">
        <f t="shared" si="26"/>
        <v>0</v>
      </c>
      <c r="AC135" s="33"/>
      <c r="AD135" s="13">
        <f t="shared" si="22"/>
        <v>0</v>
      </c>
      <c r="AE135" s="13">
        <f>ROUNDUP(($AB135+$AD135)*VLOOKUP($Z135,Paraméterek!$P$38:$Q$38,2)/12,IF($D$4="Forint",0,2))</f>
        <v>0</v>
      </c>
      <c r="AF135" s="13">
        <f>IF($D$2="Egyszeri",IF($D$7&gt;=IF($D$4="Forint",Paraméterek!$P$223,Paraméterek!$P$224),$D$7-IF($D$4="Forint",Paraméterek!$F$223,Paraméterek!$F$224),0),MIN(IF($AA135=12,AVERAGE($D$20:$D135)*12,0),SUM($D$20:$D$31)))</f>
        <v>0</v>
      </c>
      <c r="AG135" s="13">
        <f>IF(AND($Z135&gt;=10,MOD($Z135,5)=0),$AF135*IF($AA135=12,VLOOKUP($Z135,Paraméterek!$B$225:$F$240,IF($AF135&lt;IF($D$4="Forint",Paraméterek!$C$223,Paraméterek!$C$224),2,IF($AF135&lt;IF($D$4="Forint",Paraméterek!$D$223,Paraméterek!$D$224),3,4))),0),0)</f>
        <v>0</v>
      </c>
      <c r="AH135" s="13">
        <f>IF(AND($Z135&gt;=5,MOD($Z135,5)=0),IF($AA135=12,VLOOKUP($Z135,Paraméterek!$B$225:$F$240,5),0),IF(OR($Z135=3,$Z135=4),IF($AA135=12,VLOOKUP($Z135,Paraméterek!$B$225:$F$240,5,0),0),0))*$AF135</f>
        <v>0</v>
      </c>
      <c r="AI135" s="13">
        <f>ROUNDDOWN(IF(SUM($T$20:$U135)=0,IF($D$2="Egyszeri",$AH135,$AG135),0),IF($D$4="Forint",0,2))</f>
        <v>0</v>
      </c>
      <c r="AJ135" s="13">
        <f t="shared" si="27"/>
        <v>0</v>
      </c>
      <c r="AK135" s="13">
        <f t="shared" si="28"/>
        <v>0</v>
      </c>
      <c r="AM135" s="32">
        <v>116</v>
      </c>
      <c r="AN135" s="32">
        <v>10</v>
      </c>
      <c r="AO135" s="32">
        <v>8</v>
      </c>
      <c r="AP135" s="13"/>
      <c r="AQ135" s="32"/>
      <c r="AR135" s="13">
        <f t="shared" si="29"/>
        <v>0</v>
      </c>
      <c r="AS135" s="33"/>
      <c r="AT135" s="13">
        <f t="shared" si="23"/>
        <v>0</v>
      </c>
      <c r="AU135" s="13">
        <f>ROUNDUP(($AR135+$AT135)*VLOOKUP($AN135,Paraméterek!$P$38:$Q$38,2)/12,IF($D$4="Forint",0,2))</f>
        <v>0</v>
      </c>
      <c r="AV135" s="13"/>
      <c r="AW135" s="13"/>
      <c r="AX135" s="13">
        <f>ROUNDUP(IF(SUM($AV135:$AW135)=0,0,IF(IF(ISBLANK($AW135),$AV135,$AW135)*Paraméterek!$J$112&lt;IF($D$4="Forint",Paraméterek!$J$113,Paraméterek!$K$113),IF($D$4="Forint",Paraméterek!$J$113,Paraméterek!$K$113),IF(IF(ISBLANK($AW135),$AV135,$AW135)*Paraméterek!$J$112&gt;IF($D$4="Forint",Paraméterek!$J$114,Paraméterek!$K$114),IF($D$4="Forint",Paraméterek!$J$114,Paraméterek!$K$114),IF(ISBLANK($AW135),$AV135,$AW135)*Paraméterek!$J$112))),IF($D$4="Forint",0,2))</f>
        <v>0</v>
      </c>
      <c r="AY135" s="13">
        <f>$AR135+$AT135-$AU135-IF(ROUNDDOWN(IF(ISBLANK($AW135),$AV135,$AW135),IF($D$4="Forint",0,2))&gt;$AR135+$AT135-$AU135-IF($D$4="Forint",Paraméterek!$J$114,Paraméterek!$K$114),0,ROUNDDOWN(IF(ISBLANK($AW135),$AV135,$AW135),IF($D$4="Forint",0,2))-$AX135)</f>
        <v>0</v>
      </c>
      <c r="AZ135" s="13">
        <f t="shared" si="24"/>
        <v>0</v>
      </c>
    </row>
    <row r="136" spans="1:52" x14ac:dyDescent="0.2">
      <c r="A136" s="32">
        <v>117</v>
      </c>
      <c r="B136" s="32">
        <v>10</v>
      </c>
      <c r="C136" s="32">
        <v>9</v>
      </c>
      <c r="D136" s="13">
        <f t="shared" si="15"/>
        <v>0</v>
      </c>
      <c r="E136" s="13"/>
      <c r="F136" s="13"/>
      <c r="G136" s="13"/>
      <c r="H136" s="13">
        <f t="shared" si="16"/>
        <v>0</v>
      </c>
      <c r="I136" s="13">
        <f t="shared" si="17"/>
        <v>0</v>
      </c>
      <c r="J136" s="13">
        <f t="shared" si="18"/>
        <v>0</v>
      </c>
      <c r="K136" s="13">
        <f>ROUNDUP(IF($D$2="Egyszeri",$D136,IF($D$2="Havi",SUM($D$20:$D$31),IF(MOD($C136,$M$1)-1=0,SUM($D$20:$D$31),0))/12*$M$1)*VLOOKUP($B136,Paraméterek!$B$27:$D$30,IF($D$2="Egyszeri",3,2)),IF($D$4="Forint",0,2))</f>
        <v>0</v>
      </c>
      <c r="L136" s="13">
        <f t="shared" si="19"/>
        <v>0</v>
      </c>
      <c r="M136" s="13">
        <f t="shared" ca="1" si="25"/>
        <v>-63557</v>
      </c>
      <c r="N136" s="13">
        <f ca="1">IF($V135&gt;=VLOOKUP($M$4-1+$B136,Paraméterek!$B$121:$D$122,IF($D$4="Forint",2,3)),0,VLOOKUP($M$4-1+$B136,Paraméterek!$B$121:$D$122,IF($D$4="Forint",2,3))-$V135)</f>
        <v>73557</v>
      </c>
      <c r="O136" s="13">
        <f ca="1">ROUNDUP($N136*Paraméterek!$C$58/Paraméterek!$C$56,IF($D$4="Forint",0,2))</f>
        <v>12</v>
      </c>
      <c r="P136" s="13">
        <f t="shared" si="20"/>
        <v>718</v>
      </c>
      <c r="Q136" s="33"/>
      <c r="R136" s="13">
        <f t="shared" ca="1" si="21"/>
        <v>0</v>
      </c>
      <c r="S136" s="13">
        <f ca="1">ROUNDUP(($M136-$O136-$P136+$R136)*VLOOKUP($B136,Paraméterek!$B$38:$D$39,IF($D$2="Egyszeri",3,2))/12,IF($D$4="Forint",0,2))</f>
        <v>-175</v>
      </c>
      <c r="T136" s="13"/>
      <c r="U136" s="13"/>
      <c r="V136" s="13">
        <f ca="1">$M136-$O136-$P136+$R136-$S136-IF(ROUNDUP(IF(ISBLANK($U136),$T136,$U136)/IF(AND($B136=1,$D$2&lt;&gt;"Egyszeri"),1,VLOOKUP($B136+IF($C136=12,1,0),Paraméterek!$B$257:$D$267,IF($D$2="Egyszeri",3,2))),IF($D$4="Forint",0,2))&gt;$M136-$O136-$P136+$R136-$S136-IF($D$4="Forint",Paraméterek!$C$216,Paraméterek!$D$216),0,ROUNDUP(IF(ISBLANK($U136),$T136,$U136)/IF(AND($B136=1,$D$2&lt;&gt;"Egyszeri"),1,VLOOKUP($B136+IF($C136=12,1,0),Paraméterek!$B$257:$D$267,IF($D$2="Egyszeri",3,2))),IF($D$4="Forint",0,2)))</f>
        <v>-64112</v>
      </c>
      <c r="W136" s="13">
        <f ca="1">ROUNDDOWN($V136*VLOOKUP($B136+IF($C136=12,1,0),Paraméterek!$B$257:$D$267,IF($D$2="Egyszeri",3,2)),IF($D$4="Forint",0,2))</f>
        <v>-63470</v>
      </c>
      <c r="Y136" s="32">
        <v>117</v>
      </c>
      <c r="Z136" s="32">
        <v>10</v>
      </c>
      <c r="AA136" s="32">
        <v>9</v>
      </c>
      <c r="AB136" s="13">
        <f t="shared" si="26"/>
        <v>0</v>
      </c>
      <c r="AC136" s="33"/>
      <c r="AD136" s="13">
        <f t="shared" si="22"/>
        <v>0</v>
      </c>
      <c r="AE136" s="13">
        <f>ROUNDUP(($AB136+$AD136)*VLOOKUP($Z136,Paraméterek!$P$38:$Q$38,2)/12,IF($D$4="Forint",0,2))</f>
        <v>0</v>
      </c>
      <c r="AF136" s="13">
        <f>IF($D$2="Egyszeri",IF($D$7&gt;=IF($D$4="Forint",Paraméterek!$P$223,Paraméterek!$P$224),$D$7-IF($D$4="Forint",Paraméterek!$F$223,Paraméterek!$F$224),0),MIN(IF($AA136=12,AVERAGE($D$20:$D136)*12,0),SUM($D$20:$D$31)))</f>
        <v>0</v>
      </c>
      <c r="AG136" s="13">
        <f>IF(AND($Z136&gt;=10,MOD($Z136,5)=0),$AF136*IF($AA136=12,VLOOKUP($Z136,Paraméterek!$B$225:$F$240,IF($AF136&lt;IF($D$4="Forint",Paraméterek!$C$223,Paraméterek!$C$224),2,IF($AF136&lt;IF($D$4="Forint",Paraméterek!$D$223,Paraméterek!$D$224),3,4))),0),0)</f>
        <v>0</v>
      </c>
      <c r="AH136" s="13">
        <f>IF(AND($Z136&gt;=5,MOD($Z136,5)=0),IF($AA136=12,VLOOKUP($Z136,Paraméterek!$B$225:$F$240,5),0),IF(OR($Z136=3,$Z136=4),IF($AA136=12,VLOOKUP($Z136,Paraméterek!$B$225:$F$240,5,0),0),0))*$AF136</f>
        <v>0</v>
      </c>
      <c r="AI136" s="13">
        <f>ROUNDDOWN(IF(SUM($T$20:$U136)=0,IF($D$2="Egyszeri",$AH136,$AG136),0),IF($D$4="Forint",0,2))</f>
        <v>0</v>
      </c>
      <c r="AJ136" s="13">
        <f t="shared" si="27"/>
        <v>0</v>
      </c>
      <c r="AK136" s="13">
        <f t="shared" si="28"/>
        <v>0</v>
      </c>
      <c r="AM136" s="32">
        <v>117</v>
      </c>
      <c r="AN136" s="32">
        <v>10</v>
      </c>
      <c r="AO136" s="32">
        <v>9</v>
      </c>
      <c r="AP136" s="13"/>
      <c r="AQ136" s="32"/>
      <c r="AR136" s="13">
        <f t="shared" si="29"/>
        <v>0</v>
      </c>
      <c r="AS136" s="33"/>
      <c r="AT136" s="13">
        <f t="shared" si="23"/>
        <v>0</v>
      </c>
      <c r="AU136" s="13">
        <f>ROUNDUP(($AR136+$AT136)*VLOOKUP($AN136,Paraméterek!$P$38:$Q$38,2)/12,IF($D$4="Forint",0,2))</f>
        <v>0</v>
      </c>
      <c r="AV136" s="13"/>
      <c r="AW136" s="13"/>
      <c r="AX136" s="13">
        <f>ROUNDUP(IF(SUM($AV136:$AW136)=0,0,IF(IF(ISBLANK($AW136),$AV136,$AW136)*Paraméterek!$J$112&lt;IF($D$4="Forint",Paraméterek!$J$113,Paraméterek!$K$113),IF($D$4="Forint",Paraméterek!$J$113,Paraméterek!$K$113),IF(IF(ISBLANK($AW136),$AV136,$AW136)*Paraméterek!$J$112&gt;IF($D$4="Forint",Paraméterek!$J$114,Paraméterek!$K$114),IF($D$4="Forint",Paraméterek!$J$114,Paraméterek!$K$114),IF(ISBLANK($AW136),$AV136,$AW136)*Paraméterek!$J$112))),IF($D$4="Forint",0,2))</f>
        <v>0</v>
      </c>
      <c r="AY136" s="13">
        <f>$AR136+$AT136-$AU136-IF(ROUNDDOWN(IF(ISBLANK($AW136),$AV136,$AW136),IF($D$4="Forint",0,2))&gt;$AR136+$AT136-$AU136-IF($D$4="Forint",Paraméterek!$J$114,Paraméterek!$K$114),0,ROUNDDOWN(IF(ISBLANK($AW136),$AV136,$AW136),IF($D$4="Forint",0,2))-$AX136)</f>
        <v>0</v>
      </c>
      <c r="AZ136" s="13">
        <f t="shared" si="24"/>
        <v>0</v>
      </c>
    </row>
    <row r="137" spans="1:52" x14ac:dyDescent="0.2">
      <c r="A137" s="32">
        <v>118</v>
      </c>
      <c r="B137" s="32">
        <v>10</v>
      </c>
      <c r="C137" s="32">
        <v>10</v>
      </c>
      <c r="D137" s="13">
        <f t="shared" si="15"/>
        <v>0</v>
      </c>
      <c r="E137" s="13"/>
      <c r="F137" s="13"/>
      <c r="G137" s="13"/>
      <c r="H137" s="13">
        <f t="shared" si="16"/>
        <v>0</v>
      </c>
      <c r="I137" s="13">
        <f t="shared" si="17"/>
        <v>0</v>
      </c>
      <c r="J137" s="13">
        <f t="shared" si="18"/>
        <v>0</v>
      </c>
      <c r="K137" s="13">
        <f>ROUNDUP(IF($D$2="Egyszeri",$D137,IF($D$2="Havi",SUM($D$20:$D$31),IF(MOD($C137,$M$1)-1=0,SUM($D$20:$D$31),0))/12*$M$1)*VLOOKUP($B137,Paraméterek!$B$27:$D$30,IF($D$2="Egyszeri",3,2)),IF($D$4="Forint",0,2))</f>
        <v>0</v>
      </c>
      <c r="L137" s="13">
        <f t="shared" si="19"/>
        <v>0</v>
      </c>
      <c r="M137" s="13">
        <f t="shared" ca="1" si="25"/>
        <v>-64112</v>
      </c>
      <c r="N137" s="13">
        <f ca="1">IF($V136&gt;=VLOOKUP($M$4-1+$B137,Paraméterek!$B$121:$D$122,IF($D$4="Forint",2,3)),0,VLOOKUP($M$4-1+$B137,Paraméterek!$B$121:$D$122,IF($D$4="Forint",2,3))-$V136)</f>
        <v>74112</v>
      </c>
      <c r="O137" s="13">
        <f ca="1">ROUNDUP($N137*Paraméterek!$C$58/Paraméterek!$C$56,IF($D$4="Forint",0,2))</f>
        <v>12</v>
      </c>
      <c r="P137" s="13">
        <f t="shared" si="20"/>
        <v>718</v>
      </c>
      <c r="Q137" s="33"/>
      <c r="R137" s="13">
        <f t="shared" ca="1" si="21"/>
        <v>0</v>
      </c>
      <c r="S137" s="13">
        <f ca="1">ROUNDUP(($M137-$O137-$P137+$R137)*VLOOKUP($B137,Paraméterek!$B$38:$D$39,IF($D$2="Egyszeri",3,2))/12,IF($D$4="Forint",0,2))</f>
        <v>-176</v>
      </c>
      <c r="T137" s="13"/>
      <c r="U137" s="13"/>
      <c r="V137" s="13">
        <f ca="1">$M137-$O137-$P137+$R137-$S137-IF(ROUNDUP(IF(ISBLANK($U137),$T137,$U137)/IF(AND($B137=1,$D$2&lt;&gt;"Egyszeri"),1,VLOOKUP($B137+IF($C137=12,1,0),Paraméterek!$B$257:$D$267,IF($D$2="Egyszeri",3,2))),IF($D$4="Forint",0,2))&gt;$M137-$O137-$P137+$R137-$S137-IF($D$4="Forint",Paraméterek!$C$216,Paraméterek!$D$216),0,ROUNDUP(IF(ISBLANK($U137),$T137,$U137)/IF(AND($B137=1,$D$2&lt;&gt;"Egyszeri"),1,VLOOKUP($B137+IF($C137=12,1,0),Paraméterek!$B$257:$D$267,IF($D$2="Egyszeri",3,2))),IF($D$4="Forint",0,2)))</f>
        <v>-64666</v>
      </c>
      <c r="W137" s="13">
        <f ca="1">ROUNDDOWN($V137*VLOOKUP($B137+IF($C137=12,1,0),Paraméterek!$B$257:$D$267,IF($D$2="Egyszeri",3,2)),IF($D$4="Forint",0,2))</f>
        <v>-64019</v>
      </c>
      <c r="Y137" s="32">
        <v>118</v>
      </c>
      <c r="Z137" s="32">
        <v>10</v>
      </c>
      <c r="AA137" s="32">
        <v>10</v>
      </c>
      <c r="AB137" s="13">
        <f t="shared" si="26"/>
        <v>0</v>
      </c>
      <c r="AC137" s="33"/>
      <c r="AD137" s="13">
        <f t="shared" si="22"/>
        <v>0</v>
      </c>
      <c r="AE137" s="13">
        <f>ROUNDUP(($AB137+$AD137)*VLOOKUP($Z137,Paraméterek!$P$38:$Q$38,2)/12,IF($D$4="Forint",0,2))</f>
        <v>0</v>
      </c>
      <c r="AF137" s="13">
        <f>IF($D$2="Egyszeri",IF($D$7&gt;=IF($D$4="Forint",Paraméterek!$P$223,Paraméterek!$P$224),$D$7-IF($D$4="Forint",Paraméterek!$F$223,Paraméterek!$F$224),0),MIN(IF($AA137=12,AVERAGE($D$20:$D137)*12,0),SUM($D$20:$D$31)))</f>
        <v>0</v>
      </c>
      <c r="AG137" s="13">
        <f>IF(AND($Z137&gt;=10,MOD($Z137,5)=0),$AF137*IF($AA137=12,VLOOKUP($Z137,Paraméterek!$B$225:$F$240,IF($AF137&lt;IF($D$4="Forint",Paraméterek!$C$223,Paraméterek!$C$224),2,IF($AF137&lt;IF($D$4="Forint",Paraméterek!$D$223,Paraméterek!$D$224),3,4))),0),0)</f>
        <v>0</v>
      </c>
      <c r="AH137" s="13">
        <f>IF(AND($Z137&gt;=5,MOD($Z137,5)=0),IF($AA137=12,VLOOKUP($Z137,Paraméterek!$B$225:$F$240,5),0),IF(OR($Z137=3,$Z137=4),IF($AA137=12,VLOOKUP($Z137,Paraméterek!$B$225:$F$240,5,0),0),0))*$AF137</f>
        <v>0</v>
      </c>
      <c r="AI137" s="13">
        <f>ROUNDDOWN(IF(SUM($T$20:$U137)=0,IF($D$2="Egyszeri",$AH137,$AG137),0),IF($D$4="Forint",0,2))</f>
        <v>0</v>
      </c>
      <c r="AJ137" s="13">
        <f t="shared" si="27"/>
        <v>0</v>
      </c>
      <c r="AK137" s="13">
        <f t="shared" si="28"/>
        <v>0</v>
      </c>
      <c r="AM137" s="32">
        <v>118</v>
      </c>
      <c r="AN137" s="32">
        <v>10</v>
      </c>
      <c r="AO137" s="32">
        <v>10</v>
      </c>
      <c r="AP137" s="13"/>
      <c r="AQ137" s="32"/>
      <c r="AR137" s="13">
        <f t="shared" si="29"/>
        <v>0</v>
      </c>
      <c r="AS137" s="33"/>
      <c r="AT137" s="13">
        <f t="shared" si="23"/>
        <v>0</v>
      </c>
      <c r="AU137" s="13">
        <f>ROUNDUP(($AR137+$AT137)*VLOOKUP($AN137,Paraméterek!$P$38:$Q$38,2)/12,IF($D$4="Forint",0,2))</f>
        <v>0</v>
      </c>
      <c r="AV137" s="13"/>
      <c r="AW137" s="13"/>
      <c r="AX137" s="13">
        <f>ROUNDUP(IF(SUM($AV137:$AW137)=0,0,IF(IF(ISBLANK($AW137),$AV137,$AW137)*Paraméterek!$J$112&lt;IF($D$4="Forint",Paraméterek!$J$113,Paraméterek!$K$113),IF($D$4="Forint",Paraméterek!$J$113,Paraméterek!$K$113),IF(IF(ISBLANK($AW137),$AV137,$AW137)*Paraméterek!$J$112&gt;IF($D$4="Forint",Paraméterek!$J$114,Paraméterek!$K$114),IF($D$4="Forint",Paraméterek!$J$114,Paraméterek!$K$114),IF(ISBLANK($AW137),$AV137,$AW137)*Paraméterek!$J$112))),IF($D$4="Forint",0,2))</f>
        <v>0</v>
      </c>
      <c r="AY137" s="13">
        <f>$AR137+$AT137-$AU137-IF(ROUNDDOWN(IF(ISBLANK($AW137),$AV137,$AW137),IF($D$4="Forint",0,2))&gt;$AR137+$AT137-$AU137-IF($D$4="Forint",Paraméterek!$J$114,Paraméterek!$K$114),0,ROUNDDOWN(IF(ISBLANK($AW137),$AV137,$AW137),IF($D$4="Forint",0,2))-$AX137)</f>
        <v>0</v>
      </c>
      <c r="AZ137" s="13">
        <f t="shared" si="24"/>
        <v>0</v>
      </c>
    </row>
    <row r="138" spans="1:52" x14ac:dyDescent="0.2">
      <c r="A138" s="32">
        <v>119</v>
      </c>
      <c r="B138" s="32">
        <v>10</v>
      </c>
      <c r="C138" s="32">
        <v>11</v>
      </c>
      <c r="D138" s="13">
        <f t="shared" si="15"/>
        <v>0</v>
      </c>
      <c r="E138" s="13"/>
      <c r="F138" s="13"/>
      <c r="G138" s="13"/>
      <c r="H138" s="13">
        <f t="shared" si="16"/>
        <v>0</v>
      </c>
      <c r="I138" s="13">
        <f t="shared" si="17"/>
        <v>0</v>
      </c>
      <c r="J138" s="13">
        <f t="shared" si="18"/>
        <v>0</v>
      </c>
      <c r="K138" s="13">
        <f>ROUNDUP(IF($D$2="Egyszeri",$D138,IF($D$2="Havi",SUM($D$20:$D$31),IF(MOD($C138,$M$1)-1=0,SUM($D$20:$D$31),0))/12*$M$1)*VLOOKUP($B138,Paraméterek!$B$27:$D$30,IF($D$2="Egyszeri",3,2)),IF($D$4="Forint",0,2))</f>
        <v>0</v>
      </c>
      <c r="L138" s="13">
        <f t="shared" si="19"/>
        <v>0</v>
      </c>
      <c r="M138" s="13">
        <f t="shared" ca="1" si="25"/>
        <v>-64666</v>
      </c>
      <c r="N138" s="13">
        <f ca="1">IF($V137&gt;=VLOOKUP($M$4-1+$B138,Paraméterek!$B$121:$D$122,IF($D$4="Forint",2,3)),0,VLOOKUP($M$4-1+$B138,Paraméterek!$B$121:$D$122,IF($D$4="Forint",2,3))-$V137)</f>
        <v>74666</v>
      </c>
      <c r="O138" s="13">
        <f ca="1">ROUNDUP($N138*Paraméterek!$C$58/Paraméterek!$C$56,IF($D$4="Forint",0,2))</f>
        <v>12</v>
      </c>
      <c r="P138" s="13">
        <f t="shared" si="20"/>
        <v>718</v>
      </c>
      <c r="Q138" s="33"/>
      <c r="R138" s="13">
        <f t="shared" ca="1" si="21"/>
        <v>0</v>
      </c>
      <c r="S138" s="13">
        <f ca="1">ROUNDUP(($M138-$O138-$P138+$R138)*VLOOKUP($B138,Paraméterek!$B$38:$D$39,IF($D$2="Egyszeri",3,2))/12,IF($D$4="Forint",0,2))</f>
        <v>-178</v>
      </c>
      <c r="T138" s="13"/>
      <c r="U138" s="13"/>
      <c r="V138" s="13">
        <f ca="1">$M138-$O138-$P138+$R138-$S138-IF(ROUNDUP(IF(ISBLANK($U138),$T138,$U138)/IF(AND($B138=1,$D$2&lt;&gt;"Egyszeri"),1,VLOOKUP($B138+IF($C138=12,1,0),Paraméterek!$B$257:$D$267,IF($D$2="Egyszeri",3,2))),IF($D$4="Forint",0,2))&gt;$M138-$O138-$P138+$R138-$S138-IF($D$4="Forint",Paraméterek!$C$216,Paraméterek!$D$216),0,ROUNDUP(IF(ISBLANK($U138),$T138,$U138)/IF(AND($B138=1,$D$2&lt;&gt;"Egyszeri"),1,VLOOKUP($B138+IF($C138=12,1,0),Paraméterek!$B$257:$D$267,IF($D$2="Egyszeri",3,2))),IF($D$4="Forint",0,2)))</f>
        <v>-65218</v>
      </c>
      <c r="W138" s="13">
        <f ca="1">ROUNDDOWN($V138*VLOOKUP($B138+IF($C138=12,1,0),Paraméterek!$B$257:$D$267,IF($D$2="Egyszeri",3,2)),IF($D$4="Forint",0,2))</f>
        <v>-64565</v>
      </c>
      <c r="Y138" s="32">
        <v>119</v>
      </c>
      <c r="Z138" s="32">
        <v>10</v>
      </c>
      <c r="AA138" s="32">
        <v>11</v>
      </c>
      <c r="AB138" s="13">
        <f t="shared" si="26"/>
        <v>0</v>
      </c>
      <c r="AC138" s="33"/>
      <c r="AD138" s="13">
        <f t="shared" si="22"/>
        <v>0</v>
      </c>
      <c r="AE138" s="13">
        <f>ROUNDUP(($AB138+$AD138)*VLOOKUP($Z138,Paraméterek!$P$38:$Q$38,2)/12,IF($D$4="Forint",0,2))</f>
        <v>0</v>
      </c>
      <c r="AF138" s="13">
        <f>IF($D$2="Egyszeri",IF($D$7&gt;=IF($D$4="Forint",Paraméterek!$P$223,Paraméterek!$P$224),$D$7-IF($D$4="Forint",Paraméterek!$F$223,Paraméterek!$F$224),0),MIN(IF($AA138=12,AVERAGE($D$20:$D138)*12,0),SUM($D$20:$D$31)))</f>
        <v>0</v>
      </c>
      <c r="AG138" s="13">
        <f>IF(AND($Z138&gt;=10,MOD($Z138,5)=0),$AF138*IF($AA138=12,VLOOKUP($Z138,Paraméterek!$B$225:$F$240,IF($AF138&lt;IF($D$4="Forint",Paraméterek!$C$223,Paraméterek!$C$224),2,IF($AF138&lt;IF($D$4="Forint",Paraméterek!$D$223,Paraméterek!$D$224),3,4))),0),0)</f>
        <v>0</v>
      </c>
      <c r="AH138" s="13">
        <f>IF(AND($Z138&gt;=5,MOD($Z138,5)=0),IF($AA138=12,VLOOKUP($Z138,Paraméterek!$B$225:$F$240,5),0),IF(OR($Z138=3,$Z138=4),IF($AA138=12,VLOOKUP($Z138,Paraméterek!$B$225:$F$240,5,0),0),0))*$AF138</f>
        <v>0</v>
      </c>
      <c r="AI138" s="13">
        <f>ROUNDDOWN(IF(SUM($T$20:$U138)=0,IF($D$2="Egyszeri",$AH138,$AG138),0),IF($D$4="Forint",0,2))</f>
        <v>0</v>
      </c>
      <c r="AJ138" s="13">
        <f t="shared" si="27"/>
        <v>0</v>
      </c>
      <c r="AK138" s="13">
        <f t="shared" si="28"/>
        <v>0</v>
      </c>
      <c r="AM138" s="32">
        <v>119</v>
      </c>
      <c r="AN138" s="32">
        <v>10</v>
      </c>
      <c r="AO138" s="32">
        <v>11</v>
      </c>
      <c r="AP138" s="13"/>
      <c r="AQ138" s="32"/>
      <c r="AR138" s="13">
        <f t="shared" si="29"/>
        <v>0</v>
      </c>
      <c r="AS138" s="33"/>
      <c r="AT138" s="13">
        <f t="shared" si="23"/>
        <v>0</v>
      </c>
      <c r="AU138" s="13">
        <f>ROUNDUP(($AR138+$AT138)*VLOOKUP($AN138,Paraméterek!$P$38:$Q$38,2)/12,IF($D$4="Forint",0,2))</f>
        <v>0</v>
      </c>
      <c r="AV138" s="13"/>
      <c r="AW138" s="13"/>
      <c r="AX138" s="13">
        <f>ROUNDUP(IF(SUM($AV138:$AW138)=0,0,IF(IF(ISBLANK($AW138),$AV138,$AW138)*Paraméterek!$J$112&lt;IF($D$4="Forint",Paraméterek!$J$113,Paraméterek!$K$113),IF($D$4="Forint",Paraméterek!$J$113,Paraméterek!$K$113),IF(IF(ISBLANK($AW138),$AV138,$AW138)*Paraméterek!$J$112&gt;IF($D$4="Forint",Paraméterek!$J$114,Paraméterek!$K$114),IF($D$4="Forint",Paraméterek!$J$114,Paraméterek!$K$114),IF(ISBLANK($AW138),$AV138,$AW138)*Paraméterek!$J$112))),IF($D$4="Forint",0,2))</f>
        <v>0</v>
      </c>
      <c r="AY138" s="13">
        <f>$AR138+$AT138-$AU138-IF(ROUNDDOWN(IF(ISBLANK($AW138),$AV138,$AW138),IF($D$4="Forint",0,2))&gt;$AR138+$AT138-$AU138-IF($D$4="Forint",Paraméterek!$J$114,Paraméterek!$K$114),0,ROUNDDOWN(IF(ISBLANK($AW138),$AV138,$AW138),IF($D$4="Forint",0,2))-$AX138)</f>
        <v>0</v>
      </c>
      <c r="AZ138" s="13">
        <f t="shared" si="24"/>
        <v>0</v>
      </c>
    </row>
    <row r="139" spans="1:52" x14ac:dyDescent="0.2">
      <c r="A139" s="32">
        <v>120</v>
      </c>
      <c r="B139" s="32">
        <v>10</v>
      </c>
      <c r="C139" s="32">
        <v>12</v>
      </c>
      <c r="D139" s="13">
        <f t="shared" si="15"/>
        <v>0</v>
      </c>
      <c r="E139" s="13"/>
      <c r="F139" s="13"/>
      <c r="G139" s="13"/>
      <c r="H139" s="13">
        <f t="shared" si="16"/>
        <v>0</v>
      </c>
      <c r="I139" s="13">
        <f t="shared" si="17"/>
        <v>0</v>
      </c>
      <c r="J139" s="13">
        <f t="shared" si="18"/>
        <v>0</v>
      </c>
      <c r="K139" s="13">
        <f>ROUNDUP(IF($D$2="Egyszeri",$D139,IF($D$2="Havi",SUM($D$20:$D$31),IF(MOD($C139,$M$1)-1=0,SUM($D$20:$D$31),0))/12*$M$1)*VLOOKUP($B139,Paraméterek!$B$27:$D$30,IF($D$2="Egyszeri",3,2)),IF($D$4="Forint",0,2))</f>
        <v>0</v>
      </c>
      <c r="L139" s="13">
        <f t="shared" si="19"/>
        <v>0</v>
      </c>
      <c r="M139" s="13">
        <f t="shared" ca="1" si="25"/>
        <v>-65218</v>
      </c>
      <c r="N139" s="13">
        <f ca="1">IF($V138&gt;=VLOOKUP($M$4-1+$B139,Paraméterek!$B$121:$D$122,IF($D$4="Forint",2,3)),0,VLOOKUP($M$4-1+$B139,Paraméterek!$B$121:$D$122,IF($D$4="Forint",2,3))-$V138)</f>
        <v>75218</v>
      </c>
      <c r="O139" s="13">
        <f ca="1">ROUNDUP($N139*Paraméterek!$C$58/Paraméterek!$C$56,IF($D$4="Forint",0,2))</f>
        <v>12</v>
      </c>
      <c r="P139" s="13">
        <f t="shared" si="20"/>
        <v>718</v>
      </c>
      <c r="Q139" s="33"/>
      <c r="R139" s="13">
        <f t="shared" ca="1" si="21"/>
        <v>0</v>
      </c>
      <c r="S139" s="13">
        <f ca="1">ROUNDUP(($M139-$O139-$P139+$R139)*VLOOKUP($B139,Paraméterek!$B$38:$D$39,IF($D$2="Egyszeri",3,2))/12,IF($D$4="Forint",0,2))</f>
        <v>-179</v>
      </c>
      <c r="T139" s="13">
        <f>Tranzakciók!$F$41</f>
        <v>0</v>
      </c>
      <c r="U139" s="13"/>
      <c r="V139" s="13">
        <f ca="1">$M139-$O139-$P139+$R139-$S139-IF(ROUNDUP(IF(ISBLANK($U139),$T139,$U139)/IF(AND($B139=1,$D$2&lt;&gt;"Egyszeri"),1,VLOOKUP($B139+IF($C139=12,1,0),Paraméterek!$B$257:$D$267,IF($D$2="Egyszeri",3,2))),IF($D$4="Forint",0,2))&gt;$M139-$O139-$P139+$R139-$S139-IF($D$4="Forint",Paraméterek!$C$216,Paraméterek!$D$216),0,ROUNDUP(IF(ISBLANK($U139),$T139,$U139)/IF(AND($B139=1,$D$2&lt;&gt;"Egyszeri"),1,VLOOKUP($B139+IF($C139=12,1,0),Paraméterek!$B$257:$D$267,IF($D$2="Egyszeri",3,2))),IF($D$4="Forint",0,2)))</f>
        <v>-65769</v>
      </c>
      <c r="W139" s="13">
        <f ca="1">ROUNDDOWN($V139*VLOOKUP($B139+IF($C139=12,1,0),Paraméterek!$B$257:$D$267,IF($D$2="Egyszeri",3,2)),IF($D$4="Forint",0,2))</f>
        <v>-65769</v>
      </c>
      <c r="Y139" s="32">
        <v>120</v>
      </c>
      <c r="Z139" s="32">
        <v>10</v>
      </c>
      <c r="AA139" s="32">
        <v>12</v>
      </c>
      <c r="AB139" s="13">
        <f t="shared" si="26"/>
        <v>0</v>
      </c>
      <c r="AC139" s="33"/>
      <c r="AD139" s="13">
        <f t="shared" si="22"/>
        <v>0</v>
      </c>
      <c r="AE139" s="13">
        <f>ROUNDUP(($AB139+$AD139)*VLOOKUP($Z139,Paraméterek!$P$38:$Q$38,2)/12,IF($D$4="Forint",0,2))</f>
        <v>0</v>
      </c>
      <c r="AF139" s="13">
        <f>IF($D$2="Egyszeri",IF($D$7&gt;=IF($D$4="Forint",Paraméterek!$P$223,Paraméterek!$P$224),$D$7-IF($D$4="Forint",Paraméterek!$F$223,Paraméterek!$F$224),0),MIN(IF($AA139=12,AVERAGE($D$20:$D139)*12,0),SUM($D$20:$D$31)))</f>
        <v>0</v>
      </c>
      <c r="AG139" s="13">
        <f>IF(AND($Z139&gt;=10,MOD($Z139,5)=0),$AF139*IF($AA139=12,VLOOKUP($Z139,Paraméterek!$B$225:$F$240,IF($AF139&lt;IF($D$4="Forint",Paraméterek!$C$223,Paraméterek!$C$224),2,IF($AF139&lt;IF($D$4="Forint",Paraméterek!$D$223,Paraméterek!$D$224),3,4))),0),0)</f>
        <v>0</v>
      </c>
      <c r="AH139" s="13">
        <f>IF(AND($Z139&gt;=5,MOD($Z139,5)=0),IF($AA139=12,VLOOKUP($Z139,Paraméterek!$B$225:$F$240,5),0),IF(OR($Z139=3,$Z139=4),IF($AA139=12,VLOOKUP($Z139,Paraméterek!$B$225:$F$240,5,0),0),0))*$AF139</f>
        <v>0</v>
      </c>
      <c r="AI139" s="13">
        <f>ROUNDDOWN(IF(SUM($T$20:$U139)=0,IF($D$2="Egyszeri",$AH139,$AG139),0),IF($D$4="Forint",0,2))</f>
        <v>0</v>
      </c>
      <c r="AJ139" s="13">
        <f t="shared" si="27"/>
        <v>0</v>
      </c>
      <c r="AK139" s="13">
        <f t="shared" si="28"/>
        <v>0</v>
      </c>
      <c r="AM139" s="32">
        <v>120</v>
      </c>
      <c r="AN139" s="32">
        <v>10</v>
      </c>
      <c r="AO139" s="32">
        <v>12</v>
      </c>
      <c r="AP139" s="13"/>
      <c r="AQ139" s="32"/>
      <c r="AR139" s="13">
        <f t="shared" si="29"/>
        <v>0</v>
      </c>
      <c r="AS139" s="33"/>
      <c r="AT139" s="13">
        <f t="shared" si="23"/>
        <v>0</v>
      </c>
      <c r="AU139" s="13">
        <f>ROUNDUP(($AR139+$AT139)*VLOOKUP($AN139,Paraméterek!$P$38:$Q$38,2)/12,IF($D$4="Forint",0,2))</f>
        <v>0</v>
      </c>
      <c r="AV139" s="13">
        <f>Tranzakciók!$M$41</f>
        <v>0</v>
      </c>
      <c r="AW139" s="13"/>
      <c r="AX139" s="13">
        <f>ROUNDUP(IF(SUM($AV139:$AW139)=0,0,IF(IF(ISBLANK($AW139),$AV139,$AW139)*Paraméterek!$J$112&lt;IF($D$4="Forint",Paraméterek!$J$113,Paraméterek!$K$113),IF($D$4="Forint",Paraméterek!$J$113,Paraméterek!$K$113),IF(IF(ISBLANK($AW139),$AV139,$AW139)*Paraméterek!$J$112&gt;IF($D$4="Forint",Paraméterek!$J$114,Paraméterek!$K$114),IF($D$4="Forint",Paraméterek!$J$114,Paraméterek!$K$114),IF(ISBLANK($AW139),$AV139,$AW139)*Paraméterek!$J$112))),IF($D$4="Forint",0,2))</f>
        <v>0</v>
      </c>
      <c r="AY139" s="13">
        <f>$AR139+$AT139-$AU139-IF(ROUNDDOWN(IF(ISBLANK($AW139),$AV139,$AW139),IF($D$4="Forint",0,2))&gt;$AR139+$AT139-$AU139-IF($D$4="Forint",Paraméterek!$J$114,Paraméterek!$K$114),0,ROUNDDOWN(IF(ISBLANK($AW139),$AV139,$AW139),IF($D$4="Forint",0,2))-$AX139)</f>
        <v>0</v>
      </c>
      <c r="AZ139" s="13">
        <f t="shared" si="24"/>
        <v>0</v>
      </c>
    </row>
    <row r="140" spans="1:52" x14ac:dyDescent="0.2">
      <c r="A140" s="32">
        <v>121</v>
      </c>
      <c r="B140" s="32">
        <v>11</v>
      </c>
      <c r="C140" s="32">
        <v>1</v>
      </c>
      <c r="D140" s="13">
        <f t="shared" si="15"/>
        <v>0</v>
      </c>
      <c r="E140" s="13"/>
      <c r="F140" s="13">
        <f>Tranzakciók!$D$42</f>
        <v>0</v>
      </c>
      <c r="G140" s="13"/>
      <c r="H140" s="13">
        <f t="shared" si="16"/>
        <v>0</v>
      </c>
      <c r="I140" s="13">
        <f t="shared" si="17"/>
        <v>135</v>
      </c>
      <c r="J140" s="13">
        <f t="shared" si="18"/>
        <v>135</v>
      </c>
      <c r="K140" s="13">
        <f>ROUNDUP(IF($D$2="Egyszeri",$D140,IF($D$2="Havi",SUM($D$20:$D$31),IF(MOD($C140,$M$1)-1=0,SUM($D$20:$D$31),0))/12*$M$1)*VLOOKUP($B140,Paraméterek!$B$27:$D$30,IF($D$2="Egyszeri",3,2)),IF($D$4="Forint",0,2))</f>
        <v>0</v>
      </c>
      <c r="L140" s="13">
        <f t="shared" si="19"/>
        <v>0</v>
      </c>
      <c r="M140" s="13">
        <f t="shared" ca="1" si="25"/>
        <v>-65769</v>
      </c>
      <c r="N140" s="13">
        <f ca="1">IF($V139&gt;=VLOOKUP($M$4-1+$B140,Paraméterek!$B$121:$D$122,IF($D$4="Forint",2,3)),0,VLOOKUP($M$4-1+$B140,Paraméterek!$B$121:$D$122,IF($D$4="Forint",2,3))-$V139)</f>
        <v>75769</v>
      </c>
      <c r="O140" s="13">
        <f ca="1">ROUNDUP($N140*Paraméterek!$C$58/Paraméterek!$C$56,IF($D$4="Forint",0,2))</f>
        <v>13</v>
      </c>
      <c r="P140" s="13">
        <f t="shared" si="20"/>
        <v>740</v>
      </c>
      <c r="Q140" s="33"/>
      <c r="R140" s="13">
        <f t="shared" ca="1" si="21"/>
        <v>0</v>
      </c>
      <c r="S140" s="13">
        <f ca="1">ROUNDUP(($M140-$O140-$P140+$R140)*VLOOKUP($B140,Paraméterek!$B$38:$D$39,IF($D$2="Egyszeri",3,2))/12,IF($D$4="Forint",0,2))</f>
        <v>-181</v>
      </c>
      <c r="T140" s="13"/>
      <c r="U140" s="13"/>
      <c r="V140" s="13">
        <f ca="1">$M140-$O140-$P140+$R140-$S140-IF(ROUNDUP(IF(ISBLANK($U140),$T140,$U140)/IF(AND($B140=1,$D$2&lt;&gt;"Egyszeri"),1,VLOOKUP($B140+IF($C140=12,1,0),Paraméterek!$B$257:$D$267,IF($D$2="Egyszeri",3,2))),IF($D$4="Forint",0,2))&gt;$M140-$O140-$P140+$R140-$S140-IF($D$4="Forint",Paraméterek!$C$216,Paraméterek!$D$216),0,ROUNDUP(IF(ISBLANK($U140),$T140,$U140)/IF(AND($B140=1,$D$2&lt;&gt;"Egyszeri"),1,VLOOKUP($B140+IF($C140=12,1,0),Paraméterek!$B$257:$D$267,IF($D$2="Egyszeri",3,2))),IF($D$4="Forint",0,2)))</f>
        <v>-66341</v>
      </c>
      <c r="W140" s="13">
        <f ca="1">ROUNDDOWN($V140*VLOOKUP($B140+IF($C140=12,1,0),Paraméterek!$B$257:$D$267,IF($D$2="Egyszeri",3,2)),IF($D$4="Forint",0,2))</f>
        <v>-66341</v>
      </c>
      <c r="Y140" s="32">
        <v>121</v>
      </c>
      <c r="Z140" s="32">
        <v>11</v>
      </c>
      <c r="AA140" s="32">
        <v>1</v>
      </c>
      <c r="AB140" s="13">
        <f t="shared" si="26"/>
        <v>0</v>
      </c>
      <c r="AC140" s="33"/>
      <c r="AD140" s="13">
        <f t="shared" si="22"/>
        <v>0</v>
      </c>
      <c r="AE140" s="13">
        <f>ROUNDUP(($AB140+$AD140)*VLOOKUP($Z140,Paraméterek!$P$38:$Q$38,2)/12,IF($D$4="Forint",0,2))</f>
        <v>0</v>
      </c>
      <c r="AF140" s="13">
        <f>IF($D$2="Egyszeri",IF($D$7&gt;=IF($D$4="Forint",Paraméterek!$P$223,Paraméterek!$P$224),$D$7-IF($D$4="Forint",Paraméterek!$F$223,Paraméterek!$F$224),0),MIN(IF($AA140=12,AVERAGE($D$20:$D140)*12,0),SUM($D$20:$D$31)))</f>
        <v>0</v>
      </c>
      <c r="AG140" s="13">
        <f>IF(AND($Z140&gt;=10,MOD($Z140,5)=0),$AF140*IF($AA140=12,VLOOKUP($Z140,Paraméterek!$B$225:$F$240,IF($AF140&lt;IF($D$4="Forint",Paraméterek!$C$223,Paraméterek!$C$224),2,IF($AF140&lt;IF($D$4="Forint",Paraméterek!$D$223,Paraméterek!$D$224),3,4))),0),0)</f>
        <v>0</v>
      </c>
      <c r="AH140" s="13">
        <f>IF(AND($Z140&gt;=5,MOD($Z140,5)=0),IF($AA140=12,VLOOKUP($Z140,Paraméterek!$B$225:$F$240,5),0),IF(OR($Z140=3,$Z140=4),IF($AA140=12,VLOOKUP($Z140,Paraméterek!$B$225:$F$240,5,0),0),0))*$AF140</f>
        <v>0</v>
      </c>
      <c r="AI140" s="13">
        <f>ROUNDDOWN(IF(SUM($T$20:$U140)=0,IF($D$2="Egyszeri",$AH140,$AG140),0),IF($D$4="Forint",0,2))</f>
        <v>0</v>
      </c>
      <c r="AJ140" s="13">
        <f t="shared" si="27"/>
        <v>0</v>
      </c>
      <c r="AK140" s="13">
        <f t="shared" si="28"/>
        <v>0</v>
      </c>
      <c r="AM140" s="32">
        <v>121</v>
      </c>
      <c r="AN140" s="32">
        <v>11</v>
      </c>
      <c r="AO140" s="32">
        <v>1</v>
      </c>
      <c r="AP140" s="13">
        <f>Tranzakciók!$K$42</f>
        <v>0</v>
      </c>
      <c r="AQ140" s="32"/>
      <c r="AR140" s="13">
        <f t="shared" si="29"/>
        <v>0</v>
      </c>
      <c r="AS140" s="33"/>
      <c r="AT140" s="13">
        <f t="shared" si="23"/>
        <v>0</v>
      </c>
      <c r="AU140" s="13">
        <f>ROUNDUP(($AR140+$AT140)*VLOOKUP($AN140,Paraméterek!$P$38:$Q$38,2)/12,IF($D$4="Forint",0,2))</f>
        <v>0</v>
      </c>
      <c r="AV140" s="13"/>
      <c r="AW140" s="13"/>
      <c r="AX140" s="13">
        <f>ROUNDUP(IF(SUM($AV140:$AW140)=0,0,IF(IF(ISBLANK($AW140),$AV140,$AW140)*Paraméterek!$J$112&lt;IF($D$4="Forint",Paraméterek!$J$113,Paraméterek!$K$113),IF($D$4="Forint",Paraméterek!$J$113,Paraméterek!$K$113),IF(IF(ISBLANK($AW140),$AV140,$AW140)*Paraméterek!$J$112&gt;IF($D$4="Forint",Paraméterek!$J$114,Paraméterek!$K$114),IF($D$4="Forint",Paraméterek!$J$114,Paraméterek!$K$114),IF(ISBLANK($AW140),$AV140,$AW140)*Paraméterek!$J$112))),IF($D$4="Forint",0,2))</f>
        <v>0</v>
      </c>
      <c r="AY140" s="13">
        <f>$AR140+$AT140-$AU140-IF(ROUNDDOWN(IF(ISBLANK($AW140),$AV140,$AW140),IF($D$4="Forint",0,2))&gt;$AR140+$AT140-$AU140-IF($D$4="Forint",Paraméterek!$J$114,Paraméterek!$K$114),0,ROUNDDOWN(IF(ISBLANK($AW140),$AV140,$AW140),IF($D$4="Forint",0,2))-$AX140)</f>
        <v>0</v>
      </c>
      <c r="AZ140" s="13">
        <f t="shared" si="24"/>
        <v>0</v>
      </c>
    </row>
    <row r="141" spans="1:52" x14ac:dyDescent="0.2">
      <c r="A141" s="32">
        <v>122</v>
      </c>
      <c r="B141" s="32">
        <v>11</v>
      </c>
      <c r="C141" s="32">
        <v>2</v>
      </c>
      <c r="D141" s="13">
        <f t="shared" si="15"/>
        <v>0</v>
      </c>
      <c r="E141" s="13"/>
      <c r="F141" s="13"/>
      <c r="G141" s="13"/>
      <c r="H141" s="13">
        <f t="shared" si="16"/>
        <v>0</v>
      </c>
      <c r="I141" s="13">
        <f t="shared" si="17"/>
        <v>0</v>
      </c>
      <c r="J141" s="13">
        <f t="shared" si="18"/>
        <v>0</v>
      </c>
      <c r="K141" s="13">
        <f>ROUNDUP(IF($D$2="Egyszeri",$D141,IF($D$2="Havi",SUM($D$20:$D$31),IF(MOD($C141,$M$1)-1=0,SUM($D$20:$D$31),0))/12*$M$1)*VLOOKUP($B141,Paraméterek!$B$27:$D$30,IF($D$2="Egyszeri",3,2)),IF($D$4="Forint",0,2))</f>
        <v>0</v>
      </c>
      <c r="L141" s="13">
        <f t="shared" si="19"/>
        <v>0</v>
      </c>
      <c r="M141" s="13">
        <f t="shared" ca="1" si="25"/>
        <v>-66341</v>
      </c>
      <c r="N141" s="13">
        <f ca="1">IF($V140&gt;=VLOOKUP($M$4-1+$B141,Paraméterek!$B$121:$D$122,IF($D$4="Forint",2,3)),0,VLOOKUP($M$4-1+$B141,Paraméterek!$B$121:$D$122,IF($D$4="Forint",2,3))-$V140)</f>
        <v>76341</v>
      </c>
      <c r="O141" s="13">
        <f ca="1">ROUNDUP($N141*Paraméterek!$C$58/Paraméterek!$C$56,IF($D$4="Forint",0,2))</f>
        <v>13</v>
      </c>
      <c r="P141" s="13">
        <f t="shared" si="20"/>
        <v>740</v>
      </c>
      <c r="Q141" s="33"/>
      <c r="R141" s="13">
        <f t="shared" ca="1" si="21"/>
        <v>0</v>
      </c>
      <c r="S141" s="13">
        <f ca="1">ROUNDUP(($M141-$O141-$P141+$R141)*VLOOKUP($B141,Paraméterek!$B$38:$D$39,IF($D$2="Egyszeri",3,2))/12,IF($D$4="Forint",0,2))</f>
        <v>-182</v>
      </c>
      <c r="T141" s="13"/>
      <c r="U141" s="13"/>
      <c r="V141" s="13">
        <f ca="1">$M141-$O141-$P141+$R141-$S141-IF(ROUNDUP(IF(ISBLANK($U141),$T141,$U141)/IF(AND($B141=1,$D$2&lt;&gt;"Egyszeri"),1,VLOOKUP($B141+IF($C141=12,1,0),Paraméterek!$B$257:$D$267,IF($D$2="Egyszeri",3,2))),IF($D$4="Forint",0,2))&gt;$M141-$O141-$P141+$R141-$S141-IF($D$4="Forint",Paraméterek!$C$216,Paraméterek!$D$216),0,ROUNDUP(IF(ISBLANK($U141),$T141,$U141)/IF(AND($B141=1,$D$2&lt;&gt;"Egyszeri"),1,VLOOKUP($B141+IF($C141=12,1,0),Paraméterek!$B$257:$D$267,IF($D$2="Egyszeri",3,2))),IF($D$4="Forint",0,2)))</f>
        <v>-66912</v>
      </c>
      <c r="W141" s="13">
        <f ca="1">ROUNDDOWN($V141*VLOOKUP($B141+IF($C141=12,1,0),Paraméterek!$B$257:$D$267,IF($D$2="Egyszeri",3,2)),IF($D$4="Forint",0,2))</f>
        <v>-66912</v>
      </c>
      <c r="Y141" s="32">
        <v>122</v>
      </c>
      <c r="Z141" s="32">
        <v>11</v>
      </c>
      <c r="AA141" s="32">
        <v>2</v>
      </c>
      <c r="AB141" s="13">
        <f t="shared" si="26"/>
        <v>0</v>
      </c>
      <c r="AC141" s="33"/>
      <c r="AD141" s="13">
        <f t="shared" si="22"/>
        <v>0</v>
      </c>
      <c r="AE141" s="13">
        <f>ROUNDUP(($AB141+$AD141)*VLOOKUP($Z141,Paraméterek!$P$38:$Q$38,2)/12,IF($D$4="Forint",0,2))</f>
        <v>0</v>
      </c>
      <c r="AF141" s="13">
        <f>IF($D$2="Egyszeri",IF($D$7&gt;=IF($D$4="Forint",Paraméterek!$P$223,Paraméterek!$P$224),$D$7-IF($D$4="Forint",Paraméterek!$F$223,Paraméterek!$F$224),0),MIN(IF($AA141=12,AVERAGE($D$20:$D141)*12,0),SUM($D$20:$D$31)))</f>
        <v>0</v>
      </c>
      <c r="AG141" s="13">
        <f>IF(AND($Z141&gt;=10,MOD($Z141,5)=0),$AF141*IF($AA141=12,VLOOKUP($Z141,Paraméterek!$B$225:$F$240,IF($AF141&lt;IF($D$4="Forint",Paraméterek!$C$223,Paraméterek!$C$224),2,IF($AF141&lt;IF($D$4="Forint",Paraméterek!$D$223,Paraméterek!$D$224),3,4))),0),0)</f>
        <v>0</v>
      </c>
      <c r="AH141" s="13">
        <f>IF(AND($Z141&gt;=5,MOD($Z141,5)=0),IF($AA141=12,VLOOKUP($Z141,Paraméterek!$B$225:$F$240,5),0),IF(OR($Z141=3,$Z141=4),IF($AA141=12,VLOOKUP($Z141,Paraméterek!$B$225:$F$240,5,0),0),0))*$AF141</f>
        <v>0</v>
      </c>
      <c r="AI141" s="13">
        <f>ROUNDDOWN(IF(SUM($T$20:$U141)=0,IF($D$2="Egyszeri",$AH141,$AG141),0),IF($D$4="Forint",0,2))</f>
        <v>0</v>
      </c>
      <c r="AJ141" s="13">
        <f t="shared" si="27"/>
        <v>0</v>
      </c>
      <c r="AK141" s="13">
        <f t="shared" si="28"/>
        <v>0</v>
      </c>
      <c r="AM141" s="32">
        <v>122</v>
      </c>
      <c r="AN141" s="32">
        <v>11</v>
      </c>
      <c r="AO141" s="32">
        <v>2</v>
      </c>
      <c r="AP141" s="13"/>
      <c r="AQ141" s="32"/>
      <c r="AR141" s="13">
        <f t="shared" si="29"/>
        <v>0</v>
      </c>
      <c r="AS141" s="33"/>
      <c r="AT141" s="13">
        <f t="shared" si="23"/>
        <v>0</v>
      </c>
      <c r="AU141" s="13">
        <f>ROUNDUP(($AR141+$AT141)*VLOOKUP($AN141,Paraméterek!$P$38:$Q$38,2)/12,IF($D$4="Forint",0,2))</f>
        <v>0</v>
      </c>
      <c r="AV141" s="13"/>
      <c r="AW141" s="13"/>
      <c r="AX141" s="13">
        <f>ROUNDUP(IF(SUM($AV141:$AW141)=0,0,IF(IF(ISBLANK($AW141),$AV141,$AW141)*Paraméterek!$J$112&lt;IF($D$4="Forint",Paraméterek!$J$113,Paraméterek!$K$113),IF($D$4="Forint",Paraméterek!$J$113,Paraméterek!$K$113),IF(IF(ISBLANK($AW141),$AV141,$AW141)*Paraméterek!$J$112&gt;IF($D$4="Forint",Paraméterek!$J$114,Paraméterek!$K$114),IF($D$4="Forint",Paraméterek!$J$114,Paraméterek!$K$114),IF(ISBLANK($AW141),$AV141,$AW141)*Paraméterek!$J$112))),IF($D$4="Forint",0,2))</f>
        <v>0</v>
      </c>
      <c r="AY141" s="13">
        <f>$AR141+$AT141-$AU141-IF(ROUNDDOWN(IF(ISBLANK($AW141),$AV141,$AW141),IF($D$4="Forint",0,2))&gt;$AR141+$AT141-$AU141-IF($D$4="Forint",Paraméterek!$J$114,Paraméterek!$K$114),0,ROUNDDOWN(IF(ISBLANK($AW141),$AV141,$AW141),IF($D$4="Forint",0,2))-$AX141)</f>
        <v>0</v>
      </c>
      <c r="AZ141" s="13">
        <f t="shared" si="24"/>
        <v>0</v>
      </c>
    </row>
    <row r="142" spans="1:52" x14ac:dyDescent="0.2">
      <c r="A142" s="32">
        <v>123</v>
      </c>
      <c r="B142" s="32">
        <v>11</v>
      </c>
      <c r="C142" s="32">
        <v>3</v>
      </c>
      <c r="D142" s="13">
        <f t="shared" si="15"/>
        <v>0</v>
      </c>
      <c r="E142" s="13"/>
      <c r="F142" s="13"/>
      <c r="G142" s="13"/>
      <c r="H142" s="13">
        <f t="shared" si="16"/>
        <v>0</v>
      </c>
      <c r="I142" s="13">
        <f t="shared" si="17"/>
        <v>0</v>
      </c>
      <c r="J142" s="13">
        <f t="shared" si="18"/>
        <v>0</v>
      </c>
      <c r="K142" s="13">
        <f>ROUNDUP(IF($D$2="Egyszeri",$D142,IF($D$2="Havi",SUM($D$20:$D$31),IF(MOD($C142,$M$1)-1=0,SUM($D$20:$D$31),0))/12*$M$1)*VLOOKUP($B142,Paraméterek!$B$27:$D$30,IF($D$2="Egyszeri",3,2)),IF($D$4="Forint",0,2))</f>
        <v>0</v>
      </c>
      <c r="L142" s="13">
        <f t="shared" si="19"/>
        <v>0</v>
      </c>
      <c r="M142" s="13">
        <f t="shared" ca="1" si="25"/>
        <v>-66912</v>
      </c>
      <c r="N142" s="13">
        <f ca="1">IF($V141&gt;=VLOOKUP($M$4-1+$B142,Paraméterek!$B$121:$D$122,IF($D$4="Forint",2,3)),0,VLOOKUP($M$4-1+$B142,Paraméterek!$B$121:$D$122,IF($D$4="Forint",2,3))-$V141)</f>
        <v>76912</v>
      </c>
      <c r="O142" s="13">
        <f ca="1">ROUNDUP($N142*Paraméterek!$C$58/Paraméterek!$C$56,IF($D$4="Forint",0,2))</f>
        <v>13</v>
      </c>
      <c r="P142" s="13">
        <f t="shared" si="20"/>
        <v>740</v>
      </c>
      <c r="Q142" s="33"/>
      <c r="R142" s="13">
        <f t="shared" ca="1" si="21"/>
        <v>0</v>
      </c>
      <c r="S142" s="13">
        <f ca="1">ROUNDUP(($M142-$O142-$P142+$R142)*VLOOKUP($B142,Paraméterek!$B$38:$D$39,IF($D$2="Egyszeri",3,2))/12,IF($D$4="Forint",0,2))</f>
        <v>-184</v>
      </c>
      <c r="T142" s="13"/>
      <c r="U142" s="13"/>
      <c r="V142" s="13">
        <f ca="1">$M142-$O142-$P142+$R142-$S142-IF(ROUNDUP(IF(ISBLANK($U142),$T142,$U142)/IF(AND($B142=1,$D$2&lt;&gt;"Egyszeri"),1,VLOOKUP($B142+IF($C142=12,1,0),Paraméterek!$B$257:$D$267,IF($D$2="Egyszeri",3,2))),IF($D$4="Forint",0,2))&gt;$M142-$O142-$P142+$R142-$S142-IF($D$4="Forint",Paraméterek!$C$216,Paraméterek!$D$216),0,ROUNDUP(IF(ISBLANK($U142),$T142,$U142)/IF(AND($B142=1,$D$2&lt;&gt;"Egyszeri"),1,VLOOKUP($B142+IF($C142=12,1,0),Paraméterek!$B$257:$D$267,IF($D$2="Egyszeri",3,2))),IF($D$4="Forint",0,2)))</f>
        <v>-67481</v>
      </c>
      <c r="W142" s="13">
        <f ca="1">ROUNDDOWN($V142*VLOOKUP($B142+IF($C142=12,1,0),Paraméterek!$B$257:$D$267,IF($D$2="Egyszeri",3,2)),IF($D$4="Forint",0,2))</f>
        <v>-67481</v>
      </c>
      <c r="Y142" s="32">
        <v>123</v>
      </c>
      <c r="Z142" s="32">
        <v>11</v>
      </c>
      <c r="AA142" s="32">
        <v>3</v>
      </c>
      <c r="AB142" s="13">
        <f t="shared" si="26"/>
        <v>0</v>
      </c>
      <c r="AC142" s="33"/>
      <c r="AD142" s="13">
        <f t="shared" si="22"/>
        <v>0</v>
      </c>
      <c r="AE142" s="13">
        <f>ROUNDUP(($AB142+$AD142)*VLOOKUP($Z142,Paraméterek!$P$38:$Q$38,2)/12,IF($D$4="Forint",0,2))</f>
        <v>0</v>
      </c>
      <c r="AF142" s="13">
        <f>IF($D$2="Egyszeri",IF($D$7&gt;=IF($D$4="Forint",Paraméterek!$P$223,Paraméterek!$P$224),$D$7-IF($D$4="Forint",Paraméterek!$F$223,Paraméterek!$F$224),0),MIN(IF($AA142=12,AVERAGE($D$20:$D142)*12,0),SUM($D$20:$D$31)))</f>
        <v>0</v>
      </c>
      <c r="AG142" s="13">
        <f>IF(AND($Z142&gt;=10,MOD($Z142,5)=0),$AF142*IF($AA142=12,VLOOKUP($Z142,Paraméterek!$B$225:$F$240,IF($AF142&lt;IF($D$4="Forint",Paraméterek!$C$223,Paraméterek!$C$224),2,IF($AF142&lt;IF($D$4="Forint",Paraméterek!$D$223,Paraméterek!$D$224),3,4))),0),0)</f>
        <v>0</v>
      </c>
      <c r="AH142" s="13">
        <f>IF(AND($Z142&gt;=5,MOD($Z142,5)=0),IF($AA142=12,VLOOKUP($Z142,Paraméterek!$B$225:$F$240,5),0),IF(OR($Z142=3,$Z142=4),IF($AA142=12,VLOOKUP($Z142,Paraméterek!$B$225:$F$240,5,0),0),0))*$AF142</f>
        <v>0</v>
      </c>
      <c r="AI142" s="13">
        <f>ROUNDDOWN(IF(SUM($T$20:$U142)=0,IF($D$2="Egyszeri",$AH142,$AG142),0),IF($D$4="Forint",0,2))</f>
        <v>0</v>
      </c>
      <c r="AJ142" s="13">
        <f t="shared" si="27"/>
        <v>0</v>
      </c>
      <c r="AK142" s="13">
        <f t="shared" si="28"/>
        <v>0</v>
      </c>
      <c r="AM142" s="32">
        <v>123</v>
      </c>
      <c r="AN142" s="32">
        <v>11</v>
      </c>
      <c r="AO142" s="32">
        <v>3</v>
      </c>
      <c r="AP142" s="13"/>
      <c r="AQ142" s="32"/>
      <c r="AR142" s="13">
        <f t="shared" si="29"/>
        <v>0</v>
      </c>
      <c r="AS142" s="33"/>
      <c r="AT142" s="13">
        <f t="shared" si="23"/>
        <v>0</v>
      </c>
      <c r="AU142" s="13">
        <f>ROUNDUP(($AR142+$AT142)*VLOOKUP($AN142,Paraméterek!$P$38:$Q$38,2)/12,IF($D$4="Forint",0,2))</f>
        <v>0</v>
      </c>
      <c r="AV142" s="13"/>
      <c r="AW142" s="13"/>
      <c r="AX142" s="13">
        <f>ROUNDUP(IF(SUM($AV142:$AW142)=0,0,IF(IF(ISBLANK($AW142),$AV142,$AW142)*Paraméterek!$J$112&lt;IF($D$4="Forint",Paraméterek!$J$113,Paraméterek!$K$113),IF($D$4="Forint",Paraméterek!$J$113,Paraméterek!$K$113),IF(IF(ISBLANK($AW142),$AV142,$AW142)*Paraméterek!$J$112&gt;IF($D$4="Forint",Paraméterek!$J$114,Paraméterek!$K$114),IF($D$4="Forint",Paraméterek!$J$114,Paraméterek!$K$114),IF(ISBLANK($AW142),$AV142,$AW142)*Paraméterek!$J$112))),IF($D$4="Forint",0,2))</f>
        <v>0</v>
      </c>
      <c r="AY142" s="13">
        <f>$AR142+$AT142-$AU142-IF(ROUNDDOWN(IF(ISBLANK($AW142),$AV142,$AW142),IF($D$4="Forint",0,2))&gt;$AR142+$AT142-$AU142-IF($D$4="Forint",Paraméterek!$J$114,Paraméterek!$K$114),0,ROUNDDOWN(IF(ISBLANK($AW142),$AV142,$AW142),IF($D$4="Forint",0,2))-$AX142)</f>
        <v>0</v>
      </c>
      <c r="AZ142" s="13">
        <f t="shared" si="24"/>
        <v>0</v>
      </c>
    </row>
    <row r="143" spans="1:52" x14ac:dyDescent="0.2">
      <c r="A143" s="32">
        <v>124</v>
      </c>
      <c r="B143" s="32">
        <v>11</v>
      </c>
      <c r="C143" s="32">
        <v>4</v>
      </c>
      <c r="D143" s="13">
        <f t="shared" si="15"/>
        <v>0</v>
      </c>
      <c r="E143" s="13"/>
      <c r="F143" s="13"/>
      <c r="G143" s="13"/>
      <c r="H143" s="13">
        <f t="shared" si="16"/>
        <v>0</v>
      </c>
      <c r="I143" s="13">
        <f t="shared" si="17"/>
        <v>0</v>
      </c>
      <c r="J143" s="13">
        <f t="shared" si="18"/>
        <v>0</v>
      </c>
      <c r="K143" s="13">
        <f>ROUNDUP(IF($D$2="Egyszeri",$D143,IF($D$2="Havi",SUM($D$20:$D$31),IF(MOD($C143,$M$1)-1=0,SUM($D$20:$D$31),0))/12*$M$1)*VLOOKUP($B143,Paraméterek!$B$27:$D$30,IF($D$2="Egyszeri",3,2)),IF($D$4="Forint",0,2))</f>
        <v>0</v>
      </c>
      <c r="L143" s="13">
        <f t="shared" si="19"/>
        <v>0</v>
      </c>
      <c r="M143" s="13">
        <f t="shared" ca="1" si="25"/>
        <v>-67481</v>
      </c>
      <c r="N143" s="13">
        <f ca="1">IF($V142&gt;=VLOOKUP($M$4-1+$B143,Paraméterek!$B$121:$D$122,IF($D$4="Forint",2,3)),0,VLOOKUP($M$4-1+$B143,Paraméterek!$B$121:$D$122,IF($D$4="Forint",2,3))-$V142)</f>
        <v>77481</v>
      </c>
      <c r="O143" s="13">
        <f ca="1">ROUNDUP($N143*Paraméterek!$C$58/Paraméterek!$C$56,IF($D$4="Forint",0,2))</f>
        <v>13</v>
      </c>
      <c r="P143" s="13">
        <f t="shared" si="20"/>
        <v>740</v>
      </c>
      <c r="Q143" s="33"/>
      <c r="R143" s="13">
        <f t="shared" ca="1" si="21"/>
        <v>0</v>
      </c>
      <c r="S143" s="13">
        <f ca="1">ROUNDUP(($M143-$O143-$P143+$R143)*VLOOKUP($B143,Paraméterek!$B$38:$D$39,IF($D$2="Egyszeri",3,2))/12,IF($D$4="Forint",0,2))</f>
        <v>-185</v>
      </c>
      <c r="T143" s="13"/>
      <c r="U143" s="13"/>
      <c r="V143" s="13">
        <f ca="1">$M143-$O143-$P143+$R143-$S143-IF(ROUNDUP(IF(ISBLANK($U143),$T143,$U143)/IF(AND($B143=1,$D$2&lt;&gt;"Egyszeri"),1,VLOOKUP($B143+IF($C143=12,1,0),Paraméterek!$B$257:$D$267,IF($D$2="Egyszeri",3,2))),IF($D$4="Forint",0,2))&gt;$M143-$O143-$P143+$R143-$S143-IF($D$4="Forint",Paraméterek!$C$216,Paraméterek!$D$216),0,ROUNDUP(IF(ISBLANK($U143),$T143,$U143)/IF(AND($B143=1,$D$2&lt;&gt;"Egyszeri"),1,VLOOKUP($B143+IF($C143=12,1,0),Paraméterek!$B$257:$D$267,IF($D$2="Egyszeri",3,2))),IF($D$4="Forint",0,2)))</f>
        <v>-68049</v>
      </c>
      <c r="W143" s="13">
        <f ca="1">ROUNDDOWN($V143*VLOOKUP($B143+IF($C143=12,1,0),Paraméterek!$B$257:$D$267,IF($D$2="Egyszeri",3,2)),IF($D$4="Forint",0,2))</f>
        <v>-68049</v>
      </c>
      <c r="Y143" s="32">
        <v>124</v>
      </c>
      <c r="Z143" s="32">
        <v>11</v>
      </c>
      <c r="AA143" s="32">
        <v>4</v>
      </c>
      <c r="AB143" s="13">
        <f t="shared" si="26"/>
        <v>0</v>
      </c>
      <c r="AC143" s="33"/>
      <c r="AD143" s="13">
        <f t="shared" si="22"/>
        <v>0</v>
      </c>
      <c r="AE143" s="13">
        <f>ROUNDUP(($AB143+$AD143)*VLOOKUP($Z143,Paraméterek!$P$38:$Q$38,2)/12,IF($D$4="Forint",0,2))</f>
        <v>0</v>
      </c>
      <c r="AF143" s="13">
        <f>IF($D$2="Egyszeri",IF($D$7&gt;=IF($D$4="Forint",Paraméterek!$P$223,Paraméterek!$P$224),$D$7-IF($D$4="Forint",Paraméterek!$F$223,Paraméterek!$F$224),0),MIN(IF($AA143=12,AVERAGE($D$20:$D143)*12,0),SUM($D$20:$D$31)))</f>
        <v>0</v>
      </c>
      <c r="AG143" s="13">
        <f>IF(AND($Z143&gt;=10,MOD($Z143,5)=0),$AF143*IF($AA143=12,VLOOKUP($Z143,Paraméterek!$B$225:$F$240,IF($AF143&lt;IF($D$4="Forint",Paraméterek!$C$223,Paraméterek!$C$224),2,IF($AF143&lt;IF($D$4="Forint",Paraméterek!$D$223,Paraméterek!$D$224),3,4))),0),0)</f>
        <v>0</v>
      </c>
      <c r="AH143" s="13">
        <f>IF(AND($Z143&gt;=5,MOD($Z143,5)=0),IF($AA143=12,VLOOKUP($Z143,Paraméterek!$B$225:$F$240,5),0),IF(OR($Z143=3,$Z143=4),IF($AA143=12,VLOOKUP($Z143,Paraméterek!$B$225:$F$240,5,0),0),0))*$AF143</f>
        <v>0</v>
      </c>
      <c r="AI143" s="13">
        <f>ROUNDDOWN(IF(SUM($T$20:$U143)=0,IF($D$2="Egyszeri",$AH143,$AG143),0),IF($D$4="Forint",0,2))</f>
        <v>0</v>
      </c>
      <c r="AJ143" s="13">
        <f t="shared" si="27"/>
        <v>0</v>
      </c>
      <c r="AK143" s="13">
        <f t="shared" si="28"/>
        <v>0</v>
      </c>
      <c r="AM143" s="32">
        <v>124</v>
      </c>
      <c r="AN143" s="32">
        <v>11</v>
      </c>
      <c r="AO143" s="32">
        <v>4</v>
      </c>
      <c r="AP143" s="13"/>
      <c r="AQ143" s="32"/>
      <c r="AR143" s="13">
        <f t="shared" si="29"/>
        <v>0</v>
      </c>
      <c r="AS143" s="33"/>
      <c r="AT143" s="13">
        <f t="shared" si="23"/>
        <v>0</v>
      </c>
      <c r="AU143" s="13">
        <f>ROUNDUP(($AR143+$AT143)*VLOOKUP($AN143,Paraméterek!$P$38:$Q$38,2)/12,IF($D$4="Forint",0,2))</f>
        <v>0</v>
      </c>
      <c r="AV143" s="13"/>
      <c r="AW143" s="13"/>
      <c r="AX143" s="13">
        <f>ROUNDUP(IF(SUM($AV143:$AW143)=0,0,IF(IF(ISBLANK($AW143),$AV143,$AW143)*Paraméterek!$J$112&lt;IF($D$4="Forint",Paraméterek!$J$113,Paraméterek!$K$113),IF($D$4="Forint",Paraméterek!$J$113,Paraméterek!$K$113),IF(IF(ISBLANK($AW143),$AV143,$AW143)*Paraméterek!$J$112&gt;IF($D$4="Forint",Paraméterek!$J$114,Paraméterek!$K$114),IF($D$4="Forint",Paraméterek!$J$114,Paraméterek!$K$114),IF(ISBLANK($AW143),$AV143,$AW143)*Paraméterek!$J$112))),IF($D$4="Forint",0,2))</f>
        <v>0</v>
      </c>
      <c r="AY143" s="13">
        <f>$AR143+$AT143-$AU143-IF(ROUNDDOWN(IF(ISBLANK($AW143),$AV143,$AW143),IF($D$4="Forint",0,2))&gt;$AR143+$AT143-$AU143-IF($D$4="Forint",Paraméterek!$J$114,Paraméterek!$K$114),0,ROUNDDOWN(IF(ISBLANK($AW143),$AV143,$AW143),IF($D$4="Forint",0,2))-$AX143)</f>
        <v>0</v>
      </c>
      <c r="AZ143" s="13">
        <f t="shared" si="24"/>
        <v>0</v>
      </c>
    </row>
    <row r="144" spans="1:52" x14ac:dyDescent="0.2">
      <c r="A144" s="32">
        <v>125</v>
      </c>
      <c r="B144" s="32">
        <v>11</v>
      </c>
      <c r="C144" s="32">
        <v>5</v>
      </c>
      <c r="D144" s="13">
        <f t="shared" si="15"/>
        <v>0</v>
      </c>
      <c r="E144" s="13"/>
      <c r="F144" s="13"/>
      <c r="G144" s="13"/>
      <c r="H144" s="13">
        <f t="shared" si="16"/>
        <v>0</v>
      </c>
      <c r="I144" s="13">
        <f t="shared" si="17"/>
        <v>0</v>
      </c>
      <c r="J144" s="13">
        <f t="shared" si="18"/>
        <v>0</v>
      </c>
      <c r="K144" s="13">
        <f>ROUNDUP(IF($D$2="Egyszeri",$D144,IF($D$2="Havi",SUM($D$20:$D$31),IF(MOD($C144,$M$1)-1=0,SUM($D$20:$D$31),0))/12*$M$1)*VLOOKUP($B144,Paraméterek!$B$27:$D$30,IF($D$2="Egyszeri",3,2)),IF($D$4="Forint",0,2))</f>
        <v>0</v>
      </c>
      <c r="L144" s="13">
        <f t="shared" si="19"/>
        <v>0</v>
      </c>
      <c r="M144" s="13">
        <f t="shared" ca="1" si="25"/>
        <v>-68049</v>
      </c>
      <c r="N144" s="13">
        <f ca="1">IF($V143&gt;=VLOOKUP($M$4-1+$B144,Paraméterek!$B$121:$D$122,IF($D$4="Forint",2,3)),0,VLOOKUP($M$4-1+$B144,Paraméterek!$B$121:$D$122,IF($D$4="Forint",2,3))-$V143)</f>
        <v>78049</v>
      </c>
      <c r="O144" s="13">
        <f ca="1">ROUNDUP($N144*Paraméterek!$C$58/Paraméterek!$C$56,IF($D$4="Forint",0,2))</f>
        <v>13</v>
      </c>
      <c r="P144" s="13">
        <f t="shared" si="20"/>
        <v>740</v>
      </c>
      <c r="Q144" s="33"/>
      <c r="R144" s="13">
        <f t="shared" ca="1" si="21"/>
        <v>0</v>
      </c>
      <c r="S144" s="13">
        <f ca="1">ROUNDUP(($M144-$O144-$P144+$R144)*VLOOKUP($B144,Paraméterek!$B$38:$D$39,IF($D$2="Egyszeri",3,2))/12,IF($D$4="Forint",0,2))</f>
        <v>-187</v>
      </c>
      <c r="T144" s="13"/>
      <c r="U144" s="13"/>
      <c r="V144" s="13">
        <f ca="1">$M144-$O144-$P144+$R144-$S144-IF(ROUNDUP(IF(ISBLANK($U144),$T144,$U144)/IF(AND($B144=1,$D$2&lt;&gt;"Egyszeri"),1,VLOOKUP($B144+IF($C144=12,1,0),Paraméterek!$B$257:$D$267,IF($D$2="Egyszeri",3,2))),IF($D$4="Forint",0,2))&gt;$M144-$O144-$P144+$R144-$S144-IF($D$4="Forint",Paraméterek!$C$216,Paraméterek!$D$216),0,ROUNDUP(IF(ISBLANK($U144),$T144,$U144)/IF(AND($B144=1,$D$2&lt;&gt;"Egyszeri"),1,VLOOKUP($B144+IF($C144=12,1,0),Paraméterek!$B$257:$D$267,IF($D$2="Egyszeri",3,2))),IF($D$4="Forint",0,2)))</f>
        <v>-68615</v>
      </c>
      <c r="W144" s="13">
        <f ca="1">ROUNDDOWN($V144*VLOOKUP($B144+IF($C144=12,1,0),Paraméterek!$B$257:$D$267,IF($D$2="Egyszeri",3,2)),IF($D$4="Forint",0,2))</f>
        <v>-68615</v>
      </c>
      <c r="Y144" s="32">
        <v>125</v>
      </c>
      <c r="Z144" s="32">
        <v>11</v>
      </c>
      <c r="AA144" s="32">
        <v>5</v>
      </c>
      <c r="AB144" s="13">
        <f t="shared" si="26"/>
        <v>0</v>
      </c>
      <c r="AC144" s="33"/>
      <c r="AD144" s="13">
        <f t="shared" si="22"/>
        <v>0</v>
      </c>
      <c r="AE144" s="13">
        <f>ROUNDUP(($AB144+$AD144)*VLOOKUP($Z144,Paraméterek!$P$38:$Q$38,2)/12,IF($D$4="Forint",0,2))</f>
        <v>0</v>
      </c>
      <c r="AF144" s="13">
        <f>IF($D$2="Egyszeri",IF($D$7&gt;=IF($D$4="Forint",Paraméterek!$P$223,Paraméterek!$P$224),$D$7-IF($D$4="Forint",Paraméterek!$F$223,Paraméterek!$F$224),0),MIN(IF($AA144=12,AVERAGE($D$20:$D144)*12,0),SUM($D$20:$D$31)))</f>
        <v>0</v>
      </c>
      <c r="AG144" s="13">
        <f>IF(AND($Z144&gt;=10,MOD($Z144,5)=0),$AF144*IF($AA144=12,VLOOKUP($Z144,Paraméterek!$B$225:$F$240,IF($AF144&lt;IF($D$4="Forint",Paraméterek!$C$223,Paraméterek!$C$224),2,IF($AF144&lt;IF($D$4="Forint",Paraméterek!$D$223,Paraméterek!$D$224),3,4))),0),0)</f>
        <v>0</v>
      </c>
      <c r="AH144" s="13">
        <f>IF(AND($Z144&gt;=5,MOD($Z144,5)=0),IF($AA144=12,VLOOKUP($Z144,Paraméterek!$B$225:$F$240,5),0),IF(OR($Z144=3,$Z144=4),IF($AA144=12,VLOOKUP($Z144,Paraméterek!$B$225:$F$240,5,0),0),0))*$AF144</f>
        <v>0</v>
      </c>
      <c r="AI144" s="13">
        <f>ROUNDDOWN(IF(SUM($T$20:$U144)=0,IF($D$2="Egyszeri",$AH144,$AG144),0),IF($D$4="Forint",0,2))</f>
        <v>0</v>
      </c>
      <c r="AJ144" s="13">
        <f t="shared" si="27"/>
        <v>0</v>
      </c>
      <c r="AK144" s="13">
        <f t="shared" si="28"/>
        <v>0</v>
      </c>
      <c r="AM144" s="32">
        <v>125</v>
      </c>
      <c r="AN144" s="32">
        <v>11</v>
      </c>
      <c r="AO144" s="32">
        <v>5</v>
      </c>
      <c r="AP144" s="13"/>
      <c r="AQ144" s="32"/>
      <c r="AR144" s="13">
        <f t="shared" si="29"/>
        <v>0</v>
      </c>
      <c r="AS144" s="33"/>
      <c r="AT144" s="13">
        <f t="shared" si="23"/>
        <v>0</v>
      </c>
      <c r="AU144" s="13">
        <f>ROUNDUP(($AR144+$AT144)*VLOOKUP($AN144,Paraméterek!$P$38:$Q$38,2)/12,IF($D$4="Forint",0,2))</f>
        <v>0</v>
      </c>
      <c r="AV144" s="13"/>
      <c r="AW144" s="13"/>
      <c r="AX144" s="13">
        <f>ROUNDUP(IF(SUM($AV144:$AW144)=0,0,IF(IF(ISBLANK($AW144),$AV144,$AW144)*Paraméterek!$J$112&lt;IF($D$4="Forint",Paraméterek!$J$113,Paraméterek!$K$113),IF($D$4="Forint",Paraméterek!$J$113,Paraméterek!$K$113),IF(IF(ISBLANK($AW144),$AV144,$AW144)*Paraméterek!$J$112&gt;IF($D$4="Forint",Paraméterek!$J$114,Paraméterek!$K$114),IF($D$4="Forint",Paraméterek!$J$114,Paraméterek!$K$114),IF(ISBLANK($AW144),$AV144,$AW144)*Paraméterek!$J$112))),IF($D$4="Forint",0,2))</f>
        <v>0</v>
      </c>
      <c r="AY144" s="13">
        <f>$AR144+$AT144-$AU144-IF(ROUNDDOWN(IF(ISBLANK($AW144),$AV144,$AW144),IF($D$4="Forint",0,2))&gt;$AR144+$AT144-$AU144-IF($D$4="Forint",Paraméterek!$J$114,Paraméterek!$K$114),0,ROUNDDOWN(IF(ISBLANK($AW144),$AV144,$AW144),IF($D$4="Forint",0,2))-$AX144)</f>
        <v>0</v>
      </c>
      <c r="AZ144" s="13">
        <f t="shared" si="24"/>
        <v>0</v>
      </c>
    </row>
    <row r="145" spans="1:52" x14ac:dyDescent="0.2">
      <c r="A145" s="32">
        <v>126</v>
      </c>
      <c r="B145" s="32">
        <v>11</v>
      </c>
      <c r="C145" s="32">
        <v>6</v>
      </c>
      <c r="D145" s="13">
        <f t="shared" si="15"/>
        <v>0</v>
      </c>
      <c r="E145" s="13"/>
      <c r="F145" s="13"/>
      <c r="G145" s="13"/>
      <c r="H145" s="13">
        <f t="shared" si="16"/>
        <v>0</v>
      </c>
      <c r="I145" s="13">
        <f t="shared" si="17"/>
        <v>0</v>
      </c>
      <c r="J145" s="13">
        <f t="shared" si="18"/>
        <v>0</v>
      </c>
      <c r="K145" s="13">
        <f>ROUNDUP(IF($D$2="Egyszeri",$D145,IF($D$2="Havi",SUM($D$20:$D$31),IF(MOD($C145,$M$1)-1=0,SUM($D$20:$D$31),0))/12*$M$1)*VLOOKUP($B145,Paraméterek!$B$27:$D$30,IF($D$2="Egyszeri",3,2)),IF($D$4="Forint",0,2))</f>
        <v>0</v>
      </c>
      <c r="L145" s="13">
        <f t="shared" si="19"/>
        <v>0</v>
      </c>
      <c r="M145" s="13">
        <f t="shared" ca="1" si="25"/>
        <v>-68615</v>
      </c>
      <c r="N145" s="13">
        <f ca="1">IF($V144&gt;=VLOOKUP($M$4-1+$B145,Paraméterek!$B$121:$D$122,IF($D$4="Forint",2,3)),0,VLOOKUP($M$4-1+$B145,Paraméterek!$B$121:$D$122,IF($D$4="Forint",2,3))-$V144)</f>
        <v>78615</v>
      </c>
      <c r="O145" s="13">
        <f ca="1">ROUNDUP($N145*Paraméterek!$C$58/Paraméterek!$C$56,IF($D$4="Forint",0,2))</f>
        <v>13</v>
      </c>
      <c r="P145" s="13">
        <f t="shared" si="20"/>
        <v>740</v>
      </c>
      <c r="Q145" s="33"/>
      <c r="R145" s="13">
        <f t="shared" ca="1" si="21"/>
        <v>0</v>
      </c>
      <c r="S145" s="13">
        <f ca="1">ROUNDUP(($M145-$O145-$P145+$R145)*VLOOKUP($B145,Paraméterek!$B$38:$D$39,IF($D$2="Egyszeri",3,2))/12,IF($D$4="Forint",0,2))</f>
        <v>-188</v>
      </c>
      <c r="T145" s="13"/>
      <c r="U145" s="13"/>
      <c r="V145" s="13">
        <f ca="1">$M145-$O145-$P145+$R145-$S145-IF(ROUNDUP(IF(ISBLANK($U145),$T145,$U145)/IF(AND($B145=1,$D$2&lt;&gt;"Egyszeri"),1,VLOOKUP($B145+IF($C145=12,1,0),Paraméterek!$B$257:$D$267,IF($D$2="Egyszeri",3,2))),IF($D$4="Forint",0,2))&gt;$M145-$O145-$P145+$R145-$S145-IF($D$4="Forint",Paraméterek!$C$216,Paraméterek!$D$216),0,ROUNDUP(IF(ISBLANK($U145),$T145,$U145)/IF(AND($B145=1,$D$2&lt;&gt;"Egyszeri"),1,VLOOKUP($B145+IF($C145=12,1,0),Paraméterek!$B$257:$D$267,IF($D$2="Egyszeri",3,2))),IF($D$4="Forint",0,2)))</f>
        <v>-69180</v>
      </c>
      <c r="W145" s="13">
        <f ca="1">ROUNDDOWN($V145*VLOOKUP($B145+IF($C145=12,1,0),Paraméterek!$B$257:$D$267,IF($D$2="Egyszeri",3,2)),IF($D$4="Forint",0,2))</f>
        <v>-69180</v>
      </c>
      <c r="Y145" s="32">
        <v>126</v>
      </c>
      <c r="Z145" s="32">
        <v>11</v>
      </c>
      <c r="AA145" s="32">
        <v>6</v>
      </c>
      <c r="AB145" s="13">
        <f t="shared" si="26"/>
        <v>0</v>
      </c>
      <c r="AC145" s="33"/>
      <c r="AD145" s="13">
        <f t="shared" si="22"/>
        <v>0</v>
      </c>
      <c r="AE145" s="13">
        <f>ROUNDUP(($AB145+$AD145)*VLOOKUP($Z145,Paraméterek!$P$38:$Q$38,2)/12,IF($D$4="Forint",0,2))</f>
        <v>0</v>
      </c>
      <c r="AF145" s="13">
        <f>IF($D$2="Egyszeri",IF($D$7&gt;=IF($D$4="Forint",Paraméterek!$P$223,Paraméterek!$P$224),$D$7-IF($D$4="Forint",Paraméterek!$F$223,Paraméterek!$F$224),0),MIN(IF($AA145=12,AVERAGE($D$20:$D145)*12,0),SUM($D$20:$D$31)))</f>
        <v>0</v>
      </c>
      <c r="AG145" s="13">
        <f>IF(AND($Z145&gt;=10,MOD($Z145,5)=0),$AF145*IF($AA145=12,VLOOKUP($Z145,Paraméterek!$B$225:$F$240,IF($AF145&lt;IF($D$4="Forint",Paraméterek!$C$223,Paraméterek!$C$224),2,IF($AF145&lt;IF($D$4="Forint",Paraméterek!$D$223,Paraméterek!$D$224),3,4))),0),0)</f>
        <v>0</v>
      </c>
      <c r="AH145" s="13">
        <f>IF(AND($Z145&gt;=5,MOD($Z145,5)=0),IF($AA145=12,VLOOKUP($Z145,Paraméterek!$B$225:$F$240,5),0),IF(OR($Z145=3,$Z145=4),IF($AA145=12,VLOOKUP($Z145,Paraméterek!$B$225:$F$240,5,0),0),0))*$AF145</f>
        <v>0</v>
      </c>
      <c r="AI145" s="13">
        <f>ROUNDDOWN(IF(SUM($T$20:$U145)=0,IF($D$2="Egyszeri",$AH145,$AG145),0),IF($D$4="Forint",0,2))</f>
        <v>0</v>
      </c>
      <c r="AJ145" s="13">
        <f t="shared" si="27"/>
        <v>0</v>
      </c>
      <c r="AK145" s="13">
        <f t="shared" si="28"/>
        <v>0</v>
      </c>
      <c r="AM145" s="32">
        <v>126</v>
      </c>
      <c r="AN145" s="32">
        <v>11</v>
      </c>
      <c r="AO145" s="32">
        <v>6</v>
      </c>
      <c r="AP145" s="13"/>
      <c r="AQ145" s="32"/>
      <c r="AR145" s="13">
        <f t="shared" si="29"/>
        <v>0</v>
      </c>
      <c r="AS145" s="33"/>
      <c r="AT145" s="13">
        <f t="shared" si="23"/>
        <v>0</v>
      </c>
      <c r="AU145" s="13">
        <f>ROUNDUP(($AR145+$AT145)*VLOOKUP($AN145,Paraméterek!$P$38:$Q$38,2)/12,IF($D$4="Forint",0,2))</f>
        <v>0</v>
      </c>
      <c r="AV145" s="13"/>
      <c r="AW145" s="13"/>
      <c r="AX145" s="13">
        <f>ROUNDUP(IF(SUM($AV145:$AW145)=0,0,IF(IF(ISBLANK($AW145),$AV145,$AW145)*Paraméterek!$J$112&lt;IF($D$4="Forint",Paraméterek!$J$113,Paraméterek!$K$113),IF($D$4="Forint",Paraméterek!$J$113,Paraméterek!$K$113),IF(IF(ISBLANK($AW145),$AV145,$AW145)*Paraméterek!$J$112&gt;IF($D$4="Forint",Paraméterek!$J$114,Paraméterek!$K$114),IF($D$4="Forint",Paraméterek!$J$114,Paraméterek!$K$114),IF(ISBLANK($AW145),$AV145,$AW145)*Paraméterek!$J$112))),IF($D$4="Forint",0,2))</f>
        <v>0</v>
      </c>
      <c r="AY145" s="13">
        <f>$AR145+$AT145-$AU145-IF(ROUNDDOWN(IF(ISBLANK($AW145),$AV145,$AW145),IF($D$4="Forint",0,2))&gt;$AR145+$AT145-$AU145-IF($D$4="Forint",Paraméterek!$J$114,Paraméterek!$K$114),0,ROUNDDOWN(IF(ISBLANK($AW145),$AV145,$AW145),IF($D$4="Forint",0,2))-$AX145)</f>
        <v>0</v>
      </c>
      <c r="AZ145" s="13">
        <f t="shared" si="24"/>
        <v>0</v>
      </c>
    </row>
    <row r="146" spans="1:52" x14ac:dyDescent="0.2">
      <c r="A146" s="32">
        <v>127</v>
      </c>
      <c r="B146" s="32">
        <v>11</v>
      </c>
      <c r="C146" s="32">
        <v>7</v>
      </c>
      <c r="D146" s="13">
        <f t="shared" si="15"/>
        <v>0</v>
      </c>
      <c r="E146" s="13"/>
      <c r="F146" s="13"/>
      <c r="G146" s="13"/>
      <c r="H146" s="13">
        <f t="shared" si="16"/>
        <v>0</v>
      </c>
      <c r="I146" s="13">
        <f t="shared" si="17"/>
        <v>0</v>
      </c>
      <c r="J146" s="13">
        <f t="shared" si="18"/>
        <v>0</v>
      </c>
      <c r="K146" s="13">
        <f>ROUNDUP(IF($D$2="Egyszeri",$D146,IF($D$2="Havi",SUM($D$20:$D$31),IF(MOD($C146,$M$1)-1=0,SUM($D$20:$D$31),0))/12*$M$1)*VLOOKUP($B146,Paraméterek!$B$27:$D$30,IF($D$2="Egyszeri",3,2)),IF($D$4="Forint",0,2))</f>
        <v>0</v>
      </c>
      <c r="L146" s="13">
        <f t="shared" si="19"/>
        <v>0</v>
      </c>
      <c r="M146" s="13">
        <f t="shared" ca="1" si="25"/>
        <v>-69180</v>
      </c>
      <c r="N146" s="13">
        <f ca="1">IF($V145&gt;=VLOOKUP($M$4-1+$B146,Paraméterek!$B$121:$D$122,IF($D$4="Forint",2,3)),0,VLOOKUP($M$4-1+$B146,Paraméterek!$B$121:$D$122,IF($D$4="Forint",2,3))-$V145)</f>
        <v>79180</v>
      </c>
      <c r="O146" s="13">
        <f ca="1">ROUNDUP($N146*Paraméterek!$C$58/Paraméterek!$C$56,IF($D$4="Forint",0,2))</f>
        <v>13</v>
      </c>
      <c r="P146" s="13">
        <f t="shared" si="20"/>
        <v>740</v>
      </c>
      <c r="Q146" s="33"/>
      <c r="R146" s="13">
        <f t="shared" ca="1" si="21"/>
        <v>0</v>
      </c>
      <c r="S146" s="13">
        <f ca="1">ROUNDUP(($M146-$O146-$P146+$R146)*VLOOKUP($B146,Paraméterek!$B$38:$D$39,IF($D$2="Egyszeri",3,2))/12,IF($D$4="Forint",0,2))</f>
        <v>-190</v>
      </c>
      <c r="T146" s="13"/>
      <c r="U146" s="13"/>
      <c r="V146" s="13">
        <f ca="1">$M146-$O146-$P146+$R146-$S146-IF(ROUNDUP(IF(ISBLANK($U146),$T146,$U146)/IF(AND($B146=1,$D$2&lt;&gt;"Egyszeri"),1,VLOOKUP($B146+IF($C146=12,1,0),Paraméterek!$B$257:$D$267,IF($D$2="Egyszeri",3,2))),IF($D$4="Forint",0,2))&gt;$M146-$O146-$P146+$R146-$S146-IF($D$4="Forint",Paraméterek!$C$216,Paraméterek!$D$216),0,ROUNDUP(IF(ISBLANK($U146),$T146,$U146)/IF(AND($B146=1,$D$2&lt;&gt;"Egyszeri"),1,VLOOKUP($B146+IF($C146=12,1,0),Paraméterek!$B$257:$D$267,IF($D$2="Egyszeri",3,2))),IF($D$4="Forint",0,2)))</f>
        <v>-69743</v>
      </c>
      <c r="W146" s="13">
        <f ca="1">ROUNDDOWN($V146*VLOOKUP($B146+IF($C146=12,1,0),Paraméterek!$B$257:$D$267,IF($D$2="Egyszeri",3,2)),IF($D$4="Forint",0,2))</f>
        <v>-69743</v>
      </c>
      <c r="Y146" s="32">
        <v>127</v>
      </c>
      <c r="Z146" s="32">
        <v>11</v>
      </c>
      <c r="AA146" s="32">
        <v>7</v>
      </c>
      <c r="AB146" s="13">
        <f t="shared" si="26"/>
        <v>0</v>
      </c>
      <c r="AC146" s="33"/>
      <c r="AD146" s="13">
        <f t="shared" si="22"/>
        <v>0</v>
      </c>
      <c r="AE146" s="13">
        <f>ROUNDUP(($AB146+$AD146)*VLOOKUP($Z146,Paraméterek!$P$38:$Q$38,2)/12,IF($D$4="Forint",0,2))</f>
        <v>0</v>
      </c>
      <c r="AF146" s="13">
        <f>IF($D$2="Egyszeri",IF($D$7&gt;=IF($D$4="Forint",Paraméterek!$P$223,Paraméterek!$P$224),$D$7-IF($D$4="Forint",Paraméterek!$F$223,Paraméterek!$F$224),0),MIN(IF($AA146=12,AVERAGE($D$20:$D146)*12,0),SUM($D$20:$D$31)))</f>
        <v>0</v>
      </c>
      <c r="AG146" s="13">
        <f>IF(AND($Z146&gt;=10,MOD($Z146,5)=0),$AF146*IF($AA146=12,VLOOKUP($Z146,Paraméterek!$B$225:$F$240,IF($AF146&lt;IF($D$4="Forint",Paraméterek!$C$223,Paraméterek!$C$224),2,IF($AF146&lt;IF($D$4="Forint",Paraméterek!$D$223,Paraméterek!$D$224),3,4))),0),0)</f>
        <v>0</v>
      </c>
      <c r="AH146" s="13">
        <f>IF(AND($Z146&gt;=5,MOD($Z146,5)=0),IF($AA146=12,VLOOKUP($Z146,Paraméterek!$B$225:$F$240,5),0),IF(OR($Z146=3,$Z146=4),IF($AA146=12,VLOOKUP($Z146,Paraméterek!$B$225:$F$240,5,0),0),0))*$AF146</f>
        <v>0</v>
      </c>
      <c r="AI146" s="13">
        <f>ROUNDDOWN(IF(SUM($T$20:$U146)=0,IF($D$2="Egyszeri",$AH146,$AG146),0),IF($D$4="Forint",0,2))</f>
        <v>0</v>
      </c>
      <c r="AJ146" s="13">
        <f t="shared" si="27"/>
        <v>0</v>
      </c>
      <c r="AK146" s="13">
        <f t="shared" si="28"/>
        <v>0</v>
      </c>
      <c r="AM146" s="32">
        <v>127</v>
      </c>
      <c r="AN146" s="32">
        <v>11</v>
      </c>
      <c r="AO146" s="32">
        <v>7</v>
      </c>
      <c r="AP146" s="13"/>
      <c r="AQ146" s="32"/>
      <c r="AR146" s="13">
        <f t="shared" si="29"/>
        <v>0</v>
      </c>
      <c r="AS146" s="33"/>
      <c r="AT146" s="13">
        <f t="shared" si="23"/>
        <v>0</v>
      </c>
      <c r="AU146" s="13">
        <f>ROUNDUP(($AR146+$AT146)*VLOOKUP($AN146,Paraméterek!$P$38:$Q$38,2)/12,IF($D$4="Forint",0,2))</f>
        <v>0</v>
      </c>
      <c r="AV146" s="13"/>
      <c r="AW146" s="13"/>
      <c r="AX146" s="13">
        <f>ROUNDUP(IF(SUM($AV146:$AW146)=0,0,IF(IF(ISBLANK($AW146),$AV146,$AW146)*Paraméterek!$J$112&lt;IF($D$4="Forint",Paraméterek!$J$113,Paraméterek!$K$113),IF($D$4="Forint",Paraméterek!$J$113,Paraméterek!$K$113),IF(IF(ISBLANK($AW146),$AV146,$AW146)*Paraméterek!$J$112&gt;IF($D$4="Forint",Paraméterek!$J$114,Paraméterek!$K$114),IF($D$4="Forint",Paraméterek!$J$114,Paraméterek!$K$114),IF(ISBLANK($AW146),$AV146,$AW146)*Paraméterek!$J$112))),IF($D$4="Forint",0,2))</f>
        <v>0</v>
      </c>
      <c r="AY146" s="13">
        <f>$AR146+$AT146-$AU146-IF(ROUNDDOWN(IF(ISBLANK($AW146),$AV146,$AW146),IF($D$4="Forint",0,2))&gt;$AR146+$AT146-$AU146-IF($D$4="Forint",Paraméterek!$J$114,Paraméterek!$K$114),0,ROUNDDOWN(IF(ISBLANK($AW146),$AV146,$AW146),IF($D$4="Forint",0,2))-$AX146)</f>
        <v>0</v>
      </c>
      <c r="AZ146" s="13">
        <f t="shared" si="24"/>
        <v>0</v>
      </c>
    </row>
    <row r="147" spans="1:52" x14ac:dyDescent="0.2">
      <c r="A147" s="32">
        <v>128</v>
      </c>
      <c r="B147" s="32">
        <v>11</v>
      </c>
      <c r="C147" s="32">
        <v>8</v>
      </c>
      <c r="D147" s="13">
        <f t="shared" si="15"/>
        <v>0</v>
      </c>
      <c r="E147" s="13"/>
      <c r="F147" s="13"/>
      <c r="G147" s="13"/>
      <c r="H147" s="13">
        <f t="shared" si="16"/>
        <v>0</v>
      </c>
      <c r="I147" s="13">
        <f t="shared" si="17"/>
        <v>0</v>
      </c>
      <c r="J147" s="13">
        <f t="shared" si="18"/>
        <v>0</v>
      </c>
      <c r="K147" s="13">
        <f>ROUNDUP(IF($D$2="Egyszeri",$D147,IF($D$2="Havi",SUM($D$20:$D$31),IF(MOD($C147,$M$1)-1=0,SUM($D$20:$D$31),0))/12*$M$1)*VLOOKUP($B147,Paraméterek!$B$27:$D$30,IF($D$2="Egyszeri",3,2)),IF($D$4="Forint",0,2))</f>
        <v>0</v>
      </c>
      <c r="L147" s="13">
        <f t="shared" si="19"/>
        <v>0</v>
      </c>
      <c r="M147" s="13">
        <f t="shared" ca="1" si="25"/>
        <v>-69743</v>
      </c>
      <c r="N147" s="13">
        <f ca="1">IF($V146&gt;=VLOOKUP($M$4-1+$B147,Paraméterek!$B$121:$D$122,IF($D$4="Forint",2,3)),0,VLOOKUP($M$4-1+$B147,Paraméterek!$B$121:$D$122,IF($D$4="Forint",2,3))-$V146)</f>
        <v>79743</v>
      </c>
      <c r="O147" s="13">
        <f ca="1">ROUNDUP($N147*Paraméterek!$C$58/Paraméterek!$C$56,IF($D$4="Forint",0,2))</f>
        <v>13</v>
      </c>
      <c r="P147" s="13">
        <f t="shared" si="20"/>
        <v>740</v>
      </c>
      <c r="Q147" s="33"/>
      <c r="R147" s="13">
        <f t="shared" ca="1" si="21"/>
        <v>0</v>
      </c>
      <c r="S147" s="13">
        <f ca="1">ROUNDUP(($M147-$O147-$P147+$R147)*VLOOKUP($B147,Paraméterek!$B$38:$D$39,IF($D$2="Egyszeri",3,2))/12,IF($D$4="Forint",0,2))</f>
        <v>-191</v>
      </c>
      <c r="T147" s="13"/>
      <c r="U147" s="13"/>
      <c r="V147" s="13">
        <f ca="1">$M147-$O147-$P147+$R147-$S147-IF(ROUNDUP(IF(ISBLANK($U147),$T147,$U147)/IF(AND($B147=1,$D$2&lt;&gt;"Egyszeri"),1,VLOOKUP($B147+IF($C147=12,1,0),Paraméterek!$B$257:$D$267,IF($D$2="Egyszeri",3,2))),IF($D$4="Forint",0,2))&gt;$M147-$O147-$P147+$R147-$S147-IF($D$4="Forint",Paraméterek!$C$216,Paraméterek!$D$216),0,ROUNDUP(IF(ISBLANK($U147),$T147,$U147)/IF(AND($B147=1,$D$2&lt;&gt;"Egyszeri"),1,VLOOKUP($B147+IF($C147=12,1,0),Paraméterek!$B$257:$D$267,IF($D$2="Egyszeri",3,2))),IF($D$4="Forint",0,2)))</f>
        <v>-70305</v>
      </c>
      <c r="W147" s="13">
        <f ca="1">ROUNDDOWN($V147*VLOOKUP($B147+IF($C147=12,1,0),Paraméterek!$B$257:$D$267,IF($D$2="Egyszeri",3,2)),IF($D$4="Forint",0,2))</f>
        <v>-70305</v>
      </c>
      <c r="Y147" s="32">
        <v>128</v>
      </c>
      <c r="Z147" s="32">
        <v>11</v>
      </c>
      <c r="AA147" s="32">
        <v>8</v>
      </c>
      <c r="AB147" s="13">
        <f t="shared" si="26"/>
        <v>0</v>
      </c>
      <c r="AC147" s="33"/>
      <c r="AD147" s="13">
        <f t="shared" si="22"/>
        <v>0</v>
      </c>
      <c r="AE147" s="13">
        <f>ROUNDUP(($AB147+$AD147)*VLOOKUP($Z147,Paraméterek!$P$38:$Q$38,2)/12,IF($D$4="Forint",0,2))</f>
        <v>0</v>
      </c>
      <c r="AF147" s="13">
        <f>IF($D$2="Egyszeri",IF($D$7&gt;=IF($D$4="Forint",Paraméterek!$P$223,Paraméterek!$P$224),$D$7-IF($D$4="Forint",Paraméterek!$F$223,Paraméterek!$F$224),0),MIN(IF($AA147=12,AVERAGE($D$20:$D147)*12,0),SUM($D$20:$D$31)))</f>
        <v>0</v>
      </c>
      <c r="AG147" s="13">
        <f>IF(AND($Z147&gt;=10,MOD($Z147,5)=0),$AF147*IF($AA147=12,VLOOKUP($Z147,Paraméterek!$B$225:$F$240,IF($AF147&lt;IF($D$4="Forint",Paraméterek!$C$223,Paraméterek!$C$224),2,IF($AF147&lt;IF($D$4="Forint",Paraméterek!$D$223,Paraméterek!$D$224),3,4))),0),0)</f>
        <v>0</v>
      </c>
      <c r="AH147" s="13">
        <f>IF(AND($Z147&gt;=5,MOD($Z147,5)=0),IF($AA147=12,VLOOKUP($Z147,Paraméterek!$B$225:$F$240,5),0),IF(OR($Z147=3,$Z147=4),IF($AA147=12,VLOOKUP($Z147,Paraméterek!$B$225:$F$240,5,0),0),0))*$AF147</f>
        <v>0</v>
      </c>
      <c r="AI147" s="13">
        <f>ROUNDDOWN(IF(SUM($T$20:$U147)=0,IF($D$2="Egyszeri",$AH147,$AG147),0),IF($D$4="Forint",0,2))</f>
        <v>0</v>
      </c>
      <c r="AJ147" s="13">
        <f t="shared" si="27"/>
        <v>0</v>
      </c>
      <c r="AK147" s="13">
        <f t="shared" si="28"/>
        <v>0</v>
      </c>
      <c r="AM147" s="32">
        <v>128</v>
      </c>
      <c r="AN147" s="32">
        <v>11</v>
      </c>
      <c r="AO147" s="32">
        <v>8</v>
      </c>
      <c r="AP147" s="13"/>
      <c r="AQ147" s="32"/>
      <c r="AR147" s="13">
        <f t="shared" si="29"/>
        <v>0</v>
      </c>
      <c r="AS147" s="33"/>
      <c r="AT147" s="13">
        <f t="shared" si="23"/>
        <v>0</v>
      </c>
      <c r="AU147" s="13">
        <f>ROUNDUP(($AR147+$AT147)*VLOOKUP($AN147,Paraméterek!$P$38:$Q$38,2)/12,IF($D$4="Forint",0,2))</f>
        <v>0</v>
      </c>
      <c r="AV147" s="13"/>
      <c r="AW147" s="13"/>
      <c r="AX147" s="13">
        <f>ROUNDUP(IF(SUM($AV147:$AW147)=0,0,IF(IF(ISBLANK($AW147),$AV147,$AW147)*Paraméterek!$J$112&lt;IF($D$4="Forint",Paraméterek!$J$113,Paraméterek!$K$113),IF($D$4="Forint",Paraméterek!$J$113,Paraméterek!$K$113),IF(IF(ISBLANK($AW147),$AV147,$AW147)*Paraméterek!$J$112&gt;IF($D$4="Forint",Paraméterek!$J$114,Paraméterek!$K$114),IF($D$4="Forint",Paraméterek!$J$114,Paraméterek!$K$114),IF(ISBLANK($AW147),$AV147,$AW147)*Paraméterek!$J$112))),IF($D$4="Forint",0,2))</f>
        <v>0</v>
      </c>
      <c r="AY147" s="13">
        <f>$AR147+$AT147-$AU147-IF(ROUNDDOWN(IF(ISBLANK($AW147),$AV147,$AW147),IF($D$4="Forint",0,2))&gt;$AR147+$AT147-$AU147-IF($D$4="Forint",Paraméterek!$J$114,Paraméterek!$K$114),0,ROUNDDOWN(IF(ISBLANK($AW147),$AV147,$AW147),IF($D$4="Forint",0,2))-$AX147)</f>
        <v>0</v>
      </c>
      <c r="AZ147" s="13">
        <f t="shared" si="24"/>
        <v>0</v>
      </c>
    </row>
    <row r="148" spans="1:52" x14ac:dyDescent="0.2">
      <c r="A148" s="32">
        <v>129</v>
      </c>
      <c r="B148" s="32">
        <v>11</v>
      </c>
      <c r="C148" s="32">
        <v>9</v>
      </c>
      <c r="D148" s="13">
        <f t="shared" si="15"/>
        <v>0</v>
      </c>
      <c r="E148" s="13"/>
      <c r="F148" s="13"/>
      <c r="G148" s="13"/>
      <c r="H148" s="13">
        <f t="shared" si="16"/>
        <v>0</v>
      </c>
      <c r="I148" s="13">
        <f t="shared" si="17"/>
        <v>0</v>
      </c>
      <c r="J148" s="13">
        <f t="shared" si="18"/>
        <v>0</v>
      </c>
      <c r="K148" s="13">
        <f>ROUNDUP(IF($D$2="Egyszeri",$D148,IF($D$2="Havi",SUM($D$20:$D$31),IF(MOD($C148,$M$1)-1=0,SUM($D$20:$D$31),0))/12*$M$1)*VLOOKUP($B148,Paraméterek!$B$27:$D$30,IF($D$2="Egyszeri",3,2)),IF($D$4="Forint",0,2))</f>
        <v>0</v>
      </c>
      <c r="L148" s="13">
        <f t="shared" si="19"/>
        <v>0</v>
      </c>
      <c r="M148" s="13">
        <f t="shared" ca="1" si="25"/>
        <v>-70305</v>
      </c>
      <c r="N148" s="13">
        <f ca="1">IF($V147&gt;=VLOOKUP($M$4-1+$B148,Paraméterek!$B$121:$D$122,IF($D$4="Forint",2,3)),0,VLOOKUP($M$4-1+$B148,Paraméterek!$B$121:$D$122,IF($D$4="Forint",2,3))-$V147)</f>
        <v>80305</v>
      </c>
      <c r="O148" s="13">
        <f ca="1">ROUNDUP($N148*Paraméterek!$C$58/Paraméterek!$C$56,IF($D$4="Forint",0,2))</f>
        <v>13</v>
      </c>
      <c r="P148" s="13">
        <f t="shared" si="20"/>
        <v>740</v>
      </c>
      <c r="Q148" s="33"/>
      <c r="R148" s="13">
        <f t="shared" ca="1" si="21"/>
        <v>0</v>
      </c>
      <c r="S148" s="13">
        <f ca="1">ROUNDUP(($M148-$O148-$P148+$R148)*VLOOKUP($B148,Paraméterek!$B$38:$D$39,IF($D$2="Egyszeri",3,2))/12,IF($D$4="Forint",0,2))</f>
        <v>-193</v>
      </c>
      <c r="T148" s="13"/>
      <c r="U148" s="13"/>
      <c r="V148" s="13">
        <f ca="1">$M148-$O148-$P148+$R148-$S148-IF(ROUNDUP(IF(ISBLANK($U148),$T148,$U148)/IF(AND($B148=1,$D$2&lt;&gt;"Egyszeri"),1,VLOOKUP($B148+IF($C148=12,1,0),Paraméterek!$B$257:$D$267,IF($D$2="Egyszeri",3,2))),IF($D$4="Forint",0,2))&gt;$M148-$O148-$P148+$R148-$S148-IF($D$4="Forint",Paraméterek!$C$216,Paraméterek!$D$216),0,ROUNDUP(IF(ISBLANK($U148),$T148,$U148)/IF(AND($B148=1,$D$2&lt;&gt;"Egyszeri"),1,VLOOKUP($B148+IF($C148=12,1,0),Paraméterek!$B$257:$D$267,IF($D$2="Egyszeri",3,2))),IF($D$4="Forint",0,2)))</f>
        <v>-70865</v>
      </c>
      <c r="W148" s="13">
        <f ca="1">ROUNDDOWN($V148*VLOOKUP($B148+IF($C148=12,1,0),Paraméterek!$B$257:$D$267,IF($D$2="Egyszeri",3,2)),IF($D$4="Forint",0,2))</f>
        <v>-70865</v>
      </c>
      <c r="Y148" s="32">
        <v>129</v>
      </c>
      <c r="Z148" s="32">
        <v>11</v>
      </c>
      <c r="AA148" s="32">
        <v>9</v>
      </c>
      <c r="AB148" s="13">
        <f t="shared" si="26"/>
        <v>0</v>
      </c>
      <c r="AC148" s="33"/>
      <c r="AD148" s="13">
        <f t="shared" si="22"/>
        <v>0</v>
      </c>
      <c r="AE148" s="13">
        <f>ROUNDUP(($AB148+$AD148)*VLOOKUP($Z148,Paraméterek!$P$38:$Q$38,2)/12,IF($D$4="Forint",0,2))</f>
        <v>0</v>
      </c>
      <c r="AF148" s="13">
        <f>IF($D$2="Egyszeri",IF($D$7&gt;=IF($D$4="Forint",Paraméterek!$P$223,Paraméterek!$P$224),$D$7-IF($D$4="Forint",Paraméterek!$F$223,Paraméterek!$F$224),0),MIN(IF($AA148=12,AVERAGE($D$20:$D148)*12,0),SUM($D$20:$D$31)))</f>
        <v>0</v>
      </c>
      <c r="AG148" s="13">
        <f>IF(AND($Z148&gt;=10,MOD($Z148,5)=0),$AF148*IF($AA148=12,VLOOKUP($Z148,Paraméterek!$B$225:$F$240,IF($AF148&lt;IF($D$4="Forint",Paraméterek!$C$223,Paraméterek!$C$224),2,IF($AF148&lt;IF($D$4="Forint",Paraméterek!$D$223,Paraméterek!$D$224),3,4))),0),0)</f>
        <v>0</v>
      </c>
      <c r="AH148" s="13">
        <f>IF(AND($Z148&gt;=5,MOD($Z148,5)=0),IF($AA148=12,VLOOKUP($Z148,Paraméterek!$B$225:$F$240,5),0),IF(OR($Z148=3,$Z148=4),IF($AA148=12,VLOOKUP($Z148,Paraméterek!$B$225:$F$240,5,0),0),0))*$AF148</f>
        <v>0</v>
      </c>
      <c r="AI148" s="13">
        <f>ROUNDDOWN(IF(SUM($T$20:$U148)=0,IF($D$2="Egyszeri",$AH148,$AG148),0),IF($D$4="Forint",0,2))</f>
        <v>0</v>
      </c>
      <c r="AJ148" s="13">
        <f t="shared" si="27"/>
        <v>0</v>
      </c>
      <c r="AK148" s="13">
        <f t="shared" si="28"/>
        <v>0</v>
      </c>
      <c r="AM148" s="32">
        <v>129</v>
      </c>
      <c r="AN148" s="32">
        <v>11</v>
      </c>
      <c r="AO148" s="32">
        <v>9</v>
      </c>
      <c r="AP148" s="13"/>
      <c r="AQ148" s="32"/>
      <c r="AR148" s="13">
        <f t="shared" si="29"/>
        <v>0</v>
      </c>
      <c r="AS148" s="33"/>
      <c r="AT148" s="13">
        <f t="shared" si="23"/>
        <v>0</v>
      </c>
      <c r="AU148" s="13">
        <f>ROUNDUP(($AR148+$AT148)*VLOOKUP($AN148,Paraméterek!$P$38:$Q$38,2)/12,IF($D$4="Forint",0,2))</f>
        <v>0</v>
      </c>
      <c r="AV148" s="13"/>
      <c r="AW148" s="13"/>
      <c r="AX148" s="13">
        <f>ROUNDUP(IF(SUM($AV148:$AW148)=0,0,IF(IF(ISBLANK($AW148),$AV148,$AW148)*Paraméterek!$J$112&lt;IF($D$4="Forint",Paraméterek!$J$113,Paraméterek!$K$113),IF($D$4="Forint",Paraméterek!$J$113,Paraméterek!$K$113),IF(IF(ISBLANK($AW148),$AV148,$AW148)*Paraméterek!$J$112&gt;IF($D$4="Forint",Paraméterek!$J$114,Paraméterek!$K$114),IF($D$4="Forint",Paraméterek!$J$114,Paraméterek!$K$114),IF(ISBLANK($AW148),$AV148,$AW148)*Paraméterek!$J$112))),IF($D$4="Forint",0,2))</f>
        <v>0</v>
      </c>
      <c r="AY148" s="13">
        <f>$AR148+$AT148-$AU148-IF(ROUNDDOWN(IF(ISBLANK($AW148),$AV148,$AW148),IF($D$4="Forint",0,2))&gt;$AR148+$AT148-$AU148-IF($D$4="Forint",Paraméterek!$J$114,Paraméterek!$K$114),0,ROUNDDOWN(IF(ISBLANK($AW148),$AV148,$AW148),IF($D$4="Forint",0,2))-$AX148)</f>
        <v>0</v>
      </c>
      <c r="AZ148" s="13">
        <f t="shared" si="24"/>
        <v>0</v>
      </c>
    </row>
    <row r="149" spans="1:52" x14ac:dyDescent="0.2">
      <c r="A149" s="32">
        <v>130</v>
      </c>
      <c r="B149" s="32">
        <v>11</v>
      </c>
      <c r="C149" s="32">
        <v>10</v>
      </c>
      <c r="D149" s="13">
        <f t="shared" ref="D149:D212" si="30">IF($D$2="Egyszeri",IF($A149=1,$D$7,0),ROUNDUP(IF($D$2="Havi",$D$7,IF(MOD($C149,$M$1)-1=0,$D$7,0))*(1+$D$6)^($B149-1),IF($D$4="Forint",0,2)))</f>
        <v>0</v>
      </c>
      <c r="E149" s="13"/>
      <c r="F149" s="13"/>
      <c r="G149" s="13"/>
      <c r="H149" s="13">
        <f t="shared" ref="H149:H212" si="31">ROUNDUP(IF(AND($D$8="Nincs",$D$2&lt;&gt;"Egyszeri"),$D149*10%,0),IF($D$4="Forint",0,2))</f>
        <v>0</v>
      </c>
      <c r="I149" s="13">
        <f t="shared" ref="I149:I212" si="32">IF($D$2="Egyszeri",IF($A149=1,$M$3,0),ROUNDUP(IF($D$2="Havi",$M$3,IF(MOD($C149,$M$1)-1=0,$M$3,0))*(1+$M$2)^($B149-1),IF($D$4="Forint",0,2)))</f>
        <v>0</v>
      </c>
      <c r="J149" s="13">
        <f t="shared" ref="J149:J212" si="33">IF(ISBLANK($E149),$D149,$E149)+IF(ISBLANK($G149),$F149,$G149)+$H149+$I149</f>
        <v>0</v>
      </c>
      <c r="K149" s="13">
        <f>ROUNDUP(IF($D$2="Egyszeri",$D149,IF($D$2="Havi",SUM($D$20:$D$31),IF(MOD($C149,$M$1)-1=0,SUM($D$20:$D$31),0))/12*$M$1)*VLOOKUP($B149,Paraméterek!$B$27:$D$30,IF($D$2="Egyszeri",3,2)),IF($D$4="Forint",0,2))</f>
        <v>0</v>
      </c>
      <c r="L149" s="13">
        <f t="shared" ref="L149:L212" si="34">$D149-$K149+IF(ISBLANK($G149),$F149,$G149)</f>
        <v>0</v>
      </c>
      <c r="M149" s="13">
        <f t="shared" ca="1" si="25"/>
        <v>-70865</v>
      </c>
      <c r="N149" s="13">
        <f ca="1">IF($V148&gt;=VLOOKUP($M$4-1+$B149,Paraméterek!$B$121:$D$122,IF($D$4="Forint",2,3)),0,VLOOKUP($M$4-1+$B149,Paraméterek!$B$121:$D$122,IF($D$4="Forint",2,3))-$V148)</f>
        <v>80865</v>
      </c>
      <c r="O149" s="13">
        <f ca="1">ROUNDUP($N149*Paraméterek!$C$58/Paraméterek!$C$56,IF($D$4="Forint",0,2))</f>
        <v>13</v>
      </c>
      <c r="P149" s="13">
        <f t="shared" ref="P149:P212" si="35">ROUNDUP($M$5*(1+$M$2)^($B149-1),IF($D$4="Forint",0,2))</f>
        <v>740</v>
      </c>
      <c r="Q149" s="33"/>
      <c r="R149" s="13">
        <f t="shared" ref="R149:R212" ca="1" si="36">ROUNDDOWN(($M149-$O149-$P149)*IF(ISBLANK($Q149),$M$6,$Q149),IF($D$4="Forint",0,2))</f>
        <v>0</v>
      </c>
      <c r="S149" s="13">
        <f ca="1">ROUNDUP(($M149-$O149-$P149+$R149)*VLOOKUP($B149,Paraméterek!$B$38:$D$39,IF($D$2="Egyszeri",3,2))/12,IF($D$4="Forint",0,2))</f>
        <v>-194</v>
      </c>
      <c r="T149" s="13"/>
      <c r="U149" s="13"/>
      <c r="V149" s="13">
        <f ca="1">$M149-$O149-$P149+$R149-$S149-IF(ROUNDUP(IF(ISBLANK($U149),$T149,$U149)/IF(AND($B149=1,$D$2&lt;&gt;"Egyszeri"),1,VLOOKUP($B149+IF($C149=12,1,0),Paraméterek!$B$257:$D$267,IF($D$2="Egyszeri",3,2))),IF($D$4="Forint",0,2))&gt;$M149-$O149-$P149+$R149-$S149-IF($D$4="Forint",Paraméterek!$C$216,Paraméterek!$D$216),0,ROUNDUP(IF(ISBLANK($U149),$T149,$U149)/IF(AND($B149=1,$D$2&lt;&gt;"Egyszeri"),1,VLOOKUP($B149+IF($C149=12,1,0),Paraméterek!$B$257:$D$267,IF($D$2="Egyszeri",3,2))),IF($D$4="Forint",0,2)))</f>
        <v>-71424</v>
      </c>
      <c r="W149" s="13">
        <f ca="1">ROUNDDOWN($V149*VLOOKUP($B149+IF($C149=12,1,0),Paraméterek!$B$257:$D$267,IF($D$2="Egyszeri",3,2)),IF($D$4="Forint",0,2))</f>
        <v>-71424</v>
      </c>
      <c r="Y149" s="32">
        <v>130</v>
      </c>
      <c r="Z149" s="32">
        <v>11</v>
      </c>
      <c r="AA149" s="32">
        <v>10</v>
      </c>
      <c r="AB149" s="13">
        <f t="shared" si="26"/>
        <v>0</v>
      </c>
      <c r="AC149" s="33"/>
      <c r="AD149" s="13">
        <f t="shared" ref="AD149:AD212" si="37">ROUNDDOWN($AB149*IF(ISBLANK($AC149),$M$8,$AC149),IF($D$4="Forint",0,2))</f>
        <v>0</v>
      </c>
      <c r="AE149" s="13">
        <f>ROUNDUP(($AB149+$AD149)*VLOOKUP($Z149,Paraméterek!$P$38:$Q$38,2)/12,IF($D$4="Forint",0,2))</f>
        <v>0</v>
      </c>
      <c r="AF149" s="13">
        <f>IF($D$2="Egyszeri",IF($D$7&gt;=IF($D$4="Forint",Paraméterek!$P$223,Paraméterek!$P$224),$D$7-IF($D$4="Forint",Paraméterek!$F$223,Paraméterek!$F$224),0),MIN(IF($AA149=12,AVERAGE($D$20:$D149)*12,0),SUM($D$20:$D$31)))</f>
        <v>0</v>
      </c>
      <c r="AG149" s="13">
        <f>IF(AND($Z149&gt;=10,MOD($Z149,5)=0),$AF149*IF($AA149=12,VLOOKUP($Z149,Paraméterek!$B$225:$F$240,IF($AF149&lt;IF($D$4="Forint",Paraméterek!$C$223,Paraméterek!$C$224),2,IF($AF149&lt;IF($D$4="Forint",Paraméterek!$D$223,Paraméterek!$D$224),3,4))),0),0)</f>
        <v>0</v>
      </c>
      <c r="AH149" s="13">
        <f>IF(AND($Z149&gt;=5,MOD($Z149,5)=0),IF($AA149=12,VLOOKUP($Z149,Paraméterek!$B$225:$F$240,5),0),IF(OR($Z149=3,$Z149=4),IF($AA149=12,VLOOKUP($Z149,Paraméterek!$B$225:$F$240,5,0),0),0))*$AF149</f>
        <v>0</v>
      </c>
      <c r="AI149" s="13">
        <f>ROUNDDOWN(IF(SUM($T$20:$U149)=0,IF($D$2="Egyszeri",$AH149,$AG149),0),IF($D$4="Forint",0,2))</f>
        <v>0</v>
      </c>
      <c r="AJ149" s="13">
        <f t="shared" si="27"/>
        <v>0</v>
      </c>
      <c r="AK149" s="13">
        <f t="shared" si="28"/>
        <v>0</v>
      </c>
      <c r="AM149" s="32">
        <v>130</v>
      </c>
      <c r="AN149" s="32">
        <v>11</v>
      </c>
      <c r="AO149" s="32">
        <v>10</v>
      </c>
      <c r="AP149" s="13"/>
      <c r="AQ149" s="32"/>
      <c r="AR149" s="13">
        <f t="shared" si="29"/>
        <v>0</v>
      </c>
      <c r="AS149" s="33"/>
      <c r="AT149" s="13">
        <f t="shared" ref="AT149:AT212" si="38">ROUNDDOWN($AR149*IF(ISBLANK($AS149),$M$7,$AS149),IF($D$4="Forint",0,2))</f>
        <v>0</v>
      </c>
      <c r="AU149" s="13">
        <f>ROUNDUP(($AR149+$AT149)*VLOOKUP($AN149,Paraméterek!$P$38:$Q$38,2)/12,IF($D$4="Forint",0,2))</f>
        <v>0</v>
      </c>
      <c r="AV149" s="13"/>
      <c r="AW149" s="13"/>
      <c r="AX149" s="13">
        <f>ROUNDUP(IF(SUM($AV149:$AW149)=0,0,IF(IF(ISBLANK($AW149),$AV149,$AW149)*Paraméterek!$J$112&lt;IF($D$4="Forint",Paraméterek!$J$113,Paraméterek!$K$113),IF($D$4="Forint",Paraméterek!$J$113,Paraméterek!$K$113),IF(IF(ISBLANK($AW149),$AV149,$AW149)*Paraméterek!$J$112&gt;IF($D$4="Forint",Paraméterek!$J$114,Paraméterek!$K$114),IF($D$4="Forint",Paraméterek!$J$114,Paraméterek!$K$114),IF(ISBLANK($AW149),$AV149,$AW149)*Paraméterek!$J$112))),IF($D$4="Forint",0,2))</f>
        <v>0</v>
      </c>
      <c r="AY149" s="13">
        <f>$AR149+$AT149-$AU149-IF(ROUNDDOWN(IF(ISBLANK($AW149),$AV149,$AW149),IF($D$4="Forint",0,2))&gt;$AR149+$AT149-$AU149-IF($D$4="Forint",Paraméterek!$J$114,Paraméterek!$K$114),0,ROUNDDOWN(IF(ISBLANK($AW149),$AV149,$AW149),IF($D$4="Forint",0,2))-$AX149)</f>
        <v>0</v>
      </c>
      <c r="AZ149" s="13">
        <f t="shared" ref="AZ149:AZ212" si="39">$AY149</f>
        <v>0</v>
      </c>
    </row>
    <row r="150" spans="1:52" x14ac:dyDescent="0.2">
      <c r="A150" s="32">
        <v>131</v>
      </c>
      <c r="B150" s="32">
        <v>11</v>
      </c>
      <c r="C150" s="32">
        <v>11</v>
      </c>
      <c r="D150" s="13">
        <f t="shared" si="30"/>
        <v>0</v>
      </c>
      <c r="E150" s="13"/>
      <c r="F150" s="13"/>
      <c r="G150" s="13"/>
      <c r="H150" s="13">
        <f t="shared" si="31"/>
        <v>0</v>
      </c>
      <c r="I150" s="13">
        <f t="shared" si="32"/>
        <v>0</v>
      </c>
      <c r="J150" s="13">
        <f t="shared" si="33"/>
        <v>0</v>
      </c>
      <c r="K150" s="13">
        <f>ROUNDUP(IF($D$2="Egyszeri",$D150,IF($D$2="Havi",SUM($D$20:$D$31),IF(MOD($C150,$M$1)-1=0,SUM($D$20:$D$31),0))/12*$M$1)*VLOOKUP($B150,Paraméterek!$B$27:$D$30,IF($D$2="Egyszeri",3,2)),IF($D$4="Forint",0,2))</f>
        <v>0</v>
      </c>
      <c r="L150" s="13">
        <f t="shared" si="34"/>
        <v>0</v>
      </c>
      <c r="M150" s="13">
        <f t="shared" ref="M150:M213" ca="1" si="40">$L150+$V149</f>
        <v>-71424</v>
      </c>
      <c r="N150" s="13">
        <f ca="1">IF($V149&gt;=VLOOKUP($M$4-1+$B150,Paraméterek!$B$121:$D$122,IF($D$4="Forint",2,3)),0,VLOOKUP($M$4-1+$B150,Paraméterek!$B$121:$D$122,IF($D$4="Forint",2,3))-$V149)</f>
        <v>81424</v>
      </c>
      <c r="O150" s="13">
        <f ca="1">ROUNDUP($N150*Paraméterek!$C$58/Paraméterek!$C$56,IF($D$4="Forint",0,2))</f>
        <v>13</v>
      </c>
      <c r="P150" s="13">
        <f t="shared" si="35"/>
        <v>740</v>
      </c>
      <c r="Q150" s="33"/>
      <c r="R150" s="13">
        <f t="shared" ca="1" si="36"/>
        <v>0</v>
      </c>
      <c r="S150" s="13">
        <f ca="1">ROUNDUP(($M150-$O150-$P150+$R150)*VLOOKUP($B150,Paraméterek!$B$38:$D$39,IF($D$2="Egyszeri",3,2))/12,IF($D$4="Forint",0,2))</f>
        <v>-196</v>
      </c>
      <c r="T150" s="13"/>
      <c r="U150" s="13"/>
      <c r="V150" s="13">
        <f ca="1">$M150-$O150-$P150+$R150-$S150-IF(ROUNDUP(IF(ISBLANK($U150),$T150,$U150)/IF(AND($B150=1,$D$2&lt;&gt;"Egyszeri"),1,VLOOKUP($B150+IF($C150=12,1,0),Paraméterek!$B$257:$D$267,IF($D$2="Egyszeri",3,2))),IF($D$4="Forint",0,2))&gt;$M150-$O150-$P150+$R150-$S150-IF($D$4="Forint",Paraméterek!$C$216,Paraméterek!$D$216),0,ROUNDUP(IF(ISBLANK($U150),$T150,$U150)/IF(AND($B150=1,$D$2&lt;&gt;"Egyszeri"),1,VLOOKUP($B150+IF($C150=12,1,0),Paraméterek!$B$257:$D$267,IF($D$2="Egyszeri",3,2))),IF($D$4="Forint",0,2)))</f>
        <v>-71981</v>
      </c>
      <c r="W150" s="13">
        <f ca="1">ROUNDDOWN($V150*VLOOKUP($B150+IF($C150=12,1,0),Paraméterek!$B$257:$D$267,IF($D$2="Egyszeri",3,2)),IF($D$4="Forint",0,2))</f>
        <v>-71981</v>
      </c>
      <c r="Y150" s="32">
        <v>131</v>
      </c>
      <c r="Z150" s="32">
        <v>11</v>
      </c>
      <c r="AA150" s="32">
        <v>11</v>
      </c>
      <c r="AB150" s="13">
        <f t="shared" ref="AB150:AB213" si="41">$AJ149</f>
        <v>0</v>
      </c>
      <c r="AC150" s="33"/>
      <c r="AD150" s="13">
        <f t="shared" si="37"/>
        <v>0</v>
      </c>
      <c r="AE150" s="13">
        <f>ROUNDUP(($AB150+$AD150)*VLOOKUP($Z150,Paraméterek!$P$38:$Q$38,2)/12,IF($D$4="Forint",0,2))</f>
        <v>0</v>
      </c>
      <c r="AF150" s="13">
        <f>IF($D$2="Egyszeri",IF($D$7&gt;=IF($D$4="Forint",Paraméterek!$P$223,Paraméterek!$P$224),$D$7-IF($D$4="Forint",Paraméterek!$F$223,Paraméterek!$F$224),0),MIN(IF($AA150=12,AVERAGE($D$20:$D150)*12,0),SUM($D$20:$D$31)))</f>
        <v>0</v>
      </c>
      <c r="AG150" s="13">
        <f>IF(AND($Z150&gt;=10,MOD($Z150,5)=0),$AF150*IF($AA150=12,VLOOKUP($Z150,Paraméterek!$B$225:$F$240,IF($AF150&lt;IF($D$4="Forint",Paraméterek!$C$223,Paraméterek!$C$224),2,IF($AF150&lt;IF($D$4="Forint",Paraméterek!$D$223,Paraméterek!$D$224),3,4))),0),0)</f>
        <v>0</v>
      </c>
      <c r="AH150" s="13">
        <f>IF(AND($Z150&gt;=5,MOD($Z150,5)=0),IF($AA150=12,VLOOKUP($Z150,Paraméterek!$B$225:$F$240,5),0),IF(OR($Z150=3,$Z150=4),IF($AA150=12,VLOOKUP($Z150,Paraméterek!$B$225:$F$240,5,0),0),0))*$AF150</f>
        <v>0</v>
      </c>
      <c r="AI150" s="13">
        <f>ROUNDDOWN(IF(SUM($T$20:$U150)=0,IF($D$2="Egyszeri",$AH150,$AG150),0),IF($D$4="Forint",0,2))</f>
        <v>0</v>
      </c>
      <c r="AJ150" s="13">
        <f t="shared" ref="AJ150:AJ213" si="42">$AB150+$AD150-$AE150+$AI150</f>
        <v>0</v>
      </c>
      <c r="AK150" s="13">
        <f t="shared" ref="AK150:AK213" si="43">$AJ150</f>
        <v>0</v>
      </c>
      <c r="AM150" s="32">
        <v>131</v>
      </c>
      <c r="AN150" s="32">
        <v>11</v>
      </c>
      <c r="AO150" s="32">
        <v>11</v>
      </c>
      <c r="AP150" s="13"/>
      <c r="AQ150" s="32"/>
      <c r="AR150" s="13">
        <f t="shared" ref="AR150:AR213" si="44">IF(ISBLANK($AQ150),$AP150,$AQ150)+$AY149</f>
        <v>0</v>
      </c>
      <c r="AS150" s="33"/>
      <c r="AT150" s="13">
        <f t="shared" si="38"/>
        <v>0</v>
      </c>
      <c r="AU150" s="13">
        <f>ROUNDUP(($AR150+$AT150)*VLOOKUP($AN150,Paraméterek!$P$38:$Q$38,2)/12,IF($D$4="Forint",0,2))</f>
        <v>0</v>
      </c>
      <c r="AV150" s="13"/>
      <c r="AW150" s="13"/>
      <c r="AX150" s="13">
        <f>ROUNDUP(IF(SUM($AV150:$AW150)=0,0,IF(IF(ISBLANK($AW150),$AV150,$AW150)*Paraméterek!$J$112&lt;IF($D$4="Forint",Paraméterek!$J$113,Paraméterek!$K$113),IF($D$4="Forint",Paraméterek!$J$113,Paraméterek!$K$113),IF(IF(ISBLANK($AW150),$AV150,$AW150)*Paraméterek!$J$112&gt;IF($D$4="Forint",Paraméterek!$J$114,Paraméterek!$K$114),IF($D$4="Forint",Paraméterek!$J$114,Paraméterek!$K$114),IF(ISBLANK($AW150),$AV150,$AW150)*Paraméterek!$J$112))),IF($D$4="Forint",0,2))</f>
        <v>0</v>
      </c>
      <c r="AY150" s="13">
        <f>$AR150+$AT150-$AU150-IF(ROUNDDOWN(IF(ISBLANK($AW150),$AV150,$AW150),IF($D$4="Forint",0,2))&gt;$AR150+$AT150-$AU150-IF($D$4="Forint",Paraméterek!$J$114,Paraméterek!$K$114),0,ROUNDDOWN(IF(ISBLANK($AW150),$AV150,$AW150),IF($D$4="Forint",0,2))-$AX150)</f>
        <v>0</v>
      </c>
      <c r="AZ150" s="13">
        <f t="shared" si="39"/>
        <v>0</v>
      </c>
    </row>
    <row r="151" spans="1:52" x14ac:dyDescent="0.2">
      <c r="A151" s="32">
        <v>132</v>
      </c>
      <c r="B151" s="32">
        <v>11</v>
      </c>
      <c r="C151" s="32">
        <v>12</v>
      </c>
      <c r="D151" s="13">
        <f t="shared" si="30"/>
        <v>0</v>
      </c>
      <c r="E151" s="13"/>
      <c r="F151" s="13"/>
      <c r="G151" s="13"/>
      <c r="H151" s="13">
        <f t="shared" si="31"/>
        <v>0</v>
      </c>
      <c r="I151" s="13">
        <f t="shared" si="32"/>
        <v>0</v>
      </c>
      <c r="J151" s="13">
        <f t="shared" si="33"/>
        <v>0</v>
      </c>
      <c r="K151" s="13">
        <f>ROUNDUP(IF($D$2="Egyszeri",$D151,IF($D$2="Havi",SUM($D$20:$D$31),IF(MOD($C151,$M$1)-1=0,SUM($D$20:$D$31),0))/12*$M$1)*VLOOKUP($B151,Paraméterek!$B$27:$D$30,IF($D$2="Egyszeri",3,2)),IF($D$4="Forint",0,2))</f>
        <v>0</v>
      </c>
      <c r="L151" s="13">
        <f t="shared" si="34"/>
        <v>0</v>
      </c>
      <c r="M151" s="13">
        <f t="shared" ca="1" si="40"/>
        <v>-71981</v>
      </c>
      <c r="N151" s="13">
        <f ca="1">IF($V150&gt;=VLOOKUP($M$4-1+$B151,Paraméterek!$B$121:$D$122,IF($D$4="Forint",2,3)),0,VLOOKUP($M$4-1+$B151,Paraméterek!$B$121:$D$122,IF($D$4="Forint",2,3))-$V150)</f>
        <v>81981</v>
      </c>
      <c r="O151" s="13">
        <f ca="1">ROUNDUP($N151*Paraméterek!$C$58/Paraméterek!$C$56,IF($D$4="Forint",0,2))</f>
        <v>14</v>
      </c>
      <c r="P151" s="13">
        <f t="shared" si="35"/>
        <v>740</v>
      </c>
      <c r="Q151" s="33"/>
      <c r="R151" s="13">
        <f t="shared" ca="1" si="36"/>
        <v>0</v>
      </c>
      <c r="S151" s="13">
        <f ca="1">ROUNDUP(($M151-$O151-$P151+$R151)*VLOOKUP($B151,Paraméterek!$B$38:$D$39,IF($D$2="Egyszeri",3,2))/12,IF($D$4="Forint",0,2))</f>
        <v>-197</v>
      </c>
      <c r="T151" s="13">
        <f>Tranzakciók!$F$42</f>
        <v>0</v>
      </c>
      <c r="U151" s="13"/>
      <c r="V151" s="13">
        <f ca="1">$M151-$O151-$P151+$R151-$S151-IF(ROUNDUP(IF(ISBLANK($U151),$T151,$U151)/IF(AND($B151=1,$D$2&lt;&gt;"Egyszeri"),1,VLOOKUP($B151+IF($C151=12,1,0),Paraméterek!$B$257:$D$267,IF($D$2="Egyszeri",3,2))),IF($D$4="Forint",0,2))&gt;$M151-$O151-$P151+$R151-$S151-IF($D$4="Forint",Paraméterek!$C$216,Paraméterek!$D$216),0,ROUNDUP(IF(ISBLANK($U151),$T151,$U151)/IF(AND($B151=1,$D$2&lt;&gt;"Egyszeri"),1,VLOOKUP($B151+IF($C151=12,1,0),Paraméterek!$B$257:$D$267,IF($D$2="Egyszeri",3,2))),IF($D$4="Forint",0,2)))</f>
        <v>-72538</v>
      </c>
      <c r="W151" s="13">
        <f ca="1">ROUNDDOWN($V151*VLOOKUP($B151+IF($C151=12,1,0),Paraméterek!$B$257:$D$267,IF($D$2="Egyszeri",3,2)),IF($D$4="Forint",0,2))</f>
        <v>-72538</v>
      </c>
      <c r="Y151" s="32">
        <v>132</v>
      </c>
      <c r="Z151" s="32">
        <v>11</v>
      </c>
      <c r="AA151" s="32">
        <v>12</v>
      </c>
      <c r="AB151" s="13">
        <f t="shared" si="41"/>
        <v>0</v>
      </c>
      <c r="AC151" s="33"/>
      <c r="AD151" s="13">
        <f t="shared" si="37"/>
        <v>0</v>
      </c>
      <c r="AE151" s="13">
        <f>ROUNDUP(($AB151+$AD151)*VLOOKUP($Z151,Paraméterek!$P$38:$Q$38,2)/12,IF($D$4="Forint",0,2))</f>
        <v>0</v>
      </c>
      <c r="AF151" s="13">
        <f>IF($D$2="Egyszeri",IF($D$7&gt;=IF($D$4="Forint",Paraméterek!$P$223,Paraméterek!$P$224),$D$7-IF($D$4="Forint",Paraméterek!$F$223,Paraméterek!$F$224),0),MIN(IF($AA151=12,AVERAGE($D$20:$D151)*12,0),SUM($D$20:$D$31)))</f>
        <v>0</v>
      </c>
      <c r="AG151" s="13">
        <f>IF(AND($Z151&gt;=10,MOD($Z151,5)=0),$AF151*IF($AA151=12,VLOOKUP($Z151,Paraméterek!$B$225:$F$240,IF($AF151&lt;IF($D$4="Forint",Paraméterek!$C$223,Paraméterek!$C$224),2,IF($AF151&lt;IF($D$4="Forint",Paraméterek!$D$223,Paraméterek!$D$224),3,4))),0),0)</f>
        <v>0</v>
      </c>
      <c r="AH151" s="13">
        <f>IF(AND($Z151&gt;=5,MOD($Z151,5)=0),IF($AA151=12,VLOOKUP($Z151,Paraméterek!$B$225:$F$240,5),0),IF(OR($Z151=3,$Z151=4),IF($AA151=12,VLOOKUP($Z151,Paraméterek!$B$225:$F$240,5,0),0),0))*$AF151</f>
        <v>0</v>
      </c>
      <c r="AI151" s="13">
        <f>ROUNDDOWN(IF(SUM($T$20:$U151)=0,IF($D$2="Egyszeri",$AH151,$AG151),0),IF($D$4="Forint",0,2))</f>
        <v>0</v>
      </c>
      <c r="AJ151" s="13">
        <f t="shared" si="42"/>
        <v>0</v>
      </c>
      <c r="AK151" s="13">
        <f t="shared" si="43"/>
        <v>0</v>
      </c>
      <c r="AM151" s="32">
        <v>132</v>
      </c>
      <c r="AN151" s="32">
        <v>11</v>
      </c>
      <c r="AO151" s="32">
        <v>12</v>
      </c>
      <c r="AP151" s="13"/>
      <c r="AQ151" s="32"/>
      <c r="AR151" s="13">
        <f t="shared" si="44"/>
        <v>0</v>
      </c>
      <c r="AS151" s="33"/>
      <c r="AT151" s="13">
        <f t="shared" si="38"/>
        <v>0</v>
      </c>
      <c r="AU151" s="13">
        <f>ROUNDUP(($AR151+$AT151)*VLOOKUP($AN151,Paraméterek!$P$38:$Q$38,2)/12,IF($D$4="Forint",0,2))</f>
        <v>0</v>
      </c>
      <c r="AV151" s="13">
        <f>Tranzakciók!$M$42</f>
        <v>0</v>
      </c>
      <c r="AW151" s="13"/>
      <c r="AX151" s="13">
        <f>ROUNDUP(IF(SUM($AV151:$AW151)=0,0,IF(IF(ISBLANK($AW151),$AV151,$AW151)*Paraméterek!$J$112&lt;IF($D$4="Forint",Paraméterek!$J$113,Paraméterek!$K$113),IF($D$4="Forint",Paraméterek!$J$113,Paraméterek!$K$113),IF(IF(ISBLANK($AW151),$AV151,$AW151)*Paraméterek!$J$112&gt;IF($D$4="Forint",Paraméterek!$J$114,Paraméterek!$K$114),IF($D$4="Forint",Paraméterek!$J$114,Paraméterek!$K$114),IF(ISBLANK($AW151),$AV151,$AW151)*Paraméterek!$J$112))),IF($D$4="Forint",0,2))</f>
        <v>0</v>
      </c>
      <c r="AY151" s="13">
        <f>$AR151+$AT151-$AU151-IF(ROUNDDOWN(IF(ISBLANK($AW151),$AV151,$AW151),IF($D$4="Forint",0,2))&gt;$AR151+$AT151-$AU151-IF($D$4="Forint",Paraméterek!$J$114,Paraméterek!$K$114),0,ROUNDDOWN(IF(ISBLANK($AW151),$AV151,$AW151),IF($D$4="Forint",0,2))-$AX151)</f>
        <v>0</v>
      </c>
      <c r="AZ151" s="13">
        <f t="shared" si="39"/>
        <v>0</v>
      </c>
    </row>
    <row r="152" spans="1:52" x14ac:dyDescent="0.2">
      <c r="A152" s="32">
        <v>133</v>
      </c>
      <c r="B152" s="32">
        <v>12</v>
      </c>
      <c r="C152" s="32">
        <v>1</v>
      </c>
      <c r="D152" s="13">
        <f t="shared" si="30"/>
        <v>0</v>
      </c>
      <c r="E152" s="13"/>
      <c r="F152" s="13">
        <f>Tranzakciók!$D$43</f>
        <v>0</v>
      </c>
      <c r="G152" s="13"/>
      <c r="H152" s="13">
        <f t="shared" si="31"/>
        <v>0</v>
      </c>
      <c r="I152" s="13">
        <f t="shared" si="32"/>
        <v>139</v>
      </c>
      <c r="J152" s="13">
        <f t="shared" si="33"/>
        <v>139</v>
      </c>
      <c r="K152" s="13">
        <f>ROUNDUP(IF($D$2="Egyszeri",$D152,IF($D$2="Havi",SUM($D$20:$D$31),IF(MOD($C152,$M$1)-1=0,SUM($D$20:$D$31),0))/12*$M$1)*VLOOKUP($B152,Paraméterek!$B$27:$D$30,IF($D$2="Egyszeri",3,2)),IF($D$4="Forint",0,2))</f>
        <v>0</v>
      </c>
      <c r="L152" s="13">
        <f t="shared" si="34"/>
        <v>0</v>
      </c>
      <c r="M152" s="13">
        <f t="shared" ca="1" si="40"/>
        <v>-72538</v>
      </c>
      <c r="N152" s="13">
        <f ca="1">IF($V151&gt;=VLOOKUP($M$4-1+$B152,Paraméterek!$B$121:$D$122,IF($D$4="Forint",2,3)),0,VLOOKUP($M$4-1+$B152,Paraméterek!$B$121:$D$122,IF($D$4="Forint",2,3))-$V151)</f>
        <v>82538</v>
      </c>
      <c r="O152" s="13">
        <f ca="1">ROUNDUP($N152*Paraméterek!$C$58/Paraméterek!$C$56,IF($D$4="Forint",0,2))</f>
        <v>14</v>
      </c>
      <c r="P152" s="13">
        <f t="shared" si="35"/>
        <v>762</v>
      </c>
      <c r="Q152" s="33"/>
      <c r="R152" s="13">
        <f t="shared" ca="1" si="36"/>
        <v>0</v>
      </c>
      <c r="S152" s="13">
        <f ca="1">ROUNDUP(($M152-$O152-$P152+$R152)*VLOOKUP($B152,Paraméterek!$B$38:$D$39,IF($D$2="Egyszeri",3,2))/12,IF($D$4="Forint",0,2))</f>
        <v>-199</v>
      </c>
      <c r="T152" s="13"/>
      <c r="U152" s="13"/>
      <c r="V152" s="13">
        <f ca="1">$M152-$O152-$P152+$R152-$S152-IF(ROUNDUP(IF(ISBLANK($U152),$T152,$U152)/IF(AND($B152=1,$D$2&lt;&gt;"Egyszeri"),1,VLOOKUP($B152+IF($C152=12,1,0),Paraméterek!$B$257:$D$267,IF($D$2="Egyszeri",3,2))),IF($D$4="Forint",0,2))&gt;$M152-$O152-$P152+$R152-$S152-IF($D$4="Forint",Paraméterek!$C$216,Paraméterek!$D$216),0,ROUNDUP(IF(ISBLANK($U152),$T152,$U152)/IF(AND($B152=1,$D$2&lt;&gt;"Egyszeri"),1,VLOOKUP($B152+IF($C152=12,1,0),Paraméterek!$B$257:$D$267,IF($D$2="Egyszeri",3,2))),IF($D$4="Forint",0,2)))</f>
        <v>-73115</v>
      </c>
      <c r="W152" s="13">
        <f ca="1">ROUNDDOWN($V152*VLOOKUP($B152+IF($C152=12,1,0),Paraméterek!$B$257:$D$267,IF($D$2="Egyszeri",3,2)),IF($D$4="Forint",0,2))</f>
        <v>-73115</v>
      </c>
      <c r="Y152" s="32">
        <v>133</v>
      </c>
      <c r="Z152" s="32">
        <v>12</v>
      </c>
      <c r="AA152" s="32">
        <v>1</v>
      </c>
      <c r="AB152" s="13">
        <f t="shared" si="41"/>
        <v>0</v>
      </c>
      <c r="AC152" s="33"/>
      <c r="AD152" s="13">
        <f t="shared" si="37"/>
        <v>0</v>
      </c>
      <c r="AE152" s="13">
        <f>ROUNDUP(($AB152+$AD152)*VLOOKUP($Z152,Paraméterek!$P$38:$Q$38,2)/12,IF($D$4="Forint",0,2))</f>
        <v>0</v>
      </c>
      <c r="AF152" s="13">
        <f>IF($D$2="Egyszeri",IF($D$7&gt;=IF($D$4="Forint",Paraméterek!$P$223,Paraméterek!$P$224),$D$7-IF($D$4="Forint",Paraméterek!$F$223,Paraméterek!$F$224),0),MIN(IF($AA152=12,AVERAGE($D$20:$D152)*12,0),SUM($D$20:$D$31)))</f>
        <v>0</v>
      </c>
      <c r="AG152" s="13">
        <f>IF(AND($Z152&gt;=10,MOD($Z152,5)=0),$AF152*IF($AA152=12,VLOOKUP($Z152,Paraméterek!$B$225:$F$240,IF($AF152&lt;IF($D$4="Forint",Paraméterek!$C$223,Paraméterek!$C$224),2,IF($AF152&lt;IF($D$4="Forint",Paraméterek!$D$223,Paraméterek!$D$224),3,4))),0),0)</f>
        <v>0</v>
      </c>
      <c r="AH152" s="13">
        <f>IF(AND($Z152&gt;=5,MOD($Z152,5)=0),IF($AA152=12,VLOOKUP($Z152,Paraméterek!$B$225:$F$240,5),0),IF(OR($Z152=3,$Z152=4),IF($AA152=12,VLOOKUP($Z152,Paraméterek!$B$225:$F$240,5,0),0),0))*$AF152</f>
        <v>0</v>
      </c>
      <c r="AI152" s="13">
        <f>ROUNDDOWN(IF(SUM($T$20:$U152)=0,IF($D$2="Egyszeri",$AH152,$AG152),0),IF($D$4="Forint",0,2))</f>
        <v>0</v>
      </c>
      <c r="AJ152" s="13">
        <f t="shared" si="42"/>
        <v>0</v>
      </c>
      <c r="AK152" s="13">
        <f t="shared" si="43"/>
        <v>0</v>
      </c>
      <c r="AM152" s="32">
        <v>133</v>
      </c>
      <c r="AN152" s="32">
        <v>12</v>
      </c>
      <c r="AO152" s="32">
        <v>1</v>
      </c>
      <c r="AP152" s="13">
        <f>Tranzakciók!$K$43</f>
        <v>0</v>
      </c>
      <c r="AQ152" s="32"/>
      <c r="AR152" s="13">
        <f t="shared" si="44"/>
        <v>0</v>
      </c>
      <c r="AS152" s="33"/>
      <c r="AT152" s="13">
        <f t="shared" si="38"/>
        <v>0</v>
      </c>
      <c r="AU152" s="13">
        <f>ROUNDUP(($AR152+$AT152)*VLOOKUP($AN152,Paraméterek!$P$38:$Q$38,2)/12,IF($D$4="Forint",0,2))</f>
        <v>0</v>
      </c>
      <c r="AV152" s="13"/>
      <c r="AW152" s="13"/>
      <c r="AX152" s="13">
        <f>ROUNDUP(IF(SUM($AV152:$AW152)=0,0,IF(IF(ISBLANK($AW152),$AV152,$AW152)*Paraméterek!$J$112&lt;IF($D$4="Forint",Paraméterek!$J$113,Paraméterek!$K$113),IF($D$4="Forint",Paraméterek!$J$113,Paraméterek!$K$113),IF(IF(ISBLANK($AW152),$AV152,$AW152)*Paraméterek!$J$112&gt;IF($D$4="Forint",Paraméterek!$J$114,Paraméterek!$K$114),IF($D$4="Forint",Paraméterek!$J$114,Paraméterek!$K$114),IF(ISBLANK($AW152),$AV152,$AW152)*Paraméterek!$J$112))),IF($D$4="Forint",0,2))</f>
        <v>0</v>
      </c>
      <c r="AY152" s="13">
        <f>$AR152+$AT152-$AU152-IF(ROUNDDOWN(IF(ISBLANK($AW152),$AV152,$AW152),IF($D$4="Forint",0,2))&gt;$AR152+$AT152-$AU152-IF($D$4="Forint",Paraméterek!$J$114,Paraméterek!$K$114),0,ROUNDDOWN(IF(ISBLANK($AW152),$AV152,$AW152),IF($D$4="Forint",0,2))-$AX152)</f>
        <v>0</v>
      </c>
      <c r="AZ152" s="13">
        <f t="shared" si="39"/>
        <v>0</v>
      </c>
    </row>
    <row r="153" spans="1:52" x14ac:dyDescent="0.2">
      <c r="A153" s="32">
        <v>134</v>
      </c>
      <c r="B153" s="32">
        <v>12</v>
      </c>
      <c r="C153" s="32">
        <v>2</v>
      </c>
      <c r="D153" s="13">
        <f t="shared" si="30"/>
        <v>0</v>
      </c>
      <c r="E153" s="13"/>
      <c r="F153" s="13"/>
      <c r="G153" s="13"/>
      <c r="H153" s="13">
        <f t="shared" si="31"/>
        <v>0</v>
      </c>
      <c r="I153" s="13">
        <f t="shared" si="32"/>
        <v>0</v>
      </c>
      <c r="J153" s="13">
        <f t="shared" si="33"/>
        <v>0</v>
      </c>
      <c r="K153" s="13">
        <f>ROUNDUP(IF($D$2="Egyszeri",$D153,IF($D$2="Havi",SUM($D$20:$D$31),IF(MOD($C153,$M$1)-1=0,SUM($D$20:$D$31),0))/12*$M$1)*VLOOKUP($B153,Paraméterek!$B$27:$D$30,IF($D$2="Egyszeri",3,2)),IF($D$4="Forint",0,2))</f>
        <v>0</v>
      </c>
      <c r="L153" s="13">
        <f t="shared" si="34"/>
        <v>0</v>
      </c>
      <c r="M153" s="13">
        <f t="shared" ca="1" si="40"/>
        <v>-73115</v>
      </c>
      <c r="N153" s="13">
        <f ca="1">IF($V152&gt;=VLOOKUP($M$4-1+$B153,Paraméterek!$B$121:$D$122,IF($D$4="Forint",2,3)),0,VLOOKUP($M$4-1+$B153,Paraméterek!$B$121:$D$122,IF($D$4="Forint",2,3))-$V152)</f>
        <v>83115</v>
      </c>
      <c r="O153" s="13">
        <f ca="1">ROUNDUP($N153*Paraméterek!$C$58/Paraméterek!$C$56,IF($D$4="Forint",0,2))</f>
        <v>14</v>
      </c>
      <c r="P153" s="13">
        <f t="shared" si="35"/>
        <v>762</v>
      </c>
      <c r="Q153" s="33"/>
      <c r="R153" s="13">
        <f t="shared" ca="1" si="36"/>
        <v>0</v>
      </c>
      <c r="S153" s="13">
        <f ca="1">ROUNDUP(($M153-$O153-$P153+$R153)*VLOOKUP($B153,Paraméterek!$B$38:$D$39,IF($D$2="Egyszeri",3,2))/12,IF($D$4="Forint",0,2))</f>
        <v>-201</v>
      </c>
      <c r="T153" s="13"/>
      <c r="U153" s="13"/>
      <c r="V153" s="13">
        <f ca="1">$M153-$O153-$P153+$R153-$S153-IF(ROUNDUP(IF(ISBLANK($U153),$T153,$U153)/IF(AND($B153=1,$D$2&lt;&gt;"Egyszeri"),1,VLOOKUP($B153+IF($C153=12,1,0),Paraméterek!$B$257:$D$267,IF($D$2="Egyszeri",3,2))),IF($D$4="Forint",0,2))&gt;$M153-$O153-$P153+$R153-$S153-IF($D$4="Forint",Paraméterek!$C$216,Paraméterek!$D$216),0,ROUNDUP(IF(ISBLANK($U153),$T153,$U153)/IF(AND($B153=1,$D$2&lt;&gt;"Egyszeri"),1,VLOOKUP($B153+IF($C153=12,1,0),Paraméterek!$B$257:$D$267,IF($D$2="Egyszeri",3,2))),IF($D$4="Forint",0,2)))</f>
        <v>-73690</v>
      </c>
      <c r="W153" s="13">
        <f ca="1">ROUNDDOWN($V153*VLOOKUP($B153+IF($C153=12,1,0),Paraméterek!$B$257:$D$267,IF($D$2="Egyszeri",3,2)),IF($D$4="Forint",0,2))</f>
        <v>-73690</v>
      </c>
      <c r="Y153" s="32">
        <v>134</v>
      </c>
      <c r="Z153" s="32">
        <v>12</v>
      </c>
      <c r="AA153" s="32">
        <v>2</v>
      </c>
      <c r="AB153" s="13">
        <f t="shared" si="41"/>
        <v>0</v>
      </c>
      <c r="AC153" s="33"/>
      <c r="AD153" s="13">
        <f t="shared" si="37"/>
        <v>0</v>
      </c>
      <c r="AE153" s="13">
        <f>ROUNDUP(($AB153+$AD153)*VLOOKUP($Z153,Paraméterek!$P$38:$Q$38,2)/12,IF($D$4="Forint",0,2))</f>
        <v>0</v>
      </c>
      <c r="AF153" s="13">
        <f>IF($D$2="Egyszeri",IF($D$7&gt;=IF($D$4="Forint",Paraméterek!$P$223,Paraméterek!$P$224),$D$7-IF($D$4="Forint",Paraméterek!$F$223,Paraméterek!$F$224),0),MIN(IF($AA153=12,AVERAGE($D$20:$D153)*12,0),SUM($D$20:$D$31)))</f>
        <v>0</v>
      </c>
      <c r="AG153" s="13">
        <f>IF(AND($Z153&gt;=10,MOD($Z153,5)=0),$AF153*IF($AA153=12,VLOOKUP($Z153,Paraméterek!$B$225:$F$240,IF($AF153&lt;IF($D$4="Forint",Paraméterek!$C$223,Paraméterek!$C$224),2,IF($AF153&lt;IF($D$4="Forint",Paraméterek!$D$223,Paraméterek!$D$224),3,4))),0),0)</f>
        <v>0</v>
      </c>
      <c r="AH153" s="13">
        <f>IF(AND($Z153&gt;=5,MOD($Z153,5)=0),IF($AA153=12,VLOOKUP($Z153,Paraméterek!$B$225:$F$240,5),0),IF(OR($Z153=3,$Z153=4),IF($AA153=12,VLOOKUP($Z153,Paraméterek!$B$225:$F$240,5,0),0),0))*$AF153</f>
        <v>0</v>
      </c>
      <c r="AI153" s="13">
        <f>ROUNDDOWN(IF(SUM($T$20:$U153)=0,IF($D$2="Egyszeri",$AH153,$AG153),0),IF($D$4="Forint",0,2))</f>
        <v>0</v>
      </c>
      <c r="AJ153" s="13">
        <f t="shared" si="42"/>
        <v>0</v>
      </c>
      <c r="AK153" s="13">
        <f t="shared" si="43"/>
        <v>0</v>
      </c>
      <c r="AM153" s="32">
        <v>134</v>
      </c>
      <c r="AN153" s="32">
        <v>12</v>
      </c>
      <c r="AO153" s="32">
        <v>2</v>
      </c>
      <c r="AP153" s="13"/>
      <c r="AQ153" s="32"/>
      <c r="AR153" s="13">
        <f t="shared" si="44"/>
        <v>0</v>
      </c>
      <c r="AS153" s="33"/>
      <c r="AT153" s="13">
        <f t="shared" si="38"/>
        <v>0</v>
      </c>
      <c r="AU153" s="13">
        <f>ROUNDUP(($AR153+$AT153)*VLOOKUP($AN153,Paraméterek!$P$38:$Q$38,2)/12,IF($D$4="Forint",0,2))</f>
        <v>0</v>
      </c>
      <c r="AV153" s="13"/>
      <c r="AW153" s="13"/>
      <c r="AX153" s="13">
        <f>ROUNDUP(IF(SUM($AV153:$AW153)=0,0,IF(IF(ISBLANK($AW153),$AV153,$AW153)*Paraméterek!$J$112&lt;IF($D$4="Forint",Paraméterek!$J$113,Paraméterek!$K$113),IF($D$4="Forint",Paraméterek!$J$113,Paraméterek!$K$113),IF(IF(ISBLANK($AW153),$AV153,$AW153)*Paraméterek!$J$112&gt;IF($D$4="Forint",Paraméterek!$J$114,Paraméterek!$K$114),IF($D$4="Forint",Paraméterek!$J$114,Paraméterek!$K$114),IF(ISBLANK($AW153),$AV153,$AW153)*Paraméterek!$J$112))),IF($D$4="Forint",0,2))</f>
        <v>0</v>
      </c>
      <c r="AY153" s="13">
        <f>$AR153+$AT153-$AU153-IF(ROUNDDOWN(IF(ISBLANK($AW153),$AV153,$AW153),IF($D$4="Forint",0,2))&gt;$AR153+$AT153-$AU153-IF($D$4="Forint",Paraméterek!$J$114,Paraméterek!$K$114),0,ROUNDDOWN(IF(ISBLANK($AW153),$AV153,$AW153),IF($D$4="Forint",0,2))-$AX153)</f>
        <v>0</v>
      </c>
      <c r="AZ153" s="13">
        <f t="shared" si="39"/>
        <v>0</v>
      </c>
    </row>
    <row r="154" spans="1:52" x14ac:dyDescent="0.2">
      <c r="A154" s="32">
        <v>135</v>
      </c>
      <c r="B154" s="32">
        <v>12</v>
      </c>
      <c r="C154" s="32">
        <v>3</v>
      </c>
      <c r="D154" s="13">
        <f t="shared" si="30"/>
        <v>0</v>
      </c>
      <c r="E154" s="13"/>
      <c r="F154" s="13"/>
      <c r="G154" s="13"/>
      <c r="H154" s="13">
        <f t="shared" si="31"/>
        <v>0</v>
      </c>
      <c r="I154" s="13">
        <f t="shared" si="32"/>
        <v>0</v>
      </c>
      <c r="J154" s="13">
        <f t="shared" si="33"/>
        <v>0</v>
      </c>
      <c r="K154" s="13">
        <f>ROUNDUP(IF($D$2="Egyszeri",$D154,IF($D$2="Havi",SUM($D$20:$D$31),IF(MOD($C154,$M$1)-1=0,SUM($D$20:$D$31),0))/12*$M$1)*VLOOKUP($B154,Paraméterek!$B$27:$D$30,IF($D$2="Egyszeri",3,2)),IF($D$4="Forint",0,2))</f>
        <v>0</v>
      </c>
      <c r="L154" s="13">
        <f t="shared" si="34"/>
        <v>0</v>
      </c>
      <c r="M154" s="13">
        <f t="shared" ca="1" si="40"/>
        <v>-73690</v>
      </c>
      <c r="N154" s="13">
        <f ca="1">IF($V153&gt;=VLOOKUP($M$4-1+$B154,Paraméterek!$B$121:$D$122,IF($D$4="Forint",2,3)),0,VLOOKUP($M$4-1+$B154,Paraméterek!$B$121:$D$122,IF($D$4="Forint",2,3))-$V153)</f>
        <v>83690</v>
      </c>
      <c r="O154" s="13">
        <f ca="1">ROUNDUP($N154*Paraméterek!$C$58/Paraméterek!$C$56,IF($D$4="Forint",0,2))</f>
        <v>14</v>
      </c>
      <c r="P154" s="13">
        <f t="shared" si="35"/>
        <v>762</v>
      </c>
      <c r="Q154" s="33"/>
      <c r="R154" s="13">
        <f t="shared" ca="1" si="36"/>
        <v>0</v>
      </c>
      <c r="S154" s="13">
        <f ca="1">ROUNDUP(($M154-$O154-$P154+$R154)*VLOOKUP($B154,Paraméterek!$B$38:$D$39,IF($D$2="Egyszeri",3,2))/12,IF($D$4="Forint",0,2))</f>
        <v>-202</v>
      </c>
      <c r="T154" s="13"/>
      <c r="U154" s="13"/>
      <c r="V154" s="13">
        <f ca="1">$M154-$O154-$P154+$R154-$S154-IF(ROUNDUP(IF(ISBLANK($U154),$T154,$U154)/IF(AND($B154=1,$D$2&lt;&gt;"Egyszeri"),1,VLOOKUP($B154+IF($C154=12,1,0),Paraméterek!$B$257:$D$267,IF($D$2="Egyszeri",3,2))),IF($D$4="Forint",0,2))&gt;$M154-$O154-$P154+$R154-$S154-IF($D$4="Forint",Paraméterek!$C$216,Paraméterek!$D$216),0,ROUNDUP(IF(ISBLANK($U154),$T154,$U154)/IF(AND($B154=1,$D$2&lt;&gt;"Egyszeri"),1,VLOOKUP($B154+IF($C154=12,1,0),Paraméterek!$B$257:$D$267,IF($D$2="Egyszeri",3,2))),IF($D$4="Forint",0,2)))</f>
        <v>-74264</v>
      </c>
      <c r="W154" s="13">
        <f ca="1">ROUNDDOWN($V154*VLOOKUP($B154+IF($C154=12,1,0),Paraméterek!$B$257:$D$267,IF($D$2="Egyszeri",3,2)),IF($D$4="Forint",0,2))</f>
        <v>-74264</v>
      </c>
      <c r="Y154" s="32">
        <v>135</v>
      </c>
      <c r="Z154" s="32">
        <v>12</v>
      </c>
      <c r="AA154" s="32">
        <v>3</v>
      </c>
      <c r="AB154" s="13">
        <f t="shared" si="41"/>
        <v>0</v>
      </c>
      <c r="AC154" s="33"/>
      <c r="AD154" s="13">
        <f t="shared" si="37"/>
        <v>0</v>
      </c>
      <c r="AE154" s="13">
        <f>ROUNDUP(($AB154+$AD154)*VLOOKUP($Z154,Paraméterek!$P$38:$Q$38,2)/12,IF($D$4="Forint",0,2))</f>
        <v>0</v>
      </c>
      <c r="AF154" s="13">
        <f>IF($D$2="Egyszeri",IF($D$7&gt;=IF($D$4="Forint",Paraméterek!$P$223,Paraméterek!$P$224),$D$7-IF($D$4="Forint",Paraméterek!$F$223,Paraméterek!$F$224),0),MIN(IF($AA154=12,AVERAGE($D$20:$D154)*12,0),SUM($D$20:$D$31)))</f>
        <v>0</v>
      </c>
      <c r="AG154" s="13">
        <f>IF(AND($Z154&gt;=10,MOD($Z154,5)=0),$AF154*IF($AA154=12,VLOOKUP($Z154,Paraméterek!$B$225:$F$240,IF($AF154&lt;IF($D$4="Forint",Paraméterek!$C$223,Paraméterek!$C$224),2,IF($AF154&lt;IF($D$4="Forint",Paraméterek!$D$223,Paraméterek!$D$224),3,4))),0),0)</f>
        <v>0</v>
      </c>
      <c r="AH154" s="13">
        <f>IF(AND($Z154&gt;=5,MOD($Z154,5)=0),IF($AA154=12,VLOOKUP($Z154,Paraméterek!$B$225:$F$240,5),0),IF(OR($Z154=3,$Z154=4),IF($AA154=12,VLOOKUP($Z154,Paraméterek!$B$225:$F$240,5,0),0),0))*$AF154</f>
        <v>0</v>
      </c>
      <c r="AI154" s="13">
        <f>ROUNDDOWN(IF(SUM($T$20:$U154)=0,IF($D$2="Egyszeri",$AH154,$AG154),0),IF($D$4="Forint",0,2))</f>
        <v>0</v>
      </c>
      <c r="AJ154" s="13">
        <f t="shared" si="42"/>
        <v>0</v>
      </c>
      <c r="AK154" s="13">
        <f t="shared" si="43"/>
        <v>0</v>
      </c>
      <c r="AM154" s="32">
        <v>135</v>
      </c>
      <c r="AN154" s="32">
        <v>12</v>
      </c>
      <c r="AO154" s="32">
        <v>3</v>
      </c>
      <c r="AP154" s="13"/>
      <c r="AQ154" s="32"/>
      <c r="AR154" s="13">
        <f t="shared" si="44"/>
        <v>0</v>
      </c>
      <c r="AS154" s="33"/>
      <c r="AT154" s="13">
        <f t="shared" si="38"/>
        <v>0</v>
      </c>
      <c r="AU154" s="13">
        <f>ROUNDUP(($AR154+$AT154)*VLOOKUP($AN154,Paraméterek!$P$38:$Q$38,2)/12,IF($D$4="Forint",0,2))</f>
        <v>0</v>
      </c>
      <c r="AV154" s="13"/>
      <c r="AW154" s="13"/>
      <c r="AX154" s="13">
        <f>ROUNDUP(IF(SUM($AV154:$AW154)=0,0,IF(IF(ISBLANK($AW154),$AV154,$AW154)*Paraméterek!$J$112&lt;IF($D$4="Forint",Paraméterek!$J$113,Paraméterek!$K$113),IF($D$4="Forint",Paraméterek!$J$113,Paraméterek!$K$113),IF(IF(ISBLANK($AW154),$AV154,$AW154)*Paraméterek!$J$112&gt;IF($D$4="Forint",Paraméterek!$J$114,Paraméterek!$K$114),IF($D$4="Forint",Paraméterek!$J$114,Paraméterek!$K$114),IF(ISBLANK($AW154),$AV154,$AW154)*Paraméterek!$J$112))),IF($D$4="Forint",0,2))</f>
        <v>0</v>
      </c>
      <c r="AY154" s="13">
        <f>$AR154+$AT154-$AU154-IF(ROUNDDOWN(IF(ISBLANK($AW154),$AV154,$AW154),IF($D$4="Forint",0,2))&gt;$AR154+$AT154-$AU154-IF($D$4="Forint",Paraméterek!$J$114,Paraméterek!$K$114),0,ROUNDDOWN(IF(ISBLANK($AW154),$AV154,$AW154),IF($D$4="Forint",0,2))-$AX154)</f>
        <v>0</v>
      </c>
      <c r="AZ154" s="13">
        <f t="shared" si="39"/>
        <v>0</v>
      </c>
    </row>
    <row r="155" spans="1:52" x14ac:dyDescent="0.2">
      <c r="A155" s="32">
        <v>136</v>
      </c>
      <c r="B155" s="32">
        <v>12</v>
      </c>
      <c r="C155" s="32">
        <v>4</v>
      </c>
      <c r="D155" s="13">
        <f t="shared" si="30"/>
        <v>0</v>
      </c>
      <c r="E155" s="13"/>
      <c r="F155" s="13"/>
      <c r="G155" s="13"/>
      <c r="H155" s="13">
        <f t="shared" si="31"/>
        <v>0</v>
      </c>
      <c r="I155" s="13">
        <f t="shared" si="32"/>
        <v>0</v>
      </c>
      <c r="J155" s="13">
        <f t="shared" si="33"/>
        <v>0</v>
      </c>
      <c r="K155" s="13">
        <f>ROUNDUP(IF($D$2="Egyszeri",$D155,IF($D$2="Havi",SUM($D$20:$D$31),IF(MOD($C155,$M$1)-1=0,SUM($D$20:$D$31),0))/12*$M$1)*VLOOKUP($B155,Paraméterek!$B$27:$D$30,IF($D$2="Egyszeri",3,2)),IF($D$4="Forint",0,2))</f>
        <v>0</v>
      </c>
      <c r="L155" s="13">
        <f t="shared" si="34"/>
        <v>0</v>
      </c>
      <c r="M155" s="13">
        <f t="shared" ca="1" si="40"/>
        <v>-74264</v>
      </c>
      <c r="N155" s="13">
        <f ca="1">IF($V154&gt;=VLOOKUP($M$4-1+$B155,Paraméterek!$B$121:$D$122,IF($D$4="Forint",2,3)),0,VLOOKUP($M$4-1+$B155,Paraméterek!$B$121:$D$122,IF($D$4="Forint",2,3))-$V154)</f>
        <v>84264</v>
      </c>
      <c r="O155" s="13">
        <f ca="1">ROUNDUP($N155*Paraméterek!$C$58/Paraméterek!$C$56,IF($D$4="Forint",0,2))</f>
        <v>14</v>
      </c>
      <c r="P155" s="13">
        <f t="shared" si="35"/>
        <v>762</v>
      </c>
      <c r="Q155" s="33"/>
      <c r="R155" s="13">
        <f t="shared" ca="1" si="36"/>
        <v>0</v>
      </c>
      <c r="S155" s="13">
        <f ca="1">ROUNDUP(($M155-$O155-$P155+$R155)*VLOOKUP($B155,Paraméterek!$B$38:$D$39,IF($D$2="Egyszeri",3,2))/12,IF($D$4="Forint",0,2))</f>
        <v>-204</v>
      </c>
      <c r="T155" s="13"/>
      <c r="U155" s="13"/>
      <c r="V155" s="13">
        <f ca="1">$M155-$O155-$P155+$R155-$S155-IF(ROUNDUP(IF(ISBLANK($U155),$T155,$U155)/IF(AND($B155=1,$D$2&lt;&gt;"Egyszeri"),1,VLOOKUP($B155+IF($C155=12,1,0),Paraméterek!$B$257:$D$267,IF($D$2="Egyszeri",3,2))),IF($D$4="Forint",0,2))&gt;$M155-$O155-$P155+$R155-$S155-IF($D$4="Forint",Paraméterek!$C$216,Paraméterek!$D$216),0,ROUNDUP(IF(ISBLANK($U155),$T155,$U155)/IF(AND($B155=1,$D$2&lt;&gt;"Egyszeri"),1,VLOOKUP($B155+IF($C155=12,1,0),Paraméterek!$B$257:$D$267,IF($D$2="Egyszeri",3,2))),IF($D$4="Forint",0,2)))</f>
        <v>-74836</v>
      </c>
      <c r="W155" s="13">
        <f ca="1">ROUNDDOWN($V155*VLOOKUP($B155+IF($C155=12,1,0),Paraméterek!$B$257:$D$267,IF($D$2="Egyszeri",3,2)),IF($D$4="Forint",0,2))</f>
        <v>-74836</v>
      </c>
      <c r="Y155" s="32">
        <v>136</v>
      </c>
      <c r="Z155" s="32">
        <v>12</v>
      </c>
      <c r="AA155" s="32">
        <v>4</v>
      </c>
      <c r="AB155" s="13">
        <f t="shared" si="41"/>
        <v>0</v>
      </c>
      <c r="AC155" s="33"/>
      <c r="AD155" s="13">
        <f t="shared" si="37"/>
        <v>0</v>
      </c>
      <c r="AE155" s="13">
        <f>ROUNDUP(($AB155+$AD155)*VLOOKUP($Z155,Paraméterek!$P$38:$Q$38,2)/12,IF($D$4="Forint",0,2))</f>
        <v>0</v>
      </c>
      <c r="AF155" s="13">
        <f>IF($D$2="Egyszeri",IF($D$7&gt;=IF($D$4="Forint",Paraméterek!$P$223,Paraméterek!$P$224),$D$7-IF($D$4="Forint",Paraméterek!$F$223,Paraméterek!$F$224),0),MIN(IF($AA155=12,AVERAGE($D$20:$D155)*12,0),SUM($D$20:$D$31)))</f>
        <v>0</v>
      </c>
      <c r="AG155" s="13">
        <f>IF(AND($Z155&gt;=10,MOD($Z155,5)=0),$AF155*IF($AA155=12,VLOOKUP($Z155,Paraméterek!$B$225:$F$240,IF($AF155&lt;IF($D$4="Forint",Paraméterek!$C$223,Paraméterek!$C$224),2,IF($AF155&lt;IF($D$4="Forint",Paraméterek!$D$223,Paraméterek!$D$224),3,4))),0),0)</f>
        <v>0</v>
      </c>
      <c r="AH155" s="13">
        <f>IF(AND($Z155&gt;=5,MOD($Z155,5)=0),IF($AA155=12,VLOOKUP($Z155,Paraméterek!$B$225:$F$240,5),0),IF(OR($Z155=3,$Z155=4),IF($AA155=12,VLOOKUP($Z155,Paraméterek!$B$225:$F$240,5,0),0),0))*$AF155</f>
        <v>0</v>
      </c>
      <c r="AI155" s="13">
        <f>ROUNDDOWN(IF(SUM($T$20:$U155)=0,IF($D$2="Egyszeri",$AH155,$AG155),0),IF($D$4="Forint",0,2))</f>
        <v>0</v>
      </c>
      <c r="AJ155" s="13">
        <f t="shared" si="42"/>
        <v>0</v>
      </c>
      <c r="AK155" s="13">
        <f t="shared" si="43"/>
        <v>0</v>
      </c>
      <c r="AM155" s="32">
        <v>136</v>
      </c>
      <c r="AN155" s="32">
        <v>12</v>
      </c>
      <c r="AO155" s="32">
        <v>4</v>
      </c>
      <c r="AP155" s="13"/>
      <c r="AQ155" s="32"/>
      <c r="AR155" s="13">
        <f t="shared" si="44"/>
        <v>0</v>
      </c>
      <c r="AS155" s="33"/>
      <c r="AT155" s="13">
        <f t="shared" si="38"/>
        <v>0</v>
      </c>
      <c r="AU155" s="13">
        <f>ROUNDUP(($AR155+$AT155)*VLOOKUP($AN155,Paraméterek!$P$38:$Q$38,2)/12,IF($D$4="Forint",0,2))</f>
        <v>0</v>
      </c>
      <c r="AV155" s="13"/>
      <c r="AW155" s="13"/>
      <c r="AX155" s="13">
        <f>ROUNDUP(IF(SUM($AV155:$AW155)=0,0,IF(IF(ISBLANK($AW155),$AV155,$AW155)*Paraméterek!$J$112&lt;IF($D$4="Forint",Paraméterek!$J$113,Paraméterek!$K$113),IF($D$4="Forint",Paraméterek!$J$113,Paraméterek!$K$113),IF(IF(ISBLANK($AW155),$AV155,$AW155)*Paraméterek!$J$112&gt;IF($D$4="Forint",Paraméterek!$J$114,Paraméterek!$K$114),IF($D$4="Forint",Paraméterek!$J$114,Paraméterek!$K$114),IF(ISBLANK($AW155),$AV155,$AW155)*Paraméterek!$J$112))),IF($D$4="Forint",0,2))</f>
        <v>0</v>
      </c>
      <c r="AY155" s="13">
        <f>$AR155+$AT155-$AU155-IF(ROUNDDOWN(IF(ISBLANK($AW155),$AV155,$AW155),IF($D$4="Forint",0,2))&gt;$AR155+$AT155-$AU155-IF($D$4="Forint",Paraméterek!$J$114,Paraméterek!$K$114),0,ROUNDDOWN(IF(ISBLANK($AW155),$AV155,$AW155),IF($D$4="Forint",0,2))-$AX155)</f>
        <v>0</v>
      </c>
      <c r="AZ155" s="13">
        <f t="shared" si="39"/>
        <v>0</v>
      </c>
    </row>
    <row r="156" spans="1:52" x14ac:dyDescent="0.2">
      <c r="A156" s="32">
        <v>137</v>
      </c>
      <c r="B156" s="32">
        <v>12</v>
      </c>
      <c r="C156" s="32">
        <v>5</v>
      </c>
      <c r="D156" s="13">
        <f t="shared" si="30"/>
        <v>0</v>
      </c>
      <c r="E156" s="13"/>
      <c r="F156" s="13"/>
      <c r="G156" s="13"/>
      <c r="H156" s="13">
        <f t="shared" si="31"/>
        <v>0</v>
      </c>
      <c r="I156" s="13">
        <f t="shared" si="32"/>
        <v>0</v>
      </c>
      <c r="J156" s="13">
        <f t="shared" si="33"/>
        <v>0</v>
      </c>
      <c r="K156" s="13">
        <f>ROUNDUP(IF($D$2="Egyszeri",$D156,IF($D$2="Havi",SUM($D$20:$D$31),IF(MOD($C156,$M$1)-1=0,SUM($D$20:$D$31),0))/12*$M$1)*VLOOKUP($B156,Paraméterek!$B$27:$D$30,IF($D$2="Egyszeri",3,2)),IF($D$4="Forint",0,2))</f>
        <v>0</v>
      </c>
      <c r="L156" s="13">
        <f t="shared" si="34"/>
        <v>0</v>
      </c>
      <c r="M156" s="13">
        <f t="shared" ca="1" si="40"/>
        <v>-74836</v>
      </c>
      <c r="N156" s="13">
        <f ca="1">IF($V155&gt;=VLOOKUP($M$4-1+$B156,Paraméterek!$B$121:$D$122,IF($D$4="Forint",2,3)),0,VLOOKUP($M$4-1+$B156,Paraméterek!$B$121:$D$122,IF($D$4="Forint",2,3))-$V155)</f>
        <v>84836</v>
      </c>
      <c r="O156" s="13">
        <f ca="1">ROUNDUP($N156*Paraméterek!$C$58/Paraméterek!$C$56,IF($D$4="Forint",0,2))</f>
        <v>14</v>
      </c>
      <c r="P156" s="13">
        <f t="shared" si="35"/>
        <v>762</v>
      </c>
      <c r="Q156" s="33"/>
      <c r="R156" s="13">
        <f t="shared" ca="1" si="36"/>
        <v>0</v>
      </c>
      <c r="S156" s="13">
        <f ca="1">ROUNDUP(($M156-$O156-$P156+$R156)*VLOOKUP($B156,Paraméterek!$B$38:$D$39,IF($D$2="Egyszeri",3,2))/12,IF($D$4="Forint",0,2))</f>
        <v>-205</v>
      </c>
      <c r="T156" s="13"/>
      <c r="U156" s="13"/>
      <c r="V156" s="13">
        <f ca="1">$M156-$O156-$P156+$R156-$S156-IF(ROUNDUP(IF(ISBLANK($U156),$T156,$U156)/IF(AND($B156=1,$D$2&lt;&gt;"Egyszeri"),1,VLOOKUP($B156+IF($C156=12,1,0),Paraméterek!$B$257:$D$267,IF($D$2="Egyszeri",3,2))),IF($D$4="Forint",0,2))&gt;$M156-$O156-$P156+$R156-$S156-IF($D$4="Forint",Paraméterek!$C$216,Paraméterek!$D$216),0,ROUNDUP(IF(ISBLANK($U156),$T156,$U156)/IF(AND($B156=1,$D$2&lt;&gt;"Egyszeri"),1,VLOOKUP($B156+IF($C156=12,1,0),Paraméterek!$B$257:$D$267,IF($D$2="Egyszeri",3,2))),IF($D$4="Forint",0,2)))</f>
        <v>-75407</v>
      </c>
      <c r="W156" s="13">
        <f ca="1">ROUNDDOWN($V156*VLOOKUP($B156+IF($C156=12,1,0),Paraméterek!$B$257:$D$267,IF($D$2="Egyszeri",3,2)),IF($D$4="Forint",0,2))</f>
        <v>-75407</v>
      </c>
      <c r="Y156" s="32">
        <v>137</v>
      </c>
      <c r="Z156" s="32">
        <v>12</v>
      </c>
      <c r="AA156" s="32">
        <v>5</v>
      </c>
      <c r="AB156" s="13">
        <f t="shared" si="41"/>
        <v>0</v>
      </c>
      <c r="AC156" s="33"/>
      <c r="AD156" s="13">
        <f t="shared" si="37"/>
        <v>0</v>
      </c>
      <c r="AE156" s="13">
        <f>ROUNDUP(($AB156+$AD156)*VLOOKUP($Z156,Paraméterek!$P$38:$Q$38,2)/12,IF($D$4="Forint",0,2))</f>
        <v>0</v>
      </c>
      <c r="AF156" s="13">
        <f>IF($D$2="Egyszeri",IF($D$7&gt;=IF($D$4="Forint",Paraméterek!$P$223,Paraméterek!$P$224),$D$7-IF($D$4="Forint",Paraméterek!$F$223,Paraméterek!$F$224),0),MIN(IF($AA156=12,AVERAGE($D$20:$D156)*12,0),SUM($D$20:$D$31)))</f>
        <v>0</v>
      </c>
      <c r="AG156" s="13">
        <f>IF(AND($Z156&gt;=10,MOD($Z156,5)=0),$AF156*IF($AA156=12,VLOOKUP($Z156,Paraméterek!$B$225:$F$240,IF($AF156&lt;IF($D$4="Forint",Paraméterek!$C$223,Paraméterek!$C$224),2,IF($AF156&lt;IF($D$4="Forint",Paraméterek!$D$223,Paraméterek!$D$224),3,4))),0),0)</f>
        <v>0</v>
      </c>
      <c r="AH156" s="13">
        <f>IF(AND($Z156&gt;=5,MOD($Z156,5)=0),IF($AA156=12,VLOOKUP($Z156,Paraméterek!$B$225:$F$240,5),0),IF(OR($Z156=3,$Z156=4),IF($AA156=12,VLOOKUP($Z156,Paraméterek!$B$225:$F$240,5,0),0),0))*$AF156</f>
        <v>0</v>
      </c>
      <c r="AI156" s="13">
        <f>ROUNDDOWN(IF(SUM($T$20:$U156)=0,IF($D$2="Egyszeri",$AH156,$AG156),0),IF($D$4="Forint",0,2))</f>
        <v>0</v>
      </c>
      <c r="AJ156" s="13">
        <f t="shared" si="42"/>
        <v>0</v>
      </c>
      <c r="AK156" s="13">
        <f t="shared" si="43"/>
        <v>0</v>
      </c>
      <c r="AM156" s="32">
        <v>137</v>
      </c>
      <c r="AN156" s="32">
        <v>12</v>
      </c>
      <c r="AO156" s="32">
        <v>5</v>
      </c>
      <c r="AP156" s="13"/>
      <c r="AQ156" s="32"/>
      <c r="AR156" s="13">
        <f t="shared" si="44"/>
        <v>0</v>
      </c>
      <c r="AS156" s="33"/>
      <c r="AT156" s="13">
        <f t="shared" si="38"/>
        <v>0</v>
      </c>
      <c r="AU156" s="13">
        <f>ROUNDUP(($AR156+$AT156)*VLOOKUP($AN156,Paraméterek!$P$38:$Q$38,2)/12,IF($D$4="Forint",0,2))</f>
        <v>0</v>
      </c>
      <c r="AV156" s="13"/>
      <c r="AW156" s="13"/>
      <c r="AX156" s="13">
        <f>ROUNDUP(IF(SUM($AV156:$AW156)=0,0,IF(IF(ISBLANK($AW156),$AV156,$AW156)*Paraméterek!$J$112&lt;IF($D$4="Forint",Paraméterek!$J$113,Paraméterek!$K$113),IF($D$4="Forint",Paraméterek!$J$113,Paraméterek!$K$113),IF(IF(ISBLANK($AW156),$AV156,$AW156)*Paraméterek!$J$112&gt;IF($D$4="Forint",Paraméterek!$J$114,Paraméterek!$K$114),IF($D$4="Forint",Paraméterek!$J$114,Paraméterek!$K$114),IF(ISBLANK($AW156),$AV156,$AW156)*Paraméterek!$J$112))),IF($D$4="Forint",0,2))</f>
        <v>0</v>
      </c>
      <c r="AY156" s="13">
        <f>$AR156+$AT156-$AU156-IF(ROUNDDOWN(IF(ISBLANK($AW156),$AV156,$AW156),IF($D$4="Forint",0,2))&gt;$AR156+$AT156-$AU156-IF($D$4="Forint",Paraméterek!$J$114,Paraméterek!$K$114),0,ROUNDDOWN(IF(ISBLANK($AW156),$AV156,$AW156),IF($D$4="Forint",0,2))-$AX156)</f>
        <v>0</v>
      </c>
      <c r="AZ156" s="13">
        <f t="shared" si="39"/>
        <v>0</v>
      </c>
    </row>
    <row r="157" spans="1:52" x14ac:dyDescent="0.2">
      <c r="A157" s="32">
        <v>138</v>
      </c>
      <c r="B157" s="32">
        <v>12</v>
      </c>
      <c r="C157" s="32">
        <v>6</v>
      </c>
      <c r="D157" s="13">
        <f t="shared" si="30"/>
        <v>0</v>
      </c>
      <c r="E157" s="13"/>
      <c r="F157" s="13"/>
      <c r="G157" s="13"/>
      <c r="H157" s="13">
        <f t="shared" si="31"/>
        <v>0</v>
      </c>
      <c r="I157" s="13">
        <f t="shared" si="32"/>
        <v>0</v>
      </c>
      <c r="J157" s="13">
        <f t="shared" si="33"/>
        <v>0</v>
      </c>
      <c r="K157" s="13">
        <f>ROUNDUP(IF($D$2="Egyszeri",$D157,IF($D$2="Havi",SUM($D$20:$D$31),IF(MOD($C157,$M$1)-1=0,SUM($D$20:$D$31),0))/12*$M$1)*VLOOKUP($B157,Paraméterek!$B$27:$D$30,IF($D$2="Egyszeri",3,2)),IF($D$4="Forint",0,2))</f>
        <v>0</v>
      </c>
      <c r="L157" s="13">
        <f t="shared" si="34"/>
        <v>0</v>
      </c>
      <c r="M157" s="13">
        <f t="shared" ca="1" si="40"/>
        <v>-75407</v>
      </c>
      <c r="N157" s="13">
        <f ca="1">IF($V156&gt;=VLOOKUP($M$4-1+$B157,Paraméterek!$B$121:$D$122,IF($D$4="Forint",2,3)),0,VLOOKUP($M$4-1+$B157,Paraméterek!$B$121:$D$122,IF($D$4="Forint",2,3))-$V156)</f>
        <v>85407</v>
      </c>
      <c r="O157" s="13">
        <f ca="1">ROUNDUP($N157*Paraméterek!$C$58/Paraméterek!$C$56,IF($D$4="Forint",0,2))</f>
        <v>14</v>
      </c>
      <c r="P157" s="13">
        <f t="shared" si="35"/>
        <v>762</v>
      </c>
      <c r="Q157" s="33"/>
      <c r="R157" s="13">
        <f t="shared" ca="1" si="36"/>
        <v>0</v>
      </c>
      <c r="S157" s="13">
        <f ca="1">ROUNDUP(($M157-$O157-$P157+$R157)*VLOOKUP($B157,Paraméterek!$B$38:$D$39,IF($D$2="Egyszeri",3,2))/12,IF($D$4="Forint",0,2))</f>
        <v>-207</v>
      </c>
      <c r="T157" s="13"/>
      <c r="U157" s="13"/>
      <c r="V157" s="13">
        <f ca="1">$M157-$O157-$P157+$R157-$S157-IF(ROUNDUP(IF(ISBLANK($U157),$T157,$U157)/IF(AND($B157=1,$D$2&lt;&gt;"Egyszeri"),1,VLOOKUP($B157+IF($C157=12,1,0),Paraméterek!$B$257:$D$267,IF($D$2="Egyszeri",3,2))),IF($D$4="Forint",0,2))&gt;$M157-$O157-$P157+$R157-$S157-IF($D$4="Forint",Paraméterek!$C$216,Paraméterek!$D$216),0,ROUNDUP(IF(ISBLANK($U157),$T157,$U157)/IF(AND($B157=1,$D$2&lt;&gt;"Egyszeri"),1,VLOOKUP($B157+IF($C157=12,1,0),Paraméterek!$B$257:$D$267,IF($D$2="Egyszeri",3,2))),IF($D$4="Forint",0,2)))</f>
        <v>-75976</v>
      </c>
      <c r="W157" s="13">
        <f ca="1">ROUNDDOWN($V157*VLOOKUP($B157+IF($C157=12,1,0),Paraméterek!$B$257:$D$267,IF($D$2="Egyszeri",3,2)),IF($D$4="Forint",0,2))</f>
        <v>-75976</v>
      </c>
      <c r="Y157" s="32">
        <v>138</v>
      </c>
      <c r="Z157" s="32">
        <v>12</v>
      </c>
      <c r="AA157" s="32">
        <v>6</v>
      </c>
      <c r="AB157" s="13">
        <f t="shared" si="41"/>
        <v>0</v>
      </c>
      <c r="AC157" s="33"/>
      <c r="AD157" s="13">
        <f t="shared" si="37"/>
        <v>0</v>
      </c>
      <c r="AE157" s="13">
        <f>ROUNDUP(($AB157+$AD157)*VLOOKUP($Z157,Paraméterek!$P$38:$Q$38,2)/12,IF($D$4="Forint",0,2))</f>
        <v>0</v>
      </c>
      <c r="AF157" s="13">
        <f>IF($D$2="Egyszeri",IF($D$7&gt;=IF($D$4="Forint",Paraméterek!$P$223,Paraméterek!$P$224),$D$7-IF($D$4="Forint",Paraméterek!$F$223,Paraméterek!$F$224),0),MIN(IF($AA157=12,AVERAGE($D$20:$D157)*12,0),SUM($D$20:$D$31)))</f>
        <v>0</v>
      </c>
      <c r="AG157" s="13">
        <f>IF(AND($Z157&gt;=10,MOD($Z157,5)=0),$AF157*IF($AA157=12,VLOOKUP($Z157,Paraméterek!$B$225:$F$240,IF($AF157&lt;IF($D$4="Forint",Paraméterek!$C$223,Paraméterek!$C$224),2,IF($AF157&lt;IF($D$4="Forint",Paraméterek!$D$223,Paraméterek!$D$224),3,4))),0),0)</f>
        <v>0</v>
      </c>
      <c r="AH157" s="13">
        <f>IF(AND($Z157&gt;=5,MOD($Z157,5)=0),IF($AA157=12,VLOOKUP($Z157,Paraméterek!$B$225:$F$240,5),0),IF(OR($Z157=3,$Z157=4),IF($AA157=12,VLOOKUP($Z157,Paraméterek!$B$225:$F$240,5,0),0),0))*$AF157</f>
        <v>0</v>
      </c>
      <c r="AI157" s="13">
        <f>ROUNDDOWN(IF(SUM($T$20:$U157)=0,IF($D$2="Egyszeri",$AH157,$AG157),0),IF($D$4="Forint",0,2))</f>
        <v>0</v>
      </c>
      <c r="AJ157" s="13">
        <f t="shared" si="42"/>
        <v>0</v>
      </c>
      <c r="AK157" s="13">
        <f t="shared" si="43"/>
        <v>0</v>
      </c>
      <c r="AM157" s="32">
        <v>138</v>
      </c>
      <c r="AN157" s="32">
        <v>12</v>
      </c>
      <c r="AO157" s="32">
        <v>6</v>
      </c>
      <c r="AP157" s="13"/>
      <c r="AQ157" s="32"/>
      <c r="AR157" s="13">
        <f t="shared" si="44"/>
        <v>0</v>
      </c>
      <c r="AS157" s="33"/>
      <c r="AT157" s="13">
        <f t="shared" si="38"/>
        <v>0</v>
      </c>
      <c r="AU157" s="13">
        <f>ROUNDUP(($AR157+$AT157)*VLOOKUP($AN157,Paraméterek!$P$38:$Q$38,2)/12,IF($D$4="Forint",0,2))</f>
        <v>0</v>
      </c>
      <c r="AV157" s="13"/>
      <c r="AW157" s="13"/>
      <c r="AX157" s="13">
        <f>ROUNDUP(IF(SUM($AV157:$AW157)=0,0,IF(IF(ISBLANK($AW157),$AV157,$AW157)*Paraméterek!$J$112&lt;IF($D$4="Forint",Paraméterek!$J$113,Paraméterek!$K$113),IF($D$4="Forint",Paraméterek!$J$113,Paraméterek!$K$113),IF(IF(ISBLANK($AW157),$AV157,$AW157)*Paraméterek!$J$112&gt;IF($D$4="Forint",Paraméterek!$J$114,Paraméterek!$K$114),IF($D$4="Forint",Paraméterek!$J$114,Paraméterek!$K$114),IF(ISBLANK($AW157),$AV157,$AW157)*Paraméterek!$J$112))),IF($D$4="Forint",0,2))</f>
        <v>0</v>
      </c>
      <c r="AY157" s="13">
        <f>$AR157+$AT157-$AU157-IF(ROUNDDOWN(IF(ISBLANK($AW157),$AV157,$AW157),IF($D$4="Forint",0,2))&gt;$AR157+$AT157-$AU157-IF($D$4="Forint",Paraméterek!$J$114,Paraméterek!$K$114),0,ROUNDDOWN(IF(ISBLANK($AW157),$AV157,$AW157),IF($D$4="Forint",0,2))-$AX157)</f>
        <v>0</v>
      </c>
      <c r="AZ157" s="13">
        <f t="shared" si="39"/>
        <v>0</v>
      </c>
    </row>
    <row r="158" spans="1:52" x14ac:dyDescent="0.2">
      <c r="A158" s="32">
        <v>139</v>
      </c>
      <c r="B158" s="32">
        <v>12</v>
      </c>
      <c r="C158" s="32">
        <v>7</v>
      </c>
      <c r="D158" s="13">
        <f t="shared" si="30"/>
        <v>0</v>
      </c>
      <c r="E158" s="13"/>
      <c r="F158" s="13"/>
      <c r="G158" s="13"/>
      <c r="H158" s="13">
        <f t="shared" si="31"/>
        <v>0</v>
      </c>
      <c r="I158" s="13">
        <f t="shared" si="32"/>
        <v>0</v>
      </c>
      <c r="J158" s="13">
        <f t="shared" si="33"/>
        <v>0</v>
      </c>
      <c r="K158" s="13">
        <f>ROUNDUP(IF($D$2="Egyszeri",$D158,IF($D$2="Havi",SUM($D$20:$D$31),IF(MOD($C158,$M$1)-1=0,SUM($D$20:$D$31),0))/12*$M$1)*VLOOKUP($B158,Paraméterek!$B$27:$D$30,IF($D$2="Egyszeri",3,2)),IF($D$4="Forint",0,2))</f>
        <v>0</v>
      </c>
      <c r="L158" s="13">
        <f t="shared" si="34"/>
        <v>0</v>
      </c>
      <c r="M158" s="13">
        <f t="shared" ca="1" si="40"/>
        <v>-75976</v>
      </c>
      <c r="N158" s="13">
        <f ca="1">IF($V157&gt;=VLOOKUP($M$4-1+$B158,Paraméterek!$B$121:$D$122,IF($D$4="Forint",2,3)),0,VLOOKUP($M$4-1+$B158,Paraméterek!$B$121:$D$122,IF($D$4="Forint",2,3))-$V157)</f>
        <v>85976</v>
      </c>
      <c r="O158" s="13">
        <f ca="1">ROUNDUP($N158*Paraméterek!$C$58/Paraméterek!$C$56,IF($D$4="Forint",0,2))</f>
        <v>14</v>
      </c>
      <c r="P158" s="13">
        <f t="shared" si="35"/>
        <v>762</v>
      </c>
      <c r="Q158" s="33"/>
      <c r="R158" s="13">
        <f t="shared" ca="1" si="36"/>
        <v>0</v>
      </c>
      <c r="S158" s="13">
        <f ca="1">ROUNDUP(($M158-$O158-$P158+$R158)*VLOOKUP($B158,Paraméterek!$B$38:$D$39,IF($D$2="Egyszeri",3,2))/12,IF($D$4="Forint",0,2))</f>
        <v>-208</v>
      </c>
      <c r="T158" s="13"/>
      <c r="U158" s="13"/>
      <c r="V158" s="13">
        <f ca="1">$M158-$O158-$P158+$R158-$S158-IF(ROUNDUP(IF(ISBLANK($U158),$T158,$U158)/IF(AND($B158=1,$D$2&lt;&gt;"Egyszeri"),1,VLOOKUP($B158+IF($C158=12,1,0),Paraméterek!$B$257:$D$267,IF($D$2="Egyszeri",3,2))),IF($D$4="Forint",0,2))&gt;$M158-$O158-$P158+$R158-$S158-IF($D$4="Forint",Paraméterek!$C$216,Paraméterek!$D$216),0,ROUNDUP(IF(ISBLANK($U158),$T158,$U158)/IF(AND($B158=1,$D$2&lt;&gt;"Egyszeri"),1,VLOOKUP($B158+IF($C158=12,1,0),Paraméterek!$B$257:$D$267,IF($D$2="Egyszeri",3,2))),IF($D$4="Forint",0,2)))</f>
        <v>-76544</v>
      </c>
      <c r="W158" s="13">
        <f ca="1">ROUNDDOWN($V158*VLOOKUP($B158+IF($C158=12,1,0),Paraméterek!$B$257:$D$267,IF($D$2="Egyszeri",3,2)),IF($D$4="Forint",0,2))</f>
        <v>-76544</v>
      </c>
      <c r="Y158" s="32">
        <v>139</v>
      </c>
      <c r="Z158" s="32">
        <v>12</v>
      </c>
      <c r="AA158" s="32">
        <v>7</v>
      </c>
      <c r="AB158" s="13">
        <f t="shared" si="41"/>
        <v>0</v>
      </c>
      <c r="AC158" s="33"/>
      <c r="AD158" s="13">
        <f t="shared" si="37"/>
        <v>0</v>
      </c>
      <c r="AE158" s="13">
        <f>ROUNDUP(($AB158+$AD158)*VLOOKUP($Z158,Paraméterek!$P$38:$Q$38,2)/12,IF($D$4="Forint",0,2))</f>
        <v>0</v>
      </c>
      <c r="AF158" s="13">
        <f>IF($D$2="Egyszeri",IF($D$7&gt;=IF($D$4="Forint",Paraméterek!$P$223,Paraméterek!$P$224),$D$7-IF($D$4="Forint",Paraméterek!$F$223,Paraméterek!$F$224),0),MIN(IF($AA158=12,AVERAGE($D$20:$D158)*12,0),SUM($D$20:$D$31)))</f>
        <v>0</v>
      </c>
      <c r="AG158" s="13">
        <f>IF(AND($Z158&gt;=10,MOD($Z158,5)=0),$AF158*IF($AA158=12,VLOOKUP($Z158,Paraméterek!$B$225:$F$240,IF($AF158&lt;IF($D$4="Forint",Paraméterek!$C$223,Paraméterek!$C$224),2,IF($AF158&lt;IF($D$4="Forint",Paraméterek!$D$223,Paraméterek!$D$224),3,4))),0),0)</f>
        <v>0</v>
      </c>
      <c r="AH158" s="13">
        <f>IF(AND($Z158&gt;=5,MOD($Z158,5)=0),IF($AA158=12,VLOOKUP($Z158,Paraméterek!$B$225:$F$240,5),0),IF(OR($Z158=3,$Z158=4),IF($AA158=12,VLOOKUP($Z158,Paraméterek!$B$225:$F$240,5,0),0),0))*$AF158</f>
        <v>0</v>
      </c>
      <c r="AI158" s="13">
        <f>ROUNDDOWN(IF(SUM($T$20:$U158)=0,IF($D$2="Egyszeri",$AH158,$AG158),0),IF($D$4="Forint",0,2))</f>
        <v>0</v>
      </c>
      <c r="AJ158" s="13">
        <f t="shared" si="42"/>
        <v>0</v>
      </c>
      <c r="AK158" s="13">
        <f t="shared" si="43"/>
        <v>0</v>
      </c>
      <c r="AM158" s="32">
        <v>139</v>
      </c>
      <c r="AN158" s="32">
        <v>12</v>
      </c>
      <c r="AO158" s="32">
        <v>7</v>
      </c>
      <c r="AP158" s="13"/>
      <c r="AQ158" s="32"/>
      <c r="AR158" s="13">
        <f t="shared" si="44"/>
        <v>0</v>
      </c>
      <c r="AS158" s="33"/>
      <c r="AT158" s="13">
        <f t="shared" si="38"/>
        <v>0</v>
      </c>
      <c r="AU158" s="13">
        <f>ROUNDUP(($AR158+$AT158)*VLOOKUP($AN158,Paraméterek!$P$38:$Q$38,2)/12,IF($D$4="Forint",0,2))</f>
        <v>0</v>
      </c>
      <c r="AV158" s="13"/>
      <c r="AW158" s="13"/>
      <c r="AX158" s="13">
        <f>ROUNDUP(IF(SUM($AV158:$AW158)=0,0,IF(IF(ISBLANK($AW158),$AV158,$AW158)*Paraméterek!$J$112&lt;IF($D$4="Forint",Paraméterek!$J$113,Paraméterek!$K$113),IF($D$4="Forint",Paraméterek!$J$113,Paraméterek!$K$113),IF(IF(ISBLANK($AW158),$AV158,$AW158)*Paraméterek!$J$112&gt;IF($D$4="Forint",Paraméterek!$J$114,Paraméterek!$K$114),IF($D$4="Forint",Paraméterek!$J$114,Paraméterek!$K$114),IF(ISBLANK($AW158),$AV158,$AW158)*Paraméterek!$J$112))),IF($D$4="Forint",0,2))</f>
        <v>0</v>
      </c>
      <c r="AY158" s="13">
        <f>$AR158+$AT158-$AU158-IF(ROUNDDOWN(IF(ISBLANK($AW158),$AV158,$AW158),IF($D$4="Forint",0,2))&gt;$AR158+$AT158-$AU158-IF($D$4="Forint",Paraméterek!$J$114,Paraméterek!$K$114),0,ROUNDDOWN(IF(ISBLANK($AW158),$AV158,$AW158),IF($D$4="Forint",0,2))-$AX158)</f>
        <v>0</v>
      </c>
      <c r="AZ158" s="13">
        <f t="shared" si="39"/>
        <v>0</v>
      </c>
    </row>
    <row r="159" spans="1:52" x14ac:dyDescent="0.2">
      <c r="A159" s="32">
        <v>140</v>
      </c>
      <c r="B159" s="32">
        <v>12</v>
      </c>
      <c r="C159" s="32">
        <v>8</v>
      </c>
      <c r="D159" s="13">
        <f t="shared" si="30"/>
        <v>0</v>
      </c>
      <c r="E159" s="13"/>
      <c r="F159" s="13"/>
      <c r="G159" s="13"/>
      <c r="H159" s="13">
        <f t="shared" si="31"/>
        <v>0</v>
      </c>
      <c r="I159" s="13">
        <f t="shared" si="32"/>
        <v>0</v>
      </c>
      <c r="J159" s="13">
        <f t="shared" si="33"/>
        <v>0</v>
      </c>
      <c r="K159" s="13">
        <f>ROUNDUP(IF($D$2="Egyszeri",$D159,IF($D$2="Havi",SUM($D$20:$D$31),IF(MOD($C159,$M$1)-1=0,SUM($D$20:$D$31),0))/12*$M$1)*VLOOKUP($B159,Paraméterek!$B$27:$D$30,IF($D$2="Egyszeri",3,2)),IF($D$4="Forint",0,2))</f>
        <v>0</v>
      </c>
      <c r="L159" s="13">
        <f t="shared" si="34"/>
        <v>0</v>
      </c>
      <c r="M159" s="13">
        <f t="shared" ca="1" si="40"/>
        <v>-76544</v>
      </c>
      <c r="N159" s="13">
        <f ca="1">IF($V158&gt;=VLOOKUP($M$4-1+$B159,Paraméterek!$B$121:$D$122,IF($D$4="Forint",2,3)),0,VLOOKUP($M$4-1+$B159,Paraméterek!$B$121:$D$122,IF($D$4="Forint",2,3))-$V158)</f>
        <v>86544</v>
      </c>
      <c r="O159" s="13">
        <f ca="1">ROUNDUP($N159*Paraméterek!$C$58/Paraméterek!$C$56,IF($D$4="Forint",0,2))</f>
        <v>14</v>
      </c>
      <c r="P159" s="13">
        <f t="shared" si="35"/>
        <v>762</v>
      </c>
      <c r="Q159" s="33"/>
      <c r="R159" s="13">
        <f t="shared" ca="1" si="36"/>
        <v>0</v>
      </c>
      <c r="S159" s="13">
        <f ca="1">ROUNDUP(($M159-$O159-$P159+$R159)*VLOOKUP($B159,Paraméterek!$B$38:$D$39,IF($D$2="Egyszeri",3,2))/12,IF($D$4="Forint",0,2))</f>
        <v>-210</v>
      </c>
      <c r="T159" s="13"/>
      <c r="U159" s="13"/>
      <c r="V159" s="13">
        <f ca="1">$M159-$O159-$P159+$R159-$S159-IF(ROUNDUP(IF(ISBLANK($U159),$T159,$U159)/IF(AND($B159=1,$D$2&lt;&gt;"Egyszeri"),1,VLOOKUP($B159+IF($C159=12,1,0),Paraméterek!$B$257:$D$267,IF($D$2="Egyszeri",3,2))),IF($D$4="Forint",0,2))&gt;$M159-$O159-$P159+$R159-$S159-IF($D$4="Forint",Paraméterek!$C$216,Paraméterek!$D$216),0,ROUNDUP(IF(ISBLANK($U159),$T159,$U159)/IF(AND($B159=1,$D$2&lt;&gt;"Egyszeri"),1,VLOOKUP($B159+IF($C159=12,1,0),Paraméterek!$B$257:$D$267,IF($D$2="Egyszeri",3,2))),IF($D$4="Forint",0,2)))</f>
        <v>-77110</v>
      </c>
      <c r="W159" s="13">
        <f ca="1">ROUNDDOWN($V159*VLOOKUP($B159+IF($C159=12,1,0),Paraméterek!$B$257:$D$267,IF($D$2="Egyszeri",3,2)),IF($D$4="Forint",0,2))</f>
        <v>-77110</v>
      </c>
      <c r="Y159" s="32">
        <v>140</v>
      </c>
      <c r="Z159" s="32">
        <v>12</v>
      </c>
      <c r="AA159" s="32">
        <v>8</v>
      </c>
      <c r="AB159" s="13">
        <f t="shared" si="41"/>
        <v>0</v>
      </c>
      <c r="AC159" s="33"/>
      <c r="AD159" s="13">
        <f t="shared" si="37"/>
        <v>0</v>
      </c>
      <c r="AE159" s="13">
        <f>ROUNDUP(($AB159+$AD159)*VLOOKUP($Z159,Paraméterek!$P$38:$Q$38,2)/12,IF($D$4="Forint",0,2))</f>
        <v>0</v>
      </c>
      <c r="AF159" s="13">
        <f>IF($D$2="Egyszeri",IF($D$7&gt;=IF($D$4="Forint",Paraméterek!$P$223,Paraméterek!$P$224),$D$7-IF($D$4="Forint",Paraméterek!$F$223,Paraméterek!$F$224),0),MIN(IF($AA159=12,AVERAGE($D$20:$D159)*12,0),SUM($D$20:$D$31)))</f>
        <v>0</v>
      </c>
      <c r="AG159" s="13">
        <f>IF(AND($Z159&gt;=10,MOD($Z159,5)=0),$AF159*IF($AA159=12,VLOOKUP($Z159,Paraméterek!$B$225:$F$240,IF($AF159&lt;IF($D$4="Forint",Paraméterek!$C$223,Paraméterek!$C$224),2,IF($AF159&lt;IF($D$4="Forint",Paraméterek!$D$223,Paraméterek!$D$224),3,4))),0),0)</f>
        <v>0</v>
      </c>
      <c r="AH159" s="13">
        <f>IF(AND($Z159&gt;=5,MOD($Z159,5)=0),IF($AA159=12,VLOOKUP($Z159,Paraméterek!$B$225:$F$240,5),0),IF(OR($Z159=3,$Z159=4),IF($AA159=12,VLOOKUP($Z159,Paraméterek!$B$225:$F$240,5,0),0),0))*$AF159</f>
        <v>0</v>
      </c>
      <c r="AI159" s="13">
        <f>ROUNDDOWN(IF(SUM($T$20:$U159)=0,IF($D$2="Egyszeri",$AH159,$AG159),0),IF($D$4="Forint",0,2))</f>
        <v>0</v>
      </c>
      <c r="AJ159" s="13">
        <f t="shared" si="42"/>
        <v>0</v>
      </c>
      <c r="AK159" s="13">
        <f t="shared" si="43"/>
        <v>0</v>
      </c>
      <c r="AM159" s="32">
        <v>140</v>
      </c>
      <c r="AN159" s="32">
        <v>12</v>
      </c>
      <c r="AO159" s="32">
        <v>8</v>
      </c>
      <c r="AP159" s="13"/>
      <c r="AQ159" s="32"/>
      <c r="AR159" s="13">
        <f t="shared" si="44"/>
        <v>0</v>
      </c>
      <c r="AS159" s="33"/>
      <c r="AT159" s="13">
        <f t="shared" si="38"/>
        <v>0</v>
      </c>
      <c r="AU159" s="13">
        <f>ROUNDUP(($AR159+$AT159)*VLOOKUP($AN159,Paraméterek!$P$38:$Q$38,2)/12,IF($D$4="Forint",0,2))</f>
        <v>0</v>
      </c>
      <c r="AV159" s="13"/>
      <c r="AW159" s="13"/>
      <c r="AX159" s="13">
        <f>ROUNDUP(IF(SUM($AV159:$AW159)=0,0,IF(IF(ISBLANK($AW159),$AV159,$AW159)*Paraméterek!$J$112&lt;IF($D$4="Forint",Paraméterek!$J$113,Paraméterek!$K$113),IF($D$4="Forint",Paraméterek!$J$113,Paraméterek!$K$113),IF(IF(ISBLANK($AW159),$AV159,$AW159)*Paraméterek!$J$112&gt;IF($D$4="Forint",Paraméterek!$J$114,Paraméterek!$K$114),IF($D$4="Forint",Paraméterek!$J$114,Paraméterek!$K$114),IF(ISBLANK($AW159),$AV159,$AW159)*Paraméterek!$J$112))),IF($D$4="Forint",0,2))</f>
        <v>0</v>
      </c>
      <c r="AY159" s="13">
        <f>$AR159+$AT159-$AU159-IF(ROUNDDOWN(IF(ISBLANK($AW159),$AV159,$AW159),IF($D$4="Forint",0,2))&gt;$AR159+$AT159-$AU159-IF($D$4="Forint",Paraméterek!$J$114,Paraméterek!$K$114),0,ROUNDDOWN(IF(ISBLANK($AW159),$AV159,$AW159),IF($D$4="Forint",0,2))-$AX159)</f>
        <v>0</v>
      </c>
      <c r="AZ159" s="13">
        <f t="shared" si="39"/>
        <v>0</v>
      </c>
    </row>
    <row r="160" spans="1:52" x14ac:dyDescent="0.2">
      <c r="A160" s="32">
        <v>141</v>
      </c>
      <c r="B160" s="32">
        <v>12</v>
      </c>
      <c r="C160" s="32">
        <v>9</v>
      </c>
      <c r="D160" s="13">
        <f t="shared" si="30"/>
        <v>0</v>
      </c>
      <c r="E160" s="13"/>
      <c r="F160" s="13"/>
      <c r="G160" s="13"/>
      <c r="H160" s="13">
        <f t="shared" si="31"/>
        <v>0</v>
      </c>
      <c r="I160" s="13">
        <f t="shared" si="32"/>
        <v>0</v>
      </c>
      <c r="J160" s="13">
        <f t="shared" si="33"/>
        <v>0</v>
      </c>
      <c r="K160" s="13">
        <f>ROUNDUP(IF($D$2="Egyszeri",$D160,IF($D$2="Havi",SUM($D$20:$D$31),IF(MOD($C160,$M$1)-1=0,SUM($D$20:$D$31),0))/12*$M$1)*VLOOKUP($B160,Paraméterek!$B$27:$D$30,IF($D$2="Egyszeri",3,2)),IF($D$4="Forint",0,2))</f>
        <v>0</v>
      </c>
      <c r="L160" s="13">
        <f t="shared" si="34"/>
        <v>0</v>
      </c>
      <c r="M160" s="13">
        <f t="shared" ca="1" si="40"/>
        <v>-77110</v>
      </c>
      <c r="N160" s="13">
        <f ca="1">IF($V159&gt;=VLOOKUP($M$4-1+$B160,Paraméterek!$B$121:$D$122,IF($D$4="Forint",2,3)),0,VLOOKUP($M$4-1+$B160,Paraméterek!$B$121:$D$122,IF($D$4="Forint",2,3))-$V159)</f>
        <v>87110</v>
      </c>
      <c r="O160" s="13">
        <f ca="1">ROUNDUP($N160*Paraméterek!$C$58/Paraméterek!$C$56,IF($D$4="Forint",0,2))</f>
        <v>14</v>
      </c>
      <c r="P160" s="13">
        <f t="shared" si="35"/>
        <v>762</v>
      </c>
      <c r="Q160" s="33"/>
      <c r="R160" s="13">
        <f t="shared" ca="1" si="36"/>
        <v>0</v>
      </c>
      <c r="S160" s="13">
        <f ca="1">ROUNDUP(($M160-$O160-$P160+$R160)*VLOOKUP($B160,Paraméterek!$B$38:$D$39,IF($D$2="Egyszeri",3,2))/12,IF($D$4="Forint",0,2))</f>
        <v>-211</v>
      </c>
      <c r="T160" s="13"/>
      <c r="U160" s="13"/>
      <c r="V160" s="13">
        <f ca="1">$M160-$O160-$P160+$R160-$S160-IF(ROUNDUP(IF(ISBLANK($U160),$T160,$U160)/IF(AND($B160=1,$D$2&lt;&gt;"Egyszeri"),1,VLOOKUP($B160+IF($C160=12,1,0),Paraméterek!$B$257:$D$267,IF($D$2="Egyszeri",3,2))),IF($D$4="Forint",0,2))&gt;$M160-$O160-$P160+$R160-$S160-IF($D$4="Forint",Paraméterek!$C$216,Paraméterek!$D$216),0,ROUNDUP(IF(ISBLANK($U160),$T160,$U160)/IF(AND($B160=1,$D$2&lt;&gt;"Egyszeri"),1,VLOOKUP($B160+IF($C160=12,1,0),Paraméterek!$B$257:$D$267,IF($D$2="Egyszeri",3,2))),IF($D$4="Forint",0,2)))</f>
        <v>-77675</v>
      </c>
      <c r="W160" s="13">
        <f ca="1">ROUNDDOWN($V160*VLOOKUP($B160+IF($C160=12,1,0),Paraméterek!$B$257:$D$267,IF($D$2="Egyszeri",3,2)),IF($D$4="Forint",0,2))</f>
        <v>-77675</v>
      </c>
      <c r="Y160" s="32">
        <v>141</v>
      </c>
      <c r="Z160" s="32">
        <v>12</v>
      </c>
      <c r="AA160" s="32">
        <v>9</v>
      </c>
      <c r="AB160" s="13">
        <f t="shared" si="41"/>
        <v>0</v>
      </c>
      <c r="AC160" s="33"/>
      <c r="AD160" s="13">
        <f t="shared" si="37"/>
        <v>0</v>
      </c>
      <c r="AE160" s="13">
        <f>ROUNDUP(($AB160+$AD160)*VLOOKUP($Z160,Paraméterek!$P$38:$Q$38,2)/12,IF($D$4="Forint",0,2))</f>
        <v>0</v>
      </c>
      <c r="AF160" s="13">
        <f>IF($D$2="Egyszeri",IF($D$7&gt;=IF($D$4="Forint",Paraméterek!$P$223,Paraméterek!$P$224),$D$7-IF($D$4="Forint",Paraméterek!$F$223,Paraméterek!$F$224),0),MIN(IF($AA160=12,AVERAGE($D$20:$D160)*12,0),SUM($D$20:$D$31)))</f>
        <v>0</v>
      </c>
      <c r="AG160" s="13">
        <f>IF(AND($Z160&gt;=10,MOD($Z160,5)=0),$AF160*IF($AA160=12,VLOOKUP($Z160,Paraméterek!$B$225:$F$240,IF($AF160&lt;IF($D$4="Forint",Paraméterek!$C$223,Paraméterek!$C$224),2,IF($AF160&lt;IF($D$4="Forint",Paraméterek!$D$223,Paraméterek!$D$224),3,4))),0),0)</f>
        <v>0</v>
      </c>
      <c r="AH160" s="13">
        <f>IF(AND($Z160&gt;=5,MOD($Z160,5)=0),IF($AA160=12,VLOOKUP($Z160,Paraméterek!$B$225:$F$240,5),0),IF(OR($Z160=3,$Z160=4),IF($AA160=12,VLOOKUP($Z160,Paraméterek!$B$225:$F$240,5,0),0),0))*$AF160</f>
        <v>0</v>
      </c>
      <c r="AI160" s="13">
        <f>ROUNDDOWN(IF(SUM($T$20:$U160)=0,IF($D$2="Egyszeri",$AH160,$AG160),0),IF($D$4="Forint",0,2))</f>
        <v>0</v>
      </c>
      <c r="AJ160" s="13">
        <f t="shared" si="42"/>
        <v>0</v>
      </c>
      <c r="AK160" s="13">
        <f t="shared" si="43"/>
        <v>0</v>
      </c>
      <c r="AM160" s="32">
        <v>141</v>
      </c>
      <c r="AN160" s="32">
        <v>12</v>
      </c>
      <c r="AO160" s="32">
        <v>9</v>
      </c>
      <c r="AP160" s="13"/>
      <c r="AQ160" s="32"/>
      <c r="AR160" s="13">
        <f t="shared" si="44"/>
        <v>0</v>
      </c>
      <c r="AS160" s="33"/>
      <c r="AT160" s="13">
        <f t="shared" si="38"/>
        <v>0</v>
      </c>
      <c r="AU160" s="13">
        <f>ROUNDUP(($AR160+$AT160)*VLOOKUP($AN160,Paraméterek!$P$38:$Q$38,2)/12,IF($D$4="Forint",0,2))</f>
        <v>0</v>
      </c>
      <c r="AV160" s="13"/>
      <c r="AW160" s="13"/>
      <c r="AX160" s="13">
        <f>ROUNDUP(IF(SUM($AV160:$AW160)=0,0,IF(IF(ISBLANK($AW160),$AV160,$AW160)*Paraméterek!$J$112&lt;IF($D$4="Forint",Paraméterek!$J$113,Paraméterek!$K$113),IF($D$4="Forint",Paraméterek!$J$113,Paraméterek!$K$113),IF(IF(ISBLANK($AW160),$AV160,$AW160)*Paraméterek!$J$112&gt;IF($D$4="Forint",Paraméterek!$J$114,Paraméterek!$K$114),IF($D$4="Forint",Paraméterek!$J$114,Paraméterek!$K$114),IF(ISBLANK($AW160),$AV160,$AW160)*Paraméterek!$J$112))),IF($D$4="Forint",0,2))</f>
        <v>0</v>
      </c>
      <c r="AY160" s="13">
        <f>$AR160+$AT160-$AU160-IF(ROUNDDOWN(IF(ISBLANK($AW160),$AV160,$AW160),IF($D$4="Forint",0,2))&gt;$AR160+$AT160-$AU160-IF($D$4="Forint",Paraméterek!$J$114,Paraméterek!$K$114),0,ROUNDDOWN(IF(ISBLANK($AW160),$AV160,$AW160),IF($D$4="Forint",0,2))-$AX160)</f>
        <v>0</v>
      </c>
      <c r="AZ160" s="13">
        <f t="shared" si="39"/>
        <v>0</v>
      </c>
    </row>
    <row r="161" spans="1:52" x14ac:dyDescent="0.2">
      <c r="A161" s="32">
        <v>142</v>
      </c>
      <c r="B161" s="32">
        <v>12</v>
      </c>
      <c r="C161" s="32">
        <v>10</v>
      </c>
      <c r="D161" s="13">
        <f t="shared" si="30"/>
        <v>0</v>
      </c>
      <c r="E161" s="13"/>
      <c r="F161" s="13"/>
      <c r="G161" s="13"/>
      <c r="H161" s="13">
        <f t="shared" si="31"/>
        <v>0</v>
      </c>
      <c r="I161" s="13">
        <f t="shared" si="32"/>
        <v>0</v>
      </c>
      <c r="J161" s="13">
        <f t="shared" si="33"/>
        <v>0</v>
      </c>
      <c r="K161" s="13">
        <f>ROUNDUP(IF($D$2="Egyszeri",$D161,IF($D$2="Havi",SUM($D$20:$D$31),IF(MOD($C161,$M$1)-1=0,SUM($D$20:$D$31),0))/12*$M$1)*VLOOKUP($B161,Paraméterek!$B$27:$D$30,IF($D$2="Egyszeri",3,2)),IF($D$4="Forint",0,2))</f>
        <v>0</v>
      </c>
      <c r="L161" s="13">
        <f t="shared" si="34"/>
        <v>0</v>
      </c>
      <c r="M161" s="13">
        <f t="shared" ca="1" si="40"/>
        <v>-77675</v>
      </c>
      <c r="N161" s="13">
        <f ca="1">IF($V160&gt;=VLOOKUP($M$4-1+$B161,Paraméterek!$B$121:$D$122,IF($D$4="Forint",2,3)),0,VLOOKUP($M$4-1+$B161,Paraméterek!$B$121:$D$122,IF($D$4="Forint",2,3))-$V160)</f>
        <v>87675</v>
      </c>
      <c r="O161" s="13">
        <f ca="1">ROUNDUP($N161*Paraméterek!$C$58/Paraméterek!$C$56,IF($D$4="Forint",0,2))</f>
        <v>14</v>
      </c>
      <c r="P161" s="13">
        <f t="shared" si="35"/>
        <v>762</v>
      </c>
      <c r="Q161" s="33"/>
      <c r="R161" s="13">
        <f t="shared" ca="1" si="36"/>
        <v>0</v>
      </c>
      <c r="S161" s="13">
        <f ca="1">ROUNDUP(($M161-$O161-$P161+$R161)*VLOOKUP($B161,Paraméterek!$B$38:$D$39,IF($D$2="Egyszeri",3,2))/12,IF($D$4="Forint",0,2))</f>
        <v>-213</v>
      </c>
      <c r="T161" s="13"/>
      <c r="U161" s="13"/>
      <c r="V161" s="13">
        <f ca="1">$M161-$O161-$P161+$R161-$S161-IF(ROUNDUP(IF(ISBLANK($U161),$T161,$U161)/IF(AND($B161=1,$D$2&lt;&gt;"Egyszeri"),1,VLOOKUP($B161+IF($C161=12,1,0),Paraméterek!$B$257:$D$267,IF($D$2="Egyszeri",3,2))),IF($D$4="Forint",0,2))&gt;$M161-$O161-$P161+$R161-$S161-IF($D$4="Forint",Paraméterek!$C$216,Paraméterek!$D$216),0,ROUNDUP(IF(ISBLANK($U161),$T161,$U161)/IF(AND($B161=1,$D$2&lt;&gt;"Egyszeri"),1,VLOOKUP($B161+IF($C161=12,1,0),Paraméterek!$B$257:$D$267,IF($D$2="Egyszeri",3,2))),IF($D$4="Forint",0,2)))</f>
        <v>-78238</v>
      </c>
      <c r="W161" s="13">
        <f ca="1">ROUNDDOWN($V161*VLOOKUP($B161+IF($C161=12,1,0),Paraméterek!$B$257:$D$267,IF($D$2="Egyszeri",3,2)),IF($D$4="Forint",0,2))</f>
        <v>-78238</v>
      </c>
      <c r="Y161" s="32">
        <v>142</v>
      </c>
      <c r="Z161" s="32">
        <v>12</v>
      </c>
      <c r="AA161" s="32">
        <v>10</v>
      </c>
      <c r="AB161" s="13">
        <f t="shared" si="41"/>
        <v>0</v>
      </c>
      <c r="AC161" s="33"/>
      <c r="AD161" s="13">
        <f t="shared" si="37"/>
        <v>0</v>
      </c>
      <c r="AE161" s="13">
        <f>ROUNDUP(($AB161+$AD161)*VLOOKUP($Z161,Paraméterek!$P$38:$Q$38,2)/12,IF($D$4="Forint",0,2))</f>
        <v>0</v>
      </c>
      <c r="AF161" s="13">
        <f>IF($D$2="Egyszeri",IF($D$7&gt;=IF($D$4="Forint",Paraméterek!$P$223,Paraméterek!$P$224),$D$7-IF($D$4="Forint",Paraméterek!$F$223,Paraméterek!$F$224),0),MIN(IF($AA161=12,AVERAGE($D$20:$D161)*12,0),SUM($D$20:$D$31)))</f>
        <v>0</v>
      </c>
      <c r="AG161" s="13">
        <f>IF(AND($Z161&gt;=10,MOD($Z161,5)=0),$AF161*IF($AA161=12,VLOOKUP($Z161,Paraméterek!$B$225:$F$240,IF($AF161&lt;IF($D$4="Forint",Paraméterek!$C$223,Paraméterek!$C$224),2,IF($AF161&lt;IF($D$4="Forint",Paraméterek!$D$223,Paraméterek!$D$224),3,4))),0),0)</f>
        <v>0</v>
      </c>
      <c r="AH161" s="13">
        <f>IF(AND($Z161&gt;=5,MOD($Z161,5)=0),IF($AA161=12,VLOOKUP($Z161,Paraméterek!$B$225:$F$240,5),0),IF(OR($Z161=3,$Z161=4),IF($AA161=12,VLOOKUP($Z161,Paraméterek!$B$225:$F$240,5,0),0),0))*$AF161</f>
        <v>0</v>
      </c>
      <c r="AI161" s="13">
        <f>ROUNDDOWN(IF(SUM($T$20:$U161)=0,IF($D$2="Egyszeri",$AH161,$AG161),0),IF($D$4="Forint",0,2))</f>
        <v>0</v>
      </c>
      <c r="AJ161" s="13">
        <f t="shared" si="42"/>
        <v>0</v>
      </c>
      <c r="AK161" s="13">
        <f t="shared" si="43"/>
        <v>0</v>
      </c>
      <c r="AM161" s="32">
        <v>142</v>
      </c>
      <c r="AN161" s="32">
        <v>12</v>
      </c>
      <c r="AO161" s="32">
        <v>10</v>
      </c>
      <c r="AP161" s="13"/>
      <c r="AQ161" s="32"/>
      <c r="AR161" s="13">
        <f t="shared" si="44"/>
        <v>0</v>
      </c>
      <c r="AS161" s="33"/>
      <c r="AT161" s="13">
        <f t="shared" si="38"/>
        <v>0</v>
      </c>
      <c r="AU161" s="13">
        <f>ROUNDUP(($AR161+$AT161)*VLOOKUP($AN161,Paraméterek!$P$38:$Q$38,2)/12,IF($D$4="Forint",0,2))</f>
        <v>0</v>
      </c>
      <c r="AV161" s="13"/>
      <c r="AW161" s="13"/>
      <c r="AX161" s="13">
        <f>ROUNDUP(IF(SUM($AV161:$AW161)=0,0,IF(IF(ISBLANK($AW161),$AV161,$AW161)*Paraméterek!$J$112&lt;IF($D$4="Forint",Paraméterek!$J$113,Paraméterek!$K$113),IF($D$4="Forint",Paraméterek!$J$113,Paraméterek!$K$113),IF(IF(ISBLANK($AW161),$AV161,$AW161)*Paraméterek!$J$112&gt;IF($D$4="Forint",Paraméterek!$J$114,Paraméterek!$K$114),IF($D$4="Forint",Paraméterek!$J$114,Paraméterek!$K$114),IF(ISBLANK($AW161),$AV161,$AW161)*Paraméterek!$J$112))),IF($D$4="Forint",0,2))</f>
        <v>0</v>
      </c>
      <c r="AY161" s="13">
        <f>$AR161+$AT161-$AU161-IF(ROUNDDOWN(IF(ISBLANK($AW161),$AV161,$AW161),IF($D$4="Forint",0,2))&gt;$AR161+$AT161-$AU161-IF($D$4="Forint",Paraméterek!$J$114,Paraméterek!$K$114),0,ROUNDDOWN(IF(ISBLANK($AW161),$AV161,$AW161),IF($D$4="Forint",0,2))-$AX161)</f>
        <v>0</v>
      </c>
      <c r="AZ161" s="13">
        <f t="shared" si="39"/>
        <v>0</v>
      </c>
    </row>
    <row r="162" spans="1:52" x14ac:dyDescent="0.2">
      <c r="A162" s="32">
        <v>143</v>
      </c>
      <c r="B162" s="32">
        <v>12</v>
      </c>
      <c r="C162" s="32">
        <v>11</v>
      </c>
      <c r="D162" s="13">
        <f t="shared" si="30"/>
        <v>0</v>
      </c>
      <c r="E162" s="13"/>
      <c r="F162" s="13"/>
      <c r="G162" s="13"/>
      <c r="H162" s="13">
        <f t="shared" si="31"/>
        <v>0</v>
      </c>
      <c r="I162" s="13">
        <f t="shared" si="32"/>
        <v>0</v>
      </c>
      <c r="J162" s="13">
        <f t="shared" si="33"/>
        <v>0</v>
      </c>
      <c r="K162" s="13">
        <f>ROUNDUP(IF($D$2="Egyszeri",$D162,IF($D$2="Havi",SUM($D$20:$D$31),IF(MOD($C162,$M$1)-1=0,SUM($D$20:$D$31),0))/12*$M$1)*VLOOKUP($B162,Paraméterek!$B$27:$D$30,IF($D$2="Egyszeri",3,2)),IF($D$4="Forint",0,2))</f>
        <v>0</v>
      </c>
      <c r="L162" s="13">
        <f t="shared" si="34"/>
        <v>0</v>
      </c>
      <c r="M162" s="13">
        <f t="shared" ca="1" si="40"/>
        <v>-78238</v>
      </c>
      <c r="N162" s="13">
        <f ca="1">IF($V161&gt;=VLOOKUP($M$4-1+$B162,Paraméterek!$B$121:$D$122,IF($D$4="Forint",2,3)),0,VLOOKUP($M$4-1+$B162,Paraméterek!$B$121:$D$122,IF($D$4="Forint",2,3))-$V161)</f>
        <v>88238</v>
      </c>
      <c r="O162" s="13">
        <f ca="1">ROUNDUP($N162*Paraméterek!$C$58/Paraméterek!$C$56,IF($D$4="Forint",0,2))</f>
        <v>15</v>
      </c>
      <c r="P162" s="13">
        <f t="shared" si="35"/>
        <v>762</v>
      </c>
      <c r="Q162" s="33"/>
      <c r="R162" s="13">
        <f t="shared" ca="1" si="36"/>
        <v>0</v>
      </c>
      <c r="S162" s="13">
        <f ca="1">ROUNDUP(($M162-$O162-$P162+$R162)*VLOOKUP($B162,Paraméterek!$B$38:$D$39,IF($D$2="Egyszeri",3,2))/12,IF($D$4="Forint",0,2))</f>
        <v>-214</v>
      </c>
      <c r="T162" s="13"/>
      <c r="U162" s="13"/>
      <c r="V162" s="13">
        <f ca="1">$M162-$O162-$P162+$R162-$S162-IF(ROUNDUP(IF(ISBLANK($U162),$T162,$U162)/IF(AND($B162=1,$D$2&lt;&gt;"Egyszeri"),1,VLOOKUP($B162+IF($C162=12,1,0),Paraméterek!$B$257:$D$267,IF($D$2="Egyszeri",3,2))),IF($D$4="Forint",0,2))&gt;$M162-$O162-$P162+$R162-$S162-IF($D$4="Forint",Paraméterek!$C$216,Paraméterek!$D$216),0,ROUNDUP(IF(ISBLANK($U162),$T162,$U162)/IF(AND($B162=1,$D$2&lt;&gt;"Egyszeri"),1,VLOOKUP($B162+IF($C162=12,1,0),Paraméterek!$B$257:$D$267,IF($D$2="Egyszeri",3,2))),IF($D$4="Forint",0,2)))</f>
        <v>-78801</v>
      </c>
      <c r="W162" s="13">
        <f ca="1">ROUNDDOWN($V162*VLOOKUP($B162+IF($C162=12,1,0),Paraméterek!$B$257:$D$267,IF($D$2="Egyszeri",3,2)),IF($D$4="Forint",0,2))</f>
        <v>-78801</v>
      </c>
      <c r="Y162" s="32">
        <v>143</v>
      </c>
      <c r="Z162" s="32">
        <v>12</v>
      </c>
      <c r="AA162" s="32">
        <v>11</v>
      </c>
      <c r="AB162" s="13">
        <f t="shared" si="41"/>
        <v>0</v>
      </c>
      <c r="AC162" s="33"/>
      <c r="AD162" s="13">
        <f t="shared" si="37"/>
        <v>0</v>
      </c>
      <c r="AE162" s="13">
        <f>ROUNDUP(($AB162+$AD162)*VLOOKUP($Z162,Paraméterek!$P$38:$Q$38,2)/12,IF($D$4="Forint",0,2))</f>
        <v>0</v>
      </c>
      <c r="AF162" s="13">
        <f>IF($D$2="Egyszeri",IF($D$7&gt;=IF($D$4="Forint",Paraméterek!$P$223,Paraméterek!$P$224),$D$7-IF($D$4="Forint",Paraméterek!$F$223,Paraméterek!$F$224),0),MIN(IF($AA162=12,AVERAGE($D$20:$D162)*12,0),SUM($D$20:$D$31)))</f>
        <v>0</v>
      </c>
      <c r="AG162" s="13">
        <f>IF(AND($Z162&gt;=10,MOD($Z162,5)=0),$AF162*IF($AA162=12,VLOOKUP($Z162,Paraméterek!$B$225:$F$240,IF($AF162&lt;IF($D$4="Forint",Paraméterek!$C$223,Paraméterek!$C$224),2,IF($AF162&lt;IF($D$4="Forint",Paraméterek!$D$223,Paraméterek!$D$224),3,4))),0),0)</f>
        <v>0</v>
      </c>
      <c r="AH162" s="13">
        <f>IF(AND($Z162&gt;=5,MOD($Z162,5)=0),IF($AA162=12,VLOOKUP($Z162,Paraméterek!$B$225:$F$240,5),0),IF(OR($Z162=3,$Z162=4),IF($AA162=12,VLOOKUP($Z162,Paraméterek!$B$225:$F$240,5,0),0),0))*$AF162</f>
        <v>0</v>
      </c>
      <c r="AI162" s="13">
        <f>ROUNDDOWN(IF(SUM($T$20:$U162)=0,IF($D$2="Egyszeri",$AH162,$AG162),0),IF($D$4="Forint",0,2))</f>
        <v>0</v>
      </c>
      <c r="AJ162" s="13">
        <f t="shared" si="42"/>
        <v>0</v>
      </c>
      <c r="AK162" s="13">
        <f t="shared" si="43"/>
        <v>0</v>
      </c>
      <c r="AM162" s="32">
        <v>143</v>
      </c>
      <c r="AN162" s="32">
        <v>12</v>
      </c>
      <c r="AO162" s="32">
        <v>11</v>
      </c>
      <c r="AP162" s="13"/>
      <c r="AQ162" s="32"/>
      <c r="AR162" s="13">
        <f t="shared" si="44"/>
        <v>0</v>
      </c>
      <c r="AS162" s="33"/>
      <c r="AT162" s="13">
        <f t="shared" si="38"/>
        <v>0</v>
      </c>
      <c r="AU162" s="13">
        <f>ROUNDUP(($AR162+$AT162)*VLOOKUP($AN162,Paraméterek!$P$38:$Q$38,2)/12,IF($D$4="Forint",0,2))</f>
        <v>0</v>
      </c>
      <c r="AV162" s="13"/>
      <c r="AW162" s="13"/>
      <c r="AX162" s="13">
        <f>ROUNDUP(IF(SUM($AV162:$AW162)=0,0,IF(IF(ISBLANK($AW162),$AV162,$AW162)*Paraméterek!$J$112&lt;IF($D$4="Forint",Paraméterek!$J$113,Paraméterek!$K$113),IF($D$4="Forint",Paraméterek!$J$113,Paraméterek!$K$113),IF(IF(ISBLANK($AW162),$AV162,$AW162)*Paraméterek!$J$112&gt;IF($D$4="Forint",Paraméterek!$J$114,Paraméterek!$K$114),IF($D$4="Forint",Paraméterek!$J$114,Paraméterek!$K$114),IF(ISBLANK($AW162),$AV162,$AW162)*Paraméterek!$J$112))),IF($D$4="Forint",0,2))</f>
        <v>0</v>
      </c>
      <c r="AY162" s="13">
        <f>$AR162+$AT162-$AU162-IF(ROUNDDOWN(IF(ISBLANK($AW162),$AV162,$AW162),IF($D$4="Forint",0,2))&gt;$AR162+$AT162-$AU162-IF($D$4="Forint",Paraméterek!$J$114,Paraméterek!$K$114),0,ROUNDDOWN(IF(ISBLANK($AW162),$AV162,$AW162),IF($D$4="Forint",0,2))-$AX162)</f>
        <v>0</v>
      </c>
      <c r="AZ162" s="13">
        <f t="shared" si="39"/>
        <v>0</v>
      </c>
    </row>
    <row r="163" spans="1:52" x14ac:dyDescent="0.2">
      <c r="A163" s="32">
        <v>144</v>
      </c>
      <c r="B163" s="32">
        <v>12</v>
      </c>
      <c r="C163" s="32">
        <v>12</v>
      </c>
      <c r="D163" s="13">
        <f t="shared" si="30"/>
        <v>0</v>
      </c>
      <c r="E163" s="13"/>
      <c r="F163" s="13"/>
      <c r="G163" s="13"/>
      <c r="H163" s="13">
        <f t="shared" si="31"/>
        <v>0</v>
      </c>
      <c r="I163" s="13">
        <f t="shared" si="32"/>
        <v>0</v>
      </c>
      <c r="J163" s="13">
        <f t="shared" si="33"/>
        <v>0</v>
      </c>
      <c r="K163" s="13">
        <f>ROUNDUP(IF($D$2="Egyszeri",$D163,IF($D$2="Havi",SUM($D$20:$D$31),IF(MOD($C163,$M$1)-1=0,SUM($D$20:$D$31),0))/12*$M$1)*VLOOKUP($B163,Paraméterek!$B$27:$D$30,IF($D$2="Egyszeri",3,2)),IF($D$4="Forint",0,2))</f>
        <v>0</v>
      </c>
      <c r="L163" s="13">
        <f t="shared" si="34"/>
        <v>0</v>
      </c>
      <c r="M163" s="13">
        <f t="shared" ca="1" si="40"/>
        <v>-78801</v>
      </c>
      <c r="N163" s="13">
        <f ca="1">IF($V162&gt;=VLOOKUP($M$4-1+$B163,Paraméterek!$B$121:$D$122,IF($D$4="Forint",2,3)),0,VLOOKUP($M$4-1+$B163,Paraméterek!$B$121:$D$122,IF($D$4="Forint",2,3))-$V162)</f>
        <v>88801</v>
      </c>
      <c r="O163" s="13">
        <f ca="1">ROUNDUP($N163*Paraméterek!$C$58/Paraméterek!$C$56,IF($D$4="Forint",0,2))</f>
        <v>15</v>
      </c>
      <c r="P163" s="13">
        <f t="shared" si="35"/>
        <v>762</v>
      </c>
      <c r="Q163" s="33"/>
      <c r="R163" s="13">
        <f t="shared" ca="1" si="36"/>
        <v>0</v>
      </c>
      <c r="S163" s="13">
        <f ca="1">ROUNDUP(($M163-$O163-$P163+$R163)*VLOOKUP($B163,Paraméterek!$B$38:$D$39,IF($D$2="Egyszeri",3,2))/12,IF($D$4="Forint",0,2))</f>
        <v>-216</v>
      </c>
      <c r="T163" s="13">
        <f>Tranzakciók!$F$43</f>
        <v>0</v>
      </c>
      <c r="U163" s="13"/>
      <c r="V163" s="13">
        <f ca="1">$M163-$O163-$P163+$R163-$S163-IF(ROUNDUP(IF(ISBLANK($U163),$T163,$U163)/IF(AND($B163=1,$D$2&lt;&gt;"Egyszeri"),1,VLOOKUP($B163+IF($C163=12,1,0),Paraméterek!$B$257:$D$267,IF($D$2="Egyszeri",3,2))),IF($D$4="Forint",0,2))&gt;$M163-$O163-$P163+$R163-$S163-IF($D$4="Forint",Paraméterek!$C$216,Paraméterek!$D$216),0,ROUNDUP(IF(ISBLANK($U163),$T163,$U163)/IF(AND($B163=1,$D$2&lt;&gt;"Egyszeri"),1,VLOOKUP($B163+IF($C163=12,1,0),Paraméterek!$B$257:$D$267,IF($D$2="Egyszeri",3,2))),IF($D$4="Forint",0,2)))</f>
        <v>-79362</v>
      </c>
      <c r="W163" s="13">
        <f ca="1">ROUNDDOWN($V163*VLOOKUP($B163+IF($C163=12,1,0),Paraméterek!$B$257:$D$267,IF($D$2="Egyszeri",3,2)),IF($D$4="Forint",0,2))</f>
        <v>-79362</v>
      </c>
      <c r="Y163" s="32">
        <v>144</v>
      </c>
      <c r="Z163" s="32">
        <v>12</v>
      </c>
      <c r="AA163" s="32">
        <v>12</v>
      </c>
      <c r="AB163" s="13">
        <f t="shared" si="41"/>
        <v>0</v>
      </c>
      <c r="AC163" s="33"/>
      <c r="AD163" s="13">
        <f t="shared" si="37"/>
        <v>0</v>
      </c>
      <c r="AE163" s="13">
        <f>ROUNDUP(($AB163+$AD163)*VLOOKUP($Z163,Paraméterek!$P$38:$Q$38,2)/12,IF($D$4="Forint",0,2))</f>
        <v>0</v>
      </c>
      <c r="AF163" s="13">
        <f>IF($D$2="Egyszeri",IF($D$7&gt;=IF($D$4="Forint",Paraméterek!$P$223,Paraméterek!$P$224),$D$7-IF($D$4="Forint",Paraméterek!$F$223,Paraméterek!$F$224),0),MIN(IF($AA163=12,AVERAGE($D$20:$D163)*12,0),SUM($D$20:$D$31)))</f>
        <v>0</v>
      </c>
      <c r="AG163" s="13">
        <f>IF(AND($Z163&gt;=10,MOD($Z163,5)=0),$AF163*IF($AA163=12,VLOOKUP($Z163,Paraméterek!$B$225:$F$240,IF($AF163&lt;IF($D$4="Forint",Paraméterek!$C$223,Paraméterek!$C$224),2,IF($AF163&lt;IF($D$4="Forint",Paraméterek!$D$223,Paraméterek!$D$224),3,4))),0),0)</f>
        <v>0</v>
      </c>
      <c r="AH163" s="13">
        <f>IF(AND($Z163&gt;=5,MOD($Z163,5)=0),IF($AA163=12,VLOOKUP($Z163,Paraméterek!$B$225:$F$240,5),0),IF(OR($Z163=3,$Z163=4),IF($AA163=12,VLOOKUP($Z163,Paraméterek!$B$225:$F$240,5,0),0),0))*$AF163</f>
        <v>0</v>
      </c>
      <c r="AI163" s="13">
        <f>ROUNDDOWN(IF(SUM($T$20:$U163)=0,IF($D$2="Egyszeri",$AH163,$AG163),0),IF($D$4="Forint",0,2))</f>
        <v>0</v>
      </c>
      <c r="AJ163" s="13">
        <f t="shared" si="42"/>
        <v>0</v>
      </c>
      <c r="AK163" s="13">
        <f t="shared" si="43"/>
        <v>0</v>
      </c>
      <c r="AM163" s="32">
        <v>144</v>
      </c>
      <c r="AN163" s="32">
        <v>12</v>
      </c>
      <c r="AO163" s="32">
        <v>12</v>
      </c>
      <c r="AP163" s="13"/>
      <c r="AQ163" s="32"/>
      <c r="AR163" s="13">
        <f t="shared" si="44"/>
        <v>0</v>
      </c>
      <c r="AS163" s="33"/>
      <c r="AT163" s="13">
        <f t="shared" si="38"/>
        <v>0</v>
      </c>
      <c r="AU163" s="13">
        <f>ROUNDUP(($AR163+$AT163)*VLOOKUP($AN163,Paraméterek!$P$38:$Q$38,2)/12,IF($D$4="Forint",0,2))</f>
        <v>0</v>
      </c>
      <c r="AV163" s="13">
        <f>Tranzakciók!$M$43</f>
        <v>0</v>
      </c>
      <c r="AW163" s="13"/>
      <c r="AX163" s="13">
        <f>ROUNDUP(IF(SUM($AV163:$AW163)=0,0,IF(IF(ISBLANK($AW163),$AV163,$AW163)*Paraméterek!$J$112&lt;IF($D$4="Forint",Paraméterek!$J$113,Paraméterek!$K$113),IF($D$4="Forint",Paraméterek!$J$113,Paraméterek!$K$113),IF(IF(ISBLANK($AW163),$AV163,$AW163)*Paraméterek!$J$112&gt;IF($D$4="Forint",Paraméterek!$J$114,Paraméterek!$K$114),IF($D$4="Forint",Paraméterek!$J$114,Paraméterek!$K$114),IF(ISBLANK($AW163),$AV163,$AW163)*Paraméterek!$J$112))),IF($D$4="Forint",0,2))</f>
        <v>0</v>
      </c>
      <c r="AY163" s="13">
        <f>$AR163+$AT163-$AU163-IF(ROUNDDOWN(IF(ISBLANK($AW163),$AV163,$AW163),IF($D$4="Forint",0,2))&gt;$AR163+$AT163-$AU163-IF($D$4="Forint",Paraméterek!$J$114,Paraméterek!$K$114),0,ROUNDDOWN(IF(ISBLANK($AW163),$AV163,$AW163),IF($D$4="Forint",0,2))-$AX163)</f>
        <v>0</v>
      </c>
      <c r="AZ163" s="13">
        <f t="shared" si="39"/>
        <v>0</v>
      </c>
    </row>
    <row r="164" spans="1:52" x14ac:dyDescent="0.2">
      <c r="A164" s="32">
        <v>145</v>
      </c>
      <c r="B164" s="32">
        <v>13</v>
      </c>
      <c r="C164" s="32">
        <v>1</v>
      </c>
      <c r="D164" s="13">
        <f t="shared" si="30"/>
        <v>0</v>
      </c>
      <c r="E164" s="13"/>
      <c r="F164" s="13">
        <f>Tranzakciók!$D$44</f>
        <v>0</v>
      </c>
      <c r="G164" s="13"/>
      <c r="H164" s="13">
        <f t="shared" si="31"/>
        <v>0</v>
      </c>
      <c r="I164" s="13">
        <f t="shared" si="32"/>
        <v>143</v>
      </c>
      <c r="J164" s="13">
        <f t="shared" si="33"/>
        <v>143</v>
      </c>
      <c r="K164" s="13">
        <f>ROUNDUP(IF($D$2="Egyszeri",$D164,IF($D$2="Havi",SUM($D$20:$D$31),IF(MOD($C164,$M$1)-1=0,SUM($D$20:$D$31),0))/12*$M$1)*VLOOKUP($B164,Paraméterek!$B$27:$D$30,IF($D$2="Egyszeri",3,2)),IF($D$4="Forint",0,2))</f>
        <v>0</v>
      </c>
      <c r="L164" s="13">
        <f t="shared" si="34"/>
        <v>0</v>
      </c>
      <c r="M164" s="13">
        <f t="shared" ca="1" si="40"/>
        <v>-79362</v>
      </c>
      <c r="N164" s="13">
        <f ca="1">IF($V163&gt;=VLOOKUP($M$4-1+$B164,Paraméterek!$B$121:$D$122,IF($D$4="Forint",2,3)),0,VLOOKUP($M$4-1+$B164,Paraméterek!$B$121:$D$122,IF($D$4="Forint",2,3))-$V163)</f>
        <v>89362</v>
      </c>
      <c r="O164" s="13">
        <f ca="1">ROUNDUP($N164*Paraméterek!$C$58/Paraméterek!$C$56,IF($D$4="Forint",0,2))</f>
        <v>15</v>
      </c>
      <c r="P164" s="13">
        <f t="shared" si="35"/>
        <v>785</v>
      </c>
      <c r="Q164" s="33"/>
      <c r="R164" s="13">
        <f t="shared" ca="1" si="36"/>
        <v>0</v>
      </c>
      <c r="S164" s="13">
        <f ca="1">ROUNDUP(($M164-$O164-$P164+$R164)*VLOOKUP($B164,Paraméterek!$B$38:$D$39,IF($D$2="Egyszeri",3,2))/12,IF($D$4="Forint",0,2))</f>
        <v>-218</v>
      </c>
      <c r="T164" s="13"/>
      <c r="U164" s="13"/>
      <c r="V164" s="13">
        <f ca="1">$M164-$O164-$P164+$R164-$S164-IF(ROUNDUP(IF(ISBLANK($U164),$T164,$U164)/IF(AND($B164=1,$D$2&lt;&gt;"Egyszeri"),1,VLOOKUP($B164+IF($C164=12,1,0),Paraméterek!$B$257:$D$267,IF($D$2="Egyszeri",3,2))),IF($D$4="Forint",0,2))&gt;$M164-$O164-$P164+$R164-$S164-IF($D$4="Forint",Paraméterek!$C$216,Paraméterek!$D$216),0,ROUNDUP(IF(ISBLANK($U164),$T164,$U164)/IF(AND($B164=1,$D$2&lt;&gt;"Egyszeri"),1,VLOOKUP($B164+IF($C164=12,1,0),Paraméterek!$B$257:$D$267,IF($D$2="Egyszeri",3,2))),IF($D$4="Forint",0,2)))</f>
        <v>-79944</v>
      </c>
      <c r="W164" s="13">
        <f ca="1">ROUNDDOWN($V164*VLOOKUP($B164+IF($C164=12,1,0),Paraméterek!$B$257:$D$267,IF($D$2="Egyszeri",3,2)),IF($D$4="Forint",0,2))</f>
        <v>-79944</v>
      </c>
      <c r="Y164" s="32">
        <v>145</v>
      </c>
      <c r="Z164" s="32">
        <v>13</v>
      </c>
      <c r="AA164" s="32">
        <v>1</v>
      </c>
      <c r="AB164" s="13">
        <f t="shared" si="41"/>
        <v>0</v>
      </c>
      <c r="AC164" s="33"/>
      <c r="AD164" s="13">
        <f t="shared" si="37"/>
        <v>0</v>
      </c>
      <c r="AE164" s="13">
        <f>ROUNDUP(($AB164+$AD164)*VLOOKUP($Z164,Paraméterek!$P$38:$Q$38,2)/12,IF($D$4="Forint",0,2))</f>
        <v>0</v>
      </c>
      <c r="AF164" s="13">
        <f>IF($D$2="Egyszeri",IF($D$7&gt;=IF($D$4="Forint",Paraméterek!$P$223,Paraméterek!$P$224),$D$7-IF($D$4="Forint",Paraméterek!$F$223,Paraméterek!$F$224),0),MIN(IF($AA164=12,AVERAGE($D$20:$D164)*12,0),SUM($D$20:$D$31)))</f>
        <v>0</v>
      </c>
      <c r="AG164" s="13">
        <f>IF(AND($Z164&gt;=10,MOD($Z164,5)=0),$AF164*IF($AA164=12,VLOOKUP($Z164,Paraméterek!$B$225:$F$240,IF($AF164&lt;IF($D$4="Forint",Paraméterek!$C$223,Paraméterek!$C$224),2,IF($AF164&lt;IF($D$4="Forint",Paraméterek!$D$223,Paraméterek!$D$224),3,4))),0),0)</f>
        <v>0</v>
      </c>
      <c r="AH164" s="13">
        <f>IF(AND($Z164&gt;=5,MOD($Z164,5)=0),IF($AA164=12,VLOOKUP($Z164,Paraméterek!$B$225:$F$240,5),0),IF(OR($Z164=3,$Z164=4),IF($AA164=12,VLOOKUP($Z164,Paraméterek!$B$225:$F$240,5,0),0),0))*$AF164</f>
        <v>0</v>
      </c>
      <c r="AI164" s="13">
        <f>ROUNDDOWN(IF(SUM($T$20:$U164)=0,IF($D$2="Egyszeri",$AH164,$AG164),0),IF($D$4="Forint",0,2))</f>
        <v>0</v>
      </c>
      <c r="AJ164" s="13">
        <f t="shared" si="42"/>
        <v>0</v>
      </c>
      <c r="AK164" s="13">
        <f t="shared" si="43"/>
        <v>0</v>
      </c>
      <c r="AM164" s="32">
        <v>145</v>
      </c>
      <c r="AN164" s="32">
        <v>13</v>
      </c>
      <c r="AO164" s="32">
        <v>1</v>
      </c>
      <c r="AP164" s="13">
        <f>Tranzakciók!$K$44</f>
        <v>0</v>
      </c>
      <c r="AQ164" s="32"/>
      <c r="AR164" s="13">
        <f t="shared" si="44"/>
        <v>0</v>
      </c>
      <c r="AS164" s="33"/>
      <c r="AT164" s="13">
        <f t="shared" si="38"/>
        <v>0</v>
      </c>
      <c r="AU164" s="13">
        <f>ROUNDUP(($AR164+$AT164)*VLOOKUP($AN164,Paraméterek!$P$38:$Q$38,2)/12,IF($D$4="Forint",0,2))</f>
        <v>0</v>
      </c>
      <c r="AV164" s="13"/>
      <c r="AW164" s="13"/>
      <c r="AX164" s="13">
        <f>ROUNDUP(IF(SUM($AV164:$AW164)=0,0,IF(IF(ISBLANK($AW164),$AV164,$AW164)*Paraméterek!$J$112&lt;IF($D$4="Forint",Paraméterek!$J$113,Paraméterek!$K$113),IF($D$4="Forint",Paraméterek!$J$113,Paraméterek!$K$113),IF(IF(ISBLANK($AW164),$AV164,$AW164)*Paraméterek!$J$112&gt;IF($D$4="Forint",Paraméterek!$J$114,Paraméterek!$K$114),IF($D$4="Forint",Paraméterek!$J$114,Paraméterek!$K$114),IF(ISBLANK($AW164),$AV164,$AW164)*Paraméterek!$J$112))),IF($D$4="Forint",0,2))</f>
        <v>0</v>
      </c>
      <c r="AY164" s="13">
        <f>$AR164+$AT164-$AU164-IF(ROUNDDOWN(IF(ISBLANK($AW164),$AV164,$AW164),IF($D$4="Forint",0,2))&gt;$AR164+$AT164-$AU164-IF($D$4="Forint",Paraméterek!$J$114,Paraméterek!$K$114),0,ROUNDDOWN(IF(ISBLANK($AW164),$AV164,$AW164),IF($D$4="Forint",0,2))-$AX164)</f>
        <v>0</v>
      </c>
      <c r="AZ164" s="13">
        <f t="shared" si="39"/>
        <v>0</v>
      </c>
    </row>
    <row r="165" spans="1:52" x14ac:dyDescent="0.2">
      <c r="A165" s="32">
        <v>146</v>
      </c>
      <c r="B165" s="32">
        <v>13</v>
      </c>
      <c r="C165" s="32">
        <v>2</v>
      </c>
      <c r="D165" s="13">
        <f t="shared" si="30"/>
        <v>0</v>
      </c>
      <c r="E165" s="13"/>
      <c r="F165" s="13"/>
      <c r="G165" s="13"/>
      <c r="H165" s="13">
        <f t="shared" si="31"/>
        <v>0</v>
      </c>
      <c r="I165" s="13">
        <f t="shared" si="32"/>
        <v>0</v>
      </c>
      <c r="J165" s="13">
        <f t="shared" si="33"/>
        <v>0</v>
      </c>
      <c r="K165" s="13">
        <f>ROUNDUP(IF($D$2="Egyszeri",$D165,IF($D$2="Havi",SUM($D$20:$D$31),IF(MOD($C165,$M$1)-1=0,SUM($D$20:$D$31),0))/12*$M$1)*VLOOKUP($B165,Paraméterek!$B$27:$D$30,IF($D$2="Egyszeri",3,2)),IF($D$4="Forint",0,2))</f>
        <v>0</v>
      </c>
      <c r="L165" s="13">
        <f t="shared" si="34"/>
        <v>0</v>
      </c>
      <c r="M165" s="13">
        <f t="shared" ca="1" si="40"/>
        <v>-79944</v>
      </c>
      <c r="N165" s="13">
        <f ca="1">IF($V164&gt;=VLOOKUP($M$4-1+$B165,Paraméterek!$B$121:$D$122,IF($D$4="Forint",2,3)),0,VLOOKUP($M$4-1+$B165,Paraméterek!$B$121:$D$122,IF($D$4="Forint",2,3))-$V164)</f>
        <v>89944</v>
      </c>
      <c r="O165" s="13">
        <f ca="1">ROUNDUP($N165*Paraméterek!$C$58/Paraméterek!$C$56,IF($D$4="Forint",0,2))</f>
        <v>15</v>
      </c>
      <c r="P165" s="13">
        <f t="shared" si="35"/>
        <v>785</v>
      </c>
      <c r="Q165" s="33"/>
      <c r="R165" s="13">
        <f t="shared" ca="1" si="36"/>
        <v>0</v>
      </c>
      <c r="S165" s="13">
        <f ca="1">ROUNDUP(($M165-$O165-$P165+$R165)*VLOOKUP($B165,Paraméterek!$B$38:$D$39,IF($D$2="Egyszeri",3,2))/12,IF($D$4="Forint",0,2))</f>
        <v>-219</v>
      </c>
      <c r="T165" s="13"/>
      <c r="U165" s="13"/>
      <c r="V165" s="13">
        <f ca="1">$M165-$O165-$P165+$R165-$S165-IF(ROUNDUP(IF(ISBLANK($U165),$T165,$U165)/IF(AND($B165=1,$D$2&lt;&gt;"Egyszeri"),1,VLOOKUP($B165+IF($C165=12,1,0),Paraméterek!$B$257:$D$267,IF($D$2="Egyszeri",3,2))),IF($D$4="Forint",0,2))&gt;$M165-$O165-$P165+$R165-$S165-IF($D$4="Forint",Paraméterek!$C$216,Paraméterek!$D$216),0,ROUNDUP(IF(ISBLANK($U165),$T165,$U165)/IF(AND($B165=1,$D$2&lt;&gt;"Egyszeri"),1,VLOOKUP($B165+IF($C165=12,1,0),Paraméterek!$B$257:$D$267,IF($D$2="Egyszeri",3,2))),IF($D$4="Forint",0,2)))</f>
        <v>-80525</v>
      </c>
      <c r="W165" s="13">
        <f ca="1">ROUNDDOWN($V165*VLOOKUP($B165+IF($C165=12,1,0),Paraméterek!$B$257:$D$267,IF($D$2="Egyszeri",3,2)),IF($D$4="Forint",0,2))</f>
        <v>-80525</v>
      </c>
      <c r="Y165" s="32">
        <v>146</v>
      </c>
      <c r="Z165" s="32">
        <v>13</v>
      </c>
      <c r="AA165" s="32">
        <v>2</v>
      </c>
      <c r="AB165" s="13">
        <f t="shared" si="41"/>
        <v>0</v>
      </c>
      <c r="AC165" s="33"/>
      <c r="AD165" s="13">
        <f t="shared" si="37"/>
        <v>0</v>
      </c>
      <c r="AE165" s="13">
        <f>ROUNDUP(($AB165+$AD165)*VLOOKUP($Z165,Paraméterek!$P$38:$Q$38,2)/12,IF($D$4="Forint",0,2))</f>
        <v>0</v>
      </c>
      <c r="AF165" s="13">
        <f>IF($D$2="Egyszeri",IF($D$7&gt;=IF($D$4="Forint",Paraméterek!$P$223,Paraméterek!$P$224),$D$7-IF($D$4="Forint",Paraméterek!$F$223,Paraméterek!$F$224),0),MIN(IF($AA165=12,AVERAGE($D$20:$D165)*12,0),SUM($D$20:$D$31)))</f>
        <v>0</v>
      </c>
      <c r="AG165" s="13">
        <f>IF(AND($Z165&gt;=10,MOD($Z165,5)=0),$AF165*IF($AA165=12,VLOOKUP($Z165,Paraméterek!$B$225:$F$240,IF($AF165&lt;IF($D$4="Forint",Paraméterek!$C$223,Paraméterek!$C$224),2,IF($AF165&lt;IF($D$4="Forint",Paraméterek!$D$223,Paraméterek!$D$224),3,4))),0),0)</f>
        <v>0</v>
      </c>
      <c r="AH165" s="13">
        <f>IF(AND($Z165&gt;=5,MOD($Z165,5)=0),IF($AA165=12,VLOOKUP($Z165,Paraméterek!$B$225:$F$240,5),0),IF(OR($Z165=3,$Z165=4),IF($AA165=12,VLOOKUP($Z165,Paraméterek!$B$225:$F$240,5,0),0),0))*$AF165</f>
        <v>0</v>
      </c>
      <c r="AI165" s="13">
        <f>ROUNDDOWN(IF(SUM($T$20:$U165)=0,IF($D$2="Egyszeri",$AH165,$AG165),0),IF($D$4="Forint",0,2))</f>
        <v>0</v>
      </c>
      <c r="AJ165" s="13">
        <f t="shared" si="42"/>
        <v>0</v>
      </c>
      <c r="AK165" s="13">
        <f t="shared" si="43"/>
        <v>0</v>
      </c>
      <c r="AM165" s="32">
        <v>146</v>
      </c>
      <c r="AN165" s="32">
        <v>13</v>
      </c>
      <c r="AO165" s="32">
        <v>2</v>
      </c>
      <c r="AP165" s="13"/>
      <c r="AQ165" s="32"/>
      <c r="AR165" s="13">
        <f t="shared" si="44"/>
        <v>0</v>
      </c>
      <c r="AS165" s="33"/>
      <c r="AT165" s="13">
        <f t="shared" si="38"/>
        <v>0</v>
      </c>
      <c r="AU165" s="13">
        <f>ROUNDUP(($AR165+$AT165)*VLOOKUP($AN165,Paraméterek!$P$38:$Q$38,2)/12,IF($D$4="Forint",0,2))</f>
        <v>0</v>
      </c>
      <c r="AV165" s="13"/>
      <c r="AW165" s="13"/>
      <c r="AX165" s="13">
        <f>ROUNDUP(IF(SUM($AV165:$AW165)=0,0,IF(IF(ISBLANK($AW165),$AV165,$AW165)*Paraméterek!$J$112&lt;IF($D$4="Forint",Paraméterek!$J$113,Paraméterek!$K$113),IF($D$4="Forint",Paraméterek!$J$113,Paraméterek!$K$113),IF(IF(ISBLANK($AW165),$AV165,$AW165)*Paraméterek!$J$112&gt;IF($D$4="Forint",Paraméterek!$J$114,Paraméterek!$K$114),IF($D$4="Forint",Paraméterek!$J$114,Paraméterek!$K$114),IF(ISBLANK($AW165),$AV165,$AW165)*Paraméterek!$J$112))),IF($D$4="Forint",0,2))</f>
        <v>0</v>
      </c>
      <c r="AY165" s="13">
        <f>$AR165+$AT165-$AU165-IF(ROUNDDOWN(IF(ISBLANK($AW165),$AV165,$AW165),IF($D$4="Forint",0,2))&gt;$AR165+$AT165-$AU165-IF($D$4="Forint",Paraméterek!$J$114,Paraméterek!$K$114),0,ROUNDDOWN(IF(ISBLANK($AW165),$AV165,$AW165),IF($D$4="Forint",0,2))-$AX165)</f>
        <v>0</v>
      </c>
      <c r="AZ165" s="13">
        <f t="shared" si="39"/>
        <v>0</v>
      </c>
    </row>
    <row r="166" spans="1:52" x14ac:dyDescent="0.2">
      <c r="A166" s="32">
        <v>147</v>
      </c>
      <c r="B166" s="32">
        <v>13</v>
      </c>
      <c r="C166" s="32">
        <v>3</v>
      </c>
      <c r="D166" s="13">
        <f t="shared" si="30"/>
        <v>0</v>
      </c>
      <c r="E166" s="13"/>
      <c r="F166" s="13"/>
      <c r="G166" s="13"/>
      <c r="H166" s="13">
        <f t="shared" si="31"/>
        <v>0</v>
      </c>
      <c r="I166" s="13">
        <f t="shared" si="32"/>
        <v>0</v>
      </c>
      <c r="J166" s="13">
        <f t="shared" si="33"/>
        <v>0</v>
      </c>
      <c r="K166" s="13">
        <f>ROUNDUP(IF($D$2="Egyszeri",$D166,IF($D$2="Havi",SUM($D$20:$D$31),IF(MOD($C166,$M$1)-1=0,SUM($D$20:$D$31),0))/12*$M$1)*VLOOKUP($B166,Paraméterek!$B$27:$D$30,IF($D$2="Egyszeri",3,2)),IF($D$4="Forint",0,2))</f>
        <v>0</v>
      </c>
      <c r="L166" s="13">
        <f t="shared" si="34"/>
        <v>0</v>
      </c>
      <c r="M166" s="13">
        <f t="shared" ca="1" si="40"/>
        <v>-80525</v>
      </c>
      <c r="N166" s="13">
        <f ca="1">IF($V165&gt;=VLOOKUP($M$4-1+$B166,Paraméterek!$B$121:$D$122,IF($D$4="Forint",2,3)),0,VLOOKUP($M$4-1+$B166,Paraméterek!$B$121:$D$122,IF($D$4="Forint",2,3))-$V165)</f>
        <v>90525</v>
      </c>
      <c r="O166" s="13">
        <f ca="1">ROUNDUP($N166*Paraméterek!$C$58/Paraméterek!$C$56,IF($D$4="Forint",0,2))</f>
        <v>15</v>
      </c>
      <c r="P166" s="13">
        <f t="shared" si="35"/>
        <v>785</v>
      </c>
      <c r="Q166" s="33"/>
      <c r="R166" s="13">
        <f t="shared" ca="1" si="36"/>
        <v>0</v>
      </c>
      <c r="S166" s="13">
        <f ca="1">ROUNDUP(($M166-$O166-$P166+$R166)*VLOOKUP($B166,Paraméterek!$B$38:$D$39,IF($D$2="Egyszeri",3,2))/12,IF($D$4="Forint",0,2))</f>
        <v>-221</v>
      </c>
      <c r="T166" s="13"/>
      <c r="U166" s="13"/>
      <c r="V166" s="13">
        <f ca="1">$M166-$O166-$P166+$R166-$S166-IF(ROUNDUP(IF(ISBLANK($U166),$T166,$U166)/IF(AND($B166=1,$D$2&lt;&gt;"Egyszeri"),1,VLOOKUP($B166+IF($C166=12,1,0),Paraméterek!$B$257:$D$267,IF($D$2="Egyszeri",3,2))),IF($D$4="Forint",0,2))&gt;$M166-$O166-$P166+$R166-$S166-IF($D$4="Forint",Paraméterek!$C$216,Paraméterek!$D$216),0,ROUNDUP(IF(ISBLANK($U166),$T166,$U166)/IF(AND($B166=1,$D$2&lt;&gt;"Egyszeri"),1,VLOOKUP($B166+IF($C166=12,1,0),Paraméterek!$B$257:$D$267,IF($D$2="Egyszeri",3,2))),IF($D$4="Forint",0,2)))</f>
        <v>-81104</v>
      </c>
      <c r="W166" s="13">
        <f ca="1">ROUNDDOWN($V166*VLOOKUP($B166+IF($C166=12,1,0),Paraméterek!$B$257:$D$267,IF($D$2="Egyszeri",3,2)),IF($D$4="Forint",0,2))</f>
        <v>-81104</v>
      </c>
      <c r="Y166" s="32">
        <v>147</v>
      </c>
      <c r="Z166" s="32">
        <v>13</v>
      </c>
      <c r="AA166" s="32">
        <v>3</v>
      </c>
      <c r="AB166" s="13">
        <f t="shared" si="41"/>
        <v>0</v>
      </c>
      <c r="AC166" s="33"/>
      <c r="AD166" s="13">
        <f t="shared" si="37"/>
        <v>0</v>
      </c>
      <c r="AE166" s="13">
        <f>ROUNDUP(($AB166+$AD166)*VLOOKUP($Z166,Paraméterek!$P$38:$Q$38,2)/12,IF($D$4="Forint",0,2))</f>
        <v>0</v>
      </c>
      <c r="AF166" s="13">
        <f>IF($D$2="Egyszeri",IF($D$7&gt;=IF($D$4="Forint",Paraméterek!$P$223,Paraméterek!$P$224),$D$7-IF($D$4="Forint",Paraméterek!$F$223,Paraméterek!$F$224),0),MIN(IF($AA166=12,AVERAGE($D$20:$D166)*12,0),SUM($D$20:$D$31)))</f>
        <v>0</v>
      </c>
      <c r="AG166" s="13">
        <f>IF(AND($Z166&gt;=10,MOD($Z166,5)=0),$AF166*IF($AA166=12,VLOOKUP($Z166,Paraméterek!$B$225:$F$240,IF($AF166&lt;IF($D$4="Forint",Paraméterek!$C$223,Paraméterek!$C$224),2,IF($AF166&lt;IF($D$4="Forint",Paraméterek!$D$223,Paraméterek!$D$224),3,4))),0),0)</f>
        <v>0</v>
      </c>
      <c r="AH166" s="13">
        <f>IF(AND($Z166&gt;=5,MOD($Z166,5)=0),IF($AA166=12,VLOOKUP($Z166,Paraméterek!$B$225:$F$240,5),0),IF(OR($Z166=3,$Z166=4),IF($AA166=12,VLOOKUP($Z166,Paraméterek!$B$225:$F$240,5,0),0),0))*$AF166</f>
        <v>0</v>
      </c>
      <c r="AI166" s="13">
        <f>ROUNDDOWN(IF(SUM($T$20:$U166)=0,IF($D$2="Egyszeri",$AH166,$AG166),0),IF($D$4="Forint",0,2))</f>
        <v>0</v>
      </c>
      <c r="AJ166" s="13">
        <f t="shared" si="42"/>
        <v>0</v>
      </c>
      <c r="AK166" s="13">
        <f t="shared" si="43"/>
        <v>0</v>
      </c>
      <c r="AM166" s="32">
        <v>147</v>
      </c>
      <c r="AN166" s="32">
        <v>13</v>
      </c>
      <c r="AO166" s="32">
        <v>3</v>
      </c>
      <c r="AP166" s="13"/>
      <c r="AQ166" s="32"/>
      <c r="AR166" s="13">
        <f t="shared" si="44"/>
        <v>0</v>
      </c>
      <c r="AS166" s="33"/>
      <c r="AT166" s="13">
        <f t="shared" si="38"/>
        <v>0</v>
      </c>
      <c r="AU166" s="13">
        <f>ROUNDUP(($AR166+$AT166)*VLOOKUP($AN166,Paraméterek!$P$38:$Q$38,2)/12,IF($D$4="Forint",0,2))</f>
        <v>0</v>
      </c>
      <c r="AV166" s="13"/>
      <c r="AW166" s="13"/>
      <c r="AX166" s="13">
        <f>ROUNDUP(IF(SUM($AV166:$AW166)=0,0,IF(IF(ISBLANK($AW166),$AV166,$AW166)*Paraméterek!$J$112&lt;IF($D$4="Forint",Paraméterek!$J$113,Paraméterek!$K$113),IF($D$4="Forint",Paraméterek!$J$113,Paraméterek!$K$113),IF(IF(ISBLANK($AW166),$AV166,$AW166)*Paraméterek!$J$112&gt;IF($D$4="Forint",Paraméterek!$J$114,Paraméterek!$K$114),IF($D$4="Forint",Paraméterek!$J$114,Paraméterek!$K$114),IF(ISBLANK($AW166),$AV166,$AW166)*Paraméterek!$J$112))),IF($D$4="Forint",0,2))</f>
        <v>0</v>
      </c>
      <c r="AY166" s="13">
        <f>$AR166+$AT166-$AU166-IF(ROUNDDOWN(IF(ISBLANK($AW166),$AV166,$AW166),IF($D$4="Forint",0,2))&gt;$AR166+$AT166-$AU166-IF($D$4="Forint",Paraméterek!$J$114,Paraméterek!$K$114),0,ROUNDDOWN(IF(ISBLANK($AW166),$AV166,$AW166),IF($D$4="Forint",0,2))-$AX166)</f>
        <v>0</v>
      </c>
      <c r="AZ166" s="13">
        <f t="shared" si="39"/>
        <v>0</v>
      </c>
    </row>
    <row r="167" spans="1:52" x14ac:dyDescent="0.2">
      <c r="A167" s="32">
        <v>148</v>
      </c>
      <c r="B167" s="32">
        <v>13</v>
      </c>
      <c r="C167" s="32">
        <v>4</v>
      </c>
      <c r="D167" s="13">
        <f t="shared" si="30"/>
        <v>0</v>
      </c>
      <c r="E167" s="13"/>
      <c r="F167" s="13"/>
      <c r="G167" s="13"/>
      <c r="H167" s="13">
        <f t="shared" si="31"/>
        <v>0</v>
      </c>
      <c r="I167" s="13">
        <f t="shared" si="32"/>
        <v>0</v>
      </c>
      <c r="J167" s="13">
        <f t="shared" si="33"/>
        <v>0</v>
      </c>
      <c r="K167" s="13">
        <f>ROUNDUP(IF($D$2="Egyszeri",$D167,IF($D$2="Havi",SUM($D$20:$D$31),IF(MOD($C167,$M$1)-1=0,SUM($D$20:$D$31),0))/12*$M$1)*VLOOKUP($B167,Paraméterek!$B$27:$D$30,IF($D$2="Egyszeri",3,2)),IF($D$4="Forint",0,2))</f>
        <v>0</v>
      </c>
      <c r="L167" s="13">
        <f t="shared" si="34"/>
        <v>0</v>
      </c>
      <c r="M167" s="13">
        <f t="shared" ca="1" si="40"/>
        <v>-81104</v>
      </c>
      <c r="N167" s="13">
        <f ca="1">IF($V166&gt;=VLOOKUP($M$4-1+$B167,Paraméterek!$B$121:$D$122,IF($D$4="Forint",2,3)),0,VLOOKUP($M$4-1+$B167,Paraméterek!$B$121:$D$122,IF($D$4="Forint",2,3))-$V166)</f>
        <v>91104</v>
      </c>
      <c r="O167" s="13">
        <f ca="1">ROUNDUP($N167*Paraméterek!$C$58/Paraméterek!$C$56,IF($D$4="Forint",0,2))</f>
        <v>15</v>
      </c>
      <c r="P167" s="13">
        <f t="shared" si="35"/>
        <v>785</v>
      </c>
      <c r="Q167" s="33"/>
      <c r="R167" s="13">
        <f t="shared" ca="1" si="36"/>
        <v>0</v>
      </c>
      <c r="S167" s="13">
        <f ca="1">ROUNDUP(($M167-$O167-$P167+$R167)*VLOOKUP($B167,Paraméterek!$B$38:$D$39,IF($D$2="Egyszeri",3,2))/12,IF($D$4="Forint",0,2))</f>
        <v>-222</v>
      </c>
      <c r="T167" s="13"/>
      <c r="U167" s="13"/>
      <c r="V167" s="13">
        <f ca="1">$M167-$O167-$P167+$R167-$S167-IF(ROUNDUP(IF(ISBLANK($U167),$T167,$U167)/IF(AND($B167=1,$D$2&lt;&gt;"Egyszeri"),1,VLOOKUP($B167+IF($C167=12,1,0),Paraméterek!$B$257:$D$267,IF($D$2="Egyszeri",3,2))),IF($D$4="Forint",0,2))&gt;$M167-$O167-$P167+$R167-$S167-IF($D$4="Forint",Paraméterek!$C$216,Paraméterek!$D$216),0,ROUNDUP(IF(ISBLANK($U167),$T167,$U167)/IF(AND($B167=1,$D$2&lt;&gt;"Egyszeri"),1,VLOOKUP($B167+IF($C167=12,1,0),Paraméterek!$B$257:$D$267,IF($D$2="Egyszeri",3,2))),IF($D$4="Forint",0,2)))</f>
        <v>-81682</v>
      </c>
      <c r="W167" s="13">
        <f ca="1">ROUNDDOWN($V167*VLOOKUP($B167+IF($C167=12,1,0),Paraméterek!$B$257:$D$267,IF($D$2="Egyszeri",3,2)),IF($D$4="Forint",0,2))</f>
        <v>-81682</v>
      </c>
      <c r="Y167" s="32">
        <v>148</v>
      </c>
      <c r="Z167" s="32">
        <v>13</v>
      </c>
      <c r="AA167" s="32">
        <v>4</v>
      </c>
      <c r="AB167" s="13">
        <f t="shared" si="41"/>
        <v>0</v>
      </c>
      <c r="AC167" s="33"/>
      <c r="AD167" s="13">
        <f t="shared" si="37"/>
        <v>0</v>
      </c>
      <c r="AE167" s="13">
        <f>ROUNDUP(($AB167+$AD167)*VLOOKUP($Z167,Paraméterek!$P$38:$Q$38,2)/12,IF($D$4="Forint",0,2))</f>
        <v>0</v>
      </c>
      <c r="AF167" s="13">
        <f>IF($D$2="Egyszeri",IF($D$7&gt;=IF($D$4="Forint",Paraméterek!$P$223,Paraméterek!$P$224),$D$7-IF($D$4="Forint",Paraméterek!$F$223,Paraméterek!$F$224),0),MIN(IF($AA167=12,AVERAGE($D$20:$D167)*12,0),SUM($D$20:$D$31)))</f>
        <v>0</v>
      </c>
      <c r="AG167" s="13">
        <f>IF(AND($Z167&gt;=10,MOD($Z167,5)=0),$AF167*IF($AA167=12,VLOOKUP($Z167,Paraméterek!$B$225:$F$240,IF($AF167&lt;IF($D$4="Forint",Paraméterek!$C$223,Paraméterek!$C$224),2,IF($AF167&lt;IF($D$4="Forint",Paraméterek!$D$223,Paraméterek!$D$224),3,4))),0),0)</f>
        <v>0</v>
      </c>
      <c r="AH167" s="13">
        <f>IF(AND($Z167&gt;=5,MOD($Z167,5)=0),IF($AA167=12,VLOOKUP($Z167,Paraméterek!$B$225:$F$240,5),0),IF(OR($Z167=3,$Z167=4),IF($AA167=12,VLOOKUP($Z167,Paraméterek!$B$225:$F$240,5,0),0),0))*$AF167</f>
        <v>0</v>
      </c>
      <c r="AI167" s="13">
        <f>ROUNDDOWN(IF(SUM($T$20:$U167)=0,IF($D$2="Egyszeri",$AH167,$AG167),0),IF($D$4="Forint",0,2))</f>
        <v>0</v>
      </c>
      <c r="AJ167" s="13">
        <f t="shared" si="42"/>
        <v>0</v>
      </c>
      <c r="AK167" s="13">
        <f t="shared" si="43"/>
        <v>0</v>
      </c>
      <c r="AM167" s="32">
        <v>148</v>
      </c>
      <c r="AN167" s="32">
        <v>13</v>
      </c>
      <c r="AO167" s="32">
        <v>4</v>
      </c>
      <c r="AP167" s="13"/>
      <c r="AQ167" s="32"/>
      <c r="AR167" s="13">
        <f t="shared" si="44"/>
        <v>0</v>
      </c>
      <c r="AS167" s="33"/>
      <c r="AT167" s="13">
        <f t="shared" si="38"/>
        <v>0</v>
      </c>
      <c r="AU167" s="13">
        <f>ROUNDUP(($AR167+$AT167)*VLOOKUP($AN167,Paraméterek!$P$38:$Q$38,2)/12,IF($D$4="Forint",0,2))</f>
        <v>0</v>
      </c>
      <c r="AV167" s="13"/>
      <c r="AW167" s="13"/>
      <c r="AX167" s="13">
        <f>ROUNDUP(IF(SUM($AV167:$AW167)=0,0,IF(IF(ISBLANK($AW167),$AV167,$AW167)*Paraméterek!$J$112&lt;IF($D$4="Forint",Paraméterek!$J$113,Paraméterek!$K$113),IF($D$4="Forint",Paraméterek!$J$113,Paraméterek!$K$113),IF(IF(ISBLANK($AW167),$AV167,$AW167)*Paraméterek!$J$112&gt;IF($D$4="Forint",Paraméterek!$J$114,Paraméterek!$K$114),IF($D$4="Forint",Paraméterek!$J$114,Paraméterek!$K$114),IF(ISBLANK($AW167),$AV167,$AW167)*Paraméterek!$J$112))),IF($D$4="Forint",0,2))</f>
        <v>0</v>
      </c>
      <c r="AY167" s="13">
        <f>$AR167+$AT167-$AU167-IF(ROUNDDOWN(IF(ISBLANK($AW167),$AV167,$AW167),IF($D$4="Forint",0,2))&gt;$AR167+$AT167-$AU167-IF($D$4="Forint",Paraméterek!$J$114,Paraméterek!$K$114),0,ROUNDDOWN(IF(ISBLANK($AW167),$AV167,$AW167),IF($D$4="Forint",0,2))-$AX167)</f>
        <v>0</v>
      </c>
      <c r="AZ167" s="13">
        <f t="shared" si="39"/>
        <v>0</v>
      </c>
    </row>
    <row r="168" spans="1:52" x14ac:dyDescent="0.2">
      <c r="A168" s="32">
        <v>149</v>
      </c>
      <c r="B168" s="32">
        <v>13</v>
      </c>
      <c r="C168" s="32">
        <v>5</v>
      </c>
      <c r="D168" s="13">
        <f t="shared" si="30"/>
        <v>0</v>
      </c>
      <c r="E168" s="13"/>
      <c r="F168" s="13"/>
      <c r="G168" s="13"/>
      <c r="H168" s="13">
        <f t="shared" si="31"/>
        <v>0</v>
      </c>
      <c r="I168" s="13">
        <f t="shared" si="32"/>
        <v>0</v>
      </c>
      <c r="J168" s="13">
        <f t="shared" si="33"/>
        <v>0</v>
      </c>
      <c r="K168" s="13">
        <f>ROUNDUP(IF($D$2="Egyszeri",$D168,IF($D$2="Havi",SUM($D$20:$D$31),IF(MOD($C168,$M$1)-1=0,SUM($D$20:$D$31),0))/12*$M$1)*VLOOKUP($B168,Paraméterek!$B$27:$D$30,IF($D$2="Egyszeri",3,2)),IF($D$4="Forint",0,2))</f>
        <v>0</v>
      </c>
      <c r="L168" s="13">
        <f t="shared" si="34"/>
        <v>0</v>
      </c>
      <c r="M168" s="13">
        <f t="shared" ca="1" si="40"/>
        <v>-81682</v>
      </c>
      <c r="N168" s="13">
        <f ca="1">IF($V167&gt;=VLOOKUP($M$4-1+$B168,Paraméterek!$B$121:$D$122,IF($D$4="Forint",2,3)),0,VLOOKUP($M$4-1+$B168,Paraméterek!$B$121:$D$122,IF($D$4="Forint",2,3))-$V167)</f>
        <v>91682</v>
      </c>
      <c r="O168" s="13">
        <f ca="1">ROUNDUP($N168*Paraméterek!$C$58/Paraméterek!$C$56,IF($D$4="Forint",0,2))</f>
        <v>15</v>
      </c>
      <c r="P168" s="13">
        <f t="shared" si="35"/>
        <v>785</v>
      </c>
      <c r="Q168" s="33"/>
      <c r="R168" s="13">
        <f t="shared" ca="1" si="36"/>
        <v>0</v>
      </c>
      <c r="S168" s="13">
        <f ca="1">ROUNDUP(($M168-$O168-$P168+$R168)*VLOOKUP($B168,Paraméterek!$B$38:$D$39,IF($D$2="Egyszeri",3,2))/12,IF($D$4="Forint",0,2))</f>
        <v>-224</v>
      </c>
      <c r="T168" s="13"/>
      <c r="U168" s="13"/>
      <c r="V168" s="13">
        <f ca="1">$M168-$O168-$P168+$R168-$S168-IF(ROUNDUP(IF(ISBLANK($U168),$T168,$U168)/IF(AND($B168=1,$D$2&lt;&gt;"Egyszeri"),1,VLOOKUP($B168+IF($C168=12,1,0),Paraméterek!$B$257:$D$267,IF($D$2="Egyszeri",3,2))),IF($D$4="Forint",0,2))&gt;$M168-$O168-$P168+$R168-$S168-IF($D$4="Forint",Paraméterek!$C$216,Paraméterek!$D$216),0,ROUNDUP(IF(ISBLANK($U168),$T168,$U168)/IF(AND($B168=1,$D$2&lt;&gt;"Egyszeri"),1,VLOOKUP($B168+IF($C168=12,1,0),Paraméterek!$B$257:$D$267,IF($D$2="Egyszeri",3,2))),IF($D$4="Forint",0,2)))</f>
        <v>-82258</v>
      </c>
      <c r="W168" s="13">
        <f ca="1">ROUNDDOWN($V168*VLOOKUP($B168+IF($C168=12,1,0),Paraméterek!$B$257:$D$267,IF($D$2="Egyszeri",3,2)),IF($D$4="Forint",0,2))</f>
        <v>-82258</v>
      </c>
      <c r="Y168" s="32">
        <v>149</v>
      </c>
      <c r="Z168" s="32">
        <v>13</v>
      </c>
      <c r="AA168" s="32">
        <v>5</v>
      </c>
      <c r="AB168" s="13">
        <f t="shared" si="41"/>
        <v>0</v>
      </c>
      <c r="AC168" s="33"/>
      <c r="AD168" s="13">
        <f t="shared" si="37"/>
        <v>0</v>
      </c>
      <c r="AE168" s="13">
        <f>ROUNDUP(($AB168+$AD168)*VLOOKUP($Z168,Paraméterek!$P$38:$Q$38,2)/12,IF($D$4="Forint",0,2))</f>
        <v>0</v>
      </c>
      <c r="AF168" s="13">
        <f>IF($D$2="Egyszeri",IF($D$7&gt;=IF($D$4="Forint",Paraméterek!$P$223,Paraméterek!$P$224),$D$7-IF($D$4="Forint",Paraméterek!$F$223,Paraméterek!$F$224),0),MIN(IF($AA168=12,AVERAGE($D$20:$D168)*12,0),SUM($D$20:$D$31)))</f>
        <v>0</v>
      </c>
      <c r="AG168" s="13">
        <f>IF(AND($Z168&gt;=10,MOD($Z168,5)=0),$AF168*IF($AA168=12,VLOOKUP($Z168,Paraméterek!$B$225:$F$240,IF($AF168&lt;IF($D$4="Forint",Paraméterek!$C$223,Paraméterek!$C$224),2,IF($AF168&lt;IF($D$4="Forint",Paraméterek!$D$223,Paraméterek!$D$224),3,4))),0),0)</f>
        <v>0</v>
      </c>
      <c r="AH168" s="13">
        <f>IF(AND($Z168&gt;=5,MOD($Z168,5)=0),IF($AA168=12,VLOOKUP($Z168,Paraméterek!$B$225:$F$240,5),0),IF(OR($Z168=3,$Z168=4),IF($AA168=12,VLOOKUP($Z168,Paraméterek!$B$225:$F$240,5,0),0),0))*$AF168</f>
        <v>0</v>
      </c>
      <c r="AI168" s="13">
        <f>ROUNDDOWN(IF(SUM($T$20:$U168)=0,IF($D$2="Egyszeri",$AH168,$AG168),0),IF($D$4="Forint",0,2))</f>
        <v>0</v>
      </c>
      <c r="AJ168" s="13">
        <f t="shared" si="42"/>
        <v>0</v>
      </c>
      <c r="AK168" s="13">
        <f t="shared" si="43"/>
        <v>0</v>
      </c>
      <c r="AM168" s="32">
        <v>149</v>
      </c>
      <c r="AN168" s="32">
        <v>13</v>
      </c>
      <c r="AO168" s="32">
        <v>5</v>
      </c>
      <c r="AP168" s="13"/>
      <c r="AQ168" s="32"/>
      <c r="AR168" s="13">
        <f t="shared" si="44"/>
        <v>0</v>
      </c>
      <c r="AS168" s="33"/>
      <c r="AT168" s="13">
        <f t="shared" si="38"/>
        <v>0</v>
      </c>
      <c r="AU168" s="13">
        <f>ROUNDUP(($AR168+$AT168)*VLOOKUP($AN168,Paraméterek!$P$38:$Q$38,2)/12,IF($D$4="Forint",0,2))</f>
        <v>0</v>
      </c>
      <c r="AV168" s="13"/>
      <c r="AW168" s="13"/>
      <c r="AX168" s="13">
        <f>ROUNDUP(IF(SUM($AV168:$AW168)=0,0,IF(IF(ISBLANK($AW168),$AV168,$AW168)*Paraméterek!$J$112&lt;IF($D$4="Forint",Paraméterek!$J$113,Paraméterek!$K$113),IF($D$4="Forint",Paraméterek!$J$113,Paraméterek!$K$113),IF(IF(ISBLANK($AW168),$AV168,$AW168)*Paraméterek!$J$112&gt;IF($D$4="Forint",Paraméterek!$J$114,Paraméterek!$K$114),IF($D$4="Forint",Paraméterek!$J$114,Paraméterek!$K$114),IF(ISBLANK($AW168),$AV168,$AW168)*Paraméterek!$J$112))),IF($D$4="Forint",0,2))</f>
        <v>0</v>
      </c>
      <c r="AY168" s="13">
        <f>$AR168+$AT168-$AU168-IF(ROUNDDOWN(IF(ISBLANK($AW168),$AV168,$AW168),IF($D$4="Forint",0,2))&gt;$AR168+$AT168-$AU168-IF($D$4="Forint",Paraméterek!$J$114,Paraméterek!$K$114),0,ROUNDDOWN(IF(ISBLANK($AW168),$AV168,$AW168),IF($D$4="Forint",0,2))-$AX168)</f>
        <v>0</v>
      </c>
      <c r="AZ168" s="13">
        <f t="shared" si="39"/>
        <v>0</v>
      </c>
    </row>
    <row r="169" spans="1:52" x14ac:dyDescent="0.2">
      <c r="A169" s="32">
        <v>150</v>
      </c>
      <c r="B169" s="32">
        <v>13</v>
      </c>
      <c r="C169" s="32">
        <v>6</v>
      </c>
      <c r="D169" s="13">
        <f t="shared" si="30"/>
        <v>0</v>
      </c>
      <c r="E169" s="13"/>
      <c r="F169" s="13"/>
      <c r="G169" s="13"/>
      <c r="H169" s="13">
        <f t="shared" si="31"/>
        <v>0</v>
      </c>
      <c r="I169" s="13">
        <f t="shared" si="32"/>
        <v>0</v>
      </c>
      <c r="J169" s="13">
        <f t="shared" si="33"/>
        <v>0</v>
      </c>
      <c r="K169" s="13">
        <f>ROUNDUP(IF($D$2="Egyszeri",$D169,IF($D$2="Havi",SUM($D$20:$D$31),IF(MOD($C169,$M$1)-1=0,SUM($D$20:$D$31),0))/12*$M$1)*VLOOKUP($B169,Paraméterek!$B$27:$D$30,IF($D$2="Egyszeri",3,2)),IF($D$4="Forint",0,2))</f>
        <v>0</v>
      </c>
      <c r="L169" s="13">
        <f t="shared" si="34"/>
        <v>0</v>
      </c>
      <c r="M169" s="13">
        <f t="shared" ca="1" si="40"/>
        <v>-82258</v>
      </c>
      <c r="N169" s="13">
        <f ca="1">IF($V168&gt;=VLOOKUP($M$4-1+$B169,Paraméterek!$B$121:$D$122,IF($D$4="Forint",2,3)),0,VLOOKUP($M$4-1+$B169,Paraméterek!$B$121:$D$122,IF($D$4="Forint",2,3))-$V168)</f>
        <v>92258</v>
      </c>
      <c r="O169" s="13">
        <f ca="1">ROUNDUP($N169*Paraméterek!$C$58/Paraméterek!$C$56,IF($D$4="Forint",0,2))</f>
        <v>15</v>
      </c>
      <c r="P169" s="13">
        <f t="shared" si="35"/>
        <v>785</v>
      </c>
      <c r="Q169" s="33"/>
      <c r="R169" s="13">
        <f t="shared" ca="1" si="36"/>
        <v>0</v>
      </c>
      <c r="S169" s="13">
        <f ca="1">ROUNDUP(($M169-$O169-$P169+$R169)*VLOOKUP($B169,Paraméterek!$B$38:$D$39,IF($D$2="Egyszeri",3,2))/12,IF($D$4="Forint",0,2))</f>
        <v>-225</v>
      </c>
      <c r="T169" s="13"/>
      <c r="U169" s="13"/>
      <c r="V169" s="13">
        <f ca="1">$M169-$O169-$P169+$R169-$S169-IF(ROUNDUP(IF(ISBLANK($U169),$T169,$U169)/IF(AND($B169=1,$D$2&lt;&gt;"Egyszeri"),1,VLOOKUP($B169+IF($C169=12,1,0),Paraméterek!$B$257:$D$267,IF($D$2="Egyszeri",3,2))),IF($D$4="Forint",0,2))&gt;$M169-$O169-$P169+$R169-$S169-IF($D$4="Forint",Paraméterek!$C$216,Paraméterek!$D$216),0,ROUNDUP(IF(ISBLANK($U169),$T169,$U169)/IF(AND($B169=1,$D$2&lt;&gt;"Egyszeri"),1,VLOOKUP($B169+IF($C169=12,1,0),Paraméterek!$B$257:$D$267,IF($D$2="Egyszeri",3,2))),IF($D$4="Forint",0,2)))</f>
        <v>-82833</v>
      </c>
      <c r="W169" s="13">
        <f ca="1">ROUNDDOWN($V169*VLOOKUP($B169+IF($C169=12,1,0),Paraméterek!$B$257:$D$267,IF($D$2="Egyszeri",3,2)),IF($D$4="Forint",0,2))</f>
        <v>-82833</v>
      </c>
      <c r="Y169" s="32">
        <v>150</v>
      </c>
      <c r="Z169" s="32">
        <v>13</v>
      </c>
      <c r="AA169" s="32">
        <v>6</v>
      </c>
      <c r="AB169" s="13">
        <f t="shared" si="41"/>
        <v>0</v>
      </c>
      <c r="AC169" s="33"/>
      <c r="AD169" s="13">
        <f t="shared" si="37"/>
        <v>0</v>
      </c>
      <c r="AE169" s="13">
        <f>ROUNDUP(($AB169+$AD169)*VLOOKUP($Z169,Paraméterek!$P$38:$Q$38,2)/12,IF($D$4="Forint",0,2))</f>
        <v>0</v>
      </c>
      <c r="AF169" s="13">
        <f>IF($D$2="Egyszeri",IF($D$7&gt;=IF($D$4="Forint",Paraméterek!$P$223,Paraméterek!$P$224),$D$7-IF($D$4="Forint",Paraméterek!$F$223,Paraméterek!$F$224),0),MIN(IF($AA169=12,AVERAGE($D$20:$D169)*12,0),SUM($D$20:$D$31)))</f>
        <v>0</v>
      </c>
      <c r="AG169" s="13">
        <f>IF(AND($Z169&gt;=10,MOD($Z169,5)=0),$AF169*IF($AA169=12,VLOOKUP($Z169,Paraméterek!$B$225:$F$240,IF($AF169&lt;IF($D$4="Forint",Paraméterek!$C$223,Paraméterek!$C$224),2,IF($AF169&lt;IF($D$4="Forint",Paraméterek!$D$223,Paraméterek!$D$224),3,4))),0),0)</f>
        <v>0</v>
      </c>
      <c r="AH169" s="13">
        <f>IF(AND($Z169&gt;=5,MOD($Z169,5)=0),IF($AA169=12,VLOOKUP($Z169,Paraméterek!$B$225:$F$240,5),0),IF(OR($Z169=3,$Z169=4),IF($AA169=12,VLOOKUP($Z169,Paraméterek!$B$225:$F$240,5,0),0),0))*$AF169</f>
        <v>0</v>
      </c>
      <c r="AI169" s="13">
        <f>ROUNDDOWN(IF(SUM($T$20:$U169)=0,IF($D$2="Egyszeri",$AH169,$AG169),0),IF($D$4="Forint",0,2))</f>
        <v>0</v>
      </c>
      <c r="AJ169" s="13">
        <f t="shared" si="42"/>
        <v>0</v>
      </c>
      <c r="AK169" s="13">
        <f t="shared" si="43"/>
        <v>0</v>
      </c>
      <c r="AM169" s="32">
        <v>150</v>
      </c>
      <c r="AN169" s="32">
        <v>13</v>
      </c>
      <c r="AO169" s="32">
        <v>6</v>
      </c>
      <c r="AP169" s="13"/>
      <c r="AQ169" s="32"/>
      <c r="AR169" s="13">
        <f t="shared" si="44"/>
        <v>0</v>
      </c>
      <c r="AS169" s="33"/>
      <c r="AT169" s="13">
        <f t="shared" si="38"/>
        <v>0</v>
      </c>
      <c r="AU169" s="13">
        <f>ROUNDUP(($AR169+$AT169)*VLOOKUP($AN169,Paraméterek!$P$38:$Q$38,2)/12,IF($D$4="Forint",0,2))</f>
        <v>0</v>
      </c>
      <c r="AV169" s="13"/>
      <c r="AW169" s="13"/>
      <c r="AX169" s="13">
        <f>ROUNDUP(IF(SUM($AV169:$AW169)=0,0,IF(IF(ISBLANK($AW169),$AV169,$AW169)*Paraméterek!$J$112&lt;IF($D$4="Forint",Paraméterek!$J$113,Paraméterek!$K$113),IF($D$4="Forint",Paraméterek!$J$113,Paraméterek!$K$113),IF(IF(ISBLANK($AW169),$AV169,$AW169)*Paraméterek!$J$112&gt;IF($D$4="Forint",Paraméterek!$J$114,Paraméterek!$K$114),IF($D$4="Forint",Paraméterek!$J$114,Paraméterek!$K$114),IF(ISBLANK($AW169),$AV169,$AW169)*Paraméterek!$J$112))),IF($D$4="Forint",0,2))</f>
        <v>0</v>
      </c>
      <c r="AY169" s="13">
        <f>$AR169+$AT169-$AU169-IF(ROUNDDOWN(IF(ISBLANK($AW169),$AV169,$AW169),IF($D$4="Forint",0,2))&gt;$AR169+$AT169-$AU169-IF($D$4="Forint",Paraméterek!$J$114,Paraméterek!$K$114),0,ROUNDDOWN(IF(ISBLANK($AW169),$AV169,$AW169),IF($D$4="Forint",0,2))-$AX169)</f>
        <v>0</v>
      </c>
      <c r="AZ169" s="13">
        <f t="shared" si="39"/>
        <v>0</v>
      </c>
    </row>
    <row r="170" spans="1:52" x14ac:dyDescent="0.2">
      <c r="A170" s="32">
        <v>151</v>
      </c>
      <c r="B170" s="32">
        <v>13</v>
      </c>
      <c r="C170" s="32">
        <v>7</v>
      </c>
      <c r="D170" s="13">
        <f t="shared" si="30"/>
        <v>0</v>
      </c>
      <c r="E170" s="13"/>
      <c r="F170" s="13"/>
      <c r="G170" s="13"/>
      <c r="H170" s="13">
        <f t="shared" si="31"/>
        <v>0</v>
      </c>
      <c r="I170" s="13">
        <f t="shared" si="32"/>
        <v>0</v>
      </c>
      <c r="J170" s="13">
        <f t="shared" si="33"/>
        <v>0</v>
      </c>
      <c r="K170" s="13">
        <f>ROUNDUP(IF($D$2="Egyszeri",$D170,IF($D$2="Havi",SUM($D$20:$D$31),IF(MOD($C170,$M$1)-1=0,SUM($D$20:$D$31),0))/12*$M$1)*VLOOKUP($B170,Paraméterek!$B$27:$D$30,IF($D$2="Egyszeri",3,2)),IF($D$4="Forint",0,2))</f>
        <v>0</v>
      </c>
      <c r="L170" s="13">
        <f t="shared" si="34"/>
        <v>0</v>
      </c>
      <c r="M170" s="13">
        <f t="shared" ca="1" si="40"/>
        <v>-82833</v>
      </c>
      <c r="N170" s="13">
        <f ca="1">IF($V169&gt;=VLOOKUP($M$4-1+$B170,Paraméterek!$B$121:$D$122,IF($D$4="Forint",2,3)),0,VLOOKUP($M$4-1+$B170,Paraméterek!$B$121:$D$122,IF($D$4="Forint",2,3))-$V169)</f>
        <v>92833</v>
      </c>
      <c r="O170" s="13">
        <f ca="1">ROUNDUP($N170*Paraméterek!$C$58/Paraméterek!$C$56,IF($D$4="Forint",0,2))</f>
        <v>15</v>
      </c>
      <c r="P170" s="13">
        <f t="shared" si="35"/>
        <v>785</v>
      </c>
      <c r="Q170" s="33"/>
      <c r="R170" s="13">
        <f t="shared" ca="1" si="36"/>
        <v>0</v>
      </c>
      <c r="S170" s="13">
        <f ca="1">ROUNDUP(($M170-$O170-$P170+$R170)*VLOOKUP($B170,Paraméterek!$B$38:$D$39,IF($D$2="Egyszeri",3,2))/12,IF($D$4="Forint",0,2))</f>
        <v>-227</v>
      </c>
      <c r="T170" s="13"/>
      <c r="U170" s="13"/>
      <c r="V170" s="13">
        <f ca="1">$M170-$O170-$P170+$R170-$S170-IF(ROUNDUP(IF(ISBLANK($U170),$T170,$U170)/IF(AND($B170=1,$D$2&lt;&gt;"Egyszeri"),1,VLOOKUP($B170+IF($C170=12,1,0),Paraméterek!$B$257:$D$267,IF($D$2="Egyszeri",3,2))),IF($D$4="Forint",0,2))&gt;$M170-$O170-$P170+$R170-$S170-IF($D$4="Forint",Paraméterek!$C$216,Paraméterek!$D$216),0,ROUNDUP(IF(ISBLANK($U170),$T170,$U170)/IF(AND($B170=1,$D$2&lt;&gt;"Egyszeri"),1,VLOOKUP($B170+IF($C170=12,1,0),Paraméterek!$B$257:$D$267,IF($D$2="Egyszeri",3,2))),IF($D$4="Forint",0,2)))</f>
        <v>-83406</v>
      </c>
      <c r="W170" s="13">
        <f ca="1">ROUNDDOWN($V170*VLOOKUP($B170+IF($C170=12,1,0),Paraméterek!$B$257:$D$267,IF($D$2="Egyszeri",3,2)),IF($D$4="Forint",0,2))</f>
        <v>-83406</v>
      </c>
      <c r="Y170" s="32">
        <v>151</v>
      </c>
      <c r="Z170" s="32">
        <v>13</v>
      </c>
      <c r="AA170" s="32">
        <v>7</v>
      </c>
      <c r="AB170" s="13">
        <f t="shared" si="41"/>
        <v>0</v>
      </c>
      <c r="AC170" s="33"/>
      <c r="AD170" s="13">
        <f t="shared" si="37"/>
        <v>0</v>
      </c>
      <c r="AE170" s="13">
        <f>ROUNDUP(($AB170+$AD170)*VLOOKUP($Z170,Paraméterek!$P$38:$Q$38,2)/12,IF($D$4="Forint",0,2))</f>
        <v>0</v>
      </c>
      <c r="AF170" s="13">
        <f>IF($D$2="Egyszeri",IF($D$7&gt;=IF($D$4="Forint",Paraméterek!$P$223,Paraméterek!$P$224),$D$7-IF($D$4="Forint",Paraméterek!$F$223,Paraméterek!$F$224),0),MIN(IF($AA170=12,AVERAGE($D$20:$D170)*12,0),SUM($D$20:$D$31)))</f>
        <v>0</v>
      </c>
      <c r="AG170" s="13">
        <f>IF(AND($Z170&gt;=10,MOD($Z170,5)=0),$AF170*IF($AA170=12,VLOOKUP($Z170,Paraméterek!$B$225:$F$240,IF($AF170&lt;IF($D$4="Forint",Paraméterek!$C$223,Paraméterek!$C$224),2,IF($AF170&lt;IF($D$4="Forint",Paraméterek!$D$223,Paraméterek!$D$224),3,4))),0),0)</f>
        <v>0</v>
      </c>
      <c r="AH170" s="13">
        <f>IF(AND($Z170&gt;=5,MOD($Z170,5)=0),IF($AA170=12,VLOOKUP($Z170,Paraméterek!$B$225:$F$240,5),0),IF(OR($Z170=3,$Z170=4),IF($AA170=12,VLOOKUP($Z170,Paraméterek!$B$225:$F$240,5,0),0),0))*$AF170</f>
        <v>0</v>
      </c>
      <c r="AI170" s="13">
        <f>ROUNDDOWN(IF(SUM($T$20:$U170)=0,IF($D$2="Egyszeri",$AH170,$AG170),0),IF($D$4="Forint",0,2))</f>
        <v>0</v>
      </c>
      <c r="AJ170" s="13">
        <f t="shared" si="42"/>
        <v>0</v>
      </c>
      <c r="AK170" s="13">
        <f t="shared" si="43"/>
        <v>0</v>
      </c>
      <c r="AM170" s="32">
        <v>151</v>
      </c>
      <c r="AN170" s="32">
        <v>13</v>
      </c>
      <c r="AO170" s="32">
        <v>7</v>
      </c>
      <c r="AP170" s="13"/>
      <c r="AQ170" s="32"/>
      <c r="AR170" s="13">
        <f t="shared" si="44"/>
        <v>0</v>
      </c>
      <c r="AS170" s="33"/>
      <c r="AT170" s="13">
        <f t="shared" si="38"/>
        <v>0</v>
      </c>
      <c r="AU170" s="13">
        <f>ROUNDUP(($AR170+$AT170)*VLOOKUP($AN170,Paraméterek!$P$38:$Q$38,2)/12,IF($D$4="Forint",0,2))</f>
        <v>0</v>
      </c>
      <c r="AV170" s="13"/>
      <c r="AW170" s="13"/>
      <c r="AX170" s="13">
        <f>ROUNDUP(IF(SUM($AV170:$AW170)=0,0,IF(IF(ISBLANK($AW170),$AV170,$AW170)*Paraméterek!$J$112&lt;IF($D$4="Forint",Paraméterek!$J$113,Paraméterek!$K$113),IF($D$4="Forint",Paraméterek!$J$113,Paraméterek!$K$113),IF(IF(ISBLANK($AW170),$AV170,$AW170)*Paraméterek!$J$112&gt;IF($D$4="Forint",Paraméterek!$J$114,Paraméterek!$K$114),IF($D$4="Forint",Paraméterek!$J$114,Paraméterek!$K$114),IF(ISBLANK($AW170),$AV170,$AW170)*Paraméterek!$J$112))),IF($D$4="Forint",0,2))</f>
        <v>0</v>
      </c>
      <c r="AY170" s="13">
        <f>$AR170+$AT170-$AU170-IF(ROUNDDOWN(IF(ISBLANK($AW170),$AV170,$AW170),IF($D$4="Forint",0,2))&gt;$AR170+$AT170-$AU170-IF($D$4="Forint",Paraméterek!$J$114,Paraméterek!$K$114),0,ROUNDDOWN(IF(ISBLANK($AW170),$AV170,$AW170),IF($D$4="Forint",0,2))-$AX170)</f>
        <v>0</v>
      </c>
      <c r="AZ170" s="13">
        <f t="shared" si="39"/>
        <v>0</v>
      </c>
    </row>
    <row r="171" spans="1:52" x14ac:dyDescent="0.2">
      <c r="A171" s="32">
        <v>152</v>
      </c>
      <c r="B171" s="32">
        <v>13</v>
      </c>
      <c r="C171" s="32">
        <v>8</v>
      </c>
      <c r="D171" s="13">
        <f t="shared" si="30"/>
        <v>0</v>
      </c>
      <c r="E171" s="13"/>
      <c r="F171" s="13"/>
      <c r="G171" s="13"/>
      <c r="H171" s="13">
        <f t="shared" si="31"/>
        <v>0</v>
      </c>
      <c r="I171" s="13">
        <f t="shared" si="32"/>
        <v>0</v>
      </c>
      <c r="J171" s="13">
        <f t="shared" si="33"/>
        <v>0</v>
      </c>
      <c r="K171" s="13">
        <f>ROUNDUP(IF($D$2="Egyszeri",$D171,IF($D$2="Havi",SUM($D$20:$D$31),IF(MOD($C171,$M$1)-1=0,SUM($D$20:$D$31),0))/12*$M$1)*VLOOKUP($B171,Paraméterek!$B$27:$D$30,IF($D$2="Egyszeri",3,2)),IF($D$4="Forint",0,2))</f>
        <v>0</v>
      </c>
      <c r="L171" s="13">
        <f t="shared" si="34"/>
        <v>0</v>
      </c>
      <c r="M171" s="13">
        <f t="shared" ca="1" si="40"/>
        <v>-83406</v>
      </c>
      <c r="N171" s="13">
        <f ca="1">IF($V170&gt;=VLOOKUP($M$4-1+$B171,Paraméterek!$B$121:$D$122,IF($D$4="Forint",2,3)),0,VLOOKUP($M$4-1+$B171,Paraméterek!$B$121:$D$122,IF($D$4="Forint",2,3))-$V170)</f>
        <v>93406</v>
      </c>
      <c r="O171" s="13">
        <f ca="1">ROUNDUP($N171*Paraméterek!$C$58/Paraméterek!$C$56,IF($D$4="Forint",0,2))</f>
        <v>15</v>
      </c>
      <c r="P171" s="13">
        <f t="shared" si="35"/>
        <v>785</v>
      </c>
      <c r="Q171" s="33"/>
      <c r="R171" s="13">
        <f t="shared" ca="1" si="36"/>
        <v>0</v>
      </c>
      <c r="S171" s="13">
        <f ca="1">ROUNDUP(($M171-$O171-$P171+$R171)*VLOOKUP($B171,Paraméterek!$B$38:$D$39,IF($D$2="Egyszeri",3,2))/12,IF($D$4="Forint",0,2))</f>
        <v>-229</v>
      </c>
      <c r="T171" s="13"/>
      <c r="U171" s="13"/>
      <c r="V171" s="13">
        <f ca="1">$M171-$O171-$P171+$R171-$S171-IF(ROUNDUP(IF(ISBLANK($U171),$T171,$U171)/IF(AND($B171=1,$D$2&lt;&gt;"Egyszeri"),1,VLOOKUP($B171+IF($C171=12,1,0),Paraméterek!$B$257:$D$267,IF($D$2="Egyszeri",3,2))),IF($D$4="Forint",0,2))&gt;$M171-$O171-$P171+$R171-$S171-IF($D$4="Forint",Paraméterek!$C$216,Paraméterek!$D$216),0,ROUNDUP(IF(ISBLANK($U171),$T171,$U171)/IF(AND($B171=1,$D$2&lt;&gt;"Egyszeri"),1,VLOOKUP($B171+IF($C171=12,1,0),Paraméterek!$B$257:$D$267,IF($D$2="Egyszeri",3,2))),IF($D$4="Forint",0,2)))</f>
        <v>-83977</v>
      </c>
      <c r="W171" s="13">
        <f ca="1">ROUNDDOWN($V171*VLOOKUP($B171+IF($C171=12,1,0),Paraméterek!$B$257:$D$267,IF($D$2="Egyszeri",3,2)),IF($D$4="Forint",0,2))</f>
        <v>-83977</v>
      </c>
      <c r="Y171" s="32">
        <v>152</v>
      </c>
      <c r="Z171" s="32">
        <v>13</v>
      </c>
      <c r="AA171" s="32">
        <v>8</v>
      </c>
      <c r="AB171" s="13">
        <f t="shared" si="41"/>
        <v>0</v>
      </c>
      <c r="AC171" s="33"/>
      <c r="AD171" s="13">
        <f t="shared" si="37"/>
        <v>0</v>
      </c>
      <c r="AE171" s="13">
        <f>ROUNDUP(($AB171+$AD171)*VLOOKUP($Z171,Paraméterek!$P$38:$Q$38,2)/12,IF($D$4="Forint",0,2))</f>
        <v>0</v>
      </c>
      <c r="AF171" s="13">
        <f>IF($D$2="Egyszeri",IF($D$7&gt;=IF($D$4="Forint",Paraméterek!$P$223,Paraméterek!$P$224),$D$7-IF($D$4="Forint",Paraméterek!$F$223,Paraméterek!$F$224),0),MIN(IF($AA171=12,AVERAGE($D$20:$D171)*12,0),SUM($D$20:$D$31)))</f>
        <v>0</v>
      </c>
      <c r="AG171" s="13">
        <f>IF(AND($Z171&gt;=10,MOD($Z171,5)=0),$AF171*IF($AA171=12,VLOOKUP($Z171,Paraméterek!$B$225:$F$240,IF($AF171&lt;IF($D$4="Forint",Paraméterek!$C$223,Paraméterek!$C$224),2,IF($AF171&lt;IF($D$4="Forint",Paraméterek!$D$223,Paraméterek!$D$224),3,4))),0),0)</f>
        <v>0</v>
      </c>
      <c r="AH171" s="13">
        <f>IF(AND($Z171&gt;=5,MOD($Z171,5)=0),IF($AA171=12,VLOOKUP($Z171,Paraméterek!$B$225:$F$240,5),0),IF(OR($Z171=3,$Z171=4),IF($AA171=12,VLOOKUP($Z171,Paraméterek!$B$225:$F$240,5,0),0),0))*$AF171</f>
        <v>0</v>
      </c>
      <c r="AI171" s="13">
        <f>ROUNDDOWN(IF(SUM($T$20:$U171)=0,IF($D$2="Egyszeri",$AH171,$AG171),0),IF($D$4="Forint",0,2))</f>
        <v>0</v>
      </c>
      <c r="AJ171" s="13">
        <f t="shared" si="42"/>
        <v>0</v>
      </c>
      <c r="AK171" s="13">
        <f t="shared" si="43"/>
        <v>0</v>
      </c>
      <c r="AM171" s="32">
        <v>152</v>
      </c>
      <c r="AN171" s="32">
        <v>13</v>
      </c>
      <c r="AO171" s="32">
        <v>8</v>
      </c>
      <c r="AP171" s="13"/>
      <c r="AQ171" s="32"/>
      <c r="AR171" s="13">
        <f t="shared" si="44"/>
        <v>0</v>
      </c>
      <c r="AS171" s="33"/>
      <c r="AT171" s="13">
        <f t="shared" si="38"/>
        <v>0</v>
      </c>
      <c r="AU171" s="13">
        <f>ROUNDUP(($AR171+$AT171)*VLOOKUP($AN171,Paraméterek!$P$38:$Q$38,2)/12,IF($D$4="Forint",0,2))</f>
        <v>0</v>
      </c>
      <c r="AV171" s="13"/>
      <c r="AW171" s="13"/>
      <c r="AX171" s="13">
        <f>ROUNDUP(IF(SUM($AV171:$AW171)=0,0,IF(IF(ISBLANK($AW171),$AV171,$AW171)*Paraméterek!$J$112&lt;IF($D$4="Forint",Paraméterek!$J$113,Paraméterek!$K$113),IF($D$4="Forint",Paraméterek!$J$113,Paraméterek!$K$113),IF(IF(ISBLANK($AW171),$AV171,$AW171)*Paraméterek!$J$112&gt;IF($D$4="Forint",Paraméterek!$J$114,Paraméterek!$K$114),IF($D$4="Forint",Paraméterek!$J$114,Paraméterek!$K$114),IF(ISBLANK($AW171),$AV171,$AW171)*Paraméterek!$J$112))),IF($D$4="Forint",0,2))</f>
        <v>0</v>
      </c>
      <c r="AY171" s="13">
        <f>$AR171+$AT171-$AU171-IF(ROUNDDOWN(IF(ISBLANK($AW171),$AV171,$AW171),IF($D$4="Forint",0,2))&gt;$AR171+$AT171-$AU171-IF($D$4="Forint",Paraméterek!$J$114,Paraméterek!$K$114),0,ROUNDDOWN(IF(ISBLANK($AW171),$AV171,$AW171),IF($D$4="Forint",0,2))-$AX171)</f>
        <v>0</v>
      </c>
      <c r="AZ171" s="13">
        <f t="shared" si="39"/>
        <v>0</v>
      </c>
    </row>
    <row r="172" spans="1:52" x14ac:dyDescent="0.2">
      <c r="A172" s="32">
        <v>153</v>
      </c>
      <c r="B172" s="32">
        <v>13</v>
      </c>
      <c r="C172" s="32">
        <v>9</v>
      </c>
      <c r="D172" s="13">
        <f t="shared" si="30"/>
        <v>0</v>
      </c>
      <c r="E172" s="13"/>
      <c r="F172" s="13"/>
      <c r="G172" s="13"/>
      <c r="H172" s="13">
        <f t="shared" si="31"/>
        <v>0</v>
      </c>
      <c r="I172" s="13">
        <f t="shared" si="32"/>
        <v>0</v>
      </c>
      <c r="J172" s="13">
        <f t="shared" si="33"/>
        <v>0</v>
      </c>
      <c r="K172" s="13">
        <f>ROUNDUP(IF($D$2="Egyszeri",$D172,IF($D$2="Havi",SUM($D$20:$D$31),IF(MOD($C172,$M$1)-1=0,SUM($D$20:$D$31),0))/12*$M$1)*VLOOKUP($B172,Paraméterek!$B$27:$D$30,IF($D$2="Egyszeri",3,2)),IF($D$4="Forint",0,2))</f>
        <v>0</v>
      </c>
      <c r="L172" s="13">
        <f t="shared" si="34"/>
        <v>0</v>
      </c>
      <c r="M172" s="13">
        <f t="shared" ca="1" si="40"/>
        <v>-83977</v>
      </c>
      <c r="N172" s="13">
        <f ca="1">IF($V171&gt;=VLOOKUP($M$4-1+$B172,Paraméterek!$B$121:$D$122,IF($D$4="Forint",2,3)),0,VLOOKUP($M$4-1+$B172,Paraméterek!$B$121:$D$122,IF($D$4="Forint",2,3))-$V171)</f>
        <v>93977</v>
      </c>
      <c r="O172" s="13">
        <f ca="1">ROUNDUP($N172*Paraméterek!$C$58/Paraméterek!$C$56,IF($D$4="Forint",0,2))</f>
        <v>15</v>
      </c>
      <c r="P172" s="13">
        <f t="shared" si="35"/>
        <v>785</v>
      </c>
      <c r="Q172" s="33"/>
      <c r="R172" s="13">
        <f t="shared" ca="1" si="36"/>
        <v>0</v>
      </c>
      <c r="S172" s="13">
        <f ca="1">ROUNDUP(($M172-$O172-$P172+$R172)*VLOOKUP($B172,Paraméterek!$B$38:$D$39,IF($D$2="Egyszeri",3,2))/12,IF($D$4="Forint",0,2))</f>
        <v>-230</v>
      </c>
      <c r="T172" s="13"/>
      <c r="U172" s="13"/>
      <c r="V172" s="13">
        <f ca="1">$M172-$O172-$P172+$R172-$S172-IF(ROUNDUP(IF(ISBLANK($U172),$T172,$U172)/IF(AND($B172=1,$D$2&lt;&gt;"Egyszeri"),1,VLOOKUP($B172+IF($C172=12,1,0),Paraméterek!$B$257:$D$267,IF($D$2="Egyszeri",3,2))),IF($D$4="Forint",0,2))&gt;$M172-$O172-$P172+$R172-$S172-IF($D$4="Forint",Paraméterek!$C$216,Paraméterek!$D$216),0,ROUNDUP(IF(ISBLANK($U172),$T172,$U172)/IF(AND($B172=1,$D$2&lt;&gt;"Egyszeri"),1,VLOOKUP($B172+IF($C172=12,1,0),Paraméterek!$B$257:$D$267,IF($D$2="Egyszeri",3,2))),IF($D$4="Forint",0,2)))</f>
        <v>-84547</v>
      </c>
      <c r="W172" s="13">
        <f ca="1">ROUNDDOWN($V172*VLOOKUP($B172+IF($C172=12,1,0),Paraméterek!$B$257:$D$267,IF($D$2="Egyszeri",3,2)),IF($D$4="Forint",0,2))</f>
        <v>-84547</v>
      </c>
      <c r="Y172" s="32">
        <v>153</v>
      </c>
      <c r="Z172" s="32">
        <v>13</v>
      </c>
      <c r="AA172" s="32">
        <v>9</v>
      </c>
      <c r="AB172" s="13">
        <f t="shared" si="41"/>
        <v>0</v>
      </c>
      <c r="AC172" s="33"/>
      <c r="AD172" s="13">
        <f t="shared" si="37"/>
        <v>0</v>
      </c>
      <c r="AE172" s="13">
        <f>ROUNDUP(($AB172+$AD172)*VLOOKUP($Z172,Paraméterek!$P$38:$Q$38,2)/12,IF($D$4="Forint",0,2))</f>
        <v>0</v>
      </c>
      <c r="AF172" s="13">
        <f>IF($D$2="Egyszeri",IF($D$7&gt;=IF($D$4="Forint",Paraméterek!$P$223,Paraméterek!$P$224),$D$7-IF($D$4="Forint",Paraméterek!$F$223,Paraméterek!$F$224),0),MIN(IF($AA172=12,AVERAGE($D$20:$D172)*12,0),SUM($D$20:$D$31)))</f>
        <v>0</v>
      </c>
      <c r="AG172" s="13">
        <f>IF(AND($Z172&gt;=10,MOD($Z172,5)=0),$AF172*IF($AA172=12,VLOOKUP($Z172,Paraméterek!$B$225:$F$240,IF($AF172&lt;IF($D$4="Forint",Paraméterek!$C$223,Paraméterek!$C$224),2,IF($AF172&lt;IF($D$4="Forint",Paraméterek!$D$223,Paraméterek!$D$224),3,4))),0),0)</f>
        <v>0</v>
      </c>
      <c r="AH172" s="13">
        <f>IF(AND($Z172&gt;=5,MOD($Z172,5)=0),IF($AA172=12,VLOOKUP($Z172,Paraméterek!$B$225:$F$240,5),0),IF(OR($Z172=3,$Z172=4),IF($AA172=12,VLOOKUP($Z172,Paraméterek!$B$225:$F$240,5,0),0),0))*$AF172</f>
        <v>0</v>
      </c>
      <c r="AI172" s="13">
        <f>ROUNDDOWN(IF(SUM($T$20:$U172)=0,IF($D$2="Egyszeri",$AH172,$AG172),0),IF($D$4="Forint",0,2))</f>
        <v>0</v>
      </c>
      <c r="AJ172" s="13">
        <f t="shared" si="42"/>
        <v>0</v>
      </c>
      <c r="AK172" s="13">
        <f t="shared" si="43"/>
        <v>0</v>
      </c>
      <c r="AM172" s="32">
        <v>153</v>
      </c>
      <c r="AN172" s="32">
        <v>13</v>
      </c>
      <c r="AO172" s="32">
        <v>9</v>
      </c>
      <c r="AP172" s="13"/>
      <c r="AQ172" s="32"/>
      <c r="AR172" s="13">
        <f t="shared" si="44"/>
        <v>0</v>
      </c>
      <c r="AS172" s="33"/>
      <c r="AT172" s="13">
        <f t="shared" si="38"/>
        <v>0</v>
      </c>
      <c r="AU172" s="13">
        <f>ROUNDUP(($AR172+$AT172)*VLOOKUP($AN172,Paraméterek!$P$38:$Q$38,2)/12,IF($D$4="Forint",0,2))</f>
        <v>0</v>
      </c>
      <c r="AV172" s="13"/>
      <c r="AW172" s="13"/>
      <c r="AX172" s="13">
        <f>ROUNDUP(IF(SUM($AV172:$AW172)=0,0,IF(IF(ISBLANK($AW172),$AV172,$AW172)*Paraméterek!$J$112&lt;IF($D$4="Forint",Paraméterek!$J$113,Paraméterek!$K$113),IF($D$4="Forint",Paraméterek!$J$113,Paraméterek!$K$113),IF(IF(ISBLANK($AW172),$AV172,$AW172)*Paraméterek!$J$112&gt;IF($D$4="Forint",Paraméterek!$J$114,Paraméterek!$K$114),IF($D$4="Forint",Paraméterek!$J$114,Paraméterek!$K$114),IF(ISBLANK($AW172),$AV172,$AW172)*Paraméterek!$J$112))),IF($D$4="Forint",0,2))</f>
        <v>0</v>
      </c>
      <c r="AY172" s="13">
        <f>$AR172+$AT172-$AU172-IF(ROUNDDOWN(IF(ISBLANK($AW172),$AV172,$AW172),IF($D$4="Forint",0,2))&gt;$AR172+$AT172-$AU172-IF($D$4="Forint",Paraméterek!$J$114,Paraméterek!$K$114),0,ROUNDDOWN(IF(ISBLANK($AW172),$AV172,$AW172),IF($D$4="Forint",0,2))-$AX172)</f>
        <v>0</v>
      </c>
      <c r="AZ172" s="13">
        <f t="shared" si="39"/>
        <v>0</v>
      </c>
    </row>
    <row r="173" spans="1:52" x14ac:dyDescent="0.2">
      <c r="A173" s="32">
        <v>154</v>
      </c>
      <c r="B173" s="32">
        <v>13</v>
      </c>
      <c r="C173" s="32">
        <v>10</v>
      </c>
      <c r="D173" s="13">
        <f t="shared" si="30"/>
        <v>0</v>
      </c>
      <c r="E173" s="13"/>
      <c r="F173" s="13"/>
      <c r="G173" s="13"/>
      <c r="H173" s="13">
        <f t="shared" si="31"/>
        <v>0</v>
      </c>
      <c r="I173" s="13">
        <f t="shared" si="32"/>
        <v>0</v>
      </c>
      <c r="J173" s="13">
        <f t="shared" si="33"/>
        <v>0</v>
      </c>
      <c r="K173" s="13">
        <f>ROUNDUP(IF($D$2="Egyszeri",$D173,IF($D$2="Havi",SUM($D$20:$D$31),IF(MOD($C173,$M$1)-1=0,SUM($D$20:$D$31),0))/12*$M$1)*VLOOKUP($B173,Paraméterek!$B$27:$D$30,IF($D$2="Egyszeri",3,2)),IF($D$4="Forint",0,2))</f>
        <v>0</v>
      </c>
      <c r="L173" s="13">
        <f t="shared" si="34"/>
        <v>0</v>
      </c>
      <c r="M173" s="13">
        <f t="shared" ca="1" si="40"/>
        <v>-84547</v>
      </c>
      <c r="N173" s="13">
        <f ca="1">IF($V172&gt;=VLOOKUP($M$4-1+$B173,Paraméterek!$B$121:$D$122,IF($D$4="Forint",2,3)),0,VLOOKUP($M$4-1+$B173,Paraméterek!$B$121:$D$122,IF($D$4="Forint",2,3))-$V172)</f>
        <v>94547</v>
      </c>
      <c r="O173" s="13">
        <f ca="1">ROUNDUP($N173*Paraméterek!$C$58/Paraméterek!$C$56,IF($D$4="Forint",0,2))</f>
        <v>16</v>
      </c>
      <c r="P173" s="13">
        <f t="shared" si="35"/>
        <v>785</v>
      </c>
      <c r="Q173" s="33"/>
      <c r="R173" s="13">
        <f t="shared" ca="1" si="36"/>
        <v>0</v>
      </c>
      <c r="S173" s="13">
        <f ca="1">ROUNDUP(($M173-$O173-$P173+$R173)*VLOOKUP($B173,Paraméterek!$B$38:$D$39,IF($D$2="Egyszeri",3,2))/12,IF($D$4="Forint",0,2))</f>
        <v>-232</v>
      </c>
      <c r="T173" s="13"/>
      <c r="U173" s="13"/>
      <c r="V173" s="13">
        <f ca="1">$M173-$O173-$P173+$R173-$S173-IF(ROUNDUP(IF(ISBLANK($U173),$T173,$U173)/IF(AND($B173=1,$D$2&lt;&gt;"Egyszeri"),1,VLOOKUP($B173+IF($C173=12,1,0),Paraméterek!$B$257:$D$267,IF($D$2="Egyszeri",3,2))),IF($D$4="Forint",0,2))&gt;$M173-$O173-$P173+$R173-$S173-IF($D$4="Forint",Paraméterek!$C$216,Paraméterek!$D$216),0,ROUNDUP(IF(ISBLANK($U173),$T173,$U173)/IF(AND($B173=1,$D$2&lt;&gt;"Egyszeri"),1,VLOOKUP($B173+IF($C173=12,1,0),Paraméterek!$B$257:$D$267,IF($D$2="Egyszeri",3,2))),IF($D$4="Forint",0,2)))</f>
        <v>-85116</v>
      </c>
      <c r="W173" s="13">
        <f ca="1">ROUNDDOWN($V173*VLOOKUP($B173+IF($C173=12,1,0),Paraméterek!$B$257:$D$267,IF($D$2="Egyszeri",3,2)),IF($D$4="Forint",0,2))</f>
        <v>-85116</v>
      </c>
      <c r="Y173" s="32">
        <v>154</v>
      </c>
      <c r="Z173" s="32">
        <v>13</v>
      </c>
      <c r="AA173" s="32">
        <v>10</v>
      </c>
      <c r="AB173" s="13">
        <f t="shared" si="41"/>
        <v>0</v>
      </c>
      <c r="AC173" s="33"/>
      <c r="AD173" s="13">
        <f t="shared" si="37"/>
        <v>0</v>
      </c>
      <c r="AE173" s="13">
        <f>ROUNDUP(($AB173+$AD173)*VLOOKUP($Z173,Paraméterek!$P$38:$Q$38,2)/12,IF($D$4="Forint",0,2))</f>
        <v>0</v>
      </c>
      <c r="AF173" s="13">
        <f>IF($D$2="Egyszeri",IF($D$7&gt;=IF($D$4="Forint",Paraméterek!$P$223,Paraméterek!$P$224),$D$7-IF($D$4="Forint",Paraméterek!$F$223,Paraméterek!$F$224),0),MIN(IF($AA173=12,AVERAGE($D$20:$D173)*12,0),SUM($D$20:$D$31)))</f>
        <v>0</v>
      </c>
      <c r="AG173" s="13">
        <f>IF(AND($Z173&gt;=10,MOD($Z173,5)=0),$AF173*IF($AA173=12,VLOOKUP($Z173,Paraméterek!$B$225:$F$240,IF($AF173&lt;IF($D$4="Forint",Paraméterek!$C$223,Paraméterek!$C$224),2,IF($AF173&lt;IF($D$4="Forint",Paraméterek!$D$223,Paraméterek!$D$224),3,4))),0),0)</f>
        <v>0</v>
      </c>
      <c r="AH173" s="13">
        <f>IF(AND($Z173&gt;=5,MOD($Z173,5)=0),IF($AA173=12,VLOOKUP($Z173,Paraméterek!$B$225:$F$240,5),0),IF(OR($Z173=3,$Z173=4),IF($AA173=12,VLOOKUP($Z173,Paraméterek!$B$225:$F$240,5,0),0),0))*$AF173</f>
        <v>0</v>
      </c>
      <c r="AI173" s="13">
        <f>ROUNDDOWN(IF(SUM($T$20:$U173)=0,IF($D$2="Egyszeri",$AH173,$AG173),0),IF($D$4="Forint",0,2))</f>
        <v>0</v>
      </c>
      <c r="AJ173" s="13">
        <f t="shared" si="42"/>
        <v>0</v>
      </c>
      <c r="AK173" s="13">
        <f t="shared" si="43"/>
        <v>0</v>
      </c>
      <c r="AM173" s="32">
        <v>154</v>
      </c>
      <c r="AN173" s="32">
        <v>13</v>
      </c>
      <c r="AO173" s="32">
        <v>10</v>
      </c>
      <c r="AP173" s="13"/>
      <c r="AQ173" s="32"/>
      <c r="AR173" s="13">
        <f t="shared" si="44"/>
        <v>0</v>
      </c>
      <c r="AS173" s="33"/>
      <c r="AT173" s="13">
        <f t="shared" si="38"/>
        <v>0</v>
      </c>
      <c r="AU173" s="13">
        <f>ROUNDUP(($AR173+$AT173)*VLOOKUP($AN173,Paraméterek!$P$38:$Q$38,2)/12,IF($D$4="Forint",0,2))</f>
        <v>0</v>
      </c>
      <c r="AV173" s="13"/>
      <c r="AW173" s="13"/>
      <c r="AX173" s="13">
        <f>ROUNDUP(IF(SUM($AV173:$AW173)=0,0,IF(IF(ISBLANK($AW173),$AV173,$AW173)*Paraméterek!$J$112&lt;IF($D$4="Forint",Paraméterek!$J$113,Paraméterek!$K$113),IF($D$4="Forint",Paraméterek!$J$113,Paraméterek!$K$113),IF(IF(ISBLANK($AW173),$AV173,$AW173)*Paraméterek!$J$112&gt;IF($D$4="Forint",Paraméterek!$J$114,Paraméterek!$K$114),IF($D$4="Forint",Paraméterek!$J$114,Paraméterek!$K$114),IF(ISBLANK($AW173),$AV173,$AW173)*Paraméterek!$J$112))),IF($D$4="Forint",0,2))</f>
        <v>0</v>
      </c>
      <c r="AY173" s="13">
        <f>$AR173+$AT173-$AU173-IF(ROUNDDOWN(IF(ISBLANK($AW173),$AV173,$AW173),IF($D$4="Forint",0,2))&gt;$AR173+$AT173-$AU173-IF($D$4="Forint",Paraméterek!$J$114,Paraméterek!$K$114),0,ROUNDDOWN(IF(ISBLANK($AW173),$AV173,$AW173),IF($D$4="Forint",0,2))-$AX173)</f>
        <v>0</v>
      </c>
      <c r="AZ173" s="13">
        <f t="shared" si="39"/>
        <v>0</v>
      </c>
    </row>
    <row r="174" spans="1:52" x14ac:dyDescent="0.2">
      <c r="A174" s="32">
        <v>155</v>
      </c>
      <c r="B174" s="32">
        <v>13</v>
      </c>
      <c r="C174" s="32">
        <v>11</v>
      </c>
      <c r="D174" s="13">
        <f t="shared" si="30"/>
        <v>0</v>
      </c>
      <c r="E174" s="13"/>
      <c r="F174" s="13"/>
      <c r="G174" s="13"/>
      <c r="H174" s="13">
        <f t="shared" si="31"/>
        <v>0</v>
      </c>
      <c r="I174" s="13">
        <f t="shared" si="32"/>
        <v>0</v>
      </c>
      <c r="J174" s="13">
        <f t="shared" si="33"/>
        <v>0</v>
      </c>
      <c r="K174" s="13">
        <f>ROUNDUP(IF($D$2="Egyszeri",$D174,IF($D$2="Havi",SUM($D$20:$D$31),IF(MOD($C174,$M$1)-1=0,SUM($D$20:$D$31),0))/12*$M$1)*VLOOKUP($B174,Paraméterek!$B$27:$D$30,IF($D$2="Egyszeri",3,2)),IF($D$4="Forint",0,2))</f>
        <v>0</v>
      </c>
      <c r="L174" s="13">
        <f t="shared" si="34"/>
        <v>0</v>
      </c>
      <c r="M174" s="13">
        <f t="shared" ca="1" si="40"/>
        <v>-85116</v>
      </c>
      <c r="N174" s="13">
        <f ca="1">IF($V173&gt;=VLOOKUP($M$4-1+$B174,Paraméterek!$B$121:$D$122,IF($D$4="Forint",2,3)),0,VLOOKUP($M$4-1+$B174,Paraméterek!$B$121:$D$122,IF($D$4="Forint",2,3))-$V173)</f>
        <v>95116</v>
      </c>
      <c r="O174" s="13">
        <f ca="1">ROUNDUP($N174*Paraméterek!$C$58/Paraméterek!$C$56,IF($D$4="Forint",0,2))</f>
        <v>16</v>
      </c>
      <c r="P174" s="13">
        <f t="shared" si="35"/>
        <v>785</v>
      </c>
      <c r="Q174" s="33"/>
      <c r="R174" s="13">
        <f t="shared" ca="1" si="36"/>
        <v>0</v>
      </c>
      <c r="S174" s="13">
        <f ca="1">ROUNDUP(($M174-$O174-$P174+$R174)*VLOOKUP($B174,Paraméterek!$B$38:$D$39,IF($D$2="Egyszeri",3,2))/12,IF($D$4="Forint",0,2))</f>
        <v>-233</v>
      </c>
      <c r="T174" s="13"/>
      <c r="U174" s="13"/>
      <c r="V174" s="13">
        <f ca="1">$M174-$O174-$P174+$R174-$S174-IF(ROUNDUP(IF(ISBLANK($U174),$T174,$U174)/IF(AND($B174=1,$D$2&lt;&gt;"Egyszeri"),1,VLOOKUP($B174+IF($C174=12,1,0),Paraméterek!$B$257:$D$267,IF($D$2="Egyszeri",3,2))),IF($D$4="Forint",0,2))&gt;$M174-$O174-$P174+$R174-$S174-IF($D$4="Forint",Paraméterek!$C$216,Paraméterek!$D$216),0,ROUNDUP(IF(ISBLANK($U174),$T174,$U174)/IF(AND($B174=1,$D$2&lt;&gt;"Egyszeri"),1,VLOOKUP($B174+IF($C174=12,1,0),Paraméterek!$B$257:$D$267,IF($D$2="Egyszeri",3,2))),IF($D$4="Forint",0,2)))</f>
        <v>-85684</v>
      </c>
      <c r="W174" s="13">
        <f ca="1">ROUNDDOWN($V174*VLOOKUP($B174+IF($C174=12,1,0),Paraméterek!$B$257:$D$267,IF($D$2="Egyszeri",3,2)),IF($D$4="Forint",0,2))</f>
        <v>-85684</v>
      </c>
      <c r="Y174" s="32">
        <v>155</v>
      </c>
      <c r="Z174" s="32">
        <v>13</v>
      </c>
      <c r="AA174" s="32">
        <v>11</v>
      </c>
      <c r="AB174" s="13">
        <f t="shared" si="41"/>
        <v>0</v>
      </c>
      <c r="AC174" s="33"/>
      <c r="AD174" s="13">
        <f t="shared" si="37"/>
        <v>0</v>
      </c>
      <c r="AE174" s="13">
        <f>ROUNDUP(($AB174+$AD174)*VLOOKUP($Z174,Paraméterek!$P$38:$Q$38,2)/12,IF($D$4="Forint",0,2))</f>
        <v>0</v>
      </c>
      <c r="AF174" s="13">
        <f>IF($D$2="Egyszeri",IF($D$7&gt;=IF($D$4="Forint",Paraméterek!$P$223,Paraméterek!$P$224),$D$7-IF($D$4="Forint",Paraméterek!$F$223,Paraméterek!$F$224),0),MIN(IF($AA174=12,AVERAGE($D$20:$D174)*12,0),SUM($D$20:$D$31)))</f>
        <v>0</v>
      </c>
      <c r="AG174" s="13">
        <f>IF(AND($Z174&gt;=10,MOD($Z174,5)=0),$AF174*IF($AA174=12,VLOOKUP($Z174,Paraméterek!$B$225:$F$240,IF($AF174&lt;IF($D$4="Forint",Paraméterek!$C$223,Paraméterek!$C$224),2,IF($AF174&lt;IF($D$4="Forint",Paraméterek!$D$223,Paraméterek!$D$224),3,4))),0),0)</f>
        <v>0</v>
      </c>
      <c r="AH174" s="13">
        <f>IF(AND($Z174&gt;=5,MOD($Z174,5)=0),IF($AA174=12,VLOOKUP($Z174,Paraméterek!$B$225:$F$240,5),0),IF(OR($Z174=3,$Z174=4),IF($AA174=12,VLOOKUP($Z174,Paraméterek!$B$225:$F$240,5,0),0),0))*$AF174</f>
        <v>0</v>
      </c>
      <c r="AI174" s="13">
        <f>ROUNDDOWN(IF(SUM($T$20:$U174)=0,IF($D$2="Egyszeri",$AH174,$AG174),0),IF($D$4="Forint",0,2))</f>
        <v>0</v>
      </c>
      <c r="AJ174" s="13">
        <f t="shared" si="42"/>
        <v>0</v>
      </c>
      <c r="AK174" s="13">
        <f t="shared" si="43"/>
        <v>0</v>
      </c>
      <c r="AM174" s="32">
        <v>155</v>
      </c>
      <c r="AN174" s="32">
        <v>13</v>
      </c>
      <c r="AO174" s="32">
        <v>11</v>
      </c>
      <c r="AP174" s="13"/>
      <c r="AQ174" s="32"/>
      <c r="AR174" s="13">
        <f t="shared" si="44"/>
        <v>0</v>
      </c>
      <c r="AS174" s="33"/>
      <c r="AT174" s="13">
        <f t="shared" si="38"/>
        <v>0</v>
      </c>
      <c r="AU174" s="13">
        <f>ROUNDUP(($AR174+$AT174)*VLOOKUP($AN174,Paraméterek!$P$38:$Q$38,2)/12,IF($D$4="Forint",0,2))</f>
        <v>0</v>
      </c>
      <c r="AV174" s="13"/>
      <c r="AW174" s="13"/>
      <c r="AX174" s="13">
        <f>ROUNDUP(IF(SUM($AV174:$AW174)=0,0,IF(IF(ISBLANK($AW174),$AV174,$AW174)*Paraméterek!$J$112&lt;IF($D$4="Forint",Paraméterek!$J$113,Paraméterek!$K$113),IF($D$4="Forint",Paraméterek!$J$113,Paraméterek!$K$113),IF(IF(ISBLANK($AW174),$AV174,$AW174)*Paraméterek!$J$112&gt;IF($D$4="Forint",Paraméterek!$J$114,Paraméterek!$K$114),IF($D$4="Forint",Paraméterek!$J$114,Paraméterek!$K$114),IF(ISBLANK($AW174),$AV174,$AW174)*Paraméterek!$J$112))),IF($D$4="Forint",0,2))</f>
        <v>0</v>
      </c>
      <c r="AY174" s="13">
        <f>$AR174+$AT174-$AU174-IF(ROUNDDOWN(IF(ISBLANK($AW174),$AV174,$AW174),IF($D$4="Forint",0,2))&gt;$AR174+$AT174-$AU174-IF($D$4="Forint",Paraméterek!$J$114,Paraméterek!$K$114),0,ROUNDDOWN(IF(ISBLANK($AW174),$AV174,$AW174),IF($D$4="Forint",0,2))-$AX174)</f>
        <v>0</v>
      </c>
      <c r="AZ174" s="13">
        <f t="shared" si="39"/>
        <v>0</v>
      </c>
    </row>
    <row r="175" spans="1:52" x14ac:dyDescent="0.2">
      <c r="A175" s="32">
        <v>156</v>
      </c>
      <c r="B175" s="32">
        <v>13</v>
      </c>
      <c r="C175" s="32">
        <v>12</v>
      </c>
      <c r="D175" s="13">
        <f t="shared" si="30"/>
        <v>0</v>
      </c>
      <c r="E175" s="13"/>
      <c r="F175" s="13"/>
      <c r="G175" s="13"/>
      <c r="H175" s="13">
        <f t="shared" si="31"/>
        <v>0</v>
      </c>
      <c r="I175" s="13">
        <f t="shared" si="32"/>
        <v>0</v>
      </c>
      <c r="J175" s="13">
        <f t="shared" si="33"/>
        <v>0</v>
      </c>
      <c r="K175" s="13">
        <f>ROUNDUP(IF($D$2="Egyszeri",$D175,IF($D$2="Havi",SUM($D$20:$D$31),IF(MOD($C175,$M$1)-1=0,SUM($D$20:$D$31),0))/12*$M$1)*VLOOKUP($B175,Paraméterek!$B$27:$D$30,IF($D$2="Egyszeri",3,2)),IF($D$4="Forint",0,2))</f>
        <v>0</v>
      </c>
      <c r="L175" s="13">
        <f t="shared" si="34"/>
        <v>0</v>
      </c>
      <c r="M175" s="13">
        <f t="shared" ca="1" si="40"/>
        <v>-85684</v>
      </c>
      <c r="N175" s="13">
        <f ca="1">IF($V174&gt;=VLOOKUP($M$4-1+$B175,Paraméterek!$B$121:$D$122,IF($D$4="Forint",2,3)),0,VLOOKUP($M$4-1+$B175,Paraméterek!$B$121:$D$122,IF($D$4="Forint",2,3))-$V174)</f>
        <v>95684</v>
      </c>
      <c r="O175" s="13">
        <f ca="1">ROUNDUP($N175*Paraméterek!$C$58/Paraméterek!$C$56,IF($D$4="Forint",0,2))</f>
        <v>16</v>
      </c>
      <c r="P175" s="13">
        <f t="shared" si="35"/>
        <v>785</v>
      </c>
      <c r="Q175" s="33"/>
      <c r="R175" s="13">
        <f t="shared" ca="1" si="36"/>
        <v>0</v>
      </c>
      <c r="S175" s="13">
        <f ca="1">ROUNDUP(($M175-$O175-$P175+$R175)*VLOOKUP($B175,Paraméterek!$B$38:$D$39,IF($D$2="Egyszeri",3,2))/12,IF($D$4="Forint",0,2))</f>
        <v>-235</v>
      </c>
      <c r="T175" s="13">
        <f>Tranzakciók!$F$44</f>
        <v>0</v>
      </c>
      <c r="U175" s="13"/>
      <c r="V175" s="13">
        <f ca="1">$M175-$O175-$P175+$R175-$S175-IF(ROUNDUP(IF(ISBLANK($U175),$T175,$U175)/IF(AND($B175=1,$D$2&lt;&gt;"Egyszeri"),1,VLOOKUP($B175+IF($C175=12,1,0),Paraméterek!$B$257:$D$267,IF($D$2="Egyszeri",3,2))),IF($D$4="Forint",0,2))&gt;$M175-$O175-$P175+$R175-$S175-IF($D$4="Forint",Paraméterek!$C$216,Paraméterek!$D$216),0,ROUNDUP(IF(ISBLANK($U175),$T175,$U175)/IF(AND($B175=1,$D$2&lt;&gt;"Egyszeri"),1,VLOOKUP($B175+IF($C175=12,1,0),Paraméterek!$B$257:$D$267,IF($D$2="Egyszeri",3,2))),IF($D$4="Forint",0,2)))</f>
        <v>-86250</v>
      </c>
      <c r="W175" s="13">
        <f ca="1">ROUNDDOWN($V175*VLOOKUP($B175+IF($C175=12,1,0),Paraméterek!$B$257:$D$267,IF($D$2="Egyszeri",3,2)),IF($D$4="Forint",0,2))</f>
        <v>-86250</v>
      </c>
      <c r="Y175" s="32">
        <v>156</v>
      </c>
      <c r="Z175" s="32">
        <v>13</v>
      </c>
      <c r="AA175" s="32">
        <v>12</v>
      </c>
      <c r="AB175" s="13">
        <f t="shared" si="41"/>
        <v>0</v>
      </c>
      <c r="AC175" s="33"/>
      <c r="AD175" s="13">
        <f t="shared" si="37"/>
        <v>0</v>
      </c>
      <c r="AE175" s="13">
        <f>ROUNDUP(($AB175+$AD175)*VLOOKUP($Z175,Paraméterek!$P$38:$Q$38,2)/12,IF($D$4="Forint",0,2))</f>
        <v>0</v>
      </c>
      <c r="AF175" s="13">
        <f>IF($D$2="Egyszeri",IF($D$7&gt;=IF($D$4="Forint",Paraméterek!$P$223,Paraméterek!$P$224),$D$7-IF($D$4="Forint",Paraméterek!$F$223,Paraméterek!$F$224),0),MIN(IF($AA175=12,AVERAGE($D$20:$D175)*12,0),SUM($D$20:$D$31)))</f>
        <v>0</v>
      </c>
      <c r="AG175" s="13">
        <f>IF(AND($Z175&gt;=10,MOD($Z175,5)=0),$AF175*IF($AA175=12,VLOOKUP($Z175,Paraméterek!$B$225:$F$240,IF($AF175&lt;IF($D$4="Forint",Paraméterek!$C$223,Paraméterek!$C$224),2,IF($AF175&lt;IF($D$4="Forint",Paraméterek!$D$223,Paraméterek!$D$224),3,4))),0),0)</f>
        <v>0</v>
      </c>
      <c r="AH175" s="13">
        <f>IF(AND($Z175&gt;=5,MOD($Z175,5)=0),IF($AA175=12,VLOOKUP($Z175,Paraméterek!$B$225:$F$240,5),0),IF(OR($Z175=3,$Z175=4),IF($AA175=12,VLOOKUP($Z175,Paraméterek!$B$225:$F$240,5,0),0),0))*$AF175</f>
        <v>0</v>
      </c>
      <c r="AI175" s="13">
        <f>ROUNDDOWN(IF(SUM($T$20:$U175)=0,IF($D$2="Egyszeri",$AH175,$AG175),0),IF($D$4="Forint",0,2))</f>
        <v>0</v>
      </c>
      <c r="AJ175" s="13">
        <f t="shared" si="42"/>
        <v>0</v>
      </c>
      <c r="AK175" s="13">
        <f t="shared" si="43"/>
        <v>0</v>
      </c>
      <c r="AM175" s="32">
        <v>156</v>
      </c>
      <c r="AN175" s="32">
        <v>13</v>
      </c>
      <c r="AO175" s="32">
        <v>12</v>
      </c>
      <c r="AP175" s="13"/>
      <c r="AQ175" s="32"/>
      <c r="AR175" s="13">
        <f t="shared" si="44"/>
        <v>0</v>
      </c>
      <c r="AS175" s="33"/>
      <c r="AT175" s="13">
        <f t="shared" si="38"/>
        <v>0</v>
      </c>
      <c r="AU175" s="13">
        <f>ROUNDUP(($AR175+$AT175)*VLOOKUP($AN175,Paraméterek!$P$38:$Q$38,2)/12,IF($D$4="Forint",0,2))</f>
        <v>0</v>
      </c>
      <c r="AV175" s="13">
        <f>Tranzakciók!$M$44</f>
        <v>0</v>
      </c>
      <c r="AW175" s="13"/>
      <c r="AX175" s="13">
        <f>ROUNDUP(IF(SUM($AV175:$AW175)=0,0,IF(IF(ISBLANK($AW175),$AV175,$AW175)*Paraméterek!$J$112&lt;IF($D$4="Forint",Paraméterek!$J$113,Paraméterek!$K$113),IF($D$4="Forint",Paraméterek!$J$113,Paraméterek!$K$113),IF(IF(ISBLANK($AW175),$AV175,$AW175)*Paraméterek!$J$112&gt;IF($D$4="Forint",Paraméterek!$J$114,Paraméterek!$K$114),IF($D$4="Forint",Paraméterek!$J$114,Paraméterek!$K$114),IF(ISBLANK($AW175),$AV175,$AW175)*Paraméterek!$J$112))),IF($D$4="Forint",0,2))</f>
        <v>0</v>
      </c>
      <c r="AY175" s="13">
        <f>$AR175+$AT175-$AU175-IF(ROUNDDOWN(IF(ISBLANK($AW175),$AV175,$AW175),IF($D$4="Forint",0,2))&gt;$AR175+$AT175-$AU175-IF($D$4="Forint",Paraméterek!$J$114,Paraméterek!$K$114),0,ROUNDDOWN(IF(ISBLANK($AW175),$AV175,$AW175),IF($D$4="Forint",0,2))-$AX175)</f>
        <v>0</v>
      </c>
      <c r="AZ175" s="13">
        <f t="shared" si="39"/>
        <v>0</v>
      </c>
    </row>
    <row r="176" spans="1:52" x14ac:dyDescent="0.2">
      <c r="A176" s="32">
        <v>157</v>
      </c>
      <c r="B176" s="32">
        <v>14</v>
      </c>
      <c r="C176" s="32">
        <v>1</v>
      </c>
      <c r="D176" s="13">
        <f t="shared" si="30"/>
        <v>0</v>
      </c>
      <c r="E176" s="13"/>
      <c r="F176" s="13">
        <f>Tranzakciók!$D$45</f>
        <v>0</v>
      </c>
      <c r="G176" s="13"/>
      <c r="H176" s="13">
        <f t="shared" si="31"/>
        <v>0</v>
      </c>
      <c r="I176" s="13">
        <f t="shared" si="32"/>
        <v>147</v>
      </c>
      <c r="J176" s="13">
        <f t="shared" si="33"/>
        <v>147</v>
      </c>
      <c r="K176" s="13">
        <f>ROUNDUP(IF($D$2="Egyszeri",$D176,IF($D$2="Havi",SUM($D$20:$D$31),IF(MOD($C176,$M$1)-1=0,SUM($D$20:$D$31),0))/12*$M$1)*VLOOKUP($B176,Paraméterek!$B$27:$D$30,IF($D$2="Egyszeri",3,2)),IF($D$4="Forint",0,2))</f>
        <v>0</v>
      </c>
      <c r="L176" s="13">
        <f t="shared" si="34"/>
        <v>0</v>
      </c>
      <c r="M176" s="13">
        <f t="shared" ca="1" si="40"/>
        <v>-86250</v>
      </c>
      <c r="N176" s="13">
        <f ca="1">IF($V175&gt;=VLOOKUP($M$4-1+$B176,Paraméterek!$B$121:$D$122,IF($D$4="Forint",2,3)),0,VLOOKUP($M$4-1+$B176,Paraméterek!$B$121:$D$122,IF($D$4="Forint",2,3))-$V175)</f>
        <v>96250</v>
      </c>
      <c r="O176" s="13">
        <f ca="1">ROUNDUP($N176*Paraméterek!$C$58/Paraméterek!$C$56,IF($D$4="Forint",0,2))</f>
        <v>16</v>
      </c>
      <c r="P176" s="13">
        <f t="shared" si="35"/>
        <v>808</v>
      </c>
      <c r="Q176" s="33"/>
      <c r="R176" s="13">
        <f t="shared" ca="1" si="36"/>
        <v>0</v>
      </c>
      <c r="S176" s="13">
        <f ca="1">ROUNDUP(($M176-$O176-$P176+$R176)*VLOOKUP($B176,Paraméterek!$B$38:$D$39,IF($D$2="Egyszeri",3,2))/12,IF($D$4="Forint",0,2))</f>
        <v>-236</v>
      </c>
      <c r="T176" s="13"/>
      <c r="U176" s="13"/>
      <c r="V176" s="13">
        <f ca="1">$M176-$O176-$P176+$R176-$S176-IF(ROUNDUP(IF(ISBLANK($U176),$T176,$U176)/IF(AND($B176=1,$D$2&lt;&gt;"Egyszeri"),1,VLOOKUP($B176+IF($C176=12,1,0),Paraméterek!$B$257:$D$267,IF($D$2="Egyszeri",3,2))),IF($D$4="Forint",0,2))&gt;$M176-$O176-$P176+$R176-$S176-IF($D$4="Forint",Paraméterek!$C$216,Paraméterek!$D$216),0,ROUNDUP(IF(ISBLANK($U176),$T176,$U176)/IF(AND($B176=1,$D$2&lt;&gt;"Egyszeri"),1,VLOOKUP($B176+IF($C176=12,1,0),Paraméterek!$B$257:$D$267,IF($D$2="Egyszeri",3,2))),IF($D$4="Forint",0,2)))</f>
        <v>-86838</v>
      </c>
      <c r="W176" s="13">
        <f ca="1">ROUNDDOWN($V176*VLOOKUP($B176+IF($C176=12,1,0),Paraméterek!$B$257:$D$267,IF($D$2="Egyszeri",3,2)),IF($D$4="Forint",0,2))</f>
        <v>-86838</v>
      </c>
      <c r="Y176" s="32">
        <v>157</v>
      </c>
      <c r="Z176" s="32">
        <v>14</v>
      </c>
      <c r="AA176" s="32">
        <v>1</v>
      </c>
      <c r="AB176" s="13">
        <f t="shared" si="41"/>
        <v>0</v>
      </c>
      <c r="AC176" s="33"/>
      <c r="AD176" s="13">
        <f t="shared" si="37"/>
        <v>0</v>
      </c>
      <c r="AE176" s="13">
        <f>ROUNDUP(($AB176+$AD176)*VLOOKUP($Z176,Paraméterek!$P$38:$Q$38,2)/12,IF($D$4="Forint",0,2))</f>
        <v>0</v>
      </c>
      <c r="AF176" s="13">
        <f>IF($D$2="Egyszeri",IF($D$7&gt;=IF($D$4="Forint",Paraméterek!$P$223,Paraméterek!$P$224),$D$7-IF($D$4="Forint",Paraméterek!$F$223,Paraméterek!$F$224),0),MIN(IF($AA176=12,AVERAGE($D$20:$D176)*12,0),SUM($D$20:$D$31)))</f>
        <v>0</v>
      </c>
      <c r="AG176" s="13">
        <f>IF(AND($Z176&gt;=10,MOD($Z176,5)=0),$AF176*IF($AA176=12,VLOOKUP($Z176,Paraméterek!$B$225:$F$240,IF($AF176&lt;IF($D$4="Forint",Paraméterek!$C$223,Paraméterek!$C$224),2,IF($AF176&lt;IF($D$4="Forint",Paraméterek!$D$223,Paraméterek!$D$224),3,4))),0),0)</f>
        <v>0</v>
      </c>
      <c r="AH176" s="13">
        <f>IF(AND($Z176&gt;=5,MOD($Z176,5)=0),IF($AA176=12,VLOOKUP($Z176,Paraméterek!$B$225:$F$240,5),0),IF(OR($Z176=3,$Z176=4),IF($AA176=12,VLOOKUP($Z176,Paraméterek!$B$225:$F$240,5,0),0),0))*$AF176</f>
        <v>0</v>
      </c>
      <c r="AI176" s="13">
        <f>ROUNDDOWN(IF(SUM($T$20:$U176)=0,IF($D$2="Egyszeri",$AH176,$AG176),0),IF($D$4="Forint",0,2))</f>
        <v>0</v>
      </c>
      <c r="AJ176" s="13">
        <f t="shared" si="42"/>
        <v>0</v>
      </c>
      <c r="AK176" s="13">
        <f t="shared" si="43"/>
        <v>0</v>
      </c>
      <c r="AM176" s="32">
        <v>157</v>
      </c>
      <c r="AN176" s="32">
        <v>14</v>
      </c>
      <c r="AO176" s="32">
        <v>1</v>
      </c>
      <c r="AP176" s="13">
        <f>Tranzakciók!$K$45</f>
        <v>0</v>
      </c>
      <c r="AQ176" s="32"/>
      <c r="AR176" s="13">
        <f t="shared" si="44"/>
        <v>0</v>
      </c>
      <c r="AS176" s="33"/>
      <c r="AT176" s="13">
        <f t="shared" si="38"/>
        <v>0</v>
      </c>
      <c r="AU176" s="13">
        <f>ROUNDUP(($AR176+$AT176)*VLOOKUP($AN176,Paraméterek!$P$38:$Q$38,2)/12,IF($D$4="Forint",0,2))</f>
        <v>0</v>
      </c>
      <c r="AV176" s="13"/>
      <c r="AW176" s="13"/>
      <c r="AX176" s="13">
        <f>ROUNDUP(IF(SUM($AV176:$AW176)=0,0,IF(IF(ISBLANK($AW176),$AV176,$AW176)*Paraméterek!$J$112&lt;IF($D$4="Forint",Paraméterek!$J$113,Paraméterek!$K$113),IF($D$4="Forint",Paraméterek!$J$113,Paraméterek!$K$113),IF(IF(ISBLANK($AW176),$AV176,$AW176)*Paraméterek!$J$112&gt;IF($D$4="Forint",Paraméterek!$J$114,Paraméterek!$K$114),IF($D$4="Forint",Paraméterek!$J$114,Paraméterek!$K$114),IF(ISBLANK($AW176),$AV176,$AW176)*Paraméterek!$J$112))),IF($D$4="Forint",0,2))</f>
        <v>0</v>
      </c>
      <c r="AY176" s="13">
        <f>$AR176+$AT176-$AU176-IF(ROUNDDOWN(IF(ISBLANK($AW176),$AV176,$AW176),IF($D$4="Forint",0,2))&gt;$AR176+$AT176-$AU176-IF($D$4="Forint",Paraméterek!$J$114,Paraméterek!$K$114),0,ROUNDDOWN(IF(ISBLANK($AW176),$AV176,$AW176),IF($D$4="Forint",0,2))-$AX176)</f>
        <v>0</v>
      </c>
      <c r="AZ176" s="13">
        <f t="shared" si="39"/>
        <v>0</v>
      </c>
    </row>
    <row r="177" spans="1:52" x14ac:dyDescent="0.2">
      <c r="A177" s="32">
        <v>158</v>
      </c>
      <c r="B177" s="32">
        <v>14</v>
      </c>
      <c r="C177" s="32">
        <v>2</v>
      </c>
      <c r="D177" s="13">
        <f t="shared" si="30"/>
        <v>0</v>
      </c>
      <c r="E177" s="13"/>
      <c r="F177" s="13"/>
      <c r="G177" s="13"/>
      <c r="H177" s="13">
        <f t="shared" si="31"/>
        <v>0</v>
      </c>
      <c r="I177" s="13">
        <f t="shared" si="32"/>
        <v>0</v>
      </c>
      <c r="J177" s="13">
        <f t="shared" si="33"/>
        <v>0</v>
      </c>
      <c r="K177" s="13">
        <f>ROUNDUP(IF($D$2="Egyszeri",$D177,IF($D$2="Havi",SUM($D$20:$D$31),IF(MOD($C177,$M$1)-1=0,SUM($D$20:$D$31),0))/12*$M$1)*VLOOKUP($B177,Paraméterek!$B$27:$D$30,IF($D$2="Egyszeri",3,2)),IF($D$4="Forint",0,2))</f>
        <v>0</v>
      </c>
      <c r="L177" s="13">
        <f t="shared" si="34"/>
        <v>0</v>
      </c>
      <c r="M177" s="13">
        <f t="shared" ca="1" si="40"/>
        <v>-86838</v>
      </c>
      <c r="N177" s="13">
        <f ca="1">IF($V176&gt;=VLOOKUP($M$4-1+$B177,Paraméterek!$B$121:$D$122,IF($D$4="Forint",2,3)),0,VLOOKUP($M$4-1+$B177,Paraméterek!$B$121:$D$122,IF($D$4="Forint",2,3))-$V176)</f>
        <v>96838</v>
      </c>
      <c r="O177" s="13">
        <f ca="1">ROUNDUP($N177*Paraméterek!$C$58/Paraméterek!$C$56,IF($D$4="Forint",0,2))</f>
        <v>16</v>
      </c>
      <c r="P177" s="13">
        <f t="shared" si="35"/>
        <v>808</v>
      </c>
      <c r="Q177" s="33"/>
      <c r="R177" s="13">
        <f t="shared" ca="1" si="36"/>
        <v>0</v>
      </c>
      <c r="S177" s="13">
        <f ca="1">ROUNDUP(($M177-$O177-$P177+$R177)*VLOOKUP($B177,Paraméterek!$B$38:$D$39,IF($D$2="Egyszeri",3,2))/12,IF($D$4="Forint",0,2))</f>
        <v>-238</v>
      </c>
      <c r="T177" s="13"/>
      <c r="U177" s="13"/>
      <c r="V177" s="13">
        <f ca="1">$M177-$O177-$P177+$R177-$S177-IF(ROUNDUP(IF(ISBLANK($U177),$T177,$U177)/IF(AND($B177=1,$D$2&lt;&gt;"Egyszeri"),1,VLOOKUP($B177+IF($C177=12,1,0),Paraméterek!$B$257:$D$267,IF($D$2="Egyszeri",3,2))),IF($D$4="Forint",0,2))&gt;$M177-$O177-$P177+$R177-$S177-IF($D$4="Forint",Paraméterek!$C$216,Paraméterek!$D$216),0,ROUNDUP(IF(ISBLANK($U177),$T177,$U177)/IF(AND($B177=1,$D$2&lt;&gt;"Egyszeri"),1,VLOOKUP($B177+IF($C177=12,1,0),Paraméterek!$B$257:$D$267,IF($D$2="Egyszeri",3,2))),IF($D$4="Forint",0,2)))</f>
        <v>-87424</v>
      </c>
      <c r="W177" s="13">
        <f ca="1">ROUNDDOWN($V177*VLOOKUP($B177+IF($C177=12,1,0),Paraméterek!$B$257:$D$267,IF($D$2="Egyszeri",3,2)),IF($D$4="Forint",0,2))</f>
        <v>-87424</v>
      </c>
      <c r="Y177" s="32">
        <v>158</v>
      </c>
      <c r="Z177" s="32">
        <v>14</v>
      </c>
      <c r="AA177" s="32">
        <v>2</v>
      </c>
      <c r="AB177" s="13">
        <f t="shared" si="41"/>
        <v>0</v>
      </c>
      <c r="AC177" s="33"/>
      <c r="AD177" s="13">
        <f t="shared" si="37"/>
        <v>0</v>
      </c>
      <c r="AE177" s="13">
        <f>ROUNDUP(($AB177+$AD177)*VLOOKUP($Z177,Paraméterek!$P$38:$Q$38,2)/12,IF($D$4="Forint",0,2))</f>
        <v>0</v>
      </c>
      <c r="AF177" s="13">
        <f>IF($D$2="Egyszeri",IF($D$7&gt;=IF($D$4="Forint",Paraméterek!$P$223,Paraméterek!$P$224),$D$7-IF($D$4="Forint",Paraméterek!$F$223,Paraméterek!$F$224),0),MIN(IF($AA177=12,AVERAGE($D$20:$D177)*12,0),SUM($D$20:$D$31)))</f>
        <v>0</v>
      </c>
      <c r="AG177" s="13">
        <f>IF(AND($Z177&gt;=10,MOD($Z177,5)=0),$AF177*IF($AA177=12,VLOOKUP($Z177,Paraméterek!$B$225:$F$240,IF($AF177&lt;IF($D$4="Forint",Paraméterek!$C$223,Paraméterek!$C$224),2,IF($AF177&lt;IF($D$4="Forint",Paraméterek!$D$223,Paraméterek!$D$224),3,4))),0),0)</f>
        <v>0</v>
      </c>
      <c r="AH177" s="13">
        <f>IF(AND($Z177&gt;=5,MOD($Z177,5)=0),IF($AA177=12,VLOOKUP($Z177,Paraméterek!$B$225:$F$240,5),0),IF(OR($Z177=3,$Z177=4),IF($AA177=12,VLOOKUP($Z177,Paraméterek!$B$225:$F$240,5,0),0),0))*$AF177</f>
        <v>0</v>
      </c>
      <c r="AI177" s="13">
        <f>ROUNDDOWN(IF(SUM($T$20:$U177)=0,IF($D$2="Egyszeri",$AH177,$AG177),0),IF($D$4="Forint",0,2))</f>
        <v>0</v>
      </c>
      <c r="AJ177" s="13">
        <f t="shared" si="42"/>
        <v>0</v>
      </c>
      <c r="AK177" s="13">
        <f t="shared" si="43"/>
        <v>0</v>
      </c>
      <c r="AM177" s="32">
        <v>158</v>
      </c>
      <c r="AN177" s="32">
        <v>14</v>
      </c>
      <c r="AO177" s="32">
        <v>2</v>
      </c>
      <c r="AP177" s="13"/>
      <c r="AQ177" s="32"/>
      <c r="AR177" s="13">
        <f t="shared" si="44"/>
        <v>0</v>
      </c>
      <c r="AS177" s="33"/>
      <c r="AT177" s="13">
        <f t="shared" si="38"/>
        <v>0</v>
      </c>
      <c r="AU177" s="13">
        <f>ROUNDUP(($AR177+$AT177)*VLOOKUP($AN177,Paraméterek!$P$38:$Q$38,2)/12,IF($D$4="Forint",0,2))</f>
        <v>0</v>
      </c>
      <c r="AV177" s="13"/>
      <c r="AW177" s="13"/>
      <c r="AX177" s="13">
        <f>ROUNDUP(IF(SUM($AV177:$AW177)=0,0,IF(IF(ISBLANK($AW177),$AV177,$AW177)*Paraméterek!$J$112&lt;IF($D$4="Forint",Paraméterek!$J$113,Paraméterek!$K$113),IF($D$4="Forint",Paraméterek!$J$113,Paraméterek!$K$113),IF(IF(ISBLANK($AW177),$AV177,$AW177)*Paraméterek!$J$112&gt;IF($D$4="Forint",Paraméterek!$J$114,Paraméterek!$K$114),IF($D$4="Forint",Paraméterek!$J$114,Paraméterek!$K$114),IF(ISBLANK($AW177),$AV177,$AW177)*Paraméterek!$J$112))),IF($D$4="Forint",0,2))</f>
        <v>0</v>
      </c>
      <c r="AY177" s="13">
        <f>$AR177+$AT177-$AU177-IF(ROUNDDOWN(IF(ISBLANK($AW177),$AV177,$AW177),IF($D$4="Forint",0,2))&gt;$AR177+$AT177-$AU177-IF($D$4="Forint",Paraméterek!$J$114,Paraméterek!$K$114),0,ROUNDDOWN(IF(ISBLANK($AW177),$AV177,$AW177),IF($D$4="Forint",0,2))-$AX177)</f>
        <v>0</v>
      </c>
      <c r="AZ177" s="13">
        <f t="shared" si="39"/>
        <v>0</v>
      </c>
    </row>
    <row r="178" spans="1:52" x14ac:dyDescent="0.2">
      <c r="A178" s="32">
        <v>159</v>
      </c>
      <c r="B178" s="32">
        <v>14</v>
      </c>
      <c r="C178" s="32">
        <v>3</v>
      </c>
      <c r="D178" s="13">
        <f t="shared" si="30"/>
        <v>0</v>
      </c>
      <c r="E178" s="13"/>
      <c r="F178" s="13"/>
      <c r="G178" s="13"/>
      <c r="H178" s="13">
        <f t="shared" si="31"/>
        <v>0</v>
      </c>
      <c r="I178" s="13">
        <f t="shared" si="32"/>
        <v>0</v>
      </c>
      <c r="J178" s="13">
        <f t="shared" si="33"/>
        <v>0</v>
      </c>
      <c r="K178" s="13">
        <f>ROUNDUP(IF($D$2="Egyszeri",$D178,IF($D$2="Havi",SUM($D$20:$D$31),IF(MOD($C178,$M$1)-1=0,SUM($D$20:$D$31),0))/12*$M$1)*VLOOKUP($B178,Paraméterek!$B$27:$D$30,IF($D$2="Egyszeri",3,2)),IF($D$4="Forint",0,2))</f>
        <v>0</v>
      </c>
      <c r="L178" s="13">
        <f t="shared" si="34"/>
        <v>0</v>
      </c>
      <c r="M178" s="13">
        <f t="shared" ca="1" si="40"/>
        <v>-87424</v>
      </c>
      <c r="N178" s="13">
        <f ca="1">IF($V177&gt;=VLOOKUP($M$4-1+$B178,Paraméterek!$B$121:$D$122,IF($D$4="Forint",2,3)),0,VLOOKUP($M$4-1+$B178,Paraméterek!$B$121:$D$122,IF($D$4="Forint",2,3))-$V177)</f>
        <v>97424</v>
      </c>
      <c r="O178" s="13">
        <f ca="1">ROUNDUP($N178*Paraméterek!$C$58/Paraméterek!$C$56,IF($D$4="Forint",0,2))</f>
        <v>16</v>
      </c>
      <c r="P178" s="13">
        <f t="shared" si="35"/>
        <v>808</v>
      </c>
      <c r="Q178" s="33"/>
      <c r="R178" s="13">
        <f t="shared" ca="1" si="36"/>
        <v>0</v>
      </c>
      <c r="S178" s="13">
        <f ca="1">ROUNDUP(($M178-$O178-$P178+$R178)*VLOOKUP($B178,Paraméterek!$B$38:$D$39,IF($D$2="Egyszeri",3,2))/12,IF($D$4="Forint",0,2))</f>
        <v>-240</v>
      </c>
      <c r="T178" s="13"/>
      <c r="U178" s="13"/>
      <c r="V178" s="13">
        <f ca="1">$M178-$O178-$P178+$R178-$S178-IF(ROUNDUP(IF(ISBLANK($U178),$T178,$U178)/IF(AND($B178=1,$D$2&lt;&gt;"Egyszeri"),1,VLOOKUP($B178+IF($C178=12,1,0),Paraméterek!$B$257:$D$267,IF($D$2="Egyszeri",3,2))),IF($D$4="Forint",0,2))&gt;$M178-$O178-$P178+$R178-$S178-IF($D$4="Forint",Paraméterek!$C$216,Paraméterek!$D$216),0,ROUNDUP(IF(ISBLANK($U178),$T178,$U178)/IF(AND($B178=1,$D$2&lt;&gt;"Egyszeri"),1,VLOOKUP($B178+IF($C178=12,1,0),Paraméterek!$B$257:$D$267,IF($D$2="Egyszeri",3,2))),IF($D$4="Forint",0,2)))</f>
        <v>-88008</v>
      </c>
      <c r="W178" s="13">
        <f ca="1">ROUNDDOWN($V178*VLOOKUP($B178+IF($C178=12,1,0),Paraméterek!$B$257:$D$267,IF($D$2="Egyszeri",3,2)),IF($D$4="Forint",0,2))</f>
        <v>-88008</v>
      </c>
      <c r="Y178" s="32">
        <v>159</v>
      </c>
      <c r="Z178" s="32">
        <v>14</v>
      </c>
      <c r="AA178" s="32">
        <v>3</v>
      </c>
      <c r="AB178" s="13">
        <f t="shared" si="41"/>
        <v>0</v>
      </c>
      <c r="AC178" s="33"/>
      <c r="AD178" s="13">
        <f t="shared" si="37"/>
        <v>0</v>
      </c>
      <c r="AE178" s="13">
        <f>ROUNDUP(($AB178+$AD178)*VLOOKUP($Z178,Paraméterek!$P$38:$Q$38,2)/12,IF($D$4="Forint",0,2))</f>
        <v>0</v>
      </c>
      <c r="AF178" s="13">
        <f>IF($D$2="Egyszeri",IF($D$7&gt;=IF($D$4="Forint",Paraméterek!$P$223,Paraméterek!$P$224),$D$7-IF($D$4="Forint",Paraméterek!$F$223,Paraméterek!$F$224),0),MIN(IF($AA178=12,AVERAGE($D$20:$D178)*12,0),SUM($D$20:$D$31)))</f>
        <v>0</v>
      </c>
      <c r="AG178" s="13">
        <f>IF(AND($Z178&gt;=10,MOD($Z178,5)=0),$AF178*IF($AA178=12,VLOOKUP($Z178,Paraméterek!$B$225:$F$240,IF($AF178&lt;IF($D$4="Forint",Paraméterek!$C$223,Paraméterek!$C$224),2,IF($AF178&lt;IF($D$4="Forint",Paraméterek!$D$223,Paraméterek!$D$224),3,4))),0),0)</f>
        <v>0</v>
      </c>
      <c r="AH178" s="13">
        <f>IF(AND($Z178&gt;=5,MOD($Z178,5)=0),IF($AA178=12,VLOOKUP($Z178,Paraméterek!$B$225:$F$240,5),0),IF(OR($Z178=3,$Z178=4),IF($AA178=12,VLOOKUP($Z178,Paraméterek!$B$225:$F$240,5,0),0),0))*$AF178</f>
        <v>0</v>
      </c>
      <c r="AI178" s="13">
        <f>ROUNDDOWN(IF(SUM($T$20:$U178)=0,IF($D$2="Egyszeri",$AH178,$AG178),0),IF($D$4="Forint",0,2))</f>
        <v>0</v>
      </c>
      <c r="AJ178" s="13">
        <f t="shared" si="42"/>
        <v>0</v>
      </c>
      <c r="AK178" s="13">
        <f t="shared" si="43"/>
        <v>0</v>
      </c>
      <c r="AM178" s="32">
        <v>159</v>
      </c>
      <c r="AN178" s="32">
        <v>14</v>
      </c>
      <c r="AO178" s="32">
        <v>3</v>
      </c>
      <c r="AP178" s="13"/>
      <c r="AQ178" s="32"/>
      <c r="AR178" s="13">
        <f t="shared" si="44"/>
        <v>0</v>
      </c>
      <c r="AS178" s="33"/>
      <c r="AT178" s="13">
        <f t="shared" si="38"/>
        <v>0</v>
      </c>
      <c r="AU178" s="13">
        <f>ROUNDUP(($AR178+$AT178)*VLOOKUP($AN178,Paraméterek!$P$38:$Q$38,2)/12,IF($D$4="Forint",0,2))</f>
        <v>0</v>
      </c>
      <c r="AV178" s="13"/>
      <c r="AW178" s="13"/>
      <c r="AX178" s="13">
        <f>ROUNDUP(IF(SUM($AV178:$AW178)=0,0,IF(IF(ISBLANK($AW178),$AV178,$AW178)*Paraméterek!$J$112&lt;IF($D$4="Forint",Paraméterek!$J$113,Paraméterek!$K$113),IF($D$4="Forint",Paraméterek!$J$113,Paraméterek!$K$113),IF(IF(ISBLANK($AW178),$AV178,$AW178)*Paraméterek!$J$112&gt;IF($D$4="Forint",Paraméterek!$J$114,Paraméterek!$K$114),IF($D$4="Forint",Paraméterek!$J$114,Paraméterek!$K$114),IF(ISBLANK($AW178),$AV178,$AW178)*Paraméterek!$J$112))),IF($D$4="Forint",0,2))</f>
        <v>0</v>
      </c>
      <c r="AY178" s="13">
        <f>$AR178+$AT178-$AU178-IF(ROUNDDOWN(IF(ISBLANK($AW178),$AV178,$AW178),IF($D$4="Forint",0,2))&gt;$AR178+$AT178-$AU178-IF($D$4="Forint",Paraméterek!$J$114,Paraméterek!$K$114),0,ROUNDDOWN(IF(ISBLANK($AW178),$AV178,$AW178),IF($D$4="Forint",0,2))-$AX178)</f>
        <v>0</v>
      </c>
      <c r="AZ178" s="13">
        <f t="shared" si="39"/>
        <v>0</v>
      </c>
    </row>
    <row r="179" spans="1:52" x14ac:dyDescent="0.2">
      <c r="A179" s="32">
        <v>160</v>
      </c>
      <c r="B179" s="32">
        <v>14</v>
      </c>
      <c r="C179" s="32">
        <v>4</v>
      </c>
      <c r="D179" s="13">
        <f t="shared" si="30"/>
        <v>0</v>
      </c>
      <c r="E179" s="13"/>
      <c r="F179" s="13"/>
      <c r="G179" s="13"/>
      <c r="H179" s="13">
        <f t="shared" si="31"/>
        <v>0</v>
      </c>
      <c r="I179" s="13">
        <f t="shared" si="32"/>
        <v>0</v>
      </c>
      <c r="J179" s="13">
        <f t="shared" si="33"/>
        <v>0</v>
      </c>
      <c r="K179" s="13">
        <f>ROUNDUP(IF($D$2="Egyszeri",$D179,IF($D$2="Havi",SUM($D$20:$D$31),IF(MOD($C179,$M$1)-1=0,SUM($D$20:$D$31),0))/12*$M$1)*VLOOKUP($B179,Paraméterek!$B$27:$D$30,IF($D$2="Egyszeri",3,2)),IF($D$4="Forint",0,2))</f>
        <v>0</v>
      </c>
      <c r="L179" s="13">
        <f t="shared" si="34"/>
        <v>0</v>
      </c>
      <c r="M179" s="13">
        <f t="shared" ca="1" si="40"/>
        <v>-88008</v>
      </c>
      <c r="N179" s="13">
        <f ca="1">IF($V178&gt;=VLOOKUP($M$4-1+$B179,Paraméterek!$B$121:$D$122,IF($D$4="Forint",2,3)),0,VLOOKUP($M$4-1+$B179,Paraméterek!$B$121:$D$122,IF($D$4="Forint",2,3))-$V178)</f>
        <v>98008</v>
      </c>
      <c r="O179" s="13">
        <f ca="1">ROUNDUP($N179*Paraméterek!$C$58/Paraméterek!$C$56,IF($D$4="Forint",0,2))</f>
        <v>16</v>
      </c>
      <c r="P179" s="13">
        <f t="shared" si="35"/>
        <v>808</v>
      </c>
      <c r="Q179" s="33"/>
      <c r="R179" s="13">
        <f t="shared" ca="1" si="36"/>
        <v>0</v>
      </c>
      <c r="S179" s="13">
        <f ca="1">ROUNDUP(($M179-$O179-$P179+$R179)*VLOOKUP($B179,Paraméterek!$B$38:$D$39,IF($D$2="Egyszeri",3,2))/12,IF($D$4="Forint",0,2))</f>
        <v>-241</v>
      </c>
      <c r="T179" s="13"/>
      <c r="U179" s="13"/>
      <c r="V179" s="13">
        <f ca="1">$M179-$O179-$P179+$R179-$S179-IF(ROUNDUP(IF(ISBLANK($U179),$T179,$U179)/IF(AND($B179=1,$D$2&lt;&gt;"Egyszeri"),1,VLOOKUP($B179+IF($C179=12,1,0),Paraméterek!$B$257:$D$267,IF($D$2="Egyszeri",3,2))),IF($D$4="Forint",0,2))&gt;$M179-$O179-$P179+$R179-$S179-IF($D$4="Forint",Paraméterek!$C$216,Paraméterek!$D$216),0,ROUNDUP(IF(ISBLANK($U179),$T179,$U179)/IF(AND($B179=1,$D$2&lt;&gt;"Egyszeri"),1,VLOOKUP($B179+IF($C179=12,1,0),Paraméterek!$B$257:$D$267,IF($D$2="Egyszeri",3,2))),IF($D$4="Forint",0,2)))</f>
        <v>-88591</v>
      </c>
      <c r="W179" s="13">
        <f ca="1">ROUNDDOWN($V179*VLOOKUP($B179+IF($C179=12,1,0),Paraméterek!$B$257:$D$267,IF($D$2="Egyszeri",3,2)),IF($D$4="Forint",0,2))</f>
        <v>-88591</v>
      </c>
      <c r="Y179" s="32">
        <v>160</v>
      </c>
      <c r="Z179" s="32">
        <v>14</v>
      </c>
      <c r="AA179" s="32">
        <v>4</v>
      </c>
      <c r="AB179" s="13">
        <f t="shared" si="41"/>
        <v>0</v>
      </c>
      <c r="AC179" s="33"/>
      <c r="AD179" s="13">
        <f t="shared" si="37"/>
        <v>0</v>
      </c>
      <c r="AE179" s="13">
        <f>ROUNDUP(($AB179+$AD179)*VLOOKUP($Z179,Paraméterek!$P$38:$Q$38,2)/12,IF($D$4="Forint",0,2))</f>
        <v>0</v>
      </c>
      <c r="AF179" s="13">
        <f>IF($D$2="Egyszeri",IF($D$7&gt;=IF($D$4="Forint",Paraméterek!$P$223,Paraméterek!$P$224),$D$7-IF($D$4="Forint",Paraméterek!$F$223,Paraméterek!$F$224),0),MIN(IF($AA179=12,AVERAGE($D$20:$D179)*12,0),SUM($D$20:$D$31)))</f>
        <v>0</v>
      </c>
      <c r="AG179" s="13">
        <f>IF(AND($Z179&gt;=10,MOD($Z179,5)=0),$AF179*IF($AA179=12,VLOOKUP($Z179,Paraméterek!$B$225:$F$240,IF($AF179&lt;IF($D$4="Forint",Paraméterek!$C$223,Paraméterek!$C$224),2,IF($AF179&lt;IF($D$4="Forint",Paraméterek!$D$223,Paraméterek!$D$224),3,4))),0),0)</f>
        <v>0</v>
      </c>
      <c r="AH179" s="13">
        <f>IF(AND($Z179&gt;=5,MOD($Z179,5)=0),IF($AA179=12,VLOOKUP($Z179,Paraméterek!$B$225:$F$240,5),0),IF(OR($Z179=3,$Z179=4),IF($AA179=12,VLOOKUP($Z179,Paraméterek!$B$225:$F$240,5,0),0),0))*$AF179</f>
        <v>0</v>
      </c>
      <c r="AI179" s="13">
        <f>ROUNDDOWN(IF(SUM($T$20:$U179)=0,IF($D$2="Egyszeri",$AH179,$AG179),0),IF($D$4="Forint",0,2))</f>
        <v>0</v>
      </c>
      <c r="AJ179" s="13">
        <f t="shared" si="42"/>
        <v>0</v>
      </c>
      <c r="AK179" s="13">
        <f t="shared" si="43"/>
        <v>0</v>
      </c>
      <c r="AM179" s="32">
        <v>160</v>
      </c>
      <c r="AN179" s="32">
        <v>14</v>
      </c>
      <c r="AO179" s="32">
        <v>4</v>
      </c>
      <c r="AP179" s="13"/>
      <c r="AQ179" s="32"/>
      <c r="AR179" s="13">
        <f t="shared" si="44"/>
        <v>0</v>
      </c>
      <c r="AS179" s="33"/>
      <c r="AT179" s="13">
        <f t="shared" si="38"/>
        <v>0</v>
      </c>
      <c r="AU179" s="13">
        <f>ROUNDUP(($AR179+$AT179)*VLOOKUP($AN179,Paraméterek!$P$38:$Q$38,2)/12,IF($D$4="Forint",0,2))</f>
        <v>0</v>
      </c>
      <c r="AV179" s="13"/>
      <c r="AW179" s="13"/>
      <c r="AX179" s="13">
        <f>ROUNDUP(IF(SUM($AV179:$AW179)=0,0,IF(IF(ISBLANK($AW179),$AV179,$AW179)*Paraméterek!$J$112&lt;IF($D$4="Forint",Paraméterek!$J$113,Paraméterek!$K$113),IF($D$4="Forint",Paraméterek!$J$113,Paraméterek!$K$113),IF(IF(ISBLANK($AW179),$AV179,$AW179)*Paraméterek!$J$112&gt;IF($D$4="Forint",Paraméterek!$J$114,Paraméterek!$K$114),IF($D$4="Forint",Paraméterek!$J$114,Paraméterek!$K$114),IF(ISBLANK($AW179),$AV179,$AW179)*Paraméterek!$J$112))),IF($D$4="Forint",0,2))</f>
        <v>0</v>
      </c>
      <c r="AY179" s="13">
        <f>$AR179+$AT179-$AU179-IF(ROUNDDOWN(IF(ISBLANK($AW179),$AV179,$AW179),IF($D$4="Forint",0,2))&gt;$AR179+$AT179-$AU179-IF($D$4="Forint",Paraméterek!$J$114,Paraméterek!$K$114),0,ROUNDDOWN(IF(ISBLANK($AW179),$AV179,$AW179),IF($D$4="Forint",0,2))-$AX179)</f>
        <v>0</v>
      </c>
      <c r="AZ179" s="13">
        <f t="shared" si="39"/>
        <v>0</v>
      </c>
    </row>
    <row r="180" spans="1:52" x14ac:dyDescent="0.2">
      <c r="A180" s="32">
        <v>161</v>
      </c>
      <c r="B180" s="32">
        <v>14</v>
      </c>
      <c r="C180" s="32">
        <v>5</v>
      </c>
      <c r="D180" s="13">
        <f t="shared" si="30"/>
        <v>0</v>
      </c>
      <c r="E180" s="13"/>
      <c r="F180" s="13"/>
      <c r="G180" s="13"/>
      <c r="H180" s="13">
        <f t="shared" si="31"/>
        <v>0</v>
      </c>
      <c r="I180" s="13">
        <f t="shared" si="32"/>
        <v>0</v>
      </c>
      <c r="J180" s="13">
        <f t="shared" si="33"/>
        <v>0</v>
      </c>
      <c r="K180" s="13">
        <f>ROUNDUP(IF($D$2="Egyszeri",$D180,IF($D$2="Havi",SUM($D$20:$D$31),IF(MOD($C180,$M$1)-1=0,SUM($D$20:$D$31),0))/12*$M$1)*VLOOKUP($B180,Paraméterek!$B$27:$D$30,IF($D$2="Egyszeri",3,2)),IF($D$4="Forint",0,2))</f>
        <v>0</v>
      </c>
      <c r="L180" s="13">
        <f t="shared" si="34"/>
        <v>0</v>
      </c>
      <c r="M180" s="13">
        <f t="shared" ca="1" si="40"/>
        <v>-88591</v>
      </c>
      <c r="N180" s="13">
        <f ca="1">IF($V179&gt;=VLOOKUP($M$4-1+$B180,Paraméterek!$B$121:$D$122,IF($D$4="Forint",2,3)),0,VLOOKUP($M$4-1+$B180,Paraméterek!$B$121:$D$122,IF($D$4="Forint",2,3))-$V179)</f>
        <v>98591</v>
      </c>
      <c r="O180" s="13">
        <f ca="1">ROUNDUP($N180*Paraméterek!$C$58/Paraméterek!$C$56,IF($D$4="Forint",0,2))</f>
        <v>16</v>
      </c>
      <c r="P180" s="13">
        <f t="shared" si="35"/>
        <v>808</v>
      </c>
      <c r="Q180" s="33"/>
      <c r="R180" s="13">
        <f t="shared" ca="1" si="36"/>
        <v>0</v>
      </c>
      <c r="S180" s="13">
        <f ca="1">ROUNDUP(($M180-$O180-$P180+$R180)*VLOOKUP($B180,Paraméterek!$B$38:$D$39,IF($D$2="Egyszeri",3,2))/12,IF($D$4="Forint",0,2))</f>
        <v>-243</v>
      </c>
      <c r="T180" s="13"/>
      <c r="U180" s="13"/>
      <c r="V180" s="13">
        <f ca="1">$M180-$O180-$P180+$R180-$S180-IF(ROUNDUP(IF(ISBLANK($U180),$T180,$U180)/IF(AND($B180=1,$D$2&lt;&gt;"Egyszeri"),1,VLOOKUP($B180+IF($C180=12,1,0),Paraméterek!$B$257:$D$267,IF($D$2="Egyszeri",3,2))),IF($D$4="Forint",0,2))&gt;$M180-$O180-$P180+$R180-$S180-IF($D$4="Forint",Paraméterek!$C$216,Paraméterek!$D$216),0,ROUNDUP(IF(ISBLANK($U180),$T180,$U180)/IF(AND($B180=1,$D$2&lt;&gt;"Egyszeri"),1,VLOOKUP($B180+IF($C180=12,1,0),Paraméterek!$B$257:$D$267,IF($D$2="Egyszeri",3,2))),IF($D$4="Forint",0,2)))</f>
        <v>-89172</v>
      </c>
      <c r="W180" s="13">
        <f ca="1">ROUNDDOWN($V180*VLOOKUP($B180+IF($C180=12,1,0),Paraméterek!$B$257:$D$267,IF($D$2="Egyszeri",3,2)),IF($D$4="Forint",0,2))</f>
        <v>-89172</v>
      </c>
      <c r="Y180" s="32">
        <v>161</v>
      </c>
      <c r="Z180" s="32">
        <v>14</v>
      </c>
      <c r="AA180" s="32">
        <v>5</v>
      </c>
      <c r="AB180" s="13">
        <f t="shared" si="41"/>
        <v>0</v>
      </c>
      <c r="AC180" s="33"/>
      <c r="AD180" s="13">
        <f t="shared" si="37"/>
        <v>0</v>
      </c>
      <c r="AE180" s="13">
        <f>ROUNDUP(($AB180+$AD180)*VLOOKUP($Z180,Paraméterek!$P$38:$Q$38,2)/12,IF($D$4="Forint",0,2))</f>
        <v>0</v>
      </c>
      <c r="AF180" s="13">
        <f>IF($D$2="Egyszeri",IF($D$7&gt;=IF($D$4="Forint",Paraméterek!$P$223,Paraméterek!$P$224),$D$7-IF($D$4="Forint",Paraméterek!$F$223,Paraméterek!$F$224),0),MIN(IF($AA180=12,AVERAGE($D$20:$D180)*12,0),SUM($D$20:$D$31)))</f>
        <v>0</v>
      </c>
      <c r="AG180" s="13">
        <f>IF(AND($Z180&gt;=10,MOD($Z180,5)=0),$AF180*IF($AA180=12,VLOOKUP($Z180,Paraméterek!$B$225:$F$240,IF($AF180&lt;IF($D$4="Forint",Paraméterek!$C$223,Paraméterek!$C$224),2,IF($AF180&lt;IF($D$4="Forint",Paraméterek!$D$223,Paraméterek!$D$224),3,4))),0),0)</f>
        <v>0</v>
      </c>
      <c r="AH180" s="13">
        <f>IF(AND($Z180&gt;=5,MOD($Z180,5)=0),IF($AA180=12,VLOOKUP($Z180,Paraméterek!$B$225:$F$240,5),0),IF(OR($Z180=3,$Z180=4),IF($AA180=12,VLOOKUP($Z180,Paraméterek!$B$225:$F$240,5,0),0),0))*$AF180</f>
        <v>0</v>
      </c>
      <c r="AI180" s="13">
        <f>ROUNDDOWN(IF(SUM($T$20:$U180)=0,IF($D$2="Egyszeri",$AH180,$AG180),0),IF($D$4="Forint",0,2))</f>
        <v>0</v>
      </c>
      <c r="AJ180" s="13">
        <f t="shared" si="42"/>
        <v>0</v>
      </c>
      <c r="AK180" s="13">
        <f t="shared" si="43"/>
        <v>0</v>
      </c>
      <c r="AM180" s="32">
        <v>161</v>
      </c>
      <c r="AN180" s="32">
        <v>14</v>
      </c>
      <c r="AO180" s="32">
        <v>5</v>
      </c>
      <c r="AP180" s="13"/>
      <c r="AQ180" s="32"/>
      <c r="AR180" s="13">
        <f t="shared" si="44"/>
        <v>0</v>
      </c>
      <c r="AS180" s="33"/>
      <c r="AT180" s="13">
        <f t="shared" si="38"/>
        <v>0</v>
      </c>
      <c r="AU180" s="13">
        <f>ROUNDUP(($AR180+$AT180)*VLOOKUP($AN180,Paraméterek!$P$38:$Q$38,2)/12,IF($D$4="Forint",0,2))</f>
        <v>0</v>
      </c>
      <c r="AV180" s="13"/>
      <c r="AW180" s="13"/>
      <c r="AX180" s="13">
        <f>ROUNDUP(IF(SUM($AV180:$AW180)=0,0,IF(IF(ISBLANK($AW180),$AV180,$AW180)*Paraméterek!$J$112&lt;IF($D$4="Forint",Paraméterek!$J$113,Paraméterek!$K$113),IF($D$4="Forint",Paraméterek!$J$113,Paraméterek!$K$113),IF(IF(ISBLANK($AW180),$AV180,$AW180)*Paraméterek!$J$112&gt;IF($D$4="Forint",Paraméterek!$J$114,Paraméterek!$K$114),IF($D$4="Forint",Paraméterek!$J$114,Paraméterek!$K$114),IF(ISBLANK($AW180),$AV180,$AW180)*Paraméterek!$J$112))),IF($D$4="Forint",0,2))</f>
        <v>0</v>
      </c>
      <c r="AY180" s="13">
        <f>$AR180+$AT180-$AU180-IF(ROUNDDOWN(IF(ISBLANK($AW180),$AV180,$AW180),IF($D$4="Forint",0,2))&gt;$AR180+$AT180-$AU180-IF($D$4="Forint",Paraméterek!$J$114,Paraméterek!$K$114),0,ROUNDDOWN(IF(ISBLANK($AW180),$AV180,$AW180),IF($D$4="Forint",0,2))-$AX180)</f>
        <v>0</v>
      </c>
      <c r="AZ180" s="13">
        <f t="shared" si="39"/>
        <v>0</v>
      </c>
    </row>
    <row r="181" spans="1:52" x14ac:dyDescent="0.2">
      <c r="A181" s="32">
        <v>162</v>
      </c>
      <c r="B181" s="32">
        <v>14</v>
      </c>
      <c r="C181" s="32">
        <v>6</v>
      </c>
      <c r="D181" s="13">
        <f t="shared" si="30"/>
        <v>0</v>
      </c>
      <c r="E181" s="13"/>
      <c r="F181" s="13"/>
      <c r="G181" s="13"/>
      <c r="H181" s="13">
        <f t="shared" si="31"/>
        <v>0</v>
      </c>
      <c r="I181" s="13">
        <f t="shared" si="32"/>
        <v>0</v>
      </c>
      <c r="J181" s="13">
        <f t="shared" si="33"/>
        <v>0</v>
      </c>
      <c r="K181" s="13">
        <f>ROUNDUP(IF($D$2="Egyszeri",$D181,IF($D$2="Havi",SUM($D$20:$D$31),IF(MOD($C181,$M$1)-1=0,SUM($D$20:$D$31),0))/12*$M$1)*VLOOKUP($B181,Paraméterek!$B$27:$D$30,IF($D$2="Egyszeri",3,2)),IF($D$4="Forint",0,2))</f>
        <v>0</v>
      </c>
      <c r="L181" s="13">
        <f t="shared" si="34"/>
        <v>0</v>
      </c>
      <c r="M181" s="13">
        <f t="shared" ca="1" si="40"/>
        <v>-89172</v>
      </c>
      <c r="N181" s="13">
        <f ca="1">IF($V180&gt;=VLOOKUP($M$4-1+$B181,Paraméterek!$B$121:$D$122,IF($D$4="Forint",2,3)),0,VLOOKUP($M$4-1+$B181,Paraméterek!$B$121:$D$122,IF($D$4="Forint",2,3))-$V180)</f>
        <v>99172</v>
      </c>
      <c r="O181" s="13">
        <f ca="1">ROUNDUP($N181*Paraméterek!$C$58/Paraméterek!$C$56,IF($D$4="Forint",0,2))</f>
        <v>16</v>
      </c>
      <c r="P181" s="13">
        <f t="shared" si="35"/>
        <v>808</v>
      </c>
      <c r="Q181" s="33"/>
      <c r="R181" s="13">
        <f t="shared" ca="1" si="36"/>
        <v>0</v>
      </c>
      <c r="S181" s="13">
        <f ca="1">ROUNDUP(($M181-$O181-$P181+$R181)*VLOOKUP($B181,Paraméterek!$B$38:$D$39,IF($D$2="Egyszeri",3,2))/12,IF($D$4="Forint",0,2))</f>
        <v>-244</v>
      </c>
      <c r="T181" s="13"/>
      <c r="U181" s="13"/>
      <c r="V181" s="13">
        <f ca="1">$M181-$O181-$P181+$R181-$S181-IF(ROUNDUP(IF(ISBLANK($U181),$T181,$U181)/IF(AND($B181=1,$D$2&lt;&gt;"Egyszeri"),1,VLOOKUP($B181+IF($C181=12,1,0),Paraméterek!$B$257:$D$267,IF($D$2="Egyszeri",3,2))),IF($D$4="Forint",0,2))&gt;$M181-$O181-$P181+$R181-$S181-IF($D$4="Forint",Paraméterek!$C$216,Paraméterek!$D$216),0,ROUNDUP(IF(ISBLANK($U181),$T181,$U181)/IF(AND($B181=1,$D$2&lt;&gt;"Egyszeri"),1,VLOOKUP($B181+IF($C181=12,1,0),Paraméterek!$B$257:$D$267,IF($D$2="Egyszeri",3,2))),IF($D$4="Forint",0,2)))</f>
        <v>-89752</v>
      </c>
      <c r="W181" s="13">
        <f ca="1">ROUNDDOWN($V181*VLOOKUP($B181+IF($C181=12,1,0),Paraméterek!$B$257:$D$267,IF($D$2="Egyszeri",3,2)),IF($D$4="Forint",0,2))</f>
        <v>-89752</v>
      </c>
      <c r="Y181" s="32">
        <v>162</v>
      </c>
      <c r="Z181" s="32">
        <v>14</v>
      </c>
      <c r="AA181" s="32">
        <v>6</v>
      </c>
      <c r="AB181" s="13">
        <f t="shared" si="41"/>
        <v>0</v>
      </c>
      <c r="AC181" s="33"/>
      <c r="AD181" s="13">
        <f t="shared" si="37"/>
        <v>0</v>
      </c>
      <c r="AE181" s="13">
        <f>ROUNDUP(($AB181+$AD181)*VLOOKUP($Z181,Paraméterek!$P$38:$Q$38,2)/12,IF($D$4="Forint",0,2))</f>
        <v>0</v>
      </c>
      <c r="AF181" s="13">
        <f>IF($D$2="Egyszeri",IF($D$7&gt;=IF($D$4="Forint",Paraméterek!$P$223,Paraméterek!$P$224),$D$7-IF($D$4="Forint",Paraméterek!$F$223,Paraméterek!$F$224),0),MIN(IF($AA181=12,AVERAGE($D$20:$D181)*12,0),SUM($D$20:$D$31)))</f>
        <v>0</v>
      </c>
      <c r="AG181" s="13">
        <f>IF(AND($Z181&gt;=10,MOD($Z181,5)=0),$AF181*IF($AA181=12,VLOOKUP($Z181,Paraméterek!$B$225:$F$240,IF($AF181&lt;IF($D$4="Forint",Paraméterek!$C$223,Paraméterek!$C$224),2,IF($AF181&lt;IF($D$4="Forint",Paraméterek!$D$223,Paraméterek!$D$224),3,4))),0),0)</f>
        <v>0</v>
      </c>
      <c r="AH181" s="13">
        <f>IF(AND($Z181&gt;=5,MOD($Z181,5)=0),IF($AA181=12,VLOOKUP($Z181,Paraméterek!$B$225:$F$240,5),0),IF(OR($Z181=3,$Z181=4),IF($AA181=12,VLOOKUP($Z181,Paraméterek!$B$225:$F$240,5,0),0),0))*$AF181</f>
        <v>0</v>
      </c>
      <c r="AI181" s="13">
        <f>ROUNDDOWN(IF(SUM($T$20:$U181)=0,IF($D$2="Egyszeri",$AH181,$AG181),0),IF($D$4="Forint",0,2))</f>
        <v>0</v>
      </c>
      <c r="AJ181" s="13">
        <f t="shared" si="42"/>
        <v>0</v>
      </c>
      <c r="AK181" s="13">
        <f t="shared" si="43"/>
        <v>0</v>
      </c>
      <c r="AM181" s="32">
        <v>162</v>
      </c>
      <c r="AN181" s="32">
        <v>14</v>
      </c>
      <c r="AO181" s="32">
        <v>6</v>
      </c>
      <c r="AP181" s="13"/>
      <c r="AQ181" s="32"/>
      <c r="AR181" s="13">
        <f t="shared" si="44"/>
        <v>0</v>
      </c>
      <c r="AS181" s="33"/>
      <c r="AT181" s="13">
        <f t="shared" si="38"/>
        <v>0</v>
      </c>
      <c r="AU181" s="13">
        <f>ROUNDUP(($AR181+$AT181)*VLOOKUP($AN181,Paraméterek!$P$38:$Q$38,2)/12,IF($D$4="Forint",0,2))</f>
        <v>0</v>
      </c>
      <c r="AV181" s="13"/>
      <c r="AW181" s="13"/>
      <c r="AX181" s="13">
        <f>ROUNDUP(IF(SUM($AV181:$AW181)=0,0,IF(IF(ISBLANK($AW181),$AV181,$AW181)*Paraméterek!$J$112&lt;IF($D$4="Forint",Paraméterek!$J$113,Paraméterek!$K$113),IF($D$4="Forint",Paraméterek!$J$113,Paraméterek!$K$113),IF(IF(ISBLANK($AW181),$AV181,$AW181)*Paraméterek!$J$112&gt;IF($D$4="Forint",Paraméterek!$J$114,Paraméterek!$K$114),IF($D$4="Forint",Paraméterek!$J$114,Paraméterek!$K$114),IF(ISBLANK($AW181),$AV181,$AW181)*Paraméterek!$J$112))),IF($D$4="Forint",0,2))</f>
        <v>0</v>
      </c>
      <c r="AY181" s="13">
        <f>$AR181+$AT181-$AU181-IF(ROUNDDOWN(IF(ISBLANK($AW181),$AV181,$AW181),IF($D$4="Forint",0,2))&gt;$AR181+$AT181-$AU181-IF($D$4="Forint",Paraméterek!$J$114,Paraméterek!$K$114),0,ROUNDDOWN(IF(ISBLANK($AW181),$AV181,$AW181),IF($D$4="Forint",0,2))-$AX181)</f>
        <v>0</v>
      </c>
      <c r="AZ181" s="13">
        <f t="shared" si="39"/>
        <v>0</v>
      </c>
    </row>
    <row r="182" spans="1:52" x14ac:dyDescent="0.2">
      <c r="A182" s="32">
        <v>163</v>
      </c>
      <c r="B182" s="32">
        <v>14</v>
      </c>
      <c r="C182" s="32">
        <v>7</v>
      </c>
      <c r="D182" s="13">
        <f t="shared" si="30"/>
        <v>0</v>
      </c>
      <c r="E182" s="13"/>
      <c r="F182" s="13"/>
      <c r="G182" s="13"/>
      <c r="H182" s="13">
        <f t="shared" si="31"/>
        <v>0</v>
      </c>
      <c r="I182" s="13">
        <f t="shared" si="32"/>
        <v>0</v>
      </c>
      <c r="J182" s="13">
        <f t="shared" si="33"/>
        <v>0</v>
      </c>
      <c r="K182" s="13">
        <f>ROUNDUP(IF($D$2="Egyszeri",$D182,IF($D$2="Havi",SUM($D$20:$D$31),IF(MOD($C182,$M$1)-1=0,SUM($D$20:$D$31),0))/12*$M$1)*VLOOKUP($B182,Paraméterek!$B$27:$D$30,IF($D$2="Egyszeri",3,2)),IF($D$4="Forint",0,2))</f>
        <v>0</v>
      </c>
      <c r="L182" s="13">
        <f t="shared" si="34"/>
        <v>0</v>
      </c>
      <c r="M182" s="13">
        <f t="shared" ca="1" si="40"/>
        <v>-89752</v>
      </c>
      <c r="N182" s="13">
        <f ca="1">IF($V181&gt;=VLOOKUP($M$4-1+$B182,Paraméterek!$B$121:$D$122,IF($D$4="Forint",2,3)),0,VLOOKUP($M$4-1+$B182,Paraméterek!$B$121:$D$122,IF($D$4="Forint",2,3))-$V181)</f>
        <v>99752</v>
      </c>
      <c r="O182" s="13">
        <f ca="1">ROUNDUP($N182*Paraméterek!$C$58/Paraméterek!$C$56,IF($D$4="Forint",0,2))</f>
        <v>16</v>
      </c>
      <c r="P182" s="13">
        <f t="shared" si="35"/>
        <v>808</v>
      </c>
      <c r="Q182" s="33"/>
      <c r="R182" s="13">
        <f t="shared" ca="1" si="36"/>
        <v>0</v>
      </c>
      <c r="S182" s="13">
        <f ca="1">ROUNDUP(($M182-$O182-$P182+$R182)*VLOOKUP($B182,Paraméterek!$B$38:$D$39,IF($D$2="Egyszeri",3,2))/12,IF($D$4="Forint",0,2))</f>
        <v>-246</v>
      </c>
      <c r="T182" s="13"/>
      <c r="U182" s="13"/>
      <c r="V182" s="13">
        <f ca="1">$M182-$O182-$P182+$R182-$S182-IF(ROUNDUP(IF(ISBLANK($U182),$T182,$U182)/IF(AND($B182=1,$D$2&lt;&gt;"Egyszeri"),1,VLOOKUP($B182+IF($C182=12,1,0),Paraméterek!$B$257:$D$267,IF($D$2="Egyszeri",3,2))),IF($D$4="Forint",0,2))&gt;$M182-$O182-$P182+$R182-$S182-IF($D$4="Forint",Paraméterek!$C$216,Paraméterek!$D$216),0,ROUNDUP(IF(ISBLANK($U182),$T182,$U182)/IF(AND($B182=1,$D$2&lt;&gt;"Egyszeri"),1,VLOOKUP($B182+IF($C182=12,1,0),Paraméterek!$B$257:$D$267,IF($D$2="Egyszeri",3,2))),IF($D$4="Forint",0,2)))</f>
        <v>-90330</v>
      </c>
      <c r="W182" s="13">
        <f ca="1">ROUNDDOWN($V182*VLOOKUP($B182+IF($C182=12,1,0),Paraméterek!$B$257:$D$267,IF($D$2="Egyszeri",3,2)),IF($D$4="Forint",0,2))</f>
        <v>-90330</v>
      </c>
      <c r="Y182" s="32">
        <v>163</v>
      </c>
      <c r="Z182" s="32">
        <v>14</v>
      </c>
      <c r="AA182" s="32">
        <v>7</v>
      </c>
      <c r="AB182" s="13">
        <f t="shared" si="41"/>
        <v>0</v>
      </c>
      <c r="AC182" s="33"/>
      <c r="AD182" s="13">
        <f t="shared" si="37"/>
        <v>0</v>
      </c>
      <c r="AE182" s="13">
        <f>ROUNDUP(($AB182+$AD182)*VLOOKUP($Z182,Paraméterek!$P$38:$Q$38,2)/12,IF($D$4="Forint",0,2))</f>
        <v>0</v>
      </c>
      <c r="AF182" s="13">
        <f>IF($D$2="Egyszeri",IF($D$7&gt;=IF($D$4="Forint",Paraméterek!$P$223,Paraméterek!$P$224),$D$7-IF($D$4="Forint",Paraméterek!$F$223,Paraméterek!$F$224),0),MIN(IF($AA182=12,AVERAGE($D$20:$D182)*12,0),SUM($D$20:$D$31)))</f>
        <v>0</v>
      </c>
      <c r="AG182" s="13">
        <f>IF(AND($Z182&gt;=10,MOD($Z182,5)=0),$AF182*IF($AA182=12,VLOOKUP($Z182,Paraméterek!$B$225:$F$240,IF($AF182&lt;IF($D$4="Forint",Paraméterek!$C$223,Paraméterek!$C$224),2,IF($AF182&lt;IF($D$4="Forint",Paraméterek!$D$223,Paraméterek!$D$224),3,4))),0),0)</f>
        <v>0</v>
      </c>
      <c r="AH182" s="13">
        <f>IF(AND($Z182&gt;=5,MOD($Z182,5)=0),IF($AA182=12,VLOOKUP($Z182,Paraméterek!$B$225:$F$240,5),0),IF(OR($Z182=3,$Z182=4),IF($AA182=12,VLOOKUP($Z182,Paraméterek!$B$225:$F$240,5,0),0),0))*$AF182</f>
        <v>0</v>
      </c>
      <c r="AI182" s="13">
        <f>ROUNDDOWN(IF(SUM($T$20:$U182)=0,IF($D$2="Egyszeri",$AH182,$AG182),0),IF($D$4="Forint",0,2))</f>
        <v>0</v>
      </c>
      <c r="AJ182" s="13">
        <f t="shared" si="42"/>
        <v>0</v>
      </c>
      <c r="AK182" s="13">
        <f t="shared" si="43"/>
        <v>0</v>
      </c>
      <c r="AM182" s="32">
        <v>163</v>
      </c>
      <c r="AN182" s="32">
        <v>14</v>
      </c>
      <c r="AO182" s="32">
        <v>7</v>
      </c>
      <c r="AP182" s="13"/>
      <c r="AQ182" s="32"/>
      <c r="AR182" s="13">
        <f t="shared" si="44"/>
        <v>0</v>
      </c>
      <c r="AS182" s="33"/>
      <c r="AT182" s="13">
        <f t="shared" si="38"/>
        <v>0</v>
      </c>
      <c r="AU182" s="13">
        <f>ROUNDUP(($AR182+$AT182)*VLOOKUP($AN182,Paraméterek!$P$38:$Q$38,2)/12,IF($D$4="Forint",0,2))</f>
        <v>0</v>
      </c>
      <c r="AV182" s="13"/>
      <c r="AW182" s="13"/>
      <c r="AX182" s="13">
        <f>ROUNDUP(IF(SUM($AV182:$AW182)=0,0,IF(IF(ISBLANK($AW182),$AV182,$AW182)*Paraméterek!$J$112&lt;IF($D$4="Forint",Paraméterek!$J$113,Paraméterek!$K$113),IF($D$4="Forint",Paraméterek!$J$113,Paraméterek!$K$113),IF(IF(ISBLANK($AW182),$AV182,$AW182)*Paraméterek!$J$112&gt;IF($D$4="Forint",Paraméterek!$J$114,Paraméterek!$K$114),IF($D$4="Forint",Paraméterek!$J$114,Paraméterek!$K$114),IF(ISBLANK($AW182),$AV182,$AW182)*Paraméterek!$J$112))),IF($D$4="Forint",0,2))</f>
        <v>0</v>
      </c>
      <c r="AY182" s="13">
        <f>$AR182+$AT182-$AU182-IF(ROUNDDOWN(IF(ISBLANK($AW182),$AV182,$AW182),IF($D$4="Forint",0,2))&gt;$AR182+$AT182-$AU182-IF($D$4="Forint",Paraméterek!$J$114,Paraméterek!$K$114),0,ROUNDDOWN(IF(ISBLANK($AW182),$AV182,$AW182),IF($D$4="Forint",0,2))-$AX182)</f>
        <v>0</v>
      </c>
      <c r="AZ182" s="13">
        <f t="shared" si="39"/>
        <v>0</v>
      </c>
    </row>
    <row r="183" spans="1:52" x14ac:dyDescent="0.2">
      <c r="A183" s="32">
        <v>164</v>
      </c>
      <c r="B183" s="32">
        <v>14</v>
      </c>
      <c r="C183" s="32">
        <v>8</v>
      </c>
      <c r="D183" s="13">
        <f t="shared" si="30"/>
        <v>0</v>
      </c>
      <c r="E183" s="13"/>
      <c r="F183" s="13"/>
      <c r="G183" s="13"/>
      <c r="H183" s="13">
        <f t="shared" si="31"/>
        <v>0</v>
      </c>
      <c r="I183" s="13">
        <f t="shared" si="32"/>
        <v>0</v>
      </c>
      <c r="J183" s="13">
        <f t="shared" si="33"/>
        <v>0</v>
      </c>
      <c r="K183" s="13">
        <f>ROUNDUP(IF($D$2="Egyszeri",$D183,IF($D$2="Havi",SUM($D$20:$D$31),IF(MOD($C183,$M$1)-1=0,SUM($D$20:$D$31),0))/12*$M$1)*VLOOKUP($B183,Paraméterek!$B$27:$D$30,IF($D$2="Egyszeri",3,2)),IF($D$4="Forint",0,2))</f>
        <v>0</v>
      </c>
      <c r="L183" s="13">
        <f t="shared" si="34"/>
        <v>0</v>
      </c>
      <c r="M183" s="13">
        <f t="shared" ca="1" si="40"/>
        <v>-90330</v>
      </c>
      <c r="N183" s="13">
        <f ca="1">IF($V182&gt;=VLOOKUP($M$4-1+$B183,Paraméterek!$B$121:$D$122,IF($D$4="Forint",2,3)),0,VLOOKUP($M$4-1+$B183,Paraméterek!$B$121:$D$122,IF($D$4="Forint",2,3))-$V182)</f>
        <v>100330</v>
      </c>
      <c r="O183" s="13">
        <f ca="1">ROUNDUP($N183*Paraméterek!$C$58/Paraméterek!$C$56,IF($D$4="Forint",0,2))</f>
        <v>16</v>
      </c>
      <c r="P183" s="13">
        <f t="shared" si="35"/>
        <v>808</v>
      </c>
      <c r="Q183" s="33"/>
      <c r="R183" s="13">
        <f t="shared" ca="1" si="36"/>
        <v>0</v>
      </c>
      <c r="S183" s="13">
        <f ca="1">ROUNDUP(($M183-$O183-$P183+$R183)*VLOOKUP($B183,Paraméterek!$B$38:$D$39,IF($D$2="Egyszeri",3,2))/12,IF($D$4="Forint",0,2))</f>
        <v>-247</v>
      </c>
      <c r="T183" s="13"/>
      <c r="U183" s="13"/>
      <c r="V183" s="13">
        <f ca="1">$M183-$O183-$P183+$R183-$S183-IF(ROUNDUP(IF(ISBLANK($U183),$T183,$U183)/IF(AND($B183=1,$D$2&lt;&gt;"Egyszeri"),1,VLOOKUP($B183+IF($C183=12,1,0),Paraméterek!$B$257:$D$267,IF($D$2="Egyszeri",3,2))),IF($D$4="Forint",0,2))&gt;$M183-$O183-$P183+$R183-$S183-IF($D$4="Forint",Paraméterek!$C$216,Paraméterek!$D$216),0,ROUNDUP(IF(ISBLANK($U183),$T183,$U183)/IF(AND($B183=1,$D$2&lt;&gt;"Egyszeri"),1,VLOOKUP($B183+IF($C183=12,1,0),Paraméterek!$B$257:$D$267,IF($D$2="Egyszeri",3,2))),IF($D$4="Forint",0,2)))</f>
        <v>-90907</v>
      </c>
      <c r="W183" s="13">
        <f ca="1">ROUNDDOWN($V183*VLOOKUP($B183+IF($C183=12,1,0),Paraméterek!$B$257:$D$267,IF($D$2="Egyszeri",3,2)),IF($D$4="Forint",0,2))</f>
        <v>-90907</v>
      </c>
      <c r="Y183" s="32">
        <v>164</v>
      </c>
      <c r="Z183" s="32">
        <v>14</v>
      </c>
      <c r="AA183" s="32">
        <v>8</v>
      </c>
      <c r="AB183" s="13">
        <f t="shared" si="41"/>
        <v>0</v>
      </c>
      <c r="AC183" s="33"/>
      <c r="AD183" s="13">
        <f t="shared" si="37"/>
        <v>0</v>
      </c>
      <c r="AE183" s="13">
        <f>ROUNDUP(($AB183+$AD183)*VLOOKUP($Z183,Paraméterek!$P$38:$Q$38,2)/12,IF($D$4="Forint",0,2))</f>
        <v>0</v>
      </c>
      <c r="AF183" s="13">
        <f>IF($D$2="Egyszeri",IF($D$7&gt;=IF($D$4="Forint",Paraméterek!$P$223,Paraméterek!$P$224),$D$7-IF($D$4="Forint",Paraméterek!$F$223,Paraméterek!$F$224),0),MIN(IF($AA183=12,AVERAGE($D$20:$D183)*12,0),SUM($D$20:$D$31)))</f>
        <v>0</v>
      </c>
      <c r="AG183" s="13">
        <f>IF(AND($Z183&gt;=10,MOD($Z183,5)=0),$AF183*IF($AA183=12,VLOOKUP($Z183,Paraméterek!$B$225:$F$240,IF($AF183&lt;IF($D$4="Forint",Paraméterek!$C$223,Paraméterek!$C$224),2,IF($AF183&lt;IF($D$4="Forint",Paraméterek!$D$223,Paraméterek!$D$224),3,4))),0),0)</f>
        <v>0</v>
      </c>
      <c r="AH183" s="13">
        <f>IF(AND($Z183&gt;=5,MOD($Z183,5)=0),IF($AA183=12,VLOOKUP($Z183,Paraméterek!$B$225:$F$240,5),0),IF(OR($Z183=3,$Z183=4),IF($AA183=12,VLOOKUP($Z183,Paraméterek!$B$225:$F$240,5,0),0),0))*$AF183</f>
        <v>0</v>
      </c>
      <c r="AI183" s="13">
        <f>ROUNDDOWN(IF(SUM($T$20:$U183)=0,IF($D$2="Egyszeri",$AH183,$AG183),0),IF($D$4="Forint",0,2))</f>
        <v>0</v>
      </c>
      <c r="AJ183" s="13">
        <f t="shared" si="42"/>
        <v>0</v>
      </c>
      <c r="AK183" s="13">
        <f t="shared" si="43"/>
        <v>0</v>
      </c>
      <c r="AM183" s="32">
        <v>164</v>
      </c>
      <c r="AN183" s="32">
        <v>14</v>
      </c>
      <c r="AO183" s="32">
        <v>8</v>
      </c>
      <c r="AP183" s="13"/>
      <c r="AQ183" s="32"/>
      <c r="AR183" s="13">
        <f t="shared" si="44"/>
        <v>0</v>
      </c>
      <c r="AS183" s="33"/>
      <c r="AT183" s="13">
        <f t="shared" si="38"/>
        <v>0</v>
      </c>
      <c r="AU183" s="13">
        <f>ROUNDUP(($AR183+$AT183)*VLOOKUP($AN183,Paraméterek!$P$38:$Q$38,2)/12,IF($D$4="Forint",0,2))</f>
        <v>0</v>
      </c>
      <c r="AV183" s="13"/>
      <c r="AW183" s="13"/>
      <c r="AX183" s="13">
        <f>ROUNDUP(IF(SUM($AV183:$AW183)=0,0,IF(IF(ISBLANK($AW183),$AV183,$AW183)*Paraméterek!$J$112&lt;IF($D$4="Forint",Paraméterek!$J$113,Paraméterek!$K$113),IF($D$4="Forint",Paraméterek!$J$113,Paraméterek!$K$113),IF(IF(ISBLANK($AW183),$AV183,$AW183)*Paraméterek!$J$112&gt;IF($D$4="Forint",Paraméterek!$J$114,Paraméterek!$K$114),IF($D$4="Forint",Paraméterek!$J$114,Paraméterek!$K$114),IF(ISBLANK($AW183),$AV183,$AW183)*Paraméterek!$J$112))),IF($D$4="Forint",0,2))</f>
        <v>0</v>
      </c>
      <c r="AY183" s="13">
        <f>$AR183+$AT183-$AU183-IF(ROUNDDOWN(IF(ISBLANK($AW183),$AV183,$AW183),IF($D$4="Forint",0,2))&gt;$AR183+$AT183-$AU183-IF($D$4="Forint",Paraméterek!$J$114,Paraméterek!$K$114),0,ROUNDDOWN(IF(ISBLANK($AW183),$AV183,$AW183),IF($D$4="Forint",0,2))-$AX183)</f>
        <v>0</v>
      </c>
      <c r="AZ183" s="13">
        <f t="shared" si="39"/>
        <v>0</v>
      </c>
    </row>
    <row r="184" spans="1:52" x14ac:dyDescent="0.2">
      <c r="A184" s="32">
        <v>165</v>
      </c>
      <c r="B184" s="32">
        <v>14</v>
      </c>
      <c r="C184" s="32">
        <v>9</v>
      </c>
      <c r="D184" s="13">
        <f t="shared" si="30"/>
        <v>0</v>
      </c>
      <c r="E184" s="13"/>
      <c r="F184" s="13"/>
      <c r="G184" s="13"/>
      <c r="H184" s="13">
        <f t="shared" si="31"/>
        <v>0</v>
      </c>
      <c r="I184" s="13">
        <f t="shared" si="32"/>
        <v>0</v>
      </c>
      <c r="J184" s="13">
        <f t="shared" si="33"/>
        <v>0</v>
      </c>
      <c r="K184" s="13">
        <f>ROUNDUP(IF($D$2="Egyszeri",$D184,IF($D$2="Havi",SUM($D$20:$D$31),IF(MOD($C184,$M$1)-1=0,SUM($D$20:$D$31),0))/12*$M$1)*VLOOKUP($B184,Paraméterek!$B$27:$D$30,IF($D$2="Egyszeri",3,2)),IF($D$4="Forint",0,2))</f>
        <v>0</v>
      </c>
      <c r="L184" s="13">
        <f t="shared" si="34"/>
        <v>0</v>
      </c>
      <c r="M184" s="13">
        <f t="shared" ca="1" si="40"/>
        <v>-90907</v>
      </c>
      <c r="N184" s="13">
        <f ca="1">IF($V183&gt;=VLOOKUP($M$4-1+$B184,Paraméterek!$B$121:$D$122,IF($D$4="Forint",2,3)),0,VLOOKUP($M$4-1+$B184,Paraméterek!$B$121:$D$122,IF($D$4="Forint",2,3))-$V183)</f>
        <v>100907</v>
      </c>
      <c r="O184" s="13">
        <f ca="1">ROUNDUP($N184*Paraméterek!$C$58/Paraméterek!$C$56,IF($D$4="Forint",0,2))</f>
        <v>17</v>
      </c>
      <c r="P184" s="13">
        <f t="shared" si="35"/>
        <v>808</v>
      </c>
      <c r="Q184" s="33"/>
      <c r="R184" s="13">
        <f t="shared" ca="1" si="36"/>
        <v>0</v>
      </c>
      <c r="S184" s="13">
        <f ca="1">ROUNDUP(($M184-$O184-$P184+$R184)*VLOOKUP($B184,Paraméterek!$B$38:$D$39,IF($D$2="Egyszeri",3,2))/12,IF($D$4="Forint",0,2))</f>
        <v>-249</v>
      </c>
      <c r="T184" s="13"/>
      <c r="U184" s="13"/>
      <c r="V184" s="13">
        <f ca="1">$M184-$O184-$P184+$R184-$S184-IF(ROUNDUP(IF(ISBLANK($U184),$T184,$U184)/IF(AND($B184=1,$D$2&lt;&gt;"Egyszeri"),1,VLOOKUP($B184+IF($C184=12,1,0),Paraméterek!$B$257:$D$267,IF($D$2="Egyszeri",3,2))),IF($D$4="Forint",0,2))&gt;$M184-$O184-$P184+$R184-$S184-IF($D$4="Forint",Paraméterek!$C$216,Paraméterek!$D$216),0,ROUNDUP(IF(ISBLANK($U184),$T184,$U184)/IF(AND($B184=1,$D$2&lt;&gt;"Egyszeri"),1,VLOOKUP($B184+IF($C184=12,1,0),Paraméterek!$B$257:$D$267,IF($D$2="Egyszeri",3,2))),IF($D$4="Forint",0,2)))</f>
        <v>-91483</v>
      </c>
      <c r="W184" s="13">
        <f ca="1">ROUNDDOWN($V184*VLOOKUP($B184+IF($C184=12,1,0),Paraméterek!$B$257:$D$267,IF($D$2="Egyszeri",3,2)),IF($D$4="Forint",0,2))</f>
        <v>-91483</v>
      </c>
      <c r="Y184" s="32">
        <v>165</v>
      </c>
      <c r="Z184" s="32">
        <v>14</v>
      </c>
      <c r="AA184" s="32">
        <v>9</v>
      </c>
      <c r="AB184" s="13">
        <f t="shared" si="41"/>
        <v>0</v>
      </c>
      <c r="AC184" s="33"/>
      <c r="AD184" s="13">
        <f t="shared" si="37"/>
        <v>0</v>
      </c>
      <c r="AE184" s="13">
        <f>ROUNDUP(($AB184+$AD184)*VLOOKUP($Z184,Paraméterek!$P$38:$Q$38,2)/12,IF($D$4="Forint",0,2))</f>
        <v>0</v>
      </c>
      <c r="AF184" s="13">
        <f>IF($D$2="Egyszeri",IF($D$7&gt;=IF($D$4="Forint",Paraméterek!$P$223,Paraméterek!$P$224),$D$7-IF($D$4="Forint",Paraméterek!$F$223,Paraméterek!$F$224),0),MIN(IF($AA184=12,AVERAGE($D$20:$D184)*12,0),SUM($D$20:$D$31)))</f>
        <v>0</v>
      </c>
      <c r="AG184" s="13">
        <f>IF(AND($Z184&gt;=10,MOD($Z184,5)=0),$AF184*IF($AA184=12,VLOOKUP($Z184,Paraméterek!$B$225:$F$240,IF($AF184&lt;IF($D$4="Forint",Paraméterek!$C$223,Paraméterek!$C$224),2,IF($AF184&lt;IF($D$4="Forint",Paraméterek!$D$223,Paraméterek!$D$224),3,4))),0),0)</f>
        <v>0</v>
      </c>
      <c r="AH184" s="13">
        <f>IF(AND($Z184&gt;=5,MOD($Z184,5)=0),IF($AA184=12,VLOOKUP($Z184,Paraméterek!$B$225:$F$240,5),0),IF(OR($Z184=3,$Z184=4),IF($AA184=12,VLOOKUP($Z184,Paraméterek!$B$225:$F$240,5,0),0),0))*$AF184</f>
        <v>0</v>
      </c>
      <c r="AI184" s="13">
        <f>ROUNDDOWN(IF(SUM($T$20:$U184)=0,IF($D$2="Egyszeri",$AH184,$AG184),0),IF($D$4="Forint",0,2))</f>
        <v>0</v>
      </c>
      <c r="AJ184" s="13">
        <f t="shared" si="42"/>
        <v>0</v>
      </c>
      <c r="AK184" s="13">
        <f t="shared" si="43"/>
        <v>0</v>
      </c>
      <c r="AM184" s="32">
        <v>165</v>
      </c>
      <c r="AN184" s="32">
        <v>14</v>
      </c>
      <c r="AO184" s="32">
        <v>9</v>
      </c>
      <c r="AP184" s="13"/>
      <c r="AQ184" s="32"/>
      <c r="AR184" s="13">
        <f t="shared" si="44"/>
        <v>0</v>
      </c>
      <c r="AS184" s="33"/>
      <c r="AT184" s="13">
        <f t="shared" si="38"/>
        <v>0</v>
      </c>
      <c r="AU184" s="13">
        <f>ROUNDUP(($AR184+$AT184)*VLOOKUP($AN184,Paraméterek!$P$38:$Q$38,2)/12,IF($D$4="Forint",0,2))</f>
        <v>0</v>
      </c>
      <c r="AV184" s="13"/>
      <c r="AW184" s="13"/>
      <c r="AX184" s="13">
        <f>ROUNDUP(IF(SUM($AV184:$AW184)=0,0,IF(IF(ISBLANK($AW184),$AV184,$AW184)*Paraméterek!$J$112&lt;IF($D$4="Forint",Paraméterek!$J$113,Paraméterek!$K$113),IF($D$4="Forint",Paraméterek!$J$113,Paraméterek!$K$113),IF(IF(ISBLANK($AW184),$AV184,$AW184)*Paraméterek!$J$112&gt;IF($D$4="Forint",Paraméterek!$J$114,Paraméterek!$K$114),IF($D$4="Forint",Paraméterek!$J$114,Paraméterek!$K$114),IF(ISBLANK($AW184),$AV184,$AW184)*Paraméterek!$J$112))),IF($D$4="Forint",0,2))</f>
        <v>0</v>
      </c>
      <c r="AY184" s="13">
        <f>$AR184+$AT184-$AU184-IF(ROUNDDOWN(IF(ISBLANK($AW184),$AV184,$AW184),IF($D$4="Forint",0,2))&gt;$AR184+$AT184-$AU184-IF($D$4="Forint",Paraméterek!$J$114,Paraméterek!$K$114),0,ROUNDDOWN(IF(ISBLANK($AW184),$AV184,$AW184),IF($D$4="Forint",0,2))-$AX184)</f>
        <v>0</v>
      </c>
      <c r="AZ184" s="13">
        <f t="shared" si="39"/>
        <v>0</v>
      </c>
    </row>
    <row r="185" spans="1:52" x14ac:dyDescent="0.2">
      <c r="A185" s="32">
        <v>166</v>
      </c>
      <c r="B185" s="32">
        <v>14</v>
      </c>
      <c r="C185" s="32">
        <v>10</v>
      </c>
      <c r="D185" s="13">
        <f t="shared" si="30"/>
        <v>0</v>
      </c>
      <c r="E185" s="13"/>
      <c r="F185" s="13"/>
      <c r="G185" s="13"/>
      <c r="H185" s="13">
        <f t="shared" si="31"/>
        <v>0</v>
      </c>
      <c r="I185" s="13">
        <f t="shared" si="32"/>
        <v>0</v>
      </c>
      <c r="J185" s="13">
        <f t="shared" si="33"/>
        <v>0</v>
      </c>
      <c r="K185" s="13">
        <f>ROUNDUP(IF($D$2="Egyszeri",$D185,IF($D$2="Havi",SUM($D$20:$D$31),IF(MOD($C185,$M$1)-1=0,SUM($D$20:$D$31),0))/12*$M$1)*VLOOKUP($B185,Paraméterek!$B$27:$D$30,IF($D$2="Egyszeri",3,2)),IF($D$4="Forint",0,2))</f>
        <v>0</v>
      </c>
      <c r="L185" s="13">
        <f t="shared" si="34"/>
        <v>0</v>
      </c>
      <c r="M185" s="13">
        <f t="shared" ca="1" si="40"/>
        <v>-91483</v>
      </c>
      <c r="N185" s="13">
        <f ca="1">IF($V184&gt;=VLOOKUP($M$4-1+$B185,Paraméterek!$B$121:$D$122,IF($D$4="Forint",2,3)),0,VLOOKUP($M$4-1+$B185,Paraméterek!$B$121:$D$122,IF($D$4="Forint",2,3))-$V184)</f>
        <v>101483</v>
      </c>
      <c r="O185" s="13">
        <f ca="1">ROUNDUP($N185*Paraméterek!$C$58/Paraméterek!$C$56,IF($D$4="Forint",0,2))</f>
        <v>17</v>
      </c>
      <c r="P185" s="13">
        <f t="shared" si="35"/>
        <v>808</v>
      </c>
      <c r="Q185" s="33"/>
      <c r="R185" s="13">
        <f t="shared" ca="1" si="36"/>
        <v>0</v>
      </c>
      <c r="S185" s="13">
        <f ca="1">ROUNDUP(($M185-$O185-$P185+$R185)*VLOOKUP($B185,Paraméterek!$B$38:$D$39,IF($D$2="Egyszeri",3,2))/12,IF($D$4="Forint",0,2))</f>
        <v>-251</v>
      </c>
      <c r="T185" s="13"/>
      <c r="U185" s="13"/>
      <c r="V185" s="13">
        <f ca="1">$M185-$O185-$P185+$R185-$S185-IF(ROUNDUP(IF(ISBLANK($U185),$T185,$U185)/IF(AND($B185=1,$D$2&lt;&gt;"Egyszeri"),1,VLOOKUP($B185+IF($C185=12,1,0),Paraméterek!$B$257:$D$267,IF($D$2="Egyszeri",3,2))),IF($D$4="Forint",0,2))&gt;$M185-$O185-$P185+$R185-$S185-IF($D$4="Forint",Paraméterek!$C$216,Paraméterek!$D$216),0,ROUNDUP(IF(ISBLANK($U185),$T185,$U185)/IF(AND($B185=1,$D$2&lt;&gt;"Egyszeri"),1,VLOOKUP($B185+IF($C185=12,1,0),Paraméterek!$B$257:$D$267,IF($D$2="Egyszeri",3,2))),IF($D$4="Forint",0,2)))</f>
        <v>-92057</v>
      </c>
      <c r="W185" s="13">
        <f ca="1">ROUNDDOWN($V185*VLOOKUP($B185+IF($C185=12,1,0),Paraméterek!$B$257:$D$267,IF($D$2="Egyszeri",3,2)),IF($D$4="Forint",0,2))</f>
        <v>-92057</v>
      </c>
      <c r="Y185" s="32">
        <v>166</v>
      </c>
      <c r="Z185" s="32">
        <v>14</v>
      </c>
      <c r="AA185" s="32">
        <v>10</v>
      </c>
      <c r="AB185" s="13">
        <f t="shared" si="41"/>
        <v>0</v>
      </c>
      <c r="AC185" s="33"/>
      <c r="AD185" s="13">
        <f t="shared" si="37"/>
        <v>0</v>
      </c>
      <c r="AE185" s="13">
        <f>ROUNDUP(($AB185+$AD185)*VLOOKUP($Z185,Paraméterek!$P$38:$Q$38,2)/12,IF($D$4="Forint",0,2))</f>
        <v>0</v>
      </c>
      <c r="AF185" s="13">
        <f>IF($D$2="Egyszeri",IF($D$7&gt;=IF($D$4="Forint",Paraméterek!$P$223,Paraméterek!$P$224),$D$7-IF($D$4="Forint",Paraméterek!$F$223,Paraméterek!$F$224),0),MIN(IF($AA185=12,AVERAGE($D$20:$D185)*12,0),SUM($D$20:$D$31)))</f>
        <v>0</v>
      </c>
      <c r="AG185" s="13">
        <f>IF(AND($Z185&gt;=10,MOD($Z185,5)=0),$AF185*IF($AA185=12,VLOOKUP($Z185,Paraméterek!$B$225:$F$240,IF($AF185&lt;IF($D$4="Forint",Paraméterek!$C$223,Paraméterek!$C$224),2,IF($AF185&lt;IF($D$4="Forint",Paraméterek!$D$223,Paraméterek!$D$224),3,4))),0),0)</f>
        <v>0</v>
      </c>
      <c r="AH185" s="13">
        <f>IF(AND($Z185&gt;=5,MOD($Z185,5)=0),IF($AA185=12,VLOOKUP($Z185,Paraméterek!$B$225:$F$240,5),0),IF(OR($Z185=3,$Z185=4),IF($AA185=12,VLOOKUP($Z185,Paraméterek!$B$225:$F$240,5,0),0),0))*$AF185</f>
        <v>0</v>
      </c>
      <c r="AI185" s="13">
        <f>ROUNDDOWN(IF(SUM($T$20:$U185)=0,IF($D$2="Egyszeri",$AH185,$AG185),0),IF($D$4="Forint",0,2))</f>
        <v>0</v>
      </c>
      <c r="AJ185" s="13">
        <f t="shared" si="42"/>
        <v>0</v>
      </c>
      <c r="AK185" s="13">
        <f t="shared" si="43"/>
        <v>0</v>
      </c>
      <c r="AM185" s="32">
        <v>166</v>
      </c>
      <c r="AN185" s="32">
        <v>14</v>
      </c>
      <c r="AO185" s="32">
        <v>10</v>
      </c>
      <c r="AP185" s="13"/>
      <c r="AQ185" s="32"/>
      <c r="AR185" s="13">
        <f t="shared" si="44"/>
        <v>0</v>
      </c>
      <c r="AS185" s="33"/>
      <c r="AT185" s="13">
        <f t="shared" si="38"/>
        <v>0</v>
      </c>
      <c r="AU185" s="13">
        <f>ROUNDUP(($AR185+$AT185)*VLOOKUP($AN185,Paraméterek!$P$38:$Q$38,2)/12,IF($D$4="Forint",0,2))</f>
        <v>0</v>
      </c>
      <c r="AV185" s="13"/>
      <c r="AW185" s="13"/>
      <c r="AX185" s="13">
        <f>ROUNDUP(IF(SUM($AV185:$AW185)=0,0,IF(IF(ISBLANK($AW185),$AV185,$AW185)*Paraméterek!$J$112&lt;IF($D$4="Forint",Paraméterek!$J$113,Paraméterek!$K$113),IF($D$4="Forint",Paraméterek!$J$113,Paraméterek!$K$113),IF(IF(ISBLANK($AW185),$AV185,$AW185)*Paraméterek!$J$112&gt;IF($D$4="Forint",Paraméterek!$J$114,Paraméterek!$K$114),IF($D$4="Forint",Paraméterek!$J$114,Paraméterek!$K$114),IF(ISBLANK($AW185),$AV185,$AW185)*Paraméterek!$J$112))),IF($D$4="Forint",0,2))</f>
        <v>0</v>
      </c>
      <c r="AY185" s="13">
        <f>$AR185+$AT185-$AU185-IF(ROUNDDOWN(IF(ISBLANK($AW185),$AV185,$AW185),IF($D$4="Forint",0,2))&gt;$AR185+$AT185-$AU185-IF($D$4="Forint",Paraméterek!$J$114,Paraméterek!$K$114),0,ROUNDDOWN(IF(ISBLANK($AW185),$AV185,$AW185),IF($D$4="Forint",0,2))-$AX185)</f>
        <v>0</v>
      </c>
      <c r="AZ185" s="13">
        <f t="shared" si="39"/>
        <v>0</v>
      </c>
    </row>
    <row r="186" spans="1:52" x14ac:dyDescent="0.2">
      <c r="A186" s="32">
        <v>167</v>
      </c>
      <c r="B186" s="32">
        <v>14</v>
      </c>
      <c r="C186" s="32">
        <v>11</v>
      </c>
      <c r="D186" s="13">
        <f t="shared" si="30"/>
        <v>0</v>
      </c>
      <c r="E186" s="13"/>
      <c r="F186" s="13"/>
      <c r="G186" s="13"/>
      <c r="H186" s="13">
        <f t="shared" si="31"/>
        <v>0</v>
      </c>
      <c r="I186" s="13">
        <f t="shared" si="32"/>
        <v>0</v>
      </c>
      <c r="J186" s="13">
        <f t="shared" si="33"/>
        <v>0</v>
      </c>
      <c r="K186" s="13">
        <f>ROUNDUP(IF($D$2="Egyszeri",$D186,IF($D$2="Havi",SUM($D$20:$D$31),IF(MOD($C186,$M$1)-1=0,SUM($D$20:$D$31),0))/12*$M$1)*VLOOKUP($B186,Paraméterek!$B$27:$D$30,IF($D$2="Egyszeri",3,2)),IF($D$4="Forint",0,2))</f>
        <v>0</v>
      </c>
      <c r="L186" s="13">
        <f t="shared" si="34"/>
        <v>0</v>
      </c>
      <c r="M186" s="13">
        <f t="shared" ca="1" si="40"/>
        <v>-92057</v>
      </c>
      <c r="N186" s="13">
        <f ca="1">IF($V185&gt;=VLOOKUP($M$4-1+$B186,Paraméterek!$B$121:$D$122,IF($D$4="Forint",2,3)),0,VLOOKUP($M$4-1+$B186,Paraméterek!$B$121:$D$122,IF($D$4="Forint",2,3))-$V185)</f>
        <v>102057</v>
      </c>
      <c r="O186" s="13">
        <f ca="1">ROUNDUP($N186*Paraméterek!$C$58/Paraméterek!$C$56,IF($D$4="Forint",0,2))</f>
        <v>17</v>
      </c>
      <c r="P186" s="13">
        <f t="shared" si="35"/>
        <v>808</v>
      </c>
      <c r="Q186" s="33"/>
      <c r="R186" s="13">
        <f t="shared" ca="1" si="36"/>
        <v>0</v>
      </c>
      <c r="S186" s="13">
        <f ca="1">ROUNDUP(($M186-$O186-$P186+$R186)*VLOOKUP($B186,Paraméterek!$B$38:$D$39,IF($D$2="Egyszeri",3,2))/12,IF($D$4="Forint",0,2))</f>
        <v>-252</v>
      </c>
      <c r="T186" s="13"/>
      <c r="U186" s="13"/>
      <c r="V186" s="13">
        <f ca="1">$M186-$O186-$P186+$R186-$S186-IF(ROUNDUP(IF(ISBLANK($U186),$T186,$U186)/IF(AND($B186=1,$D$2&lt;&gt;"Egyszeri"),1,VLOOKUP($B186+IF($C186=12,1,0),Paraméterek!$B$257:$D$267,IF($D$2="Egyszeri",3,2))),IF($D$4="Forint",0,2))&gt;$M186-$O186-$P186+$R186-$S186-IF($D$4="Forint",Paraméterek!$C$216,Paraméterek!$D$216),0,ROUNDUP(IF(ISBLANK($U186),$T186,$U186)/IF(AND($B186=1,$D$2&lt;&gt;"Egyszeri"),1,VLOOKUP($B186+IF($C186=12,1,0),Paraméterek!$B$257:$D$267,IF($D$2="Egyszeri",3,2))),IF($D$4="Forint",0,2)))</f>
        <v>-92630</v>
      </c>
      <c r="W186" s="13">
        <f ca="1">ROUNDDOWN($V186*VLOOKUP($B186+IF($C186=12,1,0),Paraméterek!$B$257:$D$267,IF($D$2="Egyszeri",3,2)),IF($D$4="Forint",0,2))</f>
        <v>-92630</v>
      </c>
      <c r="Y186" s="32">
        <v>167</v>
      </c>
      <c r="Z186" s="32">
        <v>14</v>
      </c>
      <c r="AA186" s="32">
        <v>11</v>
      </c>
      <c r="AB186" s="13">
        <f t="shared" si="41"/>
        <v>0</v>
      </c>
      <c r="AC186" s="33"/>
      <c r="AD186" s="13">
        <f t="shared" si="37"/>
        <v>0</v>
      </c>
      <c r="AE186" s="13">
        <f>ROUNDUP(($AB186+$AD186)*VLOOKUP($Z186,Paraméterek!$P$38:$Q$38,2)/12,IF($D$4="Forint",0,2))</f>
        <v>0</v>
      </c>
      <c r="AF186" s="13">
        <f>IF($D$2="Egyszeri",IF($D$7&gt;=IF($D$4="Forint",Paraméterek!$P$223,Paraméterek!$P$224),$D$7-IF($D$4="Forint",Paraméterek!$F$223,Paraméterek!$F$224),0),MIN(IF($AA186=12,AVERAGE($D$20:$D186)*12,0),SUM($D$20:$D$31)))</f>
        <v>0</v>
      </c>
      <c r="AG186" s="13">
        <f>IF(AND($Z186&gt;=10,MOD($Z186,5)=0),$AF186*IF($AA186=12,VLOOKUP($Z186,Paraméterek!$B$225:$F$240,IF($AF186&lt;IF($D$4="Forint",Paraméterek!$C$223,Paraméterek!$C$224),2,IF($AF186&lt;IF($D$4="Forint",Paraméterek!$D$223,Paraméterek!$D$224),3,4))),0),0)</f>
        <v>0</v>
      </c>
      <c r="AH186" s="13">
        <f>IF(AND($Z186&gt;=5,MOD($Z186,5)=0),IF($AA186=12,VLOOKUP($Z186,Paraméterek!$B$225:$F$240,5),0),IF(OR($Z186=3,$Z186=4),IF($AA186=12,VLOOKUP($Z186,Paraméterek!$B$225:$F$240,5,0),0),0))*$AF186</f>
        <v>0</v>
      </c>
      <c r="AI186" s="13">
        <f>ROUNDDOWN(IF(SUM($T$20:$U186)=0,IF($D$2="Egyszeri",$AH186,$AG186),0),IF($D$4="Forint",0,2))</f>
        <v>0</v>
      </c>
      <c r="AJ186" s="13">
        <f t="shared" si="42"/>
        <v>0</v>
      </c>
      <c r="AK186" s="13">
        <f t="shared" si="43"/>
        <v>0</v>
      </c>
      <c r="AM186" s="32">
        <v>167</v>
      </c>
      <c r="AN186" s="32">
        <v>14</v>
      </c>
      <c r="AO186" s="32">
        <v>11</v>
      </c>
      <c r="AP186" s="13"/>
      <c r="AQ186" s="32"/>
      <c r="AR186" s="13">
        <f t="shared" si="44"/>
        <v>0</v>
      </c>
      <c r="AS186" s="33"/>
      <c r="AT186" s="13">
        <f t="shared" si="38"/>
        <v>0</v>
      </c>
      <c r="AU186" s="13">
        <f>ROUNDUP(($AR186+$AT186)*VLOOKUP($AN186,Paraméterek!$P$38:$Q$38,2)/12,IF($D$4="Forint",0,2))</f>
        <v>0</v>
      </c>
      <c r="AV186" s="13"/>
      <c r="AW186" s="13"/>
      <c r="AX186" s="13">
        <f>ROUNDUP(IF(SUM($AV186:$AW186)=0,0,IF(IF(ISBLANK($AW186),$AV186,$AW186)*Paraméterek!$J$112&lt;IF($D$4="Forint",Paraméterek!$J$113,Paraméterek!$K$113),IF($D$4="Forint",Paraméterek!$J$113,Paraméterek!$K$113),IF(IF(ISBLANK($AW186),$AV186,$AW186)*Paraméterek!$J$112&gt;IF($D$4="Forint",Paraméterek!$J$114,Paraméterek!$K$114),IF($D$4="Forint",Paraméterek!$J$114,Paraméterek!$K$114),IF(ISBLANK($AW186),$AV186,$AW186)*Paraméterek!$J$112))),IF($D$4="Forint",0,2))</f>
        <v>0</v>
      </c>
      <c r="AY186" s="13">
        <f>$AR186+$AT186-$AU186-IF(ROUNDDOWN(IF(ISBLANK($AW186),$AV186,$AW186),IF($D$4="Forint",0,2))&gt;$AR186+$AT186-$AU186-IF($D$4="Forint",Paraméterek!$J$114,Paraméterek!$K$114),0,ROUNDDOWN(IF(ISBLANK($AW186),$AV186,$AW186),IF($D$4="Forint",0,2))-$AX186)</f>
        <v>0</v>
      </c>
      <c r="AZ186" s="13">
        <f t="shared" si="39"/>
        <v>0</v>
      </c>
    </row>
    <row r="187" spans="1:52" x14ac:dyDescent="0.2">
      <c r="A187" s="32">
        <v>168</v>
      </c>
      <c r="B187" s="32">
        <v>14</v>
      </c>
      <c r="C187" s="32">
        <v>12</v>
      </c>
      <c r="D187" s="13">
        <f t="shared" si="30"/>
        <v>0</v>
      </c>
      <c r="E187" s="13"/>
      <c r="F187" s="13"/>
      <c r="G187" s="13"/>
      <c r="H187" s="13">
        <f t="shared" si="31"/>
        <v>0</v>
      </c>
      <c r="I187" s="13">
        <f t="shared" si="32"/>
        <v>0</v>
      </c>
      <c r="J187" s="13">
        <f t="shared" si="33"/>
        <v>0</v>
      </c>
      <c r="K187" s="13">
        <f>ROUNDUP(IF($D$2="Egyszeri",$D187,IF($D$2="Havi",SUM($D$20:$D$31),IF(MOD($C187,$M$1)-1=0,SUM($D$20:$D$31),0))/12*$M$1)*VLOOKUP($B187,Paraméterek!$B$27:$D$30,IF($D$2="Egyszeri",3,2)),IF($D$4="Forint",0,2))</f>
        <v>0</v>
      </c>
      <c r="L187" s="13">
        <f t="shared" si="34"/>
        <v>0</v>
      </c>
      <c r="M187" s="13">
        <f t="shared" ca="1" si="40"/>
        <v>-92630</v>
      </c>
      <c r="N187" s="13">
        <f ca="1">IF($V186&gt;=VLOOKUP($M$4-1+$B187,Paraméterek!$B$121:$D$122,IF($D$4="Forint",2,3)),0,VLOOKUP($M$4-1+$B187,Paraméterek!$B$121:$D$122,IF($D$4="Forint",2,3))-$V186)</f>
        <v>102630</v>
      </c>
      <c r="O187" s="13">
        <f ca="1">ROUNDUP($N187*Paraméterek!$C$58/Paraméterek!$C$56,IF($D$4="Forint",0,2))</f>
        <v>17</v>
      </c>
      <c r="P187" s="13">
        <f t="shared" si="35"/>
        <v>808</v>
      </c>
      <c r="Q187" s="33"/>
      <c r="R187" s="13">
        <f t="shared" ca="1" si="36"/>
        <v>0</v>
      </c>
      <c r="S187" s="13">
        <f ca="1">ROUNDUP(($M187-$O187-$P187+$R187)*VLOOKUP($B187,Paraméterek!$B$38:$D$39,IF($D$2="Egyszeri",3,2))/12,IF($D$4="Forint",0,2))</f>
        <v>-254</v>
      </c>
      <c r="T187" s="13">
        <f>Tranzakciók!$F$45</f>
        <v>0</v>
      </c>
      <c r="U187" s="13"/>
      <c r="V187" s="13">
        <f ca="1">$M187-$O187-$P187+$R187-$S187-IF(ROUNDUP(IF(ISBLANK($U187),$T187,$U187)/IF(AND($B187=1,$D$2&lt;&gt;"Egyszeri"),1,VLOOKUP($B187+IF($C187=12,1,0),Paraméterek!$B$257:$D$267,IF($D$2="Egyszeri",3,2))),IF($D$4="Forint",0,2))&gt;$M187-$O187-$P187+$R187-$S187-IF($D$4="Forint",Paraméterek!$C$216,Paraméterek!$D$216),0,ROUNDUP(IF(ISBLANK($U187),$T187,$U187)/IF(AND($B187=1,$D$2&lt;&gt;"Egyszeri"),1,VLOOKUP($B187+IF($C187=12,1,0),Paraméterek!$B$257:$D$267,IF($D$2="Egyszeri",3,2))),IF($D$4="Forint",0,2)))</f>
        <v>-93201</v>
      </c>
      <c r="W187" s="13">
        <f ca="1">ROUNDDOWN($V187*VLOOKUP($B187+IF($C187=12,1,0),Paraméterek!$B$257:$D$267,IF($D$2="Egyszeri",3,2)),IF($D$4="Forint",0,2))</f>
        <v>-93201</v>
      </c>
      <c r="Y187" s="32">
        <v>168</v>
      </c>
      <c r="Z187" s="32">
        <v>14</v>
      </c>
      <c r="AA187" s="32">
        <v>12</v>
      </c>
      <c r="AB187" s="13">
        <f t="shared" si="41"/>
        <v>0</v>
      </c>
      <c r="AC187" s="33"/>
      <c r="AD187" s="13">
        <f t="shared" si="37"/>
        <v>0</v>
      </c>
      <c r="AE187" s="13">
        <f>ROUNDUP(($AB187+$AD187)*VLOOKUP($Z187,Paraméterek!$P$38:$Q$38,2)/12,IF($D$4="Forint",0,2))</f>
        <v>0</v>
      </c>
      <c r="AF187" s="13">
        <f>IF($D$2="Egyszeri",IF($D$7&gt;=IF($D$4="Forint",Paraméterek!$P$223,Paraméterek!$P$224),$D$7-IF($D$4="Forint",Paraméterek!$F$223,Paraméterek!$F$224),0),MIN(IF($AA187=12,AVERAGE($D$20:$D187)*12,0),SUM($D$20:$D$31)))</f>
        <v>0</v>
      </c>
      <c r="AG187" s="13">
        <f>IF(AND($Z187&gt;=10,MOD($Z187,5)=0),$AF187*IF($AA187=12,VLOOKUP($Z187,Paraméterek!$B$225:$F$240,IF($AF187&lt;IF($D$4="Forint",Paraméterek!$C$223,Paraméterek!$C$224),2,IF($AF187&lt;IF($D$4="Forint",Paraméterek!$D$223,Paraméterek!$D$224),3,4))),0),0)</f>
        <v>0</v>
      </c>
      <c r="AH187" s="13">
        <f>IF(AND($Z187&gt;=5,MOD($Z187,5)=0),IF($AA187=12,VLOOKUP($Z187,Paraméterek!$B$225:$F$240,5),0),IF(OR($Z187=3,$Z187=4),IF($AA187=12,VLOOKUP($Z187,Paraméterek!$B$225:$F$240,5,0),0),0))*$AF187</f>
        <v>0</v>
      </c>
      <c r="AI187" s="13">
        <f>ROUNDDOWN(IF(SUM($T$20:$U187)=0,IF($D$2="Egyszeri",$AH187,$AG187),0),IF($D$4="Forint",0,2))</f>
        <v>0</v>
      </c>
      <c r="AJ187" s="13">
        <f t="shared" si="42"/>
        <v>0</v>
      </c>
      <c r="AK187" s="13">
        <f t="shared" si="43"/>
        <v>0</v>
      </c>
      <c r="AM187" s="32">
        <v>168</v>
      </c>
      <c r="AN187" s="32">
        <v>14</v>
      </c>
      <c r="AO187" s="32">
        <v>12</v>
      </c>
      <c r="AP187" s="13"/>
      <c r="AQ187" s="32"/>
      <c r="AR187" s="13">
        <f t="shared" si="44"/>
        <v>0</v>
      </c>
      <c r="AS187" s="33"/>
      <c r="AT187" s="13">
        <f t="shared" si="38"/>
        <v>0</v>
      </c>
      <c r="AU187" s="13">
        <f>ROUNDUP(($AR187+$AT187)*VLOOKUP($AN187,Paraméterek!$P$38:$Q$38,2)/12,IF($D$4="Forint",0,2))</f>
        <v>0</v>
      </c>
      <c r="AV187" s="13">
        <f>Tranzakciók!$M$45</f>
        <v>0</v>
      </c>
      <c r="AW187" s="13"/>
      <c r="AX187" s="13">
        <f>ROUNDUP(IF(SUM($AV187:$AW187)=0,0,IF(IF(ISBLANK($AW187),$AV187,$AW187)*Paraméterek!$J$112&lt;IF($D$4="Forint",Paraméterek!$J$113,Paraméterek!$K$113),IF($D$4="Forint",Paraméterek!$J$113,Paraméterek!$K$113),IF(IF(ISBLANK($AW187),$AV187,$AW187)*Paraméterek!$J$112&gt;IF($D$4="Forint",Paraméterek!$J$114,Paraméterek!$K$114),IF($D$4="Forint",Paraméterek!$J$114,Paraméterek!$K$114),IF(ISBLANK($AW187),$AV187,$AW187)*Paraméterek!$J$112))),IF($D$4="Forint",0,2))</f>
        <v>0</v>
      </c>
      <c r="AY187" s="13">
        <f>$AR187+$AT187-$AU187-IF(ROUNDDOWN(IF(ISBLANK($AW187),$AV187,$AW187),IF($D$4="Forint",0,2))&gt;$AR187+$AT187-$AU187-IF($D$4="Forint",Paraméterek!$J$114,Paraméterek!$K$114),0,ROUNDDOWN(IF(ISBLANK($AW187),$AV187,$AW187),IF($D$4="Forint",0,2))-$AX187)</f>
        <v>0</v>
      </c>
      <c r="AZ187" s="13">
        <f t="shared" si="39"/>
        <v>0</v>
      </c>
    </row>
    <row r="188" spans="1:52" x14ac:dyDescent="0.2">
      <c r="A188" s="32">
        <v>169</v>
      </c>
      <c r="B188" s="32">
        <v>15</v>
      </c>
      <c r="C188" s="32">
        <v>1</v>
      </c>
      <c r="D188" s="13">
        <f t="shared" si="30"/>
        <v>0</v>
      </c>
      <c r="E188" s="13"/>
      <c r="F188" s="13">
        <f>Tranzakciók!$D$46</f>
        <v>0</v>
      </c>
      <c r="G188" s="13"/>
      <c r="H188" s="13">
        <f t="shared" si="31"/>
        <v>0</v>
      </c>
      <c r="I188" s="13">
        <f t="shared" si="32"/>
        <v>152</v>
      </c>
      <c r="J188" s="13">
        <f t="shared" si="33"/>
        <v>152</v>
      </c>
      <c r="K188" s="13">
        <f>ROUNDUP(IF($D$2="Egyszeri",$D188,IF($D$2="Havi",SUM($D$20:$D$31),IF(MOD($C188,$M$1)-1=0,SUM($D$20:$D$31),0))/12*$M$1)*VLOOKUP($B188,Paraméterek!$B$27:$D$30,IF($D$2="Egyszeri",3,2)),IF($D$4="Forint",0,2))</f>
        <v>0</v>
      </c>
      <c r="L188" s="13">
        <f t="shared" si="34"/>
        <v>0</v>
      </c>
      <c r="M188" s="13">
        <f t="shared" ca="1" si="40"/>
        <v>-93201</v>
      </c>
      <c r="N188" s="13">
        <f ca="1">IF($V187&gt;=VLOOKUP($M$4-1+$B188,Paraméterek!$B$121:$D$122,IF($D$4="Forint",2,3)),0,VLOOKUP($M$4-1+$B188,Paraméterek!$B$121:$D$122,IF($D$4="Forint",2,3))-$V187)</f>
        <v>103201</v>
      </c>
      <c r="O188" s="13">
        <f ca="1">ROUNDUP($N188*Paraméterek!$C$58/Paraméterek!$C$56,IF($D$4="Forint",0,2))</f>
        <v>17</v>
      </c>
      <c r="P188" s="13">
        <f t="shared" si="35"/>
        <v>832</v>
      </c>
      <c r="Q188" s="33"/>
      <c r="R188" s="13">
        <f t="shared" ca="1" si="36"/>
        <v>0</v>
      </c>
      <c r="S188" s="13">
        <f ca="1">ROUNDUP(($M188-$O188-$P188+$R188)*VLOOKUP($B188,Paraméterek!$B$38:$D$39,IF($D$2="Egyszeri",3,2))/12,IF($D$4="Forint",0,2))</f>
        <v>-255</v>
      </c>
      <c r="T188" s="13"/>
      <c r="U188" s="13"/>
      <c r="V188" s="13">
        <f ca="1">$M188-$O188-$P188+$R188-$S188-IF(ROUNDUP(IF(ISBLANK($U188),$T188,$U188)/IF(AND($B188=1,$D$2&lt;&gt;"Egyszeri"),1,VLOOKUP($B188+IF($C188=12,1,0),Paraméterek!$B$257:$D$267,IF($D$2="Egyszeri",3,2))),IF($D$4="Forint",0,2))&gt;$M188-$O188-$P188+$R188-$S188-IF($D$4="Forint",Paraméterek!$C$216,Paraméterek!$D$216),0,ROUNDUP(IF(ISBLANK($U188),$T188,$U188)/IF(AND($B188=1,$D$2&lt;&gt;"Egyszeri"),1,VLOOKUP($B188+IF($C188=12,1,0),Paraméterek!$B$257:$D$267,IF($D$2="Egyszeri",3,2))),IF($D$4="Forint",0,2)))</f>
        <v>-93795</v>
      </c>
      <c r="W188" s="13">
        <f ca="1">ROUNDDOWN($V188*VLOOKUP($B188+IF($C188=12,1,0),Paraméterek!$B$257:$D$267,IF($D$2="Egyszeri",3,2)),IF($D$4="Forint",0,2))</f>
        <v>-93795</v>
      </c>
      <c r="Y188" s="32">
        <v>169</v>
      </c>
      <c r="Z188" s="32">
        <v>15</v>
      </c>
      <c r="AA188" s="32">
        <v>1</v>
      </c>
      <c r="AB188" s="13">
        <f t="shared" si="41"/>
        <v>0</v>
      </c>
      <c r="AC188" s="33"/>
      <c r="AD188" s="13">
        <f t="shared" si="37"/>
        <v>0</v>
      </c>
      <c r="AE188" s="13">
        <f>ROUNDUP(($AB188+$AD188)*VLOOKUP($Z188,Paraméterek!$P$38:$Q$38,2)/12,IF($D$4="Forint",0,2))</f>
        <v>0</v>
      </c>
      <c r="AF188" s="13">
        <f>IF($D$2="Egyszeri",IF($D$7&gt;=IF($D$4="Forint",Paraméterek!$P$223,Paraméterek!$P$224),$D$7-IF($D$4="Forint",Paraméterek!$F$223,Paraméterek!$F$224),0),MIN(IF($AA188=12,AVERAGE($D$20:$D188)*12,0),SUM($D$20:$D$31)))</f>
        <v>0</v>
      </c>
      <c r="AG188" s="13">
        <f>IF(AND($Z188&gt;=10,MOD($Z188,5)=0),$AF188*IF($AA188=12,VLOOKUP($Z188,Paraméterek!$B$225:$F$240,IF($AF188&lt;IF($D$4="Forint",Paraméterek!$C$223,Paraméterek!$C$224),2,IF($AF188&lt;IF($D$4="Forint",Paraméterek!$D$223,Paraméterek!$D$224),3,4))),0),0)</f>
        <v>0</v>
      </c>
      <c r="AH188" s="13">
        <f>IF(AND($Z188&gt;=5,MOD($Z188,5)=0),IF($AA188=12,VLOOKUP($Z188,Paraméterek!$B$225:$F$240,5),0),IF(OR($Z188=3,$Z188=4),IF($AA188=12,VLOOKUP($Z188,Paraméterek!$B$225:$F$240,5,0),0),0))*$AF188</f>
        <v>0</v>
      </c>
      <c r="AI188" s="13">
        <f>ROUNDDOWN(IF(SUM($T$20:$U188)=0,IF($D$2="Egyszeri",$AH188,$AG188),0),IF($D$4="Forint",0,2))</f>
        <v>0</v>
      </c>
      <c r="AJ188" s="13">
        <f t="shared" si="42"/>
        <v>0</v>
      </c>
      <c r="AK188" s="13">
        <f t="shared" si="43"/>
        <v>0</v>
      </c>
      <c r="AM188" s="32">
        <v>169</v>
      </c>
      <c r="AN188" s="32">
        <v>15</v>
      </c>
      <c r="AO188" s="32">
        <v>1</v>
      </c>
      <c r="AP188" s="13">
        <f>Tranzakciók!$K$46</f>
        <v>0</v>
      </c>
      <c r="AQ188" s="32"/>
      <c r="AR188" s="13">
        <f t="shared" si="44"/>
        <v>0</v>
      </c>
      <c r="AS188" s="33"/>
      <c r="AT188" s="13">
        <f t="shared" si="38"/>
        <v>0</v>
      </c>
      <c r="AU188" s="13">
        <f>ROUNDUP(($AR188+$AT188)*VLOOKUP($AN188,Paraméterek!$P$38:$Q$38,2)/12,IF($D$4="Forint",0,2))</f>
        <v>0</v>
      </c>
      <c r="AV188" s="13"/>
      <c r="AW188" s="13"/>
      <c r="AX188" s="13">
        <f>ROUNDUP(IF(SUM($AV188:$AW188)=0,0,IF(IF(ISBLANK($AW188),$AV188,$AW188)*Paraméterek!$J$112&lt;IF($D$4="Forint",Paraméterek!$J$113,Paraméterek!$K$113),IF($D$4="Forint",Paraméterek!$J$113,Paraméterek!$K$113),IF(IF(ISBLANK($AW188),$AV188,$AW188)*Paraméterek!$J$112&gt;IF($D$4="Forint",Paraméterek!$J$114,Paraméterek!$K$114),IF($D$4="Forint",Paraméterek!$J$114,Paraméterek!$K$114),IF(ISBLANK($AW188),$AV188,$AW188)*Paraméterek!$J$112))),IF($D$4="Forint",0,2))</f>
        <v>0</v>
      </c>
      <c r="AY188" s="13">
        <f>$AR188+$AT188-$AU188-IF(ROUNDDOWN(IF(ISBLANK($AW188),$AV188,$AW188),IF($D$4="Forint",0,2))&gt;$AR188+$AT188-$AU188-IF($D$4="Forint",Paraméterek!$J$114,Paraméterek!$K$114),0,ROUNDDOWN(IF(ISBLANK($AW188),$AV188,$AW188),IF($D$4="Forint",0,2))-$AX188)</f>
        <v>0</v>
      </c>
      <c r="AZ188" s="13">
        <f t="shared" si="39"/>
        <v>0</v>
      </c>
    </row>
    <row r="189" spans="1:52" x14ac:dyDescent="0.2">
      <c r="A189" s="32">
        <v>170</v>
      </c>
      <c r="B189" s="32">
        <v>15</v>
      </c>
      <c r="C189" s="32">
        <v>2</v>
      </c>
      <c r="D189" s="13">
        <f t="shared" si="30"/>
        <v>0</v>
      </c>
      <c r="E189" s="13"/>
      <c r="F189" s="13"/>
      <c r="G189" s="13"/>
      <c r="H189" s="13">
        <f t="shared" si="31"/>
        <v>0</v>
      </c>
      <c r="I189" s="13">
        <f t="shared" si="32"/>
        <v>0</v>
      </c>
      <c r="J189" s="13">
        <f t="shared" si="33"/>
        <v>0</v>
      </c>
      <c r="K189" s="13">
        <f>ROUNDUP(IF($D$2="Egyszeri",$D189,IF($D$2="Havi",SUM($D$20:$D$31),IF(MOD($C189,$M$1)-1=0,SUM($D$20:$D$31),0))/12*$M$1)*VLOOKUP($B189,Paraméterek!$B$27:$D$30,IF($D$2="Egyszeri",3,2)),IF($D$4="Forint",0,2))</f>
        <v>0</v>
      </c>
      <c r="L189" s="13">
        <f t="shared" si="34"/>
        <v>0</v>
      </c>
      <c r="M189" s="13">
        <f t="shared" ca="1" si="40"/>
        <v>-93795</v>
      </c>
      <c r="N189" s="13">
        <f ca="1">IF($V188&gt;=VLOOKUP($M$4-1+$B189,Paraméterek!$B$121:$D$122,IF($D$4="Forint",2,3)),0,VLOOKUP($M$4-1+$B189,Paraméterek!$B$121:$D$122,IF($D$4="Forint",2,3))-$V188)</f>
        <v>103795</v>
      </c>
      <c r="O189" s="13">
        <f ca="1">ROUNDUP($N189*Paraméterek!$C$58/Paraméterek!$C$56,IF($D$4="Forint",0,2))</f>
        <v>17</v>
      </c>
      <c r="P189" s="13">
        <f t="shared" si="35"/>
        <v>832</v>
      </c>
      <c r="Q189" s="33"/>
      <c r="R189" s="13">
        <f t="shared" ca="1" si="36"/>
        <v>0</v>
      </c>
      <c r="S189" s="13">
        <f ca="1">ROUNDUP(($M189-$O189-$P189+$R189)*VLOOKUP($B189,Paraméterek!$B$38:$D$39,IF($D$2="Egyszeri",3,2))/12,IF($D$4="Forint",0,2))</f>
        <v>-257</v>
      </c>
      <c r="T189" s="13"/>
      <c r="U189" s="13"/>
      <c r="V189" s="13">
        <f ca="1">$M189-$O189-$P189+$R189-$S189-IF(ROUNDUP(IF(ISBLANK($U189),$T189,$U189)/IF(AND($B189=1,$D$2&lt;&gt;"Egyszeri"),1,VLOOKUP($B189+IF($C189=12,1,0),Paraméterek!$B$257:$D$267,IF($D$2="Egyszeri",3,2))),IF($D$4="Forint",0,2))&gt;$M189-$O189-$P189+$R189-$S189-IF($D$4="Forint",Paraméterek!$C$216,Paraméterek!$D$216),0,ROUNDUP(IF(ISBLANK($U189),$T189,$U189)/IF(AND($B189=1,$D$2&lt;&gt;"Egyszeri"),1,VLOOKUP($B189+IF($C189=12,1,0),Paraméterek!$B$257:$D$267,IF($D$2="Egyszeri",3,2))),IF($D$4="Forint",0,2)))</f>
        <v>-94387</v>
      </c>
      <c r="W189" s="13">
        <f ca="1">ROUNDDOWN($V189*VLOOKUP($B189+IF($C189=12,1,0),Paraméterek!$B$257:$D$267,IF($D$2="Egyszeri",3,2)),IF($D$4="Forint",0,2))</f>
        <v>-94387</v>
      </c>
      <c r="Y189" s="32">
        <v>170</v>
      </c>
      <c r="Z189" s="32">
        <v>15</v>
      </c>
      <c r="AA189" s="32">
        <v>2</v>
      </c>
      <c r="AB189" s="13">
        <f t="shared" si="41"/>
        <v>0</v>
      </c>
      <c r="AC189" s="33"/>
      <c r="AD189" s="13">
        <f t="shared" si="37"/>
        <v>0</v>
      </c>
      <c r="AE189" s="13">
        <f>ROUNDUP(($AB189+$AD189)*VLOOKUP($Z189,Paraméterek!$P$38:$Q$38,2)/12,IF($D$4="Forint",0,2))</f>
        <v>0</v>
      </c>
      <c r="AF189" s="13">
        <f>IF($D$2="Egyszeri",IF($D$7&gt;=IF($D$4="Forint",Paraméterek!$P$223,Paraméterek!$P$224),$D$7-IF($D$4="Forint",Paraméterek!$F$223,Paraméterek!$F$224),0),MIN(IF($AA189=12,AVERAGE($D$20:$D189)*12,0),SUM($D$20:$D$31)))</f>
        <v>0</v>
      </c>
      <c r="AG189" s="13">
        <f>IF(AND($Z189&gt;=10,MOD($Z189,5)=0),$AF189*IF($AA189=12,VLOOKUP($Z189,Paraméterek!$B$225:$F$240,IF($AF189&lt;IF($D$4="Forint",Paraméterek!$C$223,Paraméterek!$C$224),2,IF($AF189&lt;IF($D$4="Forint",Paraméterek!$D$223,Paraméterek!$D$224),3,4))),0),0)</f>
        <v>0</v>
      </c>
      <c r="AH189" s="13">
        <f>IF(AND($Z189&gt;=5,MOD($Z189,5)=0),IF($AA189=12,VLOOKUP($Z189,Paraméterek!$B$225:$F$240,5),0),IF(OR($Z189=3,$Z189=4),IF($AA189=12,VLOOKUP($Z189,Paraméterek!$B$225:$F$240,5,0),0),0))*$AF189</f>
        <v>0</v>
      </c>
      <c r="AI189" s="13">
        <f>ROUNDDOWN(IF(SUM($T$20:$U189)=0,IF($D$2="Egyszeri",$AH189,$AG189),0),IF($D$4="Forint",0,2))</f>
        <v>0</v>
      </c>
      <c r="AJ189" s="13">
        <f t="shared" si="42"/>
        <v>0</v>
      </c>
      <c r="AK189" s="13">
        <f t="shared" si="43"/>
        <v>0</v>
      </c>
      <c r="AM189" s="32">
        <v>170</v>
      </c>
      <c r="AN189" s="32">
        <v>15</v>
      </c>
      <c r="AO189" s="32">
        <v>2</v>
      </c>
      <c r="AP189" s="13"/>
      <c r="AQ189" s="32"/>
      <c r="AR189" s="13">
        <f t="shared" si="44"/>
        <v>0</v>
      </c>
      <c r="AS189" s="33"/>
      <c r="AT189" s="13">
        <f t="shared" si="38"/>
        <v>0</v>
      </c>
      <c r="AU189" s="13">
        <f>ROUNDUP(($AR189+$AT189)*VLOOKUP($AN189,Paraméterek!$P$38:$Q$38,2)/12,IF($D$4="Forint",0,2))</f>
        <v>0</v>
      </c>
      <c r="AV189" s="13"/>
      <c r="AW189" s="13"/>
      <c r="AX189" s="13">
        <f>ROUNDUP(IF(SUM($AV189:$AW189)=0,0,IF(IF(ISBLANK($AW189),$AV189,$AW189)*Paraméterek!$J$112&lt;IF($D$4="Forint",Paraméterek!$J$113,Paraméterek!$K$113),IF($D$4="Forint",Paraméterek!$J$113,Paraméterek!$K$113),IF(IF(ISBLANK($AW189),$AV189,$AW189)*Paraméterek!$J$112&gt;IF($D$4="Forint",Paraméterek!$J$114,Paraméterek!$K$114),IF($D$4="Forint",Paraméterek!$J$114,Paraméterek!$K$114),IF(ISBLANK($AW189),$AV189,$AW189)*Paraméterek!$J$112))),IF($D$4="Forint",0,2))</f>
        <v>0</v>
      </c>
      <c r="AY189" s="13">
        <f>$AR189+$AT189-$AU189-IF(ROUNDDOWN(IF(ISBLANK($AW189),$AV189,$AW189),IF($D$4="Forint",0,2))&gt;$AR189+$AT189-$AU189-IF($D$4="Forint",Paraméterek!$J$114,Paraméterek!$K$114),0,ROUNDDOWN(IF(ISBLANK($AW189),$AV189,$AW189),IF($D$4="Forint",0,2))-$AX189)</f>
        <v>0</v>
      </c>
      <c r="AZ189" s="13">
        <f t="shared" si="39"/>
        <v>0</v>
      </c>
    </row>
    <row r="190" spans="1:52" x14ac:dyDescent="0.2">
      <c r="A190" s="32">
        <v>171</v>
      </c>
      <c r="B190" s="32">
        <v>15</v>
      </c>
      <c r="C190" s="32">
        <v>3</v>
      </c>
      <c r="D190" s="13">
        <f t="shared" si="30"/>
        <v>0</v>
      </c>
      <c r="E190" s="13"/>
      <c r="F190" s="13"/>
      <c r="G190" s="13"/>
      <c r="H190" s="13">
        <f t="shared" si="31"/>
        <v>0</v>
      </c>
      <c r="I190" s="13">
        <f t="shared" si="32"/>
        <v>0</v>
      </c>
      <c r="J190" s="13">
        <f t="shared" si="33"/>
        <v>0</v>
      </c>
      <c r="K190" s="13">
        <f>ROUNDUP(IF($D$2="Egyszeri",$D190,IF($D$2="Havi",SUM($D$20:$D$31),IF(MOD($C190,$M$1)-1=0,SUM($D$20:$D$31),0))/12*$M$1)*VLOOKUP($B190,Paraméterek!$B$27:$D$30,IF($D$2="Egyszeri",3,2)),IF($D$4="Forint",0,2))</f>
        <v>0</v>
      </c>
      <c r="L190" s="13">
        <f t="shared" si="34"/>
        <v>0</v>
      </c>
      <c r="M190" s="13">
        <f t="shared" ca="1" si="40"/>
        <v>-94387</v>
      </c>
      <c r="N190" s="13">
        <f ca="1">IF($V189&gt;=VLOOKUP($M$4-1+$B190,Paraméterek!$B$121:$D$122,IF($D$4="Forint",2,3)),0,VLOOKUP($M$4-1+$B190,Paraméterek!$B$121:$D$122,IF($D$4="Forint",2,3))-$V189)</f>
        <v>104387</v>
      </c>
      <c r="O190" s="13">
        <f ca="1">ROUNDUP($N190*Paraméterek!$C$58/Paraméterek!$C$56,IF($D$4="Forint",0,2))</f>
        <v>17</v>
      </c>
      <c r="P190" s="13">
        <f t="shared" si="35"/>
        <v>832</v>
      </c>
      <c r="Q190" s="33"/>
      <c r="R190" s="13">
        <f t="shared" ca="1" si="36"/>
        <v>0</v>
      </c>
      <c r="S190" s="13">
        <f ca="1">ROUNDUP(($M190-$O190-$P190+$R190)*VLOOKUP($B190,Paraméterek!$B$38:$D$39,IF($D$2="Egyszeri",3,2))/12,IF($D$4="Forint",0,2))</f>
        <v>-258</v>
      </c>
      <c r="T190" s="13"/>
      <c r="U190" s="13"/>
      <c r="V190" s="13">
        <f ca="1">$M190-$O190-$P190+$R190-$S190-IF(ROUNDUP(IF(ISBLANK($U190),$T190,$U190)/IF(AND($B190=1,$D$2&lt;&gt;"Egyszeri"),1,VLOOKUP($B190+IF($C190=12,1,0),Paraméterek!$B$257:$D$267,IF($D$2="Egyszeri",3,2))),IF($D$4="Forint",0,2))&gt;$M190-$O190-$P190+$R190-$S190-IF($D$4="Forint",Paraméterek!$C$216,Paraméterek!$D$216),0,ROUNDUP(IF(ISBLANK($U190),$T190,$U190)/IF(AND($B190=1,$D$2&lt;&gt;"Egyszeri"),1,VLOOKUP($B190+IF($C190=12,1,0),Paraméterek!$B$257:$D$267,IF($D$2="Egyszeri",3,2))),IF($D$4="Forint",0,2)))</f>
        <v>-94978</v>
      </c>
      <c r="W190" s="13">
        <f ca="1">ROUNDDOWN($V190*VLOOKUP($B190+IF($C190=12,1,0),Paraméterek!$B$257:$D$267,IF($D$2="Egyszeri",3,2)),IF($D$4="Forint",0,2))</f>
        <v>-94978</v>
      </c>
      <c r="Y190" s="32">
        <v>171</v>
      </c>
      <c r="Z190" s="32">
        <v>15</v>
      </c>
      <c r="AA190" s="32">
        <v>3</v>
      </c>
      <c r="AB190" s="13">
        <f t="shared" si="41"/>
        <v>0</v>
      </c>
      <c r="AC190" s="33"/>
      <c r="AD190" s="13">
        <f t="shared" si="37"/>
        <v>0</v>
      </c>
      <c r="AE190" s="13">
        <f>ROUNDUP(($AB190+$AD190)*VLOOKUP($Z190,Paraméterek!$P$38:$Q$38,2)/12,IF($D$4="Forint",0,2))</f>
        <v>0</v>
      </c>
      <c r="AF190" s="13">
        <f>IF($D$2="Egyszeri",IF($D$7&gt;=IF($D$4="Forint",Paraméterek!$P$223,Paraméterek!$P$224),$D$7-IF($D$4="Forint",Paraméterek!$F$223,Paraméterek!$F$224),0),MIN(IF($AA190=12,AVERAGE($D$20:$D190)*12,0),SUM($D$20:$D$31)))</f>
        <v>0</v>
      </c>
      <c r="AG190" s="13">
        <f>IF(AND($Z190&gt;=10,MOD($Z190,5)=0),$AF190*IF($AA190=12,VLOOKUP($Z190,Paraméterek!$B$225:$F$240,IF($AF190&lt;IF($D$4="Forint",Paraméterek!$C$223,Paraméterek!$C$224),2,IF($AF190&lt;IF($D$4="Forint",Paraméterek!$D$223,Paraméterek!$D$224),3,4))),0),0)</f>
        <v>0</v>
      </c>
      <c r="AH190" s="13">
        <f>IF(AND($Z190&gt;=5,MOD($Z190,5)=0),IF($AA190=12,VLOOKUP($Z190,Paraméterek!$B$225:$F$240,5),0),IF(OR($Z190=3,$Z190=4),IF($AA190=12,VLOOKUP($Z190,Paraméterek!$B$225:$F$240,5,0),0),0))*$AF190</f>
        <v>0</v>
      </c>
      <c r="AI190" s="13">
        <f>ROUNDDOWN(IF(SUM($T$20:$U190)=0,IF($D$2="Egyszeri",$AH190,$AG190),0),IF($D$4="Forint",0,2))</f>
        <v>0</v>
      </c>
      <c r="AJ190" s="13">
        <f t="shared" si="42"/>
        <v>0</v>
      </c>
      <c r="AK190" s="13">
        <f t="shared" si="43"/>
        <v>0</v>
      </c>
      <c r="AM190" s="32">
        <v>171</v>
      </c>
      <c r="AN190" s="32">
        <v>15</v>
      </c>
      <c r="AO190" s="32">
        <v>3</v>
      </c>
      <c r="AP190" s="13"/>
      <c r="AQ190" s="32"/>
      <c r="AR190" s="13">
        <f t="shared" si="44"/>
        <v>0</v>
      </c>
      <c r="AS190" s="33"/>
      <c r="AT190" s="13">
        <f t="shared" si="38"/>
        <v>0</v>
      </c>
      <c r="AU190" s="13">
        <f>ROUNDUP(($AR190+$AT190)*VLOOKUP($AN190,Paraméterek!$P$38:$Q$38,2)/12,IF($D$4="Forint",0,2))</f>
        <v>0</v>
      </c>
      <c r="AV190" s="13"/>
      <c r="AW190" s="13"/>
      <c r="AX190" s="13">
        <f>ROUNDUP(IF(SUM($AV190:$AW190)=0,0,IF(IF(ISBLANK($AW190),$AV190,$AW190)*Paraméterek!$J$112&lt;IF($D$4="Forint",Paraméterek!$J$113,Paraméterek!$K$113),IF($D$4="Forint",Paraméterek!$J$113,Paraméterek!$K$113),IF(IF(ISBLANK($AW190),$AV190,$AW190)*Paraméterek!$J$112&gt;IF($D$4="Forint",Paraméterek!$J$114,Paraméterek!$K$114),IF($D$4="Forint",Paraméterek!$J$114,Paraméterek!$K$114),IF(ISBLANK($AW190),$AV190,$AW190)*Paraméterek!$J$112))),IF($D$4="Forint",0,2))</f>
        <v>0</v>
      </c>
      <c r="AY190" s="13">
        <f>$AR190+$AT190-$AU190-IF(ROUNDDOWN(IF(ISBLANK($AW190),$AV190,$AW190),IF($D$4="Forint",0,2))&gt;$AR190+$AT190-$AU190-IF($D$4="Forint",Paraméterek!$J$114,Paraméterek!$K$114),0,ROUNDDOWN(IF(ISBLANK($AW190),$AV190,$AW190),IF($D$4="Forint",0,2))-$AX190)</f>
        <v>0</v>
      </c>
      <c r="AZ190" s="13">
        <f t="shared" si="39"/>
        <v>0</v>
      </c>
    </row>
    <row r="191" spans="1:52" x14ac:dyDescent="0.2">
      <c r="A191" s="32">
        <v>172</v>
      </c>
      <c r="B191" s="32">
        <v>15</v>
      </c>
      <c r="C191" s="32">
        <v>4</v>
      </c>
      <c r="D191" s="13">
        <f t="shared" si="30"/>
        <v>0</v>
      </c>
      <c r="E191" s="13"/>
      <c r="F191" s="13"/>
      <c r="G191" s="13"/>
      <c r="H191" s="13">
        <f t="shared" si="31"/>
        <v>0</v>
      </c>
      <c r="I191" s="13">
        <f t="shared" si="32"/>
        <v>0</v>
      </c>
      <c r="J191" s="13">
        <f t="shared" si="33"/>
        <v>0</v>
      </c>
      <c r="K191" s="13">
        <f>ROUNDUP(IF($D$2="Egyszeri",$D191,IF($D$2="Havi",SUM($D$20:$D$31),IF(MOD($C191,$M$1)-1=0,SUM($D$20:$D$31),0))/12*$M$1)*VLOOKUP($B191,Paraméterek!$B$27:$D$30,IF($D$2="Egyszeri",3,2)),IF($D$4="Forint",0,2))</f>
        <v>0</v>
      </c>
      <c r="L191" s="13">
        <f t="shared" si="34"/>
        <v>0</v>
      </c>
      <c r="M191" s="13">
        <f t="shared" ca="1" si="40"/>
        <v>-94978</v>
      </c>
      <c r="N191" s="13">
        <f ca="1">IF($V190&gt;=VLOOKUP($M$4-1+$B191,Paraméterek!$B$121:$D$122,IF($D$4="Forint",2,3)),0,VLOOKUP($M$4-1+$B191,Paraméterek!$B$121:$D$122,IF($D$4="Forint",2,3))-$V190)</f>
        <v>104978</v>
      </c>
      <c r="O191" s="13">
        <f ca="1">ROUNDUP($N191*Paraméterek!$C$58/Paraméterek!$C$56,IF($D$4="Forint",0,2))</f>
        <v>17</v>
      </c>
      <c r="P191" s="13">
        <f t="shared" si="35"/>
        <v>832</v>
      </c>
      <c r="Q191" s="33"/>
      <c r="R191" s="13">
        <f t="shared" ca="1" si="36"/>
        <v>0</v>
      </c>
      <c r="S191" s="13">
        <f ca="1">ROUNDUP(($M191-$O191-$P191+$R191)*VLOOKUP($B191,Paraméterek!$B$38:$D$39,IF($D$2="Egyszeri",3,2))/12,IF($D$4="Forint",0,2))</f>
        <v>-260</v>
      </c>
      <c r="T191" s="13"/>
      <c r="U191" s="13"/>
      <c r="V191" s="13">
        <f ca="1">$M191-$O191-$P191+$R191-$S191-IF(ROUNDUP(IF(ISBLANK($U191),$T191,$U191)/IF(AND($B191=1,$D$2&lt;&gt;"Egyszeri"),1,VLOOKUP($B191+IF($C191=12,1,0),Paraméterek!$B$257:$D$267,IF($D$2="Egyszeri",3,2))),IF($D$4="Forint",0,2))&gt;$M191-$O191-$P191+$R191-$S191-IF($D$4="Forint",Paraméterek!$C$216,Paraméterek!$D$216),0,ROUNDUP(IF(ISBLANK($U191),$T191,$U191)/IF(AND($B191=1,$D$2&lt;&gt;"Egyszeri"),1,VLOOKUP($B191+IF($C191=12,1,0),Paraméterek!$B$257:$D$267,IF($D$2="Egyszeri",3,2))),IF($D$4="Forint",0,2)))</f>
        <v>-95567</v>
      </c>
      <c r="W191" s="13">
        <f ca="1">ROUNDDOWN($V191*VLOOKUP($B191+IF($C191=12,1,0),Paraméterek!$B$257:$D$267,IF($D$2="Egyszeri",3,2)),IF($D$4="Forint",0,2))</f>
        <v>-95567</v>
      </c>
      <c r="Y191" s="32">
        <v>172</v>
      </c>
      <c r="Z191" s="32">
        <v>15</v>
      </c>
      <c r="AA191" s="32">
        <v>4</v>
      </c>
      <c r="AB191" s="13">
        <f t="shared" si="41"/>
        <v>0</v>
      </c>
      <c r="AC191" s="33"/>
      <c r="AD191" s="13">
        <f t="shared" si="37"/>
        <v>0</v>
      </c>
      <c r="AE191" s="13">
        <f>ROUNDUP(($AB191+$AD191)*VLOOKUP($Z191,Paraméterek!$P$38:$Q$38,2)/12,IF($D$4="Forint",0,2))</f>
        <v>0</v>
      </c>
      <c r="AF191" s="13">
        <f>IF($D$2="Egyszeri",IF($D$7&gt;=IF($D$4="Forint",Paraméterek!$P$223,Paraméterek!$P$224),$D$7-IF($D$4="Forint",Paraméterek!$F$223,Paraméterek!$F$224),0),MIN(IF($AA191=12,AVERAGE($D$20:$D191)*12,0),SUM($D$20:$D$31)))</f>
        <v>0</v>
      </c>
      <c r="AG191" s="13">
        <f>IF(AND($Z191&gt;=10,MOD($Z191,5)=0),$AF191*IF($AA191=12,VLOOKUP($Z191,Paraméterek!$B$225:$F$240,IF($AF191&lt;IF($D$4="Forint",Paraméterek!$C$223,Paraméterek!$C$224),2,IF($AF191&lt;IF($D$4="Forint",Paraméterek!$D$223,Paraméterek!$D$224),3,4))),0),0)</f>
        <v>0</v>
      </c>
      <c r="AH191" s="13">
        <f>IF(AND($Z191&gt;=5,MOD($Z191,5)=0),IF($AA191=12,VLOOKUP($Z191,Paraméterek!$B$225:$F$240,5),0),IF(OR($Z191=3,$Z191=4),IF($AA191=12,VLOOKUP($Z191,Paraméterek!$B$225:$F$240,5,0),0),0))*$AF191</f>
        <v>0</v>
      </c>
      <c r="AI191" s="13">
        <f>ROUNDDOWN(IF(SUM($T$20:$U191)=0,IF($D$2="Egyszeri",$AH191,$AG191),0),IF($D$4="Forint",0,2))</f>
        <v>0</v>
      </c>
      <c r="AJ191" s="13">
        <f t="shared" si="42"/>
        <v>0</v>
      </c>
      <c r="AK191" s="13">
        <f t="shared" si="43"/>
        <v>0</v>
      </c>
      <c r="AM191" s="32">
        <v>172</v>
      </c>
      <c r="AN191" s="32">
        <v>15</v>
      </c>
      <c r="AO191" s="32">
        <v>4</v>
      </c>
      <c r="AP191" s="13"/>
      <c r="AQ191" s="32"/>
      <c r="AR191" s="13">
        <f t="shared" si="44"/>
        <v>0</v>
      </c>
      <c r="AS191" s="33"/>
      <c r="AT191" s="13">
        <f t="shared" si="38"/>
        <v>0</v>
      </c>
      <c r="AU191" s="13">
        <f>ROUNDUP(($AR191+$AT191)*VLOOKUP($AN191,Paraméterek!$P$38:$Q$38,2)/12,IF($D$4="Forint",0,2))</f>
        <v>0</v>
      </c>
      <c r="AV191" s="13"/>
      <c r="AW191" s="13"/>
      <c r="AX191" s="13">
        <f>ROUNDUP(IF(SUM($AV191:$AW191)=0,0,IF(IF(ISBLANK($AW191),$AV191,$AW191)*Paraméterek!$J$112&lt;IF($D$4="Forint",Paraméterek!$J$113,Paraméterek!$K$113),IF($D$4="Forint",Paraméterek!$J$113,Paraméterek!$K$113),IF(IF(ISBLANK($AW191),$AV191,$AW191)*Paraméterek!$J$112&gt;IF($D$4="Forint",Paraméterek!$J$114,Paraméterek!$K$114),IF($D$4="Forint",Paraméterek!$J$114,Paraméterek!$K$114),IF(ISBLANK($AW191),$AV191,$AW191)*Paraméterek!$J$112))),IF($D$4="Forint",0,2))</f>
        <v>0</v>
      </c>
      <c r="AY191" s="13">
        <f>$AR191+$AT191-$AU191-IF(ROUNDDOWN(IF(ISBLANK($AW191),$AV191,$AW191),IF($D$4="Forint",0,2))&gt;$AR191+$AT191-$AU191-IF($D$4="Forint",Paraméterek!$J$114,Paraméterek!$K$114),0,ROUNDDOWN(IF(ISBLANK($AW191),$AV191,$AW191),IF($D$4="Forint",0,2))-$AX191)</f>
        <v>0</v>
      </c>
      <c r="AZ191" s="13">
        <f t="shared" si="39"/>
        <v>0</v>
      </c>
    </row>
    <row r="192" spans="1:52" x14ac:dyDescent="0.2">
      <c r="A192" s="32">
        <v>173</v>
      </c>
      <c r="B192" s="32">
        <v>15</v>
      </c>
      <c r="C192" s="32">
        <v>5</v>
      </c>
      <c r="D192" s="13">
        <f t="shared" si="30"/>
        <v>0</v>
      </c>
      <c r="E192" s="13"/>
      <c r="F192" s="13"/>
      <c r="G192" s="13"/>
      <c r="H192" s="13">
        <f t="shared" si="31"/>
        <v>0</v>
      </c>
      <c r="I192" s="13">
        <f t="shared" si="32"/>
        <v>0</v>
      </c>
      <c r="J192" s="13">
        <f t="shared" si="33"/>
        <v>0</v>
      </c>
      <c r="K192" s="13">
        <f>ROUNDUP(IF($D$2="Egyszeri",$D192,IF($D$2="Havi",SUM($D$20:$D$31),IF(MOD($C192,$M$1)-1=0,SUM($D$20:$D$31),0))/12*$M$1)*VLOOKUP($B192,Paraméterek!$B$27:$D$30,IF($D$2="Egyszeri",3,2)),IF($D$4="Forint",0,2))</f>
        <v>0</v>
      </c>
      <c r="L192" s="13">
        <f t="shared" si="34"/>
        <v>0</v>
      </c>
      <c r="M192" s="13">
        <f t="shared" ca="1" si="40"/>
        <v>-95567</v>
      </c>
      <c r="N192" s="13">
        <f ca="1">IF($V191&gt;=VLOOKUP($M$4-1+$B192,Paraméterek!$B$121:$D$122,IF($D$4="Forint",2,3)),0,VLOOKUP($M$4-1+$B192,Paraméterek!$B$121:$D$122,IF($D$4="Forint",2,3))-$V191)</f>
        <v>105567</v>
      </c>
      <c r="O192" s="13">
        <f ca="1">ROUNDUP($N192*Paraméterek!$C$58/Paraméterek!$C$56,IF($D$4="Forint",0,2))</f>
        <v>17</v>
      </c>
      <c r="P192" s="13">
        <f t="shared" si="35"/>
        <v>832</v>
      </c>
      <c r="Q192" s="33"/>
      <c r="R192" s="13">
        <f t="shared" ca="1" si="36"/>
        <v>0</v>
      </c>
      <c r="S192" s="13">
        <f ca="1">ROUNDUP(($M192-$O192-$P192+$R192)*VLOOKUP($B192,Paraméterek!$B$38:$D$39,IF($D$2="Egyszeri",3,2))/12,IF($D$4="Forint",0,2))</f>
        <v>-262</v>
      </c>
      <c r="T192" s="13"/>
      <c r="U192" s="13"/>
      <c r="V192" s="13">
        <f ca="1">$M192-$O192-$P192+$R192-$S192-IF(ROUNDUP(IF(ISBLANK($U192),$T192,$U192)/IF(AND($B192=1,$D$2&lt;&gt;"Egyszeri"),1,VLOOKUP($B192+IF($C192=12,1,0),Paraméterek!$B$257:$D$267,IF($D$2="Egyszeri",3,2))),IF($D$4="Forint",0,2))&gt;$M192-$O192-$P192+$R192-$S192-IF($D$4="Forint",Paraméterek!$C$216,Paraméterek!$D$216),0,ROUNDUP(IF(ISBLANK($U192),$T192,$U192)/IF(AND($B192=1,$D$2&lt;&gt;"Egyszeri"),1,VLOOKUP($B192+IF($C192=12,1,0),Paraméterek!$B$257:$D$267,IF($D$2="Egyszeri",3,2))),IF($D$4="Forint",0,2)))</f>
        <v>-96154</v>
      </c>
      <c r="W192" s="13">
        <f ca="1">ROUNDDOWN($V192*VLOOKUP($B192+IF($C192=12,1,0),Paraméterek!$B$257:$D$267,IF($D$2="Egyszeri",3,2)),IF($D$4="Forint",0,2))</f>
        <v>-96154</v>
      </c>
      <c r="Y192" s="32">
        <v>173</v>
      </c>
      <c r="Z192" s="32">
        <v>15</v>
      </c>
      <c r="AA192" s="32">
        <v>5</v>
      </c>
      <c r="AB192" s="13">
        <f t="shared" si="41"/>
        <v>0</v>
      </c>
      <c r="AC192" s="33"/>
      <c r="AD192" s="13">
        <f t="shared" si="37"/>
        <v>0</v>
      </c>
      <c r="AE192" s="13">
        <f>ROUNDUP(($AB192+$AD192)*VLOOKUP($Z192,Paraméterek!$P$38:$Q$38,2)/12,IF($D$4="Forint",0,2))</f>
        <v>0</v>
      </c>
      <c r="AF192" s="13">
        <f>IF($D$2="Egyszeri",IF($D$7&gt;=IF($D$4="Forint",Paraméterek!$P$223,Paraméterek!$P$224),$D$7-IF($D$4="Forint",Paraméterek!$F$223,Paraméterek!$F$224),0),MIN(IF($AA192=12,AVERAGE($D$20:$D192)*12,0),SUM($D$20:$D$31)))</f>
        <v>0</v>
      </c>
      <c r="AG192" s="13">
        <f>IF(AND($Z192&gt;=10,MOD($Z192,5)=0),$AF192*IF($AA192=12,VLOOKUP($Z192,Paraméterek!$B$225:$F$240,IF($AF192&lt;IF($D$4="Forint",Paraméterek!$C$223,Paraméterek!$C$224),2,IF($AF192&lt;IF($D$4="Forint",Paraméterek!$D$223,Paraméterek!$D$224),3,4))),0),0)</f>
        <v>0</v>
      </c>
      <c r="AH192" s="13">
        <f>IF(AND($Z192&gt;=5,MOD($Z192,5)=0),IF($AA192=12,VLOOKUP($Z192,Paraméterek!$B$225:$F$240,5),0),IF(OR($Z192=3,$Z192=4),IF($AA192=12,VLOOKUP($Z192,Paraméterek!$B$225:$F$240,5,0),0),0))*$AF192</f>
        <v>0</v>
      </c>
      <c r="AI192" s="13">
        <f>ROUNDDOWN(IF(SUM($T$20:$U192)=0,IF($D$2="Egyszeri",$AH192,$AG192),0),IF($D$4="Forint",0,2))</f>
        <v>0</v>
      </c>
      <c r="AJ192" s="13">
        <f t="shared" si="42"/>
        <v>0</v>
      </c>
      <c r="AK192" s="13">
        <f t="shared" si="43"/>
        <v>0</v>
      </c>
      <c r="AM192" s="32">
        <v>173</v>
      </c>
      <c r="AN192" s="32">
        <v>15</v>
      </c>
      <c r="AO192" s="32">
        <v>5</v>
      </c>
      <c r="AP192" s="13"/>
      <c r="AQ192" s="32"/>
      <c r="AR192" s="13">
        <f t="shared" si="44"/>
        <v>0</v>
      </c>
      <c r="AS192" s="33"/>
      <c r="AT192" s="13">
        <f t="shared" si="38"/>
        <v>0</v>
      </c>
      <c r="AU192" s="13">
        <f>ROUNDUP(($AR192+$AT192)*VLOOKUP($AN192,Paraméterek!$P$38:$Q$38,2)/12,IF($D$4="Forint",0,2))</f>
        <v>0</v>
      </c>
      <c r="AV192" s="13"/>
      <c r="AW192" s="13"/>
      <c r="AX192" s="13">
        <f>ROUNDUP(IF(SUM($AV192:$AW192)=0,0,IF(IF(ISBLANK($AW192),$AV192,$AW192)*Paraméterek!$J$112&lt;IF($D$4="Forint",Paraméterek!$J$113,Paraméterek!$K$113),IF($D$4="Forint",Paraméterek!$J$113,Paraméterek!$K$113),IF(IF(ISBLANK($AW192),$AV192,$AW192)*Paraméterek!$J$112&gt;IF($D$4="Forint",Paraméterek!$J$114,Paraméterek!$K$114),IF($D$4="Forint",Paraméterek!$J$114,Paraméterek!$K$114),IF(ISBLANK($AW192),$AV192,$AW192)*Paraméterek!$J$112))),IF($D$4="Forint",0,2))</f>
        <v>0</v>
      </c>
      <c r="AY192" s="13">
        <f>$AR192+$AT192-$AU192-IF(ROUNDDOWN(IF(ISBLANK($AW192),$AV192,$AW192),IF($D$4="Forint",0,2))&gt;$AR192+$AT192-$AU192-IF($D$4="Forint",Paraméterek!$J$114,Paraméterek!$K$114),0,ROUNDDOWN(IF(ISBLANK($AW192),$AV192,$AW192),IF($D$4="Forint",0,2))-$AX192)</f>
        <v>0</v>
      </c>
      <c r="AZ192" s="13">
        <f t="shared" si="39"/>
        <v>0</v>
      </c>
    </row>
    <row r="193" spans="1:52" x14ac:dyDescent="0.2">
      <c r="A193" s="32">
        <v>174</v>
      </c>
      <c r="B193" s="32">
        <v>15</v>
      </c>
      <c r="C193" s="32">
        <v>6</v>
      </c>
      <c r="D193" s="13">
        <f t="shared" si="30"/>
        <v>0</v>
      </c>
      <c r="E193" s="13"/>
      <c r="F193" s="13"/>
      <c r="G193" s="13"/>
      <c r="H193" s="13">
        <f t="shared" si="31"/>
        <v>0</v>
      </c>
      <c r="I193" s="13">
        <f t="shared" si="32"/>
        <v>0</v>
      </c>
      <c r="J193" s="13">
        <f t="shared" si="33"/>
        <v>0</v>
      </c>
      <c r="K193" s="13">
        <f>ROUNDUP(IF($D$2="Egyszeri",$D193,IF($D$2="Havi",SUM($D$20:$D$31),IF(MOD($C193,$M$1)-1=0,SUM($D$20:$D$31),0))/12*$M$1)*VLOOKUP($B193,Paraméterek!$B$27:$D$30,IF($D$2="Egyszeri",3,2)),IF($D$4="Forint",0,2))</f>
        <v>0</v>
      </c>
      <c r="L193" s="13">
        <f t="shared" si="34"/>
        <v>0</v>
      </c>
      <c r="M193" s="13">
        <f t="shared" ca="1" si="40"/>
        <v>-96154</v>
      </c>
      <c r="N193" s="13">
        <f ca="1">IF($V192&gt;=VLOOKUP($M$4-1+$B193,Paraméterek!$B$121:$D$122,IF($D$4="Forint",2,3)),0,VLOOKUP($M$4-1+$B193,Paraméterek!$B$121:$D$122,IF($D$4="Forint",2,3))-$V192)</f>
        <v>106154</v>
      </c>
      <c r="O193" s="13">
        <f ca="1">ROUNDUP($N193*Paraméterek!$C$58/Paraméterek!$C$56,IF($D$4="Forint",0,2))</f>
        <v>17</v>
      </c>
      <c r="P193" s="13">
        <f t="shared" si="35"/>
        <v>832</v>
      </c>
      <c r="Q193" s="33"/>
      <c r="R193" s="13">
        <f t="shared" ca="1" si="36"/>
        <v>0</v>
      </c>
      <c r="S193" s="13">
        <f ca="1">ROUNDUP(($M193-$O193-$P193+$R193)*VLOOKUP($B193,Paraméterek!$B$38:$D$39,IF($D$2="Egyszeri",3,2))/12,IF($D$4="Forint",0,2))</f>
        <v>-263</v>
      </c>
      <c r="T193" s="13"/>
      <c r="U193" s="13"/>
      <c r="V193" s="13">
        <f ca="1">$M193-$O193-$P193+$R193-$S193-IF(ROUNDUP(IF(ISBLANK($U193),$T193,$U193)/IF(AND($B193=1,$D$2&lt;&gt;"Egyszeri"),1,VLOOKUP($B193+IF($C193=12,1,0),Paraméterek!$B$257:$D$267,IF($D$2="Egyszeri",3,2))),IF($D$4="Forint",0,2))&gt;$M193-$O193-$P193+$R193-$S193-IF($D$4="Forint",Paraméterek!$C$216,Paraméterek!$D$216),0,ROUNDUP(IF(ISBLANK($U193),$T193,$U193)/IF(AND($B193=1,$D$2&lt;&gt;"Egyszeri"),1,VLOOKUP($B193+IF($C193=12,1,0),Paraméterek!$B$257:$D$267,IF($D$2="Egyszeri",3,2))),IF($D$4="Forint",0,2)))</f>
        <v>-96740</v>
      </c>
      <c r="W193" s="13">
        <f ca="1">ROUNDDOWN($V193*VLOOKUP($B193+IF($C193=12,1,0),Paraméterek!$B$257:$D$267,IF($D$2="Egyszeri",3,2)),IF($D$4="Forint",0,2))</f>
        <v>-96740</v>
      </c>
      <c r="Y193" s="32">
        <v>174</v>
      </c>
      <c r="Z193" s="32">
        <v>15</v>
      </c>
      <c r="AA193" s="32">
        <v>6</v>
      </c>
      <c r="AB193" s="13">
        <f t="shared" si="41"/>
        <v>0</v>
      </c>
      <c r="AC193" s="33"/>
      <c r="AD193" s="13">
        <f t="shared" si="37"/>
        <v>0</v>
      </c>
      <c r="AE193" s="13">
        <f>ROUNDUP(($AB193+$AD193)*VLOOKUP($Z193,Paraméterek!$P$38:$Q$38,2)/12,IF($D$4="Forint",0,2))</f>
        <v>0</v>
      </c>
      <c r="AF193" s="13">
        <f>IF($D$2="Egyszeri",IF($D$7&gt;=IF($D$4="Forint",Paraméterek!$P$223,Paraméterek!$P$224),$D$7-IF($D$4="Forint",Paraméterek!$F$223,Paraméterek!$F$224),0),MIN(IF($AA193=12,AVERAGE($D$20:$D193)*12,0),SUM($D$20:$D$31)))</f>
        <v>0</v>
      </c>
      <c r="AG193" s="13">
        <f>IF(AND($Z193&gt;=10,MOD($Z193,5)=0),$AF193*IF($AA193=12,VLOOKUP($Z193,Paraméterek!$B$225:$F$240,IF($AF193&lt;IF($D$4="Forint",Paraméterek!$C$223,Paraméterek!$C$224),2,IF($AF193&lt;IF($D$4="Forint",Paraméterek!$D$223,Paraméterek!$D$224),3,4))),0),0)</f>
        <v>0</v>
      </c>
      <c r="AH193" s="13">
        <f>IF(AND($Z193&gt;=5,MOD($Z193,5)=0),IF($AA193=12,VLOOKUP($Z193,Paraméterek!$B$225:$F$240,5),0),IF(OR($Z193=3,$Z193=4),IF($AA193=12,VLOOKUP($Z193,Paraméterek!$B$225:$F$240,5,0),0),0))*$AF193</f>
        <v>0</v>
      </c>
      <c r="AI193" s="13">
        <f>ROUNDDOWN(IF(SUM($T$20:$U193)=0,IF($D$2="Egyszeri",$AH193,$AG193),0),IF($D$4="Forint",0,2))</f>
        <v>0</v>
      </c>
      <c r="AJ193" s="13">
        <f t="shared" si="42"/>
        <v>0</v>
      </c>
      <c r="AK193" s="13">
        <f t="shared" si="43"/>
        <v>0</v>
      </c>
      <c r="AM193" s="32">
        <v>174</v>
      </c>
      <c r="AN193" s="32">
        <v>15</v>
      </c>
      <c r="AO193" s="32">
        <v>6</v>
      </c>
      <c r="AP193" s="13"/>
      <c r="AQ193" s="32"/>
      <c r="AR193" s="13">
        <f t="shared" si="44"/>
        <v>0</v>
      </c>
      <c r="AS193" s="33"/>
      <c r="AT193" s="13">
        <f t="shared" si="38"/>
        <v>0</v>
      </c>
      <c r="AU193" s="13">
        <f>ROUNDUP(($AR193+$AT193)*VLOOKUP($AN193,Paraméterek!$P$38:$Q$38,2)/12,IF($D$4="Forint",0,2))</f>
        <v>0</v>
      </c>
      <c r="AV193" s="13"/>
      <c r="AW193" s="13"/>
      <c r="AX193" s="13">
        <f>ROUNDUP(IF(SUM($AV193:$AW193)=0,0,IF(IF(ISBLANK($AW193),$AV193,$AW193)*Paraméterek!$J$112&lt;IF($D$4="Forint",Paraméterek!$J$113,Paraméterek!$K$113),IF($D$4="Forint",Paraméterek!$J$113,Paraméterek!$K$113),IF(IF(ISBLANK($AW193),$AV193,$AW193)*Paraméterek!$J$112&gt;IF($D$4="Forint",Paraméterek!$J$114,Paraméterek!$K$114),IF($D$4="Forint",Paraméterek!$J$114,Paraméterek!$K$114),IF(ISBLANK($AW193),$AV193,$AW193)*Paraméterek!$J$112))),IF($D$4="Forint",0,2))</f>
        <v>0</v>
      </c>
      <c r="AY193" s="13">
        <f>$AR193+$AT193-$AU193-IF(ROUNDDOWN(IF(ISBLANK($AW193),$AV193,$AW193),IF($D$4="Forint",0,2))&gt;$AR193+$AT193-$AU193-IF($D$4="Forint",Paraméterek!$J$114,Paraméterek!$K$114),0,ROUNDDOWN(IF(ISBLANK($AW193),$AV193,$AW193),IF($D$4="Forint",0,2))-$AX193)</f>
        <v>0</v>
      </c>
      <c r="AZ193" s="13">
        <f t="shared" si="39"/>
        <v>0</v>
      </c>
    </row>
    <row r="194" spans="1:52" x14ac:dyDescent="0.2">
      <c r="A194" s="32">
        <v>175</v>
      </c>
      <c r="B194" s="32">
        <v>15</v>
      </c>
      <c r="C194" s="32">
        <v>7</v>
      </c>
      <c r="D194" s="13">
        <f t="shared" si="30"/>
        <v>0</v>
      </c>
      <c r="E194" s="13"/>
      <c r="F194" s="13"/>
      <c r="G194" s="13"/>
      <c r="H194" s="13">
        <f t="shared" si="31"/>
        <v>0</v>
      </c>
      <c r="I194" s="13">
        <f t="shared" si="32"/>
        <v>0</v>
      </c>
      <c r="J194" s="13">
        <f t="shared" si="33"/>
        <v>0</v>
      </c>
      <c r="K194" s="13">
        <f>ROUNDUP(IF($D$2="Egyszeri",$D194,IF($D$2="Havi",SUM($D$20:$D$31),IF(MOD($C194,$M$1)-1=0,SUM($D$20:$D$31),0))/12*$M$1)*VLOOKUP($B194,Paraméterek!$B$27:$D$30,IF($D$2="Egyszeri",3,2)),IF($D$4="Forint",0,2))</f>
        <v>0</v>
      </c>
      <c r="L194" s="13">
        <f t="shared" si="34"/>
        <v>0</v>
      </c>
      <c r="M194" s="13">
        <f t="shared" ca="1" si="40"/>
        <v>-96740</v>
      </c>
      <c r="N194" s="13">
        <f ca="1">IF($V193&gt;=VLOOKUP($M$4-1+$B194,Paraméterek!$B$121:$D$122,IF($D$4="Forint",2,3)),0,VLOOKUP($M$4-1+$B194,Paraméterek!$B$121:$D$122,IF($D$4="Forint",2,3))-$V193)</f>
        <v>106740</v>
      </c>
      <c r="O194" s="13">
        <f ca="1">ROUNDUP($N194*Paraméterek!$C$58/Paraméterek!$C$56,IF($D$4="Forint",0,2))</f>
        <v>17</v>
      </c>
      <c r="P194" s="13">
        <f t="shared" si="35"/>
        <v>832</v>
      </c>
      <c r="Q194" s="33"/>
      <c r="R194" s="13">
        <f t="shared" ca="1" si="36"/>
        <v>0</v>
      </c>
      <c r="S194" s="13">
        <f ca="1">ROUNDUP(($M194-$O194-$P194+$R194)*VLOOKUP($B194,Paraméterek!$B$38:$D$39,IF($D$2="Egyszeri",3,2))/12,IF($D$4="Forint",0,2))</f>
        <v>-265</v>
      </c>
      <c r="T194" s="13"/>
      <c r="U194" s="13"/>
      <c r="V194" s="13">
        <f ca="1">$M194-$O194-$P194+$R194-$S194-IF(ROUNDUP(IF(ISBLANK($U194),$T194,$U194)/IF(AND($B194=1,$D$2&lt;&gt;"Egyszeri"),1,VLOOKUP($B194+IF($C194=12,1,0),Paraméterek!$B$257:$D$267,IF($D$2="Egyszeri",3,2))),IF($D$4="Forint",0,2))&gt;$M194-$O194-$P194+$R194-$S194-IF($D$4="Forint",Paraméterek!$C$216,Paraméterek!$D$216),0,ROUNDUP(IF(ISBLANK($U194),$T194,$U194)/IF(AND($B194=1,$D$2&lt;&gt;"Egyszeri"),1,VLOOKUP($B194+IF($C194=12,1,0),Paraméterek!$B$257:$D$267,IF($D$2="Egyszeri",3,2))),IF($D$4="Forint",0,2)))</f>
        <v>-97324</v>
      </c>
      <c r="W194" s="13">
        <f ca="1">ROUNDDOWN($V194*VLOOKUP($B194+IF($C194=12,1,0),Paraméterek!$B$257:$D$267,IF($D$2="Egyszeri",3,2)),IF($D$4="Forint",0,2))</f>
        <v>-97324</v>
      </c>
      <c r="Y194" s="32">
        <v>175</v>
      </c>
      <c r="Z194" s="32">
        <v>15</v>
      </c>
      <c r="AA194" s="32">
        <v>7</v>
      </c>
      <c r="AB194" s="13">
        <f t="shared" si="41"/>
        <v>0</v>
      </c>
      <c r="AC194" s="33"/>
      <c r="AD194" s="13">
        <f t="shared" si="37"/>
        <v>0</v>
      </c>
      <c r="AE194" s="13">
        <f>ROUNDUP(($AB194+$AD194)*VLOOKUP($Z194,Paraméterek!$P$38:$Q$38,2)/12,IF($D$4="Forint",0,2))</f>
        <v>0</v>
      </c>
      <c r="AF194" s="13">
        <f>IF($D$2="Egyszeri",IF($D$7&gt;=IF($D$4="Forint",Paraméterek!$P$223,Paraméterek!$P$224),$D$7-IF($D$4="Forint",Paraméterek!$F$223,Paraméterek!$F$224),0),MIN(IF($AA194=12,AVERAGE($D$20:$D194)*12,0),SUM($D$20:$D$31)))</f>
        <v>0</v>
      </c>
      <c r="AG194" s="13">
        <f>IF(AND($Z194&gt;=10,MOD($Z194,5)=0),$AF194*IF($AA194=12,VLOOKUP($Z194,Paraméterek!$B$225:$F$240,IF($AF194&lt;IF($D$4="Forint",Paraméterek!$C$223,Paraméterek!$C$224),2,IF($AF194&lt;IF($D$4="Forint",Paraméterek!$D$223,Paraméterek!$D$224),3,4))),0),0)</f>
        <v>0</v>
      </c>
      <c r="AH194" s="13">
        <f>IF(AND($Z194&gt;=5,MOD($Z194,5)=0),IF($AA194=12,VLOOKUP($Z194,Paraméterek!$B$225:$F$240,5),0),IF(OR($Z194=3,$Z194=4),IF($AA194=12,VLOOKUP($Z194,Paraméterek!$B$225:$F$240,5,0),0),0))*$AF194</f>
        <v>0</v>
      </c>
      <c r="AI194" s="13">
        <f>ROUNDDOWN(IF(SUM($T$20:$U194)=0,IF($D$2="Egyszeri",$AH194,$AG194),0),IF($D$4="Forint",0,2))</f>
        <v>0</v>
      </c>
      <c r="AJ194" s="13">
        <f t="shared" si="42"/>
        <v>0</v>
      </c>
      <c r="AK194" s="13">
        <f t="shared" si="43"/>
        <v>0</v>
      </c>
      <c r="AM194" s="32">
        <v>175</v>
      </c>
      <c r="AN194" s="32">
        <v>15</v>
      </c>
      <c r="AO194" s="32">
        <v>7</v>
      </c>
      <c r="AP194" s="13"/>
      <c r="AQ194" s="32"/>
      <c r="AR194" s="13">
        <f t="shared" si="44"/>
        <v>0</v>
      </c>
      <c r="AS194" s="33"/>
      <c r="AT194" s="13">
        <f t="shared" si="38"/>
        <v>0</v>
      </c>
      <c r="AU194" s="13">
        <f>ROUNDUP(($AR194+$AT194)*VLOOKUP($AN194,Paraméterek!$P$38:$Q$38,2)/12,IF($D$4="Forint",0,2))</f>
        <v>0</v>
      </c>
      <c r="AV194" s="13"/>
      <c r="AW194" s="13"/>
      <c r="AX194" s="13">
        <f>ROUNDUP(IF(SUM($AV194:$AW194)=0,0,IF(IF(ISBLANK($AW194),$AV194,$AW194)*Paraméterek!$J$112&lt;IF($D$4="Forint",Paraméterek!$J$113,Paraméterek!$K$113),IF($D$4="Forint",Paraméterek!$J$113,Paraméterek!$K$113),IF(IF(ISBLANK($AW194),$AV194,$AW194)*Paraméterek!$J$112&gt;IF($D$4="Forint",Paraméterek!$J$114,Paraméterek!$K$114),IF($D$4="Forint",Paraméterek!$J$114,Paraméterek!$K$114),IF(ISBLANK($AW194),$AV194,$AW194)*Paraméterek!$J$112))),IF($D$4="Forint",0,2))</f>
        <v>0</v>
      </c>
      <c r="AY194" s="13">
        <f>$AR194+$AT194-$AU194-IF(ROUNDDOWN(IF(ISBLANK($AW194),$AV194,$AW194),IF($D$4="Forint",0,2))&gt;$AR194+$AT194-$AU194-IF($D$4="Forint",Paraméterek!$J$114,Paraméterek!$K$114),0,ROUNDDOWN(IF(ISBLANK($AW194),$AV194,$AW194),IF($D$4="Forint",0,2))-$AX194)</f>
        <v>0</v>
      </c>
      <c r="AZ194" s="13">
        <f t="shared" si="39"/>
        <v>0</v>
      </c>
    </row>
    <row r="195" spans="1:52" x14ac:dyDescent="0.2">
      <c r="A195" s="32">
        <v>176</v>
      </c>
      <c r="B195" s="32">
        <v>15</v>
      </c>
      <c r="C195" s="32">
        <v>8</v>
      </c>
      <c r="D195" s="13">
        <f t="shared" si="30"/>
        <v>0</v>
      </c>
      <c r="E195" s="13"/>
      <c r="F195" s="13"/>
      <c r="G195" s="13"/>
      <c r="H195" s="13">
        <f t="shared" si="31"/>
        <v>0</v>
      </c>
      <c r="I195" s="13">
        <f t="shared" si="32"/>
        <v>0</v>
      </c>
      <c r="J195" s="13">
        <f t="shared" si="33"/>
        <v>0</v>
      </c>
      <c r="K195" s="13">
        <f>ROUNDUP(IF($D$2="Egyszeri",$D195,IF($D$2="Havi",SUM($D$20:$D$31),IF(MOD($C195,$M$1)-1=0,SUM($D$20:$D$31),0))/12*$M$1)*VLOOKUP($B195,Paraméterek!$B$27:$D$30,IF($D$2="Egyszeri",3,2)),IF($D$4="Forint",0,2))</f>
        <v>0</v>
      </c>
      <c r="L195" s="13">
        <f t="shared" si="34"/>
        <v>0</v>
      </c>
      <c r="M195" s="13">
        <f t="shared" ca="1" si="40"/>
        <v>-97324</v>
      </c>
      <c r="N195" s="13">
        <f ca="1">IF($V194&gt;=VLOOKUP($M$4-1+$B195,Paraméterek!$B$121:$D$122,IF($D$4="Forint",2,3)),0,VLOOKUP($M$4-1+$B195,Paraméterek!$B$121:$D$122,IF($D$4="Forint",2,3))-$V194)</f>
        <v>107324</v>
      </c>
      <c r="O195" s="13">
        <f ca="1">ROUNDUP($N195*Paraméterek!$C$58/Paraméterek!$C$56,IF($D$4="Forint",0,2))</f>
        <v>18</v>
      </c>
      <c r="P195" s="13">
        <f t="shared" si="35"/>
        <v>832</v>
      </c>
      <c r="Q195" s="33"/>
      <c r="R195" s="13">
        <f t="shared" ca="1" si="36"/>
        <v>0</v>
      </c>
      <c r="S195" s="13">
        <f ca="1">ROUNDUP(($M195-$O195-$P195+$R195)*VLOOKUP($B195,Paraméterek!$B$38:$D$39,IF($D$2="Egyszeri",3,2))/12,IF($D$4="Forint",0,2))</f>
        <v>-266</v>
      </c>
      <c r="T195" s="13"/>
      <c r="U195" s="13"/>
      <c r="V195" s="13">
        <f ca="1">$M195-$O195-$P195+$R195-$S195-IF(ROUNDUP(IF(ISBLANK($U195),$T195,$U195)/IF(AND($B195=1,$D$2&lt;&gt;"Egyszeri"),1,VLOOKUP($B195+IF($C195=12,1,0),Paraméterek!$B$257:$D$267,IF($D$2="Egyszeri",3,2))),IF($D$4="Forint",0,2))&gt;$M195-$O195-$P195+$R195-$S195-IF($D$4="Forint",Paraméterek!$C$216,Paraméterek!$D$216),0,ROUNDUP(IF(ISBLANK($U195),$T195,$U195)/IF(AND($B195=1,$D$2&lt;&gt;"Egyszeri"),1,VLOOKUP($B195+IF($C195=12,1,0),Paraméterek!$B$257:$D$267,IF($D$2="Egyszeri",3,2))),IF($D$4="Forint",0,2)))</f>
        <v>-97908</v>
      </c>
      <c r="W195" s="13">
        <f ca="1">ROUNDDOWN($V195*VLOOKUP($B195+IF($C195=12,1,0),Paraméterek!$B$257:$D$267,IF($D$2="Egyszeri",3,2)),IF($D$4="Forint",0,2))</f>
        <v>-97908</v>
      </c>
      <c r="Y195" s="32">
        <v>176</v>
      </c>
      <c r="Z195" s="32">
        <v>15</v>
      </c>
      <c r="AA195" s="32">
        <v>8</v>
      </c>
      <c r="AB195" s="13">
        <f t="shared" si="41"/>
        <v>0</v>
      </c>
      <c r="AC195" s="33"/>
      <c r="AD195" s="13">
        <f t="shared" si="37"/>
        <v>0</v>
      </c>
      <c r="AE195" s="13">
        <f>ROUNDUP(($AB195+$AD195)*VLOOKUP($Z195,Paraméterek!$P$38:$Q$38,2)/12,IF($D$4="Forint",0,2))</f>
        <v>0</v>
      </c>
      <c r="AF195" s="13">
        <f>IF($D$2="Egyszeri",IF($D$7&gt;=IF($D$4="Forint",Paraméterek!$P$223,Paraméterek!$P$224),$D$7-IF($D$4="Forint",Paraméterek!$F$223,Paraméterek!$F$224),0),MIN(IF($AA195=12,AVERAGE($D$20:$D195)*12,0),SUM($D$20:$D$31)))</f>
        <v>0</v>
      </c>
      <c r="AG195" s="13">
        <f>IF(AND($Z195&gt;=10,MOD($Z195,5)=0),$AF195*IF($AA195=12,VLOOKUP($Z195,Paraméterek!$B$225:$F$240,IF($AF195&lt;IF($D$4="Forint",Paraméterek!$C$223,Paraméterek!$C$224),2,IF($AF195&lt;IF($D$4="Forint",Paraméterek!$D$223,Paraméterek!$D$224),3,4))),0),0)</f>
        <v>0</v>
      </c>
      <c r="AH195" s="13">
        <f>IF(AND($Z195&gt;=5,MOD($Z195,5)=0),IF($AA195=12,VLOOKUP($Z195,Paraméterek!$B$225:$F$240,5),0),IF(OR($Z195=3,$Z195=4),IF($AA195=12,VLOOKUP($Z195,Paraméterek!$B$225:$F$240,5,0),0),0))*$AF195</f>
        <v>0</v>
      </c>
      <c r="AI195" s="13">
        <f>ROUNDDOWN(IF(SUM($T$20:$U195)=0,IF($D$2="Egyszeri",$AH195,$AG195),0),IF($D$4="Forint",0,2))</f>
        <v>0</v>
      </c>
      <c r="AJ195" s="13">
        <f t="shared" si="42"/>
        <v>0</v>
      </c>
      <c r="AK195" s="13">
        <f t="shared" si="43"/>
        <v>0</v>
      </c>
      <c r="AM195" s="32">
        <v>176</v>
      </c>
      <c r="AN195" s="32">
        <v>15</v>
      </c>
      <c r="AO195" s="32">
        <v>8</v>
      </c>
      <c r="AP195" s="13"/>
      <c r="AQ195" s="32"/>
      <c r="AR195" s="13">
        <f t="shared" si="44"/>
        <v>0</v>
      </c>
      <c r="AS195" s="33"/>
      <c r="AT195" s="13">
        <f t="shared" si="38"/>
        <v>0</v>
      </c>
      <c r="AU195" s="13">
        <f>ROUNDUP(($AR195+$AT195)*VLOOKUP($AN195,Paraméterek!$P$38:$Q$38,2)/12,IF($D$4="Forint",0,2))</f>
        <v>0</v>
      </c>
      <c r="AV195" s="13"/>
      <c r="AW195" s="13"/>
      <c r="AX195" s="13">
        <f>ROUNDUP(IF(SUM($AV195:$AW195)=0,0,IF(IF(ISBLANK($AW195),$AV195,$AW195)*Paraméterek!$J$112&lt;IF($D$4="Forint",Paraméterek!$J$113,Paraméterek!$K$113),IF($D$4="Forint",Paraméterek!$J$113,Paraméterek!$K$113),IF(IF(ISBLANK($AW195),$AV195,$AW195)*Paraméterek!$J$112&gt;IF($D$4="Forint",Paraméterek!$J$114,Paraméterek!$K$114),IF($D$4="Forint",Paraméterek!$J$114,Paraméterek!$K$114),IF(ISBLANK($AW195),$AV195,$AW195)*Paraméterek!$J$112))),IF($D$4="Forint",0,2))</f>
        <v>0</v>
      </c>
      <c r="AY195" s="13">
        <f>$AR195+$AT195-$AU195-IF(ROUNDDOWN(IF(ISBLANK($AW195),$AV195,$AW195),IF($D$4="Forint",0,2))&gt;$AR195+$AT195-$AU195-IF($D$4="Forint",Paraméterek!$J$114,Paraméterek!$K$114),0,ROUNDDOWN(IF(ISBLANK($AW195),$AV195,$AW195),IF($D$4="Forint",0,2))-$AX195)</f>
        <v>0</v>
      </c>
      <c r="AZ195" s="13">
        <f t="shared" si="39"/>
        <v>0</v>
      </c>
    </row>
    <row r="196" spans="1:52" x14ac:dyDescent="0.2">
      <c r="A196" s="32">
        <v>177</v>
      </c>
      <c r="B196" s="32">
        <v>15</v>
      </c>
      <c r="C196" s="32">
        <v>9</v>
      </c>
      <c r="D196" s="13">
        <f t="shared" si="30"/>
        <v>0</v>
      </c>
      <c r="E196" s="13"/>
      <c r="F196" s="13"/>
      <c r="G196" s="13"/>
      <c r="H196" s="13">
        <f t="shared" si="31"/>
        <v>0</v>
      </c>
      <c r="I196" s="13">
        <f t="shared" si="32"/>
        <v>0</v>
      </c>
      <c r="J196" s="13">
        <f t="shared" si="33"/>
        <v>0</v>
      </c>
      <c r="K196" s="13">
        <f>ROUNDUP(IF($D$2="Egyszeri",$D196,IF($D$2="Havi",SUM($D$20:$D$31),IF(MOD($C196,$M$1)-1=0,SUM($D$20:$D$31),0))/12*$M$1)*VLOOKUP($B196,Paraméterek!$B$27:$D$30,IF($D$2="Egyszeri",3,2)),IF($D$4="Forint",0,2))</f>
        <v>0</v>
      </c>
      <c r="L196" s="13">
        <f t="shared" si="34"/>
        <v>0</v>
      </c>
      <c r="M196" s="13">
        <f t="shared" ca="1" si="40"/>
        <v>-97908</v>
      </c>
      <c r="N196" s="13">
        <f ca="1">IF($V195&gt;=VLOOKUP($M$4-1+$B196,Paraméterek!$B$121:$D$122,IF($D$4="Forint",2,3)),0,VLOOKUP($M$4-1+$B196,Paraméterek!$B$121:$D$122,IF($D$4="Forint",2,3))-$V195)</f>
        <v>107908</v>
      </c>
      <c r="O196" s="13">
        <f ca="1">ROUNDUP($N196*Paraméterek!$C$58/Paraméterek!$C$56,IF($D$4="Forint",0,2))</f>
        <v>18</v>
      </c>
      <c r="P196" s="13">
        <f t="shared" si="35"/>
        <v>832</v>
      </c>
      <c r="Q196" s="33"/>
      <c r="R196" s="13">
        <f t="shared" ca="1" si="36"/>
        <v>0</v>
      </c>
      <c r="S196" s="13">
        <f ca="1">ROUNDUP(($M196-$O196-$P196+$R196)*VLOOKUP($B196,Paraméterek!$B$38:$D$39,IF($D$2="Egyszeri",3,2))/12,IF($D$4="Forint",0,2))</f>
        <v>-268</v>
      </c>
      <c r="T196" s="13"/>
      <c r="U196" s="13"/>
      <c r="V196" s="13">
        <f ca="1">$M196-$O196-$P196+$R196-$S196-IF(ROUNDUP(IF(ISBLANK($U196),$T196,$U196)/IF(AND($B196=1,$D$2&lt;&gt;"Egyszeri"),1,VLOOKUP($B196+IF($C196=12,1,0),Paraméterek!$B$257:$D$267,IF($D$2="Egyszeri",3,2))),IF($D$4="Forint",0,2))&gt;$M196-$O196-$P196+$R196-$S196-IF($D$4="Forint",Paraméterek!$C$216,Paraméterek!$D$216),0,ROUNDUP(IF(ISBLANK($U196),$T196,$U196)/IF(AND($B196=1,$D$2&lt;&gt;"Egyszeri"),1,VLOOKUP($B196+IF($C196=12,1,0),Paraméterek!$B$257:$D$267,IF($D$2="Egyszeri",3,2))),IF($D$4="Forint",0,2)))</f>
        <v>-98490</v>
      </c>
      <c r="W196" s="13">
        <f ca="1">ROUNDDOWN($V196*VLOOKUP($B196+IF($C196=12,1,0),Paraméterek!$B$257:$D$267,IF($D$2="Egyszeri",3,2)),IF($D$4="Forint",0,2))</f>
        <v>-98490</v>
      </c>
      <c r="Y196" s="32">
        <v>177</v>
      </c>
      <c r="Z196" s="32">
        <v>15</v>
      </c>
      <c r="AA196" s="32">
        <v>9</v>
      </c>
      <c r="AB196" s="13">
        <f t="shared" si="41"/>
        <v>0</v>
      </c>
      <c r="AC196" s="33"/>
      <c r="AD196" s="13">
        <f t="shared" si="37"/>
        <v>0</v>
      </c>
      <c r="AE196" s="13">
        <f>ROUNDUP(($AB196+$AD196)*VLOOKUP($Z196,Paraméterek!$P$38:$Q$38,2)/12,IF($D$4="Forint",0,2))</f>
        <v>0</v>
      </c>
      <c r="AF196" s="13">
        <f>IF($D$2="Egyszeri",IF($D$7&gt;=IF($D$4="Forint",Paraméterek!$P$223,Paraméterek!$P$224),$D$7-IF($D$4="Forint",Paraméterek!$F$223,Paraméterek!$F$224),0),MIN(IF($AA196=12,AVERAGE($D$20:$D196)*12,0),SUM($D$20:$D$31)))</f>
        <v>0</v>
      </c>
      <c r="AG196" s="13">
        <f>IF(AND($Z196&gt;=10,MOD($Z196,5)=0),$AF196*IF($AA196=12,VLOOKUP($Z196,Paraméterek!$B$225:$F$240,IF($AF196&lt;IF($D$4="Forint",Paraméterek!$C$223,Paraméterek!$C$224),2,IF($AF196&lt;IF($D$4="Forint",Paraméterek!$D$223,Paraméterek!$D$224),3,4))),0),0)</f>
        <v>0</v>
      </c>
      <c r="AH196" s="13">
        <f>IF(AND($Z196&gt;=5,MOD($Z196,5)=0),IF($AA196=12,VLOOKUP($Z196,Paraméterek!$B$225:$F$240,5),0),IF(OR($Z196=3,$Z196=4),IF($AA196=12,VLOOKUP($Z196,Paraméterek!$B$225:$F$240,5,0),0),0))*$AF196</f>
        <v>0</v>
      </c>
      <c r="AI196" s="13">
        <f>ROUNDDOWN(IF(SUM($T$20:$U196)=0,IF($D$2="Egyszeri",$AH196,$AG196),0),IF($D$4="Forint",0,2))</f>
        <v>0</v>
      </c>
      <c r="AJ196" s="13">
        <f t="shared" si="42"/>
        <v>0</v>
      </c>
      <c r="AK196" s="13">
        <f t="shared" si="43"/>
        <v>0</v>
      </c>
      <c r="AM196" s="32">
        <v>177</v>
      </c>
      <c r="AN196" s="32">
        <v>15</v>
      </c>
      <c r="AO196" s="32">
        <v>9</v>
      </c>
      <c r="AP196" s="13"/>
      <c r="AQ196" s="32"/>
      <c r="AR196" s="13">
        <f t="shared" si="44"/>
        <v>0</v>
      </c>
      <c r="AS196" s="33"/>
      <c r="AT196" s="13">
        <f t="shared" si="38"/>
        <v>0</v>
      </c>
      <c r="AU196" s="13">
        <f>ROUNDUP(($AR196+$AT196)*VLOOKUP($AN196,Paraméterek!$P$38:$Q$38,2)/12,IF($D$4="Forint",0,2))</f>
        <v>0</v>
      </c>
      <c r="AV196" s="13"/>
      <c r="AW196" s="13"/>
      <c r="AX196" s="13">
        <f>ROUNDUP(IF(SUM($AV196:$AW196)=0,0,IF(IF(ISBLANK($AW196),$AV196,$AW196)*Paraméterek!$J$112&lt;IF($D$4="Forint",Paraméterek!$J$113,Paraméterek!$K$113),IF($D$4="Forint",Paraméterek!$J$113,Paraméterek!$K$113),IF(IF(ISBLANK($AW196),$AV196,$AW196)*Paraméterek!$J$112&gt;IF($D$4="Forint",Paraméterek!$J$114,Paraméterek!$K$114),IF($D$4="Forint",Paraméterek!$J$114,Paraméterek!$K$114),IF(ISBLANK($AW196),$AV196,$AW196)*Paraméterek!$J$112))),IF($D$4="Forint",0,2))</f>
        <v>0</v>
      </c>
      <c r="AY196" s="13">
        <f>$AR196+$AT196-$AU196-IF(ROUNDDOWN(IF(ISBLANK($AW196),$AV196,$AW196),IF($D$4="Forint",0,2))&gt;$AR196+$AT196-$AU196-IF($D$4="Forint",Paraméterek!$J$114,Paraméterek!$K$114),0,ROUNDDOWN(IF(ISBLANK($AW196),$AV196,$AW196),IF($D$4="Forint",0,2))-$AX196)</f>
        <v>0</v>
      </c>
      <c r="AZ196" s="13">
        <f t="shared" si="39"/>
        <v>0</v>
      </c>
    </row>
    <row r="197" spans="1:52" x14ac:dyDescent="0.2">
      <c r="A197" s="32">
        <v>178</v>
      </c>
      <c r="B197" s="32">
        <v>15</v>
      </c>
      <c r="C197" s="32">
        <v>10</v>
      </c>
      <c r="D197" s="13">
        <f t="shared" si="30"/>
        <v>0</v>
      </c>
      <c r="E197" s="13"/>
      <c r="F197" s="13"/>
      <c r="G197" s="13"/>
      <c r="H197" s="13">
        <f t="shared" si="31"/>
        <v>0</v>
      </c>
      <c r="I197" s="13">
        <f t="shared" si="32"/>
        <v>0</v>
      </c>
      <c r="J197" s="13">
        <f t="shared" si="33"/>
        <v>0</v>
      </c>
      <c r="K197" s="13">
        <f>ROUNDUP(IF($D$2="Egyszeri",$D197,IF($D$2="Havi",SUM($D$20:$D$31),IF(MOD($C197,$M$1)-1=0,SUM($D$20:$D$31),0))/12*$M$1)*VLOOKUP($B197,Paraméterek!$B$27:$D$30,IF($D$2="Egyszeri",3,2)),IF($D$4="Forint",0,2))</f>
        <v>0</v>
      </c>
      <c r="L197" s="13">
        <f t="shared" si="34"/>
        <v>0</v>
      </c>
      <c r="M197" s="13">
        <f t="shared" ca="1" si="40"/>
        <v>-98490</v>
      </c>
      <c r="N197" s="13">
        <f ca="1">IF($V196&gt;=VLOOKUP($M$4-1+$B197,Paraméterek!$B$121:$D$122,IF($D$4="Forint",2,3)),0,VLOOKUP($M$4-1+$B197,Paraméterek!$B$121:$D$122,IF($D$4="Forint",2,3))-$V196)</f>
        <v>108490</v>
      </c>
      <c r="O197" s="13">
        <f ca="1">ROUNDUP($N197*Paraméterek!$C$58/Paraméterek!$C$56,IF($D$4="Forint",0,2))</f>
        <v>18</v>
      </c>
      <c r="P197" s="13">
        <f t="shared" si="35"/>
        <v>832</v>
      </c>
      <c r="Q197" s="33"/>
      <c r="R197" s="13">
        <f t="shared" ca="1" si="36"/>
        <v>0</v>
      </c>
      <c r="S197" s="13">
        <f ca="1">ROUNDUP(($M197-$O197-$P197+$R197)*VLOOKUP($B197,Paraméterek!$B$38:$D$39,IF($D$2="Egyszeri",3,2))/12,IF($D$4="Forint",0,2))</f>
        <v>-270</v>
      </c>
      <c r="T197" s="13"/>
      <c r="U197" s="13"/>
      <c r="V197" s="13">
        <f ca="1">$M197-$O197-$P197+$R197-$S197-IF(ROUNDUP(IF(ISBLANK($U197),$T197,$U197)/IF(AND($B197=1,$D$2&lt;&gt;"Egyszeri"),1,VLOOKUP($B197+IF($C197=12,1,0),Paraméterek!$B$257:$D$267,IF($D$2="Egyszeri",3,2))),IF($D$4="Forint",0,2))&gt;$M197-$O197-$P197+$R197-$S197-IF($D$4="Forint",Paraméterek!$C$216,Paraméterek!$D$216),0,ROUNDUP(IF(ISBLANK($U197),$T197,$U197)/IF(AND($B197=1,$D$2&lt;&gt;"Egyszeri"),1,VLOOKUP($B197+IF($C197=12,1,0),Paraméterek!$B$257:$D$267,IF($D$2="Egyszeri",3,2))),IF($D$4="Forint",0,2)))</f>
        <v>-99070</v>
      </c>
      <c r="W197" s="13">
        <f ca="1">ROUNDDOWN($V197*VLOOKUP($B197+IF($C197=12,1,0),Paraméterek!$B$257:$D$267,IF($D$2="Egyszeri",3,2)),IF($D$4="Forint",0,2))</f>
        <v>-99070</v>
      </c>
      <c r="Y197" s="32">
        <v>178</v>
      </c>
      <c r="Z197" s="32">
        <v>15</v>
      </c>
      <c r="AA197" s="32">
        <v>10</v>
      </c>
      <c r="AB197" s="13">
        <f t="shared" si="41"/>
        <v>0</v>
      </c>
      <c r="AC197" s="33"/>
      <c r="AD197" s="13">
        <f t="shared" si="37"/>
        <v>0</v>
      </c>
      <c r="AE197" s="13">
        <f>ROUNDUP(($AB197+$AD197)*VLOOKUP($Z197,Paraméterek!$P$38:$Q$38,2)/12,IF($D$4="Forint",0,2))</f>
        <v>0</v>
      </c>
      <c r="AF197" s="13">
        <f>IF($D$2="Egyszeri",IF($D$7&gt;=IF($D$4="Forint",Paraméterek!$P$223,Paraméterek!$P$224),$D$7-IF($D$4="Forint",Paraméterek!$F$223,Paraméterek!$F$224),0),MIN(IF($AA197=12,AVERAGE($D$20:$D197)*12,0),SUM($D$20:$D$31)))</f>
        <v>0</v>
      </c>
      <c r="AG197" s="13">
        <f>IF(AND($Z197&gt;=10,MOD($Z197,5)=0),$AF197*IF($AA197=12,VLOOKUP($Z197,Paraméterek!$B$225:$F$240,IF($AF197&lt;IF($D$4="Forint",Paraméterek!$C$223,Paraméterek!$C$224),2,IF($AF197&lt;IF($D$4="Forint",Paraméterek!$D$223,Paraméterek!$D$224),3,4))),0),0)</f>
        <v>0</v>
      </c>
      <c r="AH197" s="13">
        <f>IF(AND($Z197&gt;=5,MOD($Z197,5)=0),IF($AA197=12,VLOOKUP($Z197,Paraméterek!$B$225:$F$240,5),0),IF(OR($Z197=3,$Z197=4),IF($AA197=12,VLOOKUP($Z197,Paraméterek!$B$225:$F$240,5,0),0),0))*$AF197</f>
        <v>0</v>
      </c>
      <c r="AI197" s="13">
        <f>ROUNDDOWN(IF(SUM($T$20:$U197)=0,IF($D$2="Egyszeri",$AH197,$AG197),0),IF($D$4="Forint",0,2))</f>
        <v>0</v>
      </c>
      <c r="AJ197" s="13">
        <f t="shared" si="42"/>
        <v>0</v>
      </c>
      <c r="AK197" s="13">
        <f t="shared" si="43"/>
        <v>0</v>
      </c>
      <c r="AM197" s="32">
        <v>178</v>
      </c>
      <c r="AN197" s="32">
        <v>15</v>
      </c>
      <c r="AO197" s="32">
        <v>10</v>
      </c>
      <c r="AP197" s="13"/>
      <c r="AQ197" s="32"/>
      <c r="AR197" s="13">
        <f t="shared" si="44"/>
        <v>0</v>
      </c>
      <c r="AS197" s="33"/>
      <c r="AT197" s="13">
        <f t="shared" si="38"/>
        <v>0</v>
      </c>
      <c r="AU197" s="13">
        <f>ROUNDUP(($AR197+$AT197)*VLOOKUP($AN197,Paraméterek!$P$38:$Q$38,2)/12,IF($D$4="Forint",0,2))</f>
        <v>0</v>
      </c>
      <c r="AV197" s="13"/>
      <c r="AW197" s="13"/>
      <c r="AX197" s="13">
        <f>ROUNDUP(IF(SUM($AV197:$AW197)=0,0,IF(IF(ISBLANK($AW197),$AV197,$AW197)*Paraméterek!$J$112&lt;IF($D$4="Forint",Paraméterek!$J$113,Paraméterek!$K$113),IF($D$4="Forint",Paraméterek!$J$113,Paraméterek!$K$113),IF(IF(ISBLANK($AW197),$AV197,$AW197)*Paraméterek!$J$112&gt;IF($D$4="Forint",Paraméterek!$J$114,Paraméterek!$K$114),IF($D$4="Forint",Paraméterek!$J$114,Paraméterek!$K$114),IF(ISBLANK($AW197),$AV197,$AW197)*Paraméterek!$J$112))),IF($D$4="Forint",0,2))</f>
        <v>0</v>
      </c>
      <c r="AY197" s="13">
        <f>$AR197+$AT197-$AU197-IF(ROUNDDOWN(IF(ISBLANK($AW197),$AV197,$AW197),IF($D$4="Forint",0,2))&gt;$AR197+$AT197-$AU197-IF($D$4="Forint",Paraméterek!$J$114,Paraméterek!$K$114),0,ROUNDDOWN(IF(ISBLANK($AW197),$AV197,$AW197),IF($D$4="Forint",0,2))-$AX197)</f>
        <v>0</v>
      </c>
      <c r="AZ197" s="13">
        <f t="shared" si="39"/>
        <v>0</v>
      </c>
    </row>
    <row r="198" spans="1:52" x14ac:dyDescent="0.2">
      <c r="A198" s="32">
        <v>179</v>
      </c>
      <c r="B198" s="32">
        <v>15</v>
      </c>
      <c r="C198" s="32">
        <v>11</v>
      </c>
      <c r="D198" s="13">
        <f t="shared" si="30"/>
        <v>0</v>
      </c>
      <c r="E198" s="13"/>
      <c r="F198" s="13"/>
      <c r="G198" s="13"/>
      <c r="H198" s="13">
        <f t="shared" si="31"/>
        <v>0</v>
      </c>
      <c r="I198" s="13">
        <f t="shared" si="32"/>
        <v>0</v>
      </c>
      <c r="J198" s="13">
        <f t="shared" si="33"/>
        <v>0</v>
      </c>
      <c r="K198" s="13">
        <f>ROUNDUP(IF($D$2="Egyszeri",$D198,IF($D$2="Havi",SUM($D$20:$D$31),IF(MOD($C198,$M$1)-1=0,SUM($D$20:$D$31),0))/12*$M$1)*VLOOKUP($B198,Paraméterek!$B$27:$D$30,IF($D$2="Egyszeri",3,2)),IF($D$4="Forint",0,2))</f>
        <v>0</v>
      </c>
      <c r="L198" s="13">
        <f t="shared" si="34"/>
        <v>0</v>
      </c>
      <c r="M198" s="13">
        <f t="shared" ca="1" si="40"/>
        <v>-99070</v>
      </c>
      <c r="N198" s="13">
        <f ca="1">IF($V197&gt;=VLOOKUP($M$4-1+$B198,Paraméterek!$B$121:$D$122,IF($D$4="Forint",2,3)),0,VLOOKUP($M$4-1+$B198,Paraméterek!$B$121:$D$122,IF($D$4="Forint",2,3))-$V197)</f>
        <v>109070</v>
      </c>
      <c r="O198" s="13">
        <f ca="1">ROUNDUP($N198*Paraméterek!$C$58/Paraméterek!$C$56,IF($D$4="Forint",0,2))</f>
        <v>18</v>
      </c>
      <c r="P198" s="13">
        <f t="shared" si="35"/>
        <v>832</v>
      </c>
      <c r="Q198" s="33"/>
      <c r="R198" s="13">
        <f t="shared" ca="1" si="36"/>
        <v>0</v>
      </c>
      <c r="S198" s="13">
        <f ca="1">ROUNDUP(($M198-$O198-$P198+$R198)*VLOOKUP($B198,Paraméterek!$B$38:$D$39,IF($D$2="Egyszeri",3,2))/12,IF($D$4="Forint",0,2))</f>
        <v>-271</v>
      </c>
      <c r="T198" s="13"/>
      <c r="U198" s="13"/>
      <c r="V198" s="13">
        <f ca="1">$M198-$O198-$P198+$R198-$S198-IF(ROUNDUP(IF(ISBLANK($U198),$T198,$U198)/IF(AND($B198=1,$D$2&lt;&gt;"Egyszeri"),1,VLOOKUP($B198+IF($C198=12,1,0),Paraméterek!$B$257:$D$267,IF($D$2="Egyszeri",3,2))),IF($D$4="Forint",0,2))&gt;$M198-$O198-$P198+$R198-$S198-IF($D$4="Forint",Paraméterek!$C$216,Paraméterek!$D$216),0,ROUNDUP(IF(ISBLANK($U198),$T198,$U198)/IF(AND($B198=1,$D$2&lt;&gt;"Egyszeri"),1,VLOOKUP($B198+IF($C198=12,1,0),Paraméterek!$B$257:$D$267,IF($D$2="Egyszeri",3,2))),IF($D$4="Forint",0,2)))</f>
        <v>-99649</v>
      </c>
      <c r="W198" s="13">
        <f ca="1">ROUNDDOWN($V198*VLOOKUP($B198+IF($C198=12,1,0),Paraméterek!$B$257:$D$267,IF($D$2="Egyszeri",3,2)),IF($D$4="Forint",0,2))</f>
        <v>-99649</v>
      </c>
      <c r="Y198" s="32">
        <v>179</v>
      </c>
      <c r="Z198" s="32">
        <v>15</v>
      </c>
      <c r="AA198" s="32">
        <v>11</v>
      </c>
      <c r="AB198" s="13">
        <f t="shared" si="41"/>
        <v>0</v>
      </c>
      <c r="AC198" s="33"/>
      <c r="AD198" s="13">
        <f t="shared" si="37"/>
        <v>0</v>
      </c>
      <c r="AE198" s="13">
        <f>ROUNDUP(($AB198+$AD198)*VLOOKUP($Z198,Paraméterek!$P$38:$Q$38,2)/12,IF($D$4="Forint",0,2))</f>
        <v>0</v>
      </c>
      <c r="AF198" s="13">
        <f>IF($D$2="Egyszeri",IF($D$7&gt;=IF($D$4="Forint",Paraméterek!$P$223,Paraméterek!$P$224),$D$7-IF($D$4="Forint",Paraméterek!$F$223,Paraméterek!$F$224),0),MIN(IF($AA198=12,AVERAGE($D$20:$D198)*12,0),SUM($D$20:$D$31)))</f>
        <v>0</v>
      </c>
      <c r="AG198" s="13">
        <f>IF(AND($Z198&gt;=10,MOD($Z198,5)=0),$AF198*IF($AA198=12,VLOOKUP($Z198,Paraméterek!$B$225:$F$240,IF($AF198&lt;IF($D$4="Forint",Paraméterek!$C$223,Paraméterek!$C$224),2,IF($AF198&lt;IF($D$4="Forint",Paraméterek!$D$223,Paraméterek!$D$224),3,4))),0),0)</f>
        <v>0</v>
      </c>
      <c r="AH198" s="13">
        <f>IF(AND($Z198&gt;=5,MOD($Z198,5)=0),IF($AA198=12,VLOOKUP($Z198,Paraméterek!$B$225:$F$240,5),0),IF(OR($Z198=3,$Z198=4),IF($AA198=12,VLOOKUP($Z198,Paraméterek!$B$225:$F$240,5,0),0),0))*$AF198</f>
        <v>0</v>
      </c>
      <c r="AI198" s="13">
        <f>ROUNDDOWN(IF(SUM($T$20:$U198)=0,IF($D$2="Egyszeri",$AH198,$AG198),0),IF($D$4="Forint",0,2))</f>
        <v>0</v>
      </c>
      <c r="AJ198" s="13">
        <f t="shared" si="42"/>
        <v>0</v>
      </c>
      <c r="AK198" s="13">
        <f t="shared" si="43"/>
        <v>0</v>
      </c>
      <c r="AM198" s="32">
        <v>179</v>
      </c>
      <c r="AN198" s="32">
        <v>15</v>
      </c>
      <c r="AO198" s="32">
        <v>11</v>
      </c>
      <c r="AP198" s="13"/>
      <c r="AQ198" s="32"/>
      <c r="AR198" s="13">
        <f t="shared" si="44"/>
        <v>0</v>
      </c>
      <c r="AS198" s="33"/>
      <c r="AT198" s="13">
        <f t="shared" si="38"/>
        <v>0</v>
      </c>
      <c r="AU198" s="13">
        <f>ROUNDUP(($AR198+$AT198)*VLOOKUP($AN198,Paraméterek!$P$38:$Q$38,2)/12,IF($D$4="Forint",0,2))</f>
        <v>0</v>
      </c>
      <c r="AV198" s="13"/>
      <c r="AW198" s="13"/>
      <c r="AX198" s="13">
        <f>ROUNDUP(IF(SUM($AV198:$AW198)=0,0,IF(IF(ISBLANK($AW198),$AV198,$AW198)*Paraméterek!$J$112&lt;IF($D$4="Forint",Paraméterek!$J$113,Paraméterek!$K$113),IF($D$4="Forint",Paraméterek!$J$113,Paraméterek!$K$113),IF(IF(ISBLANK($AW198),$AV198,$AW198)*Paraméterek!$J$112&gt;IF($D$4="Forint",Paraméterek!$J$114,Paraméterek!$K$114),IF($D$4="Forint",Paraméterek!$J$114,Paraméterek!$K$114),IF(ISBLANK($AW198),$AV198,$AW198)*Paraméterek!$J$112))),IF($D$4="Forint",0,2))</f>
        <v>0</v>
      </c>
      <c r="AY198" s="13">
        <f>$AR198+$AT198-$AU198-IF(ROUNDDOWN(IF(ISBLANK($AW198),$AV198,$AW198),IF($D$4="Forint",0,2))&gt;$AR198+$AT198-$AU198-IF($D$4="Forint",Paraméterek!$J$114,Paraméterek!$K$114),0,ROUNDDOWN(IF(ISBLANK($AW198),$AV198,$AW198),IF($D$4="Forint",0,2))-$AX198)</f>
        <v>0</v>
      </c>
      <c r="AZ198" s="13">
        <f t="shared" si="39"/>
        <v>0</v>
      </c>
    </row>
    <row r="199" spans="1:52" x14ac:dyDescent="0.2">
      <c r="A199" s="32">
        <v>180</v>
      </c>
      <c r="B199" s="32">
        <v>15</v>
      </c>
      <c r="C199" s="32">
        <v>12</v>
      </c>
      <c r="D199" s="13">
        <f t="shared" si="30"/>
        <v>0</v>
      </c>
      <c r="E199" s="13"/>
      <c r="F199" s="13"/>
      <c r="G199" s="13"/>
      <c r="H199" s="13">
        <f t="shared" si="31"/>
        <v>0</v>
      </c>
      <c r="I199" s="13">
        <f t="shared" si="32"/>
        <v>0</v>
      </c>
      <c r="J199" s="13">
        <f t="shared" si="33"/>
        <v>0</v>
      </c>
      <c r="K199" s="13">
        <f>ROUNDUP(IF($D$2="Egyszeri",$D199,IF($D$2="Havi",SUM($D$20:$D$31),IF(MOD($C199,$M$1)-1=0,SUM($D$20:$D$31),0))/12*$M$1)*VLOOKUP($B199,Paraméterek!$B$27:$D$30,IF($D$2="Egyszeri",3,2)),IF($D$4="Forint",0,2))</f>
        <v>0</v>
      </c>
      <c r="L199" s="13">
        <f t="shared" si="34"/>
        <v>0</v>
      </c>
      <c r="M199" s="13">
        <f t="shared" ca="1" si="40"/>
        <v>-99649</v>
      </c>
      <c r="N199" s="13">
        <f ca="1">IF($V198&gt;=VLOOKUP($M$4-1+$B199,Paraméterek!$B$121:$D$122,IF($D$4="Forint",2,3)),0,VLOOKUP($M$4-1+$B199,Paraméterek!$B$121:$D$122,IF($D$4="Forint",2,3))-$V198)</f>
        <v>109649</v>
      </c>
      <c r="O199" s="13">
        <f ca="1">ROUNDUP($N199*Paraméterek!$C$58/Paraméterek!$C$56,IF($D$4="Forint",0,2))</f>
        <v>18</v>
      </c>
      <c r="P199" s="13">
        <f t="shared" si="35"/>
        <v>832</v>
      </c>
      <c r="Q199" s="33"/>
      <c r="R199" s="13">
        <f t="shared" ca="1" si="36"/>
        <v>0</v>
      </c>
      <c r="S199" s="13">
        <f ca="1">ROUNDUP(($M199-$O199-$P199+$R199)*VLOOKUP($B199,Paraméterek!$B$38:$D$39,IF($D$2="Egyszeri",3,2))/12,IF($D$4="Forint",0,2))</f>
        <v>-273</v>
      </c>
      <c r="T199" s="13">
        <f>Tranzakciók!$F$46</f>
        <v>0</v>
      </c>
      <c r="U199" s="13"/>
      <c r="V199" s="13">
        <f ca="1">$M199-$O199-$P199+$R199-$S199-IF(ROUNDUP(IF(ISBLANK($U199),$T199,$U199)/IF(AND($B199=1,$D$2&lt;&gt;"Egyszeri"),1,VLOOKUP($B199+IF($C199=12,1,0),Paraméterek!$B$257:$D$267,IF($D$2="Egyszeri",3,2))),IF($D$4="Forint",0,2))&gt;$M199-$O199-$P199+$R199-$S199-IF($D$4="Forint",Paraméterek!$C$216,Paraméterek!$D$216),0,ROUNDUP(IF(ISBLANK($U199),$T199,$U199)/IF(AND($B199=1,$D$2&lt;&gt;"Egyszeri"),1,VLOOKUP($B199+IF($C199=12,1,0),Paraméterek!$B$257:$D$267,IF($D$2="Egyszeri",3,2))),IF($D$4="Forint",0,2)))</f>
        <v>-100226</v>
      </c>
      <c r="W199" s="13">
        <f ca="1">ROUNDDOWN($V199*VLOOKUP($B199+IF($C199=12,1,0),Paraméterek!$B$257:$D$267,IF($D$2="Egyszeri",3,2)),IF($D$4="Forint",0,2))</f>
        <v>-100226</v>
      </c>
      <c r="Y199" s="32">
        <v>180</v>
      </c>
      <c r="Z199" s="32">
        <v>15</v>
      </c>
      <c r="AA199" s="32">
        <v>12</v>
      </c>
      <c r="AB199" s="13">
        <f t="shared" si="41"/>
        <v>0</v>
      </c>
      <c r="AC199" s="33"/>
      <c r="AD199" s="13">
        <f t="shared" si="37"/>
        <v>0</v>
      </c>
      <c r="AE199" s="13">
        <f>ROUNDUP(($AB199+$AD199)*VLOOKUP($Z199,Paraméterek!$P$38:$Q$38,2)/12,IF($D$4="Forint",0,2))</f>
        <v>0</v>
      </c>
      <c r="AF199" s="13">
        <f>IF($D$2="Egyszeri",IF($D$7&gt;=IF($D$4="Forint",Paraméterek!$P$223,Paraméterek!$P$224),$D$7-IF($D$4="Forint",Paraméterek!$F$223,Paraméterek!$F$224),0),MIN(IF($AA199=12,AVERAGE($D$20:$D199)*12,0),SUM($D$20:$D$31)))</f>
        <v>0</v>
      </c>
      <c r="AG199" s="13">
        <f>IF(AND($Z199&gt;=10,MOD($Z199,5)=0),$AF199*IF($AA199=12,VLOOKUP($Z199,Paraméterek!$B$225:$F$240,IF($AF199&lt;IF($D$4="Forint",Paraméterek!$C$223,Paraméterek!$C$224),2,IF($AF199&lt;IF($D$4="Forint",Paraméterek!$D$223,Paraméterek!$D$224),3,4))),0),0)</f>
        <v>0</v>
      </c>
      <c r="AH199" s="13">
        <f>IF(AND($Z199&gt;=5,MOD($Z199,5)=0),IF($AA199=12,VLOOKUP($Z199,Paraméterek!$B$225:$F$240,5),0),IF(OR($Z199=3,$Z199=4),IF($AA199=12,VLOOKUP($Z199,Paraméterek!$B$225:$F$240,5,0),0),0))*$AF199</f>
        <v>0</v>
      </c>
      <c r="AI199" s="13">
        <f>ROUNDDOWN(IF(SUM($T$20:$U199)=0,IF($D$2="Egyszeri",$AH199,$AG199),0),IF($D$4="Forint",0,2))</f>
        <v>0</v>
      </c>
      <c r="AJ199" s="13">
        <f t="shared" si="42"/>
        <v>0</v>
      </c>
      <c r="AK199" s="13">
        <f t="shared" si="43"/>
        <v>0</v>
      </c>
      <c r="AM199" s="32">
        <v>180</v>
      </c>
      <c r="AN199" s="32">
        <v>15</v>
      </c>
      <c r="AO199" s="32">
        <v>12</v>
      </c>
      <c r="AP199" s="13"/>
      <c r="AQ199" s="32"/>
      <c r="AR199" s="13">
        <f t="shared" si="44"/>
        <v>0</v>
      </c>
      <c r="AS199" s="33"/>
      <c r="AT199" s="13">
        <f t="shared" si="38"/>
        <v>0</v>
      </c>
      <c r="AU199" s="13">
        <f>ROUNDUP(($AR199+$AT199)*VLOOKUP($AN199,Paraméterek!$P$38:$Q$38,2)/12,IF($D$4="Forint",0,2))</f>
        <v>0</v>
      </c>
      <c r="AV199" s="13">
        <f>Tranzakciók!$M$46</f>
        <v>0</v>
      </c>
      <c r="AW199" s="13"/>
      <c r="AX199" s="13">
        <f>ROUNDUP(IF(SUM($AV199:$AW199)=0,0,IF(IF(ISBLANK($AW199),$AV199,$AW199)*Paraméterek!$J$112&lt;IF($D$4="Forint",Paraméterek!$J$113,Paraméterek!$K$113),IF($D$4="Forint",Paraméterek!$J$113,Paraméterek!$K$113),IF(IF(ISBLANK($AW199),$AV199,$AW199)*Paraméterek!$J$112&gt;IF($D$4="Forint",Paraméterek!$J$114,Paraméterek!$K$114),IF($D$4="Forint",Paraméterek!$J$114,Paraméterek!$K$114),IF(ISBLANK($AW199),$AV199,$AW199)*Paraméterek!$J$112))),IF($D$4="Forint",0,2))</f>
        <v>0</v>
      </c>
      <c r="AY199" s="13">
        <f>$AR199+$AT199-$AU199-IF(ROUNDDOWN(IF(ISBLANK($AW199),$AV199,$AW199),IF($D$4="Forint",0,2))&gt;$AR199+$AT199-$AU199-IF($D$4="Forint",Paraméterek!$J$114,Paraméterek!$K$114),0,ROUNDDOWN(IF(ISBLANK($AW199),$AV199,$AW199),IF($D$4="Forint",0,2))-$AX199)</f>
        <v>0</v>
      </c>
      <c r="AZ199" s="13">
        <f t="shared" si="39"/>
        <v>0</v>
      </c>
    </row>
    <row r="200" spans="1:52" x14ac:dyDescent="0.2">
      <c r="A200" s="32">
        <v>181</v>
      </c>
      <c r="B200" s="32">
        <v>16</v>
      </c>
      <c r="C200" s="32">
        <v>1</v>
      </c>
      <c r="D200" s="13">
        <f t="shared" si="30"/>
        <v>0</v>
      </c>
      <c r="E200" s="13"/>
      <c r="F200" s="13">
        <f>Tranzakciók!$D$47</f>
        <v>0</v>
      </c>
      <c r="G200" s="13"/>
      <c r="H200" s="13">
        <f t="shared" si="31"/>
        <v>0</v>
      </c>
      <c r="I200" s="13">
        <f t="shared" si="32"/>
        <v>156</v>
      </c>
      <c r="J200" s="13">
        <f t="shared" si="33"/>
        <v>156</v>
      </c>
      <c r="K200" s="13">
        <f>ROUNDUP(IF($D$2="Egyszeri",$D200,IF($D$2="Havi",SUM($D$20:$D$31),IF(MOD($C200,$M$1)-1=0,SUM($D$20:$D$31),0))/12*$M$1)*VLOOKUP($B200,Paraméterek!$B$27:$D$30,IF($D$2="Egyszeri",3,2)),IF($D$4="Forint",0,2))</f>
        <v>0</v>
      </c>
      <c r="L200" s="13">
        <f t="shared" si="34"/>
        <v>0</v>
      </c>
      <c r="M200" s="13">
        <f t="shared" ca="1" si="40"/>
        <v>-100226</v>
      </c>
      <c r="N200" s="13">
        <f ca="1">IF($V199&gt;=VLOOKUP($M$4-1+$B200,Paraméterek!$B$121:$D$122,IF($D$4="Forint",2,3)),0,VLOOKUP($M$4-1+$B200,Paraméterek!$B$121:$D$122,IF($D$4="Forint",2,3))-$V199)</f>
        <v>110226</v>
      </c>
      <c r="O200" s="13">
        <f ca="1">ROUNDUP($N200*Paraméterek!$C$58/Paraméterek!$C$56,IF($D$4="Forint",0,2))</f>
        <v>18</v>
      </c>
      <c r="P200" s="13">
        <f t="shared" si="35"/>
        <v>857</v>
      </c>
      <c r="Q200" s="33"/>
      <c r="R200" s="13">
        <f t="shared" ca="1" si="36"/>
        <v>0</v>
      </c>
      <c r="S200" s="13">
        <f ca="1">ROUNDUP(($M200-$O200-$P200+$R200)*VLOOKUP($B200,Paraméterek!$B$38:$D$39,IF($D$2="Egyszeri",3,2))/12,IF($D$4="Forint",0,2))</f>
        <v>-247</v>
      </c>
      <c r="T200" s="13"/>
      <c r="U200" s="13"/>
      <c r="V200" s="13">
        <f ca="1">$M200-$O200-$P200+$R200-$S200-IF(ROUNDUP(IF(ISBLANK($U200),$T200,$U200)/IF(AND($B200=1,$D$2&lt;&gt;"Egyszeri"),1,VLOOKUP($B200+IF($C200=12,1,0),Paraméterek!$B$257:$D$267,IF($D$2="Egyszeri",3,2))),IF($D$4="Forint",0,2))&gt;$M200-$O200-$P200+$R200-$S200-IF($D$4="Forint",Paraméterek!$C$216,Paraméterek!$D$216),0,ROUNDUP(IF(ISBLANK($U200),$T200,$U200)/IF(AND($B200=1,$D$2&lt;&gt;"Egyszeri"),1,VLOOKUP($B200+IF($C200=12,1,0),Paraméterek!$B$257:$D$267,IF($D$2="Egyszeri",3,2))),IF($D$4="Forint",0,2)))</f>
        <v>-100854</v>
      </c>
      <c r="W200" s="13">
        <f ca="1">ROUNDDOWN($V200*VLOOKUP($B200+IF($C200=12,1,0),Paraméterek!$B$257:$D$267,IF($D$2="Egyszeri",3,2)),IF($D$4="Forint",0,2))</f>
        <v>-100854</v>
      </c>
      <c r="Y200" s="32">
        <v>181</v>
      </c>
      <c r="Z200" s="32">
        <v>16</v>
      </c>
      <c r="AA200" s="32">
        <v>1</v>
      </c>
      <c r="AB200" s="13">
        <f t="shared" si="41"/>
        <v>0</v>
      </c>
      <c r="AC200" s="33"/>
      <c r="AD200" s="13">
        <f t="shared" si="37"/>
        <v>0</v>
      </c>
      <c r="AE200" s="13">
        <f>ROUNDUP(($AB200+$AD200)*VLOOKUP($Z200,Paraméterek!$P$38:$Q$38,2)/12,IF($D$4="Forint",0,2))</f>
        <v>0</v>
      </c>
      <c r="AF200" s="13">
        <f>IF($D$2="Egyszeri",IF($D$7&gt;=IF($D$4="Forint",Paraméterek!$P$223,Paraméterek!$P$224),$D$7-IF($D$4="Forint",Paraméterek!$F$223,Paraméterek!$F$224),0),MIN(IF($AA200=12,AVERAGE($D$20:$D200)*12,0),SUM($D$20:$D$31)))</f>
        <v>0</v>
      </c>
      <c r="AG200" s="13">
        <f>IF(AND($Z200&gt;=10,MOD($Z200,5)=0),$AF200*IF($AA200=12,VLOOKUP($Z200,Paraméterek!$B$225:$F$240,IF($AF200&lt;IF($D$4="Forint",Paraméterek!$C$223,Paraméterek!$C$224),2,IF($AF200&lt;IF($D$4="Forint",Paraméterek!$D$223,Paraméterek!$D$224),3,4))),0),0)</f>
        <v>0</v>
      </c>
      <c r="AH200" s="13">
        <f>IF(AND($Z200&gt;=5,MOD($Z200,5)=0),IF($AA200=12,VLOOKUP($Z200,Paraméterek!$B$225:$F$240,5),0),IF(OR($Z200=3,$Z200=4),IF($AA200=12,VLOOKUP($Z200,Paraméterek!$B$225:$F$240,5,0),0),0))*$AF200</f>
        <v>0</v>
      </c>
      <c r="AI200" s="13">
        <f>ROUNDDOWN(IF(SUM($T$20:$U200)=0,IF($D$2="Egyszeri",$AH200,$AG200),0),IF($D$4="Forint",0,2))</f>
        <v>0</v>
      </c>
      <c r="AJ200" s="13">
        <f t="shared" si="42"/>
        <v>0</v>
      </c>
      <c r="AK200" s="13">
        <f t="shared" si="43"/>
        <v>0</v>
      </c>
      <c r="AM200" s="32">
        <v>181</v>
      </c>
      <c r="AN200" s="32">
        <v>16</v>
      </c>
      <c r="AO200" s="32">
        <v>1</v>
      </c>
      <c r="AP200" s="13">
        <f>Tranzakciók!$K$47</f>
        <v>0</v>
      </c>
      <c r="AQ200" s="32"/>
      <c r="AR200" s="13">
        <f t="shared" si="44"/>
        <v>0</v>
      </c>
      <c r="AS200" s="33"/>
      <c r="AT200" s="13">
        <f t="shared" si="38"/>
        <v>0</v>
      </c>
      <c r="AU200" s="13">
        <f>ROUNDUP(($AR200+$AT200)*VLOOKUP($AN200,Paraméterek!$P$38:$Q$38,2)/12,IF($D$4="Forint",0,2))</f>
        <v>0</v>
      </c>
      <c r="AV200" s="13"/>
      <c r="AW200" s="13"/>
      <c r="AX200" s="13">
        <f>ROUNDUP(IF(SUM($AV200:$AW200)=0,0,IF(IF(ISBLANK($AW200),$AV200,$AW200)*Paraméterek!$J$112&lt;IF($D$4="Forint",Paraméterek!$J$113,Paraméterek!$K$113),IF($D$4="Forint",Paraméterek!$J$113,Paraméterek!$K$113),IF(IF(ISBLANK($AW200),$AV200,$AW200)*Paraméterek!$J$112&gt;IF($D$4="Forint",Paraméterek!$J$114,Paraméterek!$K$114),IF($D$4="Forint",Paraméterek!$J$114,Paraméterek!$K$114),IF(ISBLANK($AW200),$AV200,$AW200)*Paraméterek!$J$112))),IF($D$4="Forint",0,2))</f>
        <v>0</v>
      </c>
      <c r="AY200" s="13">
        <f>$AR200+$AT200-$AU200-IF(ROUNDDOWN(IF(ISBLANK($AW200),$AV200,$AW200),IF($D$4="Forint",0,2))&gt;$AR200+$AT200-$AU200-IF($D$4="Forint",Paraméterek!$J$114,Paraméterek!$K$114),0,ROUNDDOWN(IF(ISBLANK($AW200),$AV200,$AW200),IF($D$4="Forint",0,2))-$AX200)</f>
        <v>0</v>
      </c>
      <c r="AZ200" s="13">
        <f t="shared" si="39"/>
        <v>0</v>
      </c>
    </row>
    <row r="201" spans="1:52" x14ac:dyDescent="0.2">
      <c r="A201" s="32">
        <v>182</v>
      </c>
      <c r="B201" s="32">
        <v>16</v>
      </c>
      <c r="C201" s="32">
        <v>2</v>
      </c>
      <c r="D201" s="13">
        <f t="shared" si="30"/>
        <v>0</v>
      </c>
      <c r="E201" s="13"/>
      <c r="F201" s="13"/>
      <c r="G201" s="13"/>
      <c r="H201" s="13">
        <f t="shared" si="31"/>
        <v>0</v>
      </c>
      <c r="I201" s="13">
        <f t="shared" si="32"/>
        <v>0</v>
      </c>
      <c r="J201" s="13">
        <f t="shared" si="33"/>
        <v>0</v>
      </c>
      <c r="K201" s="13">
        <f>ROUNDUP(IF($D$2="Egyszeri",$D201,IF($D$2="Havi",SUM($D$20:$D$31),IF(MOD($C201,$M$1)-1=0,SUM($D$20:$D$31),0))/12*$M$1)*VLOOKUP($B201,Paraméterek!$B$27:$D$30,IF($D$2="Egyszeri",3,2)),IF($D$4="Forint",0,2))</f>
        <v>0</v>
      </c>
      <c r="L201" s="13">
        <f t="shared" si="34"/>
        <v>0</v>
      </c>
      <c r="M201" s="13">
        <f t="shared" ca="1" si="40"/>
        <v>-100854</v>
      </c>
      <c r="N201" s="13">
        <f ca="1">IF($V200&gt;=VLOOKUP($M$4-1+$B201,Paraméterek!$B$121:$D$122,IF($D$4="Forint",2,3)),0,VLOOKUP($M$4-1+$B201,Paraméterek!$B$121:$D$122,IF($D$4="Forint",2,3))-$V200)</f>
        <v>110854</v>
      </c>
      <c r="O201" s="13">
        <f ca="1">ROUNDUP($N201*Paraméterek!$C$58/Paraméterek!$C$56,IF($D$4="Forint",0,2))</f>
        <v>18</v>
      </c>
      <c r="P201" s="13">
        <f t="shared" si="35"/>
        <v>857</v>
      </c>
      <c r="Q201" s="33"/>
      <c r="R201" s="13">
        <f t="shared" ca="1" si="36"/>
        <v>0</v>
      </c>
      <c r="S201" s="13">
        <f ca="1">ROUNDUP(($M201-$O201-$P201+$R201)*VLOOKUP($B201,Paraméterek!$B$38:$D$39,IF($D$2="Egyszeri",3,2))/12,IF($D$4="Forint",0,2))</f>
        <v>-249</v>
      </c>
      <c r="T201" s="13"/>
      <c r="U201" s="13"/>
      <c r="V201" s="13">
        <f ca="1">$M201-$O201-$P201+$R201-$S201-IF(ROUNDUP(IF(ISBLANK($U201),$T201,$U201)/IF(AND($B201=1,$D$2&lt;&gt;"Egyszeri"),1,VLOOKUP($B201+IF($C201=12,1,0),Paraméterek!$B$257:$D$267,IF($D$2="Egyszeri",3,2))),IF($D$4="Forint",0,2))&gt;$M201-$O201-$P201+$R201-$S201-IF($D$4="Forint",Paraméterek!$C$216,Paraméterek!$D$216),0,ROUNDUP(IF(ISBLANK($U201),$T201,$U201)/IF(AND($B201=1,$D$2&lt;&gt;"Egyszeri"),1,VLOOKUP($B201+IF($C201=12,1,0),Paraméterek!$B$257:$D$267,IF($D$2="Egyszeri",3,2))),IF($D$4="Forint",0,2)))</f>
        <v>-101480</v>
      </c>
      <c r="W201" s="13">
        <f ca="1">ROUNDDOWN($V201*VLOOKUP($B201+IF($C201=12,1,0),Paraméterek!$B$257:$D$267,IF($D$2="Egyszeri",3,2)),IF($D$4="Forint",0,2))</f>
        <v>-101480</v>
      </c>
      <c r="Y201" s="32">
        <v>182</v>
      </c>
      <c r="Z201" s="32">
        <v>16</v>
      </c>
      <c r="AA201" s="32">
        <v>2</v>
      </c>
      <c r="AB201" s="13">
        <f t="shared" si="41"/>
        <v>0</v>
      </c>
      <c r="AC201" s="33"/>
      <c r="AD201" s="13">
        <f t="shared" si="37"/>
        <v>0</v>
      </c>
      <c r="AE201" s="13">
        <f>ROUNDUP(($AB201+$AD201)*VLOOKUP($Z201,Paraméterek!$P$38:$Q$38,2)/12,IF($D$4="Forint",0,2))</f>
        <v>0</v>
      </c>
      <c r="AF201" s="13">
        <f>IF($D$2="Egyszeri",IF($D$7&gt;=IF($D$4="Forint",Paraméterek!$P$223,Paraméterek!$P$224),$D$7-IF($D$4="Forint",Paraméterek!$F$223,Paraméterek!$F$224),0),MIN(IF($AA201=12,AVERAGE($D$20:$D201)*12,0),SUM($D$20:$D$31)))</f>
        <v>0</v>
      </c>
      <c r="AG201" s="13">
        <f>IF(AND($Z201&gt;=10,MOD($Z201,5)=0),$AF201*IF($AA201=12,VLOOKUP($Z201,Paraméterek!$B$225:$F$240,IF($AF201&lt;IF($D$4="Forint",Paraméterek!$C$223,Paraméterek!$C$224),2,IF($AF201&lt;IF($D$4="Forint",Paraméterek!$D$223,Paraméterek!$D$224),3,4))),0),0)</f>
        <v>0</v>
      </c>
      <c r="AH201" s="13">
        <f>IF(AND($Z201&gt;=5,MOD($Z201,5)=0),IF($AA201=12,VLOOKUP($Z201,Paraméterek!$B$225:$F$240,5),0),IF(OR($Z201=3,$Z201=4),IF($AA201=12,VLOOKUP($Z201,Paraméterek!$B$225:$F$240,5,0),0),0))*$AF201</f>
        <v>0</v>
      </c>
      <c r="AI201" s="13">
        <f>ROUNDDOWN(IF(SUM($T$20:$U201)=0,IF($D$2="Egyszeri",$AH201,$AG201),0),IF($D$4="Forint",0,2))</f>
        <v>0</v>
      </c>
      <c r="AJ201" s="13">
        <f t="shared" si="42"/>
        <v>0</v>
      </c>
      <c r="AK201" s="13">
        <f t="shared" si="43"/>
        <v>0</v>
      </c>
      <c r="AM201" s="32">
        <v>182</v>
      </c>
      <c r="AN201" s="32">
        <v>16</v>
      </c>
      <c r="AO201" s="32">
        <v>2</v>
      </c>
      <c r="AP201" s="13"/>
      <c r="AQ201" s="32"/>
      <c r="AR201" s="13">
        <f t="shared" si="44"/>
        <v>0</v>
      </c>
      <c r="AS201" s="33"/>
      <c r="AT201" s="13">
        <f t="shared" si="38"/>
        <v>0</v>
      </c>
      <c r="AU201" s="13">
        <f>ROUNDUP(($AR201+$AT201)*VLOOKUP($AN201,Paraméterek!$P$38:$Q$38,2)/12,IF($D$4="Forint",0,2))</f>
        <v>0</v>
      </c>
      <c r="AV201" s="13"/>
      <c r="AW201" s="13"/>
      <c r="AX201" s="13">
        <f>ROUNDUP(IF(SUM($AV201:$AW201)=0,0,IF(IF(ISBLANK($AW201),$AV201,$AW201)*Paraméterek!$J$112&lt;IF($D$4="Forint",Paraméterek!$J$113,Paraméterek!$K$113),IF($D$4="Forint",Paraméterek!$J$113,Paraméterek!$K$113),IF(IF(ISBLANK($AW201),$AV201,$AW201)*Paraméterek!$J$112&gt;IF($D$4="Forint",Paraméterek!$J$114,Paraméterek!$K$114),IF($D$4="Forint",Paraméterek!$J$114,Paraméterek!$K$114),IF(ISBLANK($AW201),$AV201,$AW201)*Paraméterek!$J$112))),IF($D$4="Forint",0,2))</f>
        <v>0</v>
      </c>
      <c r="AY201" s="13">
        <f>$AR201+$AT201-$AU201-IF(ROUNDDOWN(IF(ISBLANK($AW201),$AV201,$AW201),IF($D$4="Forint",0,2))&gt;$AR201+$AT201-$AU201-IF($D$4="Forint",Paraméterek!$J$114,Paraméterek!$K$114),0,ROUNDDOWN(IF(ISBLANK($AW201),$AV201,$AW201),IF($D$4="Forint",0,2))-$AX201)</f>
        <v>0</v>
      </c>
      <c r="AZ201" s="13">
        <f t="shared" si="39"/>
        <v>0</v>
      </c>
    </row>
    <row r="202" spans="1:52" x14ac:dyDescent="0.2">
      <c r="A202" s="32">
        <v>183</v>
      </c>
      <c r="B202" s="32">
        <v>16</v>
      </c>
      <c r="C202" s="32">
        <v>3</v>
      </c>
      <c r="D202" s="13">
        <f t="shared" si="30"/>
        <v>0</v>
      </c>
      <c r="E202" s="13"/>
      <c r="F202" s="13"/>
      <c r="G202" s="13"/>
      <c r="H202" s="13">
        <f t="shared" si="31"/>
        <v>0</v>
      </c>
      <c r="I202" s="13">
        <f t="shared" si="32"/>
        <v>0</v>
      </c>
      <c r="J202" s="13">
        <f t="shared" si="33"/>
        <v>0</v>
      </c>
      <c r="K202" s="13">
        <f>ROUNDUP(IF($D$2="Egyszeri",$D202,IF($D$2="Havi",SUM($D$20:$D$31),IF(MOD($C202,$M$1)-1=0,SUM($D$20:$D$31),0))/12*$M$1)*VLOOKUP($B202,Paraméterek!$B$27:$D$30,IF($D$2="Egyszeri",3,2)),IF($D$4="Forint",0,2))</f>
        <v>0</v>
      </c>
      <c r="L202" s="13">
        <f t="shared" si="34"/>
        <v>0</v>
      </c>
      <c r="M202" s="13">
        <f t="shared" ca="1" si="40"/>
        <v>-101480</v>
      </c>
      <c r="N202" s="13">
        <f ca="1">IF($V201&gt;=VLOOKUP($M$4-1+$B202,Paraméterek!$B$121:$D$122,IF($D$4="Forint",2,3)),0,VLOOKUP($M$4-1+$B202,Paraméterek!$B$121:$D$122,IF($D$4="Forint",2,3))-$V201)</f>
        <v>111480</v>
      </c>
      <c r="O202" s="13">
        <f ca="1">ROUNDUP($N202*Paraméterek!$C$58/Paraméterek!$C$56,IF($D$4="Forint",0,2))</f>
        <v>18</v>
      </c>
      <c r="P202" s="13">
        <f t="shared" si="35"/>
        <v>857</v>
      </c>
      <c r="Q202" s="33"/>
      <c r="R202" s="13">
        <f t="shared" ca="1" si="36"/>
        <v>0</v>
      </c>
      <c r="S202" s="13">
        <f ca="1">ROUNDUP(($M202-$O202-$P202+$R202)*VLOOKUP($B202,Paraméterek!$B$38:$D$39,IF($D$2="Egyszeri",3,2))/12,IF($D$4="Forint",0,2))</f>
        <v>-250</v>
      </c>
      <c r="T202" s="13"/>
      <c r="U202" s="13"/>
      <c r="V202" s="13">
        <f ca="1">$M202-$O202-$P202+$R202-$S202-IF(ROUNDUP(IF(ISBLANK($U202),$T202,$U202)/IF(AND($B202=1,$D$2&lt;&gt;"Egyszeri"),1,VLOOKUP($B202+IF($C202=12,1,0),Paraméterek!$B$257:$D$267,IF($D$2="Egyszeri",3,2))),IF($D$4="Forint",0,2))&gt;$M202-$O202-$P202+$R202-$S202-IF($D$4="Forint",Paraméterek!$C$216,Paraméterek!$D$216),0,ROUNDUP(IF(ISBLANK($U202),$T202,$U202)/IF(AND($B202=1,$D$2&lt;&gt;"Egyszeri"),1,VLOOKUP($B202+IF($C202=12,1,0),Paraméterek!$B$257:$D$267,IF($D$2="Egyszeri",3,2))),IF($D$4="Forint",0,2)))</f>
        <v>-102105</v>
      </c>
      <c r="W202" s="13">
        <f ca="1">ROUNDDOWN($V202*VLOOKUP($B202+IF($C202=12,1,0),Paraméterek!$B$257:$D$267,IF($D$2="Egyszeri",3,2)),IF($D$4="Forint",0,2))</f>
        <v>-102105</v>
      </c>
      <c r="Y202" s="32">
        <v>183</v>
      </c>
      <c r="Z202" s="32">
        <v>16</v>
      </c>
      <c r="AA202" s="32">
        <v>3</v>
      </c>
      <c r="AB202" s="13">
        <f t="shared" si="41"/>
        <v>0</v>
      </c>
      <c r="AC202" s="33"/>
      <c r="AD202" s="13">
        <f t="shared" si="37"/>
        <v>0</v>
      </c>
      <c r="AE202" s="13">
        <f>ROUNDUP(($AB202+$AD202)*VLOOKUP($Z202,Paraméterek!$P$38:$Q$38,2)/12,IF($D$4="Forint",0,2))</f>
        <v>0</v>
      </c>
      <c r="AF202" s="13">
        <f>IF($D$2="Egyszeri",IF($D$7&gt;=IF($D$4="Forint",Paraméterek!$P$223,Paraméterek!$P$224),$D$7-IF($D$4="Forint",Paraméterek!$F$223,Paraméterek!$F$224),0),MIN(IF($AA202=12,AVERAGE($D$20:$D202)*12,0),SUM($D$20:$D$31)))</f>
        <v>0</v>
      </c>
      <c r="AG202" s="13">
        <f>IF(AND($Z202&gt;=10,MOD($Z202,5)=0),$AF202*IF($AA202=12,VLOOKUP($Z202,Paraméterek!$B$225:$F$240,IF($AF202&lt;IF($D$4="Forint",Paraméterek!$C$223,Paraméterek!$C$224),2,IF($AF202&lt;IF($D$4="Forint",Paraméterek!$D$223,Paraméterek!$D$224),3,4))),0),0)</f>
        <v>0</v>
      </c>
      <c r="AH202" s="13">
        <f>IF(AND($Z202&gt;=5,MOD($Z202,5)=0),IF($AA202=12,VLOOKUP($Z202,Paraméterek!$B$225:$F$240,5),0),IF(OR($Z202=3,$Z202=4),IF($AA202=12,VLOOKUP($Z202,Paraméterek!$B$225:$F$240,5,0),0),0))*$AF202</f>
        <v>0</v>
      </c>
      <c r="AI202" s="13">
        <f>ROUNDDOWN(IF(SUM($T$20:$U202)=0,IF($D$2="Egyszeri",$AH202,$AG202),0),IF($D$4="Forint",0,2))</f>
        <v>0</v>
      </c>
      <c r="AJ202" s="13">
        <f t="shared" si="42"/>
        <v>0</v>
      </c>
      <c r="AK202" s="13">
        <f t="shared" si="43"/>
        <v>0</v>
      </c>
      <c r="AM202" s="32">
        <v>183</v>
      </c>
      <c r="AN202" s="32">
        <v>16</v>
      </c>
      <c r="AO202" s="32">
        <v>3</v>
      </c>
      <c r="AP202" s="13"/>
      <c r="AQ202" s="32"/>
      <c r="AR202" s="13">
        <f t="shared" si="44"/>
        <v>0</v>
      </c>
      <c r="AS202" s="33"/>
      <c r="AT202" s="13">
        <f t="shared" si="38"/>
        <v>0</v>
      </c>
      <c r="AU202" s="13">
        <f>ROUNDUP(($AR202+$AT202)*VLOOKUP($AN202,Paraméterek!$P$38:$Q$38,2)/12,IF($D$4="Forint",0,2))</f>
        <v>0</v>
      </c>
      <c r="AV202" s="13"/>
      <c r="AW202" s="13"/>
      <c r="AX202" s="13">
        <f>ROUNDUP(IF(SUM($AV202:$AW202)=0,0,IF(IF(ISBLANK($AW202),$AV202,$AW202)*Paraméterek!$J$112&lt;IF($D$4="Forint",Paraméterek!$J$113,Paraméterek!$K$113),IF($D$4="Forint",Paraméterek!$J$113,Paraméterek!$K$113),IF(IF(ISBLANK($AW202),$AV202,$AW202)*Paraméterek!$J$112&gt;IF($D$4="Forint",Paraméterek!$J$114,Paraméterek!$K$114),IF($D$4="Forint",Paraméterek!$J$114,Paraméterek!$K$114),IF(ISBLANK($AW202),$AV202,$AW202)*Paraméterek!$J$112))),IF($D$4="Forint",0,2))</f>
        <v>0</v>
      </c>
      <c r="AY202" s="13">
        <f>$AR202+$AT202-$AU202-IF(ROUNDDOWN(IF(ISBLANK($AW202),$AV202,$AW202),IF($D$4="Forint",0,2))&gt;$AR202+$AT202-$AU202-IF($D$4="Forint",Paraméterek!$J$114,Paraméterek!$K$114),0,ROUNDDOWN(IF(ISBLANK($AW202),$AV202,$AW202),IF($D$4="Forint",0,2))-$AX202)</f>
        <v>0</v>
      </c>
      <c r="AZ202" s="13">
        <f t="shared" si="39"/>
        <v>0</v>
      </c>
    </row>
    <row r="203" spans="1:52" x14ac:dyDescent="0.2">
      <c r="A203" s="32">
        <v>184</v>
      </c>
      <c r="B203" s="32">
        <v>16</v>
      </c>
      <c r="C203" s="32">
        <v>4</v>
      </c>
      <c r="D203" s="13">
        <f t="shared" si="30"/>
        <v>0</v>
      </c>
      <c r="E203" s="13"/>
      <c r="F203" s="13"/>
      <c r="G203" s="13"/>
      <c r="H203" s="13">
        <f t="shared" si="31"/>
        <v>0</v>
      </c>
      <c r="I203" s="13">
        <f t="shared" si="32"/>
        <v>0</v>
      </c>
      <c r="J203" s="13">
        <f t="shared" si="33"/>
        <v>0</v>
      </c>
      <c r="K203" s="13">
        <f>ROUNDUP(IF($D$2="Egyszeri",$D203,IF($D$2="Havi",SUM($D$20:$D$31),IF(MOD($C203,$M$1)-1=0,SUM($D$20:$D$31),0))/12*$M$1)*VLOOKUP($B203,Paraméterek!$B$27:$D$30,IF($D$2="Egyszeri",3,2)),IF($D$4="Forint",0,2))</f>
        <v>0</v>
      </c>
      <c r="L203" s="13">
        <f t="shared" si="34"/>
        <v>0</v>
      </c>
      <c r="M203" s="13">
        <f t="shared" ca="1" si="40"/>
        <v>-102105</v>
      </c>
      <c r="N203" s="13">
        <f ca="1">IF($V202&gt;=VLOOKUP($M$4-1+$B203,Paraméterek!$B$121:$D$122,IF($D$4="Forint",2,3)),0,VLOOKUP($M$4-1+$B203,Paraméterek!$B$121:$D$122,IF($D$4="Forint",2,3))-$V202)</f>
        <v>112105</v>
      </c>
      <c r="O203" s="13">
        <f ca="1">ROUNDUP($N203*Paraméterek!$C$58/Paraméterek!$C$56,IF($D$4="Forint",0,2))</f>
        <v>18</v>
      </c>
      <c r="P203" s="13">
        <f t="shared" si="35"/>
        <v>857</v>
      </c>
      <c r="Q203" s="33"/>
      <c r="R203" s="13">
        <f t="shared" ca="1" si="36"/>
        <v>0</v>
      </c>
      <c r="S203" s="13">
        <f ca="1">ROUNDUP(($M203-$O203-$P203+$R203)*VLOOKUP($B203,Paraméterek!$B$38:$D$39,IF($D$2="Egyszeri",3,2))/12,IF($D$4="Forint",0,2))</f>
        <v>-252</v>
      </c>
      <c r="T203" s="13"/>
      <c r="U203" s="13"/>
      <c r="V203" s="13">
        <f ca="1">$M203-$O203-$P203+$R203-$S203-IF(ROUNDUP(IF(ISBLANK($U203),$T203,$U203)/IF(AND($B203=1,$D$2&lt;&gt;"Egyszeri"),1,VLOOKUP($B203+IF($C203=12,1,0),Paraméterek!$B$257:$D$267,IF($D$2="Egyszeri",3,2))),IF($D$4="Forint",0,2))&gt;$M203-$O203-$P203+$R203-$S203-IF($D$4="Forint",Paraméterek!$C$216,Paraméterek!$D$216),0,ROUNDUP(IF(ISBLANK($U203),$T203,$U203)/IF(AND($B203=1,$D$2&lt;&gt;"Egyszeri"),1,VLOOKUP($B203+IF($C203=12,1,0),Paraméterek!$B$257:$D$267,IF($D$2="Egyszeri",3,2))),IF($D$4="Forint",0,2)))</f>
        <v>-102728</v>
      </c>
      <c r="W203" s="13">
        <f ca="1">ROUNDDOWN($V203*VLOOKUP($B203+IF($C203=12,1,0),Paraméterek!$B$257:$D$267,IF($D$2="Egyszeri",3,2)),IF($D$4="Forint",0,2))</f>
        <v>-102728</v>
      </c>
      <c r="Y203" s="32">
        <v>184</v>
      </c>
      <c r="Z203" s="32">
        <v>16</v>
      </c>
      <c r="AA203" s="32">
        <v>4</v>
      </c>
      <c r="AB203" s="13">
        <f t="shared" si="41"/>
        <v>0</v>
      </c>
      <c r="AC203" s="33"/>
      <c r="AD203" s="13">
        <f t="shared" si="37"/>
        <v>0</v>
      </c>
      <c r="AE203" s="13">
        <f>ROUNDUP(($AB203+$AD203)*VLOOKUP($Z203,Paraméterek!$P$38:$Q$38,2)/12,IF($D$4="Forint",0,2))</f>
        <v>0</v>
      </c>
      <c r="AF203" s="13">
        <f>IF($D$2="Egyszeri",IF($D$7&gt;=IF($D$4="Forint",Paraméterek!$P$223,Paraméterek!$P$224),$D$7-IF($D$4="Forint",Paraméterek!$F$223,Paraméterek!$F$224),0),MIN(IF($AA203=12,AVERAGE($D$20:$D203)*12,0),SUM($D$20:$D$31)))</f>
        <v>0</v>
      </c>
      <c r="AG203" s="13">
        <f>IF(AND($Z203&gt;=10,MOD($Z203,5)=0),$AF203*IF($AA203=12,VLOOKUP($Z203,Paraméterek!$B$225:$F$240,IF($AF203&lt;IF($D$4="Forint",Paraméterek!$C$223,Paraméterek!$C$224),2,IF($AF203&lt;IF($D$4="Forint",Paraméterek!$D$223,Paraméterek!$D$224),3,4))),0),0)</f>
        <v>0</v>
      </c>
      <c r="AH203" s="13">
        <f>IF(AND($Z203&gt;=5,MOD($Z203,5)=0),IF($AA203=12,VLOOKUP($Z203,Paraméterek!$B$225:$F$240,5),0),IF(OR($Z203=3,$Z203=4),IF($AA203=12,VLOOKUP($Z203,Paraméterek!$B$225:$F$240,5,0),0),0))*$AF203</f>
        <v>0</v>
      </c>
      <c r="AI203" s="13">
        <f>ROUNDDOWN(IF(SUM($T$20:$U203)=0,IF($D$2="Egyszeri",$AH203,$AG203),0),IF($D$4="Forint",0,2))</f>
        <v>0</v>
      </c>
      <c r="AJ203" s="13">
        <f t="shared" si="42"/>
        <v>0</v>
      </c>
      <c r="AK203" s="13">
        <f t="shared" si="43"/>
        <v>0</v>
      </c>
      <c r="AM203" s="32">
        <v>184</v>
      </c>
      <c r="AN203" s="32">
        <v>16</v>
      </c>
      <c r="AO203" s="32">
        <v>4</v>
      </c>
      <c r="AP203" s="13"/>
      <c r="AQ203" s="32"/>
      <c r="AR203" s="13">
        <f t="shared" si="44"/>
        <v>0</v>
      </c>
      <c r="AS203" s="33"/>
      <c r="AT203" s="13">
        <f t="shared" si="38"/>
        <v>0</v>
      </c>
      <c r="AU203" s="13">
        <f>ROUNDUP(($AR203+$AT203)*VLOOKUP($AN203,Paraméterek!$P$38:$Q$38,2)/12,IF($D$4="Forint",0,2))</f>
        <v>0</v>
      </c>
      <c r="AV203" s="13"/>
      <c r="AW203" s="13"/>
      <c r="AX203" s="13">
        <f>ROUNDUP(IF(SUM($AV203:$AW203)=0,0,IF(IF(ISBLANK($AW203),$AV203,$AW203)*Paraméterek!$J$112&lt;IF($D$4="Forint",Paraméterek!$J$113,Paraméterek!$K$113),IF($D$4="Forint",Paraméterek!$J$113,Paraméterek!$K$113),IF(IF(ISBLANK($AW203),$AV203,$AW203)*Paraméterek!$J$112&gt;IF($D$4="Forint",Paraméterek!$J$114,Paraméterek!$K$114),IF($D$4="Forint",Paraméterek!$J$114,Paraméterek!$K$114),IF(ISBLANK($AW203),$AV203,$AW203)*Paraméterek!$J$112))),IF($D$4="Forint",0,2))</f>
        <v>0</v>
      </c>
      <c r="AY203" s="13">
        <f>$AR203+$AT203-$AU203-IF(ROUNDDOWN(IF(ISBLANK($AW203),$AV203,$AW203),IF($D$4="Forint",0,2))&gt;$AR203+$AT203-$AU203-IF($D$4="Forint",Paraméterek!$J$114,Paraméterek!$K$114),0,ROUNDDOWN(IF(ISBLANK($AW203),$AV203,$AW203),IF($D$4="Forint",0,2))-$AX203)</f>
        <v>0</v>
      </c>
      <c r="AZ203" s="13">
        <f t="shared" si="39"/>
        <v>0</v>
      </c>
    </row>
    <row r="204" spans="1:52" x14ac:dyDescent="0.2">
      <c r="A204" s="32">
        <v>185</v>
      </c>
      <c r="B204" s="32">
        <v>16</v>
      </c>
      <c r="C204" s="32">
        <v>5</v>
      </c>
      <c r="D204" s="13">
        <f t="shared" si="30"/>
        <v>0</v>
      </c>
      <c r="E204" s="13"/>
      <c r="F204" s="13"/>
      <c r="G204" s="13"/>
      <c r="H204" s="13">
        <f t="shared" si="31"/>
        <v>0</v>
      </c>
      <c r="I204" s="13">
        <f t="shared" si="32"/>
        <v>0</v>
      </c>
      <c r="J204" s="13">
        <f t="shared" si="33"/>
        <v>0</v>
      </c>
      <c r="K204" s="13">
        <f>ROUNDUP(IF($D$2="Egyszeri",$D204,IF($D$2="Havi",SUM($D$20:$D$31),IF(MOD($C204,$M$1)-1=0,SUM($D$20:$D$31),0))/12*$M$1)*VLOOKUP($B204,Paraméterek!$B$27:$D$30,IF($D$2="Egyszeri",3,2)),IF($D$4="Forint",0,2))</f>
        <v>0</v>
      </c>
      <c r="L204" s="13">
        <f t="shared" si="34"/>
        <v>0</v>
      </c>
      <c r="M204" s="13">
        <f t="shared" ca="1" si="40"/>
        <v>-102728</v>
      </c>
      <c r="N204" s="13">
        <f ca="1">IF($V203&gt;=VLOOKUP($M$4-1+$B204,Paraméterek!$B$121:$D$122,IF($D$4="Forint",2,3)),0,VLOOKUP($M$4-1+$B204,Paraméterek!$B$121:$D$122,IF($D$4="Forint",2,3))-$V203)</f>
        <v>112728</v>
      </c>
      <c r="O204" s="13">
        <f ca="1">ROUNDUP($N204*Paraméterek!$C$58/Paraméterek!$C$56,IF($D$4="Forint",0,2))</f>
        <v>18</v>
      </c>
      <c r="P204" s="13">
        <f t="shared" si="35"/>
        <v>857</v>
      </c>
      <c r="Q204" s="33"/>
      <c r="R204" s="13">
        <f t="shared" ca="1" si="36"/>
        <v>0</v>
      </c>
      <c r="S204" s="13">
        <f ca="1">ROUNDUP(($M204-$O204-$P204+$R204)*VLOOKUP($B204,Paraméterek!$B$38:$D$39,IF($D$2="Egyszeri",3,2))/12,IF($D$4="Forint",0,2))</f>
        <v>-253</v>
      </c>
      <c r="T204" s="13"/>
      <c r="U204" s="13"/>
      <c r="V204" s="13">
        <f ca="1">$M204-$O204-$P204+$R204-$S204-IF(ROUNDUP(IF(ISBLANK($U204),$T204,$U204)/IF(AND($B204=1,$D$2&lt;&gt;"Egyszeri"),1,VLOOKUP($B204+IF($C204=12,1,0),Paraméterek!$B$257:$D$267,IF($D$2="Egyszeri",3,2))),IF($D$4="Forint",0,2))&gt;$M204-$O204-$P204+$R204-$S204-IF($D$4="Forint",Paraméterek!$C$216,Paraméterek!$D$216),0,ROUNDUP(IF(ISBLANK($U204),$T204,$U204)/IF(AND($B204=1,$D$2&lt;&gt;"Egyszeri"),1,VLOOKUP($B204+IF($C204=12,1,0),Paraméterek!$B$257:$D$267,IF($D$2="Egyszeri",3,2))),IF($D$4="Forint",0,2)))</f>
        <v>-103350</v>
      </c>
      <c r="W204" s="13">
        <f ca="1">ROUNDDOWN($V204*VLOOKUP($B204+IF($C204=12,1,0),Paraméterek!$B$257:$D$267,IF($D$2="Egyszeri",3,2)),IF($D$4="Forint",0,2))</f>
        <v>-103350</v>
      </c>
      <c r="Y204" s="32">
        <v>185</v>
      </c>
      <c r="Z204" s="32">
        <v>16</v>
      </c>
      <c r="AA204" s="32">
        <v>5</v>
      </c>
      <c r="AB204" s="13">
        <f t="shared" si="41"/>
        <v>0</v>
      </c>
      <c r="AC204" s="33"/>
      <c r="AD204" s="13">
        <f t="shared" si="37"/>
        <v>0</v>
      </c>
      <c r="AE204" s="13">
        <f>ROUNDUP(($AB204+$AD204)*VLOOKUP($Z204,Paraméterek!$P$38:$Q$38,2)/12,IF($D$4="Forint",0,2))</f>
        <v>0</v>
      </c>
      <c r="AF204" s="13">
        <f>IF($D$2="Egyszeri",IF($D$7&gt;=IF($D$4="Forint",Paraméterek!$P$223,Paraméterek!$P$224),$D$7-IF($D$4="Forint",Paraméterek!$F$223,Paraméterek!$F$224),0),MIN(IF($AA204=12,AVERAGE($D$20:$D204)*12,0),SUM($D$20:$D$31)))</f>
        <v>0</v>
      </c>
      <c r="AG204" s="13">
        <f>IF(AND($Z204&gt;=10,MOD($Z204,5)=0),$AF204*IF($AA204=12,VLOOKUP($Z204,Paraméterek!$B$225:$F$240,IF($AF204&lt;IF($D$4="Forint",Paraméterek!$C$223,Paraméterek!$C$224),2,IF($AF204&lt;IF($D$4="Forint",Paraméterek!$D$223,Paraméterek!$D$224),3,4))),0),0)</f>
        <v>0</v>
      </c>
      <c r="AH204" s="13">
        <f>IF(AND($Z204&gt;=5,MOD($Z204,5)=0),IF($AA204=12,VLOOKUP($Z204,Paraméterek!$B$225:$F$240,5),0),IF(OR($Z204=3,$Z204=4),IF($AA204=12,VLOOKUP($Z204,Paraméterek!$B$225:$F$240,5,0),0),0))*$AF204</f>
        <v>0</v>
      </c>
      <c r="AI204" s="13">
        <f>ROUNDDOWN(IF(SUM($T$20:$U204)=0,IF($D$2="Egyszeri",$AH204,$AG204),0),IF($D$4="Forint",0,2))</f>
        <v>0</v>
      </c>
      <c r="AJ204" s="13">
        <f t="shared" si="42"/>
        <v>0</v>
      </c>
      <c r="AK204" s="13">
        <f t="shared" si="43"/>
        <v>0</v>
      </c>
      <c r="AM204" s="32">
        <v>185</v>
      </c>
      <c r="AN204" s="32">
        <v>16</v>
      </c>
      <c r="AO204" s="32">
        <v>5</v>
      </c>
      <c r="AP204" s="13"/>
      <c r="AQ204" s="32"/>
      <c r="AR204" s="13">
        <f t="shared" si="44"/>
        <v>0</v>
      </c>
      <c r="AS204" s="33"/>
      <c r="AT204" s="13">
        <f t="shared" si="38"/>
        <v>0</v>
      </c>
      <c r="AU204" s="13">
        <f>ROUNDUP(($AR204+$AT204)*VLOOKUP($AN204,Paraméterek!$P$38:$Q$38,2)/12,IF($D$4="Forint",0,2))</f>
        <v>0</v>
      </c>
      <c r="AV204" s="13"/>
      <c r="AW204" s="13"/>
      <c r="AX204" s="13">
        <f>ROUNDUP(IF(SUM($AV204:$AW204)=0,0,IF(IF(ISBLANK($AW204),$AV204,$AW204)*Paraméterek!$J$112&lt;IF($D$4="Forint",Paraméterek!$J$113,Paraméterek!$K$113),IF($D$4="Forint",Paraméterek!$J$113,Paraméterek!$K$113),IF(IF(ISBLANK($AW204),$AV204,$AW204)*Paraméterek!$J$112&gt;IF($D$4="Forint",Paraméterek!$J$114,Paraméterek!$K$114),IF($D$4="Forint",Paraméterek!$J$114,Paraméterek!$K$114),IF(ISBLANK($AW204),$AV204,$AW204)*Paraméterek!$J$112))),IF($D$4="Forint",0,2))</f>
        <v>0</v>
      </c>
      <c r="AY204" s="13">
        <f>$AR204+$AT204-$AU204-IF(ROUNDDOWN(IF(ISBLANK($AW204),$AV204,$AW204),IF($D$4="Forint",0,2))&gt;$AR204+$AT204-$AU204-IF($D$4="Forint",Paraméterek!$J$114,Paraméterek!$K$114),0,ROUNDDOWN(IF(ISBLANK($AW204),$AV204,$AW204),IF($D$4="Forint",0,2))-$AX204)</f>
        <v>0</v>
      </c>
      <c r="AZ204" s="13">
        <f t="shared" si="39"/>
        <v>0</v>
      </c>
    </row>
    <row r="205" spans="1:52" x14ac:dyDescent="0.2">
      <c r="A205" s="32">
        <v>186</v>
      </c>
      <c r="B205" s="32">
        <v>16</v>
      </c>
      <c r="C205" s="32">
        <v>6</v>
      </c>
      <c r="D205" s="13">
        <f t="shared" si="30"/>
        <v>0</v>
      </c>
      <c r="E205" s="13"/>
      <c r="F205" s="13"/>
      <c r="G205" s="13"/>
      <c r="H205" s="13">
        <f t="shared" si="31"/>
        <v>0</v>
      </c>
      <c r="I205" s="13">
        <f t="shared" si="32"/>
        <v>0</v>
      </c>
      <c r="J205" s="13">
        <f t="shared" si="33"/>
        <v>0</v>
      </c>
      <c r="K205" s="13">
        <f>ROUNDUP(IF($D$2="Egyszeri",$D205,IF($D$2="Havi",SUM($D$20:$D$31),IF(MOD($C205,$M$1)-1=0,SUM($D$20:$D$31),0))/12*$M$1)*VLOOKUP($B205,Paraméterek!$B$27:$D$30,IF($D$2="Egyszeri",3,2)),IF($D$4="Forint",0,2))</f>
        <v>0</v>
      </c>
      <c r="L205" s="13">
        <f t="shared" si="34"/>
        <v>0</v>
      </c>
      <c r="M205" s="13">
        <f t="shared" ca="1" si="40"/>
        <v>-103350</v>
      </c>
      <c r="N205" s="13">
        <f ca="1">IF($V204&gt;=VLOOKUP($M$4-1+$B205,Paraméterek!$B$121:$D$122,IF($D$4="Forint",2,3)),0,VLOOKUP($M$4-1+$B205,Paraméterek!$B$121:$D$122,IF($D$4="Forint",2,3))-$V204)</f>
        <v>113350</v>
      </c>
      <c r="O205" s="13">
        <f ca="1">ROUNDUP($N205*Paraméterek!$C$58/Paraméterek!$C$56,IF($D$4="Forint",0,2))</f>
        <v>19</v>
      </c>
      <c r="P205" s="13">
        <f t="shared" si="35"/>
        <v>857</v>
      </c>
      <c r="Q205" s="33"/>
      <c r="R205" s="13">
        <f t="shared" ca="1" si="36"/>
        <v>0</v>
      </c>
      <c r="S205" s="13">
        <f ca="1">ROUNDUP(($M205-$O205-$P205+$R205)*VLOOKUP($B205,Paraméterek!$B$38:$D$39,IF($D$2="Egyszeri",3,2))/12,IF($D$4="Forint",0,2))</f>
        <v>-255</v>
      </c>
      <c r="T205" s="13"/>
      <c r="U205" s="13"/>
      <c r="V205" s="13">
        <f ca="1">$M205-$O205-$P205+$R205-$S205-IF(ROUNDUP(IF(ISBLANK($U205),$T205,$U205)/IF(AND($B205=1,$D$2&lt;&gt;"Egyszeri"),1,VLOOKUP($B205+IF($C205=12,1,0),Paraméterek!$B$257:$D$267,IF($D$2="Egyszeri",3,2))),IF($D$4="Forint",0,2))&gt;$M205-$O205-$P205+$R205-$S205-IF($D$4="Forint",Paraméterek!$C$216,Paraméterek!$D$216),0,ROUNDUP(IF(ISBLANK($U205),$T205,$U205)/IF(AND($B205=1,$D$2&lt;&gt;"Egyszeri"),1,VLOOKUP($B205+IF($C205=12,1,0),Paraméterek!$B$257:$D$267,IF($D$2="Egyszeri",3,2))),IF($D$4="Forint",0,2)))</f>
        <v>-103971</v>
      </c>
      <c r="W205" s="13">
        <f ca="1">ROUNDDOWN($V205*VLOOKUP($B205+IF($C205=12,1,0),Paraméterek!$B$257:$D$267,IF($D$2="Egyszeri",3,2)),IF($D$4="Forint",0,2))</f>
        <v>-103971</v>
      </c>
      <c r="Y205" s="32">
        <v>186</v>
      </c>
      <c r="Z205" s="32">
        <v>16</v>
      </c>
      <c r="AA205" s="32">
        <v>6</v>
      </c>
      <c r="AB205" s="13">
        <f t="shared" si="41"/>
        <v>0</v>
      </c>
      <c r="AC205" s="33"/>
      <c r="AD205" s="13">
        <f t="shared" si="37"/>
        <v>0</v>
      </c>
      <c r="AE205" s="13">
        <f>ROUNDUP(($AB205+$AD205)*VLOOKUP($Z205,Paraméterek!$P$38:$Q$38,2)/12,IF($D$4="Forint",0,2))</f>
        <v>0</v>
      </c>
      <c r="AF205" s="13">
        <f>IF($D$2="Egyszeri",IF($D$7&gt;=IF($D$4="Forint",Paraméterek!$P$223,Paraméterek!$P$224),$D$7-IF($D$4="Forint",Paraméterek!$F$223,Paraméterek!$F$224),0),MIN(IF($AA205=12,AVERAGE($D$20:$D205)*12,0),SUM($D$20:$D$31)))</f>
        <v>0</v>
      </c>
      <c r="AG205" s="13">
        <f>IF(AND($Z205&gt;=10,MOD($Z205,5)=0),$AF205*IF($AA205=12,VLOOKUP($Z205,Paraméterek!$B$225:$F$240,IF($AF205&lt;IF($D$4="Forint",Paraméterek!$C$223,Paraméterek!$C$224),2,IF($AF205&lt;IF($D$4="Forint",Paraméterek!$D$223,Paraméterek!$D$224),3,4))),0),0)</f>
        <v>0</v>
      </c>
      <c r="AH205" s="13">
        <f>IF(AND($Z205&gt;=5,MOD($Z205,5)=0),IF($AA205=12,VLOOKUP($Z205,Paraméterek!$B$225:$F$240,5),0),IF(OR($Z205=3,$Z205=4),IF($AA205=12,VLOOKUP($Z205,Paraméterek!$B$225:$F$240,5,0),0),0))*$AF205</f>
        <v>0</v>
      </c>
      <c r="AI205" s="13">
        <f>ROUNDDOWN(IF(SUM($T$20:$U205)=0,IF($D$2="Egyszeri",$AH205,$AG205),0),IF($D$4="Forint",0,2))</f>
        <v>0</v>
      </c>
      <c r="AJ205" s="13">
        <f t="shared" si="42"/>
        <v>0</v>
      </c>
      <c r="AK205" s="13">
        <f t="shared" si="43"/>
        <v>0</v>
      </c>
      <c r="AM205" s="32">
        <v>186</v>
      </c>
      <c r="AN205" s="32">
        <v>16</v>
      </c>
      <c r="AO205" s="32">
        <v>6</v>
      </c>
      <c r="AP205" s="13"/>
      <c r="AQ205" s="32"/>
      <c r="AR205" s="13">
        <f t="shared" si="44"/>
        <v>0</v>
      </c>
      <c r="AS205" s="33"/>
      <c r="AT205" s="13">
        <f t="shared" si="38"/>
        <v>0</v>
      </c>
      <c r="AU205" s="13">
        <f>ROUNDUP(($AR205+$AT205)*VLOOKUP($AN205,Paraméterek!$P$38:$Q$38,2)/12,IF($D$4="Forint",0,2))</f>
        <v>0</v>
      </c>
      <c r="AV205" s="13"/>
      <c r="AW205" s="13"/>
      <c r="AX205" s="13">
        <f>ROUNDUP(IF(SUM($AV205:$AW205)=0,0,IF(IF(ISBLANK($AW205),$AV205,$AW205)*Paraméterek!$J$112&lt;IF($D$4="Forint",Paraméterek!$J$113,Paraméterek!$K$113),IF($D$4="Forint",Paraméterek!$J$113,Paraméterek!$K$113),IF(IF(ISBLANK($AW205),$AV205,$AW205)*Paraméterek!$J$112&gt;IF($D$4="Forint",Paraméterek!$J$114,Paraméterek!$K$114),IF($D$4="Forint",Paraméterek!$J$114,Paraméterek!$K$114),IF(ISBLANK($AW205),$AV205,$AW205)*Paraméterek!$J$112))),IF($D$4="Forint",0,2))</f>
        <v>0</v>
      </c>
      <c r="AY205" s="13">
        <f>$AR205+$AT205-$AU205-IF(ROUNDDOWN(IF(ISBLANK($AW205),$AV205,$AW205),IF($D$4="Forint",0,2))&gt;$AR205+$AT205-$AU205-IF($D$4="Forint",Paraméterek!$J$114,Paraméterek!$K$114),0,ROUNDDOWN(IF(ISBLANK($AW205),$AV205,$AW205),IF($D$4="Forint",0,2))-$AX205)</f>
        <v>0</v>
      </c>
      <c r="AZ205" s="13">
        <f t="shared" si="39"/>
        <v>0</v>
      </c>
    </row>
    <row r="206" spans="1:52" x14ac:dyDescent="0.2">
      <c r="A206" s="32">
        <v>187</v>
      </c>
      <c r="B206" s="32">
        <v>16</v>
      </c>
      <c r="C206" s="32">
        <v>7</v>
      </c>
      <c r="D206" s="13">
        <f t="shared" si="30"/>
        <v>0</v>
      </c>
      <c r="E206" s="13"/>
      <c r="F206" s="13"/>
      <c r="G206" s="13"/>
      <c r="H206" s="13">
        <f t="shared" si="31"/>
        <v>0</v>
      </c>
      <c r="I206" s="13">
        <f t="shared" si="32"/>
        <v>0</v>
      </c>
      <c r="J206" s="13">
        <f t="shared" si="33"/>
        <v>0</v>
      </c>
      <c r="K206" s="13">
        <f>ROUNDUP(IF($D$2="Egyszeri",$D206,IF($D$2="Havi",SUM($D$20:$D$31),IF(MOD($C206,$M$1)-1=0,SUM($D$20:$D$31),0))/12*$M$1)*VLOOKUP($B206,Paraméterek!$B$27:$D$30,IF($D$2="Egyszeri",3,2)),IF($D$4="Forint",0,2))</f>
        <v>0</v>
      </c>
      <c r="L206" s="13">
        <f t="shared" si="34"/>
        <v>0</v>
      </c>
      <c r="M206" s="13">
        <f t="shared" ca="1" si="40"/>
        <v>-103971</v>
      </c>
      <c r="N206" s="13">
        <f ca="1">IF($V205&gt;=VLOOKUP($M$4-1+$B206,Paraméterek!$B$121:$D$122,IF($D$4="Forint",2,3)),0,VLOOKUP($M$4-1+$B206,Paraméterek!$B$121:$D$122,IF($D$4="Forint",2,3))-$V205)</f>
        <v>113971</v>
      </c>
      <c r="O206" s="13">
        <f ca="1">ROUNDUP($N206*Paraméterek!$C$58/Paraméterek!$C$56,IF($D$4="Forint",0,2))</f>
        <v>19</v>
      </c>
      <c r="P206" s="13">
        <f t="shared" si="35"/>
        <v>857</v>
      </c>
      <c r="Q206" s="33"/>
      <c r="R206" s="13">
        <f t="shared" ca="1" si="36"/>
        <v>0</v>
      </c>
      <c r="S206" s="13">
        <f ca="1">ROUNDUP(($M206-$O206-$P206+$R206)*VLOOKUP($B206,Paraméterek!$B$38:$D$39,IF($D$2="Egyszeri",3,2))/12,IF($D$4="Forint",0,2))</f>
        <v>-257</v>
      </c>
      <c r="T206" s="13"/>
      <c r="U206" s="13"/>
      <c r="V206" s="13">
        <f ca="1">$M206-$O206-$P206+$R206-$S206-IF(ROUNDUP(IF(ISBLANK($U206),$T206,$U206)/IF(AND($B206=1,$D$2&lt;&gt;"Egyszeri"),1,VLOOKUP($B206+IF($C206=12,1,0),Paraméterek!$B$257:$D$267,IF($D$2="Egyszeri",3,2))),IF($D$4="Forint",0,2))&gt;$M206-$O206-$P206+$R206-$S206-IF($D$4="Forint",Paraméterek!$C$216,Paraméterek!$D$216),0,ROUNDUP(IF(ISBLANK($U206),$T206,$U206)/IF(AND($B206=1,$D$2&lt;&gt;"Egyszeri"),1,VLOOKUP($B206+IF($C206=12,1,0),Paraméterek!$B$257:$D$267,IF($D$2="Egyszeri",3,2))),IF($D$4="Forint",0,2)))</f>
        <v>-104590</v>
      </c>
      <c r="W206" s="13">
        <f ca="1">ROUNDDOWN($V206*VLOOKUP($B206+IF($C206=12,1,0),Paraméterek!$B$257:$D$267,IF($D$2="Egyszeri",3,2)),IF($D$4="Forint",0,2))</f>
        <v>-104590</v>
      </c>
      <c r="Y206" s="32">
        <v>187</v>
      </c>
      <c r="Z206" s="32">
        <v>16</v>
      </c>
      <c r="AA206" s="32">
        <v>7</v>
      </c>
      <c r="AB206" s="13">
        <f t="shared" si="41"/>
        <v>0</v>
      </c>
      <c r="AC206" s="33"/>
      <c r="AD206" s="13">
        <f t="shared" si="37"/>
        <v>0</v>
      </c>
      <c r="AE206" s="13">
        <f>ROUNDUP(($AB206+$AD206)*VLOOKUP($Z206,Paraméterek!$P$38:$Q$38,2)/12,IF($D$4="Forint",0,2))</f>
        <v>0</v>
      </c>
      <c r="AF206" s="13">
        <f>IF($D$2="Egyszeri",IF($D$7&gt;=IF($D$4="Forint",Paraméterek!$P$223,Paraméterek!$P$224),$D$7-IF($D$4="Forint",Paraméterek!$F$223,Paraméterek!$F$224),0),MIN(IF($AA206=12,AVERAGE($D$20:$D206)*12,0),SUM($D$20:$D$31)))</f>
        <v>0</v>
      </c>
      <c r="AG206" s="13">
        <f>IF(AND($Z206&gt;=10,MOD($Z206,5)=0),$AF206*IF($AA206=12,VLOOKUP($Z206,Paraméterek!$B$225:$F$240,IF($AF206&lt;IF($D$4="Forint",Paraméterek!$C$223,Paraméterek!$C$224),2,IF($AF206&lt;IF($D$4="Forint",Paraméterek!$D$223,Paraméterek!$D$224),3,4))),0),0)</f>
        <v>0</v>
      </c>
      <c r="AH206" s="13">
        <f>IF(AND($Z206&gt;=5,MOD($Z206,5)=0),IF($AA206=12,VLOOKUP($Z206,Paraméterek!$B$225:$F$240,5),0),IF(OR($Z206=3,$Z206=4),IF($AA206=12,VLOOKUP($Z206,Paraméterek!$B$225:$F$240,5,0),0),0))*$AF206</f>
        <v>0</v>
      </c>
      <c r="AI206" s="13">
        <f>ROUNDDOWN(IF(SUM($T$20:$U206)=0,IF($D$2="Egyszeri",$AH206,$AG206),0),IF($D$4="Forint",0,2))</f>
        <v>0</v>
      </c>
      <c r="AJ206" s="13">
        <f t="shared" si="42"/>
        <v>0</v>
      </c>
      <c r="AK206" s="13">
        <f t="shared" si="43"/>
        <v>0</v>
      </c>
      <c r="AM206" s="32">
        <v>187</v>
      </c>
      <c r="AN206" s="32">
        <v>16</v>
      </c>
      <c r="AO206" s="32">
        <v>7</v>
      </c>
      <c r="AP206" s="13"/>
      <c r="AQ206" s="32"/>
      <c r="AR206" s="13">
        <f t="shared" si="44"/>
        <v>0</v>
      </c>
      <c r="AS206" s="33"/>
      <c r="AT206" s="13">
        <f t="shared" si="38"/>
        <v>0</v>
      </c>
      <c r="AU206" s="13">
        <f>ROUNDUP(($AR206+$AT206)*VLOOKUP($AN206,Paraméterek!$P$38:$Q$38,2)/12,IF($D$4="Forint",0,2))</f>
        <v>0</v>
      </c>
      <c r="AV206" s="13"/>
      <c r="AW206" s="13"/>
      <c r="AX206" s="13">
        <f>ROUNDUP(IF(SUM($AV206:$AW206)=0,0,IF(IF(ISBLANK($AW206),$AV206,$AW206)*Paraméterek!$J$112&lt;IF($D$4="Forint",Paraméterek!$J$113,Paraméterek!$K$113),IF($D$4="Forint",Paraméterek!$J$113,Paraméterek!$K$113),IF(IF(ISBLANK($AW206),$AV206,$AW206)*Paraméterek!$J$112&gt;IF($D$4="Forint",Paraméterek!$J$114,Paraméterek!$K$114),IF($D$4="Forint",Paraméterek!$J$114,Paraméterek!$K$114),IF(ISBLANK($AW206),$AV206,$AW206)*Paraméterek!$J$112))),IF($D$4="Forint",0,2))</f>
        <v>0</v>
      </c>
      <c r="AY206" s="13">
        <f>$AR206+$AT206-$AU206-IF(ROUNDDOWN(IF(ISBLANK($AW206),$AV206,$AW206),IF($D$4="Forint",0,2))&gt;$AR206+$AT206-$AU206-IF($D$4="Forint",Paraméterek!$J$114,Paraméterek!$K$114),0,ROUNDDOWN(IF(ISBLANK($AW206),$AV206,$AW206),IF($D$4="Forint",0,2))-$AX206)</f>
        <v>0</v>
      </c>
      <c r="AZ206" s="13">
        <f t="shared" si="39"/>
        <v>0</v>
      </c>
    </row>
    <row r="207" spans="1:52" x14ac:dyDescent="0.2">
      <c r="A207" s="32">
        <v>188</v>
      </c>
      <c r="B207" s="32">
        <v>16</v>
      </c>
      <c r="C207" s="32">
        <v>8</v>
      </c>
      <c r="D207" s="13">
        <f t="shared" si="30"/>
        <v>0</v>
      </c>
      <c r="E207" s="13"/>
      <c r="F207" s="13"/>
      <c r="G207" s="13"/>
      <c r="H207" s="13">
        <f t="shared" si="31"/>
        <v>0</v>
      </c>
      <c r="I207" s="13">
        <f t="shared" si="32"/>
        <v>0</v>
      </c>
      <c r="J207" s="13">
        <f t="shared" si="33"/>
        <v>0</v>
      </c>
      <c r="K207" s="13">
        <f>ROUNDUP(IF($D$2="Egyszeri",$D207,IF($D$2="Havi",SUM($D$20:$D$31),IF(MOD($C207,$M$1)-1=0,SUM($D$20:$D$31),0))/12*$M$1)*VLOOKUP($B207,Paraméterek!$B$27:$D$30,IF($D$2="Egyszeri",3,2)),IF($D$4="Forint",0,2))</f>
        <v>0</v>
      </c>
      <c r="L207" s="13">
        <f t="shared" si="34"/>
        <v>0</v>
      </c>
      <c r="M207" s="13">
        <f t="shared" ca="1" si="40"/>
        <v>-104590</v>
      </c>
      <c r="N207" s="13">
        <f ca="1">IF($V206&gt;=VLOOKUP($M$4-1+$B207,Paraméterek!$B$121:$D$122,IF($D$4="Forint",2,3)),0,VLOOKUP($M$4-1+$B207,Paraméterek!$B$121:$D$122,IF($D$4="Forint",2,3))-$V206)</f>
        <v>114590</v>
      </c>
      <c r="O207" s="13">
        <f ca="1">ROUNDUP($N207*Paraméterek!$C$58/Paraméterek!$C$56,IF($D$4="Forint",0,2))</f>
        <v>19</v>
      </c>
      <c r="P207" s="13">
        <f t="shared" si="35"/>
        <v>857</v>
      </c>
      <c r="Q207" s="33"/>
      <c r="R207" s="13">
        <f t="shared" ca="1" si="36"/>
        <v>0</v>
      </c>
      <c r="S207" s="13">
        <f ca="1">ROUNDUP(($M207-$O207-$P207+$R207)*VLOOKUP($B207,Paraméterek!$B$38:$D$39,IF($D$2="Egyszeri",3,2))/12,IF($D$4="Forint",0,2))</f>
        <v>-258</v>
      </c>
      <c r="T207" s="13"/>
      <c r="U207" s="13"/>
      <c r="V207" s="13">
        <f ca="1">$M207-$O207-$P207+$R207-$S207-IF(ROUNDUP(IF(ISBLANK($U207),$T207,$U207)/IF(AND($B207=1,$D$2&lt;&gt;"Egyszeri"),1,VLOOKUP($B207+IF($C207=12,1,0),Paraméterek!$B$257:$D$267,IF($D$2="Egyszeri",3,2))),IF($D$4="Forint",0,2))&gt;$M207-$O207-$P207+$R207-$S207-IF($D$4="Forint",Paraméterek!$C$216,Paraméterek!$D$216),0,ROUNDUP(IF(ISBLANK($U207),$T207,$U207)/IF(AND($B207=1,$D$2&lt;&gt;"Egyszeri"),1,VLOOKUP($B207+IF($C207=12,1,0),Paraméterek!$B$257:$D$267,IF($D$2="Egyszeri",3,2))),IF($D$4="Forint",0,2)))</f>
        <v>-105208</v>
      </c>
      <c r="W207" s="13">
        <f ca="1">ROUNDDOWN($V207*VLOOKUP($B207+IF($C207=12,1,0),Paraméterek!$B$257:$D$267,IF($D$2="Egyszeri",3,2)),IF($D$4="Forint",0,2))</f>
        <v>-105208</v>
      </c>
      <c r="Y207" s="32">
        <v>188</v>
      </c>
      <c r="Z207" s="32">
        <v>16</v>
      </c>
      <c r="AA207" s="32">
        <v>8</v>
      </c>
      <c r="AB207" s="13">
        <f t="shared" si="41"/>
        <v>0</v>
      </c>
      <c r="AC207" s="33"/>
      <c r="AD207" s="13">
        <f t="shared" si="37"/>
        <v>0</v>
      </c>
      <c r="AE207" s="13">
        <f>ROUNDUP(($AB207+$AD207)*VLOOKUP($Z207,Paraméterek!$P$38:$Q$38,2)/12,IF($D$4="Forint",0,2))</f>
        <v>0</v>
      </c>
      <c r="AF207" s="13">
        <f>IF($D$2="Egyszeri",IF($D$7&gt;=IF($D$4="Forint",Paraméterek!$P$223,Paraméterek!$P$224),$D$7-IF($D$4="Forint",Paraméterek!$F$223,Paraméterek!$F$224),0),MIN(IF($AA207=12,AVERAGE($D$20:$D207)*12,0),SUM($D$20:$D$31)))</f>
        <v>0</v>
      </c>
      <c r="AG207" s="13">
        <f>IF(AND($Z207&gt;=10,MOD($Z207,5)=0),$AF207*IF($AA207=12,VLOOKUP($Z207,Paraméterek!$B$225:$F$240,IF($AF207&lt;IF($D$4="Forint",Paraméterek!$C$223,Paraméterek!$C$224),2,IF($AF207&lt;IF($D$4="Forint",Paraméterek!$D$223,Paraméterek!$D$224),3,4))),0),0)</f>
        <v>0</v>
      </c>
      <c r="AH207" s="13">
        <f>IF(AND($Z207&gt;=5,MOD($Z207,5)=0),IF($AA207=12,VLOOKUP($Z207,Paraméterek!$B$225:$F$240,5),0),IF(OR($Z207=3,$Z207=4),IF($AA207=12,VLOOKUP($Z207,Paraméterek!$B$225:$F$240,5,0),0),0))*$AF207</f>
        <v>0</v>
      </c>
      <c r="AI207" s="13">
        <f>ROUNDDOWN(IF(SUM($T$20:$U207)=0,IF($D$2="Egyszeri",$AH207,$AG207),0),IF($D$4="Forint",0,2))</f>
        <v>0</v>
      </c>
      <c r="AJ207" s="13">
        <f t="shared" si="42"/>
        <v>0</v>
      </c>
      <c r="AK207" s="13">
        <f t="shared" si="43"/>
        <v>0</v>
      </c>
      <c r="AM207" s="32">
        <v>188</v>
      </c>
      <c r="AN207" s="32">
        <v>16</v>
      </c>
      <c r="AO207" s="32">
        <v>8</v>
      </c>
      <c r="AP207" s="13"/>
      <c r="AQ207" s="32"/>
      <c r="AR207" s="13">
        <f t="shared" si="44"/>
        <v>0</v>
      </c>
      <c r="AS207" s="33"/>
      <c r="AT207" s="13">
        <f t="shared" si="38"/>
        <v>0</v>
      </c>
      <c r="AU207" s="13">
        <f>ROUNDUP(($AR207+$AT207)*VLOOKUP($AN207,Paraméterek!$P$38:$Q$38,2)/12,IF($D$4="Forint",0,2))</f>
        <v>0</v>
      </c>
      <c r="AV207" s="13"/>
      <c r="AW207" s="13"/>
      <c r="AX207" s="13">
        <f>ROUNDUP(IF(SUM($AV207:$AW207)=0,0,IF(IF(ISBLANK($AW207),$AV207,$AW207)*Paraméterek!$J$112&lt;IF($D$4="Forint",Paraméterek!$J$113,Paraméterek!$K$113),IF($D$4="Forint",Paraméterek!$J$113,Paraméterek!$K$113),IF(IF(ISBLANK($AW207),$AV207,$AW207)*Paraméterek!$J$112&gt;IF($D$4="Forint",Paraméterek!$J$114,Paraméterek!$K$114),IF($D$4="Forint",Paraméterek!$J$114,Paraméterek!$K$114),IF(ISBLANK($AW207),$AV207,$AW207)*Paraméterek!$J$112))),IF($D$4="Forint",0,2))</f>
        <v>0</v>
      </c>
      <c r="AY207" s="13">
        <f>$AR207+$AT207-$AU207-IF(ROUNDDOWN(IF(ISBLANK($AW207),$AV207,$AW207),IF($D$4="Forint",0,2))&gt;$AR207+$AT207-$AU207-IF($D$4="Forint",Paraméterek!$J$114,Paraméterek!$K$114),0,ROUNDDOWN(IF(ISBLANK($AW207),$AV207,$AW207),IF($D$4="Forint",0,2))-$AX207)</f>
        <v>0</v>
      </c>
      <c r="AZ207" s="13">
        <f t="shared" si="39"/>
        <v>0</v>
      </c>
    </row>
    <row r="208" spans="1:52" x14ac:dyDescent="0.2">
      <c r="A208" s="32">
        <v>189</v>
      </c>
      <c r="B208" s="32">
        <v>16</v>
      </c>
      <c r="C208" s="32">
        <v>9</v>
      </c>
      <c r="D208" s="13">
        <f t="shared" si="30"/>
        <v>0</v>
      </c>
      <c r="E208" s="13"/>
      <c r="F208" s="13"/>
      <c r="G208" s="13"/>
      <c r="H208" s="13">
        <f t="shared" si="31"/>
        <v>0</v>
      </c>
      <c r="I208" s="13">
        <f t="shared" si="32"/>
        <v>0</v>
      </c>
      <c r="J208" s="13">
        <f t="shared" si="33"/>
        <v>0</v>
      </c>
      <c r="K208" s="13">
        <f>ROUNDUP(IF($D$2="Egyszeri",$D208,IF($D$2="Havi",SUM($D$20:$D$31),IF(MOD($C208,$M$1)-1=0,SUM($D$20:$D$31),0))/12*$M$1)*VLOOKUP($B208,Paraméterek!$B$27:$D$30,IF($D$2="Egyszeri",3,2)),IF($D$4="Forint",0,2))</f>
        <v>0</v>
      </c>
      <c r="L208" s="13">
        <f t="shared" si="34"/>
        <v>0</v>
      </c>
      <c r="M208" s="13">
        <f t="shared" ca="1" si="40"/>
        <v>-105208</v>
      </c>
      <c r="N208" s="13">
        <f ca="1">IF($V207&gt;=VLOOKUP($M$4-1+$B208,Paraméterek!$B$121:$D$122,IF($D$4="Forint",2,3)),0,VLOOKUP($M$4-1+$B208,Paraméterek!$B$121:$D$122,IF($D$4="Forint",2,3))-$V207)</f>
        <v>115208</v>
      </c>
      <c r="O208" s="13">
        <f ca="1">ROUNDUP($N208*Paraméterek!$C$58/Paraméterek!$C$56,IF($D$4="Forint",0,2))</f>
        <v>19</v>
      </c>
      <c r="P208" s="13">
        <f t="shared" si="35"/>
        <v>857</v>
      </c>
      <c r="Q208" s="33"/>
      <c r="R208" s="13">
        <f t="shared" ca="1" si="36"/>
        <v>0</v>
      </c>
      <c r="S208" s="13">
        <f ca="1">ROUNDUP(($M208-$O208-$P208+$R208)*VLOOKUP($B208,Paraméterek!$B$38:$D$39,IF($D$2="Egyszeri",3,2))/12,IF($D$4="Forint",0,2))</f>
        <v>-260</v>
      </c>
      <c r="T208" s="13"/>
      <c r="U208" s="13"/>
      <c r="V208" s="13">
        <f ca="1">$M208-$O208-$P208+$R208-$S208-IF(ROUNDUP(IF(ISBLANK($U208),$T208,$U208)/IF(AND($B208=1,$D$2&lt;&gt;"Egyszeri"),1,VLOOKUP($B208+IF($C208=12,1,0),Paraméterek!$B$257:$D$267,IF($D$2="Egyszeri",3,2))),IF($D$4="Forint",0,2))&gt;$M208-$O208-$P208+$R208-$S208-IF($D$4="Forint",Paraméterek!$C$216,Paraméterek!$D$216),0,ROUNDUP(IF(ISBLANK($U208),$T208,$U208)/IF(AND($B208=1,$D$2&lt;&gt;"Egyszeri"),1,VLOOKUP($B208+IF($C208=12,1,0),Paraméterek!$B$257:$D$267,IF($D$2="Egyszeri",3,2))),IF($D$4="Forint",0,2)))</f>
        <v>-105824</v>
      </c>
      <c r="W208" s="13">
        <f ca="1">ROUNDDOWN($V208*VLOOKUP($B208+IF($C208=12,1,0),Paraméterek!$B$257:$D$267,IF($D$2="Egyszeri",3,2)),IF($D$4="Forint",0,2))</f>
        <v>-105824</v>
      </c>
      <c r="Y208" s="32">
        <v>189</v>
      </c>
      <c r="Z208" s="32">
        <v>16</v>
      </c>
      <c r="AA208" s="32">
        <v>9</v>
      </c>
      <c r="AB208" s="13">
        <f t="shared" si="41"/>
        <v>0</v>
      </c>
      <c r="AC208" s="33"/>
      <c r="AD208" s="13">
        <f t="shared" si="37"/>
        <v>0</v>
      </c>
      <c r="AE208" s="13">
        <f>ROUNDUP(($AB208+$AD208)*VLOOKUP($Z208,Paraméterek!$P$38:$Q$38,2)/12,IF($D$4="Forint",0,2))</f>
        <v>0</v>
      </c>
      <c r="AF208" s="13">
        <f>IF($D$2="Egyszeri",IF($D$7&gt;=IF($D$4="Forint",Paraméterek!$P$223,Paraméterek!$P$224),$D$7-IF($D$4="Forint",Paraméterek!$F$223,Paraméterek!$F$224),0),MIN(IF($AA208=12,AVERAGE($D$20:$D208)*12,0),SUM($D$20:$D$31)))</f>
        <v>0</v>
      </c>
      <c r="AG208" s="13">
        <f>IF(AND($Z208&gt;=10,MOD($Z208,5)=0),$AF208*IF($AA208=12,VLOOKUP($Z208,Paraméterek!$B$225:$F$240,IF($AF208&lt;IF($D$4="Forint",Paraméterek!$C$223,Paraméterek!$C$224),2,IF($AF208&lt;IF($D$4="Forint",Paraméterek!$D$223,Paraméterek!$D$224),3,4))),0),0)</f>
        <v>0</v>
      </c>
      <c r="AH208" s="13">
        <f>IF(AND($Z208&gt;=5,MOD($Z208,5)=0),IF($AA208=12,VLOOKUP($Z208,Paraméterek!$B$225:$F$240,5),0),IF(OR($Z208=3,$Z208=4),IF($AA208=12,VLOOKUP($Z208,Paraméterek!$B$225:$F$240,5,0),0),0))*$AF208</f>
        <v>0</v>
      </c>
      <c r="AI208" s="13">
        <f>ROUNDDOWN(IF(SUM($T$20:$U208)=0,IF($D$2="Egyszeri",$AH208,$AG208),0),IF($D$4="Forint",0,2))</f>
        <v>0</v>
      </c>
      <c r="AJ208" s="13">
        <f t="shared" si="42"/>
        <v>0</v>
      </c>
      <c r="AK208" s="13">
        <f t="shared" si="43"/>
        <v>0</v>
      </c>
      <c r="AM208" s="32">
        <v>189</v>
      </c>
      <c r="AN208" s="32">
        <v>16</v>
      </c>
      <c r="AO208" s="32">
        <v>9</v>
      </c>
      <c r="AP208" s="13"/>
      <c r="AQ208" s="32"/>
      <c r="AR208" s="13">
        <f t="shared" si="44"/>
        <v>0</v>
      </c>
      <c r="AS208" s="33"/>
      <c r="AT208" s="13">
        <f t="shared" si="38"/>
        <v>0</v>
      </c>
      <c r="AU208" s="13">
        <f>ROUNDUP(($AR208+$AT208)*VLOOKUP($AN208,Paraméterek!$P$38:$Q$38,2)/12,IF($D$4="Forint",0,2))</f>
        <v>0</v>
      </c>
      <c r="AV208" s="13"/>
      <c r="AW208" s="13"/>
      <c r="AX208" s="13">
        <f>ROUNDUP(IF(SUM($AV208:$AW208)=0,0,IF(IF(ISBLANK($AW208),$AV208,$AW208)*Paraméterek!$J$112&lt;IF($D$4="Forint",Paraméterek!$J$113,Paraméterek!$K$113),IF($D$4="Forint",Paraméterek!$J$113,Paraméterek!$K$113),IF(IF(ISBLANK($AW208),$AV208,$AW208)*Paraméterek!$J$112&gt;IF($D$4="Forint",Paraméterek!$J$114,Paraméterek!$K$114),IF($D$4="Forint",Paraméterek!$J$114,Paraméterek!$K$114),IF(ISBLANK($AW208),$AV208,$AW208)*Paraméterek!$J$112))),IF($D$4="Forint",0,2))</f>
        <v>0</v>
      </c>
      <c r="AY208" s="13">
        <f>$AR208+$AT208-$AU208-IF(ROUNDDOWN(IF(ISBLANK($AW208),$AV208,$AW208),IF($D$4="Forint",0,2))&gt;$AR208+$AT208-$AU208-IF($D$4="Forint",Paraméterek!$J$114,Paraméterek!$K$114),0,ROUNDDOWN(IF(ISBLANK($AW208),$AV208,$AW208),IF($D$4="Forint",0,2))-$AX208)</f>
        <v>0</v>
      </c>
      <c r="AZ208" s="13">
        <f t="shared" si="39"/>
        <v>0</v>
      </c>
    </row>
    <row r="209" spans="1:52" x14ac:dyDescent="0.2">
      <c r="A209" s="32">
        <v>190</v>
      </c>
      <c r="B209" s="32">
        <v>16</v>
      </c>
      <c r="C209" s="32">
        <v>10</v>
      </c>
      <c r="D209" s="13">
        <f t="shared" si="30"/>
        <v>0</v>
      </c>
      <c r="E209" s="13"/>
      <c r="F209" s="13"/>
      <c r="G209" s="13"/>
      <c r="H209" s="13">
        <f t="shared" si="31"/>
        <v>0</v>
      </c>
      <c r="I209" s="13">
        <f t="shared" si="32"/>
        <v>0</v>
      </c>
      <c r="J209" s="13">
        <f t="shared" si="33"/>
        <v>0</v>
      </c>
      <c r="K209" s="13">
        <f>ROUNDUP(IF($D$2="Egyszeri",$D209,IF($D$2="Havi",SUM($D$20:$D$31),IF(MOD($C209,$M$1)-1=0,SUM($D$20:$D$31),0))/12*$M$1)*VLOOKUP($B209,Paraméterek!$B$27:$D$30,IF($D$2="Egyszeri",3,2)),IF($D$4="Forint",0,2))</f>
        <v>0</v>
      </c>
      <c r="L209" s="13">
        <f t="shared" si="34"/>
        <v>0</v>
      </c>
      <c r="M209" s="13">
        <f t="shared" ca="1" si="40"/>
        <v>-105824</v>
      </c>
      <c r="N209" s="13">
        <f ca="1">IF($V208&gt;=VLOOKUP($M$4-1+$B209,Paraméterek!$B$121:$D$122,IF($D$4="Forint",2,3)),0,VLOOKUP($M$4-1+$B209,Paraméterek!$B$121:$D$122,IF($D$4="Forint",2,3))-$V208)</f>
        <v>115824</v>
      </c>
      <c r="O209" s="13">
        <f ca="1">ROUNDUP($N209*Paraméterek!$C$58/Paraméterek!$C$56,IF($D$4="Forint",0,2))</f>
        <v>19</v>
      </c>
      <c r="P209" s="13">
        <f t="shared" si="35"/>
        <v>857</v>
      </c>
      <c r="Q209" s="33"/>
      <c r="R209" s="13">
        <f t="shared" ca="1" si="36"/>
        <v>0</v>
      </c>
      <c r="S209" s="13">
        <f ca="1">ROUNDUP(($M209-$O209-$P209+$R209)*VLOOKUP($B209,Paraméterek!$B$38:$D$39,IF($D$2="Egyszeri",3,2))/12,IF($D$4="Forint",0,2))</f>
        <v>-261</v>
      </c>
      <c r="T209" s="13"/>
      <c r="U209" s="13"/>
      <c r="V209" s="13">
        <f ca="1">$M209-$O209-$P209+$R209-$S209-IF(ROUNDUP(IF(ISBLANK($U209),$T209,$U209)/IF(AND($B209=1,$D$2&lt;&gt;"Egyszeri"),1,VLOOKUP($B209+IF($C209=12,1,0),Paraméterek!$B$257:$D$267,IF($D$2="Egyszeri",3,2))),IF($D$4="Forint",0,2))&gt;$M209-$O209-$P209+$R209-$S209-IF($D$4="Forint",Paraméterek!$C$216,Paraméterek!$D$216),0,ROUNDUP(IF(ISBLANK($U209),$T209,$U209)/IF(AND($B209=1,$D$2&lt;&gt;"Egyszeri"),1,VLOOKUP($B209+IF($C209=12,1,0),Paraméterek!$B$257:$D$267,IF($D$2="Egyszeri",3,2))),IF($D$4="Forint",0,2)))</f>
        <v>-106439</v>
      </c>
      <c r="W209" s="13">
        <f ca="1">ROUNDDOWN($V209*VLOOKUP($B209+IF($C209=12,1,0),Paraméterek!$B$257:$D$267,IF($D$2="Egyszeri",3,2)),IF($D$4="Forint",0,2))</f>
        <v>-106439</v>
      </c>
      <c r="Y209" s="32">
        <v>190</v>
      </c>
      <c r="Z209" s="32">
        <v>16</v>
      </c>
      <c r="AA209" s="32">
        <v>10</v>
      </c>
      <c r="AB209" s="13">
        <f t="shared" si="41"/>
        <v>0</v>
      </c>
      <c r="AC209" s="33"/>
      <c r="AD209" s="13">
        <f t="shared" si="37"/>
        <v>0</v>
      </c>
      <c r="AE209" s="13">
        <f>ROUNDUP(($AB209+$AD209)*VLOOKUP($Z209,Paraméterek!$P$38:$Q$38,2)/12,IF($D$4="Forint",0,2))</f>
        <v>0</v>
      </c>
      <c r="AF209" s="13">
        <f>IF($D$2="Egyszeri",IF($D$7&gt;=IF($D$4="Forint",Paraméterek!$P$223,Paraméterek!$P$224),$D$7-IF($D$4="Forint",Paraméterek!$F$223,Paraméterek!$F$224),0),MIN(IF($AA209=12,AVERAGE($D$20:$D209)*12,0),SUM($D$20:$D$31)))</f>
        <v>0</v>
      </c>
      <c r="AG209" s="13">
        <f>IF(AND($Z209&gt;=10,MOD($Z209,5)=0),$AF209*IF($AA209=12,VLOOKUP($Z209,Paraméterek!$B$225:$F$240,IF($AF209&lt;IF($D$4="Forint",Paraméterek!$C$223,Paraméterek!$C$224),2,IF($AF209&lt;IF($D$4="Forint",Paraméterek!$D$223,Paraméterek!$D$224),3,4))),0),0)</f>
        <v>0</v>
      </c>
      <c r="AH209" s="13">
        <f>IF(AND($Z209&gt;=5,MOD($Z209,5)=0),IF($AA209=12,VLOOKUP($Z209,Paraméterek!$B$225:$F$240,5),0),IF(OR($Z209=3,$Z209=4),IF($AA209=12,VLOOKUP($Z209,Paraméterek!$B$225:$F$240,5,0),0),0))*$AF209</f>
        <v>0</v>
      </c>
      <c r="AI209" s="13">
        <f>ROUNDDOWN(IF(SUM($T$20:$U209)=0,IF($D$2="Egyszeri",$AH209,$AG209),0),IF($D$4="Forint",0,2))</f>
        <v>0</v>
      </c>
      <c r="AJ209" s="13">
        <f t="shared" si="42"/>
        <v>0</v>
      </c>
      <c r="AK209" s="13">
        <f t="shared" si="43"/>
        <v>0</v>
      </c>
      <c r="AM209" s="32">
        <v>190</v>
      </c>
      <c r="AN209" s="32">
        <v>16</v>
      </c>
      <c r="AO209" s="32">
        <v>10</v>
      </c>
      <c r="AP209" s="13"/>
      <c r="AQ209" s="32"/>
      <c r="AR209" s="13">
        <f t="shared" si="44"/>
        <v>0</v>
      </c>
      <c r="AS209" s="33"/>
      <c r="AT209" s="13">
        <f t="shared" si="38"/>
        <v>0</v>
      </c>
      <c r="AU209" s="13">
        <f>ROUNDUP(($AR209+$AT209)*VLOOKUP($AN209,Paraméterek!$P$38:$Q$38,2)/12,IF($D$4="Forint",0,2))</f>
        <v>0</v>
      </c>
      <c r="AV209" s="13"/>
      <c r="AW209" s="13"/>
      <c r="AX209" s="13">
        <f>ROUNDUP(IF(SUM($AV209:$AW209)=0,0,IF(IF(ISBLANK($AW209),$AV209,$AW209)*Paraméterek!$J$112&lt;IF($D$4="Forint",Paraméterek!$J$113,Paraméterek!$K$113),IF($D$4="Forint",Paraméterek!$J$113,Paraméterek!$K$113),IF(IF(ISBLANK($AW209),$AV209,$AW209)*Paraméterek!$J$112&gt;IF($D$4="Forint",Paraméterek!$J$114,Paraméterek!$K$114),IF($D$4="Forint",Paraméterek!$J$114,Paraméterek!$K$114),IF(ISBLANK($AW209),$AV209,$AW209)*Paraméterek!$J$112))),IF($D$4="Forint",0,2))</f>
        <v>0</v>
      </c>
      <c r="AY209" s="13">
        <f>$AR209+$AT209-$AU209-IF(ROUNDDOWN(IF(ISBLANK($AW209),$AV209,$AW209),IF($D$4="Forint",0,2))&gt;$AR209+$AT209-$AU209-IF($D$4="Forint",Paraméterek!$J$114,Paraméterek!$K$114),0,ROUNDDOWN(IF(ISBLANK($AW209),$AV209,$AW209),IF($D$4="Forint",0,2))-$AX209)</f>
        <v>0</v>
      </c>
      <c r="AZ209" s="13">
        <f t="shared" si="39"/>
        <v>0</v>
      </c>
    </row>
    <row r="210" spans="1:52" x14ac:dyDescent="0.2">
      <c r="A210" s="32">
        <v>191</v>
      </c>
      <c r="B210" s="32">
        <v>16</v>
      </c>
      <c r="C210" s="32">
        <v>11</v>
      </c>
      <c r="D210" s="13">
        <f t="shared" si="30"/>
        <v>0</v>
      </c>
      <c r="E210" s="13"/>
      <c r="F210" s="13"/>
      <c r="G210" s="13"/>
      <c r="H210" s="13">
        <f t="shared" si="31"/>
        <v>0</v>
      </c>
      <c r="I210" s="13">
        <f t="shared" si="32"/>
        <v>0</v>
      </c>
      <c r="J210" s="13">
        <f t="shared" si="33"/>
        <v>0</v>
      </c>
      <c r="K210" s="13">
        <f>ROUNDUP(IF($D$2="Egyszeri",$D210,IF($D$2="Havi",SUM($D$20:$D$31),IF(MOD($C210,$M$1)-1=0,SUM($D$20:$D$31),0))/12*$M$1)*VLOOKUP($B210,Paraméterek!$B$27:$D$30,IF($D$2="Egyszeri",3,2)),IF($D$4="Forint",0,2))</f>
        <v>0</v>
      </c>
      <c r="L210" s="13">
        <f t="shared" si="34"/>
        <v>0</v>
      </c>
      <c r="M210" s="13">
        <f t="shared" ca="1" si="40"/>
        <v>-106439</v>
      </c>
      <c r="N210" s="13">
        <f ca="1">IF($V209&gt;=VLOOKUP($M$4-1+$B210,Paraméterek!$B$121:$D$122,IF($D$4="Forint",2,3)),0,VLOOKUP($M$4-1+$B210,Paraméterek!$B$121:$D$122,IF($D$4="Forint",2,3))-$V209)</f>
        <v>116439</v>
      </c>
      <c r="O210" s="13">
        <f ca="1">ROUNDUP($N210*Paraméterek!$C$58/Paraméterek!$C$56,IF($D$4="Forint",0,2))</f>
        <v>19</v>
      </c>
      <c r="P210" s="13">
        <f t="shared" si="35"/>
        <v>857</v>
      </c>
      <c r="Q210" s="33"/>
      <c r="R210" s="13">
        <f t="shared" ca="1" si="36"/>
        <v>0</v>
      </c>
      <c r="S210" s="13">
        <f ca="1">ROUNDUP(($M210-$O210-$P210+$R210)*VLOOKUP($B210,Paraméterek!$B$38:$D$39,IF($D$2="Egyszeri",3,2))/12,IF($D$4="Forint",0,2))</f>
        <v>-263</v>
      </c>
      <c r="T210" s="13"/>
      <c r="U210" s="13"/>
      <c r="V210" s="13">
        <f ca="1">$M210-$O210-$P210+$R210-$S210-IF(ROUNDUP(IF(ISBLANK($U210),$T210,$U210)/IF(AND($B210=1,$D$2&lt;&gt;"Egyszeri"),1,VLOOKUP($B210+IF($C210=12,1,0),Paraméterek!$B$257:$D$267,IF($D$2="Egyszeri",3,2))),IF($D$4="Forint",0,2))&gt;$M210-$O210-$P210+$R210-$S210-IF($D$4="Forint",Paraméterek!$C$216,Paraméterek!$D$216),0,ROUNDUP(IF(ISBLANK($U210),$T210,$U210)/IF(AND($B210=1,$D$2&lt;&gt;"Egyszeri"),1,VLOOKUP($B210+IF($C210=12,1,0),Paraméterek!$B$257:$D$267,IF($D$2="Egyszeri",3,2))),IF($D$4="Forint",0,2)))</f>
        <v>-107052</v>
      </c>
      <c r="W210" s="13">
        <f ca="1">ROUNDDOWN($V210*VLOOKUP($B210+IF($C210=12,1,0),Paraméterek!$B$257:$D$267,IF($D$2="Egyszeri",3,2)),IF($D$4="Forint",0,2))</f>
        <v>-107052</v>
      </c>
      <c r="Y210" s="32">
        <v>191</v>
      </c>
      <c r="Z210" s="32">
        <v>16</v>
      </c>
      <c r="AA210" s="32">
        <v>11</v>
      </c>
      <c r="AB210" s="13">
        <f t="shared" si="41"/>
        <v>0</v>
      </c>
      <c r="AC210" s="33"/>
      <c r="AD210" s="13">
        <f t="shared" si="37"/>
        <v>0</v>
      </c>
      <c r="AE210" s="13">
        <f>ROUNDUP(($AB210+$AD210)*VLOOKUP($Z210,Paraméterek!$P$38:$Q$38,2)/12,IF($D$4="Forint",0,2))</f>
        <v>0</v>
      </c>
      <c r="AF210" s="13">
        <f>IF($D$2="Egyszeri",IF($D$7&gt;=IF($D$4="Forint",Paraméterek!$P$223,Paraméterek!$P$224),$D$7-IF($D$4="Forint",Paraméterek!$F$223,Paraméterek!$F$224),0),MIN(IF($AA210=12,AVERAGE($D$20:$D210)*12,0),SUM($D$20:$D$31)))</f>
        <v>0</v>
      </c>
      <c r="AG210" s="13">
        <f>IF(AND($Z210&gt;=10,MOD($Z210,5)=0),$AF210*IF($AA210=12,VLOOKUP($Z210,Paraméterek!$B$225:$F$240,IF($AF210&lt;IF($D$4="Forint",Paraméterek!$C$223,Paraméterek!$C$224),2,IF($AF210&lt;IF($D$4="Forint",Paraméterek!$D$223,Paraméterek!$D$224),3,4))),0),0)</f>
        <v>0</v>
      </c>
      <c r="AH210" s="13">
        <f>IF(AND($Z210&gt;=5,MOD($Z210,5)=0),IF($AA210=12,VLOOKUP($Z210,Paraméterek!$B$225:$F$240,5),0),IF(OR($Z210=3,$Z210=4),IF($AA210=12,VLOOKUP($Z210,Paraméterek!$B$225:$F$240,5,0),0),0))*$AF210</f>
        <v>0</v>
      </c>
      <c r="AI210" s="13">
        <f>ROUNDDOWN(IF(SUM($T$20:$U210)=0,IF($D$2="Egyszeri",$AH210,$AG210),0),IF($D$4="Forint",0,2))</f>
        <v>0</v>
      </c>
      <c r="AJ210" s="13">
        <f t="shared" si="42"/>
        <v>0</v>
      </c>
      <c r="AK210" s="13">
        <f t="shared" si="43"/>
        <v>0</v>
      </c>
      <c r="AM210" s="32">
        <v>191</v>
      </c>
      <c r="AN210" s="32">
        <v>16</v>
      </c>
      <c r="AO210" s="32">
        <v>11</v>
      </c>
      <c r="AP210" s="13"/>
      <c r="AQ210" s="32"/>
      <c r="AR210" s="13">
        <f t="shared" si="44"/>
        <v>0</v>
      </c>
      <c r="AS210" s="33"/>
      <c r="AT210" s="13">
        <f t="shared" si="38"/>
        <v>0</v>
      </c>
      <c r="AU210" s="13">
        <f>ROUNDUP(($AR210+$AT210)*VLOOKUP($AN210,Paraméterek!$P$38:$Q$38,2)/12,IF($D$4="Forint",0,2))</f>
        <v>0</v>
      </c>
      <c r="AV210" s="13"/>
      <c r="AW210" s="13"/>
      <c r="AX210" s="13">
        <f>ROUNDUP(IF(SUM($AV210:$AW210)=0,0,IF(IF(ISBLANK($AW210),$AV210,$AW210)*Paraméterek!$J$112&lt;IF($D$4="Forint",Paraméterek!$J$113,Paraméterek!$K$113),IF($D$4="Forint",Paraméterek!$J$113,Paraméterek!$K$113),IF(IF(ISBLANK($AW210),$AV210,$AW210)*Paraméterek!$J$112&gt;IF($D$4="Forint",Paraméterek!$J$114,Paraméterek!$K$114),IF($D$4="Forint",Paraméterek!$J$114,Paraméterek!$K$114),IF(ISBLANK($AW210),$AV210,$AW210)*Paraméterek!$J$112))),IF($D$4="Forint",0,2))</f>
        <v>0</v>
      </c>
      <c r="AY210" s="13">
        <f>$AR210+$AT210-$AU210-IF(ROUNDDOWN(IF(ISBLANK($AW210),$AV210,$AW210),IF($D$4="Forint",0,2))&gt;$AR210+$AT210-$AU210-IF($D$4="Forint",Paraméterek!$J$114,Paraméterek!$K$114),0,ROUNDDOWN(IF(ISBLANK($AW210),$AV210,$AW210),IF($D$4="Forint",0,2))-$AX210)</f>
        <v>0</v>
      </c>
      <c r="AZ210" s="13">
        <f t="shared" si="39"/>
        <v>0</v>
      </c>
    </row>
    <row r="211" spans="1:52" x14ac:dyDescent="0.2">
      <c r="A211" s="32">
        <v>192</v>
      </c>
      <c r="B211" s="32">
        <v>16</v>
      </c>
      <c r="C211" s="32">
        <v>12</v>
      </c>
      <c r="D211" s="13">
        <f t="shared" si="30"/>
        <v>0</v>
      </c>
      <c r="E211" s="13"/>
      <c r="F211" s="13"/>
      <c r="G211" s="13"/>
      <c r="H211" s="13">
        <f t="shared" si="31"/>
        <v>0</v>
      </c>
      <c r="I211" s="13">
        <f t="shared" si="32"/>
        <v>0</v>
      </c>
      <c r="J211" s="13">
        <f t="shared" si="33"/>
        <v>0</v>
      </c>
      <c r="K211" s="13">
        <f>ROUNDUP(IF($D$2="Egyszeri",$D211,IF($D$2="Havi",SUM($D$20:$D$31),IF(MOD($C211,$M$1)-1=0,SUM($D$20:$D$31),0))/12*$M$1)*VLOOKUP($B211,Paraméterek!$B$27:$D$30,IF($D$2="Egyszeri",3,2)),IF($D$4="Forint",0,2))</f>
        <v>0</v>
      </c>
      <c r="L211" s="13">
        <f t="shared" si="34"/>
        <v>0</v>
      </c>
      <c r="M211" s="13">
        <f t="shared" ca="1" si="40"/>
        <v>-107052</v>
      </c>
      <c r="N211" s="13">
        <f ca="1">IF($V210&gt;=VLOOKUP($M$4-1+$B211,Paraméterek!$B$121:$D$122,IF($D$4="Forint",2,3)),0,VLOOKUP($M$4-1+$B211,Paraméterek!$B$121:$D$122,IF($D$4="Forint",2,3))-$V210)</f>
        <v>117052</v>
      </c>
      <c r="O211" s="13">
        <f ca="1">ROUNDUP($N211*Paraméterek!$C$58/Paraméterek!$C$56,IF($D$4="Forint",0,2))</f>
        <v>19</v>
      </c>
      <c r="P211" s="13">
        <f t="shared" si="35"/>
        <v>857</v>
      </c>
      <c r="Q211" s="33"/>
      <c r="R211" s="13">
        <f t="shared" ca="1" si="36"/>
        <v>0</v>
      </c>
      <c r="S211" s="13">
        <f ca="1">ROUNDUP(($M211-$O211-$P211+$R211)*VLOOKUP($B211,Paraméterek!$B$38:$D$39,IF($D$2="Egyszeri",3,2))/12,IF($D$4="Forint",0,2))</f>
        <v>-264</v>
      </c>
      <c r="T211" s="13">
        <f>Tranzakciók!$F$47</f>
        <v>0</v>
      </c>
      <c r="U211" s="13"/>
      <c r="V211" s="13">
        <f ca="1">$M211-$O211-$P211+$R211-$S211-IF(ROUNDUP(IF(ISBLANK($U211),$T211,$U211)/IF(AND($B211=1,$D$2&lt;&gt;"Egyszeri"),1,VLOOKUP($B211+IF($C211=12,1,0),Paraméterek!$B$257:$D$267,IF($D$2="Egyszeri",3,2))),IF($D$4="Forint",0,2))&gt;$M211-$O211-$P211+$R211-$S211-IF($D$4="Forint",Paraméterek!$C$216,Paraméterek!$D$216),0,ROUNDUP(IF(ISBLANK($U211),$T211,$U211)/IF(AND($B211=1,$D$2&lt;&gt;"Egyszeri"),1,VLOOKUP($B211+IF($C211=12,1,0),Paraméterek!$B$257:$D$267,IF($D$2="Egyszeri",3,2))),IF($D$4="Forint",0,2)))</f>
        <v>-107664</v>
      </c>
      <c r="W211" s="13">
        <f ca="1">ROUNDDOWN($V211*VLOOKUP($B211+IF($C211=12,1,0),Paraméterek!$B$257:$D$267,IF($D$2="Egyszeri",3,2)),IF($D$4="Forint",0,2))</f>
        <v>-107664</v>
      </c>
      <c r="Y211" s="32">
        <v>192</v>
      </c>
      <c r="Z211" s="32">
        <v>16</v>
      </c>
      <c r="AA211" s="32">
        <v>12</v>
      </c>
      <c r="AB211" s="13">
        <f t="shared" si="41"/>
        <v>0</v>
      </c>
      <c r="AC211" s="33"/>
      <c r="AD211" s="13">
        <f t="shared" si="37"/>
        <v>0</v>
      </c>
      <c r="AE211" s="13">
        <f>ROUNDUP(($AB211+$AD211)*VLOOKUP($Z211,Paraméterek!$P$38:$Q$38,2)/12,IF($D$4="Forint",0,2))</f>
        <v>0</v>
      </c>
      <c r="AF211" s="13">
        <f>IF($D$2="Egyszeri",IF($D$7&gt;=IF($D$4="Forint",Paraméterek!$P$223,Paraméterek!$P$224),$D$7-IF($D$4="Forint",Paraméterek!$F$223,Paraméterek!$F$224),0),MIN(IF($AA211=12,AVERAGE($D$20:$D211)*12,0),SUM($D$20:$D$31)))</f>
        <v>0</v>
      </c>
      <c r="AG211" s="13">
        <f>IF(AND($Z211&gt;=10,MOD($Z211,5)=0),$AF211*IF($AA211=12,VLOOKUP($Z211,Paraméterek!$B$225:$F$240,IF($AF211&lt;IF($D$4="Forint",Paraméterek!$C$223,Paraméterek!$C$224),2,IF($AF211&lt;IF($D$4="Forint",Paraméterek!$D$223,Paraméterek!$D$224),3,4))),0),0)</f>
        <v>0</v>
      </c>
      <c r="AH211" s="13">
        <f>IF(AND($Z211&gt;=5,MOD($Z211,5)=0),IF($AA211=12,VLOOKUP($Z211,Paraméterek!$B$225:$F$240,5),0),IF(OR($Z211=3,$Z211=4),IF($AA211=12,VLOOKUP($Z211,Paraméterek!$B$225:$F$240,5,0),0),0))*$AF211</f>
        <v>0</v>
      </c>
      <c r="AI211" s="13">
        <f>ROUNDDOWN(IF(SUM($T$20:$U211)=0,IF($D$2="Egyszeri",$AH211,$AG211),0),IF($D$4="Forint",0,2))</f>
        <v>0</v>
      </c>
      <c r="AJ211" s="13">
        <f t="shared" si="42"/>
        <v>0</v>
      </c>
      <c r="AK211" s="13">
        <f t="shared" si="43"/>
        <v>0</v>
      </c>
      <c r="AM211" s="32">
        <v>192</v>
      </c>
      <c r="AN211" s="32">
        <v>16</v>
      </c>
      <c r="AO211" s="32">
        <v>12</v>
      </c>
      <c r="AP211" s="13"/>
      <c r="AQ211" s="32"/>
      <c r="AR211" s="13">
        <f t="shared" si="44"/>
        <v>0</v>
      </c>
      <c r="AS211" s="33"/>
      <c r="AT211" s="13">
        <f t="shared" si="38"/>
        <v>0</v>
      </c>
      <c r="AU211" s="13">
        <f>ROUNDUP(($AR211+$AT211)*VLOOKUP($AN211,Paraméterek!$P$38:$Q$38,2)/12,IF($D$4="Forint",0,2))</f>
        <v>0</v>
      </c>
      <c r="AV211" s="13">
        <f>Tranzakciók!$M$47</f>
        <v>0</v>
      </c>
      <c r="AW211" s="13"/>
      <c r="AX211" s="13">
        <f>ROUNDUP(IF(SUM($AV211:$AW211)=0,0,IF(IF(ISBLANK($AW211),$AV211,$AW211)*Paraméterek!$J$112&lt;IF($D$4="Forint",Paraméterek!$J$113,Paraméterek!$K$113),IF($D$4="Forint",Paraméterek!$J$113,Paraméterek!$K$113),IF(IF(ISBLANK($AW211),$AV211,$AW211)*Paraméterek!$J$112&gt;IF($D$4="Forint",Paraméterek!$J$114,Paraméterek!$K$114),IF($D$4="Forint",Paraméterek!$J$114,Paraméterek!$K$114),IF(ISBLANK($AW211),$AV211,$AW211)*Paraméterek!$J$112))),IF($D$4="Forint",0,2))</f>
        <v>0</v>
      </c>
      <c r="AY211" s="13">
        <f>$AR211+$AT211-$AU211-IF(ROUNDDOWN(IF(ISBLANK($AW211),$AV211,$AW211),IF($D$4="Forint",0,2))&gt;$AR211+$AT211-$AU211-IF($D$4="Forint",Paraméterek!$J$114,Paraméterek!$K$114),0,ROUNDDOWN(IF(ISBLANK($AW211),$AV211,$AW211),IF($D$4="Forint",0,2))-$AX211)</f>
        <v>0</v>
      </c>
      <c r="AZ211" s="13">
        <f t="shared" si="39"/>
        <v>0</v>
      </c>
    </row>
    <row r="212" spans="1:52" x14ac:dyDescent="0.2">
      <c r="A212" s="32">
        <v>193</v>
      </c>
      <c r="B212" s="32">
        <v>17</v>
      </c>
      <c r="C212" s="32">
        <v>1</v>
      </c>
      <c r="D212" s="13">
        <f t="shared" si="30"/>
        <v>0</v>
      </c>
      <c r="E212" s="13"/>
      <c r="F212" s="13">
        <f>Tranzakciók!$D$48</f>
        <v>0</v>
      </c>
      <c r="G212" s="13"/>
      <c r="H212" s="13">
        <f t="shared" si="31"/>
        <v>0</v>
      </c>
      <c r="I212" s="13">
        <f t="shared" si="32"/>
        <v>161</v>
      </c>
      <c r="J212" s="13">
        <f t="shared" si="33"/>
        <v>161</v>
      </c>
      <c r="K212" s="13">
        <f>ROUNDUP(IF($D$2="Egyszeri",$D212,IF($D$2="Havi",SUM($D$20:$D$31),IF(MOD($C212,$M$1)-1=0,SUM($D$20:$D$31),0))/12*$M$1)*VLOOKUP($B212,Paraméterek!$B$27:$D$30,IF($D$2="Egyszeri",3,2)),IF($D$4="Forint",0,2))</f>
        <v>0</v>
      </c>
      <c r="L212" s="13">
        <f t="shared" si="34"/>
        <v>0</v>
      </c>
      <c r="M212" s="13">
        <f t="shared" ca="1" si="40"/>
        <v>-107664</v>
      </c>
      <c r="N212" s="13">
        <f ca="1">IF($V211&gt;=VLOOKUP($M$4-1+$B212,Paraméterek!$B$121:$D$122,IF($D$4="Forint",2,3)),0,VLOOKUP($M$4-1+$B212,Paraméterek!$B$121:$D$122,IF($D$4="Forint",2,3))-$V211)</f>
        <v>117664</v>
      </c>
      <c r="O212" s="13">
        <f ca="1">ROUNDUP($N212*Paraméterek!$C$58/Paraméterek!$C$56,IF($D$4="Forint",0,2))</f>
        <v>19</v>
      </c>
      <c r="P212" s="13">
        <f t="shared" si="35"/>
        <v>883</v>
      </c>
      <c r="Q212" s="33"/>
      <c r="R212" s="13">
        <f t="shared" ca="1" si="36"/>
        <v>0</v>
      </c>
      <c r="S212" s="13">
        <f ca="1">ROUNDUP(($M212-$O212-$P212+$R212)*VLOOKUP($B212,Paraméterek!$B$38:$D$39,IF($D$2="Egyszeri",3,2))/12,IF($D$4="Forint",0,2))</f>
        <v>-266</v>
      </c>
      <c r="T212" s="13"/>
      <c r="U212" s="13"/>
      <c r="V212" s="13">
        <f ca="1">$M212-$O212-$P212+$R212-$S212-IF(ROUNDUP(IF(ISBLANK($U212),$T212,$U212)/IF(AND($B212=1,$D$2&lt;&gt;"Egyszeri"),1,VLOOKUP($B212+IF($C212=12,1,0),Paraméterek!$B$257:$D$267,IF($D$2="Egyszeri",3,2))),IF($D$4="Forint",0,2))&gt;$M212-$O212-$P212+$R212-$S212-IF($D$4="Forint",Paraméterek!$C$216,Paraméterek!$D$216),0,ROUNDUP(IF(ISBLANK($U212),$T212,$U212)/IF(AND($B212=1,$D$2&lt;&gt;"Egyszeri"),1,VLOOKUP($B212+IF($C212=12,1,0),Paraméterek!$B$257:$D$267,IF($D$2="Egyszeri",3,2))),IF($D$4="Forint",0,2)))</f>
        <v>-108300</v>
      </c>
      <c r="W212" s="13">
        <f ca="1">ROUNDDOWN($V212*VLOOKUP($B212+IF($C212=12,1,0),Paraméterek!$B$257:$D$267,IF($D$2="Egyszeri",3,2)),IF($D$4="Forint",0,2))</f>
        <v>-108300</v>
      </c>
      <c r="Y212" s="32">
        <v>193</v>
      </c>
      <c r="Z212" s="32">
        <v>17</v>
      </c>
      <c r="AA212" s="32">
        <v>1</v>
      </c>
      <c r="AB212" s="13">
        <f t="shared" si="41"/>
        <v>0</v>
      </c>
      <c r="AC212" s="33"/>
      <c r="AD212" s="13">
        <f t="shared" si="37"/>
        <v>0</v>
      </c>
      <c r="AE212" s="13">
        <f>ROUNDUP(($AB212+$AD212)*VLOOKUP($Z212,Paraméterek!$P$38:$Q$38,2)/12,IF($D$4="Forint",0,2))</f>
        <v>0</v>
      </c>
      <c r="AF212" s="13">
        <f>IF($D$2="Egyszeri",IF($D$7&gt;=IF($D$4="Forint",Paraméterek!$P$223,Paraméterek!$P$224),$D$7-IF($D$4="Forint",Paraméterek!$F$223,Paraméterek!$F$224),0),MIN(IF($AA212=12,AVERAGE($D$20:$D212)*12,0),SUM($D$20:$D$31)))</f>
        <v>0</v>
      </c>
      <c r="AG212" s="13">
        <f>IF(AND($Z212&gt;=10,MOD($Z212,5)=0),$AF212*IF($AA212=12,VLOOKUP($Z212,Paraméterek!$B$225:$F$240,IF($AF212&lt;IF($D$4="Forint",Paraméterek!$C$223,Paraméterek!$C$224),2,IF($AF212&lt;IF($D$4="Forint",Paraméterek!$D$223,Paraméterek!$D$224),3,4))),0),0)</f>
        <v>0</v>
      </c>
      <c r="AH212" s="13">
        <f>IF(AND($Z212&gt;=5,MOD($Z212,5)=0),IF($AA212=12,VLOOKUP($Z212,Paraméterek!$B$225:$F$240,5),0),IF(OR($Z212=3,$Z212=4),IF($AA212=12,VLOOKUP($Z212,Paraméterek!$B$225:$F$240,5,0),0),0))*$AF212</f>
        <v>0</v>
      </c>
      <c r="AI212" s="13">
        <f>ROUNDDOWN(IF(SUM($T$20:$U212)=0,IF($D$2="Egyszeri",$AH212,$AG212),0),IF($D$4="Forint",0,2))</f>
        <v>0</v>
      </c>
      <c r="AJ212" s="13">
        <f t="shared" si="42"/>
        <v>0</v>
      </c>
      <c r="AK212" s="13">
        <f t="shared" si="43"/>
        <v>0</v>
      </c>
      <c r="AM212" s="32">
        <v>193</v>
      </c>
      <c r="AN212" s="32">
        <v>17</v>
      </c>
      <c r="AO212" s="32">
        <v>1</v>
      </c>
      <c r="AP212" s="13">
        <f>Tranzakciók!$K$48</f>
        <v>0</v>
      </c>
      <c r="AQ212" s="32"/>
      <c r="AR212" s="13">
        <f t="shared" si="44"/>
        <v>0</v>
      </c>
      <c r="AS212" s="33"/>
      <c r="AT212" s="13">
        <f t="shared" si="38"/>
        <v>0</v>
      </c>
      <c r="AU212" s="13">
        <f>ROUNDUP(($AR212+$AT212)*VLOOKUP($AN212,Paraméterek!$P$38:$Q$38,2)/12,IF($D$4="Forint",0,2))</f>
        <v>0</v>
      </c>
      <c r="AV212" s="13"/>
      <c r="AW212" s="13"/>
      <c r="AX212" s="13">
        <f>ROUNDUP(IF(SUM($AV212:$AW212)=0,0,IF(IF(ISBLANK($AW212),$AV212,$AW212)*Paraméterek!$J$112&lt;IF($D$4="Forint",Paraméterek!$J$113,Paraméterek!$K$113),IF($D$4="Forint",Paraméterek!$J$113,Paraméterek!$K$113),IF(IF(ISBLANK($AW212),$AV212,$AW212)*Paraméterek!$J$112&gt;IF($D$4="Forint",Paraméterek!$J$114,Paraméterek!$K$114),IF($D$4="Forint",Paraméterek!$J$114,Paraméterek!$K$114),IF(ISBLANK($AW212),$AV212,$AW212)*Paraméterek!$J$112))),IF($D$4="Forint",0,2))</f>
        <v>0</v>
      </c>
      <c r="AY212" s="13">
        <f>$AR212+$AT212-$AU212-IF(ROUNDDOWN(IF(ISBLANK($AW212),$AV212,$AW212),IF($D$4="Forint",0,2))&gt;$AR212+$AT212-$AU212-IF($D$4="Forint",Paraméterek!$J$114,Paraméterek!$K$114),0,ROUNDDOWN(IF(ISBLANK($AW212),$AV212,$AW212),IF($D$4="Forint",0,2))-$AX212)</f>
        <v>0</v>
      </c>
      <c r="AZ212" s="13">
        <f t="shared" si="39"/>
        <v>0</v>
      </c>
    </row>
    <row r="213" spans="1:52" x14ac:dyDescent="0.2">
      <c r="A213" s="32">
        <v>194</v>
      </c>
      <c r="B213" s="32">
        <v>17</v>
      </c>
      <c r="C213" s="32">
        <v>2</v>
      </c>
      <c r="D213" s="13">
        <f t="shared" ref="D213:D276" si="45">IF($D$2="Egyszeri",IF($A213=1,$D$7,0),ROUNDUP(IF($D$2="Havi",$D$7,IF(MOD($C213,$M$1)-1=0,$D$7,0))*(1+$D$6)^($B213-1),IF($D$4="Forint",0,2)))</f>
        <v>0</v>
      </c>
      <c r="E213" s="13"/>
      <c r="F213" s="13"/>
      <c r="G213" s="13"/>
      <c r="H213" s="13">
        <f t="shared" ref="H213:H276" si="46">ROUNDUP(IF(AND($D$8="Nincs",$D$2&lt;&gt;"Egyszeri"),$D213*10%,0),IF($D$4="Forint",0,2))</f>
        <v>0</v>
      </c>
      <c r="I213" s="13">
        <f t="shared" ref="I213:I276" si="47">IF($D$2="Egyszeri",IF($A213=1,$M$3,0),ROUNDUP(IF($D$2="Havi",$M$3,IF(MOD($C213,$M$1)-1=0,$M$3,0))*(1+$M$2)^($B213-1),IF($D$4="Forint",0,2)))</f>
        <v>0</v>
      </c>
      <c r="J213" s="13">
        <f t="shared" ref="J213:J276" si="48">IF(ISBLANK($E213),$D213,$E213)+IF(ISBLANK($G213),$F213,$G213)+$H213+$I213</f>
        <v>0</v>
      </c>
      <c r="K213" s="13">
        <f>ROUNDUP(IF($D$2="Egyszeri",$D213,IF($D$2="Havi",SUM($D$20:$D$31),IF(MOD($C213,$M$1)-1=0,SUM($D$20:$D$31),0))/12*$M$1)*VLOOKUP($B213,Paraméterek!$B$27:$D$30,IF($D$2="Egyszeri",3,2)),IF($D$4="Forint",0,2))</f>
        <v>0</v>
      </c>
      <c r="L213" s="13">
        <f t="shared" ref="L213:L276" si="49">$D213-$K213+IF(ISBLANK($G213),$F213,$G213)</f>
        <v>0</v>
      </c>
      <c r="M213" s="13">
        <f t="shared" ca="1" si="40"/>
        <v>-108300</v>
      </c>
      <c r="N213" s="13">
        <f ca="1">IF($V212&gt;=VLOOKUP($M$4-1+$B213,Paraméterek!$B$121:$D$122,IF($D$4="Forint",2,3)),0,VLOOKUP($M$4-1+$B213,Paraméterek!$B$121:$D$122,IF($D$4="Forint",2,3))-$V212)</f>
        <v>118300</v>
      </c>
      <c r="O213" s="13">
        <f ca="1">ROUNDUP($N213*Paraméterek!$C$58/Paraméterek!$C$56,IF($D$4="Forint",0,2))</f>
        <v>19</v>
      </c>
      <c r="P213" s="13">
        <f t="shared" ref="P213:P276" si="50">ROUNDUP($M$5*(1+$M$2)^($B213-1),IF($D$4="Forint",0,2))</f>
        <v>883</v>
      </c>
      <c r="Q213" s="33"/>
      <c r="R213" s="13">
        <f t="shared" ref="R213:R276" ca="1" si="51">ROUNDDOWN(($M213-$O213-$P213)*IF(ISBLANK($Q213),$M$6,$Q213),IF($D$4="Forint",0,2))</f>
        <v>0</v>
      </c>
      <c r="S213" s="13">
        <f ca="1">ROUNDUP(($M213-$O213-$P213+$R213)*VLOOKUP($B213,Paraméterek!$B$38:$D$39,IF($D$2="Egyszeri",3,2))/12,IF($D$4="Forint",0,2))</f>
        <v>-267</v>
      </c>
      <c r="T213" s="13"/>
      <c r="U213" s="13"/>
      <c r="V213" s="13">
        <f ca="1">$M213-$O213-$P213+$R213-$S213-IF(ROUNDUP(IF(ISBLANK($U213),$T213,$U213)/IF(AND($B213=1,$D$2&lt;&gt;"Egyszeri"),1,VLOOKUP($B213+IF($C213=12,1,0),Paraméterek!$B$257:$D$267,IF($D$2="Egyszeri",3,2))),IF($D$4="Forint",0,2))&gt;$M213-$O213-$P213+$R213-$S213-IF($D$4="Forint",Paraméterek!$C$216,Paraméterek!$D$216),0,ROUNDUP(IF(ISBLANK($U213),$T213,$U213)/IF(AND($B213=1,$D$2&lt;&gt;"Egyszeri"),1,VLOOKUP($B213+IF($C213=12,1,0),Paraméterek!$B$257:$D$267,IF($D$2="Egyszeri",3,2))),IF($D$4="Forint",0,2)))</f>
        <v>-108935</v>
      </c>
      <c r="W213" s="13">
        <f ca="1">ROUNDDOWN($V213*VLOOKUP($B213+IF($C213=12,1,0),Paraméterek!$B$257:$D$267,IF($D$2="Egyszeri",3,2)),IF($D$4="Forint",0,2))</f>
        <v>-108935</v>
      </c>
      <c r="Y213" s="32">
        <v>194</v>
      </c>
      <c r="Z213" s="32">
        <v>17</v>
      </c>
      <c r="AA213" s="32">
        <v>2</v>
      </c>
      <c r="AB213" s="13">
        <f t="shared" si="41"/>
        <v>0</v>
      </c>
      <c r="AC213" s="33"/>
      <c r="AD213" s="13">
        <f t="shared" ref="AD213:AD276" si="52">ROUNDDOWN($AB213*IF(ISBLANK($AC213),$M$8,$AC213),IF($D$4="Forint",0,2))</f>
        <v>0</v>
      </c>
      <c r="AE213" s="13">
        <f>ROUNDUP(($AB213+$AD213)*VLOOKUP($Z213,Paraméterek!$P$38:$Q$38,2)/12,IF($D$4="Forint",0,2))</f>
        <v>0</v>
      </c>
      <c r="AF213" s="13">
        <f>IF($D$2="Egyszeri",IF($D$7&gt;=IF($D$4="Forint",Paraméterek!$P$223,Paraméterek!$P$224),$D$7-IF($D$4="Forint",Paraméterek!$F$223,Paraméterek!$F$224),0),MIN(IF($AA213=12,AVERAGE($D$20:$D213)*12,0),SUM($D$20:$D$31)))</f>
        <v>0</v>
      </c>
      <c r="AG213" s="13">
        <f>IF(AND($Z213&gt;=10,MOD($Z213,5)=0),$AF213*IF($AA213=12,VLOOKUP($Z213,Paraméterek!$B$225:$F$240,IF($AF213&lt;IF($D$4="Forint",Paraméterek!$C$223,Paraméterek!$C$224),2,IF($AF213&lt;IF($D$4="Forint",Paraméterek!$D$223,Paraméterek!$D$224),3,4))),0),0)</f>
        <v>0</v>
      </c>
      <c r="AH213" s="13">
        <f>IF(AND($Z213&gt;=5,MOD($Z213,5)=0),IF($AA213=12,VLOOKUP($Z213,Paraméterek!$B$225:$F$240,5),0),IF(OR($Z213=3,$Z213=4),IF($AA213=12,VLOOKUP($Z213,Paraméterek!$B$225:$F$240,5,0),0),0))*$AF213</f>
        <v>0</v>
      </c>
      <c r="AI213" s="13">
        <f>ROUNDDOWN(IF(SUM($T$20:$U213)=0,IF($D$2="Egyszeri",$AH213,$AG213),0),IF($D$4="Forint",0,2))</f>
        <v>0</v>
      </c>
      <c r="AJ213" s="13">
        <f t="shared" si="42"/>
        <v>0</v>
      </c>
      <c r="AK213" s="13">
        <f t="shared" si="43"/>
        <v>0</v>
      </c>
      <c r="AM213" s="32">
        <v>194</v>
      </c>
      <c r="AN213" s="32">
        <v>17</v>
      </c>
      <c r="AO213" s="32">
        <v>2</v>
      </c>
      <c r="AP213" s="13"/>
      <c r="AQ213" s="32"/>
      <c r="AR213" s="13">
        <f t="shared" si="44"/>
        <v>0</v>
      </c>
      <c r="AS213" s="33"/>
      <c r="AT213" s="13">
        <f t="shared" ref="AT213:AT276" si="53">ROUNDDOWN($AR213*IF(ISBLANK($AS213),$M$7,$AS213),IF($D$4="Forint",0,2))</f>
        <v>0</v>
      </c>
      <c r="AU213" s="13">
        <f>ROUNDUP(($AR213+$AT213)*VLOOKUP($AN213,Paraméterek!$P$38:$Q$38,2)/12,IF($D$4="Forint",0,2))</f>
        <v>0</v>
      </c>
      <c r="AV213" s="13"/>
      <c r="AW213" s="13"/>
      <c r="AX213" s="13">
        <f>ROUNDUP(IF(SUM($AV213:$AW213)=0,0,IF(IF(ISBLANK($AW213),$AV213,$AW213)*Paraméterek!$J$112&lt;IF($D$4="Forint",Paraméterek!$J$113,Paraméterek!$K$113),IF($D$4="Forint",Paraméterek!$J$113,Paraméterek!$K$113),IF(IF(ISBLANK($AW213),$AV213,$AW213)*Paraméterek!$J$112&gt;IF($D$4="Forint",Paraméterek!$J$114,Paraméterek!$K$114),IF($D$4="Forint",Paraméterek!$J$114,Paraméterek!$K$114),IF(ISBLANK($AW213),$AV213,$AW213)*Paraméterek!$J$112))),IF($D$4="Forint",0,2))</f>
        <v>0</v>
      </c>
      <c r="AY213" s="13">
        <f>$AR213+$AT213-$AU213-IF(ROUNDDOWN(IF(ISBLANK($AW213),$AV213,$AW213),IF($D$4="Forint",0,2))&gt;$AR213+$AT213-$AU213-IF($D$4="Forint",Paraméterek!$J$114,Paraméterek!$K$114),0,ROUNDDOWN(IF(ISBLANK($AW213),$AV213,$AW213),IF($D$4="Forint",0,2))-$AX213)</f>
        <v>0</v>
      </c>
      <c r="AZ213" s="13">
        <f t="shared" ref="AZ213:AZ276" si="54">$AY213</f>
        <v>0</v>
      </c>
    </row>
    <row r="214" spans="1:52" x14ac:dyDescent="0.2">
      <c r="A214" s="32">
        <v>195</v>
      </c>
      <c r="B214" s="32">
        <v>17</v>
      </c>
      <c r="C214" s="32">
        <v>3</v>
      </c>
      <c r="D214" s="13">
        <f t="shared" si="45"/>
        <v>0</v>
      </c>
      <c r="E214" s="13"/>
      <c r="F214" s="13"/>
      <c r="G214" s="13"/>
      <c r="H214" s="13">
        <f t="shared" si="46"/>
        <v>0</v>
      </c>
      <c r="I214" s="13">
        <f t="shared" si="47"/>
        <v>0</v>
      </c>
      <c r="J214" s="13">
        <f t="shared" si="48"/>
        <v>0</v>
      </c>
      <c r="K214" s="13">
        <f>ROUNDUP(IF($D$2="Egyszeri",$D214,IF($D$2="Havi",SUM($D$20:$D$31),IF(MOD($C214,$M$1)-1=0,SUM($D$20:$D$31),0))/12*$M$1)*VLOOKUP($B214,Paraméterek!$B$27:$D$30,IF($D$2="Egyszeri",3,2)),IF($D$4="Forint",0,2))</f>
        <v>0</v>
      </c>
      <c r="L214" s="13">
        <f t="shared" si="49"/>
        <v>0</v>
      </c>
      <c r="M214" s="13">
        <f t="shared" ref="M214:M277" ca="1" si="55">$L214+$V213</f>
        <v>-108935</v>
      </c>
      <c r="N214" s="13">
        <f ca="1">IF($V213&gt;=VLOOKUP($M$4-1+$B214,Paraméterek!$B$121:$D$122,IF($D$4="Forint",2,3)),0,VLOOKUP($M$4-1+$B214,Paraméterek!$B$121:$D$122,IF($D$4="Forint",2,3))-$V213)</f>
        <v>118935</v>
      </c>
      <c r="O214" s="13">
        <f ca="1">ROUNDUP($N214*Paraméterek!$C$58/Paraméterek!$C$56,IF($D$4="Forint",0,2))</f>
        <v>19</v>
      </c>
      <c r="P214" s="13">
        <f t="shared" si="50"/>
        <v>883</v>
      </c>
      <c r="Q214" s="33"/>
      <c r="R214" s="13">
        <f t="shared" ca="1" si="51"/>
        <v>0</v>
      </c>
      <c r="S214" s="13">
        <f ca="1">ROUNDUP(($M214-$O214-$P214+$R214)*VLOOKUP($B214,Paraméterek!$B$38:$D$39,IF($D$2="Egyszeri",3,2))/12,IF($D$4="Forint",0,2))</f>
        <v>-269</v>
      </c>
      <c r="T214" s="13"/>
      <c r="U214" s="13"/>
      <c r="V214" s="13">
        <f ca="1">$M214-$O214-$P214+$R214-$S214-IF(ROUNDUP(IF(ISBLANK($U214),$T214,$U214)/IF(AND($B214=1,$D$2&lt;&gt;"Egyszeri"),1,VLOOKUP($B214+IF($C214=12,1,0),Paraméterek!$B$257:$D$267,IF($D$2="Egyszeri",3,2))),IF($D$4="Forint",0,2))&gt;$M214-$O214-$P214+$R214-$S214-IF($D$4="Forint",Paraméterek!$C$216,Paraméterek!$D$216),0,ROUNDUP(IF(ISBLANK($U214),$T214,$U214)/IF(AND($B214=1,$D$2&lt;&gt;"Egyszeri"),1,VLOOKUP($B214+IF($C214=12,1,0),Paraméterek!$B$257:$D$267,IF($D$2="Egyszeri",3,2))),IF($D$4="Forint",0,2)))</f>
        <v>-109568</v>
      </c>
      <c r="W214" s="13">
        <f ca="1">ROUNDDOWN($V214*VLOOKUP($B214+IF($C214=12,1,0),Paraméterek!$B$257:$D$267,IF($D$2="Egyszeri",3,2)),IF($D$4="Forint",0,2))</f>
        <v>-109568</v>
      </c>
      <c r="Y214" s="32">
        <v>195</v>
      </c>
      <c r="Z214" s="32">
        <v>17</v>
      </c>
      <c r="AA214" s="32">
        <v>3</v>
      </c>
      <c r="AB214" s="13">
        <f t="shared" ref="AB214:AB277" si="56">$AJ213</f>
        <v>0</v>
      </c>
      <c r="AC214" s="33"/>
      <c r="AD214" s="13">
        <f t="shared" si="52"/>
        <v>0</v>
      </c>
      <c r="AE214" s="13">
        <f>ROUNDUP(($AB214+$AD214)*VLOOKUP($Z214,Paraméterek!$P$38:$Q$38,2)/12,IF($D$4="Forint",0,2))</f>
        <v>0</v>
      </c>
      <c r="AF214" s="13">
        <f>IF($D$2="Egyszeri",IF($D$7&gt;=IF($D$4="Forint",Paraméterek!$P$223,Paraméterek!$P$224),$D$7-IF($D$4="Forint",Paraméterek!$F$223,Paraméterek!$F$224),0),MIN(IF($AA214=12,AVERAGE($D$20:$D214)*12,0),SUM($D$20:$D$31)))</f>
        <v>0</v>
      </c>
      <c r="AG214" s="13">
        <f>IF(AND($Z214&gt;=10,MOD($Z214,5)=0),$AF214*IF($AA214=12,VLOOKUP($Z214,Paraméterek!$B$225:$F$240,IF($AF214&lt;IF($D$4="Forint",Paraméterek!$C$223,Paraméterek!$C$224),2,IF($AF214&lt;IF($D$4="Forint",Paraméterek!$D$223,Paraméterek!$D$224),3,4))),0),0)</f>
        <v>0</v>
      </c>
      <c r="AH214" s="13">
        <f>IF(AND($Z214&gt;=5,MOD($Z214,5)=0),IF($AA214=12,VLOOKUP($Z214,Paraméterek!$B$225:$F$240,5),0),IF(OR($Z214=3,$Z214=4),IF($AA214=12,VLOOKUP($Z214,Paraméterek!$B$225:$F$240,5,0),0),0))*$AF214</f>
        <v>0</v>
      </c>
      <c r="AI214" s="13">
        <f>ROUNDDOWN(IF(SUM($T$20:$U214)=0,IF($D$2="Egyszeri",$AH214,$AG214),0),IF($D$4="Forint",0,2))</f>
        <v>0</v>
      </c>
      <c r="AJ214" s="13">
        <f t="shared" ref="AJ214:AJ277" si="57">$AB214+$AD214-$AE214+$AI214</f>
        <v>0</v>
      </c>
      <c r="AK214" s="13">
        <f t="shared" ref="AK214:AK277" si="58">$AJ214</f>
        <v>0</v>
      </c>
      <c r="AM214" s="32">
        <v>195</v>
      </c>
      <c r="AN214" s="32">
        <v>17</v>
      </c>
      <c r="AO214" s="32">
        <v>3</v>
      </c>
      <c r="AP214" s="13"/>
      <c r="AQ214" s="32"/>
      <c r="AR214" s="13">
        <f t="shared" ref="AR214:AR277" si="59">IF(ISBLANK($AQ214),$AP214,$AQ214)+$AY213</f>
        <v>0</v>
      </c>
      <c r="AS214" s="33"/>
      <c r="AT214" s="13">
        <f t="shared" si="53"/>
        <v>0</v>
      </c>
      <c r="AU214" s="13">
        <f>ROUNDUP(($AR214+$AT214)*VLOOKUP($AN214,Paraméterek!$P$38:$Q$38,2)/12,IF($D$4="Forint",0,2))</f>
        <v>0</v>
      </c>
      <c r="AV214" s="13"/>
      <c r="AW214" s="13"/>
      <c r="AX214" s="13">
        <f>ROUNDUP(IF(SUM($AV214:$AW214)=0,0,IF(IF(ISBLANK($AW214),$AV214,$AW214)*Paraméterek!$J$112&lt;IF($D$4="Forint",Paraméterek!$J$113,Paraméterek!$K$113),IF($D$4="Forint",Paraméterek!$J$113,Paraméterek!$K$113),IF(IF(ISBLANK($AW214),$AV214,$AW214)*Paraméterek!$J$112&gt;IF($D$4="Forint",Paraméterek!$J$114,Paraméterek!$K$114),IF($D$4="Forint",Paraméterek!$J$114,Paraméterek!$K$114),IF(ISBLANK($AW214),$AV214,$AW214)*Paraméterek!$J$112))),IF($D$4="Forint",0,2))</f>
        <v>0</v>
      </c>
      <c r="AY214" s="13">
        <f>$AR214+$AT214-$AU214-IF(ROUNDDOWN(IF(ISBLANK($AW214),$AV214,$AW214),IF($D$4="Forint",0,2))&gt;$AR214+$AT214-$AU214-IF($D$4="Forint",Paraméterek!$J$114,Paraméterek!$K$114),0,ROUNDDOWN(IF(ISBLANK($AW214),$AV214,$AW214),IF($D$4="Forint",0,2))-$AX214)</f>
        <v>0</v>
      </c>
      <c r="AZ214" s="13">
        <f t="shared" si="54"/>
        <v>0</v>
      </c>
    </row>
    <row r="215" spans="1:52" x14ac:dyDescent="0.2">
      <c r="A215" s="32">
        <v>196</v>
      </c>
      <c r="B215" s="32">
        <v>17</v>
      </c>
      <c r="C215" s="32">
        <v>4</v>
      </c>
      <c r="D215" s="13">
        <f t="shared" si="45"/>
        <v>0</v>
      </c>
      <c r="E215" s="13"/>
      <c r="F215" s="13"/>
      <c r="G215" s="13"/>
      <c r="H215" s="13">
        <f t="shared" si="46"/>
        <v>0</v>
      </c>
      <c r="I215" s="13">
        <f t="shared" si="47"/>
        <v>0</v>
      </c>
      <c r="J215" s="13">
        <f t="shared" si="48"/>
        <v>0</v>
      </c>
      <c r="K215" s="13">
        <f>ROUNDUP(IF($D$2="Egyszeri",$D215,IF($D$2="Havi",SUM($D$20:$D$31),IF(MOD($C215,$M$1)-1=0,SUM($D$20:$D$31),0))/12*$M$1)*VLOOKUP($B215,Paraméterek!$B$27:$D$30,IF($D$2="Egyszeri",3,2)),IF($D$4="Forint",0,2))</f>
        <v>0</v>
      </c>
      <c r="L215" s="13">
        <f t="shared" si="49"/>
        <v>0</v>
      </c>
      <c r="M215" s="13">
        <f t="shared" ca="1" si="55"/>
        <v>-109568</v>
      </c>
      <c r="N215" s="13">
        <f ca="1">IF($V214&gt;=VLOOKUP($M$4-1+$B215,Paraméterek!$B$121:$D$122,IF($D$4="Forint",2,3)),0,VLOOKUP($M$4-1+$B215,Paraméterek!$B$121:$D$122,IF($D$4="Forint",2,3))-$V214)</f>
        <v>119568</v>
      </c>
      <c r="O215" s="13">
        <f ca="1">ROUNDUP($N215*Paraméterek!$C$58/Paraméterek!$C$56,IF($D$4="Forint",0,2))</f>
        <v>20</v>
      </c>
      <c r="P215" s="13">
        <f t="shared" si="50"/>
        <v>883</v>
      </c>
      <c r="Q215" s="33"/>
      <c r="R215" s="13">
        <f t="shared" ca="1" si="51"/>
        <v>0</v>
      </c>
      <c r="S215" s="13">
        <f ca="1">ROUNDUP(($M215-$O215-$P215+$R215)*VLOOKUP($B215,Paraméterek!$B$38:$D$39,IF($D$2="Egyszeri",3,2))/12,IF($D$4="Forint",0,2))</f>
        <v>-270</v>
      </c>
      <c r="T215" s="13"/>
      <c r="U215" s="13"/>
      <c r="V215" s="13">
        <f ca="1">$M215-$O215-$P215+$R215-$S215-IF(ROUNDUP(IF(ISBLANK($U215),$T215,$U215)/IF(AND($B215=1,$D$2&lt;&gt;"Egyszeri"),1,VLOOKUP($B215+IF($C215=12,1,0),Paraméterek!$B$257:$D$267,IF($D$2="Egyszeri",3,2))),IF($D$4="Forint",0,2))&gt;$M215-$O215-$P215+$R215-$S215-IF($D$4="Forint",Paraméterek!$C$216,Paraméterek!$D$216),0,ROUNDUP(IF(ISBLANK($U215),$T215,$U215)/IF(AND($B215=1,$D$2&lt;&gt;"Egyszeri"),1,VLOOKUP($B215+IF($C215=12,1,0),Paraméterek!$B$257:$D$267,IF($D$2="Egyszeri",3,2))),IF($D$4="Forint",0,2)))</f>
        <v>-110201</v>
      </c>
      <c r="W215" s="13">
        <f ca="1">ROUNDDOWN($V215*VLOOKUP($B215+IF($C215=12,1,0),Paraméterek!$B$257:$D$267,IF($D$2="Egyszeri",3,2)),IF($D$4="Forint",0,2))</f>
        <v>-110201</v>
      </c>
      <c r="Y215" s="32">
        <v>196</v>
      </c>
      <c r="Z215" s="32">
        <v>17</v>
      </c>
      <c r="AA215" s="32">
        <v>4</v>
      </c>
      <c r="AB215" s="13">
        <f t="shared" si="56"/>
        <v>0</v>
      </c>
      <c r="AC215" s="33"/>
      <c r="AD215" s="13">
        <f t="shared" si="52"/>
        <v>0</v>
      </c>
      <c r="AE215" s="13">
        <f>ROUNDUP(($AB215+$AD215)*VLOOKUP($Z215,Paraméterek!$P$38:$Q$38,2)/12,IF($D$4="Forint",0,2))</f>
        <v>0</v>
      </c>
      <c r="AF215" s="13">
        <f>IF($D$2="Egyszeri",IF($D$7&gt;=IF($D$4="Forint",Paraméterek!$P$223,Paraméterek!$P$224),$D$7-IF($D$4="Forint",Paraméterek!$F$223,Paraméterek!$F$224),0),MIN(IF($AA215=12,AVERAGE($D$20:$D215)*12,0),SUM($D$20:$D$31)))</f>
        <v>0</v>
      </c>
      <c r="AG215" s="13">
        <f>IF(AND($Z215&gt;=10,MOD($Z215,5)=0),$AF215*IF($AA215=12,VLOOKUP($Z215,Paraméterek!$B$225:$F$240,IF($AF215&lt;IF($D$4="Forint",Paraméterek!$C$223,Paraméterek!$C$224),2,IF($AF215&lt;IF($D$4="Forint",Paraméterek!$D$223,Paraméterek!$D$224),3,4))),0),0)</f>
        <v>0</v>
      </c>
      <c r="AH215" s="13">
        <f>IF(AND($Z215&gt;=5,MOD($Z215,5)=0),IF($AA215=12,VLOOKUP($Z215,Paraméterek!$B$225:$F$240,5),0),IF(OR($Z215=3,$Z215=4),IF($AA215=12,VLOOKUP($Z215,Paraméterek!$B$225:$F$240,5,0),0),0))*$AF215</f>
        <v>0</v>
      </c>
      <c r="AI215" s="13">
        <f>ROUNDDOWN(IF(SUM($T$20:$U215)=0,IF($D$2="Egyszeri",$AH215,$AG215),0),IF($D$4="Forint",0,2))</f>
        <v>0</v>
      </c>
      <c r="AJ215" s="13">
        <f t="shared" si="57"/>
        <v>0</v>
      </c>
      <c r="AK215" s="13">
        <f t="shared" si="58"/>
        <v>0</v>
      </c>
      <c r="AM215" s="32">
        <v>196</v>
      </c>
      <c r="AN215" s="32">
        <v>17</v>
      </c>
      <c r="AO215" s="32">
        <v>4</v>
      </c>
      <c r="AP215" s="13"/>
      <c r="AQ215" s="32"/>
      <c r="AR215" s="13">
        <f t="shared" si="59"/>
        <v>0</v>
      </c>
      <c r="AS215" s="33"/>
      <c r="AT215" s="13">
        <f t="shared" si="53"/>
        <v>0</v>
      </c>
      <c r="AU215" s="13">
        <f>ROUNDUP(($AR215+$AT215)*VLOOKUP($AN215,Paraméterek!$P$38:$Q$38,2)/12,IF($D$4="Forint",0,2))</f>
        <v>0</v>
      </c>
      <c r="AV215" s="13"/>
      <c r="AW215" s="13"/>
      <c r="AX215" s="13">
        <f>ROUNDUP(IF(SUM($AV215:$AW215)=0,0,IF(IF(ISBLANK($AW215),$AV215,$AW215)*Paraméterek!$J$112&lt;IF($D$4="Forint",Paraméterek!$J$113,Paraméterek!$K$113),IF($D$4="Forint",Paraméterek!$J$113,Paraméterek!$K$113),IF(IF(ISBLANK($AW215),$AV215,$AW215)*Paraméterek!$J$112&gt;IF($D$4="Forint",Paraméterek!$J$114,Paraméterek!$K$114),IF($D$4="Forint",Paraméterek!$J$114,Paraméterek!$K$114),IF(ISBLANK($AW215),$AV215,$AW215)*Paraméterek!$J$112))),IF($D$4="Forint",0,2))</f>
        <v>0</v>
      </c>
      <c r="AY215" s="13">
        <f>$AR215+$AT215-$AU215-IF(ROUNDDOWN(IF(ISBLANK($AW215),$AV215,$AW215),IF($D$4="Forint",0,2))&gt;$AR215+$AT215-$AU215-IF($D$4="Forint",Paraméterek!$J$114,Paraméterek!$K$114),0,ROUNDDOWN(IF(ISBLANK($AW215),$AV215,$AW215),IF($D$4="Forint",0,2))-$AX215)</f>
        <v>0</v>
      </c>
      <c r="AZ215" s="13">
        <f t="shared" si="54"/>
        <v>0</v>
      </c>
    </row>
    <row r="216" spans="1:52" x14ac:dyDescent="0.2">
      <c r="A216" s="32">
        <v>197</v>
      </c>
      <c r="B216" s="32">
        <v>17</v>
      </c>
      <c r="C216" s="32">
        <v>5</v>
      </c>
      <c r="D216" s="13">
        <f t="shared" si="45"/>
        <v>0</v>
      </c>
      <c r="E216" s="13"/>
      <c r="F216" s="13"/>
      <c r="G216" s="13"/>
      <c r="H216" s="13">
        <f t="shared" si="46"/>
        <v>0</v>
      </c>
      <c r="I216" s="13">
        <f t="shared" si="47"/>
        <v>0</v>
      </c>
      <c r="J216" s="13">
        <f t="shared" si="48"/>
        <v>0</v>
      </c>
      <c r="K216" s="13">
        <f>ROUNDUP(IF($D$2="Egyszeri",$D216,IF($D$2="Havi",SUM($D$20:$D$31),IF(MOD($C216,$M$1)-1=0,SUM($D$20:$D$31),0))/12*$M$1)*VLOOKUP($B216,Paraméterek!$B$27:$D$30,IF($D$2="Egyszeri",3,2)),IF($D$4="Forint",0,2))</f>
        <v>0</v>
      </c>
      <c r="L216" s="13">
        <f t="shared" si="49"/>
        <v>0</v>
      </c>
      <c r="M216" s="13">
        <f t="shared" ca="1" si="55"/>
        <v>-110201</v>
      </c>
      <c r="N216" s="13">
        <f ca="1">IF($V215&gt;=VLOOKUP($M$4-1+$B216,Paraméterek!$B$121:$D$122,IF($D$4="Forint",2,3)),0,VLOOKUP($M$4-1+$B216,Paraméterek!$B$121:$D$122,IF($D$4="Forint",2,3))-$V215)</f>
        <v>120201</v>
      </c>
      <c r="O216" s="13">
        <f ca="1">ROUNDUP($N216*Paraméterek!$C$58/Paraméterek!$C$56,IF($D$4="Forint",0,2))</f>
        <v>20</v>
      </c>
      <c r="P216" s="13">
        <f t="shared" si="50"/>
        <v>883</v>
      </c>
      <c r="Q216" s="33"/>
      <c r="R216" s="13">
        <f t="shared" ca="1" si="51"/>
        <v>0</v>
      </c>
      <c r="S216" s="13">
        <f ca="1">ROUNDUP(($M216-$O216-$P216+$R216)*VLOOKUP($B216,Paraméterek!$B$38:$D$39,IF($D$2="Egyszeri",3,2))/12,IF($D$4="Forint",0,2))</f>
        <v>-272</v>
      </c>
      <c r="T216" s="13"/>
      <c r="U216" s="13"/>
      <c r="V216" s="13">
        <f ca="1">$M216-$O216-$P216+$R216-$S216-IF(ROUNDUP(IF(ISBLANK($U216),$T216,$U216)/IF(AND($B216=1,$D$2&lt;&gt;"Egyszeri"),1,VLOOKUP($B216+IF($C216=12,1,0),Paraméterek!$B$257:$D$267,IF($D$2="Egyszeri",3,2))),IF($D$4="Forint",0,2))&gt;$M216-$O216-$P216+$R216-$S216-IF($D$4="Forint",Paraméterek!$C$216,Paraméterek!$D$216),0,ROUNDUP(IF(ISBLANK($U216),$T216,$U216)/IF(AND($B216=1,$D$2&lt;&gt;"Egyszeri"),1,VLOOKUP($B216+IF($C216=12,1,0),Paraméterek!$B$257:$D$267,IF($D$2="Egyszeri",3,2))),IF($D$4="Forint",0,2)))</f>
        <v>-110832</v>
      </c>
      <c r="W216" s="13">
        <f ca="1">ROUNDDOWN($V216*VLOOKUP($B216+IF($C216=12,1,0),Paraméterek!$B$257:$D$267,IF($D$2="Egyszeri",3,2)),IF($D$4="Forint",0,2))</f>
        <v>-110832</v>
      </c>
      <c r="Y216" s="32">
        <v>197</v>
      </c>
      <c r="Z216" s="32">
        <v>17</v>
      </c>
      <c r="AA216" s="32">
        <v>5</v>
      </c>
      <c r="AB216" s="13">
        <f t="shared" si="56"/>
        <v>0</v>
      </c>
      <c r="AC216" s="33"/>
      <c r="AD216" s="13">
        <f t="shared" si="52"/>
        <v>0</v>
      </c>
      <c r="AE216" s="13">
        <f>ROUNDUP(($AB216+$AD216)*VLOOKUP($Z216,Paraméterek!$P$38:$Q$38,2)/12,IF($D$4="Forint",0,2))</f>
        <v>0</v>
      </c>
      <c r="AF216" s="13">
        <f>IF($D$2="Egyszeri",IF($D$7&gt;=IF($D$4="Forint",Paraméterek!$P$223,Paraméterek!$P$224),$D$7-IF($D$4="Forint",Paraméterek!$F$223,Paraméterek!$F$224),0),MIN(IF($AA216=12,AVERAGE($D$20:$D216)*12,0),SUM($D$20:$D$31)))</f>
        <v>0</v>
      </c>
      <c r="AG216" s="13">
        <f>IF(AND($Z216&gt;=10,MOD($Z216,5)=0),$AF216*IF($AA216=12,VLOOKUP($Z216,Paraméterek!$B$225:$F$240,IF($AF216&lt;IF($D$4="Forint",Paraméterek!$C$223,Paraméterek!$C$224),2,IF($AF216&lt;IF($D$4="Forint",Paraméterek!$D$223,Paraméterek!$D$224),3,4))),0),0)</f>
        <v>0</v>
      </c>
      <c r="AH216" s="13">
        <f>IF(AND($Z216&gt;=5,MOD($Z216,5)=0),IF($AA216=12,VLOOKUP($Z216,Paraméterek!$B$225:$F$240,5),0),IF(OR($Z216=3,$Z216=4),IF($AA216=12,VLOOKUP($Z216,Paraméterek!$B$225:$F$240,5,0),0),0))*$AF216</f>
        <v>0</v>
      </c>
      <c r="AI216" s="13">
        <f>ROUNDDOWN(IF(SUM($T$20:$U216)=0,IF($D$2="Egyszeri",$AH216,$AG216),0),IF($D$4="Forint",0,2))</f>
        <v>0</v>
      </c>
      <c r="AJ216" s="13">
        <f t="shared" si="57"/>
        <v>0</v>
      </c>
      <c r="AK216" s="13">
        <f t="shared" si="58"/>
        <v>0</v>
      </c>
      <c r="AM216" s="32">
        <v>197</v>
      </c>
      <c r="AN216" s="32">
        <v>17</v>
      </c>
      <c r="AO216" s="32">
        <v>5</v>
      </c>
      <c r="AP216" s="13"/>
      <c r="AQ216" s="32"/>
      <c r="AR216" s="13">
        <f t="shared" si="59"/>
        <v>0</v>
      </c>
      <c r="AS216" s="33"/>
      <c r="AT216" s="13">
        <f t="shared" si="53"/>
        <v>0</v>
      </c>
      <c r="AU216" s="13">
        <f>ROUNDUP(($AR216+$AT216)*VLOOKUP($AN216,Paraméterek!$P$38:$Q$38,2)/12,IF($D$4="Forint",0,2))</f>
        <v>0</v>
      </c>
      <c r="AV216" s="13"/>
      <c r="AW216" s="13"/>
      <c r="AX216" s="13">
        <f>ROUNDUP(IF(SUM($AV216:$AW216)=0,0,IF(IF(ISBLANK($AW216),$AV216,$AW216)*Paraméterek!$J$112&lt;IF($D$4="Forint",Paraméterek!$J$113,Paraméterek!$K$113),IF($D$4="Forint",Paraméterek!$J$113,Paraméterek!$K$113),IF(IF(ISBLANK($AW216),$AV216,$AW216)*Paraméterek!$J$112&gt;IF($D$4="Forint",Paraméterek!$J$114,Paraméterek!$K$114),IF($D$4="Forint",Paraméterek!$J$114,Paraméterek!$K$114),IF(ISBLANK($AW216),$AV216,$AW216)*Paraméterek!$J$112))),IF($D$4="Forint",0,2))</f>
        <v>0</v>
      </c>
      <c r="AY216" s="13">
        <f>$AR216+$AT216-$AU216-IF(ROUNDDOWN(IF(ISBLANK($AW216),$AV216,$AW216),IF($D$4="Forint",0,2))&gt;$AR216+$AT216-$AU216-IF($D$4="Forint",Paraméterek!$J$114,Paraméterek!$K$114),0,ROUNDDOWN(IF(ISBLANK($AW216),$AV216,$AW216),IF($D$4="Forint",0,2))-$AX216)</f>
        <v>0</v>
      </c>
      <c r="AZ216" s="13">
        <f t="shared" si="54"/>
        <v>0</v>
      </c>
    </row>
    <row r="217" spans="1:52" x14ac:dyDescent="0.2">
      <c r="A217" s="32">
        <v>198</v>
      </c>
      <c r="B217" s="32">
        <v>17</v>
      </c>
      <c r="C217" s="32">
        <v>6</v>
      </c>
      <c r="D217" s="13">
        <f t="shared" si="45"/>
        <v>0</v>
      </c>
      <c r="E217" s="13"/>
      <c r="F217" s="13"/>
      <c r="G217" s="13"/>
      <c r="H217" s="13">
        <f t="shared" si="46"/>
        <v>0</v>
      </c>
      <c r="I217" s="13">
        <f t="shared" si="47"/>
        <v>0</v>
      </c>
      <c r="J217" s="13">
        <f t="shared" si="48"/>
        <v>0</v>
      </c>
      <c r="K217" s="13">
        <f>ROUNDUP(IF($D$2="Egyszeri",$D217,IF($D$2="Havi",SUM($D$20:$D$31),IF(MOD($C217,$M$1)-1=0,SUM($D$20:$D$31),0))/12*$M$1)*VLOOKUP($B217,Paraméterek!$B$27:$D$30,IF($D$2="Egyszeri",3,2)),IF($D$4="Forint",0,2))</f>
        <v>0</v>
      </c>
      <c r="L217" s="13">
        <f t="shared" si="49"/>
        <v>0</v>
      </c>
      <c r="M217" s="13">
        <f t="shared" ca="1" si="55"/>
        <v>-110832</v>
      </c>
      <c r="N217" s="13">
        <f ca="1">IF($V216&gt;=VLOOKUP($M$4-1+$B217,Paraméterek!$B$121:$D$122,IF($D$4="Forint",2,3)),0,VLOOKUP($M$4-1+$B217,Paraméterek!$B$121:$D$122,IF($D$4="Forint",2,3))-$V216)</f>
        <v>120832</v>
      </c>
      <c r="O217" s="13">
        <f ca="1">ROUNDUP($N217*Paraméterek!$C$58/Paraméterek!$C$56,IF($D$4="Forint",0,2))</f>
        <v>20</v>
      </c>
      <c r="P217" s="13">
        <f t="shared" si="50"/>
        <v>883</v>
      </c>
      <c r="Q217" s="33"/>
      <c r="R217" s="13">
        <f t="shared" ca="1" si="51"/>
        <v>0</v>
      </c>
      <c r="S217" s="13">
        <f ca="1">ROUNDUP(($M217-$O217-$P217+$R217)*VLOOKUP($B217,Paraméterek!$B$38:$D$39,IF($D$2="Egyszeri",3,2))/12,IF($D$4="Forint",0,2))</f>
        <v>-273</v>
      </c>
      <c r="T217" s="13"/>
      <c r="U217" s="13"/>
      <c r="V217" s="13">
        <f ca="1">$M217-$O217-$P217+$R217-$S217-IF(ROUNDUP(IF(ISBLANK($U217),$T217,$U217)/IF(AND($B217=1,$D$2&lt;&gt;"Egyszeri"),1,VLOOKUP($B217+IF($C217=12,1,0),Paraméterek!$B$257:$D$267,IF($D$2="Egyszeri",3,2))),IF($D$4="Forint",0,2))&gt;$M217-$O217-$P217+$R217-$S217-IF($D$4="Forint",Paraméterek!$C$216,Paraméterek!$D$216),0,ROUNDUP(IF(ISBLANK($U217),$T217,$U217)/IF(AND($B217=1,$D$2&lt;&gt;"Egyszeri"),1,VLOOKUP($B217+IF($C217=12,1,0),Paraméterek!$B$257:$D$267,IF($D$2="Egyszeri",3,2))),IF($D$4="Forint",0,2)))</f>
        <v>-111462</v>
      </c>
      <c r="W217" s="13">
        <f ca="1">ROUNDDOWN($V217*VLOOKUP($B217+IF($C217=12,1,0),Paraméterek!$B$257:$D$267,IF($D$2="Egyszeri",3,2)),IF($D$4="Forint",0,2))</f>
        <v>-111462</v>
      </c>
      <c r="Y217" s="32">
        <v>198</v>
      </c>
      <c r="Z217" s="32">
        <v>17</v>
      </c>
      <c r="AA217" s="32">
        <v>6</v>
      </c>
      <c r="AB217" s="13">
        <f t="shared" si="56"/>
        <v>0</v>
      </c>
      <c r="AC217" s="33"/>
      <c r="AD217" s="13">
        <f t="shared" si="52"/>
        <v>0</v>
      </c>
      <c r="AE217" s="13">
        <f>ROUNDUP(($AB217+$AD217)*VLOOKUP($Z217,Paraméterek!$P$38:$Q$38,2)/12,IF($D$4="Forint",0,2))</f>
        <v>0</v>
      </c>
      <c r="AF217" s="13">
        <f>IF($D$2="Egyszeri",IF($D$7&gt;=IF($D$4="Forint",Paraméterek!$P$223,Paraméterek!$P$224),$D$7-IF($D$4="Forint",Paraméterek!$F$223,Paraméterek!$F$224),0),MIN(IF($AA217=12,AVERAGE($D$20:$D217)*12,0),SUM($D$20:$D$31)))</f>
        <v>0</v>
      </c>
      <c r="AG217" s="13">
        <f>IF(AND($Z217&gt;=10,MOD($Z217,5)=0),$AF217*IF($AA217=12,VLOOKUP($Z217,Paraméterek!$B$225:$F$240,IF($AF217&lt;IF($D$4="Forint",Paraméterek!$C$223,Paraméterek!$C$224),2,IF($AF217&lt;IF($D$4="Forint",Paraméterek!$D$223,Paraméterek!$D$224),3,4))),0),0)</f>
        <v>0</v>
      </c>
      <c r="AH217" s="13">
        <f>IF(AND($Z217&gt;=5,MOD($Z217,5)=0),IF($AA217=12,VLOOKUP($Z217,Paraméterek!$B$225:$F$240,5),0),IF(OR($Z217=3,$Z217=4),IF($AA217=12,VLOOKUP($Z217,Paraméterek!$B$225:$F$240,5,0),0),0))*$AF217</f>
        <v>0</v>
      </c>
      <c r="AI217" s="13">
        <f>ROUNDDOWN(IF(SUM($T$20:$U217)=0,IF($D$2="Egyszeri",$AH217,$AG217),0),IF($D$4="Forint",0,2))</f>
        <v>0</v>
      </c>
      <c r="AJ217" s="13">
        <f t="shared" si="57"/>
        <v>0</v>
      </c>
      <c r="AK217" s="13">
        <f t="shared" si="58"/>
        <v>0</v>
      </c>
      <c r="AM217" s="32">
        <v>198</v>
      </c>
      <c r="AN217" s="32">
        <v>17</v>
      </c>
      <c r="AO217" s="32">
        <v>6</v>
      </c>
      <c r="AP217" s="13"/>
      <c r="AQ217" s="32"/>
      <c r="AR217" s="13">
        <f t="shared" si="59"/>
        <v>0</v>
      </c>
      <c r="AS217" s="33"/>
      <c r="AT217" s="13">
        <f t="shared" si="53"/>
        <v>0</v>
      </c>
      <c r="AU217" s="13">
        <f>ROUNDUP(($AR217+$AT217)*VLOOKUP($AN217,Paraméterek!$P$38:$Q$38,2)/12,IF($D$4="Forint",0,2))</f>
        <v>0</v>
      </c>
      <c r="AV217" s="13"/>
      <c r="AW217" s="13"/>
      <c r="AX217" s="13">
        <f>ROUNDUP(IF(SUM($AV217:$AW217)=0,0,IF(IF(ISBLANK($AW217),$AV217,$AW217)*Paraméterek!$J$112&lt;IF($D$4="Forint",Paraméterek!$J$113,Paraméterek!$K$113),IF($D$4="Forint",Paraméterek!$J$113,Paraméterek!$K$113),IF(IF(ISBLANK($AW217),$AV217,$AW217)*Paraméterek!$J$112&gt;IF($D$4="Forint",Paraméterek!$J$114,Paraméterek!$K$114),IF($D$4="Forint",Paraméterek!$J$114,Paraméterek!$K$114),IF(ISBLANK($AW217),$AV217,$AW217)*Paraméterek!$J$112))),IF($D$4="Forint",0,2))</f>
        <v>0</v>
      </c>
      <c r="AY217" s="13">
        <f>$AR217+$AT217-$AU217-IF(ROUNDDOWN(IF(ISBLANK($AW217),$AV217,$AW217),IF($D$4="Forint",0,2))&gt;$AR217+$AT217-$AU217-IF($D$4="Forint",Paraméterek!$J$114,Paraméterek!$K$114),0,ROUNDDOWN(IF(ISBLANK($AW217),$AV217,$AW217),IF($D$4="Forint",0,2))-$AX217)</f>
        <v>0</v>
      </c>
      <c r="AZ217" s="13">
        <f t="shared" si="54"/>
        <v>0</v>
      </c>
    </row>
    <row r="218" spans="1:52" x14ac:dyDescent="0.2">
      <c r="A218" s="32">
        <v>199</v>
      </c>
      <c r="B218" s="32">
        <v>17</v>
      </c>
      <c r="C218" s="32">
        <v>7</v>
      </c>
      <c r="D218" s="13">
        <f t="shared" si="45"/>
        <v>0</v>
      </c>
      <c r="E218" s="13"/>
      <c r="F218" s="13"/>
      <c r="G218" s="13"/>
      <c r="H218" s="13">
        <f t="shared" si="46"/>
        <v>0</v>
      </c>
      <c r="I218" s="13">
        <f t="shared" si="47"/>
        <v>0</v>
      </c>
      <c r="J218" s="13">
        <f t="shared" si="48"/>
        <v>0</v>
      </c>
      <c r="K218" s="13">
        <f>ROUNDUP(IF($D$2="Egyszeri",$D218,IF($D$2="Havi",SUM($D$20:$D$31),IF(MOD($C218,$M$1)-1=0,SUM($D$20:$D$31),0))/12*$M$1)*VLOOKUP($B218,Paraméterek!$B$27:$D$30,IF($D$2="Egyszeri",3,2)),IF($D$4="Forint",0,2))</f>
        <v>0</v>
      </c>
      <c r="L218" s="13">
        <f t="shared" si="49"/>
        <v>0</v>
      </c>
      <c r="M218" s="13">
        <f t="shared" ca="1" si="55"/>
        <v>-111462</v>
      </c>
      <c r="N218" s="13">
        <f ca="1">IF($V217&gt;=VLOOKUP($M$4-1+$B218,Paraméterek!$B$121:$D$122,IF($D$4="Forint",2,3)),0,VLOOKUP($M$4-1+$B218,Paraméterek!$B$121:$D$122,IF($D$4="Forint",2,3))-$V217)</f>
        <v>121462</v>
      </c>
      <c r="O218" s="13">
        <f ca="1">ROUNDUP($N218*Paraméterek!$C$58/Paraméterek!$C$56,IF($D$4="Forint",0,2))</f>
        <v>20</v>
      </c>
      <c r="P218" s="13">
        <f t="shared" si="50"/>
        <v>883</v>
      </c>
      <c r="Q218" s="33"/>
      <c r="R218" s="13">
        <f t="shared" ca="1" si="51"/>
        <v>0</v>
      </c>
      <c r="S218" s="13">
        <f ca="1">ROUNDUP(($M218-$O218-$P218+$R218)*VLOOKUP($B218,Paraméterek!$B$38:$D$39,IF($D$2="Egyszeri",3,2))/12,IF($D$4="Forint",0,2))</f>
        <v>-275</v>
      </c>
      <c r="T218" s="13"/>
      <c r="U218" s="13"/>
      <c r="V218" s="13">
        <f ca="1">$M218-$O218-$P218+$R218-$S218-IF(ROUNDUP(IF(ISBLANK($U218),$T218,$U218)/IF(AND($B218=1,$D$2&lt;&gt;"Egyszeri"),1,VLOOKUP($B218+IF($C218=12,1,0),Paraméterek!$B$257:$D$267,IF($D$2="Egyszeri",3,2))),IF($D$4="Forint",0,2))&gt;$M218-$O218-$P218+$R218-$S218-IF($D$4="Forint",Paraméterek!$C$216,Paraméterek!$D$216),0,ROUNDUP(IF(ISBLANK($U218),$T218,$U218)/IF(AND($B218=1,$D$2&lt;&gt;"Egyszeri"),1,VLOOKUP($B218+IF($C218=12,1,0),Paraméterek!$B$257:$D$267,IF($D$2="Egyszeri",3,2))),IF($D$4="Forint",0,2)))</f>
        <v>-112090</v>
      </c>
      <c r="W218" s="13">
        <f ca="1">ROUNDDOWN($V218*VLOOKUP($B218+IF($C218=12,1,0),Paraméterek!$B$257:$D$267,IF($D$2="Egyszeri",3,2)),IF($D$4="Forint",0,2))</f>
        <v>-112090</v>
      </c>
      <c r="Y218" s="32">
        <v>199</v>
      </c>
      <c r="Z218" s="32">
        <v>17</v>
      </c>
      <c r="AA218" s="32">
        <v>7</v>
      </c>
      <c r="AB218" s="13">
        <f t="shared" si="56"/>
        <v>0</v>
      </c>
      <c r="AC218" s="33"/>
      <c r="AD218" s="13">
        <f t="shared" si="52"/>
        <v>0</v>
      </c>
      <c r="AE218" s="13">
        <f>ROUNDUP(($AB218+$AD218)*VLOOKUP($Z218,Paraméterek!$P$38:$Q$38,2)/12,IF($D$4="Forint",0,2))</f>
        <v>0</v>
      </c>
      <c r="AF218" s="13">
        <f>IF($D$2="Egyszeri",IF($D$7&gt;=IF($D$4="Forint",Paraméterek!$P$223,Paraméterek!$P$224),$D$7-IF($D$4="Forint",Paraméterek!$F$223,Paraméterek!$F$224),0),MIN(IF($AA218=12,AVERAGE($D$20:$D218)*12,0),SUM($D$20:$D$31)))</f>
        <v>0</v>
      </c>
      <c r="AG218" s="13">
        <f>IF(AND($Z218&gt;=10,MOD($Z218,5)=0),$AF218*IF($AA218=12,VLOOKUP($Z218,Paraméterek!$B$225:$F$240,IF($AF218&lt;IF($D$4="Forint",Paraméterek!$C$223,Paraméterek!$C$224),2,IF($AF218&lt;IF($D$4="Forint",Paraméterek!$D$223,Paraméterek!$D$224),3,4))),0),0)</f>
        <v>0</v>
      </c>
      <c r="AH218" s="13">
        <f>IF(AND($Z218&gt;=5,MOD($Z218,5)=0),IF($AA218=12,VLOOKUP($Z218,Paraméterek!$B$225:$F$240,5),0),IF(OR($Z218=3,$Z218=4),IF($AA218=12,VLOOKUP($Z218,Paraméterek!$B$225:$F$240,5,0),0),0))*$AF218</f>
        <v>0</v>
      </c>
      <c r="AI218" s="13">
        <f>ROUNDDOWN(IF(SUM($T$20:$U218)=0,IF($D$2="Egyszeri",$AH218,$AG218),0),IF($D$4="Forint",0,2))</f>
        <v>0</v>
      </c>
      <c r="AJ218" s="13">
        <f t="shared" si="57"/>
        <v>0</v>
      </c>
      <c r="AK218" s="13">
        <f t="shared" si="58"/>
        <v>0</v>
      </c>
      <c r="AM218" s="32">
        <v>199</v>
      </c>
      <c r="AN218" s="32">
        <v>17</v>
      </c>
      <c r="AO218" s="32">
        <v>7</v>
      </c>
      <c r="AP218" s="13"/>
      <c r="AQ218" s="32"/>
      <c r="AR218" s="13">
        <f t="shared" si="59"/>
        <v>0</v>
      </c>
      <c r="AS218" s="33"/>
      <c r="AT218" s="13">
        <f t="shared" si="53"/>
        <v>0</v>
      </c>
      <c r="AU218" s="13">
        <f>ROUNDUP(($AR218+$AT218)*VLOOKUP($AN218,Paraméterek!$P$38:$Q$38,2)/12,IF($D$4="Forint",0,2))</f>
        <v>0</v>
      </c>
      <c r="AV218" s="13"/>
      <c r="AW218" s="13"/>
      <c r="AX218" s="13">
        <f>ROUNDUP(IF(SUM($AV218:$AW218)=0,0,IF(IF(ISBLANK($AW218),$AV218,$AW218)*Paraméterek!$J$112&lt;IF($D$4="Forint",Paraméterek!$J$113,Paraméterek!$K$113),IF($D$4="Forint",Paraméterek!$J$113,Paraméterek!$K$113),IF(IF(ISBLANK($AW218),$AV218,$AW218)*Paraméterek!$J$112&gt;IF($D$4="Forint",Paraméterek!$J$114,Paraméterek!$K$114),IF($D$4="Forint",Paraméterek!$J$114,Paraméterek!$K$114),IF(ISBLANK($AW218),$AV218,$AW218)*Paraméterek!$J$112))),IF($D$4="Forint",0,2))</f>
        <v>0</v>
      </c>
      <c r="AY218" s="13">
        <f>$AR218+$AT218-$AU218-IF(ROUNDDOWN(IF(ISBLANK($AW218),$AV218,$AW218),IF($D$4="Forint",0,2))&gt;$AR218+$AT218-$AU218-IF($D$4="Forint",Paraméterek!$J$114,Paraméterek!$K$114),0,ROUNDDOWN(IF(ISBLANK($AW218),$AV218,$AW218),IF($D$4="Forint",0,2))-$AX218)</f>
        <v>0</v>
      </c>
      <c r="AZ218" s="13">
        <f t="shared" si="54"/>
        <v>0</v>
      </c>
    </row>
    <row r="219" spans="1:52" x14ac:dyDescent="0.2">
      <c r="A219" s="32">
        <v>200</v>
      </c>
      <c r="B219" s="32">
        <v>17</v>
      </c>
      <c r="C219" s="32">
        <v>8</v>
      </c>
      <c r="D219" s="13">
        <f t="shared" si="45"/>
        <v>0</v>
      </c>
      <c r="E219" s="13"/>
      <c r="F219" s="13"/>
      <c r="G219" s="13"/>
      <c r="H219" s="13">
        <f t="shared" si="46"/>
        <v>0</v>
      </c>
      <c r="I219" s="13">
        <f t="shared" si="47"/>
        <v>0</v>
      </c>
      <c r="J219" s="13">
        <f t="shared" si="48"/>
        <v>0</v>
      </c>
      <c r="K219" s="13">
        <f>ROUNDUP(IF($D$2="Egyszeri",$D219,IF($D$2="Havi",SUM($D$20:$D$31),IF(MOD($C219,$M$1)-1=0,SUM($D$20:$D$31),0))/12*$M$1)*VLOOKUP($B219,Paraméterek!$B$27:$D$30,IF($D$2="Egyszeri",3,2)),IF($D$4="Forint",0,2))</f>
        <v>0</v>
      </c>
      <c r="L219" s="13">
        <f t="shared" si="49"/>
        <v>0</v>
      </c>
      <c r="M219" s="13">
        <f t="shared" ca="1" si="55"/>
        <v>-112090</v>
      </c>
      <c r="N219" s="13">
        <f ca="1">IF($V218&gt;=VLOOKUP($M$4-1+$B219,Paraméterek!$B$121:$D$122,IF($D$4="Forint",2,3)),0,VLOOKUP($M$4-1+$B219,Paraméterek!$B$121:$D$122,IF($D$4="Forint",2,3))-$V218)</f>
        <v>122090</v>
      </c>
      <c r="O219" s="13">
        <f ca="1">ROUNDUP($N219*Paraméterek!$C$58/Paraméterek!$C$56,IF($D$4="Forint",0,2))</f>
        <v>20</v>
      </c>
      <c r="P219" s="13">
        <f t="shared" si="50"/>
        <v>883</v>
      </c>
      <c r="Q219" s="33"/>
      <c r="R219" s="13">
        <f t="shared" ca="1" si="51"/>
        <v>0</v>
      </c>
      <c r="S219" s="13">
        <f ca="1">ROUNDUP(($M219-$O219-$P219+$R219)*VLOOKUP($B219,Paraméterek!$B$38:$D$39,IF($D$2="Egyszeri",3,2))/12,IF($D$4="Forint",0,2))</f>
        <v>-276</v>
      </c>
      <c r="T219" s="13"/>
      <c r="U219" s="13"/>
      <c r="V219" s="13">
        <f ca="1">$M219-$O219-$P219+$R219-$S219-IF(ROUNDUP(IF(ISBLANK($U219),$T219,$U219)/IF(AND($B219=1,$D$2&lt;&gt;"Egyszeri"),1,VLOOKUP($B219+IF($C219=12,1,0),Paraméterek!$B$257:$D$267,IF($D$2="Egyszeri",3,2))),IF($D$4="Forint",0,2))&gt;$M219-$O219-$P219+$R219-$S219-IF($D$4="Forint",Paraméterek!$C$216,Paraméterek!$D$216),0,ROUNDUP(IF(ISBLANK($U219),$T219,$U219)/IF(AND($B219=1,$D$2&lt;&gt;"Egyszeri"),1,VLOOKUP($B219+IF($C219=12,1,0),Paraméterek!$B$257:$D$267,IF($D$2="Egyszeri",3,2))),IF($D$4="Forint",0,2)))</f>
        <v>-112717</v>
      </c>
      <c r="W219" s="13">
        <f ca="1">ROUNDDOWN($V219*VLOOKUP($B219+IF($C219=12,1,0),Paraméterek!$B$257:$D$267,IF($D$2="Egyszeri",3,2)),IF($D$4="Forint",0,2))</f>
        <v>-112717</v>
      </c>
      <c r="Y219" s="32">
        <v>200</v>
      </c>
      <c r="Z219" s="32">
        <v>17</v>
      </c>
      <c r="AA219" s="32">
        <v>8</v>
      </c>
      <c r="AB219" s="13">
        <f t="shared" si="56"/>
        <v>0</v>
      </c>
      <c r="AC219" s="33"/>
      <c r="AD219" s="13">
        <f t="shared" si="52"/>
        <v>0</v>
      </c>
      <c r="AE219" s="13">
        <f>ROUNDUP(($AB219+$AD219)*VLOOKUP($Z219,Paraméterek!$P$38:$Q$38,2)/12,IF($D$4="Forint",0,2))</f>
        <v>0</v>
      </c>
      <c r="AF219" s="13">
        <f>IF($D$2="Egyszeri",IF($D$7&gt;=IF($D$4="Forint",Paraméterek!$P$223,Paraméterek!$P$224),$D$7-IF($D$4="Forint",Paraméterek!$F$223,Paraméterek!$F$224),0),MIN(IF($AA219=12,AVERAGE($D$20:$D219)*12,0),SUM($D$20:$D$31)))</f>
        <v>0</v>
      </c>
      <c r="AG219" s="13">
        <f>IF(AND($Z219&gt;=10,MOD($Z219,5)=0),$AF219*IF($AA219=12,VLOOKUP($Z219,Paraméterek!$B$225:$F$240,IF($AF219&lt;IF($D$4="Forint",Paraméterek!$C$223,Paraméterek!$C$224),2,IF($AF219&lt;IF($D$4="Forint",Paraméterek!$D$223,Paraméterek!$D$224),3,4))),0),0)</f>
        <v>0</v>
      </c>
      <c r="AH219" s="13">
        <f>IF(AND($Z219&gt;=5,MOD($Z219,5)=0),IF($AA219=12,VLOOKUP($Z219,Paraméterek!$B$225:$F$240,5),0),IF(OR($Z219=3,$Z219=4),IF($AA219=12,VLOOKUP($Z219,Paraméterek!$B$225:$F$240,5,0),0),0))*$AF219</f>
        <v>0</v>
      </c>
      <c r="AI219" s="13">
        <f>ROUNDDOWN(IF(SUM($T$20:$U219)=0,IF($D$2="Egyszeri",$AH219,$AG219),0),IF($D$4="Forint",0,2))</f>
        <v>0</v>
      </c>
      <c r="AJ219" s="13">
        <f t="shared" si="57"/>
        <v>0</v>
      </c>
      <c r="AK219" s="13">
        <f t="shared" si="58"/>
        <v>0</v>
      </c>
      <c r="AM219" s="32">
        <v>200</v>
      </c>
      <c r="AN219" s="32">
        <v>17</v>
      </c>
      <c r="AO219" s="32">
        <v>8</v>
      </c>
      <c r="AP219" s="13"/>
      <c r="AQ219" s="32"/>
      <c r="AR219" s="13">
        <f t="shared" si="59"/>
        <v>0</v>
      </c>
      <c r="AS219" s="33"/>
      <c r="AT219" s="13">
        <f t="shared" si="53"/>
        <v>0</v>
      </c>
      <c r="AU219" s="13">
        <f>ROUNDUP(($AR219+$AT219)*VLOOKUP($AN219,Paraméterek!$P$38:$Q$38,2)/12,IF($D$4="Forint",0,2))</f>
        <v>0</v>
      </c>
      <c r="AV219" s="13"/>
      <c r="AW219" s="13"/>
      <c r="AX219" s="13">
        <f>ROUNDUP(IF(SUM($AV219:$AW219)=0,0,IF(IF(ISBLANK($AW219),$AV219,$AW219)*Paraméterek!$J$112&lt;IF($D$4="Forint",Paraméterek!$J$113,Paraméterek!$K$113),IF($D$4="Forint",Paraméterek!$J$113,Paraméterek!$K$113),IF(IF(ISBLANK($AW219),$AV219,$AW219)*Paraméterek!$J$112&gt;IF($D$4="Forint",Paraméterek!$J$114,Paraméterek!$K$114),IF($D$4="Forint",Paraméterek!$J$114,Paraméterek!$K$114),IF(ISBLANK($AW219),$AV219,$AW219)*Paraméterek!$J$112))),IF($D$4="Forint",0,2))</f>
        <v>0</v>
      </c>
      <c r="AY219" s="13">
        <f>$AR219+$AT219-$AU219-IF(ROUNDDOWN(IF(ISBLANK($AW219),$AV219,$AW219),IF($D$4="Forint",0,2))&gt;$AR219+$AT219-$AU219-IF($D$4="Forint",Paraméterek!$J$114,Paraméterek!$K$114),0,ROUNDDOWN(IF(ISBLANK($AW219),$AV219,$AW219),IF($D$4="Forint",0,2))-$AX219)</f>
        <v>0</v>
      </c>
      <c r="AZ219" s="13">
        <f t="shared" si="54"/>
        <v>0</v>
      </c>
    </row>
    <row r="220" spans="1:52" x14ac:dyDescent="0.2">
      <c r="A220" s="32">
        <v>201</v>
      </c>
      <c r="B220" s="32">
        <v>17</v>
      </c>
      <c r="C220" s="32">
        <v>9</v>
      </c>
      <c r="D220" s="13">
        <f t="shared" si="45"/>
        <v>0</v>
      </c>
      <c r="E220" s="13"/>
      <c r="F220" s="13"/>
      <c r="G220" s="13"/>
      <c r="H220" s="13">
        <f t="shared" si="46"/>
        <v>0</v>
      </c>
      <c r="I220" s="13">
        <f t="shared" si="47"/>
        <v>0</v>
      </c>
      <c r="J220" s="13">
        <f t="shared" si="48"/>
        <v>0</v>
      </c>
      <c r="K220" s="13">
        <f>ROUNDUP(IF($D$2="Egyszeri",$D220,IF($D$2="Havi",SUM($D$20:$D$31),IF(MOD($C220,$M$1)-1=0,SUM($D$20:$D$31),0))/12*$M$1)*VLOOKUP($B220,Paraméterek!$B$27:$D$30,IF($D$2="Egyszeri",3,2)),IF($D$4="Forint",0,2))</f>
        <v>0</v>
      </c>
      <c r="L220" s="13">
        <f t="shared" si="49"/>
        <v>0</v>
      </c>
      <c r="M220" s="13">
        <f t="shared" ca="1" si="55"/>
        <v>-112717</v>
      </c>
      <c r="N220" s="13">
        <f ca="1">IF($V219&gt;=VLOOKUP($M$4-1+$B220,Paraméterek!$B$121:$D$122,IF($D$4="Forint",2,3)),0,VLOOKUP($M$4-1+$B220,Paraméterek!$B$121:$D$122,IF($D$4="Forint",2,3))-$V219)</f>
        <v>122717</v>
      </c>
      <c r="O220" s="13">
        <f ca="1">ROUNDUP($N220*Paraméterek!$C$58/Paraméterek!$C$56,IF($D$4="Forint",0,2))</f>
        <v>20</v>
      </c>
      <c r="P220" s="13">
        <f t="shared" si="50"/>
        <v>883</v>
      </c>
      <c r="Q220" s="33"/>
      <c r="R220" s="13">
        <f t="shared" ca="1" si="51"/>
        <v>0</v>
      </c>
      <c r="S220" s="13">
        <f ca="1">ROUNDUP(($M220-$O220-$P220+$R220)*VLOOKUP($B220,Paraméterek!$B$38:$D$39,IF($D$2="Egyszeri",3,2))/12,IF($D$4="Forint",0,2))</f>
        <v>-278</v>
      </c>
      <c r="T220" s="13"/>
      <c r="U220" s="13"/>
      <c r="V220" s="13">
        <f ca="1">$M220-$O220-$P220+$R220-$S220-IF(ROUNDUP(IF(ISBLANK($U220),$T220,$U220)/IF(AND($B220=1,$D$2&lt;&gt;"Egyszeri"),1,VLOOKUP($B220+IF($C220=12,1,0),Paraméterek!$B$257:$D$267,IF($D$2="Egyszeri",3,2))),IF($D$4="Forint",0,2))&gt;$M220-$O220-$P220+$R220-$S220-IF($D$4="Forint",Paraméterek!$C$216,Paraméterek!$D$216),0,ROUNDUP(IF(ISBLANK($U220),$T220,$U220)/IF(AND($B220=1,$D$2&lt;&gt;"Egyszeri"),1,VLOOKUP($B220+IF($C220=12,1,0),Paraméterek!$B$257:$D$267,IF($D$2="Egyszeri",3,2))),IF($D$4="Forint",0,2)))</f>
        <v>-113342</v>
      </c>
      <c r="W220" s="13">
        <f ca="1">ROUNDDOWN($V220*VLOOKUP($B220+IF($C220=12,1,0),Paraméterek!$B$257:$D$267,IF($D$2="Egyszeri",3,2)),IF($D$4="Forint",0,2))</f>
        <v>-113342</v>
      </c>
      <c r="Y220" s="32">
        <v>201</v>
      </c>
      <c r="Z220" s="32">
        <v>17</v>
      </c>
      <c r="AA220" s="32">
        <v>9</v>
      </c>
      <c r="AB220" s="13">
        <f t="shared" si="56"/>
        <v>0</v>
      </c>
      <c r="AC220" s="33"/>
      <c r="AD220" s="13">
        <f t="shared" si="52"/>
        <v>0</v>
      </c>
      <c r="AE220" s="13">
        <f>ROUNDUP(($AB220+$AD220)*VLOOKUP($Z220,Paraméterek!$P$38:$Q$38,2)/12,IF($D$4="Forint",0,2))</f>
        <v>0</v>
      </c>
      <c r="AF220" s="13">
        <f>IF($D$2="Egyszeri",IF($D$7&gt;=IF($D$4="Forint",Paraméterek!$P$223,Paraméterek!$P$224),$D$7-IF($D$4="Forint",Paraméterek!$F$223,Paraméterek!$F$224),0),MIN(IF($AA220=12,AVERAGE($D$20:$D220)*12,0),SUM($D$20:$D$31)))</f>
        <v>0</v>
      </c>
      <c r="AG220" s="13">
        <f>IF(AND($Z220&gt;=10,MOD($Z220,5)=0),$AF220*IF($AA220=12,VLOOKUP($Z220,Paraméterek!$B$225:$F$240,IF($AF220&lt;IF($D$4="Forint",Paraméterek!$C$223,Paraméterek!$C$224),2,IF($AF220&lt;IF($D$4="Forint",Paraméterek!$D$223,Paraméterek!$D$224),3,4))),0),0)</f>
        <v>0</v>
      </c>
      <c r="AH220" s="13">
        <f>IF(AND($Z220&gt;=5,MOD($Z220,5)=0),IF($AA220=12,VLOOKUP($Z220,Paraméterek!$B$225:$F$240,5),0),IF(OR($Z220=3,$Z220=4),IF($AA220=12,VLOOKUP($Z220,Paraméterek!$B$225:$F$240,5,0),0),0))*$AF220</f>
        <v>0</v>
      </c>
      <c r="AI220" s="13">
        <f>ROUNDDOWN(IF(SUM($T$20:$U220)=0,IF($D$2="Egyszeri",$AH220,$AG220),0),IF($D$4="Forint",0,2))</f>
        <v>0</v>
      </c>
      <c r="AJ220" s="13">
        <f t="shared" si="57"/>
        <v>0</v>
      </c>
      <c r="AK220" s="13">
        <f t="shared" si="58"/>
        <v>0</v>
      </c>
      <c r="AM220" s="32">
        <v>201</v>
      </c>
      <c r="AN220" s="32">
        <v>17</v>
      </c>
      <c r="AO220" s="32">
        <v>9</v>
      </c>
      <c r="AP220" s="13"/>
      <c r="AQ220" s="32"/>
      <c r="AR220" s="13">
        <f t="shared" si="59"/>
        <v>0</v>
      </c>
      <c r="AS220" s="33"/>
      <c r="AT220" s="13">
        <f t="shared" si="53"/>
        <v>0</v>
      </c>
      <c r="AU220" s="13">
        <f>ROUNDUP(($AR220+$AT220)*VLOOKUP($AN220,Paraméterek!$P$38:$Q$38,2)/12,IF($D$4="Forint",0,2))</f>
        <v>0</v>
      </c>
      <c r="AV220" s="13"/>
      <c r="AW220" s="13"/>
      <c r="AX220" s="13">
        <f>ROUNDUP(IF(SUM($AV220:$AW220)=0,0,IF(IF(ISBLANK($AW220),$AV220,$AW220)*Paraméterek!$J$112&lt;IF($D$4="Forint",Paraméterek!$J$113,Paraméterek!$K$113),IF($D$4="Forint",Paraméterek!$J$113,Paraméterek!$K$113),IF(IF(ISBLANK($AW220),$AV220,$AW220)*Paraméterek!$J$112&gt;IF($D$4="Forint",Paraméterek!$J$114,Paraméterek!$K$114),IF($D$4="Forint",Paraméterek!$J$114,Paraméterek!$K$114),IF(ISBLANK($AW220),$AV220,$AW220)*Paraméterek!$J$112))),IF($D$4="Forint",0,2))</f>
        <v>0</v>
      </c>
      <c r="AY220" s="13">
        <f>$AR220+$AT220-$AU220-IF(ROUNDDOWN(IF(ISBLANK($AW220),$AV220,$AW220),IF($D$4="Forint",0,2))&gt;$AR220+$AT220-$AU220-IF($D$4="Forint",Paraméterek!$J$114,Paraméterek!$K$114),0,ROUNDDOWN(IF(ISBLANK($AW220),$AV220,$AW220),IF($D$4="Forint",0,2))-$AX220)</f>
        <v>0</v>
      </c>
      <c r="AZ220" s="13">
        <f t="shared" si="54"/>
        <v>0</v>
      </c>
    </row>
    <row r="221" spans="1:52" x14ac:dyDescent="0.2">
      <c r="A221" s="32">
        <v>202</v>
      </c>
      <c r="B221" s="32">
        <v>17</v>
      </c>
      <c r="C221" s="32">
        <v>10</v>
      </c>
      <c r="D221" s="13">
        <f t="shared" si="45"/>
        <v>0</v>
      </c>
      <c r="E221" s="13"/>
      <c r="F221" s="13"/>
      <c r="G221" s="13"/>
      <c r="H221" s="13">
        <f t="shared" si="46"/>
        <v>0</v>
      </c>
      <c r="I221" s="13">
        <f t="shared" si="47"/>
        <v>0</v>
      </c>
      <c r="J221" s="13">
        <f t="shared" si="48"/>
        <v>0</v>
      </c>
      <c r="K221" s="13">
        <f>ROUNDUP(IF($D$2="Egyszeri",$D221,IF($D$2="Havi",SUM($D$20:$D$31),IF(MOD($C221,$M$1)-1=0,SUM($D$20:$D$31),0))/12*$M$1)*VLOOKUP($B221,Paraméterek!$B$27:$D$30,IF($D$2="Egyszeri",3,2)),IF($D$4="Forint",0,2))</f>
        <v>0</v>
      </c>
      <c r="L221" s="13">
        <f t="shared" si="49"/>
        <v>0</v>
      </c>
      <c r="M221" s="13">
        <f t="shared" ca="1" si="55"/>
        <v>-113342</v>
      </c>
      <c r="N221" s="13">
        <f ca="1">IF($V220&gt;=VLOOKUP($M$4-1+$B221,Paraméterek!$B$121:$D$122,IF($D$4="Forint",2,3)),0,VLOOKUP($M$4-1+$B221,Paraméterek!$B$121:$D$122,IF($D$4="Forint",2,3))-$V220)</f>
        <v>123342</v>
      </c>
      <c r="O221" s="13">
        <f ca="1">ROUNDUP($N221*Paraméterek!$C$58/Paraméterek!$C$56,IF($D$4="Forint",0,2))</f>
        <v>20</v>
      </c>
      <c r="P221" s="13">
        <f t="shared" si="50"/>
        <v>883</v>
      </c>
      <c r="Q221" s="33"/>
      <c r="R221" s="13">
        <f t="shared" ca="1" si="51"/>
        <v>0</v>
      </c>
      <c r="S221" s="13">
        <f ca="1">ROUNDUP(($M221-$O221-$P221+$R221)*VLOOKUP($B221,Paraméterek!$B$38:$D$39,IF($D$2="Egyszeri",3,2))/12,IF($D$4="Forint",0,2))</f>
        <v>-279</v>
      </c>
      <c r="T221" s="13"/>
      <c r="U221" s="13"/>
      <c r="V221" s="13">
        <f ca="1">$M221-$O221-$P221+$R221-$S221-IF(ROUNDUP(IF(ISBLANK($U221),$T221,$U221)/IF(AND($B221=1,$D$2&lt;&gt;"Egyszeri"),1,VLOOKUP($B221+IF($C221=12,1,0),Paraméterek!$B$257:$D$267,IF($D$2="Egyszeri",3,2))),IF($D$4="Forint",0,2))&gt;$M221-$O221-$P221+$R221-$S221-IF($D$4="Forint",Paraméterek!$C$216,Paraméterek!$D$216),0,ROUNDUP(IF(ISBLANK($U221),$T221,$U221)/IF(AND($B221=1,$D$2&lt;&gt;"Egyszeri"),1,VLOOKUP($B221+IF($C221=12,1,0),Paraméterek!$B$257:$D$267,IF($D$2="Egyszeri",3,2))),IF($D$4="Forint",0,2)))</f>
        <v>-113966</v>
      </c>
      <c r="W221" s="13">
        <f ca="1">ROUNDDOWN($V221*VLOOKUP($B221+IF($C221=12,1,0),Paraméterek!$B$257:$D$267,IF($D$2="Egyszeri",3,2)),IF($D$4="Forint",0,2))</f>
        <v>-113966</v>
      </c>
      <c r="Y221" s="32">
        <v>202</v>
      </c>
      <c r="Z221" s="32">
        <v>17</v>
      </c>
      <c r="AA221" s="32">
        <v>10</v>
      </c>
      <c r="AB221" s="13">
        <f t="shared" si="56"/>
        <v>0</v>
      </c>
      <c r="AC221" s="33"/>
      <c r="AD221" s="13">
        <f t="shared" si="52"/>
        <v>0</v>
      </c>
      <c r="AE221" s="13">
        <f>ROUNDUP(($AB221+$AD221)*VLOOKUP($Z221,Paraméterek!$P$38:$Q$38,2)/12,IF($D$4="Forint",0,2))</f>
        <v>0</v>
      </c>
      <c r="AF221" s="13">
        <f>IF($D$2="Egyszeri",IF($D$7&gt;=IF($D$4="Forint",Paraméterek!$P$223,Paraméterek!$P$224),$D$7-IF($D$4="Forint",Paraméterek!$F$223,Paraméterek!$F$224),0),MIN(IF($AA221=12,AVERAGE($D$20:$D221)*12,0),SUM($D$20:$D$31)))</f>
        <v>0</v>
      </c>
      <c r="AG221" s="13">
        <f>IF(AND($Z221&gt;=10,MOD($Z221,5)=0),$AF221*IF($AA221=12,VLOOKUP($Z221,Paraméterek!$B$225:$F$240,IF($AF221&lt;IF($D$4="Forint",Paraméterek!$C$223,Paraméterek!$C$224),2,IF($AF221&lt;IF($D$4="Forint",Paraméterek!$D$223,Paraméterek!$D$224),3,4))),0),0)</f>
        <v>0</v>
      </c>
      <c r="AH221" s="13">
        <f>IF(AND($Z221&gt;=5,MOD($Z221,5)=0),IF($AA221=12,VLOOKUP($Z221,Paraméterek!$B$225:$F$240,5),0),IF(OR($Z221=3,$Z221=4),IF($AA221=12,VLOOKUP($Z221,Paraméterek!$B$225:$F$240,5,0),0),0))*$AF221</f>
        <v>0</v>
      </c>
      <c r="AI221" s="13">
        <f>ROUNDDOWN(IF(SUM($T$20:$U221)=0,IF($D$2="Egyszeri",$AH221,$AG221),0),IF($D$4="Forint",0,2))</f>
        <v>0</v>
      </c>
      <c r="AJ221" s="13">
        <f t="shared" si="57"/>
        <v>0</v>
      </c>
      <c r="AK221" s="13">
        <f t="shared" si="58"/>
        <v>0</v>
      </c>
      <c r="AM221" s="32">
        <v>202</v>
      </c>
      <c r="AN221" s="32">
        <v>17</v>
      </c>
      <c r="AO221" s="32">
        <v>10</v>
      </c>
      <c r="AP221" s="13"/>
      <c r="AQ221" s="32"/>
      <c r="AR221" s="13">
        <f t="shared" si="59"/>
        <v>0</v>
      </c>
      <c r="AS221" s="33"/>
      <c r="AT221" s="13">
        <f t="shared" si="53"/>
        <v>0</v>
      </c>
      <c r="AU221" s="13">
        <f>ROUNDUP(($AR221+$AT221)*VLOOKUP($AN221,Paraméterek!$P$38:$Q$38,2)/12,IF($D$4="Forint",0,2))</f>
        <v>0</v>
      </c>
      <c r="AV221" s="13"/>
      <c r="AW221" s="13"/>
      <c r="AX221" s="13">
        <f>ROUNDUP(IF(SUM($AV221:$AW221)=0,0,IF(IF(ISBLANK($AW221),$AV221,$AW221)*Paraméterek!$J$112&lt;IF($D$4="Forint",Paraméterek!$J$113,Paraméterek!$K$113),IF($D$4="Forint",Paraméterek!$J$113,Paraméterek!$K$113),IF(IF(ISBLANK($AW221),$AV221,$AW221)*Paraméterek!$J$112&gt;IF($D$4="Forint",Paraméterek!$J$114,Paraméterek!$K$114),IF($D$4="Forint",Paraméterek!$J$114,Paraméterek!$K$114),IF(ISBLANK($AW221),$AV221,$AW221)*Paraméterek!$J$112))),IF($D$4="Forint",0,2))</f>
        <v>0</v>
      </c>
      <c r="AY221" s="13">
        <f>$AR221+$AT221-$AU221-IF(ROUNDDOWN(IF(ISBLANK($AW221),$AV221,$AW221),IF($D$4="Forint",0,2))&gt;$AR221+$AT221-$AU221-IF($D$4="Forint",Paraméterek!$J$114,Paraméterek!$K$114),0,ROUNDDOWN(IF(ISBLANK($AW221),$AV221,$AW221),IF($D$4="Forint",0,2))-$AX221)</f>
        <v>0</v>
      </c>
      <c r="AZ221" s="13">
        <f t="shared" si="54"/>
        <v>0</v>
      </c>
    </row>
    <row r="222" spans="1:52" x14ac:dyDescent="0.2">
      <c r="A222" s="32">
        <v>203</v>
      </c>
      <c r="B222" s="32">
        <v>17</v>
      </c>
      <c r="C222" s="32">
        <v>11</v>
      </c>
      <c r="D222" s="13">
        <f t="shared" si="45"/>
        <v>0</v>
      </c>
      <c r="E222" s="13"/>
      <c r="F222" s="13"/>
      <c r="G222" s="13"/>
      <c r="H222" s="13">
        <f t="shared" si="46"/>
        <v>0</v>
      </c>
      <c r="I222" s="13">
        <f t="shared" si="47"/>
        <v>0</v>
      </c>
      <c r="J222" s="13">
        <f t="shared" si="48"/>
        <v>0</v>
      </c>
      <c r="K222" s="13">
        <f>ROUNDUP(IF($D$2="Egyszeri",$D222,IF($D$2="Havi",SUM($D$20:$D$31),IF(MOD($C222,$M$1)-1=0,SUM($D$20:$D$31),0))/12*$M$1)*VLOOKUP($B222,Paraméterek!$B$27:$D$30,IF($D$2="Egyszeri",3,2)),IF($D$4="Forint",0,2))</f>
        <v>0</v>
      </c>
      <c r="L222" s="13">
        <f t="shared" si="49"/>
        <v>0</v>
      </c>
      <c r="M222" s="13">
        <f t="shared" ca="1" si="55"/>
        <v>-113966</v>
      </c>
      <c r="N222" s="13">
        <f ca="1">IF($V221&gt;=VLOOKUP($M$4-1+$B222,Paraméterek!$B$121:$D$122,IF($D$4="Forint",2,3)),0,VLOOKUP($M$4-1+$B222,Paraméterek!$B$121:$D$122,IF($D$4="Forint",2,3))-$V221)</f>
        <v>123966</v>
      </c>
      <c r="O222" s="13">
        <f ca="1">ROUNDUP($N222*Paraméterek!$C$58/Paraméterek!$C$56,IF($D$4="Forint",0,2))</f>
        <v>20</v>
      </c>
      <c r="P222" s="13">
        <f t="shared" si="50"/>
        <v>883</v>
      </c>
      <c r="Q222" s="33"/>
      <c r="R222" s="13">
        <f t="shared" ca="1" si="51"/>
        <v>0</v>
      </c>
      <c r="S222" s="13">
        <f ca="1">ROUNDUP(($M222-$O222-$P222+$R222)*VLOOKUP($B222,Paraméterek!$B$38:$D$39,IF($D$2="Egyszeri",3,2))/12,IF($D$4="Forint",0,2))</f>
        <v>-281</v>
      </c>
      <c r="T222" s="13"/>
      <c r="U222" s="13"/>
      <c r="V222" s="13">
        <f ca="1">$M222-$O222-$P222+$R222-$S222-IF(ROUNDUP(IF(ISBLANK($U222),$T222,$U222)/IF(AND($B222=1,$D$2&lt;&gt;"Egyszeri"),1,VLOOKUP($B222+IF($C222=12,1,0),Paraméterek!$B$257:$D$267,IF($D$2="Egyszeri",3,2))),IF($D$4="Forint",0,2))&gt;$M222-$O222-$P222+$R222-$S222-IF($D$4="Forint",Paraméterek!$C$216,Paraméterek!$D$216),0,ROUNDUP(IF(ISBLANK($U222),$T222,$U222)/IF(AND($B222=1,$D$2&lt;&gt;"Egyszeri"),1,VLOOKUP($B222+IF($C222=12,1,0),Paraméterek!$B$257:$D$267,IF($D$2="Egyszeri",3,2))),IF($D$4="Forint",0,2)))</f>
        <v>-114588</v>
      </c>
      <c r="W222" s="13">
        <f ca="1">ROUNDDOWN($V222*VLOOKUP($B222+IF($C222=12,1,0),Paraméterek!$B$257:$D$267,IF($D$2="Egyszeri",3,2)),IF($D$4="Forint",0,2))</f>
        <v>-114588</v>
      </c>
      <c r="Y222" s="32">
        <v>203</v>
      </c>
      <c r="Z222" s="32">
        <v>17</v>
      </c>
      <c r="AA222" s="32">
        <v>11</v>
      </c>
      <c r="AB222" s="13">
        <f t="shared" si="56"/>
        <v>0</v>
      </c>
      <c r="AC222" s="33"/>
      <c r="AD222" s="13">
        <f t="shared" si="52"/>
        <v>0</v>
      </c>
      <c r="AE222" s="13">
        <f>ROUNDUP(($AB222+$AD222)*VLOOKUP($Z222,Paraméterek!$P$38:$Q$38,2)/12,IF($D$4="Forint",0,2))</f>
        <v>0</v>
      </c>
      <c r="AF222" s="13">
        <f>IF($D$2="Egyszeri",IF($D$7&gt;=IF($D$4="Forint",Paraméterek!$P$223,Paraméterek!$P$224),$D$7-IF($D$4="Forint",Paraméterek!$F$223,Paraméterek!$F$224),0),MIN(IF($AA222=12,AVERAGE($D$20:$D222)*12,0),SUM($D$20:$D$31)))</f>
        <v>0</v>
      </c>
      <c r="AG222" s="13">
        <f>IF(AND($Z222&gt;=10,MOD($Z222,5)=0),$AF222*IF($AA222=12,VLOOKUP($Z222,Paraméterek!$B$225:$F$240,IF($AF222&lt;IF($D$4="Forint",Paraméterek!$C$223,Paraméterek!$C$224),2,IF($AF222&lt;IF($D$4="Forint",Paraméterek!$D$223,Paraméterek!$D$224),3,4))),0),0)</f>
        <v>0</v>
      </c>
      <c r="AH222" s="13">
        <f>IF(AND($Z222&gt;=5,MOD($Z222,5)=0),IF($AA222=12,VLOOKUP($Z222,Paraméterek!$B$225:$F$240,5),0),IF(OR($Z222=3,$Z222=4),IF($AA222=12,VLOOKUP($Z222,Paraméterek!$B$225:$F$240,5,0),0),0))*$AF222</f>
        <v>0</v>
      </c>
      <c r="AI222" s="13">
        <f>ROUNDDOWN(IF(SUM($T$20:$U222)=0,IF($D$2="Egyszeri",$AH222,$AG222),0),IF($D$4="Forint",0,2))</f>
        <v>0</v>
      </c>
      <c r="AJ222" s="13">
        <f t="shared" si="57"/>
        <v>0</v>
      </c>
      <c r="AK222" s="13">
        <f t="shared" si="58"/>
        <v>0</v>
      </c>
      <c r="AM222" s="32">
        <v>203</v>
      </c>
      <c r="AN222" s="32">
        <v>17</v>
      </c>
      <c r="AO222" s="32">
        <v>11</v>
      </c>
      <c r="AP222" s="13"/>
      <c r="AQ222" s="32"/>
      <c r="AR222" s="13">
        <f t="shared" si="59"/>
        <v>0</v>
      </c>
      <c r="AS222" s="33"/>
      <c r="AT222" s="13">
        <f t="shared" si="53"/>
        <v>0</v>
      </c>
      <c r="AU222" s="13">
        <f>ROUNDUP(($AR222+$AT222)*VLOOKUP($AN222,Paraméterek!$P$38:$Q$38,2)/12,IF($D$4="Forint",0,2))</f>
        <v>0</v>
      </c>
      <c r="AV222" s="13"/>
      <c r="AW222" s="13"/>
      <c r="AX222" s="13">
        <f>ROUNDUP(IF(SUM($AV222:$AW222)=0,0,IF(IF(ISBLANK($AW222),$AV222,$AW222)*Paraméterek!$J$112&lt;IF($D$4="Forint",Paraméterek!$J$113,Paraméterek!$K$113),IF($D$4="Forint",Paraméterek!$J$113,Paraméterek!$K$113),IF(IF(ISBLANK($AW222),$AV222,$AW222)*Paraméterek!$J$112&gt;IF($D$4="Forint",Paraméterek!$J$114,Paraméterek!$K$114),IF($D$4="Forint",Paraméterek!$J$114,Paraméterek!$K$114),IF(ISBLANK($AW222),$AV222,$AW222)*Paraméterek!$J$112))),IF($D$4="Forint",0,2))</f>
        <v>0</v>
      </c>
      <c r="AY222" s="13">
        <f>$AR222+$AT222-$AU222-IF(ROUNDDOWN(IF(ISBLANK($AW222),$AV222,$AW222),IF($D$4="Forint",0,2))&gt;$AR222+$AT222-$AU222-IF($D$4="Forint",Paraméterek!$J$114,Paraméterek!$K$114),0,ROUNDDOWN(IF(ISBLANK($AW222),$AV222,$AW222),IF($D$4="Forint",0,2))-$AX222)</f>
        <v>0</v>
      </c>
      <c r="AZ222" s="13">
        <f t="shared" si="54"/>
        <v>0</v>
      </c>
    </row>
    <row r="223" spans="1:52" x14ac:dyDescent="0.2">
      <c r="A223" s="32">
        <v>204</v>
      </c>
      <c r="B223" s="32">
        <v>17</v>
      </c>
      <c r="C223" s="32">
        <v>12</v>
      </c>
      <c r="D223" s="13">
        <f t="shared" si="45"/>
        <v>0</v>
      </c>
      <c r="E223" s="13"/>
      <c r="F223" s="13"/>
      <c r="G223" s="13"/>
      <c r="H223" s="13">
        <f t="shared" si="46"/>
        <v>0</v>
      </c>
      <c r="I223" s="13">
        <f t="shared" si="47"/>
        <v>0</v>
      </c>
      <c r="J223" s="13">
        <f t="shared" si="48"/>
        <v>0</v>
      </c>
      <c r="K223" s="13">
        <f>ROUNDUP(IF($D$2="Egyszeri",$D223,IF($D$2="Havi",SUM($D$20:$D$31),IF(MOD($C223,$M$1)-1=0,SUM($D$20:$D$31),0))/12*$M$1)*VLOOKUP($B223,Paraméterek!$B$27:$D$30,IF($D$2="Egyszeri",3,2)),IF($D$4="Forint",0,2))</f>
        <v>0</v>
      </c>
      <c r="L223" s="13">
        <f t="shared" si="49"/>
        <v>0</v>
      </c>
      <c r="M223" s="13">
        <f t="shared" ca="1" si="55"/>
        <v>-114588</v>
      </c>
      <c r="N223" s="13">
        <f ca="1">IF($V222&gt;=VLOOKUP($M$4-1+$B223,Paraméterek!$B$121:$D$122,IF($D$4="Forint",2,3)),0,VLOOKUP($M$4-1+$B223,Paraméterek!$B$121:$D$122,IF($D$4="Forint",2,3))-$V222)</f>
        <v>124588</v>
      </c>
      <c r="O223" s="13">
        <f ca="1">ROUNDUP($N223*Paraméterek!$C$58/Paraméterek!$C$56,IF($D$4="Forint",0,2))</f>
        <v>20</v>
      </c>
      <c r="P223" s="13">
        <f t="shared" si="50"/>
        <v>883</v>
      </c>
      <c r="Q223" s="33"/>
      <c r="R223" s="13">
        <f t="shared" ca="1" si="51"/>
        <v>0</v>
      </c>
      <c r="S223" s="13">
        <f ca="1">ROUNDUP(($M223-$O223-$P223+$R223)*VLOOKUP($B223,Paraméterek!$B$38:$D$39,IF($D$2="Egyszeri",3,2))/12,IF($D$4="Forint",0,2))</f>
        <v>-282</v>
      </c>
      <c r="T223" s="13">
        <f>Tranzakciók!$F$48</f>
        <v>0</v>
      </c>
      <c r="U223" s="13"/>
      <c r="V223" s="13">
        <f ca="1">$M223-$O223-$P223+$R223-$S223-IF(ROUNDUP(IF(ISBLANK($U223),$T223,$U223)/IF(AND($B223=1,$D$2&lt;&gt;"Egyszeri"),1,VLOOKUP($B223+IF($C223=12,1,0),Paraméterek!$B$257:$D$267,IF($D$2="Egyszeri",3,2))),IF($D$4="Forint",0,2))&gt;$M223-$O223-$P223+$R223-$S223-IF($D$4="Forint",Paraméterek!$C$216,Paraméterek!$D$216),0,ROUNDUP(IF(ISBLANK($U223),$T223,$U223)/IF(AND($B223=1,$D$2&lt;&gt;"Egyszeri"),1,VLOOKUP($B223+IF($C223=12,1,0),Paraméterek!$B$257:$D$267,IF($D$2="Egyszeri",3,2))),IF($D$4="Forint",0,2)))</f>
        <v>-115209</v>
      </c>
      <c r="W223" s="13">
        <f ca="1">ROUNDDOWN($V223*VLOOKUP($B223+IF($C223=12,1,0),Paraméterek!$B$257:$D$267,IF($D$2="Egyszeri",3,2)),IF($D$4="Forint",0,2))</f>
        <v>-115209</v>
      </c>
      <c r="Y223" s="32">
        <v>204</v>
      </c>
      <c r="Z223" s="32">
        <v>17</v>
      </c>
      <c r="AA223" s="32">
        <v>12</v>
      </c>
      <c r="AB223" s="13">
        <f t="shared" si="56"/>
        <v>0</v>
      </c>
      <c r="AC223" s="33"/>
      <c r="AD223" s="13">
        <f t="shared" si="52"/>
        <v>0</v>
      </c>
      <c r="AE223" s="13">
        <f>ROUNDUP(($AB223+$AD223)*VLOOKUP($Z223,Paraméterek!$P$38:$Q$38,2)/12,IF($D$4="Forint",0,2))</f>
        <v>0</v>
      </c>
      <c r="AF223" s="13">
        <f>IF($D$2="Egyszeri",IF($D$7&gt;=IF($D$4="Forint",Paraméterek!$P$223,Paraméterek!$P$224),$D$7-IF($D$4="Forint",Paraméterek!$F$223,Paraméterek!$F$224),0),MIN(IF($AA223=12,AVERAGE($D$20:$D223)*12,0),SUM($D$20:$D$31)))</f>
        <v>0</v>
      </c>
      <c r="AG223" s="13">
        <f>IF(AND($Z223&gt;=10,MOD($Z223,5)=0),$AF223*IF($AA223=12,VLOOKUP($Z223,Paraméterek!$B$225:$F$240,IF($AF223&lt;IF($D$4="Forint",Paraméterek!$C$223,Paraméterek!$C$224),2,IF($AF223&lt;IF($D$4="Forint",Paraméterek!$D$223,Paraméterek!$D$224),3,4))),0),0)</f>
        <v>0</v>
      </c>
      <c r="AH223" s="13">
        <f>IF(AND($Z223&gt;=5,MOD($Z223,5)=0),IF($AA223=12,VLOOKUP($Z223,Paraméterek!$B$225:$F$240,5),0),IF(OR($Z223=3,$Z223=4),IF($AA223=12,VLOOKUP($Z223,Paraméterek!$B$225:$F$240,5,0),0),0))*$AF223</f>
        <v>0</v>
      </c>
      <c r="AI223" s="13">
        <f>ROUNDDOWN(IF(SUM($T$20:$U223)=0,IF($D$2="Egyszeri",$AH223,$AG223),0),IF($D$4="Forint",0,2))</f>
        <v>0</v>
      </c>
      <c r="AJ223" s="13">
        <f t="shared" si="57"/>
        <v>0</v>
      </c>
      <c r="AK223" s="13">
        <f t="shared" si="58"/>
        <v>0</v>
      </c>
      <c r="AM223" s="32">
        <v>204</v>
      </c>
      <c r="AN223" s="32">
        <v>17</v>
      </c>
      <c r="AO223" s="32">
        <v>12</v>
      </c>
      <c r="AP223" s="13"/>
      <c r="AQ223" s="32"/>
      <c r="AR223" s="13">
        <f t="shared" si="59"/>
        <v>0</v>
      </c>
      <c r="AS223" s="33"/>
      <c r="AT223" s="13">
        <f t="shared" si="53"/>
        <v>0</v>
      </c>
      <c r="AU223" s="13">
        <f>ROUNDUP(($AR223+$AT223)*VLOOKUP($AN223,Paraméterek!$P$38:$Q$38,2)/12,IF($D$4="Forint",0,2))</f>
        <v>0</v>
      </c>
      <c r="AV223" s="13">
        <f>Tranzakciók!$M$48</f>
        <v>0</v>
      </c>
      <c r="AW223" s="13"/>
      <c r="AX223" s="13">
        <f>ROUNDUP(IF(SUM($AV223:$AW223)=0,0,IF(IF(ISBLANK($AW223),$AV223,$AW223)*Paraméterek!$J$112&lt;IF($D$4="Forint",Paraméterek!$J$113,Paraméterek!$K$113),IF($D$4="Forint",Paraméterek!$J$113,Paraméterek!$K$113),IF(IF(ISBLANK($AW223),$AV223,$AW223)*Paraméterek!$J$112&gt;IF($D$4="Forint",Paraméterek!$J$114,Paraméterek!$K$114),IF($D$4="Forint",Paraméterek!$J$114,Paraméterek!$K$114),IF(ISBLANK($AW223),$AV223,$AW223)*Paraméterek!$J$112))),IF($D$4="Forint",0,2))</f>
        <v>0</v>
      </c>
      <c r="AY223" s="13">
        <f>$AR223+$AT223-$AU223-IF(ROUNDDOWN(IF(ISBLANK($AW223),$AV223,$AW223),IF($D$4="Forint",0,2))&gt;$AR223+$AT223-$AU223-IF($D$4="Forint",Paraméterek!$J$114,Paraméterek!$K$114),0,ROUNDDOWN(IF(ISBLANK($AW223),$AV223,$AW223),IF($D$4="Forint",0,2))-$AX223)</f>
        <v>0</v>
      </c>
      <c r="AZ223" s="13">
        <f t="shared" si="54"/>
        <v>0</v>
      </c>
    </row>
    <row r="224" spans="1:52" x14ac:dyDescent="0.2">
      <c r="A224" s="32">
        <v>205</v>
      </c>
      <c r="B224" s="32">
        <v>18</v>
      </c>
      <c r="C224" s="32">
        <v>1</v>
      </c>
      <c r="D224" s="13">
        <f t="shared" si="45"/>
        <v>0</v>
      </c>
      <c r="E224" s="13"/>
      <c r="F224" s="13">
        <f>Tranzakciók!$D$49</f>
        <v>0</v>
      </c>
      <c r="G224" s="13"/>
      <c r="H224" s="13">
        <f t="shared" si="46"/>
        <v>0</v>
      </c>
      <c r="I224" s="13">
        <f t="shared" si="47"/>
        <v>166</v>
      </c>
      <c r="J224" s="13">
        <f t="shared" si="48"/>
        <v>166</v>
      </c>
      <c r="K224" s="13">
        <f>ROUNDUP(IF($D$2="Egyszeri",$D224,IF($D$2="Havi",SUM($D$20:$D$31),IF(MOD($C224,$M$1)-1=0,SUM($D$20:$D$31),0))/12*$M$1)*VLOOKUP($B224,Paraméterek!$B$27:$D$30,IF($D$2="Egyszeri",3,2)),IF($D$4="Forint",0,2))</f>
        <v>0</v>
      </c>
      <c r="L224" s="13">
        <f t="shared" si="49"/>
        <v>0</v>
      </c>
      <c r="M224" s="13">
        <f t="shared" ca="1" si="55"/>
        <v>-115209</v>
      </c>
      <c r="N224" s="13">
        <f ca="1">IF($V223&gt;=VLOOKUP($M$4-1+$B224,Paraméterek!$B$121:$D$122,IF($D$4="Forint",2,3)),0,VLOOKUP($M$4-1+$B224,Paraméterek!$B$121:$D$122,IF($D$4="Forint",2,3))-$V223)</f>
        <v>125209</v>
      </c>
      <c r="O224" s="13">
        <f ca="1">ROUNDUP($N224*Paraméterek!$C$58/Paraméterek!$C$56,IF($D$4="Forint",0,2))</f>
        <v>20</v>
      </c>
      <c r="P224" s="13">
        <f t="shared" si="50"/>
        <v>910</v>
      </c>
      <c r="Q224" s="33"/>
      <c r="R224" s="13">
        <f t="shared" ca="1" si="51"/>
        <v>0</v>
      </c>
      <c r="S224" s="13">
        <f ca="1">ROUNDUP(($M224-$O224-$P224+$R224)*VLOOKUP($B224,Paraméterek!$B$38:$D$39,IF($D$2="Egyszeri",3,2))/12,IF($D$4="Forint",0,2))</f>
        <v>-284</v>
      </c>
      <c r="T224" s="13"/>
      <c r="U224" s="13"/>
      <c r="V224" s="13">
        <f ca="1">$M224-$O224-$P224+$R224-$S224-IF(ROUNDUP(IF(ISBLANK($U224),$T224,$U224)/IF(AND($B224=1,$D$2&lt;&gt;"Egyszeri"),1,VLOOKUP($B224+IF($C224=12,1,0),Paraméterek!$B$257:$D$267,IF($D$2="Egyszeri",3,2))),IF($D$4="Forint",0,2))&gt;$M224-$O224-$P224+$R224-$S224-IF($D$4="Forint",Paraméterek!$C$216,Paraméterek!$D$216),0,ROUNDUP(IF(ISBLANK($U224),$T224,$U224)/IF(AND($B224=1,$D$2&lt;&gt;"Egyszeri"),1,VLOOKUP($B224+IF($C224=12,1,0),Paraméterek!$B$257:$D$267,IF($D$2="Egyszeri",3,2))),IF($D$4="Forint",0,2)))</f>
        <v>-115855</v>
      </c>
      <c r="W224" s="13">
        <f ca="1">ROUNDDOWN($V224*VLOOKUP($B224+IF($C224=12,1,0),Paraméterek!$B$257:$D$267,IF($D$2="Egyszeri",3,2)),IF($D$4="Forint",0,2))</f>
        <v>-115855</v>
      </c>
      <c r="Y224" s="32">
        <v>205</v>
      </c>
      <c r="Z224" s="32">
        <v>18</v>
      </c>
      <c r="AA224" s="32">
        <v>1</v>
      </c>
      <c r="AB224" s="13">
        <f t="shared" si="56"/>
        <v>0</v>
      </c>
      <c r="AC224" s="33"/>
      <c r="AD224" s="13">
        <f t="shared" si="52"/>
        <v>0</v>
      </c>
      <c r="AE224" s="13">
        <f>ROUNDUP(($AB224+$AD224)*VLOOKUP($Z224,Paraméterek!$P$38:$Q$38,2)/12,IF($D$4="Forint",0,2))</f>
        <v>0</v>
      </c>
      <c r="AF224" s="13">
        <f>IF($D$2="Egyszeri",IF($D$7&gt;=IF($D$4="Forint",Paraméterek!$P$223,Paraméterek!$P$224),$D$7-IF($D$4="Forint",Paraméterek!$F$223,Paraméterek!$F$224),0),MIN(IF($AA224=12,AVERAGE($D$20:$D224)*12,0),SUM($D$20:$D$31)))</f>
        <v>0</v>
      </c>
      <c r="AG224" s="13">
        <f>IF(AND($Z224&gt;=10,MOD($Z224,5)=0),$AF224*IF($AA224=12,VLOOKUP($Z224,Paraméterek!$B$225:$F$240,IF($AF224&lt;IF($D$4="Forint",Paraméterek!$C$223,Paraméterek!$C$224),2,IF($AF224&lt;IF($D$4="Forint",Paraméterek!$D$223,Paraméterek!$D$224),3,4))),0),0)</f>
        <v>0</v>
      </c>
      <c r="AH224" s="13">
        <f>IF(AND($Z224&gt;=5,MOD($Z224,5)=0),IF($AA224=12,VLOOKUP($Z224,Paraméterek!$B$225:$F$240,5),0),IF(OR($Z224=3,$Z224=4),IF($AA224=12,VLOOKUP($Z224,Paraméterek!$B$225:$F$240,5,0),0),0))*$AF224</f>
        <v>0</v>
      </c>
      <c r="AI224" s="13">
        <f>ROUNDDOWN(IF(SUM($T$20:$U224)=0,IF($D$2="Egyszeri",$AH224,$AG224),0),IF($D$4="Forint",0,2))</f>
        <v>0</v>
      </c>
      <c r="AJ224" s="13">
        <f t="shared" si="57"/>
        <v>0</v>
      </c>
      <c r="AK224" s="13">
        <f t="shared" si="58"/>
        <v>0</v>
      </c>
      <c r="AM224" s="32">
        <v>205</v>
      </c>
      <c r="AN224" s="32">
        <v>18</v>
      </c>
      <c r="AO224" s="32">
        <v>1</v>
      </c>
      <c r="AP224" s="13">
        <f>Tranzakciók!$K$49</f>
        <v>0</v>
      </c>
      <c r="AQ224" s="32"/>
      <c r="AR224" s="13">
        <f t="shared" si="59"/>
        <v>0</v>
      </c>
      <c r="AS224" s="33"/>
      <c r="AT224" s="13">
        <f t="shared" si="53"/>
        <v>0</v>
      </c>
      <c r="AU224" s="13">
        <f>ROUNDUP(($AR224+$AT224)*VLOOKUP($AN224,Paraméterek!$P$38:$Q$38,2)/12,IF($D$4="Forint",0,2))</f>
        <v>0</v>
      </c>
      <c r="AV224" s="13"/>
      <c r="AW224" s="13"/>
      <c r="AX224" s="13">
        <f>ROUNDUP(IF(SUM($AV224:$AW224)=0,0,IF(IF(ISBLANK($AW224),$AV224,$AW224)*Paraméterek!$J$112&lt;IF($D$4="Forint",Paraméterek!$J$113,Paraméterek!$K$113),IF($D$4="Forint",Paraméterek!$J$113,Paraméterek!$K$113),IF(IF(ISBLANK($AW224),$AV224,$AW224)*Paraméterek!$J$112&gt;IF($D$4="Forint",Paraméterek!$J$114,Paraméterek!$K$114),IF($D$4="Forint",Paraméterek!$J$114,Paraméterek!$K$114),IF(ISBLANK($AW224),$AV224,$AW224)*Paraméterek!$J$112))),IF($D$4="Forint",0,2))</f>
        <v>0</v>
      </c>
      <c r="AY224" s="13">
        <f>$AR224+$AT224-$AU224-IF(ROUNDDOWN(IF(ISBLANK($AW224),$AV224,$AW224),IF($D$4="Forint",0,2))&gt;$AR224+$AT224-$AU224-IF($D$4="Forint",Paraméterek!$J$114,Paraméterek!$K$114),0,ROUNDDOWN(IF(ISBLANK($AW224),$AV224,$AW224),IF($D$4="Forint",0,2))-$AX224)</f>
        <v>0</v>
      </c>
      <c r="AZ224" s="13">
        <f t="shared" si="54"/>
        <v>0</v>
      </c>
    </row>
    <row r="225" spans="1:52" x14ac:dyDescent="0.2">
      <c r="A225" s="32">
        <v>206</v>
      </c>
      <c r="B225" s="32">
        <v>18</v>
      </c>
      <c r="C225" s="32">
        <v>2</v>
      </c>
      <c r="D225" s="13">
        <f t="shared" si="45"/>
        <v>0</v>
      </c>
      <c r="E225" s="13"/>
      <c r="F225" s="13"/>
      <c r="G225" s="13"/>
      <c r="H225" s="13">
        <f t="shared" si="46"/>
        <v>0</v>
      </c>
      <c r="I225" s="13">
        <f t="shared" si="47"/>
        <v>0</v>
      </c>
      <c r="J225" s="13">
        <f t="shared" si="48"/>
        <v>0</v>
      </c>
      <c r="K225" s="13">
        <f>ROUNDUP(IF($D$2="Egyszeri",$D225,IF($D$2="Havi",SUM($D$20:$D$31),IF(MOD($C225,$M$1)-1=0,SUM($D$20:$D$31),0))/12*$M$1)*VLOOKUP($B225,Paraméterek!$B$27:$D$30,IF($D$2="Egyszeri",3,2)),IF($D$4="Forint",0,2))</f>
        <v>0</v>
      </c>
      <c r="L225" s="13">
        <f t="shared" si="49"/>
        <v>0</v>
      </c>
      <c r="M225" s="13">
        <f t="shared" ca="1" si="55"/>
        <v>-115855</v>
      </c>
      <c r="N225" s="13">
        <f ca="1">IF($V224&gt;=VLOOKUP($M$4-1+$B225,Paraméterek!$B$121:$D$122,IF($D$4="Forint",2,3)),0,VLOOKUP($M$4-1+$B225,Paraméterek!$B$121:$D$122,IF($D$4="Forint",2,3))-$V224)</f>
        <v>125855</v>
      </c>
      <c r="O225" s="13">
        <f ca="1">ROUNDUP($N225*Paraméterek!$C$58/Paraméterek!$C$56,IF($D$4="Forint",0,2))</f>
        <v>21</v>
      </c>
      <c r="P225" s="13">
        <f t="shared" si="50"/>
        <v>910</v>
      </c>
      <c r="Q225" s="33"/>
      <c r="R225" s="13">
        <f t="shared" ca="1" si="51"/>
        <v>0</v>
      </c>
      <c r="S225" s="13">
        <f ca="1">ROUNDUP(($M225-$O225-$P225+$R225)*VLOOKUP($B225,Paraméterek!$B$38:$D$39,IF($D$2="Egyszeri",3,2))/12,IF($D$4="Forint",0,2))</f>
        <v>-286</v>
      </c>
      <c r="T225" s="13"/>
      <c r="U225" s="13"/>
      <c r="V225" s="13">
        <f ca="1">$M225-$O225-$P225+$R225-$S225-IF(ROUNDUP(IF(ISBLANK($U225),$T225,$U225)/IF(AND($B225=1,$D$2&lt;&gt;"Egyszeri"),1,VLOOKUP($B225+IF($C225=12,1,0),Paraméterek!$B$257:$D$267,IF($D$2="Egyszeri",3,2))),IF($D$4="Forint",0,2))&gt;$M225-$O225-$P225+$R225-$S225-IF($D$4="Forint",Paraméterek!$C$216,Paraméterek!$D$216),0,ROUNDUP(IF(ISBLANK($U225),$T225,$U225)/IF(AND($B225=1,$D$2&lt;&gt;"Egyszeri"),1,VLOOKUP($B225+IF($C225=12,1,0),Paraméterek!$B$257:$D$267,IF($D$2="Egyszeri",3,2))),IF($D$4="Forint",0,2)))</f>
        <v>-116500</v>
      </c>
      <c r="W225" s="13">
        <f ca="1">ROUNDDOWN($V225*VLOOKUP($B225+IF($C225=12,1,0),Paraméterek!$B$257:$D$267,IF($D$2="Egyszeri",3,2)),IF($D$4="Forint",0,2))</f>
        <v>-116500</v>
      </c>
      <c r="Y225" s="32">
        <v>206</v>
      </c>
      <c r="Z225" s="32">
        <v>18</v>
      </c>
      <c r="AA225" s="32">
        <v>2</v>
      </c>
      <c r="AB225" s="13">
        <f t="shared" si="56"/>
        <v>0</v>
      </c>
      <c r="AC225" s="33"/>
      <c r="AD225" s="13">
        <f t="shared" si="52"/>
        <v>0</v>
      </c>
      <c r="AE225" s="13">
        <f>ROUNDUP(($AB225+$AD225)*VLOOKUP($Z225,Paraméterek!$P$38:$Q$38,2)/12,IF($D$4="Forint",0,2))</f>
        <v>0</v>
      </c>
      <c r="AF225" s="13">
        <f>IF($D$2="Egyszeri",IF($D$7&gt;=IF($D$4="Forint",Paraméterek!$P$223,Paraméterek!$P$224),$D$7-IF($D$4="Forint",Paraméterek!$F$223,Paraméterek!$F$224),0),MIN(IF($AA225=12,AVERAGE($D$20:$D225)*12,0),SUM($D$20:$D$31)))</f>
        <v>0</v>
      </c>
      <c r="AG225" s="13">
        <f>IF(AND($Z225&gt;=10,MOD($Z225,5)=0),$AF225*IF($AA225=12,VLOOKUP($Z225,Paraméterek!$B$225:$F$240,IF($AF225&lt;IF($D$4="Forint",Paraméterek!$C$223,Paraméterek!$C$224),2,IF($AF225&lt;IF($D$4="Forint",Paraméterek!$D$223,Paraméterek!$D$224),3,4))),0),0)</f>
        <v>0</v>
      </c>
      <c r="AH225" s="13">
        <f>IF(AND($Z225&gt;=5,MOD($Z225,5)=0),IF($AA225=12,VLOOKUP($Z225,Paraméterek!$B$225:$F$240,5),0),IF(OR($Z225=3,$Z225=4),IF($AA225=12,VLOOKUP($Z225,Paraméterek!$B$225:$F$240,5,0),0),0))*$AF225</f>
        <v>0</v>
      </c>
      <c r="AI225" s="13">
        <f>ROUNDDOWN(IF(SUM($T$20:$U225)=0,IF($D$2="Egyszeri",$AH225,$AG225),0),IF($D$4="Forint",0,2))</f>
        <v>0</v>
      </c>
      <c r="AJ225" s="13">
        <f t="shared" si="57"/>
        <v>0</v>
      </c>
      <c r="AK225" s="13">
        <f t="shared" si="58"/>
        <v>0</v>
      </c>
      <c r="AM225" s="32">
        <v>206</v>
      </c>
      <c r="AN225" s="32">
        <v>18</v>
      </c>
      <c r="AO225" s="32">
        <v>2</v>
      </c>
      <c r="AP225" s="13"/>
      <c r="AQ225" s="32"/>
      <c r="AR225" s="13">
        <f t="shared" si="59"/>
        <v>0</v>
      </c>
      <c r="AS225" s="33"/>
      <c r="AT225" s="13">
        <f t="shared" si="53"/>
        <v>0</v>
      </c>
      <c r="AU225" s="13">
        <f>ROUNDUP(($AR225+$AT225)*VLOOKUP($AN225,Paraméterek!$P$38:$Q$38,2)/12,IF($D$4="Forint",0,2))</f>
        <v>0</v>
      </c>
      <c r="AV225" s="13"/>
      <c r="AW225" s="13"/>
      <c r="AX225" s="13">
        <f>ROUNDUP(IF(SUM($AV225:$AW225)=0,0,IF(IF(ISBLANK($AW225),$AV225,$AW225)*Paraméterek!$J$112&lt;IF($D$4="Forint",Paraméterek!$J$113,Paraméterek!$K$113),IF($D$4="Forint",Paraméterek!$J$113,Paraméterek!$K$113),IF(IF(ISBLANK($AW225),$AV225,$AW225)*Paraméterek!$J$112&gt;IF($D$4="Forint",Paraméterek!$J$114,Paraméterek!$K$114),IF($D$4="Forint",Paraméterek!$J$114,Paraméterek!$K$114),IF(ISBLANK($AW225),$AV225,$AW225)*Paraméterek!$J$112))),IF($D$4="Forint",0,2))</f>
        <v>0</v>
      </c>
      <c r="AY225" s="13">
        <f>$AR225+$AT225-$AU225-IF(ROUNDDOWN(IF(ISBLANK($AW225),$AV225,$AW225),IF($D$4="Forint",0,2))&gt;$AR225+$AT225-$AU225-IF($D$4="Forint",Paraméterek!$J$114,Paraméterek!$K$114),0,ROUNDDOWN(IF(ISBLANK($AW225),$AV225,$AW225),IF($D$4="Forint",0,2))-$AX225)</f>
        <v>0</v>
      </c>
      <c r="AZ225" s="13">
        <f t="shared" si="54"/>
        <v>0</v>
      </c>
    </row>
    <row r="226" spans="1:52" x14ac:dyDescent="0.2">
      <c r="A226" s="32">
        <v>207</v>
      </c>
      <c r="B226" s="32">
        <v>18</v>
      </c>
      <c r="C226" s="32">
        <v>3</v>
      </c>
      <c r="D226" s="13">
        <f t="shared" si="45"/>
        <v>0</v>
      </c>
      <c r="E226" s="13"/>
      <c r="F226" s="13"/>
      <c r="G226" s="13"/>
      <c r="H226" s="13">
        <f t="shared" si="46"/>
        <v>0</v>
      </c>
      <c r="I226" s="13">
        <f t="shared" si="47"/>
        <v>0</v>
      </c>
      <c r="J226" s="13">
        <f t="shared" si="48"/>
        <v>0</v>
      </c>
      <c r="K226" s="13">
        <f>ROUNDUP(IF($D$2="Egyszeri",$D226,IF($D$2="Havi",SUM($D$20:$D$31),IF(MOD($C226,$M$1)-1=0,SUM($D$20:$D$31),0))/12*$M$1)*VLOOKUP($B226,Paraméterek!$B$27:$D$30,IF($D$2="Egyszeri",3,2)),IF($D$4="Forint",0,2))</f>
        <v>0</v>
      </c>
      <c r="L226" s="13">
        <f t="shared" si="49"/>
        <v>0</v>
      </c>
      <c r="M226" s="13">
        <f t="shared" ca="1" si="55"/>
        <v>-116500</v>
      </c>
      <c r="N226" s="13">
        <f ca="1">IF($V225&gt;=VLOOKUP($M$4-1+$B226,Paraméterek!$B$121:$D$122,IF($D$4="Forint",2,3)),0,VLOOKUP($M$4-1+$B226,Paraméterek!$B$121:$D$122,IF($D$4="Forint",2,3))-$V225)</f>
        <v>126500</v>
      </c>
      <c r="O226" s="13">
        <f ca="1">ROUNDUP($N226*Paraméterek!$C$58/Paraméterek!$C$56,IF($D$4="Forint",0,2))</f>
        <v>21</v>
      </c>
      <c r="P226" s="13">
        <f t="shared" si="50"/>
        <v>910</v>
      </c>
      <c r="Q226" s="33"/>
      <c r="R226" s="13">
        <f t="shared" ca="1" si="51"/>
        <v>0</v>
      </c>
      <c r="S226" s="13">
        <f ca="1">ROUNDUP(($M226-$O226-$P226+$R226)*VLOOKUP($B226,Paraméterek!$B$38:$D$39,IF($D$2="Egyszeri",3,2))/12,IF($D$4="Forint",0,2))</f>
        <v>-287</v>
      </c>
      <c r="T226" s="13"/>
      <c r="U226" s="13"/>
      <c r="V226" s="13">
        <f ca="1">$M226-$O226-$P226+$R226-$S226-IF(ROUNDUP(IF(ISBLANK($U226),$T226,$U226)/IF(AND($B226=1,$D$2&lt;&gt;"Egyszeri"),1,VLOOKUP($B226+IF($C226=12,1,0),Paraméterek!$B$257:$D$267,IF($D$2="Egyszeri",3,2))),IF($D$4="Forint",0,2))&gt;$M226-$O226-$P226+$R226-$S226-IF($D$4="Forint",Paraméterek!$C$216,Paraméterek!$D$216),0,ROUNDUP(IF(ISBLANK($U226),$T226,$U226)/IF(AND($B226=1,$D$2&lt;&gt;"Egyszeri"),1,VLOOKUP($B226+IF($C226=12,1,0),Paraméterek!$B$257:$D$267,IF($D$2="Egyszeri",3,2))),IF($D$4="Forint",0,2)))</f>
        <v>-117144</v>
      </c>
      <c r="W226" s="13">
        <f ca="1">ROUNDDOWN($V226*VLOOKUP($B226+IF($C226=12,1,0),Paraméterek!$B$257:$D$267,IF($D$2="Egyszeri",3,2)),IF($D$4="Forint",0,2))</f>
        <v>-117144</v>
      </c>
      <c r="Y226" s="32">
        <v>207</v>
      </c>
      <c r="Z226" s="32">
        <v>18</v>
      </c>
      <c r="AA226" s="32">
        <v>3</v>
      </c>
      <c r="AB226" s="13">
        <f t="shared" si="56"/>
        <v>0</v>
      </c>
      <c r="AC226" s="33"/>
      <c r="AD226" s="13">
        <f t="shared" si="52"/>
        <v>0</v>
      </c>
      <c r="AE226" s="13">
        <f>ROUNDUP(($AB226+$AD226)*VLOOKUP($Z226,Paraméterek!$P$38:$Q$38,2)/12,IF($D$4="Forint",0,2))</f>
        <v>0</v>
      </c>
      <c r="AF226" s="13">
        <f>IF($D$2="Egyszeri",IF($D$7&gt;=IF($D$4="Forint",Paraméterek!$P$223,Paraméterek!$P$224),$D$7-IF($D$4="Forint",Paraméterek!$F$223,Paraméterek!$F$224),0),MIN(IF($AA226=12,AVERAGE($D$20:$D226)*12,0),SUM($D$20:$D$31)))</f>
        <v>0</v>
      </c>
      <c r="AG226" s="13">
        <f>IF(AND($Z226&gt;=10,MOD($Z226,5)=0),$AF226*IF($AA226=12,VLOOKUP($Z226,Paraméterek!$B$225:$F$240,IF($AF226&lt;IF($D$4="Forint",Paraméterek!$C$223,Paraméterek!$C$224),2,IF($AF226&lt;IF($D$4="Forint",Paraméterek!$D$223,Paraméterek!$D$224),3,4))),0),0)</f>
        <v>0</v>
      </c>
      <c r="AH226" s="13">
        <f>IF(AND($Z226&gt;=5,MOD($Z226,5)=0),IF($AA226=12,VLOOKUP($Z226,Paraméterek!$B$225:$F$240,5),0),IF(OR($Z226=3,$Z226=4),IF($AA226=12,VLOOKUP($Z226,Paraméterek!$B$225:$F$240,5,0),0),0))*$AF226</f>
        <v>0</v>
      </c>
      <c r="AI226" s="13">
        <f>ROUNDDOWN(IF(SUM($T$20:$U226)=0,IF($D$2="Egyszeri",$AH226,$AG226),0),IF($D$4="Forint",0,2))</f>
        <v>0</v>
      </c>
      <c r="AJ226" s="13">
        <f t="shared" si="57"/>
        <v>0</v>
      </c>
      <c r="AK226" s="13">
        <f t="shared" si="58"/>
        <v>0</v>
      </c>
      <c r="AM226" s="32">
        <v>207</v>
      </c>
      <c r="AN226" s="32">
        <v>18</v>
      </c>
      <c r="AO226" s="32">
        <v>3</v>
      </c>
      <c r="AP226" s="13"/>
      <c r="AQ226" s="32"/>
      <c r="AR226" s="13">
        <f t="shared" si="59"/>
        <v>0</v>
      </c>
      <c r="AS226" s="33"/>
      <c r="AT226" s="13">
        <f t="shared" si="53"/>
        <v>0</v>
      </c>
      <c r="AU226" s="13">
        <f>ROUNDUP(($AR226+$AT226)*VLOOKUP($AN226,Paraméterek!$P$38:$Q$38,2)/12,IF($D$4="Forint",0,2))</f>
        <v>0</v>
      </c>
      <c r="AV226" s="13"/>
      <c r="AW226" s="13"/>
      <c r="AX226" s="13">
        <f>ROUNDUP(IF(SUM($AV226:$AW226)=0,0,IF(IF(ISBLANK($AW226),$AV226,$AW226)*Paraméterek!$J$112&lt;IF($D$4="Forint",Paraméterek!$J$113,Paraméterek!$K$113),IF($D$4="Forint",Paraméterek!$J$113,Paraméterek!$K$113),IF(IF(ISBLANK($AW226),$AV226,$AW226)*Paraméterek!$J$112&gt;IF($D$4="Forint",Paraméterek!$J$114,Paraméterek!$K$114),IF($D$4="Forint",Paraméterek!$J$114,Paraméterek!$K$114),IF(ISBLANK($AW226),$AV226,$AW226)*Paraméterek!$J$112))),IF($D$4="Forint",0,2))</f>
        <v>0</v>
      </c>
      <c r="AY226" s="13">
        <f>$AR226+$AT226-$AU226-IF(ROUNDDOWN(IF(ISBLANK($AW226),$AV226,$AW226),IF($D$4="Forint",0,2))&gt;$AR226+$AT226-$AU226-IF($D$4="Forint",Paraméterek!$J$114,Paraméterek!$K$114),0,ROUNDDOWN(IF(ISBLANK($AW226),$AV226,$AW226),IF($D$4="Forint",0,2))-$AX226)</f>
        <v>0</v>
      </c>
      <c r="AZ226" s="13">
        <f t="shared" si="54"/>
        <v>0</v>
      </c>
    </row>
    <row r="227" spans="1:52" x14ac:dyDescent="0.2">
      <c r="A227" s="32">
        <v>208</v>
      </c>
      <c r="B227" s="32">
        <v>18</v>
      </c>
      <c r="C227" s="32">
        <v>4</v>
      </c>
      <c r="D227" s="13">
        <f t="shared" si="45"/>
        <v>0</v>
      </c>
      <c r="E227" s="13"/>
      <c r="F227" s="13"/>
      <c r="G227" s="13"/>
      <c r="H227" s="13">
        <f t="shared" si="46"/>
        <v>0</v>
      </c>
      <c r="I227" s="13">
        <f t="shared" si="47"/>
        <v>0</v>
      </c>
      <c r="J227" s="13">
        <f t="shared" si="48"/>
        <v>0</v>
      </c>
      <c r="K227" s="13">
        <f>ROUNDUP(IF($D$2="Egyszeri",$D227,IF($D$2="Havi",SUM($D$20:$D$31),IF(MOD($C227,$M$1)-1=0,SUM($D$20:$D$31),0))/12*$M$1)*VLOOKUP($B227,Paraméterek!$B$27:$D$30,IF($D$2="Egyszeri",3,2)),IF($D$4="Forint",0,2))</f>
        <v>0</v>
      </c>
      <c r="L227" s="13">
        <f t="shared" si="49"/>
        <v>0</v>
      </c>
      <c r="M227" s="13">
        <f t="shared" ca="1" si="55"/>
        <v>-117144</v>
      </c>
      <c r="N227" s="13">
        <f ca="1">IF($V226&gt;=VLOOKUP($M$4-1+$B227,Paraméterek!$B$121:$D$122,IF($D$4="Forint",2,3)),0,VLOOKUP($M$4-1+$B227,Paraméterek!$B$121:$D$122,IF($D$4="Forint",2,3))-$V226)</f>
        <v>127144</v>
      </c>
      <c r="O227" s="13">
        <f ca="1">ROUNDUP($N227*Paraméterek!$C$58/Paraméterek!$C$56,IF($D$4="Forint",0,2))</f>
        <v>21</v>
      </c>
      <c r="P227" s="13">
        <f t="shared" si="50"/>
        <v>910</v>
      </c>
      <c r="Q227" s="33"/>
      <c r="R227" s="13">
        <f t="shared" ca="1" si="51"/>
        <v>0</v>
      </c>
      <c r="S227" s="13">
        <f ca="1">ROUNDUP(($M227-$O227-$P227+$R227)*VLOOKUP($B227,Paraméterek!$B$38:$D$39,IF($D$2="Egyszeri",3,2))/12,IF($D$4="Forint",0,2))</f>
        <v>-289</v>
      </c>
      <c r="T227" s="13"/>
      <c r="U227" s="13"/>
      <c r="V227" s="13">
        <f ca="1">$M227-$O227-$P227+$R227-$S227-IF(ROUNDUP(IF(ISBLANK($U227),$T227,$U227)/IF(AND($B227=1,$D$2&lt;&gt;"Egyszeri"),1,VLOOKUP($B227+IF($C227=12,1,0),Paraméterek!$B$257:$D$267,IF($D$2="Egyszeri",3,2))),IF($D$4="Forint",0,2))&gt;$M227-$O227-$P227+$R227-$S227-IF($D$4="Forint",Paraméterek!$C$216,Paraméterek!$D$216),0,ROUNDUP(IF(ISBLANK($U227),$T227,$U227)/IF(AND($B227=1,$D$2&lt;&gt;"Egyszeri"),1,VLOOKUP($B227+IF($C227=12,1,0),Paraméterek!$B$257:$D$267,IF($D$2="Egyszeri",3,2))),IF($D$4="Forint",0,2)))</f>
        <v>-117786</v>
      </c>
      <c r="W227" s="13">
        <f ca="1">ROUNDDOWN($V227*VLOOKUP($B227+IF($C227=12,1,0),Paraméterek!$B$257:$D$267,IF($D$2="Egyszeri",3,2)),IF($D$4="Forint",0,2))</f>
        <v>-117786</v>
      </c>
      <c r="Y227" s="32">
        <v>208</v>
      </c>
      <c r="Z227" s="32">
        <v>18</v>
      </c>
      <c r="AA227" s="32">
        <v>4</v>
      </c>
      <c r="AB227" s="13">
        <f t="shared" si="56"/>
        <v>0</v>
      </c>
      <c r="AC227" s="33"/>
      <c r="AD227" s="13">
        <f t="shared" si="52"/>
        <v>0</v>
      </c>
      <c r="AE227" s="13">
        <f>ROUNDUP(($AB227+$AD227)*VLOOKUP($Z227,Paraméterek!$P$38:$Q$38,2)/12,IF($D$4="Forint",0,2))</f>
        <v>0</v>
      </c>
      <c r="AF227" s="13">
        <f>IF($D$2="Egyszeri",IF($D$7&gt;=IF($D$4="Forint",Paraméterek!$P$223,Paraméterek!$P$224),$D$7-IF($D$4="Forint",Paraméterek!$F$223,Paraméterek!$F$224),0),MIN(IF($AA227=12,AVERAGE($D$20:$D227)*12,0),SUM($D$20:$D$31)))</f>
        <v>0</v>
      </c>
      <c r="AG227" s="13">
        <f>IF(AND($Z227&gt;=10,MOD($Z227,5)=0),$AF227*IF($AA227=12,VLOOKUP($Z227,Paraméterek!$B$225:$F$240,IF($AF227&lt;IF($D$4="Forint",Paraméterek!$C$223,Paraméterek!$C$224),2,IF($AF227&lt;IF($D$4="Forint",Paraméterek!$D$223,Paraméterek!$D$224),3,4))),0),0)</f>
        <v>0</v>
      </c>
      <c r="AH227" s="13">
        <f>IF(AND($Z227&gt;=5,MOD($Z227,5)=0),IF($AA227=12,VLOOKUP($Z227,Paraméterek!$B$225:$F$240,5),0),IF(OR($Z227=3,$Z227=4),IF($AA227=12,VLOOKUP($Z227,Paraméterek!$B$225:$F$240,5,0),0),0))*$AF227</f>
        <v>0</v>
      </c>
      <c r="AI227" s="13">
        <f>ROUNDDOWN(IF(SUM($T$20:$U227)=0,IF($D$2="Egyszeri",$AH227,$AG227),0),IF($D$4="Forint",0,2))</f>
        <v>0</v>
      </c>
      <c r="AJ227" s="13">
        <f t="shared" si="57"/>
        <v>0</v>
      </c>
      <c r="AK227" s="13">
        <f t="shared" si="58"/>
        <v>0</v>
      </c>
      <c r="AM227" s="32">
        <v>208</v>
      </c>
      <c r="AN227" s="32">
        <v>18</v>
      </c>
      <c r="AO227" s="32">
        <v>4</v>
      </c>
      <c r="AP227" s="13"/>
      <c r="AQ227" s="32"/>
      <c r="AR227" s="13">
        <f t="shared" si="59"/>
        <v>0</v>
      </c>
      <c r="AS227" s="33"/>
      <c r="AT227" s="13">
        <f t="shared" si="53"/>
        <v>0</v>
      </c>
      <c r="AU227" s="13">
        <f>ROUNDUP(($AR227+$AT227)*VLOOKUP($AN227,Paraméterek!$P$38:$Q$38,2)/12,IF($D$4="Forint",0,2))</f>
        <v>0</v>
      </c>
      <c r="AV227" s="13"/>
      <c r="AW227" s="13"/>
      <c r="AX227" s="13">
        <f>ROUNDUP(IF(SUM($AV227:$AW227)=0,0,IF(IF(ISBLANK($AW227),$AV227,$AW227)*Paraméterek!$J$112&lt;IF($D$4="Forint",Paraméterek!$J$113,Paraméterek!$K$113),IF($D$4="Forint",Paraméterek!$J$113,Paraméterek!$K$113),IF(IF(ISBLANK($AW227),$AV227,$AW227)*Paraméterek!$J$112&gt;IF($D$4="Forint",Paraméterek!$J$114,Paraméterek!$K$114),IF($D$4="Forint",Paraméterek!$J$114,Paraméterek!$K$114),IF(ISBLANK($AW227),$AV227,$AW227)*Paraméterek!$J$112))),IF($D$4="Forint",0,2))</f>
        <v>0</v>
      </c>
      <c r="AY227" s="13">
        <f>$AR227+$AT227-$AU227-IF(ROUNDDOWN(IF(ISBLANK($AW227),$AV227,$AW227),IF($D$4="Forint",0,2))&gt;$AR227+$AT227-$AU227-IF($D$4="Forint",Paraméterek!$J$114,Paraméterek!$K$114),0,ROUNDDOWN(IF(ISBLANK($AW227),$AV227,$AW227),IF($D$4="Forint",0,2))-$AX227)</f>
        <v>0</v>
      </c>
      <c r="AZ227" s="13">
        <f t="shared" si="54"/>
        <v>0</v>
      </c>
    </row>
    <row r="228" spans="1:52" x14ac:dyDescent="0.2">
      <c r="A228" s="32">
        <v>209</v>
      </c>
      <c r="B228" s="32">
        <v>18</v>
      </c>
      <c r="C228" s="32">
        <v>5</v>
      </c>
      <c r="D228" s="13">
        <f t="shared" si="45"/>
        <v>0</v>
      </c>
      <c r="E228" s="13"/>
      <c r="F228" s="13"/>
      <c r="G228" s="13"/>
      <c r="H228" s="13">
        <f t="shared" si="46"/>
        <v>0</v>
      </c>
      <c r="I228" s="13">
        <f t="shared" si="47"/>
        <v>0</v>
      </c>
      <c r="J228" s="13">
        <f t="shared" si="48"/>
        <v>0</v>
      </c>
      <c r="K228" s="13">
        <f>ROUNDUP(IF($D$2="Egyszeri",$D228,IF($D$2="Havi",SUM($D$20:$D$31),IF(MOD($C228,$M$1)-1=0,SUM($D$20:$D$31),0))/12*$M$1)*VLOOKUP($B228,Paraméterek!$B$27:$D$30,IF($D$2="Egyszeri",3,2)),IF($D$4="Forint",0,2))</f>
        <v>0</v>
      </c>
      <c r="L228" s="13">
        <f t="shared" si="49"/>
        <v>0</v>
      </c>
      <c r="M228" s="13">
        <f t="shared" ca="1" si="55"/>
        <v>-117786</v>
      </c>
      <c r="N228" s="13">
        <f ca="1">IF($V227&gt;=VLOOKUP($M$4-1+$B228,Paraméterek!$B$121:$D$122,IF($D$4="Forint",2,3)),0,VLOOKUP($M$4-1+$B228,Paraméterek!$B$121:$D$122,IF($D$4="Forint",2,3))-$V227)</f>
        <v>127786</v>
      </c>
      <c r="O228" s="13">
        <f ca="1">ROUNDUP($N228*Paraméterek!$C$58/Paraméterek!$C$56,IF($D$4="Forint",0,2))</f>
        <v>21</v>
      </c>
      <c r="P228" s="13">
        <f t="shared" si="50"/>
        <v>910</v>
      </c>
      <c r="Q228" s="33"/>
      <c r="R228" s="13">
        <f t="shared" ca="1" si="51"/>
        <v>0</v>
      </c>
      <c r="S228" s="13">
        <f ca="1">ROUNDUP(($M228-$O228-$P228+$R228)*VLOOKUP($B228,Paraméterek!$B$38:$D$39,IF($D$2="Egyszeri",3,2))/12,IF($D$4="Forint",0,2))</f>
        <v>-290</v>
      </c>
      <c r="T228" s="13"/>
      <c r="U228" s="13"/>
      <c r="V228" s="13">
        <f ca="1">$M228-$O228-$P228+$R228-$S228-IF(ROUNDUP(IF(ISBLANK($U228),$T228,$U228)/IF(AND($B228=1,$D$2&lt;&gt;"Egyszeri"),1,VLOOKUP($B228+IF($C228=12,1,0),Paraméterek!$B$257:$D$267,IF($D$2="Egyszeri",3,2))),IF($D$4="Forint",0,2))&gt;$M228-$O228-$P228+$R228-$S228-IF($D$4="Forint",Paraméterek!$C$216,Paraméterek!$D$216),0,ROUNDUP(IF(ISBLANK($U228),$T228,$U228)/IF(AND($B228=1,$D$2&lt;&gt;"Egyszeri"),1,VLOOKUP($B228+IF($C228=12,1,0),Paraméterek!$B$257:$D$267,IF($D$2="Egyszeri",3,2))),IF($D$4="Forint",0,2)))</f>
        <v>-118427</v>
      </c>
      <c r="W228" s="13">
        <f ca="1">ROUNDDOWN($V228*VLOOKUP($B228+IF($C228=12,1,0),Paraméterek!$B$257:$D$267,IF($D$2="Egyszeri",3,2)),IF($D$4="Forint",0,2))</f>
        <v>-118427</v>
      </c>
      <c r="Y228" s="32">
        <v>209</v>
      </c>
      <c r="Z228" s="32">
        <v>18</v>
      </c>
      <c r="AA228" s="32">
        <v>5</v>
      </c>
      <c r="AB228" s="13">
        <f t="shared" si="56"/>
        <v>0</v>
      </c>
      <c r="AC228" s="33"/>
      <c r="AD228" s="13">
        <f t="shared" si="52"/>
        <v>0</v>
      </c>
      <c r="AE228" s="13">
        <f>ROUNDUP(($AB228+$AD228)*VLOOKUP($Z228,Paraméterek!$P$38:$Q$38,2)/12,IF($D$4="Forint",0,2))</f>
        <v>0</v>
      </c>
      <c r="AF228" s="13">
        <f>IF($D$2="Egyszeri",IF($D$7&gt;=IF($D$4="Forint",Paraméterek!$P$223,Paraméterek!$P$224),$D$7-IF($D$4="Forint",Paraméterek!$F$223,Paraméterek!$F$224),0),MIN(IF($AA228=12,AVERAGE($D$20:$D228)*12,0),SUM($D$20:$D$31)))</f>
        <v>0</v>
      </c>
      <c r="AG228" s="13">
        <f>IF(AND($Z228&gt;=10,MOD($Z228,5)=0),$AF228*IF($AA228=12,VLOOKUP($Z228,Paraméterek!$B$225:$F$240,IF($AF228&lt;IF($D$4="Forint",Paraméterek!$C$223,Paraméterek!$C$224),2,IF($AF228&lt;IF($D$4="Forint",Paraméterek!$D$223,Paraméterek!$D$224),3,4))),0),0)</f>
        <v>0</v>
      </c>
      <c r="AH228" s="13">
        <f>IF(AND($Z228&gt;=5,MOD($Z228,5)=0),IF($AA228=12,VLOOKUP($Z228,Paraméterek!$B$225:$F$240,5),0),IF(OR($Z228=3,$Z228=4),IF($AA228=12,VLOOKUP($Z228,Paraméterek!$B$225:$F$240,5,0),0),0))*$AF228</f>
        <v>0</v>
      </c>
      <c r="AI228" s="13">
        <f>ROUNDDOWN(IF(SUM($T$20:$U228)=0,IF($D$2="Egyszeri",$AH228,$AG228),0),IF($D$4="Forint",0,2))</f>
        <v>0</v>
      </c>
      <c r="AJ228" s="13">
        <f t="shared" si="57"/>
        <v>0</v>
      </c>
      <c r="AK228" s="13">
        <f t="shared" si="58"/>
        <v>0</v>
      </c>
      <c r="AM228" s="32">
        <v>209</v>
      </c>
      <c r="AN228" s="32">
        <v>18</v>
      </c>
      <c r="AO228" s="32">
        <v>5</v>
      </c>
      <c r="AP228" s="13"/>
      <c r="AQ228" s="32"/>
      <c r="AR228" s="13">
        <f t="shared" si="59"/>
        <v>0</v>
      </c>
      <c r="AS228" s="33"/>
      <c r="AT228" s="13">
        <f t="shared" si="53"/>
        <v>0</v>
      </c>
      <c r="AU228" s="13">
        <f>ROUNDUP(($AR228+$AT228)*VLOOKUP($AN228,Paraméterek!$P$38:$Q$38,2)/12,IF($D$4="Forint",0,2))</f>
        <v>0</v>
      </c>
      <c r="AV228" s="13"/>
      <c r="AW228" s="13"/>
      <c r="AX228" s="13">
        <f>ROUNDUP(IF(SUM($AV228:$AW228)=0,0,IF(IF(ISBLANK($AW228),$AV228,$AW228)*Paraméterek!$J$112&lt;IF($D$4="Forint",Paraméterek!$J$113,Paraméterek!$K$113),IF($D$4="Forint",Paraméterek!$J$113,Paraméterek!$K$113),IF(IF(ISBLANK($AW228),$AV228,$AW228)*Paraméterek!$J$112&gt;IF($D$4="Forint",Paraméterek!$J$114,Paraméterek!$K$114),IF($D$4="Forint",Paraméterek!$J$114,Paraméterek!$K$114),IF(ISBLANK($AW228),$AV228,$AW228)*Paraméterek!$J$112))),IF($D$4="Forint",0,2))</f>
        <v>0</v>
      </c>
      <c r="AY228" s="13">
        <f>$AR228+$AT228-$AU228-IF(ROUNDDOWN(IF(ISBLANK($AW228),$AV228,$AW228),IF($D$4="Forint",0,2))&gt;$AR228+$AT228-$AU228-IF($D$4="Forint",Paraméterek!$J$114,Paraméterek!$K$114),0,ROUNDDOWN(IF(ISBLANK($AW228),$AV228,$AW228),IF($D$4="Forint",0,2))-$AX228)</f>
        <v>0</v>
      </c>
      <c r="AZ228" s="13">
        <f t="shared" si="54"/>
        <v>0</v>
      </c>
    </row>
    <row r="229" spans="1:52" x14ac:dyDescent="0.2">
      <c r="A229" s="32">
        <v>210</v>
      </c>
      <c r="B229" s="32">
        <v>18</v>
      </c>
      <c r="C229" s="32">
        <v>6</v>
      </c>
      <c r="D229" s="13">
        <f t="shared" si="45"/>
        <v>0</v>
      </c>
      <c r="E229" s="13"/>
      <c r="F229" s="13"/>
      <c r="G229" s="13"/>
      <c r="H229" s="13">
        <f t="shared" si="46"/>
        <v>0</v>
      </c>
      <c r="I229" s="13">
        <f t="shared" si="47"/>
        <v>0</v>
      </c>
      <c r="J229" s="13">
        <f t="shared" si="48"/>
        <v>0</v>
      </c>
      <c r="K229" s="13">
        <f>ROUNDUP(IF($D$2="Egyszeri",$D229,IF($D$2="Havi",SUM($D$20:$D$31),IF(MOD($C229,$M$1)-1=0,SUM($D$20:$D$31),0))/12*$M$1)*VLOOKUP($B229,Paraméterek!$B$27:$D$30,IF($D$2="Egyszeri",3,2)),IF($D$4="Forint",0,2))</f>
        <v>0</v>
      </c>
      <c r="L229" s="13">
        <f t="shared" si="49"/>
        <v>0</v>
      </c>
      <c r="M229" s="13">
        <f t="shared" ca="1" si="55"/>
        <v>-118427</v>
      </c>
      <c r="N229" s="13">
        <f ca="1">IF($V228&gt;=VLOOKUP($M$4-1+$B229,Paraméterek!$B$121:$D$122,IF($D$4="Forint",2,3)),0,VLOOKUP($M$4-1+$B229,Paraméterek!$B$121:$D$122,IF($D$4="Forint",2,3))-$V228)</f>
        <v>128427</v>
      </c>
      <c r="O229" s="13">
        <f ca="1">ROUNDUP($N229*Paraméterek!$C$58/Paraméterek!$C$56,IF($D$4="Forint",0,2))</f>
        <v>21</v>
      </c>
      <c r="P229" s="13">
        <f t="shared" si="50"/>
        <v>910</v>
      </c>
      <c r="Q229" s="33"/>
      <c r="R229" s="13">
        <f t="shared" ca="1" si="51"/>
        <v>0</v>
      </c>
      <c r="S229" s="13">
        <f ca="1">ROUNDUP(($M229-$O229-$P229+$R229)*VLOOKUP($B229,Paraméterek!$B$38:$D$39,IF($D$2="Egyszeri",3,2))/12,IF($D$4="Forint",0,2))</f>
        <v>-292</v>
      </c>
      <c r="T229" s="13"/>
      <c r="U229" s="13"/>
      <c r="V229" s="13">
        <f ca="1">$M229-$O229-$P229+$R229-$S229-IF(ROUNDUP(IF(ISBLANK($U229),$T229,$U229)/IF(AND($B229=1,$D$2&lt;&gt;"Egyszeri"),1,VLOOKUP($B229+IF($C229=12,1,0),Paraméterek!$B$257:$D$267,IF($D$2="Egyszeri",3,2))),IF($D$4="Forint",0,2))&gt;$M229-$O229-$P229+$R229-$S229-IF($D$4="Forint",Paraméterek!$C$216,Paraméterek!$D$216),0,ROUNDUP(IF(ISBLANK($U229),$T229,$U229)/IF(AND($B229=1,$D$2&lt;&gt;"Egyszeri"),1,VLOOKUP($B229+IF($C229=12,1,0),Paraméterek!$B$257:$D$267,IF($D$2="Egyszeri",3,2))),IF($D$4="Forint",0,2)))</f>
        <v>-119066</v>
      </c>
      <c r="W229" s="13">
        <f ca="1">ROUNDDOWN($V229*VLOOKUP($B229+IF($C229=12,1,0),Paraméterek!$B$257:$D$267,IF($D$2="Egyszeri",3,2)),IF($D$4="Forint",0,2))</f>
        <v>-119066</v>
      </c>
      <c r="Y229" s="32">
        <v>210</v>
      </c>
      <c r="Z229" s="32">
        <v>18</v>
      </c>
      <c r="AA229" s="32">
        <v>6</v>
      </c>
      <c r="AB229" s="13">
        <f t="shared" si="56"/>
        <v>0</v>
      </c>
      <c r="AC229" s="33"/>
      <c r="AD229" s="13">
        <f t="shared" si="52"/>
        <v>0</v>
      </c>
      <c r="AE229" s="13">
        <f>ROUNDUP(($AB229+$AD229)*VLOOKUP($Z229,Paraméterek!$P$38:$Q$38,2)/12,IF($D$4="Forint",0,2))</f>
        <v>0</v>
      </c>
      <c r="AF229" s="13">
        <f>IF($D$2="Egyszeri",IF($D$7&gt;=IF($D$4="Forint",Paraméterek!$P$223,Paraméterek!$P$224),$D$7-IF($D$4="Forint",Paraméterek!$F$223,Paraméterek!$F$224),0),MIN(IF($AA229=12,AVERAGE($D$20:$D229)*12,0),SUM($D$20:$D$31)))</f>
        <v>0</v>
      </c>
      <c r="AG229" s="13">
        <f>IF(AND($Z229&gt;=10,MOD($Z229,5)=0),$AF229*IF($AA229=12,VLOOKUP($Z229,Paraméterek!$B$225:$F$240,IF($AF229&lt;IF($D$4="Forint",Paraméterek!$C$223,Paraméterek!$C$224),2,IF($AF229&lt;IF($D$4="Forint",Paraméterek!$D$223,Paraméterek!$D$224),3,4))),0),0)</f>
        <v>0</v>
      </c>
      <c r="AH229" s="13">
        <f>IF(AND($Z229&gt;=5,MOD($Z229,5)=0),IF($AA229=12,VLOOKUP($Z229,Paraméterek!$B$225:$F$240,5),0),IF(OR($Z229=3,$Z229=4),IF($AA229=12,VLOOKUP($Z229,Paraméterek!$B$225:$F$240,5,0),0),0))*$AF229</f>
        <v>0</v>
      </c>
      <c r="AI229" s="13">
        <f>ROUNDDOWN(IF(SUM($T$20:$U229)=0,IF($D$2="Egyszeri",$AH229,$AG229),0),IF($D$4="Forint",0,2))</f>
        <v>0</v>
      </c>
      <c r="AJ229" s="13">
        <f t="shared" si="57"/>
        <v>0</v>
      </c>
      <c r="AK229" s="13">
        <f t="shared" si="58"/>
        <v>0</v>
      </c>
      <c r="AM229" s="32">
        <v>210</v>
      </c>
      <c r="AN229" s="32">
        <v>18</v>
      </c>
      <c r="AO229" s="32">
        <v>6</v>
      </c>
      <c r="AP229" s="13"/>
      <c r="AQ229" s="32"/>
      <c r="AR229" s="13">
        <f t="shared" si="59"/>
        <v>0</v>
      </c>
      <c r="AS229" s="33"/>
      <c r="AT229" s="13">
        <f t="shared" si="53"/>
        <v>0</v>
      </c>
      <c r="AU229" s="13">
        <f>ROUNDUP(($AR229+$AT229)*VLOOKUP($AN229,Paraméterek!$P$38:$Q$38,2)/12,IF($D$4="Forint",0,2))</f>
        <v>0</v>
      </c>
      <c r="AV229" s="13"/>
      <c r="AW229" s="13"/>
      <c r="AX229" s="13">
        <f>ROUNDUP(IF(SUM($AV229:$AW229)=0,0,IF(IF(ISBLANK($AW229),$AV229,$AW229)*Paraméterek!$J$112&lt;IF($D$4="Forint",Paraméterek!$J$113,Paraméterek!$K$113),IF($D$4="Forint",Paraméterek!$J$113,Paraméterek!$K$113),IF(IF(ISBLANK($AW229),$AV229,$AW229)*Paraméterek!$J$112&gt;IF($D$4="Forint",Paraméterek!$J$114,Paraméterek!$K$114),IF($D$4="Forint",Paraméterek!$J$114,Paraméterek!$K$114),IF(ISBLANK($AW229),$AV229,$AW229)*Paraméterek!$J$112))),IF($D$4="Forint",0,2))</f>
        <v>0</v>
      </c>
      <c r="AY229" s="13">
        <f>$AR229+$AT229-$AU229-IF(ROUNDDOWN(IF(ISBLANK($AW229),$AV229,$AW229),IF($D$4="Forint",0,2))&gt;$AR229+$AT229-$AU229-IF($D$4="Forint",Paraméterek!$J$114,Paraméterek!$K$114),0,ROUNDDOWN(IF(ISBLANK($AW229),$AV229,$AW229),IF($D$4="Forint",0,2))-$AX229)</f>
        <v>0</v>
      </c>
      <c r="AZ229" s="13">
        <f t="shared" si="54"/>
        <v>0</v>
      </c>
    </row>
    <row r="230" spans="1:52" x14ac:dyDescent="0.2">
      <c r="A230" s="32">
        <v>211</v>
      </c>
      <c r="B230" s="32">
        <v>18</v>
      </c>
      <c r="C230" s="32">
        <v>7</v>
      </c>
      <c r="D230" s="13">
        <f t="shared" si="45"/>
        <v>0</v>
      </c>
      <c r="E230" s="13"/>
      <c r="F230" s="13"/>
      <c r="G230" s="13"/>
      <c r="H230" s="13">
        <f t="shared" si="46"/>
        <v>0</v>
      </c>
      <c r="I230" s="13">
        <f t="shared" si="47"/>
        <v>0</v>
      </c>
      <c r="J230" s="13">
        <f t="shared" si="48"/>
        <v>0</v>
      </c>
      <c r="K230" s="13">
        <f>ROUNDUP(IF($D$2="Egyszeri",$D230,IF($D$2="Havi",SUM($D$20:$D$31),IF(MOD($C230,$M$1)-1=0,SUM($D$20:$D$31),0))/12*$M$1)*VLOOKUP($B230,Paraméterek!$B$27:$D$30,IF($D$2="Egyszeri",3,2)),IF($D$4="Forint",0,2))</f>
        <v>0</v>
      </c>
      <c r="L230" s="13">
        <f t="shared" si="49"/>
        <v>0</v>
      </c>
      <c r="M230" s="13">
        <f t="shared" ca="1" si="55"/>
        <v>-119066</v>
      </c>
      <c r="N230" s="13">
        <f ca="1">IF($V229&gt;=VLOOKUP($M$4-1+$B230,Paraméterek!$B$121:$D$122,IF($D$4="Forint",2,3)),0,VLOOKUP($M$4-1+$B230,Paraméterek!$B$121:$D$122,IF($D$4="Forint",2,3))-$V229)</f>
        <v>129066</v>
      </c>
      <c r="O230" s="13">
        <f ca="1">ROUNDUP($N230*Paraméterek!$C$58/Paraméterek!$C$56,IF($D$4="Forint",0,2))</f>
        <v>21</v>
      </c>
      <c r="P230" s="13">
        <f t="shared" si="50"/>
        <v>910</v>
      </c>
      <c r="Q230" s="33"/>
      <c r="R230" s="13">
        <f t="shared" ca="1" si="51"/>
        <v>0</v>
      </c>
      <c r="S230" s="13">
        <f ca="1">ROUNDUP(($M230-$O230-$P230+$R230)*VLOOKUP($B230,Paraméterek!$B$38:$D$39,IF($D$2="Egyszeri",3,2))/12,IF($D$4="Forint",0,2))</f>
        <v>-293</v>
      </c>
      <c r="T230" s="13"/>
      <c r="U230" s="13"/>
      <c r="V230" s="13">
        <f ca="1">$M230-$O230-$P230+$R230-$S230-IF(ROUNDUP(IF(ISBLANK($U230),$T230,$U230)/IF(AND($B230=1,$D$2&lt;&gt;"Egyszeri"),1,VLOOKUP($B230+IF($C230=12,1,0),Paraméterek!$B$257:$D$267,IF($D$2="Egyszeri",3,2))),IF($D$4="Forint",0,2))&gt;$M230-$O230-$P230+$R230-$S230-IF($D$4="Forint",Paraméterek!$C$216,Paraméterek!$D$216),0,ROUNDUP(IF(ISBLANK($U230),$T230,$U230)/IF(AND($B230=1,$D$2&lt;&gt;"Egyszeri"),1,VLOOKUP($B230+IF($C230=12,1,0),Paraméterek!$B$257:$D$267,IF($D$2="Egyszeri",3,2))),IF($D$4="Forint",0,2)))</f>
        <v>-119704</v>
      </c>
      <c r="W230" s="13">
        <f ca="1">ROUNDDOWN($V230*VLOOKUP($B230+IF($C230=12,1,0),Paraméterek!$B$257:$D$267,IF($D$2="Egyszeri",3,2)),IF($D$4="Forint",0,2))</f>
        <v>-119704</v>
      </c>
      <c r="Y230" s="32">
        <v>211</v>
      </c>
      <c r="Z230" s="32">
        <v>18</v>
      </c>
      <c r="AA230" s="32">
        <v>7</v>
      </c>
      <c r="AB230" s="13">
        <f t="shared" si="56"/>
        <v>0</v>
      </c>
      <c r="AC230" s="33"/>
      <c r="AD230" s="13">
        <f t="shared" si="52"/>
        <v>0</v>
      </c>
      <c r="AE230" s="13">
        <f>ROUNDUP(($AB230+$AD230)*VLOOKUP($Z230,Paraméterek!$P$38:$Q$38,2)/12,IF($D$4="Forint",0,2))</f>
        <v>0</v>
      </c>
      <c r="AF230" s="13">
        <f>IF($D$2="Egyszeri",IF($D$7&gt;=IF($D$4="Forint",Paraméterek!$P$223,Paraméterek!$P$224),$D$7-IF($D$4="Forint",Paraméterek!$F$223,Paraméterek!$F$224),0),MIN(IF($AA230=12,AVERAGE($D$20:$D230)*12,0),SUM($D$20:$D$31)))</f>
        <v>0</v>
      </c>
      <c r="AG230" s="13">
        <f>IF(AND($Z230&gt;=10,MOD($Z230,5)=0),$AF230*IF($AA230=12,VLOOKUP($Z230,Paraméterek!$B$225:$F$240,IF($AF230&lt;IF($D$4="Forint",Paraméterek!$C$223,Paraméterek!$C$224),2,IF($AF230&lt;IF($D$4="Forint",Paraméterek!$D$223,Paraméterek!$D$224),3,4))),0),0)</f>
        <v>0</v>
      </c>
      <c r="AH230" s="13">
        <f>IF(AND($Z230&gt;=5,MOD($Z230,5)=0),IF($AA230=12,VLOOKUP($Z230,Paraméterek!$B$225:$F$240,5),0),IF(OR($Z230=3,$Z230=4),IF($AA230=12,VLOOKUP($Z230,Paraméterek!$B$225:$F$240,5,0),0),0))*$AF230</f>
        <v>0</v>
      </c>
      <c r="AI230" s="13">
        <f>ROUNDDOWN(IF(SUM($T$20:$U230)=0,IF($D$2="Egyszeri",$AH230,$AG230),0),IF($D$4="Forint",0,2))</f>
        <v>0</v>
      </c>
      <c r="AJ230" s="13">
        <f t="shared" si="57"/>
        <v>0</v>
      </c>
      <c r="AK230" s="13">
        <f t="shared" si="58"/>
        <v>0</v>
      </c>
      <c r="AM230" s="32">
        <v>211</v>
      </c>
      <c r="AN230" s="32">
        <v>18</v>
      </c>
      <c r="AO230" s="32">
        <v>7</v>
      </c>
      <c r="AP230" s="13"/>
      <c r="AQ230" s="32"/>
      <c r="AR230" s="13">
        <f t="shared" si="59"/>
        <v>0</v>
      </c>
      <c r="AS230" s="33"/>
      <c r="AT230" s="13">
        <f t="shared" si="53"/>
        <v>0</v>
      </c>
      <c r="AU230" s="13">
        <f>ROUNDUP(($AR230+$AT230)*VLOOKUP($AN230,Paraméterek!$P$38:$Q$38,2)/12,IF($D$4="Forint",0,2))</f>
        <v>0</v>
      </c>
      <c r="AV230" s="13"/>
      <c r="AW230" s="13"/>
      <c r="AX230" s="13">
        <f>ROUNDUP(IF(SUM($AV230:$AW230)=0,0,IF(IF(ISBLANK($AW230),$AV230,$AW230)*Paraméterek!$J$112&lt;IF($D$4="Forint",Paraméterek!$J$113,Paraméterek!$K$113),IF($D$4="Forint",Paraméterek!$J$113,Paraméterek!$K$113),IF(IF(ISBLANK($AW230),$AV230,$AW230)*Paraméterek!$J$112&gt;IF($D$4="Forint",Paraméterek!$J$114,Paraméterek!$K$114),IF($D$4="Forint",Paraméterek!$J$114,Paraméterek!$K$114),IF(ISBLANK($AW230),$AV230,$AW230)*Paraméterek!$J$112))),IF($D$4="Forint",0,2))</f>
        <v>0</v>
      </c>
      <c r="AY230" s="13">
        <f>$AR230+$AT230-$AU230-IF(ROUNDDOWN(IF(ISBLANK($AW230),$AV230,$AW230),IF($D$4="Forint",0,2))&gt;$AR230+$AT230-$AU230-IF($D$4="Forint",Paraméterek!$J$114,Paraméterek!$K$114),0,ROUNDDOWN(IF(ISBLANK($AW230),$AV230,$AW230),IF($D$4="Forint",0,2))-$AX230)</f>
        <v>0</v>
      </c>
      <c r="AZ230" s="13">
        <f t="shared" si="54"/>
        <v>0</v>
      </c>
    </row>
    <row r="231" spans="1:52" x14ac:dyDescent="0.2">
      <c r="A231" s="32">
        <v>212</v>
      </c>
      <c r="B231" s="32">
        <v>18</v>
      </c>
      <c r="C231" s="32">
        <v>8</v>
      </c>
      <c r="D231" s="13">
        <f t="shared" si="45"/>
        <v>0</v>
      </c>
      <c r="E231" s="13"/>
      <c r="F231" s="13"/>
      <c r="G231" s="13"/>
      <c r="H231" s="13">
        <f t="shared" si="46"/>
        <v>0</v>
      </c>
      <c r="I231" s="13">
        <f t="shared" si="47"/>
        <v>0</v>
      </c>
      <c r="J231" s="13">
        <f t="shared" si="48"/>
        <v>0</v>
      </c>
      <c r="K231" s="13">
        <f>ROUNDUP(IF($D$2="Egyszeri",$D231,IF($D$2="Havi",SUM($D$20:$D$31),IF(MOD($C231,$M$1)-1=0,SUM($D$20:$D$31),0))/12*$M$1)*VLOOKUP($B231,Paraméterek!$B$27:$D$30,IF($D$2="Egyszeri",3,2)),IF($D$4="Forint",0,2))</f>
        <v>0</v>
      </c>
      <c r="L231" s="13">
        <f t="shared" si="49"/>
        <v>0</v>
      </c>
      <c r="M231" s="13">
        <f t="shared" ca="1" si="55"/>
        <v>-119704</v>
      </c>
      <c r="N231" s="13">
        <f ca="1">IF($V230&gt;=VLOOKUP($M$4-1+$B231,Paraméterek!$B$121:$D$122,IF($D$4="Forint",2,3)),0,VLOOKUP($M$4-1+$B231,Paraméterek!$B$121:$D$122,IF($D$4="Forint",2,3))-$V230)</f>
        <v>129704</v>
      </c>
      <c r="O231" s="13">
        <f ca="1">ROUNDUP($N231*Paraméterek!$C$58/Paraméterek!$C$56,IF($D$4="Forint",0,2))</f>
        <v>21</v>
      </c>
      <c r="P231" s="13">
        <f t="shared" si="50"/>
        <v>910</v>
      </c>
      <c r="Q231" s="33"/>
      <c r="R231" s="13">
        <f t="shared" ca="1" si="51"/>
        <v>0</v>
      </c>
      <c r="S231" s="13">
        <f ca="1">ROUNDUP(($M231-$O231-$P231+$R231)*VLOOKUP($B231,Paraméterek!$B$38:$D$39,IF($D$2="Egyszeri",3,2))/12,IF($D$4="Forint",0,2))</f>
        <v>-295</v>
      </c>
      <c r="T231" s="13"/>
      <c r="U231" s="13"/>
      <c r="V231" s="13">
        <f ca="1">$M231-$O231-$P231+$R231-$S231-IF(ROUNDUP(IF(ISBLANK($U231),$T231,$U231)/IF(AND($B231=1,$D$2&lt;&gt;"Egyszeri"),1,VLOOKUP($B231+IF($C231=12,1,0),Paraméterek!$B$257:$D$267,IF($D$2="Egyszeri",3,2))),IF($D$4="Forint",0,2))&gt;$M231-$O231-$P231+$R231-$S231-IF($D$4="Forint",Paraméterek!$C$216,Paraméterek!$D$216),0,ROUNDUP(IF(ISBLANK($U231),$T231,$U231)/IF(AND($B231=1,$D$2&lt;&gt;"Egyszeri"),1,VLOOKUP($B231+IF($C231=12,1,0),Paraméterek!$B$257:$D$267,IF($D$2="Egyszeri",3,2))),IF($D$4="Forint",0,2)))</f>
        <v>-120340</v>
      </c>
      <c r="W231" s="13">
        <f ca="1">ROUNDDOWN($V231*VLOOKUP($B231+IF($C231=12,1,0),Paraméterek!$B$257:$D$267,IF($D$2="Egyszeri",3,2)),IF($D$4="Forint",0,2))</f>
        <v>-120340</v>
      </c>
      <c r="Y231" s="32">
        <v>212</v>
      </c>
      <c r="Z231" s="32">
        <v>18</v>
      </c>
      <c r="AA231" s="32">
        <v>8</v>
      </c>
      <c r="AB231" s="13">
        <f t="shared" si="56"/>
        <v>0</v>
      </c>
      <c r="AC231" s="33"/>
      <c r="AD231" s="13">
        <f t="shared" si="52"/>
        <v>0</v>
      </c>
      <c r="AE231" s="13">
        <f>ROUNDUP(($AB231+$AD231)*VLOOKUP($Z231,Paraméterek!$P$38:$Q$38,2)/12,IF($D$4="Forint",0,2))</f>
        <v>0</v>
      </c>
      <c r="AF231" s="13">
        <f>IF($D$2="Egyszeri",IF($D$7&gt;=IF($D$4="Forint",Paraméterek!$P$223,Paraméterek!$P$224),$D$7-IF($D$4="Forint",Paraméterek!$F$223,Paraméterek!$F$224),0),MIN(IF($AA231=12,AVERAGE($D$20:$D231)*12,0),SUM($D$20:$D$31)))</f>
        <v>0</v>
      </c>
      <c r="AG231" s="13">
        <f>IF(AND($Z231&gt;=10,MOD($Z231,5)=0),$AF231*IF($AA231=12,VLOOKUP($Z231,Paraméterek!$B$225:$F$240,IF($AF231&lt;IF($D$4="Forint",Paraméterek!$C$223,Paraméterek!$C$224),2,IF($AF231&lt;IF($D$4="Forint",Paraméterek!$D$223,Paraméterek!$D$224),3,4))),0),0)</f>
        <v>0</v>
      </c>
      <c r="AH231" s="13">
        <f>IF(AND($Z231&gt;=5,MOD($Z231,5)=0),IF($AA231=12,VLOOKUP($Z231,Paraméterek!$B$225:$F$240,5),0),IF(OR($Z231=3,$Z231=4),IF($AA231=12,VLOOKUP($Z231,Paraméterek!$B$225:$F$240,5,0),0),0))*$AF231</f>
        <v>0</v>
      </c>
      <c r="AI231" s="13">
        <f>ROUNDDOWN(IF(SUM($T$20:$U231)=0,IF($D$2="Egyszeri",$AH231,$AG231),0),IF($D$4="Forint",0,2))</f>
        <v>0</v>
      </c>
      <c r="AJ231" s="13">
        <f t="shared" si="57"/>
        <v>0</v>
      </c>
      <c r="AK231" s="13">
        <f t="shared" si="58"/>
        <v>0</v>
      </c>
      <c r="AM231" s="32">
        <v>212</v>
      </c>
      <c r="AN231" s="32">
        <v>18</v>
      </c>
      <c r="AO231" s="32">
        <v>8</v>
      </c>
      <c r="AP231" s="13"/>
      <c r="AQ231" s="32"/>
      <c r="AR231" s="13">
        <f t="shared" si="59"/>
        <v>0</v>
      </c>
      <c r="AS231" s="33"/>
      <c r="AT231" s="13">
        <f t="shared" si="53"/>
        <v>0</v>
      </c>
      <c r="AU231" s="13">
        <f>ROUNDUP(($AR231+$AT231)*VLOOKUP($AN231,Paraméterek!$P$38:$Q$38,2)/12,IF($D$4="Forint",0,2))</f>
        <v>0</v>
      </c>
      <c r="AV231" s="13"/>
      <c r="AW231" s="13"/>
      <c r="AX231" s="13">
        <f>ROUNDUP(IF(SUM($AV231:$AW231)=0,0,IF(IF(ISBLANK($AW231),$AV231,$AW231)*Paraméterek!$J$112&lt;IF($D$4="Forint",Paraméterek!$J$113,Paraméterek!$K$113),IF($D$4="Forint",Paraméterek!$J$113,Paraméterek!$K$113),IF(IF(ISBLANK($AW231),$AV231,$AW231)*Paraméterek!$J$112&gt;IF($D$4="Forint",Paraméterek!$J$114,Paraméterek!$K$114),IF($D$4="Forint",Paraméterek!$J$114,Paraméterek!$K$114),IF(ISBLANK($AW231),$AV231,$AW231)*Paraméterek!$J$112))),IF($D$4="Forint",0,2))</f>
        <v>0</v>
      </c>
      <c r="AY231" s="13">
        <f>$AR231+$AT231-$AU231-IF(ROUNDDOWN(IF(ISBLANK($AW231),$AV231,$AW231),IF($D$4="Forint",0,2))&gt;$AR231+$AT231-$AU231-IF($D$4="Forint",Paraméterek!$J$114,Paraméterek!$K$114),0,ROUNDDOWN(IF(ISBLANK($AW231),$AV231,$AW231),IF($D$4="Forint",0,2))-$AX231)</f>
        <v>0</v>
      </c>
      <c r="AZ231" s="13">
        <f t="shared" si="54"/>
        <v>0</v>
      </c>
    </row>
    <row r="232" spans="1:52" x14ac:dyDescent="0.2">
      <c r="A232" s="32">
        <v>213</v>
      </c>
      <c r="B232" s="32">
        <v>18</v>
      </c>
      <c r="C232" s="32">
        <v>9</v>
      </c>
      <c r="D232" s="13">
        <f t="shared" si="45"/>
        <v>0</v>
      </c>
      <c r="E232" s="13"/>
      <c r="F232" s="13"/>
      <c r="G232" s="13"/>
      <c r="H232" s="13">
        <f t="shared" si="46"/>
        <v>0</v>
      </c>
      <c r="I232" s="13">
        <f t="shared" si="47"/>
        <v>0</v>
      </c>
      <c r="J232" s="13">
        <f t="shared" si="48"/>
        <v>0</v>
      </c>
      <c r="K232" s="13">
        <f>ROUNDUP(IF($D$2="Egyszeri",$D232,IF($D$2="Havi",SUM($D$20:$D$31),IF(MOD($C232,$M$1)-1=0,SUM($D$20:$D$31),0))/12*$M$1)*VLOOKUP($B232,Paraméterek!$B$27:$D$30,IF($D$2="Egyszeri",3,2)),IF($D$4="Forint",0,2))</f>
        <v>0</v>
      </c>
      <c r="L232" s="13">
        <f t="shared" si="49"/>
        <v>0</v>
      </c>
      <c r="M232" s="13">
        <f t="shared" ca="1" si="55"/>
        <v>-120340</v>
      </c>
      <c r="N232" s="13">
        <f ca="1">IF($V231&gt;=VLOOKUP($M$4-1+$B232,Paraméterek!$B$121:$D$122,IF($D$4="Forint",2,3)),0,VLOOKUP($M$4-1+$B232,Paraméterek!$B$121:$D$122,IF($D$4="Forint",2,3))-$V231)</f>
        <v>130340</v>
      </c>
      <c r="O232" s="13">
        <f ca="1">ROUNDUP($N232*Paraméterek!$C$58/Paraméterek!$C$56,IF($D$4="Forint",0,2))</f>
        <v>21</v>
      </c>
      <c r="P232" s="13">
        <f t="shared" si="50"/>
        <v>910</v>
      </c>
      <c r="Q232" s="33"/>
      <c r="R232" s="13">
        <f t="shared" ca="1" si="51"/>
        <v>0</v>
      </c>
      <c r="S232" s="13">
        <f ca="1">ROUNDUP(($M232-$O232-$P232+$R232)*VLOOKUP($B232,Paraméterek!$B$38:$D$39,IF($D$2="Egyszeri",3,2))/12,IF($D$4="Forint",0,2))</f>
        <v>-297</v>
      </c>
      <c r="T232" s="13"/>
      <c r="U232" s="13"/>
      <c r="V232" s="13">
        <f ca="1">$M232-$O232-$P232+$R232-$S232-IF(ROUNDUP(IF(ISBLANK($U232),$T232,$U232)/IF(AND($B232=1,$D$2&lt;&gt;"Egyszeri"),1,VLOOKUP($B232+IF($C232=12,1,0),Paraméterek!$B$257:$D$267,IF($D$2="Egyszeri",3,2))),IF($D$4="Forint",0,2))&gt;$M232-$O232-$P232+$R232-$S232-IF($D$4="Forint",Paraméterek!$C$216,Paraméterek!$D$216),0,ROUNDUP(IF(ISBLANK($U232),$T232,$U232)/IF(AND($B232=1,$D$2&lt;&gt;"Egyszeri"),1,VLOOKUP($B232+IF($C232=12,1,0),Paraméterek!$B$257:$D$267,IF($D$2="Egyszeri",3,2))),IF($D$4="Forint",0,2)))</f>
        <v>-120974</v>
      </c>
      <c r="W232" s="13">
        <f ca="1">ROUNDDOWN($V232*VLOOKUP($B232+IF($C232=12,1,0),Paraméterek!$B$257:$D$267,IF($D$2="Egyszeri",3,2)),IF($D$4="Forint",0,2))</f>
        <v>-120974</v>
      </c>
      <c r="Y232" s="32">
        <v>213</v>
      </c>
      <c r="Z232" s="32">
        <v>18</v>
      </c>
      <c r="AA232" s="32">
        <v>9</v>
      </c>
      <c r="AB232" s="13">
        <f t="shared" si="56"/>
        <v>0</v>
      </c>
      <c r="AC232" s="33"/>
      <c r="AD232" s="13">
        <f t="shared" si="52"/>
        <v>0</v>
      </c>
      <c r="AE232" s="13">
        <f>ROUNDUP(($AB232+$AD232)*VLOOKUP($Z232,Paraméterek!$P$38:$Q$38,2)/12,IF($D$4="Forint",0,2))</f>
        <v>0</v>
      </c>
      <c r="AF232" s="13">
        <f>IF($D$2="Egyszeri",IF($D$7&gt;=IF($D$4="Forint",Paraméterek!$P$223,Paraméterek!$P$224),$D$7-IF($D$4="Forint",Paraméterek!$F$223,Paraméterek!$F$224),0),MIN(IF($AA232=12,AVERAGE($D$20:$D232)*12,0),SUM($D$20:$D$31)))</f>
        <v>0</v>
      </c>
      <c r="AG232" s="13">
        <f>IF(AND($Z232&gt;=10,MOD($Z232,5)=0),$AF232*IF($AA232=12,VLOOKUP($Z232,Paraméterek!$B$225:$F$240,IF($AF232&lt;IF($D$4="Forint",Paraméterek!$C$223,Paraméterek!$C$224),2,IF($AF232&lt;IF($D$4="Forint",Paraméterek!$D$223,Paraméterek!$D$224),3,4))),0),0)</f>
        <v>0</v>
      </c>
      <c r="AH232" s="13">
        <f>IF(AND($Z232&gt;=5,MOD($Z232,5)=0),IF($AA232=12,VLOOKUP($Z232,Paraméterek!$B$225:$F$240,5),0),IF(OR($Z232=3,$Z232=4),IF($AA232=12,VLOOKUP($Z232,Paraméterek!$B$225:$F$240,5,0),0),0))*$AF232</f>
        <v>0</v>
      </c>
      <c r="AI232" s="13">
        <f>ROUNDDOWN(IF(SUM($T$20:$U232)=0,IF($D$2="Egyszeri",$AH232,$AG232),0),IF($D$4="Forint",0,2))</f>
        <v>0</v>
      </c>
      <c r="AJ232" s="13">
        <f t="shared" si="57"/>
        <v>0</v>
      </c>
      <c r="AK232" s="13">
        <f t="shared" si="58"/>
        <v>0</v>
      </c>
      <c r="AM232" s="32">
        <v>213</v>
      </c>
      <c r="AN232" s="32">
        <v>18</v>
      </c>
      <c r="AO232" s="32">
        <v>9</v>
      </c>
      <c r="AP232" s="13"/>
      <c r="AQ232" s="32"/>
      <c r="AR232" s="13">
        <f t="shared" si="59"/>
        <v>0</v>
      </c>
      <c r="AS232" s="33"/>
      <c r="AT232" s="13">
        <f t="shared" si="53"/>
        <v>0</v>
      </c>
      <c r="AU232" s="13">
        <f>ROUNDUP(($AR232+$AT232)*VLOOKUP($AN232,Paraméterek!$P$38:$Q$38,2)/12,IF($D$4="Forint",0,2))</f>
        <v>0</v>
      </c>
      <c r="AV232" s="13"/>
      <c r="AW232" s="13"/>
      <c r="AX232" s="13">
        <f>ROUNDUP(IF(SUM($AV232:$AW232)=0,0,IF(IF(ISBLANK($AW232),$AV232,$AW232)*Paraméterek!$J$112&lt;IF($D$4="Forint",Paraméterek!$J$113,Paraméterek!$K$113),IF($D$4="Forint",Paraméterek!$J$113,Paraméterek!$K$113),IF(IF(ISBLANK($AW232),$AV232,$AW232)*Paraméterek!$J$112&gt;IF($D$4="Forint",Paraméterek!$J$114,Paraméterek!$K$114),IF($D$4="Forint",Paraméterek!$J$114,Paraméterek!$K$114),IF(ISBLANK($AW232),$AV232,$AW232)*Paraméterek!$J$112))),IF($D$4="Forint",0,2))</f>
        <v>0</v>
      </c>
      <c r="AY232" s="13">
        <f>$AR232+$AT232-$AU232-IF(ROUNDDOWN(IF(ISBLANK($AW232),$AV232,$AW232),IF($D$4="Forint",0,2))&gt;$AR232+$AT232-$AU232-IF($D$4="Forint",Paraméterek!$J$114,Paraméterek!$K$114),0,ROUNDDOWN(IF(ISBLANK($AW232),$AV232,$AW232),IF($D$4="Forint",0,2))-$AX232)</f>
        <v>0</v>
      </c>
      <c r="AZ232" s="13">
        <f t="shared" si="54"/>
        <v>0</v>
      </c>
    </row>
    <row r="233" spans="1:52" x14ac:dyDescent="0.2">
      <c r="A233" s="32">
        <v>214</v>
      </c>
      <c r="B233" s="32">
        <v>18</v>
      </c>
      <c r="C233" s="32">
        <v>10</v>
      </c>
      <c r="D233" s="13">
        <f t="shared" si="45"/>
        <v>0</v>
      </c>
      <c r="E233" s="13"/>
      <c r="F233" s="13"/>
      <c r="G233" s="13"/>
      <c r="H233" s="13">
        <f t="shared" si="46"/>
        <v>0</v>
      </c>
      <c r="I233" s="13">
        <f t="shared" si="47"/>
        <v>0</v>
      </c>
      <c r="J233" s="13">
        <f t="shared" si="48"/>
        <v>0</v>
      </c>
      <c r="K233" s="13">
        <f>ROUNDUP(IF($D$2="Egyszeri",$D233,IF($D$2="Havi",SUM($D$20:$D$31),IF(MOD($C233,$M$1)-1=0,SUM($D$20:$D$31),0))/12*$M$1)*VLOOKUP($B233,Paraméterek!$B$27:$D$30,IF($D$2="Egyszeri",3,2)),IF($D$4="Forint",0,2))</f>
        <v>0</v>
      </c>
      <c r="L233" s="13">
        <f t="shared" si="49"/>
        <v>0</v>
      </c>
      <c r="M233" s="13">
        <f t="shared" ca="1" si="55"/>
        <v>-120974</v>
      </c>
      <c r="N233" s="13">
        <f ca="1">IF($V232&gt;=VLOOKUP($M$4-1+$B233,Paraméterek!$B$121:$D$122,IF($D$4="Forint",2,3)),0,VLOOKUP($M$4-1+$B233,Paraméterek!$B$121:$D$122,IF($D$4="Forint",2,3))-$V232)</f>
        <v>130974</v>
      </c>
      <c r="O233" s="13">
        <f ca="1">ROUNDUP($N233*Paraméterek!$C$58/Paraméterek!$C$56,IF($D$4="Forint",0,2))</f>
        <v>21</v>
      </c>
      <c r="P233" s="13">
        <f t="shared" si="50"/>
        <v>910</v>
      </c>
      <c r="Q233" s="33"/>
      <c r="R233" s="13">
        <f t="shared" ca="1" si="51"/>
        <v>0</v>
      </c>
      <c r="S233" s="13">
        <f ca="1">ROUNDUP(($M233-$O233-$P233+$R233)*VLOOKUP($B233,Paraméterek!$B$38:$D$39,IF($D$2="Egyszeri",3,2))/12,IF($D$4="Forint",0,2))</f>
        <v>-298</v>
      </c>
      <c r="T233" s="13"/>
      <c r="U233" s="13"/>
      <c r="V233" s="13">
        <f ca="1">$M233-$O233-$P233+$R233-$S233-IF(ROUNDUP(IF(ISBLANK($U233),$T233,$U233)/IF(AND($B233=1,$D$2&lt;&gt;"Egyszeri"),1,VLOOKUP($B233+IF($C233=12,1,0),Paraméterek!$B$257:$D$267,IF($D$2="Egyszeri",3,2))),IF($D$4="Forint",0,2))&gt;$M233-$O233-$P233+$R233-$S233-IF($D$4="Forint",Paraméterek!$C$216,Paraméterek!$D$216),0,ROUNDUP(IF(ISBLANK($U233),$T233,$U233)/IF(AND($B233=1,$D$2&lt;&gt;"Egyszeri"),1,VLOOKUP($B233+IF($C233=12,1,0),Paraméterek!$B$257:$D$267,IF($D$2="Egyszeri",3,2))),IF($D$4="Forint",0,2)))</f>
        <v>-121607</v>
      </c>
      <c r="W233" s="13">
        <f ca="1">ROUNDDOWN($V233*VLOOKUP($B233+IF($C233=12,1,0),Paraméterek!$B$257:$D$267,IF($D$2="Egyszeri",3,2)),IF($D$4="Forint",0,2))</f>
        <v>-121607</v>
      </c>
      <c r="Y233" s="32">
        <v>214</v>
      </c>
      <c r="Z233" s="32">
        <v>18</v>
      </c>
      <c r="AA233" s="32">
        <v>10</v>
      </c>
      <c r="AB233" s="13">
        <f t="shared" si="56"/>
        <v>0</v>
      </c>
      <c r="AC233" s="33"/>
      <c r="AD233" s="13">
        <f t="shared" si="52"/>
        <v>0</v>
      </c>
      <c r="AE233" s="13">
        <f>ROUNDUP(($AB233+$AD233)*VLOOKUP($Z233,Paraméterek!$P$38:$Q$38,2)/12,IF($D$4="Forint",0,2))</f>
        <v>0</v>
      </c>
      <c r="AF233" s="13">
        <f>IF($D$2="Egyszeri",IF($D$7&gt;=IF($D$4="Forint",Paraméterek!$P$223,Paraméterek!$P$224),$D$7-IF($D$4="Forint",Paraméterek!$F$223,Paraméterek!$F$224),0),MIN(IF($AA233=12,AVERAGE($D$20:$D233)*12,0),SUM($D$20:$D$31)))</f>
        <v>0</v>
      </c>
      <c r="AG233" s="13">
        <f>IF(AND($Z233&gt;=10,MOD($Z233,5)=0),$AF233*IF($AA233=12,VLOOKUP($Z233,Paraméterek!$B$225:$F$240,IF($AF233&lt;IF($D$4="Forint",Paraméterek!$C$223,Paraméterek!$C$224),2,IF($AF233&lt;IF($D$4="Forint",Paraméterek!$D$223,Paraméterek!$D$224),3,4))),0),0)</f>
        <v>0</v>
      </c>
      <c r="AH233" s="13">
        <f>IF(AND($Z233&gt;=5,MOD($Z233,5)=0),IF($AA233=12,VLOOKUP($Z233,Paraméterek!$B$225:$F$240,5),0),IF(OR($Z233=3,$Z233=4),IF($AA233=12,VLOOKUP($Z233,Paraméterek!$B$225:$F$240,5,0),0),0))*$AF233</f>
        <v>0</v>
      </c>
      <c r="AI233" s="13">
        <f>ROUNDDOWN(IF(SUM($T$20:$U233)=0,IF($D$2="Egyszeri",$AH233,$AG233),0),IF($D$4="Forint",0,2))</f>
        <v>0</v>
      </c>
      <c r="AJ233" s="13">
        <f t="shared" si="57"/>
        <v>0</v>
      </c>
      <c r="AK233" s="13">
        <f t="shared" si="58"/>
        <v>0</v>
      </c>
      <c r="AM233" s="32">
        <v>214</v>
      </c>
      <c r="AN233" s="32">
        <v>18</v>
      </c>
      <c r="AO233" s="32">
        <v>10</v>
      </c>
      <c r="AP233" s="13"/>
      <c r="AQ233" s="32"/>
      <c r="AR233" s="13">
        <f t="shared" si="59"/>
        <v>0</v>
      </c>
      <c r="AS233" s="33"/>
      <c r="AT233" s="13">
        <f t="shared" si="53"/>
        <v>0</v>
      </c>
      <c r="AU233" s="13">
        <f>ROUNDUP(($AR233+$AT233)*VLOOKUP($AN233,Paraméterek!$P$38:$Q$38,2)/12,IF($D$4="Forint",0,2))</f>
        <v>0</v>
      </c>
      <c r="AV233" s="13"/>
      <c r="AW233" s="13"/>
      <c r="AX233" s="13">
        <f>ROUNDUP(IF(SUM($AV233:$AW233)=0,0,IF(IF(ISBLANK($AW233),$AV233,$AW233)*Paraméterek!$J$112&lt;IF($D$4="Forint",Paraméterek!$J$113,Paraméterek!$K$113),IF($D$4="Forint",Paraméterek!$J$113,Paraméterek!$K$113),IF(IF(ISBLANK($AW233),$AV233,$AW233)*Paraméterek!$J$112&gt;IF($D$4="Forint",Paraméterek!$J$114,Paraméterek!$K$114),IF($D$4="Forint",Paraméterek!$J$114,Paraméterek!$K$114),IF(ISBLANK($AW233),$AV233,$AW233)*Paraméterek!$J$112))),IF($D$4="Forint",0,2))</f>
        <v>0</v>
      </c>
      <c r="AY233" s="13">
        <f>$AR233+$AT233-$AU233-IF(ROUNDDOWN(IF(ISBLANK($AW233),$AV233,$AW233),IF($D$4="Forint",0,2))&gt;$AR233+$AT233-$AU233-IF($D$4="Forint",Paraméterek!$J$114,Paraméterek!$K$114),0,ROUNDDOWN(IF(ISBLANK($AW233),$AV233,$AW233),IF($D$4="Forint",0,2))-$AX233)</f>
        <v>0</v>
      </c>
      <c r="AZ233" s="13">
        <f t="shared" si="54"/>
        <v>0</v>
      </c>
    </row>
    <row r="234" spans="1:52" x14ac:dyDescent="0.2">
      <c r="A234" s="32">
        <v>215</v>
      </c>
      <c r="B234" s="32">
        <v>18</v>
      </c>
      <c r="C234" s="32">
        <v>11</v>
      </c>
      <c r="D234" s="13">
        <f t="shared" si="45"/>
        <v>0</v>
      </c>
      <c r="E234" s="13"/>
      <c r="F234" s="13"/>
      <c r="G234" s="13"/>
      <c r="H234" s="13">
        <f t="shared" si="46"/>
        <v>0</v>
      </c>
      <c r="I234" s="13">
        <f t="shared" si="47"/>
        <v>0</v>
      </c>
      <c r="J234" s="13">
        <f t="shared" si="48"/>
        <v>0</v>
      </c>
      <c r="K234" s="13">
        <f>ROUNDUP(IF($D$2="Egyszeri",$D234,IF($D$2="Havi",SUM($D$20:$D$31),IF(MOD($C234,$M$1)-1=0,SUM($D$20:$D$31),0))/12*$M$1)*VLOOKUP($B234,Paraméterek!$B$27:$D$30,IF($D$2="Egyszeri",3,2)),IF($D$4="Forint",0,2))</f>
        <v>0</v>
      </c>
      <c r="L234" s="13">
        <f t="shared" si="49"/>
        <v>0</v>
      </c>
      <c r="M234" s="13">
        <f t="shared" ca="1" si="55"/>
        <v>-121607</v>
      </c>
      <c r="N234" s="13">
        <f ca="1">IF($V233&gt;=VLOOKUP($M$4-1+$B234,Paraméterek!$B$121:$D$122,IF($D$4="Forint",2,3)),0,VLOOKUP($M$4-1+$B234,Paraméterek!$B$121:$D$122,IF($D$4="Forint",2,3))-$V233)</f>
        <v>131607</v>
      </c>
      <c r="O234" s="13">
        <f ca="1">ROUNDUP($N234*Paraméterek!$C$58/Paraméterek!$C$56,IF($D$4="Forint",0,2))</f>
        <v>21</v>
      </c>
      <c r="P234" s="13">
        <f t="shared" si="50"/>
        <v>910</v>
      </c>
      <c r="Q234" s="33"/>
      <c r="R234" s="13">
        <f t="shared" ca="1" si="51"/>
        <v>0</v>
      </c>
      <c r="S234" s="13">
        <f ca="1">ROUNDUP(($M234-$O234-$P234+$R234)*VLOOKUP($B234,Paraméterek!$B$38:$D$39,IF($D$2="Egyszeri",3,2))/12,IF($D$4="Forint",0,2))</f>
        <v>-300</v>
      </c>
      <c r="T234" s="13"/>
      <c r="U234" s="13"/>
      <c r="V234" s="13">
        <f ca="1">$M234-$O234-$P234+$R234-$S234-IF(ROUNDUP(IF(ISBLANK($U234),$T234,$U234)/IF(AND($B234=1,$D$2&lt;&gt;"Egyszeri"),1,VLOOKUP($B234+IF($C234=12,1,0),Paraméterek!$B$257:$D$267,IF($D$2="Egyszeri",3,2))),IF($D$4="Forint",0,2))&gt;$M234-$O234-$P234+$R234-$S234-IF($D$4="Forint",Paraméterek!$C$216,Paraméterek!$D$216),0,ROUNDUP(IF(ISBLANK($U234),$T234,$U234)/IF(AND($B234=1,$D$2&lt;&gt;"Egyszeri"),1,VLOOKUP($B234+IF($C234=12,1,0),Paraméterek!$B$257:$D$267,IF($D$2="Egyszeri",3,2))),IF($D$4="Forint",0,2)))</f>
        <v>-122238</v>
      </c>
      <c r="W234" s="13">
        <f ca="1">ROUNDDOWN($V234*VLOOKUP($B234+IF($C234=12,1,0),Paraméterek!$B$257:$D$267,IF($D$2="Egyszeri",3,2)),IF($D$4="Forint",0,2))</f>
        <v>-122238</v>
      </c>
      <c r="Y234" s="32">
        <v>215</v>
      </c>
      <c r="Z234" s="32">
        <v>18</v>
      </c>
      <c r="AA234" s="32">
        <v>11</v>
      </c>
      <c r="AB234" s="13">
        <f t="shared" si="56"/>
        <v>0</v>
      </c>
      <c r="AC234" s="33"/>
      <c r="AD234" s="13">
        <f t="shared" si="52"/>
        <v>0</v>
      </c>
      <c r="AE234" s="13">
        <f>ROUNDUP(($AB234+$AD234)*VLOOKUP($Z234,Paraméterek!$P$38:$Q$38,2)/12,IF($D$4="Forint",0,2))</f>
        <v>0</v>
      </c>
      <c r="AF234" s="13">
        <f>IF($D$2="Egyszeri",IF($D$7&gt;=IF($D$4="Forint",Paraméterek!$P$223,Paraméterek!$P$224),$D$7-IF($D$4="Forint",Paraméterek!$F$223,Paraméterek!$F$224),0),MIN(IF($AA234=12,AVERAGE($D$20:$D234)*12,0),SUM($D$20:$D$31)))</f>
        <v>0</v>
      </c>
      <c r="AG234" s="13">
        <f>IF(AND($Z234&gt;=10,MOD($Z234,5)=0),$AF234*IF($AA234=12,VLOOKUP($Z234,Paraméterek!$B$225:$F$240,IF($AF234&lt;IF($D$4="Forint",Paraméterek!$C$223,Paraméterek!$C$224),2,IF($AF234&lt;IF($D$4="Forint",Paraméterek!$D$223,Paraméterek!$D$224),3,4))),0),0)</f>
        <v>0</v>
      </c>
      <c r="AH234" s="13">
        <f>IF(AND($Z234&gt;=5,MOD($Z234,5)=0),IF($AA234=12,VLOOKUP($Z234,Paraméterek!$B$225:$F$240,5),0),IF(OR($Z234=3,$Z234=4),IF($AA234=12,VLOOKUP($Z234,Paraméterek!$B$225:$F$240,5,0),0),0))*$AF234</f>
        <v>0</v>
      </c>
      <c r="AI234" s="13">
        <f>ROUNDDOWN(IF(SUM($T$20:$U234)=0,IF($D$2="Egyszeri",$AH234,$AG234),0),IF($D$4="Forint",0,2))</f>
        <v>0</v>
      </c>
      <c r="AJ234" s="13">
        <f t="shared" si="57"/>
        <v>0</v>
      </c>
      <c r="AK234" s="13">
        <f t="shared" si="58"/>
        <v>0</v>
      </c>
      <c r="AM234" s="32">
        <v>215</v>
      </c>
      <c r="AN234" s="32">
        <v>18</v>
      </c>
      <c r="AO234" s="32">
        <v>11</v>
      </c>
      <c r="AP234" s="13"/>
      <c r="AQ234" s="32"/>
      <c r="AR234" s="13">
        <f t="shared" si="59"/>
        <v>0</v>
      </c>
      <c r="AS234" s="33"/>
      <c r="AT234" s="13">
        <f t="shared" si="53"/>
        <v>0</v>
      </c>
      <c r="AU234" s="13">
        <f>ROUNDUP(($AR234+$AT234)*VLOOKUP($AN234,Paraméterek!$P$38:$Q$38,2)/12,IF($D$4="Forint",0,2))</f>
        <v>0</v>
      </c>
      <c r="AV234" s="13"/>
      <c r="AW234" s="13"/>
      <c r="AX234" s="13">
        <f>ROUNDUP(IF(SUM($AV234:$AW234)=0,0,IF(IF(ISBLANK($AW234),$AV234,$AW234)*Paraméterek!$J$112&lt;IF($D$4="Forint",Paraméterek!$J$113,Paraméterek!$K$113),IF($D$4="Forint",Paraméterek!$J$113,Paraméterek!$K$113),IF(IF(ISBLANK($AW234),$AV234,$AW234)*Paraméterek!$J$112&gt;IF($D$4="Forint",Paraméterek!$J$114,Paraméterek!$K$114),IF($D$4="Forint",Paraméterek!$J$114,Paraméterek!$K$114),IF(ISBLANK($AW234),$AV234,$AW234)*Paraméterek!$J$112))),IF($D$4="Forint",0,2))</f>
        <v>0</v>
      </c>
      <c r="AY234" s="13">
        <f>$AR234+$AT234-$AU234-IF(ROUNDDOWN(IF(ISBLANK($AW234),$AV234,$AW234),IF($D$4="Forint",0,2))&gt;$AR234+$AT234-$AU234-IF($D$4="Forint",Paraméterek!$J$114,Paraméterek!$K$114),0,ROUNDDOWN(IF(ISBLANK($AW234),$AV234,$AW234),IF($D$4="Forint",0,2))-$AX234)</f>
        <v>0</v>
      </c>
      <c r="AZ234" s="13">
        <f t="shared" si="54"/>
        <v>0</v>
      </c>
    </row>
    <row r="235" spans="1:52" x14ac:dyDescent="0.2">
      <c r="A235" s="32">
        <v>216</v>
      </c>
      <c r="B235" s="32">
        <v>18</v>
      </c>
      <c r="C235" s="32">
        <v>12</v>
      </c>
      <c r="D235" s="13">
        <f t="shared" si="45"/>
        <v>0</v>
      </c>
      <c r="E235" s="13"/>
      <c r="F235" s="13"/>
      <c r="G235" s="13"/>
      <c r="H235" s="13">
        <f t="shared" si="46"/>
        <v>0</v>
      </c>
      <c r="I235" s="13">
        <f t="shared" si="47"/>
        <v>0</v>
      </c>
      <c r="J235" s="13">
        <f t="shared" si="48"/>
        <v>0</v>
      </c>
      <c r="K235" s="13">
        <f>ROUNDUP(IF($D$2="Egyszeri",$D235,IF($D$2="Havi",SUM($D$20:$D$31),IF(MOD($C235,$M$1)-1=0,SUM($D$20:$D$31),0))/12*$M$1)*VLOOKUP($B235,Paraméterek!$B$27:$D$30,IF($D$2="Egyszeri",3,2)),IF($D$4="Forint",0,2))</f>
        <v>0</v>
      </c>
      <c r="L235" s="13">
        <f t="shared" si="49"/>
        <v>0</v>
      </c>
      <c r="M235" s="13">
        <f t="shared" ca="1" si="55"/>
        <v>-122238</v>
      </c>
      <c r="N235" s="13">
        <f ca="1">IF($V234&gt;=VLOOKUP($M$4-1+$B235,Paraméterek!$B$121:$D$122,IF($D$4="Forint",2,3)),0,VLOOKUP($M$4-1+$B235,Paraméterek!$B$121:$D$122,IF($D$4="Forint",2,3))-$V234)</f>
        <v>132238</v>
      </c>
      <c r="O235" s="13">
        <f ca="1">ROUNDUP($N235*Paraméterek!$C$58/Paraméterek!$C$56,IF($D$4="Forint",0,2))</f>
        <v>22</v>
      </c>
      <c r="P235" s="13">
        <f t="shared" si="50"/>
        <v>910</v>
      </c>
      <c r="Q235" s="33"/>
      <c r="R235" s="13">
        <f t="shared" ca="1" si="51"/>
        <v>0</v>
      </c>
      <c r="S235" s="13">
        <f ca="1">ROUNDUP(($M235-$O235-$P235+$R235)*VLOOKUP($B235,Paraméterek!$B$38:$D$39,IF($D$2="Egyszeri",3,2))/12,IF($D$4="Forint",0,2))</f>
        <v>-301</v>
      </c>
      <c r="T235" s="13">
        <f>Tranzakciók!$F$49</f>
        <v>0</v>
      </c>
      <c r="U235" s="13"/>
      <c r="V235" s="13">
        <f ca="1">$M235-$O235-$P235+$R235-$S235-IF(ROUNDUP(IF(ISBLANK($U235),$T235,$U235)/IF(AND($B235=1,$D$2&lt;&gt;"Egyszeri"),1,VLOOKUP($B235+IF($C235=12,1,0),Paraméterek!$B$257:$D$267,IF($D$2="Egyszeri",3,2))),IF($D$4="Forint",0,2))&gt;$M235-$O235-$P235+$R235-$S235-IF($D$4="Forint",Paraméterek!$C$216,Paraméterek!$D$216),0,ROUNDUP(IF(ISBLANK($U235),$T235,$U235)/IF(AND($B235=1,$D$2&lt;&gt;"Egyszeri"),1,VLOOKUP($B235+IF($C235=12,1,0),Paraméterek!$B$257:$D$267,IF($D$2="Egyszeri",3,2))),IF($D$4="Forint",0,2)))</f>
        <v>-122869</v>
      </c>
      <c r="W235" s="13">
        <f ca="1">ROUNDDOWN($V235*VLOOKUP($B235+IF($C235=12,1,0),Paraméterek!$B$257:$D$267,IF($D$2="Egyszeri",3,2)),IF($D$4="Forint",0,2))</f>
        <v>-122869</v>
      </c>
      <c r="Y235" s="32">
        <v>216</v>
      </c>
      <c r="Z235" s="32">
        <v>18</v>
      </c>
      <c r="AA235" s="32">
        <v>12</v>
      </c>
      <c r="AB235" s="13">
        <f t="shared" si="56"/>
        <v>0</v>
      </c>
      <c r="AC235" s="33"/>
      <c r="AD235" s="13">
        <f t="shared" si="52"/>
        <v>0</v>
      </c>
      <c r="AE235" s="13">
        <f>ROUNDUP(($AB235+$AD235)*VLOOKUP($Z235,Paraméterek!$P$38:$Q$38,2)/12,IF($D$4="Forint",0,2))</f>
        <v>0</v>
      </c>
      <c r="AF235" s="13">
        <f>IF($D$2="Egyszeri",IF($D$7&gt;=IF($D$4="Forint",Paraméterek!$P$223,Paraméterek!$P$224),$D$7-IF($D$4="Forint",Paraméterek!$F$223,Paraméterek!$F$224),0),MIN(IF($AA235=12,AVERAGE($D$20:$D235)*12,0),SUM($D$20:$D$31)))</f>
        <v>0</v>
      </c>
      <c r="AG235" s="13">
        <f>IF(AND($Z235&gt;=10,MOD($Z235,5)=0),$AF235*IF($AA235=12,VLOOKUP($Z235,Paraméterek!$B$225:$F$240,IF($AF235&lt;IF($D$4="Forint",Paraméterek!$C$223,Paraméterek!$C$224),2,IF($AF235&lt;IF($D$4="Forint",Paraméterek!$D$223,Paraméterek!$D$224),3,4))),0),0)</f>
        <v>0</v>
      </c>
      <c r="AH235" s="13">
        <f>IF(AND($Z235&gt;=5,MOD($Z235,5)=0),IF($AA235=12,VLOOKUP($Z235,Paraméterek!$B$225:$F$240,5),0),IF(OR($Z235=3,$Z235=4),IF($AA235=12,VLOOKUP($Z235,Paraméterek!$B$225:$F$240,5,0),0),0))*$AF235</f>
        <v>0</v>
      </c>
      <c r="AI235" s="13">
        <f>ROUNDDOWN(IF(SUM($T$20:$U235)=0,IF($D$2="Egyszeri",$AH235,$AG235),0),IF($D$4="Forint",0,2))</f>
        <v>0</v>
      </c>
      <c r="AJ235" s="13">
        <f t="shared" si="57"/>
        <v>0</v>
      </c>
      <c r="AK235" s="13">
        <f t="shared" si="58"/>
        <v>0</v>
      </c>
      <c r="AM235" s="32">
        <v>216</v>
      </c>
      <c r="AN235" s="32">
        <v>18</v>
      </c>
      <c r="AO235" s="32">
        <v>12</v>
      </c>
      <c r="AP235" s="13"/>
      <c r="AQ235" s="32"/>
      <c r="AR235" s="13">
        <f t="shared" si="59"/>
        <v>0</v>
      </c>
      <c r="AS235" s="33"/>
      <c r="AT235" s="13">
        <f t="shared" si="53"/>
        <v>0</v>
      </c>
      <c r="AU235" s="13">
        <f>ROUNDUP(($AR235+$AT235)*VLOOKUP($AN235,Paraméterek!$P$38:$Q$38,2)/12,IF($D$4="Forint",0,2))</f>
        <v>0</v>
      </c>
      <c r="AV235" s="13">
        <f>Tranzakciók!$M$49</f>
        <v>0</v>
      </c>
      <c r="AW235" s="13"/>
      <c r="AX235" s="13">
        <f>ROUNDUP(IF(SUM($AV235:$AW235)=0,0,IF(IF(ISBLANK($AW235),$AV235,$AW235)*Paraméterek!$J$112&lt;IF($D$4="Forint",Paraméterek!$J$113,Paraméterek!$K$113),IF($D$4="Forint",Paraméterek!$J$113,Paraméterek!$K$113),IF(IF(ISBLANK($AW235),$AV235,$AW235)*Paraméterek!$J$112&gt;IF($D$4="Forint",Paraméterek!$J$114,Paraméterek!$K$114),IF($D$4="Forint",Paraméterek!$J$114,Paraméterek!$K$114),IF(ISBLANK($AW235),$AV235,$AW235)*Paraméterek!$J$112))),IF($D$4="Forint",0,2))</f>
        <v>0</v>
      </c>
      <c r="AY235" s="13">
        <f>$AR235+$AT235-$AU235-IF(ROUNDDOWN(IF(ISBLANK($AW235),$AV235,$AW235),IF($D$4="Forint",0,2))&gt;$AR235+$AT235-$AU235-IF($D$4="Forint",Paraméterek!$J$114,Paraméterek!$K$114),0,ROUNDDOWN(IF(ISBLANK($AW235),$AV235,$AW235),IF($D$4="Forint",0,2))-$AX235)</f>
        <v>0</v>
      </c>
      <c r="AZ235" s="13">
        <f t="shared" si="54"/>
        <v>0</v>
      </c>
    </row>
    <row r="236" spans="1:52" x14ac:dyDescent="0.2">
      <c r="A236" s="32">
        <v>217</v>
      </c>
      <c r="B236" s="32">
        <v>19</v>
      </c>
      <c r="C236" s="32">
        <v>1</v>
      </c>
      <c r="D236" s="13">
        <f t="shared" si="45"/>
        <v>0</v>
      </c>
      <c r="E236" s="13"/>
      <c r="F236" s="13">
        <f>Tranzakciók!$D$50</f>
        <v>0</v>
      </c>
      <c r="G236" s="13"/>
      <c r="H236" s="13">
        <f t="shared" si="46"/>
        <v>0</v>
      </c>
      <c r="I236" s="13">
        <f t="shared" si="47"/>
        <v>171</v>
      </c>
      <c r="J236" s="13">
        <f t="shared" si="48"/>
        <v>171</v>
      </c>
      <c r="K236" s="13">
        <f>ROUNDUP(IF($D$2="Egyszeri",$D236,IF($D$2="Havi",SUM($D$20:$D$31),IF(MOD($C236,$M$1)-1=0,SUM($D$20:$D$31),0))/12*$M$1)*VLOOKUP($B236,Paraméterek!$B$27:$D$30,IF($D$2="Egyszeri",3,2)),IF($D$4="Forint",0,2))</f>
        <v>0</v>
      </c>
      <c r="L236" s="13">
        <f t="shared" si="49"/>
        <v>0</v>
      </c>
      <c r="M236" s="13">
        <f t="shared" ca="1" si="55"/>
        <v>-122869</v>
      </c>
      <c r="N236" s="13">
        <f ca="1">IF($V235&gt;=VLOOKUP($M$4-1+$B236,Paraméterek!$B$121:$D$122,IF($D$4="Forint",2,3)),0,VLOOKUP($M$4-1+$B236,Paraméterek!$B$121:$D$122,IF($D$4="Forint",2,3))-$V235)</f>
        <v>132869</v>
      </c>
      <c r="O236" s="13">
        <f ca="1">ROUNDUP($N236*Paraméterek!$C$58/Paraméterek!$C$56,IF($D$4="Forint",0,2))</f>
        <v>22</v>
      </c>
      <c r="P236" s="13">
        <f t="shared" si="50"/>
        <v>937</v>
      </c>
      <c r="Q236" s="33"/>
      <c r="R236" s="13">
        <f t="shared" ca="1" si="51"/>
        <v>0</v>
      </c>
      <c r="S236" s="13">
        <f ca="1">ROUNDUP(($M236-$O236-$P236+$R236)*VLOOKUP($B236,Paraméterek!$B$38:$D$39,IF($D$2="Egyszeri",3,2))/12,IF($D$4="Forint",0,2))</f>
        <v>-303</v>
      </c>
      <c r="T236" s="13"/>
      <c r="U236" s="13"/>
      <c r="V236" s="13">
        <f ca="1">$M236-$O236-$P236+$R236-$S236-IF(ROUNDUP(IF(ISBLANK($U236),$T236,$U236)/IF(AND($B236=1,$D$2&lt;&gt;"Egyszeri"),1,VLOOKUP($B236+IF($C236=12,1,0),Paraméterek!$B$257:$D$267,IF($D$2="Egyszeri",3,2))),IF($D$4="Forint",0,2))&gt;$M236-$O236-$P236+$R236-$S236-IF($D$4="Forint",Paraméterek!$C$216,Paraméterek!$D$216),0,ROUNDUP(IF(ISBLANK($U236),$T236,$U236)/IF(AND($B236=1,$D$2&lt;&gt;"Egyszeri"),1,VLOOKUP($B236+IF($C236=12,1,0),Paraméterek!$B$257:$D$267,IF($D$2="Egyszeri",3,2))),IF($D$4="Forint",0,2)))</f>
        <v>-123525</v>
      </c>
      <c r="W236" s="13">
        <f ca="1">ROUNDDOWN($V236*VLOOKUP($B236+IF($C236=12,1,0),Paraméterek!$B$257:$D$267,IF($D$2="Egyszeri",3,2)),IF($D$4="Forint",0,2))</f>
        <v>-123525</v>
      </c>
      <c r="Y236" s="32">
        <v>217</v>
      </c>
      <c r="Z236" s="32">
        <v>19</v>
      </c>
      <c r="AA236" s="32">
        <v>1</v>
      </c>
      <c r="AB236" s="13">
        <f t="shared" si="56"/>
        <v>0</v>
      </c>
      <c r="AC236" s="33"/>
      <c r="AD236" s="13">
        <f t="shared" si="52"/>
        <v>0</v>
      </c>
      <c r="AE236" s="13">
        <f>ROUNDUP(($AB236+$AD236)*VLOOKUP($Z236,Paraméterek!$P$38:$Q$38,2)/12,IF($D$4="Forint",0,2))</f>
        <v>0</v>
      </c>
      <c r="AF236" s="13">
        <f>IF($D$2="Egyszeri",IF($D$7&gt;=IF($D$4="Forint",Paraméterek!$P$223,Paraméterek!$P$224),$D$7-IF($D$4="Forint",Paraméterek!$F$223,Paraméterek!$F$224),0),MIN(IF($AA236=12,AVERAGE($D$20:$D236)*12,0),SUM($D$20:$D$31)))</f>
        <v>0</v>
      </c>
      <c r="AG236" s="13">
        <f>IF(AND($Z236&gt;=10,MOD($Z236,5)=0),$AF236*IF($AA236=12,VLOOKUP($Z236,Paraméterek!$B$225:$F$240,IF($AF236&lt;IF($D$4="Forint",Paraméterek!$C$223,Paraméterek!$C$224),2,IF($AF236&lt;IF($D$4="Forint",Paraméterek!$D$223,Paraméterek!$D$224),3,4))),0),0)</f>
        <v>0</v>
      </c>
      <c r="AH236" s="13">
        <f>IF(AND($Z236&gt;=5,MOD($Z236,5)=0),IF($AA236=12,VLOOKUP($Z236,Paraméterek!$B$225:$F$240,5),0),IF(OR($Z236=3,$Z236=4),IF($AA236=12,VLOOKUP($Z236,Paraméterek!$B$225:$F$240,5,0),0),0))*$AF236</f>
        <v>0</v>
      </c>
      <c r="AI236" s="13">
        <f>ROUNDDOWN(IF(SUM($T$20:$U236)=0,IF($D$2="Egyszeri",$AH236,$AG236),0),IF($D$4="Forint",0,2))</f>
        <v>0</v>
      </c>
      <c r="AJ236" s="13">
        <f t="shared" si="57"/>
        <v>0</v>
      </c>
      <c r="AK236" s="13">
        <f t="shared" si="58"/>
        <v>0</v>
      </c>
      <c r="AM236" s="32">
        <v>217</v>
      </c>
      <c r="AN236" s="32">
        <v>19</v>
      </c>
      <c r="AO236" s="32">
        <v>1</v>
      </c>
      <c r="AP236" s="13">
        <f>Tranzakciók!$K$50</f>
        <v>0</v>
      </c>
      <c r="AQ236" s="32"/>
      <c r="AR236" s="13">
        <f t="shared" si="59"/>
        <v>0</v>
      </c>
      <c r="AS236" s="33"/>
      <c r="AT236" s="13">
        <f t="shared" si="53"/>
        <v>0</v>
      </c>
      <c r="AU236" s="13">
        <f>ROUNDUP(($AR236+$AT236)*VLOOKUP($AN236,Paraméterek!$P$38:$Q$38,2)/12,IF($D$4="Forint",0,2))</f>
        <v>0</v>
      </c>
      <c r="AV236" s="13"/>
      <c r="AW236" s="13"/>
      <c r="AX236" s="13">
        <f>ROUNDUP(IF(SUM($AV236:$AW236)=0,0,IF(IF(ISBLANK($AW236),$AV236,$AW236)*Paraméterek!$J$112&lt;IF($D$4="Forint",Paraméterek!$J$113,Paraméterek!$K$113),IF($D$4="Forint",Paraméterek!$J$113,Paraméterek!$K$113),IF(IF(ISBLANK($AW236),$AV236,$AW236)*Paraméterek!$J$112&gt;IF($D$4="Forint",Paraméterek!$J$114,Paraméterek!$K$114),IF($D$4="Forint",Paraméterek!$J$114,Paraméterek!$K$114),IF(ISBLANK($AW236),$AV236,$AW236)*Paraméterek!$J$112))),IF($D$4="Forint",0,2))</f>
        <v>0</v>
      </c>
      <c r="AY236" s="13">
        <f>$AR236+$AT236-$AU236-IF(ROUNDDOWN(IF(ISBLANK($AW236),$AV236,$AW236),IF($D$4="Forint",0,2))&gt;$AR236+$AT236-$AU236-IF($D$4="Forint",Paraméterek!$J$114,Paraméterek!$K$114),0,ROUNDDOWN(IF(ISBLANK($AW236),$AV236,$AW236),IF($D$4="Forint",0,2))-$AX236)</f>
        <v>0</v>
      </c>
      <c r="AZ236" s="13">
        <f t="shared" si="54"/>
        <v>0</v>
      </c>
    </row>
    <row r="237" spans="1:52" x14ac:dyDescent="0.2">
      <c r="A237" s="32">
        <v>218</v>
      </c>
      <c r="B237" s="32">
        <v>19</v>
      </c>
      <c r="C237" s="32">
        <v>2</v>
      </c>
      <c r="D237" s="13">
        <f t="shared" si="45"/>
        <v>0</v>
      </c>
      <c r="E237" s="13"/>
      <c r="F237" s="13"/>
      <c r="G237" s="13"/>
      <c r="H237" s="13">
        <f t="shared" si="46"/>
        <v>0</v>
      </c>
      <c r="I237" s="13">
        <f t="shared" si="47"/>
        <v>0</v>
      </c>
      <c r="J237" s="13">
        <f t="shared" si="48"/>
        <v>0</v>
      </c>
      <c r="K237" s="13">
        <f>ROUNDUP(IF($D$2="Egyszeri",$D237,IF($D$2="Havi",SUM($D$20:$D$31),IF(MOD($C237,$M$1)-1=0,SUM($D$20:$D$31),0))/12*$M$1)*VLOOKUP($B237,Paraméterek!$B$27:$D$30,IF($D$2="Egyszeri",3,2)),IF($D$4="Forint",0,2))</f>
        <v>0</v>
      </c>
      <c r="L237" s="13">
        <f t="shared" si="49"/>
        <v>0</v>
      </c>
      <c r="M237" s="13">
        <f t="shared" ca="1" si="55"/>
        <v>-123525</v>
      </c>
      <c r="N237" s="13">
        <f ca="1">IF($V236&gt;=VLOOKUP($M$4-1+$B237,Paraméterek!$B$121:$D$122,IF($D$4="Forint",2,3)),0,VLOOKUP($M$4-1+$B237,Paraméterek!$B$121:$D$122,IF($D$4="Forint",2,3))-$V236)</f>
        <v>133525</v>
      </c>
      <c r="O237" s="13">
        <f ca="1">ROUNDUP($N237*Paraméterek!$C$58/Paraméterek!$C$56,IF($D$4="Forint",0,2))</f>
        <v>22</v>
      </c>
      <c r="P237" s="13">
        <f t="shared" si="50"/>
        <v>937</v>
      </c>
      <c r="Q237" s="33"/>
      <c r="R237" s="13">
        <f t="shared" ca="1" si="51"/>
        <v>0</v>
      </c>
      <c r="S237" s="13">
        <f ca="1">ROUNDUP(($M237-$O237-$P237+$R237)*VLOOKUP($B237,Paraméterek!$B$38:$D$39,IF($D$2="Egyszeri",3,2))/12,IF($D$4="Forint",0,2))</f>
        <v>-304</v>
      </c>
      <c r="T237" s="13"/>
      <c r="U237" s="13"/>
      <c r="V237" s="13">
        <f ca="1">$M237-$O237-$P237+$R237-$S237-IF(ROUNDUP(IF(ISBLANK($U237),$T237,$U237)/IF(AND($B237=1,$D$2&lt;&gt;"Egyszeri"),1,VLOOKUP($B237+IF($C237=12,1,0),Paraméterek!$B$257:$D$267,IF($D$2="Egyszeri",3,2))),IF($D$4="Forint",0,2))&gt;$M237-$O237-$P237+$R237-$S237-IF($D$4="Forint",Paraméterek!$C$216,Paraméterek!$D$216),0,ROUNDUP(IF(ISBLANK($U237),$T237,$U237)/IF(AND($B237=1,$D$2&lt;&gt;"Egyszeri"),1,VLOOKUP($B237+IF($C237=12,1,0),Paraméterek!$B$257:$D$267,IF($D$2="Egyszeri",3,2))),IF($D$4="Forint",0,2)))</f>
        <v>-124180</v>
      </c>
      <c r="W237" s="13">
        <f ca="1">ROUNDDOWN($V237*VLOOKUP($B237+IF($C237=12,1,0),Paraméterek!$B$257:$D$267,IF($D$2="Egyszeri",3,2)),IF($D$4="Forint",0,2))</f>
        <v>-124180</v>
      </c>
      <c r="Y237" s="32">
        <v>218</v>
      </c>
      <c r="Z237" s="32">
        <v>19</v>
      </c>
      <c r="AA237" s="32">
        <v>2</v>
      </c>
      <c r="AB237" s="13">
        <f t="shared" si="56"/>
        <v>0</v>
      </c>
      <c r="AC237" s="33"/>
      <c r="AD237" s="13">
        <f t="shared" si="52"/>
        <v>0</v>
      </c>
      <c r="AE237" s="13">
        <f>ROUNDUP(($AB237+$AD237)*VLOOKUP($Z237,Paraméterek!$P$38:$Q$38,2)/12,IF($D$4="Forint",0,2))</f>
        <v>0</v>
      </c>
      <c r="AF237" s="13">
        <f>IF($D$2="Egyszeri",IF($D$7&gt;=IF($D$4="Forint",Paraméterek!$P$223,Paraméterek!$P$224),$D$7-IF($D$4="Forint",Paraméterek!$F$223,Paraméterek!$F$224),0),MIN(IF($AA237=12,AVERAGE($D$20:$D237)*12,0),SUM($D$20:$D$31)))</f>
        <v>0</v>
      </c>
      <c r="AG237" s="13">
        <f>IF(AND($Z237&gt;=10,MOD($Z237,5)=0),$AF237*IF($AA237=12,VLOOKUP($Z237,Paraméterek!$B$225:$F$240,IF($AF237&lt;IF($D$4="Forint",Paraméterek!$C$223,Paraméterek!$C$224),2,IF($AF237&lt;IF($D$4="Forint",Paraméterek!$D$223,Paraméterek!$D$224),3,4))),0),0)</f>
        <v>0</v>
      </c>
      <c r="AH237" s="13">
        <f>IF(AND($Z237&gt;=5,MOD($Z237,5)=0),IF($AA237=12,VLOOKUP($Z237,Paraméterek!$B$225:$F$240,5),0),IF(OR($Z237=3,$Z237=4),IF($AA237=12,VLOOKUP($Z237,Paraméterek!$B$225:$F$240,5,0),0),0))*$AF237</f>
        <v>0</v>
      </c>
      <c r="AI237" s="13">
        <f>ROUNDDOWN(IF(SUM($T$20:$U237)=0,IF($D$2="Egyszeri",$AH237,$AG237),0),IF($D$4="Forint",0,2))</f>
        <v>0</v>
      </c>
      <c r="AJ237" s="13">
        <f t="shared" si="57"/>
        <v>0</v>
      </c>
      <c r="AK237" s="13">
        <f t="shared" si="58"/>
        <v>0</v>
      </c>
      <c r="AM237" s="32">
        <v>218</v>
      </c>
      <c r="AN237" s="32">
        <v>19</v>
      </c>
      <c r="AO237" s="32">
        <v>2</v>
      </c>
      <c r="AP237" s="13"/>
      <c r="AQ237" s="32"/>
      <c r="AR237" s="13">
        <f t="shared" si="59"/>
        <v>0</v>
      </c>
      <c r="AS237" s="33"/>
      <c r="AT237" s="13">
        <f t="shared" si="53"/>
        <v>0</v>
      </c>
      <c r="AU237" s="13">
        <f>ROUNDUP(($AR237+$AT237)*VLOOKUP($AN237,Paraméterek!$P$38:$Q$38,2)/12,IF($D$4="Forint",0,2))</f>
        <v>0</v>
      </c>
      <c r="AV237" s="13"/>
      <c r="AW237" s="13"/>
      <c r="AX237" s="13">
        <f>ROUNDUP(IF(SUM($AV237:$AW237)=0,0,IF(IF(ISBLANK($AW237),$AV237,$AW237)*Paraméterek!$J$112&lt;IF($D$4="Forint",Paraméterek!$J$113,Paraméterek!$K$113),IF($D$4="Forint",Paraméterek!$J$113,Paraméterek!$K$113),IF(IF(ISBLANK($AW237),$AV237,$AW237)*Paraméterek!$J$112&gt;IF($D$4="Forint",Paraméterek!$J$114,Paraméterek!$K$114),IF($D$4="Forint",Paraméterek!$J$114,Paraméterek!$K$114),IF(ISBLANK($AW237),$AV237,$AW237)*Paraméterek!$J$112))),IF($D$4="Forint",0,2))</f>
        <v>0</v>
      </c>
      <c r="AY237" s="13">
        <f>$AR237+$AT237-$AU237-IF(ROUNDDOWN(IF(ISBLANK($AW237),$AV237,$AW237),IF($D$4="Forint",0,2))&gt;$AR237+$AT237-$AU237-IF($D$4="Forint",Paraméterek!$J$114,Paraméterek!$K$114),0,ROUNDDOWN(IF(ISBLANK($AW237),$AV237,$AW237),IF($D$4="Forint",0,2))-$AX237)</f>
        <v>0</v>
      </c>
      <c r="AZ237" s="13">
        <f t="shared" si="54"/>
        <v>0</v>
      </c>
    </row>
    <row r="238" spans="1:52" x14ac:dyDescent="0.2">
      <c r="A238" s="32">
        <v>219</v>
      </c>
      <c r="B238" s="32">
        <v>19</v>
      </c>
      <c r="C238" s="32">
        <v>3</v>
      </c>
      <c r="D238" s="13">
        <f t="shared" si="45"/>
        <v>0</v>
      </c>
      <c r="E238" s="13"/>
      <c r="F238" s="13"/>
      <c r="G238" s="13"/>
      <c r="H238" s="13">
        <f t="shared" si="46"/>
        <v>0</v>
      </c>
      <c r="I238" s="13">
        <f t="shared" si="47"/>
        <v>0</v>
      </c>
      <c r="J238" s="13">
        <f t="shared" si="48"/>
        <v>0</v>
      </c>
      <c r="K238" s="13">
        <f>ROUNDUP(IF($D$2="Egyszeri",$D238,IF($D$2="Havi",SUM($D$20:$D$31),IF(MOD($C238,$M$1)-1=0,SUM($D$20:$D$31),0))/12*$M$1)*VLOOKUP($B238,Paraméterek!$B$27:$D$30,IF($D$2="Egyszeri",3,2)),IF($D$4="Forint",0,2))</f>
        <v>0</v>
      </c>
      <c r="L238" s="13">
        <f t="shared" si="49"/>
        <v>0</v>
      </c>
      <c r="M238" s="13">
        <f t="shared" ca="1" si="55"/>
        <v>-124180</v>
      </c>
      <c r="N238" s="13">
        <f ca="1">IF($V237&gt;=VLOOKUP($M$4-1+$B238,Paraméterek!$B$121:$D$122,IF($D$4="Forint",2,3)),0,VLOOKUP($M$4-1+$B238,Paraméterek!$B$121:$D$122,IF($D$4="Forint",2,3))-$V237)</f>
        <v>134180</v>
      </c>
      <c r="O238" s="13">
        <f ca="1">ROUNDUP($N238*Paraméterek!$C$58/Paraméterek!$C$56,IF($D$4="Forint",0,2))</f>
        <v>22</v>
      </c>
      <c r="P238" s="13">
        <f t="shared" si="50"/>
        <v>937</v>
      </c>
      <c r="Q238" s="33"/>
      <c r="R238" s="13">
        <f t="shared" ca="1" si="51"/>
        <v>0</v>
      </c>
      <c r="S238" s="13">
        <f ca="1">ROUNDUP(($M238-$O238-$P238+$R238)*VLOOKUP($B238,Paraméterek!$B$38:$D$39,IF($D$2="Egyszeri",3,2))/12,IF($D$4="Forint",0,2))</f>
        <v>-306</v>
      </c>
      <c r="T238" s="13"/>
      <c r="U238" s="13"/>
      <c r="V238" s="13">
        <f ca="1">$M238-$O238-$P238+$R238-$S238-IF(ROUNDUP(IF(ISBLANK($U238),$T238,$U238)/IF(AND($B238=1,$D$2&lt;&gt;"Egyszeri"),1,VLOOKUP($B238+IF($C238=12,1,0),Paraméterek!$B$257:$D$267,IF($D$2="Egyszeri",3,2))),IF($D$4="Forint",0,2))&gt;$M238-$O238-$P238+$R238-$S238-IF($D$4="Forint",Paraméterek!$C$216,Paraméterek!$D$216),0,ROUNDUP(IF(ISBLANK($U238),$T238,$U238)/IF(AND($B238=1,$D$2&lt;&gt;"Egyszeri"),1,VLOOKUP($B238+IF($C238=12,1,0),Paraméterek!$B$257:$D$267,IF($D$2="Egyszeri",3,2))),IF($D$4="Forint",0,2)))</f>
        <v>-124833</v>
      </c>
      <c r="W238" s="13">
        <f ca="1">ROUNDDOWN($V238*VLOOKUP($B238+IF($C238=12,1,0),Paraméterek!$B$257:$D$267,IF($D$2="Egyszeri",3,2)),IF($D$4="Forint",0,2))</f>
        <v>-124833</v>
      </c>
      <c r="Y238" s="32">
        <v>219</v>
      </c>
      <c r="Z238" s="32">
        <v>19</v>
      </c>
      <c r="AA238" s="32">
        <v>3</v>
      </c>
      <c r="AB238" s="13">
        <f t="shared" si="56"/>
        <v>0</v>
      </c>
      <c r="AC238" s="33"/>
      <c r="AD238" s="13">
        <f t="shared" si="52"/>
        <v>0</v>
      </c>
      <c r="AE238" s="13">
        <f>ROUNDUP(($AB238+$AD238)*VLOOKUP($Z238,Paraméterek!$P$38:$Q$38,2)/12,IF($D$4="Forint",0,2))</f>
        <v>0</v>
      </c>
      <c r="AF238" s="13">
        <f>IF($D$2="Egyszeri",IF($D$7&gt;=IF($D$4="Forint",Paraméterek!$P$223,Paraméterek!$P$224),$D$7-IF($D$4="Forint",Paraméterek!$F$223,Paraméterek!$F$224),0),MIN(IF($AA238=12,AVERAGE($D$20:$D238)*12,0),SUM($D$20:$D$31)))</f>
        <v>0</v>
      </c>
      <c r="AG238" s="13">
        <f>IF(AND($Z238&gt;=10,MOD($Z238,5)=0),$AF238*IF($AA238=12,VLOOKUP($Z238,Paraméterek!$B$225:$F$240,IF($AF238&lt;IF($D$4="Forint",Paraméterek!$C$223,Paraméterek!$C$224),2,IF($AF238&lt;IF($D$4="Forint",Paraméterek!$D$223,Paraméterek!$D$224),3,4))),0),0)</f>
        <v>0</v>
      </c>
      <c r="AH238" s="13">
        <f>IF(AND($Z238&gt;=5,MOD($Z238,5)=0),IF($AA238=12,VLOOKUP($Z238,Paraméterek!$B$225:$F$240,5),0),IF(OR($Z238=3,$Z238=4),IF($AA238=12,VLOOKUP($Z238,Paraméterek!$B$225:$F$240,5,0),0),0))*$AF238</f>
        <v>0</v>
      </c>
      <c r="AI238" s="13">
        <f>ROUNDDOWN(IF(SUM($T$20:$U238)=0,IF($D$2="Egyszeri",$AH238,$AG238),0),IF($D$4="Forint",0,2))</f>
        <v>0</v>
      </c>
      <c r="AJ238" s="13">
        <f t="shared" si="57"/>
        <v>0</v>
      </c>
      <c r="AK238" s="13">
        <f t="shared" si="58"/>
        <v>0</v>
      </c>
      <c r="AM238" s="32">
        <v>219</v>
      </c>
      <c r="AN238" s="32">
        <v>19</v>
      </c>
      <c r="AO238" s="32">
        <v>3</v>
      </c>
      <c r="AP238" s="13"/>
      <c r="AQ238" s="32"/>
      <c r="AR238" s="13">
        <f t="shared" si="59"/>
        <v>0</v>
      </c>
      <c r="AS238" s="33"/>
      <c r="AT238" s="13">
        <f t="shared" si="53"/>
        <v>0</v>
      </c>
      <c r="AU238" s="13">
        <f>ROUNDUP(($AR238+$AT238)*VLOOKUP($AN238,Paraméterek!$P$38:$Q$38,2)/12,IF($D$4="Forint",0,2))</f>
        <v>0</v>
      </c>
      <c r="AV238" s="13"/>
      <c r="AW238" s="13"/>
      <c r="AX238" s="13">
        <f>ROUNDUP(IF(SUM($AV238:$AW238)=0,0,IF(IF(ISBLANK($AW238),$AV238,$AW238)*Paraméterek!$J$112&lt;IF($D$4="Forint",Paraméterek!$J$113,Paraméterek!$K$113),IF($D$4="Forint",Paraméterek!$J$113,Paraméterek!$K$113),IF(IF(ISBLANK($AW238),$AV238,$AW238)*Paraméterek!$J$112&gt;IF($D$4="Forint",Paraméterek!$J$114,Paraméterek!$K$114),IF($D$4="Forint",Paraméterek!$J$114,Paraméterek!$K$114),IF(ISBLANK($AW238),$AV238,$AW238)*Paraméterek!$J$112))),IF($D$4="Forint",0,2))</f>
        <v>0</v>
      </c>
      <c r="AY238" s="13">
        <f>$AR238+$AT238-$AU238-IF(ROUNDDOWN(IF(ISBLANK($AW238),$AV238,$AW238),IF($D$4="Forint",0,2))&gt;$AR238+$AT238-$AU238-IF($D$4="Forint",Paraméterek!$J$114,Paraméterek!$K$114),0,ROUNDDOWN(IF(ISBLANK($AW238),$AV238,$AW238),IF($D$4="Forint",0,2))-$AX238)</f>
        <v>0</v>
      </c>
      <c r="AZ238" s="13">
        <f t="shared" si="54"/>
        <v>0</v>
      </c>
    </row>
    <row r="239" spans="1:52" x14ac:dyDescent="0.2">
      <c r="A239" s="32">
        <v>220</v>
      </c>
      <c r="B239" s="32">
        <v>19</v>
      </c>
      <c r="C239" s="32">
        <v>4</v>
      </c>
      <c r="D239" s="13">
        <f t="shared" si="45"/>
        <v>0</v>
      </c>
      <c r="E239" s="13"/>
      <c r="F239" s="13"/>
      <c r="G239" s="13"/>
      <c r="H239" s="13">
        <f t="shared" si="46"/>
        <v>0</v>
      </c>
      <c r="I239" s="13">
        <f t="shared" si="47"/>
        <v>0</v>
      </c>
      <c r="J239" s="13">
        <f t="shared" si="48"/>
        <v>0</v>
      </c>
      <c r="K239" s="13">
        <f>ROUNDUP(IF($D$2="Egyszeri",$D239,IF($D$2="Havi",SUM($D$20:$D$31),IF(MOD($C239,$M$1)-1=0,SUM($D$20:$D$31),0))/12*$M$1)*VLOOKUP($B239,Paraméterek!$B$27:$D$30,IF($D$2="Egyszeri",3,2)),IF($D$4="Forint",0,2))</f>
        <v>0</v>
      </c>
      <c r="L239" s="13">
        <f t="shared" si="49"/>
        <v>0</v>
      </c>
      <c r="M239" s="13">
        <f t="shared" ca="1" si="55"/>
        <v>-124833</v>
      </c>
      <c r="N239" s="13">
        <f ca="1">IF($V238&gt;=VLOOKUP($M$4-1+$B239,Paraméterek!$B$121:$D$122,IF($D$4="Forint",2,3)),0,VLOOKUP($M$4-1+$B239,Paraméterek!$B$121:$D$122,IF($D$4="Forint",2,3))-$V238)</f>
        <v>134833</v>
      </c>
      <c r="O239" s="13">
        <f ca="1">ROUNDUP($N239*Paraméterek!$C$58/Paraméterek!$C$56,IF($D$4="Forint",0,2))</f>
        <v>22</v>
      </c>
      <c r="P239" s="13">
        <f t="shared" si="50"/>
        <v>937</v>
      </c>
      <c r="Q239" s="33"/>
      <c r="R239" s="13">
        <f t="shared" ca="1" si="51"/>
        <v>0</v>
      </c>
      <c r="S239" s="13">
        <f ca="1">ROUNDUP(($M239-$O239-$P239+$R239)*VLOOKUP($B239,Paraméterek!$B$38:$D$39,IF($D$2="Egyszeri",3,2))/12,IF($D$4="Forint",0,2))</f>
        <v>-308</v>
      </c>
      <c r="T239" s="13"/>
      <c r="U239" s="13"/>
      <c r="V239" s="13">
        <f ca="1">$M239-$O239-$P239+$R239-$S239-IF(ROUNDUP(IF(ISBLANK($U239),$T239,$U239)/IF(AND($B239=1,$D$2&lt;&gt;"Egyszeri"),1,VLOOKUP($B239+IF($C239=12,1,0),Paraméterek!$B$257:$D$267,IF($D$2="Egyszeri",3,2))),IF($D$4="Forint",0,2))&gt;$M239-$O239-$P239+$R239-$S239-IF($D$4="Forint",Paraméterek!$C$216,Paraméterek!$D$216),0,ROUNDUP(IF(ISBLANK($U239),$T239,$U239)/IF(AND($B239=1,$D$2&lt;&gt;"Egyszeri"),1,VLOOKUP($B239+IF($C239=12,1,0),Paraméterek!$B$257:$D$267,IF($D$2="Egyszeri",3,2))),IF($D$4="Forint",0,2)))</f>
        <v>-125484</v>
      </c>
      <c r="W239" s="13">
        <f ca="1">ROUNDDOWN($V239*VLOOKUP($B239+IF($C239=12,1,0),Paraméterek!$B$257:$D$267,IF($D$2="Egyszeri",3,2)),IF($D$4="Forint",0,2))</f>
        <v>-125484</v>
      </c>
      <c r="Y239" s="32">
        <v>220</v>
      </c>
      <c r="Z239" s="32">
        <v>19</v>
      </c>
      <c r="AA239" s="32">
        <v>4</v>
      </c>
      <c r="AB239" s="13">
        <f t="shared" si="56"/>
        <v>0</v>
      </c>
      <c r="AC239" s="33"/>
      <c r="AD239" s="13">
        <f t="shared" si="52"/>
        <v>0</v>
      </c>
      <c r="AE239" s="13">
        <f>ROUNDUP(($AB239+$AD239)*VLOOKUP($Z239,Paraméterek!$P$38:$Q$38,2)/12,IF($D$4="Forint",0,2))</f>
        <v>0</v>
      </c>
      <c r="AF239" s="13">
        <f>IF($D$2="Egyszeri",IF($D$7&gt;=IF($D$4="Forint",Paraméterek!$P$223,Paraméterek!$P$224),$D$7-IF($D$4="Forint",Paraméterek!$F$223,Paraméterek!$F$224),0),MIN(IF($AA239=12,AVERAGE($D$20:$D239)*12,0),SUM($D$20:$D$31)))</f>
        <v>0</v>
      </c>
      <c r="AG239" s="13">
        <f>IF(AND($Z239&gt;=10,MOD($Z239,5)=0),$AF239*IF($AA239=12,VLOOKUP($Z239,Paraméterek!$B$225:$F$240,IF($AF239&lt;IF($D$4="Forint",Paraméterek!$C$223,Paraméterek!$C$224),2,IF($AF239&lt;IF($D$4="Forint",Paraméterek!$D$223,Paraméterek!$D$224),3,4))),0),0)</f>
        <v>0</v>
      </c>
      <c r="AH239" s="13">
        <f>IF(AND($Z239&gt;=5,MOD($Z239,5)=0),IF($AA239=12,VLOOKUP($Z239,Paraméterek!$B$225:$F$240,5),0),IF(OR($Z239=3,$Z239=4),IF($AA239=12,VLOOKUP($Z239,Paraméterek!$B$225:$F$240,5,0),0),0))*$AF239</f>
        <v>0</v>
      </c>
      <c r="AI239" s="13">
        <f>ROUNDDOWN(IF(SUM($T$20:$U239)=0,IF($D$2="Egyszeri",$AH239,$AG239),0),IF($D$4="Forint",0,2))</f>
        <v>0</v>
      </c>
      <c r="AJ239" s="13">
        <f t="shared" si="57"/>
        <v>0</v>
      </c>
      <c r="AK239" s="13">
        <f t="shared" si="58"/>
        <v>0</v>
      </c>
      <c r="AM239" s="32">
        <v>220</v>
      </c>
      <c r="AN239" s="32">
        <v>19</v>
      </c>
      <c r="AO239" s="32">
        <v>4</v>
      </c>
      <c r="AP239" s="13"/>
      <c r="AQ239" s="32"/>
      <c r="AR239" s="13">
        <f t="shared" si="59"/>
        <v>0</v>
      </c>
      <c r="AS239" s="33"/>
      <c r="AT239" s="13">
        <f t="shared" si="53"/>
        <v>0</v>
      </c>
      <c r="AU239" s="13">
        <f>ROUNDUP(($AR239+$AT239)*VLOOKUP($AN239,Paraméterek!$P$38:$Q$38,2)/12,IF($D$4="Forint",0,2))</f>
        <v>0</v>
      </c>
      <c r="AV239" s="13"/>
      <c r="AW239" s="13"/>
      <c r="AX239" s="13">
        <f>ROUNDUP(IF(SUM($AV239:$AW239)=0,0,IF(IF(ISBLANK($AW239),$AV239,$AW239)*Paraméterek!$J$112&lt;IF($D$4="Forint",Paraméterek!$J$113,Paraméterek!$K$113),IF($D$4="Forint",Paraméterek!$J$113,Paraméterek!$K$113),IF(IF(ISBLANK($AW239),$AV239,$AW239)*Paraméterek!$J$112&gt;IF($D$4="Forint",Paraméterek!$J$114,Paraméterek!$K$114),IF($D$4="Forint",Paraméterek!$J$114,Paraméterek!$K$114),IF(ISBLANK($AW239),$AV239,$AW239)*Paraméterek!$J$112))),IF($D$4="Forint",0,2))</f>
        <v>0</v>
      </c>
      <c r="AY239" s="13">
        <f>$AR239+$AT239-$AU239-IF(ROUNDDOWN(IF(ISBLANK($AW239),$AV239,$AW239),IF($D$4="Forint",0,2))&gt;$AR239+$AT239-$AU239-IF($D$4="Forint",Paraméterek!$J$114,Paraméterek!$K$114),0,ROUNDDOWN(IF(ISBLANK($AW239),$AV239,$AW239),IF($D$4="Forint",0,2))-$AX239)</f>
        <v>0</v>
      </c>
      <c r="AZ239" s="13">
        <f t="shared" si="54"/>
        <v>0</v>
      </c>
    </row>
    <row r="240" spans="1:52" x14ac:dyDescent="0.2">
      <c r="A240" s="32">
        <v>221</v>
      </c>
      <c r="B240" s="32">
        <v>19</v>
      </c>
      <c r="C240" s="32">
        <v>5</v>
      </c>
      <c r="D240" s="13">
        <f t="shared" si="45"/>
        <v>0</v>
      </c>
      <c r="E240" s="13"/>
      <c r="F240" s="13"/>
      <c r="G240" s="13"/>
      <c r="H240" s="13">
        <f t="shared" si="46"/>
        <v>0</v>
      </c>
      <c r="I240" s="13">
        <f t="shared" si="47"/>
        <v>0</v>
      </c>
      <c r="J240" s="13">
        <f t="shared" si="48"/>
        <v>0</v>
      </c>
      <c r="K240" s="13">
        <f>ROUNDUP(IF($D$2="Egyszeri",$D240,IF($D$2="Havi",SUM($D$20:$D$31),IF(MOD($C240,$M$1)-1=0,SUM($D$20:$D$31),0))/12*$M$1)*VLOOKUP($B240,Paraméterek!$B$27:$D$30,IF($D$2="Egyszeri",3,2)),IF($D$4="Forint",0,2))</f>
        <v>0</v>
      </c>
      <c r="L240" s="13">
        <f t="shared" si="49"/>
        <v>0</v>
      </c>
      <c r="M240" s="13">
        <f t="shared" ca="1" si="55"/>
        <v>-125484</v>
      </c>
      <c r="N240" s="13">
        <f ca="1">IF($V239&gt;=VLOOKUP($M$4-1+$B240,Paraméterek!$B$121:$D$122,IF($D$4="Forint",2,3)),0,VLOOKUP($M$4-1+$B240,Paraméterek!$B$121:$D$122,IF($D$4="Forint",2,3))-$V239)</f>
        <v>135484</v>
      </c>
      <c r="O240" s="13">
        <f ca="1">ROUNDUP($N240*Paraméterek!$C$58/Paraméterek!$C$56,IF($D$4="Forint",0,2))</f>
        <v>22</v>
      </c>
      <c r="P240" s="13">
        <f t="shared" si="50"/>
        <v>937</v>
      </c>
      <c r="Q240" s="33"/>
      <c r="R240" s="13">
        <f t="shared" ca="1" si="51"/>
        <v>0</v>
      </c>
      <c r="S240" s="13">
        <f ca="1">ROUNDUP(($M240-$O240-$P240+$R240)*VLOOKUP($B240,Paraméterek!$B$38:$D$39,IF($D$2="Egyszeri",3,2))/12,IF($D$4="Forint",0,2))</f>
        <v>-309</v>
      </c>
      <c r="T240" s="13"/>
      <c r="U240" s="13"/>
      <c r="V240" s="13">
        <f ca="1">$M240-$O240-$P240+$R240-$S240-IF(ROUNDUP(IF(ISBLANK($U240),$T240,$U240)/IF(AND($B240=1,$D$2&lt;&gt;"Egyszeri"),1,VLOOKUP($B240+IF($C240=12,1,0),Paraméterek!$B$257:$D$267,IF($D$2="Egyszeri",3,2))),IF($D$4="Forint",0,2))&gt;$M240-$O240-$P240+$R240-$S240-IF($D$4="Forint",Paraméterek!$C$216,Paraméterek!$D$216),0,ROUNDUP(IF(ISBLANK($U240),$T240,$U240)/IF(AND($B240=1,$D$2&lt;&gt;"Egyszeri"),1,VLOOKUP($B240+IF($C240=12,1,0),Paraméterek!$B$257:$D$267,IF($D$2="Egyszeri",3,2))),IF($D$4="Forint",0,2)))</f>
        <v>-126134</v>
      </c>
      <c r="W240" s="13">
        <f ca="1">ROUNDDOWN($V240*VLOOKUP($B240+IF($C240=12,1,0),Paraméterek!$B$257:$D$267,IF($D$2="Egyszeri",3,2)),IF($D$4="Forint",0,2))</f>
        <v>-126134</v>
      </c>
      <c r="Y240" s="32">
        <v>221</v>
      </c>
      <c r="Z240" s="32">
        <v>19</v>
      </c>
      <c r="AA240" s="32">
        <v>5</v>
      </c>
      <c r="AB240" s="13">
        <f t="shared" si="56"/>
        <v>0</v>
      </c>
      <c r="AC240" s="33"/>
      <c r="AD240" s="13">
        <f t="shared" si="52"/>
        <v>0</v>
      </c>
      <c r="AE240" s="13">
        <f>ROUNDUP(($AB240+$AD240)*VLOOKUP($Z240,Paraméterek!$P$38:$Q$38,2)/12,IF($D$4="Forint",0,2))</f>
        <v>0</v>
      </c>
      <c r="AF240" s="13">
        <f>IF($D$2="Egyszeri",IF($D$7&gt;=IF($D$4="Forint",Paraméterek!$P$223,Paraméterek!$P$224),$D$7-IF($D$4="Forint",Paraméterek!$F$223,Paraméterek!$F$224),0),MIN(IF($AA240=12,AVERAGE($D$20:$D240)*12,0),SUM($D$20:$D$31)))</f>
        <v>0</v>
      </c>
      <c r="AG240" s="13">
        <f>IF(AND($Z240&gt;=10,MOD($Z240,5)=0),$AF240*IF($AA240=12,VLOOKUP($Z240,Paraméterek!$B$225:$F$240,IF($AF240&lt;IF($D$4="Forint",Paraméterek!$C$223,Paraméterek!$C$224),2,IF($AF240&lt;IF($D$4="Forint",Paraméterek!$D$223,Paraméterek!$D$224),3,4))),0),0)</f>
        <v>0</v>
      </c>
      <c r="AH240" s="13">
        <f>IF(AND($Z240&gt;=5,MOD($Z240,5)=0),IF($AA240=12,VLOOKUP($Z240,Paraméterek!$B$225:$F$240,5),0),IF(OR($Z240=3,$Z240=4),IF($AA240=12,VLOOKUP($Z240,Paraméterek!$B$225:$F$240,5,0),0),0))*$AF240</f>
        <v>0</v>
      </c>
      <c r="AI240" s="13">
        <f>ROUNDDOWN(IF(SUM($T$20:$U240)=0,IF($D$2="Egyszeri",$AH240,$AG240),0),IF($D$4="Forint",0,2))</f>
        <v>0</v>
      </c>
      <c r="AJ240" s="13">
        <f t="shared" si="57"/>
        <v>0</v>
      </c>
      <c r="AK240" s="13">
        <f t="shared" si="58"/>
        <v>0</v>
      </c>
      <c r="AM240" s="32">
        <v>221</v>
      </c>
      <c r="AN240" s="32">
        <v>19</v>
      </c>
      <c r="AO240" s="32">
        <v>5</v>
      </c>
      <c r="AP240" s="13"/>
      <c r="AQ240" s="32"/>
      <c r="AR240" s="13">
        <f t="shared" si="59"/>
        <v>0</v>
      </c>
      <c r="AS240" s="33"/>
      <c r="AT240" s="13">
        <f t="shared" si="53"/>
        <v>0</v>
      </c>
      <c r="AU240" s="13">
        <f>ROUNDUP(($AR240+$AT240)*VLOOKUP($AN240,Paraméterek!$P$38:$Q$38,2)/12,IF($D$4="Forint",0,2))</f>
        <v>0</v>
      </c>
      <c r="AV240" s="13"/>
      <c r="AW240" s="13"/>
      <c r="AX240" s="13">
        <f>ROUNDUP(IF(SUM($AV240:$AW240)=0,0,IF(IF(ISBLANK($AW240),$AV240,$AW240)*Paraméterek!$J$112&lt;IF($D$4="Forint",Paraméterek!$J$113,Paraméterek!$K$113),IF($D$4="Forint",Paraméterek!$J$113,Paraméterek!$K$113),IF(IF(ISBLANK($AW240),$AV240,$AW240)*Paraméterek!$J$112&gt;IF($D$4="Forint",Paraméterek!$J$114,Paraméterek!$K$114),IF($D$4="Forint",Paraméterek!$J$114,Paraméterek!$K$114),IF(ISBLANK($AW240),$AV240,$AW240)*Paraméterek!$J$112))),IF($D$4="Forint",0,2))</f>
        <v>0</v>
      </c>
      <c r="AY240" s="13">
        <f>$AR240+$AT240-$AU240-IF(ROUNDDOWN(IF(ISBLANK($AW240),$AV240,$AW240),IF($D$4="Forint",0,2))&gt;$AR240+$AT240-$AU240-IF($D$4="Forint",Paraméterek!$J$114,Paraméterek!$K$114),0,ROUNDDOWN(IF(ISBLANK($AW240),$AV240,$AW240),IF($D$4="Forint",0,2))-$AX240)</f>
        <v>0</v>
      </c>
      <c r="AZ240" s="13">
        <f t="shared" si="54"/>
        <v>0</v>
      </c>
    </row>
    <row r="241" spans="1:52" x14ac:dyDescent="0.2">
      <c r="A241" s="32">
        <v>222</v>
      </c>
      <c r="B241" s="32">
        <v>19</v>
      </c>
      <c r="C241" s="32">
        <v>6</v>
      </c>
      <c r="D241" s="13">
        <f t="shared" si="45"/>
        <v>0</v>
      </c>
      <c r="E241" s="13"/>
      <c r="F241" s="13"/>
      <c r="G241" s="13"/>
      <c r="H241" s="13">
        <f t="shared" si="46"/>
        <v>0</v>
      </c>
      <c r="I241" s="13">
        <f t="shared" si="47"/>
        <v>0</v>
      </c>
      <c r="J241" s="13">
        <f t="shared" si="48"/>
        <v>0</v>
      </c>
      <c r="K241" s="13">
        <f>ROUNDUP(IF($D$2="Egyszeri",$D241,IF($D$2="Havi",SUM($D$20:$D$31),IF(MOD($C241,$M$1)-1=0,SUM($D$20:$D$31),0))/12*$M$1)*VLOOKUP($B241,Paraméterek!$B$27:$D$30,IF($D$2="Egyszeri",3,2)),IF($D$4="Forint",0,2))</f>
        <v>0</v>
      </c>
      <c r="L241" s="13">
        <f t="shared" si="49"/>
        <v>0</v>
      </c>
      <c r="M241" s="13">
        <f t="shared" ca="1" si="55"/>
        <v>-126134</v>
      </c>
      <c r="N241" s="13">
        <f ca="1">IF($V240&gt;=VLOOKUP($M$4-1+$B241,Paraméterek!$B$121:$D$122,IF($D$4="Forint",2,3)),0,VLOOKUP($M$4-1+$B241,Paraméterek!$B$121:$D$122,IF($D$4="Forint",2,3))-$V240)</f>
        <v>136134</v>
      </c>
      <c r="O241" s="13">
        <f ca="1">ROUNDUP($N241*Paraméterek!$C$58/Paraméterek!$C$56,IF($D$4="Forint",0,2))</f>
        <v>22</v>
      </c>
      <c r="P241" s="13">
        <f t="shared" si="50"/>
        <v>937</v>
      </c>
      <c r="Q241" s="33"/>
      <c r="R241" s="13">
        <f t="shared" ca="1" si="51"/>
        <v>0</v>
      </c>
      <c r="S241" s="13">
        <f ca="1">ROUNDUP(($M241-$O241-$P241+$R241)*VLOOKUP($B241,Paraméterek!$B$38:$D$39,IF($D$2="Egyszeri",3,2))/12,IF($D$4="Forint",0,2))</f>
        <v>-311</v>
      </c>
      <c r="T241" s="13"/>
      <c r="U241" s="13"/>
      <c r="V241" s="13">
        <f ca="1">$M241-$O241-$P241+$R241-$S241-IF(ROUNDUP(IF(ISBLANK($U241),$T241,$U241)/IF(AND($B241=1,$D$2&lt;&gt;"Egyszeri"),1,VLOOKUP($B241+IF($C241=12,1,0),Paraméterek!$B$257:$D$267,IF($D$2="Egyszeri",3,2))),IF($D$4="Forint",0,2))&gt;$M241-$O241-$P241+$R241-$S241-IF($D$4="Forint",Paraméterek!$C$216,Paraméterek!$D$216),0,ROUNDUP(IF(ISBLANK($U241),$T241,$U241)/IF(AND($B241=1,$D$2&lt;&gt;"Egyszeri"),1,VLOOKUP($B241+IF($C241=12,1,0),Paraméterek!$B$257:$D$267,IF($D$2="Egyszeri",3,2))),IF($D$4="Forint",0,2)))</f>
        <v>-126782</v>
      </c>
      <c r="W241" s="13">
        <f ca="1">ROUNDDOWN($V241*VLOOKUP($B241+IF($C241=12,1,0),Paraméterek!$B$257:$D$267,IF($D$2="Egyszeri",3,2)),IF($D$4="Forint",0,2))</f>
        <v>-126782</v>
      </c>
      <c r="Y241" s="32">
        <v>222</v>
      </c>
      <c r="Z241" s="32">
        <v>19</v>
      </c>
      <c r="AA241" s="32">
        <v>6</v>
      </c>
      <c r="AB241" s="13">
        <f t="shared" si="56"/>
        <v>0</v>
      </c>
      <c r="AC241" s="33"/>
      <c r="AD241" s="13">
        <f t="shared" si="52"/>
        <v>0</v>
      </c>
      <c r="AE241" s="13">
        <f>ROUNDUP(($AB241+$AD241)*VLOOKUP($Z241,Paraméterek!$P$38:$Q$38,2)/12,IF($D$4="Forint",0,2))</f>
        <v>0</v>
      </c>
      <c r="AF241" s="13">
        <f>IF($D$2="Egyszeri",IF($D$7&gt;=IF($D$4="Forint",Paraméterek!$P$223,Paraméterek!$P$224),$D$7-IF($D$4="Forint",Paraméterek!$F$223,Paraméterek!$F$224),0),MIN(IF($AA241=12,AVERAGE($D$20:$D241)*12,0),SUM($D$20:$D$31)))</f>
        <v>0</v>
      </c>
      <c r="AG241" s="13">
        <f>IF(AND($Z241&gt;=10,MOD($Z241,5)=0),$AF241*IF($AA241=12,VLOOKUP($Z241,Paraméterek!$B$225:$F$240,IF($AF241&lt;IF($D$4="Forint",Paraméterek!$C$223,Paraméterek!$C$224),2,IF($AF241&lt;IF($D$4="Forint",Paraméterek!$D$223,Paraméterek!$D$224),3,4))),0),0)</f>
        <v>0</v>
      </c>
      <c r="AH241" s="13">
        <f>IF(AND($Z241&gt;=5,MOD($Z241,5)=0),IF($AA241=12,VLOOKUP($Z241,Paraméterek!$B$225:$F$240,5),0),IF(OR($Z241=3,$Z241=4),IF($AA241=12,VLOOKUP($Z241,Paraméterek!$B$225:$F$240,5,0),0),0))*$AF241</f>
        <v>0</v>
      </c>
      <c r="AI241" s="13">
        <f>ROUNDDOWN(IF(SUM($T$20:$U241)=0,IF($D$2="Egyszeri",$AH241,$AG241),0),IF($D$4="Forint",0,2))</f>
        <v>0</v>
      </c>
      <c r="AJ241" s="13">
        <f t="shared" si="57"/>
        <v>0</v>
      </c>
      <c r="AK241" s="13">
        <f t="shared" si="58"/>
        <v>0</v>
      </c>
      <c r="AM241" s="32">
        <v>222</v>
      </c>
      <c r="AN241" s="32">
        <v>19</v>
      </c>
      <c r="AO241" s="32">
        <v>6</v>
      </c>
      <c r="AP241" s="13"/>
      <c r="AQ241" s="32"/>
      <c r="AR241" s="13">
        <f t="shared" si="59"/>
        <v>0</v>
      </c>
      <c r="AS241" s="33"/>
      <c r="AT241" s="13">
        <f t="shared" si="53"/>
        <v>0</v>
      </c>
      <c r="AU241" s="13">
        <f>ROUNDUP(($AR241+$AT241)*VLOOKUP($AN241,Paraméterek!$P$38:$Q$38,2)/12,IF($D$4="Forint",0,2))</f>
        <v>0</v>
      </c>
      <c r="AV241" s="13"/>
      <c r="AW241" s="13"/>
      <c r="AX241" s="13">
        <f>ROUNDUP(IF(SUM($AV241:$AW241)=0,0,IF(IF(ISBLANK($AW241),$AV241,$AW241)*Paraméterek!$J$112&lt;IF($D$4="Forint",Paraméterek!$J$113,Paraméterek!$K$113),IF($D$4="Forint",Paraméterek!$J$113,Paraméterek!$K$113),IF(IF(ISBLANK($AW241),$AV241,$AW241)*Paraméterek!$J$112&gt;IF($D$4="Forint",Paraméterek!$J$114,Paraméterek!$K$114),IF($D$4="Forint",Paraméterek!$J$114,Paraméterek!$K$114),IF(ISBLANK($AW241),$AV241,$AW241)*Paraméterek!$J$112))),IF($D$4="Forint",0,2))</f>
        <v>0</v>
      </c>
      <c r="AY241" s="13">
        <f>$AR241+$AT241-$AU241-IF(ROUNDDOWN(IF(ISBLANK($AW241),$AV241,$AW241),IF($D$4="Forint",0,2))&gt;$AR241+$AT241-$AU241-IF($D$4="Forint",Paraméterek!$J$114,Paraméterek!$K$114),0,ROUNDDOWN(IF(ISBLANK($AW241),$AV241,$AW241),IF($D$4="Forint",0,2))-$AX241)</f>
        <v>0</v>
      </c>
      <c r="AZ241" s="13">
        <f t="shared" si="54"/>
        <v>0</v>
      </c>
    </row>
    <row r="242" spans="1:52" x14ac:dyDescent="0.2">
      <c r="A242" s="32">
        <v>223</v>
      </c>
      <c r="B242" s="32">
        <v>19</v>
      </c>
      <c r="C242" s="32">
        <v>7</v>
      </c>
      <c r="D242" s="13">
        <f t="shared" si="45"/>
        <v>0</v>
      </c>
      <c r="E242" s="13"/>
      <c r="F242" s="13"/>
      <c r="G242" s="13"/>
      <c r="H242" s="13">
        <f t="shared" si="46"/>
        <v>0</v>
      </c>
      <c r="I242" s="13">
        <f t="shared" si="47"/>
        <v>0</v>
      </c>
      <c r="J242" s="13">
        <f t="shared" si="48"/>
        <v>0</v>
      </c>
      <c r="K242" s="13">
        <f>ROUNDUP(IF($D$2="Egyszeri",$D242,IF($D$2="Havi",SUM($D$20:$D$31),IF(MOD($C242,$M$1)-1=0,SUM($D$20:$D$31),0))/12*$M$1)*VLOOKUP($B242,Paraméterek!$B$27:$D$30,IF($D$2="Egyszeri",3,2)),IF($D$4="Forint",0,2))</f>
        <v>0</v>
      </c>
      <c r="L242" s="13">
        <f t="shared" si="49"/>
        <v>0</v>
      </c>
      <c r="M242" s="13">
        <f t="shared" ca="1" si="55"/>
        <v>-126782</v>
      </c>
      <c r="N242" s="13">
        <f ca="1">IF($V241&gt;=VLOOKUP($M$4-1+$B242,Paraméterek!$B$121:$D$122,IF($D$4="Forint",2,3)),0,VLOOKUP($M$4-1+$B242,Paraméterek!$B$121:$D$122,IF($D$4="Forint",2,3))-$V241)</f>
        <v>136782</v>
      </c>
      <c r="O242" s="13">
        <f ca="1">ROUNDUP($N242*Paraméterek!$C$58/Paraméterek!$C$56,IF($D$4="Forint",0,2))</f>
        <v>22</v>
      </c>
      <c r="P242" s="13">
        <f t="shared" si="50"/>
        <v>937</v>
      </c>
      <c r="Q242" s="33"/>
      <c r="R242" s="13">
        <f t="shared" ca="1" si="51"/>
        <v>0</v>
      </c>
      <c r="S242" s="13">
        <f ca="1">ROUNDUP(($M242-$O242-$P242+$R242)*VLOOKUP($B242,Paraméterek!$B$38:$D$39,IF($D$2="Egyszeri",3,2))/12,IF($D$4="Forint",0,2))</f>
        <v>-312</v>
      </c>
      <c r="T242" s="13"/>
      <c r="U242" s="13"/>
      <c r="V242" s="13">
        <f ca="1">$M242-$O242-$P242+$R242-$S242-IF(ROUNDUP(IF(ISBLANK($U242),$T242,$U242)/IF(AND($B242=1,$D$2&lt;&gt;"Egyszeri"),1,VLOOKUP($B242+IF($C242=12,1,0),Paraméterek!$B$257:$D$267,IF($D$2="Egyszeri",3,2))),IF($D$4="Forint",0,2))&gt;$M242-$O242-$P242+$R242-$S242-IF($D$4="Forint",Paraméterek!$C$216,Paraméterek!$D$216),0,ROUNDUP(IF(ISBLANK($U242),$T242,$U242)/IF(AND($B242=1,$D$2&lt;&gt;"Egyszeri"),1,VLOOKUP($B242+IF($C242=12,1,0),Paraméterek!$B$257:$D$267,IF($D$2="Egyszeri",3,2))),IF($D$4="Forint",0,2)))</f>
        <v>-127429</v>
      </c>
      <c r="W242" s="13">
        <f ca="1">ROUNDDOWN($V242*VLOOKUP($B242+IF($C242=12,1,0),Paraméterek!$B$257:$D$267,IF($D$2="Egyszeri",3,2)),IF($D$4="Forint",0,2))</f>
        <v>-127429</v>
      </c>
      <c r="Y242" s="32">
        <v>223</v>
      </c>
      <c r="Z242" s="32">
        <v>19</v>
      </c>
      <c r="AA242" s="32">
        <v>7</v>
      </c>
      <c r="AB242" s="13">
        <f t="shared" si="56"/>
        <v>0</v>
      </c>
      <c r="AC242" s="33"/>
      <c r="AD242" s="13">
        <f t="shared" si="52"/>
        <v>0</v>
      </c>
      <c r="AE242" s="13">
        <f>ROUNDUP(($AB242+$AD242)*VLOOKUP($Z242,Paraméterek!$P$38:$Q$38,2)/12,IF($D$4="Forint",0,2))</f>
        <v>0</v>
      </c>
      <c r="AF242" s="13">
        <f>IF($D$2="Egyszeri",IF($D$7&gt;=IF($D$4="Forint",Paraméterek!$P$223,Paraméterek!$P$224),$D$7-IF($D$4="Forint",Paraméterek!$F$223,Paraméterek!$F$224),0),MIN(IF($AA242=12,AVERAGE($D$20:$D242)*12,0),SUM($D$20:$D$31)))</f>
        <v>0</v>
      </c>
      <c r="AG242" s="13">
        <f>IF(AND($Z242&gt;=10,MOD($Z242,5)=0),$AF242*IF($AA242=12,VLOOKUP($Z242,Paraméterek!$B$225:$F$240,IF($AF242&lt;IF($D$4="Forint",Paraméterek!$C$223,Paraméterek!$C$224),2,IF($AF242&lt;IF($D$4="Forint",Paraméterek!$D$223,Paraméterek!$D$224),3,4))),0),0)</f>
        <v>0</v>
      </c>
      <c r="AH242" s="13">
        <f>IF(AND($Z242&gt;=5,MOD($Z242,5)=0),IF($AA242=12,VLOOKUP($Z242,Paraméterek!$B$225:$F$240,5),0),IF(OR($Z242=3,$Z242=4),IF($AA242=12,VLOOKUP($Z242,Paraméterek!$B$225:$F$240,5,0),0),0))*$AF242</f>
        <v>0</v>
      </c>
      <c r="AI242" s="13">
        <f>ROUNDDOWN(IF(SUM($T$20:$U242)=0,IF($D$2="Egyszeri",$AH242,$AG242),0),IF($D$4="Forint",0,2))</f>
        <v>0</v>
      </c>
      <c r="AJ242" s="13">
        <f t="shared" si="57"/>
        <v>0</v>
      </c>
      <c r="AK242" s="13">
        <f t="shared" si="58"/>
        <v>0</v>
      </c>
      <c r="AM242" s="32">
        <v>223</v>
      </c>
      <c r="AN242" s="32">
        <v>19</v>
      </c>
      <c r="AO242" s="32">
        <v>7</v>
      </c>
      <c r="AP242" s="13"/>
      <c r="AQ242" s="32"/>
      <c r="AR242" s="13">
        <f t="shared" si="59"/>
        <v>0</v>
      </c>
      <c r="AS242" s="33"/>
      <c r="AT242" s="13">
        <f t="shared" si="53"/>
        <v>0</v>
      </c>
      <c r="AU242" s="13">
        <f>ROUNDUP(($AR242+$AT242)*VLOOKUP($AN242,Paraméterek!$P$38:$Q$38,2)/12,IF($D$4="Forint",0,2))</f>
        <v>0</v>
      </c>
      <c r="AV242" s="13"/>
      <c r="AW242" s="13"/>
      <c r="AX242" s="13">
        <f>ROUNDUP(IF(SUM($AV242:$AW242)=0,0,IF(IF(ISBLANK($AW242),$AV242,$AW242)*Paraméterek!$J$112&lt;IF($D$4="Forint",Paraméterek!$J$113,Paraméterek!$K$113),IF($D$4="Forint",Paraméterek!$J$113,Paraméterek!$K$113),IF(IF(ISBLANK($AW242),$AV242,$AW242)*Paraméterek!$J$112&gt;IF($D$4="Forint",Paraméterek!$J$114,Paraméterek!$K$114),IF($D$4="Forint",Paraméterek!$J$114,Paraméterek!$K$114),IF(ISBLANK($AW242),$AV242,$AW242)*Paraméterek!$J$112))),IF($D$4="Forint",0,2))</f>
        <v>0</v>
      </c>
      <c r="AY242" s="13">
        <f>$AR242+$AT242-$AU242-IF(ROUNDDOWN(IF(ISBLANK($AW242),$AV242,$AW242),IF($D$4="Forint",0,2))&gt;$AR242+$AT242-$AU242-IF($D$4="Forint",Paraméterek!$J$114,Paraméterek!$K$114),0,ROUNDDOWN(IF(ISBLANK($AW242),$AV242,$AW242),IF($D$4="Forint",0,2))-$AX242)</f>
        <v>0</v>
      </c>
      <c r="AZ242" s="13">
        <f t="shared" si="54"/>
        <v>0</v>
      </c>
    </row>
    <row r="243" spans="1:52" x14ac:dyDescent="0.2">
      <c r="A243" s="32">
        <v>224</v>
      </c>
      <c r="B243" s="32">
        <v>19</v>
      </c>
      <c r="C243" s="32">
        <v>8</v>
      </c>
      <c r="D243" s="13">
        <f t="shared" si="45"/>
        <v>0</v>
      </c>
      <c r="E243" s="13"/>
      <c r="F243" s="13"/>
      <c r="G243" s="13"/>
      <c r="H243" s="13">
        <f t="shared" si="46"/>
        <v>0</v>
      </c>
      <c r="I243" s="13">
        <f t="shared" si="47"/>
        <v>0</v>
      </c>
      <c r="J243" s="13">
        <f t="shared" si="48"/>
        <v>0</v>
      </c>
      <c r="K243" s="13">
        <f>ROUNDUP(IF($D$2="Egyszeri",$D243,IF($D$2="Havi",SUM($D$20:$D$31),IF(MOD($C243,$M$1)-1=0,SUM($D$20:$D$31),0))/12*$M$1)*VLOOKUP($B243,Paraméterek!$B$27:$D$30,IF($D$2="Egyszeri",3,2)),IF($D$4="Forint",0,2))</f>
        <v>0</v>
      </c>
      <c r="L243" s="13">
        <f t="shared" si="49"/>
        <v>0</v>
      </c>
      <c r="M243" s="13">
        <f t="shared" ca="1" si="55"/>
        <v>-127429</v>
      </c>
      <c r="N243" s="13">
        <f ca="1">IF($V242&gt;=VLOOKUP($M$4-1+$B243,Paraméterek!$B$121:$D$122,IF($D$4="Forint",2,3)),0,VLOOKUP($M$4-1+$B243,Paraméterek!$B$121:$D$122,IF($D$4="Forint",2,3))-$V242)</f>
        <v>137429</v>
      </c>
      <c r="O243" s="13">
        <f ca="1">ROUNDUP($N243*Paraméterek!$C$58/Paraméterek!$C$56,IF($D$4="Forint",0,2))</f>
        <v>22</v>
      </c>
      <c r="P243" s="13">
        <f t="shared" si="50"/>
        <v>937</v>
      </c>
      <c r="Q243" s="33"/>
      <c r="R243" s="13">
        <f t="shared" ca="1" si="51"/>
        <v>0</v>
      </c>
      <c r="S243" s="13">
        <f ca="1">ROUNDUP(($M243-$O243-$P243+$R243)*VLOOKUP($B243,Paraméterek!$B$38:$D$39,IF($D$2="Egyszeri",3,2))/12,IF($D$4="Forint",0,2))</f>
        <v>-314</v>
      </c>
      <c r="T243" s="13"/>
      <c r="U243" s="13"/>
      <c r="V243" s="13">
        <f ca="1">$M243-$O243-$P243+$R243-$S243-IF(ROUNDUP(IF(ISBLANK($U243),$T243,$U243)/IF(AND($B243=1,$D$2&lt;&gt;"Egyszeri"),1,VLOOKUP($B243+IF($C243=12,1,0),Paraméterek!$B$257:$D$267,IF($D$2="Egyszeri",3,2))),IF($D$4="Forint",0,2))&gt;$M243-$O243-$P243+$R243-$S243-IF($D$4="Forint",Paraméterek!$C$216,Paraméterek!$D$216),0,ROUNDUP(IF(ISBLANK($U243),$T243,$U243)/IF(AND($B243=1,$D$2&lt;&gt;"Egyszeri"),1,VLOOKUP($B243+IF($C243=12,1,0),Paraméterek!$B$257:$D$267,IF($D$2="Egyszeri",3,2))),IF($D$4="Forint",0,2)))</f>
        <v>-128074</v>
      </c>
      <c r="W243" s="13">
        <f ca="1">ROUNDDOWN($V243*VLOOKUP($B243+IF($C243=12,1,0),Paraméterek!$B$257:$D$267,IF($D$2="Egyszeri",3,2)),IF($D$4="Forint",0,2))</f>
        <v>-128074</v>
      </c>
      <c r="Y243" s="32">
        <v>224</v>
      </c>
      <c r="Z243" s="32">
        <v>19</v>
      </c>
      <c r="AA243" s="32">
        <v>8</v>
      </c>
      <c r="AB243" s="13">
        <f t="shared" si="56"/>
        <v>0</v>
      </c>
      <c r="AC243" s="33"/>
      <c r="AD243" s="13">
        <f t="shared" si="52"/>
        <v>0</v>
      </c>
      <c r="AE243" s="13">
        <f>ROUNDUP(($AB243+$AD243)*VLOOKUP($Z243,Paraméterek!$P$38:$Q$38,2)/12,IF($D$4="Forint",0,2))</f>
        <v>0</v>
      </c>
      <c r="AF243" s="13">
        <f>IF($D$2="Egyszeri",IF($D$7&gt;=IF($D$4="Forint",Paraméterek!$P$223,Paraméterek!$P$224),$D$7-IF($D$4="Forint",Paraméterek!$F$223,Paraméterek!$F$224),0),MIN(IF($AA243=12,AVERAGE($D$20:$D243)*12,0),SUM($D$20:$D$31)))</f>
        <v>0</v>
      </c>
      <c r="AG243" s="13">
        <f>IF(AND($Z243&gt;=10,MOD($Z243,5)=0),$AF243*IF($AA243=12,VLOOKUP($Z243,Paraméterek!$B$225:$F$240,IF($AF243&lt;IF($D$4="Forint",Paraméterek!$C$223,Paraméterek!$C$224),2,IF($AF243&lt;IF($D$4="Forint",Paraméterek!$D$223,Paraméterek!$D$224),3,4))),0),0)</f>
        <v>0</v>
      </c>
      <c r="AH243" s="13">
        <f>IF(AND($Z243&gt;=5,MOD($Z243,5)=0),IF($AA243=12,VLOOKUP($Z243,Paraméterek!$B$225:$F$240,5),0),IF(OR($Z243=3,$Z243=4),IF($AA243=12,VLOOKUP($Z243,Paraméterek!$B$225:$F$240,5,0),0),0))*$AF243</f>
        <v>0</v>
      </c>
      <c r="AI243" s="13">
        <f>ROUNDDOWN(IF(SUM($T$20:$U243)=0,IF($D$2="Egyszeri",$AH243,$AG243),0),IF($D$4="Forint",0,2))</f>
        <v>0</v>
      </c>
      <c r="AJ243" s="13">
        <f t="shared" si="57"/>
        <v>0</v>
      </c>
      <c r="AK243" s="13">
        <f t="shared" si="58"/>
        <v>0</v>
      </c>
      <c r="AM243" s="32">
        <v>224</v>
      </c>
      <c r="AN243" s="32">
        <v>19</v>
      </c>
      <c r="AO243" s="32">
        <v>8</v>
      </c>
      <c r="AP243" s="13"/>
      <c r="AQ243" s="32"/>
      <c r="AR243" s="13">
        <f t="shared" si="59"/>
        <v>0</v>
      </c>
      <c r="AS243" s="33"/>
      <c r="AT243" s="13">
        <f t="shared" si="53"/>
        <v>0</v>
      </c>
      <c r="AU243" s="13">
        <f>ROUNDUP(($AR243+$AT243)*VLOOKUP($AN243,Paraméterek!$P$38:$Q$38,2)/12,IF($D$4="Forint",0,2))</f>
        <v>0</v>
      </c>
      <c r="AV243" s="13"/>
      <c r="AW243" s="13"/>
      <c r="AX243" s="13">
        <f>ROUNDUP(IF(SUM($AV243:$AW243)=0,0,IF(IF(ISBLANK($AW243),$AV243,$AW243)*Paraméterek!$J$112&lt;IF($D$4="Forint",Paraméterek!$J$113,Paraméterek!$K$113),IF($D$4="Forint",Paraméterek!$J$113,Paraméterek!$K$113),IF(IF(ISBLANK($AW243),$AV243,$AW243)*Paraméterek!$J$112&gt;IF($D$4="Forint",Paraméterek!$J$114,Paraméterek!$K$114),IF($D$4="Forint",Paraméterek!$J$114,Paraméterek!$K$114),IF(ISBLANK($AW243),$AV243,$AW243)*Paraméterek!$J$112))),IF($D$4="Forint",0,2))</f>
        <v>0</v>
      </c>
      <c r="AY243" s="13">
        <f>$AR243+$AT243-$AU243-IF(ROUNDDOWN(IF(ISBLANK($AW243),$AV243,$AW243),IF($D$4="Forint",0,2))&gt;$AR243+$AT243-$AU243-IF($D$4="Forint",Paraméterek!$J$114,Paraméterek!$K$114),0,ROUNDDOWN(IF(ISBLANK($AW243),$AV243,$AW243),IF($D$4="Forint",0,2))-$AX243)</f>
        <v>0</v>
      </c>
      <c r="AZ243" s="13">
        <f t="shared" si="54"/>
        <v>0</v>
      </c>
    </row>
    <row r="244" spans="1:52" x14ac:dyDescent="0.2">
      <c r="A244" s="32">
        <v>225</v>
      </c>
      <c r="B244" s="32">
        <v>19</v>
      </c>
      <c r="C244" s="32">
        <v>9</v>
      </c>
      <c r="D244" s="13">
        <f t="shared" si="45"/>
        <v>0</v>
      </c>
      <c r="E244" s="13"/>
      <c r="F244" s="13"/>
      <c r="G244" s="13"/>
      <c r="H244" s="13">
        <f t="shared" si="46"/>
        <v>0</v>
      </c>
      <c r="I244" s="13">
        <f t="shared" si="47"/>
        <v>0</v>
      </c>
      <c r="J244" s="13">
        <f t="shared" si="48"/>
        <v>0</v>
      </c>
      <c r="K244" s="13">
        <f>ROUNDUP(IF($D$2="Egyszeri",$D244,IF($D$2="Havi",SUM($D$20:$D$31),IF(MOD($C244,$M$1)-1=0,SUM($D$20:$D$31),0))/12*$M$1)*VLOOKUP($B244,Paraméterek!$B$27:$D$30,IF($D$2="Egyszeri",3,2)),IF($D$4="Forint",0,2))</f>
        <v>0</v>
      </c>
      <c r="L244" s="13">
        <f t="shared" si="49"/>
        <v>0</v>
      </c>
      <c r="M244" s="13">
        <f t="shared" ca="1" si="55"/>
        <v>-128074</v>
      </c>
      <c r="N244" s="13">
        <f ca="1">IF($V243&gt;=VLOOKUP($M$4-1+$B244,Paraméterek!$B$121:$D$122,IF($D$4="Forint",2,3)),0,VLOOKUP($M$4-1+$B244,Paraméterek!$B$121:$D$122,IF($D$4="Forint",2,3))-$V243)</f>
        <v>138074</v>
      </c>
      <c r="O244" s="13">
        <f ca="1">ROUNDUP($N244*Paraméterek!$C$58/Paraméterek!$C$56,IF($D$4="Forint",0,2))</f>
        <v>22</v>
      </c>
      <c r="P244" s="13">
        <f t="shared" si="50"/>
        <v>937</v>
      </c>
      <c r="Q244" s="33"/>
      <c r="R244" s="13">
        <f t="shared" ca="1" si="51"/>
        <v>0</v>
      </c>
      <c r="S244" s="13">
        <f ca="1">ROUNDUP(($M244-$O244-$P244+$R244)*VLOOKUP($B244,Paraméterek!$B$38:$D$39,IF($D$2="Egyszeri",3,2))/12,IF($D$4="Forint",0,2))</f>
        <v>-316</v>
      </c>
      <c r="T244" s="13"/>
      <c r="U244" s="13"/>
      <c r="V244" s="13">
        <f ca="1">$M244-$O244-$P244+$R244-$S244-IF(ROUNDUP(IF(ISBLANK($U244),$T244,$U244)/IF(AND($B244=1,$D$2&lt;&gt;"Egyszeri"),1,VLOOKUP($B244+IF($C244=12,1,0),Paraméterek!$B$257:$D$267,IF($D$2="Egyszeri",3,2))),IF($D$4="Forint",0,2))&gt;$M244-$O244-$P244+$R244-$S244-IF($D$4="Forint",Paraméterek!$C$216,Paraméterek!$D$216),0,ROUNDUP(IF(ISBLANK($U244),$T244,$U244)/IF(AND($B244=1,$D$2&lt;&gt;"Egyszeri"),1,VLOOKUP($B244+IF($C244=12,1,0),Paraméterek!$B$257:$D$267,IF($D$2="Egyszeri",3,2))),IF($D$4="Forint",0,2)))</f>
        <v>-128717</v>
      </c>
      <c r="W244" s="13">
        <f ca="1">ROUNDDOWN($V244*VLOOKUP($B244+IF($C244=12,1,0),Paraméterek!$B$257:$D$267,IF($D$2="Egyszeri",3,2)),IF($D$4="Forint",0,2))</f>
        <v>-128717</v>
      </c>
      <c r="Y244" s="32">
        <v>225</v>
      </c>
      <c r="Z244" s="32">
        <v>19</v>
      </c>
      <c r="AA244" s="32">
        <v>9</v>
      </c>
      <c r="AB244" s="13">
        <f t="shared" si="56"/>
        <v>0</v>
      </c>
      <c r="AC244" s="33"/>
      <c r="AD244" s="13">
        <f t="shared" si="52"/>
        <v>0</v>
      </c>
      <c r="AE244" s="13">
        <f>ROUNDUP(($AB244+$AD244)*VLOOKUP($Z244,Paraméterek!$P$38:$Q$38,2)/12,IF($D$4="Forint",0,2))</f>
        <v>0</v>
      </c>
      <c r="AF244" s="13">
        <f>IF($D$2="Egyszeri",IF($D$7&gt;=IF($D$4="Forint",Paraméterek!$P$223,Paraméterek!$P$224),$D$7-IF($D$4="Forint",Paraméterek!$F$223,Paraméterek!$F$224),0),MIN(IF($AA244=12,AVERAGE($D$20:$D244)*12,0),SUM($D$20:$D$31)))</f>
        <v>0</v>
      </c>
      <c r="AG244" s="13">
        <f>IF(AND($Z244&gt;=10,MOD($Z244,5)=0),$AF244*IF($AA244=12,VLOOKUP($Z244,Paraméterek!$B$225:$F$240,IF($AF244&lt;IF($D$4="Forint",Paraméterek!$C$223,Paraméterek!$C$224),2,IF($AF244&lt;IF($D$4="Forint",Paraméterek!$D$223,Paraméterek!$D$224),3,4))),0),0)</f>
        <v>0</v>
      </c>
      <c r="AH244" s="13">
        <f>IF(AND($Z244&gt;=5,MOD($Z244,5)=0),IF($AA244=12,VLOOKUP($Z244,Paraméterek!$B$225:$F$240,5),0),IF(OR($Z244=3,$Z244=4),IF($AA244=12,VLOOKUP($Z244,Paraméterek!$B$225:$F$240,5,0),0),0))*$AF244</f>
        <v>0</v>
      </c>
      <c r="AI244" s="13">
        <f>ROUNDDOWN(IF(SUM($T$20:$U244)=0,IF($D$2="Egyszeri",$AH244,$AG244),0),IF($D$4="Forint",0,2))</f>
        <v>0</v>
      </c>
      <c r="AJ244" s="13">
        <f t="shared" si="57"/>
        <v>0</v>
      </c>
      <c r="AK244" s="13">
        <f t="shared" si="58"/>
        <v>0</v>
      </c>
      <c r="AM244" s="32">
        <v>225</v>
      </c>
      <c r="AN244" s="32">
        <v>19</v>
      </c>
      <c r="AO244" s="32">
        <v>9</v>
      </c>
      <c r="AP244" s="13"/>
      <c r="AQ244" s="32"/>
      <c r="AR244" s="13">
        <f t="shared" si="59"/>
        <v>0</v>
      </c>
      <c r="AS244" s="33"/>
      <c r="AT244" s="13">
        <f t="shared" si="53"/>
        <v>0</v>
      </c>
      <c r="AU244" s="13">
        <f>ROUNDUP(($AR244+$AT244)*VLOOKUP($AN244,Paraméterek!$P$38:$Q$38,2)/12,IF($D$4="Forint",0,2))</f>
        <v>0</v>
      </c>
      <c r="AV244" s="13"/>
      <c r="AW244" s="13"/>
      <c r="AX244" s="13">
        <f>ROUNDUP(IF(SUM($AV244:$AW244)=0,0,IF(IF(ISBLANK($AW244),$AV244,$AW244)*Paraméterek!$J$112&lt;IF($D$4="Forint",Paraméterek!$J$113,Paraméterek!$K$113),IF($D$4="Forint",Paraméterek!$J$113,Paraméterek!$K$113),IF(IF(ISBLANK($AW244),$AV244,$AW244)*Paraméterek!$J$112&gt;IF($D$4="Forint",Paraméterek!$J$114,Paraméterek!$K$114),IF($D$4="Forint",Paraméterek!$J$114,Paraméterek!$K$114),IF(ISBLANK($AW244),$AV244,$AW244)*Paraméterek!$J$112))),IF($D$4="Forint",0,2))</f>
        <v>0</v>
      </c>
      <c r="AY244" s="13">
        <f>$AR244+$AT244-$AU244-IF(ROUNDDOWN(IF(ISBLANK($AW244),$AV244,$AW244),IF($D$4="Forint",0,2))&gt;$AR244+$AT244-$AU244-IF($D$4="Forint",Paraméterek!$J$114,Paraméterek!$K$114),0,ROUNDDOWN(IF(ISBLANK($AW244),$AV244,$AW244),IF($D$4="Forint",0,2))-$AX244)</f>
        <v>0</v>
      </c>
      <c r="AZ244" s="13">
        <f t="shared" si="54"/>
        <v>0</v>
      </c>
    </row>
    <row r="245" spans="1:52" x14ac:dyDescent="0.2">
      <c r="A245" s="32">
        <v>226</v>
      </c>
      <c r="B245" s="32">
        <v>19</v>
      </c>
      <c r="C245" s="32">
        <v>10</v>
      </c>
      <c r="D245" s="13">
        <f t="shared" si="45"/>
        <v>0</v>
      </c>
      <c r="E245" s="13"/>
      <c r="F245" s="13"/>
      <c r="G245" s="13"/>
      <c r="H245" s="13">
        <f t="shared" si="46"/>
        <v>0</v>
      </c>
      <c r="I245" s="13">
        <f t="shared" si="47"/>
        <v>0</v>
      </c>
      <c r="J245" s="13">
        <f t="shared" si="48"/>
        <v>0</v>
      </c>
      <c r="K245" s="13">
        <f>ROUNDUP(IF($D$2="Egyszeri",$D245,IF($D$2="Havi",SUM($D$20:$D$31),IF(MOD($C245,$M$1)-1=0,SUM($D$20:$D$31),0))/12*$M$1)*VLOOKUP($B245,Paraméterek!$B$27:$D$30,IF($D$2="Egyszeri",3,2)),IF($D$4="Forint",0,2))</f>
        <v>0</v>
      </c>
      <c r="L245" s="13">
        <f t="shared" si="49"/>
        <v>0</v>
      </c>
      <c r="M245" s="13">
        <f t="shared" ca="1" si="55"/>
        <v>-128717</v>
      </c>
      <c r="N245" s="13">
        <f ca="1">IF($V244&gt;=VLOOKUP($M$4-1+$B245,Paraméterek!$B$121:$D$122,IF($D$4="Forint",2,3)),0,VLOOKUP($M$4-1+$B245,Paraméterek!$B$121:$D$122,IF($D$4="Forint",2,3))-$V244)</f>
        <v>138717</v>
      </c>
      <c r="O245" s="13">
        <f ca="1">ROUNDUP($N245*Paraméterek!$C$58/Paraméterek!$C$56,IF($D$4="Forint",0,2))</f>
        <v>23</v>
      </c>
      <c r="P245" s="13">
        <f t="shared" si="50"/>
        <v>937</v>
      </c>
      <c r="Q245" s="33"/>
      <c r="R245" s="13">
        <f t="shared" ca="1" si="51"/>
        <v>0</v>
      </c>
      <c r="S245" s="13">
        <f ca="1">ROUNDUP(($M245-$O245-$P245+$R245)*VLOOKUP($B245,Paraméterek!$B$38:$D$39,IF($D$2="Egyszeri",3,2))/12,IF($D$4="Forint",0,2))</f>
        <v>-317</v>
      </c>
      <c r="T245" s="13"/>
      <c r="U245" s="13"/>
      <c r="V245" s="13">
        <f ca="1">$M245-$O245-$P245+$R245-$S245-IF(ROUNDUP(IF(ISBLANK($U245),$T245,$U245)/IF(AND($B245=1,$D$2&lt;&gt;"Egyszeri"),1,VLOOKUP($B245+IF($C245=12,1,0),Paraméterek!$B$257:$D$267,IF($D$2="Egyszeri",3,2))),IF($D$4="Forint",0,2))&gt;$M245-$O245-$P245+$R245-$S245-IF($D$4="Forint",Paraméterek!$C$216,Paraméterek!$D$216),0,ROUNDUP(IF(ISBLANK($U245),$T245,$U245)/IF(AND($B245=1,$D$2&lt;&gt;"Egyszeri"),1,VLOOKUP($B245+IF($C245=12,1,0),Paraméterek!$B$257:$D$267,IF($D$2="Egyszeri",3,2))),IF($D$4="Forint",0,2)))</f>
        <v>-129360</v>
      </c>
      <c r="W245" s="13">
        <f ca="1">ROUNDDOWN($V245*VLOOKUP($B245+IF($C245=12,1,0),Paraméterek!$B$257:$D$267,IF($D$2="Egyszeri",3,2)),IF($D$4="Forint",0,2))</f>
        <v>-129360</v>
      </c>
      <c r="Y245" s="32">
        <v>226</v>
      </c>
      <c r="Z245" s="32">
        <v>19</v>
      </c>
      <c r="AA245" s="32">
        <v>10</v>
      </c>
      <c r="AB245" s="13">
        <f t="shared" si="56"/>
        <v>0</v>
      </c>
      <c r="AC245" s="33"/>
      <c r="AD245" s="13">
        <f t="shared" si="52"/>
        <v>0</v>
      </c>
      <c r="AE245" s="13">
        <f>ROUNDUP(($AB245+$AD245)*VLOOKUP($Z245,Paraméterek!$P$38:$Q$38,2)/12,IF($D$4="Forint",0,2))</f>
        <v>0</v>
      </c>
      <c r="AF245" s="13">
        <f>IF($D$2="Egyszeri",IF($D$7&gt;=IF($D$4="Forint",Paraméterek!$P$223,Paraméterek!$P$224),$D$7-IF($D$4="Forint",Paraméterek!$F$223,Paraméterek!$F$224),0),MIN(IF($AA245=12,AVERAGE($D$20:$D245)*12,0),SUM($D$20:$D$31)))</f>
        <v>0</v>
      </c>
      <c r="AG245" s="13">
        <f>IF(AND($Z245&gt;=10,MOD($Z245,5)=0),$AF245*IF($AA245=12,VLOOKUP($Z245,Paraméterek!$B$225:$F$240,IF($AF245&lt;IF($D$4="Forint",Paraméterek!$C$223,Paraméterek!$C$224),2,IF($AF245&lt;IF($D$4="Forint",Paraméterek!$D$223,Paraméterek!$D$224),3,4))),0),0)</f>
        <v>0</v>
      </c>
      <c r="AH245" s="13">
        <f>IF(AND($Z245&gt;=5,MOD($Z245,5)=0),IF($AA245=12,VLOOKUP($Z245,Paraméterek!$B$225:$F$240,5),0),IF(OR($Z245=3,$Z245=4),IF($AA245=12,VLOOKUP($Z245,Paraméterek!$B$225:$F$240,5,0),0),0))*$AF245</f>
        <v>0</v>
      </c>
      <c r="AI245" s="13">
        <f>ROUNDDOWN(IF(SUM($T$20:$U245)=0,IF($D$2="Egyszeri",$AH245,$AG245),0),IF($D$4="Forint",0,2))</f>
        <v>0</v>
      </c>
      <c r="AJ245" s="13">
        <f t="shared" si="57"/>
        <v>0</v>
      </c>
      <c r="AK245" s="13">
        <f t="shared" si="58"/>
        <v>0</v>
      </c>
      <c r="AM245" s="32">
        <v>226</v>
      </c>
      <c r="AN245" s="32">
        <v>19</v>
      </c>
      <c r="AO245" s="32">
        <v>10</v>
      </c>
      <c r="AP245" s="13"/>
      <c r="AQ245" s="32"/>
      <c r="AR245" s="13">
        <f t="shared" si="59"/>
        <v>0</v>
      </c>
      <c r="AS245" s="33"/>
      <c r="AT245" s="13">
        <f t="shared" si="53"/>
        <v>0</v>
      </c>
      <c r="AU245" s="13">
        <f>ROUNDUP(($AR245+$AT245)*VLOOKUP($AN245,Paraméterek!$P$38:$Q$38,2)/12,IF($D$4="Forint",0,2))</f>
        <v>0</v>
      </c>
      <c r="AV245" s="13"/>
      <c r="AW245" s="13"/>
      <c r="AX245" s="13">
        <f>ROUNDUP(IF(SUM($AV245:$AW245)=0,0,IF(IF(ISBLANK($AW245),$AV245,$AW245)*Paraméterek!$J$112&lt;IF($D$4="Forint",Paraméterek!$J$113,Paraméterek!$K$113),IF($D$4="Forint",Paraméterek!$J$113,Paraméterek!$K$113),IF(IF(ISBLANK($AW245),$AV245,$AW245)*Paraméterek!$J$112&gt;IF($D$4="Forint",Paraméterek!$J$114,Paraméterek!$K$114),IF($D$4="Forint",Paraméterek!$J$114,Paraméterek!$K$114),IF(ISBLANK($AW245),$AV245,$AW245)*Paraméterek!$J$112))),IF($D$4="Forint",0,2))</f>
        <v>0</v>
      </c>
      <c r="AY245" s="13">
        <f>$AR245+$AT245-$AU245-IF(ROUNDDOWN(IF(ISBLANK($AW245),$AV245,$AW245),IF($D$4="Forint",0,2))&gt;$AR245+$AT245-$AU245-IF($D$4="Forint",Paraméterek!$J$114,Paraméterek!$K$114),0,ROUNDDOWN(IF(ISBLANK($AW245),$AV245,$AW245),IF($D$4="Forint",0,2))-$AX245)</f>
        <v>0</v>
      </c>
      <c r="AZ245" s="13">
        <f t="shared" si="54"/>
        <v>0</v>
      </c>
    </row>
    <row r="246" spans="1:52" x14ac:dyDescent="0.2">
      <c r="A246" s="32">
        <v>227</v>
      </c>
      <c r="B246" s="32">
        <v>19</v>
      </c>
      <c r="C246" s="32">
        <v>11</v>
      </c>
      <c r="D246" s="13">
        <f t="shared" si="45"/>
        <v>0</v>
      </c>
      <c r="E246" s="13"/>
      <c r="F246" s="13"/>
      <c r="G246" s="13"/>
      <c r="H246" s="13">
        <f t="shared" si="46"/>
        <v>0</v>
      </c>
      <c r="I246" s="13">
        <f t="shared" si="47"/>
        <v>0</v>
      </c>
      <c r="J246" s="13">
        <f t="shared" si="48"/>
        <v>0</v>
      </c>
      <c r="K246" s="13">
        <f>ROUNDUP(IF($D$2="Egyszeri",$D246,IF($D$2="Havi",SUM($D$20:$D$31),IF(MOD($C246,$M$1)-1=0,SUM($D$20:$D$31),0))/12*$M$1)*VLOOKUP($B246,Paraméterek!$B$27:$D$30,IF($D$2="Egyszeri",3,2)),IF($D$4="Forint",0,2))</f>
        <v>0</v>
      </c>
      <c r="L246" s="13">
        <f t="shared" si="49"/>
        <v>0</v>
      </c>
      <c r="M246" s="13">
        <f t="shared" ca="1" si="55"/>
        <v>-129360</v>
      </c>
      <c r="N246" s="13">
        <f ca="1">IF($V245&gt;=VLOOKUP($M$4-1+$B246,Paraméterek!$B$121:$D$122,IF($D$4="Forint",2,3)),0,VLOOKUP($M$4-1+$B246,Paraméterek!$B$121:$D$122,IF($D$4="Forint",2,3))-$V245)</f>
        <v>139360</v>
      </c>
      <c r="O246" s="13">
        <f ca="1">ROUNDUP($N246*Paraméterek!$C$58/Paraméterek!$C$56,IF($D$4="Forint",0,2))</f>
        <v>23</v>
      </c>
      <c r="P246" s="13">
        <f t="shared" si="50"/>
        <v>937</v>
      </c>
      <c r="Q246" s="33"/>
      <c r="R246" s="13">
        <f t="shared" ca="1" si="51"/>
        <v>0</v>
      </c>
      <c r="S246" s="13">
        <f ca="1">ROUNDUP(($M246-$O246-$P246+$R246)*VLOOKUP($B246,Paraméterek!$B$38:$D$39,IF($D$2="Egyszeri",3,2))/12,IF($D$4="Forint",0,2))</f>
        <v>-319</v>
      </c>
      <c r="T246" s="13"/>
      <c r="U246" s="13"/>
      <c r="V246" s="13">
        <f ca="1">$M246-$O246-$P246+$R246-$S246-IF(ROUNDUP(IF(ISBLANK($U246),$T246,$U246)/IF(AND($B246=1,$D$2&lt;&gt;"Egyszeri"),1,VLOOKUP($B246+IF($C246=12,1,0),Paraméterek!$B$257:$D$267,IF($D$2="Egyszeri",3,2))),IF($D$4="Forint",0,2))&gt;$M246-$O246-$P246+$R246-$S246-IF($D$4="Forint",Paraméterek!$C$216,Paraméterek!$D$216),0,ROUNDUP(IF(ISBLANK($U246),$T246,$U246)/IF(AND($B246=1,$D$2&lt;&gt;"Egyszeri"),1,VLOOKUP($B246+IF($C246=12,1,0),Paraméterek!$B$257:$D$267,IF($D$2="Egyszeri",3,2))),IF($D$4="Forint",0,2)))</f>
        <v>-130001</v>
      </c>
      <c r="W246" s="13">
        <f ca="1">ROUNDDOWN($V246*VLOOKUP($B246+IF($C246=12,1,0),Paraméterek!$B$257:$D$267,IF($D$2="Egyszeri",3,2)),IF($D$4="Forint",0,2))</f>
        <v>-130001</v>
      </c>
      <c r="Y246" s="32">
        <v>227</v>
      </c>
      <c r="Z246" s="32">
        <v>19</v>
      </c>
      <c r="AA246" s="32">
        <v>11</v>
      </c>
      <c r="AB246" s="13">
        <f t="shared" si="56"/>
        <v>0</v>
      </c>
      <c r="AC246" s="33"/>
      <c r="AD246" s="13">
        <f t="shared" si="52"/>
        <v>0</v>
      </c>
      <c r="AE246" s="13">
        <f>ROUNDUP(($AB246+$AD246)*VLOOKUP($Z246,Paraméterek!$P$38:$Q$38,2)/12,IF($D$4="Forint",0,2))</f>
        <v>0</v>
      </c>
      <c r="AF246" s="13">
        <f>IF($D$2="Egyszeri",IF($D$7&gt;=IF($D$4="Forint",Paraméterek!$P$223,Paraméterek!$P$224),$D$7-IF($D$4="Forint",Paraméterek!$F$223,Paraméterek!$F$224),0),MIN(IF($AA246=12,AVERAGE($D$20:$D246)*12,0),SUM($D$20:$D$31)))</f>
        <v>0</v>
      </c>
      <c r="AG246" s="13">
        <f>IF(AND($Z246&gt;=10,MOD($Z246,5)=0),$AF246*IF($AA246=12,VLOOKUP($Z246,Paraméterek!$B$225:$F$240,IF($AF246&lt;IF($D$4="Forint",Paraméterek!$C$223,Paraméterek!$C$224),2,IF($AF246&lt;IF($D$4="Forint",Paraméterek!$D$223,Paraméterek!$D$224),3,4))),0),0)</f>
        <v>0</v>
      </c>
      <c r="AH246" s="13">
        <f>IF(AND($Z246&gt;=5,MOD($Z246,5)=0),IF($AA246=12,VLOOKUP($Z246,Paraméterek!$B$225:$F$240,5),0),IF(OR($Z246=3,$Z246=4),IF($AA246=12,VLOOKUP($Z246,Paraméterek!$B$225:$F$240,5,0),0),0))*$AF246</f>
        <v>0</v>
      </c>
      <c r="AI246" s="13">
        <f>ROUNDDOWN(IF(SUM($T$20:$U246)=0,IF($D$2="Egyszeri",$AH246,$AG246),0),IF($D$4="Forint",0,2))</f>
        <v>0</v>
      </c>
      <c r="AJ246" s="13">
        <f t="shared" si="57"/>
        <v>0</v>
      </c>
      <c r="AK246" s="13">
        <f t="shared" si="58"/>
        <v>0</v>
      </c>
      <c r="AM246" s="32">
        <v>227</v>
      </c>
      <c r="AN246" s="32">
        <v>19</v>
      </c>
      <c r="AO246" s="32">
        <v>11</v>
      </c>
      <c r="AP246" s="13"/>
      <c r="AQ246" s="32"/>
      <c r="AR246" s="13">
        <f t="shared" si="59"/>
        <v>0</v>
      </c>
      <c r="AS246" s="33"/>
      <c r="AT246" s="13">
        <f t="shared" si="53"/>
        <v>0</v>
      </c>
      <c r="AU246" s="13">
        <f>ROUNDUP(($AR246+$AT246)*VLOOKUP($AN246,Paraméterek!$P$38:$Q$38,2)/12,IF($D$4="Forint",0,2))</f>
        <v>0</v>
      </c>
      <c r="AV246" s="13"/>
      <c r="AW246" s="13"/>
      <c r="AX246" s="13">
        <f>ROUNDUP(IF(SUM($AV246:$AW246)=0,0,IF(IF(ISBLANK($AW246),$AV246,$AW246)*Paraméterek!$J$112&lt;IF($D$4="Forint",Paraméterek!$J$113,Paraméterek!$K$113),IF($D$4="Forint",Paraméterek!$J$113,Paraméterek!$K$113),IF(IF(ISBLANK($AW246),$AV246,$AW246)*Paraméterek!$J$112&gt;IF($D$4="Forint",Paraméterek!$J$114,Paraméterek!$K$114),IF($D$4="Forint",Paraméterek!$J$114,Paraméterek!$K$114),IF(ISBLANK($AW246),$AV246,$AW246)*Paraméterek!$J$112))),IF($D$4="Forint",0,2))</f>
        <v>0</v>
      </c>
      <c r="AY246" s="13">
        <f>$AR246+$AT246-$AU246-IF(ROUNDDOWN(IF(ISBLANK($AW246),$AV246,$AW246),IF($D$4="Forint",0,2))&gt;$AR246+$AT246-$AU246-IF($D$4="Forint",Paraméterek!$J$114,Paraméterek!$K$114),0,ROUNDDOWN(IF(ISBLANK($AW246),$AV246,$AW246),IF($D$4="Forint",0,2))-$AX246)</f>
        <v>0</v>
      </c>
      <c r="AZ246" s="13">
        <f t="shared" si="54"/>
        <v>0</v>
      </c>
    </row>
    <row r="247" spans="1:52" x14ac:dyDescent="0.2">
      <c r="A247" s="32">
        <v>228</v>
      </c>
      <c r="B247" s="32">
        <v>19</v>
      </c>
      <c r="C247" s="32">
        <v>12</v>
      </c>
      <c r="D247" s="13">
        <f t="shared" si="45"/>
        <v>0</v>
      </c>
      <c r="E247" s="13"/>
      <c r="F247" s="13"/>
      <c r="G247" s="13"/>
      <c r="H247" s="13">
        <f t="shared" si="46"/>
        <v>0</v>
      </c>
      <c r="I247" s="13">
        <f t="shared" si="47"/>
        <v>0</v>
      </c>
      <c r="J247" s="13">
        <f t="shared" si="48"/>
        <v>0</v>
      </c>
      <c r="K247" s="13">
        <f>ROUNDUP(IF($D$2="Egyszeri",$D247,IF($D$2="Havi",SUM($D$20:$D$31),IF(MOD($C247,$M$1)-1=0,SUM($D$20:$D$31),0))/12*$M$1)*VLOOKUP($B247,Paraméterek!$B$27:$D$30,IF($D$2="Egyszeri",3,2)),IF($D$4="Forint",0,2))</f>
        <v>0</v>
      </c>
      <c r="L247" s="13">
        <f t="shared" si="49"/>
        <v>0</v>
      </c>
      <c r="M247" s="13">
        <f t="shared" ca="1" si="55"/>
        <v>-130001</v>
      </c>
      <c r="N247" s="13">
        <f ca="1">IF($V246&gt;=VLOOKUP($M$4-1+$B247,Paraméterek!$B$121:$D$122,IF($D$4="Forint",2,3)),0,VLOOKUP($M$4-1+$B247,Paraméterek!$B$121:$D$122,IF($D$4="Forint",2,3))-$V246)</f>
        <v>140001</v>
      </c>
      <c r="O247" s="13">
        <f ca="1">ROUNDUP($N247*Paraméterek!$C$58/Paraméterek!$C$56,IF($D$4="Forint",0,2))</f>
        <v>23</v>
      </c>
      <c r="P247" s="13">
        <f t="shared" si="50"/>
        <v>937</v>
      </c>
      <c r="Q247" s="33"/>
      <c r="R247" s="13">
        <f t="shared" ca="1" si="51"/>
        <v>0</v>
      </c>
      <c r="S247" s="13">
        <f ca="1">ROUNDUP(($M247-$O247-$P247+$R247)*VLOOKUP($B247,Paraméterek!$B$38:$D$39,IF($D$2="Egyszeri",3,2))/12,IF($D$4="Forint",0,2))</f>
        <v>-320</v>
      </c>
      <c r="T247" s="13">
        <f>Tranzakciók!$F$50</f>
        <v>0</v>
      </c>
      <c r="U247" s="13"/>
      <c r="V247" s="13">
        <f ca="1">$M247-$O247-$P247+$R247-$S247-IF(ROUNDUP(IF(ISBLANK($U247),$T247,$U247)/IF(AND($B247=1,$D$2&lt;&gt;"Egyszeri"),1,VLOOKUP($B247+IF($C247=12,1,0),Paraméterek!$B$257:$D$267,IF($D$2="Egyszeri",3,2))),IF($D$4="Forint",0,2))&gt;$M247-$O247-$P247+$R247-$S247-IF($D$4="Forint",Paraméterek!$C$216,Paraméterek!$D$216),0,ROUNDUP(IF(ISBLANK($U247),$T247,$U247)/IF(AND($B247=1,$D$2&lt;&gt;"Egyszeri"),1,VLOOKUP($B247+IF($C247=12,1,0),Paraméterek!$B$257:$D$267,IF($D$2="Egyszeri",3,2))),IF($D$4="Forint",0,2)))</f>
        <v>-130641</v>
      </c>
      <c r="W247" s="13">
        <f ca="1">ROUNDDOWN($V247*VLOOKUP($B247+IF($C247=12,1,0),Paraméterek!$B$257:$D$267,IF($D$2="Egyszeri",3,2)),IF($D$4="Forint",0,2))</f>
        <v>-130641</v>
      </c>
      <c r="Y247" s="32">
        <v>228</v>
      </c>
      <c r="Z247" s="32">
        <v>19</v>
      </c>
      <c r="AA247" s="32">
        <v>12</v>
      </c>
      <c r="AB247" s="13">
        <f t="shared" si="56"/>
        <v>0</v>
      </c>
      <c r="AC247" s="33"/>
      <c r="AD247" s="13">
        <f t="shared" si="52"/>
        <v>0</v>
      </c>
      <c r="AE247" s="13">
        <f>ROUNDUP(($AB247+$AD247)*VLOOKUP($Z247,Paraméterek!$P$38:$Q$38,2)/12,IF($D$4="Forint",0,2))</f>
        <v>0</v>
      </c>
      <c r="AF247" s="13">
        <f>IF($D$2="Egyszeri",IF($D$7&gt;=IF($D$4="Forint",Paraméterek!$P$223,Paraméterek!$P$224),$D$7-IF($D$4="Forint",Paraméterek!$F$223,Paraméterek!$F$224),0),MIN(IF($AA247=12,AVERAGE($D$20:$D247)*12,0),SUM($D$20:$D$31)))</f>
        <v>0</v>
      </c>
      <c r="AG247" s="13">
        <f>IF(AND($Z247&gt;=10,MOD($Z247,5)=0),$AF247*IF($AA247=12,VLOOKUP($Z247,Paraméterek!$B$225:$F$240,IF($AF247&lt;IF($D$4="Forint",Paraméterek!$C$223,Paraméterek!$C$224),2,IF($AF247&lt;IF($D$4="Forint",Paraméterek!$D$223,Paraméterek!$D$224),3,4))),0),0)</f>
        <v>0</v>
      </c>
      <c r="AH247" s="13">
        <f>IF(AND($Z247&gt;=5,MOD($Z247,5)=0),IF($AA247=12,VLOOKUP($Z247,Paraméterek!$B$225:$F$240,5),0),IF(OR($Z247=3,$Z247=4),IF($AA247=12,VLOOKUP($Z247,Paraméterek!$B$225:$F$240,5,0),0),0))*$AF247</f>
        <v>0</v>
      </c>
      <c r="AI247" s="13">
        <f>ROUNDDOWN(IF(SUM($T$20:$U247)=0,IF($D$2="Egyszeri",$AH247,$AG247),0),IF($D$4="Forint",0,2))</f>
        <v>0</v>
      </c>
      <c r="AJ247" s="13">
        <f t="shared" si="57"/>
        <v>0</v>
      </c>
      <c r="AK247" s="13">
        <f t="shared" si="58"/>
        <v>0</v>
      </c>
      <c r="AM247" s="32">
        <v>228</v>
      </c>
      <c r="AN247" s="32">
        <v>19</v>
      </c>
      <c r="AO247" s="32">
        <v>12</v>
      </c>
      <c r="AP247" s="13"/>
      <c r="AQ247" s="32"/>
      <c r="AR247" s="13">
        <f t="shared" si="59"/>
        <v>0</v>
      </c>
      <c r="AS247" s="33"/>
      <c r="AT247" s="13">
        <f t="shared" si="53"/>
        <v>0</v>
      </c>
      <c r="AU247" s="13">
        <f>ROUNDUP(($AR247+$AT247)*VLOOKUP($AN247,Paraméterek!$P$38:$Q$38,2)/12,IF($D$4="Forint",0,2))</f>
        <v>0</v>
      </c>
      <c r="AV247" s="13">
        <f>Tranzakciók!$M$50</f>
        <v>0</v>
      </c>
      <c r="AW247" s="13"/>
      <c r="AX247" s="13">
        <f>ROUNDUP(IF(SUM($AV247:$AW247)=0,0,IF(IF(ISBLANK($AW247),$AV247,$AW247)*Paraméterek!$J$112&lt;IF($D$4="Forint",Paraméterek!$J$113,Paraméterek!$K$113),IF($D$4="Forint",Paraméterek!$J$113,Paraméterek!$K$113),IF(IF(ISBLANK($AW247),$AV247,$AW247)*Paraméterek!$J$112&gt;IF($D$4="Forint",Paraméterek!$J$114,Paraméterek!$K$114),IF($D$4="Forint",Paraméterek!$J$114,Paraméterek!$K$114),IF(ISBLANK($AW247),$AV247,$AW247)*Paraméterek!$J$112))),IF($D$4="Forint",0,2))</f>
        <v>0</v>
      </c>
      <c r="AY247" s="13">
        <f>$AR247+$AT247-$AU247-IF(ROUNDDOWN(IF(ISBLANK($AW247),$AV247,$AW247),IF($D$4="Forint",0,2))&gt;$AR247+$AT247-$AU247-IF($D$4="Forint",Paraméterek!$J$114,Paraméterek!$K$114),0,ROUNDDOWN(IF(ISBLANK($AW247),$AV247,$AW247),IF($D$4="Forint",0,2))-$AX247)</f>
        <v>0</v>
      </c>
      <c r="AZ247" s="13">
        <f t="shared" si="54"/>
        <v>0</v>
      </c>
    </row>
    <row r="248" spans="1:52" x14ac:dyDescent="0.2">
      <c r="A248" s="32">
        <v>229</v>
      </c>
      <c r="B248" s="32">
        <v>20</v>
      </c>
      <c r="C248" s="32">
        <v>1</v>
      </c>
      <c r="D248" s="13">
        <f t="shared" si="45"/>
        <v>0</v>
      </c>
      <c r="E248" s="13"/>
      <c r="F248" s="13">
        <f>Tranzakciók!$D$51</f>
        <v>0</v>
      </c>
      <c r="G248" s="13"/>
      <c r="H248" s="13">
        <f t="shared" si="46"/>
        <v>0</v>
      </c>
      <c r="I248" s="13">
        <f t="shared" si="47"/>
        <v>176</v>
      </c>
      <c r="J248" s="13">
        <f t="shared" si="48"/>
        <v>176</v>
      </c>
      <c r="K248" s="13">
        <f>ROUNDUP(IF($D$2="Egyszeri",$D248,IF($D$2="Havi",SUM($D$20:$D$31),IF(MOD($C248,$M$1)-1=0,SUM($D$20:$D$31),0))/12*$M$1)*VLOOKUP($B248,Paraméterek!$B$27:$D$30,IF($D$2="Egyszeri",3,2)),IF($D$4="Forint",0,2))</f>
        <v>0</v>
      </c>
      <c r="L248" s="13">
        <f t="shared" si="49"/>
        <v>0</v>
      </c>
      <c r="M248" s="13">
        <f t="shared" ca="1" si="55"/>
        <v>-130641</v>
      </c>
      <c r="N248" s="13">
        <f ca="1">IF($V247&gt;=VLOOKUP($M$4-1+$B248,Paraméterek!$B$121:$D$122,IF($D$4="Forint",2,3)),0,VLOOKUP($M$4-1+$B248,Paraméterek!$B$121:$D$122,IF($D$4="Forint",2,3))-$V247)</f>
        <v>140641</v>
      </c>
      <c r="O248" s="13">
        <f ca="1">ROUNDUP($N248*Paraméterek!$C$58/Paraméterek!$C$56,IF($D$4="Forint",0,2))</f>
        <v>23</v>
      </c>
      <c r="P248" s="13">
        <f t="shared" si="50"/>
        <v>965</v>
      </c>
      <c r="Q248" s="33"/>
      <c r="R248" s="13">
        <f t="shared" ca="1" si="51"/>
        <v>0</v>
      </c>
      <c r="S248" s="13">
        <f ca="1">ROUNDUP(($M248-$O248-$P248+$R248)*VLOOKUP($B248,Paraméterek!$B$38:$D$39,IF($D$2="Egyszeri",3,2))/12,IF($D$4="Forint",0,2))</f>
        <v>-322</v>
      </c>
      <c r="T248" s="13"/>
      <c r="U248" s="13"/>
      <c r="V248" s="13">
        <f ca="1">$M248-$O248-$P248+$R248-$S248-IF(ROUNDUP(IF(ISBLANK($U248),$T248,$U248)/IF(AND($B248=1,$D$2&lt;&gt;"Egyszeri"),1,VLOOKUP($B248+IF($C248=12,1,0),Paraméterek!$B$257:$D$267,IF($D$2="Egyszeri",3,2))),IF($D$4="Forint",0,2))&gt;$M248-$O248-$P248+$R248-$S248-IF($D$4="Forint",Paraméterek!$C$216,Paraméterek!$D$216),0,ROUNDUP(IF(ISBLANK($U248),$T248,$U248)/IF(AND($B248=1,$D$2&lt;&gt;"Egyszeri"),1,VLOOKUP($B248+IF($C248=12,1,0),Paraméterek!$B$257:$D$267,IF($D$2="Egyszeri",3,2))),IF($D$4="Forint",0,2)))</f>
        <v>-131307</v>
      </c>
      <c r="W248" s="13">
        <f ca="1">ROUNDDOWN($V248*VLOOKUP($B248+IF($C248=12,1,0),Paraméterek!$B$257:$D$267,IF($D$2="Egyszeri",3,2)),IF($D$4="Forint",0,2))</f>
        <v>-131307</v>
      </c>
      <c r="Y248" s="32">
        <v>229</v>
      </c>
      <c r="Z248" s="32">
        <v>20</v>
      </c>
      <c r="AA248" s="32">
        <v>1</v>
      </c>
      <c r="AB248" s="13">
        <f t="shared" si="56"/>
        <v>0</v>
      </c>
      <c r="AC248" s="33"/>
      <c r="AD248" s="13">
        <f t="shared" si="52"/>
        <v>0</v>
      </c>
      <c r="AE248" s="13">
        <f>ROUNDUP(($AB248+$AD248)*VLOOKUP($Z248,Paraméterek!$P$38:$Q$38,2)/12,IF($D$4="Forint",0,2))</f>
        <v>0</v>
      </c>
      <c r="AF248" s="13">
        <f>IF($D$2="Egyszeri",IF($D$7&gt;=IF($D$4="Forint",Paraméterek!$P$223,Paraméterek!$P$224),$D$7-IF($D$4="Forint",Paraméterek!$F$223,Paraméterek!$F$224),0),MIN(IF($AA248=12,AVERAGE($D$20:$D248)*12,0),SUM($D$20:$D$31)))</f>
        <v>0</v>
      </c>
      <c r="AG248" s="13">
        <f>IF(AND($Z248&gt;=10,MOD($Z248,5)=0),$AF248*IF($AA248=12,VLOOKUP($Z248,Paraméterek!$B$225:$F$240,IF($AF248&lt;IF($D$4="Forint",Paraméterek!$C$223,Paraméterek!$C$224),2,IF($AF248&lt;IF($D$4="Forint",Paraméterek!$D$223,Paraméterek!$D$224),3,4))),0),0)</f>
        <v>0</v>
      </c>
      <c r="AH248" s="13">
        <f>IF(AND($Z248&gt;=5,MOD($Z248,5)=0),IF($AA248=12,VLOOKUP($Z248,Paraméterek!$B$225:$F$240,5),0),IF(OR($Z248=3,$Z248=4),IF($AA248=12,VLOOKUP($Z248,Paraméterek!$B$225:$F$240,5,0),0),0))*$AF248</f>
        <v>0</v>
      </c>
      <c r="AI248" s="13">
        <f>ROUNDDOWN(IF(SUM($T$20:$U248)=0,IF($D$2="Egyszeri",$AH248,$AG248),0),IF($D$4="Forint",0,2))</f>
        <v>0</v>
      </c>
      <c r="AJ248" s="13">
        <f t="shared" si="57"/>
        <v>0</v>
      </c>
      <c r="AK248" s="13">
        <f t="shared" si="58"/>
        <v>0</v>
      </c>
      <c r="AM248" s="32">
        <v>229</v>
      </c>
      <c r="AN248" s="32">
        <v>20</v>
      </c>
      <c r="AO248" s="32">
        <v>1</v>
      </c>
      <c r="AP248" s="13">
        <f>Tranzakciók!$K$51</f>
        <v>0</v>
      </c>
      <c r="AQ248" s="32"/>
      <c r="AR248" s="13">
        <f t="shared" si="59"/>
        <v>0</v>
      </c>
      <c r="AS248" s="33"/>
      <c r="AT248" s="13">
        <f t="shared" si="53"/>
        <v>0</v>
      </c>
      <c r="AU248" s="13">
        <f>ROUNDUP(($AR248+$AT248)*VLOOKUP($AN248,Paraméterek!$P$38:$Q$38,2)/12,IF($D$4="Forint",0,2))</f>
        <v>0</v>
      </c>
      <c r="AV248" s="13"/>
      <c r="AW248" s="13"/>
      <c r="AX248" s="13">
        <f>ROUNDUP(IF(SUM($AV248:$AW248)=0,0,IF(IF(ISBLANK($AW248),$AV248,$AW248)*Paraméterek!$J$112&lt;IF($D$4="Forint",Paraméterek!$J$113,Paraméterek!$K$113),IF($D$4="Forint",Paraméterek!$J$113,Paraméterek!$K$113),IF(IF(ISBLANK($AW248),$AV248,$AW248)*Paraméterek!$J$112&gt;IF($D$4="Forint",Paraméterek!$J$114,Paraméterek!$K$114),IF($D$4="Forint",Paraméterek!$J$114,Paraméterek!$K$114),IF(ISBLANK($AW248),$AV248,$AW248)*Paraméterek!$J$112))),IF($D$4="Forint",0,2))</f>
        <v>0</v>
      </c>
      <c r="AY248" s="13">
        <f>$AR248+$AT248-$AU248-IF(ROUNDDOWN(IF(ISBLANK($AW248),$AV248,$AW248),IF($D$4="Forint",0,2))&gt;$AR248+$AT248-$AU248-IF($D$4="Forint",Paraméterek!$J$114,Paraméterek!$K$114),0,ROUNDDOWN(IF(ISBLANK($AW248),$AV248,$AW248),IF($D$4="Forint",0,2))-$AX248)</f>
        <v>0</v>
      </c>
      <c r="AZ248" s="13">
        <f t="shared" si="54"/>
        <v>0</v>
      </c>
    </row>
    <row r="249" spans="1:52" x14ac:dyDescent="0.2">
      <c r="A249" s="32">
        <v>230</v>
      </c>
      <c r="B249" s="32">
        <v>20</v>
      </c>
      <c r="C249" s="32">
        <v>2</v>
      </c>
      <c r="D249" s="13">
        <f t="shared" si="45"/>
        <v>0</v>
      </c>
      <c r="E249" s="13"/>
      <c r="F249" s="13"/>
      <c r="G249" s="13"/>
      <c r="H249" s="13">
        <f t="shared" si="46"/>
        <v>0</v>
      </c>
      <c r="I249" s="13">
        <f t="shared" si="47"/>
        <v>0</v>
      </c>
      <c r="J249" s="13">
        <f t="shared" si="48"/>
        <v>0</v>
      </c>
      <c r="K249" s="13">
        <f>ROUNDUP(IF($D$2="Egyszeri",$D249,IF($D$2="Havi",SUM($D$20:$D$31),IF(MOD($C249,$M$1)-1=0,SUM($D$20:$D$31),0))/12*$M$1)*VLOOKUP($B249,Paraméterek!$B$27:$D$30,IF($D$2="Egyszeri",3,2)),IF($D$4="Forint",0,2))</f>
        <v>0</v>
      </c>
      <c r="L249" s="13">
        <f t="shared" si="49"/>
        <v>0</v>
      </c>
      <c r="M249" s="13">
        <f t="shared" ca="1" si="55"/>
        <v>-131307</v>
      </c>
      <c r="N249" s="13">
        <f ca="1">IF($V248&gt;=VLOOKUP($M$4-1+$B249,Paraméterek!$B$121:$D$122,IF($D$4="Forint",2,3)),0,VLOOKUP($M$4-1+$B249,Paraméterek!$B$121:$D$122,IF($D$4="Forint",2,3))-$V248)</f>
        <v>141307</v>
      </c>
      <c r="O249" s="13">
        <f ca="1">ROUNDUP($N249*Paraméterek!$C$58/Paraméterek!$C$56,IF($D$4="Forint",0,2))</f>
        <v>23</v>
      </c>
      <c r="P249" s="13">
        <f t="shared" si="50"/>
        <v>965</v>
      </c>
      <c r="Q249" s="33"/>
      <c r="R249" s="13">
        <f t="shared" ca="1" si="51"/>
        <v>0</v>
      </c>
      <c r="S249" s="13">
        <f ca="1">ROUNDUP(($M249-$O249-$P249+$R249)*VLOOKUP($B249,Paraméterek!$B$38:$D$39,IF($D$2="Egyszeri",3,2))/12,IF($D$4="Forint",0,2))</f>
        <v>-324</v>
      </c>
      <c r="T249" s="13"/>
      <c r="U249" s="13"/>
      <c r="V249" s="13">
        <f ca="1">$M249-$O249-$P249+$R249-$S249-IF(ROUNDUP(IF(ISBLANK($U249),$T249,$U249)/IF(AND($B249=1,$D$2&lt;&gt;"Egyszeri"),1,VLOOKUP($B249+IF($C249=12,1,0),Paraméterek!$B$257:$D$267,IF($D$2="Egyszeri",3,2))),IF($D$4="Forint",0,2))&gt;$M249-$O249-$P249+$R249-$S249-IF($D$4="Forint",Paraméterek!$C$216,Paraméterek!$D$216),0,ROUNDUP(IF(ISBLANK($U249),$T249,$U249)/IF(AND($B249=1,$D$2&lt;&gt;"Egyszeri"),1,VLOOKUP($B249+IF($C249=12,1,0),Paraméterek!$B$257:$D$267,IF($D$2="Egyszeri",3,2))),IF($D$4="Forint",0,2)))</f>
        <v>-131971</v>
      </c>
      <c r="W249" s="13">
        <f ca="1">ROUNDDOWN($V249*VLOOKUP($B249+IF($C249=12,1,0),Paraméterek!$B$257:$D$267,IF($D$2="Egyszeri",3,2)),IF($D$4="Forint",0,2))</f>
        <v>-131971</v>
      </c>
      <c r="Y249" s="32">
        <v>230</v>
      </c>
      <c r="Z249" s="32">
        <v>20</v>
      </c>
      <c r="AA249" s="32">
        <v>2</v>
      </c>
      <c r="AB249" s="13">
        <f t="shared" si="56"/>
        <v>0</v>
      </c>
      <c r="AC249" s="33"/>
      <c r="AD249" s="13">
        <f t="shared" si="52"/>
        <v>0</v>
      </c>
      <c r="AE249" s="13">
        <f>ROUNDUP(($AB249+$AD249)*VLOOKUP($Z249,Paraméterek!$P$38:$Q$38,2)/12,IF($D$4="Forint",0,2))</f>
        <v>0</v>
      </c>
      <c r="AF249" s="13">
        <f>IF($D$2="Egyszeri",IF($D$7&gt;=IF($D$4="Forint",Paraméterek!$P$223,Paraméterek!$P$224),$D$7-IF($D$4="Forint",Paraméterek!$F$223,Paraméterek!$F$224),0),MIN(IF($AA249=12,AVERAGE($D$20:$D249)*12,0),SUM($D$20:$D$31)))</f>
        <v>0</v>
      </c>
      <c r="AG249" s="13">
        <f>IF(AND($Z249&gt;=10,MOD($Z249,5)=0),$AF249*IF($AA249=12,VLOOKUP($Z249,Paraméterek!$B$225:$F$240,IF($AF249&lt;IF($D$4="Forint",Paraméterek!$C$223,Paraméterek!$C$224),2,IF($AF249&lt;IF($D$4="Forint",Paraméterek!$D$223,Paraméterek!$D$224),3,4))),0),0)</f>
        <v>0</v>
      </c>
      <c r="AH249" s="13">
        <f>IF(AND($Z249&gt;=5,MOD($Z249,5)=0),IF($AA249=12,VLOOKUP($Z249,Paraméterek!$B$225:$F$240,5),0),IF(OR($Z249=3,$Z249=4),IF($AA249=12,VLOOKUP($Z249,Paraméterek!$B$225:$F$240,5,0),0),0))*$AF249</f>
        <v>0</v>
      </c>
      <c r="AI249" s="13">
        <f>ROUNDDOWN(IF(SUM($T$20:$U249)=0,IF($D$2="Egyszeri",$AH249,$AG249),0),IF($D$4="Forint",0,2))</f>
        <v>0</v>
      </c>
      <c r="AJ249" s="13">
        <f t="shared" si="57"/>
        <v>0</v>
      </c>
      <c r="AK249" s="13">
        <f t="shared" si="58"/>
        <v>0</v>
      </c>
      <c r="AM249" s="32">
        <v>230</v>
      </c>
      <c r="AN249" s="32">
        <v>20</v>
      </c>
      <c r="AO249" s="32">
        <v>2</v>
      </c>
      <c r="AP249" s="13"/>
      <c r="AQ249" s="32"/>
      <c r="AR249" s="13">
        <f t="shared" si="59"/>
        <v>0</v>
      </c>
      <c r="AS249" s="33"/>
      <c r="AT249" s="13">
        <f t="shared" si="53"/>
        <v>0</v>
      </c>
      <c r="AU249" s="13">
        <f>ROUNDUP(($AR249+$AT249)*VLOOKUP($AN249,Paraméterek!$P$38:$Q$38,2)/12,IF($D$4="Forint",0,2))</f>
        <v>0</v>
      </c>
      <c r="AV249" s="13"/>
      <c r="AW249" s="13"/>
      <c r="AX249" s="13">
        <f>ROUNDUP(IF(SUM($AV249:$AW249)=0,0,IF(IF(ISBLANK($AW249),$AV249,$AW249)*Paraméterek!$J$112&lt;IF($D$4="Forint",Paraméterek!$J$113,Paraméterek!$K$113),IF($D$4="Forint",Paraméterek!$J$113,Paraméterek!$K$113),IF(IF(ISBLANK($AW249),$AV249,$AW249)*Paraméterek!$J$112&gt;IF($D$4="Forint",Paraméterek!$J$114,Paraméterek!$K$114),IF($D$4="Forint",Paraméterek!$J$114,Paraméterek!$K$114),IF(ISBLANK($AW249),$AV249,$AW249)*Paraméterek!$J$112))),IF($D$4="Forint",0,2))</f>
        <v>0</v>
      </c>
      <c r="AY249" s="13">
        <f>$AR249+$AT249-$AU249-IF(ROUNDDOWN(IF(ISBLANK($AW249),$AV249,$AW249),IF($D$4="Forint",0,2))&gt;$AR249+$AT249-$AU249-IF($D$4="Forint",Paraméterek!$J$114,Paraméterek!$K$114),0,ROUNDDOWN(IF(ISBLANK($AW249),$AV249,$AW249),IF($D$4="Forint",0,2))-$AX249)</f>
        <v>0</v>
      </c>
      <c r="AZ249" s="13">
        <f t="shared" si="54"/>
        <v>0</v>
      </c>
    </row>
    <row r="250" spans="1:52" x14ac:dyDescent="0.2">
      <c r="A250" s="32">
        <v>231</v>
      </c>
      <c r="B250" s="32">
        <v>20</v>
      </c>
      <c r="C250" s="32">
        <v>3</v>
      </c>
      <c r="D250" s="13">
        <f t="shared" si="45"/>
        <v>0</v>
      </c>
      <c r="E250" s="13"/>
      <c r="F250" s="13"/>
      <c r="G250" s="13"/>
      <c r="H250" s="13">
        <f t="shared" si="46"/>
        <v>0</v>
      </c>
      <c r="I250" s="13">
        <f t="shared" si="47"/>
        <v>0</v>
      </c>
      <c r="J250" s="13">
        <f t="shared" si="48"/>
        <v>0</v>
      </c>
      <c r="K250" s="13">
        <f>ROUNDUP(IF($D$2="Egyszeri",$D250,IF($D$2="Havi",SUM($D$20:$D$31),IF(MOD($C250,$M$1)-1=0,SUM($D$20:$D$31),0))/12*$M$1)*VLOOKUP($B250,Paraméterek!$B$27:$D$30,IF($D$2="Egyszeri",3,2)),IF($D$4="Forint",0,2))</f>
        <v>0</v>
      </c>
      <c r="L250" s="13">
        <f t="shared" si="49"/>
        <v>0</v>
      </c>
      <c r="M250" s="13">
        <f t="shared" ca="1" si="55"/>
        <v>-131971</v>
      </c>
      <c r="N250" s="13">
        <f ca="1">IF($V249&gt;=VLOOKUP($M$4-1+$B250,Paraméterek!$B$121:$D$122,IF($D$4="Forint",2,3)),0,VLOOKUP($M$4-1+$B250,Paraméterek!$B$121:$D$122,IF($D$4="Forint",2,3))-$V249)</f>
        <v>141971</v>
      </c>
      <c r="O250" s="13">
        <f ca="1">ROUNDUP($N250*Paraméterek!$C$58/Paraméterek!$C$56,IF($D$4="Forint",0,2))</f>
        <v>23</v>
      </c>
      <c r="P250" s="13">
        <f t="shared" si="50"/>
        <v>965</v>
      </c>
      <c r="Q250" s="33"/>
      <c r="R250" s="13">
        <f t="shared" ca="1" si="51"/>
        <v>0</v>
      </c>
      <c r="S250" s="13">
        <f ca="1">ROUNDUP(($M250-$O250-$P250+$R250)*VLOOKUP($B250,Paraméterek!$B$38:$D$39,IF($D$2="Egyszeri",3,2))/12,IF($D$4="Forint",0,2))</f>
        <v>-325</v>
      </c>
      <c r="T250" s="13"/>
      <c r="U250" s="13"/>
      <c r="V250" s="13">
        <f ca="1">$M250-$O250-$P250+$R250-$S250-IF(ROUNDUP(IF(ISBLANK($U250),$T250,$U250)/IF(AND($B250=1,$D$2&lt;&gt;"Egyszeri"),1,VLOOKUP($B250+IF($C250=12,1,0),Paraméterek!$B$257:$D$267,IF($D$2="Egyszeri",3,2))),IF($D$4="Forint",0,2))&gt;$M250-$O250-$P250+$R250-$S250-IF($D$4="Forint",Paraméterek!$C$216,Paraméterek!$D$216),0,ROUNDUP(IF(ISBLANK($U250),$T250,$U250)/IF(AND($B250=1,$D$2&lt;&gt;"Egyszeri"),1,VLOOKUP($B250+IF($C250=12,1,0),Paraméterek!$B$257:$D$267,IF($D$2="Egyszeri",3,2))),IF($D$4="Forint",0,2)))</f>
        <v>-132634</v>
      </c>
      <c r="W250" s="13">
        <f ca="1">ROUNDDOWN($V250*VLOOKUP($B250+IF($C250=12,1,0),Paraméterek!$B$257:$D$267,IF($D$2="Egyszeri",3,2)),IF($D$4="Forint",0,2))</f>
        <v>-132634</v>
      </c>
      <c r="Y250" s="32">
        <v>231</v>
      </c>
      <c r="Z250" s="32">
        <v>20</v>
      </c>
      <c r="AA250" s="32">
        <v>3</v>
      </c>
      <c r="AB250" s="13">
        <f t="shared" si="56"/>
        <v>0</v>
      </c>
      <c r="AC250" s="33"/>
      <c r="AD250" s="13">
        <f t="shared" si="52"/>
        <v>0</v>
      </c>
      <c r="AE250" s="13">
        <f>ROUNDUP(($AB250+$AD250)*VLOOKUP($Z250,Paraméterek!$P$38:$Q$38,2)/12,IF($D$4="Forint",0,2))</f>
        <v>0</v>
      </c>
      <c r="AF250" s="13">
        <f>IF($D$2="Egyszeri",IF($D$7&gt;=IF($D$4="Forint",Paraméterek!$P$223,Paraméterek!$P$224),$D$7-IF($D$4="Forint",Paraméterek!$F$223,Paraméterek!$F$224),0),MIN(IF($AA250=12,AVERAGE($D$20:$D250)*12,0),SUM($D$20:$D$31)))</f>
        <v>0</v>
      </c>
      <c r="AG250" s="13">
        <f>IF(AND($Z250&gt;=10,MOD($Z250,5)=0),$AF250*IF($AA250=12,VLOOKUP($Z250,Paraméterek!$B$225:$F$240,IF($AF250&lt;IF($D$4="Forint",Paraméterek!$C$223,Paraméterek!$C$224),2,IF($AF250&lt;IF($D$4="Forint",Paraméterek!$D$223,Paraméterek!$D$224),3,4))),0),0)</f>
        <v>0</v>
      </c>
      <c r="AH250" s="13">
        <f>IF(AND($Z250&gt;=5,MOD($Z250,5)=0),IF($AA250=12,VLOOKUP($Z250,Paraméterek!$B$225:$F$240,5),0),IF(OR($Z250=3,$Z250=4),IF($AA250=12,VLOOKUP($Z250,Paraméterek!$B$225:$F$240,5,0),0),0))*$AF250</f>
        <v>0</v>
      </c>
      <c r="AI250" s="13">
        <f>ROUNDDOWN(IF(SUM($T$20:$U250)=0,IF($D$2="Egyszeri",$AH250,$AG250),0),IF($D$4="Forint",0,2))</f>
        <v>0</v>
      </c>
      <c r="AJ250" s="13">
        <f t="shared" si="57"/>
        <v>0</v>
      </c>
      <c r="AK250" s="13">
        <f t="shared" si="58"/>
        <v>0</v>
      </c>
      <c r="AM250" s="32">
        <v>231</v>
      </c>
      <c r="AN250" s="32">
        <v>20</v>
      </c>
      <c r="AO250" s="32">
        <v>3</v>
      </c>
      <c r="AP250" s="13"/>
      <c r="AQ250" s="32"/>
      <c r="AR250" s="13">
        <f t="shared" si="59"/>
        <v>0</v>
      </c>
      <c r="AS250" s="33"/>
      <c r="AT250" s="13">
        <f t="shared" si="53"/>
        <v>0</v>
      </c>
      <c r="AU250" s="13">
        <f>ROUNDUP(($AR250+$AT250)*VLOOKUP($AN250,Paraméterek!$P$38:$Q$38,2)/12,IF($D$4="Forint",0,2))</f>
        <v>0</v>
      </c>
      <c r="AV250" s="13"/>
      <c r="AW250" s="13"/>
      <c r="AX250" s="13">
        <f>ROUNDUP(IF(SUM($AV250:$AW250)=0,0,IF(IF(ISBLANK($AW250),$AV250,$AW250)*Paraméterek!$J$112&lt;IF($D$4="Forint",Paraméterek!$J$113,Paraméterek!$K$113),IF($D$4="Forint",Paraméterek!$J$113,Paraméterek!$K$113),IF(IF(ISBLANK($AW250),$AV250,$AW250)*Paraméterek!$J$112&gt;IF($D$4="Forint",Paraméterek!$J$114,Paraméterek!$K$114),IF($D$4="Forint",Paraméterek!$J$114,Paraméterek!$K$114),IF(ISBLANK($AW250),$AV250,$AW250)*Paraméterek!$J$112))),IF($D$4="Forint",0,2))</f>
        <v>0</v>
      </c>
      <c r="AY250" s="13">
        <f>$AR250+$AT250-$AU250-IF(ROUNDDOWN(IF(ISBLANK($AW250),$AV250,$AW250),IF($D$4="Forint",0,2))&gt;$AR250+$AT250-$AU250-IF($D$4="Forint",Paraméterek!$J$114,Paraméterek!$K$114),0,ROUNDDOWN(IF(ISBLANK($AW250),$AV250,$AW250),IF($D$4="Forint",0,2))-$AX250)</f>
        <v>0</v>
      </c>
      <c r="AZ250" s="13">
        <f t="shared" si="54"/>
        <v>0</v>
      </c>
    </row>
    <row r="251" spans="1:52" x14ac:dyDescent="0.2">
      <c r="A251" s="32">
        <v>232</v>
      </c>
      <c r="B251" s="32">
        <v>20</v>
      </c>
      <c r="C251" s="32">
        <v>4</v>
      </c>
      <c r="D251" s="13">
        <f t="shared" si="45"/>
        <v>0</v>
      </c>
      <c r="E251" s="13"/>
      <c r="F251" s="13"/>
      <c r="G251" s="13"/>
      <c r="H251" s="13">
        <f t="shared" si="46"/>
        <v>0</v>
      </c>
      <c r="I251" s="13">
        <f t="shared" si="47"/>
        <v>0</v>
      </c>
      <c r="J251" s="13">
        <f t="shared" si="48"/>
        <v>0</v>
      </c>
      <c r="K251" s="13">
        <f>ROUNDUP(IF($D$2="Egyszeri",$D251,IF($D$2="Havi",SUM($D$20:$D$31),IF(MOD($C251,$M$1)-1=0,SUM($D$20:$D$31),0))/12*$M$1)*VLOOKUP($B251,Paraméterek!$B$27:$D$30,IF($D$2="Egyszeri",3,2)),IF($D$4="Forint",0,2))</f>
        <v>0</v>
      </c>
      <c r="L251" s="13">
        <f t="shared" si="49"/>
        <v>0</v>
      </c>
      <c r="M251" s="13">
        <f t="shared" ca="1" si="55"/>
        <v>-132634</v>
      </c>
      <c r="N251" s="13">
        <f ca="1">IF($V250&gt;=VLOOKUP($M$4-1+$B251,Paraméterek!$B$121:$D$122,IF($D$4="Forint",2,3)),0,VLOOKUP($M$4-1+$B251,Paraméterek!$B$121:$D$122,IF($D$4="Forint",2,3))-$V250)</f>
        <v>142634</v>
      </c>
      <c r="O251" s="13">
        <f ca="1">ROUNDUP($N251*Paraméterek!$C$58/Paraméterek!$C$56,IF($D$4="Forint",0,2))</f>
        <v>23</v>
      </c>
      <c r="P251" s="13">
        <f t="shared" si="50"/>
        <v>965</v>
      </c>
      <c r="Q251" s="33"/>
      <c r="R251" s="13">
        <f t="shared" ca="1" si="51"/>
        <v>0</v>
      </c>
      <c r="S251" s="13">
        <f ca="1">ROUNDUP(($M251-$O251-$P251+$R251)*VLOOKUP($B251,Paraméterek!$B$38:$D$39,IF($D$2="Egyszeri",3,2))/12,IF($D$4="Forint",0,2))</f>
        <v>-327</v>
      </c>
      <c r="T251" s="13"/>
      <c r="U251" s="13"/>
      <c r="V251" s="13">
        <f ca="1">$M251-$O251-$P251+$R251-$S251-IF(ROUNDUP(IF(ISBLANK($U251),$T251,$U251)/IF(AND($B251=1,$D$2&lt;&gt;"Egyszeri"),1,VLOOKUP($B251+IF($C251=12,1,0),Paraméterek!$B$257:$D$267,IF($D$2="Egyszeri",3,2))),IF($D$4="Forint",0,2))&gt;$M251-$O251-$P251+$R251-$S251-IF($D$4="Forint",Paraméterek!$C$216,Paraméterek!$D$216),0,ROUNDUP(IF(ISBLANK($U251),$T251,$U251)/IF(AND($B251=1,$D$2&lt;&gt;"Egyszeri"),1,VLOOKUP($B251+IF($C251=12,1,0),Paraméterek!$B$257:$D$267,IF($D$2="Egyszeri",3,2))),IF($D$4="Forint",0,2)))</f>
        <v>-133295</v>
      </c>
      <c r="W251" s="13">
        <f ca="1">ROUNDDOWN($V251*VLOOKUP($B251+IF($C251=12,1,0),Paraméterek!$B$257:$D$267,IF($D$2="Egyszeri",3,2)),IF($D$4="Forint",0,2))</f>
        <v>-133295</v>
      </c>
      <c r="Y251" s="32">
        <v>232</v>
      </c>
      <c r="Z251" s="32">
        <v>20</v>
      </c>
      <c r="AA251" s="32">
        <v>4</v>
      </c>
      <c r="AB251" s="13">
        <f t="shared" si="56"/>
        <v>0</v>
      </c>
      <c r="AC251" s="33"/>
      <c r="AD251" s="13">
        <f t="shared" si="52"/>
        <v>0</v>
      </c>
      <c r="AE251" s="13">
        <f>ROUNDUP(($AB251+$AD251)*VLOOKUP($Z251,Paraméterek!$P$38:$Q$38,2)/12,IF($D$4="Forint",0,2))</f>
        <v>0</v>
      </c>
      <c r="AF251" s="13">
        <f>IF($D$2="Egyszeri",IF($D$7&gt;=IF($D$4="Forint",Paraméterek!$P$223,Paraméterek!$P$224),$D$7-IF($D$4="Forint",Paraméterek!$F$223,Paraméterek!$F$224),0),MIN(IF($AA251=12,AVERAGE($D$20:$D251)*12,0),SUM($D$20:$D$31)))</f>
        <v>0</v>
      </c>
      <c r="AG251" s="13">
        <f>IF(AND($Z251&gt;=10,MOD($Z251,5)=0),$AF251*IF($AA251=12,VLOOKUP($Z251,Paraméterek!$B$225:$F$240,IF($AF251&lt;IF($D$4="Forint",Paraméterek!$C$223,Paraméterek!$C$224),2,IF($AF251&lt;IF($D$4="Forint",Paraméterek!$D$223,Paraméterek!$D$224),3,4))),0),0)</f>
        <v>0</v>
      </c>
      <c r="AH251" s="13">
        <f>IF(AND($Z251&gt;=5,MOD($Z251,5)=0),IF($AA251=12,VLOOKUP($Z251,Paraméterek!$B$225:$F$240,5),0),IF(OR($Z251=3,$Z251=4),IF($AA251=12,VLOOKUP($Z251,Paraméterek!$B$225:$F$240,5,0),0),0))*$AF251</f>
        <v>0</v>
      </c>
      <c r="AI251" s="13">
        <f>ROUNDDOWN(IF(SUM($T$20:$U251)=0,IF($D$2="Egyszeri",$AH251,$AG251),0),IF($D$4="Forint",0,2))</f>
        <v>0</v>
      </c>
      <c r="AJ251" s="13">
        <f t="shared" si="57"/>
        <v>0</v>
      </c>
      <c r="AK251" s="13">
        <f t="shared" si="58"/>
        <v>0</v>
      </c>
      <c r="AM251" s="32">
        <v>232</v>
      </c>
      <c r="AN251" s="32">
        <v>20</v>
      </c>
      <c r="AO251" s="32">
        <v>4</v>
      </c>
      <c r="AP251" s="13"/>
      <c r="AQ251" s="32"/>
      <c r="AR251" s="13">
        <f t="shared" si="59"/>
        <v>0</v>
      </c>
      <c r="AS251" s="33"/>
      <c r="AT251" s="13">
        <f t="shared" si="53"/>
        <v>0</v>
      </c>
      <c r="AU251" s="13">
        <f>ROUNDUP(($AR251+$AT251)*VLOOKUP($AN251,Paraméterek!$P$38:$Q$38,2)/12,IF($D$4="Forint",0,2))</f>
        <v>0</v>
      </c>
      <c r="AV251" s="13"/>
      <c r="AW251" s="13"/>
      <c r="AX251" s="13">
        <f>ROUNDUP(IF(SUM($AV251:$AW251)=0,0,IF(IF(ISBLANK($AW251),$AV251,$AW251)*Paraméterek!$J$112&lt;IF($D$4="Forint",Paraméterek!$J$113,Paraméterek!$K$113),IF($D$4="Forint",Paraméterek!$J$113,Paraméterek!$K$113),IF(IF(ISBLANK($AW251),$AV251,$AW251)*Paraméterek!$J$112&gt;IF($D$4="Forint",Paraméterek!$J$114,Paraméterek!$K$114),IF($D$4="Forint",Paraméterek!$J$114,Paraméterek!$K$114),IF(ISBLANK($AW251),$AV251,$AW251)*Paraméterek!$J$112))),IF($D$4="Forint",0,2))</f>
        <v>0</v>
      </c>
      <c r="AY251" s="13">
        <f>$AR251+$AT251-$AU251-IF(ROUNDDOWN(IF(ISBLANK($AW251),$AV251,$AW251),IF($D$4="Forint",0,2))&gt;$AR251+$AT251-$AU251-IF($D$4="Forint",Paraméterek!$J$114,Paraméterek!$K$114),0,ROUNDDOWN(IF(ISBLANK($AW251),$AV251,$AW251),IF($D$4="Forint",0,2))-$AX251)</f>
        <v>0</v>
      </c>
      <c r="AZ251" s="13">
        <f t="shared" si="54"/>
        <v>0</v>
      </c>
    </row>
    <row r="252" spans="1:52" x14ac:dyDescent="0.2">
      <c r="A252" s="32">
        <v>233</v>
      </c>
      <c r="B252" s="32">
        <v>20</v>
      </c>
      <c r="C252" s="32">
        <v>5</v>
      </c>
      <c r="D252" s="13">
        <f t="shared" si="45"/>
        <v>0</v>
      </c>
      <c r="E252" s="13"/>
      <c r="F252" s="13"/>
      <c r="G252" s="13"/>
      <c r="H252" s="13">
        <f t="shared" si="46"/>
        <v>0</v>
      </c>
      <c r="I252" s="13">
        <f t="shared" si="47"/>
        <v>0</v>
      </c>
      <c r="J252" s="13">
        <f t="shared" si="48"/>
        <v>0</v>
      </c>
      <c r="K252" s="13">
        <f>ROUNDUP(IF($D$2="Egyszeri",$D252,IF($D$2="Havi",SUM($D$20:$D$31),IF(MOD($C252,$M$1)-1=0,SUM($D$20:$D$31),0))/12*$M$1)*VLOOKUP($B252,Paraméterek!$B$27:$D$30,IF($D$2="Egyszeri",3,2)),IF($D$4="Forint",0,2))</f>
        <v>0</v>
      </c>
      <c r="L252" s="13">
        <f t="shared" si="49"/>
        <v>0</v>
      </c>
      <c r="M252" s="13">
        <f t="shared" ca="1" si="55"/>
        <v>-133295</v>
      </c>
      <c r="N252" s="13">
        <f ca="1">IF($V251&gt;=VLOOKUP($M$4-1+$B252,Paraméterek!$B$121:$D$122,IF($D$4="Forint",2,3)),0,VLOOKUP($M$4-1+$B252,Paraméterek!$B$121:$D$122,IF($D$4="Forint",2,3))-$V251)</f>
        <v>143295</v>
      </c>
      <c r="O252" s="13">
        <f ca="1">ROUNDUP($N252*Paraméterek!$C$58/Paraméterek!$C$56,IF($D$4="Forint",0,2))</f>
        <v>23</v>
      </c>
      <c r="P252" s="13">
        <f t="shared" si="50"/>
        <v>965</v>
      </c>
      <c r="Q252" s="33"/>
      <c r="R252" s="13">
        <f t="shared" ca="1" si="51"/>
        <v>0</v>
      </c>
      <c r="S252" s="13">
        <f ca="1">ROUNDUP(($M252-$O252-$P252+$R252)*VLOOKUP($B252,Paraméterek!$B$38:$D$39,IF($D$2="Egyszeri",3,2))/12,IF($D$4="Forint",0,2))</f>
        <v>-328</v>
      </c>
      <c r="T252" s="13"/>
      <c r="U252" s="13"/>
      <c r="V252" s="13">
        <f ca="1">$M252-$O252-$P252+$R252-$S252-IF(ROUNDUP(IF(ISBLANK($U252),$T252,$U252)/IF(AND($B252=1,$D$2&lt;&gt;"Egyszeri"),1,VLOOKUP($B252+IF($C252=12,1,0),Paraméterek!$B$257:$D$267,IF($D$2="Egyszeri",3,2))),IF($D$4="Forint",0,2))&gt;$M252-$O252-$P252+$R252-$S252-IF($D$4="Forint",Paraméterek!$C$216,Paraméterek!$D$216),0,ROUNDUP(IF(ISBLANK($U252),$T252,$U252)/IF(AND($B252=1,$D$2&lt;&gt;"Egyszeri"),1,VLOOKUP($B252+IF($C252=12,1,0),Paraméterek!$B$257:$D$267,IF($D$2="Egyszeri",3,2))),IF($D$4="Forint",0,2)))</f>
        <v>-133955</v>
      </c>
      <c r="W252" s="13">
        <f ca="1">ROUNDDOWN($V252*VLOOKUP($B252+IF($C252=12,1,0),Paraméterek!$B$257:$D$267,IF($D$2="Egyszeri",3,2)),IF($D$4="Forint",0,2))</f>
        <v>-133955</v>
      </c>
      <c r="Y252" s="32">
        <v>233</v>
      </c>
      <c r="Z252" s="32">
        <v>20</v>
      </c>
      <c r="AA252" s="32">
        <v>5</v>
      </c>
      <c r="AB252" s="13">
        <f t="shared" si="56"/>
        <v>0</v>
      </c>
      <c r="AC252" s="33"/>
      <c r="AD252" s="13">
        <f t="shared" si="52"/>
        <v>0</v>
      </c>
      <c r="AE252" s="13">
        <f>ROUNDUP(($AB252+$AD252)*VLOOKUP($Z252,Paraméterek!$P$38:$Q$38,2)/12,IF($D$4="Forint",0,2))</f>
        <v>0</v>
      </c>
      <c r="AF252" s="13">
        <f>IF($D$2="Egyszeri",IF($D$7&gt;=IF($D$4="Forint",Paraméterek!$P$223,Paraméterek!$P$224),$D$7-IF($D$4="Forint",Paraméterek!$F$223,Paraméterek!$F$224),0),MIN(IF($AA252=12,AVERAGE($D$20:$D252)*12,0),SUM($D$20:$D$31)))</f>
        <v>0</v>
      </c>
      <c r="AG252" s="13">
        <f>IF(AND($Z252&gt;=10,MOD($Z252,5)=0),$AF252*IF($AA252=12,VLOOKUP($Z252,Paraméterek!$B$225:$F$240,IF($AF252&lt;IF($D$4="Forint",Paraméterek!$C$223,Paraméterek!$C$224),2,IF($AF252&lt;IF($D$4="Forint",Paraméterek!$D$223,Paraméterek!$D$224),3,4))),0),0)</f>
        <v>0</v>
      </c>
      <c r="AH252" s="13">
        <f>IF(AND($Z252&gt;=5,MOD($Z252,5)=0),IF($AA252=12,VLOOKUP($Z252,Paraméterek!$B$225:$F$240,5),0),IF(OR($Z252=3,$Z252=4),IF($AA252=12,VLOOKUP($Z252,Paraméterek!$B$225:$F$240,5,0),0),0))*$AF252</f>
        <v>0</v>
      </c>
      <c r="AI252" s="13">
        <f>ROUNDDOWN(IF(SUM($T$20:$U252)=0,IF($D$2="Egyszeri",$AH252,$AG252),0),IF($D$4="Forint",0,2))</f>
        <v>0</v>
      </c>
      <c r="AJ252" s="13">
        <f t="shared" si="57"/>
        <v>0</v>
      </c>
      <c r="AK252" s="13">
        <f t="shared" si="58"/>
        <v>0</v>
      </c>
      <c r="AM252" s="32">
        <v>233</v>
      </c>
      <c r="AN252" s="32">
        <v>20</v>
      </c>
      <c r="AO252" s="32">
        <v>5</v>
      </c>
      <c r="AP252" s="13"/>
      <c r="AQ252" s="32"/>
      <c r="AR252" s="13">
        <f t="shared" si="59"/>
        <v>0</v>
      </c>
      <c r="AS252" s="33"/>
      <c r="AT252" s="13">
        <f t="shared" si="53"/>
        <v>0</v>
      </c>
      <c r="AU252" s="13">
        <f>ROUNDUP(($AR252+$AT252)*VLOOKUP($AN252,Paraméterek!$P$38:$Q$38,2)/12,IF($D$4="Forint",0,2))</f>
        <v>0</v>
      </c>
      <c r="AV252" s="13"/>
      <c r="AW252" s="13"/>
      <c r="AX252" s="13">
        <f>ROUNDUP(IF(SUM($AV252:$AW252)=0,0,IF(IF(ISBLANK($AW252),$AV252,$AW252)*Paraméterek!$J$112&lt;IF($D$4="Forint",Paraméterek!$J$113,Paraméterek!$K$113),IF($D$4="Forint",Paraméterek!$J$113,Paraméterek!$K$113),IF(IF(ISBLANK($AW252),$AV252,$AW252)*Paraméterek!$J$112&gt;IF($D$4="Forint",Paraméterek!$J$114,Paraméterek!$K$114),IF($D$4="Forint",Paraméterek!$J$114,Paraméterek!$K$114),IF(ISBLANK($AW252),$AV252,$AW252)*Paraméterek!$J$112))),IF($D$4="Forint",0,2))</f>
        <v>0</v>
      </c>
      <c r="AY252" s="13">
        <f>$AR252+$AT252-$AU252-IF(ROUNDDOWN(IF(ISBLANK($AW252),$AV252,$AW252),IF($D$4="Forint",0,2))&gt;$AR252+$AT252-$AU252-IF($D$4="Forint",Paraméterek!$J$114,Paraméterek!$K$114),0,ROUNDDOWN(IF(ISBLANK($AW252),$AV252,$AW252),IF($D$4="Forint",0,2))-$AX252)</f>
        <v>0</v>
      </c>
      <c r="AZ252" s="13">
        <f t="shared" si="54"/>
        <v>0</v>
      </c>
    </row>
    <row r="253" spans="1:52" x14ac:dyDescent="0.2">
      <c r="A253" s="32">
        <v>234</v>
      </c>
      <c r="B253" s="32">
        <v>20</v>
      </c>
      <c r="C253" s="32">
        <v>6</v>
      </c>
      <c r="D253" s="13">
        <f t="shared" si="45"/>
        <v>0</v>
      </c>
      <c r="E253" s="13"/>
      <c r="F253" s="13"/>
      <c r="G253" s="13"/>
      <c r="H253" s="13">
        <f t="shared" si="46"/>
        <v>0</v>
      </c>
      <c r="I253" s="13">
        <f t="shared" si="47"/>
        <v>0</v>
      </c>
      <c r="J253" s="13">
        <f t="shared" si="48"/>
        <v>0</v>
      </c>
      <c r="K253" s="13">
        <f>ROUNDUP(IF($D$2="Egyszeri",$D253,IF($D$2="Havi",SUM($D$20:$D$31),IF(MOD($C253,$M$1)-1=0,SUM($D$20:$D$31),0))/12*$M$1)*VLOOKUP($B253,Paraméterek!$B$27:$D$30,IF($D$2="Egyszeri",3,2)),IF($D$4="Forint",0,2))</f>
        <v>0</v>
      </c>
      <c r="L253" s="13">
        <f t="shared" si="49"/>
        <v>0</v>
      </c>
      <c r="M253" s="13">
        <f t="shared" ca="1" si="55"/>
        <v>-133955</v>
      </c>
      <c r="N253" s="13">
        <f ca="1">IF($V252&gt;=VLOOKUP($M$4-1+$B253,Paraméterek!$B$121:$D$122,IF($D$4="Forint",2,3)),0,VLOOKUP($M$4-1+$B253,Paraméterek!$B$121:$D$122,IF($D$4="Forint",2,3))-$V252)</f>
        <v>143955</v>
      </c>
      <c r="O253" s="13">
        <f ca="1">ROUNDUP($N253*Paraméterek!$C$58/Paraméterek!$C$56,IF($D$4="Forint",0,2))</f>
        <v>23</v>
      </c>
      <c r="P253" s="13">
        <f t="shared" si="50"/>
        <v>965</v>
      </c>
      <c r="Q253" s="33"/>
      <c r="R253" s="13">
        <f t="shared" ca="1" si="51"/>
        <v>0</v>
      </c>
      <c r="S253" s="13">
        <f ca="1">ROUNDUP(($M253-$O253-$P253+$R253)*VLOOKUP($B253,Paraméterek!$B$38:$D$39,IF($D$2="Egyszeri",3,2))/12,IF($D$4="Forint",0,2))</f>
        <v>-330</v>
      </c>
      <c r="T253" s="13"/>
      <c r="U253" s="13"/>
      <c r="V253" s="13">
        <f ca="1">$M253-$O253-$P253+$R253-$S253-IF(ROUNDUP(IF(ISBLANK($U253),$T253,$U253)/IF(AND($B253=1,$D$2&lt;&gt;"Egyszeri"),1,VLOOKUP($B253+IF($C253=12,1,0),Paraméterek!$B$257:$D$267,IF($D$2="Egyszeri",3,2))),IF($D$4="Forint",0,2))&gt;$M253-$O253-$P253+$R253-$S253-IF($D$4="Forint",Paraméterek!$C$216,Paraméterek!$D$216),0,ROUNDUP(IF(ISBLANK($U253),$T253,$U253)/IF(AND($B253=1,$D$2&lt;&gt;"Egyszeri"),1,VLOOKUP($B253+IF($C253=12,1,0),Paraméterek!$B$257:$D$267,IF($D$2="Egyszeri",3,2))),IF($D$4="Forint",0,2)))</f>
        <v>-134613</v>
      </c>
      <c r="W253" s="13">
        <f ca="1">ROUNDDOWN($V253*VLOOKUP($B253+IF($C253=12,1,0),Paraméterek!$B$257:$D$267,IF($D$2="Egyszeri",3,2)),IF($D$4="Forint",0,2))</f>
        <v>-134613</v>
      </c>
      <c r="Y253" s="32">
        <v>234</v>
      </c>
      <c r="Z253" s="32">
        <v>20</v>
      </c>
      <c r="AA253" s="32">
        <v>6</v>
      </c>
      <c r="AB253" s="13">
        <f t="shared" si="56"/>
        <v>0</v>
      </c>
      <c r="AC253" s="33"/>
      <c r="AD253" s="13">
        <f t="shared" si="52"/>
        <v>0</v>
      </c>
      <c r="AE253" s="13">
        <f>ROUNDUP(($AB253+$AD253)*VLOOKUP($Z253,Paraméterek!$P$38:$Q$38,2)/12,IF($D$4="Forint",0,2))</f>
        <v>0</v>
      </c>
      <c r="AF253" s="13">
        <f>IF($D$2="Egyszeri",IF($D$7&gt;=IF($D$4="Forint",Paraméterek!$P$223,Paraméterek!$P$224),$D$7-IF($D$4="Forint",Paraméterek!$F$223,Paraméterek!$F$224),0),MIN(IF($AA253=12,AVERAGE($D$20:$D253)*12,0),SUM($D$20:$D$31)))</f>
        <v>0</v>
      </c>
      <c r="AG253" s="13">
        <f>IF(AND($Z253&gt;=10,MOD($Z253,5)=0),$AF253*IF($AA253=12,VLOOKUP($Z253,Paraméterek!$B$225:$F$240,IF($AF253&lt;IF($D$4="Forint",Paraméterek!$C$223,Paraméterek!$C$224),2,IF($AF253&lt;IF($D$4="Forint",Paraméterek!$D$223,Paraméterek!$D$224),3,4))),0),0)</f>
        <v>0</v>
      </c>
      <c r="AH253" s="13">
        <f>IF(AND($Z253&gt;=5,MOD($Z253,5)=0),IF($AA253=12,VLOOKUP($Z253,Paraméterek!$B$225:$F$240,5),0),IF(OR($Z253=3,$Z253=4),IF($AA253=12,VLOOKUP($Z253,Paraméterek!$B$225:$F$240,5,0),0),0))*$AF253</f>
        <v>0</v>
      </c>
      <c r="AI253" s="13">
        <f>ROUNDDOWN(IF(SUM($T$20:$U253)=0,IF($D$2="Egyszeri",$AH253,$AG253),0),IF($D$4="Forint",0,2))</f>
        <v>0</v>
      </c>
      <c r="AJ253" s="13">
        <f t="shared" si="57"/>
        <v>0</v>
      </c>
      <c r="AK253" s="13">
        <f t="shared" si="58"/>
        <v>0</v>
      </c>
      <c r="AM253" s="32">
        <v>234</v>
      </c>
      <c r="AN253" s="32">
        <v>20</v>
      </c>
      <c r="AO253" s="32">
        <v>6</v>
      </c>
      <c r="AP253" s="13"/>
      <c r="AQ253" s="32"/>
      <c r="AR253" s="13">
        <f t="shared" si="59"/>
        <v>0</v>
      </c>
      <c r="AS253" s="33"/>
      <c r="AT253" s="13">
        <f t="shared" si="53"/>
        <v>0</v>
      </c>
      <c r="AU253" s="13">
        <f>ROUNDUP(($AR253+$AT253)*VLOOKUP($AN253,Paraméterek!$P$38:$Q$38,2)/12,IF($D$4="Forint",0,2))</f>
        <v>0</v>
      </c>
      <c r="AV253" s="13"/>
      <c r="AW253" s="13"/>
      <c r="AX253" s="13">
        <f>ROUNDUP(IF(SUM($AV253:$AW253)=0,0,IF(IF(ISBLANK($AW253),$AV253,$AW253)*Paraméterek!$J$112&lt;IF($D$4="Forint",Paraméterek!$J$113,Paraméterek!$K$113),IF($D$4="Forint",Paraméterek!$J$113,Paraméterek!$K$113),IF(IF(ISBLANK($AW253),$AV253,$AW253)*Paraméterek!$J$112&gt;IF($D$4="Forint",Paraméterek!$J$114,Paraméterek!$K$114),IF($D$4="Forint",Paraméterek!$J$114,Paraméterek!$K$114),IF(ISBLANK($AW253),$AV253,$AW253)*Paraméterek!$J$112))),IF($D$4="Forint",0,2))</f>
        <v>0</v>
      </c>
      <c r="AY253" s="13">
        <f>$AR253+$AT253-$AU253-IF(ROUNDDOWN(IF(ISBLANK($AW253),$AV253,$AW253),IF($D$4="Forint",0,2))&gt;$AR253+$AT253-$AU253-IF($D$4="Forint",Paraméterek!$J$114,Paraméterek!$K$114),0,ROUNDDOWN(IF(ISBLANK($AW253),$AV253,$AW253),IF($D$4="Forint",0,2))-$AX253)</f>
        <v>0</v>
      </c>
      <c r="AZ253" s="13">
        <f t="shared" si="54"/>
        <v>0</v>
      </c>
    </row>
    <row r="254" spans="1:52" x14ac:dyDescent="0.2">
      <c r="A254" s="32">
        <v>235</v>
      </c>
      <c r="B254" s="32">
        <v>20</v>
      </c>
      <c r="C254" s="32">
        <v>7</v>
      </c>
      <c r="D254" s="13">
        <f t="shared" si="45"/>
        <v>0</v>
      </c>
      <c r="E254" s="13"/>
      <c r="F254" s="13"/>
      <c r="G254" s="13"/>
      <c r="H254" s="13">
        <f t="shared" si="46"/>
        <v>0</v>
      </c>
      <c r="I254" s="13">
        <f t="shared" si="47"/>
        <v>0</v>
      </c>
      <c r="J254" s="13">
        <f t="shared" si="48"/>
        <v>0</v>
      </c>
      <c r="K254" s="13">
        <f>ROUNDUP(IF($D$2="Egyszeri",$D254,IF($D$2="Havi",SUM($D$20:$D$31),IF(MOD($C254,$M$1)-1=0,SUM($D$20:$D$31),0))/12*$M$1)*VLOOKUP($B254,Paraméterek!$B$27:$D$30,IF($D$2="Egyszeri",3,2)),IF($D$4="Forint",0,2))</f>
        <v>0</v>
      </c>
      <c r="L254" s="13">
        <f t="shared" si="49"/>
        <v>0</v>
      </c>
      <c r="M254" s="13">
        <f t="shared" ca="1" si="55"/>
        <v>-134613</v>
      </c>
      <c r="N254" s="13">
        <f ca="1">IF($V253&gt;=VLOOKUP($M$4-1+$B254,Paraméterek!$B$121:$D$122,IF($D$4="Forint",2,3)),0,VLOOKUP($M$4-1+$B254,Paraméterek!$B$121:$D$122,IF($D$4="Forint",2,3))-$V253)</f>
        <v>144613</v>
      </c>
      <c r="O254" s="13">
        <f ca="1">ROUNDUP($N254*Paraméterek!$C$58/Paraméterek!$C$56,IF($D$4="Forint",0,2))</f>
        <v>24</v>
      </c>
      <c r="P254" s="13">
        <f t="shared" si="50"/>
        <v>965</v>
      </c>
      <c r="Q254" s="33"/>
      <c r="R254" s="13">
        <f t="shared" ca="1" si="51"/>
        <v>0</v>
      </c>
      <c r="S254" s="13">
        <f ca="1">ROUNDUP(($M254-$O254-$P254+$R254)*VLOOKUP($B254,Paraméterek!$B$38:$D$39,IF($D$2="Egyszeri",3,2))/12,IF($D$4="Forint",0,2))</f>
        <v>-332</v>
      </c>
      <c r="T254" s="13"/>
      <c r="U254" s="13"/>
      <c r="V254" s="13">
        <f ca="1">$M254-$O254-$P254+$R254-$S254-IF(ROUNDUP(IF(ISBLANK($U254),$T254,$U254)/IF(AND($B254=1,$D$2&lt;&gt;"Egyszeri"),1,VLOOKUP($B254+IF($C254=12,1,0),Paraméterek!$B$257:$D$267,IF($D$2="Egyszeri",3,2))),IF($D$4="Forint",0,2))&gt;$M254-$O254-$P254+$R254-$S254-IF($D$4="Forint",Paraméterek!$C$216,Paraméterek!$D$216),0,ROUNDUP(IF(ISBLANK($U254),$T254,$U254)/IF(AND($B254=1,$D$2&lt;&gt;"Egyszeri"),1,VLOOKUP($B254+IF($C254=12,1,0),Paraméterek!$B$257:$D$267,IF($D$2="Egyszeri",3,2))),IF($D$4="Forint",0,2)))</f>
        <v>-135270</v>
      </c>
      <c r="W254" s="13">
        <f ca="1">ROUNDDOWN($V254*VLOOKUP($B254+IF($C254=12,1,0),Paraméterek!$B$257:$D$267,IF($D$2="Egyszeri",3,2)),IF($D$4="Forint",0,2))</f>
        <v>-135270</v>
      </c>
      <c r="Y254" s="32">
        <v>235</v>
      </c>
      <c r="Z254" s="32">
        <v>20</v>
      </c>
      <c r="AA254" s="32">
        <v>7</v>
      </c>
      <c r="AB254" s="13">
        <f t="shared" si="56"/>
        <v>0</v>
      </c>
      <c r="AC254" s="33"/>
      <c r="AD254" s="13">
        <f t="shared" si="52"/>
        <v>0</v>
      </c>
      <c r="AE254" s="13">
        <f>ROUNDUP(($AB254+$AD254)*VLOOKUP($Z254,Paraméterek!$P$38:$Q$38,2)/12,IF($D$4="Forint",0,2))</f>
        <v>0</v>
      </c>
      <c r="AF254" s="13">
        <f>IF($D$2="Egyszeri",IF($D$7&gt;=IF($D$4="Forint",Paraméterek!$P$223,Paraméterek!$P$224),$D$7-IF($D$4="Forint",Paraméterek!$F$223,Paraméterek!$F$224),0),MIN(IF($AA254=12,AVERAGE($D$20:$D254)*12,0),SUM($D$20:$D$31)))</f>
        <v>0</v>
      </c>
      <c r="AG254" s="13">
        <f>IF(AND($Z254&gt;=10,MOD($Z254,5)=0),$AF254*IF($AA254=12,VLOOKUP($Z254,Paraméterek!$B$225:$F$240,IF($AF254&lt;IF($D$4="Forint",Paraméterek!$C$223,Paraméterek!$C$224),2,IF($AF254&lt;IF($D$4="Forint",Paraméterek!$D$223,Paraméterek!$D$224),3,4))),0),0)</f>
        <v>0</v>
      </c>
      <c r="AH254" s="13">
        <f>IF(AND($Z254&gt;=5,MOD($Z254,5)=0),IF($AA254=12,VLOOKUP($Z254,Paraméterek!$B$225:$F$240,5),0),IF(OR($Z254=3,$Z254=4),IF($AA254=12,VLOOKUP($Z254,Paraméterek!$B$225:$F$240,5,0),0),0))*$AF254</f>
        <v>0</v>
      </c>
      <c r="AI254" s="13">
        <f>ROUNDDOWN(IF(SUM($T$20:$U254)=0,IF($D$2="Egyszeri",$AH254,$AG254),0),IF($D$4="Forint",0,2))</f>
        <v>0</v>
      </c>
      <c r="AJ254" s="13">
        <f t="shared" si="57"/>
        <v>0</v>
      </c>
      <c r="AK254" s="13">
        <f t="shared" si="58"/>
        <v>0</v>
      </c>
      <c r="AM254" s="32">
        <v>235</v>
      </c>
      <c r="AN254" s="32">
        <v>20</v>
      </c>
      <c r="AO254" s="32">
        <v>7</v>
      </c>
      <c r="AP254" s="13"/>
      <c r="AQ254" s="32"/>
      <c r="AR254" s="13">
        <f t="shared" si="59"/>
        <v>0</v>
      </c>
      <c r="AS254" s="33"/>
      <c r="AT254" s="13">
        <f t="shared" si="53"/>
        <v>0</v>
      </c>
      <c r="AU254" s="13">
        <f>ROUNDUP(($AR254+$AT254)*VLOOKUP($AN254,Paraméterek!$P$38:$Q$38,2)/12,IF($D$4="Forint",0,2))</f>
        <v>0</v>
      </c>
      <c r="AV254" s="13"/>
      <c r="AW254" s="13"/>
      <c r="AX254" s="13">
        <f>ROUNDUP(IF(SUM($AV254:$AW254)=0,0,IF(IF(ISBLANK($AW254),$AV254,$AW254)*Paraméterek!$J$112&lt;IF($D$4="Forint",Paraméterek!$J$113,Paraméterek!$K$113),IF($D$4="Forint",Paraméterek!$J$113,Paraméterek!$K$113),IF(IF(ISBLANK($AW254),$AV254,$AW254)*Paraméterek!$J$112&gt;IF($D$4="Forint",Paraméterek!$J$114,Paraméterek!$K$114),IF($D$4="Forint",Paraméterek!$J$114,Paraméterek!$K$114),IF(ISBLANK($AW254),$AV254,$AW254)*Paraméterek!$J$112))),IF($D$4="Forint",0,2))</f>
        <v>0</v>
      </c>
      <c r="AY254" s="13">
        <f>$AR254+$AT254-$AU254-IF(ROUNDDOWN(IF(ISBLANK($AW254),$AV254,$AW254),IF($D$4="Forint",0,2))&gt;$AR254+$AT254-$AU254-IF($D$4="Forint",Paraméterek!$J$114,Paraméterek!$K$114),0,ROUNDDOWN(IF(ISBLANK($AW254),$AV254,$AW254),IF($D$4="Forint",0,2))-$AX254)</f>
        <v>0</v>
      </c>
      <c r="AZ254" s="13">
        <f t="shared" si="54"/>
        <v>0</v>
      </c>
    </row>
    <row r="255" spans="1:52" x14ac:dyDescent="0.2">
      <c r="A255" s="32">
        <v>236</v>
      </c>
      <c r="B255" s="32">
        <v>20</v>
      </c>
      <c r="C255" s="32">
        <v>8</v>
      </c>
      <c r="D255" s="13">
        <f t="shared" si="45"/>
        <v>0</v>
      </c>
      <c r="E255" s="13"/>
      <c r="F255" s="13"/>
      <c r="G255" s="13"/>
      <c r="H255" s="13">
        <f t="shared" si="46"/>
        <v>0</v>
      </c>
      <c r="I255" s="13">
        <f t="shared" si="47"/>
        <v>0</v>
      </c>
      <c r="J255" s="13">
        <f t="shared" si="48"/>
        <v>0</v>
      </c>
      <c r="K255" s="13">
        <f>ROUNDUP(IF($D$2="Egyszeri",$D255,IF($D$2="Havi",SUM($D$20:$D$31),IF(MOD($C255,$M$1)-1=0,SUM($D$20:$D$31),0))/12*$M$1)*VLOOKUP($B255,Paraméterek!$B$27:$D$30,IF($D$2="Egyszeri",3,2)),IF($D$4="Forint",0,2))</f>
        <v>0</v>
      </c>
      <c r="L255" s="13">
        <f t="shared" si="49"/>
        <v>0</v>
      </c>
      <c r="M255" s="13">
        <f t="shared" ca="1" si="55"/>
        <v>-135270</v>
      </c>
      <c r="N255" s="13">
        <f ca="1">IF($V254&gt;=VLOOKUP($M$4-1+$B255,Paraméterek!$B$121:$D$122,IF($D$4="Forint",2,3)),0,VLOOKUP($M$4-1+$B255,Paraméterek!$B$121:$D$122,IF($D$4="Forint",2,3))-$V254)</f>
        <v>145270</v>
      </c>
      <c r="O255" s="13">
        <f ca="1">ROUNDUP($N255*Paraméterek!$C$58/Paraméterek!$C$56,IF($D$4="Forint",0,2))</f>
        <v>24</v>
      </c>
      <c r="P255" s="13">
        <f t="shared" si="50"/>
        <v>965</v>
      </c>
      <c r="Q255" s="33"/>
      <c r="R255" s="13">
        <f t="shared" ca="1" si="51"/>
        <v>0</v>
      </c>
      <c r="S255" s="13">
        <f ca="1">ROUNDUP(($M255-$O255-$P255+$R255)*VLOOKUP($B255,Paraméterek!$B$38:$D$39,IF($D$2="Egyszeri",3,2))/12,IF($D$4="Forint",0,2))</f>
        <v>-333</v>
      </c>
      <c r="T255" s="13"/>
      <c r="U255" s="13"/>
      <c r="V255" s="13">
        <f ca="1">$M255-$O255-$P255+$R255-$S255-IF(ROUNDUP(IF(ISBLANK($U255),$T255,$U255)/IF(AND($B255=1,$D$2&lt;&gt;"Egyszeri"),1,VLOOKUP($B255+IF($C255=12,1,0),Paraméterek!$B$257:$D$267,IF($D$2="Egyszeri",3,2))),IF($D$4="Forint",0,2))&gt;$M255-$O255-$P255+$R255-$S255-IF($D$4="Forint",Paraméterek!$C$216,Paraméterek!$D$216),0,ROUNDUP(IF(ISBLANK($U255),$T255,$U255)/IF(AND($B255=1,$D$2&lt;&gt;"Egyszeri"),1,VLOOKUP($B255+IF($C255=12,1,0),Paraméterek!$B$257:$D$267,IF($D$2="Egyszeri",3,2))),IF($D$4="Forint",0,2)))</f>
        <v>-135926</v>
      </c>
      <c r="W255" s="13">
        <f ca="1">ROUNDDOWN($V255*VLOOKUP($B255+IF($C255=12,1,0),Paraméterek!$B$257:$D$267,IF($D$2="Egyszeri",3,2)),IF($D$4="Forint",0,2))</f>
        <v>-135926</v>
      </c>
      <c r="Y255" s="32">
        <v>236</v>
      </c>
      <c r="Z255" s="32">
        <v>20</v>
      </c>
      <c r="AA255" s="32">
        <v>8</v>
      </c>
      <c r="AB255" s="13">
        <f t="shared" si="56"/>
        <v>0</v>
      </c>
      <c r="AC255" s="33"/>
      <c r="AD255" s="13">
        <f t="shared" si="52"/>
        <v>0</v>
      </c>
      <c r="AE255" s="13">
        <f>ROUNDUP(($AB255+$AD255)*VLOOKUP($Z255,Paraméterek!$P$38:$Q$38,2)/12,IF($D$4="Forint",0,2))</f>
        <v>0</v>
      </c>
      <c r="AF255" s="13">
        <f>IF($D$2="Egyszeri",IF($D$7&gt;=IF($D$4="Forint",Paraméterek!$P$223,Paraméterek!$P$224),$D$7-IF($D$4="Forint",Paraméterek!$F$223,Paraméterek!$F$224),0),MIN(IF($AA255=12,AVERAGE($D$20:$D255)*12,0),SUM($D$20:$D$31)))</f>
        <v>0</v>
      </c>
      <c r="AG255" s="13">
        <f>IF(AND($Z255&gt;=10,MOD($Z255,5)=0),$AF255*IF($AA255=12,VLOOKUP($Z255,Paraméterek!$B$225:$F$240,IF($AF255&lt;IF($D$4="Forint",Paraméterek!$C$223,Paraméterek!$C$224),2,IF($AF255&lt;IF($D$4="Forint",Paraméterek!$D$223,Paraméterek!$D$224),3,4))),0),0)</f>
        <v>0</v>
      </c>
      <c r="AH255" s="13">
        <f>IF(AND($Z255&gt;=5,MOD($Z255,5)=0),IF($AA255=12,VLOOKUP($Z255,Paraméterek!$B$225:$F$240,5),0),IF(OR($Z255=3,$Z255=4),IF($AA255=12,VLOOKUP($Z255,Paraméterek!$B$225:$F$240,5,0),0),0))*$AF255</f>
        <v>0</v>
      </c>
      <c r="AI255" s="13">
        <f>ROUNDDOWN(IF(SUM($T$20:$U255)=0,IF($D$2="Egyszeri",$AH255,$AG255),0),IF($D$4="Forint",0,2))</f>
        <v>0</v>
      </c>
      <c r="AJ255" s="13">
        <f t="shared" si="57"/>
        <v>0</v>
      </c>
      <c r="AK255" s="13">
        <f t="shared" si="58"/>
        <v>0</v>
      </c>
      <c r="AM255" s="32">
        <v>236</v>
      </c>
      <c r="AN255" s="32">
        <v>20</v>
      </c>
      <c r="AO255" s="32">
        <v>8</v>
      </c>
      <c r="AP255" s="13"/>
      <c r="AQ255" s="32"/>
      <c r="AR255" s="13">
        <f t="shared" si="59"/>
        <v>0</v>
      </c>
      <c r="AS255" s="33"/>
      <c r="AT255" s="13">
        <f t="shared" si="53"/>
        <v>0</v>
      </c>
      <c r="AU255" s="13">
        <f>ROUNDUP(($AR255+$AT255)*VLOOKUP($AN255,Paraméterek!$P$38:$Q$38,2)/12,IF($D$4="Forint",0,2))</f>
        <v>0</v>
      </c>
      <c r="AV255" s="13"/>
      <c r="AW255" s="13"/>
      <c r="AX255" s="13">
        <f>ROUNDUP(IF(SUM($AV255:$AW255)=0,0,IF(IF(ISBLANK($AW255),$AV255,$AW255)*Paraméterek!$J$112&lt;IF($D$4="Forint",Paraméterek!$J$113,Paraméterek!$K$113),IF($D$4="Forint",Paraméterek!$J$113,Paraméterek!$K$113),IF(IF(ISBLANK($AW255),$AV255,$AW255)*Paraméterek!$J$112&gt;IF($D$4="Forint",Paraméterek!$J$114,Paraméterek!$K$114),IF($D$4="Forint",Paraméterek!$J$114,Paraméterek!$K$114),IF(ISBLANK($AW255),$AV255,$AW255)*Paraméterek!$J$112))),IF($D$4="Forint",0,2))</f>
        <v>0</v>
      </c>
      <c r="AY255" s="13">
        <f>$AR255+$AT255-$AU255-IF(ROUNDDOWN(IF(ISBLANK($AW255),$AV255,$AW255),IF($D$4="Forint",0,2))&gt;$AR255+$AT255-$AU255-IF($D$4="Forint",Paraméterek!$J$114,Paraméterek!$K$114),0,ROUNDDOWN(IF(ISBLANK($AW255),$AV255,$AW255),IF($D$4="Forint",0,2))-$AX255)</f>
        <v>0</v>
      </c>
      <c r="AZ255" s="13">
        <f t="shared" si="54"/>
        <v>0</v>
      </c>
    </row>
    <row r="256" spans="1:52" x14ac:dyDescent="0.2">
      <c r="A256" s="32">
        <v>237</v>
      </c>
      <c r="B256" s="32">
        <v>20</v>
      </c>
      <c r="C256" s="32">
        <v>9</v>
      </c>
      <c r="D256" s="13">
        <f t="shared" si="45"/>
        <v>0</v>
      </c>
      <c r="E256" s="13"/>
      <c r="F256" s="13"/>
      <c r="G256" s="13"/>
      <c r="H256" s="13">
        <f t="shared" si="46"/>
        <v>0</v>
      </c>
      <c r="I256" s="13">
        <f t="shared" si="47"/>
        <v>0</v>
      </c>
      <c r="J256" s="13">
        <f t="shared" si="48"/>
        <v>0</v>
      </c>
      <c r="K256" s="13">
        <f>ROUNDUP(IF($D$2="Egyszeri",$D256,IF($D$2="Havi",SUM($D$20:$D$31),IF(MOD($C256,$M$1)-1=0,SUM($D$20:$D$31),0))/12*$M$1)*VLOOKUP($B256,Paraméterek!$B$27:$D$30,IF($D$2="Egyszeri",3,2)),IF($D$4="Forint",0,2))</f>
        <v>0</v>
      </c>
      <c r="L256" s="13">
        <f t="shared" si="49"/>
        <v>0</v>
      </c>
      <c r="M256" s="13">
        <f t="shared" ca="1" si="55"/>
        <v>-135926</v>
      </c>
      <c r="N256" s="13">
        <f ca="1">IF($V255&gt;=VLOOKUP($M$4-1+$B256,Paraméterek!$B$121:$D$122,IF($D$4="Forint",2,3)),0,VLOOKUP($M$4-1+$B256,Paraméterek!$B$121:$D$122,IF($D$4="Forint",2,3))-$V255)</f>
        <v>145926</v>
      </c>
      <c r="O256" s="13">
        <f ca="1">ROUNDUP($N256*Paraméterek!$C$58/Paraméterek!$C$56,IF($D$4="Forint",0,2))</f>
        <v>24</v>
      </c>
      <c r="P256" s="13">
        <f t="shared" si="50"/>
        <v>965</v>
      </c>
      <c r="Q256" s="33"/>
      <c r="R256" s="13">
        <f t="shared" ca="1" si="51"/>
        <v>0</v>
      </c>
      <c r="S256" s="13">
        <f ca="1">ROUNDUP(($M256-$O256-$P256+$R256)*VLOOKUP($B256,Paraméterek!$B$38:$D$39,IF($D$2="Egyszeri",3,2))/12,IF($D$4="Forint",0,2))</f>
        <v>-335</v>
      </c>
      <c r="T256" s="13"/>
      <c r="U256" s="13"/>
      <c r="V256" s="13">
        <f ca="1">$M256-$O256-$P256+$R256-$S256-IF(ROUNDUP(IF(ISBLANK($U256),$T256,$U256)/IF(AND($B256=1,$D$2&lt;&gt;"Egyszeri"),1,VLOOKUP($B256+IF($C256=12,1,0),Paraméterek!$B$257:$D$267,IF($D$2="Egyszeri",3,2))),IF($D$4="Forint",0,2))&gt;$M256-$O256-$P256+$R256-$S256-IF($D$4="Forint",Paraméterek!$C$216,Paraméterek!$D$216),0,ROUNDUP(IF(ISBLANK($U256),$T256,$U256)/IF(AND($B256=1,$D$2&lt;&gt;"Egyszeri"),1,VLOOKUP($B256+IF($C256=12,1,0),Paraméterek!$B$257:$D$267,IF($D$2="Egyszeri",3,2))),IF($D$4="Forint",0,2)))</f>
        <v>-136580</v>
      </c>
      <c r="W256" s="13">
        <f ca="1">ROUNDDOWN($V256*VLOOKUP($B256+IF($C256=12,1,0),Paraméterek!$B$257:$D$267,IF($D$2="Egyszeri",3,2)),IF($D$4="Forint",0,2))</f>
        <v>-136580</v>
      </c>
      <c r="Y256" s="32">
        <v>237</v>
      </c>
      <c r="Z256" s="32">
        <v>20</v>
      </c>
      <c r="AA256" s="32">
        <v>9</v>
      </c>
      <c r="AB256" s="13">
        <f t="shared" si="56"/>
        <v>0</v>
      </c>
      <c r="AC256" s="33"/>
      <c r="AD256" s="13">
        <f t="shared" si="52"/>
        <v>0</v>
      </c>
      <c r="AE256" s="13">
        <f>ROUNDUP(($AB256+$AD256)*VLOOKUP($Z256,Paraméterek!$P$38:$Q$38,2)/12,IF($D$4="Forint",0,2))</f>
        <v>0</v>
      </c>
      <c r="AF256" s="13">
        <f>IF($D$2="Egyszeri",IF($D$7&gt;=IF($D$4="Forint",Paraméterek!$P$223,Paraméterek!$P$224),$D$7-IF($D$4="Forint",Paraméterek!$F$223,Paraméterek!$F$224),0),MIN(IF($AA256=12,AVERAGE($D$20:$D256)*12,0),SUM($D$20:$D$31)))</f>
        <v>0</v>
      </c>
      <c r="AG256" s="13">
        <f>IF(AND($Z256&gt;=10,MOD($Z256,5)=0),$AF256*IF($AA256=12,VLOOKUP($Z256,Paraméterek!$B$225:$F$240,IF($AF256&lt;IF($D$4="Forint",Paraméterek!$C$223,Paraméterek!$C$224),2,IF($AF256&lt;IF($D$4="Forint",Paraméterek!$D$223,Paraméterek!$D$224),3,4))),0),0)</f>
        <v>0</v>
      </c>
      <c r="AH256" s="13">
        <f>IF(AND($Z256&gt;=5,MOD($Z256,5)=0),IF($AA256=12,VLOOKUP($Z256,Paraméterek!$B$225:$F$240,5),0),IF(OR($Z256=3,$Z256=4),IF($AA256=12,VLOOKUP($Z256,Paraméterek!$B$225:$F$240,5,0),0),0))*$AF256</f>
        <v>0</v>
      </c>
      <c r="AI256" s="13">
        <f>ROUNDDOWN(IF(SUM($T$20:$U256)=0,IF($D$2="Egyszeri",$AH256,$AG256),0),IF($D$4="Forint",0,2))</f>
        <v>0</v>
      </c>
      <c r="AJ256" s="13">
        <f t="shared" si="57"/>
        <v>0</v>
      </c>
      <c r="AK256" s="13">
        <f t="shared" si="58"/>
        <v>0</v>
      </c>
      <c r="AM256" s="32">
        <v>237</v>
      </c>
      <c r="AN256" s="32">
        <v>20</v>
      </c>
      <c r="AO256" s="32">
        <v>9</v>
      </c>
      <c r="AP256" s="13"/>
      <c r="AQ256" s="32"/>
      <c r="AR256" s="13">
        <f t="shared" si="59"/>
        <v>0</v>
      </c>
      <c r="AS256" s="33"/>
      <c r="AT256" s="13">
        <f t="shared" si="53"/>
        <v>0</v>
      </c>
      <c r="AU256" s="13">
        <f>ROUNDUP(($AR256+$AT256)*VLOOKUP($AN256,Paraméterek!$P$38:$Q$38,2)/12,IF($D$4="Forint",0,2))</f>
        <v>0</v>
      </c>
      <c r="AV256" s="13"/>
      <c r="AW256" s="13"/>
      <c r="AX256" s="13">
        <f>ROUNDUP(IF(SUM($AV256:$AW256)=0,0,IF(IF(ISBLANK($AW256),$AV256,$AW256)*Paraméterek!$J$112&lt;IF($D$4="Forint",Paraméterek!$J$113,Paraméterek!$K$113),IF($D$4="Forint",Paraméterek!$J$113,Paraméterek!$K$113),IF(IF(ISBLANK($AW256),$AV256,$AW256)*Paraméterek!$J$112&gt;IF($D$4="Forint",Paraméterek!$J$114,Paraméterek!$K$114),IF($D$4="Forint",Paraméterek!$J$114,Paraméterek!$K$114),IF(ISBLANK($AW256),$AV256,$AW256)*Paraméterek!$J$112))),IF($D$4="Forint",0,2))</f>
        <v>0</v>
      </c>
      <c r="AY256" s="13">
        <f>$AR256+$AT256-$AU256-IF(ROUNDDOWN(IF(ISBLANK($AW256),$AV256,$AW256),IF($D$4="Forint",0,2))&gt;$AR256+$AT256-$AU256-IF($D$4="Forint",Paraméterek!$J$114,Paraméterek!$K$114),0,ROUNDDOWN(IF(ISBLANK($AW256),$AV256,$AW256),IF($D$4="Forint",0,2))-$AX256)</f>
        <v>0</v>
      </c>
      <c r="AZ256" s="13">
        <f t="shared" si="54"/>
        <v>0</v>
      </c>
    </row>
    <row r="257" spans="1:52" x14ac:dyDescent="0.2">
      <c r="A257" s="32">
        <v>238</v>
      </c>
      <c r="B257" s="32">
        <v>20</v>
      </c>
      <c r="C257" s="32">
        <v>10</v>
      </c>
      <c r="D257" s="13">
        <f t="shared" si="45"/>
        <v>0</v>
      </c>
      <c r="E257" s="13"/>
      <c r="F257" s="13"/>
      <c r="G257" s="13"/>
      <c r="H257" s="13">
        <f t="shared" si="46"/>
        <v>0</v>
      </c>
      <c r="I257" s="13">
        <f t="shared" si="47"/>
        <v>0</v>
      </c>
      <c r="J257" s="13">
        <f t="shared" si="48"/>
        <v>0</v>
      </c>
      <c r="K257" s="13">
        <f>ROUNDUP(IF($D$2="Egyszeri",$D257,IF($D$2="Havi",SUM($D$20:$D$31),IF(MOD($C257,$M$1)-1=0,SUM($D$20:$D$31),0))/12*$M$1)*VLOOKUP($B257,Paraméterek!$B$27:$D$30,IF($D$2="Egyszeri",3,2)),IF($D$4="Forint",0,2))</f>
        <v>0</v>
      </c>
      <c r="L257" s="13">
        <f t="shared" si="49"/>
        <v>0</v>
      </c>
      <c r="M257" s="13">
        <f t="shared" ca="1" si="55"/>
        <v>-136580</v>
      </c>
      <c r="N257" s="13">
        <f ca="1">IF($V256&gt;=VLOOKUP($M$4-1+$B257,Paraméterek!$B$121:$D$122,IF($D$4="Forint",2,3)),0,VLOOKUP($M$4-1+$B257,Paraméterek!$B$121:$D$122,IF($D$4="Forint",2,3))-$V256)</f>
        <v>146580</v>
      </c>
      <c r="O257" s="13">
        <f ca="1">ROUNDUP($N257*Paraméterek!$C$58/Paraméterek!$C$56,IF($D$4="Forint",0,2))</f>
        <v>24</v>
      </c>
      <c r="P257" s="13">
        <f t="shared" si="50"/>
        <v>965</v>
      </c>
      <c r="Q257" s="33"/>
      <c r="R257" s="13">
        <f t="shared" ca="1" si="51"/>
        <v>0</v>
      </c>
      <c r="S257" s="13">
        <f ca="1">ROUNDUP(($M257-$O257-$P257+$R257)*VLOOKUP($B257,Paraméterek!$B$38:$D$39,IF($D$2="Egyszeri",3,2))/12,IF($D$4="Forint",0,2))</f>
        <v>-336</v>
      </c>
      <c r="T257" s="13"/>
      <c r="U257" s="13"/>
      <c r="V257" s="13">
        <f ca="1">$M257-$O257-$P257+$R257-$S257-IF(ROUNDUP(IF(ISBLANK($U257),$T257,$U257)/IF(AND($B257=1,$D$2&lt;&gt;"Egyszeri"),1,VLOOKUP($B257+IF($C257=12,1,0),Paraméterek!$B$257:$D$267,IF($D$2="Egyszeri",3,2))),IF($D$4="Forint",0,2))&gt;$M257-$O257-$P257+$R257-$S257-IF($D$4="Forint",Paraméterek!$C$216,Paraméterek!$D$216),0,ROUNDUP(IF(ISBLANK($U257),$T257,$U257)/IF(AND($B257=1,$D$2&lt;&gt;"Egyszeri"),1,VLOOKUP($B257+IF($C257=12,1,0),Paraméterek!$B$257:$D$267,IF($D$2="Egyszeri",3,2))),IF($D$4="Forint",0,2)))</f>
        <v>-137233</v>
      </c>
      <c r="W257" s="13">
        <f ca="1">ROUNDDOWN($V257*VLOOKUP($B257+IF($C257=12,1,0),Paraméterek!$B$257:$D$267,IF($D$2="Egyszeri",3,2)),IF($D$4="Forint",0,2))</f>
        <v>-137233</v>
      </c>
      <c r="Y257" s="32">
        <v>238</v>
      </c>
      <c r="Z257" s="32">
        <v>20</v>
      </c>
      <c r="AA257" s="32">
        <v>10</v>
      </c>
      <c r="AB257" s="13">
        <f t="shared" si="56"/>
        <v>0</v>
      </c>
      <c r="AC257" s="33"/>
      <c r="AD257" s="13">
        <f t="shared" si="52"/>
        <v>0</v>
      </c>
      <c r="AE257" s="13">
        <f>ROUNDUP(($AB257+$AD257)*VLOOKUP($Z257,Paraméterek!$P$38:$Q$38,2)/12,IF($D$4="Forint",0,2))</f>
        <v>0</v>
      </c>
      <c r="AF257" s="13">
        <f>IF($D$2="Egyszeri",IF($D$7&gt;=IF($D$4="Forint",Paraméterek!$P$223,Paraméterek!$P$224),$D$7-IF($D$4="Forint",Paraméterek!$F$223,Paraméterek!$F$224),0),MIN(IF($AA257=12,AVERAGE($D$20:$D257)*12,0),SUM($D$20:$D$31)))</f>
        <v>0</v>
      </c>
      <c r="AG257" s="13">
        <f>IF(AND($Z257&gt;=10,MOD($Z257,5)=0),$AF257*IF($AA257=12,VLOOKUP($Z257,Paraméterek!$B$225:$F$240,IF($AF257&lt;IF($D$4="Forint",Paraméterek!$C$223,Paraméterek!$C$224),2,IF($AF257&lt;IF($D$4="Forint",Paraméterek!$D$223,Paraméterek!$D$224),3,4))),0),0)</f>
        <v>0</v>
      </c>
      <c r="AH257" s="13">
        <f>IF(AND($Z257&gt;=5,MOD($Z257,5)=0),IF($AA257=12,VLOOKUP($Z257,Paraméterek!$B$225:$F$240,5),0),IF(OR($Z257=3,$Z257=4),IF($AA257=12,VLOOKUP($Z257,Paraméterek!$B$225:$F$240,5,0),0),0))*$AF257</f>
        <v>0</v>
      </c>
      <c r="AI257" s="13">
        <f>ROUNDDOWN(IF(SUM($T$20:$U257)=0,IF($D$2="Egyszeri",$AH257,$AG257),0),IF($D$4="Forint",0,2))</f>
        <v>0</v>
      </c>
      <c r="AJ257" s="13">
        <f t="shared" si="57"/>
        <v>0</v>
      </c>
      <c r="AK257" s="13">
        <f t="shared" si="58"/>
        <v>0</v>
      </c>
      <c r="AM257" s="32">
        <v>238</v>
      </c>
      <c r="AN257" s="32">
        <v>20</v>
      </c>
      <c r="AO257" s="32">
        <v>10</v>
      </c>
      <c r="AP257" s="13"/>
      <c r="AQ257" s="32"/>
      <c r="AR257" s="13">
        <f t="shared" si="59"/>
        <v>0</v>
      </c>
      <c r="AS257" s="33"/>
      <c r="AT257" s="13">
        <f t="shared" si="53"/>
        <v>0</v>
      </c>
      <c r="AU257" s="13">
        <f>ROUNDUP(($AR257+$AT257)*VLOOKUP($AN257,Paraméterek!$P$38:$Q$38,2)/12,IF($D$4="Forint",0,2))</f>
        <v>0</v>
      </c>
      <c r="AV257" s="13"/>
      <c r="AW257" s="13"/>
      <c r="AX257" s="13">
        <f>ROUNDUP(IF(SUM($AV257:$AW257)=0,0,IF(IF(ISBLANK($AW257),$AV257,$AW257)*Paraméterek!$J$112&lt;IF($D$4="Forint",Paraméterek!$J$113,Paraméterek!$K$113),IF($D$4="Forint",Paraméterek!$J$113,Paraméterek!$K$113),IF(IF(ISBLANK($AW257),$AV257,$AW257)*Paraméterek!$J$112&gt;IF($D$4="Forint",Paraméterek!$J$114,Paraméterek!$K$114),IF($D$4="Forint",Paraméterek!$J$114,Paraméterek!$K$114),IF(ISBLANK($AW257),$AV257,$AW257)*Paraméterek!$J$112))),IF($D$4="Forint",0,2))</f>
        <v>0</v>
      </c>
      <c r="AY257" s="13">
        <f>$AR257+$AT257-$AU257-IF(ROUNDDOWN(IF(ISBLANK($AW257),$AV257,$AW257),IF($D$4="Forint",0,2))&gt;$AR257+$AT257-$AU257-IF($D$4="Forint",Paraméterek!$J$114,Paraméterek!$K$114),0,ROUNDDOWN(IF(ISBLANK($AW257),$AV257,$AW257),IF($D$4="Forint",0,2))-$AX257)</f>
        <v>0</v>
      </c>
      <c r="AZ257" s="13">
        <f t="shared" si="54"/>
        <v>0</v>
      </c>
    </row>
    <row r="258" spans="1:52" x14ac:dyDescent="0.2">
      <c r="A258" s="32">
        <v>239</v>
      </c>
      <c r="B258" s="32">
        <v>20</v>
      </c>
      <c r="C258" s="32">
        <v>11</v>
      </c>
      <c r="D258" s="13">
        <f t="shared" si="45"/>
        <v>0</v>
      </c>
      <c r="E258" s="13"/>
      <c r="F258" s="13"/>
      <c r="G258" s="13"/>
      <c r="H258" s="13">
        <f t="shared" si="46"/>
        <v>0</v>
      </c>
      <c r="I258" s="13">
        <f t="shared" si="47"/>
        <v>0</v>
      </c>
      <c r="J258" s="13">
        <f t="shared" si="48"/>
        <v>0</v>
      </c>
      <c r="K258" s="13">
        <f>ROUNDUP(IF($D$2="Egyszeri",$D258,IF($D$2="Havi",SUM($D$20:$D$31),IF(MOD($C258,$M$1)-1=0,SUM($D$20:$D$31),0))/12*$M$1)*VLOOKUP($B258,Paraméterek!$B$27:$D$30,IF($D$2="Egyszeri",3,2)),IF($D$4="Forint",0,2))</f>
        <v>0</v>
      </c>
      <c r="L258" s="13">
        <f t="shared" si="49"/>
        <v>0</v>
      </c>
      <c r="M258" s="13">
        <f t="shared" ca="1" si="55"/>
        <v>-137233</v>
      </c>
      <c r="N258" s="13">
        <f ca="1">IF($V257&gt;=VLOOKUP($M$4-1+$B258,Paraméterek!$B$121:$D$122,IF($D$4="Forint",2,3)),0,VLOOKUP($M$4-1+$B258,Paraméterek!$B$121:$D$122,IF($D$4="Forint",2,3))-$V257)</f>
        <v>147233</v>
      </c>
      <c r="O258" s="13">
        <f ca="1">ROUNDUP($N258*Paraméterek!$C$58/Paraméterek!$C$56,IF($D$4="Forint",0,2))</f>
        <v>24</v>
      </c>
      <c r="P258" s="13">
        <f t="shared" si="50"/>
        <v>965</v>
      </c>
      <c r="Q258" s="33"/>
      <c r="R258" s="13">
        <f t="shared" ca="1" si="51"/>
        <v>0</v>
      </c>
      <c r="S258" s="13">
        <f ca="1">ROUNDUP(($M258-$O258-$P258+$R258)*VLOOKUP($B258,Paraméterek!$B$38:$D$39,IF($D$2="Egyszeri",3,2))/12,IF($D$4="Forint",0,2))</f>
        <v>-338</v>
      </c>
      <c r="T258" s="13"/>
      <c r="U258" s="13"/>
      <c r="V258" s="13">
        <f ca="1">$M258-$O258-$P258+$R258-$S258-IF(ROUNDUP(IF(ISBLANK($U258),$T258,$U258)/IF(AND($B258=1,$D$2&lt;&gt;"Egyszeri"),1,VLOOKUP($B258+IF($C258=12,1,0),Paraméterek!$B$257:$D$267,IF($D$2="Egyszeri",3,2))),IF($D$4="Forint",0,2))&gt;$M258-$O258-$P258+$R258-$S258-IF($D$4="Forint",Paraméterek!$C$216,Paraméterek!$D$216),0,ROUNDUP(IF(ISBLANK($U258),$T258,$U258)/IF(AND($B258=1,$D$2&lt;&gt;"Egyszeri"),1,VLOOKUP($B258+IF($C258=12,1,0),Paraméterek!$B$257:$D$267,IF($D$2="Egyszeri",3,2))),IF($D$4="Forint",0,2)))</f>
        <v>-137884</v>
      </c>
      <c r="W258" s="13">
        <f ca="1">ROUNDDOWN($V258*VLOOKUP($B258+IF($C258=12,1,0),Paraméterek!$B$257:$D$267,IF($D$2="Egyszeri",3,2)),IF($D$4="Forint",0,2))</f>
        <v>-137884</v>
      </c>
      <c r="Y258" s="32">
        <v>239</v>
      </c>
      <c r="Z258" s="32">
        <v>20</v>
      </c>
      <c r="AA258" s="32">
        <v>11</v>
      </c>
      <c r="AB258" s="13">
        <f t="shared" si="56"/>
        <v>0</v>
      </c>
      <c r="AC258" s="33"/>
      <c r="AD258" s="13">
        <f t="shared" si="52"/>
        <v>0</v>
      </c>
      <c r="AE258" s="13">
        <f>ROUNDUP(($AB258+$AD258)*VLOOKUP($Z258,Paraméterek!$P$38:$Q$38,2)/12,IF($D$4="Forint",0,2))</f>
        <v>0</v>
      </c>
      <c r="AF258" s="13">
        <f>IF($D$2="Egyszeri",IF($D$7&gt;=IF($D$4="Forint",Paraméterek!$P$223,Paraméterek!$P$224),$D$7-IF($D$4="Forint",Paraméterek!$F$223,Paraméterek!$F$224),0),MIN(IF($AA258=12,AVERAGE($D$20:$D258)*12,0),SUM($D$20:$D$31)))</f>
        <v>0</v>
      </c>
      <c r="AG258" s="13">
        <f>IF(AND($Z258&gt;=10,MOD($Z258,5)=0),$AF258*IF($AA258=12,VLOOKUP($Z258,Paraméterek!$B$225:$F$240,IF($AF258&lt;IF($D$4="Forint",Paraméterek!$C$223,Paraméterek!$C$224),2,IF($AF258&lt;IF($D$4="Forint",Paraméterek!$D$223,Paraméterek!$D$224),3,4))),0),0)</f>
        <v>0</v>
      </c>
      <c r="AH258" s="13">
        <f>IF(AND($Z258&gt;=5,MOD($Z258,5)=0),IF($AA258=12,VLOOKUP($Z258,Paraméterek!$B$225:$F$240,5),0),IF(OR($Z258=3,$Z258=4),IF($AA258=12,VLOOKUP($Z258,Paraméterek!$B$225:$F$240,5,0),0),0))*$AF258</f>
        <v>0</v>
      </c>
      <c r="AI258" s="13">
        <f>ROUNDDOWN(IF(SUM($T$20:$U258)=0,IF($D$2="Egyszeri",$AH258,$AG258),0),IF($D$4="Forint",0,2))</f>
        <v>0</v>
      </c>
      <c r="AJ258" s="13">
        <f t="shared" si="57"/>
        <v>0</v>
      </c>
      <c r="AK258" s="13">
        <f t="shared" si="58"/>
        <v>0</v>
      </c>
      <c r="AM258" s="32">
        <v>239</v>
      </c>
      <c r="AN258" s="32">
        <v>20</v>
      </c>
      <c r="AO258" s="32">
        <v>11</v>
      </c>
      <c r="AP258" s="13"/>
      <c r="AQ258" s="32"/>
      <c r="AR258" s="13">
        <f t="shared" si="59"/>
        <v>0</v>
      </c>
      <c r="AS258" s="33"/>
      <c r="AT258" s="13">
        <f t="shared" si="53"/>
        <v>0</v>
      </c>
      <c r="AU258" s="13">
        <f>ROUNDUP(($AR258+$AT258)*VLOOKUP($AN258,Paraméterek!$P$38:$Q$38,2)/12,IF($D$4="Forint",0,2))</f>
        <v>0</v>
      </c>
      <c r="AV258" s="13"/>
      <c r="AW258" s="13"/>
      <c r="AX258" s="13">
        <f>ROUNDUP(IF(SUM($AV258:$AW258)=0,0,IF(IF(ISBLANK($AW258),$AV258,$AW258)*Paraméterek!$J$112&lt;IF($D$4="Forint",Paraméterek!$J$113,Paraméterek!$K$113),IF($D$4="Forint",Paraméterek!$J$113,Paraméterek!$K$113),IF(IF(ISBLANK($AW258),$AV258,$AW258)*Paraméterek!$J$112&gt;IF($D$4="Forint",Paraméterek!$J$114,Paraméterek!$K$114),IF($D$4="Forint",Paraméterek!$J$114,Paraméterek!$K$114),IF(ISBLANK($AW258),$AV258,$AW258)*Paraméterek!$J$112))),IF($D$4="Forint",0,2))</f>
        <v>0</v>
      </c>
      <c r="AY258" s="13">
        <f>$AR258+$AT258-$AU258-IF(ROUNDDOWN(IF(ISBLANK($AW258),$AV258,$AW258),IF($D$4="Forint",0,2))&gt;$AR258+$AT258-$AU258-IF($D$4="Forint",Paraméterek!$J$114,Paraméterek!$K$114),0,ROUNDDOWN(IF(ISBLANK($AW258),$AV258,$AW258),IF($D$4="Forint",0,2))-$AX258)</f>
        <v>0</v>
      </c>
      <c r="AZ258" s="13">
        <f t="shared" si="54"/>
        <v>0</v>
      </c>
    </row>
    <row r="259" spans="1:52" x14ac:dyDescent="0.2">
      <c r="A259" s="32">
        <v>240</v>
      </c>
      <c r="B259" s="32">
        <v>20</v>
      </c>
      <c r="C259" s="32">
        <v>12</v>
      </c>
      <c r="D259" s="13">
        <f t="shared" si="45"/>
        <v>0</v>
      </c>
      <c r="E259" s="13"/>
      <c r="F259" s="13"/>
      <c r="G259" s="13"/>
      <c r="H259" s="13">
        <f t="shared" si="46"/>
        <v>0</v>
      </c>
      <c r="I259" s="13">
        <f t="shared" si="47"/>
        <v>0</v>
      </c>
      <c r="J259" s="13">
        <f t="shared" si="48"/>
        <v>0</v>
      </c>
      <c r="K259" s="13">
        <f>ROUNDUP(IF($D$2="Egyszeri",$D259,IF($D$2="Havi",SUM($D$20:$D$31),IF(MOD($C259,$M$1)-1=0,SUM($D$20:$D$31),0))/12*$M$1)*VLOOKUP($B259,Paraméterek!$B$27:$D$30,IF($D$2="Egyszeri",3,2)),IF($D$4="Forint",0,2))</f>
        <v>0</v>
      </c>
      <c r="L259" s="13">
        <f t="shared" si="49"/>
        <v>0</v>
      </c>
      <c r="M259" s="13">
        <f t="shared" ca="1" si="55"/>
        <v>-137884</v>
      </c>
      <c r="N259" s="13">
        <f ca="1">IF($V258&gt;=VLOOKUP($M$4-1+$B259,Paraméterek!$B$121:$D$122,IF($D$4="Forint",2,3)),0,VLOOKUP($M$4-1+$B259,Paraméterek!$B$121:$D$122,IF($D$4="Forint",2,3))-$V258)</f>
        <v>147884</v>
      </c>
      <c r="O259" s="13">
        <f ca="1">ROUNDUP($N259*Paraméterek!$C$58/Paraméterek!$C$56,IF($D$4="Forint",0,2))</f>
        <v>24</v>
      </c>
      <c r="P259" s="13">
        <f t="shared" si="50"/>
        <v>965</v>
      </c>
      <c r="Q259" s="33"/>
      <c r="R259" s="13">
        <f t="shared" ca="1" si="51"/>
        <v>0</v>
      </c>
      <c r="S259" s="13">
        <f ca="1">ROUNDUP(($M259-$O259-$P259+$R259)*VLOOKUP($B259,Paraméterek!$B$38:$D$39,IF($D$2="Egyszeri",3,2))/12,IF($D$4="Forint",0,2))</f>
        <v>-340</v>
      </c>
      <c r="T259" s="13">
        <f>Tranzakciók!$F$51</f>
        <v>0</v>
      </c>
      <c r="U259" s="13"/>
      <c r="V259" s="13">
        <f ca="1">$M259-$O259-$P259+$R259-$S259-IF(ROUNDUP(IF(ISBLANK($U259),$T259,$U259)/IF(AND($B259=1,$D$2&lt;&gt;"Egyszeri"),1,VLOOKUP($B259+IF($C259=12,1,0),Paraméterek!$B$257:$D$267,IF($D$2="Egyszeri",3,2))),IF($D$4="Forint",0,2))&gt;$M259-$O259-$P259+$R259-$S259-IF($D$4="Forint",Paraméterek!$C$216,Paraméterek!$D$216),0,ROUNDUP(IF(ISBLANK($U259),$T259,$U259)/IF(AND($B259=1,$D$2&lt;&gt;"Egyszeri"),1,VLOOKUP($B259+IF($C259=12,1,0),Paraméterek!$B$257:$D$267,IF($D$2="Egyszeri",3,2))),IF($D$4="Forint",0,2)))</f>
        <v>-138533</v>
      </c>
      <c r="W259" s="13">
        <f ca="1">ROUNDDOWN($V259*VLOOKUP($B259+IF($C259=12,1,0),Paraméterek!$B$257:$D$267,IF($D$2="Egyszeri",3,2)),IF($D$4="Forint",0,2))</f>
        <v>-138533</v>
      </c>
      <c r="Y259" s="32">
        <v>240</v>
      </c>
      <c r="Z259" s="32">
        <v>20</v>
      </c>
      <c r="AA259" s="32">
        <v>12</v>
      </c>
      <c r="AB259" s="13">
        <f t="shared" si="56"/>
        <v>0</v>
      </c>
      <c r="AC259" s="33"/>
      <c r="AD259" s="13">
        <f t="shared" si="52"/>
        <v>0</v>
      </c>
      <c r="AE259" s="13">
        <f>ROUNDUP(($AB259+$AD259)*VLOOKUP($Z259,Paraméterek!$P$38:$Q$38,2)/12,IF($D$4="Forint",0,2))</f>
        <v>0</v>
      </c>
      <c r="AF259" s="13">
        <f>IF($D$2="Egyszeri",IF($D$7&gt;=IF($D$4="Forint",Paraméterek!$P$223,Paraméterek!$P$224),$D$7-IF($D$4="Forint",Paraméterek!$F$223,Paraméterek!$F$224),0),MIN(IF($AA259=12,AVERAGE($D$20:$D259)*12,0),SUM($D$20:$D$31)))</f>
        <v>0</v>
      </c>
      <c r="AG259" s="13">
        <f>IF(AND($Z259&gt;=10,MOD($Z259,5)=0),$AF259*IF($AA259=12,VLOOKUP($Z259,Paraméterek!$B$225:$F$240,IF($AF259&lt;IF($D$4="Forint",Paraméterek!$C$223,Paraméterek!$C$224),2,IF($AF259&lt;IF($D$4="Forint",Paraméterek!$D$223,Paraméterek!$D$224),3,4))),0),0)</f>
        <v>0</v>
      </c>
      <c r="AH259" s="13">
        <f>IF(AND($Z259&gt;=5,MOD($Z259,5)=0),IF($AA259=12,VLOOKUP($Z259,Paraméterek!$B$225:$F$240,5),0),IF(OR($Z259=3,$Z259=4),IF($AA259=12,VLOOKUP($Z259,Paraméterek!$B$225:$F$240,5,0),0),0))*$AF259</f>
        <v>0</v>
      </c>
      <c r="AI259" s="13">
        <f>ROUNDDOWN(IF(SUM($T$20:$U259)=0,IF($D$2="Egyszeri",$AH259,$AG259),0),IF($D$4="Forint",0,2))</f>
        <v>0</v>
      </c>
      <c r="AJ259" s="13">
        <f t="shared" si="57"/>
        <v>0</v>
      </c>
      <c r="AK259" s="13">
        <f t="shared" si="58"/>
        <v>0</v>
      </c>
      <c r="AM259" s="32">
        <v>240</v>
      </c>
      <c r="AN259" s="32">
        <v>20</v>
      </c>
      <c r="AO259" s="32">
        <v>12</v>
      </c>
      <c r="AP259" s="13"/>
      <c r="AQ259" s="32"/>
      <c r="AR259" s="13">
        <f t="shared" si="59"/>
        <v>0</v>
      </c>
      <c r="AS259" s="33"/>
      <c r="AT259" s="13">
        <f t="shared" si="53"/>
        <v>0</v>
      </c>
      <c r="AU259" s="13">
        <f>ROUNDUP(($AR259+$AT259)*VLOOKUP($AN259,Paraméterek!$P$38:$Q$38,2)/12,IF($D$4="Forint",0,2))</f>
        <v>0</v>
      </c>
      <c r="AV259" s="13">
        <f>Tranzakciók!$M$51</f>
        <v>0</v>
      </c>
      <c r="AW259" s="13"/>
      <c r="AX259" s="13">
        <f>ROUNDUP(IF(SUM($AV259:$AW259)=0,0,IF(IF(ISBLANK($AW259),$AV259,$AW259)*Paraméterek!$J$112&lt;IF($D$4="Forint",Paraméterek!$J$113,Paraméterek!$K$113),IF($D$4="Forint",Paraméterek!$J$113,Paraméterek!$K$113),IF(IF(ISBLANK($AW259),$AV259,$AW259)*Paraméterek!$J$112&gt;IF($D$4="Forint",Paraméterek!$J$114,Paraméterek!$K$114),IF($D$4="Forint",Paraméterek!$J$114,Paraméterek!$K$114),IF(ISBLANK($AW259),$AV259,$AW259)*Paraméterek!$J$112))),IF($D$4="Forint",0,2))</f>
        <v>0</v>
      </c>
      <c r="AY259" s="13">
        <f>$AR259+$AT259-$AU259-IF(ROUNDDOWN(IF(ISBLANK($AW259),$AV259,$AW259),IF($D$4="Forint",0,2))&gt;$AR259+$AT259-$AU259-IF($D$4="Forint",Paraméterek!$J$114,Paraméterek!$K$114),0,ROUNDDOWN(IF(ISBLANK($AW259),$AV259,$AW259),IF($D$4="Forint",0,2))-$AX259)</f>
        <v>0</v>
      </c>
      <c r="AZ259" s="13">
        <f t="shared" si="54"/>
        <v>0</v>
      </c>
    </row>
    <row r="260" spans="1:52" x14ac:dyDescent="0.2">
      <c r="A260" s="32">
        <v>241</v>
      </c>
      <c r="B260" s="32">
        <v>21</v>
      </c>
      <c r="C260" s="32">
        <v>1</v>
      </c>
      <c r="D260" s="13">
        <f t="shared" si="45"/>
        <v>0</v>
      </c>
      <c r="E260" s="13"/>
      <c r="F260" s="13">
        <f>Tranzakciók!$D$52</f>
        <v>0</v>
      </c>
      <c r="G260" s="13"/>
      <c r="H260" s="13">
        <f t="shared" si="46"/>
        <v>0</v>
      </c>
      <c r="I260" s="13">
        <f t="shared" si="47"/>
        <v>181</v>
      </c>
      <c r="J260" s="13">
        <f t="shared" si="48"/>
        <v>181</v>
      </c>
      <c r="K260" s="13">
        <f>ROUNDUP(IF($D$2="Egyszeri",$D260,IF($D$2="Havi",SUM($D$20:$D$31),IF(MOD($C260,$M$1)-1=0,SUM($D$20:$D$31),0))/12*$M$1)*VLOOKUP($B260,Paraméterek!$B$27:$D$30,IF($D$2="Egyszeri",3,2)),IF($D$4="Forint",0,2))</f>
        <v>0</v>
      </c>
      <c r="L260" s="13">
        <f t="shared" si="49"/>
        <v>0</v>
      </c>
      <c r="M260" s="13">
        <f t="shared" ca="1" si="55"/>
        <v>-138533</v>
      </c>
      <c r="N260" s="13">
        <f ca="1">IF($V259&gt;=VLOOKUP($M$4-1+$B260,Paraméterek!$B$121:$D$122,IF($D$4="Forint",2,3)),0,VLOOKUP($M$4-1+$B260,Paraméterek!$B$121:$D$122,IF($D$4="Forint",2,3))-$V259)</f>
        <v>148533</v>
      </c>
      <c r="O260" s="13">
        <f ca="1">ROUNDUP($N260*Paraméterek!$C$58/Paraméterek!$C$56,IF($D$4="Forint",0,2))</f>
        <v>24</v>
      </c>
      <c r="P260" s="13">
        <f t="shared" si="50"/>
        <v>994</v>
      </c>
      <c r="Q260" s="33"/>
      <c r="R260" s="13">
        <f t="shared" ca="1" si="51"/>
        <v>0</v>
      </c>
      <c r="S260" s="13">
        <f ca="1">ROUNDUP(($M260-$O260-$P260+$R260)*VLOOKUP($B260,Paraméterek!$B$38:$D$39,IF($D$2="Egyszeri",3,2))/12,IF($D$4="Forint",0,2))</f>
        <v>-341</v>
      </c>
      <c r="T260" s="13"/>
      <c r="U260" s="13"/>
      <c r="V260" s="13">
        <f ca="1">$M260-$O260-$P260+$R260-$S260-IF(ROUNDUP(IF(ISBLANK($U260),$T260,$U260)/IF(AND($B260=1,$D$2&lt;&gt;"Egyszeri"),1,VLOOKUP($B260+IF($C260=12,1,0),Paraméterek!$B$257:$D$267,IF($D$2="Egyszeri",3,2))),IF($D$4="Forint",0,2))&gt;$M260-$O260-$P260+$R260-$S260-IF($D$4="Forint",Paraméterek!$C$216,Paraméterek!$D$216),0,ROUNDUP(IF(ISBLANK($U260),$T260,$U260)/IF(AND($B260=1,$D$2&lt;&gt;"Egyszeri"),1,VLOOKUP($B260+IF($C260=12,1,0),Paraméterek!$B$257:$D$267,IF($D$2="Egyszeri",3,2))),IF($D$4="Forint",0,2)))</f>
        <v>-139210</v>
      </c>
      <c r="W260" s="13">
        <f ca="1">ROUNDDOWN($V260*VLOOKUP($B260+IF($C260=12,1,0),Paraméterek!$B$257:$D$267,IF($D$2="Egyszeri",3,2)),IF($D$4="Forint",0,2))</f>
        <v>-139210</v>
      </c>
      <c r="Y260" s="32">
        <v>241</v>
      </c>
      <c r="Z260" s="32">
        <v>21</v>
      </c>
      <c r="AA260" s="32">
        <v>1</v>
      </c>
      <c r="AB260" s="13">
        <f t="shared" si="56"/>
        <v>0</v>
      </c>
      <c r="AC260" s="33"/>
      <c r="AD260" s="13">
        <f t="shared" si="52"/>
        <v>0</v>
      </c>
      <c r="AE260" s="13">
        <f>ROUNDUP(($AB260+$AD260)*VLOOKUP($Z260,Paraméterek!$P$38:$Q$38,2)/12,IF($D$4="Forint",0,2))</f>
        <v>0</v>
      </c>
      <c r="AF260" s="13">
        <f>IF($D$2="Egyszeri",IF($D$7&gt;=IF($D$4="Forint",Paraméterek!$P$223,Paraméterek!$P$224),$D$7-IF($D$4="Forint",Paraméterek!$F$223,Paraméterek!$F$224),0),MIN(IF($AA260=12,AVERAGE($D$20:$D260)*12,0),SUM($D$20:$D$31)))</f>
        <v>0</v>
      </c>
      <c r="AG260" s="13">
        <f>IF(AND($Z260&gt;=10,MOD($Z260,5)=0),$AF260*IF($AA260=12,VLOOKUP($Z260,Paraméterek!$B$225:$F$240,IF($AF260&lt;IF($D$4="Forint",Paraméterek!$C$223,Paraméterek!$C$224),2,IF($AF260&lt;IF($D$4="Forint",Paraméterek!$D$223,Paraméterek!$D$224),3,4))),0),0)</f>
        <v>0</v>
      </c>
      <c r="AH260" s="13">
        <f>IF(AND($Z260&gt;=5,MOD($Z260,5)=0),IF($AA260=12,VLOOKUP($Z260,Paraméterek!$B$225:$F$240,5),0),IF(OR($Z260=3,$Z260=4),IF($AA260=12,VLOOKUP($Z260,Paraméterek!$B$225:$F$240,5,0),0),0))*$AF260</f>
        <v>0</v>
      </c>
      <c r="AI260" s="13">
        <f>ROUNDDOWN(IF(SUM($T$20:$U260)=0,IF($D$2="Egyszeri",$AH260,$AG260),0),IF($D$4="Forint",0,2))</f>
        <v>0</v>
      </c>
      <c r="AJ260" s="13">
        <f t="shared" si="57"/>
        <v>0</v>
      </c>
      <c r="AK260" s="13">
        <f t="shared" si="58"/>
        <v>0</v>
      </c>
      <c r="AM260" s="32">
        <v>241</v>
      </c>
      <c r="AN260" s="32">
        <v>21</v>
      </c>
      <c r="AO260" s="32">
        <v>1</v>
      </c>
      <c r="AP260" s="13">
        <f>Tranzakciók!$K$52</f>
        <v>0</v>
      </c>
      <c r="AQ260" s="32"/>
      <c r="AR260" s="13">
        <f t="shared" si="59"/>
        <v>0</v>
      </c>
      <c r="AS260" s="33"/>
      <c r="AT260" s="13">
        <f t="shared" si="53"/>
        <v>0</v>
      </c>
      <c r="AU260" s="13">
        <f>ROUNDUP(($AR260+$AT260)*VLOOKUP($AN260,Paraméterek!$P$38:$Q$38,2)/12,IF($D$4="Forint",0,2))</f>
        <v>0</v>
      </c>
      <c r="AV260" s="13"/>
      <c r="AW260" s="13"/>
      <c r="AX260" s="13">
        <f>ROUNDUP(IF(SUM($AV260:$AW260)=0,0,IF(IF(ISBLANK($AW260),$AV260,$AW260)*Paraméterek!$J$112&lt;IF($D$4="Forint",Paraméterek!$J$113,Paraméterek!$K$113),IF($D$4="Forint",Paraméterek!$J$113,Paraméterek!$K$113),IF(IF(ISBLANK($AW260),$AV260,$AW260)*Paraméterek!$J$112&gt;IF($D$4="Forint",Paraméterek!$J$114,Paraméterek!$K$114),IF($D$4="Forint",Paraméterek!$J$114,Paraméterek!$K$114),IF(ISBLANK($AW260),$AV260,$AW260)*Paraméterek!$J$112))),IF($D$4="Forint",0,2))</f>
        <v>0</v>
      </c>
      <c r="AY260" s="13">
        <f>$AR260+$AT260-$AU260-IF(ROUNDDOWN(IF(ISBLANK($AW260),$AV260,$AW260),IF($D$4="Forint",0,2))&gt;$AR260+$AT260-$AU260-IF($D$4="Forint",Paraméterek!$J$114,Paraméterek!$K$114),0,ROUNDDOWN(IF(ISBLANK($AW260),$AV260,$AW260),IF($D$4="Forint",0,2))-$AX260)</f>
        <v>0</v>
      </c>
      <c r="AZ260" s="13">
        <f t="shared" si="54"/>
        <v>0</v>
      </c>
    </row>
    <row r="261" spans="1:52" x14ac:dyDescent="0.2">
      <c r="A261" s="32">
        <v>242</v>
      </c>
      <c r="B261" s="32">
        <v>21</v>
      </c>
      <c r="C261" s="32">
        <v>2</v>
      </c>
      <c r="D261" s="13">
        <f t="shared" si="45"/>
        <v>0</v>
      </c>
      <c r="E261" s="13"/>
      <c r="F261" s="13"/>
      <c r="G261" s="13"/>
      <c r="H261" s="13">
        <f t="shared" si="46"/>
        <v>0</v>
      </c>
      <c r="I261" s="13">
        <f t="shared" si="47"/>
        <v>0</v>
      </c>
      <c r="J261" s="13">
        <f t="shared" si="48"/>
        <v>0</v>
      </c>
      <c r="K261" s="13">
        <f>ROUNDUP(IF($D$2="Egyszeri",$D261,IF($D$2="Havi",SUM($D$20:$D$31),IF(MOD($C261,$M$1)-1=0,SUM($D$20:$D$31),0))/12*$M$1)*VLOOKUP($B261,Paraméterek!$B$27:$D$30,IF($D$2="Egyszeri",3,2)),IF($D$4="Forint",0,2))</f>
        <v>0</v>
      </c>
      <c r="L261" s="13">
        <f t="shared" si="49"/>
        <v>0</v>
      </c>
      <c r="M261" s="13">
        <f t="shared" ca="1" si="55"/>
        <v>-139210</v>
      </c>
      <c r="N261" s="13">
        <f ca="1">IF($V260&gt;=VLOOKUP($M$4-1+$B261,Paraméterek!$B$121:$D$122,IF($D$4="Forint",2,3)),0,VLOOKUP($M$4-1+$B261,Paraméterek!$B$121:$D$122,IF($D$4="Forint",2,3))-$V260)</f>
        <v>149210</v>
      </c>
      <c r="O261" s="13">
        <f ca="1">ROUNDUP($N261*Paraméterek!$C$58/Paraméterek!$C$56,IF($D$4="Forint",0,2))</f>
        <v>24</v>
      </c>
      <c r="P261" s="13">
        <f t="shared" si="50"/>
        <v>994</v>
      </c>
      <c r="Q261" s="33"/>
      <c r="R261" s="13">
        <f t="shared" ca="1" si="51"/>
        <v>0</v>
      </c>
      <c r="S261" s="13">
        <f ca="1">ROUNDUP(($M261-$O261-$P261+$R261)*VLOOKUP($B261,Paraméterek!$B$38:$D$39,IF($D$2="Egyszeri",3,2))/12,IF($D$4="Forint",0,2))</f>
        <v>-343</v>
      </c>
      <c r="T261" s="13"/>
      <c r="U261" s="13"/>
      <c r="V261" s="13">
        <f ca="1">$M261-$O261-$P261+$R261-$S261-IF(ROUNDUP(IF(ISBLANK($U261),$T261,$U261)/IF(AND($B261=1,$D$2&lt;&gt;"Egyszeri"),1,VLOOKUP($B261+IF($C261=12,1,0),Paraméterek!$B$257:$D$267,IF($D$2="Egyszeri",3,2))),IF($D$4="Forint",0,2))&gt;$M261-$O261-$P261+$R261-$S261-IF($D$4="Forint",Paraméterek!$C$216,Paraméterek!$D$216),0,ROUNDUP(IF(ISBLANK($U261),$T261,$U261)/IF(AND($B261=1,$D$2&lt;&gt;"Egyszeri"),1,VLOOKUP($B261+IF($C261=12,1,0),Paraméterek!$B$257:$D$267,IF($D$2="Egyszeri",3,2))),IF($D$4="Forint",0,2)))</f>
        <v>-139885</v>
      </c>
      <c r="W261" s="13">
        <f ca="1">ROUNDDOWN($V261*VLOOKUP($B261+IF($C261=12,1,0),Paraméterek!$B$257:$D$267,IF($D$2="Egyszeri",3,2)),IF($D$4="Forint",0,2))</f>
        <v>-139885</v>
      </c>
      <c r="Y261" s="32">
        <v>242</v>
      </c>
      <c r="Z261" s="32">
        <v>21</v>
      </c>
      <c r="AA261" s="32">
        <v>2</v>
      </c>
      <c r="AB261" s="13">
        <f t="shared" si="56"/>
        <v>0</v>
      </c>
      <c r="AC261" s="33"/>
      <c r="AD261" s="13">
        <f t="shared" si="52"/>
        <v>0</v>
      </c>
      <c r="AE261" s="13">
        <f>ROUNDUP(($AB261+$AD261)*VLOOKUP($Z261,Paraméterek!$P$38:$Q$38,2)/12,IF($D$4="Forint",0,2))</f>
        <v>0</v>
      </c>
      <c r="AF261" s="13">
        <f>IF($D$2="Egyszeri",IF($D$7&gt;=IF($D$4="Forint",Paraméterek!$P$223,Paraméterek!$P$224),$D$7-IF($D$4="Forint",Paraméterek!$F$223,Paraméterek!$F$224),0),MIN(IF($AA261=12,AVERAGE($D$20:$D261)*12,0),SUM($D$20:$D$31)))</f>
        <v>0</v>
      </c>
      <c r="AG261" s="13">
        <f>IF(AND($Z261&gt;=10,MOD($Z261,5)=0),$AF261*IF($AA261=12,VLOOKUP($Z261,Paraméterek!$B$225:$F$240,IF($AF261&lt;IF($D$4="Forint",Paraméterek!$C$223,Paraméterek!$C$224),2,IF($AF261&lt;IF($D$4="Forint",Paraméterek!$D$223,Paraméterek!$D$224),3,4))),0),0)</f>
        <v>0</v>
      </c>
      <c r="AH261" s="13">
        <f>IF(AND($Z261&gt;=5,MOD($Z261,5)=0),IF($AA261=12,VLOOKUP($Z261,Paraméterek!$B$225:$F$240,5),0),IF(OR($Z261=3,$Z261=4),IF($AA261=12,VLOOKUP($Z261,Paraméterek!$B$225:$F$240,5,0),0),0))*$AF261</f>
        <v>0</v>
      </c>
      <c r="AI261" s="13">
        <f>ROUNDDOWN(IF(SUM($T$20:$U261)=0,IF($D$2="Egyszeri",$AH261,$AG261),0),IF($D$4="Forint",0,2))</f>
        <v>0</v>
      </c>
      <c r="AJ261" s="13">
        <f t="shared" si="57"/>
        <v>0</v>
      </c>
      <c r="AK261" s="13">
        <f t="shared" si="58"/>
        <v>0</v>
      </c>
      <c r="AM261" s="32">
        <v>242</v>
      </c>
      <c r="AN261" s="32">
        <v>21</v>
      </c>
      <c r="AO261" s="32">
        <v>2</v>
      </c>
      <c r="AP261" s="13"/>
      <c r="AQ261" s="32"/>
      <c r="AR261" s="13">
        <f t="shared" si="59"/>
        <v>0</v>
      </c>
      <c r="AS261" s="33"/>
      <c r="AT261" s="13">
        <f t="shared" si="53"/>
        <v>0</v>
      </c>
      <c r="AU261" s="13">
        <f>ROUNDUP(($AR261+$AT261)*VLOOKUP($AN261,Paraméterek!$P$38:$Q$38,2)/12,IF($D$4="Forint",0,2))</f>
        <v>0</v>
      </c>
      <c r="AV261" s="13"/>
      <c r="AW261" s="13"/>
      <c r="AX261" s="13">
        <f>ROUNDUP(IF(SUM($AV261:$AW261)=0,0,IF(IF(ISBLANK($AW261),$AV261,$AW261)*Paraméterek!$J$112&lt;IF($D$4="Forint",Paraméterek!$J$113,Paraméterek!$K$113),IF($D$4="Forint",Paraméterek!$J$113,Paraméterek!$K$113),IF(IF(ISBLANK($AW261),$AV261,$AW261)*Paraméterek!$J$112&gt;IF($D$4="Forint",Paraméterek!$J$114,Paraméterek!$K$114),IF($D$4="Forint",Paraméterek!$J$114,Paraméterek!$K$114),IF(ISBLANK($AW261),$AV261,$AW261)*Paraméterek!$J$112))),IF($D$4="Forint",0,2))</f>
        <v>0</v>
      </c>
      <c r="AY261" s="13">
        <f>$AR261+$AT261-$AU261-IF(ROUNDDOWN(IF(ISBLANK($AW261),$AV261,$AW261),IF($D$4="Forint",0,2))&gt;$AR261+$AT261-$AU261-IF($D$4="Forint",Paraméterek!$J$114,Paraméterek!$K$114),0,ROUNDDOWN(IF(ISBLANK($AW261),$AV261,$AW261),IF($D$4="Forint",0,2))-$AX261)</f>
        <v>0</v>
      </c>
      <c r="AZ261" s="13">
        <f t="shared" si="54"/>
        <v>0</v>
      </c>
    </row>
    <row r="262" spans="1:52" x14ac:dyDescent="0.2">
      <c r="A262" s="32">
        <v>243</v>
      </c>
      <c r="B262" s="32">
        <v>21</v>
      </c>
      <c r="C262" s="32">
        <v>3</v>
      </c>
      <c r="D262" s="13">
        <f t="shared" si="45"/>
        <v>0</v>
      </c>
      <c r="E262" s="13"/>
      <c r="F262" s="13"/>
      <c r="G262" s="13"/>
      <c r="H262" s="13">
        <f t="shared" si="46"/>
        <v>0</v>
      </c>
      <c r="I262" s="13">
        <f t="shared" si="47"/>
        <v>0</v>
      </c>
      <c r="J262" s="13">
        <f t="shared" si="48"/>
        <v>0</v>
      </c>
      <c r="K262" s="13">
        <f>ROUNDUP(IF($D$2="Egyszeri",$D262,IF($D$2="Havi",SUM($D$20:$D$31),IF(MOD($C262,$M$1)-1=0,SUM($D$20:$D$31),0))/12*$M$1)*VLOOKUP($B262,Paraméterek!$B$27:$D$30,IF($D$2="Egyszeri",3,2)),IF($D$4="Forint",0,2))</f>
        <v>0</v>
      </c>
      <c r="L262" s="13">
        <f t="shared" si="49"/>
        <v>0</v>
      </c>
      <c r="M262" s="13">
        <f t="shared" ca="1" si="55"/>
        <v>-139885</v>
      </c>
      <c r="N262" s="13">
        <f ca="1">IF($V261&gt;=VLOOKUP($M$4-1+$B262,Paraméterek!$B$121:$D$122,IF($D$4="Forint",2,3)),0,VLOOKUP($M$4-1+$B262,Paraméterek!$B$121:$D$122,IF($D$4="Forint",2,3))-$V261)</f>
        <v>149885</v>
      </c>
      <c r="O262" s="13">
        <f ca="1">ROUNDUP($N262*Paraméterek!$C$58/Paraméterek!$C$56,IF($D$4="Forint",0,2))</f>
        <v>24</v>
      </c>
      <c r="P262" s="13">
        <f t="shared" si="50"/>
        <v>994</v>
      </c>
      <c r="Q262" s="33"/>
      <c r="R262" s="13">
        <f t="shared" ca="1" si="51"/>
        <v>0</v>
      </c>
      <c r="S262" s="13">
        <f ca="1">ROUNDUP(($M262-$O262-$P262+$R262)*VLOOKUP($B262,Paraméterek!$B$38:$D$39,IF($D$2="Egyszeri",3,2))/12,IF($D$4="Forint",0,2))</f>
        <v>-345</v>
      </c>
      <c r="T262" s="13"/>
      <c r="U262" s="13"/>
      <c r="V262" s="13">
        <f ca="1">$M262-$O262-$P262+$R262-$S262-IF(ROUNDUP(IF(ISBLANK($U262),$T262,$U262)/IF(AND($B262=1,$D$2&lt;&gt;"Egyszeri"),1,VLOOKUP($B262+IF($C262=12,1,0),Paraméterek!$B$257:$D$267,IF($D$2="Egyszeri",3,2))),IF($D$4="Forint",0,2))&gt;$M262-$O262-$P262+$R262-$S262-IF($D$4="Forint",Paraméterek!$C$216,Paraméterek!$D$216),0,ROUNDUP(IF(ISBLANK($U262),$T262,$U262)/IF(AND($B262=1,$D$2&lt;&gt;"Egyszeri"),1,VLOOKUP($B262+IF($C262=12,1,0),Paraméterek!$B$257:$D$267,IF($D$2="Egyszeri",3,2))),IF($D$4="Forint",0,2)))</f>
        <v>-140558</v>
      </c>
      <c r="W262" s="13">
        <f ca="1">ROUNDDOWN($V262*VLOOKUP($B262+IF($C262=12,1,0),Paraméterek!$B$257:$D$267,IF($D$2="Egyszeri",3,2)),IF($D$4="Forint",0,2))</f>
        <v>-140558</v>
      </c>
      <c r="Y262" s="32">
        <v>243</v>
      </c>
      <c r="Z262" s="32">
        <v>21</v>
      </c>
      <c r="AA262" s="32">
        <v>3</v>
      </c>
      <c r="AB262" s="13">
        <f t="shared" si="56"/>
        <v>0</v>
      </c>
      <c r="AC262" s="33"/>
      <c r="AD262" s="13">
        <f t="shared" si="52"/>
        <v>0</v>
      </c>
      <c r="AE262" s="13">
        <f>ROUNDUP(($AB262+$AD262)*VLOOKUP($Z262,Paraméterek!$P$38:$Q$38,2)/12,IF($D$4="Forint",0,2))</f>
        <v>0</v>
      </c>
      <c r="AF262" s="13">
        <f>IF($D$2="Egyszeri",IF($D$7&gt;=IF($D$4="Forint",Paraméterek!$P$223,Paraméterek!$P$224),$D$7-IF($D$4="Forint",Paraméterek!$F$223,Paraméterek!$F$224),0),MIN(IF($AA262=12,AVERAGE($D$20:$D262)*12,0),SUM($D$20:$D$31)))</f>
        <v>0</v>
      </c>
      <c r="AG262" s="13">
        <f>IF(AND($Z262&gt;=10,MOD($Z262,5)=0),$AF262*IF($AA262=12,VLOOKUP($Z262,Paraméterek!$B$225:$F$240,IF($AF262&lt;IF($D$4="Forint",Paraméterek!$C$223,Paraméterek!$C$224),2,IF($AF262&lt;IF($D$4="Forint",Paraméterek!$D$223,Paraméterek!$D$224),3,4))),0),0)</f>
        <v>0</v>
      </c>
      <c r="AH262" s="13">
        <f>IF(AND($Z262&gt;=5,MOD($Z262,5)=0),IF($AA262=12,VLOOKUP($Z262,Paraméterek!$B$225:$F$240,5),0),IF(OR($Z262=3,$Z262=4),IF($AA262=12,VLOOKUP($Z262,Paraméterek!$B$225:$F$240,5,0),0),0))*$AF262</f>
        <v>0</v>
      </c>
      <c r="AI262" s="13">
        <f>ROUNDDOWN(IF(SUM($T$20:$U262)=0,IF($D$2="Egyszeri",$AH262,$AG262),0),IF($D$4="Forint",0,2))</f>
        <v>0</v>
      </c>
      <c r="AJ262" s="13">
        <f t="shared" si="57"/>
        <v>0</v>
      </c>
      <c r="AK262" s="13">
        <f t="shared" si="58"/>
        <v>0</v>
      </c>
      <c r="AM262" s="32">
        <v>243</v>
      </c>
      <c r="AN262" s="32">
        <v>21</v>
      </c>
      <c r="AO262" s="32">
        <v>3</v>
      </c>
      <c r="AP262" s="13"/>
      <c r="AQ262" s="32"/>
      <c r="AR262" s="13">
        <f t="shared" si="59"/>
        <v>0</v>
      </c>
      <c r="AS262" s="33"/>
      <c r="AT262" s="13">
        <f t="shared" si="53"/>
        <v>0</v>
      </c>
      <c r="AU262" s="13">
        <f>ROUNDUP(($AR262+$AT262)*VLOOKUP($AN262,Paraméterek!$P$38:$Q$38,2)/12,IF($D$4="Forint",0,2))</f>
        <v>0</v>
      </c>
      <c r="AV262" s="13"/>
      <c r="AW262" s="13"/>
      <c r="AX262" s="13">
        <f>ROUNDUP(IF(SUM($AV262:$AW262)=0,0,IF(IF(ISBLANK($AW262),$AV262,$AW262)*Paraméterek!$J$112&lt;IF($D$4="Forint",Paraméterek!$J$113,Paraméterek!$K$113),IF($D$4="Forint",Paraméterek!$J$113,Paraméterek!$K$113),IF(IF(ISBLANK($AW262),$AV262,$AW262)*Paraméterek!$J$112&gt;IF($D$4="Forint",Paraméterek!$J$114,Paraméterek!$K$114),IF($D$4="Forint",Paraméterek!$J$114,Paraméterek!$K$114),IF(ISBLANK($AW262),$AV262,$AW262)*Paraméterek!$J$112))),IF($D$4="Forint",0,2))</f>
        <v>0</v>
      </c>
      <c r="AY262" s="13">
        <f>$AR262+$AT262-$AU262-IF(ROUNDDOWN(IF(ISBLANK($AW262),$AV262,$AW262),IF($D$4="Forint",0,2))&gt;$AR262+$AT262-$AU262-IF($D$4="Forint",Paraméterek!$J$114,Paraméterek!$K$114),0,ROUNDDOWN(IF(ISBLANK($AW262),$AV262,$AW262),IF($D$4="Forint",0,2))-$AX262)</f>
        <v>0</v>
      </c>
      <c r="AZ262" s="13">
        <f t="shared" si="54"/>
        <v>0</v>
      </c>
    </row>
    <row r="263" spans="1:52" x14ac:dyDescent="0.2">
      <c r="A263" s="32">
        <v>244</v>
      </c>
      <c r="B263" s="32">
        <v>21</v>
      </c>
      <c r="C263" s="32">
        <v>4</v>
      </c>
      <c r="D263" s="13">
        <f t="shared" si="45"/>
        <v>0</v>
      </c>
      <c r="E263" s="13"/>
      <c r="F263" s="13"/>
      <c r="G263" s="13"/>
      <c r="H263" s="13">
        <f t="shared" si="46"/>
        <v>0</v>
      </c>
      <c r="I263" s="13">
        <f t="shared" si="47"/>
        <v>0</v>
      </c>
      <c r="J263" s="13">
        <f t="shared" si="48"/>
        <v>0</v>
      </c>
      <c r="K263" s="13">
        <f>ROUNDUP(IF($D$2="Egyszeri",$D263,IF($D$2="Havi",SUM($D$20:$D$31),IF(MOD($C263,$M$1)-1=0,SUM($D$20:$D$31),0))/12*$M$1)*VLOOKUP($B263,Paraméterek!$B$27:$D$30,IF($D$2="Egyszeri",3,2)),IF($D$4="Forint",0,2))</f>
        <v>0</v>
      </c>
      <c r="L263" s="13">
        <f t="shared" si="49"/>
        <v>0</v>
      </c>
      <c r="M263" s="13">
        <f t="shared" ca="1" si="55"/>
        <v>-140558</v>
      </c>
      <c r="N263" s="13">
        <f ca="1">IF($V262&gt;=VLOOKUP($M$4-1+$B263,Paraméterek!$B$121:$D$122,IF($D$4="Forint",2,3)),0,VLOOKUP($M$4-1+$B263,Paraméterek!$B$121:$D$122,IF($D$4="Forint",2,3))-$V262)</f>
        <v>150558</v>
      </c>
      <c r="O263" s="13">
        <f ca="1">ROUNDUP($N263*Paraméterek!$C$58/Paraméterek!$C$56,IF($D$4="Forint",0,2))</f>
        <v>24</v>
      </c>
      <c r="P263" s="13">
        <f t="shared" si="50"/>
        <v>994</v>
      </c>
      <c r="Q263" s="33"/>
      <c r="R263" s="13">
        <f t="shared" ca="1" si="51"/>
        <v>0</v>
      </c>
      <c r="S263" s="13">
        <f ca="1">ROUNDUP(($M263-$O263-$P263+$R263)*VLOOKUP($B263,Paraméterek!$B$38:$D$39,IF($D$2="Egyszeri",3,2))/12,IF($D$4="Forint",0,2))</f>
        <v>-346</v>
      </c>
      <c r="T263" s="13"/>
      <c r="U263" s="13"/>
      <c r="V263" s="13">
        <f ca="1">$M263-$O263-$P263+$R263-$S263-IF(ROUNDUP(IF(ISBLANK($U263),$T263,$U263)/IF(AND($B263=1,$D$2&lt;&gt;"Egyszeri"),1,VLOOKUP($B263+IF($C263=12,1,0),Paraméterek!$B$257:$D$267,IF($D$2="Egyszeri",3,2))),IF($D$4="Forint",0,2))&gt;$M263-$O263-$P263+$R263-$S263-IF($D$4="Forint",Paraméterek!$C$216,Paraméterek!$D$216),0,ROUNDUP(IF(ISBLANK($U263),$T263,$U263)/IF(AND($B263=1,$D$2&lt;&gt;"Egyszeri"),1,VLOOKUP($B263+IF($C263=12,1,0),Paraméterek!$B$257:$D$267,IF($D$2="Egyszeri",3,2))),IF($D$4="Forint",0,2)))</f>
        <v>-141230</v>
      </c>
      <c r="W263" s="13">
        <f ca="1">ROUNDDOWN($V263*VLOOKUP($B263+IF($C263=12,1,0),Paraméterek!$B$257:$D$267,IF($D$2="Egyszeri",3,2)),IF($D$4="Forint",0,2))</f>
        <v>-141230</v>
      </c>
      <c r="Y263" s="32">
        <v>244</v>
      </c>
      <c r="Z263" s="32">
        <v>21</v>
      </c>
      <c r="AA263" s="32">
        <v>4</v>
      </c>
      <c r="AB263" s="13">
        <f t="shared" si="56"/>
        <v>0</v>
      </c>
      <c r="AC263" s="33"/>
      <c r="AD263" s="13">
        <f t="shared" si="52"/>
        <v>0</v>
      </c>
      <c r="AE263" s="13">
        <f>ROUNDUP(($AB263+$AD263)*VLOOKUP($Z263,Paraméterek!$P$38:$Q$38,2)/12,IF($D$4="Forint",0,2))</f>
        <v>0</v>
      </c>
      <c r="AF263" s="13">
        <f>IF($D$2="Egyszeri",IF($D$7&gt;=IF($D$4="Forint",Paraméterek!$P$223,Paraméterek!$P$224),$D$7-IF($D$4="Forint",Paraméterek!$F$223,Paraméterek!$F$224),0),MIN(IF($AA263=12,AVERAGE($D$20:$D263)*12,0),SUM($D$20:$D$31)))</f>
        <v>0</v>
      </c>
      <c r="AG263" s="13">
        <f>IF(AND($Z263&gt;=10,MOD($Z263,5)=0),$AF263*IF($AA263=12,VLOOKUP($Z263,Paraméterek!$B$225:$F$240,IF($AF263&lt;IF($D$4="Forint",Paraméterek!$C$223,Paraméterek!$C$224),2,IF($AF263&lt;IF($D$4="Forint",Paraméterek!$D$223,Paraméterek!$D$224),3,4))),0),0)</f>
        <v>0</v>
      </c>
      <c r="AH263" s="13">
        <f>IF(AND($Z263&gt;=5,MOD($Z263,5)=0),IF($AA263=12,VLOOKUP($Z263,Paraméterek!$B$225:$F$240,5),0),IF(OR($Z263=3,$Z263=4),IF($AA263=12,VLOOKUP($Z263,Paraméterek!$B$225:$F$240,5,0),0),0))*$AF263</f>
        <v>0</v>
      </c>
      <c r="AI263" s="13">
        <f>ROUNDDOWN(IF(SUM($T$20:$U263)=0,IF($D$2="Egyszeri",$AH263,$AG263),0),IF($D$4="Forint",0,2))</f>
        <v>0</v>
      </c>
      <c r="AJ263" s="13">
        <f t="shared" si="57"/>
        <v>0</v>
      </c>
      <c r="AK263" s="13">
        <f t="shared" si="58"/>
        <v>0</v>
      </c>
      <c r="AM263" s="32">
        <v>244</v>
      </c>
      <c r="AN263" s="32">
        <v>21</v>
      </c>
      <c r="AO263" s="32">
        <v>4</v>
      </c>
      <c r="AP263" s="13"/>
      <c r="AQ263" s="32"/>
      <c r="AR263" s="13">
        <f t="shared" si="59"/>
        <v>0</v>
      </c>
      <c r="AS263" s="33"/>
      <c r="AT263" s="13">
        <f t="shared" si="53"/>
        <v>0</v>
      </c>
      <c r="AU263" s="13">
        <f>ROUNDUP(($AR263+$AT263)*VLOOKUP($AN263,Paraméterek!$P$38:$Q$38,2)/12,IF($D$4="Forint",0,2))</f>
        <v>0</v>
      </c>
      <c r="AV263" s="13"/>
      <c r="AW263" s="13"/>
      <c r="AX263" s="13">
        <f>ROUNDUP(IF(SUM($AV263:$AW263)=0,0,IF(IF(ISBLANK($AW263),$AV263,$AW263)*Paraméterek!$J$112&lt;IF($D$4="Forint",Paraméterek!$J$113,Paraméterek!$K$113),IF($D$4="Forint",Paraméterek!$J$113,Paraméterek!$K$113),IF(IF(ISBLANK($AW263),$AV263,$AW263)*Paraméterek!$J$112&gt;IF($D$4="Forint",Paraméterek!$J$114,Paraméterek!$K$114),IF($D$4="Forint",Paraméterek!$J$114,Paraméterek!$K$114),IF(ISBLANK($AW263),$AV263,$AW263)*Paraméterek!$J$112))),IF($D$4="Forint",0,2))</f>
        <v>0</v>
      </c>
      <c r="AY263" s="13">
        <f>$AR263+$AT263-$AU263-IF(ROUNDDOWN(IF(ISBLANK($AW263),$AV263,$AW263),IF($D$4="Forint",0,2))&gt;$AR263+$AT263-$AU263-IF($D$4="Forint",Paraméterek!$J$114,Paraméterek!$K$114),0,ROUNDDOWN(IF(ISBLANK($AW263),$AV263,$AW263),IF($D$4="Forint",0,2))-$AX263)</f>
        <v>0</v>
      </c>
      <c r="AZ263" s="13">
        <f t="shared" si="54"/>
        <v>0</v>
      </c>
    </row>
    <row r="264" spans="1:52" x14ac:dyDescent="0.2">
      <c r="A264" s="32">
        <v>245</v>
      </c>
      <c r="B264" s="32">
        <v>21</v>
      </c>
      <c r="C264" s="32">
        <v>5</v>
      </c>
      <c r="D264" s="13">
        <f t="shared" si="45"/>
        <v>0</v>
      </c>
      <c r="E264" s="13"/>
      <c r="F264" s="13"/>
      <c r="G264" s="13"/>
      <c r="H264" s="13">
        <f t="shared" si="46"/>
        <v>0</v>
      </c>
      <c r="I264" s="13">
        <f t="shared" si="47"/>
        <v>0</v>
      </c>
      <c r="J264" s="13">
        <f t="shared" si="48"/>
        <v>0</v>
      </c>
      <c r="K264" s="13">
        <f>ROUNDUP(IF($D$2="Egyszeri",$D264,IF($D$2="Havi",SUM($D$20:$D$31),IF(MOD($C264,$M$1)-1=0,SUM($D$20:$D$31),0))/12*$M$1)*VLOOKUP($B264,Paraméterek!$B$27:$D$30,IF($D$2="Egyszeri",3,2)),IF($D$4="Forint",0,2))</f>
        <v>0</v>
      </c>
      <c r="L264" s="13">
        <f t="shared" si="49"/>
        <v>0</v>
      </c>
      <c r="M264" s="13">
        <f t="shared" ca="1" si="55"/>
        <v>-141230</v>
      </c>
      <c r="N264" s="13">
        <f ca="1">IF($V263&gt;=VLOOKUP($M$4-1+$B264,Paraméterek!$B$121:$D$122,IF($D$4="Forint",2,3)),0,VLOOKUP($M$4-1+$B264,Paraméterek!$B$121:$D$122,IF($D$4="Forint",2,3))-$V263)</f>
        <v>151230</v>
      </c>
      <c r="O264" s="13">
        <f ca="1">ROUNDUP($N264*Paraméterek!$C$58/Paraméterek!$C$56,IF($D$4="Forint",0,2))</f>
        <v>25</v>
      </c>
      <c r="P264" s="13">
        <f t="shared" si="50"/>
        <v>994</v>
      </c>
      <c r="Q264" s="33"/>
      <c r="R264" s="13">
        <f t="shared" ca="1" si="51"/>
        <v>0</v>
      </c>
      <c r="S264" s="13">
        <f ca="1">ROUNDUP(($M264-$O264-$P264+$R264)*VLOOKUP($B264,Paraméterek!$B$38:$D$39,IF($D$2="Egyszeri",3,2))/12,IF($D$4="Forint",0,2))</f>
        <v>-348</v>
      </c>
      <c r="T264" s="13"/>
      <c r="U264" s="13"/>
      <c r="V264" s="13">
        <f ca="1">$M264-$O264-$P264+$R264-$S264-IF(ROUNDUP(IF(ISBLANK($U264),$T264,$U264)/IF(AND($B264=1,$D$2&lt;&gt;"Egyszeri"),1,VLOOKUP($B264+IF($C264=12,1,0),Paraméterek!$B$257:$D$267,IF($D$2="Egyszeri",3,2))),IF($D$4="Forint",0,2))&gt;$M264-$O264-$P264+$R264-$S264-IF($D$4="Forint",Paraméterek!$C$216,Paraméterek!$D$216),0,ROUNDUP(IF(ISBLANK($U264),$T264,$U264)/IF(AND($B264=1,$D$2&lt;&gt;"Egyszeri"),1,VLOOKUP($B264+IF($C264=12,1,0),Paraméterek!$B$257:$D$267,IF($D$2="Egyszeri",3,2))),IF($D$4="Forint",0,2)))</f>
        <v>-141901</v>
      </c>
      <c r="W264" s="13">
        <f ca="1">ROUNDDOWN($V264*VLOOKUP($B264+IF($C264=12,1,0),Paraméterek!$B$257:$D$267,IF($D$2="Egyszeri",3,2)),IF($D$4="Forint",0,2))</f>
        <v>-141901</v>
      </c>
      <c r="Y264" s="32">
        <v>245</v>
      </c>
      <c r="Z264" s="32">
        <v>21</v>
      </c>
      <c r="AA264" s="32">
        <v>5</v>
      </c>
      <c r="AB264" s="13">
        <f t="shared" si="56"/>
        <v>0</v>
      </c>
      <c r="AC264" s="33"/>
      <c r="AD264" s="13">
        <f t="shared" si="52"/>
        <v>0</v>
      </c>
      <c r="AE264" s="13">
        <f>ROUNDUP(($AB264+$AD264)*VLOOKUP($Z264,Paraméterek!$P$38:$Q$38,2)/12,IF($D$4="Forint",0,2))</f>
        <v>0</v>
      </c>
      <c r="AF264" s="13">
        <f>IF($D$2="Egyszeri",IF($D$7&gt;=IF($D$4="Forint",Paraméterek!$P$223,Paraméterek!$P$224),$D$7-IF($D$4="Forint",Paraméterek!$F$223,Paraméterek!$F$224),0),MIN(IF($AA264=12,AVERAGE($D$20:$D264)*12,0),SUM($D$20:$D$31)))</f>
        <v>0</v>
      </c>
      <c r="AG264" s="13">
        <f>IF(AND($Z264&gt;=10,MOD($Z264,5)=0),$AF264*IF($AA264=12,VLOOKUP($Z264,Paraméterek!$B$225:$F$240,IF($AF264&lt;IF($D$4="Forint",Paraméterek!$C$223,Paraméterek!$C$224),2,IF($AF264&lt;IF($D$4="Forint",Paraméterek!$D$223,Paraméterek!$D$224),3,4))),0),0)</f>
        <v>0</v>
      </c>
      <c r="AH264" s="13">
        <f>IF(AND($Z264&gt;=5,MOD($Z264,5)=0),IF($AA264=12,VLOOKUP($Z264,Paraméterek!$B$225:$F$240,5),0),IF(OR($Z264=3,$Z264=4),IF($AA264=12,VLOOKUP($Z264,Paraméterek!$B$225:$F$240,5,0),0),0))*$AF264</f>
        <v>0</v>
      </c>
      <c r="AI264" s="13">
        <f>ROUNDDOWN(IF(SUM($T$20:$U264)=0,IF($D$2="Egyszeri",$AH264,$AG264),0),IF($D$4="Forint",0,2))</f>
        <v>0</v>
      </c>
      <c r="AJ264" s="13">
        <f t="shared" si="57"/>
        <v>0</v>
      </c>
      <c r="AK264" s="13">
        <f t="shared" si="58"/>
        <v>0</v>
      </c>
      <c r="AM264" s="32">
        <v>245</v>
      </c>
      <c r="AN264" s="32">
        <v>21</v>
      </c>
      <c r="AO264" s="32">
        <v>5</v>
      </c>
      <c r="AP264" s="13"/>
      <c r="AQ264" s="32"/>
      <c r="AR264" s="13">
        <f t="shared" si="59"/>
        <v>0</v>
      </c>
      <c r="AS264" s="33"/>
      <c r="AT264" s="13">
        <f t="shared" si="53"/>
        <v>0</v>
      </c>
      <c r="AU264" s="13">
        <f>ROUNDUP(($AR264+$AT264)*VLOOKUP($AN264,Paraméterek!$P$38:$Q$38,2)/12,IF($D$4="Forint",0,2))</f>
        <v>0</v>
      </c>
      <c r="AV264" s="13"/>
      <c r="AW264" s="13"/>
      <c r="AX264" s="13">
        <f>ROUNDUP(IF(SUM($AV264:$AW264)=0,0,IF(IF(ISBLANK($AW264),$AV264,$AW264)*Paraméterek!$J$112&lt;IF($D$4="Forint",Paraméterek!$J$113,Paraméterek!$K$113),IF($D$4="Forint",Paraméterek!$J$113,Paraméterek!$K$113),IF(IF(ISBLANK($AW264),$AV264,$AW264)*Paraméterek!$J$112&gt;IF($D$4="Forint",Paraméterek!$J$114,Paraméterek!$K$114),IF($D$4="Forint",Paraméterek!$J$114,Paraméterek!$K$114),IF(ISBLANK($AW264),$AV264,$AW264)*Paraméterek!$J$112))),IF($D$4="Forint",0,2))</f>
        <v>0</v>
      </c>
      <c r="AY264" s="13">
        <f>$AR264+$AT264-$AU264-IF(ROUNDDOWN(IF(ISBLANK($AW264),$AV264,$AW264),IF($D$4="Forint",0,2))&gt;$AR264+$AT264-$AU264-IF($D$4="Forint",Paraméterek!$J$114,Paraméterek!$K$114),0,ROUNDDOWN(IF(ISBLANK($AW264),$AV264,$AW264),IF($D$4="Forint",0,2))-$AX264)</f>
        <v>0</v>
      </c>
      <c r="AZ264" s="13">
        <f t="shared" si="54"/>
        <v>0</v>
      </c>
    </row>
    <row r="265" spans="1:52" x14ac:dyDescent="0.2">
      <c r="A265" s="32">
        <v>246</v>
      </c>
      <c r="B265" s="32">
        <v>21</v>
      </c>
      <c r="C265" s="32">
        <v>6</v>
      </c>
      <c r="D265" s="13">
        <f t="shared" si="45"/>
        <v>0</v>
      </c>
      <c r="E265" s="13"/>
      <c r="F265" s="13"/>
      <c r="G265" s="13"/>
      <c r="H265" s="13">
        <f t="shared" si="46"/>
        <v>0</v>
      </c>
      <c r="I265" s="13">
        <f t="shared" si="47"/>
        <v>0</v>
      </c>
      <c r="J265" s="13">
        <f t="shared" si="48"/>
        <v>0</v>
      </c>
      <c r="K265" s="13">
        <f>ROUNDUP(IF($D$2="Egyszeri",$D265,IF($D$2="Havi",SUM($D$20:$D$31),IF(MOD($C265,$M$1)-1=0,SUM($D$20:$D$31),0))/12*$M$1)*VLOOKUP($B265,Paraméterek!$B$27:$D$30,IF($D$2="Egyszeri",3,2)),IF($D$4="Forint",0,2))</f>
        <v>0</v>
      </c>
      <c r="L265" s="13">
        <f t="shared" si="49"/>
        <v>0</v>
      </c>
      <c r="M265" s="13">
        <f t="shared" ca="1" si="55"/>
        <v>-141901</v>
      </c>
      <c r="N265" s="13">
        <f ca="1">IF($V264&gt;=VLOOKUP($M$4-1+$B265,Paraméterek!$B$121:$D$122,IF($D$4="Forint",2,3)),0,VLOOKUP($M$4-1+$B265,Paraméterek!$B$121:$D$122,IF($D$4="Forint",2,3))-$V264)</f>
        <v>151901</v>
      </c>
      <c r="O265" s="13">
        <f ca="1">ROUNDUP($N265*Paraméterek!$C$58/Paraméterek!$C$56,IF($D$4="Forint",0,2))</f>
        <v>25</v>
      </c>
      <c r="P265" s="13">
        <f t="shared" si="50"/>
        <v>994</v>
      </c>
      <c r="Q265" s="33"/>
      <c r="R265" s="13">
        <f t="shared" ca="1" si="51"/>
        <v>0</v>
      </c>
      <c r="S265" s="13">
        <f ca="1">ROUNDUP(($M265-$O265-$P265+$R265)*VLOOKUP($B265,Paraméterek!$B$38:$D$39,IF($D$2="Egyszeri",3,2))/12,IF($D$4="Forint",0,2))</f>
        <v>-349</v>
      </c>
      <c r="T265" s="13"/>
      <c r="U265" s="13"/>
      <c r="V265" s="13">
        <f ca="1">$M265-$O265-$P265+$R265-$S265-IF(ROUNDUP(IF(ISBLANK($U265),$T265,$U265)/IF(AND($B265=1,$D$2&lt;&gt;"Egyszeri"),1,VLOOKUP($B265+IF($C265=12,1,0),Paraméterek!$B$257:$D$267,IF($D$2="Egyszeri",3,2))),IF($D$4="Forint",0,2))&gt;$M265-$O265-$P265+$R265-$S265-IF($D$4="Forint",Paraméterek!$C$216,Paraméterek!$D$216),0,ROUNDUP(IF(ISBLANK($U265),$T265,$U265)/IF(AND($B265=1,$D$2&lt;&gt;"Egyszeri"),1,VLOOKUP($B265+IF($C265=12,1,0),Paraméterek!$B$257:$D$267,IF($D$2="Egyszeri",3,2))),IF($D$4="Forint",0,2)))</f>
        <v>-142571</v>
      </c>
      <c r="W265" s="13">
        <f ca="1">ROUNDDOWN($V265*VLOOKUP($B265+IF($C265=12,1,0),Paraméterek!$B$257:$D$267,IF($D$2="Egyszeri",3,2)),IF($D$4="Forint",0,2))</f>
        <v>-142571</v>
      </c>
      <c r="Y265" s="32">
        <v>246</v>
      </c>
      <c r="Z265" s="32">
        <v>21</v>
      </c>
      <c r="AA265" s="32">
        <v>6</v>
      </c>
      <c r="AB265" s="13">
        <f t="shared" si="56"/>
        <v>0</v>
      </c>
      <c r="AC265" s="33"/>
      <c r="AD265" s="13">
        <f t="shared" si="52"/>
        <v>0</v>
      </c>
      <c r="AE265" s="13">
        <f>ROUNDUP(($AB265+$AD265)*VLOOKUP($Z265,Paraméterek!$P$38:$Q$38,2)/12,IF($D$4="Forint",0,2))</f>
        <v>0</v>
      </c>
      <c r="AF265" s="13">
        <f>IF($D$2="Egyszeri",IF($D$7&gt;=IF($D$4="Forint",Paraméterek!$P$223,Paraméterek!$P$224),$D$7-IF($D$4="Forint",Paraméterek!$F$223,Paraméterek!$F$224),0),MIN(IF($AA265=12,AVERAGE($D$20:$D265)*12,0),SUM($D$20:$D$31)))</f>
        <v>0</v>
      </c>
      <c r="AG265" s="13">
        <f>IF(AND($Z265&gt;=10,MOD($Z265,5)=0),$AF265*IF($AA265=12,VLOOKUP($Z265,Paraméterek!$B$225:$F$240,IF($AF265&lt;IF($D$4="Forint",Paraméterek!$C$223,Paraméterek!$C$224),2,IF($AF265&lt;IF($D$4="Forint",Paraméterek!$D$223,Paraméterek!$D$224),3,4))),0),0)</f>
        <v>0</v>
      </c>
      <c r="AH265" s="13">
        <f>IF(AND($Z265&gt;=5,MOD($Z265,5)=0),IF($AA265=12,VLOOKUP($Z265,Paraméterek!$B$225:$F$240,5),0),IF(OR($Z265=3,$Z265=4),IF($AA265=12,VLOOKUP($Z265,Paraméterek!$B$225:$F$240,5,0),0),0))*$AF265</f>
        <v>0</v>
      </c>
      <c r="AI265" s="13">
        <f>ROUNDDOWN(IF(SUM($T$20:$U265)=0,IF($D$2="Egyszeri",$AH265,$AG265),0),IF($D$4="Forint",0,2))</f>
        <v>0</v>
      </c>
      <c r="AJ265" s="13">
        <f t="shared" si="57"/>
        <v>0</v>
      </c>
      <c r="AK265" s="13">
        <f t="shared" si="58"/>
        <v>0</v>
      </c>
      <c r="AM265" s="32">
        <v>246</v>
      </c>
      <c r="AN265" s="32">
        <v>21</v>
      </c>
      <c r="AO265" s="32">
        <v>6</v>
      </c>
      <c r="AP265" s="13"/>
      <c r="AQ265" s="32"/>
      <c r="AR265" s="13">
        <f t="shared" si="59"/>
        <v>0</v>
      </c>
      <c r="AS265" s="33"/>
      <c r="AT265" s="13">
        <f t="shared" si="53"/>
        <v>0</v>
      </c>
      <c r="AU265" s="13">
        <f>ROUNDUP(($AR265+$AT265)*VLOOKUP($AN265,Paraméterek!$P$38:$Q$38,2)/12,IF($D$4="Forint",0,2))</f>
        <v>0</v>
      </c>
      <c r="AV265" s="13"/>
      <c r="AW265" s="13"/>
      <c r="AX265" s="13">
        <f>ROUNDUP(IF(SUM($AV265:$AW265)=0,0,IF(IF(ISBLANK($AW265),$AV265,$AW265)*Paraméterek!$J$112&lt;IF($D$4="Forint",Paraméterek!$J$113,Paraméterek!$K$113),IF($D$4="Forint",Paraméterek!$J$113,Paraméterek!$K$113),IF(IF(ISBLANK($AW265),$AV265,$AW265)*Paraméterek!$J$112&gt;IF($D$4="Forint",Paraméterek!$J$114,Paraméterek!$K$114),IF($D$4="Forint",Paraméterek!$J$114,Paraméterek!$K$114),IF(ISBLANK($AW265),$AV265,$AW265)*Paraméterek!$J$112))),IF($D$4="Forint",0,2))</f>
        <v>0</v>
      </c>
      <c r="AY265" s="13">
        <f>$AR265+$AT265-$AU265-IF(ROUNDDOWN(IF(ISBLANK($AW265),$AV265,$AW265),IF($D$4="Forint",0,2))&gt;$AR265+$AT265-$AU265-IF($D$4="Forint",Paraméterek!$J$114,Paraméterek!$K$114),0,ROUNDDOWN(IF(ISBLANK($AW265),$AV265,$AW265),IF($D$4="Forint",0,2))-$AX265)</f>
        <v>0</v>
      </c>
      <c r="AZ265" s="13">
        <f t="shared" si="54"/>
        <v>0</v>
      </c>
    </row>
    <row r="266" spans="1:52" x14ac:dyDescent="0.2">
      <c r="A266" s="32">
        <v>247</v>
      </c>
      <c r="B266" s="32">
        <v>21</v>
      </c>
      <c r="C266" s="32">
        <v>7</v>
      </c>
      <c r="D266" s="13">
        <f t="shared" si="45"/>
        <v>0</v>
      </c>
      <c r="E266" s="13"/>
      <c r="F266" s="13"/>
      <c r="G266" s="13"/>
      <c r="H266" s="13">
        <f t="shared" si="46"/>
        <v>0</v>
      </c>
      <c r="I266" s="13">
        <f t="shared" si="47"/>
        <v>0</v>
      </c>
      <c r="J266" s="13">
        <f t="shared" si="48"/>
        <v>0</v>
      </c>
      <c r="K266" s="13">
        <f>ROUNDUP(IF($D$2="Egyszeri",$D266,IF($D$2="Havi",SUM($D$20:$D$31),IF(MOD($C266,$M$1)-1=0,SUM($D$20:$D$31),0))/12*$M$1)*VLOOKUP($B266,Paraméterek!$B$27:$D$30,IF($D$2="Egyszeri",3,2)),IF($D$4="Forint",0,2))</f>
        <v>0</v>
      </c>
      <c r="L266" s="13">
        <f t="shared" si="49"/>
        <v>0</v>
      </c>
      <c r="M266" s="13">
        <f t="shared" ca="1" si="55"/>
        <v>-142571</v>
      </c>
      <c r="N266" s="13">
        <f ca="1">IF($V265&gt;=VLOOKUP($M$4-1+$B266,Paraméterek!$B$121:$D$122,IF($D$4="Forint",2,3)),0,VLOOKUP($M$4-1+$B266,Paraméterek!$B$121:$D$122,IF($D$4="Forint",2,3))-$V265)</f>
        <v>152571</v>
      </c>
      <c r="O266" s="13">
        <f ca="1">ROUNDUP($N266*Paraméterek!$C$58/Paraméterek!$C$56,IF($D$4="Forint",0,2))</f>
        <v>25</v>
      </c>
      <c r="P266" s="13">
        <f t="shared" si="50"/>
        <v>994</v>
      </c>
      <c r="Q266" s="33"/>
      <c r="R266" s="13">
        <f t="shared" ca="1" si="51"/>
        <v>0</v>
      </c>
      <c r="S266" s="13">
        <f ca="1">ROUNDUP(($M266-$O266-$P266+$R266)*VLOOKUP($B266,Paraméterek!$B$38:$D$39,IF($D$2="Egyszeri",3,2))/12,IF($D$4="Forint",0,2))</f>
        <v>-351</v>
      </c>
      <c r="T266" s="13"/>
      <c r="U266" s="13"/>
      <c r="V266" s="13">
        <f ca="1">$M266-$O266-$P266+$R266-$S266-IF(ROUNDUP(IF(ISBLANK($U266),$T266,$U266)/IF(AND($B266=1,$D$2&lt;&gt;"Egyszeri"),1,VLOOKUP($B266+IF($C266=12,1,0),Paraméterek!$B$257:$D$267,IF($D$2="Egyszeri",3,2))),IF($D$4="Forint",0,2))&gt;$M266-$O266-$P266+$R266-$S266-IF($D$4="Forint",Paraméterek!$C$216,Paraméterek!$D$216),0,ROUNDUP(IF(ISBLANK($U266),$T266,$U266)/IF(AND($B266=1,$D$2&lt;&gt;"Egyszeri"),1,VLOOKUP($B266+IF($C266=12,1,0),Paraméterek!$B$257:$D$267,IF($D$2="Egyszeri",3,2))),IF($D$4="Forint",0,2)))</f>
        <v>-143239</v>
      </c>
      <c r="W266" s="13">
        <f ca="1">ROUNDDOWN($V266*VLOOKUP($B266+IF($C266=12,1,0),Paraméterek!$B$257:$D$267,IF($D$2="Egyszeri",3,2)),IF($D$4="Forint",0,2))</f>
        <v>-143239</v>
      </c>
      <c r="Y266" s="32">
        <v>247</v>
      </c>
      <c r="Z266" s="32">
        <v>21</v>
      </c>
      <c r="AA266" s="32">
        <v>7</v>
      </c>
      <c r="AB266" s="13">
        <f t="shared" si="56"/>
        <v>0</v>
      </c>
      <c r="AC266" s="33"/>
      <c r="AD266" s="13">
        <f t="shared" si="52"/>
        <v>0</v>
      </c>
      <c r="AE266" s="13">
        <f>ROUNDUP(($AB266+$AD266)*VLOOKUP($Z266,Paraméterek!$P$38:$Q$38,2)/12,IF($D$4="Forint",0,2))</f>
        <v>0</v>
      </c>
      <c r="AF266" s="13">
        <f>IF($D$2="Egyszeri",IF($D$7&gt;=IF($D$4="Forint",Paraméterek!$P$223,Paraméterek!$P$224),$D$7-IF($D$4="Forint",Paraméterek!$F$223,Paraméterek!$F$224),0),MIN(IF($AA266=12,AVERAGE($D$20:$D266)*12,0),SUM($D$20:$D$31)))</f>
        <v>0</v>
      </c>
      <c r="AG266" s="13">
        <f>IF(AND($Z266&gt;=10,MOD($Z266,5)=0),$AF266*IF($AA266=12,VLOOKUP($Z266,Paraméterek!$B$225:$F$240,IF($AF266&lt;IF($D$4="Forint",Paraméterek!$C$223,Paraméterek!$C$224),2,IF($AF266&lt;IF($D$4="Forint",Paraméterek!$D$223,Paraméterek!$D$224),3,4))),0),0)</f>
        <v>0</v>
      </c>
      <c r="AH266" s="13">
        <f>IF(AND($Z266&gt;=5,MOD($Z266,5)=0),IF($AA266=12,VLOOKUP($Z266,Paraméterek!$B$225:$F$240,5),0),IF(OR($Z266=3,$Z266=4),IF($AA266=12,VLOOKUP($Z266,Paraméterek!$B$225:$F$240,5,0),0),0))*$AF266</f>
        <v>0</v>
      </c>
      <c r="AI266" s="13">
        <f>ROUNDDOWN(IF(SUM($T$20:$U266)=0,IF($D$2="Egyszeri",$AH266,$AG266),0),IF($D$4="Forint",0,2))</f>
        <v>0</v>
      </c>
      <c r="AJ266" s="13">
        <f t="shared" si="57"/>
        <v>0</v>
      </c>
      <c r="AK266" s="13">
        <f t="shared" si="58"/>
        <v>0</v>
      </c>
      <c r="AM266" s="32">
        <v>247</v>
      </c>
      <c r="AN266" s="32">
        <v>21</v>
      </c>
      <c r="AO266" s="32">
        <v>7</v>
      </c>
      <c r="AP266" s="13"/>
      <c r="AQ266" s="32"/>
      <c r="AR266" s="13">
        <f t="shared" si="59"/>
        <v>0</v>
      </c>
      <c r="AS266" s="33"/>
      <c r="AT266" s="13">
        <f t="shared" si="53"/>
        <v>0</v>
      </c>
      <c r="AU266" s="13">
        <f>ROUNDUP(($AR266+$AT266)*VLOOKUP($AN266,Paraméterek!$P$38:$Q$38,2)/12,IF($D$4="Forint",0,2))</f>
        <v>0</v>
      </c>
      <c r="AV266" s="13"/>
      <c r="AW266" s="13"/>
      <c r="AX266" s="13">
        <f>ROUNDUP(IF(SUM($AV266:$AW266)=0,0,IF(IF(ISBLANK($AW266),$AV266,$AW266)*Paraméterek!$J$112&lt;IF($D$4="Forint",Paraméterek!$J$113,Paraméterek!$K$113),IF($D$4="Forint",Paraméterek!$J$113,Paraméterek!$K$113),IF(IF(ISBLANK($AW266),$AV266,$AW266)*Paraméterek!$J$112&gt;IF($D$4="Forint",Paraméterek!$J$114,Paraméterek!$K$114),IF($D$4="Forint",Paraméterek!$J$114,Paraméterek!$K$114),IF(ISBLANK($AW266),$AV266,$AW266)*Paraméterek!$J$112))),IF($D$4="Forint",0,2))</f>
        <v>0</v>
      </c>
      <c r="AY266" s="13">
        <f>$AR266+$AT266-$AU266-IF(ROUNDDOWN(IF(ISBLANK($AW266),$AV266,$AW266),IF($D$4="Forint",0,2))&gt;$AR266+$AT266-$AU266-IF($D$4="Forint",Paraméterek!$J$114,Paraméterek!$K$114),0,ROUNDDOWN(IF(ISBLANK($AW266),$AV266,$AW266),IF($D$4="Forint",0,2))-$AX266)</f>
        <v>0</v>
      </c>
      <c r="AZ266" s="13">
        <f t="shared" si="54"/>
        <v>0</v>
      </c>
    </row>
    <row r="267" spans="1:52" x14ac:dyDescent="0.2">
      <c r="A267" s="32">
        <v>248</v>
      </c>
      <c r="B267" s="32">
        <v>21</v>
      </c>
      <c r="C267" s="32">
        <v>8</v>
      </c>
      <c r="D267" s="13">
        <f t="shared" si="45"/>
        <v>0</v>
      </c>
      <c r="E267" s="13"/>
      <c r="F267" s="13"/>
      <c r="G267" s="13"/>
      <c r="H267" s="13">
        <f t="shared" si="46"/>
        <v>0</v>
      </c>
      <c r="I267" s="13">
        <f t="shared" si="47"/>
        <v>0</v>
      </c>
      <c r="J267" s="13">
        <f t="shared" si="48"/>
        <v>0</v>
      </c>
      <c r="K267" s="13">
        <f>ROUNDUP(IF($D$2="Egyszeri",$D267,IF($D$2="Havi",SUM($D$20:$D$31),IF(MOD($C267,$M$1)-1=0,SUM($D$20:$D$31),0))/12*$M$1)*VLOOKUP($B267,Paraméterek!$B$27:$D$30,IF($D$2="Egyszeri",3,2)),IF($D$4="Forint",0,2))</f>
        <v>0</v>
      </c>
      <c r="L267" s="13">
        <f t="shared" si="49"/>
        <v>0</v>
      </c>
      <c r="M267" s="13">
        <f t="shared" ca="1" si="55"/>
        <v>-143239</v>
      </c>
      <c r="N267" s="13">
        <f ca="1">IF($V266&gt;=VLOOKUP($M$4-1+$B267,Paraméterek!$B$121:$D$122,IF($D$4="Forint",2,3)),0,VLOOKUP($M$4-1+$B267,Paraméterek!$B$121:$D$122,IF($D$4="Forint",2,3))-$V266)</f>
        <v>153239</v>
      </c>
      <c r="O267" s="13">
        <f ca="1">ROUNDUP($N267*Paraméterek!$C$58/Paraméterek!$C$56,IF($D$4="Forint",0,2))</f>
        <v>25</v>
      </c>
      <c r="P267" s="13">
        <f t="shared" si="50"/>
        <v>994</v>
      </c>
      <c r="Q267" s="33"/>
      <c r="R267" s="13">
        <f t="shared" ca="1" si="51"/>
        <v>0</v>
      </c>
      <c r="S267" s="13">
        <f ca="1">ROUNDUP(($M267-$O267-$P267+$R267)*VLOOKUP($B267,Paraméterek!$B$38:$D$39,IF($D$2="Egyszeri",3,2))/12,IF($D$4="Forint",0,2))</f>
        <v>-353</v>
      </c>
      <c r="T267" s="13"/>
      <c r="U267" s="13"/>
      <c r="V267" s="13">
        <f ca="1">$M267-$O267-$P267+$R267-$S267-IF(ROUNDUP(IF(ISBLANK($U267),$T267,$U267)/IF(AND($B267=1,$D$2&lt;&gt;"Egyszeri"),1,VLOOKUP($B267+IF($C267=12,1,0),Paraméterek!$B$257:$D$267,IF($D$2="Egyszeri",3,2))),IF($D$4="Forint",0,2))&gt;$M267-$O267-$P267+$R267-$S267-IF($D$4="Forint",Paraméterek!$C$216,Paraméterek!$D$216),0,ROUNDUP(IF(ISBLANK($U267),$T267,$U267)/IF(AND($B267=1,$D$2&lt;&gt;"Egyszeri"),1,VLOOKUP($B267+IF($C267=12,1,0),Paraméterek!$B$257:$D$267,IF($D$2="Egyszeri",3,2))),IF($D$4="Forint",0,2)))</f>
        <v>-143905</v>
      </c>
      <c r="W267" s="13">
        <f ca="1">ROUNDDOWN($V267*VLOOKUP($B267+IF($C267=12,1,0),Paraméterek!$B$257:$D$267,IF($D$2="Egyszeri",3,2)),IF($D$4="Forint",0,2))</f>
        <v>-143905</v>
      </c>
      <c r="Y267" s="32">
        <v>248</v>
      </c>
      <c r="Z267" s="32">
        <v>21</v>
      </c>
      <c r="AA267" s="32">
        <v>8</v>
      </c>
      <c r="AB267" s="13">
        <f t="shared" si="56"/>
        <v>0</v>
      </c>
      <c r="AC267" s="33"/>
      <c r="AD267" s="13">
        <f t="shared" si="52"/>
        <v>0</v>
      </c>
      <c r="AE267" s="13">
        <f>ROUNDUP(($AB267+$AD267)*VLOOKUP($Z267,Paraméterek!$P$38:$Q$38,2)/12,IF($D$4="Forint",0,2))</f>
        <v>0</v>
      </c>
      <c r="AF267" s="13">
        <f>IF($D$2="Egyszeri",IF($D$7&gt;=IF($D$4="Forint",Paraméterek!$P$223,Paraméterek!$P$224),$D$7-IF($D$4="Forint",Paraméterek!$F$223,Paraméterek!$F$224),0),MIN(IF($AA267=12,AVERAGE($D$20:$D267)*12,0),SUM($D$20:$D$31)))</f>
        <v>0</v>
      </c>
      <c r="AG267" s="13">
        <f>IF(AND($Z267&gt;=10,MOD($Z267,5)=0),$AF267*IF($AA267=12,VLOOKUP($Z267,Paraméterek!$B$225:$F$240,IF($AF267&lt;IF($D$4="Forint",Paraméterek!$C$223,Paraméterek!$C$224),2,IF($AF267&lt;IF($D$4="Forint",Paraméterek!$D$223,Paraméterek!$D$224),3,4))),0),0)</f>
        <v>0</v>
      </c>
      <c r="AH267" s="13">
        <f>IF(AND($Z267&gt;=5,MOD($Z267,5)=0),IF($AA267=12,VLOOKUP($Z267,Paraméterek!$B$225:$F$240,5),0),IF(OR($Z267=3,$Z267=4),IF($AA267=12,VLOOKUP($Z267,Paraméterek!$B$225:$F$240,5,0),0),0))*$AF267</f>
        <v>0</v>
      </c>
      <c r="AI267" s="13">
        <f>ROUNDDOWN(IF(SUM($T$20:$U267)=0,IF($D$2="Egyszeri",$AH267,$AG267),0),IF($D$4="Forint",0,2))</f>
        <v>0</v>
      </c>
      <c r="AJ267" s="13">
        <f t="shared" si="57"/>
        <v>0</v>
      </c>
      <c r="AK267" s="13">
        <f t="shared" si="58"/>
        <v>0</v>
      </c>
      <c r="AM267" s="32">
        <v>248</v>
      </c>
      <c r="AN267" s="32">
        <v>21</v>
      </c>
      <c r="AO267" s="32">
        <v>8</v>
      </c>
      <c r="AP267" s="13"/>
      <c r="AQ267" s="32"/>
      <c r="AR267" s="13">
        <f t="shared" si="59"/>
        <v>0</v>
      </c>
      <c r="AS267" s="33"/>
      <c r="AT267" s="13">
        <f t="shared" si="53"/>
        <v>0</v>
      </c>
      <c r="AU267" s="13">
        <f>ROUNDUP(($AR267+$AT267)*VLOOKUP($AN267,Paraméterek!$P$38:$Q$38,2)/12,IF($D$4="Forint",0,2))</f>
        <v>0</v>
      </c>
      <c r="AV267" s="13"/>
      <c r="AW267" s="13"/>
      <c r="AX267" s="13">
        <f>ROUNDUP(IF(SUM($AV267:$AW267)=0,0,IF(IF(ISBLANK($AW267),$AV267,$AW267)*Paraméterek!$J$112&lt;IF($D$4="Forint",Paraméterek!$J$113,Paraméterek!$K$113),IF($D$4="Forint",Paraméterek!$J$113,Paraméterek!$K$113),IF(IF(ISBLANK($AW267),$AV267,$AW267)*Paraméterek!$J$112&gt;IF($D$4="Forint",Paraméterek!$J$114,Paraméterek!$K$114),IF($D$4="Forint",Paraméterek!$J$114,Paraméterek!$K$114),IF(ISBLANK($AW267),$AV267,$AW267)*Paraméterek!$J$112))),IF($D$4="Forint",0,2))</f>
        <v>0</v>
      </c>
      <c r="AY267" s="13">
        <f>$AR267+$AT267-$AU267-IF(ROUNDDOWN(IF(ISBLANK($AW267),$AV267,$AW267),IF($D$4="Forint",0,2))&gt;$AR267+$AT267-$AU267-IF($D$4="Forint",Paraméterek!$J$114,Paraméterek!$K$114),0,ROUNDDOWN(IF(ISBLANK($AW267),$AV267,$AW267),IF($D$4="Forint",0,2))-$AX267)</f>
        <v>0</v>
      </c>
      <c r="AZ267" s="13">
        <f t="shared" si="54"/>
        <v>0</v>
      </c>
    </row>
    <row r="268" spans="1:52" x14ac:dyDescent="0.2">
      <c r="A268" s="32">
        <v>249</v>
      </c>
      <c r="B268" s="32">
        <v>21</v>
      </c>
      <c r="C268" s="32">
        <v>9</v>
      </c>
      <c r="D268" s="13">
        <f t="shared" si="45"/>
        <v>0</v>
      </c>
      <c r="E268" s="13"/>
      <c r="F268" s="13"/>
      <c r="G268" s="13"/>
      <c r="H268" s="13">
        <f t="shared" si="46"/>
        <v>0</v>
      </c>
      <c r="I268" s="13">
        <f t="shared" si="47"/>
        <v>0</v>
      </c>
      <c r="J268" s="13">
        <f t="shared" si="48"/>
        <v>0</v>
      </c>
      <c r="K268" s="13">
        <f>ROUNDUP(IF($D$2="Egyszeri",$D268,IF($D$2="Havi",SUM($D$20:$D$31),IF(MOD($C268,$M$1)-1=0,SUM($D$20:$D$31),0))/12*$M$1)*VLOOKUP($B268,Paraméterek!$B$27:$D$30,IF($D$2="Egyszeri",3,2)),IF($D$4="Forint",0,2))</f>
        <v>0</v>
      </c>
      <c r="L268" s="13">
        <f t="shared" si="49"/>
        <v>0</v>
      </c>
      <c r="M268" s="13">
        <f t="shared" ca="1" si="55"/>
        <v>-143905</v>
      </c>
      <c r="N268" s="13">
        <f ca="1">IF($V267&gt;=VLOOKUP($M$4-1+$B268,Paraméterek!$B$121:$D$122,IF($D$4="Forint",2,3)),0,VLOOKUP($M$4-1+$B268,Paraméterek!$B$121:$D$122,IF($D$4="Forint",2,3))-$V267)</f>
        <v>153905</v>
      </c>
      <c r="O268" s="13">
        <f ca="1">ROUNDUP($N268*Paraméterek!$C$58/Paraméterek!$C$56,IF($D$4="Forint",0,2))</f>
        <v>25</v>
      </c>
      <c r="P268" s="13">
        <f t="shared" si="50"/>
        <v>994</v>
      </c>
      <c r="Q268" s="33"/>
      <c r="R268" s="13">
        <f t="shared" ca="1" si="51"/>
        <v>0</v>
      </c>
      <c r="S268" s="13">
        <f ca="1">ROUNDUP(($M268-$O268-$P268+$R268)*VLOOKUP($B268,Paraméterek!$B$38:$D$39,IF($D$2="Egyszeri",3,2))/12,IF($D$4="Forint",0,2))</f>
        <v>-354</v>
      </c>
      <c r="T268" s="13"/>
      <c r="U268" s="13"/>
      <c r="V268" s="13">
        <f ca="1">$M268-$O268-$P268+$R268-$S268-IF(ROUNDUP(IF(ISBLANK($U268),$T268,$U268)/IF(AND($B268=1,$D$2&lt;&gt;"Egyszeri"),1,VLOOKUP($B268+IF($C268=12,1,0),Paraméterek!$B$257:$D$267,IF($D$2="Egyszeri",3,2))),IF($D$4="Forint",0,2))&gt;$M268-$O268-$P268+$R268-$S268-IF($D$4="Forint",Paraméterek!$C$216,Paraméterek!$D$216),0,ROUNDUP(IF(ISBLANK($U268),$T268,$U268)/IF(AND($B268=1,$D$2&lt;&gt;"Egyszeri"),1,VLOOKUP($B268+IF($C268=12,1,0),Paraméterek!$B$257:$D$267,IF($D$2="Egyszeri",3,2))),IF($D$4="Forint",0,2)))</f>
        <v>-144570</v>
      </c>
      <c r="W268" s="13">
        <f ca="1">ROUNDDOWN($V268*VLOOKUP($B268+IF($C268=12,1,0),Paraméterek!$B$257:$D$267,IF($D$2="Egyszeri",3,2)),IF($D$4="Forint",0,2))</f>
        <v>-144570</v>
      </c>
      <c r="Y268" s="32">
        <v>249</v>
      </c>
      <c r="Z268" s="32">
        <v>21</v>
      </c>
      <c r="AA268" s="32">
        <v>9</v>
      </c>
      <c r="AB268" s="13">
        <f t="shared" si="56"/>
        <v>0</v>
      </c>
      <c r="AC268" s="33"/>
      <c r="AD268" s="13">
        <f t="shared" si="52"/>
        <v>0</v>
      </c>
      <c r="AE268" s="13">
        <f>ROUNDUP(($AB268+$AD268)*VLOOKUP($Z268,Paraméterek!$P$38:$Q$38,2)/12,IF($D$4="Forint",0,2))</f>
        <v>0</v>
      </c>
      <c r="AF268" s="13">
        <f>IF($D$2="Egyszeri",IF($D$7&gt;=IF($D$4="Forint",Paraméterek!$P$223,Paraméterek!$P$224),$D$7-IF($D$4="Forint",Paraméterek!$F$223,Paraméterek!$F$224),0),MIN(IF($AA268=12,AVERAGE($D$20:$D268)*12,0),SUM($D$20:$D$31)))</f>
        <v>0</v>
      </c>
      <c r="AG268" s="13">
        <f>IF(AND($Z268&gt;=10,MOD($Z268,5)=0),$AF268*IF($AA268=12,VLOOKUP($Z268,Paraméterek!$B$225:$F$240,IF($AF268&lt;IF($D$4="Forint",Paraméterek!$C$223,Paraméterek!$C$224),2,IF($AF268&lt;IF($D$4="Forint",Paraméterek!$D$223,Paraméterek!$D$224),3,4))),0),0)</f>
        <v>0</v>
      </c>
      <c r="AH268" s="13">
        <f>IF(AND($Z268&gt;=5,MOD($Z268,5)=0),IF($AA268=12,VLOOKUP($Z268,Paraméterek!$B$225:$F$240,5),0),IF(OR($Z268=3,$Z268=4),IF($AA268=12,VLOOKUP($Z268,Paraméterek!$B$225:$F$240,5,0),0),0))*$AF268</f>
        <v>0</v>
      </c>
      <c r="AI268" s="13">
        <f>ROUNDDOWN(IF(SUM($T$20:$U268)=0,IF($D$2="Egyszeri",$AH268,$AG268),0),IF($D$4="Forint",0,2))</f>
        <v>0</v>
      </c>
      <c r="AJ268" s="13">
        <f t="shared" si="57"/>
        <v>0</v>
      </c>
      <c r="AK268" s="13">
        <f t="shared" si="58"/>
        <v>0</v>
      </c>
      <c r="AM268" s="32">
        <v>249</v>
      </c>
      <c r="AN268" s="32">
        <v>21</v>
      </c>
      <c r="AO268" s="32">
        <v>9</v>
      </c>
      <c r="AP268" s="13"/>
      <c r="AQ268" s="32"/>
      <c r="AR268" s="13">
        <f t="shared" si="59"/>
        <v>0</v>
      </c>
      <c r="AS268" s="33"/>
      <c r="AT268" s="13">
        <f t="shared" si="53"/>
        <v>0</v>
      </c>
      <c r="AU268" s="13">
        <f>ROUNDUP(($AR268+$AT268)*VLOOKUP($AN268,Paraméterek!$P$38:$Q$38,2)/12,IF($D$4="Forint",0,2))</f>
        <v>0</v>
      </c>
      <c r="AV268" s="13"/>
      <c r="AW268" s="13"/>
      <c r="AX268" s="13">
        <f>ROUNDUP(IF(SUM($AV268:$AW268)=0,0,IF(IF(ISBLANK($AW268),$AV268,$AW268)*Paraméterek!$J$112&lt;IF($D$4="Forint",Paraméterek!$J$113,Paraméterek!$K$113),IF($D$4="Forint",Paraméterek!$J$113,Paraméterek!$K$113),IF(IF(ISBLANK($AW268),$AV268,$AW268)*Paraméterek!$J$112&gt;IF($D$4="Forint",Paraméterek!$J$114,Paraméterek!$K$114),IF($D$4="Forint",Paraméterek!$J$114,Paraméterek!$K$114),IF(ISBLANK($AW268),$AV268,$AW268)*Paraméterek!$J$112))),IF($D$4="Forint",0,2))</f>
        <v>0</v>
      </c>
      <c r="AY268" s="13">
        <f>$AR268+$AT268-$AU268-IF(ROUNDDOWN(IF(ISBLANK($AW268),$AV268,$AW268),IF($D$4="Forint",0,2))&gt;$AR268+$AT268-$AU268-IF($D$4="Forint",Paraméterek!$J$114,Paraméterek!$K$114),0,ROUNDDOWN(IF(ISBLANK($AW268),$AV268,$AW268),IF($D$4="Forint",0,2))-$AX268)</f>
        <v>0</v>
      </c>
      <c r="AZ268" s="13">
        <f t="shared" si="54"/>
        <v>0</v>
      </c>
    </row>
    <row r="269" spans="1:52" x14ac:dyDescent="0.2">
      <c r="A269" s="32">
        <v>250</v>
      </c>
      <c r="B269" s="32">
        <v>21</v>
      </c>
      <c r="C269" s="32">
        <v>10</v>
      </c>
      <c r="D269" s="13">
        <f t="shared" si="45"/>
        <v>0</v>
      </c>
      <c r="E269" s="13"/>
      <c r="F269" s="13"/>
      <c r="G269" s="13"/>
      <c r="H269" s="13">
        <f t="shared" si="46"/>
        <v>0</v>
      </c>
      <c r="I269" s="13">
        <f t="shared" si="47"/>
        <v>0</v>
      </c>
      <c r="J269" s="13">
        <f t="shared" si="48"/>
        <v>0</v>
      </c>
      <c r="K269" s="13">
        <f>ROUNDUP(IF($D$2="Egyszeri",$D269,IF($D$2="Havi",SUM($D$20:$D$31),IF(MOD($C269,$M$1)-1=0,SUM($D$20:$D$31),0))/12*$M$1)*VLOOKUP($B269,Paraméterek!$B$27:$D$30,IF($D$2="Egyszeri",3,2)),IF($D$4="Forint",0,2))</f>
        <v>0</v>
      </c>
      <c r="L269" s="13">
        <f t="shared" si="49"/>
        <v>0</v>
      </c>
      <c r="M269" s="13">
        <f t="shared" ca="1" si="55"/>
        <v>-144570</v>
      </c>
      <c r="N269" s="13">
        <f ca="1">IF($V268&gt;=VLOOKUP($M$4-1+$B269,Paraméterek!$B$121:$D$122,IF($D$4="Forint",2,3)),0,VLOOKUP($M$4-1+$B269,Paraméterek!$B$121:$D$122,IF($D$4="Forint",2,3))-$V268)</f>
        <v>154570</v>
      </c>
      <c r="O269" s="13">
        <f ca="1">ROUNDUP($N269*Paraméterek!$C$58/Paraméterek!$C$56,IF($D$4="Forint",0,2))</f>
        <v>25</v>
      </c>
      <c r="P269" s="13">
        <f t="shared" si="50"/>
        <v>994</v>
      </c>
      <c r="Q269" s="33"/>
      <c r="R269" s="13">
        <f t="shared" ca="1" si="51"/>
        <v>0</v>
      </c>
      <c r="S269" s="13">
        <f ca="1">ROUNDUP(($M269-$O269-$P269+$R269)*VLOOKUP($B269,Paraméterek!$B$38:$D$39,IF($D$2="Egyszeri",3,2))/12,IF($D$4="Forint",0,2))</f>
        <v>-356</v>
      </c>
      <c r="T269" s="13"/>
      <c r="U269" s="13"/>
      <c r="V269" s="13">
        <f ca="1">$M269-$O269-$P269+$R269-$S269-IF(ROUNDUP(IF(ISBLANK($U269),$T269,$U269)/IF(AND($B269=1,$D$2&lt;&gt;"Egyszeri"),1,VLOOKUP($B269+IF($C269=12,1,0),Paraméterek!$B$257:$D$267,IF($D$2="Egyszeri",3,2))),IF($D$4="Forint",0,2))&gt;$M269-$O269-$P269+$R269-$S269-IF($D$4="Forint",Paraméterek!$C$216,Paraméterek!$D$216),0,ROUNDUP(IF(ISBLANK($U269),$T269,$U269)/IF(AND($B269=1,$D$2&lt;&gt;"Egyszeri"),1,VLOOKUP($B269+IF($C269=12,1,0),Paraméterek!$B$257:$D$267,IF($D$2="Egyszeri",3,2))),IF($D$4="Forint",0,2)))</f>
        <v>-145233</v>
      </c>
      <c r="W269" s="13">
        <f ca="1">ROUNDDOWN($V269*VLOOKUP($B269+IF($C269=12,1,0),Paraméterek!$B$257:$D$267,IF($D$2="Egyszeri",3,2)),IF($D$4="Forint",0,2))</f>
        <v>-145233</v>
      </c>
      <c r="Y269" s="32">
        <v>250</v>
      </c>
      <c r="Z269" s="32">
        <v>21</v>
      </c>
      <c r="AA269" s="32">
        <v>10</v>
      </c>
      <c r="AB269" s="13">
        <f t="shared" si="56"/>
        <v>0</v>
      </c>
      <c r="AC269" s="33"/>
      <c r="AD269" s="13">
        <f t="shared" si="52"/>
        <v>0</v>
      </c>
      <c r="AE269" s="13">
        <f>ROUNDUP(($AB269+$AD269)*VLOOKUP($Z269,Paraméterek!$P$38:$Q$38,2)/12,IF($D$4="Forint",0,2))</f>
        <v>0</v>
      </c>
      <c r="AF269" s="13">
        <f>IF($D$2="Egyszeri",IF($D$7&gt;=IF($D$4="Forint",Paraméterek!$P$223,Paraméterek!$P$224),$D$7-IF($D$4="Forint",Paraméterek!$F$223,Paraméterek!$F$224),0),MIN(IF($AA269=12,AVERAGE($D$20:$D269)*12,0),SUM($D$20:$D$31)))</f>
        <v>0</v>
      </c>
      <c r="AG269" s="13">
        <f>IF(AND($Z269&gt;=10,MOD($Z269,5)=0),$AF269*IF($AA269=12,VLOOKUP($Z269,Paraméterek!$B$225:$F$240,IF($AF269&lt;IF($D$4="Forint",Paraméterek!$C$223,Paraméterek!$C$224),2,IF($AF269&lt;IF($D$4="Forint",Paraméterek!$D$223,Paraméterek!$D$224),3,4))),0),0)</f>
        <v>0</v>
      </c>
      <c r="AH269" s="13">
        <f>IF(AND($Z269&gt;=5,MOD($Z269,5)=0),IF($AA269=12,VLOOKUP($Z269,Paraméterek!$B$225:$F$240,5),0),IF(OR($Z269=3,$Z269=4),IF($AA269=12,VLOOKUP($Z269,Paraméterek!$B$225:$F$240,5,0),0),0))*$AF269</f>
        <v>0</v>
      </c>
      <c r="AI269" s="13">
        <f>ROUNDDOWN(IF(SUM($T$20:$U269)=0,IF($D$2="Egyszeri",$AH269,$AG269),0),IF($D$4="Forint",0,2))</f>
        <v>0</v>
      </c>
      <c r="AJ269" s="13">
        <f t="shared" si="57"/>
        <v>0</v>
      </c>
      <c r="AK269" s="13">
        <f t="shared" si="58"/>
        <v>0</v>
      </c>
      <c r="AM269" s="32">
        <v>250</v>
      </c>
      <c r="AN269" s="32">
        <v>21</v>
      </c>
      <c r="AO269" s="32">
        <v>10</v>
      </c>
      <c r="AP269" s="13"/>
      <c r="AQ269" s="32"/>
      <c r="AR269" s="13">
        <f t="shared" si="59"/>
        <v>0</v>
      </c>
      <c r="AS269" s="33"/>
      <c r="AT269" s="13">
        <f t="shared" si="53"/>
        <v>0</v>
      </c>
      <c r="AU269" s="13">
        <f>ROUNDUP(($AR269+$AT269)*VLOOKUP($AN269,Paraméterek!$P$38:$Q$38,2)/12,IF($D$4="Forint",0,2))</f>
        <v>0</v>
      </c>
      <c r="AV269" s="13"/>
      <c r="AW269" s="13"/>
      <c r="AX269" s="13">
        <f>ROUNDUP(IF(SUM($AV269:$AW269)=0,0,IF(IF(ISBLANK($AW269),$AV269,$AW269)*Paraméterek!$J$112&lt;IF($D$4="Forint",Paraméterek!$J$113,Paraméterek!$K$113),IF($D$4="Forint",Paraméterek!$J$113,Paraméterek!$K$113),IF(IF(ISBLANK($AW269),$AV269,$AW269)*Paraméterek!$J$112&gt;IF($D$4="Forint",Paraméterek!$J$114,Paraméterek!$K$114),IF($D$4="Forint",Paraméterek!$J$114,Paraméterek!$K$114),IF(ISBLANK($AW269),$AV269,$AW269)*Paraméterek!$J$112))),IF($D$4="Forint",0,2))</f>
        <v>0</v>
      </c>
      <c r="AY269" s="13">
        <f>$AR269+$AT269-$AU269-IF(ROUNDDOWN(IF(ISBLANK($AW269),$AV269,$AW269),IF($D$4="Forint",0,2))&gt;$AR269+$AT269-$AU269-IF($D$4="Forint",Paraméterek!$J$114,Paraméterek!$K$114),0,ROUNDDOWN(IF(ISBLANK($AW269),$AV269,$AW269),IF($D$4="Forint",0,2))-$AX269)</f>
        <v>0</v>
      </c>
      <c r="AZ269" s="13">
        <f t="shared" si="54"/>
        <v>0</v>
      </c>
    </row>
    <row r="270" spans="1:52" x14ac:dyDescent="0.2">
      <c r="A270" s="32">
        <v>251</v>
      </c>
      <c r="B270" s="32">
        <v>21</v>
      </c>
      <c r="C270" s="32">
        <v>11</v>
      </c>
      <c r="D270" s="13">
        <f t="shared" si="45"/>
        <v>0</v>
      </c>
      <c r="E270" s="13"/>
      <c r="F270" s="13"/>
      <c r="G270" s="13"/>
      <c r="H270" s="13">
        <f t="shared" si="46"/>
        <v>0</v>
      </c>
      <c r="I270" s="13">
        <f t="shared" si="47"/>
        <v>0</v>
      </c>
      <c r="J270" s="13">
        <f t="shared" si="48"/>
        <v>0</v>
      </c>
      <c r="K270" s="13">
        <f>ROUNDUP(IF($D$2="Egyszeri",$D270,IF($D$2="Havi",SUM($D$20:$D$31),IF(MOD($C270,$M$1)-1=0,SUM($D$20:$D$31),0))/12*$M$1)*VLOOKUP($B270,Paraméterek!$B$27:$D$30,IF($D$2="Egyszeri",3,2)),IF($D$4="Forint",0,2))</f>
        <v>0</v>
      </c>
      <c r="L270" s="13">
        <f t="shared" si="49"/>
        <v>0</v>
      </c>
      <c r="M270" s="13">
        <f t="shared" ca="1" si="55"/>
        <v>-145233</v>
      </c>
      <c r="N270" s="13">
        <f ca="1">IF($V269&gt;=VLOOKUP($M$4-1+$B270,Paraméterek!$B$121:$D$122,IF($D$4="Forint",2,3)),0,VLOOKUP($M$4-1+$B270,Paraméterek!$B$121:$D$122,IF($D$4="Forint",2,3))-$V269)</f>
        <v>155233</v>
      </c>
      <c r="O270" s="13">
        <f ca="1">ROUNDUP($N270*Paraméterek!$C$58/Paraméterek!$C$56,IF($D$4="Forint",0,2))</f>
        <v>25</v>
      </c>
      <c r="P270" s="13">
        <f t="shared" si="50"/>
        <v>994</v>
      </c>
      <c r="Q270" s="33"/>
      <c r="R270" s="13">
        <f t="shared" ca="1" si="51"/>
        <v>0</v>
      </c>
      <c r="S270" s="13">
        <f ca="1">ROUNDUP(($M270-$O270-$P270+$R270)*VLOOKUP($B270,Paraméterek!$B$38:$D$39,IF($D$2="Egyszeri",3,2))/12,IF($D$4="Forint",0,2))</f>
        <v>-358</v>
      </c>
      <c r="T270" s="13"/>
      <c r="U270" s="13"/>
      <c r="V270" s="13">
        <f ca="1">$M270-$O270-$P270+$R270-$S270-IF(ROUNDUP(IF(ISBLANK($U270),$T270,$U270)/IF(AND($B270=1,$D$2&lt;&gt;"Egyszeri"),1,VLOOKUP($B270+IF($C270=12,1,0),Paraméterek!$B$257:$D$267,IF($D$2="Egyszeri",3,2))),IF($D$4="Forint",0,2))&gt;$M270-$O270-$P270+$R270-$S270-IF($D$4="Forint",Paraméterek!$C$216,Paraméterek!$D$216),0,ROUNDUP(IF(ISBLANK($U270),$T270,$U270)/IF(AND($B270=1,$D$2&lt;&gt;"Egyszeri"),1,VLOOKUP($B270+IF($C270=12,1,0),Paraméterek!$B$257:$D$267,IF($D$2="Egyszeri",3,2))),IF($D$4="Forint",0,2)))</f>
        <v>-145894</v>
      </c>
      <c r="W270" s="13">
        <f ca="1">ROUNDDOWN($V270*VLOOKUP($B270+IF($C270=12,1,0),Paraméterek!$B$257:$D$267,IF($D$2="Egyszeri",3,2)),IF($D$4="Forint",0,2))</f>
        <v>-145894</v>
      </c>
      <c r="Y270" s="32">
        <v>251</v>
      </c>
      <c r="Z270" s="32">
        <v>21</v>
      </c>
      <c r="AA270" s="32">
        <v>11</v>
      </c>
      <c r="AB270" s="13">
        <f t="shared" si="56"/>
        <v>0</v>
      </c>
      <c r="AC270" s="33"/>
      <c r="AD270" s="13">
        <f t="shared" si="52"/>
        <v>0</v>
      </c>
      <c r="AE270" s="13">
        <f>ROUNDUP(($AB270+$AD270)*VLOOKUP($Z270,Paraméterek!$P$38:$Q$38,2)/12,IF($D$4="Forint",0,2))</f>
        <v>0</v>
      </c>
      <c r="AF270" s="13">
        <f>IF($D$2="Egyszeri",IF($D$7&gt;=IF($D$4="Forint",Paraméterek!$P$223,Paraméterek!$P$224),$D$7-IF($D$4="Forint",Paraméterek!$F$223,Paraméterek!$F$224),0),MIN(IF($AA270=12,AVERAGE($D$20:$D270)*12,0),SUM($D$20:$D$31)))</f>
        <v>0</v>
      </c>
      <c r="AG270" s="13">
        <f>IF(AND($Z270&gt;=10,MOD($Z270,5)=0),$AF270*IF($AA270=12,VLOOKUP($Z270,Paraméterek!$B$225:$F$240,IF($AF270&lt;IF($D$4="Forint",Paraméterek!$C$223,Paraméterek!$C$224),2,IF($AF270&lt;IF($D$4="Forint",Paraméterek!$D$223,Paraméterek!$D$224),3,4))),0),0)</f>
        <v>0</v>
      </c>
      <c r="AH270" s="13">
        <f>IF(AND($Z270&gt;=5,MOD($Z270,5)=0),IF($AA270=12,VLOOKUP($Z270,Paraméterek!$B$225:$F$240,5),0),IF(OR($Z270=3,$Z270=4),IF($AA270=12,VLOOKUP($Z270,Paraméterek!$B$225:$F$240,5,0),0),0))*$AF270</f>
        <v>0</v>
      </c>
      <c r="AI270" s="13">
        <f>ROUNDDOWN(IF(SUM($T$20:$U270)=0,IF($D$2="Egyszeri",$AH270,$AG270),0),IF($D$4="Forint",0,2))</f>
        <v>0</v>
      </c>
      <c r="AJ270" s="13">
        <f t="shared" si="57"/>
        <v>0</v>
      </c>
      <c r="AK270" s="13">
        <f t="shared" si="58"/>
        <v>0</v>
      </c>
      <c r="AM270" s="32">
        <v>251</v>
      </c>
      <c r="AN270" s="32">
        <v>21</v>
      </c>
      <c r="AO270" s="32">
        <v>11</v>
      </c>
      <c r="AP270" s="13"/>
      <c r="AQ270" s="32"/>
      <c r="AR270" s="13">
        <f t="shared" si="59"/>
        <v>0</v>
      </c>
      <c r="AS270" s="33"/>
      <c r="AT270" s="13">
        <f t="shared" si="53"/>
        <v>0</v>
      </c>
      <c r="AU270" s="13">
        <f>ROUNDUP(($AR270+$AT270)*VLOOKUP($AN270,Paraméterek!$P$38:$Q$38,2)/12,IF($D$4="Forint",0,2))</f>
        <v>0</v>
      </c>
      <c r="AV270" s="13"/>
      <c r="AW270" s="13"/>
      <c r="AX270" s="13">
        <f>ROUNDUP(IF(SUM($AV270:$AW270)=0,0,IF(IF(ISBLANK($AW270),$AV270,$AW270)*Paraméterek!$J$112&lt;IF($D$4="Forint",Paraméterek!$J$113,Paraméterek!$K$113),IF($D$4="Forint",Paraméterek!$J$113,Paraméterek!$K$113),IF(IF(ISBLANK($AW270),$AV270,$AW270)*Paraméterek!$J$112&gt;IF($D$4="Forint",Paraméterek!$J$114,Paraméterek!$K$114),IF($D$4="Forint",Paraméterek!$J$114,Paraméterek!$K$114),IF(ISBLANK($AW270),$AV270,$AW270)*Paraméterek!$J$112))),IF($D$4="Forint",0,2))</f>
        <v>0</v>
      </c>
      <c r="AY270" s="13">
        <f>$AR270+$AT270-$AU270-IF(ROUNDDOWN(IF(ISBLANK($AW270),$AV270,$AW270),IF($D$4="Forint",0,2))&gt;$AR270+$AT270-$AU270-IF($D$4="Forint",Paraméterek!$J$114,Paraméterek!$K$114),0,ROUNDDOWN(IF(ISBLANK($AW270),$AV270,$AW270),IF($D$4="Forint",0,2))-$AX270)</f>
        <v>0</v>
      </c>
      <c r="AZ270" s="13">
        <f t="shared" si="54"/>
        <v>0</v>
      </c>
    </row>
    <row r="271" spans="1:52" x14ac:dyDescent="0.2">
      <c r="A271" s="32">
        <v>252</v>
      </c>
      <c r="B271" s="32">
        <v>21</v>
      </c>
      <c r="C271" s="32">
        <v>12</v>
      </c>
      <c r="D271" s="13">
        <f t="shared" si="45"/>
        <v>0</v>
      </c>
      <c r="E271" s="13"/>
      <c r="F271" s="13"/>
      <c r="G271" s="13"/>
      <c r="H271" s="13">
        <f t="shared" si="46"/>
        <v>0</v>
      </c>
      <c r="I271" s="13">
        <f t="shared" si="47"/>
        <v>0</v>
      </c>
      <c r="J271" s="13">
        <f t="shared" si="48"/>
        <v>0</v>
      </c>
      <c r="K271" s="13">
        <f>ROUNDUP(IF($D$2="Egyszeri",$D271,IF($D$2="Havi",SUM($D$20:$D$31),IF(MOD($C271,$M$1)-1=0,SUM($D$20:$D$31),0))/12*$M$1)*VLOOKUP($B271,Paraméterek!$B$27:$D$30,IF($D$2="Egyszeri",3,2)),IF($D$4="Forint",0,2))</f>
        <v>0</v>
      </c>
      <c r="L271" s="13">
        <f t="shared" si="49"/>
        <v>0</v>
      </c>
      <c r="M271" s="13">
        <f t="shared" ca="1" si="55"/>
        <v>-145894</v>
      </c>
      <c r="N271" s="13">
        <f ca="1">IF($V270&gt;=VLOOKUP($M$4-1+$B271,Paraméterek!$B$121:$D$122,IF($D$4="Forint",2,3)),0,VLOOKUP($M$4-1+$B271,Paraméterek!$B$121:$D$122,IF($D$4="Forint",2,3))-$V270)</f>
        <v>155894</v>
      </c>
      <c r="O271" s="13">
        <f ca="1">ROUNDUP($N271*Paraméterek!$C$58/Paraméterek!$C$56,IF($D$4="Forint",0,2))</f>
        <v>25</v>
      </c>
      <c r="P271" s="13">
        <f t="shared" si="50"/>
        <v>994</v>
      </c>
      <c r="Q271" s="33"/>
      <c r="R271" s="13">
        <f t="shared" ca="1" si="51"/>
        <v>0</v>
      </c>
      <c r="S271" s="13">
        <f ca="1">ROUNDUP(($M271-$O271-$P271+$R271)*VLOOKUP($B271,Paraméterek!$B$38:$D$39,IF($D$2="Egyszeri",3,2))/12,IF($D$4="Forint",0,2))</f>
        <v>-359</v>
      </c>
      <c r="T271" s="13">
        <f>Tranzakciók!$F$52</f>
        <v>0</v>
      </c>
      <c r="U271" s="13"/>
      <c r="V271" s="13">
        <f ca="1">$M271-$O271-$P271+$R271-$S271-IF(ROUNDUP(IF(ISBLANK($U271),$T271,$U271)/IF(AND($B271=1,$D$2&lt;&gt;"Egyszeri"),1,VLOOKUP($B271+IF($C271=12,1,0),Paraméterek!$B$257:$D$267,IF($D$2="Egyszeri",3,2))),IF($D$4="Forint",0,2))&gt;$M271-$O271-$P271+$R271-$S271-IF($D$4="Forint",Paraméterek!$C$216,Paraméterek!$D$216),0,ROUNDUP(IF(ISBLANK($U271),$T271,$U271)/IF(AND($B271=1,$D$2&lt;&gt;"Egyszeri"),1,VLOOKUP($B271+IF($C271=12,1,0),Paraméterek!$B$257:$D$267,IF($D$2="Egyszeri",3,2))),IF($D$4="Forint",0,2)))</f>
        <v>-146554</v>
      </c>
      <c r="W271" s="13">
        <f ca="1">ROUNDDOWN($V271*VLOOKUP($B271+IF($C271=12,1,0),Paraméterek!$B$257:$D$267,IF($D$2="Egyszeri",3,2)),IF($D$4="Forint",0,2))</f>
        <v>-146554</v>
      </c>
      <c r="Y271" s="32">
        <v>252</v>
      </c>
      <c r="Z271" s="32">
        <v>21</v>
      </c>
      <c r="AA271" s="32">
        <v>12</v>
      </c>
      <c r="AB271" s="13">
        <f t="shared" si="56"/>
        <v>0</v>
      </c>
      <c r="AC271" s="33"/>
      <c r="AD271" s="13">
        <f t="shared" si="52"/>
        <v>0</v>
      </c>
      <c r="AE271" s="13">
        <f>ROUNDUP(($AB271+$AD271)*VLOOKUP($Z271,Paraméterek!$P$38:$Q$38,2)/12,IF($D$4="Forint",0,2))</f>
        <v>0</v>
      </c>
      <c r="AF271" s="13">
        <f>IF($D$2="Egyszeri",IF($D$7&gt;=IF($D$4="Forint",Paraméterek!$P$223,Paraméterek!$P$224),$D$7-IF($D$4="Forint",Paraméterek!$F$223,Paraméterek!$F$224),0),MIN(IF($AA271=12,AVERAGE($D$20:$D271)*12,0),SUM($D$20:$D$31)))</f>
        <v>0</v>
      </c>
      <c r="AG271" s="13">
        <f>IF(AND($Z271&gt;=10,MOD($Z271,5)=0),$AF271*IF($AA271=12,VLOOKUP($Z271,Paraméterek!$B$225:$F$240,IF($AF271&lt;IF($D$4="Forint",Paraméterek!$C$223,Paraméterek!$C$224),2,IF($AF271&lt;IF($D$4="Forint",Paraméterek!$D$223,Paraméterek!$D$224),3,4))),0),0)</f>
        <v>0</v>
      </c>
      <c r="AH271" s="13">
        <f>IF(AND($Z271&gt;=5,MOD($Z271,5)=0),IF($AA271=12,VLOOKUP($Z271,Paraméterek!$B$225:$F$240,5),0),IF(OR($Z271=3,$Z271=4),IF($AA271=12,VLOOKUP($Z271,Paraméterek!$B$225:$F$240,5,0),0),0))*$AF271</f>
        <v>0</v>
      </c>
      <c r="AI271" s="13">
        <f>ROUNDDOWN(IF(SUM($T$20:$U271)=0,IF($D$2="Egyszeri",$AH271,$AG271),0),IF($D$4="Forint",0,2))</f>
        <v>0</v>
      </c>
      <c r="AJ271" s="13">
        <f t="shared" si="57"/>
        <v>0</v>
      </c>
      <c r="AK271" s="13">
        <f t="shared" si="58"/>
        <v>0</v>
      </c>
      <c r="AM271" s="32">
        <v>252</v>
      </c>
      <c r="AN271" s="32">
        <v>21</v>
      </c>
      <c r="AO271" s="32">
        <v>12</v>
      </c>
      <c r="AP271" s="13"/>
      <c r="AQ271" s="32"/>
      <c r="AR271" s="13">
        <f t="shared" si="59"/>
        <v>0</v>
      </c>
      <c r="AS271" s="33"/>
      <c r="AT271" s="13">
        <f t="shared" si="53"/>
        <v>0</v>
      </c>
      <c r="AU271" s="13">
        <f>ROUNDUP(($AR271+$AT271)*VLOOKUP($AN271,Paraméterek!$P$38:$Q$38,2)/12,IF($D$4="Forint",0,2))</f>
        <v>0</v>
      </c>
      <c r="AV271" s="13">
        <f>Tranzakciók!$M$52</f>
        <v>0</v>
      </c>
      <c r="AW271" s="13"/>
      <c r="AX271" s="13">
        <f>ROUNDUP(IF(SUM($AV271:$AW271)=0,0,IF(IF(ISBLANK($AW271),$AV271,$AW271)*Paraméterek!$J$112&lt;IF($D$4="Forint",Paraméterek!$J$113,Paraméterek!$K$113),IF($D$4="Forint",Paraméterek!$J$113,Paraméterek!$K$113),IF(IF(ISBLANK($AW271),$AV271,$AW271)*Paraméterek!$J$112&gt;IF($D$4="Forint",Paraméterek!$J$114,Paraméterek!$K$114),IF($D$4="Forint",Paraméterek!$J$114,Paraméterek!$K$114),IF(ISBLANK($AW271),$AV271,$AW271)*Paraméterek!$J$112))),IF($D$4="Forint",0,2))</f>
        <v>0</v>
      </c>
      <c r="AY271" s="13">
        <f>$AR271+$AT271-$AU271-IF(ROUNDDOWN(IF(ISBLANK($AW271),$AV271,$AW271),IF($D$4="Forint",0,2))&gt;$AR271+$AT271-$AU271-IF($D$4="Forint",Paraméterek!$J$114,Paraméterek!$K$114),0,ROUNDDOWN(IF(ISBLANK($AW271),$AV271,$AW271),IF($D$4="Forint",0,2))-$AX271)</f>
        <v>0</v>
      </c>
      <c r="AZ271" s="13">
        <f t="shared" si="54"/>
        <v>0</v>
      </c>
    </row>
    <row r="272" spans="1:52" x14ac:dyDescent="0.2">
      <c r="A272" s="32">
        <v>253</v>
      </c>
      <c r="B272" s="32">
        <v>22</v>
      </c>
      <c r="C272" s="32">
        <v>1</v>
      </c>
      <c r="D272" s="13">
        <f t="shared" si="45"/>
        <v>0</v>
      </c>
      <c r="E272" s="13"/>
      <c r="F272" s="13">
        <f>Tranzakciók!$D$53</f>
        <v>0</v>
      </c>
      <c r="G272" s="13"/>
      <c r="H272" s="13">
        <f t="shared" si="46"/>
        <v>0</v>
      </c>
      <c r="I272" s="13">
        <f t="shared" si="47"/>
        <v>187</v>
      </c>
      <c r="J272" s="13">
        <f t="shared" si="48"/>
        <v>187</v>
      </c>
      <c r="K272" s="13">
        <f>ROUNDUP(IF($D$2="Egyszeri",$D272,IF($D$2="Havi",SUM($D$20:$D$31),IF(MOD($C272,$M$1)-1=0,SUM($D$20:$D$31),0))/12*$M$1)*VLOOKUP($B272,Paraméterek!$B$27:$D$30,IF($D$2="Egyszeri",3,2)),IF($D$4="Forint",0,2))</f>
        <v>0</v>
      </c>
      <c r="L272" s="13">
        <f t="shared" si="49"/>
        <v>0</v>
      </c>
      <c r="M272" s="13">
        <f t="shared" ca="1" si="55"/>
        <v>-146554</v>
      </c>
      <c r="N272" s="13">
        <f ca="1">IF($V271&gt;=VLOOKUP($M$4-1+$B272,Paraméterek!$B$121:$D$122,IF($D$4="Forint",2,3)),0,VLOOKUP($M$4-1+$B272,Paraméterek!$B$121:$D$122,IF($D$4="Forint",2,3))-$V271)</f>
        <v>156554</v>
      </c>
      <c r="O272" s="13">
        <f ca="1">ROUNDUP($N272*Paraméterek!$C$58/Paraméterek!$C$56,IF($D$4="Forint",0,2))</f>
        <v>25</v>
      </c>
      <c r="P272" s="13">
        <f t="shared" si="50"/>
        <v>1024</v>
      </c>
      <c r="Q272" s="33"/>
      <c r="R272" s="13">
        <f t="shared" ca="1" si="51"/>
        <v>0</v>
      </c>
      <c r="S272" s="13">
        <f ca="1">ROUNDUP(($M272-$O272-$P272+$R272)*VLOOKUP($B272,Paraméterek!$B$38:$D$39,IF($D$2="Egyszeri",3,2))/12,IF($D$4="Forint",0,2))</f>
        <v>-361</v>
      </c>
      <c r="T272" s="13"/>
      <c r="U272" s="13"/>
      <c r="V272" s="13">
        <f ca="1">$M272-$O272-$P272+$R272-$S272-IF(ROUNDUP(IF(ISBLANK($U272),$T272,$U272)/IF(AND($B272=1,$D$2&lt;&gt;"Egyszeri"),1,VLOOKUP($B272+IF($C272=12,1,0),Paraméterek!$B$257:$D$267,IF($D$2="Egyszeri",3,2))),IF($D$4="Forint",0,2))&gt;$M272-$O272-$P272+$R272-$S272-IF($D$4="Forint",Paraméterek!$C$216,Paraméterek!$D$216),0,ROUNDUP(IF(ISBLANK($U272),$T272,$U272)/IF(AND($B272=1,$D$2&lt;&gt;"Egyszeri"),1,VLOOKUP($B272+IF($C272=12,1,0),Paraméterek!$B$257:$D$267,IF($D$2="Egyszeri",3,2))),IF($D$4="Forint",0,2)))</f>
        <v>-147242</v>
      </c>
      <c r="W272" s="13">
        <f ca="1">ROUNDDOWN($V272*VLOOKUP($B272+IF($C272=12,1,0),Paraméterek!$B$257:$D$267,IF($D$2="Egyszeri",3,2)),IF($D$4="Forint",0,2))</f>
        <v>-147242</v>
      </c>
      <c r="Y272" s="32">
        <v>253</v>
      </c>
      <c r="Z272" s="32">
        <v>22</v>
      </c>
      <c r="AA272" s="32">
        <v>1</v>
      </c>
      <c r="AB272" s="13">
        <f t="shared" si="56"/>
        <v>0</v>
      </c>
      <c r="AC272" s="33"/>
      <c r="AD272" s="13">
        <f t="shared" si="52"/>
        <v>0</v>
      </c>
      <c r="AE272" s="13">
        <f>ROUNDUP(($AB272+$AD272)*VLOOKUP($Z272,Paraméterek!$P$38:$Q$38,2)/12,IF($D$4="Forint",0,2))</f>
        <v>0</v>
      </c>
      <c r="AF272" s="13">
        <f>IF($D$2="Egyszeri",IF($D$7&gt;=IF($D$4="Forint",Paraméterek!$P$223,Paraméterek!$P$224),$D$7-IF($D$4="Forint",Paraméterek!$F$223,Paraméterek!$F$224),0),MIN(IF($AA272=12,AVERAGE($D$20:$D272)*12,0),SUM($D$20:$D$31)))</f>
        <v>0</v>
      </c>
      <c r="AG272" s="13">
        <f>IF(AND($Z272&gt;=10,MOD($Z272,5)=0),$AF272*IF($AA272=12,VLOOKUP($Z272,Paraméterek!$B$225:$F$240,IF($AF272&lt;IF($D$4="Forint",Paraméterek!$C$223,Paraméterek!$C$224),2,IF($AF272&lt;IF($D$4="Forint",Paraméterek!$D$223,Paraméterek!$D$224),3,4))),0),0)</f>
        <v>0</v>
      </c>
      <c r="AH272" s="13">
        <f>IF(AND($Z272&gt;=5,MOD($Z272,5)=0),IF($AA272=12,VLOOKUP($Z272,Paraméterek!$B$225:$F$240,5),0),IF(OR($Z272=3,$Z272=4),IF($AA272=12,VLOOKUP($Z272,Paraméterek!$B$225:$F$240,5,0),0),0))*$AF272</f>
        <v>0</v>
      </c>
      <c r="AI272" s="13">
        <f>ROUNDDOWN(IF(SUM($T$20:$U272)=0,IF($D$2="Egyszeri",$AH272,$AG272),0),IF($D$4="Forint",0,2))</f>
        <v>0</v>
      </c>
      <c r="AJ272" s="13">
        <f t="shared" si="57"/>
        <v>0</v>
      </c>
      <c r="AK272" s="13">
        <f t="shared" si="58"/>
        <v>0</v>
      </c>
      <c r="AM272" s="32">
        <v>253</v>
      </c>
      <c r="AN272" s="32">
        <v>22</v>
      </c>
      <c r="AO272" s="32">
        <v>1</v>
      </c>
      <c r="AP272" s="13">
        <f>Tranzakciók!$K$53</f>
        <v>0</v>
      </c>
      <c r="AQ272" s="32"/>
      <c r="AR272" s="13">
        <f t="shared" si="59"/>
        <v>0</v>
      </c>
      <c r="AS272" s="33"/>
      <c r="AT272" s="13">
        <f t="shared" si="53"/>
        <v>0</v>
      </c>
      <c r="AU272" s="13">
        <f>ROUNDUP(($AR272+$AT272)*VLOOKUP($AN272,Paraméterek!$P$38:$Q$38,2)/12,IF($D$4="Forint",0,2))</f>
        <v>0</v>
      </c>
      <c r="AV272" s="13"/>
      <c r="AW272" s="13"/>
      <c r="AX272" s="13">
        <f>ROUNDUP(IF(SUM($AV272:$AW272)=0,0,IF(IF(ISBLANK($AW272),$AV272,$AW272)*Paraméterek!$J$112&lt;IF($D$4="Forint",Paraméterek!$J$113,Paraméterek!$K$113),IF($D$4="Forint",Paraméterek!$J$113,Paraméterek!$K$113),IF(IF(ISBLANK($AW272),$AV272,$AW272)*Paraméterek!$J$112&gt;IF($D$4="Forint",Paraméterek!$J$114,Paraméterek!$K$114),IF($D$4="Forint",Paraméterek!$J$114,Paraméterek!$K$114),IF(ISBLANK($AW272),$AV272,$AW272)*Paraméterek!$J$112))),IF($D$4="Forint",0,2))</f>
        <v>0</v>
      </c>
      <c r="AY272" s="13">
        <f>$AR272+$AT272-$AU272-IF(ROUNDDOWN(IF(ISBLANK($AW272),$AV272,$AW272),IF($D$4="Forint",0,2))&gt;$AR272+$AT272-$AU272-IF($D$4="Forint",Paraméterek!$J$114,Paraméterek!$K$114),0,ROUNDDOWN(IF(ISBLANK($AW272),$AV272,$AW272),IF($D$4="Forint",0,2))-$AX272)</f>
        <v>0</v>
      </c>
      <c r="AZ272" s="13">
        <f t="shared" si="54"/>
        <v>0</v>
      </c>
    </row>
    <row r="273" spans="1:52" x14ac:dyDescent="0.2">
      <c r="A273" s="32">
        <v>254</v>
      </c>
      <c r="B273" s="32">
        <v>22</v>
      </c>
      <c r="C273" s="32">
        <v>2</v>
      </c>
      <c r="D273" s="13">
        <f t="shared" si="45"/>
        <v>0</v>
      </c>
      <c r="E273" s="13"/>
      <c r="F273" s="13"/>
      <c r="G273" s="13"/>
      <c r="H273" s="13">
        <f t="shared" si="46"/>
        <v>0</v>
      </c>
      <c r="I273" s="13">
        <f t="shared" si="47"/>
        <v>0</v>
      </c>
      <c r="J273" s="13">
        <f t="shared" si="48"/>
        <v>0</v>
      </c>
      <c r="K273" s="13">
        <f>ROUNDUP(IF($D$2="Egyszeri",$D273,IF($D$2="Havi",SUM($D$20:$D$31),IF(MOD($C273,$M$1)-1=0,SUM($D$20:$D$31),0))/12*$M$1)*VLOOKUP($B273,Paraméterek!$B$27:$D$30,IF($D$2="Egyszeri",3,2)),IF($D$4="Forint",0,2))</f>
        <v>0</v>
      </c>
      <c r="L273" s="13">
        <f t="shared" si="49"/>
        <v>0</v>
      </c>
      <c r="M273" s="13">
        <f t="shared" ca="1" si="55"/>
        <v>-147242</v>
      </c>
      <c r="N273" s="13">
        <f ca="1">IF($V272&gt;=VLOOKUP($M$4-1+$B273,Paraméterek!$B$121:$D$122,IF($D$4="Forint",2,3)),0,VLOOKUP($M$4-1+$B273,Paraméterek!$B$121:$D$122,IF($D$4="Forint",2,3))-$V272)</f>
        <v>157242</v>
      </c>
      <c r="O273" s="13">
        <f ca="1">ROUNDUP($N273*Paraméterek!$C$58/Paraméterek!$C$56,IF($D$4="Forint",0,2))</f>
        <v>26</v>
      </c>
      <c r="P273" s="13">
        <f t="shared" si="50"/>
        <v>1024</v>
      </c>
      <c r="Q273" s="33"/>
      <c r="R273" s="13">
        <f t="shared" ca="1" si="51"/>
        <v>0</v>
      </c>
      <c r="S273" s="13">
        <f ca="1">ROUNDUP(($M273-$O273-$P273+$R273)*VLOOKUP($B273,Paraméterek!$B$38:$D$39,IF($D$2="Egyszeri",3,2))/12,IF($D$4="Forint",0,2))</f>
        <v>-363</v>
      </c>
      <c r="T273" s="13"/>
      <c r="U273" s="13"/>
      <c r="V273" s="13">
        <f ca="1">$M273-$O273-$P273+$R273-$S273-IF(ROUNDUP(IF(ISBLANK($U273),$T273,$U273)/IF(AND($B273=1,$D$2&lt;&gt;"Egyszeri"),1,VLOOKUP($B273+IF($C273=12,1,0),Paraméterek!$B$257:$D$267,IF($D$2="Egyszeri",3,2))),IF($D$4="Forint",0,2))&gt;$M273-$O273-$P273+$R273-$S273-IF($D$4="Forint",Paraméterek!$C$216,Paraméterek!$D$216),0,ROUNDUP(IF(ISBLANK($U273),$T273,$U273)/IF(AND($B273=1,$D$2&lt;&gt;"Egyszeri"),1,VLOOKUP($B273+IF($C273=12,1,0),Paraméterek!$B$257:$D$267,IF($D$2="Egyszeri",3,2))),IF($D$4="Forint",0,2)))</f>
        <v>-147929</v>
      </c>
      <c r="W273" s="13">
        <f ca="1">ROUNDDOWN($V273*VLOOKUP($B273+IF($C273=12,1,0),Paraméterek!$B$257:$D$267,IF($D$2="Egyszeri",3,2)),IF($D$4="Forint",0,2))</f>
        <v>-147929</v>
      </c>
      <c r="Y273" s="32">
        <v>254</v>
      </c>
      <c r="Z273" s="32">
        <v>22</v>
      </c>
      <c r="AA273" s="32">
        <v>2</v>
      </c>
      <c r="AB273" s="13">
        <f t="shared" si="56"/>
        <v>0</v>
      </c>
      <c r="AC273" s="33"/>
      <c r="AD273" s="13">
        <f t="shared" si="52"/>
        <v>0</v>
      </c>
      <c r="AE273" s="13">
        <f>ROUNDUP(($AB273+$AD273)*VLOOKUP($Z273,Paraméterek!$P$38:$Q$38,2)/12,IF($D$4="Forint",0,2))</f>
        <v>0</v>
      </c>
      <c r="AF273" s="13">
        <f>IF($D$2="Egyszeri",IF($D$7&gt;=IF($D$4="Forint",Paraméterek!$P$223,Paraméterek!$P$224),$D$7-IF($D$4="Forint",Paraméterek!$F$223,Paraméterek!$F$224),0),MIN(IF($AA273=12,AVERAGE($D$20:$D273)*12,0),SUM($D$20:$D$31)))</f>
        <v>0</v>
      </c>
      <c r="AG273" s="13">
        <f>IF(AND($Z273&gt;=10,MOD($Z273,5)=0),$AF273*IF($AA273=12,VLOOKUP($Z273,Paraméterek!$B$225:$F$240,IF($AF273&lt;IF($D$4="Forint",Paraméterek!$C$223,Paraméterek!$C$224),2,IF($AF273&lt;IF($D$4="Forint",Paraméterek!$D$223,Paraméterek!$D$224),3,4))),0),0)</f>
        <v>0</v>
      </c>
      <c r="AH273" s="13">
        <f>IF(AND($Z273&gt;=5,MOD($Z273,5)=0),IF($AA273=12,VLOOKUP($Z273,Paraméterek!$B$225:$F$240,5),0),IF(OR($Z273=3,$Z273=4),IF($AA273=12,VLOOKUP($Z273,Paraméterek!$B$225:$F$240,5,0),0),0))*$AF273</f>
        <v>0</v>
      </c>
      <c r="AI273" s="13">
        <f>ROUNDDOWN(IF(SUM($T$20:$U273)=0,IF($D$2="Egyszeri",$AH273,$AG273),0),IF($D$4="Forint",0,2))</f>
        <v>0</v>
      </c>
      <c r="AJ273" s="13">
        <f t="shared" si="57"/>
        <v>0</v>
      </c>
      <c r="AK273" s="13">
        <f t="shared" si="58"/>
        <v>0</v>
      </c>
      <c r="AM273" s="32">
        <v>254</v>
      </c>
      <c r="AN273" s="32">
        <v>22</v>
      </c>
      <c r="AO273" s="32">
        <v>2</v>
      </c>
      <c r="AP273" s="13"/>
      <c r="AQ273" s="32"/>
      <c r="AR273" s="13">
        <f t="shared" si="59"/>
        <v>0</v>
      </c>
      <c r="AS273" s="33"/>
      <c r="AT273" s="13">
        <f t="shared" si="53"/>
        <v>0</v>
      </c>
      <c r="AU273" s="13">
        <f>ROUNDUP(($AR273+$AT273)*VLOOKUP($AN273,Paraméterek!$P$38:$Q$38,2)/12,IF($D$4="Forint",0,2))</f>
        <v>0</v>
      </c>
      <c r="AV273" s="13"/>
      <c r="AW273" s="13"/>
      <c r="AX273" s="13">
        <f>ROUNDUP(IF(SUM($AV273:$AW273)=0,0,IF(IF(ISBLANK($AW273),$AV273,$AW273)*Paraméterek!$J$112&lt;IF($D$4="Forint",Paraméterek!$J$113,Paraméterek!$K$113),IF($D$4="Forint",Paraméterek!$J$113,Paraméterek!$K$113),IF(IF(ISBLANK($AW273),$AV273,$AW273)*Paraméterek!$J$112&gt;IF($D$4="Forint",Paraméterek!$J$114,Paraméterek!$K$114),IF($D$4="Forint",Paraméterek!$J$114,Paraméterek!$K$114),IF(ISBLANK($AW273),$AV273,$AW273)*Paraméterek!$J$112))),IF($D$4="Forint",0,2))</f>
        <v>0</v>
      </c>
      <c r="AY273" s="13">
        <f>$AR273+$AT273-$AU273-IF(ROUNDDOWN(IF(ISBLANK($AW273),$AV273,$AW273),IF($D$4="Forint",0,2))&gt;$AR273+$AT273-$AU273-IF($D$4="Forint",Paraméterek!$J$114,Paraméterek!$K$114),0,ROUNDDOWN(IF(ISBLANK($AW273),$AV273,$AW273),IF($D$4="Forint",0,2))-$AX273)</f>
        <v>0</v>
      </c>
      <c r="AZ273" s="13">
        <f t="shared" si="54"/>
        <v>0</v>
      </c>
    </row>
    <row r="274" spans="1:52" x14ac:dyDescent="0.2">
      <c r="A274" s="32">
        <v>255</v>
      </c>
      <c r="B274" s="32">
        <v>22</v>
      </c>
      <c r="C274" s="32">
        <v>3</v>
      </c>
      <c r="D274" s="13">
        <f t="shared" si="45"/>
        <v>0</v>
      </c>
      <c r="E274" s="13"/>
      <c r="F274" s="13"/>
      <c r="G274" s="13"/>
      <c r="H274" s="13">
        <f t="shared" si="46"/>
        <v>0</v>
      </c>
      <c r="I274" s="13">
        <f t="shared" si="47"/>
        <v>0</v>
      </c>
      <c r="J274" s="13">
        <f t="shared" si="48"/>
        <v>0</v>
      </c>
      <c r="K274" s="13">
        <f>ROUNDUP(IF($D$2="Egyszeri",$D274,IF($D$2="Havi",SUM($D$20:$D$31),IF(MOD($C274,$M$1)-1=0,SUM($D$20:$D$31),0))/12*$M$1)*VLOOKUP($B274,Paraméterek!$B$27:$D$30,IF($D$2="Egyszeri",3,2)),IF($D$4="Forint",0,2))</f>
        <v>0</v>
      </c>
      <c r="L274" s="13">
        <f t="shared" si="49"/>
        <v>0</v>
      </c>
      <c r="M274" s="13">
        <f t="shared" ca="1" si="55"/>
        <v>-147929</v>
      </c>
      <c r="N274" s="13">
        <f ca="1">IF($V273&gt;=VLOOKUP($M$4-1+$B274,Paraméterek!$B$121:$D$122,IF($D$4="Forint",2,3)),0,VLOOKUP($M$4-1+$B274,Paraméterek!$B$121:$D$122,IF($D$4="Forint",2,3))-$V273)</f>
        <v>157929</v>
      </c>
      <c r="O274" s="13">
        <f ca="1">ROUNDUP($N274*Paraméterek!$C$58/Paraméterek!$C$56,IF($D$4="Forint",0,2))</f>
        <v>26</v>
      </c>
      <c r="P274" s="13">
        <f t="shared" si="50"/>
        <v>1024</v>
      </c>
      <c r="Q274" s="33"/>
      <c r="R274" s="13">
        <f t="shared" ca="1" si="51"/>
        <v>0</v>
      </c>
      <c r="S274" s="13">
        <f ca="1">ROUNDUP(($M274-$O274-$P274+$R274)*VLOOKUP($B274,Paraméterek!$B$38:$D$39,IF($D$2="Egyszeri",3,2))/12,IF($D$4="Forint",0,2))</f>
        <v>-364</v>
      </c>
      <c r="T274" s="13"/>
      <c r="U274" s="13"/>
      <c r="V274" s="13">
        <f ca="1">$M274-$O274-$P274+$R274-$S274-IF(ROUNDUP(IF(ISBLANK($U274),$T274,$U274)/IF(AND($B274=1,$D$2&lt;&gt;"Egyszeri"),1,VLOOKUP($B274+IF($C274=12,1,0),Paraméterek!$B$257:$D$267,IF($D$2="Egyszeri",3,2))),IF($D$4="Forint",0,2))&gt;$M274-$O274-$P274+$R274-$S274-IF($D$4="Forint",Paraméterek!$C$216,Paraméterek!$D$216),0,ROUNDUP(IF(ISBLANK($U274),$T274,$U274)/IF(AND($B274=1,$D$2&lt;&gt;"Egyszeri"),1,VLOOKUP($B274+IF($C274=12,1,0),Paraméterek!$B$257:$D$267,IF($D$2="Egyszeri",3,2))),IF($D$4="Forint",0,2)))</f>
        <v>-148615</v>
      </c>
      <c r="W274" s="13">
        <f ca="1">ROUNDDOWN($V274*VLOOKUP($B274+IF($C274=12,1,0),Paraméterek!$B$257:$D$267,IF($D$2="Egyszeri",3,2)),IF($D$4="Forint",0,2))</f>
        <v>-148615</v>
      </c>
      <c r="Y274" s="32">
        <v>255</v>
      </c>
      <c r="Z274" s="32">
        <v>22</v>
      </c>
      <c r="AA274" s="32">
        <v>3</v>
      </c>
      <c r="AB274" s="13">
        <f t="shared" si="56"/>
        <v>0</v>
      </c>
      <c r="AC274" s="33"/>
      <c r="AD274" s="13">
        <f t="shared" si="52"/>
        <v>0</v>
      </c>
      <c r="AE274" s="13">
        <f>ROUNDUP(($AB274+$AD274)*VLOOKUP($Z274,Paraméterek!$P$38:$Q$38,2)/12,IF($D$4="Forint",0,2))</f>
        <v>0</v>
      </c>
      <c r="AF274" s="13">
        <f>IF($D$2="Egyszeri",IF($D$7&gt;=IF($D$4="Forint",Paraméterek!$P$223,Paraméterek!$P$224),$D$7-IF($D$4="Forint",Paraméterek!$F$223,Paraméterek!$F$224),0),MIN(IF($AA274=12,AVERAGE($D$20:$D274)*12,0),SUM($D$20:$D$31)))</f>
        <v>0</v>
      </c>
      <c r="AG274" s="13">
        <f>IF(AND($Z274&gt;=10,MOD($Z274,5)=0),$AF274*IF($AA274=12,VLOOKUP($Z274,Paraméterek!$B$225:$F$240,IF($AF274&lt;IF($D$4="Forint",Paraméterek!$C$223,Paraméterek!$C$224),2,IF($AF274&lt;IF($D$4="Forint",Paraméterek!$D$223,Paraméterek!$D$224),3,4))),0),0)</f>
        <v>0</v>
      </c>
      <c r="AH274" s="13">
        <f>IF(AND($Z274&gt;=5,MOD($Z274,5)=0),IF($AA274=12,VLOOKUP($Z274,Paraméterek!$B$225:$F$240,5),0),IF(OR($Z274=3,$Z274=4),IF($AA274=12,VLOOKUP($Z274,Paraméterek!$B$225:$F$240,5,0),0),0))*$AF274</f>
        <v>0</v>
      </c>
      <c r="AI274" s="13">
        <f>ROUNDDOWN(IF(SUM($T$20:$U274)=0,IF($D$2="Egyszeri",$AH274,$AG274),0),IF($D$4="Forint",0,2))</f>
        <v>0</v>
      </c>
      <c r="AJ274" s="13">
        <f t="shared" si="57"/>
        <v>0</v>
      </c>
      <c r="AK274" s="13">
        <f t="shared" si="58"/>
        <v>0</v>
      </c>
      <c r="AM274" s="32">
        <v>255</v>
      </c>
      <c r="AN274" s="32">
        <v>22</v>
      </c>
      <c r="AO274" s="32">
        <v>3</v>
      </c>
      <c r="AP274" s="13"/>
      <c r="AQ274" s="32"/>
      <c r="AR274" s="13">
        <f t="shared" si="59"/>
        <v>0</v>
      </c>
      <c r="AS274" s="33"/>
      <c r="AT274" s="13">
        <f t="shared" si="53"/>
        <v>0</v>
      </c>
      <c r="AU274" s="13">
        <f>ROUNDUP(($AR274+$AT274)*VLOOKUP($AN274,Paraméterek!$P$38:$Q$38,2)/12,IF($D$4="Forint",0,2))</f>
        <v>0</v>
      </c>
      <c r="AV274" s="13"/>
      <c r="AW274" s="13"/>
      <c r="AX274" s="13">
        <f>ROUNDUP(IF(SUM($AV274:$AW274)=0,0,IF(IF(ISBLANK($AW274),$AV274,$AW274)*Paraméterek!$J$112&lt;IF($D$4="Forint",Paraméterek!$J$113,Paraméterek!$K$113),IF($D$4="Forint",Paraméterek!$J$113,Paraméterek!$K$113),IF(IF(ISBLANK($AW274),$AV274,$AW274)*Paraméterek!$J$112&gt;IF($D$4="Forint",Paraméterek!$J$114,Paraméterek!$K$114),IF($D$4="Forint",Paraméterek!$J$114,Paraméterek!$K$114),IF(ISBLANK($AW274),$AV274,$AW274)*Paraméterek!$J$112))),IF($D$4="Forint",0,2))</f>
        <v>0</v>
      </c>
      <c r="AY274" s="13">
        <f>$AR274+$AT274-$AU274-IF(ROUNDDOWN(IF(ISBLANK($AW274),$AV274,$AW274),IF($D$4="Forint",0,2))&gt;$AR274+$AT274-$AU274-IF($D$4="Forint",Paraméterek!$J$114,Paraméterek!$K$114),0,ROUNDDOWN(IF(ISBLANK($AW274),$AV274,$AW274),IF($D$4="Forint",0,2))-$AX274)</f>
        <v>0</v>
      </c>
      <c r="AZ274" s="13">
        <f t="shared" si="54"/>
        <v>0</v>
      </c>
    </row>
    <row r="275" spans="1:52" x14ac:dyDescent="0.2">
      <c r="A275" s="32">
        <v>256</v>
      </c>
      <c r="B275" s="32">
        <v>22</v>
      </c>
      <c r="C275" s="32">
        <v>4</v>
      </c>
      <c r="D275" s="13">
        <f t="shared" si="45"/>
        <v>0</v>
      </c>
      <c r="E275" s="13"/>
      <c r="F275" s="13"/>
      <c r="G275" s="13"/>
      <c r="H275" s="13">
        <f t="shared" si="46"/>
        <v>0</v>
      </c>
      <c r="I275" s="13">
        <f t="shared" si="47"/>
        <v>0</v>
      </c>
      <c r="J275" s="13">
        <f t="shared" si="48"/>
        <v>0</v>
      </c>
      <c r="K275" s="13">
        <f>ROUNDUP(IF($D$2="Egyszeri",$D275,IF($D$2="Havi",SUM($D$20:$D$31),IF(MOD($C275,$M$1)-1=0,SUM($D$20:$D$31),0))/12*$M$1)*VLOOKUP($B275,Paraméterek!$B$27:$D$30,IF($D$2="Egyszeri",3,2)),IF($D$4="Forint",0,2))</f>
        <v>0</v>
      </c>
      <c r="L275" s="13">
        <f t="shared" si="49"/>
        <v>0</v>
      </c>
      <c r="M275" s="13">
        <f t="shared" ca="1" si="55"/>
        <v>-148615</v>
      </c>
      <c r="N275" s="13">
        <f ca="1">IF($V274&gt;=VLOOKUP($M$4-1+$B275,Paraméterek!$B$121:$D$122,IF($D$4="Forint",2,3)),0,VLOOKUP($M$4-1+$B275,Paraméterek!$B$121:$D$122,IF($D$4="Forint",2,3))-$V274)</f>
        <v>158615</v>
      </c>
      <c r="O275" s="13">
        <f ca="1">ROUNDUP($N275*Paraméterek!$C$58/Paraméterek!$C$56,IF($D$4="Forint",0,2))</f>
        <v>26</v>
      </c>
      <c r="P275" s="13">
        <f t="shared" si="50"/>
        <v>1024</v>
      </c>
      <c r="Q275" s="33"/>
      <c r="R275" s="13">
        <f t="shared" ca="1" si="51"/>
        <v>0</v>
      </c>
      <c r="S275" s="13">
        <f ca="1">ROUNDUP(($M275-$O275-$P275+$R275)*VLOOKUP($B275,Paraméterek!$B$38:$D$39,IF($D$2="Egyszeri",3,2))/12,IF($D$4="Forint",0,2))</f>
        <v>-366</v>
      </c>
      <c r="T275" s="13"/>
      <c r="U275" s="13"/>
      <c r="V275" s="13">
        <f ca="1">$M275-$O275-$P275+$R275-$S275-IF(ROUNDUP(IF(ISBLANK($U275),$T275,$U275)/IF(AND($B275=1,$D$2&lt;&gt;"Egyszeri"),1,VLOOKUP($B275+IF($C275=12,1,0),Paraméterek!$B$257:$D$267,IF($D$2="Egyszeri",3,2))),IF($D$4="Forint",0,2))&gt;$M275-$O275-$P275+$R275-$S275-IF($D$4="Forint",Paraméterek!$C$216,Paraméterek!$D$216),0,ROUNDUP(IF(ISBLANK($U275),$T275,$U275)/IF(AND($B275=1,$D$2&lt;&gt;"Egyszeri"),1,VLOOKUP($B275+IF($C275=12,1,0),Paraméterek!$B$257:$D$267,IF($D$2="Egyszeri",3,2))),IF($D$4="Forint",0,2)))</f>
        <v>-149299</v>
      </c>
      <c r="W275" s="13">
        <f ca="1">ROUNDDOWN($V275*VLOOKUP($B275+IF($C275=12,1,0),Paraméterek!$B$257:$D$267,IF($D$2="Egyszeri",3,2)),IF($D$4="Forint",0,2))</f>
        <v>-149299</v>
      </c>
      <c r="Y275" s="32">
        <v>256</v>
      </c>
      <c r="Z275" s="32">
        <v>22</v>
      </c>
      <c r="AA275" s="32">
        <v>4</v>
      </c>
      <c r="AB275" s="13">
        <f t="shared" si="56"/>
        <v>0</v>
      </c>
      <c r="AC275" s="33"/>
      <c r="AD275" s="13">
        <f t="shared" si="52"/>
        <v>0</v>
      </c>
      <c r="AE275" s="13">
        <f>ROUNDUP(($AB275+$AD275)*VLOOKUP($Z275,Paraméterek!$P$38:$Q$38,2)/12,IF($D$4="Forint",0,2))</f>
        <v>0</v>
      </c>
      <c r="AF275" s="13">
        <f>IF($D$2="Egyszeri",IF($D$7&gt;=IF($D$4="Forint",Paraméterek!$P$223,Paraméterek!$P$224),$D$7-IF($D$4="Forint",Paraméterek!$F$223,Paraméterek!$F$224),0),MIN(IF($AA275=12,AVERAGE($D$20:$D275)*12,0),SUM($D$20:$D$31)))</f>
        <v>0</v>
      </c>
      <c r="AG275" s="13">
        <f>IF(AND($Z275&gt;=10,MOD($Z275,5)=0),$AF275*IF($AA275=12,VLOOKUP($Z275,Paraméterek!$B$225:$F$240,IF($AF275&lt;IF($D$4="Forint",Paraméterek!$C$223,Paraméterek!$C$224),2,IF($AF275&lt;IF($D$4="Forint",Paraméterek!$D$223,Paraméterek!$D$224),3,4))),0),0)</f>
        <v>0</v>
      </c>
      <c r="AH275" s="13">
        <f>IF(AND($Z275&gt;=5,MOD($Z275,5)=0),IF($AA275=12,VLOOKUP($Z275,Paraméterek!$B$225:$F$240,5),0),IF(OR($Z275=3,$Z275=4),IF($AA275=12,VLOOKUP($Z275,Paraméterek!$B$225:$F$240,5,0),0),0))*$AF275</f>
        <v>0</v>
      </c>
      <c r="AI275" s="13">
        <f>ROUNDDOWN(IF(SUM($T$20:$U275)=0,IF($D$2="Egyszeri",$AH275,$AG275),0),IF($D$4="Forint",0,2))</f>
        <v>0</v>
      </c>
      <c r="AJ275" s="13">
        <f t="shared" si="57"/>
        <v>0</v>
      </c>
      <c r="AK275" s="13">
        <f t="shared" si="58"/>
        <v>0</v>
      </c>
      <c r="AM275" s="32">
        <v>256</v>
      </c>
      <c r="AN275" s="32">
        <v>22</v>
      </c>
      <c r="AO275" s="32">
        <v>4</v>
      </c>
      <c r="AP275" s="13"/>
      <c r="AQ275" s="32"/>
      <c r="AR275" s="13">
        <f t="shared" si="59"/>
        <v>0</v>
      </c>
      <c r="AS275" s="33"/>
      <c r="AT275" s="13">
        <f t="shared" si="53"/>
        <v>0</v>
      </c>
      <c r="AU275" s="13">
        <f>ROUNDUP(($AR275+$AT275)*VLOOKUP($AN275,Paraméterek!$P$38:$Q$38,2)/12,IF($D$4="Forint",0,2))</f>
        <v>0</v>
      </c>
      <c r="AV275" s="13"/>
      <c r="AW275" s="13"/>
      <c r="AX275" s="13">
        <f>ROUNDUP(IF(SUM($AV275:$AW275)=0,0,IF(IF(ISBLANK($AW275),$AV275,$AW275)*Paraméterek!$J$112&lt;IF($D$4="Forint",Paraméterek!$J$113,Paraméterek!$K$113),IF($D$4="Forint",Paraméterek!$J$113,Paraméterek!$K$113),IF(IF(ISBLANK($AW275),$AV275,$AW275)*Paraméterek!$J$112&gt;IF($D$4="Forint",Paraméterek!$J$114,Paraméterek!$K$114),IF($D$4="Forint",Paraméterek!$J$114,Paraméterek!$K$114),IF(ISBLANK($AW275),$AV275,$AW275)*Paraméterek!$J$112))),IF($D$4="Forint",0,2))</f>
        <v>0</v>
      </c>
      <c r="AY275" s="13">
        <f>$AR275+$AT275-$AU275-IF(ROUNDDOWN(IF(ISBLANK($AW275),$AV275,$AW275),IF($D$4="Forint",0,2))&gt;$AR275+$AT275-$AU275-IF($D$4="Forint",Paraméterek!$J$114,Paraméterek!$K$114),0,ROUNDDOWN(IF(ISBLANK($AW275),$AV275,$AW275),IF($D$4="Forint",0,2))-$AX275)</f>
        <v>0</v>
      </c>
      <c r="AZ275" s="13">
        <f t="shared" si="54"/>
        <v>0</v>
      </c>
    </row>
    <row r="276" spans="1:52" x14ac:dyDescent="0.2">
      <c r="A276" s="32">
        <v>257</v>
      </c>
      <c r="B276" s="32">
        <v>22</v>
      </c>
      <c r="C276" s="32">
        <v>5</v>
      </c>
      <c r="D276" s="13">
        <f t="shared" si="45"/>
        <v>0</v>
      </c>
      <c r="E276" s="13"/>
      <c r="F276" s="13"/>
      <c r="G276" s="13"/>
      <c r="H276" s="13">
        <f t="shared" si="46"/>
        <v>0</v>
      </c>
      <c r="I276" s="13">
        <f t="shared" si="47"/>
        <v>0</v>
      </c>
      <c r="J276" s="13">
        <f t="shared" si="48"/>
        <v>0</v>
      </c>
      <c r="K276" s="13">
        <f>ROUNDUP(IF($D$2="Egyszeri",$D276,IF($D$2="Havi",SUM($D$20:$D$31),IF(MOD($C276,$M$1)-1=0,SUM($D$20:$D$31),0))/12*$M$1)*VLOOKUP($B276,Paraméterek!$B$27:$D$30,IF($D$2="Egyszeri",3,2)),IF($D$4="Forint",0,2))</f>
        <v>0</v>
      </c>
      <c r="L276" s="13">
        <f t="shared" si="49"/>
        <v>0</v>
      </c>
      <c r="M276" s="13">
        <f t="shared" ca="1" si="55"/>
        <v>-149299</v>
      </c>
      <c r="N276" s="13">
        <f ca="1">IF($V275&gt;=VLOOKUP($M$4-1+$B276,Paraméterek!$B$121:$D$122,IF($D$4="Forint",2,3)),0,VLOOKUP($M$4-1+$B276,Paraméterek!$B$121:$D$122,IF($D$4="Forint",2,3))-$V275)</f>
        <v>159299</v>
      </c>
      <c r="O276" s="13">
        <f ca="1">ROUNDUP($N276*Paraméterek!$C$58/Paraméterek!$C$56,IF($D$4="Forint",0,2))</f>
        <v>26</v>
      </c>
      <c r="P276" s="13">
        <f t="shared" si="50"/>
        <v>1024</v>
      </c>
      <c r="Q276" s="33"/>
      <c r="R276" s="13">
        <f t="shared" ca="1" si="51"/>
        <v>0</v>
      </c>
      <c r="S276" s="13">
        <f ca="1">ROUNDUP(($M276-$O276-$P276+$R276)*VLOOKUP($B276,Paraméterek!$B$38:$D$39,IF($D$2="Egyszeri",3,2))/12,IF($D$4="Forint",0,2))</f>
        <v>-368</v>
      </c>
      <c r="T276" s="13"/>
      <c r="U276" s="13"/>
      <c r="V276" s="13">
        <f ca="1">$M276-$O276-$P276+$R276-$S276-IF(ROUNDUP(IF(ISBLANK($U276),$T276,$U276)/IF(AND($B276=1,$D$2&lt;&gt;"Egyszeri"),1,VLOOKUP($B276+IF($C276=12,1,0),Paraméterek!$B$257:$D$267,IF($D$2="Egyszeri",3,2))),IF($D$4="Forint",0,2))&gt;$M276-$O276-$P276+$R276-$S276-IF($D$4="Forint",Paraméterek!$C$216,Paraméterek!$D$216),0,ROUNDUP(IF(ISBLANK($U276),$T276,$U276)/IF(AND($B276=1,$D$2&lt;&gt;"Egyszeri"),1,VLOOKUP($B276+IF($C276=12,1,0),Paraméterek!$B$257:$D$267,IF($D$2="Egyszeri",3,2))),IF($D$4="Forint",0,2)))</f>
        <v>-149981</v>
      </c>
      <c r="W276" s="13">
        <f ca="1">ROUNDDOWN($V276*VLOOKUP($B276+IF($C276=12,1,0),Paraméterek!$B$257:$D$267,IF($D$2="Egyszeri",3,2)),IF($D$4="Forint",0,2))</f>
        <v>-149981</v>
      </c>
      <c r="Y276" s="32">
        <v>257</v>
      </c>
      <c r="Z276" s="32">
        <v>22</v>
      </c>
      <c r="AA276" s="32">
        <v>5</v>
      </c>
      <c r="AB276" s="13">
        <f t="shared" si="56"/>
        <v>0</v>
      </c>
      <c r="AC276" s="33"/>
      <c r="AD276" s="13">
        <f t="shared" si="52"/>
        <v>0</v>
      </c>
      <c r="AE276" s="13">
        <f>ROUNDUP(($AB276+$AD276)*VLOOKUP($Z276,Paraméterek!$P$38:$Q$38,2)/12,IF($D$4="Forint",0,2))</f>
        <v>0</v>
      </c>
      <c r="AF276" s="13">
        <f>IF($D$2="Egyszeri",IF($D$7&gt;=IF($D$4="Forint",Paraméterek!$P$223,Paraméterek!$P$224),$D$7-IF($D$4="Forint",Paraméterek!$F$223,Paraméterek!$F$224),0),MIN(IF($AA276=12,AVERAGE($D$20:$D276)*12,0),SUM($D$20:$D$31)))</f>
        <v>0</v>
      </c>
      <c r="AG276" s="13">
        <f>IF(AND($Z276&gt;=10,MOD($Z276,5)=0),$AF276*IF($AA276=12,VLOOKUP($Z276,Paraméterek!$B$225:$F$240,IF($AF276&lt;IF($D$4="Forint",Paraméterek!$C$223,Paraméterek!$C$224),2,IF($AF276&lt;IF($D$4="Forint",Paraméterek!$D$223,Paraméterek!$D$224),3,4))),0),0)</f>
        <v>0</v>
      </c>
      <c r="AH276" s="13">
        <f>IF(AND($Z276&gt;=5,MOD($Z276,5)=0),IF($AA276=12,VLOOKUP($Z276,Paraméterek!$B$225:$F$240,5),0),IF(OR($Z276=3,$Z276=4),IF($AA276=12,VLOOKUP($Z276,Paraméterek!$B$225:$F$240,5,0),0),0))*$AF276</f>
        <v>0</v>
      </c>
      <c r="AI276" s="13">
        <f>ROUNDDOWN(IF(SUM($T$20:$U276)=0,IF($D$2="Egyszeri",$AH276,$AG276),0),IF($D$4="Forint",0,2))</f>
        <v>0</v>
      </c>
      <c r="AJ276" s="13">
        <f t="shared" si="57"/>
        <v>0</v>
      </c>
      <c r="AK276" s="13">
        <f t="shared" si="58"/>
        <v>0</v>
      </c>
      <c r="AM276" s="32">
        <v>257</v>
      </c>
      <c r="AN276" s="32">
        <v>22</v>
      </c>
      <c r="AO276" s="32">
        <v>5</v>
      </c>
      <c r="AP276" s="13"/>
      <c r="AQ276" s="32"/>
      <c r="AR276" s="13">
        <f t="shared" si="59"/>
        <v>0</v>
      </c>
      <c r="AS276" s="33"/>
      <c r="AT276" s="13">
        <f t="shared" si="53"/>
        <v>0</v>
      </c>
      <c r="AU276" s="13">
        <f>ROUNDUP(($AR276+$AT276)*VLOOKUP($AN276,Paraméterek!$P$38:$Q$38,2)/12,IF($D$4="Forint",0,2))</f>
        <v>0</v>
      </c>
      <c r="AV276" s="13"/>
      <c r="AW276" s="13"/>
      <c r="AX276" s="13">
        <f>ROUNDUP(IF(SUM($AV276:$AW276)=0,0,IF(IF(ISBLANK($AW276),$AV276,$AW276)*Paraméterek!$J$112&lt;IF($D$4="Forint",Paraméterek!$J$113,Paraméterek!$K$113),IF($D$4="Forint",Paraméterek!$J$113,Paraméterek!$K$113),IF(IF(ISBLANK($AW276),$AV276,$AW276)*Paraméterek!$J$112&gt;IF($D$4="Forint",Paraméterek!$J$114,Paraméterek!$K$114),IF($D$4="Forint",Paraméterek!$J$114,Paraméterek!$K$114),IF(ISBLANK($AW276),$AV276,$AW276)*Paraméterek!$J$112))),IF($D$4="Forint",0,2))</f>
        <v>0</v>
      </c>
      <c r="AY276" s="13">
        <f>$AR276+$AT276-$AU276-IF(ROUNDDOWN(IF(ISBLANK($AW276),$AV276,$AW276),IF($D$4="Forint",0,2))&gt;$AR276+$AT276-$AU276-IF($D$4="Forint",Paraméterek!$J$114,Paraméterek!$K$114),0,ROUNDDOWN(IF(ISBLANK($AW276),$AV276,$AW276),IF($D$4="Forint",0,2))-$AX276)</f>
        <v>0</v>
      </c>
      <c r="AZ276" s="13">
        <f t="shared" si="54"/>
        <v>0</v>
      </c>
    </row>
    <row r="277" spans="1:52" x14ac:dyDescent="0.2">
      <c r="A277" s="32">
        <v>258</v>
      </c>
      <c r="B277" s="32">
        <v>22</v>
      </c>
      <c r="C277" s="32">
        <v>6</v>
      </c>
      <c r="D277" s="13">
        <f t="shared" ref="D277:D340" si="60">IF($D$2="Egyszeri",IF($A277=1,$D$7,0),ROUNDUP(IF($D$2="Havi",$D$7,IF(MOD($C277,$M$1)-1=0,$D$7,0))*(1+$D$6)^($B277-1),IF($D$4="Forint",0,2)))</f>
        <v>0</v>
      </c>
      <c r="E277" s="13"/>
      <c r="F277" s="13"/>
      <c r="G277" s="13"/>
      <c r="H277" s="13">
        <f t="shared" ref="H277:H340" si="61">ROUNDUP(IF(AND($D$8="Nincs",$D$2&lt;&gt;"Egyszeri"),$D277*10%,0),IF($D$4="Forint",0,2))</f>
        <v>0</v>
      </c>
      <c r="I277" s="13">
        <f t="shared" ref="I277:I340" si="62">IF($D$2="Egyszeri",IF($A277=1,$M$3,0),ROUNDUP(IF($D$2="Havi",$M$3,IF(MOD($C277,$M$1)-1=0,$M$3,0))*(1+$M$2)^($B277-1),IF($D$4="Forint",0,2)))</f>
        <v>0</v>
      </c>
      <c r="J277" s="13">
        <f t="shared" ref="J277:J340" si="63">IF(ISBLANK($E277),$D277,$E277)+IF(ISBLANK($G277),$F277,$G277)+$H277+$I277</f>
        <v>0</v>
      </c>
      <c r="K277" s="13">
        <f>ROUNDUP(IF($D$2="Egyszeri",$D277,IF($D$2="Havi",SUM($D$20:$D$31),IF(MOD($C277,$M$1)-1=0,SUM($D$20:$D$31),0))/12*$M$1)*VLOOKUP($B277,Paraméterek!$B$27:$D$30,IF($D$2="Egyszeri",3,2)),IF($D$4="Forint",0,2))</f>
        <v>0</v>
      </c>
      <c r="L277" s="13">
        <f t="shared" ref="L277:L340" si="64">$D277-$K277+IF(ISBLANK($G277),$F277,$G277)</f>
        <v>0</v>
      </c>
      <c r="M277" s="13">
        <f t="shared" ca="1" si="55"/>
        <v>-149981</v>
      </c>
      <c r="N277" s="13">
        <f ca="1">IF($V276&gt;=VLOOKUP($M$4-1+$B277,Paraméterek!$B$121:$D$122,IF($D$4="Forint",2,3)),0,VLOOKUP($M$4-1+$B277,Paraméterek!$B$121:$D$122,IF($D$4="Forint",2,3))-$V276)</f>
        <v>159981</v>
      </c>
      <c r="O277" s="13">
        <f ca="1">ROUNDUP($N277*Paraméterek!$C$58/Paraméterek!$C$56,IF($D$4="Forint",0,2))</f>
        <v>26</v>
      </c>
      <c r="P277" s="13">
        <f t="shared" ref="P277:P340" si="65">ROUNDUP($M$5*(1+$M$2)^($B277-1),IF($D$4="Forint",0,2))</f>
        <v>1024</v>
      </c>
      <c r="Q277" s="33"/>
      <c r="R277" s="13">
        <f t="shared" ref="R277:R340" ca="1" si="66">ROUNDDOWN(($M277-$O277-$P277)*IF(ISBLANK($Q277),$M$6,$Q277),IF($D$4="Forint",0,2))</f>
        <v>0</v>
      </c>
      <c r="S277" s="13">
        <f ca="1">ROUNDUP(($M277-$O277-$P277+$R277)*VLOOKUP($B277,Paraméterek!$B$38:$D$39,IF($D$2="Egyszeri",3,2))/12,IF($D$4="Forint",0,2))</f>
        <v>-369</v>
      </c>
      <c r="T277" s="13"/>
      <c r="U277" s="13"/>
      <c r="V277" s="13">
        <f ca="1">$M277-$O277-$P277+$R277-$S277-IF(ROUNDUP(IF(ISBLANK($U277),$T277,$U277)/IF(AND($B277=1,$D$2&lt;&gt;"Egyszeri"),1,VLOOKUP($B277+IF($C277=12,1,0),Paraméterek!$B$257:$D$267,IF($D$2="Egyszeri",3,2))),IF($D$4="Forint",0,2))&gt;$M277-$O277-$P277+$R277-$S277-IF($D$4="Forint",Paraméterek!$C$216,Paraméterek!$D$216),0,ROUNDUP(IF(ISBLANK($U277),$T277,$U277)/IF(AND($B277=1,$D$2&lt;&gt;"Egyszeri"),1,VLOOKUP($B277+IF($C277=12,1,0),Paraméterek!$B$257:$D$267,IF($D$2="Egyszeri",3,2))),IF($D$4="Forint",0,2)))</f>
        <v>-150662</v>
      </c>
      <c r="W277" s="13">
        <f ca="1">ROUNDDOWN($V277*VLOOKUP($B277+IF($C277=12,1,0),Paraméterek!$B$257:$D$267,IF($D$2="Egyszeri",3,2)),IF($D$4="Forint",0,2))</f>
        <v>-150662</v>
      </c>
      <c r="Y277" s="32">
        <v>258</v>
      </c>
      <c r="Z277" s="32">
        <v>22</v>
      </c>
      <c r="AA277" s="32">
        <v>6</v>
      </c>
      <c r="AB277" s="13">
        <f t="shared" si="56"/>
        <v>0</v>
      </c>
      <c r="AC277" s="33"/>
      <c r="AD277" s="13">
        <f t="shared" ref="AD277:AD340" si="67">ROUNDDOWN($AB277*IF(ISBLANK($AC277),$M$8,$AC277),IF($D$4="Forint",0,2))</f>
        <v>0</v>
      </c>
      <c r="AE277" s="13">
        <f>ROUNDUP(($AB277+$AD277)*VLOOKUP($Z277,Paraméterek!$P$38:$Q$38,2)/12,IF($D$4="Forint",0,2))</f>
        <v>0</v>
      </c>
      <c r="AF277" s="13">
        <f>IF($D$2="Egyszeri",IF($D$7&gt;=IF($D$4="Forint",Paraméterek!$P$223,Paraméterek!$P$224),$D$7-IF($D$4="Forint",Paraméterek!$F$223,Paraméterek!$F$224),0),MIN(IF($AA277=12,AVERAGE($D$20:$D277)*12,0),SUM($D$20:$D$31)))</f>
        <v>0</v>
      </c>
      <c r="AG277" s="13">
        <f>IF(AND($Z277&gt;=10,MOD($Z277,5)=0),$AF277*IF($AA277=12,VLOOKUP($Z277,Paraméterek!$B$225:$F$240,IF($AF277&lt;IF($D$4="Forint",Paraméterek!$C$223,Paraméterek!$C$224),2,IF($AF277&lt;IF($D$4="Forint",Paraméterek!$D$223,Paraméterek!$D$224),3,4))),0),0)</f>
        <v>0</v>
      </c>
      <c r="AH277" s="13">
        <f>IF(AND($Z277&gt;=5,MOD($Z277,5)=0),IF($AA277=12,VLOOKUP($Z277,Paraméterek!$B$225:$F$240,5),0),IF(OR($Z277=3,$Z277=4),IF($AA277=12,VLOOKUP($Z277,Paraméterek!$B$225:$F$240,5,0),0),0))*$AF277</f>
        <v>0</v>
      </c>
      <c r="AI277" s="13">
        <f>ROUNDDOWN(IF(SUM($T$20:$U277)=0,IF($D$2="Egyszeri",$AH277,$AG277),0),IF($D$4="Forint",0,2))</f>
        <v>0</v>
      </c>
      <c r="AJ277" s="13">
        <f t="shared" si="57"/>
        <v>0</v>
      </c>
      <c r="AK277" s="13">
        <f t="shared" si="58"/>
        <v>0</v>
      </c>
      <c r="AM277" s="32">
        <v>258</v>
      </c>
      <c r="AN277" s="32">
        <v>22</v>
      </c>
      <c r="AO277" s="32">
        <v>6</v>
      </c>
      <c r="AP277" s="13"/>
      <c r="AQ277" s="32"/>
      <c r="AR277" s="13">
        <f t="shared" si="59"/>
        <v>0</v>
      </c>
      <c r="AS277" s="33"/>
      <c r="AT277" s="13">
        <f t="shared" ref="AT277:AT340" si="68">ROUNDDOWN($AR277*IF(ISBLANK($AS277),$M$7,$AS277),IF($D$4="Forint",0,2))</f>
        <v>0</v>
      </c>
      <c r="AU277" s="13">
        <f>ROUNDUP(($AR277+$AT277)*VLOOKUP($AN277,Paraméterek!$P$38:$Q$38,2)/12,IF($D$4="Forint",0,2))</f>
        <v>0</v>
      </c>
      <c r="AV277" s="13"/>
      <c r="AW277" s="13"/>
      <c r="AX277" s="13">
        <f>ROUNDUP(IF(SUM($AV277:$AW277)=0,0,IF(IF(ISBLANK($AW277),$AV277,$AW277)*Paraméterek!$J$112&lt;IF($D$4="Forint",Paraméterek!$J$113,Paraméterek!$K$113),IF($D$4="Forint",Paraméterek!$J$113,Paraméterek!$K$113),IF(IF(ISBLANK($AW277),$AV277,$AW277)*Paraméterek!$J$112&gt;IF($D$4="Forint",Paraméterek!$J$114,Paraméterek!$K$114),IF($D$4="Forint",Paraméterek!$J$114,Paraméterek!$K$114),IF(ISBLANK($AW277),$AV277,$AW277)*Paraméterek!$J$112))),IF($D$4="Forint",0,2))</f>
        <v>0</v>
      </c>
      <c r="AY277" s="13">
        <f>$AR277+$AT277-$AU277-IF(ROUNDDOWN(IF(ISBLANK($AW277),$AV277,$AW277),IF($D$4="Forint",0,2))&gt;$AR277+$AT277-$AU277-IF($D$4="Forint",Paraméterek!$J$114,Paraméterek!$K$114),0,ROUNDDOWN(IF(ISBLANK($AW277),$AV277,$AW277),IF($D$4="Forint",0,2))-$AX277)</f>
        <v>0</v>
      </c>
      <c r="AZ277" s="13">
        <f t="shared" ref="AZ277:AZ340" si="69">$AY277</f>
        <v>0</v>
      </c>
    </row>
    <row r="278" spans="1:52" x14ac:dyDescent="0.2">
      <c r="A278" s="32">
        <v>259</v>
      </c>
      <c r="B278" s="32">
        <v>22</v>
      </c>
      <c r="C278" s="32">
        <v>7</v>
      </c>
      <c r="D278" s="13">
        <f t="shared" si="60"/>
        <v>0</v>
      </c>
      <c r="E278" s="13"/>
      <c r="F278" s="13"/>
      <c r="G278" s="13"/>
      <c r="H278" s="13">
        <f t="shared" si="61"/>
        <v>0</v>
      </c>
      <c r="I278" s="13">
        <f t="shared" si="62"/>
        <v>0</v>
      </c>
      <c r="J278" s="13">
        <f t="shared" si="63"/>
        <v>0</v>
      </c>
      <c r="K278" s="13">
        <f>ROUNDUP(IF($D$2="Egyszeri",$D278,IF($D$2="Havi",SUM($D$20:$D$31),IF(MOD($C278,$M$1)-1=0,SUM($D$20:$D$31),0))/12*$M$1)*VLOOKUP($B278,Paraméterek!$B$27:$D$30,IF($D$2="Egyszeri",3,2)),IF($D$4="Forint",0,2))</f>
        <v>0</v>
      </c>
      <c r="L278" s="13">
        <f t="shared" si="64"/>
        <v>0</v>
      </c>
      <c r="M278" s="13">
        <f t="shared" ref="M278:M341" ca="1" si="70">$L278+$V277</f>
        <v>-150662</v>
      </c>
      <c r="N278" s="13">
        <f ca="1">IF($V277&gt;=VLOOKUP($M$4-1+$B278,Paraméterek!$B$121:$D$122,IF($D$4="Forint",2,3)),0,VLOOKUP($M$4-1+$B278,Paraméterek!$B$121:$D$122,IF($D$4="Forint",2,3))-$V277)</f>
        <v>160662</v>
      </c>
      <c r="O278" s="13">
        <f ca="1">ROUNDUP($N278*Paraméterek!$C$58/Paraméterek!$C$56,IF($D$4="Forint",0,2))</f>
        <v>26</v>
      </c>
      <c r="P278" s="13">
        <f t="shared" si="65"/>
        <v>1024</v>
      </c>
      <c r="Q278" s="33"/>
      <c r="R278" s="13">
        <f t="shared" ca="1" si="66"/>
        <v>0</v>
      </c>
      <c r="S278" s="13">
        <f ca="1">ROUNDUP(($M278-$O278-$P278+$R278)*VLOOKUP($B278,Paraméterek!$B$38:$D$39,IF($D$2="Egyszeri",3,2))/12,IF($D$4="Forint",0,2))</f>
        <v>-371</v>
      </c>
      <c r="T278" s="13"/>
      <c r="U278" s="13"/>
      <c r="V278" s="13">
        <f ca="1">$M278-$O278-$P278+$R278-$S278-IF(ROUNDUP(IF(ISBLANK($U278),$T278,$U278)/IF(AND($B278=1,$D$2&lt;&gt;"Egyszeri"),1,VLOOKUP($B278+IF($C278=12,1,0),Paraméterek!$B$257:$D$267,IF($D$2="Egyszeri",3,2))),IF($D$4="Forint",0,2))&gt;$M278-$O278-$P278+$R278-$S278-IF($D$4="Forint",Paraméterek!$C$216,Paraméterek!$D$216),0,ROUNDUP(IF(ISBLANK($U278),$T278,$U278)/IF(AND($B278=1,$D$2&lt;&gt;"Egyszeri"),1,VLOOKUP($B278+IF($C278=12,1,0),Paraméterek!$B$257:$D$267,IF($D$2="Egyszeri",3,2))),IF($D$4="Forint",0,2)))</f>
        <v>-151341</v>
      </c>
      <c r="W278" s="13">
        <f ca="1">ROUNDDOWN($V278*VLOOKUP($B278+IF($C278=12,1,0),Paraméterek!$B$257:$D$267,IF($D$2="Egyszeri",3,2)),IF($D$4="Forint",0,2))</f>
        <v>-151341</v>
      </c>
      <c r="Y278" s="32">
        <v>259</v>
      </c>
      <c r="Z278" s="32">
        <v>22</v>
      </c>
      <c r="AA278" s="32">
        <v>7</v>
      </c>
      <c r="AB278" s="13">
        <f t="shared" ref="AB278:AB341" si="71">$AJ277</f>
        <v>0</v>
      </c>
      <c r="AC278" s="33"/>
      <c r="AD278" s="13">
        <f t="shared" si="67"/>
        <v>0</v>
      </c>
      <c r="AE278" s="13">
        <f>ROUNDUP(($AB278+$AD278)*VLOOKUP($Z278,Paraméterek!$P$38:$Q$38,2)/12,IF($D$4="Forint",0,2))</f>
        <v>0</v>
      </c>
      <c r="AF278" s="13">
        <f>IF($D$2="Egyszeri",IF($D$7&gt;=IF($D$4="Forint",Paraméterek!$P$223,Paraméterek!$P$224),$D$7-IF($D$4="Forint",Paraméterek!$F$223,Paraméterek!$F$224),0),MIN(IF($AA278=12,AVERAGE($D$20:$D278)*12,0),SUM($D$20:$D$31)))</f>
        <v>0</v>
      </c>
      <c r="AG278" s="13">
        <f>IF(AND($Z278&gt;=10,MOD($Z278,5)=0),$AF278*IF($AA278=12,VLOOKUP($Z278,Paraméterek!$B$225:$F$240,IF($AF278&lt;IF($D$4="Forint",Paraméterek!$C$223,Paraméterek!$C$224),2,IF($AF278&lt;IF($D$4="Forint",Paraméterek!$D$223,Paraméterek!$D$224),3,4))),0),0)</f>
        <v>0</v>
      </c>
      <c r="AH278" s="13">
        <f>IF(AND($Z278&gt;=5,MOD($Z278,5)=0),IF($AA278=12,VLOOKUP($Z278,Paraméterek!$B$225:$F$240,5),0),IF(OR($Z278=3,$Z278=4),IF($AA278=12,VLOOKUP($Z278,Paraméterek!$B$225:$F$240,5,0),0),0))*$AF278</f>
        <v>0</v>
      </c>
      <c r="AI278" s="13">
        <f>ROUNDDOWN(IF(SUM($T$20:$U278)=0,IF($D$2="Egyszeri",$AH278,$AG278),0),IF($D$4="Forint",0,2))</f>
        <v>0</v>
      </c>
      <c r="AJ278" s="13">
        <f t="shared" ref="AJ278:AJ341" si="72">$AB278+$AD278-$AE278+$AI278</f>
        <v>0</v>
      </c>
      <c r="AK278" s="13">
        <f t="shared" ref="AK278:AK341" si="73">$AJ278</f>
        <v>0</v>
      </c>
      <c r="AM278" s="32">
        <v>259</v>
      </c>
      <c r="AN278" s="32">
        <v>22</v>
      </c>
      <c r="AO278" s="32">
        <v>7</v>
      </c>
      <c r="AP278" s="13"/>
      <c r="AQ278" s="32"/>
      <c r="AR278" s="13">
        <f t="shared" ref="AR278:AR341" si="74">IF(ISBLANK($AQ278),$AP278,$AQ278)+$AY277</f>
        <v>0</v>
      </c>
      <c r="AS278" s="33"/>
      <c r="AT278" s="13">
        <f t="shared" si="68"/>
        <v>0</v>
      </c>
      <c r="AU278" s="13">
        <f>ROUNDUP(($AR278+$AT278)*VLOOKUP($AN278,Paraméterek!$P$38:$Q$38,2)/12,IF($D$4="Forint",0,2))</f>
        <v>0</v>
      </c>
      <c r="AV278" s="13"/>
      <c r="AW278" s="13"/>
      <c r="AX278" s="13">
        <f>ROUNDUP(IF(SUM($AV278:$AW278)=0,0,IF(IF(ISBLANK($AW278),$AV278,$AW278)*Paraméterek!$J$112&lt;IF($D$4="Forint",Paraméterek!$J$113,Paraméterek!$K$113),IF($D$4="Forint",Paraméterek!$J$113,Paraméterek!$K$113),IF(IF(ISBLANK($AW278),$AV278,$AW278)*Paraméterek!$J$112&gt;IF($D$4="Forint",Paraméterek!$J$114,Paraméterek!$K$114),IF($D$4="Forint",Paraméterek!$J$114,Paraméterek!$K$114),IF(ISBLANK($AW278),$AV278,$AW278)*Paraméterek!$J$112))),IF($D$4="Forint",0,2))</f>
        <v>0</v>
      </c>
      <c r="AY278" s="13">
        <f>$AR278+$AT278-$AU278-IF(ROUNDDOWN(IF(ISBLANK($AW278),$AV278,$AW278),IF($D$4="Forint",0,2))&gt;$AR278+$AT278-$AU278-IF($D$4="Forint",Paraméterek!$J$114,Paraméterek!$K$114),0,ROUNDDOWN(IF(ISBLANK($AW278),$AV278,$AW278),IF($D$4="Forint",0,2))-$AX278)</f>
        <v>0</v>
      </c>
      <c r="AZ278" s="13">
        <f t="shared" si="69"/>
        <v>0</v>
      </c>
    </row>
    <row r="279" spans="1:52" x14ac:dyDescent="0.2">
      <c r="A279" s="32">
        <v>260</v>
      </c>
      <c r="B279" s="32">
        <v>22</v>
      </c>
      <c r="C279" s="32">
        <v>8</v>
      </c>
      <c r="D279" s="13">
        <f t="shared" si="60"/>
        <v>0</v>
      </c>
      <c r="E279" s="13"/>
      <c r="F279" s="13"/>
      <c r="G279" s="13"/>
      <c r="H279" s="13">
        <f t="shared" si="61"/>
        <v>0</v>
      </c>
      <c r="I279" s="13">
        <f t="shared" si="62"/>
        <v>0</v>
      </c>
      <c r="J279" s="13">
        <f t="shared" si="63"/>
        <v>0</v>
      </c>
      <c r="K279" s="13">
        <f>ROUNDUP(IF($D$2="Egyszeri",$D279,IF($D$2="Havi",SUM($D$20:$D$31),IF(MOD($C279,$M$1)-1=0,SUM($D$20:$D$31),0))/12*$M$1)*VLOOKUP($B279,Paraméterek!$B$27:$D$30,IF($D$2="Egyszeri",3,2)),IF($D$4="Forint",0,2))</f>
        <v>0</v>
      </c>
      <c r="L279" s="13">
        <f t="shared" si="64"/>
        <v>0</v>
      </c>
      <c r="M279" s="13">
        <f t="shared" ca="1" si="70"/>
        <v>-151341</v>
      </c>
      <c r="N279" s="13">
        <f ca="1">IF($V278&gt;=VLOOKUP($M$4-1+$B279,Paraméterek!$B$121:$D$122,IF($D$4="Forint",2,3)),0,VLOOKUP($M$4-1+$B279,Paraméterek!$B$121:$D$122,IF($D$4="Forint",2,3))-$V278)</f>
        <v>161341</v>
      </c>
      <c r="O279" s="13">
        <f ca="1">ROUNDUP($N279*Paraméterek!$C$58/Paraméterek!$C$56,IF($D$4="Forint",0,2))</f>
        <v>26</v>
      </c>
      <c r="P279" s="13">
        <f t="shared" si="65"/>
        <v>1024</v>
      </c>
      <c r="Q279" s="33"/>
      <c r="R279" s="13">
        <f t="shared" ca="1" si="66"/>
        <v>0</v>
      </c>
      <c r="S279" s="13">
        <f ca="1">ROUNDUP(($M279-$O279-$P279+$R279)*VLOOKUP($B279,Paraméterek!$B$38:$D$39,IF($D$2="Egyszeri",3,2))/12,IF($D$4="Forint",0,2))</f>
        <v>-373</v>
      </c>
      <c r="T279" s="13"/>
      <c r="U279" s="13"/>
      <c r="V279" s="13">
        <f ca="1">$M279-$O279-$P279+$R279-$S279-IF(ROUNDUP(IF(ISBLANK($U279),$T279,$U279)/IF(AND($B279=1,$D$2&lt;&gt;"Egyszeri"),1,VLOOKUP($B279+IF($C279=12,1,0),Paraméterek!$B$257:$D$267,IF($D$2="Egyszeri",3,2))),IF($D$4="Forint",0,2))&gt;$M279-$O279-$P279+$R279-$S279-IF($D$4="Forint",Paraméterek!$C$216,Paraméterek!$D$216),0,ROUNDUP(IF(ISBLANK($U279),$T279,$U279)/IF(AND($B279=1,$D$2&lt;&gt;"Egyszeri"),1,VLOOKUP($B279+IF($C279=12,1,0),Paraméterek!$B$257:$D$267,IF($D$2="Egyszeri",3,2))),IF($D$4="Forint",0,2)))</f>
        <v>-152018</v>
      </c>
      <c r="W279" s="13">
        <f ca="1">ROUNDDOWN($V279*VLOOKUP($B279+IF($C279=12,1,0),Paraméterek!$B$257:$D$267,IF($D$2="Egyszeri",3,2)),IF($D$4="Forint",0,2))</f>
        <v>-152018</v>
      </c>
      <c r="Y279" s="32">
        <v>260</v>
      </c>
      <c r="Z279" s="32">
        <v>22</v>
      </c>
      <c r="AA279" s="32">
        <v>8</v>
      </c>
      <c r="AB279" s="13">
        <f t="shared" si="71"/>
        <v>0</v>
      </c>
      <c r="AC279" s="33"/>
      <c r="AD279" s="13">
        <f t="shared" si="67"/>
        <v>0</v>
      </c>
      <c r="AE279" s="13">
        <f>ROUNDUP(($AB279+$AD279)*VLOOKUP($Z279,Paraméterek!$P$38:$Q$38,2)/12,IF($D$4="Forint",0,2))</f>
        <v>0</v>
      </c>
      <c r="AF279" s="13">
        <f>IF($D$2="Egyszeri",IF($D$7&gt;=IF($D$4="Forint",Paraméterek!$P$223,Paraméterek!$P$224),$D$7-IF($D$4="Forint",Paraméterek!$F$223,Paraméterek!$F$224),0),MIN(IF($AA279=12,AVERAGE($D$20:$D279)*12,0),SUM($D$20:$D$31)))</f>
        <v>0</v>
      </c>
      <c r="AG279" s="13">
        <f>IF(AND($Z279&gt;=10,MOD($Z279,5)=0),$AF279*IF($AA279=12,VLOOKUP($Z279,Paraméterek!$B$225:$F$240,IF($AF279&lt;IF($D$4="Forint",Paraméterek!$C$223,Paraméterek!$C$224),2,IF($AF279&lt;IF($D$4="Forint",Paraméterek!$D$223,Paraméterek!$D$224),3,4))),0),0)</f>
        <v>0</v>
      </c>
      <c r="AH279" s="13">
        <f>IF(AND($Z279&gt;=5,MOD($Z279,5)=0),IF($AA279=12,VLOOKUP($Z279,Paraméterek!$B$225:$F$240,5),0),IF(OR($Z279=3,$Z279=4),IF($AA279=12,VLOOKUP($Z279,Paraméterek!$B$225:$F$240,5,0),0),0))*$AF279</f>
        <v>0</v>
      </c>
      <c r="AI279" s="13">
        <f>ROUNDDOWN(IF(SUM($T$20:$U279)=0,IF($D$2="Egyszeri",$AH279,$AG279),0),IF($D$4="Forint",0,2))</f>
        <v>0</v>
      </c>
      <c r="AJ279" s="13">
        <f t="shared" si="72"/>
        <v>0</v>
      </c>
      <c r="AK279" s="13">
        <f t="shared" si="73"/>
        <v>0</v>
      </c>
      <c r="AM279" s="32">
        <v>260</v>
      </c>
      <c r="AN279" s="32">
        <v>22</v>
      </c>
      <c r="AO279" s="32">
        <v>8</v>
      </c>
      <c r="AP279" s="13"/>
      <c r="AQ279" s="32"/>
      <c r="AR279" s="13">
        <f t="shared" si="74"/>
        <v>0</v>
      </c>
      <c r="AS279" s="33"/>
      <c r="AT279" s="13">
        <f t="shared" si="68"/>
        <v>0</v>
      </c>
      <c r="AU279" s="13">
        <f>ROUNDUP(($AR279+$AT279)*VLOOKUP($AN279,Paraméterek!$P$38:$Q$38,2)/12,IF($D$4="Forint",0,2))</f>
        <v>0</v>
      </c>
      <c r="AV279" s="13"/>
      <c r="AW279" s="13"/>
      <c r="AX279" s="13">
        <f>ROUNDUP(IF(SUM($AV279:$AW279)=0,0,IF(IF(ISBLANK($AW279),$AV279,$AW279)*Paraméterek!$J$112&lt;IF($D$4="Forint",Paraméterek!$J$113,Paraméterek!$K$113),IF($D$4="Forint",Paraméterek!$J$113,Paraméterek!$K$113),IF(IF(ISBLANK($AW279),$AV279,$AW279)*Paraméterek!$J$112&gt;IF($D$4="Forint",Paraméterek!$J$114,Paraméterek!$K$114),IF($D$4="Forint",Paraméterek!$J$114,Paraméterek!$K$114),IF(ISBLANK($AW279),$AV279,$AW279)*Paraméterek!$J$112))),IF($D$4="Forint",0,2))</f>
        <v>0</v>
      </c>
      <c r="AY279" s="13">
        <f>$AR279+$AT279-$AU279-IF(ROUNDDOWN(IF(ISBLANK($AW279),$AV279,$AW279),IF($D$4="Forint",0,2))&gt;$AR279+$AT279-$AU279-IF($D$4="Forint",Paraméterek!$J$114,Paraméterek!$K$114),0,ROUNDDOWN(IF(ISBLANK($AW279),$AV279,$AW279),IF($D$4="Forint",0,2))-$AX279)</f>
        <v>0</v>
      </c>
      <c r="AZ279" s="13">
        <f t="shared" si="69"/>
        <v>0</v>
      </c>
    </row>
    <row r="280" spans="1:52" x14ac:dyDescent="0.2">
      <c r="A280" s="32">
        <v>261</v>
      </c>
      <c r="B280" s="32">
        <v>22</v>
      </c>
      <c r="C280" s="32">
        <v>9</v>
      </c>
      <c r="D280" s="13">
        <f t="shared" si="60"/>
        <v>0</v>
      </c>
      <c r="E280" s="13"/>
      <c r="F280" s="13"/>
      <c r="G280" s="13"/>
      <c r="H280" s="13">
        <f t="shared" si="61"/>
        <v>0</v>
      </c>
      <c r="I280" s="13">
        <f t="shared" si="62"/>
        <v>0</v>
      </c>
      <c r="J280" s="13">
        <f t="shared" si="63"/>
        <v>0</v>
      </c>
      <c r="K280" s="13">
        <f>ROUNDUP(IF($D$2="Egyszeri",$D280,IF($D$2="Havi",SUM($D$20:$D$31),IF(MOD($C280,$M$1)-1=0,SUM($D$20:$D$31),0))/12*$M$1)*VLOOKUP($B280,Paraméterek!$B$27:$D$30,IF($D$2="Egyszeri",3,2)),IF($D$4="Forint",0,2))</f>
        <v>0</v>
      </c>
      <c r="L280" s="13">
        <f t="shared" si="64"/>
        <v>0</v>
      </c>
      <c r="M280" s="13">
        <f t="shared" ca="1" si="70"/>
        <v>-152018</v>
      </c>
      <c r="N280" s="13">
        <f ca="1">IF($V279&gt;=VLOOKUP($M$4-1+$B280,Paraméterek!$B$121:$D$122,IF($D$4="Forint",2,3)),0,VLOOKUP($M$4-1+$B280,Paraméterek!$B$121:$D$122,IF($D$4="Forint",2,3))-$V279)</f>
        <v>162018</v>
      </c>
      <c r="O280" s="13">
        <f ca="1">ROUNDUP($N280*Paraméterek!$C$58/Paraméterek!$C$56,IF($D$4="Forint",0,2))</f>
        <v>26</v>
      </c>
      <c r="P280" s="13">
        <f t="shared" si="65"/>
        <v>1024</v>
      </c>
      <c r="Q280" s="33"/>
      <c r="R280" s="13">
        <f t="shared" ca="1" si="66"/>
        <v>0</v>
      </c>
      <c r="S280" s="13">
        <f ca="1">ROUNDUP(($M280-$O280-$P280+$R280)*VLOOKUP($B280,Paraméterek!$B$38:$D$39,IF($D$2="Egyszeri",3,2))/12,IF($D$4="Forint",0,2))</f>
        <v>-374</v>
      </c>
      <c r="T280" s="13"/>
      <c r="U280" s="13"/>
      <c r="V280" s="13">
        <f ca="1">$M280-$O280-$P280+$R280-$S280-IF(ROUNDUP(IF(ISBLANK($U280),$T280,$U280)/IF(AND($B280=1,$D$2&lt;&gt;"Egyszeri"),1,VLOOKUP($B280+IF($C280=12,1,0),Paraméterek!$B$257:$D$267,IF($D$2="Egyszeri",3,2))),IF($D$4="Forint",0,2))&gt;$M280-$O280-$P280+$R280-$S280-IF($D$4="Forint",Paraméterek!$C$216,Paraméterek!$D$216),0,ROUNDUP(IF(ISBLANK($U280),$T280,$U280)/IF(AND($B280=1,$D$2&lt;&gt;"Egyszeri"),1,VLOOKUP($B280+IF($C280=12,1,0),Paraméterek!$B$257:$D$267,IF($D$2="Egyszeri",3,2))),IF($D$4="Forint",0,2)))</f>
        <v>-152694</v>
      </c>
      <c r="W280" s="13">
        <f ca="1">ROUNDDOWN($V280*VLOOKUP($B280+IF($C280=12,1,0),Paraméterek!$B$257:$D$267,IF($D$2="Egyszeri",3,2)),IF($D$4="Forint",0,2))</f>
        <v>-152694</v>
      </c>
      <c r="Y280" s="32">
        <v>261</v>
      </c>
      <c r="Z280" s="32">
        <v>22</v>
      </c>
      <c r="AA280" s="32">
        <v>9</v>
      </c>
      <c r="AB280" s="13">
        <f t="shared" si="71"/>
        <v>0</v>
      </c>
      <c r="AC280" s="33"/>
      <c r="AD280" s="13">
        <f t="shared" si="67"/>
        <v>0</v>
      </c>
      <c r="AE280" s="13">
        <f>ROUNDUP(($AB280+$AD280)*VLOOKUP($Z280,Paraméterek!$P$38:$Q$38,2)/12,IF($D$4="Forint",0,2))</f>
        <v>0</v>
      </c>
      <c r="AF280" s="13">
        <f>IF($D$2="Egyszeri",IF($D$7&gt;=IF($D$4="Forint",Paraméterek!$P$223,Paraméterek!$P$224),$D$7-IF($D$4="Forint",Paraméterek!$F$223,Paraméterek!$F$224),0),MIN(IF($AA280=12,AVERAGE($D$20:$D280)*12,0),SUM($D$20:$D$31)))</f>
        <v>0</v>
      </c>
      <c r="AG280" s="13">
        <f>IF(AND($Z280&gt;=10,MOD($Z280,5)=0),$AF280*IF($AA280=12,VLOOKUP($Z280,Paraméterek!$B$225:$F$240,IF($AF280&lt;IF($D$4="Forint",Paraméterek!$C$223,Paraméterek!$C$224),2,IF($AF280&lt;IF($D$4="Forint",Paraméterek!$D$223,Paraméterek!$D$224),3,4))),0),0)</f>
        <v>0</v>
      </c>
      <c r="AH280" s="13">
        <f>IF(AND($Z280&gt;=5,MOD($Z280,5)=0),IF($AA280=12,VLOOKUP($Z280,Paraméterek!$B$225:$F$240,5),0),IF(OR($Z280=3,$Z280=4),IF($AA280=12,VLOOKUP($Z280,Paraméterek!$B$225:$F$240,5,0),0),0))*$AF280</f>
        <v>0</v>
      </c>
      <c r="AI280" s="13">
        <f>ROUNDDOWN(IF(SUM($T$20:$U280)=0,IF($D$2="Egyszeri",$AH280,$AG280),0),IF($D$4="Forint",0,2))</f>
        <v>0</v>
      </c>
      <c r="AJ280" s="13">
        <f t="shared" si="72"/>
        <v>0</v>
      </c>
      <c r="AK280" s="13">
        <f t="shared" si="73"/>
        <v>0</v>
      </c>
      <c r="AM280" s="32">
        <v>261</v>
      </c>
      <c r="AN280" s="32">
        <v>22</v>
      </c>
      <c r="AO280" s="32">
        <v>9</v>
      </c>
      <c r="AP280" s="13"/>
      <c r="AQ280" s="32"/>
      <c r="AR280" s="13">
        <f t="shared" si="74"/>
        <v>0</v>
      </c>
      <c r="AS280" s="33"/>
      <c r="AT280" s="13">
        <f t="shared" si="68"/>
        <v>0</v>
      </c>
      <c r="AU280" s="13">
        <f>ROUNDUP(($AR280+$AT280)*VLOOKUP($AN280,Paraméterek!$P$38:$Q$38,2)/12,IF($D$4="Forint",0,2))</f>
        <v>0</v>
      </c>
      <c r="AV280" s="13"/>
      <c r="AW280" s="13"/>
      <c r="AX280" s="13">
        <f>ROUNDUP(IF(SUM($AV280:$AW280)=0,0,IF(IF(ISBLANK($AW280),$AV280,$AW280)*Paraméterek!$J$112&lt;IF($D$4="Forint",Paraméterek!$J$113,Paraméterek!$K$113),IF($D$4="Forint",Paraméterek!$J$113,Paraméterek!$K$113),IF(IF(ISBLANK($AW280),$AV280,$AW280)*Paraméterek!$J$112&gt;IF($D$4="Forint",Paraméterek!$J$114,Paraméterek!$K$114),IF($D$4="Forint",Paraméterek!$J$114,Paraméterek!$K$114),IF(ISBLANK($AW280),$AV280,$AW280)*Paraméterek!$J$112))),IF($D$4="Forint",0,2))</f>
        <v>0</v>
      </c>
      <c r="AY280" s="13">
        <f>$AR280+$AT280-$AU280-IF(ROUNDDOWN(IF(ISBLANK($AW280),$AV280,$AW280),IF($D$4="Forint",0,2))&gt;$AR280+$AT280-$AU280-IF($D$4="Forint",Paraméterek!$J$114,Paraméterek!$K$114),0,ROUNDDOWN(IF(ISBLANK($AW280),$AV280,$AW280),IF($D$4="Forint",0,2))-$AX280)</f>
        <v>0</v>
      </c>
      <c r="AZ280" s="13">
        <f t="shared" si="69"/>
        <v>0</v>
      </c>
    </row>
    <row r="281" spans="1:52" x14ac:dyDescent="0.2">
      <c r="A281" s="32">
        <v>262</v>
      </c>
      <c r="B281" s="32">
        <v>22</v>
      </c>
      <c r="C281" s="32">
        <v>10</v>
      </c>
      <c r="D281" s="13">
        <f t="shared" si="60"/>
        <v>0</v>
      </c>
      <c r="E281" s="13"/>
      <c r="F281" s="13"/>
      <c r="G281" s="13"/>
      <c r="H281" s="13">
        <f t="shared" si="61"/>
        <v>0</v>
      </c>
      <c r="I281" s="13">
        <f t="shared" si="62"/>
        <v>0</v>
      </c>
      <c r="J281" s="13">
        <f t="shared" si="63"/>
        <v>0</v>
      </c>
      <c r="K281" s="13">
        <f>ROUNDUP(IF($D$2="Egyszeri",$D281,IF($D$2="Havi",SUM($D$20:$D$31),IF(MOD($C281,$M$1)-1=0,SUM($D$20:$D$31),0))/12*$M$1)*VLOOKUP($B281,Paraméterek!$B$27:$D$30,IF($D$2="Egyszeri",3,2)),IF($D$4="Forint",0,2))</f>
        <v>0</v>
      </c>
      <c r="L281" s="13">
        <f t="shared" si="64"/>
        <v>0</v>
      </c>
      <c r="M281" s="13">
        <f t="shared" ca="1" si="70"/>
        <v>-152694</v>
      </c>
      <c r="N281" s="13">
        <f ca="1">IF($V280&gt;=VLOOKUP($M$4-1+$B281,Paraméterek!$B$121:$D$122,IF($D$4="Forint",2,3)),0,VLOOKUP($M$4-1+$B281,Paraméterek!$B$121:$D$122,IF($D$4="Forint",2,3))-$V280)</f>
        <v>162694</v>
      </c>
      <c r="O281" s="13">
        <f ca="1">ROUNDUP($N281*Paraméterek!$C$58/Paraméterek!$C$56,IF($D$4="Forint",0,2))</f>
        <v>26</v>
      </c>
      <c r="P281" s="13">
        <f t="shared" si="65"/>
        <v>1024</v>
      </c>
      <c r="Q281" s="33"/>
      <c r="R281" s="13">
        <f t="shared" ca="1" si="66"/>
        <v>0</v>
      </c>
      <c r="S281" s="13">
        <f ca="1">ROUNDUP(($M281-$O281-$P281+$R281)*VLOOKUP($B281,Paraméterek!$B$38:$D$39,IF($D$2="Egyszeri",3,2))/12,IF($D$4="Forint",0,2))</f>
        <v>-376</v>
      </c>
      <c r="T281" s="13"/>
      <c r="U281" s="13"/>
      <c r="V281" s="13">
        <f ca="1">$M281-$O281-$P281+$R281-$S281-IF(ROUNDUP(IF(ISBLANK($U281),$T281,$U281)/IF(AND($B281=1,$D$2&lt;&gt;"Egyszeri"),1,VLOOKUP($B281+IF($C281=12,1,0),Paraméterek!$B$257:$D$267,IF($D$2="Egyszeri",3,2))),IF($D$4="Forint",0,2))&gt;$M281-$O281-$P281+$R281-$S281-IF($D$4="Forint",Paraméterek!$C$216,Paraméterek!$D$216),0,ROUNDUP(IF(ISBLANK($U281),$T281,$U281)/IF(AND($B281=1,$D$2&lt;&gt;"Egyszeri"),1,VLOOKUP($B281+IF($C281=12,1,0),Paraméterek!$B$257:$D$267,IF($D$2="Egyszeri",3,2))),IF($D$4="Forint",0,2)))</f>
        <v>-153368</v>
      </c>
      <c r="W281" s="13">
        <f ca="1">ROUNDDOWN($V281*VLOOKUP($B281+IF($C281=12,1,0),Paraméterek!$B$257:$D$267,IF($D$2="Egyszeri",3,2)),IF($D$4="Forint",0,2))</f>
        <v>-153368</v>
      </c>
      <c r="Y281" s="32">
        <v>262</v>
      </c>
      <c r="Z281" s="32">
        <v>22</v>
      </c>
      <c r="AA281" s="32">
        <v>10</v>
      </c>
      <c r="AB281" s="13">
        <f t="shared" si="71"/>
        <v>0</v>
      </c>
      <c r="AC281" s="33"/>
      <c r="AD281" s="13">
        <f t="shared" si="67"/>
        <v>0</v>
      </c>
      <c r="AE281" s="13">
        <f>ROUNDUP(($AB281+$AD281)*VLOOKUP($Z281,Paraméterek!$P$38:$Q$38,2)/12,IF($D$4="Forint",0,2))</f>
        <v>0</v>
      </c>
      <c r="AF281" s="13">
        <f>IF($D$2="Egyszeri",IF($D$7&gt;=IF($D$4="Forint",Paraméterek!$P$223,Paraméterek!$P$224),$D$7-IF($D$4="Forint",Paraméterek!$F$223,Paraméterek!$F$224),0),MIN(IF($AA281=12,AVERAGE($D$20:$D281)*12,0),SUM($D$20:$D$31)))</f>
        <v>0</v>
      </c>
      <c r="AG281" s="13">
        <f>IF(AND($Z281&gt;=10,MOD($Z281,5)=0),$AF281*IF($AA281=12,VLOOKUP($Z281,Paraméterek!$B$225:$F$240,IF($AF281&lt;IF($D$4="Forint",Paraméterek!$C$223,Paraméterek!$C$224),2,IF($AF281&lt;IF($D$4="Forint",Paraméterek!$D$223,Paraméterek!$D$224),3,4))),0),0)</f>
        <v>0</v>
      </c>
      <c r="AH281" s="13">
        <f>IF(AND($Z281&gt;=5,MOD($Z281,5)=0),IF($AA281=12,VLOOKUP($Z281,Paraméterek!$B$225:$F$240,5),0),IF(OR($Z281=3,$Z281=4),IF($AA281=12,VLOOKUP($Z281,Paraméterek!$B$225:$F$240,5,0),0),0))*$AF281</f>
        <v>0</v>
      </c>
      <c r="AI281" s="13">
        <f>ROUNDDOWN(IF(SUM($T$20:$U281)=0,IF($D$2="Egyszeri",$AH281,$AG281),0),IF($D$4="Forint",0,2))</f>
        <v>0</v>
      </c>
      <c r="AJ281" s="13">
        <f t="shared" si="72"/>
        <v>0</v>
      </c>
      <c r="AK281" s="13">
        <f t="shared" si="73"/>
        <v>0</v>
      </c>
      <c r="AM281" s="32">
        <v>262</v>
      </c>
      <c r="AN281" s="32">
        <v>22</v>
      </c>
      <c r="AO281" s="32">
        <v>10</v>
      </c>
      <c r="AP281" s="13"/>
      <c r="AQ281" s="32"/>
      <c r="AR281" s="13">
        <f t="shared" si="74"/>
        <v>0</v>
      </c>
      <c r="AS281" s="33"/>
      <c r="AT281" s="13">
        <f t="shared" si="68"/>
        <v>0</v>
      </c>
      <c r="AU281" s="13">
        <f>ROUNDUP(($AR281+$AT281)*VLOOKUP($AN281,Paraméterek!$P$38:$Q$38,2)/12,IF($D$4="Forint",0,2))</f>
        <v>0</v>
      </c>
      <c r="AV281" s="13"/>
      <c r="AW281" s="13"/>
      <c r="AX281" s="13">
        <f>ROUNDUP(IF(SUM($AV281:$AW281)=0,0,IF(IF(ISBLANK($AW281),$AV281,$AW281)*Paraméterek!$J$112&lt;IF($D$4="Forint",Paraméterek!$J$113,Paraméterek!$K$113),IF($D$4="Forint",Paraméterek!$J$113,Paraméterek!$K$113),IF(IF(ISBLANK($AW281),$AV281,$AW281)*Paraméterek!$J$112&gt;IF($D$4="Forint",Paraméterek!$J$114,Paraméterek!$K$114),IF($D$4="Forint",Paraméterek!$J$114,Paraméterek!$K$114),IF(ISBLANK($AW281),$AV281,$AW281)*Paraméterek!$J$112))),IF($D$4="Forint",0,2))</f>
        <v>0</v>
      </c>
      <c r="AY281" s="13">
        <f>$AR281+$AT281-$AU281-IF(ROUNDDOWN(IF(ISBLANK($AW281),$AV281,$AW281),IF($D$4="Forint",0,2))&gt;$AR281+$AT281-$AU281-IF($D$4="Forint",Paraméterek!$J$114,Paraméterek!$K$114),0,ROUNDDOWN(IF(ISBLANK($AW281),$AV281,$AW281),IF($D$4="Forint",0,2))-$AX281)</f>
        <v>0</v>
      </c>
      <c r="AZ281" s="13">
        <f t="shared" si="69"/>
        <v>0</v>
      </c>
    </row>
    <row r="282" spans="1:52" x14ac:dyDescent="0.2">
      <c r="A282" s="32">
        <v>263</v>
      </c>
      <c r="B282" s="32">
        <v>22</v>
      </c>
      <c r="C282" s="32">
        <v>11</v>
      </c>
      <c r="D282" s="13">
        <f t="shared" si="60"/>
        <v>0</v>
      </c>
      <c r="E282" s="13"/>
      <c r="F282" s="13"/>
      <c r="G282" s="13"/>
      <c r="H282" s="13">
        <f t="shared" si="61"/>
        <v>0</v>
      </c>
      <c r="I282" s="13">
        <f t="shared" si="62"/>
        <v>0</v>
      </c>
      <c r="J282" s="13">
        <f t="shared" si="63"/>
        <v>0</v>
      </c>
      <c r="K282" s="13">
        <f>ROUNDUP(IF($D$2="Egyszeri",$D282,IF($D$2="Havi",SUM($D$20:$D$31),IF(MOD($C282,$M$1)-1=0,SUM($D$20:$D$31),0))/12*$M$1)*VLOOKUP($B282,Paraméterek!$B$27:$D$30,IF($D$2="Egyszeri",3,2)),IF($D$4="Forint",0,2))</f>
        <v>0</v>
      </c>
      <c r="L282" s="13">
        <f t="shared" si="64"/>
        <v>0</v>
      </c>
      <c r="M282" s="13">
        <f t="shared" ca="1" si="70"/>
        <v>-153368</v>
      </c>
      <c r="N282" s="13">
        <f ca="1">IF($V281&gt;=VLOOKUP($M$4-1+$B282,Paraméterek!$B$121:$D$122,IF($D$4="Forint",2,3)),0,VLOOKUP($M$4-1+$B282,Paraméterek!$B$121:$D$122,IF($D$4="Forint",2,3))-$V281)</f>
        <v>163368</v>
      </c>
      <c r="O282" s="13">
        <f ca="1">ROUNDUP($N282*Paraméterek!$C$58/Paraméterek!$C$56,IF($D$4="Forint",0,2))</f>
        <v>27</v>
      </c>
      <c r="P282" s="13">
        <f t="shared" si="65"/>
        <v>1024</v>
      </c>
      <c r="Q282" s="33"/>
      <c r="R282" s="13">
        <f t="shared" ca="1" si="66"/>
        <v>0</v>
      </c>
      <c r="S282" s="13">
        <f ca="1">ROUNDUP(($M282-$O282-$P282+$R282)*VLOOKUP($B282,Paraméterek!$B$38:$D$39,IF($D$2="Egyszeri",3,2))/12,IF($D$4="Forint",0,2))</f>
        <v>-378</v>
      </c>
      <c r="T282" s="13"/>
      <c r="U282" s="13"/>
      <c r="V282" s="13">
        <f ca="1">$M282-$O282-$P282+$R282-$S282-IF(ROUNDUP(IF(ISBLANK($U282),$T282,$U282)/IF(AND($B282=1,$D$2&lt;&gt;"Egyszeri"),1,VLOOKUP($B282+IF($C282=12,1,0),Paraméterek!$B$257:$D$267,IF($D$2="Egyszeri",3,2))),IF($D$4="Forint",0,2))&gt;$M282-$O282-$P282+$R282-$S282-IF($D$4="Forint",Paraméterek!$C$216,Paraméterek!$D$216),0,ROUNDUP(IF(ISBLANK($U282),$T282,$U282)/IF(AND($B282=1,$D$2&lt;&gt;"Egyszeri"),1,VLOOKUP($B282+IF($C282=12,1,0),Paraméterek!$B$257:$D$267,IF($D$2="Egyszeri",3,2))),IF($D$4="Forint",0,2)))</f>
        <v>-154041</v>
      </c>
      <c r="W282" s="13">
        <f ca="1">ROUNDDOWN($V282*VLOOKUP($B282+IF($C282=12,1,0),Paraméterek!$B$257:$D$267,IF($D$2="Egyszeri",3,2)),IF($D$4="Forint",0,2))</f>
        <v>-154041</v>
      </c>
      <c r="Y282" s="32">
        <v>263</v>
      </c>
      <c r="Z282" s="32">
        <v>22</v>
      </c>
      <c r="AA282" s="32">
        <v>11</v>
      </c>
      <c r="AB282" s="13">
        <f t="shared" si="71"/>
        <v>0</v>
      </c>
      <c r="AC282" s="33"/>
      <c r="AD282" s="13">
        <f t="shared" si="67"/>
        <v>0</v>
      </c>
      <c r="AE282" s="13">
        <f>ROUNDUP(($AB282+$AD282)*VLOOKUP($Z282,Paraméterek!$P$38:$Q$38,2)/12,IF($D$4="Forint",0,2))</f>
        <v>0</v>
      </c>
      <c r="AF282" s="13">
        <f>IF($D$2="Egyszeri",IF($D$7&gt;=IF($D$4="Forint",Paraméterek!$P$223,Paraméterek!$P$224),$D$7-IF($D$4="Forint",Paraméterek!$F$223,Paraméterek!$F$224),0),MIN(IF($AA282=12,AVERAGE($D$20:$D282)*12,0),SUM($D$20:$D$31)))</f>
        <v>0</v>
      </c>
      <c r="AG282" s="13">
        <f>IF(AND($Z282&gt;=10,MOD($Z282,5)=0),$AF282*IF($AA282=12,VLOOKUP($Z282,Paraméterek!$B$225:$F$240,IF($AF282&lt;IF($D$4="Forint",Paraméterek!$C$223,Paraméterek!$C$224),2,IF($AF282&lt;IF($D$4="Forint",Paraméterek!$D$223,Paraméterek!$D$224),3,4))),0),0)</f>
        <v>0</v>
      </c>
      <c r="AH282" s="13">
        <f>IF(AND($Z282&gt;=5,MOD($Z282,5)=0),IF($AA282=12,VLOOKUP($Z282,Paraméterek!$B$225:$F$240,5),0),IF(OR($Z282=3,$Z282=4),IF($AA282=12,VLOOKUP($Z282,Paraméterek!$B$225:$F$240,5,0),0),0))*$AF282</f>
        <v>0</v>
      </c>
      <c r="AI282" s="13">
        <f>ROUNDDOWN(IF(SUM($T$20:$U282)=0,IF($D$2="Egyszeri",$AH282,$AG282),0),IF($D$4="Forint",0,2))</f>
        <v>0</v>
      </c>
      <c r="AJ282" s="13">
        <f t="shared" si="72"/>
        <v>0</v>
      </c>
      <c r="AK282" s="13">
        <f t="shared" si="73"/>
        <v>0</v>
      </c>
      <c r="AM282" s="32">
        <v>263</v>
      </c>
      <c r="AN282" s="32">
        <v>22</v>
      </c>
      <c r="AO282" s="32">
        <v>11</v>
      </c>
      <c r="AP282" s="13"/>
      <c r="AQ282" s="32"/>
      <c r="AR282" s="13">
        <f t="shared" si="74"/>
        <v>0</v>
      </c>
      <c r="AS282" s="33"/>
      <c r="AT282" s="13">
        <f t="shared" si="68"/>
        <v>0</v>
      </c>
      <c r="AU282" s="13">
        <f>ROUNDUP(($AR282+$AT282)*VLOOKUP($AN282,Paraméterek!$P$38:$Q$38,2)/12,IF($D$4="Forint",0,2))</f>
        <v>0</v>
      </c>
      <c r="AV282" s="13"/>
      <c r="AW282" s="13"/>
      <c r="AX282" s="13">
        <f>ROUNDUP(IF(SUM($AV282:$AW282)=0,0,IF(IF(ISBLANK($AW282),$AV282,$AW282)*Paraméterek!$J$112&lt;IF($D$4="Forint",Paraméterek!$J$113,Paraméterek!$K$113),IF($D$4="Forint",Paraméterek!$J$113,Paraméterek!$K$113),IF(IF(ISBLANK($AW282),$AV282,$AW282)*Paraméterek!$J$112&gt;IF($D$4="Forint",Paraméterek!$J$114,Paraméterek!$K$114),IF($D$4="Forint",Paraméterek!$J$114,Paraméterek!$K$114),IF(ISBLANK($AW282),$AV282,$AW282)*Paraméterek!$J$112))),IF($D$4="Forint",0,2))</f>
        <v>0</v>
      </c>
      <c r="AY282" s="13">
        <f>$AR282+$AT282-$AU282-IF(ROUNDDOWN(IF(ISBLANK($AW282),$AV282,$AW282),IF($D$4="Forint",0,2))&gt;$AR282+$AT282-$AU282-IF($D$4="Forint",Paraméterek!$J$114,Paraméterek!$K$114),0,ROUNDDOWN(IF(ISBLANK($AW282),$AV282,$AW282),IF($D$4="Forint",0,2))-$AX282)</f>
        <v>0</v>
      </c>
      <c r="AZ282" s="13">
        <f t="shared" si="69"/>
        <v>0</v>
      </c>
    </row>
    <row r="283" spans="1:52" x14ac:dyDescent="0.2">
      <c r="A283" s="32">
        <v>264</v>
      </c>
      <c r="B283" s="32">
        <v>22</v>
      </c>
      <c r="C283" s="32">
        <v>12</v>
      </c>
      <c r="D283" s="13">
        <f t="shared" si="60"/>
        <v>0</v>
      </c>
      <c r="E283" s="13"/>
      <c r="F283" s="13"/>
      <c r="G283" s="13"/>
      <c r="H283" s="13">
        <f t="shared" si="61"/>
        <v>0</v>
      </c>
      <c r="I283" s="13">
        <f t="shared" si="62"/>
        <v>0</v>
      </c>
      <c r="J283" s="13">
        <f t="shared" si="63"/>
        <v>0</v>
      </c>
      <c r="K283" s="13">
        <f>ROUNDUP(IF($D$2="Egyszeri",$D283,IF($D$2="Havi",SUM($D$20:$D$31),IF(MOD($C283,$M$1)-1=0,SUM($D$20:$D$31),0))/12*$M$1)*VLOOKUP($B283,Paraméterek!$B$27:$D$30,IF($D$2="Egyszeri",3,2)),IF($D$4="Forint",0,2))</f>
        <v>0</v>
      </c>
      <c r="L283" s="13">
        <f t="shared" si="64"/>
        <v>0</v>
      </c>
      <c r="M283" s="13">
        <f t="shared" ca="1" si="70"/>
        <v>-154041</v>
      </c>
      <c r="N283" s="13">
        <f ca="1">IF($V282&gt;=VLOOKUP($M$4-1+$B283,Paraméterek!$B$121:$D$122,IF($D$4="Forint",2,3)),0,VLOOKUP($M$4-1+$B283,Paraméterek!$B$121:$D$122,IF($D$4="Forint",2,3))-$V282)</f>
        <v>164041</v>
      </c>
      <c r="O283" s="13">
        <f ca="1">ROUNDUP($N283*Paraméterek!$C$58/Paraméterek!$C$56,IF($D$4="Forint",0,2))</f>
        <v>27</v>
      </c>
      <c r="P283" s="13">
        <f t="shared" si="65"/>
        <v>1024</v>
      </c>
      <c r="Q283" s="33"/>
      <c r="R283" s="13">
        <f t="shared" ca="1" si="66"/>
        <v>0</v>
      </c>
      <c r="S283" s="13">
        <f ca="1">ROUNDUP(($M283-$O283-$P283+$R283)*VLOOKUP($B283,Paraméterek!$B$38:$D$39,IF($D$2="Egyszeri",3,2))/12,IF($D$4="Forint",0,2))</f>
        <v>-379</v>
      </c>
      <c r="T283" s="13">
        <f>Tranzakciók!$F$53</f>
        <v>0</v>
      </c>
      <c r="U283" s="13"/>
      <c r="V283" s="13">
        <f ca="1">$M283-$O283-$P283+$R283-$S283-IF(ROUNDUP(IF(ISBLANK($U283),$T283,$U283)/IF(AND($B283=1,$D$2&lt;&gt;"Egyszeri"),1,VLOOKUP($B283+IF($C283=12,1,0),Paraméterek!$B$257:$D$267,IF($D$2="Egyszeri",3,2))),IF($D$4="Forint",0,2))&gt;$M283-$O283-$P283+$R283-$S283-IF($D$4="Forint",Paraméterek!$C$216,Paraméterek!$D$216),0,ROUNDUP(IF(ISBLANK($U283),$T283,$U283)/IF(AND($B283=1,$D$2&lt;&gt;"Egyszeri"),1,VLOOKUP($B283+IF($C283=12,1,0),Paraméterek!$B$257:$D$267,IF($D$2="Egyszeri",3,2))),IF($D$4="Forint",0,2)))</f>
        <v>-154713</v>
      </c>
      <c r="W283" s="13">
        <f ca="1">ROUNDDOWN($V283*VLOOKUP($B283+IF($C283=12,1,0),Paraméterek!$B$257:$D$267,IF($D$2="Egyszeri",3,2)),IF($D$4="Forint",0,2))</f>
        <v>-154713</v>
      </c>
      <c r="Y283" s="32">
        <v>264</v>
      </c>
      <c r="Z283" s="32">
        <v>22</v>
      </c>
      <c r="AA283" s="32">
        <v>12</v>
      </c>
      <c r="AB283" s="13">
        <f t="shared" si="71"/>
        <v>0</v>
      </c>
      <c r="AC283" s="33"/>
      <c r="AD283" s="13">
        <f t="shared" si="67"/>
        <v>0</v>
      </c>
      <c r="AE283" s="13">
        <f>ROUNDUP(($AB283+$AD283)*VLOOKUP($Z283,Paraméterek!$P$38:$Q$38,2)/12,IF($D$4="Forint",0,2))</f>
        <v>0</v>
      </c>
      <c r="AF283" s="13">
        <f>IF($D$2="Egyszeri",IF($D$7&gt;=IF($D$4="Forint",Paraméterek!$P$223,Paraméterek!$P$224),$D$7-IF($D$4="Forint",Paraméterek!$F$223,Paraméterek!$F$224),0),MIN(IF($AA283=12,AVERAGE($D$20:$D283)*12,0),SUM($D$20:$D$31)))</f>
        <v>0</v>
      </c>
      <c r="AG283" s="13">
        <f>IF(AND($Z283&gt;=10,MOD($Z283,5)=0),$AF283*IF($AA283=12,VLOOKUP($Z283,Paraméterek!$B$225:$F$240,IF($AF283&lt;IF($D$4="Forint",Paraméterek!$C$223,Paraméterek!$C$224),2,IF($AF283&lt;IF($D$4="Forint",Paraméterek!$D$223,Paraméterek!$D$224),3,4))),0),0)</f>
        <v>0</v>
      </c>
      <c r="AH283" s="13">
        <f>IF(AND($Z283&gt;=5,MOD($Z283,5)=0),IF($AA283=12,VLOOKUP($Z283,Paraméterek!$B$225:$F$240,5),0),IF(OR($Z283=3,$Z283=4),IF($AA283=12,VLOOKUP($Z283,Paraméterek!$B$225:$F$240,5,0),0),0))*$AF283</f>
        <v>0</v>
      </c>
      <c r="AI283" s="13">
        <f>ROUNDDOWN(IF(SUM($T$20:$U283)=0,IF($D$2="Egyszeri",$AH283,$AG283),0),IF($D$4="Forint",0,2))</f>
        <v>0</v>
      </c>
      <c r="AJ283" s="13">
        <f t="shared" si="72"/>
        <v>0</v>
      </c>
      <c r="AK283" s="13">
        <f t="shared" si="73"/>
        <v>0</v>
      </c>
      <c r="AM283" s="32">
        <v>264</v>
      </c>
      <c r="AN283" s="32">
        <v>22</v>
      </c>
      <c r="AO283" s="32">
        <v>12</v>
      </c>
      <c r="AP283" s="13"/>
      <c r="AQ283" s="32"/>
      <c r="AR283" s="13">
        <f t="shared" si="74"/>
        <v>0</v>
      </c>
      <c r="AS283" s="33"/>
      <c r="AT283" s="13">
        <f t="shared" si="68"/>
        <v>0</v>
      </c>
      <c r="AU283" s="13">
        <f>ROUNDUP(($AR283+$AT283)*VLOOKUP($AN283,Paraméterek!$P$38:$Q$38,2)/12,IF($D$4="Forint",0,2))</f>
        <v>0</v>
      </c>
      <c r="AV283" s="13">
        <f>Tranzakciók!$M$53</f>
        <v>0</v>
      </c>
      <c r="AW283" s="13"/>
      <c r="AX283" s="13">
        <f>ROUNDUP(IF(SUM($AV283:$AW283)=0,0,IF(IF(ISBLANK($AW283),$AV283,$AW283)*Paraméterek!$J$112&lt;IF($D$4="Forint",Paraméterek!$J$113,Paraméterek!$K$113),IF($D$4="Forint",Paraméterek!$J$113,Paraméterek!$K$113),IF(IF(ISBLANK($AW283),$AV283,$AW283)*Paraméterek!$J$112&gt;IF($D$4="Forint",Paraméterek!$J$114,Paraméterek!$K$114),IF($D$4="Forint",Paraméterek!$J$114,Paraméterek!$K$114),IF(ISBLANK($AW283),$AV283,$AW283)*Paraméterek!$J$112))),IF($D$4="Forint",0,2))</f>
        <v>0</v>
      </c>
      <c r="AY283" s="13">
        <f>$AR283+$AT283-$AU283-IF(ROUNDDOWN(IF(ISBLANK($AW283),$AV283,$AW283),IF($D$4="Forint",0,2))&gt;$AR283+$AT283-$AU283-IF($D$4="Forint",Paraméterek!$J$114,Paraméterek!$K$114),0,ROUNDDOWN(IF(ISBLANK($AW283),$AV283,$AW283),IF($D$4="Forint",0,2))-$AX283)</f>
        <v>0</v>
      </c>
      <c r="AZ283" s="13">
        <f t="shared" si="69"/>
        <v>0</v>
      </c>
    </row>
    <row r="284" spans="1:52" x14ac:dyDescent="0.2">
      <c r="A284" s="32">
        <v>265</v>
      </c>
      <c r="B284" s="32">
        <v>23</v>
      </c>
      <c r="C284" s="32">
        <v>1</v>
      </c>
      <c r="D284" s="13">
        <f t="shared" si="60"/>
        <v>0</v>
      </c>
      <c r="E284" s="13"/>
      <c r="F284" s="13">
        <f>Tranzakciók!$D$54</f>
        <v>0</v>
      </c>
      <c r="G284" s="13"/>
      <c r="H284" s="13">
        <f t="shared" si="61"/>
        <v>0</v>
      </c>
      <c r="I284" s="13">
        <f t="shared" si="62"/>
        <v>192</v>
      </c>
      <c r="J284" s="13">
        <f t="shared" si="63"/>
        <v>192</v>
      </c>
      <c r="K284" s="13">
        <f>ROUNDUP(IF($D$2="Egyszeri",$D284,IF($D$2="Havi",SUM($D$20:$D$31),IF(MOD($C284,$M$1)-1=0,SUM($D$20:$D$31),0))/12*$M$1)*VLOOKUP($B284,Paraméterek!$B$27:$D$30,IF($D$2="Egyszeri",3,2)),IF($D$4="Forint",0,2))</f>
        <v>0</v>
      </c>
      <c r="L284" s="13">
        <f t="shared" si="64"/>
        <v>0</v>
      </c>
      <c r="M284" s="13">
        <f t="shared" ca="1" si="70"/>
        <v>-154713</v>
      </c>
      <c r="N284" s="13">
        <f ca="1">IF($V283&gt;=VLOOKUP($M$4-1+$B284,Paraméterek!$B$121:$D$122,IF($D$4="Forint",2,3)),0,VLOOKUP($M$4-1+$B284,Paraméterek!$B$121:$D$122,IF($D$4="Forint",2,3))-$V283)</f>
        <v>164713</v>
      </c>
      <c r="O284" s="13">
        <f ca="1">ROUNDUP($N284*Paraméterek!$C$58/Paraméterek!$C$56,IF($D$4="Forint",0,2))</f>
        <v>27</v>
      </c>
      <c r="P284" s="13">
        <f t="shared" si="65"/>
        <v>1054</v>
      </c>
      <c r="Q284" s="33"/>
      <c r="R284" s="13">
        <f t="shared" ca="1" si="66"/>
        <v>0</v>
      </c>
      <c r="S284" s="13">
        <f ca="1">ROUNDUP(($M284-$O284-$P284+$R284)*VLOOKUP($B284,Paraméterek!$B$38:$D$39,IF($D$2="Egyszeri",3,2))/12,IF($D$4="Forint",0,2))</f>
        <v>-381</v>
      </c>
      <c r="T284" s="13"/>
      <c r="U284" s="13"/>
      <c r="V284" s="13">
        <f ca="1">$M284-$O284-$P284+$R284-$S284-IF(ROUNDUP(IF(ISBLANK($U284),$T284,$U284)/IF(AND($B284=1,$D$2&lt;&gt;"Egyszeri"),1,VLOOKUP($B284+IF($C284=12,1,0),Paraméterek!$B$257:$D$267,IF($D$2="Egyszeri",3,2))),IF($D$4="Forint",0,2))&gt;$M284-$O284-$P284+$R284-$S284-IF($D$4="Forint",Paraméterek!$C$216,Paraméterek!$D$216),0,ROUNDUP(IF(ISBLANK($U284),$T284,$U284)/IF(AND($B284=1,$D$2&lt;&gt;"Egyszeri"),1,VLOOKUP($B284+IF($C284=12,1,0),Paraméterek!$B$257:$D$267,IF($D$2="Egyszeri",3,2))),IF($D$4="Forint",0,2)))</f>
        <v>-155413</v>
      </c>
      <c r="W284" s="13">
        <f ca="1">ROUNDDOWN($V284*VLOOKUP($B284+IF($C284=12,1,0),Paraméterek!$B$257:$D$267,IF($D$2="Egyszeri",3,2)),IF($D$4="Forint",0,2))</f>
        <v>-155413</v>
      </c>
      <c r="Y284" s="32">
        <v>265</v>
      </c>
      <c r="Z284" s="32">
        <v>23</v>
      </c>
      <c r="AA284" s="32">
        <v>1</v>
      </c>
      <c r="AB284" s="13">
        <f t="shared" si="71"/>
        <v>0</v>
      </c>
      <c r="AC284" s="33"/>
      <c r="AD284" s="13">
        <f t="shared" si="67"/>
        <v>0</v>
      </c>
      <c r="AE284" s="13">
        <f>ROUNDUP(($AB284+$AD284)*VLOOKUP($Z284,Paraméterek!$P$38:$Q$38,2)/12,IF($D$4="Forint",0,2))</f>
        <v>0</v>
      </c>
      <c r="AF284" s="13">
        <f>IF($D$2="Egyszeri",IF($D$7&gt;=IF($D$4="Forint",Paraméterek!$P$223,Paraméterek!$P$224),$D$7-IF($D$4="Forint",Paraméterek!$F$223,Paraméterek!$F$224),0),MIN(IF($AA284=12,AVERAGE($D$20:$D284)*12,0),SUM($D$20:$D$31)))</f>
        <v>0</v>
      </c>
      <c r="AG284" s="13">
        <f>IF(AND($Z284&gt;=10,MOD($Z284,5)=0),$AF284*IF($AA284=12,VLOOKUP($Z284,Paraméterek!$B$225:$F$240,IF($AF284&lt;IF($D$4="Forint",Paraméterek!$C$223,Paraméterek!$C$224),2,IF($AF284&lt;IF($D$4="Forint",Paraméterek!$D$223,Paraméterek!$D$224),3,4))),0),0)</f>
        <v>0</v>
      </c>
      <c r="AH284" s="13">
        <f>IF(AND($Z284&gt;=5,MOD($Z284,5)=0),IF($AA284=12,VLOOKUP($Z284,Paraméterek!$B$225:$F$240,5),0),IF(OR($Z284=3,$Z284=4),IF($AA284=12,VLOOKUP($Z284,Paraméterek!$B$225:$F$240,5,0),0),0))*$AF284</f>
        <v>0</v>
      </c>
      <c r="AI284" s="13">
        <f>ROUNDDOWN(IF(SUM($T$20:$U284)=0,IF($D$2="Egyszeri",$AH284,$AG284),0),IF($D$4="Forint",0,2))</f>
        <v>0</v>
      </c>
      <c r="AJ284" s="13">
        <f t="shared" si="72"/>
        <v>0</v>
      </c>
      <c r="AK284" s="13">
        <f t="shared" si="73"/>
        <v>0</v>
      </c>
      <c r="AM284" s="32">
        <v>265</v>
      </c>
      <c r="AN284" s="32">
        <v>23</v>
      </c>
      <c r="AO284" s="32">
        <v>1</v>
      </c>
      <c r="AP284" s="13">
        <f>Tranzakciók!$K$54</f>
        <v>0</v>
      </c>
      <c r="AQ284" s="32"/>
      <c r="AR284" s="13">
        <f t="shared" si="74"/>
        <v>0</v>
      </c>
      <c r="AS284" s="33"/>
      <c r="AT284" s="13">
        <f t="shared" si="68"/>
        <v>0</v>
      </c>
      <c r="AU284" s="13">
        <f>ROUNDUP(($AR284+$AT284)*VLOOKUP($AN284,Paraméterek!$P$38:$Q$38,2)/12,IF($D$4="Forint",0,2))</f>
        <v>0</v>
      </c>
      <c r="AV284" s="13"/>
      <c r="AW284" s="13"/>
      <c r="AX284" s="13">
        <f>ROUNDUP(IF(SUM($AV284:$AW284)=0,0,IF(IF(ISBLANK($AW284),$AV284,$AW284)*Paraméterek!$J$112&lt;IF($D$4="Forint",Paraméterek!$J$113,Paraméterek!$K$113),IF($D$4="Forint",Paraméterek!$J$113,Paraméterek!$K$113),IF(IF(ISBLANK($AW284),$AV284,$AW284)*Paraméterek!$J$112&gt;IF($D$4="Forint",Paraméterek!$J$114,Paraméterek!$K$114),IF($D$4="Forint",Paraméterek!$J$114,Paraméterek!$K$114),IF(ISBLANK($AW284),$AV284,$AW284)*Paraméterek!$J$112))),IF($D$4="Forint",0,2))</f>
        <v>0</v>
      </c>
      <c r="AY284" s="13">
        <f>$AR284+$AT284-$AU284-IF(ROUNDDOWN(IF(ISBLANK($AW284),$AV284,$AW284),IF($D$4="Forint",0,2))&gt;$AR284+$AT284-$AU284-IF($D$4="Forint",Paraméterek!$J$114,Paraméterek!$K$114),0,ROUNDDOWN(IF(ISBLANK($AW284),$AV284,$AW284),IF($D$4="Forint",0,2))-$AX284)</f>
        <v>0</v>
      </c>
      <c r="AZ284" s="13">
        <f t="shared" si="69"/>
        <v>0</v>
      </c>
    </row>
    <row r="285" spans="1:52" x14ac:dyDescent="0.2">
      <c r="A285" s="32">
        <v>266</v>
      </c>
      <c r="B285" s="32">
        <v>23</v>
      </c>
      <c r="C285" s="32">
        <v>2</v>
      </c>
      <c r="D285" s="13">
        <f t="shared" si="60"/>
        <v>0</v>
      </c>
      <c r="E285" s="13"/>
      <c r="F285" s="13"/>
      <c r="G285" s="13"/>
      <c r="H285" s="13">
        <f t="shared" si="61"/>
        <v>0</v>
      </c>
      <c r="I285" s="13">
        <f t="shared" si="62"/>
        <v>0</v>
      </c>
      <c r="J285" s="13">
        <f t="shared" si="63"/>
        <v>0</v>
      </c>
      <c r="K285" s="13">
        <f>ROUNDUP(IF($D$2="Egyszeri",$D285,IF($D$2="Havi",SUM($D$20:$D$31),IF(MOD($C285,$M$1)-1=0,SUM($D$20:$D$31),0))/12*$M$1)*VLOOKUP($B285,Paraméterek!$B$27:$D$30,IF($D$2="Egyszeri",3,2)),IF($D$4="Forint",0,2))</f>
        <v>0</v>
      </c>
      <c r="L285" s="13">
        <f t="shared" si="64"/>
        <v>0</v>
      </c>
      <c r="M285" s="13">
        <f t="shared" ca="1" si="70"/>
        <v>-155413</v>
      </c>
      <c r="N285" s="13">
        <f ca="1">IF($V284&gt;=VLOOKUP($M$4-1+$B285,Paraméterek!$B$121:$D$122,IF($D$4="Forint",2,3)),0,VLOOKUP($M$4-1+$B285,Paraméterek!$B$121:$D$122,IF($D$4="Forint",2,3))-$V284)</f>
        <v>165413</v>
      </c>
      <c r="O285" s="13">
        <f ca="1">ROUNDUP($N285*Paraméterek!$C$58/Paraméterek!$C$56,IF($D$4="Forint",0,2))</f>
        <v>27</v>
      </c>
      <c r="P285" s="13">
        <f t="shared" si="65"/>
        <v>1054</v>
      </c>
      <c r="Q285" s="33"/>
      <c r="R285" s="13">
        <f t="shared" ca="1" si="66"/>
        <v>0</v>
      </c>
      <c r="S285" s="13">
        <f ca="1">ROUNDUP(($M285-$O285-$P285+$R285)*VLOOKUP($B285,Paraméterek!$B$38:$D$39,IF($D$2="Egyszeri",3,2))/12,IF($D$4="Forint",0,2))</f>
        <v>-383</v>
      </c>
      <c r="T285" s="13"/>
      <c r="U285" s="13"/>
      <c r="V285" s="13">
        <f ca="1">$M285-$O285-$P285+$R285-$S285-IF(ROUNDUP(IF(ISBLANK($U285),$T285,$U285)/IF(AND($B285=1,$D$2&lt;&gt;"Egyszeri"),1,VLOOKUP($B285+IF($C285=12,1,0),Paraméterek!$B$257:$D$267,IF($D$2="Egyszeri",3,2))),IF($D$4="Forint",0,2))&gt;$M285-$O285-$P285+$R285-$S285-IF($D$4="Forint",Paraméterek!$C$216,Paraméterek!$D$216),0,ROUNDUP(IF(ISBLANK($U285),$T285,$U285)/IF(AND($B285=1,$D$2&lt;&gt;"Egyszeri"),1,VLOOKUP($B285+IF($C285=12,1,0),Paraméterek!$B$257:$D$267,IF($D$2="Egyszeri",3,2))),IF($D$4="Forint",0,2)))</f>
        <v>-156111</v>
      </c>
      <c r="W285" s="13">
        <f ca="1">ROUNDDOWN($V285*VLOOKUP($B285+IF($C285=12,1,0),Paraméterek!$B$257:$D$267,IF($D$2="Egyszeri",3,2)),IF($D$4="Forint",0,2))</f>
        <v>-156111</v>
      </c>
      <c r="Y285" s="32">
        <v>266</v>
      </c>
      <c r="Z285" s="32">
        <v>23</v>
      </c>
      <c r="AA285" s="32">
        <v>2</v>
      </c>
      <c r="AB285" s="13">
        <f t="shared" si="71"/>
        <v>0</v>
      </c>
      <c r="AC285" s="33"/>
      <c r="AD285" s="13">
        <f t="shared" si="67"/>
        <v>0</v>
      </c>
      <c r="AE285" s="13">
        <f>ROUNDUP(($AB285+$AD285)*VLOOKUP($Z285,Paraméterek!$P$38:$Q$38,2)/12,IF($D$4="Forint",0,2))</f>
        <v>0</v>
      </c>
      <c r="AF285" s="13">
        <f>IF($D$2="Egyszeri",IF($D$7&gt;=IF($D$4="Forint",Paraméterek!$P$223,Paraméterek!$P$224),$D$7-IF($D$4="Forint",Paraméterek!$F$223,Paraméterek!$F$224),0),MIN(IF($AA285=12,AVERAGE($D$20:$D285)*12,0),SUM($D$20:$D$31)))</f>
        <v>0</v>
      </c>
      <c r="AG285" s="13">
        <f>IF(AND($Z285&gt;=10,MOD($Z285,5)=0),$AF285*IF($AA285=12,VLOOKUP($Z285,Paraméterek!$B$225:$F$240,IF($AF285&lt;IF($D$4="Forint",Paraméterek!$C$223,Paraméterek!$C$224),2,IF($AF285&lt;IF($D$4="Forint",Paraméterek!$D$223,Paraméterek!$D$224),3,4))),0),0)</f>
        <v>0</v>
      </c>
      <c r="AH285" s="13">
        <f>IF(AND($Z285&gt;=5,MOD($Z285,5)=0),IF($AA285=12,VLOOKUP($Z285,Paraméterek!$B$225:$F$240,5),0),IF(OR($Z285=3,$Z285=4),IF($AA285=12,VLOOKUP($Z285,Paraméterek!$B$225:$F$240,5,0),0),0))*$AF285</f>
        <v>0</v>
      </c>
      <c r="AI285" s="13">
        <f>ROUNDDOWN(IF(SUM($T$20:$U285)=0,IF($D$2="Egyszeri",$AH285,$AG285),0),IF($D$4="Forint",0,2))</f>
        <v>0</v>
      </c>
      <c r="AJ285" s="13">
        <f t="shared" si="72"/>
        <v>0</v>
      </c>
      <c r="AK285" s="13">
        <f t="shared" si="73"/>
        <v>0</v>
      </c>
      <c r="AM285" s="32">
        <v>266</v>
      </c>
      <c r="AN285" s="32">
        <v>23</v>
      </c>
      <c r="AO285" s="32">
        <v>2</v>
      </c>
      <c r="AP285" s="13"/>
      <c r="AQ285" s="32"/>
      <c r="AR285" s="13">
        <f t="shared" si="74"/>
        <v>0</v>
      </c>
      <c r="AS285" s="33"/>
      <c r="AT285" s="13">
        <f t="shared" si="68"/>
        <v>0</v>
      </c>
      <c r="AU285" s="13">
        <f>ROUNDUP(($AR285+$AT285)*VLOOKUP($AN285,Paraméterek!$P$38:$Q$38,2)/12,IF($D$4="Forint",0,2))</f>
        <v>0</v>
      </c>
      <c r="AV285" s="13"/>
      <c r="AW285" s="13"/>
      <c r="AX285" s="13">
        <f>ROUNDUP(IF(SUM($AV285:$AW285)=0,0,IF(IF(ISBLANK($AW285),$AV285,$AW285)*Paraméterek!$J$112&lt;IF($D$4="Forint",Paraméterek!$J$113,Paraméterek!$K$113),IF($D$4="Forint",Paraméterek!$J$113,Paraméterek!$K$113),IF(IF(ISBLANK($AW285),$AV285,$AW285)*Paraméterek!$J$112&gt;IF($D$4="Forint",Paraméterek!$J$114,Paraméterek!$K$114),IF($D$4="Forint",Paraméterek!$J$114,Paraméterek!$K$114),IF(ISBLANK($AW285),$AV285,$AW285)*Paraméterek!$J$112))),IF($D$4="Forint",0,2))</f>
        <v>0</v>
      </c>
      <c r="AY285" s="13">
        <f>$AR285+$AT285-$AU285-IF(ROUNDDOWN(IF(ISBLANK($AW285),$AV285,$AW285),IF($D$4="Forint",0,2))&gt;$AR285+$AT285-$AU285-IF($D$4="Forint",Paraméterek!$J$114,Paraméterek!$K$114),0,ROUNDDOWN(IF(ISBLANK($AW285),$AV285,$AW285),IF($D$4="Forint",0,2))-$AX285)</f>
        <v>0</v>
      </c>
      <c r="AZ285" s="13">
        <f t="shared" si="69"/>
        <v>0</v>
      </c>
    </row>
    <row r="286" spans="1:52" x14ac:dyDescent="0.2">
      <c r="A286" s="32">
        <v>267</v>
      </c>
      <c r="B286" s="32">
        <v>23</v>
      </c>
      <c r="C286" s="32">
        <v>3</v>
      </c>
      <c r="D286" s="13">
        <f t="shared" si="60"/>
        <v>0</v>
      </c>
      <c r="E286" s="13"/>
      <c r="F286" s="13"/>
      <c r="G286" s="13"/>
      <c r="H286" s="13">
        <f t="shared" si="61"/>
        <v>0</v>
      </c>
      <c r="I286" s="13">
        <f t="shared" si="62"/>
        <v>0</v>
      </c>
      <c r="J286" s="13">
        <f t="shared" si="63"/>
        <v>0</v>
      </c>
      <c r="K286" s="13">
        <f>ROUNDUP(IF($D$2="Egyszeri",$D286,IF($D$2="Havi",SUM($D$20:$D$31),IF(MOD($C286,$M$1)-1=0,SUM($D$20:$D$31),0))/12*$M$1)*VLOOKUP($B286,Paraméterek!$B$27:$D$30,IF($D$2="Egyszeri",3,2)),IF($D$4="Forint",0,2))</f>
        <v>0</v>
      </c>
      <c r="L286" s="13">
        <f t="shared" si="64"/>
        <v>0</v>
      </c>
      <c r="M286" s="13">
        <f t="shared" ca="1" si="70"/>
        <v>-156111</v>
      </c>
      <c r="N286" s="13">
        <f ca="1">IF($V285&gt;=VLOOKUP($M$4-1+$B286,Paraméterek!$B$121:$D$122,IF($D$4="Forint",2,3)),0,VLOOKUP($M$4-1+$B286,Paraméterek!$B$121:$D$122,IF($D$4="Forint",2,3))-$V285)</f>
        <v>166111</v>
      </c>
      <c r="O286" s="13">
        <f ca="1">ROUNDUP($N286*Paraméterek!$C$58/Paraméterek!$C$56,IF($D$4="Forint",0,2))</f>
        <v>27</v>
      </c>
      <c r="P286" s="13">
        <f t="shared" si="65"/>
        <v>1054</v>
      </c>
      <c r="Q286" s="33"/>
      <c r="R286" s="13">
        <f t="shared" ca="1" si="66"/>
        <v>0</v>
      </c>
      <c r="S286" s="13">
        <f ca="1">ROUNDUP(($M286-$O286-$P286+$R286)*VLOOKUP($B286,Paraméterek!$B$38:$D$39,IF($D$2="Egyszeri",3,2))/12,IF($D$4="Forint",0,2))</f>
        <v>-384</v>
      </c>
      <c r="T286" s="13"/>
      <c r="U286" s="13"/>
      <c r="V286" s="13">
        <f ca="1">$M286-$O286-$P286+$R286-$S286-IF(ROUNDUP(IF(ISBLANK($U286),$T286,$U286)/IF(AND($B286=1,$D$2&lt;&gt;"Egyszeri"),1,VLOOKUP($B286+IF($C286=12,1,0),Paraméterek!$B$257:$D$267,IF($D$2="Egyszeri",3,2))),IF($D$4="Forint",0,2))&gt;$M286-$O286-$P286+$R286-$S286-IF($D$4="Forint",Paraméterek!$C$216,Paraméterek!$D$216),0,ROUNDUP(IF(ISBLANK($U286),$T286,$U286)/IF(AND($B286=1,$D$2&lt;&gt;"Egyszeri"),1,VLOOKUP($B286+IF($C286=12,1,0),Paraméterek!$B$257:$D$267,IF($D$2="Egyszeri",3,2))),IF($D$4="Forint",0,2)))</f>
        <v>-156808</v>
      </c>
      <c r="W286" s="13">
        <f ca="1">ROUNDDOWN($V286*VLOOKUP($B286+IF($C286=12,1,0),Paraméterek!$B$257:$D$267,IF($D$2="Egyszeri",3,2)),IF($D$4="Forint",0,2))</f>
        <v>-156808</v>
      </c>
      <c r="Y286" s="32">
        <v>267</v>
      </c>
      <c r="Z286" s="32">
        <v>23</v>
      </c>
      <c r="AA286" s="32">
        <v>3</v>
      </c>
      <c r="AB286" s="13">
        <f t="shared" si="71"/>
        <v>0</v>
      </c>
      <c r="AC286" s="33"/>
      <c r="AD286" s="13">
        <f t="shared" si="67"/>
        <v>0</v>
      </c>
      <c r="AE286" s="13">
        <f>ROUNDUP(($AB286+$AD286)*VLOOKUP($Z286,Paraméterek!$P$38:$Q$38,2)/12,IF($D$4="Forint",0,2))</f>
        <v>0</v>
      </c>
      <c r="AF286" s="13">
        <f>IF($D$2="Egyszeri",IF($D$7&gt;=IF($D$4="Forint",Paraméterek!$P$223,Paraméterek!$P$224),$D$7-IF($D$4="Forint",Paraméterek!$F$223,Paraméterek!$F$224),0),MIN(IF($AA286=12,AVERAGE($D$20:$D286)*12,0),SUM($D$20:$D$31)))</f>
        <v>0</v>
      </c>
      <c r="AG286" s="13">
        <f>IF(AND($Z286&gt;=10,MOD($Z286,5)=0),$AF286*IF($AA286=12,VLOOKUP($Z286,Paraméterek!$B$225:$F$240,IF($AF286&lt;IF($D$4="Forint",Paraméterek!$C$223,Paraméterek!$C$224),2,IF($AF286&lt;IF($D$4="Forint",Paraméterek!$D$223,Paraméterek!$D$224),3,4))),0),0)</f>
        <v>0</v>
      </c>
      <c r="AH286" s="13">
        <f>IF(AND($Z286&gt;=5,MOD($Z286,5)=0),IF($AA286=12,VLOOKUP($Z286,Paraméterek!$B$225:$F$240,5),0),IF(OR($Z286=3,$Z286=4),IF($AA286=12,VLOOKUP($Z286,Paraméterek!$B$225:$F$240,5,0),0),0))*$AF286</f>
        <v>0</v>
      </c>
      <c r="AI286" s="13">
        <f>ROUNDDOWN(IF(SUM($T$20:$U286)=0,IF($D$2="Egyszeri",$AH286,$AG286),0),IF($D$4="Forint",0,2))</f>
        <v>0</v>
      </c>
      <c r="AJ286" s="13">
        <f t="shared" si="72"/>
        <v>0</v>
      </c>
      <c r="AK286" s="13">
        <f t="shared" si="73"/>
        <v>0</v>
      </c>
      <c r="AM286" s="32">
        <v>267</v>
      </c>
      <c r="AN286" s="32">
        <v>23</v>
      </c>
      <c r="AO286" s="32">
        <v>3</v>
      </c>
      <c r="AP286" s="13"/>
      <c r="AQ286" s="32"/>
      <c r="AR286" s="13">
        <f t="shared" si="74"/>
        <v>0</v>
      </c>
      <c r="AS286" s="33"/>
      <c r="AT286" s="13">
        <f t="shared" si="68"/>
        <v>0</v>
      </c>
      <c r="AU286" s="13">
        <f>ROUNDUP(($AR286+$AT286)*VLOOKUP($AN286,Paraméterek!$P$38:$Q$38,2)/12,IF($D$4="Forint",0,2))</f>
        <v>0</v>
      </c>
      <c r="AV286" s="13"/>
      <c r="AW286" s="13"/>
      <c r="AX286" s="13">
        <f>ROUNDUP(IF(SUM($AV286:$AW286)=0,0,IF(IF(ISBLANK($AW286),$AV286,$AW286)*Paraméterek!$J$112&lt;IF($D$4="Forint",Paraméterek!$J$113,Paraméterek!$K$113),IF($D$4="Forint",Paraméterek!$J$113,Paraméterek!$K$113),IF(IF(ISBLANK($AW286),$AV286,$AW286)*Paraméterek!$J$112&gt;IF($D$4="Forint",Paraméterek!$J$114,Paraméterek!$K$114),IF($D$4="Forint",Paraméterek!$J$114,Paraméterek!$K$114),IF(ISBLANK($AW286),$AV286,$AW286)*Paraméterek!$J$112))),IF($D$4="Forint",0,2))</f>
        <v>0</v>
      </c>
      <c r="AY286" s="13">
        <f>$AR286+$AT286-$AU286-IF(ROUNDDOWN(IF(ISBLANK($AW286),$AV286,$AW286),IF($D$4="Forint",0,2))&gt;$AR286+$AT286-$AU286-IF($D$4="Forint",Paraméterek!$J$114,Paraméterek!$K$114),0,ROUNDDOWN(IF(ISBLANK($AW286),$AV286,$AW286),IF($D$4="Forint",0,2))-$AX286)</f>
        <v>0</v>
      </c>
      <c r="AZ286" s="13">
        <f t="shared" si="69"/>
        <v>0</v>
      </c>
    </row>
    <row r="287" spans="1:52" x14ac:dyDescent="0.2">
      <c r="A287" s="32">
        <v>268</v>
      </c>
      <c r="B287" s="32">
        <v>23</v>
      </c>
      <c r="C287" s="32">
        <v>4</v>
      </c>
      <c r="D287" s="13">
        <f t="shared" si="60"/>
        <v>0</v>
      </c>
      <c r="E287" s="13"/>
      <c r="F287" s="13"/>
      <c r="G287" s="13"/>
      <c r="H287" s="13">
        <f t="shared" si="61"/>
        <v>0</v>
      </c>
      <c r="I287" s="13">
        <f t="shared" si="62"/>
        <v>0</v>
      </c>
      <c r="J287" s="13">
        <f t="shared" si="63"/>
        <v>0</v>
      </c>
      <c r="K287" s="13">
        <f>ROUNDUP(IF($D$2="Egyszeri",$D287,IF($D$2="Havi",SUM($D$20:$D$31),IF(MOD($C287,$M$1)-1=0,SUM($D$20:$D$31),0))/12*$M$1)*VLOOKUP($B287,Paraméterek!$B$27:$D$30,IF($D$2="Egyszeri",3,2)),IF($D$4="Forint",0,2))</f>
        <v>0</v>
      </c>
      <c r="L287" s="13">
        <f t="shared" si="64"/>
        <v>0</v>
      </c>
      <c r="M287" s="13">
        <f t="shared" ca="1" si="70"/>
        <v>-156808</v>
      </c>
      <c r="N287" s="13">
        <f ca="1">IF($V286&gt;=VLOOKUP($M$4-1+$B287,Paraméterek!$B$121:$D$122,IF($D$4="Forint",2,3)),0,VLOOKUP($M$4-1+$B287,Paraméterek!$B$121:$D$122,IF($D$4="Forint",2,3))-$V286)</f>
        <v>166808</v>
      </c>
      <c r="O287" s="13">
        <f ca="1">ROUNDUP($N287*Paraméterek!$C$58/Paraméterek!$C$56,IF($D$4="Forint",0,2))</f>
        <v>27</v>
      </c>
      <c r="P287" s="13">
        <f t="shared" si="65"/>
        <v>1054</v>
      </c>
      <c r="Q287" s="33"/>
      <c r="R287" s="13">
        <f t="shared" ca="1" si="66"/>
        <v>0</v>
      </c>
      <c r="S287" s="13">
        <f ca="1">ROUNDUP(($M287-$O287-$P287+$R287)*VLOOKUP($B287,Paraméterek!$B$38:$D$39,IF($D$2="Egyszeri",3,2))/12,IF($D$4="Forint",0,2))</f>
        <v>-386</v>
      </c>
      <c r="T287" s="13"/>
      <c r="U287" s="13"/>
      <c r="V287" s="13">
        <f ca="1">$M287-$O287-$P287+$R287-$S287-IF(ROUNDUP(IF(ISBLANK($U287),$T287,$U287)/IF(AND($B287=1,$D$2&lt;&gt;"Egyszeri"),1,VLOOKUP($B287+IF($C287=12,1,0),Paraméterek!$B$257:$D$267,IF($D$2="Egyszeri",3,2))),IF($D$4="Forint",0,2))&gt;$M287-$O287-$P287+$R287-$S287-IF($D$4="Forint",Paraméterek!$C$216,Paraméterek!$D$216),0,ROUNDUP(IF(ISBLANK($U287),$T287,$U287)/IF(AND($B287=1,$D$2&lt;&gt;"Egyszeri"),1,VLOOKUP($B287+IF($C287=12,1,0),Paraméterek!$B$257:$D$267,IF($D$2="Egyszeri",3,2))),IF($D$4="Forint",0,2)))</f>
        <v>-157503</v>
      </c>
      <c r="W287" s="13">
        <f ca="1">ROUNDDOWN($V287*VLOOKUP($B287+IF($C287=12,1,0),Paraméterek!$B$257:$D$267,IF($D$2="Egyszeri",3,2)),IF($D$4="Forint",0,2))</f>
        <v>-157503</v>
      </c>
      <c r="Y287" s="32">
        <v>268</v>
      </c>
      <c r="Z287" s="32">
        <v>23</v>
      </c>
      <c r="AA287" s="32">
        <v>4</v>
      </c>
      <c r="AB287" s="13">
        <f t="shared" si="71"/>
        <v>0</v>
      </c>
      <c r="AC287" s="33"/>
      <c r="AD287" s="13">
        <f t="shared" si="67"/>
        <v>0</v>
      </c>
      <c r="AE287" s="13">
        <f>ROUNDUP(($AB287+$AD287)*VLOOKUP($Z287,Paraméterek!$P$38:$Q$38,2)/12,IF($D$4="Forint",0,2))</f>
        <v>0</v>
      </c>
      <c r="AF287" s="13">
        <f>IF($D$2="Egyszeri",IF($D$7&gt;=IF($D$4="Forint",Paraméterek!$P$223,Paraméterek!$P$224),$D$7-IF($D$4="Forint",Paraméterek!$F$223,Paraméterek!$F$224),0),MIN(IF($AA287=12,AVERAGE($D$20:$D287)*12,0),SUM($D$20:$D$31)))</f>
        <v>0</v>
      </c>
      <c r="AG287" s="13">
        <f>IF(AND($Z287&gt;=10,MOD($Z287,5)=0),$AF287*IF($AA287=12,VLOOKUP($Z287,Paraméterek!$B$225:$F$240,IF($AF287&lt;IF($D$4="Forint",Paraméterek!$C$223,Paraméterek!$C$224),2,IF($AF287&lt;IF($D$4="Forint",Paraméterek!$D$223,Paraméterek!$D$224),3,4))),0),0)</f>
        <v>0</v>
      </c>
      <c r="AH287" s="13">
        <f>IF(AND($Z287&gt;=5,MOD($Z287,5)=0),IF($AA287=12,VLOOKUP($Z287,Paraméterek!$B$225:$F$240,5),0),IF(OR($Z287=3,$Z287=4),IF($AA287=12,VLOOKUP($Z287,Paraméterek!$B$225:$F$240,5,0),0),0))*$AF287</f>
        <v>0</v>
      </c>
      <c r="AI287" s="13">
        <f>ROUNDDOWN(IF(SUM($T$20:$U287)=0,IF($D$2="Egyszeri",$AH287,$AG287),0),IF($D$4="Forint",0,2))</f>
        <v>0</v>
      </c>
      <c r="AJ287" s="13">
        <f t="shared" si="72"/>
        <v>0</v>
      </c>
      <c r="AK287" s="13">
        <f t="shared" si="73"/>
        <v>0</v>
      </c>
      <c r="AM287" s="32">
        <v>268</v>
      </c>
      <c r="AN287" s="32">
        <v>23</v>
      </c>
      <c r="AO287" s="32">
        <v>4</v>
      </c>
      <c r="AP287" s="13"/>
      <c r="AQ287" s="32"/>
      <c r="AR287" s="13">
        <f t="shared" si="74"/>
        <v>0</v>
      </c>
      <c r="AS287" s="33"/>
      <c r="AT287" s="13">
        <f t="shared" si="68"/>
        <v>0</v>
      </c>
      <c r="AU287" s="13">
        <f>ROUNDUP(($AR287+$AT287)*VLOOKUP($AN287,Paraméterek!$P$38:$Q$38,2)/12,IF($D$4="Forint",0,2))</f>
        <v>0</v>
      </c>
      <c r="AV287" s="13"/>
      <c r="AW287" s="13"/>
      <c r="AX287" s="13">
        <f>ROUNDUP(IF(SUM($AV287:$AW287)=0,0,IF(IF(ISBLANK($AW287),$AV287,$AW287)*Paraméterek!$J$112&lt;IF($D$4="Forint",Paraméterek!$J$113,Paraméterek!$K$113),IF($D$4="Forint",Paraméterek!$J$113,Paraméterek!$K$113),IF(IF(ISBLANK($AW287),$AV287,$AW287)*Paraméterek!$J$112&gt;IF($D$4="Forint",Paraméterek!$J$114,Paraméterek!$K$114),IF($D$4="Forint",Paraméterek!$J$114,Paraméterek!$K$114),IF(ISBLANK($AW287),$AV287,$AW287)*Paraméterek!$J$112))),IF($D$4="Forint",0,2))</f>
        <v>0</v>
      </c>
      <c r="AY287" s="13">
        <f>$AR287+$AT287-$AU287-IF(ROUNDDOWN(IF(ISBLANK($AW287),$AV287,$AW287),IF($D$4="Forint",0,2))&gt;$AR287+$AT287-$AU287-IF($D$4="Forint",Paraméterek!$J$114,Paraméterek!$K$114),0,ROUNDDOWN(IF(ISBLANK($AW287),$AV287,$AW287),IF($D$4="Forint",0,2))-$AX287)</f>
        <v>0</v>
      </c>
      <c r="AZ287" s="13">
        <f t="shared" si="69"/>
        <v>0</v>
      </c>
    </row>
    <row r="288" spans="1:52" x14ac:dyDescent="0.2">
      <c r="A288" s="32">
        <v>269</v>
      </c>
      <c r="B288" s="32">
        <v>23</v>
      </c>
      <c r="C288" s="32">
        <v>5</v>
      </c>
      <c r="D288" s="13">
        <f t="shared" si="60"/>
        <v>0</v>
      </c>
      <c r="E288" s="13"/>
      <c r="F288" s="13"/>
      <c r="G288" s="13"/>
      <c r="H288" s="13">
        <f t="shared" si="61"/>
        <v>0</v>
      </c>
      <c r="I288" s="13">
        <f t="shared" si="62"/>
        <v>0</v>
      </c>
      <c r="J288" s="13">
        <f t="shared" si="63"/>
        <v>0</v>
      </c>
      <c r="K288" s="13">
        <f>ROUNDUP(IF($D$2="Egyszeri",$D288,IF($D$2="Havi",SUM($D$20:$D$31),IF(MOD($C288,$M$1)-1=0,SUM($D$20:$D$31),0))/12*$M$1)*VLOOKUP($B288,Paraméterek!$B$27:$D$30,IF($D$2="Egyszeri",3,2)),IF($D$4="Forint",0,2))</f>
        <v>0</v>
      </c>
      <c r="L288" s="13">
        <f t="shared" si="64"/>
        <v>0</v>
      </c>
      <c r="M288" s="13">
        <f t="shared" ca="1" si="70"/>
        <v>-157503</v>
      </c>
      <c r="N288" s="13">
        <f ca="1">IF($V287&gt;=VLOOKUP($M$4-1+$B288,Paraméterek!$B$121:$D$122,IF($D$4="Forint",2,3)),0,VLOOKUP($M$4-1+$B288,Paraméterek!$B$121:$D$122,IF($D$4="Forint",2,3))-$V287)</f>
        <v>167503</v>
      </c>
      <c r="O288" s="13">
        <f ca="1">ROUNDUP($N288*Paraméterek!$C$58/Paraméterek!$C$56,IF($D$4="Forint",0,2))</f>
        <v>27</v>
      </c>
      <c r="P288" s="13">
        <f t="shared" si="65"/>
        <v>1054</v>
      </c>
      <c r="Q288" s="33"/>
      <c r="R288" s="13">
        <f t="shared" ca="1" si="66"/>
        <v>0</v>
      </c>
      <c r="S288" s="13">
        <f ca="1">ROUNDUP(($M288-$O288-$P288+$R288)*VLOOKUP($B288,Paraméterek!$B$38:$D$39,IF($D$2="Egyszeri",3,2))/12,IF($D$4="Forint",0,2))</f>
        <v>-388</v>
      </c>
      <c r="T288" s="13"/>
      <c r="U288" s="13"/>
      <c r="V288" s="13">
        <f ca="1">$M288-$O288-$P288+$R288-$S288-IF(ROUNDUP(IF(ISBLANK($U288),$T288,$U288)/IF(AND($B288=1,$D$2&lt;&gt;"Egyszeri"),1,VLOOKUP($B288+IF($C288=12,1,0),Paraméterek!$B$257:$D$267,IF($D$2="Egyszeri",3,2))),IF($D$4="Forint",0,2))&gt;$M288-$O288-$P288+$R288-$S288-IF($D$4="Forint",Paraméterek!$C$216,Paraméterek!$D$216),0,ROUNDUP(IF(ISBLANK($U288),$T288,$U288)/IF(AND($B288=1,$D$2&lt;&gt;"Egyszeri"),1,VLOOKUP($B288+IF($C288=12,1,0),Paraméterek!$B$257:$D$267,IF($D$2="Egyszeri",3,2))),IF($D$4="Forint",0,2)))</f>
        <v>-158196</v>
      </c>
      <c r="W288" s="13">
        <f ca="1">ROUNDDOWN($V288*VLOOKUP($B288+IF($C288=12,1,0),Paraméterek!$B$257:$D$267,IF($D$2="Egyszeri",3,2)),IF($D$4="Forint",0,2))</f>
        <v>-158196</v>
      </c>
      <c r="Y288" s="32">
        <v>269</v>
      </c>
      <c r="Z288" s="32">
        <v>23</v>
      </c>
      <c r="AA288" s="32">
        <v>5</v>
      </c>
      <c r="AB288" s="13">
        <f t="shared" si="71"/>
        <v>0</v>
      </c>
      <c r="AC288" s="33"/>
      <c r="AD288" s="13">
        <f t="shared" si="67"/>
        <v>0</v>
      </c>
      <c r="AE288" s="13">
        <f>ROUNDUP(($AB288+$AD288)*VLOOKUP($Z288,Paraméterek!$P$38:$Q$38,2)/12,IF($D$4="Forint",0,2))</f>
        <v>0</v>
      </c>
      <c r="AF288" s="13">
        <f>IF($D$2="Egyszeri",IF($D$7&gt;=IF($D$4="Forint",Paraméterek!$P$223,Paraméterek!$P$224),$D$7-IF($D$4="Forint",Paraméterek!$F$223,Paraméterek!$F$224),0),MIN(IF($AA288=12,AVERAGE($D$20:$D288)*12,0),SUM($D$20:$D$31)))</f>
        <v>0</v>
      </c>
      <c r="AG288" s="13">
        <f>IF(AND($Z288&gt;=10,MOD($Z288,5)=0),$AF288*IF($AA288=12,VLOOKUP($Z288,Paraméterek!$B$225:$F$240,IF($AF288&lt;IF($D$4="Forint",Paraméterek!$C$223,Paraméterek!$C$224),2,IF($AF288&lt;IF($D$4="Forint",Paraméterek!$D$223,Paraméterek!$D$224),3,4))),0),0)</f>
        <v>0</v>
      </c>
      <c r="AH288" s="13">
        <f>IF(AND($Z288&gt;=5,MOD($Z288,5)=0),IF($AA288=12,VLOOKUP($Z288,Paraméterek!$B$225:$F$240,5),0),IF(OR($Z288=3,$Z288=4),IF($AA288=12,VLOOKUP($Z288,Paraméterek!$B$225:$F$240,5,0),0),0))*$AF288</f>
        <v>0</v>
      </c>
      <c r="AI288" s="13">
        <f>ROUNDDOWN(IF(SUM($T$20:$U288)=0,IF($D$2="Egyszeri",$AH288,$AG288),0),IF($D$4="Forint",0,2))</f>
        <v>0</v>
      </c>
      <c r="AJ288" s="13">
        <f t="shared" si="72"/>
        <v>0</v>
      </c>
      <c r="AK288" s="13">
        <f t="shared" si="73"/>
        <v>0</v>
      </c>
      <c r="AM288" s="32">
        <v>269</v>
      </c>
      <c r="AN288" s="32">
        <v>23</v>
      </c>
      <c r="AO288" s="32">
        <v>5</v>
      </c>
      <c r="AP288" s="13"/>
      <c r="AQ288" s="32"/>
      <c r="AR288" s="13">
        <f t="shared" si="74"/>
        <v>0</v>
      </c>
      <c r="AS288" s="33"/>
      <c r="AT288" s="13">
        <f t="shared" si="68"/>
        <v>0</v>
      </c>
      <c r="AU288" s="13">
        <f>ROUNDUP(($AR288+$AT288)*VLOOKUP($AN288,Paraméterek!$P$38:$Q$38,2)/12,IF($D$4="Forint",0,2))</f>
        <v>0</v>
      </c>
      <c r="AV288" s="13"/>
      <c r="AW288" s="13"/>
      <c r="AX288" s="13">
        <f>ROUNDUP(IF(SUM($AV288:$AW288)=0,0,IF(IF(ISBLANK($AW288),$AV288,$AW288)*Paraméterek!$J$112&lt;IF($D$4="Forint",Paraméterek!$J$113,Paraméterek!$K$113),IF($D$4="Forint",Paraméterek!$J$113,Paraméterek!$K$113),IF(IF(ISBLANK($AW288),$AV288,$AW288)*Paraméterek!$J$112&gt;IF($D$4="Forint",Paraméterek!$J$114,Paraméterek!$K$114),IF($D$4="Forint",Paraméterek!$J$114,Paraméterek!$K$114),IF(ISBLANK($AW288),$AV288,$AW288)*Paraméterek!$J$112))),IF($D$4="Forint",0,2))</f>
        <v>0</v>
      </c>
      <c r="AY288" s="13">
        <f>$AR288+$AT288-$AU288-IF(ROUNDDOWN(IF(ISBLANK($AW288),$AV288,$AW288),IF($D$4="Forint",0,2))&gt;$AR288+$AT288-$AU288-IF($D$4="Forint",Paraméterek!$J$114,Paraméterek!$K$114),0,ROUNDDOWN(IF(ISBLANK($AW288),$AV288,$AW288),IF($D$4="Forint",0,2))-$AX288)</f>
        <v>0</v>
      </c>
      <c r="AZ288" s="13">
        <f t="shared" si="69"/>
        <v>0</v>
      </c>
    </row>
    <row r="289" spans="1:52" x14ac:dyDescent="0.2">
      <c r="A289" s="32">
        <v>270</v>
      </c>
      <c r="B289" s="32">
        <v>23</v>
      </c>
      <c r="C289" s="32">
        <v>6</v>
      </c>
      <c r="D289" s="13">
        <f t="shared" si="60"/>
        <v>0</v>
      </c>
      <c r="E289" s="13"/>
      <c r="F289" s="13"/>
      <c r="G289" s="13"/>
      <c r="H289" s="13">
        <f t="shared" si="61"/>
        <v>0</v>
      </c>
      <c r="I289" s="13">
        <f t="shared" si="62"/>
        <v>0</v>
      </c>
      <c r="J289" s="13">
        <f t="shared" si="63"/>
        <v>0</v>
      </c>
      <c r="K289" s="13">
        <f>ROUNDUP(IF($D$2="Egyszeri",$D289,IF($D$2="Havi",SUM($D$20:$D$31),IF(MOD($C289,$M$1)-1=0,SUM($D$20:$D$31),0))/12*$M$1)*VLOOKUP($B289,Paraméterek!$B$27:$D$30,IF($D$2="Egyszeri",3,2)),IF($D$4="Forint",0,2))</f>
        <v>0</v>
      </c>
      <c r="L289" s="13">
        <f t="shared" si="64"/>
        <v>0</v>
      </c>
      <c r="M289" s="13">
        <f t="shared" ca="1" si="70"/>
        <v>-158196</v>
      </c>
      <c r="N289" s="13">
        <f ca="1">IF($V288&gt;=VLOOKUP($M$4-1+$B289,Paraméterek!$B$121:$D$122,IF($D$4="Forint",2,3)),0,VLOOKUP($M$4-1+$B289,Paraméterek!$B$121:$D$122,IF($D$4="Forint",2,3))-$V288)</f>
        <v>168196</v>
      </c>
      <c r="O289" s="13">
        <f ca="1">ROUNDUP($N289*Paraméterek!$C$58/Paraméterek!$C$56,IF($D$4="Forint",0,2))</f>
        <v>27</v>
      </c>
      <c r="P289" s="13">
        <f t="shared" si="65"/>
        <v>1054</v>
      </c>
      <c r="Q289" s="33"/>
      <c r="R289" s="13">
        <f t="shared" ca="1" si="66"/>
        <v>0</v>
      </c>
      <c r="S289" s="13">
        <f ca="1">ROUNDUP(($M289-$O289-$P289+$R289)*VLOOKUP($B289,Paraméterek!$B$38:$D$39,IF($D$2="Egyszeri",3,2))/12,IF($D$4="Forint",0,2))</f>
        <v>-389</v>
      </c>
      <c r="T289" s="13"/>
      <c r="U289" s="13"/>
      <c r="V289" s="13">
        <f ca="1">$M289-$O289-$P289+$R289-$S289-IF(ROUNDUP(IF(ISBLANK($U289),$T289,$U289)/IF(AND($B289=1,$D$2&lt;&gt;"Egyszeri"),1,VLOOKUP($B289+IF($C289=12,1,0),Paraméterek!$B$257:$D$267,IF($D$2="Egyszeri",3,2))),IF($D$4="Forint",0,2))&gt;$M289-$O289-$P289+$R289-$S289-IF($D$4="Forint",Paraméterek!$C$216,Paraméterek!$D$216),0,ROUNDUP(IF(ISBLANK($U289),$T289,$U289)/IF(AND($B289=1,$D$2&lt;&gt;"Egyszeri"),1,VLOOKUP($B289+IF($C289=12,1,0),Paraméterek!$B$257:$D$267,IF($D$2="Egyszeri",3,2))),IF($D$4="Forint",0,2)))</f>
        <v>-158888</v>
      </c>
      <c r="W289" s="13">
        <f ca="1">ROUNDDOWN($V289*VLOOKUP($B289+IF($C289=12,1,0),Paraméterek!$B$257:$D$267,IF($D$2="Egyszeri",3,2)),IF($D$4="Forint",0,2))</f>
        <v>-158888</v>
      </c>
      <c r="Y289" s="32">
        <v>270</v>
      </c>
      <c r="Z289" s="32">
        <v>23</v>
      </c>
      <c r="AA289" s="32">
        <v>6</v>
      </c>
      <c r="AB289" s="13">
        <f t="shared" si="71"/>
        <v>0</v>
      </c>
      <c r="AC289" s="33"/>
      <c r="AD289" s="13">
        <f t="shared" si="67"/>
        <v>0</v>
      </c>
      <c r="AE289" s="13">
        <f>ROUNDUP(($AB289+$AD289)*VLOOKUP($Z289,Paraméterek!$P$38:$Q$38,2)/12,IF($D$4="Forint",0,2))</f>
        <v>0</v>
      </c>
      <c r="AF289" s="13">
        <f>IF($D$2="Egyszeri",IF($D$7&gt;=IF($D$4="Forint",Paraméterek!$P$223,Paraméterek!$P$224),$D$7-IF($D$4="Forint",Paraméterek!$F$223,Paraméterek!$F$224),0),MIN(IF($AA289=12,AVERAGE($D$20:$D289)*12,0),SUM($D$20:$D$31)))</f>
        <v>0</v>
      </c>
      <c r="AG289" s="13">
        <f>IF(AND($Z289&gt;=10,MOD($Z289,5)=0),$AF289*IF($AA289=12,VLOOKUP($Z289,Paraméterek!$B$225:$F$240,IF($AF289&lt;IF($D$4="Forint",Paraméterek!$C$223,Paraméterek!$C$224),2,IF($AF289&lt;IF($D$4="Forint",Paraméterek!$D$223,Paraméterek!$D$224),3,4))),0),0)</f>
        <v>0</v>
      </c>
      <c r="AH289" s="13">
        <f>IF(AND($Z289&gt;=5,MOD($Z289,5)=0),IF($AA289=12,VLOOKUP($Z289,Paraméterek!$B$225:$F$240,5),0),IF(OR($Z289=3,$Z289=4),IF($AA289=12,VLOOKUP($Z289,Paraméterek!$B$225:$F$240,5,0),0),0))*$AF289</f>
        <v>0</v>
      </c>
      <c r="AI289" s="13">
        <f>ROUNDDOWN(IF(SUM($T$20:$U289)=0,IF($D$2="Egyszeri",$AH289,$AG289),0),IF($D$4="Forint",0,2))</f>
        <v>0</v>
      </c>
      <c r="AJ289" s="13">
        <f t="shared" si="72"/>
        <v>0</v>
      </c>
      <c r="AK289" s="13">
        <f t="shared" si="73"/>
        <v>0</v>
      </c>
      <c r="AM289" s="32">
        <v>270</v>
      </c>
      <c r="AN289" s="32">
        <v>23</v>
      </c>
      <c r="AO289" s="32">
        <v>6</v>
      </c>
      <c r="AP289" s="13"/>
      <c r="AQ289" s="32"/>
      <c r="AR289" s="13">
        <f t="shared" si="74"/>
        <v>0</v>
      </c>
      <c r="AS289" s="33"/>
      <c r="AT289" s="13">
        <f t="shared" si="68"/>
        <v>0</v>
      </c>
      <c r="AU289" s="13">
        <f>ROUNDUP(($AR289+$AT289)*VLOOKUP($AN289,Paraméterek!$P$38:$Q$38,2)/12,IF($D$4="Forint",0,2))</f>
        <v>0</v>
      </c>
      <c r="AV289" s="13"/>
      <c r="AW289" s="13"/>
      <c r="AX289" s="13">
        <f>ROUNDUP(IF(SUM($AV289:$AW289)=0,0,IF(IF(ISBLANK($AW289),$AV289,$AW289)*Paraméterek!$J$112&lt;IF($D$4="Forint",Paraméterek!$J$113,Paraméterek!$K$113),IF($D$4="Forint",Paraméterek!$J$113,Paraméterek!$K$113),IF(IF(ISBLANK($AW289),$AV289,$AW289)*Paraméterek!$J$112&gt;IF($D$4="Forint",Paraméterek!$J$114,Paraméterek!$K$114),IF($D$4="Forint",Paraméterek!$J$114,Paraméterek!$K$114),IF(ISBLANK($AW289),$AV289,$AW289)*Paraméterek!$J$112))),IF($D$4="Forint",0,2))</f>
        <v>0</v>
      </c>
      <c r="AY289" s="13">
        <f>$AR289+$AT289-$AU289-IF(ROUNDDOWN(IF(ISBLANK($AW289),$AV289,$AW289),IF($D$4="Forint",0,2))&gt;$AR289+$AT289-$AU289-IF($D$4="Forint",Paraméterek!$J$114,Paraméterek!$K$114),0,ROUNDDOWN(IF(ISBLANK($AW289),$AV289,$AW289),IF($D$4="Forint",0,2))-$AX289)</f>
        <v>0</v>
      </c>
      <c r="AZ289" s="13">
        <f t="shared" si="69"/>
        <v>0</v>
      </c>
    </row>
    <row r="290" spans="1:52" x14ac:dyDescent="0.2">
      <c r="A290" s="32">
        <v>271</v>
      </c>
      <c r="B290" s="32">
        <v>23</v>
      </c>
      <c r="C290" s="32">
        <v>7</v>
      </c>
      <c r="D290" s="13">
        <f t="shared" si="60"/>
        <v>0</v>
      </c>
      <c r="E290" s="13"/>
      <c r="F290" s="13"/>
      <c r="G290" s="13"/>
      <c r="H290" s="13">
        <f t="shared" si="61"/>
        <v>0</v>
      </c>
      <c r="I290" s="13">
        <f t="shared" si="62"/>
        <v>0</v>
      </c>
      <c r="J290" s="13">
        <f t="shared" si="63"/>
        <v>0</v>
      </c>
      <c r="K290" s="13">
        <f>ROUNDUP(IF($D$2="Egyszeri",$D290,IF($D$2="Havi",SUM($D$20:$D$31),IF(MOD($C290,$M$1)-1=0,SUM($D$20:$D$31),0))/12*$M$1)*VLOOKUP($B290,Paraméterek!$B$27:$D$30,IF($D$2="Egyszeri",3,2)),IF($D$4="Forint",0,2))</f>
        <v>0</v>
      </c>
      <c r="L290" s="13">
        <f t="shared" si="64"/>
        <v>0</v>
      </c>
      <c r="M290" s="13">
        <f t="shared" ca="1" si="70"/>
        <v>-158888</v>
      </c>
      <c r="N290" s="13">
        <f ca="1">IF($V289&gt;=VLOOKUP($M$4-1+$B290,Paraméterek!$B$121:$D$122,IF($D$4="Forint",2,3)),0,VLOOKUP($M$4-1+$B290,Paraméterek!$B$121:$D$122,IF($D$4="Forint",2,3))-$V289)</f>
        <v>168888</v>
      </c>
      <c r="O290" s="13">
        <f ca="1">ROUNDUP($N290*Paraméterek!$C$58/Paraméterek!$C$56,IF($D$4="Forint",0,2))</f>
        <v>27</v>
      </c>
      <c r="P290" s="13">
        <f t="shared" si="65"/>
        <v>1054</v>
      </c>
      <c r="Q290" s="33"/>
      <c r="R290" s="13">
        <f t="shared" ca="1" si="66"/>
        <v>0</v>
      </c>
      <c r="S290" s="13">
        <f ca="1">ROUNDUP(($M290-$O290-$P290+$R290)*VLOOKUP($B290,Paraméterek!$B$38:$D$39,IF($D$2="Egyszeri",3,2))/12,IF($D$4="Forint",0,2))</f>
        <v>-391</v>
      </c>
      <c r="T290" s="13"/>
      <c r="U290" s="13"/>
      <c r="V290" s="13">
        <f ca="1">$M290-$O290-$P290+$R290-$S290-IF(ROUNDUP(IF(ISBLANK($U290),$T290,$U290)/IF(AND($B290=1,$D$2&lt;&gt;"Egyszeri"),1,VLOOKUP($B290+IF($C290=12,1,0),Paraméterek!$B$257:$D$267,IF($D$2="Egyszeri",3,2))),IF($D$4="Forint",0,2))&gt;$M290-$O290-$P290+$R290-$S290-IF($D$4="Forint",Paraméterek!$C$216,Paraméterek!$D$216),0,ROUNDUP(IF(ISBLANK($U290),$T290,$U290)/IF(AND($B290=1,$D$2&lt;&gt;"Egyszeri"),1,VLOOKUP($B290+IF($C290=12,1,0),Paraméterek!$B$257:$D$267,IF($D$2="Egyszeri",3,2))),IF($D$4="Forint",0,2)))</f>
        <v>-159578</v>
      </c>
      <c r="W290" s="13">
        <f ca="1">ROUNDDOWN($V290*VLOOKUP($B290+IF($C290=12,1,0),Paraméterek!$B$257:$D$267,IF($D$2="Egyszeri",3,2)),IF($D$4="Forint",0,2))</f>
        <v>-159578</v>
      </c>
      <c r="Y290" s="32">
        <v>271</v>
      </c>
      <c r="Z290" s="32">
        <v>23</v>
      </c>
      <c r="AA290" s="32">
        <v>7</v>
      </c>
      <c r="AB290" s="13">
        <f t="shared" si="71"/>
        <v>0</v>
      </c>
      <c r="AC290" s="33"/>
      <c r="AD290" s="13">
        <f t="shared" si="67"/>
        <v>0</v>
      </c>
      <c r="AE290" s="13">
        <f>ROUNDUP(($AB290+$AD290)*VLOOKUP($Z290,Paraméterek!$P$38:$Q$38,2)/12,IF($D$4="Forint",0,2))</f>
        <v>0</v>
      </c>
      <c r="AF290" s="13">
        <f>IF($D$2="Egyszeri",IF($D$7&gt;=IF($D$4="Forint",Paraméterek!$P$223,Paraméterek!$P$224),$D$7-IF($D$4="Forint",Paraméterek!$F$223,Paraméterek!$F$224),0),MIN(IF($AA290=12,AVERAGE($D$20:$D290)*12,0),SUM($D$20:$D$31)))</f>
        <v>0</v>
      </c>
      <c r="AG290" s="13">
        <f>IF(AND($Z290&gt;=10,MOD($Z290,5)=0),$AF290*IF($AA290=12,VLOOKUP($Z290,Paraméterek!$B$225:$F$240,IF($AF290&lt;IF($D$4="Forint",Paraméterek!$C$223,Paraméterek!$C$224),2,IF($AF290&lt;IF($D$4="Forint",Paraméterek!$D$223,Paraméterek!$D$224),3,4))),0),0)</f>
        <v>0</v>
      </c>
      <c r="AH290" s="13">
        <f>IF(AND($Z290&gt;=5,MOD($Z290,5)=0),IF($AA290=12,VLOOKUP($Z290,Paraméterek!$B$225:$F$240,5),0),IF(OR($Z290=3,$Z290=4),IF($AA290=12,VLOOKUP($Z290,Paraméterek!$B$225:$F$240,5,0),0),0))*$AF290</f>
        <v>0</v>
      </c>
      <c r="AI290" s="13">
        <f>ROUNDDOWN(IF(SUM($T$20:$U290)=0,IF($D$2="Egyszeri",$AH290,$AG290),0),IF($D$4="Forint",0,2))</f>
        <v>0</v>
      </c>
      <c r="AJ290" s="13">
        <f t="shared" si="72"/>
        <v>0</v>
      </c>
      <c r="AK290" s="13">
        <f t="shared" si="73"/>
        <v>0</v>
      </c>
      <c r="AM290" s="32">
        <v>271</v>
      </c>
      <c r="AN290" s="32">
        <v>23</v>
      </c>
      <c r="AO290" s="32">
        <v>7</v>
      </c>
      <c r="AP290" s="13"/>
      <c r="AQ290" s="32"/>
      <c r="AR290" s="13">
        <f t="shared" si="74"/>
        <v>0</v>
      </c>
      <c r="AS290" s="33"/>
      <c r="AT290" s="13">
        <f t="shared" si="68"/>
        <v>0</v>
      </c>
      <c r="AU290" s="13">
        <f>ROUNDUP(($AR290+$AT290)*VLOOKUP($AN290,Paraméterek!$P$38:$Q$38,2)/12,IF($D$4="Forint",0,2))</f>
        <v>0</v>
      </c>
      <c r="AV290" s="13"/>
      <c r="AW290" s="13"/>
      <c r="AX290" s="13">
        <f>ROUNDUP(IF(SUM($AV290:$AW290)=0,0,IF(IF(ISBLANK($AW290),$AV290,$AW290)*Paraméterek!$J$112&lt;IF($D$4="Forint",Paraméterek!$J$113,Paraméterek!$K$113),IF($D$4="Forint",Paraméterek!$J$113,Paraméterek!$K$113),IF(IF(ISBLANK($AW290),$AV290,$AW290)*Paraméterek!$J$112&gt;IF($D$4="Forint",Paraméterek!$J$114,Paraméterek!$K$114),IF($D$4="Forint",Paraméterek!$J$114,Paraméterek!$K$114),IF(ISBLANK($AW290),$AV290,$AW290)*Paraméterek!$J$112))),IF($D$4="Forint",0,2))</f>
        <v>0</v>
      </c>
      <c r="AY290" s="13">
        <f>$AR290+$AT290-$AU290-IF(ROUNDDOWN(IF(ISBLANK($AW290),$AV290,$AW290),IF($D$4="Forint",0,2))&gt;$AR290+$AT290-$AU290-IF($D$4="Forint",Paraméterek!$J$114,Paraméterek!$K$114),0,ROUNDDOWN(IF(ISBLANK($AW290),$AV290,$AW290),IF($D$4="Forint",0,2))-$AX290)</f>
        <v>0</v>
      </c>
      <c r="AZ290" s="13">
        <f t="shared" si="69"/>
        <v>0</v>
      </c>
    </row>
    <row r="291" spans="1:52" x14ac:dyDescent="0.2">
      <c r="A291" s="32">
        <v>272</v>
      </c>
      <c r="B291" s="32">
        <v>23</v>
      </c>
      <c r="C291" s="32">
        <v>8</v>
      </c>
      <c r="D291" s="13">
        <f t="shared" si="60"/>
        <v>0</v>
      </c>
      <c r="E291" s="13"/>
      <c r="F291" s="13"/>
      <c r="G291" s="13"/>
      <c r="H291" s="13">
        <f t="shared" si="61"/>
        <v>0</v>
      </c>
      <c r="I291" s="13">
        <f t="shared" si="62"/>
        <v>0</v>
      </c>
      <c r="J291" s="13">
        <f t="shared" si="63"/>
        <v>0</v>
      </c>
      <c r="K291" s="13">
        <f>ROUNDUP(IF($D$2="Egyszeri",$D291,IF($D$2="Havi",SUM($D$20:$D$31),IF(MOD($C291,$M$1)-1=0,SUM($D$20:$D$31),0))/12*$M$1)*VLOOKUP($B291,Paraméterek!$B$27:$D$30,IF($D$2="Egyszeri",3,2)),IF($D$4="Forint",0,2))</f>
        <v>0</v>
      </c>
      <c r="L291" s="13">
        <f t="shared" si="64"/>
        <v>0</v>
      </c>
      <c r="M291" s="13">
        <f t="shared" ca="1" si="70"/>
        <v>-159578</v>
      </c>
      <c r="N291" s="13">
        <f ca="1">IF($V290&gt;=VLOOKUP($M$4-1+$B291,Paraméterek!$B$121:$D$122,IF($D$4="Forint",2,3)),0,VLOOKUP($M$4-1+$B291,Paraméterek!$B$121:$D$122,IF($D$4="Forint",2,3))-$V290)</f>
        <v>169578</v>
      </c>
      <c r="O291" s="13">
        <f ca="1">ROUNDUP($N291*Paraméterek!$C$58/Paraméterek!$C$56,IF($D$4="Forint",0,2))</f>
        <v>27</v>
      </c>
      <c r="P291" s="13">
        <f t="shared" si="65"/>
        <v>1054</v>
      </c>
      <c r="Q291" s="33"/>
      <c r="R291" s="13">
        <f t="shared" ca="1" si="66"/>
        <v>0</v>
      </c>
      <c r="S291" s="13">
        <f ca="1">ROUNDUP(($M291-$O291-$P291+$R291)*VLOOKUP($B291,Paraméterek!$B$38:$D$39,IF($D$2="Egyszeri",3,2))/12,IF($D$4="Forint",0,2))</f>
        <v>-393</v>
      </c>
      <c r="T291" s="13"/>
      <c r="U291" s="13"/>
      <c r="V291" s="13">
        <f ca="1">$M291-$O291-$P291+$R291-$S291-IF(ROUNDUP(IF(ISBLANK($U291),$T291,$U291)/IF(AND($B291=1,$D$2&lt;&gt;"Egyszeri"),1,VLOOKUP($B291+IF($C291=12,1,0),Paraméterek!$B$257:$D$267,IF($D$2="Egyszeri",3,2))),IF($D$4="Forint",0,2))&gt;$M291-$O291-$P291+$R291-$S291-IF($D$4="Forint",Paraméterek!$C$216,Paraméterek!$D$216),0,ROUNDUP(IF(ISBLANK($U291),$T291,$U291)/IF(AND($B291=1,$D$2&lt;&gt;"Egyszeri"),1,VLOOKUP($B291+IF($C291=12,1,0),Paraméterek!$B$257:$D$267,IF($D$2="Egyszeri",3,2))),IF($D$4="Forint",0,2)))</f>
        <v>-160266</v>
      </c>
      <c r="W291" s="13">
        <f ca="1">ROUNDDOWN($V291*VLOOKUP($B291+IF($C291=12,1,0),Paraméterek!$B$257:$D$267,IF($D$2="Egyszeri",3,2)),IF($D$4="Forint",0,2))</f>
        <v>-160266</v>
      </c>
      <c r="Y291" s="32">
        <v>272</v>
      </c>
      <c r="Z291" s="32">
        <v>23</v>
      </c>
      <c r="AA291" s="32">
        <v>8</v>
      </c>
      <c r="AB291" s="13">
        <f t="shared" si="71"/>
        <v>0</v>
      </c>
      <c r="AC291" s="33"/>
      <c r="AD291" s="13">
        <f t="shared" si="67"/>
        <v>0</v>
      </c>
      <c r="AE291" s="13">
        <f>ROUNDUP(($AB291+$AD291)*VLOOKUP($Z291,Paraméterek!$P$38:$Q$38,2)/12,IF($D$4="Forint",0,2))</f>
        <v>0</v>
      </c>
      <c r="AF291" s="13">
        <f>IF($D$2="Egyszeri",IF($D$7&gt;=IF($D$4="Forint",Paraméterek!$P$223,Paraméterek!$P$224),$D$7-IF($D$4="Forint",Paraméterek!$F$223,Paraméterek!$F$224),0),MIN(IF($AA291=12,AVERAGE($D$20:$D291)*12,0),SUM($D$20:$D$31)))</f>
        <v>0</v>
      </c>
      <c r="AG291" s="13">
        <f>IF(AND($Z291&gt;=10,MOD($Z291,5)=0),$AF291*IF($AA291=12,VLOOKUP($Z291,Paraméterek!$B$225:$F$240,IF($AF291&lt;IF($D$4="Forint",Paraméterek!$C$223,Paraméterek!$C$224),2,IF($AF291&lt;IF($D$4="Forint",Paraméterek!$D$223,Paraméterek!$D$224),3,4))),0),0)</f>
        <v>0</v>
      </c>
      <c r="AH291" s="13">
        <f>IF(AND($Z291&gt;=5,MOD($Z291,5)=0),IF($AA291=12,VLOOKUP($Z291,Paraméterek!$B$225:$F$240,5),0),IF(OR($Z291=3,$Z291=4),IF($AA291=12,VLOOKUP($Z291,Paraméterek!$B$225:$F$240,5,0),0),0))*$AF291</f>
        <v>0</v>
      </c>
      <c r="AI291" s="13">
        <f>ROUNDDOWN(IF(SUM($T$20:$U291)=0,IF($D$2="Egyszeri",$AH291,$AG291),0),IF($D$4="Forint",0,2))</f>
        <v>0</v>
      </c>
      <c r="AJ291" s="13">
        <f t="shared" si="72"/>
        <v>0</v>
      </c>
      <c r="AK291" s="13">
        <f t="shared" si="73"/>
        <v>0</v>
      </c>
      <c r="AM291" s="32">
        <v>272</v>
      </c>
      <c r="AN291" s="32">
        <v>23</v>
      </c>
      <c r="AO291" s="32">
        <v>8</v>
      </c>
      <c r="AP291" s="13"/>
      <c r="AQ291" s="32"/>
      <c r="AR291" s="13">
        <f t="shared" si="74"/>
        <v>0</v>
      </c>
      <c r="AS291" s="33"/>
      <c r="AT291" s="13">
        <f t="shared" si="68"/>
        <v>0</v>
      </c>
      <c r="AU291" s="13">
        <f>ROUNDUP(($AR291+$AT291)*VLOOKUP($AN291,Paraméterek!$P$38:$Q$38,2)/12,IF($D$4="Forint",0,2))</f>
        <v>0</v>
      </c>
      <c r="AV291" s="13"/>
      <c r="AW291" s="13"/>
      <c r="AX291" s="13">
        <f>ROUNDUP(IF(SUM($AV291:$AW291)=0,0,IF(IF(ISBLANK($AW291),$AV291,$AW291)*Paraméterek!$J$112&lt;IF($D$4="Forint",Paraméterek!$J$113,Paraméterek!$K$113),IF($D$4="Forint",Paraméterek!$J$113,Paraméterek!$K$113),IF(IF(ISBLANK($AW291),$AV291,$AW291)*Paraméterek!$J$112&gt;IF($D$4="Forint",Paraméterek!$J$114,Paraméterek!$K$114),IF($D$4="Forint",Paraméterek!$J$114,Paraméterek!$K$114),IF(ISBLANK($AW291),$AV291,$AW291)*Paraméterek!$J$112))),IF($D$4="Forint",0,2))</f>
        <v>0</v>
      </c>
      <c r="AY291" s="13">
        <f>$AR291+$AT291-$AU291-IF(ROUNDDOWN(IF(ISBLANK($AW291),$AV291,$AW291),IF($D$4="Forint",0,2))&gt;$AR291+$AT291-$AU291-IF($D$4="Forint",Paraméterek!$J$114,Paraméterek!$K$114),0,ROUNDDOWN(IF(ISBLANK($AW291),$AV291,$AW291),IF($D$4="Forint",0,2))-$AX291)</f>
        <v>0</v>
      </c>
      <c r="AZ291" s="13">
        <f t="shared" si="69"/>
        <v>0</v>
      </c>
    </row>
    <row r="292" spans="1:52" x14ac:dyDescent="0.2">
      <c r="A292" s="32">
        <v>273</v>
      </c>
      <c r="B292" s="32">
        <v>23</v>
      </c>
      <c r="C292" s="32">
        <v>9</v>
      </c>
      <c r="D292" s="13">
        <f t="shared" si="60"/>
        <v>0</v>
      </c>
      <c r="E292" s="13"/>
      <c r="F292" s="13"/>
      <c r="G292" s="13"/>
      <c r="H292" s="13">
        <f t="shared" si="61"/>
        <v>0</v>
      </c>
      <c r="I292" s="13">
        <f t="shared" si="62"/>
        <v>0</v>
      </c>
      <c r="J292" s="13">
        <f t="shared" si="63"/>
        <v>0</v>
      </c>
      <c r="K292" s="13">
        <f>ROUNDUP(IF($D$2="Egyszeri",$D292,IF($D$2="Havi",SUM($D$20:$D$31),IF(MOD($C292,$M$1)-1=0,SUM($D$20:$D$31),0))/12*$M$1)*VLOOKUP($B292,Paraméterek!$B$27:$D$30,IF($D$2="Egyszeri",3,2)),IF($D$4="Forint",0,2))</f>
        <v>0</v>
      </c>
      <c r="L292" s="13">
        <f t="shared" si="64"/>
        <v>0</v>
      </c>
      <c r="M292" s="13">
        <f t="shared" ca="1" si="70"/>
        <v>-160266</v>
      </c>
      <c r="N292" s="13">
        <f ca="1">IF($V291&gt;=VLOOKUP($M$4-1+$B292,Paraméterek!$B$121:$D$122,IF($D$4="Forint",2,3)),0,VLOOKUP($M$4-1+$B292,Paraméterek!$B$121:$D$122,IF($D$4="Forint",2,3))-$V291)</f>
        <v>170266</v>
      </c>
      <c r="O292" s="13">
        <f ca="1">ROUNDUP($N292*Paraméterek!$C$58/Paraméterek!$C$56,IF($D$4="Forint",0,2))</f>
        <v>28</v>
      </c>
      <c r="P292" s="13">
        <f t="shared" si="65"/>
        <v>1054</v>
      </c>
      <c r="Q292" s="33"/>
      <c r="R292" s="13">
        <f t="shared" ca="1" si="66"/>
        <v>0</v>
      </c>
      <c r="S292" s="13">
        <f ca="1">ROUNDUP(($M292-$O292-$P292+$R292)*VLOOKUP($B292,Paraméterek!$B$38:$D$39,IF($D$2="Egyszeri",3,2))/12,IF($D$4="Forint",0,2))</f>
        <v>-394</v>
      </c>
      <c r="T292" s="13"/>
      <c r="U292" s="13"/>
      <c r="V292" s="13">
        <f ca="1">$M292-$O292-$P292+$R292-$S292-IF(ROUNDUP(IF(ISBLANK($U292),$T292,$U292)/IF(AND($B292=1,$D$2&lt;&gt;"Egyszeri"),1,VLOOKUP($B292+IF($C292=12,1,0),Paraméterek!$B$257:$D$267,IF($D$2="Egyszeri",3,2))),IF($D$4="Forint",0,2))&gt;$M292-$O292-$P292+$R292-$S292-IF($D$4="Forint",Paraméterek!$C$216,Paraméterek!$D$216),0,ROUNDUP(IF(ISBLANK($U292),$T292,$U292)/IF(AND($B292=1,$D$2&lt;&gt;"Egyszeri"),1,VLOOKUP($B292+IF($C292=12,1,0),Paraméterek!$B$257:$D$267,IF($D$2="Egyszeri",3,2))),IF($D$4="Forint",0,2)))</f>
        <v>-160954</v>
      </c>
      <c r="W292" s="13">
        <f ca="1">ROUNDDOWN($V292*VLOOKUP($B292+IF($C292=12,1,0),Paraméterek!$B$257:$D$267,IF($D$2="Egyszeri",3,2)),IF($D$4="Forint",0,2))</f>
        <v>-160954</v>
      </c>
      <c r="Y292" s="32">
        <v>273</v>
      </c>
      <c r="Z292" s="32">
        <v>23</v>
      </c>
      <c r="AA292" s="32">
        <v>9</v>
      </c>
      <c r="AB292" s="13">
        <f t="shared" si="71"/>
        <v>0</v>
      </c>
      <c r="AC292" s="33"/>
      <c r="AD292" s="13">
        <f t="shared" si="67"/>
        <v>0</v>
      </c>
      <c r="AE292" s="13">
        <f>ROUNDUP(($AB292+$AD292)*VLOOKUP($Z292,Paraméterek!$P$38:$Q$38,2)/12,IF($D$4="Forint",0,2))</f>
        <v>0</v>
      </c>
      <c r="AF292" s="13">
        <f>IF($D$2="Egyszeri",IF($D$7&gt;=IF($D$4="Forint",Paraméterek!$P$223,Paraméterek!$P$224),$D$7-IF($D$4="Forint",Paraméterek!$F$223,Paraméterek!$F$224),0),MIN(IF($AA292=12,AVERAGE($D$20:$D292)*12,0),SUM($D$20:$D$31)))</f>
        <v>0</v>
      </c>
      <c r="AG292" s="13">
        <f>IF(AND($Z292&gt;=10,MOD($Z292,5)=0),$AF292*IF($AA292=12,VLOOKUP($Z292,Paraméterek!$B$225:$F$240,IF($AF292&lt;IF($D$4="Forint",Paraméterek!$C$223,Paraméterek!$C$224),2,IF($AF292&lt;IF($D$4="Forint",Paraméterek!$D$223,Paraméterek!$D$224),3,4))),0),0)</f>
        <v>0</v>
      </c>
      <c r="AH292" s="13">
        <f>IF(AND($Z292&gt;=5,MOD($Z292,5)=0),IF($AA292=12,VLOOKUP($Z292,Paraméterek!$B$225:$F$240,5),0),IF(OR($Z292=3,$Z292=4),IF($AA292=12,VLOOKUP($Z292,Paraméterek!$B$225:$F$240,5,0),0),0))*$AF292</f>
        <v>0</v>
      </c>
      <c r="AI292" s="13">
        <f>ROUNDDOWN(IF(SUM($T$20:$U292)=0,IF($D$2="Egyszeri",$AH292,$AG292),0),IF($D$4="Forint",0,2))</f>
        <v>0</v>
      </c>
      <c r="AJ292" s="13">
        <f t="shared" si="72"/>
        <v>0</v>
      </c>
      <c r="AK292" s="13">
        <f t="shared" si="73"/>
        <v>0</v>
      </c>
      <c r="AM292" s="32">
        <v>273</v>
      </c>
      <c r="AN292" s="32">
        <v>23</v>
      </c>
      <c r="AO292" s="32">
        <v>9</v>
      </c>
      <c r="AP292" s="13"/>
      <c r="AQ292" s="32"/>
      <c r="AR292" s="13">
        <f t="shared" si="74"/>
        <v>0</v>
      </c>
      <c r="AS292" s="33"/>
      <c r="AT292" s="13">
        <f t="shared" si="68"/>
        <v>0</v>
      </c>
      <c r="AU292" s="13">
        <f>ROUNDUP(($AR292+$AT292)*VLOOKUP($AN292,Paraméterek!$P$38:$Q$38,2)/12,IF($D$4="Forint",0,2))</f>
        <v>0</v>
      </c>
      <c r="AV292" s="13"/>
      <c r="AW292" s="13"/>
      <c r="AX292" s="13">
        <f>ROUNDUP(IF(SUM($AV292:$AW292)=0,0,IF(IF(ISBLANK($AW292),$AV292,$AW292)*Paraméterek!$J$112&lt;IF($D$4="Forint",Paraméterek!$J$113,Paraméterek!$K$113),IF($D$4="Forint",Paraméterek!$J$113,Paraméterek!$K$113),IF(IF(ISBLANK($AW292),$AV292,$AW292)*Paraméterek!$J$112&gt;IF($D$4="Forint",Paraméterek!$J$114,Paraméterek!$K$114),IF($D$4="Forint",Paraméterek!$J$114,Paraméterek!$K$114),IF(ISBLANK($AW292),$AV292,$AW292)*Paraméterek!$J$112))),IF($D$4="Forint",0,2))</f>
        <v>0</v>
      </c>
      <c r="AY292" s="13">
        <f>$AR292+$AT292-$AU292-IF(ROUNDDOWN(IF(ISBLANK($AW292),$AV292,$AW292),IF($D$4="Forint",0,2))&gt;$AR292+$AT292-$AU292-IF($D$4="Forint",Paraméterek!$J$114,Paraméterek!$K$114),0,ROUNDDOWN(IF(ISBLANK($AW292),$AV292,$AW292),IF($D$4="Forint",0,2))-$AX292)</f>
        <v>0</v>
      </c>
      <c r="AZ292" s="13">
        <f t="shared" si="69"/>
        <v>0</v>
      </c>
    </row>
    <row r="293" spans="1:52" x14ac:dyDescent="0.2">
      <c r="A293" s="32">
        <v>274</v>
      </c>
      <c r="B293" s="32">
        <v>23</v>
      </c>
      <c r="C293" s="32">
        <v>10</v>
      </c>
      <c r="D293" s="13">
        <f t="shared" si="60"/>
        <v>0</v>
      </c>
      <c r="E293" s="13"/>
      <c r="F293" s="13"/>
      <c r="G293" s="13"/>
      <c r="H293" s="13">
        <f t="shared" si="61"/>
        <v>0</v>
      </c>
      <c r="I293" s="13">
        <f t="shared" si="62"/>
        <v>0</v>
      </c>
      <c r="J293" s="13">
        <f t="shared" si="63"/>
        <v>0</v>
      </c>
      <c r="K293" s="13">
        <f>ROUNDUP(IF($D$2="Egyszeri",$D293,IF($D$2="Havi",SUM($D$20:$D$31),IF(MOD($C293,$M$1)-1=0,SUM($D$20:$D$31),0))/12*$M$1)*VLOOKUP($B293,Paraméterek!$B$27:$D$30,IF($D$2="Egyszeri",3,2)),IF($D$4="Forint",0,2))</f>
        <v>0</v>
      </c>
      <c r="L293" s="13">
        <f t="shared" si="64"/>
        <v>0</v>
      </c>
      <c r="M293" s="13">
        <f t="shared" ca="1" si="70"/>
        <v>-160954</v>
      </c>
      <c r="N293" s="13">
        <f ca="1">IF($V292&gt;=VLOOKUP($M$4-1+$B293,Paraméterek!$B$121:$D$122,IF($D$4="Forint",2,3)),0,VLOOKUP($M$4-1+$B293,Paraméterek!$B$121:$D$122,IF($D$4="Forint",2,3))-$V292)</f>
        <v>170954</v>
      </c>
      <c r="O293" s="13">
        <f ca="1">ROUNDUP($N293*Paraméterek!$C$58/Paraméterek!$C$56,IF($D$4="Forint",0,2))</f>
        <v>28</v>
      </c>
      <c r="P293" s="13">
        <f t="shared" si="65"/>
        <v>1054</v>
      </c>
      <c r="Q293" s="33"/>
      <c r="R293" s="13">
        <f t="shared" ca="1" si="66"/>
        <v>0</v>
      </c>
      <c r="S293" s="13">
        <f ca="1">ROUNDUP(($M293-$O293-$P293+$R293)*VLOOKUP($B293,Paraméterek!$B$38:$D$39,IF($D$2="Egyszeri",3,2))/12,IF($D$4="Forint",0,2))</f>
        <v>-396</v>
      </c>
      <c r="T293" s="13"/>
      <c r="U293" s="13"/>
      <c r="V293" s="13">
        <f ca="1">$M293-$O293-$P293+$R293-$S293-IF(ROUNDUP(IF(ISBLANK($U293),$T293,$U293)/IF(AND($B293=1,$D$2&lt;&gt;"Egyszeri"),1,VLOOKUP($B293+IF($C293=12,1,0),Paraméterek!$B$257:$D$267,IF($D$2="Egyszeri",3,2))),IF($D$4="Forint",0,2))&gt;$M293-$O293-$P293+$R293-$S293-IF($D$4="Forint",Paraméterek!$C$216,Paraméterek!$D$216),0,ROUNDUP(IF(ISBLANK($U293),$T293,$U293)/IF(AND($B293=1,$D$2&lt;&gt;"Egyszeri"),1,VLOOKUP($B293+IF($C293=12,1,0),Paraméterek!$B$257:$D$267,IF($D$2="Egyszeri",3,2))),IF($D$4="Forint",0,2)))</f>
        <v>-161640</v>
      </c>
      <c r="W293" s="13">
        <f ca="1">ROUNDDOWN($V293*VLOOKUP($B293+IF($C293=12,1,0),Paraméterek!$B$257:$D$267,IF($D$2="Egyszeri",3,2)),IF($D$4="Forint",0,2))</f>
        <v>-161640</v>
      </c>
      <c r="Y293" s="32">
        <v>274</v>
      </c>
      <c r="Z293" s="32">
        <v>23</v>
      </c>
      <c r="AA293" s="32">
        <v>10</v>
      </c>
      <c r="AB293" s="13">
        <f t="shared" si="71"/>
        <v>0</v>
      </c>
      <c r="AC293" s="33"/>
      <c r="AD293" s="13">
        <f t="shared" si="67"/>
        <v>0</v>
      </c>
      <c r="AE293" s="13">
        <f>ROUNDUP(($AB293+$AD293)*VLOOKUP($Z293,Paraméterek!$P$38:$Q$38,2)/12,IF($D$4="Forint",0,2))</f>
        <v>0</v>
      </c>
      <c r="AF293" s="13">
        <f>IF($D$2="Egyszeri",IF($D$7&gt;=IF($D$4="Forint",Paraméterek!$P$223,Paraméterek!$P$224),$D$7-IF($D$4="Forint",Paraméterek!$F$223,Paraméterek!$F$224),0),MIN(IF($AA293=12,AVERAGE($D$20:$D293)*12,0),SUM($D$20:$D$31)))</f>
        <v>0</v>
      </c>
      <c r="AG293" s="13">
        <f>IF(AND($Z293&gt;=10,MOD($Z293,5)=0),$AF293*IF($AA293=12,VLOOKUP($Z293,Paraméterek!$B$225:$F$240,IF($AF293&lt;IF($D$4="Forint",Paraméterek!$C$223,Paraméterek!$C$224),2,IF($AF293&lt;IF($D$4="Forint",Paraméterek!$D$223,Paraméterek!$D$224),3,4))),0),0)</f>
        <v>0</v>
      </c>
      <c r="AH293" s="13">
        <f>IF(AND($Z293&gt;=5,MOD($Z293,5)=0),IF($AA293=12,VLOOKUP($Z293,Paraméterek!$B$225:$F$240,5),0),IF(OR($Z293=3,$Z293=4),IF($AA293=12,VLOOKUP($Z293,Paraméterek!$B$225:$F$240,5,0),0),0))*$AF293</f>
        <v>0</v>
      </c>
      <c r="AI293" s="13">
        <f>ROUNDDOWN(IF(SUM($T$20:$U293)=0,IF($D$2="Egyszeri",$AH293,$AG293),0),IF($D$4="Forint",0,2))</f>
        <v>0</v>
      </c>
      <c r="AJ293" s="13">
        <f t="shared" si="72"/>
        <v>0</v>
      </c>
      <c r="AK293" s="13">
        <f t="shared" si="73"/>
        <v>0</v>
      </c>
      <c r="AM293" s="32">
        <v>274</v>
      </c>
      <c r="AN293" s="32">
        <v>23</v>
      </c>
      <c r="AO293" s="32">
        <v>10</v>
      </c>
      <c r="AP293" s="13"/>
      <c r="AQ293" s="32"/>
      <c r="AR293" s="13">
        <f t="shared" si="74"/>
        <v>0</v>
      </c>
      <c r="AS293" s="33"/>
      <c r="AT293" s="13">
        <f t="shared" si="68"/>
        <v>0</v>
      </c>
      <c r="AU293" s="13">
        <f>ROUNDUP(($AR293+$AT293)*VLOOKUP($AN293,Paraméterek!$P$38:$Q$38,2)/12,IF($D$4="Forint",0,2))</f>
        <v>0</v>
      </c>
      <c r="AV293" s="13"/>
      <c r="AW293" s="13"/>
      <c r="AX293" s="13">
        <f>ROUNDUP(IF(SUM($AV293:$AW293)=0,0,IF(IF(ISBLANK($AW293),$AV293,$AW293)*Paraméterek!$J$112&lt;IF($D$4="Forint",Paraméterek!$J$113,Paraméterek!$K$113),IF($D$4="Forint",Paraméterek!$J$113,Paraméterek!$K$113),IF(IF(ISBLANK($AW293),$AV293,$AW293)*Paraméterek!$J$112&gt;IF($D$4="Forint",Paraméterek!$J$114,Paraméterek!$K$114),IF($D$4="Forint",Paraméterek!$J$114,Paraméterek!$K$114),IF(ISBLANK($AW293),$AV293,$AW293)*Paraméterek!$J$112))),IF($D$4="Forint",0,2))</f>
        <v>0</v>
      </c>
      <c r="AY293" s="13">
        <f>$AR293+$AT293-$AU293-IF(ROUNDDOWN(IF(ISBLANK($AW293),$AV293,$AW293),IF($D$4="Forint",0,2))&gt;$AR293+$AT293-$AU293-IF($D$4="Forint",Paraméterek!$J$114,Paraméterek!$K$114),0,ROUNDDOWN(IF(ISBLANK($AW293),$AV293,$AW293),IF($D$4="Forint",0,2))-$AX293)</f>
        <v>0</v>
      </c>
      <c r="AZ293" s="13">
        <f t="shared" si="69"/>
        <v>0</v>
      </c>
    </row>
    <row r="294" spans="1:52" x14ac:dyDescent="0.2">
      <c r="A294" s="32">
        <v>275</v>
      </c>
      <c r="B294" s="32">
        <v>23</v>
      </c>
      <c r="C294" s="32">
        <v>11</v>
      </c>
      <c r="D294" s="13">
        <f t="shared" si="60"/>
        <v>0</v>
      </c>
      <c r="E294" s="13"/>
      <c r="F294" s="13"/>
      <c r="G294" s="13"/>
      <c r="H294" s="13">
        <f t="shared" si="61"/>
        <v>0</v>
      </c>
      <c r="I294" s="13">
        <f t="shared" si="62"/>
        <v>0</v>
      </c>
      <c r="J294" s="13">
        <f t="shared" si="63"/>
        <v>0</v>
      </c>
      <c r="K294" s="13">
        <f>ROUNDUP(IF($D$2="Egyszeri",$D294,IF($D$2="Havi",SUM($D$20:$D$31),IF(MOD($C294,$M$1)-1=0,SUM($D$20:$D$31),0))/12*$M$1)*VLOOKUP($B294,Paraméterek!$B$27:$D$30,IF($D$2="Egyszeri",3,2)),IF($D$4="Forint",0,2))</f>
        <v>0</v>
      </c>
      <c r="L294" s="13">
        <f t="shared" si="64"/>
        <v>0</v>
      </c>
      <c r="M294" s="13">
        <f t="shared" ca="1" si="70"/>
        <v>-161640</v>
      </c>
      <c r="N294" s="13">
        <f ca="1">IF($V293&gt;=VLOOKUP($M$4-1+$B294,Paraméterek!$B$121:$D$122,IF($D$4="Forint",2,3)),0,VLOOKUP($M$4-1+$B294,Paraméterek!$B$121:$D$122,IF($D$4="Forint",2,3))-$V293)</f>
        <v>171640</v>
      </c>
      <c r="O294" s="13">
        <f ca="1">ROUNDUP($N294*Paraméterek!$C$58/Paraméterek!$C$56,IF($D$4="Forint",0,2))</f>
        <v>28</v>
      </c>
      <c r="P294" s="13">
        <f t="shared" si="65"/>
        <v>1054</v>
      </c>
      <c r="Q294" s="33"/>
      <c r="R294" s="13">
        <f t="shared" ca="1" si="66"/>
        <v>0</v>
      </c>
      <c r="S294" s="13">
        <f ca="1">ROUNDUP(($M294-$O294-$P294+$R294)*VLOOKUP($B294,Paraméterek!$B$38:$D$39,IF($D$2="Egyszeri",3,2))/12,IF($D$4="Forint",0,2))</f>
        <v>-398</v>
      </c>
      <c r="T294" s="13"/>
      <c r="U294" s="13"/>
      <c r="V294" s="13">
        <f ca="1">$M294-$O294-$P294+$R294-$S294-IF(ROUNDUP(IF(ISBLANK($U294),$T294,$U294)/IF(AND($B294=1,$D$2&lt;&gt;"Egyszeri"),1,VLOOKUP($B294+IF($C294=12,1,0),Paraméterek!$B$257:$D$267,IF($D$2="Egyszeri",3,2))),IF($D$4="Forint",0,2))&gt;$M294-$O294-$P294+$R294-$S294-IF($D$4="Forint",Paraméterek!$C$216,Paraméterek!$D$216),0,ROUNDUP(IF(ISBLANK($U294),$T294,$U294)/IF(AND($B294=1,$D$2&lt;&gt;"Egyszeri"),1,VLOOKUP($B294+IF($C294=12,1,0),Paraméterek!$B$257:$D$267,IF($D$2="Egyszeri",3,2))),IF($D$4="Forint",0,2)))</f>
        <v>-162324</v>
      </c>
      <c r="W294" s="13">
        <f ca="1">ROUNDDOWN($V294*VLOOKUP($B294+IF($C294=12,1,0),Paraméterek!$B$257:$D$267,IF($D$2="Egyszeri",3,2)),IF($D$4="Forint",0,2))</f>
        <v>-162324</v>
      </c>
      <c r="Y294" s="32">
        <v>275</v>
      </c>
      <c r="Z294" s="32">
        <v>23</v>
      </c>
      <c r="AA294" s="32">
        <v>11</v>
      </c>
      <c r="AB294" s="13">
        <f t="shared" si="71"/>
        <v>0</v>
      </c>
      <c r="AC294" s="33"/>
      <c r="AD294" s="13">
        <f t="shared" si="67"/>
        <v>0</v>
      </c>
      <c r="AE294" s="13">
        <f>ROUNDUP(($AB294+$AD294)*VLOOKUP($Z294,Paraméterek!$P$38:$Q$38,2)/12,IF($D$4="Forint",0,2))</f>
        <v>0</v>
      </c>
      <c r="AF294" s="13">
        <f>IF($D$2="Egyszeri",IF($D$7&gt;=IF($D$4="Forint",Paraméterek!$P$223,Paraméterek!$P$224),$D$7-IF($D$4="Forint",Paraméterek!$F$223,Paraméterek!$F$224),0),MIN(IF($AA294=12,AVERAGE($D$20:$D294)*12,0),SUM($D$20:$D$31)))</f>
        <v>0</v>
      </c>
      <c r="AG294" s="13">
        <f>IF(AND($Z294&gt;=10,MOD($Z294,5)=0),$AF294*IF($AA294=12,VLOOKUP($Z294,Paraméterek!$B$225:$F$240,IF($AF294&lt;IF($D$4="Forint",Paraméterek!$C$223,Paraméterek!$C$224),2,IF($AF294&lt;IF($D$4="Forint",Paraméterek!$D$223,Paraméterek!$D$224),3,4))),0),0)</f>
        <v>0</v>
      </c>
      <c r="AH294" s="13">
        <f>IF(AND($Z294&gt;=5,MOD($Z294,5)=0),IF($AA294=12,VLOOKUP($Z294,Paraméterek!$B$225:$F$240,5),0),IF(OR($Z294=3,$Z294=4),IF($AA294=12,VLOOKUP($Z294,Paraméterek!$B$225:$F$240,5,0),0),0))*$AF294</f>
        <v>0</v>
      </c>
      <c r="AI294" s="13">
        <f>ROUNDDOWN(IF(SUM($T$20:$U294)=0,IF($D$2="Egyszeri",$AH294,$AG294),0),IF($D$4="Forint",0,2))</f>
        <v>0</v>
      </c>
      <c r="AJ294" s="13">
        <f t="shared" si="72"/>
        <v>0</v>
      </c>
      <c r="AK294" s="13">
        <f t="shared" si="73"/>
        <v>0</v>
      </c>
      <c r="AM294" s="32">
        <v>275</v>
      </c>
      <c r="AN294" s="32">
        <v>23</v>
      </c>
      <c r="AO294" s="32">
        <v>11</v>
      </c>
      <c r="AP294" s="13"/>
      <c r="AQ294" s="32"/>
      <c r="AR294" s="13">
        <f t="shared" si="74"/>
        <v>0</v>
      </c>
      <c r="AS294" s="33"/>
      <c r="AT294" s="13">
        <f t="shared" si="68"/>
        <v>0</v>
      </c>
      <c r="AU294" s="13">
        <f>ROUNDUP(($AR294+$AT294)*VLOOKUP($AN294,Paraméterek!$P$38:$Q$38,2)/12,IF($D$4="Forint",0,2))</f>
        <v>0</v>
      </c>
      <c r="AV294" s="13"/>
      <c r="AW294" s="13"/>
      <c r="AX294" s="13">
        <f>ROUNDUP(IF(SUM($AV294:$AW294)=0,0,IF(IF(ISBLANK($AW294),$AV294,$AW294)*Paraméterek!$J$112&lt;IF($D$4="Forint",Paraméterek!$J$113,Paraméterek!$K$113),IF($D$4="Forint",Paraméterek!$J$113,Paraméterek!$K$113),IF(IF(ISBLANK($AW294),$AV294,$AW294)*Paraméterek!$J$112&gt;IF($D$4="Forint",Paraméterek!$J$114,Paraméterek!$K$114),IF($D$4="Forint",Paraméterek!$J$114,Paraméterek!$K$114),IF(ISBLANK($AW294),$AV294,$AW294)*Paraméterek!$J$112))),IF($D$4="Forint",0,2))</f>
        <v>0</v>
      </c>
      <c r="AY294" s="13">
        <f>$AR294+$AT294-$AU294-IF(ROUNDDOWN(IF(ISBLANK($AW294),$AV294,$AW294),IF($D$4="Forint",0,2))&gt;$AR294+$AT294-$AU294-IF($D$4="Forint",Paraméterek!$J$114,Paraméterek!$K$114),0,ROUNDDOWN(IF(ISBLANK($AW294),$AV294,$AW294),IF($D$4="Forint",0,2))-$AX294)</f>
        <v>0</v>
      </c>
      <c r="AZ294" s="13">
        <f t="shared" si="69"/>
        <v>0</v>
      </c>
    </row>
    <row r="295" spans="1:52" x14ac:dyDescent="0.2">
      <c r="A295" s="32">
        <v>276</v>
      </c>
      <c r="B295" s="32">
        <v>23</v>
      </c>
      <c r="C295" s="32">
        <v>12</v>
      </c>
      <c r="D295" s="13">
        <f t="shared" si="60"/>
        <v>0</v>
      </c>
      <c r="E295" s="13"/>
      <c r="F295" s="13"/>
      <c r="G295" s="13"/>
      <c r="H295" s="13">
        <f t="shared" si="61"/>
        <v>0</v>
      </c>
      <c r="I295" s="13">
        <f t="shared" si="62"/>
        <v>0</v>
      </c>
      <c r="J295" s="13">
        <f t="shared" si="63"/>
        <v>0</v>
      </c>
      <c r="K295" s="13">
        <f>ROUNDUP(IF($D$2="Egyszeri",$D295,IF($D$2="Havi",SUM($D$20:$D$31),IF(MOD($C295,$M$1)-1=0,SUM($D$20:$D$31),0))/12*$M$1)*VLOOKUP($B295,Paraméterek!$B$27:$D$30,IF($D$2="Egyszeri",3,2)),IF($D$4="Forint",0,2))</f>
        <v>0</v>
      </c>
      <c r="L295" s="13">
        <f t="shared" si="64"/>
        <v>0</v>
      </c>
      <c r="M295" s="13">
        <f t="shared" ca="1" si="70"/>
        <v>-162324</v>
      </c>
      <c r="N295" s="13">
        <f ca="1">IF($V294&gt;=VLOOKUP($M$4-1+$B295,Paraméterek!$B$121:$D$122,IF($D$4="Forint",2,3)),0,VLOOKUP($M$4-1+$B295,Paraméterek!$B$121:$D$122,IF($D$4="Forint",2,3))-$V294)</f>
        <v>172324</v>
      </c>
      <c r="O295" s="13">
        <f ca="1">ROUNDUP($N295*Paraméterek!$C$58/Paraméterek!$C$56,IF($D$4="Forint",0,2))</f>
        <v>28</v>
      </c>
      <c r="P295" s="13">
        <f t="shared" si="65"/>
        <v>1054</v>
      </c>
      <c r="Q295" s="33"/>
      <c r="R295" s="13">
        <f t="shared" ca="1" si="66"/>
        <v>0</v>
      </c>
      <c r="S295" s="13">
        <f ca="1">ROUNDUP(($M295-$O295-$P295+$R295)*VLOOKUP($B295,Paraméterek!$B$38:$D$39,IF($D$2="Egyszeri",3,2))/12,IF($D$4="Forint",0,2))</f>
        <v>-399</v>
      </c>
      <c r="T295" s="13">
        <f>Tranzakciók!$F$54</f>
        <v>0</v>
      </c>
      <c r="U295" s="13"/>
      <c r="V295" s="13">
        <f ca="1">$M295-$O295-$P295+$R295-$S295-IF(ROUNDUP(IF(ISBLANK($U295),$T295,$U295)/IF(AND($B295=1,$D$2&lt;&gt;"Egyszeri"),1,VLOOKUP($B295+IF($C295=12,1,0),Paraméterek!$B$257:$D$267,IF($D$2="Egyszeri",3,2))),IF($D$4="Forint",0,2))&gt;$M295-$O295-$P295+$R295-$S295-IF($D$4="Forint",Paraméterek!$C$216,Paraméterek!$D$216),0,ROUNDUP(IF(ISBLANK($U295),$T295,$U295)/IF(AND($B295=1,$D$2&lt;&gt;"Egyszeri"),1,VLOOKUP($B295+IF($C295=12,1,0),Paraméterek!$B$257:$D$267,IF($D$2="Egyszeri",3,2))),IF($D$4="Forint",0,2)))</f>
        <v>-163007</v>
      </c>
      <c r="W295" s="13">
        <f ca="1">ROUNDDOWN($V295*VLOOKUP($B295+IF($C295=12,1,0),Paraméterek!$B$257:$D$267,IF($D$2="Egyszeri",3,2)),IF($D$4="Forint",0,2))</f>
        <v>-163007</v>
      </c>
      <c r="Y295" s="32">
        <v>276</v>
      </c>
      <c r="Z295" s="32">
        <v>23</v>
      </c>
      <c r="AA295" s="32">
        <v>12</v>
      </c>
      <c r="AB295" s="13">
        <f t="shared" si="71"/>
        <v>0</v>
      </c>
      <c r="AC295" s="33"/>
      <c r="AD295" s="13">
        <f t="shared" si="67"/>
        <v>0</v>
      </c>
      <c r="AE295" s="13">
        <f>ROUNDUP(($AB295+$AD295)*VLOOKUP($Z295,Paraméterek!$P$38:$Q$38,2)/12,IF($D$4="Forint",0,2))</f>
        <v>0</v>
      </c>
      <c r="AF295" s="13">
        <f>IF($D$2="Egyszeri",IF($D$7&gt;=IF($D$4="Forint",Paraméterek!$P$223,Paraméterek!$P$224),$D$7-IF($D$4="Forint",Paraméterek!$F$223,Paraméterek!$F$224),0),MIN(IF($AA295=12,AVERAGE($D$20:$D295)*12,0),SUM($D$20:$D$31)))</f>
        <v>0</v>
      </c>
      <c r="AG295" s="13">
        <f>IF(AND($Z295&gt;=10,MOD($Z295,5)=0),$AF295*IF($AA295=12,VLOOKUP($Z295,Paraméterek!$B$225:$F$240,IF($AF295&lt;IF($D$4="Forint",Paraméterek!$C$223,Paraméterek!$C$224),2,IF($AF295&lt;IF($D$4="Forint",Paraméterek!$D$223,Paraméterek!$D$224),3,4))),0),0)</f>
        <v>0</v>
      </c>
      <c r="AH295" s="13">
        <f>IF(AND($Z295&gt;=5,MOD($Z295,5)=0),IF($AA295=12,VLOOKUP($Z295,Paraméterek!$B$225:$F$240,5),0),IF(OR($Z295=3,$Z295=4),IF($AA295=12,VLOOKUP($Z295,Paraméterek!$B$225:$F$240,5,0),0),0))*$AF295</f>
        <v>0</v>
      </c>
      <c r="AI295" s="13">
        <f>ROUNDDOWN(IF(SUM($T$20:$U295)=0,IF($D$2="Egyszeri",$AH295,$AG295),0),IF($D$4="Forint",0,2))</f>
        <v>0</v>
      </c>
      <c r="AJ295" s="13">
        <f t="shared" si="72"/>
        <v>0</v>
      </c>
      <c r="AK295" s="13">
        <f t="shared" si="73"/>
        <v>0</v>
      </c>
      <c r="AM295" s="32">
        <v>276</v>
      </c>
      <c r="AN295" s="32">
        <v>23</v>
      </c>
      <c r="AO295" s="32">
        <v>12</v>
      </c>
      <c r="AP295" s="13"/>
      <c r="AQ295" s="32"/>
      <c r="AR295" s="13">
        <f t="shared" si="74"/>
        <v>0</v>
      </c>
      <c r="AS295" s="33"/>
      <c r="AT295" s="13">
        <f t="shared" si="68"/>
        <v>0</v>
      </c>
      <c r="AU295" s="13">
        <f>ROUNDUP(($AR295+$AT295)*VLOOKUP($AN295,Paraméterek!$P$38:$Q$38,2)/12,IF($D$4="Forint",0,2))</f>
        <v>0</v>
      </c>
      <c r="AV295" s="13">
        <f>Tranzakciók!$M$54</f>
        <v>0</v>
      </c>
      <c r="AW295" s="13"/>
      <c r="AX295" s="13">
        <f>ROUNDUP(IF(SUM($AV295:$AW295)=0,0,IF(IF(ISBLANK($AW295),$AV295,$AW295)*Paraméterek!$J$112&lt;IF($D$4="Forint",Paraméterek!$J$113,Paraméterek!$K$113),IF($D$4="Forint",Paraméterek!$J$113,Paraméterek!$K$113),IF(IF(ISBLANK($AW295),$AV295,$AW295)*Paraméterek!$J$112&gt;IF($D$4="Forint",Paraméterek!$J$114,Paraméterek!$K$114),IF($D$4="Forint",Paraméterek!$J$114,Paraméterek!$K$114),IF(ISBLANK($AW295),$AV295,$AW295)*Paraméterek!$J$112))),IF($D$4="Forint",0,2))</f>
        <v>0</v>
      </c>
      <c r="AY295" s="13">
        <f>$AR295+$AT295-$AU295-IF(ROUNDDOWN(IF(ISBLANK($AW295),$AV295,$AW295),IF($D$4="Forint",0,2))&gt;$AR295+$AT295-$AU295-IF($D$4="Forint",Paraméterek!$J$114,Paraméterek!$K$114),0,ROUNDDOWN(IF(ISBLANK($AW295),$AV295,$AW295),IF($D$4="Forint",0,2))-$AX295)</f>
        <v>0</v>
      </c>
      <c r="AZ295" s="13">
        <f t="shared" si="69"/>
        <v>0</v>
      </c>
    </row>
    <row r="296" spans="1:52" x14ac:dyDescent="0.2">
      <c r="A296" s="32">
        <v>277</v>
      </c>
      <c r="B296" s="32">
        <v>24</v>
      </c>
      <c r="C296" s="32">
        <v>1</v>
      </c>
      <c r="D296" s="13">
        <f t="shared" si="60"/>
        <v>0</v>
      </c>
      <c r="E296" s="13"/>
      <c r="F296" s="13">
        <f>Tranzakciók!$D$55</f>
        <v>0</v>
      </c>
      <c r="G296" s="13"/>
      <c r="H296" s="13">
        <f t="shared" si="61"/>
        <v>0</v>
      </c>
      <c r="I296" s="13">
        <f t="shared" si="62"/>
        <v>198</v>
      </c>
      <c r="J296" s="13">
        <f t="shared" si="63"/>
        <v>198</v>
      </c>
      <c r="K296" s="13">
        <f>ROUNDUP(IF($D$2="Egyszeri",$D296,IF($D$2="Havi",SUM($D$20:$D$31),IF(MOD($C296,$M$1)-1=0,SUM($D$20:$D$31),0))/12*$M$1)*VLOOKUP($B296,Paraméterek!$B$27:$D$30,IF($D$2="Egyszeri",3,2)),IF($D$4="Forint",0,2))</f>
        <v>0</v>
      </c>
      <c r="L296" s="13">
        <f t="shared" si="64"/>
        <v>0</v>
      </c>
      <c r="M296" s="13">
        <f t="shared" ca="1" si="70"/>
        <v>-163007</v>
      </c>
      <c r="N296" s="13">
        <f ca="1">IF($V295&gt;=VLOOKUP($M$4-1+$B296,Paraméterek!$B$121:$D$122,IF($D$4="Forint",2,3)),0,VLOOKUP($M$4-1+$B296,Paraméterek!$B$121:$D$122,IF($D$4="Forint",2,3))-$V295)</f>
        <v>173007</v>
      </c>
      <c r="O296" s="13">
        <f ca="1">ROUNDUP($N296*Paraméterek!$C$58/Paraméterek!$C$56,IF($D$4="Forint",0,2))</f>
        <v>28</v>
      </c>
      <c r="P296" s="13">
        <f t="shared" si="65"/>
        <v>1086</v>
      </c>
      <c r="Q296" s="33"/>
      <c r="R296" s="13">
        <f t="shared" ca="1" si="66"/>
        <v>0</v>
      </c>
      <c r="S296" s="13">
        <f ca="1">ROUNDUP(($M296-$O296-$P296+$R296)*VLOOKUP($B296,Paraméterek!$B$38:$D$39,IF($D$2="Egyszeri",3,2))/12,IF($D$4="Forint",0,2))</f>
        <v>-401</v>
      </c>
      <c r="T296" s="13"/>
      <c r="U296" s="13"/>
      <c r="V296" s="13">
        <f ca="1">$M296-$O296-$P296+$R296-$S296-IF(ROUNDUP(IF(ISBLANK($U296),$T296,$U296)/IF(AND($B296=1,$D$2&lt;&gt;"Egyszeri"),1,VLOOKUP($B296+IF($C296=12,1,0),Paraméterek!$B$257:$D$267,IF($D$2="Egyszeri",3,2))),IF($D$4="Forint",0,2))&gt;$M296-$O296-$P296+$R296-$S296-IF($D$4="Forint",Paraméterek!$C$216,Paraméterek!$D$216),0,ROUNDUP(IF(ISBLANK($U296),$T296,$U296)/IF(AND($B296=1,$D$2&lt;&gt;"Egyszeri"),1,VLOOKUP($B296+IF($C296=12,1,0),Paraméterek!$B$257:$D$267,IF($D$2="Egyszeri",3,2))),IF($D$4="Forint",0,2)))</f>
        <v>-163720</v>
      </c>
      <c r="W296" s="13">
        <f ca="1">ROUNDDOWN($V296*VLOOKUP($B296+IF($C296=12,1,0),Paraméterek!$B$257:$D$267,IF($D$2="Egyszeri",3,2)),IF($D$4="Forint",0,2))</f>
        <v>-163720</v>
      </c>
      <c r="Y296" s="32">
        <v>277</v>
      </c>
      <c r="Z296" s="32">
        <v>24</v>
      </c>
      <c r="AA296" s="32">
        <v>1</v>
      </c>
      <c r="AB296" s="13">
        <f t="shared" si="71"/>
        <v>0</v>
      </c>
      <c r="AC296" s="33"/>
      <c r="AD296" s="13">
        <f t="shared" si="67"/>
        <v>0</v>
      </c>
      <c r="AE296" s="13">
        <f>ROUNDUP(($AB296+$AD296)*VLOOKUP($Z296,Paraméterek!$P$38:$Q$38,2)/12,IF($D$4="Forint",0,2))</f>
        <v>0</v>
      </c>
      <c r="AF296" s="13">
        <f>IF($D$2="Egyszeri",IF($D$7&gt;=IF($D$4="Forint",Paraméterek!$P$223,Paraméterek!$P$224),$D$7-IF($D$4="Forint",Paraméterek!$F$223,Paraméterek!$F$224),0),MIN(IF($AA296=12,AVERAGE($D$20:$D296)*12,0),SUM($D$20:$D$31)))</f>
        <v>0</v>
      </c>
      <c r="AG296" s="13">
        <f>IF(AND($Z296&gt;=10,MOD($Z296,5)=0),$AF296*IF($AA296=12,VLOOKUP($Z296,Paraméterek!$B$225:$F$240,IF($AF296&lt;IF($D$4="Forint",Paraméterek!$C$223,Paraméterek!$C$224),2,IF($AF296&lt;IF($D$4="Forint",Paraméterek!$D$223,Paraméterek!$D$224),3,4))),0),0)</f>
        <v>0</v>
      </c>
      <c r="AH296" s="13">
        <f>IF(AND($Z296&gt;=5,MOD($Z296,5)=0),IF($AA296=12,VLOOKUP($Z296,Paraméterek!$B$225:$F$240,5),0),IF(OR($Z296=3,$Z296=4),IF($AA296=12,VLOOKUP($Z296,Paraméterek!$B$225:$F$240,5,0),0),0))*$AF296</f>
        <v>0</v>
      </c>
      <c r="AI296" s="13">
        <f>ROUNDDOWN(IF(SUM($T$20:$U296)=0,IF($D$2="Egyszeri",$AH296,$AG296),0),IF($D$4="Forint",0,2))</f>
        <v>0</v>
      </c>
      <c r="AJ296" s="13">
        <f t="shared" si="72"/>
        <v>0</v>
      </c>
      <c r="AK296" s="13">
        <f t="shared" si="73"/>
        <v>0</v>
      </c>
      <c r="AM296" s="32">
        <v>277</v>
      </c>
      <c r="AN296" s="32">
        <v>24</v>
      </c>
      <c r="AO296" s="32">
        <v>1</v>
      </c>
      <c r="AP296" s="13">
        <f>Tranzakciók!$K$55</f>
        <v>0</v>
      </c>
      <c r="AQ296" s="32"/>
      <c r="AR296" s="13">
        <f t="shared" si="74"/>
        <v>0</v>
      </c>
      <c r="AS296" s="33"/>
      <c r="AT296" s="13">
        <f t="shared" si="68"/>
        <v>0</v>
      </c>
      <c r="AU296" s="13">
        <f>ROUNDUP(($AR296+$AT296)*VLOOKUP($AN296,Paraméterek!$P$38:$Q$38,2)/12,IF($D$4="Forint",0,2))</f>
        <v>0</v>
      </c>
      <c r="AV296" s="13"/>
      <c r="AW296" s="13"/>
      <c r="AX296" s="13">
        <f>ROUNDUP(IF(SUM($AV296:$AW296)=0,0,IF(IF(ISBLANK($AW296),$AV296,$AW296)*Paraméterek!$J$112&lt;IF($D$4="Forint",Paraméterek!$J$113,Paraméterek!$K$113),IF($D$4="Forint",Paraméterek!$J$113,Paraméterek!$K$113),IF(IF(ISBLANK($AW296),$AV296,$AW296)*Paraméterek!$J$112&gt;IF($D$4="Forint",Paraméterek!$J$114,Paraméterek!$K$114),IF($D$4="Forint",Paraméterek!$J$114,Paraméterek!$K$114),IF(ISBLANK($AW296),$AV296,$AW296)*Paraméterek!$J$112))),IF($D$4="Forint",0,2))</f>
        <v>0</v>
      </c>
      <c r="AY296" s="13">
        <f>$AR296+$AT296-$AU296-IF(ROUNDDOWN(IF(ISBLANK($AW296),$AV296,$AW296),IF($D$4="Forint",0,2))&gt;$AR296+$AT296-$AU296-IF($D$4="Forint",Paraméterek!$J$114,Paraméterek!$K$114),0,ROUNDDOWN(IF(ISBLANK($AW296),$AV296,$AW296),IF($D$4="Forint",0,2))-$AX296)</f>
        <v>0</v>
      </c>
      <c r="AZ296" s="13">
        <f t="shared" si="69"/>
        <v>0</v>
      </c>
    </row>
    <row r="297" spans="1:52" x14ac:dyDescent="0.2">
      <c r="A297" s="32">
        <v>278</v>
      </c>
      <c r="B297" s="32">
        <v>24</v>
      </c>
      <c r="C297" s="32">
        <v>2</v>
      </c>
      <c r="D297" s="13">
        <f t="shared" si="60"/>
        <v>0</v>
      </c>
      <c r="E297" s="13"/>
      <c r="F297" s="13"/>
      <c r="G297" s="13"/>
      <c r="H297" s="13">
        <f t="shared" si="61"/>
        <v>0</v>
      </c>
      <c r="I297" s="13">
        <f t="shared" si="62"/>
        <v>0</v>
      </c>
      <c r="J297" s="13">
        <f t="shared" si="63"/>
        <v>0</v>
      </c>
      <c r="K297" s="13">
        <f>ROUNDUP(IF($D$2="Egyszeri",$D297,IF($D$2="Havi",SUM($D$20:$D$31),IF(MOD($C297,$M$1)-1=0,SUM($D$20:$D$31),0))/12*$M$1)*VLOOKUP($B297,Paraméterek!$B$27:$D$30,IF($D$2="Egyszeri",3,2)),IF($D$4="Forint",0,2))</f>
        <v>0</v>
      </c>
      <c r="L297" s="13">
        <f t="shared" si="64"/>
        <v>0</v>
      </c>
      <c r="M297" s="13">
        <f t="shared" ca="1" si="70"/>
        <v>-163720</v>
      </c>
      <c r="N297" s="13">
        <f ca="1">IF($V296&gt;=VLOOKUP($M$4-1+$B297,Paraméterek!$B$121:$D$122,IF($D$4="Forint",2,3)),0,VLOOKUP($M$4-1+$B297,Paraméterek!$B$121:$D$122,IF($D$4="Forint",2,3))-$V296)</f>
        <v>173720</v>
      </c>
      <c r="O297" s="13">
        <f ca="1">ROUNDUP($N297*Paraméterek!$C$58/Paraméterek!$C$56,IF($D$4="Forint",0,2))</f>
        <v>28</v>
      </c>
      <c r="P297" s="13">
        <f t="shared" si="65"/>
        <v>1086</v>
      </c>
      <c r="Q297" s="33"/>
      <c r="R297" s="13">
        <f t="shared" ca="1" si="66"/>
        <v>0</v>
      </c>
      <c r="S297" s="13">
        <f ca="1">ROUNDUP(($M297-$O297-$P297+$R297)*VLOOKUP($B297,Paraméterek!$B$38:$D$39,IF($D$2="Egyszeri",3,2))/12,IF($D$4="Forint",0,2))</f>
        <v>-403</v>
      </c>
      <c r="T297" s="13"/>
      <c r="U297" s="13"/>
      <c r="V297" s="13">
        <f ca="1">$M297-$O297-$P297+$R297-$S297-IF(ROUNDUP(IF(ISBLANK($U297),$T297,$U297)/IF(AND($B297=1,$D$2&lt;&gt;"Egyszeri"),1,VLOOKUP($B297+IF($C297=12,1,0),Paraméterek!$B$257:$D$267,IF($D$2="Egyszeri",3,2))),IF($D$4="Forint",0,2))&gt;$M297-$O297-$P297+$R297-$S297-IF($D$4="Forint",Paraméterek!$C$216,Paraméterek!$D$216),0,ROUNDUP(IF(ISBLANK($U297),$T297,$U297)/IF(AND($B297=1,$D$2&lt;&gt;"Egyszeri"),1,VLOOKUP($B297+IF($C297=12,1,0),Paraméterek!$B$257:$D$267,IF($D$2="Egyszeri",3,2))),IF($D$4="Forint",0,2)))</f>
        <v>-164431</v>
      </c>
      <c r="W297" s="13">
        <f ca="1">ROUNDDOWN($V297*VLOOKUP($B297+IF($C297=12,1,0),Paraméterek!$B$257:$D$267,IF($D$2="Egyszeri",3,2)),IF($D$4="Forint",0,2))</f>
        <v>-164431</v>
      </c>
      <c r="Y297" s="32">
        <v>278</v>
      </c>
      <c r="Z297" s="32">
        <v>24</v>
      </c>
      <c r="AA297" s="32">
        <v>2</v>
      </c>
      <c r="AB297" s="13">
        <f t="shared" si="71"/>
        <v>0</v>
      </c>
      <c r="AC297" s="33"/>
      <c r="AD297" s="13">
        <f t="shared" si="67"/>
        <v>0</v>
      </c>
      <c r="AE297" s="13">
        <f>ROUNDUP(($AB297+$AD297)*VLOOKUP($Z297,Paraméterek!$P$38:$Q$38,2)/12,IF($D$4="Forint",0,2))</f>
        <v>0</v>
      </c>
      <c r="AF297" s="13">
        <f>IF($D$2="Egyszeri",IF($D$7&gt;=IF($D$4="Forint",Paraméterek!$P$223,Paraméterek!$P$224),$D$7-IF($D$4="Forint",Paraméterek!$F$223,Paraméterek!$F$224),0),MIN(IF($AA297=12,AVERAGE($D$20:$D297)*12,0),SUM($D$20:$D$31)))</f>
        <v>0</v>
      </c>
      <c r="AG297" s="13">
        <f>IF(AND($Z297&gt;=10,MOD($Z297,5)=0),$AF297*IF($AA297=12,VLOOKUP($Z297,Paraméterek!$B$225:$F$240,IF($AF297&lt;IF($D$4="Forint",Paraméterek!$C$223,Paraméterek!$C$224),2,IF($AF297&lt;IF($D$4="Forint",Paraméterek!$D$223,Paraméterek!$D$224),3,4))),0),0)</f>
        <v>0</v>
      </c>
      <c r="AH297" s="13">
        <f>IF(AND($Z297&gt;=5,MOD($Z297,5)=0),IF($AA297=12,VLOOKUP($Z297,Paraméterek!$B$225:$F$240,5),0),IF(OR($Z297=3,$Z297=4),IF($AA297=12,VLOOKUP($Z297,Paraméterek!$B$225:$F$240,5,0),0),0))*$AF297</f>
        <v>0</v>
      </c>
      <c r="AI297" s="13">
        <f>ROUNDDOWN(IF(SUM($T$20:$U297)=0,IF($D$2="Egyszeri",$AH297,$AG297),0),IF($D$4="Forint",0,2))</f>
        <v>0</v>
      </c>
      <c r="AJ297" s="13">
        <f t="shared" si="72"/>
        <v>0</v>
      </c>
      <c r="AK297" s="13">
        <f t="shared" si="73"/>
        <v>0</v>
      </c>
      <c r="AM297" s="32">
        <v>278</v>
      </c>
      <c r="AN297" s="32">
        <v>24</v>
      </c>
      <c r="AO297" s="32">
        <v>2</v>
      </c>
      <c r="AP297" s="13"/>
      <c r="AQ297" s="32"/>
      <c r="AR297" s="13">
        <f t="shared" si="74"/>
        <v>0</v>
      </c>
      <c r="AS297" s="33"/>
      <c r="AT297" s="13">
        <f t="shared" si="68"/>
        <v>0</v>
      </c>
      <c r="AU297" s="13">
        <f>ROUNDUP(($AR297+$AT297)*VLOOKUP($AN297,Paraméterek!$P$38:$Q$38,2)/12,IF($D$4="Forint",0,2))</f>
        <v>0</v>
      </c>
      <c r="AV297" s="13"/>
      <c r="AW297" s="13"/>
      <c r="AX297" s="13">
        <f>ROUNDUP(IF(SUM($AV297:$AW297)=0,0,IF(IF(ISBLANK($AW297),$AV297,$AW297)*Paraméterek!$J$112&lt;IF($D$4="Forint",Paraméterek!$J$113,Paraméterek!$K$113),IF($D$4="Forint",Paraméterek!$J$113,Paraméterek!$K$113),IF(IF(ISBLANK($AW297),$AV297,$AW297)*Paraméterek!$J$112&gt;IF($D$4="Forint",Paraméterek!$J$114,Paraméterek!$K$114),IF($D$4="Forint",Paraméterek!$J$114,Paraméterek!$K$114),IF(ISBLANK($AW297),$AV297,$AW297)*Paraméterek!$J$112))),IF($D$4="Forint",0,2))</f>
        <v>0</v>
      </c>
      <c r="AY297" s="13">
        <f>$AR297+$AT297-$AU297-IF(ROUNDDOWN(IF(ISBLANK($AW297),$AV297,$AW297),IF($D$4="Forint",0,2))&gt;$AR297+$AT297-$AU297-IF($D$4="Forint",Paraméterek!$J$114,Paraméterek!$K$114),0,ROUNDDOWN(IF(ISBLANK($AW297),$AV297,$AW297),IF($D$4="Forint",0,2))-$AX297)</f>
        <v>0</v>
      </c>
      <c r="AZ297" s="13">
        <f t="shared" si="69"/>
        <v>0</v>
      </c>
    </row>
    <row r="298" spans="1:52" x14ac:dyDescent="0.2">
      <c r="A298" s="32">
        <v>279</v>
      </c>
      <c r="B298" s="32">
        <v>24</v>
      </c>
      <c r="C298" s="32">
        <v>3</v>
      </c>
      <c r="D298" s="13">
        <f t="shared" si="60"/>
        <v>0</v>
      </c>
      <c r="E298" s="13"/>
      <c r="F298" s="13"/>
      <c r="G298" s="13"/>
      <c r="H298" s="13">
        <f t="shared" si="61"/>
        <v>0</v>
      </c>
      <c r="I298" s="13">
        <f t="shared" si="62"/>
        <v>0</v>
      </c>
      <c r="J298" s="13">
        <f t="shared" si="63"/>
        <v>0</v>
      </c>
      <c r="K298" s="13">
        <f>ROUNDUP(IF($D$2="Egyszeri",$D298,IF($D$2="Havi",SUM($D$20:$D$31),IF(MOD($C298,$M$1)-1=0,SUM($D$20:$D$31),0))/12*$M$1)*VLOOKUP($B298,Paraméterek!$B$27:$D$30,IF($D$2="Egyszeri",3,2)),IF($D$4="Forint",0,2))</f>
        <v>0</v>
      </c>
      <c r="L298" s="13">
        <f t="shared" si="64"/>
        <v>0</v>
      </c>
      <c r="M298" s="13">
        <f t="shared" ca="1" si="70"/>
        <v>-164431</v>
      </c>
      <c r="N298" s="13">
        <f ca="1">IF($V297&gt;=VLOOKUP($M$4-1+$B298,Paraméterek!$B$121:$D$122,IF($D$4="Forint",2,3)),0,VLOOKUP($M$4-1+$B298,Paraméterek!$B$121:$D$122,IF($D$4="Forint",2,3))-$V297)</f>
        <v>174431</v>
      </c>
      <c r="O298" s="13">
        <f ca="1">ROUNDUP($N298*Paraméterek!$C$58/Paraméterek!$C$56,IF($D$4="Forint",0,2))</f>
        <v>28</v>
      </c>
      <c r="P298" s="13">
        <f t="shared" si="65"/>
        <v>1086</v>
      </c>
      <c r="Q298" s="33"/>
      <c r="R298" s="13">
        <f t="shared" ca="1" si="66"/>
        <v>0</v>
      </c>
      <c r="S298" s="13">
        <f ca="1">ROUNDUP(($M298-$O298-$P298+$R298)*VLOOKUP($B298,Paraméterek!$B$38:$D$39,IF($D$2="Egyszeri",3,2))/12,IF($D$4="Forint",0,2))</f>
        <v>-405</v>
      </c>
      <c r="T298" s="13"/>
      <c r="U298" s="13"/>
      <c r="V298" s="13">
        <f ca="1">$M298-$O298-$P298+$R298-$S298-IF(ROUNDUP(IF(ISBLANK($U298),$T298,$U298)/IF(AND($B298=1,$D$2&lt;&gt;"Egyszeri"),1,VLOOKUP($B298+IF($C298=12,1,0),Paraméterek!$B$257:$D$267,IF($D$2="Egyszeri",3,2))),IF($D$4="Forint",0,2))&gt;$M298-$O298-$P298+$R298-$S298-IF($D$4="Forint",Paraméterek!$C$216,Paraméterek!$D$216),0,ROUNDUP(IF(ISBLANK($U298),$T298,$U298)/IF(AND($B298=1,$D$2&lt;&gt;"Egyszeri"),1,VLOOKUP($B298+IF($C298=12,1,0),Paraméterek!$B$257:$D$267,IF($D$2="Egyszeri",3,2))),IF($D$4="Forint",0,2)))</f>
        <v>-165140</v>
      </c>
      <c r="W298" s="13">
        <f ca="1">ROUNDDOWN($V298*VLOOKUP($B298+IF($C298=12,1,0),Paraméterek!$B$257:$D$267,IF($D$2="Egyszeri",3,2)),IF($D$4="Forint",0,2))</f>
        <v>-165140</v>
      </c>
      <c r="Y298" s="32">
        <v>279</v>
      </c>
      <c r="Z298" s="32">
        <v>24</v>
      </c>
      <c r="AA298" s="32">
        <v>3</v>
      </c>
      <c r="AB298" s="13">
        <f t="shared" si="71"/>
        <v>0</v>
      </c>
      <c r="AC298" s="33"/>
      <c r="AD298" s="13">
        <f t="shared" si="67"/>
        <v>0</v>
      </c>
      <c r="AE298" s="13">
        <f>ROUNDUP(($AB298+$AD298)*VLOOKUP($Z298,Paraméterek!$P$38:$Q$38,2)/12,IF($D$4="Forint",0,2))</f>
        <v>0</v>
      </c>
      <c r="AF298" s="13">
        <f>IF($D$2="Egyszeri",IF($D$7&gt;=IF($D$4="Forint",Paraméterek!$P$223,Paraméterek!$P$224),$D$7-IF($D$4="Forint",Paraméterek!$F$223,Paraméterek!$F$224),0),MIN(IF($AA298=12,AVERAGE($D$20:$D298)*12,0),SUM($D$20:$D$31)))</f>
        <v>0</v>
      </c>
      <c r="AG298" s="13">
        <f>IF(AND($Z298&gt;=10,MOD($Z298,5)=0),$AF298*IF($AA298=12,VLOOKUP($Z298,Paraméterek!$B$225:$F$240,IF($AF298&lt;IF($D$4="Forint",Paraméterek!$C$223,Paraméterek!$C$224),2,IF($AF298&lt;IF($D$4="Forint",Paraméterek!$D$223,Paraméterek!$D$224),3,4))),0),0)</f>
        <v>0</v>
      </c>
      <c r="AH298" s="13">
        <f>IF(AND($Z298&gt;=5,MOD($Z298,5)=0),IF($AA298=12,VLOOKUP($Z298,Paraméterek!$B$225:$F$240,5),0),IF(OR($Z298=3,$Z298=4),IF($AA298=12,VLOOKUP($Z298,Paraméterek!$B$225:$F$240,5,0),0),0))*$AF298</f>
        <v>0</v>
      </c>
      <c r="AI298" s="13">
        <f>ROUNDDOWN(IF(SUM($T$20:$U298)=0,IF($D$2="Egyszeri",$AH298,$AG298),0),IF($D$4="Forint",0,2))</f>
        <v>0</v>
      </c>
      <c r="AJ298" s="13">
        <f t="shared" si="72"/>
        <v>0</v>
      </c>
      <c r="AK298" s="13">
        <f t="shared" si="73"/>
        <v>0</v>
      </c>
      <c r="AM298" s="32">
        <v>279</v>
      </c>
      <c r="AN298" s="32">
        <v>24</v>
      </c>
      <c r="AO298" s="32">
        <v>3</v>
      </c>
      <c r="AP298" s="13"/>
      <c r="AQ298" s="32"/>
      <c r="AR298" s="13">
        <f t="shared" si="74"/>
        <v>0</v>
      </c>
      <c r="AS298" s="33"/>
      <c r="AT298" s="13">
        <f t="shared" si="68"/>
        <v>0</v>
      </c>
      <c r="AU298" s="13">
        <f>ROUNDUP(($AR298+$AT298)*VLOOKUP($AN298,Paraméterek!$P$38:$Q$38,2)/12,IF($D$4="Forint",0,2))</f>
        <v>0</v>
      </c>
      <c r="AV298" s="13"/>
      <c r="AW298" s="13"/>
      <c r="AX298" s="13">
        <f>ROUNDUP(IF(SUM($AV298:$AW298)=0,0,IF(IF(ISBLANK($AW298),$AV298,$AW298)*Paraméterek!$J$112&lt;IF($D$4="Forint",Paraméterek!$J$113,Paraméterek!$K$113),IF($D$4="Forint",Paraméterek!$J$113,Paraméterek!$K$113),IF(IF(ISBLANK($AW298),$AV298,$AW298)*Paraméterek!$J$112&gt;IF($D$4="Forint",Paraméterek!$J$114,Paraméterek!$K$114),IF($D$4="Forint",Paraméterek!$J$114,Paraméterek!$K$114),IF(ISBLANK($AW298),$AV298,$AW298)*Paraméterek!$J$112))),IF($D$4="Forint",0,2))</f>
        <v>0</v>
      </c>
      <c r="AY298" s="13">
        <f>$AR298+$AT298-$AU298-IF(ROUNDDOWN(IF(ISBLANK($AW298),$AV298,$AW298),IF($D$4="Forint",0,2))&gt;$AR298+$AT298-$AU298-IF($D$4="Forint",Paraméterek!$J$114,Paraméterek!$K$114),0,ROUNDDOWN(IF(ISBLANK($AW298),$AV298,$AW298),IF($D$4="Forint",0,2))-$AX298)</f>
        <v>0</v>
      </c>
      <c r="AZ298" s="13">
        <f t="shared" si="69"/>
        <v>0</v>
      </c>
    </row>
    <row r="299" spans="1:52" x14ac:dyDescent="0.2">
      <c r="A299" s="32">
        <v>280</v>
      </c>
      <c r="B299" s="32">
        <v>24</v>
      </c>
      <c r="C299" s="32">
        <v>4</v>
      </c>
      <c r="D299" s="13">
        <f t="shared" si="60"/>
        <v>0</v>
      </c>
      <c r="E299" s="13"/>
      <c r="F299" s="13"/>
      <c r="G299" s="13"/>
      <c r="H299" s="13">
        <f t="shared" si="61"/>
        <v>0</v>
      </c>
      <c r="I299" s="13">
        <f t="shared" si="62"/>
        <v>0</v>
      </c>
      <c r="J299" s="13">
        <f t="shared" si="63"/>
        <v>0</v>
      </c>
      <c r="K299" s="13">
        <f>ROUNDUP(IF($D$2="Egyszeri",$D299,IF($D$2="Havi",SUM($D$20:$D$31),IF(MOD($C299,$M$1)-1=0,SUM($D$20:$D$31),0))/12*$M$1)*VLOOKUP($B299,Paraméterek!$B$27:$D$30,IF($D$2="Egyszeri",3,2)),IF($D$4="Forint",0,2))</f>
        <v>0</v>
      </c>
      <c r="L299" s="13">
        <f t="shared" si="64"/>
        <v>0</v>
      </c>
      <c r="M299" s="13">
        <f t="shared" ca="1" si="70"/>
        <v>-165140</v>
      </c>
      <c r="N299" s="13">
        <f ca="1">IF($V298&gt;=VLOOKUP($M$4-1+$B299,Paraméterek!$B$121:$D$122,IF($D$4="Forint",2,3)),0,VLOOKUP($M$4-1+$B299,Paraméterek!$B$121:$D$122,IF($D$4="Forint",2,3))-$V298)</f>
        <v>175140</v>
      </c>
      <c r="O299" s="13">
        <f ca="1">ROUNDUP($N299*Paraméterek!$C$58/Paraméterek!$C$56,IF($D$4="Forint",0,2))</f>
        <v>28</v>
      </c>
      <c r="P299" s="13">
        <f t="shared" si="65"/>
        <v>1086</v>
      </c>
      <c r="Q299" s="33"/>
      <c r="R299" s="13">
        <f t="shared" ca="1" si="66"/>
        <v>0</v>
      </c>
      <c r="S299" s="13">
        <f ca="1">ROUNDUP(($M299-$O299-$P299+$R299)*VLOOKUP($B299,Paraméterek!$B$38:$D$39,IF($D$2="Egyszeri",3,2))/12,IF($D$4="Forint",0,2))</f>
        <v>-406</v>
      </c>
      <c r="T299" s="13"/>
      <c r="U299" s="13"/>
      <c r="V299" s="13">
        <f ca="1">$M299-$O299-$P299+$R299-$S299-IF(ROUNDUP(IF(ISBLANK($U299),$T299,$U299)/IF(AND($B299=1,$D$2&lt;&gt;"Egyszeri"),1,VLOOKUP($B299+IF($C299=12,1,0),Paraméterek!$B$257:$D$267,IF($D$2="Egyszeri",3,2))),IF($D$4="Forint",0,2))&gt;$M299-$O299-$P299+$R299-$S299-IF($D$4="Forint",Paraméterek!$C$216,Paraméterek!$D$216),0,ROUNDUP(IF(ISBLANK($U299),$T299,$U299)/IF(AND($B299=1,$D$2&lt;&gt;"Egyszeri"),1,VLOOKUP($B299+IF($C299=12,1,0),Paraméterek!$B$257:$D$267,IF($D$2="Egyszeri",3,2))),IF($D$4="Forint",0,2)))</f>
        <v>-165848</v>
      </c>
      <c r="W299" s="13">
        <f ca="1">ROUNDDOWN($V299*VLOOKUP($B299+IF($C299=12,1,0),Paraméterek!$B$257:$D$267,IF($D$2="Egyszeri",3,2)),IF($D$4="Forint",0,2))</f>
        <v>-165848</v>
      </c>
      <c r="Y299" s="32">
        <v>280</v>
      </c>
      <c r="Z299" s="32">
        <v>24</v>
      </c>
      <c r="AA299" s="32">
        <v>4</v>
      </c>
      <c r="AB299" s="13">
        <f t="shared" si="71"/>
        <v>0</v>
      </c>
      <c r="AC299" s="33"/>
      <c r="AD299" s="13">
        <f t="shared" si="67"/>
        <v>0</v>
      </c>
      <c r="AE299" s="13">
        <f>ROUNDUP(($AB299+$AD299)*VLOOKUP($Z299,Paraméterek!$P$38:$Q$38,2)/12,IF($D$4="Forint",0,2))</f>
        <v>0</v>
      </c>
      <c r="AF299" s="13">
        <f>IF($D$2="Egyszeri",IF($D$7&gt;=IF($D$4="Forint",Paraméterek!$P$223,Paraméterek!$P$224),$D$7-IF($D$4="Forint",Paraméterek!$F$223,Paraméterek!$F$224),0),MIN(IF($AA299=12,AVERAGE($D$20:$D299)*12,0),SUM($D$20:$D$31)))</f>
        <v>0</v>
      </c>
      <c r="AG299" s="13">
        <f>IF(AND($Z299&gt;=10,MOD($Z299,5)=0),$AF299*IF($AA299=12,VLOOKUP($Z299,Paraméterek!$B$225:$F$240,IF($AF299&lt;IF($D$4="Forint",Paraméterek!$C$223,Paraméterek!$C$224),2,IF($AF299&lt;IF($D$4="Forint",Paraméterek!$D$223,Paraméterek!$D$224),3,4))),0),0)</f>
        <v>0</v>
      </c>
      <c r="AH299" s="13">
        <f>IF(AND($Z299&gt;=5,MOD($Z299,5)=0),IF($AA299=12,VLOOKUP($Z299,Paraméterek!$B$225:$F$240,5),0),IF(OR($Z299=3,$Z299=4),IF($AA299=12,VLOOKUP($Z299,Paraméterek!$B$225:$F$240,5,0),0),0))*$AF299</f>
        <v>0</v>
      </c>
      <c r="AI299" s="13">
        <f>ROUNDDOWN(IF(SUM($T$20:$U299)=0,IF($D$2="Egyszeri",$AH299,$AG299),0),IF($D$4="Forint",0,2))</f>
        <v>0</v>
      </c>
      <c r="AJ299" s="13">
        <f t="shared" si="72"/>
        <v>0</v>
      </c>
      <c r="AK299" s="13">
        <f t="shared" si="73"/>
        <v>0</v>
      </c>
      <c r="AM299" s="32">
        <v>280</v>
      </c>
      <c r="AN299" s="32">
        <v>24</v>
      </c>
      <c r="AO299" s="32">
        <v>4</v>
      </c>
      <c r="AP299" s="13"/>
      <c r="AQ299" s="32"/>
      <c r="AR299" s="13">
        <f t="shared" si="74"/>
        <v>0</v>
      </c>
      <c r="AS299" s="33"/>
      <c r="AT299" s="13">
        <f t="shared" si="68"/>
        <v>0</v>
      </c>
      <c r="AU299" s="13">
        <f>ROUNDUP(($AR299+$AT299)*VLOOKUP($AN299,Paraméterek!$P$38:$Q$38,2)/12,IF($D$4="Forint",0,2))</f>
        <v>0</v>
      </c>
      <c r="AV299" s="13"/>
      <c r="AW299" s="13"/>
      <c r="AX299" s="13">
        <f>ROUNDUP(IF(SUM($AV299:$AW299)=0,0,IF(IF(ISBLANK($AW299),$AV299,$AW299)*Paraméterek!$J$112&lt;IF($D$4="Forint",Paraméterek!$J$113,Paraméterek!$K$113),IF($D$4="Forint",Paraméterek!$J$113,Paraméterek!$K$113),IF(IF(ISBLANK($AW299),$AV299,$AW299)*Paraméterek!$J$112&gt;IF($D$4="Forint",Paraméterek!$J$114,Paraméterek!$K$114),IF($D$4="Forint",Paraméterek!$J$114,Paraméterek!$K$114),IF(ISBLANK($AW299),$AV299,$AW299)*Paraméterek!$J$112))),IF($D$4="Forint",0,2))</f>
        <v>0</v>
      </c>
      <c r="AY299" s="13">
        <f>$AR299+$AT299-$AU299-IF(ROUNDDOWN(IF(ISBLANK($AW299),$AV299,$AW299),IF($D$4="Forint",0,2))&gt;$AR299+$AT299-$AU299-IF($D$4="Forint",Paraméterek!$J$114,Paraméterek!$K$114),0,ROUNDDOWN(IF(ISBLANK($AW299),$AV299,$AW299),IF($D$4="Forint",0,2))-$AX299)</f>
        <v>0</v>
      </c>
      <c r="AZ299" s="13">
        <f t="shared" si="69"/>
        <v>0</v>
      </c>
    </row>
    <row r="300" spans="1:52" x14ac:dyDescent="0.2">
      <c r="A300" s="32">
        <v>281</v>
      </c>
      <c r="B300" s="32">
        <v>24</v>
      </c>
      <c r="C300" s="32">
        <v>5</v>
      </c>
      <c r="D300" s="13">
        <f t="shared" si="60"/>
        <v>0</v>
      </c>
      <c r="E300" s="13"/>
      <c r="F300" s="13"/>
      <c r="G300" s="13"/>
      <c r="H300" s="13">
        <f t="shared" si="61"/>
        <v>0</v>
      </c>
      <c r="I300" s="13">
        <f t="shared" si="62"/>
        <v>0</v>
      </c>
      <c r="J300" s="13">
        <f t="shared" si="63"/>
        <v>0</v>
      </c>
      <c r="K300" s="13">
        <f>ROUNDUP(IF($D$2="Egyszeri",$D300,IF($D$2="Havi",SUM($D$20:$D$31),IF(MOD($C300,$M$1)-1=0,SUM($D$20:$D$31),0))/12*$M$1)*VLOOKUP($B300,Paraméterek!$B$27:$D$30,IF($D$2="Egyszeri",3,2)),IF($D$4="Forint",0,2))</f>
        <v>0</v>
      </c>
      <c r="L300" s="13">
        <f t="shared" si="64"/>
        <v>0</v>
      </c>
      <c r="M300" s="13">
        <f t="shared" ca="1" si="70"/>
        <v>-165848</v>
      </c>
      <c r="N300" s="13">
        <f ca="1">IF($V299&gt;=VLOOKUP($M$4-1+$B300,Paraméterek!$B$121:$D$122,IF($D$4="Forint",2,3)),0,VLOOKUP($M$4-1+$B300,Paraméterek!$B$121:$D$122,IF($D$4="Forint",2,3))-$V299)</f>
        <v>175848</v>
      </c>
      <c r="O300" s="13">
        <f ca="1">ROUNDUP($N300*Paraméterek!$C$58/Paraméterek!$C$56,IF($D$4="Forint",0,2))</f>
        <v>28</v>
      </c>
      <c r="P300" s="13">
        <f t="shared" si="65"/>
        <v>1086</v>
      </c>
      <c r="Q300" s="33"/>
      <c r="R300" s="13">
        <f t="shared" ca="1" si="66"/>
        <v>0</v>
      </c>
      <c r="S300" s="13">
        <f ca="1">ROUNDUP(($M300-$O300-$P300+$R300)*VLOOKUP($B300,Paraméterek!$B$38:$D$39,IF($D$2="Egyszeri",3,2))/12,IF($D$4="Forint",0,2))</f>
        <v>-408</v>
      </c>
      <c r="T300" s="13"/>
      <c r="U300" s="13"/>
      <c r="V300" s="13">
        <f ca="1">$M300-$O300-$P300+$R300-$S300-IF(ROUNDUP(IF(ISBLANK($U300),$T300,$U300)/IF(AND($B300=1,$D$2&lt;&gt;"Egyszeri"),1,VLOOKUP($B300+IF($C300=12,1,0),Paraméterek!$B$257:$D$267,IF($D$2="Egyszeri",3,2))),IF($D$4="Forint",0,2))&gt;$M300-$O300-$P300+$R300-$S300-IF($D$4="Forint",Paraméterek!$C$216,Paraméterek!$D$216),0,ROUNDUP(IF(ISBLANK($U300),$T300,$U300)/IF(AND($B300=1,$D$2&lt;&gt;"Egyszeri"),1,VLOOKUP($B300+IF($C300=12,1,0),Paraméterek!$B$257:$D$267,IF($D$2="Egyszeri",3,2))),IF($D$4="Forint",0,2)))</f>
        <v>-166554</v>
      </c>
      <c r="W300" s="13">
        <f ca="1">ROUNDDOWN($V300*VLOOKUP($B300+IF($C300=12,1,0),Paraméterek!$B$257:$D$267,IF($D$2="Egyszeri",3,2)),IF($D$4="Forint",0,2))</f>
        <v>-166554</v>
      </c>
      <c r="Y300" s="32">
        <v>281</v>
      </c>
      <c r="Z300" s="32">
        <v>24</v>
      </c>
      <c r="AA300" s="32">
        <v>5</v>
      </c>
      <c r="AB300" s="13">
        <f t="shared" si="71"/>
        <v>0</v>
      </c>
      <c r="AC300" s="33"/>
      <c r="AD300" s="13">
        <f t="shared" si="67"/>
        <v>0</v>
      </c>
      <c r="AE300" s="13">
        <f>ROUNDUP(($AB300+$AD300)*VLOOKUP($Z300,Paraméterek!$P$38:$Q$38,2)/12,IF($D$4="Forint",0,2))</f>
        <v>0</v>
      </c>
      <c r="AF300" s="13">
        <f>IF($D$2="Egyszeri",IF($D$7&gt;=IF($D$4="Forint",Paraméterek!$P$223,Paraméterek!$P$224),$D$7-IF($D$4="Forint",Paraméterek!$F$223,Paraméterek!$F$224),0),MIN(IF($AA300=12,AVERAGE($D$20:$D300)*12,0),SUM($D$20:$D$31)))</f>
        <v>0</v>
      </c>
      <c r="AG300" s="13">
        <f>IF(AND($Z300&gt;=10,MOD($Z300,5)=0),$AF300*IF($AA300=12,VLOOKUP($Z300,Paraméterek!$B$225:$F$240,IF($AF300&lt;IF($D$4="Forint",Paraméterek!$C$223,Paraméterek!$C$224),2,IF($AF300&lt;IF($D$4="Forint",Paraméterek!$D$223,Paraméterek!$D$224),3,4))),0),0)</f>
        <v>0</v>
      </c>
      <c r="AH300" s="13">
        <f>IF(AND($Z300&gt;=5,MOD($Z300,5)=0),IF($AA300=12,VLOOKUP($Z300,Paraméterek!$B$225:$F$240,5),0),IF(OR($Z300=3,$Z300=4),IF($AA300=12,VLOOKUP($Z300,Paraméterek!$B$225:$F$240,5,0),0),0))*$AF300</f>
        <v>0</v>
      </c>
      <c r="AI300" s="13">
        <f>ROUNDDOWN(IF(SUM($T$20:$U300)=0,IF($D$2="Egyszeri",$AH300,$AG300),0),IF($D$4="Forint",0,2))</f>
        <v>0</v>
      </c>
      <c r="AJ300" s="13">
        <f t="shared" si="72"/>
        <v>0</v>
      </c>
      <c r="AK300" s="13">
        <f t="shared" si="73"/>
        <v>0</v>
      </c>
      <c r="AM300" s="32">
        <v>281</v>
      </c>
      <c r="AN300" s="32">
        <v>24</v>
      </c>
      <c r="AO300" s="32">
        <v>5</v>
      </c>
      <c r="AP300" s="13"/>
      <c r="AQ300" s="32"/>
      <c r="AR300" s="13">
        <f t="shared" si="74"/>
        <v>0</v>
      </c>
      <c r="AS300" s="33"/>
      <c r="AT300" s="13">
        <f t="shared" si="68"/>
        <v>0</v>
      </c>
      <c r="AU300" s="13">
        <f>ROUNDUP(($AR300+$AT300)*VLOOKUP($AN300,Paraméterek!$P$38:$Q$38,2)/12,IF($D$4="Forint",0,2))</f>
        <v>0</v>
      </c>
      <c r="AV300" s="13"/>
      <c r="AW300" s="13"/>
      <c r="AX300" s="13">
        <f>ROUNDUP(IF(SUM($AV300:$AW300)=0,0,IF(IF(ISBLANK($AW300),$AV300,$AW300)*Paraméterek!$J$112&lt;IF($D$4="Forint",Paraméterek!$J$113,Paraméterek!$K$113),IF($D$4="Forint",Paraméterek!$J$113,Paraméterek!$K$113),IF(IF(ISBLANK($AW300),$AV300,$AW300)*Paraméterek!$J$112&gt;IF($D$4="Forint",Paraméterek!$J$114,Paraméterek!$K$114),IF($D$4="Forint",Paraméterek!$J$114,Paraméterek!$K$114),IF(ISBLANK($AW300),$AV300,$AW300)*Paraméterek!$J$112))),IF($D$4="Forint",0,2))</f>
        <v>0</v>
      </c>
      <c r="AY300" s="13">
        <f>$AR300+$AT300-$AU300-IF(ROUNDDOWN(IF(ISBLANK($AW300),$AV300,$AW300),IF($D$4="Forint",0,2))&gt;$AR300+$AT300-$AU300-IF($D$4="Forint",Paraméterek!$J$114,Paraméterek!$K$114),0,ROUNDDOWN(IF(ISBLANK($AW300),$AV300,$AW300),IF($D$4="Forint",0,2))-$AX300)</f>
        <v>0</v>
      </c>
      <c r="AZ300" s="13">
        <f t="shared" si="69"/>
        <v>0</v>
      </c>
    </row>
    <row r="301" spans="1:52" x14ac:dyDescent="0.2">
      <c r="A301" s="32">
        <v>282</v>
      </c>
      <c r="B301" s="32">
        <v>24</v>
      </c>
      <c r="C301" s="32">
        <v>6</v>
      </c>
      <c r="D301" s="13">
        <f t="shared" si="60"/>
        <v>0</v>
      </c>
      <c r="E301" s="13"/>
      <c r="F301" s="13"/>
      <c r="G301" s="13"/>
      <c r="H301" s="13">
        <f t="shared" si="61"/>
        <v>0</v>
      </c>
      <c r="I301" s="13">
        <f t="shared" si="62"/>
        <v>0</v>
      </c>
      <c r="J301" s="13">
        <f t="shared" si="63"/>
        <v>0</v>
      </c>
      <c r="K301" s="13">
        <f>ROUNDUP(IF($D$2="Egyszeri",$D301,IF($D$2="Havi",SUM($D$20:$D$31),IF(MOD($C301,$M$1)-1=0,SUM($D$20:$D$31),0))/12*$M$1)*VLOOKUP($B301,Paraméterek!$B$27:$D$30,IF($D$2="Egyszeri",3,2)),IF($D$4="Forint",0,2))</f>
        <v>0</v>
      </c>
      <c r="L301" s="13">
        <f t="shared" si="64"/>
        <v>0</v>
      </c>
      <c r="M301" s="13">
        <f t="shared" ca="1" si="70"/>
        <v>-166554</v>
      </c>
      <c r="N301" s="13">
        <f ca="1">IF($V300&gt;=VLOOKUP($M$4-1+$B301,Paraméterek!$B$121:$D$122,IF($D$4="Forint",2,3)),0,VLOOKUP($M$4-1+$B301,Paraméterek!$B$121:$D$122,IF($D$4="Forint",2,3))-$V300)</f>
        <v>176554</v>
      </c>
      <c r="O301" s="13">
        <f ca="1">ROUNDUP($N301*Paraméterek!$C$58/Paraméterek!$C$56,IF($D$4="Forint",0,2))</f>
        <v>29</v>
      </c>
      <c r="P301" s="13">
        <f t="shared" si="65"/>
        <v>1086</v>
      </c>
      <c r="Q301" s="33"/>
      <c r="R301" s="13">
        <f t="shared" ca="1" si="66"/>
        <v>0</v>
      </c>
      <c r="S301" s="13">
        <f ca="1">ROUNDUP(($M301-$O301-$P301+$R301)*VLOOKUP($B301,Paraméterek!$B$38:$D$39,IF($D$2="Egyszeri",3,2))/12,IF($D$4="Forint",0,2))</f>
        <v>-410</v>
      </c>
      <c r="T301" s="13"/>
      <c r="U301" s="13"/>
      <c r="V301" s="13">
        <f ca="1">$M301-$O301-$P301+$R301-$S301-IF(ROUNDUP(IF(ISBLANK($U301),$T301,$U301)/IF(AND($B301=1,$D$2&lt;&gt;"Egyszeri"),1,VLOOKUP($B301+IF($C301=12,1,0),Paraméterek!$B$257:$D$267,IF($D$2="Egyszeri",3,2))),IF($D$4="Forint",0,2))&gt;$M301-$O301-$P301+$R301-$S301-IF($D$4="Forint",Paraméterek!$C$216,Paraméterek!$D$216),0,ROUNDUP(IF(ISBLANK($U301),$T301,$U301)/IF(AND($B301=1,$D$2&lt;&gt;"Egyszeri"),1,VLOOKUP($B301+IF($C301=12,1,0),Paraméterek!$B$257:$D$267,IF($D$2="Egyszeri",3,2))),IF($D$4="Forint",0,2)))</f>
        <v>-167259</v>
      </c>
      <c r="W301" s="13">
        <f ca="1">ROUNDDOWN($V301*VLOOKUP($B301+IF($C301=12,1,0),Paraméterek!$B$257:$D$267,IF($D$2="Egyszeri",3,2)),IF($D$4="Forint",0,2))</f>
        <v>-167259</v>
      </c>
      <c r="Y301" s="32">
        <v>282</v>
      </c>
      <c r="Z301" s="32">
        <v>24</v>
      </c>
      <c r="AA301" s="32">
        <v>6</v>
      </c>
      <c r="AB301" s="13">
        <f t="shared" si="71"/>
        <v>0</v>
      </c>
      <c r="AC301" s="33"/>
      <c r="AD301" s="13">
        <f t="shared" si="67"/>
        <v>0</v>
      </c>
      <c r="AE301" s="13">
        <f>ROUNDUP(($AB301+$AD301)*VLOOKUP($Z301,Paraméterek!$P$38:$Q$38,2)/12,IF($D$4="Forint",0,2))</f>
        <v>0</v>
      </c>
      <c r="AF301" s="13">
        <f>IF($D$2="Egyszeri",IF($D$7&gt;=IF($D$4="Forint",Paraméterek!$P$223,Paraméterek!$P$224),$D$7-IF($D$4="Forint",Paraméterek!$F$223,Paraméterek!$F$224),0),MIN(IF($AA301=12,AVERAGE($D$20:$D301)*12,0),SUM($D$20:$D$31)))</f>
        <v>0</v>
      </c>
      <c r="AG301" s="13">
        <f>IF(AND($Z301&gt;=10,MOD($Z301,5)=0),$AF301*IF($AA301=12,VLOOKUP($Z301,Paraméterek!$B$225:$F$240,IF($AF301&lt;IF($D$4="Forint",Paraméterek!$C$223,Paraméterek!$C$224),2,IF($AF301&lt;IF($D$4="Forint",Paraméterek!$D$223,Paraméterek!$D$224),3,4))),0),0)</f>
        <v>0</v>
      </c>
      <c r="AH301" s="13">
        <f>IF(AND($Z301&gt;=5,MOD($Z301,5)=0),IF($AA301=12,VLOOKUP($Z301,Paraméterek!$B$225:$F$240,5),0),IF(OR($Z301=3,$Z301=4),IF($AA301=12,VLOOKUP($Z301,Paraméterek!$B$225:$F$240,5,0),0),0))*$AF301</f>
        <v>0</v>
      </c>
      <c r="AI301" s="13">
        <f>ROUNDDOWN(IF(SUM($T$20:$U301)=0,IF($D$2="Egyszeri",$AH301,$AG301),0),IF($D$4="Forint",0,2))</f>
        <v>0</v>
      </c>
      <c r="AJ301" s="13">
        <f t="shared" si="72"/>
        <v>0</v>
      </c>
      <c r="AK301" s="13">
        <f t="shared" si="73"/>
        <v>0</v>
      </c>
      <c r="AM301" s="32">
        <v>282</v>
      </c>
      <c r="AN301" s="32">
        <v>24</v>
      </c>
      <c r="AO301" s="32">
        <v>6</v>
      </c>
      <c r="AP301" s="13"/>
      <c r="AQ301" s="32"/>
      <c r="AR301" s="13">
        <f t="shared" si="74"/>
        <v>0</v>
      </c>
      <c r="AS301" s="33"/>
      <c r="AT301" s="13">
        <f t="shared" si="68"/>
        <v>0</v>
      </c>
      <c r="AU301" s="13">
        <f>ROUNDUP(($AR301+$AT301)*VLOOKUP($AN301,Paraméterek!$P$38:$Q$38,2)/12,IF($D$4="Forint",0,2))</f>
        <v>0</v>
      </c>
      <c r="AV301" s="13"/>
      <c r="AW301" s="13"/>
      <c r="AX301" s="13">
        <f>ROUNDUP(IF(SUM($AV301:$AW301)=0,0,IF(IF(ISBLANK($AW301),$AV301,$AW301)*Paraméterek!$J$112&lt;IF($D$4="Forint",Paraméterek!$J$113,Paraméterek!$K$113),IF($D$4="Forint",Paraméterek!$J$113,Paraméterek!$K$113),IF(IF(ISBLANK($AW301),$AV301,$AW301)*Paraméterek!$J$112&gt;IF($D$4="Forint",Paraméterek!$J$114,Paraméterek!$K$114),IF($D$4="Forint",Paraméterek!$J$114,Paraméterek!$K$114),IF(ISBLANK($AW301),$AV301,$AW301)*Paraméterek!$J$112))),IF($D$4="Forint",0,2))</f>
        <v>0</v>
      </c>
      <c r="AY301" s="13">
        <f>$AR301+$AT301-$AU301-IF(ROUNDDOWN(IF(ISBLANK($AW301),$AV301,$AW301),IF($D$4="Forint",0,2))&gt;$AR301+$AT301-$AU301-IF($D$4="Forint",Paraméterek!$J$114,Paraméterek!$K$114),0,ROUNDDOWN(IF(ISBLANK($AW301),$AV301,$AW301),IF($D$4="Forint",0,2))-$AX301)</f>
        <v>0</v>
      </c>
      <c r="AZ301" s="13">
        <f t="shared" si="69"/>
        <v>0</v>
      </c>
    </row>
    <row r="302" spans="1:52" x14ac:dyDescent="0.2">
      <c r="A302" s="32">
        <v>283</v>
      </c>
      <c r="B302" s="32">
        <v>24</v>
      </c>
      <c r="C302" s="32">
        <v>7</v>
      </c>
      <c r="D302" s="13">
        <f t="shared" si="60"/>
        <v>0</v>
      </c>
      <c r="E302" s="13"/>
      <c r="F302" s="13"/>
      <c r="G302" s="13"/>
      <c r="H302" s="13">
        <f t="shared" si="61"/>
        <v>0</v>
      </c>
      <c r="I302" s="13">
        <f t="shared" si="62"/>
        <v>0</v>
      </c>
      <c r="J302" s="13">
        <f t="shared" si="63"/>
        <v>0</v>
      </c>
      <c r="K302" s="13">
        <f>ROUNDUP(IF($D$2="Egyszeri",$D302,IF($D$2="Havi",SUM($D$20:$D$31),IF(MOD($C302,$M$1)-1=0,SUM($D$20:$D$31),0))/12*$M$1)*VLOOKUP($B302,Paraméterek!$B$27:$D$30,IF($D$2="Egyszeri",3,2)),IF($D$4="Forint",0,2))</f>
        <v>0</v>
      </c>
      <c r="L302" s="13">
        <f t="shared" si="64"/>
        <v>0</v>
      </c>
      <c r="M302" s="13">
        <f t="shared" ca="1" si="70"/>
        <v>-167259</v>
      </c>
      <c r="N302" s="13">
        <f ca="1">IF($V301&gt;=VLOOKUP($M$4-1+$B302,Paraméterek!$B$121:$D$122,IF($D$4="Forint",2,3)),0,VLOOKUP($M$4-1+$B302,Paraméterek!$B$121:$D$122,IF($D$4="Forint",2,3))-$V301)</f>
        <v>177259</v>
      </c>
      <c r="O302" s="13">
        <f ca="1">ROUNDUP($N302*Paraméterek!$C$58/Paraméterek!$C$56,IF($D$4="Forint",0,2))</f>
        <v>29</v>
      </c>
      <c r="P302" s="13">
        <f t="shared" si="65"/>
        <v>1086</v>
      </c>
      <c r="Q302" s="33"/>
      <c r="R302" s="13">
        <f t="shared" ca="1" si="66"/>
        <v>0</v>
      </c>
      <c r="S302" s="13">
        <f ca="1">ROUNDUP(($M302-$O302-$P302+$R302)*VLOOKUP($B302,Paraméterek!$B$38:$D$39,IF($D$2="Egyszeri",3,2))/12,IF($D$4="Forint",0,2))</f>
        <v>-412</v>
      </c>
      <c r="T302" s="13"/>
      <c r="U302" s="13"/>
      <c r="V302" s="13">
        <f ca="1">$M302-$O302-$P302+$R302-$S302-IF(ROUNDUP(IF(ISBLANK($U302),$T302,$U302)/IF(AND($B302=1,$D$2&lt;&gt;"Egyszeri"),1,VLOOKUP($B302+IF($C302=12,1,0),Paraméterek!$B$257:$D$267,IF($D$2="Egyszeri",3,2))),IF($D$4="Forint",0,2))&gt;$M302-$O302-$P302+$R302-$S302-IF($D$4="Forint",Paraméterek!$C$216,Paraméterek!$D$216),0,ROUNDUP(IF(ISBLANK($U302),$T302,$U302)/IF(AND($B302=1,$D$2&lt;&gt;"Egyszeri"),1,VLOOKUP($B302+IF($C302=12,1,0),Paraméterek!$B$257:$D$267,IF($D$2="Egyszeri",3,2))),IF($D$4="Forint",0,2)))</f>
        <v>-167962</v>
      </c>
      <c r="W302" s="13">
        <f ca="1">ROUNDDOWN($V302*VLOOKUP($B302+IF($C302=12,1,0),Paraméterek!$B$257:$D$267,IF($D$2="Egyszeri",3,2)),IF($D$4="Forint",0,2))</f>
        <v>-167962</v>
      </c>
      <c r="Y302" s="32">
        <v>283</v>
      </c>
      <c r="Z302" s="32">
        <v>24</v>
      </c>
      <c r="AA302" s="32">
        <v>7</v>
      </c>
      <c r="AB302" s="13">
        <f t="shared" si="71"/>
        <v>0</v>
      </c>
      <c r="AC302" s="33"/>
      <c r="AD302" s="13">
        <f t="shared" si="67"/>
        <v>0</v>
      </c>
      <c r="AE302" s="13">
        <f>ROUNDUP(($AB302+$AD302)*VLOOKUP($Z302,Paraméterek!$P$38:$Q$38,2)/12,IF($D$4="Forint",0,2))</f>
        <v>0</v>
      </c>
      <c r="AF302" s="13">
        <f>IF($D$2="Egyszeri",IF($D$7&gt;=IF($D$4="Forint",Paraméterek!$P$223,Paraméterek!$P$224),$D$7-IF($D$4="Forint",Paraméterek!$F$223,Paraméterek!$F$224),0),MIN(IF($AA302=12,AVERAGE($D$20:$D302)*12,0),SUM($D$20:$D$31)))</f>
        <v>0</v>
      </c>
      <c r="AG302" s="13">
        <f>IF(AND($Z302&gt;=10,MOD($Z302,5)=0),$AF302*IF($AA302=12,VLOOKUP($Z302,Paraméterek!$B$225:$F$240,IF($AF302&lt;IF($D$4="Forint",Paraméterek!$C$223,Paraméterek!$C$224),2,IF($AF302&lt;IF($D$4="Forint",Paraméterek!$D$223,Paraméterek!$D$224),3,4))),0),0)</f>
        <v>0</v>
      </c>
      <c r="AH302" s="13">
        <f>IF(AND($Z302&gt;=5,MOD($Z302,5)=0),IF($AA302=12,VLOOKUP($Z302,Paraméterek!$B$225:$F$240,5),0),IF(OR($Z302=3,$Z302=4),IF($AA302=12,VLOOKUP($Z302,Paraméterek!$B$225:$F$240,5,0),0),0))*$AF302</f>
        <v>0</v>
      </c>
      <c r="AI302" s="13">
        <f>ROUNDDOWN(IF(SUM($T$20:$U302)=0,IF($D$2="Egyszeri",$AH302,$AG302),0),IF($D$4="Forint",0,2))</f>
        <v>0</v>
      </c>
      <c r="AJ302" s="13">
        <f t="shared" si="72"/>
        <v>0</v>
      </c>
      <c r="AK302" s="13">
        <f t="shared" si="73"/>
        <v>0</v>
      </c>
      <c r="AM302" s="32">
        <v>283</v>
      </c>
      <c r="AN302" s="32">
        <v>24</v>
      </c>
      <c r="AO302" s="32">
        <v>7</v>
      </c>
      <c r="AP302" s="13"/>
      <c r="AQ302" s="32"/>
      <c r="AR302" s="13">
        <f t="shared" si="74"/>
        <v>0</v>
      </c>
      <c r="AS302" s="33"/>
      <c r="AT302" s="13">
        <f t="shared" si="68"/>
        <v>0</v>
      </c>
      <c r="AU302" s="13">
        <f>ROUNDUP(($AR302+$AT302)*VLOOKUP($AN302,Paraméterek!$P$38:$Q$38,2)/12,IF($D$4="Forint",0,2))</f>
        <v>0</v>
      </c>
      <c r="AV302" s="13"/>
      <c r="AW302" s="13"/>
      <c r="AX302" s="13">
        <f>ROUNDUP(IF(SUM($AV302:$AW302)=0,0,IF(IF(ISBLANK($AW302),$AV302,$AW302)*Paraméterek!$J$112&lt;IF($D$4="Forint",Paraméterek!$J$113,Paraméterek!$K$113),IF($D$4="Forint",Paraméterek!$J$113,Paraméterek!$K$113),IF(IF(ISBLANK($AW302),$AV302,$AW302)*Paraméterek!$J$112&gt;IF($D$4="Forint",Paraméterek!$J$114,Paraméterek!$K$114),IF($D$4="Forint",Paraméterek!$J$114,Paraméterek!$K$114),IF(ISBLANK($AW302),$AV302,$AW302)*Paraméterek!$J$112))),IF($D$4="Forint",0,2))</f>
        <v>0</v>
      </c>
      <c r="AY302" s="13">
        <f>$AR302+$AT302-$AU302-IF(ROUNDDOWN(IF(ISBLANK($AW302),$AV302,$AW302),IF($D$4="Forint",0,2))&gt;$AR302+$AT302-$AU302-IF($D$4="Forint",Paraméterek!$J$114,Paraméterek!$K$114),0,ROUNDDOWN(IF(ISBLANK($AW302),$AV302,$AW302),IF($D$4="Forint",0,2))-$AX302)</f>
        <v>0</v>
      </c>
      <c r="AZ302" s="13">
        <f t="shared" si="69"/>
        <v>0</v>
      </c>
    </row>
    <row r="303" spans="1:52" x14ac:dyDescent="0.2">
      <c r="A303" s="32">
        <v>284</v>
      </c>
      <c r="B303" s="32">
        <v>24</v>
      </c>
      <c r="C303" s="32">
        <v>8</v>
      </c>
      <c r="D303" s="13">
        <f t="shared" si="60"/>
        <v>0</v>
      </c>
      <c r="E303" s="13"/>
      <c r="F303" s="13"/>
      <c r="G303" s="13"/>
      <c r="H303" s="13">
        <f t="shared" si="61"/>
        <v>0</v>
      </c>
      <c r="I303" s="13">
        <f t="shared" si="62"/>
        <v>0</v>
      </c>
      <c r="J303" s="13">
        <f t="shared" si="63"/>
        <v>0</v>
      </c>
      <c r="K303" s="13">
        <f>ROUNDUP(IF($D$2="Egyszeri",$D303,IF($D$2="Havi",SUM($D$20:$D$31),IF(MOD($C303,$M$1)-1=0,SUM($D$20:$D$31),0))/12*$M$1)*VLOOKUP($B303,Paraméterek!$B$27:$D$30,IF($D$2="Egyszeri",3,2)),IF($D$4="Forint",0,2))</f>
        <v>0</v>
      </c>
      <c r="L303" s="13">
        <f t="shared" si="64"/>
        <v>0</v>
      </c>
      <c r="M303" s="13">
        <f t="shared" ca="1" si="70"/>
        <v>-167962</v>
      </c>
      <c r="N303" s="13">
        <f ca="1">IF($V302&gt;=VLOOKUP($M$4-1+$B303,Paraméterek!$B$121:$D$122,IF($D$4="Forint",2,3)),0,VLOOKUP($M$4-1+$B303,Paraméterek!$B$121:$D$122,IF($D$4="Forint",2,3))-$V302)</f>
        <v>177962</v>
      </c>
      <c r="O303" s="13">
        <f ca="1">ROUNDUP($N303*Paraméterek!$C$58/Paraméterek!$C$56,IF($D$4="Forint",0,2))</f>
        <v>29</v>
      </c>
      <c r="P303" s="13">
        <f t="shared" si="65"/>
        <v>1086</v>
      </c>
      <c r="Q303" s="33"/>
      <c r="R303" s="13">
        <f t="shared" ca="1" si="66"/>
        <v>0</v>
      </c>
      <c r="S303" s="13">
        <f ca="1">ROUNDUP(($M303-$O303-$P303+$R303)*VLOOKUP($B303,Paraméterek!$B$38:$D$39,IF($D$2="Egyszeri",3,2))/12,IF($D$4="Forint",0,2))</f>
        <v>-413</v>
      </c>
      <c r="T303" s="13"/>
      <c r="U303" s="13"/>
      <c r="V303" s="13">
        <f ca="1">$M303-$O303-$P303+$R303-$S303-IF(ROUNDUP(IF(ISBLANK($U303),$T303,$U303)/IF(AND($B303=1,$D$2&lt;&gt;"Egyszeri"),1,VLOOKUP($B303+IF($C303=12,1,0),Paraméterek!$B$257:$D$267,IF($D$2="Egyszeri",3,2))),IF($D$4="Forint",0,2))&gt;$M303-$O303-$P303+$R303-$S303-IF($D$4="Forint",Paraméterek!$C$216,Paraméterek!$D$216),0,ROUNDUP(IF(ISBLANK($U303),$T303,$U303)/IF(AND($B303=1,$D$2&lt;&gt;"Egyszeri"),1,VLOOKUP($B303+IF($C303=12,1,0),Paraméterek!$B$257:$D$267,IF($D$2="Egyszeri",3,2))),IF($D$4="Forint",0,2)))</f>
        <v>-168664</v>
      </c>
      <c r="W303" s="13">
        <f ca="1">ROUNDDOWN($V303*VLOOKUP($B303+IF($C303=12,1,0),Paraméterek!$B$257:$D$267,IF($D$2="Egyszeri",3,2)),IF($D$4="Forint",0,2))</f>
        <v>-168664</v>
      </c>
      <c r="Y303" s="32">
        <v>284</v>
      </c>
      <c r="Z303" s="32">
        <v>24</v>
      </c>
      <c r="AA303" s="32">
        <v>8</v>
      </c>
      <c r="AB303" s="13">
        <f t="shared" si="71"/>
        <v>0</v>
      </c>
      <c r="AC303" s="33"/>
      <c r="AD303" s="13">
        <f t="shared" si="67"/>
        <v>0</v>
      </c>
      <c r="AE303" s="13">
        <f>ROUNDUP(($AB303+$AD303)*VLOOKUP($Z303,Paraméterek!$P$38:$Q$38,2)/12,IF($D$4="Forint",0,2))</f>
        <v>0</v>
      </c>
      <c r="AF303" s="13">
        <f>IF($D$2="Egyszeri",IF($D$7&gt;=IF($D$4="Forint",Paraméterek!$P$223,Paraméterek!$P$224),$D$7-IF($D$4="Forint",Paraméterek!$F$223,Paraméterek!$F$224),0),MIN(IF($AA303=12,AVERAGE($D$20:$D303)*12,0),SUM($D$20:$D$31)))</f>
        <v>0</v>
      </c>
      <c r="AG303" s="13">
        <f>IF(AND($Z303&gt;=10,MOD($Z303,5)=0),$AF303*IF($AA303=12,VLOOKUP($Z303,Paraméterek!$B$225:$F$240,IF($AF303&lt;IF($D$4="Forint",Paraméterek!$C$223,Paraméterek!$C$224),2,IF($AF303&lt;IF($D$4="Forint",Paraméterek!$D$223,Paraméterek!$D$224),3,4))),0),0)</f>
        <v>0</v>
      </c>
      <c r="AH303" s="13">
        <f>IF(AND($Z303&gt;=5,MOD($Z303,5)=0),IF($AA303=12,VLOOKUP($Z303,Paraméterek!$B$225:$F$240,5),0),IF(OR($Z303=3,$Z303=4),IF($AA303=12,VLOOKUP($Z303,Paraméterek!$B$225:$F$240,5,0),0),0))*$AF303</f>
        <v>0</v>
      </c>
      <c r="AI303" s="13">
        <f>ROUNDDOWN(IF(SUM($T$20:$U303)=0,IF($D$2="Egyszeri",$AH303,$AG303),0),IF($D$4="Forint",0,2))</f>
        <v>0</v>
      </c>
      <c r="AJ303" s="13">
        <f t="shared" si="72"/>
        <v>0</v>
      </c>
      <c r="AK303" s="13">
        <f t="shared" si="73"/>
        <v>0</v>
      </c>
      <c r="AM303" s="32">
        <v>284</v>
      </c>
      <c r="AN303" s="32">
        <v>24</v>
      </c>
      <c r="AO303" s="32">
        <v>8</v>
      </c>
      <c r="AP303" s="13"/>
      <c r="AQ303" s="32"/>
      <c r="AR303" s="13">
        <f t="shared" si="74"/>
        <v>0</v>
      </c>
      <c r="AS303" s="33"/>
      <c r="AT303" s="13">
        <f t="shared" si="68"/>
        <v>0</v>
      </c>
      <c r="AU303" s="13">
        <f>ROUNDUP(($AR303+$AT303)*VLOOKUP($AN303,Paraméterek!$P$38:$Q$38,2)/12,IF($D$4="Forint",0,2))</f>
        <v>0</v>
      </c>
      <c r="AV303" s="13"/>
      <c r="AW303" s="13"/>
      <c r="AX303" s="13">
        <f>ROUNDUP(IF(SUM($AV303:$AW303)=0,0,IF(IF(ISBLANK($AW303),$AV303,$AW303)*Paraméterek!$J$112&lt;IF($D$4="Forint",Paraméterek!$J$113,Paraméterek!$K$113),IF($D$4="Forint",Paraméterek!$J$113,Paraméterek!$K$113),IF(IF(ISBLANK($AW303),$AV303,$AW303)*Paraméterek!$J$112&gt;IF($D$4="Forint",Paraméterek!$J$114,Paraméterek!$K$114),IF($D$4="Forint",Paraméterek!$J$114,Paraméterek!$K$114),IF(ISBLANK($AW303),$AV303,$AW303)*Paraméterek!$J$112))),IF($D$4="Forint",0,2))</f>
        <v>0</v>
      </c>
      <c r="AY303" s="13">
        <f>$AR303+$AT303-$AU303-IF(ROUNDDOWN(IF(ISBLANK($AW303),$AV303,$AW303),IF($D$4="Forint",0,2))&gt;$AR303+$AT303-$AU303-IF($D$4="Forint",Paraméterek!$J$114,Paraméterek!$K$114),0,ROUNDDOWN(IF(ISBLANK($AW303),$AV303,$AW303),IF($D$4="Forint",0,2))-$AX303)</f>
        <v>0</v>
      </c>
      <c r="AZ303" s="13">
        <f t="shared" si="69"/>
        <v>0</v>
      </c>
    </row>
    <row r="304" spans="1:52" x14ac:dyDescent="0.2">
      <c r="A304" s="32">
        <v>285</v>
      </c>
      <c r="B304" s="32">
        <v>24</v>
      </c>
      <c r="C304" s="32">
        <v>9</v>
      </c>
      <c r="D304" s="13">
        <f t="shared" si="60"/>
        <v>0</v>
      </c>
      <c r="E304" s="13"/>
      <c r="F304" s="13"/>
      <c r="G304" s="13"/>
      <c r="H304" s="13">
        <f t="shared" si="61"/>
        <v>0</v>
      </c>
      <c r="I304" s="13">
        <f t="shared" si="62"/>
        <v>0</v>
      </c>
      <c r="J304" s="13">
        <f t="shared" si="63"/>
        <v>0</v>
      </c>
      <c r="K304" s="13">
        <f>ROUNDUP(IF($D$2="Egyszeri",$D304,IF($D$2="Havi",SUM($D$20:$D$31),IF(MOD($C304,$M$1)-1=0,SUM($D$20:$D$31),0))/12*$M$1)*VLOOKUP($B304,Paraméterek!$B$27:$D$30,IF($D$2="Egyszeri",3,2)),IF($D$4="Forint",0,2))</f>
        <v>0</v>
      </c>
      <c r="L304" s="13">
        <f t="shared" si="64"/>
        <v>0</v>
      </c>
      <c r="M304" s="13">
        <f t="shared" ca="1" si="70"/>
        <v>-168664</v>
      </c>
      <c r="N304" s="13">
        <f ca="1">IF($V303&gt;=VLOOKUP($M$4-1+$B304,Paraméterek!$B$121:$D$122,IF($D$4="Forint",2,3)),0,VLOOKUP($M$4-1+$B304,Paraméterek!$B$121:$D$122,IF($D$4="Forint",2,3))-$V303)</f>
        <v>178664</v>
      </c>
      <c r="O304" s="13">
        <f ca="1">ROUNDUP($N304*Paraméterek!$C$58/Paraméterek!$C$56,IF($D$4="Forint",0,2))</f>
        <v>29</v>
      </c>
      <c r="P304" s="13">
        <f t="shared" si="65"/>
        <v>1086</v>
      </c>
      <c r="Q304" s="33"/>
      <c r="R304" s="13">
        <f t="shared" ca="1" si="66"/>
        <v>0</v>
      </c>
      <c r="S304" s="13">
        <f ca="1">ROUNDUP(($M304-$O304-$P304+$R304)*VLOOKUP($B304,Paraméterek!$B$38:$D$39,IF($D$2="Egyszeri",3,2))/12,IF($D$4="Forint",0,2))</f>
        <v>-415</v>
      </c>
      <c r="T304" s="13"/>
      <c r="U304" s="13"/>
      <c r="V304" s="13">
        <f ca="1">$M304-$O304-$P304+$R304-$S304-IF(ROUNDUP(IF(ISBLANK($U304),$T304,$U304)/IF(AND($B304=1,$D$2&lt;&gt;"Egyszeri"),1,VLOOKUP($B304+IF($C304=12,1,0),Paraméterek!$B$257:$D$267,IF($D$2="Egyszeri",3,2))),IF($D$4="Forint",0,2))&gt;$M304-$O304-$P304+$R304-$S304-IF($D$4="Forint",Paraméterek!$C$216,Paraméterek!$D$216),0,ROUNDUP(IF(ISBLANK($U304),$T304,$U304)/IF(AND($B304=1,$D$2&lt;&gt;"Egyszeri"),1,VLOOKUP($B304+IF($C304=12,1,0),Paraméterek!$B$257:$D$267,IF($D$2="Egyszeri",3,2))),IF($D$4="Forint",0,2)))</f>
        <v>-169364</v>
      </c>
      <c r="W304" s="13">
        <f ca="1">ROUNDDOWN($V304*VLOOKUP($B304+IF($C304=12,1,0),Paraméterek!$B$257:$D$267,IF($D$2="Egyszeri",3,2)),IF($D$4="Forint",0,2))</f>
        <v>-169364</v>
      </c>
      <c r="Y304" s="32">
        <v>285</v>
      </c>
      <c r="Z304" s="32">
        <v>24</v>
      </c>
      <c r="AA304" s="32">
        <v>9</v>
      </c>
      <c r="AB304" s="13">
        <f t="shared" si="71"/>
        <v>0</v>
      </c>
      <c r="AC304" s="33"/>
      <c r="AD304" s="13">
        <f t="shared" si="67"/>
        <v>0</v>
      </c>
      <c r="AE304" s="13">
        <f>ROUNDUP(($AB304+$AD304)*VLOOKUP($Z304,Paraméterek!$P$38:$Q$38,2)/12,IF($D$4="Forint",0,2))</f>
        <v>0</v>
      </c>
      <c r="AF304" s="13">
        <f>IF($D$2="Egyszeri",IF($D$7&gt;=IF($D$4="Forint",Paraméterek!$P$223,Paraméterek!$P$224),$D$7-IF($D$4="Forint",Paraméterek!$F$223,Paraméterek!$F$224),0),MIN(IF($AA304=12,AVERAGE($D$20:$D304)*12,0),SUM($D$20:$D$31)))</f>
        <v>0</v>
      </c>
      <c r="AG304" s="13">
        <f>IF(AND($Z304&gt;=10,MOD($Z304,5)=0),$AF304*IF($AA304=12,VLOOKUP($Z304,Paraméterek!$B$225:$F$240,IF($AF304&lt;IF($D$4="Forint",Paraméterek!$C$223,Paraméterek!$C$224),2,IF($AF304&lt;IF($D$4="Forint",Paraméterek!$D$223,Paraméterek!$D$224),3,4))),0),0)</f>
        <v>0</v>
      </c>
      <c r="AH304" s="13">
        <f>IF(AND($Z304&gt;=5,MOD($Z304,5)=0),IF($AA304=12,VLOOKUP($Z304,Paraméterek!$B$225:$F$240,5),0),IF(OR($Z304=3,$Z304=4),IF($AA304=12,VLOOKUP($Z304,Paraméterek!$B$225:$F$240,5,0),0),0))*$AF304</f>
        <v>0</v>
      </c>
      <c r="AI304" s="13">
        <f>ROUNDDOWN(IF(SUM($T$20:$U304)=0,IF($D$2="Egyszeri",$AH304,$AG304),0),IF($D$4="Forint",0,2))</f>
        <v>0</v>
      </c>
      <c r="AJ304" s="13">
        <f t="shared" si="72"/>
        <v>0</v>
      </c>
      <c r="AK304" s="13">
        <f t="shared" si="73"/>
        <v>0</v>
      </c>
      <c r="AM304" s="32">
        <v>285</v>
      </c>
      <c r="AN304" s="32">
        <v>24</v>
      </c>
      <c r="AO304" s="32">
        <v>9</v>
      </c>
      <c r="AP304" s="13"/>
      <c r="AQ304" s="32"/>
      <c r="AR304" s="13">
        <f t="shared" si="74"/>
        <v>0</v>
      </c>
      <c r="AS304" s="33"/>
      <c r="AT304" s="13">
        <f t="shared" si="68"/>
        <v>0</v>
      </c>
      <c r="AU304" s="13">
        <f>ROUNDUP(($AR304+$AT304)*VLOOKUP($AN304,Paraméterek!$P$38:$Q$38,2)/12,IF($D$4="Forint",0,2))</f>
        <v>0</v>
      </c>
      <c r="AV304" s="13"/>
      <c r="AW304" s="13"/>
      <c r="AX304" s="13">
        <f>ROUNDUP(IF(SUM($AV304:$AW304)=0,0,IF(IF(ISBLANK($AW304),$AV304,$AW304)*Paraméterek!$J$112&lt;IF($D$4="Forint",Paraméterek!$J$113,Paraméterek!$K$113),IF($D$4="Forint",Paraméterek!$J$113,Paraméterek!$K$113),IF(IF(ISBLANK($AW304),$AV304,$AW304)*Paraméterek!$J$112&gt;IF($D$4="Forint",Paraméterek!$J$114,Paraméterek!$K$114),IF($D$4="Forint",Paraméterek!$J$114,Paraméterek!$K$114),IF(ISBLANK($AW304),$AV304,$AW304)*Paraméterek!$J$112))),IF($D$4="Forint",0,2))</f>
        <v>0</v>
      </c>
      <c r="AY304" s="13">
        <f>$AR304+$AT304-$AU304-IF(ROUNDDOWN(IF(ISBLANK($AW304),$AV304,$AW304),IF($D$4="Forint",0,2))&gt;$AR304+$AT304-$AU304-IF($D$4="Forint",Paraméterek!$J$114,Paraméterek!$K$114),0,ROUNDDOWN(IF(ISBLANK($AW304),$AV304,$AW304),IF($D$4="Forint",0,2))-$AX304)</f>
        <v>0</v>
      </c>
      <c r="AZ304" s="13">
        <f t="shared" si="69"/>
        <v>0</v>
      </c>
    </row>
    <row r="305" spans="1:52" x14ac:dyDescent="0.2">
      <c r="A305" s="32">
        <v>286</v>
      </c>
      <c r="B305" s="32">
        <v>24</v>
      </c>
      <c r="C305" s="32">
        <v>10</v>
      </c>
      <c r="D305" s="13">
        <f t="shared" si="60"/>
        <v>0</v>
      </c>
      <c r="E305" s="13"/>
      <c r="F305" s="13"/>
      <c r="G305" s="13"/>
      <c r="H305" s="13">
        <f t="shared" si="61"/>
        <v>0</v>
      </c>
      <c r="I305" s="13">
        <f t="shared" si="62"/>
        <v>0</v>
      </c>
      <c r="J305" s="13">
        <f t="shared" si="63"/>
        <v>0</v>
      </c>
      <c r="K305" s="13">
        <f>ROUNDUP(IF($D$2="Egyszeri",$D305,IF($D$2="Havi",SUM($D$20:$D$31),IF(MOD($C305,$M$1)-1=0,SUM($D$20:$D$31),0))/12*$M$1)*VLOOKUP($B305,Paraméterek!$B$27:$D$30,IF($D$2="Egyszeri",3,2)),IF($D$4="Forint",0,2))</f>
        <v>0</v>
      </c>
      <c r="L305" s="13">
        <f t="shared" si="64"/>
        <v>0</v>
      </c>
      <c r="M305" s="13">
        <f t="shared" ca="1" si="70"/>
        <v>-169364</v>
      </c>
      <c r="N305" s="13">
        <f ca="1">IF($V304&gt;=VLOOKUP($M$4-1+$B305,Paraméterek!$B$121:$D$122,IF($D$4="Forint",2,3)),0,VLOOKUP($M$4-1+$B305,Paraméterek!$B$121:$D$122,IF($D$4="Forint",2,3))-$V304)</f>
        <v>179364</v>
      </c>
      <c r="O305" s="13">
        <f ca="1">ROUNDUP($N305*Paraméterek!$C$58/Paraméterek!$C$56,IF($D$4="Forint",0,2))</f>
        <v>29</v>
      </c>
      <c r="P305" s="13">
        <f t="shared" si="65"/>
        <v>1086</v>
      </c>
      <c r="Q305" s="33"/>
      <c r="R305" s="13">
        <f t="shared" ca="1" si="66"/>
        <v>0</v>
      </c>
      <c r="S305" s="13">
        <f ca="1">ROUNDUP(($M305-$O305-$P305+$R305)*VLOOKUP($B305,Paraméterek!$B$38:$D$39,IF($D$2="Egyszeri",3,2))/12,IF($D$4="Forint",0,2))</f>
        <v>-417</v>
      </c>
      <c r="T305" s="13"/>
      <c r="U305" s="13"/>
      <c r="V305" s="13">
        <f ca="1">$M305-$O305-$P305+$R305-$S305-IF(ROUNDUP(IF(ISBLANK($U305),$T305,$U305)/IF(AND($B305=1,$D$2&lt;&gt;"Egyszeri"),1,VLOOKUP($B305+IF($C305=12,1,0),Paraméterek!$B$257:$D$267,IF($D$2="Egyszeri",3,2))),IF($D$4="Forint",0,2))&gt;$M305-$O305-$P305+$R305-$S305-IF($D$4="Forint",Paraméterek!$C$216,Paraméterek!$D$216),0,ROUNDUP(IF(ISBLANK($U305),$T305,$U305)/IF(AND($B305=1,$D$2&lt;&gt;"Egyszeri"),1,VLOOKUP($B305+IF($C305=12,1,0),Paraméterek!$B$257:$D$267,IF($D$2="Egyszeri",3,2))),IF($D$4="Forint",0,2)))</f>
        <v>-170062</v>
      </c>
      <c r="W305" s="13">
        <f ca="1">ROUNDDOWN($V305*VLOOKUP($B305+IF($C305=12,1,0),Paraméterek!$B$257:$D$267,IF($D$2="Egyszeri",3,2)),IF($D$4="Forint",0,2))</f>
        <v>-170062</v>
      </c>
      <c r="Y305" s="32">
        <v>286</v>
      </c>
      <c r="Z305" s="32">
        <v>24</v>
      </c>
      <c r="AA305" s="32">
        <v>10</v>
      </c>
      <c r="AB305" s="13">
        <f t="shared" si="71"/>
        <v>0</v>
      </c>
      <c r="AC305" s="33"/>
      <c r="AD305" s="13">
        <f t="shared" si="67"/>
        <v>0</v>
      </c>
      <c r="AE305" s="13">
        <f>ROUNDUP(($AB305+$AD305)*VLOOKUP($Z305,Paraméterek!$P$38:$Q$38,2)/12,IF($D$4="Forint",0,2))</f>
        <v>0</v>
      </c>
      <c r="AF305" s="13">
        <f>IF($D$2="Egyszeri",IF($D$7&gt;=IF($D$4="Forint",Paraméterek!$P$223,Paraméterek!$P$224),$D$7-IF($D$4="Forint",Paraméterek!$F$223,Paraméterek!$F$224),0),MIN(IF($AA305=12,AVERAGE($D$20:$D305)*12,0),SUM($D$20:$D$31)))</f>
        <v>0</v>
      </c>
      <c r="AG305" s="13">
        <f>IF(AND($Z305&gt;=10,MOD($Z305,5)=0),$AF305*IF($AA305=12,VLOOKUP($Z305,Paraméterek!$B$225:$F$240,IF($AF305&lt;IF($D$4="Forint",Paraméterek!$C$223,Paraméterek!$C$224),2,IF($AF305&lt;IF($D$4="Forint",Paraméterek!$D$223,Paraméterek!$D$224),3,4))),0),0)</f>
        <v>0</v>
      </c>
      <c r="AH305" s="13">
        <f>IF(AND($Z305&gt;=5,MOD($Z305,5)=0),IF($AA305=12,VLOOKUP($Z305,Paraméterek!$B$225:$F$240,5),0),IF(OR($Z305=3,$Z305=4),IF($AA305=12,VLOOKUP($Z305,Paraméterek!$B$225:$F$240,5,0),0),0))*$AF305</f>
        <v>0</v>
      </c>
      <c r="AI305" s="13">
        <f>ROUNDDOWN(IF(SUM($T$20:$U305)=0,IF($D$2="Egyszeri",$AH305,$AG305),0),IF($D$4="Forint",0,2))</f>
        <v>0</v>
      </c>
      <c r="AJ305" s="13">
        <f t="shared" si="72"/>
        <v>0</v>
      </c>
      <c r="AK305" s="13">
        <f t="shared" si="73"/>
        <v>0</v>
      </c>
      <c r="AM305" s="32">
        <v>286</v>
      </c>
      <c r="AN305" s="32">
        <v>24</v>
      </c>
      <c r="AO305" s="32">
        <v>10</v>
      </c>
      <c r="AP305" s="13"/>
      <c r="AQ305" s="32"/>
      <c r="AR305" s="13">
        <f t="shared" si="74"/>
        <v>0</v>
      </c>
      <c r="AS305" s="33"/>
      <c r="AT305" s="13">
        <f t="shared" si="68"/>
        <v>0</v>
      </c>
      <c r="AU305" s="13">
        <f>ROUNDUP(($AR305+$AT305)*VLOOKUP($AN305,Paraméterek!$P$38:$Q$38,2)/12,IF($D$4="Forint",0,2))</f>
        <v>0</v>
      </c>
      <c r="AV305" s="13"/>
      <c r="AW305" s="13"/>
      <c r="AX305" s="13">
        <f>ROUNDUP(IF(SUM($AV305:$AW305)=0,0,IF(IF(ISBLANK($AW305),$AV305,$AW305)*Paraméterek!$J$112&lt;IF($D$4="Forint",Paraméterek!$J$113,Paraméterek!$K$113),IF($D$4="Forint",Paraméterek!$J$113,Paraméterek!$K$113),IF(IF(ISBLANK($AW305),$AV305,$AW305)*Paraméterek!$J$112&gt;IF($D$4="Forint",Paraméterek!$J$114,Paraméterek!$K$114),IF($D$4="Forint",Paraméterek!$J$114,Paraméterek!$K$114),IF(ISBLANK($AW305),$AV305,$AW305)*Paraméterek!$J$112))),IF($D$4="Forint",0,2))</f>
        <v>0</v>
      </c>
      <c r="AY305" s="13">
        <f>$AR305+$AT305-$AU305-IF(ROUNDDOWN(IF(ISBLANK($AW305),$AV305,$AW305),IF($D$4="Forint",0,2))&gt;$AR305+$AT305-$AU305-IF($D$4="Forint",Paraméterek!$J$114,Paraméterek!$K$114),0,ROUNDDOWN(IF(ISBLANK($AW305),$AV305,$AW305),IF($D$4="Forint",0,2))-$AX305)</f>
        <v>0</v>
      </c>
      <c r="AZ305" s="13">
        <f t="shared" si="69"/>
        <v>0</v>
      </c>
    </row>
    <row r="306" spans="1:52" x14ac:dyDescent="0.2">
      <c r="A306" s="32">
        <v>287</v>
      </c>
      <c r="B306" s="32">
        <v>24</v>
      </c>
      <c r="C306" s="32">
        <v>11</v>
      </c>
      <c r="D306" s="13">
        <f t="shared" si="60"/>
        <v>0</v>
      </c>
      <c r="E306" s="13"/>
      <c r="F306" s="13"/>
      <c r="G306" s="13"/>
      <c r="H306" s="13">
        <f t="shared" si="61"/>
        <v>0</v>
      </c>
      <c r="I306" s="13">
        <f t="shared" si="62"/>
        <v>0</v>
      </c>
      <c r="J306" s="13">
        <f t="shared" si="63"/>
        <v>0</v>
      </c>
      <c r="K306" s="13">
        <f>ROUNDUP(IF($D$2="Egyszeri",$D306,IF($D$2="Havi",SUM($D$20:$D$31),IF(MOD($C306,$M$1)-1=0,SUM($D$20:$D$31),0))/12*$M$1)*VLOOKUP($B306,Paraméterek!$B$27:$D$30,IF($D$2="Egyszeri",3,2)),IF($D$4="Forint",0,2))</f>
        <v>0</v>
      </c>
      <c r="L306" s="13">
        <f t="shared" si="64"/>
        <v>0</v>
      </c>
      <c r="M306" s="13">
        <f t="shared" ca="1" si="70"/>
        <v>-170062</v>
      </c>
      <c r="N306" s="13">
        <f ca="1">IF($V305&gt;=VLOOKUP($M$4-1+$B306,Paraméterek!$B$121:$D$122,IF($D$4="Forint",2,3)),0,VLOOKUP($M$4-1+$B306,Paraméterek!$B$121:$D$122,IF($D$4="Forint",2,3))-$V305)</f>
        <v>180062</v>
      </c>
      <c r="O306" s="13">
        <f ca="1">ROUNDUP($N306*Paraméterek!$C$58/Paraméterek!$C$56,IF($D$4="Forint",0,2))</f>
        <v>29</v>
      </c>
      <c r="P306" s="13">
        <f t="shared" si="65"/>
        <v>1086</v>
      </c>
      <c r="Q306" s="33"/>
      <c r="R306" s="13">
        <f t="shared" ca="1" si="66"/>
        <v>0</v>
      </c>
      <c r="S306" s="13">
        <f ca="1">ROUNDUP(($M306-$O306-$P306+$R306)*VLOOKUP($B306,Paraméterek!$B$38:$D$39,IF($D$2="Egyszeri",3,2))/12,IF($D$4="Forint",0,2))</f>
        <v>-418</v>
      </c>
      <c r="T306" s="13"/>
      <c r="U306" s="13"/>
      <c r="V306" s="13">
        <f ca="1">$M306-$O306-$P306+$R306-$S306-IF(ROUNDUP(IF(ISBLANK($U306),$T306,$U306)/IF(AND($B306=1,$D$2&lt;&gt;"Egyszeri"),1,VLOOKUP($B306+IF($C306=12,1,0),Paraméterek!$B$257:$D$267,IF($D$2="Egyszeri",3,2))),IF($D$4="Forint",0,2))&gt;$M306-$O306-$P306+$R306-$S306-IF($D$4="Forint",Paraméterek!$C$216,Paraméterek!$D$216),0,ROUNDUP(IF(ISBLANK($U306),$T306,$U306)/IF(AND($B306=1,$D$2&lt;&gt;"Egyszeri"),1,VLOOKUP($B306+IF($C306=12,1,0),Paraméterek!$B$257:$D$267,IF($D$2="Egyszeri",3,2))),IF($D$4="Forint",0,2)))</f>
        <v>-170759</v>
      </c>
      <c r="W306" s="13">
        <f ca="1">ROUNDDOWN($V306*VLOOKUP($B306+IF($C306=12,1,0),Paraméterek!$B$257:$D$267,IF($D$2="Egyszeri",3,2)),IF($D$4="Forint",0,2))</f>
        <v>-170759</v>
      </c>
      <c r="Y306" s="32">
        <v>287</v>
      </c>
      <c r="Z306" s="32">
        <v>24</v>
      </c>
      <c r="AA306" s="32">
        <v>11</v>
      </c>
      <c r="AB306" s="13">
        <f t="shared" si="71"/>
        <v>0</v>
      </c>
      <c r="AC306" s="33"/>
      <c r="AD306" s="13">
        <f t="shared" si="67"/>
        <v>0</v>
      </c>
      <c r="AE306" s="13">
        <f>ROUNDUP(($AB306+$AD306)*VLOOKUP($Z306,Paraméterek!$P$38:$Q$38,2)/12,IF($D$4="Forint",0,2))</f>
        <v>0</v>
      </c>
      <c r="AF306" s="13">
        <f>IF($D$2="Egyszeri",IF($D$7&gt;=IF($D$4="Forint",Paraméterek!$P$223,Paraméterek!$P$224),$D$7-IF($D$4="Forint",Paraméterek!$F$223,Paraméterek!$F$224),0),MIN(IF($AA306=12,AVERAGE($D$20:$D306)*12,0),SUM($D$20:$D$31)))</f>
        <v>0</v>
      </c>
      <c r="AG306" s="13">
        <f>IF(AND($Z306&gt;=10,MOD($Z306,5)=0),$AF306*IF($AA306=12,VLOOKUP($Z306,Paraméterek!$B$225:$F$240,IF($AF306&lt;IF($D$4="Forint",Paraméterek!$C$223,Paraméterek!$C$224),2,IF($AF306&lt;IF($D$4="Forint",Paraméterek!$D$223,Paraméterek!$D$224),3,4))),0),0)</f>
        <v>0</v>
      </c>
      <c r="AH306" s="13">
        <f>IF(AND($Z306&gt;=5,MOD($Z306,5)=0),IF($AA306=12,VLOOKUP($Z306,Paraméterek!$B$225:$F$240,5),0),IF(OR($Z306=3,$Z306=4),IF($AA306=12,VLOOKUP($Z306,Paraméterek!$B$225:$F$240,5,0),0),0))*$AF306</f>
        <v>0</v>
      </c>
      <c r="AI306" s="13">
        <f>ROUNDDOWN(IF(SUM($T$20:$U306)=0,IF($D$2="Egyszeri",$AH306,$AG306),0),IF($D$4="Forint",0,2))</f>
        <v>0</v>
      </c>
      <c r="AJ306" s="13">
        <f t="shared" si="72"/>
        <v>0</v>
      </c>
      <c r="AK306" s="13">
        <f t="shared" si="73"/>
        <v>0</v>
      </c>
      <c r="AM306" s="32">
        <v>287</v>
      </c>
      <c r="AN306" s="32">
        <v>24</v>
      </c>
      <c r="AO306" s="32">
        <v>11</v>
      </c>
      <c r="AP306" s="13"/>
      <c r="AQ306" s="32"/>
      <c r="AR306" s="13">
        <f t="shared" si="74"/>
        <v>0</v>
      </c>
      <c r="AS306" s="33"/>
      <c r="AT306" s="13">
        <f t="shared" si="68"/>
        <v>0</v>
      </c>
      <c r="AU306" s="13">
        <f>ROUNDUP(($AR306+$AT306)*VLOOKUP($AN306,Paraméterek!$P$38:$Q$38,2)/12,IF($D$4="Forint",0,2))</f>
        <v>0</v>
      </c>
      <c r="AV306" s="13"/>
      <c r="AW306" s="13"/>
      <c r="AX306" s="13">
        <f>ROUNDUP(IF(SUM($AV306:$AW306)=0,0,IF(IF(ISBLANK($AW306),$AV306,$AW306)*Paraméterek!$J$112&lt;IF($D$4="Forint",Paraméterek!$J$113,Paraméterek!$K$113),IF($D$4="Forint",Paraméterek!$J$113,Paraméterek!$K$113),IF(IF(ISBLANK($AW306),$AV306,$AW306)*Paraméterek!$J$112&gt;IF($D$4="Forint",Paraméterek!$J$114,Paraméterek!$K$114),IF($D$4="Forint",Paraméterek!$J$114,Paraméterek!$K$114),IF(ISBLANK($AW306),$AV306,$AW306)*Paraméterek!$J$112))),IF($D$4="Forint",0,2))</f>
        <v>0</v>
      </c>
      <c r="AY306" s="13">
        <f>$AR306+$AT306-$AU306-IF(ROUNDDOWN(IF(ISBLANK($AW306),$AV306,$AW306),IF($D$4="Forint",0,2))&gt;$AR306+$AT306-$AU306-IF($D$4="Forint",Paraméterek!$J$114,Paraméterek!$K$114),0,ROUNDDOWN(IF(ISBLANK($AW306),$AV306,$AW306),IF($D$4="Forint",0,2))-$AX306)</f>
        <v>0</v>
      </c>
      <c r="AZ306" s="13">
        <f t="shared" si="69"/>
        <v>0</v>
      </c>
    </row>
    <row r="307" spans="1:52" x14ac:dyDescent="0.2">
      <c r="A307" s="32">
        <v>288</v>
      </c>
      <c r="B307" s="32">
        <v>24</v>
      </c>
      <c r="C307" s="32">
        <v>12</v>
      </c>
      <c r="D307" s="13">
        <f t="shared" si="60"/>
        <v>0</v>
      </c>
      <c r="E307" s="13"/>
      <c r="F307" s="13"/>
      <c r="G307" s="13"/>
      <c r="H307" s="13">
        <f t="shared" si="61"/>
        <v>0</v>
      </c>
      <c r="I307" s="13">
        <f t="shared" si="62"/>
        <v>0</v>
      </c>
      <c r="J307" s="13">
        <f t="shared" si="63"/>
        <v>0</v>
      </c>
      <c r="K307" s="13">
        <f>ROUNDUP(IF($D$2="Egyszeri",$D307,IF($D$2="Havi",SUM($D$20:$D$31),IF(MOD($C307,$M$1)-1=0,SUM($D$20:$D$31),0))/12*$M$1)*VLOOKUP($B307,Paraméterek!$B$27:$D$30,IF($D$2="Egyszeri",3,2)),IF($D$4="Forint",0,2))</f>
        <v>0</v>
      </c>
      <c r="L307" s="13">
        <f t="shared" si="64"/>
        <v>0</v>
      </c>
      <c r="M307" s="13">
        <f t="shared" ca="1" si="70"/>
        <v>-170759</v>
      </c>
      <c r="N307" s="13">
        <f ca="1">IF($V306&gt;=VLOOKUP($M$4-1+$B307,Paraméterek!$B$121:$D$122,IF($D$4="Forint",2,3)),0,VLOOKUP($M$4-1+$B307,Paraméterek!$B$121:$D$122,IF($D$4="Forint",2,3))-$V306)</f>
        <v>180759</v>
      </c>
      <c r="O307" s="13">
        <f ca="1">ROUNDUP($N307*Paraméterek!$C$58/Paraméterek!$C$56,IF($D$4="Forint",0,2))</f>
        <v>29</v>
      </c>
      <c r="P307" s="13">
        <f t="shared" si="65"/>
        <v>1086</v>
      </c>
      <c r="Q307" s="33"/>
      <c r="R307" s="13">
        <f t="shared" ca="1" si="66"/>
        <v>0</v>
      </c>
      <c r="S307" s="13">
        <f ca="1">ROUNDUP(($M307-$O307-$P307+$R307)*VLOOKUP($B307,Paraméterek!$B$38:$D$39,IF($D$2="Egyszeri",3,2))/12,IF($D$4="Forint",0,2))</f>
        <v>-420</v>
      </c>
      <c r="T307" s="13">
        <f>Tranzakciók!$F$55</f>
        <v>0</v>
      </c>
      <c r="U307" s="13"/>
      <c r="V307" s="13">
        <f ca="1">$M307-$O307-$P307+$R307-$S307-IF(ROUNDUP(IF(ISBLANK($U307),$T307,$U307)/IF(AND($B307=1,$D$2&lt;&gt;"Egyszeri"),1,VLOOKUP($B307+IF($C307=12,1,0),Paraméterek!$B$257:$D$267,IF($D$2="Egyszeri",3,2))),IF($D$4="Forint",0,2))&gt;$M307-$O307-$P307+$R307-$S307-IF($D$4="Forint",Paraméterek!$C$216,Paraméterek!$D$216),0,ROUNDUP(IF(ISBLANK($U307),$T307,$U307)/IF(AND($B307=1,$D$2&lt;&gt;"Egyszeri"),1,VLOOKUP($B307+IF($C307=12,1,0),Paraméterek!$B$257:$D$267,IF($D$2="Egyszeri",3,2))),IF($D$4="Forint",0,2)))</f>
        <v>-171454</v>
      </c>
      <c r="W307" s="13">
        <f ca="1">ROUNDDOWN($V307*VLOOKUP($B307+IF($C307=12,1,0),Paraméterek!$B$257:$D$267,IF($D$2="Egyszeri",3,2)),IF($D$4="Forint",0,2))</f>
        <v>-171454</v>
      </c>
      <c r="Y307" s="32">
        <v>288</v>
      </c>
      <c r="Z307" s="32">
        <v>24</v>
      </c>
      <c r="AA307" s="32">
        <v>12</v>
      </c>
      <c r="AB307" s="13">
        <f t="shared" si="71"/>
        <v>0</v>
      </c>
      <c r="AC307" s="33"/>
      <c r="AD307" s="13">
        <f t="shared" si="67"/>
        <v>0</v>
      </c>
      <c r="AE307" s="13">
        <f>ROUNDUP(($AB307+$AD307)*VLOOKUP($Z307,Paraméterek!$P$38:$Q$38,2)/12,IF($D$4="Forint",0,2))</f>
        <v>0</v>
      </c>
      <c r="AF307" s="13">
        <f>IF($D$2="Egyszeri",IF($D$7&gt;=IF($D$4="Forint",Paraméterek!$P$223,Paraméterek!$P$224),$D$7-IF($D$4="Forint",Paraméterek!$F$223,Paraméterek!$F$224),0),MIN(IF($AA307=12,AVERAGE($D$20:$D307)*12,0),SUM($D$20:$D$31)))</f>
        <v>0</v>
      </c>
      <c r="AG307" s="13">
        <f>IF(AND($Z307&gt;=10,MOD($Z307,5)=0),$AF307*IF($AA307=12,VLOOKUP($Z307,Paraméterek!$B$225:$F$240,IF($AF307&lt;IF($D$4="Forint",Paraméterek!$C$223,Paraméterek!$C$224),2,IF($AF307&lt;IF($D$4="Forint",Paraméterek!$D$223,Paraméterek!$D$224),3,4))),0),0)</f>
        <v>0</v>
      </c>
      <c r="AH307" s="13">
        <f>IF(AND($Z307&gt;=5,MOD($Z307,5)=0),IF($AA307=12,VLOOKUP($Z307,Paraméterek!$B$225:$F$240,5),0),IF(OR($Z307=3,$Z307=4),IF($AA307=12,VLOOKUP($Z307,Paraméterek!$B$225:$F$240,5,0),0),0))*$AF307</f>
        <v>0</v>
      </c>
      <c r="AI307" s="13">
        <f>ROUNDDOWN(IF(SUM($T$20:$U307)=0,IF($D$2="Egyszeri",$AH307,$AG307),0),IF($D$4="Forint",0,2))</f>
        <v>0</v>
      </c>
      <c r="AJ307" s="13">
        <f t="shared" si="72"/>
        <v>0</v>
      </c>
      <c r="AK307" s="13">
        <f t="shared" si="73"/>
        <v>0</v>
      </c>
      <c r="AM307" s="32">
        <v>288</v>
      </c>
      <c r="AN307" s="32">
        <v>24</v>
      </c>
      <c r="AO307" s="32">
        <v>12</v>
      </c>
      <c r="AP307" s="13"/>
      <c r="AQ307" s="32"/>
      <c r="AR307" s="13">
        <f t="shared" si="74"/>
        <v>0</v>
      </c>
      <c r="AS307" s="33"/>
      <c r="AT307" s="13">
        <f t="shared" si="68"/>
        <v>0</v>
      </c>
      <c r="AU307" s="13">
        <f>ROUNDUP(($AR307+$AT307)*VLOOKUP($AN307,Paraméterek!$P$38:$Q$38,2)/12,IF($D$4="Forint",0,2))</f>
        <v>0</v>
      </c>
      <c r="AV307" s="13">
        <f>Tranzakciók!$M$55</f>
        <v>0</v>
      </c>
      <c r="AW307" s="13"/>
      <c r="AX307" s="13">
        <f>ROUNDUP(IF(SUM($AV307:$AW307)=0,0,IF(IF(ISBLANK($AW307),$AV307,$AW307)*Paraméterek!$J$112&lt;IF($D$4="Forint",Paraméterek!$J$113,Paraméterek!$K$113),IF($D$4="Forint",Paraméterek!$J$113,Paraméterek!$K$113),IF(IF(ISBLANK($AW307),$AV307,$AW307)*Paraméterek!$J$112&gt;IF($D$4="Forint",Paraméterek!$J$114,Paraméterek!$K$114),IF($D$4="Forint",Paraméterek!$J$114,Paraméterek!$K$114),IF(ISBLANK($AW307),$AV307,$AW307)*Paraméterek!$J$112))),IF($D$4="Forint",0,2))</f>
        <v>0</v>
      </c>
      <c r="AY307" s="13">
        <f>$AR307+$AT307-$AU307-IF(ROUNDDOWN(IF(ISBLANK($AW307),$AV307,$AW307),IF($D$4="Forint",0,2))&gt;$AR307+$AT307-$AU307-IF($D$4="Forint",Paraméterek!$J$114,Paraméterek!$K$114),0,ROUNDDOWN(IF(ISBLANK($AW307),$AV307,$AW307),IF($D$4="Forint",0,2))-$AX307)</f>
        <v>0</v>
      </c>
      <c r="AZ307" s="13">
        <f t="shared" si="69"/>
        <v>0</v>
      </c>
    </row>
    <row r="308" spans="1:52" x14ac:dyDescent="0.2">
      <c r="A308" s="32">
        <v>289</v>
      </c>
      <c r="B308" s="32">
        <v>25</v>
      </c>
      <c r="C308" s="32">
        <v>1</v>
      </c>
      <c r="D308" s="13">
        <f t="shared" si="60"/>
        <v>0</v>
      </c>
      <c r="E308" s="13"/>
      <c r="F308" s="13">
        <f>Tranzakciók!$D$56</f>
        <v>0</v>
      </c>
      <c r="G308" s="13"/>
      <c r="H308" s="13">
        <f t="shared" si="61"/>
        <v>0</v>
      </c>
      <c r="I308" s="13">
        <f t="shared" si="62"/>
        <v>204</v>
      </c>
      <c r="J308" s="13">
        <f t="shared" si="63"/>
        <v>204</v>
      </c>
      <c r="K308" s="13">
        <f>ROUNDUP(IF($D$2="Egyszeri",$D308,IF($D$2="Havi",SUM($D$20:$D$31),IF(MOD($C308,$M$1)-1=0,SUM($D$20:$D$31),0))/12*$M$1)*VLOOKUP($B308,Paraméterek!$B$27:$D$30,IF($D$2="Egyszeri",3,2)),IF($D$4="Forint",0,2))</f>
        <v>0</v>
      </c>
      <c r="L308" s="13">
        <f t="shared" si="64"/>
        <v>0</v>
      </c>
      <c r="M308" s="13">
        <f t="shared" ca="1" si="70"/>
        <v>-171454</v>
      </c>
      <c r="N308" s="13">
        <f ca="1">IF($V307&gt;=VLOOKUP($M$4-1+$B308,Paraméterek!$B$121:$D$122,IF($D$4="Forint",2,3)),0,VLOOKUP($M$4-1+$B308,Paraméterek!$B$121:$D$122,IF($D$4="Forint",2,3))-$V307)</f>
        <v>181454</v>
      </c>
      <c r="O308" s="13">
        <f ca="1">ROUNDUP($N308*Paraméterek!$C$58/Paraméterek!$C$56,IF($D$4="Forint",0,2))</f>
        <v>29</v>
      </c>
      <c r="P308" s="13">
        <f t="shared" si="65"/>
        <v>1119</v>
      </c>
      <c r="Q308" s="33"/>
      <c r="R308" s="13">
        <f t="shared" ca="1" si="66"/>
        <v>0</v>
      </c>
      <c r="S308" s="13">
        <f ca="1">ROUNDUP(($M308-$O308-$P308+$R308)*VLOOKUP($B308,Paraméterek!$B$38:$D$39,IF($D$2="Egyszeri",3,2))/12,IF($D$4="Forint",0,2))</f>
        <v>-422</v>
      </c>
      <c r="T308" s="13"/>
      <c r="U308" s="13"/>
      <c r="V308" s="13">
        <f ca="1">$M308-$O308-$P308+$R308-$S308-IF(ROUNDUP(IF(ISBLANK($U308),$T308,$U308)/IF(AND($B308=1,$D$2&lt;&gt;"Egyszeri"),1,VLOOKUP($B308+IF($C308=12,1,0),Paraméterek!$B$257:$D$267,IF($D$2="Egyszeri",3,2))),IF($D$4="Forint",0,2))&gt;$M308-$O308-$P308+$R308-$S308-IF($D$4="Forint",Paraméterek!$C$216,Paraméterek!$D$216),0,ROUNDUP(IF(ISBLANK($U308),$T308,$U308)/IF(AND($B308=1,$D$2&lt;&gt;"Egyszeri"),1,VLOOKUP($B308+IF($C308=12,1,0),Paraméterek!$B$257:$D$267,IF($D$2="Egyszeri",3,2))),IF($D$4="Forint",0,2)))</f>
        <v>-172180</v>
      </c>
      <c r="W308" s="13">
        <f ca="1">ROUNDDOWN($V308*VLOOKUP($B308+IF($C308=12,1,0),Paraméterek!$B$257:$D$267,IF($D$2="Egyszeri",3,2)),IF($D$4="Forint",0,2))</f>
        <v>-172180</v>
      </c>
      <c r="Y308" s="32">
        <v>289</v>
      </c>
      <c r="Z308" s="32">
        <v>25</v>
      </c>
      <c r="AA308" s="32">
        <v>1</v>
      </c>
      <c r="AB308" s="13">
        <f t="shared" si="71"/>
        <v>0</v>
      </c>
      <c r="AC308" s="33"/>
      <c r="AD308" s="13">
        <f t="shared" si="67"/>
        <v>0</v>
      </c>
      <c r="AE308" s="13">
        <f>ROUNDUP(($AB308+$AD308)*VLOOKUP($Z308,Paraméterek!$P$38:$Q$38,2)/12,IF($D$4="Forint",0,2))</f>
        <v>0</v>
      </c>
      <c r="AF308" s="13">
        <f>IF($D$2="Egyszeri",IF($D$7&gt;=IF($D$4="Forint",Paraméterek!$P$223,Paraméterek!$P$224),$D$7-IF($D$4="Forint",Paraméterek!$F$223,Paraméterek!$F$224),0),MIN(IF($AA308=12,AVERAGE($D$20:$D308)*12,0),SUM($D$20:$D$31)))</f>
        <v>0</v>
      </c>
      <c r="AG308" s="13">
        <f>IF(AND($Z308&gt;=10,MOD($Z308,5)=0),$AF308*IF($AA308=12,VLOOKUP($Z308,Paraméterek!$B$225:$F$240,IF($AF308&lt;IF($D$4="Forint",Paraméterek!$C$223,Paraméterek!$C$224),2,IF($AF308&lt;IF($D$4="Forint",Paraméterek!$D$223,Paraméterek!$D$224),3,4))),0),0)</f>
        <v>0</v>
      </c>
      <c r="AH308" s="13">
        <f>IF(AND($Z308&gt;=5,MOD($Z308,5)=0),IF($AA308=12,VLOOKUP($Z308,Paraméterek!$B$225:$F$240,5),0),IF(OR($Z308=3,$Z308=4),IF($AA308=12,VLOOKUP($Z308,Paraméterek!$B$225:$F$240,5,0),0),0))*$AF308</f>
        <v>0</v>
      </c>
      <c r="AI308" s="13">
        <f>ROUNDDOWN(IF(SUM($T$20:$U308)=0,IF($D$2="Egyszeri",$AH308,$AG308),0),IF($D$4="Forint",0,2))</f>
        <v>0</v>
      </c>
      <c r="AJ308" s="13">
        <f t="shared" si="72"/>
        <v>0</v>
      </c>
      <c r="AK308" s="13">
        <f t="shared" si="73"/>
        <v>0</v>
      </c>
      <c r="AM308" s="32">
        <v>289</v>
      </c>
      <c r="AN308" s="32">
        <v>25</v>
      </c>
      <c r="AO308" s="32">
        <v>1</v>
      </c>
      <c r="AP308" s="13">
        <f>Tranzakciók!$K$56</f>
        <v>0</v>
      </c>
      <c r="AQ308" s="32"/>
      <c r="AR308" s="13">
        <f t="shared" si="74"/>
        <v>0</v>
      </c>
      <c r="AS308" s="33"/>
      <c r="AT308" s="13">
        <f t="shared" si="68"/>
        <v>0</v>
      </c>
      <c r="AU308" s="13">
        <f>ROUNDUP(($AR308+$AT308)*VLOOKUP($AN308,Paraméterek!$P$38:$Q$38,2)/12,IF($D$4="Forint",0,2))</f>
        <v>0</v>
      </c>
      <c r="AV308" s="13"/>
      <c r="AW308" s="13"/>
      <c r="AX308" s="13">
        <f>ROUNDUP(IF(SUM($AV308:$AW308)=0,0,IF(IF(ISBLANK($AW308),$AV308,$AW308)*Paraméterek!$J$112&lt;IF($D$4="Forint",Paraméterek!$J$113,Paraméterek!$K$113),IF($D$4="Forint",Paraméterek!$J$113,Paraméterek!$K$113),IF(IF(ISBLANK($AW308),$AV308,$AW308)*Paraméterek!$J$112&gt;IF($D$4="Forint",Paraméterek!$J$114,Paraméterek!$K$114),IF($D$4="Forint",Paraméterek!$J$114,Paraméterek!$K$114),IF(ISBLANK($AW308),$AV308,$AW308)*Paraméterek!$J$112))),IF($D$4="Forint",0,2))</f>
        <v>0</v>
      </c>
      <c r="AY308" s="13">
        <f>$AR308+$AT308-$AU308-IF(ROUNDDOWN(IF(ISBLANK($AW308),$AV308,$AW308),IF($D$4="Forint",0,2))&gt;$AR308+$AT308-$AU308-IF($D$4="Forint",Paraméterek!$J$114,Paraméterek!$K$114),0,ROUNDDOWN(IF(ISBLANK($AW308),$AV308,$AW308),IF($D$4="Forint",0,2))-$AX308)</f>
        <v>0</v>
      </c>
      <c r="AZ308" s="13">
        <f t="shared" si="69"/>
        <v>0</v>
      </c>
    </row>
    <row r="309" spans="1:52" x14ac:dyDescent="0.2">
      <c r="A309" s="32">
        <v>290</v>
      </c>
      <c r="B309" s="32">
        <v>25</v>
      </c>
      <c r="C309" s="32">
        <v>2</v>
      </c>
      <c r="D309" s="13">
        <f t="shared" si="60"/>
        <v>0</v>
      </c>
      <c r="E309" s="13"/>
      <c r="F309" s="13"/>
      <c r="G309" s="13"/>
      <c r="H309" s="13">
        <f t="shared" si="61"/>
        <v>0</v>
      </c>
      <c r="I309" s="13">
        <f t="shared" si="62"/>
        <v>0</v>
      </c>
      <c r="J309" s="13">
        <f t="shared" si="63"/>
        <v>0</v>
      </c>
      <c r="K309" s="13">
        <f>ROUNDUP(IF($D$2="Egyszeri",$D309,IF($D$2="Havi",SUM($D$20:$D$31),IF(MOD($C309,$M$1)-1=0,SUM($D$20:$D$31),0))/12*$M$1)*VLOOKUP($B309,Paraméterek!$B$27:$D$30,IF($D$2="Egyszeri",3,2)),IF($D$4="Forint",0,2))</f>
        <v>0</v>
      </c>
      <c r="L309" s="13">
        <f t="shared" si="64"/>
        <v>0</v>
      </c>
      <c r="M309" s="13">
        <f t="shared" ca="1" si="70"/>
        <v>-172180</v>
      </c>
      <c r="N309" s="13">
        <f ca="1">IF($V308&gt;=VLOOKUP($M$4-1+$B309,Paraméterek!$B$121:$D$122,IF($D$4="Forint",2,3)),0,VLOOKUP($M$4-1+$B309,Paraméterek!$B$121:$D$122,IF($D$4="Forint",2,3))-$V308)</f>
        <v>182180</v>
      </c>
      <c r="O309" s="13">
        <f ca="1">ROUNDUP($N309*Paraméterek!$C$58/Paraméterek!$C$56,IF($D$4="Forint",0,2))</f>
        <v>29</v>
      </c>
      <c r="P309" s="13">
        <f t="shared" si="65"/>
        <v>1119</v>
      </c>
      <c r="Q309" s="33"/>
      <c r="R309" s="13">
        <f t="shared" ca="1" si="66"/>
        <v>0</v>
      </c>
      <c r="S309" s="13">
        <f ca="1">ROUNDUP(($M309-$O309-$P309+$R309)*VLOOKUP($B309,Paraméterek!$B$38:$D$39,IF($D$2="Egyszeri",3,2))/12,IF($D$4="Forint",0,2))</f>
        <v>-424</v>
      </c>
      <c r="T309" s="13"/>
      <c r="U309" s="13"/>
      <c r="V309" s="13">
        <f ca="1">$M309-$O309-$P309+$R309-$S309-IF(ROUNDUP(IF(ISBLANK($U309),$T309,$U309)/IF(AND($B309=1,$D$2&lt;&gt;"Egyszeri"),1,VLOOKUP($B309+IF($C309=12,1,0),Paraméterek!$B$257:$D$267,IF($D$2="Egyszeri",3,2))),IF($D$4="Forint",0,2))&gt;$M309-$O309-$P309+$R309-$S309-IF($D$4="Forint",Paraméterek!$C$216,Paraméterek!$D$216),0,ROUNDUP(IF(ISBLANK($U309),$T309,$U309)/IF(AND($B309=1,$D$2&lt;&gt;"Egyszeri"),1,VLOOKUP($B309+IF($C309=12,1,0),Paraméterek!$B$257:$D$267,IF($D$2="Egyszeri",3,2))),IF($D$4="Forint",0,2)))</f>
        <v>-172904</v>
      </c>
      <c r="W309" s="13">
        <f ca="1">ROUNDDOWN($V309*VLOOKUP($B309+IF($C309=12,1,0),Paraméterek!$B$257:$D$267,IF($D$2="Egyszeri",3,2)),IF($D$4="Forint",0,2))</f>
        <v>-172904</v>
      </c>
      <c r="Y309" s="32">
        <v>290</v>
      </c>
      <c r="Z309" s="32">
        <v>25</v>
      </c>
      <c r="AA309" s="32">
        <v>2</v>
      </c>
      <c r="AB309" s="13">
        <f t="shared" si="71"/>
        <v>0</v>
      </c>
      <c r="AC309" s="33"/>
      <c r="AD309" s="13">
        <f t="shared" si="67"/>
        <v>0</v>
      </c>
      <c r="AE309" s="13">
        <f>ROUNDUP(($AB309+$AD309)*VLOOKUP($Z309,Paraméterek!$P$38:$Q$38,2)/12,IF($D$4="Forint",0,2))</f>
        <v>0</v>
      </c>
      <c r="AF309" s="13">
        <f>IF($D$2="Egyszeri",IF($D$7&gt;=IF($D$4="Forint",Paraméterek!$P$223,Paraméterek!$P$224),$D$7-IF($D$4="Forint",Paraméterek!$F$223,Paraméterek!$F$224),0),MIN(IF($AA309=12,AVERAGE($D$20:$D309)*12,0),SUM($D$20:$D$31)))</f>
        <v>0</v>
      </c>
      <c r="AG309" s="13">
        <f>IF(AND($Z309&gt;=10,MOD($Z309,5)=0),$AF309*IF($AA309=12,VLOOKUP($Z309,Paraméterek!$B$225:$F$240,IF($AF309&lt;IF($D$4="Forint",Paraméterek!$C$223,Paraméterek!$C$224),2,IF($AF309&lt;IF($D$4="Forint",Paraméterek!$D$223,Paraméterek!$D$224),3,4))),0),0)</f>
        <v>0</v>
      </c>
      <c r="AH309" s="13">
        <f>IF(AND($Z309&gt;=5,MOD($Z309,5)=0),IF($AA309=12,VLOOKUP($Z309,Paraméterek!$B$225:$F$240,5),0),IF(OR($Z309=3,$Z309=4),IF($AA309=12,VLOOKUP($Z309,Paraméterek!$B$225:$F$240,5,0),0),0))*$AF309</f>
        <v>0</v>
      </c>
      <c r="AI309" s="13">
        <f>ROUNDDOWN(IF(SUM($T$20:$U309)=0,IF($D$2="Egyszeri",$AH309,$AG309),0),IF($D$4="Forint",0,2))</f>
        <v>0</v>
      </c>
      <c r="AJ309" s="13">
        <f t="shared" si="72"/>
        <v>0</v>
      </c>
      <c r="AK309" s="13">
        <f t="shared" si="73"/>
        <v>0</v>
      </c>
      <c r="AM309" s="32">
        <v>290</v>
      </c>
      <c r="AN309" s="32">
        <v>25</v>
      </c>
      <c r="AO309" s="32">
        <v>2</v>
      </c>
      <c r="AP309" s="13"/>
      <c r="AQ309" s="32"/>
      <c r="AR309" s="13">
        <f t="shared" si="74"/>
        <v>0</v>
      </c>
      <c r="AS309" s="33"/>
      <c r="AT309" s="13">
        <f t="shared" si="68"/>
        <v>0</v>
      </c>
      <c r="AU309" s="13">
        <f>ROUNDUP(($AR309+$AT309)*VLOOKUP($AN309,Paraméterek!$P$38:$Q$38,2)/12,IF($D$4="Forint",0,2))</f>
        <v>0</v>
      </c>
      <c r="AV309" s="13"/>
      <c r="AW309" s="13"/>
      <c r="AX309" s="13">
        <f>ROUNDUP(IF(SUM($AV309:$AW309)=0,0,IF(IF(ISBLANK($AW309),$AV309,$AW309)*Paraméterek!$J$112&lt;IF($D$4="Forint",Paraméterek!$J$113,Paraméterek!$K$113),IF($D$4="Forint",Paraméterek!$J$113,Paraméterek!$K$113),IF(IF(ISBLANK($AW309),$AV309,$AW309)*Paraméterek!$J$112&gt;IF($D$4="Forint",Paraméterek!$J$114,Paraméterek!$K$114),IF($D$4="Forint",Paraméterek!$J$114,Paraméterek!$K$114),IF(ISBLANK($AW309),$AV309,$AW309)*Paraméterek!$J$112))),IF($D$4="Forint",0,2))</f>
        <v>0</v>
      </c>
      <c r="AY309" s="13">
        <f>$AR309+$AT309-$AU309-IF(ROUNDDOWN(IF(ISBLANK($AW309),$AV309,$AW309),IF($D$4="Forint",0,2))&gt;$AR309+$AT309-$AU309-IF($D$4="Forint",Paraméterek!$J$114,Paraméterek!$K$114),0,ROUNDDOWN(IF(ISBLANK($AW309),$AV309,$AW309),IF($D$4="Forint",0,2))-$AX309)</f>
        <v>0</v>
      </c>
      <c r="AZ309" s="13">
        <f t="shared" si="69"/>
        <v>0</v>
      </c>
    </row>
    <row r="310" spans="1:52" x14ac:dyDescent="0.2">
      <c r="A310" s="32">
        <v>291</v>
      </c>
      <c r="B310" s="32">
        <v>25</v>
      </c>
      <c r="C310" s="32">
        <v>3</v>
      </c>
      <c r="D310" s="13">
        <f t="shared" si="60"/>
        <v>0</v>
      </c>
      <c r="E310" s="13"/>
      <c r="F310" s="13"/>
      <c r="G310" s="13"/>
      <c r="H310" s="13">
        <f t="shared" si="61"/>
        <v>0</v>
      </c>
      <c r="I310" s="13">
        <f t="shared" si="62"/>
        <v>0</v>
      </c>
      <c r="J310" s="13">
        <f t="shared" si="63"/>
        <v>0</v>
      </c>
      <c r="K310" s="13">
        <f>ROUNDUP(IF($D$2="Egyszeri",$D310,IF($D$2="Havi",SUM($D$20:$D$31),IF(MOD($C310,$M$1)-1=0,SUM($D$20:$D$31),0))/12*$M$1)*VLOOKUP($B310,Paraméterek!$B$27:$D$30,IF($D$2="Egyszeri",3,2)),IF($D$4="Forint",0,2))</f>
        <v>0</v>
      </c>
      <c r="L310" s="13">
        <f t="shared" si="64"/>
        <v>0</v>
      </c>
      <c r="M310" s="13">
        <f t="shared" ca="1" si="70"/>
        <v>-172904</v>
      </c>
      <c r="N310" s="13">
        <f ca="1">IF($V309&gt;=VLOOKUP($M$4-1+$B310,Paraméterek!$B$121:$D$122,IF($D$4="Forint",2,3)),0,VLOOKUP($M$4-1+$B310,Paraméterek!$B$121:$D$122,IF($D$4="Forint",2,3))-$V309)</f>
        <v>182904</v>
      </c>
      <c r="O310" s="13">
        <f ca="1">ROUNDUP($N310*Paraméterek!$C$58/Paraméterek!$C$56,IF($D$4="Forint",0,2))</f>
        <v>30</v>
      </c>
      <c r="P310" s="13">
        <f t="shared" si="65"/>
        <v>1119</v>
      </c>
      <c r="Q310" s="33"/>
      <c r="R310" s="13">
        <f t="shared" ca="1" si="66"/>
        <v>0</v>
      </c>
      <c r="S310" s="13">
        <f ca="1">ROUNDUP(($M310-$O310-$P310+$R310)*VLOOKUP($B310,Paraméterek!$B$38:$D$39,IF($D$2="Egyszeri",3,2))/12,IF($D$4="Forint",0,2))</f>
        <v>-425</v>
      </c>
      <c r="T310" s="13"/>
      <c r="U310" s="13"/>
      <c r="V310" s="13">
        <f ca="1">$M310-$O310-$P310+$R310-$S310-IF(ROUNDUP(IF(ISBLANK($U310),$T310,$U310)/IF(AND($B310=1,$D$2&lt;&gt;"Egyszeri"),1,VLOOKUP($B310+IF($C310=12,1,0),Paraméterek!$B$257:$D$267,IF($D$2="Egyszeri",3,2))),IF($D$4="Forint",0,2))&gt;$M310-$O310-$P310+$R310-$S310-IF($D$4="Forint",Paraméterek!$C$216,Paraméterek!$D$216),0,ROUNDUP(IF(ISBLANK($U310),$T310,$U310)/IF(AND($B310=1,$D$2&lt;&gt;"Egyszeri"),1,VLOOKUP($B310+IF($C310=12,1,0),Paraméterek!$B$257:$D$267,IF($D$2="Egyszeri",3,2))),IF($D$4="Forint",0,2)))</f>
        <v>-173628</v>
      </c>
      <c r="W310" s="13">
        <f ca="1">ROUNDDOWN($V310*VLOOKUP($B310+IF($C310=12,1,0),Paraméterek!$B$257:$D$267,IF($D$2="Egyszeri",3,2)),IF($D$4="Forint",0,2))</f>
        <v>-173628</v>
      </c>
      <c r="Y310" s="32">
        <v>291</v>
      </c>
      <c r="Z310" s="32">
        <v>25</v>
      </c>
      <c r="AA310" s="32">
        <v>3</v>
      </c>
      <c r="AB310" s="13">
        <f t="shared" si="71"/>
        <v>0</v>
      </c>
      <c r="AC310" s="33"/>
      <c r="AD310" s="13">
        <f t="shared" si="67"/>
        <v>0</v>
      </c>
      <c r="AE310" s="13">
        <f>ROUNDUP(($AB310+$AD310)*VLOOKUP($Z310,Paraméterek!$P$38:$Q$38,2)/12,IF($D$4="Forint",0,2))</f>
        <v>0</v>
      </c>
      <c r="AF310" s="13">
        <f>IF($D$2="Egyszeri",IF($D$7&gt;=IF($D$4="Forint",Paraméterek!$P$223,Paraméterek!$P$224),$D$7-IF($D$4="Forint",Paraméterek!$F$223,Paraméterek!$F$224),0),MIN(IF($AA310=12,AVERAGE($D$20:$D310)*12,0),SUM($D$20:$D$31)))</f>
        <v>0</v>
      </c>
      <c r="AG310" s="13">
        <f>IF(AND($Z310&gt;=10,MOD($Z310,5)=0),$AF310*IF($AA310=12,VLOOKUP($Z310,Paraméterek!$B$225:$F$240,IF($AF310&lt;IF($D$4="Forint",Paraméterek!$C$223,Paraméterek!$C$224),2,IF($AF310&lt;IF($D$4="Forint",Paraméterek!$D$223,Paraméterek!$D$224),3,4))),0),0)</f>
        <v>0</v>
      </c>
      <c r="AH310" s="13">
        <f>IF(AND($Z310&gt;=5,MOD($Z310,5)=0),IF($AA310=12,VLOOKUP($Z310,Paraméterek!$B$225:$F$240,5),0),IF(OR($Z310=3,$Z310=4),IF($AA310=12,VLOOKUP($Z310,Paraméterek!$B$225:$F$240,5,0),0),0))*$AF310</f>
        <v>0</v>
      </c>
      <c r="AI310" s="13">
        <f>ROUNDDOWN(IF(SUM($T$20:$U310)=0,IF($D$2="Egyszeri",$AH310,$AG310),0),IF($D$4="Forint",0,2))</f>
        <v>0</v>
      </c>
      <c r="AJ310" s="13">
        <f t="shared" si="72"/>
        <v>0</v>
      </c>
      <c r="AK310" s="13">
        <f t="shared" si="73"/>
        <v>0</v>
      </c>
      <c r="AM310" s="32">
        <v>291</v>
      </c>
      <c r="AN310" s="32">
        <v>25</v>
      </c>
      <c r="AO310" s="32">
        <v>3</v>
      </c>
      <c r="AP310" s="13"/>
      <c r="AQ310" s="32"/>
      <c r="AR310" s="13">
        <f t="shared" si="74"/>
        <v>0</v>
      </c>
      <c r="AS310" s="33"/>
      <c r="AT310" s="13">
        <f t="shared" si="68"/>
        <v>0</v>
      </c>
      <c r="AU310" s="13">
        <f>ROUNDUP(($AR310+$AT310)*VLOOKUP($AN310,Paraméterek!$P$38:$Q$38,2)/12,IF($D$4="Forint",0,2))</f>
        <v>0</v>
      </c>
      <c r="AV310" s="13"/>
      <c r="AW310" s="13"/>
      <c r="AX310" s="13">
        <f>ROUNDUP(IF(SUM($AV310:$AW310)=0,0,IF(IF(ISBLANK($AW310),$AV310,$AW310)*Paraméterek!$J$112&lt;IF($D$4="Forint",Paraméterek!$J$113,Paraméterek!$K$113),IF($D$4="Forint",Paraméterek!$J$113,Paraméterek!$K$113),IF(IF(ISBLANK($AW310),$AV310,$AW310)*Paraméterek!$J$112&gt;IF($D$4="Forint",Paraméterek!$J$114,Paraméterek!$K$114),IF($D$4="Forint",Paraméterek!$J$114,Paraméterek!$K$114),IF(ISBLANK($AW310),$AV310,$AW310)*Paraméterek!$J$112))),IF($D$4="Forint",0,2))</f>
        <v>0</v>
      </c>
      <c r="AY310" s="13">
        <f>$AR310+$AT310-$AU310-IF(ROUNDDOWN(IF(ISBLANK($AW310),$AV310,$AW310),IF($D$4="Forint",0,2))&gt;$AR310+$AT310-$AU310-IF($D$4="Forint",Paraméterek!$J$114,Paraméterek!$K$114),0,ROUNDDOWN(IF(ISBLANK($AW310),$AV310,$AW310),IF($D$4="Forint",0,2))-$AX310)</f>
        <v>0</v>
      </c>
      <c r="AZ310" s="13">
        <f t="shared" si="69"/>
        <v>0</v>
      </c>
    </row>
    <row r="311" spans="1:52" x14ac:dyDescent="0.2">
      <c r="A311" s="32">
        <v>292</v>
      </c>
      <c r="B311" s="32">
        <v>25</v>
      </c>
      <c r="C311" s="32">
        <v>4</v>
      </c>
      <c r="D311" s="13">
        <f t="shared" si="60"/>
        <v>0</v>
      </c>
      <c r="E311" s="13"/>
      <c r="F311" s="13"/>
      <c r="G311" s="13"/>
      <c r="H311" s="13">
        <f t="shared" si="61"/>
        <v>0</v>
      </c>
      <c r="I311" s="13">
        <f t="shared" si="62"/>
        <v>0</v>
      </c>
      <c r="J311" s="13">
        <f t="shared" si="63"/>
        <v>0</v>
      </c>
      <c r="K311" s="13">
        <f>ROUNDUP(IF($D$2="Egyszeri",$D311,IF($D$2="Havi",SUM($D$20:$D$31),IF(MOD($C311,$M$1)-1=0,SUM($D$20:$D$31),0))/12*$M$1)*VLOOKUP($B311,Paraméterek!$B$27:$D$30,IF($D$2="Egyszeri",3,2)),IF($D$4="Forint",0,2))</f>
        <v>0</v>
      </c>
      <c r="L311" s="13">
        <f t="shared" si="64"/>
        <v>0</v>
      </c>
      <c r="M311" s="13">
        <f t="shared" ca="1" si="70"/>
        <v>-173628</v>
      </c>
      <c r="N311" s="13">
        <f ca="1">IF($V310&gt;=VLOOKUP($M$4-1+$B311,Paraméterek!$B$121:$D$122,IF($D$4="Forint",2,3)),0,VLOOKUP($M$4-1+$B311,Paraméterek!$B$121:$D$122,IF($D$4="Forint",2,3))-$V310)</f>
        <v>183628</v>
      </c>
      <c r="O311" s="13">
        <f ca="1">ROUNDUP($N311*Paraméterek!$C$58/Paraméterek!$C$56,IF($D$4="Forint",0,2))</f>
        <v>30</v>
      </c>
      <c r="P311" s="13">
        <f t="shared" si="65"/>
        <v>1119</v>
      </c>
      <c r="Q311" s="33"/>
      <c r="R311" s="13">
        <f t="shared" ca="1" si="66"/>
        <v>0</v>
      </c>
      <c r="S311" s="13">
        <f ca="1">ROUNDUP(($M311-$O311-$P311+$R311)*VLOOKUP($B311,Paraméterek!$B$38:$D$39,IF($D$2="Egyszeri",3,2))/12,IF($D$4="Forint",0,2))</f>
        <v>-427</v>
      </c>
      <c r="T311" s="13"/>
      <c r="U311" s="13"/>
      <c r="V311" s="13">
        <f ca="1">$M311-$O311-$P311+$R311-$S311-IF(ROUNDUP(IF(ISBLANK($U311),$T311,$U311)/IF(AND($B311=1,$D$2&lt;&gt;"Egyszeri"),1,VLOOKUP($B311+IF($C311=12,1,0),Paraméterek!$B$257:$D$267,IF($D$2="Egyszeri",3,2))),IF($D$4="Forint",0,2))&gt;$M311-$O311-$P311+$R311-$S311-IF($D$4="Forint",Paraméterek!$C$216,Paraméterek!$D$216),0,ROUNDUP(IF(ISBLANK($U311),$T311,$U311)/IF(AND($B311=1,$D$2&lt;&gt;"Egyszeri"),1,VLOOKUP($B311+IF($C311=12,1,0),Paraméterek!$B$257:$D$267,IF($D$2="Egyszeri",3,2))),IF($D$4="Forint",0,2)))</f>
        <v>-174350</v>
      </c>
      <c r="W311" s="13">
        <f ca="1">ROUNDDOWN($V311*VLOOKUP($B311+IF($C311=12,1,0),Paraméterek!$B$257:$D$267,IF($D$2="Egyszeri",3,2)),IF($D$4="Forint",0,2))</f>
        <v>-174350</v>
      </c>
      <c r="Y311" s="32">
        <v>292</v>
      </c>
      <c r="Z311" s="32">
        <v>25</v>
      </c>
      <c r="AA311" s="32">
        <v>4</v>
      </c>
      <c r="AB311" s="13">
        <f t="shared" si="71"/>
        <v>0</v>
      </c>
      <c r="AC311" s="33"/>
      <c r="AD311" s="13">
        <f t="shared" si="67"/>
        <v>0</v>
      </c>
      <c r="AE311" s="13">
        <f>ROUNDUP(($AB311+$AD311)*VLOOKUP($Z311,Paraméterek!$P$38:$Q$38,2)/12,IF($D$4="Forint",0,2))</f>
        <v>0</v>
      </c>
      <c r="AF311" s="13">
        <f>IF($D$2="Egyszeri",IF($D$7&gt;=IF($D$4="Forint",Paraméterek!$P$223,Paraméterek!$P$224),$D$7-IF($D$4="Forint",Paraméterek!$F$223,Paraméterek!$F$224),0),MIN(IF($AA311=12,AVERAGE($D$20:$D311)*12,0),SUM($D$20:$D$31)))</f>
        <v>0</v>
      </c>
      <c r="AG311" s="13">
        <f>IF(AND($Z311&gt;=10,MOD($Z311,5)=0),$AF311*IF($AA311=12,VLOOKUP($Z311,Paraméterek!$B$225:$F$240,IF($AF311&lt;IF($D$4="Forint",Paraméterek!$C$223,Paraméterek!$C$224),2,IF($AF311&lt;IF($D$4="Forint",Paraméterek!$D$223,Paraméterek!$D$224),3,4))),0),0)</f>
        <v>0</v>
      </c>
      <c r="AH311" s="13">
        <f>IF(AND($Z311&gt;=5,MOD($Z311,5)=0),IF($AA311=12,VLOOKUP($Z311,Paraméterek!$B$225:$F$240,5),0),IF(OR($Z311=3,$Z311=4),IF($AA311=12,VLOOKUP($Z311,Paraméterek!$B$225:$F$240,5,0),0),0))*$AF311</f>
        <v>0</v>
      </c>
      <c r="AI311" s="13">
        <f>ROUNDDOWN(IF(SUM($T$20:$U311)=0,IF($D$2="Egyszeri",$AH311,$AG311),0),IF($D$4="Forint",0,2))</f>
        <v>0</v>
      </c>
      <c r="AJ311" s="13">
        <f t="shared" si="72"/>
        <v>0</v>
      </c>
      <c r="AK311" s="13">
        <f t="shared" si="73"/>
        <v>0</v>
      </c>
      <c r="AM311" s="32">
        <v>292</v>
      </c>
      <c r="AN311" s="32">
        <v>25</v>
      </c>
      <c r="AO311" s="32">
        <v>4</v>
      </c>
      <c r="AP311" s="13"/>
      <c r="AQ311" s="32"/>
      <c r="AR311" s="13">
        <f t="shared" si="74"/>
        <v>0</v>
      </c>
      <c r="AS311" s="33"/>
      <c r="AT311" s="13">
        <f t="shared" si="68"/>
        <v>0</v>
      </c>
      <c r="AU311" s="13">
        <f>ROUNDUP(($AR311+$AT311)*VLOOKUP($AN311,Paraméterek!$P$38:$Q$38,2)/12,IF($D$4="Forint",0,2))</f>
        <v>0</v>
      </c>
      <c r="AV311" s="13"/>
      <c r="AW311" s="13"/>
      <c r="AX311" s="13">
        <f>ROUNDUP(IF(SUM($AV311:$AW311)=0,0,IF(IF(ISBLANK($AW311),$AV311,$AW311)*Paraméterek!$J$112&lt;IF($D$4="Forint",Paraméterek!$J$113,Paraméterek!$K$113),IF($D$4="Forint",Paraméterek!$J$113,Paraméterek!$K$113),IF(IF(ISBLANK($AW311),$AV311,$AW311)*Paraméterek!$J$112&gt;IF($D$4="Forint",Paraméterek!$J$114,Paraméterek!$K$114),IF($D$4="Forint",Paraméterek!$J$114,Paraméterek!$K$114),IF(ISBLANK($AW311),$AV311,$AW311)*Paraméterek!$J$112))),IF($D$4="Forint",0,2))</f>
        <v>0</v>
      </c>
      <c r="AY311" s="13">
        <f>$AR311+$AT311-$AU311-IF(ROUNDDOWN(IF(ISBLANK($AW311),$AV311,$AW311),IF($D$4="Forint",0,2))&gt;$AR311+$AT311-$AU311-IF($D$4="Forint",Paraméterek!$J$114,Paraméterek!$K$114),0,ROUNDDOWN(IF(ISBLANK($AW311),$AV311,$AW311),IF($D$4="Forint",0,2))-$AX311)</f>
        <v>0</v>
      </c>
      <c r="AZ311" s="13">
        <f t="shared" si="69"/>
        <v>0</v>
      </c>
    </row>
    <row r="312" spans="1:52" x14ac:dyDescent="0.2">
      <c r="A312" s="32">
        <v>293</v>
      </c>
      <c r="B312" s="32">
        <v>25</v>
      </c>
      <c r="C312" s="32">
        <v>5</v>
      </c>
      <c r="D312" s="13">
        <f t="shared" si="60"/>
        <v>0</v>
      </c>
      <c r="E312" s="13"/>
      <c r="F312" s="13"/>
      <c r="G312" s="13"/>
      <c r="H312" s="13">
        <f t="shared" si="61"/>
        <v>0</v>
      </c>
      <c r="I312" s="13">
        <f t="shared" si="62"/>
        <v>0</v>
      </c>
      <c r="J312" s="13">
        <f t="shared" si="63"/>
        <v>0</v>
      </c>
      <c r="K312" s="13">
        <f>ROUNDUP(IF($D$2="Egyszeri",$D312,IF($D$2="Havi",SUM($D$20:$D$31),IF(MOD($C312,$M$1)-1=0,SUM($D$20:$D$31),0))/12*$M$1)*VLOOKUP($B312,Paraméterek!$B$27:$D$30,IF($D$2="Egyszeri",3,2)),IF($D$4="Forint",0,2))</f>
        <v>0</v>
      </c>
      <c r="L312" s="13">
        <f t="shared" si="64"/>
        <v>0</v>
      </c>
      <c r="M312" s="13">
        <f t="shared" ca="1" si="70"/>
        <v>-174350</v>
      </c>
      <c r="N312" s="13">
        <f ca="1">IF($V311&gt;=VLOOKUP($M$4-1+$B312,Paraméterek!$B$121:$D$122,IF($D$4="Forint",2,3)),0,VLOOKUP($M$4-1+$B312,Paraméterek!$B$121:$D$122,IF($D$4="Forint",2,3))-$V311)</f>
        <v>184350</v>
      </c>
      <c r="O312" s="13">
        <f ca="1">ROUNDUP($N312*Paraméterek!$C$58/Paraméterek!$C$56,IF($D$4="Forint",0,2))</f>
        <v>30</v>
      </c>
      <c r="P312" s="13">
        <f t="shared" si="65"/>
        <v>1119</v>
      </c>
      <c r="Q312" s="33"/>
      <c r="R312" s="13">
        <f t="shared" ca="1" si="66"/>
        <v>0</v>
      </c>
      <c r="S312" s="13">
        <f ca="1">ROUNDUP(($M312-$O312-$P312+$R312)*VLOOKUP($B312,Paraméterek!$B$38:$D$39,IF($D$2="Egyszeri",3,2))/12,IF($D$4="Forint",0,2))</f>
        <v>-429</v>
      </c>
      <c r="T312" s="13"/>
      <c r="U312" s="13"/>
      <c r="V312" s="13">
        <f ca="1">$M312-$O312-$P312+$R312-$S312-IF(ROUNDUP(IF(ISBLANK($U312),$T312,$U312)/IF(AND($B312=1,$D$2&lt;&gt;"Egyszeri"),1,VLOOKUP($B312+IF($C312=12,1,0),Paraméterek!$B$257:$D$267,IF($D$2="Egyszeri",3,2))),IF($D$4="Forint",0,2))&gt;$M312-$O312-$P312+$R312-$S312-IF($D$4="Forint",Paraméterek!$C$216,Paraméterek!$D$216),0,ROUNDUP(IF(ISBLANK($U312),$T312,$U312)/IF(AND($B312=1,$D$2&lt;&gt;"Egyszeri"),1,VLOOKUP($B312+IF($C312=12,1,0),Paraméterek!$B$257:$D$267,IF($D$2="Egyszeri",3,2))),IF($D$4="Forint",0,2)))</f>
        <v>-175070</v>
      </c>
      <c r="W312" s="13">
        <f ca="1">ROUNDDOWN($V312*VLOOKUP($B312+IF($C312=12,1,0),Paraméterek!$B$257:$D$267,IF($D$2="Egyszeri",3,2)),IF($D$4="Forint",0,2))</f>
        <v>-175070</v>
      </c>
      <c r="Y312" s="32">
        <v>293</v>
      </c>
      <c r="Z312" s="32">
        <v>25</v>
      </c>
      <c r="AA312" s="32">
        <v>5</v>
      </c>
      <c r="AB312" s="13">
        <f t="shared" si="71"/>
        <v>0</v>
      </c>
      <c r="AC312" s="33"/>
      <c r="AD312" s="13">
        <f t="shared" si="67"/>
        <v>0</v>
      </c>
      <c r="AE312" s="13">
        <f>ROUNDUP(($AB312+$AD312)*VLOOKUP($Z312,Paraméterek!$P$38:$Q$38,2)/12,IF($D$4="Forint",0,2))</f>
        <v>0</v>
      </c>
      <c r="AF312" s="13">
        <f>IF($D$2="Egyszeri",IF($D$7&gt;=IF($D$4="Forint",Paraméterek!$P$223,Paraméterek!$P$224),$D$7-IF($D$4="Forint",Paraméterek!$F$223,Paraméterek!$F$224),0),MIN(IF($AA312=12,AVERAGE($D$20:$D312)*12,0),SUM($D$20:$D$31)))</f>
        <v>0</v>
      </c>
      <c r="AG312" s="13">
        <f>IF(AND($Z312&gt;=10,MOD($Z312,5)=0),$AF312*IF($AA312=12,VLOOKUP($Z312,Paraméterek!$B$225:$F$240,IF($AF312&lt;IF($D$4="Forint",Paraméterek!$C$223,Paraméterek!$C$224),2,IF($AF312&lt;IF($D$4="Forint",Paraméterek!$D$223,Paraméterek!$D$224),3,4))),0),0)</f>
        <v>0</v>
      </c>
      <c r="AH312" s="13">
        <f>IF(AND($Z312&gt;=5,MOD($Z312,5)=0),IF($AA312=12,VLOOKUP($Z312,Paraméterek!$B$225:$F$240,5),0),IF(OR($Z312=3,$Z312=4),IF($AA312=12,VLOOKUP($Z312,Paraméterek!$B$225:$F$240,5,0),0),0))*$AF312</f>
        <v>0</v>
      </c>
      <c r="AI312" s="13">
        <f>ROUNDDOWN(IF(SUM($T$20:$U312)=0,IF($D$2="Egyszeri",$AH312,$AG312),0),IF($D$4="Forint",0,2))</f>
        <v>0</v>
      </c>
      <c r="AJ312" s="13">
        <f t="shared" si="72"/>
        <v>0</v>
      </c>
      <c r="AK312" s="13">
        <f t="shared" si="73"/>
        <v>0</v>
      </c>
      <c r="AM312" s="32">
        <v>293</v>
      </c>
      <c r="AN312" s="32">
        <v>25</v>
      </c>
      <c r="AO312" s="32">
        <v>5</v>
      </c>
      <c r="AP312" s="13"/>
      <c r="AQ312" s="32"/>
      <c r="AR312" s="13">
        <f t="shared" si="74"/>
        <v>0</v>
      </c>
      <c r="AS312" s="33"/>
      <c r="AT312" s="13">
        <f t="shared" si="68"/>
        <v>0</v>
      </c>
      <c r="AU312" s="13">
        <f>ROUNDUP(($AR312+$AT312)*VLOOKUP($AN312,Paraméterek!$P$38:$Q$38,2)/12,IF($D$4="Forint",0,2))</f>
        <v>0</v>
      </c>
      <c r="AV312" s="13"/>
      <c r="AW312" s="13"/>
      <c r="AX312" s="13">
        <f>ROUNDUP(IF(SUM($AV312:$AW312)=0,0,IF(IF(ISBLANK($AW312),$AV312,$AW312)*Paraméterek!$J$112&lt;IF($D$4="Forint",Paraméterek!$J$113,Paraméterek!$K$113),IF($D$4="Forint",Paraméterek!$J$113,Paraméterek!$K$113),IF(IF(ISBLANK($AW312),$AV312,$AW312)*Paraméterek!$J$112&gt;IF($D$4="Forint",Paraméterek!$J$114,Paraméterek!$K$114),IF($D$4="Forint",Paraméterek!$J$114,Paraméterek!$K$114),IF(ISBLANK($AW312),$AV312,$AW312)*Paraméterek!$J$112))),IF($D$4="Forint",0,2))</f>
        <v>0</v>
      </c>
      <c r="AY312" s="13">
        <f>$AR312+$AT312-$AU312-IF(ROUNDDOWN(IF(ISBLANK($AW312),$AV312,$AW312),IF($D$4="Forint",0,2))&gt;$AR312+$AT312-$AU312-IF($D$4="Forint",Paraméterek!$J$114,Paraméterek!$K$114),0,ROUNDDOWN(IF(ISBLANK($AW312),$AV312,$AW312),IF($D$4="Forint",0,2))-$AX312)</f>
        <v>0</v>
      </c>
      <c r="AZ312" s="13">
        <f t="shared" si="69"/>
        <v>0</v>
      </c>
    </row>
    <row r="313" spans="1:52" x14ac:dyDescent="0.2">
      <c r="A313" s="32">
        <v>294</v>
      </c>
      <c r="B313" s="32">
        <v>25</v>
      </c>
      <c r="C313" s="32">
        <v>6</v>
      </c>
      <c r="D313" s="13">
        <f t="shared" si="60"/>
        <v>0</v>
      </c>
      <c r="E313" s="13"/>
      <c r="F313" s="13"/>
      <c r="G313" s="13"/>
      <c r="H313" s="13">
        <f t="shared" si="61"/>
        <v>0</v>
      </c>
      <c r="I313" s="13">
        <f t="shared" si="62"/>
        <v>0</v>
      </c>
      <c r="J313" s="13">
        <f t="shared" si="63"/>
        <v>0</v>
      </c>
      <c r="K313" s="13">
        <f>ROUNDUP(IF($D$2="Egyszeri",$D313,IF($D$2="Havi",SUM($D$20:$D$31),IF(MOD($C313,$M$1)-1=0,SUM($D$20:$D$31),0))/12*$M$1)*VLOOKUP($B313,Paraméterek!$B$27:$D$30,IF($D$2="Egyszeri",3,2)),IF($D$4="Forint",0,2))</f>
        <v>0</v>
      </c>
      <c r="L313" s="13">
        <f t="shared" si="64"/>
        <v>0</v>
      </c>
      <c r="M313" s="13">
        <f t="shared" ca="1" si="70"/>
        <v>-175070</v>
      </c>
      <c r="N313" s="13">
        <f ca="1">IF($V312&gt;=VLOOKUP($M$4-1+$B313,Paraméterek!$B$121:$D$122,IF($D$4="Forint",2,3)),0,VLOOKUP($M$4-1+$B313,Paraméterek!$B$121:$D$122,IF($D$4="Forint",2,3))-$V312)</f>
        <v>185070</v>
      </c>
      <c r="O313" s="13">
        <f ca="1">ROUNDUP($N313*Paraméterek!$C$58/Paraméterek!$C$56,IF($D$4="Forint",0,2))</f>
        <v>30</v>
      </c>
      <c r="P313" s="13">
        <f t="shared" si="65"/>
        <v>1119</v>
      </c>
      <c r="Q313" s="33"/>
      <c r="R313" s="13">
        <f t="shared" ca="1" si="66"/>
        <v>0</v>
      </c>
      <c r="S313" s="13">
        <f ca="1">ROUNDUP(($M313-$O313-$P313+$R313)*VLOOKUP($B313,Paraméterek!$B$38:$D$39,IF($D$2="Egyszeri",3,2))/12,IF($D$4="Forint",0,2))</f>
        <v>-431</v>
      </c>
      <c r="T313" s="13"/>
      <c r="U313" s="13"/>
      <c r="V313" s="13">
        <f ca="1">$M313-$O313-$P313+$R313-$S313-IF(ROUNDUP(IF(ISBLANK($U313),$T313,$U313)/IF(AND($B313=1,$D$2&lt;&gt;"Egyszeri"),1,VLOOKUP($B313+IF($C313=12,1,0),Paraméterek!$B$257:$D$267,IF($D$2="Egyszeri",3,2))),IF($D$4="Forint",0,2))&gt;$M313-$O313-$P313+$R313-$S313-IF($D$4="Forint",Paraméterek!$C$216,Paraméterek!$D$216),0,ROUNDUP(IF(ISBLANK($U313),$T313,$U313)/IF(AND($B313=1,$D$2&lt;&gt;"Egyszeri"),1,VLOOKUP($B313+IF($C313=12,1,0),Paraméterek!$B$257:$D$267,IF($D$2="Egyszeri",3,2))),IF($D$4="Forint",0,2)))</f>
        <v>-175788</v>
      </c>
      <c r="W313" s="13">
        <f ca="1">ROUNDDOWN($V313*VLOOKUP($B313+IF($C313=12,1,0),Paraméterek!$B$257:$D$267,IF($D$2="Egyszeri",3,2)),IF($D$4="Forint",0,2))</f>
        <v>-175788</v>
      </c>
      <c r="Y313" s="32">
        <v>294</v>
      </c>
      <c r="Z313" s="32">
        <v>25</v>
      </c>
      <c r="AA313" s="32">
        <v>6</v>
      </c>
      <c r="AB313" s="13">
        <f t="shared" si="71"/>
        <v>0</v>
      </c>
      <c r="AC313" s="33"/>
      <c r="AD313" s="13">
        <f t="shared" si="67"/>
        <v>0</v>
      </c>
      <c r="AE313" s="13">
        <f>ROUNDUP(($AB313+$AD313)*VLOOKUP($Z313,Paraméterek!$P$38:$Q$38,2)/12,IF($D$4="Forint",0,2))</f>
        <v>0</v>
      </c>
      <c r="AF313" s="13">
        <f>IF($D$2="Egyszeri",IF($D$7&gt;=IF($D$4="Forint",Paraméterek!$P$223,Paraméterek!$P$224),$D$7-IF($D$4="Forint",Paraméterek!$F$223,Paraméterek!$F$224),0),MIN(IF($AA313=12,AVERAGE($D$20:$D313)*12,0),SUM($D$20:$D$31)))</f>
        <v>0</v>
      </c>
      <c r="AG313" s="13">
        <f>IF(AND($Z313&gt;=10,MOD($Z313,5)=0),$AF313*IF($AA313=12,VLOOKUP($Z313,Paraméterek!$B$225:$F$240,IF($AF313&lt;IF($D$4="Forint",Paraméterek!$C$223,Paraméterek!$C$224),2,IF($AF313&lt;IF($D$4="Forint",Paraméterek!$D$223,Paraméterek!$D$224),3,4))),0),0)</f>
        <v>0</v>
      </c>
      <c r="AH313" s="13">
        <f>IF(AND($Z313&gt;=5,MOD($Z313,5)=0),IF($AA313=12,VLOOKUP($Z313,Paraméterek!$B$225:$F$240,5),0),IF(OR($Z313=3,$Z313=4),IF($AA313=12,VLOOKUP($Z313,Paraméterek!$B$225:$F$240,5,0),0),0))*$AF313</f>
        <v>0</v>
      </c>
      <c r="AI313" s="13">
        <f>ROUNDDOWN(IF(SUM($T$20:$U313)=0,IF($D$2="Egyszeri",$AH313,$AG313),0),IF($D$4="Forint",0,2))</f>
        <v>0</v>
      </c>
      <c r="AJ313" s="13">
        <f t="shared" si="72"/>
        <v>0</v>
      </c>
      <c r="AK313" s="13">
        <f t="shared" si="73"/>
        <v>0</v>
      </c>
      <c r="AM313" s="32">
        <v>294</v>
      </c>
      <c r="AN313" s="32">
        <v>25</v>
      </c>
      <c r="AO313" s="32">
        <v>6</v>
      </c>
      <c r="AP313" s="13"/>
      <c r="AQ313" s="32"/>
      <c r="AR313" s="13">
        <f t="shared" si="74"/>
        <v>0</v>
      </c>
      <c r="AS313" s="33"/>
      <c r="AT313" s="13">
        <f t="shared" si="68"/>
        <v>0</v>
      </c>
      <c r="AU313" s="13">
        <f>ROUNDUP(($AR313+$AT313)*VLOOKUP($AN313,Paraméterek!$P$38:$Q$38,2)/12,IF($D$4="Forint",0,2))</f>
        <v>0</v>
      </c>
      <c r="AV313" s="13"/>
      <c r="AW313" s="13"/>
      <c r="AX313" s="13">
        <f>ROUNDUP(IF(SUM($AV313:$AW313)=0,0,IF(IF(ISBLANK($AW313),$AV313,$AW313)*Paraméterek!$J$112&lt;IF($D$4="Forint",Paraméterek!$J$113,Paraméterek!$K$113),IF($D$4="Forint",Paraméterek!$J$113,Paraméterek!$K$113),IF(IF(ISBLANK($AW313),$AV313,$AW313)*Paraméterek!$J$112&gt;IF($D$4="Forint",Paraméterek!$J$114,Paraméterek!$K$114),IF($D$4="Forint",Paraméterek!$J$114,Paraméterek!$K$114),IF(ISBLANK($AW313),$AV313,$AW313)*Paraméterek!$J$112))),IF($D$4="Forint",0,2))</f>
        <v>0</v>
      </c>
      <c r="AY313" s="13">
        <f>$AR313+$AT313-$AU313-IF(ROUNDDOWN(IF(ISBLANK($AW313),$AV313,$AW313),IF($D$4="Forint",0,2))&gt;$AR313+$AT313-$AU313-IF($D$4="Forint",Paraméterek!$J$114,Paraméterek!$K$114),0,ROUNDDOWN(IF(ISBLANK($AW313),$AV313,$AW313),IF($D$4="Forint",0,2))-$AX313)</f>
        <v>0</v>
      </c>
      <c r="AZ313" s="13">
        <f t="shared" si="69"/>
        <v>0</v>
      </c>
    </row>
    <row r="314" spans="1:52" x14ac:dyDescent="0.2">
      <c r="A314" s="32">
        <v>295</v>
      </c>
      <c r="B314" s="32">
        <v>25</v>
      </c>
      <c r="C314" s="32">
        <v>7</v>
      </c>
      <c r="D314" s="13">
        <f t="shared" si="60"/>
        <v>0</v>
      </c>
      <c r="E314" s="13"/>
      <c r="F314" s="13"/>
      <c r="G314" s="13"/>
      <c r="H314" s="13">
        <f t="shared" si="61"/>
        <v>0</v>
      </c>
      <c r="I314" s="13">
        <f t="shared" si="62"/>
        <v>0</v>
      </c>
      <c r="J314" s="13">
        <f t="shared" si="63"/>
        <v>0</v>
      </c>
      <c r="K314" s="13">
        <f>ROUNDUP(IF($D$2="Egyszeri",$D314,IF($D$2="Havi",SUM($D$20:$D$31),IF(MOD($C314,$M$1)-1=0,SUM($D$20:$D$31),0))/12*$M$1)*VLOOKUP($B314,Paraméterek!$B$27:$D$30,IF($D$2="Egyszeri",3,2)),IF($D$4="Forint",0,2))</f>
        <v>0</v>
      </c>
      <c r="L314" s="13">
        <f t="shared" si="64"/>
        <v>0</v>
      </c>
      <c r="M314" s="13">
        <f t="shared" ca="1" si="70"/>
        <v>-175788</v>
      </c>
      <c r="N314" s="13">
        <f ca="1">IF($V313&gt;=VLOOKUP($M$4-1+$B314,Paraméterek!$B$121:$D$122,IF($D$4="Forint",2,3)),0,VLOOKUP($M$4-1+$B314,Paraméterek!$B$121:$D$122,IF($D$4="Forint",2,3))-$V313)</f>
        <v>185788</v>
      </c>
      <c r="O314" s="13">
        <f ca="1">ROUNDUP($N314*Paraméterek!$C$58/Paraméterek!$C$56,IF($D$4="Forint",0,2))</f>
        <v>30</v>
      </c>
      <c r="P314" s="13">
        <f t="shared" si="65"/>
        <v>1119</v>
      </c>
      <c r="Q314" s="33"/>
      <c r="R314" s="13">
        <f t="shared" ca="1" si="66"/>
        <v>0</v>
      </c>
      <c r="S314" s="13">
        <f ca="1">ROUNDUP(($M314-$O314-$P314+$R314)*VLOOKUP($B314,Paraméterek!$B$38:$D$39,IF($D$2="Egyszeri",3,2))/12,IF($D$4="Forint",0,2))</f>
        <v>-433</v>
      </c>
      <c r="T314" s="13"/>
      <c r="U314" s="13"/>
      <c r="V314" s="13">
        <f ca="1">$M314-$O314-$P314+$R314-$S314-IF(ROUNDUP(IF(ISBLANK($U314),$T314,$U314)/IF(AND($B314=1,$D$2&lt;&gt;"Egyszeri"),1,VLOOKUP($B314+IF($C314=12,1,0),Paraméterek!$B$257:$D$267,IF($D$2="Egyszeri",3,2))),IF($D$4="Forint",0,2))&gt;$M314-$O314-$P314+$R314-$S314-IF($D$4="Forint",Paraméterek!$C$216,Paraméterek!$D$216),0,ROUNDUP(IF(ISBLANK($U314),$T314,$U314)/IF(AND($B314=1,$D$2&lt;&gt;"Egyszeri"),1,VLOOKUP($B314+IF($C314=12,1,0),Paraméterek!$B$257:$D$267,IF($D$2="Egyszeri",3,2))),IF($D$4="Forint",0,2)))</f>
        <v>-176504</v>
      </c>
      <c r="W314" s="13">
        <f ca="1">ROUNDDOWN($V314*VLOOKUP($B314+IF($C314=12,1,0),Paraméterek!$B$257:$D$267,IF($D$2="Egyszeri",3,2)),IF($D$4="Forint",0,2))</f>
        <v>-176504</v>
      </c>
      <c r="Y314" s="32">
        <v>295</v>
      </c>
      <c r="Z314" s="32">
        <v>25</v>
      </c>
      <c r="AA314" s="32">
        <v>7</v>
      </c>
      <c r="AB314" s="13">
        <f t="shared" si="71"/>
        <v>0</v>
      </c>
      <c r="AC314" s="33"/>
      <c r="AD314" s="13">
        <f t="shared" si="67"/>
        <v>0</v>
      </c>
      <c r="AE314" s="13">
        <f>ROUNDUP(($AB314+$AD314)*VLOOKUP($Z314,Paraméterek!$P$38:$Q$38,2)/12,IF($D$4="Forint",0,2))</f>
        <v>0</v>
      </c>
      <c r="AF314" s="13">
        <f>IF($D$2="Egyszeri",IF($D$7&gt;=IF($D$4="Forint",Paraméterek!$P$223,Paraméterek!$P$224),$D$7-IF($D$4="Forint",Paraméterek!$F$223,Paraméterek!$F$224),0),MIN(IF($AA314=12,AVERAGE($D$20:$D314)*12,0),SUM($D$20:$D$31)))</f>
        <v>0</v>
      </c>
      <c r="AG314" s="13">
        <f>IF(AND($Z314&gt;=10,MOD($Z314,5)=0),$AF314*IF($AA314=12,VLOOKUP($Z314,Paraméterek!$B$225:$F$240,IF($AF314&lt;IF($D$4="Forint",Paraméterek!$C$223,Paraméterek!$C$224),2,IF($AF314&lt;IF($D$4="Forint",Paraméterek!$D$223,Paraméterek!$D$224),3,4))),0),0)</f>
        <v>0</v>
      </c>
      <c r="AH314" s="13">
        <f>IF(AND($Z314&gt;=5,MOD($Z314,5)=0),IF($AA314=12,VLOOKUP($Z314,Paraméterek!$B$225:$F$240,5),0),IF(OR($Z314=3,$Z314=4),IF($AA314=12,VLOOKUP($Z314,Paraméterek!$B$225:$F$240,5,0),0),0))*$AF314</f>
        <v>0</v>
      </c>
      <c r="AI314" s="13">
        <f>ROUNDDOWN(IF(SUM($T$20:$U314)=0,IF($D$2="Egyszeri",$AH314,$AG314),0),IF($D$4="Forint",0,2))</f>
        <v>0</v>
      </c>
      <c r="AJ314" s="13">
        <f t="shared" si="72"/>
        <v>0</v>
      </c>
      <c r="AK314" s="13">
        <f t="shared" si="73"/>
        <v>0</v>
      </c>
      <c r="AM314" s="32">
        <v>295</v>
      </c>
      <c r="AN314" s="32">
        <v>25</v>
      </c>
      <c r="AO314" s="32">
        <v>7</v>
      </c>
      <c r="AP314" s="13"/>
      <c r="AQ314" s="32"/>
      <c r="AR314" s="13">
        <f t="shared" si="74"/>
        <v>0</v>
      </c>
      <c r="AS314" s="33"/>
      <c r="AT314" s="13">
        <f t="shared" si="68"/>
        <v>0</v>
      </c>
      <c r="AU314" s="13">
        <f>ROUNDUP(($AR314+$AT314)*VLOOKUP($AN314,Paraméterek!$P$38:$Q$38,2)/12,IF($D$4="Forint",0,2))</f>
        <v>0</v>
      </c>
      <c r="AV314" s="13"/>
      <c r="AW314" s="13"/>
      <c r="AX314" s="13">
        <f>ROUNDUP(IF(SUM($AV314:$AW314)=0,0,IF(IF(ISBLANK($AW314),$AV314,$AW314)*Paraméterek!$J$112&lt;IF($D$4="Forint",Paraméterek!$J$113,Paraméterek!$K$113),IF($D$4="Forint",Paraméterek!$J$113,Paraméterek!$K$113),IF(IF(ISBLANK($AW314),$AV314,$AW314)*Paraméterek!$J$112&gt;IF($D$4="Forint",Paraméterek!$J$114,Paraméterek!$K$114),IF($D$4="Forint",Paraméterek!$J$114,Paraméterek!$K$114),IF(ISBLANK($AW314),$AV314,$AW314)*Paraméterek!$J$112))),IF($D$4="Forint",0,2))</f>
        <v>0</v>
      </c>
      <c r="AY314" s="13">
        <f>$AR314+$AT314-$AU314-IF(ROUNDDOWN(IF(ISBLANK($AW314),$AV314,$AW314),IF($D$4="Forint",0,2))&gt;$AR314+$AT314-$AU314-IF($D$4="Forint",Paraméterek!$J$114,Paraméterek!$K$114),0,ROUNDDOWN(IF(ISBLANK($AW314),$AV314,$AW314),IF($D$4="Forint",0,2))-$AX314)</f>
        <v>0</v>
      </c>
      <c r="AZ314" s="13">
        <f t="shared" si="69"/>
        <v>0</v>
      </c>
    </row>
    <row r="315" spans="1:52" x14ac:dyDescent="0.2">
      <c r="A315" s="32">
        <v>296</v>
      </c>
      <c r="B315" s="32">
        <v>25</v>
      </c>
      <c r="C315" s="32">
        <v>8</v>
      </c>
      <c r="D315" s="13">
        <f t="shared" si="60"/>
        <v>0</v>
      </c>
      <c r="E315" s="13"/>
      <c r="F315" s="13"/>
      <c r="G315" s="13"/>
      <c r="H315" s="13">
        <f t="shared" si="61"/>
        <v>0</v>
      </c>
      <c r="I315" s="13">
        <f t="shared" si="62"/>
        <v>0</v>
      </c>
      <c r="J315" s="13">
        <f t="shared" si="63"/>
        <v>0</v>
      </c>
      <c r="K315" s="13">
        <f>ROUNDUP(IF($D$2="Egyszeri",$D315,IF($D$2="Havi",SUM($D$20:$D$31),IF(MOD($C315,$M$1)-1=0,SUM($D$20:$D$31),0))/12*$M$1)*VLOOKUP($B315,Paraméterek!$B$27:$D$30,IF($D$2="Egyszeri",3,2)),IF($D$4="Forint",0,2))</f>
        <v>0</v>
      </c>
      <c r="L315" s="13">
        <f t="shared" si="64"/>
        <v>0</v>
      </c>
      <c r="M315" s="13">
        <f t="shared" ca="1" si="70"/>
        <v>-176504</v>
      </c>
      <c r="N315" s="13">
        <f ca="1">IF($V314&gt;=VLOOKUP($M$4-1+$B315,Paraméterek!$B$121:$D$122,IF($D$4="Forint",2,3)),0,VLOOKUP($M$4-1+$B315,Paraméterek!$B$121:$D$122,IF($D$4="Forint",2,3))-$V314)</f>
        <v>186504</v>
      </c>
      <c r="O315" s="13">
        <f ca="1">ROUNDUP($N315*Paraméterek!$C$58/Paraméterek!$C$56,IF($D$4="Forint",0,2))</f>
        <v>30</v>
      </c>
      <c r="P315" s="13">
        <f t="shared" si="65"/>
        <v>1119</v>
      </c>
      <c r="Q315" s="33"/>
      <c r="R315" s="13">
        <f t="shared" ca="1" si="66"/>
        <v>0</v>
      </c>
      <c r="S315" s="13">
        <f ca="1">ROUNDUP(($M315-$O315-$P315+$R315)*VLOOKUP($B315,Paraméterek!$B$38:$D$39,IF($D$2="Egyszeri",3,2))/12,IF($D$4="Forint",0,2))</f>
        <v>-434</v>
      </c>
      <c r="T315" s="13"/>
      <c r="U315" s="13"/>
      <c r="V315" s="13">
        <f ca="1">$M315-$O315-$P315+$R315-$S315-IF(ROUNDUP(IF(ISBLANK($U315),$T315,$U315)/IF(AND($B315=1,$D$2&lt;&gt;"Egyszeri"),1,VLOOKUP($B315+IF($C315=12,1,0),Paraméterek!$B$257:$D$267,IF($D$2="Egyszeri",3,2))),IF($D$4="Forint",0,2))&gt;$M315-$O315-$P315+$R315-$S315-IF($D$4="Forint",Paraméterek!$C$216,Paraméterek!$D$216),0,ROUNDUP(IF(ISBLANK($U315),$T315,$U315)/IF(AND($B315=1,$D$2&lt;&gt;"Egyszeri"),1,VLOOKUP($B315+IF($C315=12,1,0),Paraméterek!$B$257:$D$267,IF($D$2="Egyszeri",3,2))),IF($D$4="Forint",0,2)))</f>
        <v>-177219</v>
      </c>
      <c r="W315" s="13">
        <f ca="1">ROUNDDOWN($V315*VLOOKUP($B315+IF($C315=12,1,0),Paraméterek!$B$257:$D$267,IF($D$2="Egyszeri",3,2)),IF($D$4="Forint",0,2))</f>
        <v>-177219</v>
      </c>
      <c r="Y315" s="32">
        <v>296</v>
      </c>
      <c r="Z315" s="32">
        <v>25</v>
      </c>
      <c r="AA315" s="32">
        <v>8</v>
      </c>
      <c r="AB315" s="13">
        <f t="shared" si="71"/>
        <v>0</v>
      </c>
      <c r="AC315" s="33"/>
      <c r="AD315" s="13">
        <f t="shared" si="67"/>
        <v>0</v>
      </c>
      <c r="AE315" s="13">
        <f>ROUNDUP(($AB315+$AD315)*VLOOKUP($Z315,Paraméterek!$P$38:$Q$38,2)/12,IF($D$4="Forint",0,2))</f>
        <v>0</v>
      </c>
      <c r="AF315" s="13">
        <f>IF($D$2="Egyszeri",IF($D$7&gt;=IF($D$4="Forint",Paraméterek!$P$223,Paraméterek!$P$224),$D$7-IF($D$4="Forint",Paraméterek!$F$223,Paraméterek!$F$224),0),MIN(IF($AA315=12,AVERAGE($D$20:$D315)*12,0),SUM($D$20:$D$31)))</f>
        <v>0</v>
      </c>
      <c r="AG315" s="13">
        <f>IF(AND($Z315&gt;=10,MOD($Z315,5)=0),$AF315*IF($AA315=12,VLOOKUP($Z315,Paraméterek!$B$225:$F$240,IF($AF315&lt;IF($D$4="Forint",Paraméterek!$C$223,Paraméterek!$C$224),2,IF($AF315&lt;IF($D$4="Forint",Paraméterek!$D$223,Paraméterek!$D$224),3,4))),0),0)</f>
        <v>0</v>
      </c>
      <c r="AH315" s="13">
        <f>IF(AND($Z315&gt;=5,MOD($Z315,5)=0),IF($AA315=12,VLOOKUP($Z315,Paraméterek!$B$225:$F$240,5),0),IF(OR($Z315=3,$Z315=4),IF($AA315=12,VLOOKUP($Z315,Paraméterek!$B$225:$F$240,5,0),0),0))*$AF315</f>
        <v>0</v>
      </c>
      <c r="AI315" s="13">
        <f>ROUNDDOWN(IF(SUM($T$20:$U315)=0,IF($D$2="Egyszeri",$AH315,$AG315),0),IF($D$4="Forint",0,2))</f>
        <v>0</v>
      </c>
      <c r="AJ315" s="13">
        <f t="shared" si="72"/>
        <v>0</v>
      </c>
      <c r="AK315" s="13">
        <f t="shared" si="73"/>
        <v>0</v>
      </c>
      <c r="AM315" s="32">
        <v>296</v>
      </c>
      <c r="AN315" s="32">
        <v>25</v>
      </c>
      <c r="AO315" s="32">
        <v>8</v>
      </c>
      <c r="AP315" s="13"/>
      <c r="AQ315" s="32"/>
      <c r="AR315" s="13">
        <f t="shared" si="74"/>
        <v>0</v>
      </c>
      <c r="AS315" s="33"/>
      <c r="AT315" s="13">
        <f t="shared" si="68"/>
        <v>0</v>
      </c>
      <c r="AU315" s="13">
        <f>ROUNDUP(($AR315+$AT315)*VLOOKUP($AN315,Paraméterek!$P$38:$Q$38,2)/12,IF($D$4="Forint",0,2))</f>
        <v>0</v>
      </c>
      <c r="AV315" s="13"/>
      <c r="AW315" s="13"/>
      <c r="AX315" s="13">
        <f>ROUNDUP(IF(SUM($AV315:$AW315)=0,0,IF(IF(ISBLANK($AW315),$AV315,$AW315)*Paraméterek!$J$112&lt;IF($D$4="Forint",Paraméterek!$J$113,Paraméterek!$K$113),IF($D$4="Forint",Paraméterek!$J$113,Paraméterek!$K$113),IF(IF(ISBLANK($AW315),$AV315,$AW315)*Paraméterek!$J$112&gt;IF($D$4="Forint",Paraméterek!$J$114,Paraméterek!$K$114),IF($D$4="Forint",Paraméterek!$J$114,Paraméterek!$K$114),IF(ISBLANK($AW315),$AV315,$AW315)*Paraméterek!$J$112))),IF($D$4="Forint",0,2))</f>
        <v>0</v>
      </c>
      <c r="AY315" s="13">
        <f>$AR315+$AT315-$AU315-IF(ROUNDDOWN(IF(ISBLANK($AW315),$AV315,$AW315),IF($D$4="Forint",0,2))&gt;$AR315+$AT315-$AU315-IF($D$4="Forint",Paraméterek!$J$114,Paraméterek!$K$114),0,ROUNDDOWN(IF(ISBLANK($AW315),$AV315,$AW315),IF($D$4="Forint",0,2))-$AX315)</f>
        <v>0</v>
      </c>
      <c r="AZ315" s="13">
        <f t="shared" si="69"/>
        <v>0</v>
      </c>
    </row>
    <row r="316" spans="1:52" x14ac:dyDescent="0.2">
      <c r="A316" s="32">
        <v>297</v>
      </c>
      <c r="B316" s="32">
        <v>25</v>
      </c>
      <c r="C316" s="32">
        <v>9</v>
      </c>
      <c r="D316" s="13">
        <f t="shared" si="60"/>
        <v>0</v>
      </c>
      <c r="E316" s="13"/>
      <c r="F316" s="13"/>
      <c r="G316" s="13"/>
      <c r="H316" s="13">
        <f t="shared" si="61"/>
        <v>0</v>
      </c>
      <c r="I316" s="13">
        <f t="shared" si="62"/>
        <v>0</v>
      </c>
      <c r="J316" s="13">
        <f t="shared" si="63"/>
        <v>0</v>
      </c>
      <c r="K316" s="13">
        <f>ROUNDUP(IF($D$2="Egyszeri",$D316,IF($D$2="Havi",SUM($D$20:$D$31),IF(MOD($C316,$M$1)-1=0,SUM($D$20:$D$31),0))/12*$M$1)*VLOOKUP($B316,Paraméterek!$B$27:$D$30,IF($D$2="Egyszeri",3,2)),IF($D$4="Forint",0,2))</f>
        <v>0</v>
      </c>
      <c r="L316" s="13">
        <f t="shared" si="64"/>
        <v>0</v>
      </c>
      <c r="M316" s="13">
        <f t="shared" ca="1" si="70"/>
        <v>-177219</v>
      </c>
      <c r="N316" s="13">
        <f ca="1">IF($V315&gt;=VLOOKUP($M$4-1+$B316,Paraméterek!$B$121:$D$122,IF($D$4="Forint",2,3)),0,VLOOKUP($M$4-1+$B316,Paraméterek!$B$121:$D$122,IF($D$4="Forint",2,3))-$V315)</f>
        <v>187219</v>
      </c>
      <c r="O316" s="13">
        <f ca="1">ROUNDUP($N316*Paraméterek!$C$58/Paraméterek!$C$56,IF($D$4="Forint",0,2))</f>
        <v>30</v>
      </c>
      <c r="P316" s="13">
        <f t="shared" si="65"/>
        <v>1119</v>
      </c>
      <c r="Q316" s="33"/>
      <c r="R316" s="13">
        <f t="shared" ca="1" si="66"/>
        <v>0</v>
      </c>
      <c r="S316" s="13">
        <f ca="1">ROUNDUP(($M316-$O316-$P316+$R316)*VLOOKUP($B316,Paraméterek!$B$38:$D$39,IF($D$2="Egyszeri",3,2))/12,IF($D$4="Forint",0,2))</f>
        <v>-436</v>
      </c>
      <c r="T316" s="13"/>
      <c r="U316" s="13"/>
      <c r="V316" s="13">
        <f ca="1">$M316-$O316-$P316+$R316-$S316-IF(ROUNDUP(IF(ISBLANK($U316),$T316,$U316)/IF(AND($B316=1,$D$2&lt;&gt;"Egyszeri"),1,VLOOKUP($B316+IF($C316=12,1,0),Paraméterek!$B$257:$D$267,IF($D$2="Egyszeri",3,2))),IF($D$4="Forint",0,2))&gt;$M316-$O316-$P316+$R316-$S316-IF($D$4="Forint",Paraméterek!$C$216,Paraméterek!$D$216),0,ROUNDUP(IF(ISBLANK($U316),$T316,$U316)/IF(AND($B316=1,$D$2&lt;&gt;"Egyszeri"),1,VLOOKUP($B316+IF($C316=12,1,0),Paraméterek!$B$257:$D$267,IF($D$2="Egyszeri",3,2))),IF($D$4="Forint",0,2)))</f>
        <v>-177932</v>
      </c>
      <c r="W316" s="13">
        <f ca="1">ROUNDDOWN($V316*VLOOKUP($B316+IF($C316=12,1,0),Paraméterek!$B$257:$D$267,IF($D$2="Egyszeri",3,2)),IF($D$4="Forint",0,2))</f>
        <v>-177932</v>
      </c>
      <c r="Y316" s="32">
        <v>297</v>
      </c>
      <c r="Z316" s="32">
        <v>25</v>
      </c>
      <c r="AA316" s="32">
        <v>9</v>
      </c>
      <c r="AB316" s="13">
        <f t="shared" si="71"/>
        <v>0</v>
      </c>
      <c r="AC316" s="33"/>
      <c r="AD316" s="13">
        <f t="shared" si="67"/>
        <v>0</v>
      </c>
      <c r="AE316" s="13">
        <f>ROUNDUP(($AB316+$AD316)*VLOOKUP($Z316,Paraméterek!$P$38:$Q$38,2)/12,IF($D$4="Forint",0,2))</f>
        <v>0</v>
      </c>
      <c r="AF316" s="13">
        <f>IF($D$2="Egyszeri",IF($D$7&gt;=IF($D$4="Forint",Paraméterek!$P$223,Paraméterek!$P$224),$D$7-IF($D$4="Forint",Paraméterek!$F$223,Paraméterek!$F$224),0),MIN(IF($AA316=12,AVERAGE($D$20:$D316)*12,0),SUM($D$20:$D$31)))</f>
        <v>0</v>
      </c>
      <c r="AG316" s="13">
        <f>IF(AND($Z316&gt;=10,MOD($Z316,5)=0),$AF316*IF($AA316=12,VLOOKUP($Z316,Paraméterek!$B$225:$F$240,IF($AF316&lt;IF($D$4="Forint",Paraméterek!$C$223,Paraméterek!$C$224),2,IF($AF316&lt;IF($D$4="Forint",Paraméterek!$D$223,Paraméterek!$D$224),3,4))),0),0)</f>
        <v>0</v>
      </c>
      <c r="AH316" s="13">
        <f>IF(AND($Z316&gt;=5,MOD($Z316,5)=0),IF($AA316=12,VLOOKUP($Z316,Paraméterek!$B$225:$F$240,5),0),IF(OR($Z316=3,$Z316=4),IF($AA316=12,VLOOKUP($Z316,Paraméterek!$B$225:$F$240,5,0),0),0))*$AF316</f>
        <v>0</v>
      </c>
      <c r="AI316" s="13">
        <f>ROUNDDOWN(IF(SUM($T$20:$U316)=0,IF($D$2="Egyszeri",$AH316,$AG316),0),IF($D$4="Forint",0,2))</f>
        <v>0</v>
      </c>
      <c r="AJ316" s="13">
        <f t="shared" si="72"/>
        <v>0</v>
      </c>
      <c r="AK316" s="13">
        <f t="shared" si="73"/>
        <v>0</v>
      </c>
      <c r="AM316" s="32">
        <v>297</v>
      </c>
      <c r="AN316" s="32">
        <v>25</v>
      </c>
      <c r="AO316" s="32">
        <v>9</v>
      </c>
      <c r="AP316" s="13"/>
      <c r="AQ316" s="32"/>
      <c r="AR316" s="13">
        <f t="shared" si="74"/>
        <v>0</v>
      </c>
      <c r="AS316" s="33"/>
      <c r="AT316" s="13">
        <f t="shared" si="68"/>
        <v>0</v>
      </c>
      <c r="AU316" s="13">
        <f>ROUNDUP(($AR316+$AT316)*VLOOKUP($AN316,Paraméterek!$P$38:$Q$38,2)/12,IF($D$4="Forint",0,2))</f>
        <v>0</v>
      </c>
      <c r="AV316" s="13"/>
      <c r="AW316" s="13"/>
      <c r="AX316" s="13">
        <f>ROUNDUP(IF(SUM($AV316:$AW316)=0,0,IF(IF(ISBLANK($AW316),$AV316,$AW316)*Paraméterek!$J$112&lt;IF($D$4="Forint",Paraméterek!$J$113,Paraméterek!$K$113),IF($D$4="Forint",Paraméterek!$J$113,Paraméterek!$K$113),IF(IF(ISBLANK($AW316),$AV316,$AW316)*Paraméterek!$J$112&gt;IF($D$4="Forint",Paraméterek!$J$114,Paraméterek!$K$114),IF($D$4="Forint",Paraméterek!$J$114,Paraméterek!$K$114),IF(ISBLANK($AW316),$AV316,$AW316)*Paraméterek!$J$112))),IF($D$4="Forint",0,2))</f>
        <v>0</v>
      </c>
      <c r="AY316" s="13">
        <f>$AR316+$AT316-$AU316-IF(ROUNDDOWN(IF(ISBLANK($AW316),$AV316,$AW316),IF($D$4="Forint",0,2))&gt;$AR316+$AT316-$AU316-IF($D$4="Forint",Paraméterek!$J$114,Paraméterek!$K$114),0,ROUNDDOWN(IF(ISBLANK($AW316),$AV316,$AW316),IF($D$4="Forint",0,2))-$AX316)</f>
        <v>0</v>
      </c>
      <c r="AZ316" s="13">
        <f t="shared" si="69"/>
        <v>0</v>
      </c>
    </row>
    <row r="317" spans="1:52" x14ac:dyDescent="0.2">
      <c r="A317" s="32">
        <v>298</v>
      </c>
      <c r="B317" s="32">
        <v>25</v>
      </c>
      <c r="C317" s="32">
        <v>10</v>
      </c>
      <c r="D317" s="13">
        <f t="shared" si="60"/>
        <v>0</v>
      </c>
      <c r="E317" s="13"/>
      <c r="F317" s="13"/>
      <c r="G317" s="13"/>
      <c r="H317" s="13">
        <f t="shared" si="61"/>
        <v>0</v>
      </c>
      <c r="I317" s="13">
        <f t="shared" si="62"/>
        <v>0</v>
      </c>
      <c r="J317" s="13">
        <f t="shared" si="63"/>
        <v>0</v>
      </c>
      <c r="K317" s="13">
        <f>ROUNDUP(IF($D$2="Egyszeri",$D317,IF($D$2="Havi",SUM($D$20:$D$31),IF(MOD($C317,$M$1)-1=0,SUM($D$20:$D$31),0))/12*$M$1)*VLOOKUP($B317,Paraméterek!$B$27:$D$30,IF($D$2="Egyszeri",3,2)),IF($D$4="Forint",0,2))</f>
        <v>0</v>
      </c>
      <c r="L317" s="13">
        <f t="shared" si="64"/>
        <v>0</v>
      </c>
      <c r="M317" s="13">
        <f t="shared" ca="1" si="70"/>
        <v>-177932</v>
      </c>
      <c r="N317" s="13">
        <f ca="1">IF($V316&gt;=VLOOKUP($M$4-1+$B317,Paraméterek!$B$121:$D$122,IF($D$4="Forint",2,3)),0,VLOOKUP($M$4-1+$B317,Paraméterek!$B$121:$D$122,IF($D$4="Forint",2,3))-$V316)</f>
        <v>187932</v>
      </c>
      <c r="O317" s="13">
        <f ca="1">ROUNDUP($N317*Paraméterek!$C$58/Paraméterek!$C$56,IF($D$4="Forint",0,2))</f>
        <v>30</v>
      </c>
      <c r="P317" s="13">
        <f t="shared" si="65"/>
        <v>1119</v>
      </c>
      <c r="Q317" s="33"/>
      <c r="R317" s="13">
        <f t="shared" ca="1" si="66"/>
        <v>0</v>
      </c>
      <c r="S317" s="13">
        <f ca="1">ROUNDUP(($M317-$O317-$P317+$R317)*VLOOKUP($B317,Paraméterek!$B$38:$D$39,IF($D$2="Egyszeri",3,2))/12,IF($D$4="Forint",0,2))</f>
        <v>-438</v>
      </c>
      <c r="T317" s="13"/>
      <c r="U317" s="13"/>
      <c r="V317" s="13">
        <f ca="1">$M317-$O317-$P317+$R317-$S317-IF(ROUNDUP(IF(ISBLANK($U317),$T317,$U317)/IF(AND($B317=1,$D$2&lt;&gt;"Egyszeri"),1,VLOOKUP($B317+IF($C317=12,1,0),Paraméterek!$B$257:$D$267,IF($D$2="Egyszeri",3,2))),IF($D$4="Forint",0,2))&gt;$M317-$O317-$P317+$R317-$S317-IF($D$4="Forint",Paraméterek!$C$216,Paraméterek!$D$216),0,ROUNDUP(IF(ISBLANK($U317),$T317,$U317)/IF(AND($B317=1,$D$2&lt;&gt;"Egyszeri"),1,VLOOKUP($B317+IF($C317=12,1,0),Paraméterek!$B$257:$D$267,IF($D$2="Egyszeri",3,2))),IF($D$4="Forint",0,2)))</f>
        <v>-178643</v>
      </c>
      <c r="W317" s="13">
        <f ca="1">ROUNDDOWN($V317*VLOOKUP($B317+IF($C317=12,1,0),Paraméterek!$B$257:$D$267,IF($D$2="Egyszeri",3,2)),IF($D$4="Forint",0,2))</f>
        <v>-178643</v>
      </c>
      <c r="Y317" s="32">
        <v>298</v>
      </c>
      <c r="Z317" s="32">
        <v>25</v>
      </c>
      <c r="AA317" s="32">
        <v>10</v>
      </c>
      <c r="AB317" s="13">
        <f t="shared" si="71"/>
        <v>0</v>
      </c>
      <c r="AC317" s="33"/>
      <c r="AD317" s="13">
        <f t="shared" si="67"/>
        <v>0</v>
      </c>
      <c r="AE317" s="13">
        <f>ROUNDUP(($AB317+$AD317)*VLOOKUP($Z317,Paraméterek!$P$38:$Q$38,2)/12,IF($D$4="Forint",0,2))</f>
        <v>0</v>
      </c>
      <c r="AF317" s="13">
        <f>IF($D$2="Egyszeri",IF($D$7&gt;=IF($D$4="Forint",Paraméterek!$P$223,Paraméterek!$P$224),$D$7-IF($D$4="Forint",Paraméterek!$F$223,Paraméterek!$F$224),0),MIN(IF($AA317=12,AVERAGE($D$20:$D317)*12,0),SUM($D$20:$D$31)))</f>
        <v>0</v>
      </c>
      <c r="AG317" s="13">
        <f>IF(AND($Z317&gt;=10,MOD($Z317,5)=0),$AF317*IF($AA317=12,VLOOKUP($Z317,Paraméterek!$B$225:$F$240,IF($AF317&lt;IF($D$4="Forint",Paraméterek!$C$223,Paraméterek!$C$224),2,IF($AF317&lt;IF($D$4="Forint",Paraméterek!$D$223,Paraméterek!$D$224),3,4))),0),0)</f>
        <v>0</v>
      </c>
      <c r="AH317" s="13">
        <f>IF(AND($Z317&gt;=5,MOD($Z317,5)=0),IF($AA317=12,VLOOKUP($Z317,Paraméterek!$B$225:$F$240,5),0),IF(OR($Z317=3,$Z317=4),IF($AA317=12,VLOOKUP($Z317,Paraméterek!$B$225:$F$240,5,0),0),0))*$AF317</f>
        <v>0</v>
      </c>
      <c r="AI317" s="13">
        <f>ROUNDDOWN(IF(SUM($T$20:$U317)=0,IF($D$2="Egyszeri",$AH317,$AG317),0),IF($D$4="Forint",0,2))</f>
        <v>0</v>
      </c>
      <c r="AJ317" s="13">
        <f t="shared" si="72"/>
        <v>0</v>
      </c>
      <c r="AK317" s="13">
        <f t="shared" si="73"/>
        <v>0</v>
      </c>
      <c r="AM317" s="32">
        <v>298</v>
      </c>
      <c r="AN317" s="32">
        <v>25</v>
      </c>
      <c r="AO317" s="32">
        <v>10</v>
      </c>
      <c r="AP317" s="13"/>
      <c r="AQ317" s="32"/>
      <c r="AR317" s="13">
        <f t="shared" si="74"/>
        <v>0</v>
      </c>
      <c r="AS317" s="33"/>
      <c r="AT317" s="13">
        <f t="shared" si="68"/>
        <v>0</v>
      </c>
      <c r="AU317" s="13">
        <f>ROUNDUP(($AR317+$AT317)*VLOOKUP($AN317,Paraméterek!$P$38:$Q$38,2)/12,IF($D$4="Forint",0,2))</f>
        <v>0</v>
      </c>
      <c r="AV317" s="13"/>
      <c r="AW317" s="13"/>
      <c r="AX317" s="13">
        <f>ROUNDUP(IF(SUM($AV317:$AW317)=0,0,IF(IF(ISBLANK($AW317),$AV317,$AW317)*Paraméterek!$J$112&lt;IF($D$4="Forint",Paraméterek!$J$113,Paraméterek!$K$113),IF($D$4="Forint",Paraméterek!$J$113,Paraméterek!$K$113),IF(IF(ISBLANK($AW317),$AV317,$AW317)*Paraméterek!$J$112&gt;IF($D$4="Forint",Paraméterek!$J$114,Paraméterek!$K$114),IF($D$4="Forint",Paraméterek!$J$114,Paraméterek!$K$114),IF(ISBLANK($AW317),$AV317,$AW317)*Paraméterek!$J$112))),IF($D$4="Forint",0,2))</f>
        <v>0</v>
      </c>
      <c r="AY317" s="13">
        <f>$AR317+$AT317-$AU317-IF(ROUNDDOWN(IF(ISBLANK($AW317),$AV317,$AW317),IF($D$4="Forint",0,2))&gt;$AR317+$AT317-$AU317-IF($D$4="Forint",Paraméterek!$J$114,Paraméterek!$K$114),0,ROUNDDOWN(IF(ISBLANK($AW317),$AV317,$AW317),IF($D$4="Forint",0,2))-$AX317)</f>
        <v>0</v>
      </c>
      <c r="AZ317" s="13">
        <f t="shared" si="69"/>
        <v>0</v>
      </c>
    </row>
    <row r="318" spans="1:52" x14ac:dyDescent="0.2">
      <c r="A318" s="32">
        <v>299</v>
      </c>
      <c r="B318" s="32">
        <v>25</v>
      </c>
      <c r="C318" s="32">
        <v>11</v>
      </c>
      <c r="D318" s="13">
        <f t="shared" si="60"/>
        <v>0</v>
      </c>
      <c r="E318" s="13"/>
      <c r="F318" s="13"/>
      <c r="G318" s="13"/>
      <c r="H318" s="13">
        <f t="shared" si="61"/>
        <v>0</v>
      </c>
      <c r="I318" s="13">
        <f t="shared" si="62"/>
        <v>0</v>
      </c>
      <c r="J318" s="13">
        <f t="shared" si="63"/>
        <v>0</v>
      </c>
      <c r="K318" s="13">
        <f>ROUNDUP(IF($D$2="Egyszeri",$D318,IF($D$2="Havi",SUM($D$20:$D$31),IF(MOD($C318,$M$1)-1=0,SUM($D$20:$D$31),0))/12*$M$1)*VLOOKUP($B318,Paraméterek!$B$27:$D$30,IF($D$2="Egyszeri",3,2)),IF($D$4="Forint",0,2))</f>
        <v>0</v>
      </c>
      <c r="L318" s="13">
        <f t="shared" si="64"/>
        <v>0</v>
      </c>
      <c r="M318" s="13">
        <f t="shared" ca="1" si="70"/>
        <v>-178643</v>
      </c>
      <c r="N318" s="13">
        <f ca="1">IF($V317&gt;=VLOOKUP($M$4-1+$B318,Paraméterek!$B$121:$D$122,IF($D$4="Forint",2,3)),0,VLOOKUP($M$4-1+$B318,Paraméterek!$B$121:$D$122,IF($D$4="Forint",2,3))-$V317)</f>
        <v>188643</v>
      </c>
      <c r="O318" s="13">
        <f ca="1">ROUNDUP($N318*Paraméterek!$C$58/Paraméterek!$C$56,IF($D$4="Forint",0,2))</f>
        <v>31</v>
      </c>
      <c r="P318" s="13">
        <f t="shared" si="65"/>
        <v>1119</v>
      </c>
      <c r="Q318" s="33"/>
      <c r="R318" s="13">
        <f t="shared" ca="1" si="66"/>
        <v>0</v>
      </c>
      <c r="S318" s="13">
        <f ca="1">ROUNDUP(($M318-$O318-$P318+$R318)*VLOOKUP($B318,Paraméterek!$B$38:$D$39,IF($D$2="Egyszeri",3,2))/12,IF($D$4="Forint",0,2))</f>
        <v>-439</v>
      </c>
      <c r="T318" s="13"/>
      <c r="U318" s="13"/>
      <c r="V318" s="13">
        <f ca="1">$M318-$O318-$P318+$R318-$S318-IF(ROUNDUP(IF(ISBLANK($U318),$T318,$U318)/IF(AND($B318=1,$D$2&lt;&gt;"Egyszeri"),1,VLOOKUP($B318+IF($C318=12,1,0),Paraméterek!$B$257:$D$267,IF($D$2="Egyszeri",3,2))),IF($D$4="Forint",0,2))&gt;$M318-$O318-$P318+$R318-$S318-IF($D$4="Forint",Paraméterek!$C$216,Paraméterek!$D$216),0,ROUNDUP(IF(ISBLANK($U318),$T318,$U318)/IF(AND($B318=1,$D$2&lt;&gt;"Egyszeri"),1,VLOOKUP($B318+IF($C318=12,1,0),Paraméterek!$B$257:$D$267,IF($D$2="Egyszeri",3,2))),IF($D$4="Forint",0,2)))</f>
        <v>-179354</v>
      </c>
      <c r="W318" s="13">
        <f ca="1">ROUNDDOWN($V318*VLOOKUP($B318+IF($C318=12,1,0),Paraméterek!$B$257:$D$267,IF($D$2="Egyszeri",3,2)),IF($D$4="Forint",0,2))</f>
        <v>-179354</v>
      </c>
      <c r="Y318" s="32">
        <v>299</v>
      </c>
      <c r="Z318" s="32">
        <v>25</v>
      </c>
      <c r="AA318" s="32">
        <v>11</v>
      </c>
      <c r="AB318" s="13">
        <f t="shared" si="71"/>
        <v>0</v>
      </c>
      <c r="AC318" s="33"/>
      <c r="AD318" s="13">
        <f t="shared" si="67"/>
        <v>0</v>
      </c>
      <c r="AE318" s="13">
        <f>ROUNDUP(($AB318+$AD318)*VLOOKUP($Z318,Paraméterek!$P$38:$Q$38,2)/12,IF($D$4="Forint",0,2))</f>
        <v>0</v>
      </c>
      <c r="AF318" s="13">
        <f>IF($D$2="Egyszeri",IF($D$7&gt;=IF($D$4="Forint",Paraméterek!$P$223,Paraméterek!$P$224),$D$7-IF($D$4="Forint",Paraméterek!$F$223,Paraméterek!$F$224),0),MIN(IF($AA318=12,AVERAGE($D$20:$D318)*12,0),SUM($D$20:$D$31)))</f>
        <v>0</v>
      </c>
      <c r="AG318" s="13">
        <f>IF(AND($Z318&gt;=10,MOD($Z318,5)=0),$AF318*IF($AA318=12,VLOOKUP($Z318,Paraméterek!$B$225:$F$240,IF($AF318&lt;IF($D$4="Forint",Paraméterek!$C$223,Paraméterek!$C$224),2,IF($AF318&lt;IF($D$4="Forint",Paraméterek!$D$223,Paraméterek!$D$224),3,4))),0),0)</f>
        <v>0</v>
      </c>
      <c r="AH318" s="13">
        <f>IF(AND($Z318&gt;=5,MOD($Z318,5)=0),IF($AA318=12,VLOOKUP($Z318,Paraméterek!$B$225:$F$240,5),0),IF(OR($Z318=3,$Z318=4),IF($AA318=12,VLOOKUP($Z318,Paraméterek!$B$225:$F$240,5,0),0),0))*$AF318</f>
        <v>0</v>
      </c>
      <c r="AI318" s="13">
        <f>ROUNDDOWN(IF(SUM($T$20:$U318)=0,IF($D$2="Egyszeri",$AH318,$AG318),0),IF($D$4="Forint",0,2))</f>
        <v>0</v>
      </c>
      <c r="AJ318" s="13">
        <f t="shared" si="72"/>
        <v>0</v>
      </c>
      <c r="AK318" s="13">
        <f t="shared" si="73"/>
        <v>0</v>
      </c>
      <c r="AM318" s="32">
        <v>299</v>
      </c>
      <c r="AN318" s="32">
        <v>25</v>
      </c>
      <c r="AO318" s="32">
        <v>11</v>
      </c>
      <c r="AP318" s="13"/>
      <c r="AQ318" s="32"/>
      <c r="AR318" s="13">
        <f t="shared" si="74"/>
        <v>0</v>
      </c>
      <c r="AS318" s="33"/>
      <c r="AT318" s="13">
        <f t="shared" si="68"/>
        <v>0</v>
      </c>
      <c r="AU318" s="13">
        <f>ROUNDUP(($AR318+$AT318)*VLOOKUP($AN318,Paraméterek!$P$38:$Q$38,2)/12,IF($D$4="Forint",0,2))</f>
        <v>0</v>
      </c>
      <c r="AV318" s="13"/>
      <c r="AW318" s="13"/>
      <c r="AX318" s="13">
        <f>ROUNDUP(IF(SUM($AV318:$AW318)=0,0,IF(IF(ISBLANK($AW318),$AV318,$AW318)*Paraméterek!$J$112&lt;IF($D$4="Forint",Paraméterek!$J$113,Paraméterek!$K$113),IF($D$4="Forint",Paraméterek!$J$113,Paraméterek!$K$113),IF(IF(ISBLANK($AW318),$AV318,$AW318)*Paraméterek!$J$112&gt;IF($D$4="Forint",Paraméterek!$J$114,Paraméterek!$K$114),IF($D$4="Forint",Paraméterek!$J$114,Paraméterek!$K$114),IF(ISBLANK($AW318),$AV318,$AW318)*Paraméterek!$J$112))),IF($D$4="Forint",0,2))</f>
        <v>0</v>
      </c>
      <c r="AY318" s="13">
        <f>$AR318+$AT318-$AU318-IF(ROUNDDOWN(IF(ISBLANK($AW318),$AV318,$AW318),IF($D$4="Forint",0,2))&gt;$AR318+$AT318-$AU318-IF($D$4="Forint",Paraméterek!$J$114,Paraméterek!$K$114),0,ROUNDDOWN(IF(ISBLANK($AW318),$AV318,$AW318),IF($D$4="Forint",0,2))-$AX318)</f>
        <v>0</v>
      </c>
      <c r="AZ318" s="13">
        <f t="shared" si="69"/>
        <v>0</v>
      </c>
    </row>
    <row r="319" spans="1:52" x14ac:dyDescent="0.2">
      <c r="A319" s="32">
        <v>300</v>
      </c>
      <c r="B319" s="32">
        <v>25</v>
      </c>
      <c r="C319" s="32">
        <v>12</v>
      </c>
      <c r="D319" s="13">
        <f t="shared" si="60"/>
        <v>0</v>
      </c>
      <c r="E319" s="13"/>
      <c r="F319" s="13"/>
      <c r="G319" s="13"/>
      <c r="H319" s="13">
        <f t="shared" si="61"/>
        <v>0</v>
      </c>
      <c r="I319" s="13">
        <f t="shared" si="62"/>
        <v>0</v>
      </c>
      <c r="J319" s="13">
        <f t="shared" si="63"/>
        <v>0</v>
      </c>
      <c r="K319" s="13">
        <f>ROUNDUP(IF($D$2="Egyszeri",$D319,IF($D$2="Havi",SUM($D$20:$D$31),IF(MOD($C319,$M$1)-1=0,SUM($D$20:$D$31),0))/12*$M$1)*VLOOKUP($B319,Paraméterek!$B$27:$D$30,IF($D$2="Egyszeri",3,2)),IF($D$4="Forint",0,2))</f>
        <v>0</v>
      </c>
      <c r="L319" s="13">
        <f t="shared" si="64"/>
        <v>0</v>
      </c>
      <c r="M319" s="13">
        <f t="shared" ca="1" si="70"/>
        <v>-179354</v>
      </c>
      <c r="N319" s="13">
        <f ca="1">IF($V318&gt;=VLOOKUP($M$4-1+$B319,Paraméterek!$B$121:$D$122,IF($D$4="Forint",2,3)),0,VLOOKUP($M$4-1+$B319,Paraméterek!$B$121:$D$122,IF($D$4="Forint",2,3))-$V318)</f>
        <v>189354</v>
      </c>
      <c r="O319" s="13">
        <f ca="1">ROUNDUP($N319*Paraméterek!$C$58/Paraméterek!$C$56,IF($D$4="Forint",0,2))</f>
        <v>31</v>
      </c>
      <c r="P319" s="13">
        <f t="shared" si="65"/>
        <v>1119</v>
      </c>
      <c r="Q319" s="33"/>
      <c r="R319" s="13">
        <f t="shared" ca="1" si="66"/>
        <v>0</v>
      </c>
      <c r="S319" s="13">
        <f ca="1">ROUNDUP(($M319-$O319-$P319+$R319)*VLOOKUP($B319,Paraméterek!$B$38:$D$39,IF($D$2="Egyszeri",3,2))/12,IF($D$4="Forint",0,2))</f>
        <v>-441</v>
      </c>
      <c r="T319" s="13">
        <f>Tranzakciók!$F$56</f>
        <v>0</v>
      </c>
      <c r="U319" s="13"/>
      <c r="V319" s="13">
        <f ca="1">$M319-$O319-$P319+$R319-$S319-IF(ROUNDUP(IF(ISBLANK($U319),$T319,$U319)/IF(AND($B319=1,$D$2&lt;&gt;"Egyszeri"),1,VLOOKUP($B319+IF($C319=12,1,0),Paraméterek!$B$257:$D$267,IF($D$2="Egyszeri",3,2))),IF($D$4="Forint",0,2))&gt;$M319-$O319-$P319+$R319-$S319-IF($D$4="Forint",Paraméterek!$C$216,Paraméterek!$D$216),0,ROUNDUP(IF(ISBLANK($U319),$T319,$U319)/IF(AND($B319=1,$D$2&lt;&gt;"Egyszeri"),1,VLOOKUP($B319+IF($C319=12,1,0),Paraméterek!$B$257:$D$267,IF($D$2="Egyszeri",3,2))),IF($D$4="Forint",0,2)))</f>
        <v>-180063</v>
      </c>
      <c r="W319" s="13">
        <f ca="1">ROUNDDOWN($V319*VLOOKUP($B319+IF($C319=12,1,0),Paraméterek!$B$257:$D$267,IF($D$2="Egyszeri",3,2)),IF($D$4="Forint",0,2))</f>
        <v>-180063</v>
      </c>
      <c r="Y319" s="32">
        <v>300</v>
      </c>
      <c r="Z319" s="32">
        <v>25</v>
      </c>
      <c r="AA319" s="32">
        <v>12</v>
      </c>
      <c r="AB319" s="13">
        <f t="shared" si="71"/>
        <v>0</v>
      </c>
      <c r="AC319" s="33"/>
      <c r="AD319" s="13">
        <f t="shared" si="67"/>
        <v>0</v>
      </c>
      <c r="AE319" s="13">
        <f>ROUNDUP(($AB319+$AD319)*VLOOKUP($Z319,Paraméterek!$P$38:$Q$38,2)/12,IF($D$4="Forint",0,2))</f>
        <v>0</v>
      </c>
      <c r="AF319" s="13">
        <f>IF($D$2="Egyszeri",IF($D$7&gt;=IF($D$4="Forint",Paraméterek!$P$223,Paraméterek!$P$224),$D$7-IF($D$4="Forint",Paraméterek!$F$223,Paraméterek!$F$224),0),MIN(IF($AA319=12,AVERAGE($D$20:$D319)*12,0),SUM($D$20:$D$31)))</f>
        <v>0</v>
      </c>
      <c r="AG319" s="13">
        <f>IF(AND($Z319&gt;=10,MOD($Z319,5)=0),$AF319*IF($AA319=12,VLOOKUP($Z319,Paraméterek!$B$225:$F$240,IF($AF319&lt;IF($D$4="Forint",Paraméterek!$C$223,Paraméterek!$C$224),2,IF($AF319&lt;IF($D$4="Forint",Paraméterek!$D$223,Paraméterek!$D$224),3,4))),0),0)</f>
        <v>0</v>
      </c>
      <c r="AH319" s="13">
        <f>IF(AND($Z319&gt;=5,MOD($Z319,5)=0),IF($AA319=12,VLOOKUP($Z319,Paraméterek!$B$225:$F$240,5),0),IF(OR($Z319=3,$Z319=4),IF($AA319=12,VLOOKUP($Z319,Paraméterek!$B$225:$F$240,5,0),0),0))*$AF319</f>
        <v>0</v>
      </c>
      <c r="AI319" s="13">
        <f>ROUNDDOWN(IF(SUM($T$20:$U319)=0,IF($D$2="Egyszeri",$AH319,$AG319),0),IF($D$4="Forint",0,2))</f>
        <v>0</v>
      </c>
      <c r="AJ319" s="13">
        <f t="shared" si="72"/>
        <v>0</v>
      </c>
      <c r="AK319" s="13">
        <f t="shared" si="73"/>
        <v>0</v>
      </c>
      <c r="AM319" s="32">
        <v>300</v>
      </c>
      <c r="AN319" s="32">
        <v>25</v>
      </c>
      <c r="AO319" s="32">
        <v>12</v>
      </c>
      <c r="AP319" s="13"/>
      <c r="AQ319" s="32"/>
      <c r="AR319" s="13">
        <f t="shared" si="74"/>
        <v>0</v>
      </c>
      <c r="AS319" s="33"/>
      <c r="AT319" s="13">
        <f t="shared" si="68"/>
        <v>0</v>
      </c>
      <c r="AU319" s="13">
        <f>ROUNDUP(($AR319+$AT319)*VLOOKUP($AN319,Paraméterek!$P$38:$Q$38,2)/12,IF($D$4="Forint",0,2))</f>
        <v>0</v>
      </c>
      <c r="AV319" s="13">
        <f>Tranzakciók!$M$56</f>
        <v>0</v>
      </c>
      <c r="AW319" s="13"/>
      <c r="AX319" s="13">
        <f>ROUNDUP(IF(SUM($AV319:$AW319)=0,0,IF(IF(ISBLANK($AW319),$AV319,$AW319)*Paraméterek!$J$112&lt;IF($D$4="Forint",Paraméterek!$J$113,Paraméterek!$K$113),IF($D$4="Forint",Paraméterek!$J$113,Paraméterek!$K$113),IF(IF(ISBLANK($AW319),$AV319,$AW319)*Paraméterek!$J$112&gt;IF($D$4="Forint",Paraméterek!$J$114,Paraméterek!$K$114),IF($D$4="Forint",Paraméterek!$J$114,Paraméterek!$K$114),IF(ISBLANK($AW319),$AV319,$AW319)*Paraméterek!$J$112))),IF($D$4="Forint",0,2))</f>
        <v>0</v>
      </c>
      <c r="AY319" s="13">
        <f>$AR319+$AT319-$AU319-IF(ROUNDDOWN(IF(ISBLANK($AW319),$AV319,$AW319),IF($D$4="Forint",0,2))&gt;$AR319+$AT319-$AU319-IF($D$4="Forint",Paraméterek!$J$114,Paraméterek!$K$114),0,ROUNDDOWN(IF(ISBLANK($AW319),$AV319,$AW319),IF($D$4="Forint",0,2))-$AX319)</f>
        <v>0</v>
      </c>
      <c r="AZ319" s="13">
        <f t="shared" si="69"/>
        <v>0</v>
      </c>
    </row>
    <row r="320" spans="1:52" x14ac:dyDescent="0.2">
      <c r="A320" s="32">
        <v>301</v>
      </c>
      <c r="B320" s="32">
        <v>26</v>
      </c>
      <c r="C320" s="32">
        <v>1</v>
      </c>
      <c r="D320" s="13">
        <f t="shared" si="60"/>
        <v>0</v>
      </c>
      <c r="E320" s="13"/>
      <c r="F320" s="13">
        <f>Tranzakciók!$D$57</f>
        <v>0</v>
      </c>
      <c r="G320" s="13"/>
      <c r="H320" s="13">
        <f t="shared" si="61"/>
        <v>0</v>
      </c>
      <c r="I320" s="13">
        <f t="shared" si="62"/>
        <v>210</v>
      </c>
      <c r="J320" s="13">
        <f t="shared" si="63"/>
        <v>210</v>
      </c>
      <c r="K320" s="13">
        <f>ROUNDUP(IF($D$2="Egyszeri",$D320,IF($D$2="Havi",SUM($D$20:$D$31),IF(MOD($C320,$M$1)-1=0,SUM($D$20:$D$31),0))/12*$M$1)*VLOOKUP($B320,Paraméterek!$B$27:$D$30,IF($D$2="Egyszeri",3,2)),IF($D$4="Forint",0,2))</f>
        <v>0</v>
      </c>
      <c r="L320" s="13">
        <f t="shared" si="64"/>
        <v>0</v>
      </c>
      <c r="M320" s="13">
        <f t="shared" ca="1" si="70"/>
        <v>-180063</v>
      </c>
      <c r="N320" s="13">
        <f ca="1">IF($V319&gt;=VLOOKUP($M$4-1+$B320,Paraméterek!$B$121:$D$122,IF($D$4="Forint",2,3)),0,VLOOKUP($M$4-1+$B320,Paraméterek!$B$121:$D$122,IF($D$4="Forint",2,3))-$V319)</f>
        <v>190063</v>
      </c>
      <c r="O320" s="13">
        <f ca="1">ROUNDUP($N320*Paraméterek!$C$58/Paraméterek!$C$56,IF($D$4="Forint",0,2))</f>
        <v>31</v>
      </c>
      <c r="P320" s="13">
        <f t="shared" si="65"/>
        <v>1152</v>
      </c>
      <c r="Q320" s="33"/>
      <c r="R320" s="13">
        <f t="shared" ca="1" si="66"/>
        <v>0</v>
      </c>
      <c r="S320" s="13">
        <f ca="1">ROUNDUP(($M320-$O320-$P320+$R320)*VLOOKUP($B320,Paraméterek!$B$38:$D$39,IF($D$2="Egyszeri",3,2))/12,IF($D$4="Forint",0,2))</f>
        <v>-443</v>
      </c>
      <c r="T320" s="13"/>
      <c r="U320" s="13"/>
      <c r="V320" s="13">
        <f ca="1">$M320-$O320-$P320+$R320-$S320-IF(ROUNDUP(IF(ISBLANK($U320),$T320,$U320)/IF(AND($B320=1,$D$2&lt;&gt;"Egyszeri"),1,VLOOKUP($B320+IF($C320=12,1,0),Paraméterek!$B$257:$D$267,IF($D$2="Egyszeri",3,2))),IF($D$4="Forint",0,2))&gt;$M320-$O320-$P320+$R320-$S320-IF($D$4="Forint",Paraméterek!$C$216,Paraméterek!$D$216),0,ROUNDUP(IF(ISBLANK($U320),$T320,$U320)/IF(AND($B320=1,$D$2&lt;&gt;"Egyszeri"),1,VLOOKUP($B320+IF($C320=12,1,0),Paraméterek!$B$257:$D$267,IF($D$2="Egyszeri",3,2))),IF($D$4="Forint",0,2)))</f>
        <v>-180803</v>
      </c>
      <c r="W320" s="13">
        <f ca="1">ROUNDDOWN($V320*VLOOKUP($B320+IF($C320=12,1,0),Paraméterek!$B$257:$D$267,IF($D$2="Egyszeri",3,2)),IF($D$4="Forint",0,2))</f>
        <v>-180803</v>
      </c>
      <c r="Y320" s="32">
        <v>301</v>
      </c>
      <c r="Z320" s="32">
        <v>26</v>
      </c>
      <c r="AA320" s="32">
        <v>1</v>
      </c>
      <c r="AB320" s="13">
        <f t="shared" si="71"/>
        <v>0</v>
      </c>
      <c r="AC320" s="33"/>
      <c r="AD320" s="13">
        <f t="shared" si="67"/>
        <v>0</v>
      </c>
      <c r="AE320" s="13">
        <f>ROUNDUP(($AB320+$AD320)*VLOOKUP($Z320,Paraméterek!$P$38:$Q$38,2)/12,IF($D$4="Forint",0,2))</f>
        <v>0</v>
      </c>
      <c r="AF320" s="13">
        <f>IF($D$2="Egyszeri",IF($D$7&gt;=IF($D$4="Forint",Paraméterek!$P$223,Paraméterek!$P$224),$D$7-IF($D$4="Forint",Paraméterek!$F$223,Paraméterek!$F$224),0),MIN(IF($AA320=12,AVERAGE($D$20:$D320)*12,0),SUM($D$20:$D$31)))</f>
        <v>0</v>
      </c>
      <c r="AG320" s="13">
        <f>IF(AND($Z320&gt;=10,MOD($Z320,5)=0),$AF320*IF($AA320=12,VLOOKUP($Z320,Paraméterek!$B$225:$F$240,IF($AF320&lt;IF($D$4="Forint",Paraméterek!$C$223,Paraméterek!$C$224),2,IF($AF320&lt;IF($D$4="Forint",Paraméterek!$D$223,Paraméterek!$D$224),3,4))),0),0)</f>
        <v>0</v>
      </c>
      <c r="AH320" s="13">
        <f>IF(AND($Z320&gt;=5,MOD($Z320,5)=0),IF($AA320=12,VLOOKUP($Z320,Paraméterek!$B$225:$F$240,5),0),IF(OR($Z320=3,$Z320=4),IF($AA320=12,VLOOKUP($Z320,Paraméterek!$B$225:$F$240,5,0),0),0))*$AF320</f>
        <v>0</v>
      </c>
      <c r="AI320" s="13">
        <f>ROUNDDOWN(IF(SUM($T$20:$U320)=0,IF($D$2="Egyszeri",$AH320,$AG320),0),IF($D$4="Forint",0,2))</f>
        <v>0</v>
      </c>
      <c r="AJ320" s="13">
        <f t="shared" si="72"/>
        <v>0</v>
      </c>
      <c r="AK320" s="13">
        <f t="shared" si="73"/>
        <v>0</v>
      </c>
      <c r="AM320" s="32">
        <v>301</v>
      </c>
      <c r="AN320" s="32">
        <v>26</v>
      </c>
      <c r="AO320" s="32">
        <v>1</v>
      </c>
      <c r="AP320" s="13">
        <f>Tranzakciók!$K$57</f>
        <v>0</v>
      </c>
      <c r="AQ320" s="32"/>
      <c r="AR320" s="13">
        <f t="shared" si="74"/>
        <v>0</v>
      </c>
      <c r="AS320" s="33"/>
      <c r="AT320" s="13">
        <f t="shared" si="68"/>
        <v>0</v>
      </c>
      <c r="AU320" s="13">
        <f>ROUNDUP(($AR320+$AT320)*VLOOKUP($AN320,Paraméterek!$P$38:$Q$38,2)/12,IF($D$4="Forint",0,2))</f>
        <v>0</v>
      </c>
      <c r="AV320" s="13"/>
      <c r="AW320" s="13"/>
      <c r="AX320" s="13">
        <f>ROUNDUP(IF(SUM($AV320:$AW320)=0,0,IF(IF(ISBLANK($AW320),$AV320,$AW320)*Paraméterek!$J$112&lt;IF($D$4="Forint",Paraméterek!$J$113,Paraméterek!$K$113),IF($D$4="Forint",Paraméterek!$J$113,Paraméterek!$K$113),IF(IF(ISBLANK($AW320),$AV320,$AW320)*Paraméterek!$J$112&gt;IF($D$4="Forint",Paraméterek!$J$114,Paraméterek!$K$114),IF($D$4="Forint",Paraméterek!$J$114,Paraméterek!$K$114),IF(ISBLANK($AW320),$AV320,$AW320)*Paraméterek!$J$112))),IF($D$4="Forint",0,2))</f>
        <v>0</v>
      </c>
      <c r="AY320" s="13">
        <f>$AR320+$AT320-$AU320-IF(ROUNDDOWN(IF(ISBLANK($AW320),$AV320,$AW320),IF($D$4="Forint",0,2))&gt;$AR320+$AT320-$AU320-IF($D$4="Forint",Paraméterek!$J$114,Paraméterek!$K$114),0,ROUNDDOWN(IF(ISBLANK($AW320),$AV320,$AW320),IF($D$4="Forint",0,2))-$AX320)</f>
        <v>0</v>
      </c>
      <c r="AZ320" s="13">
        <f t="shared" si="69"/>
        <v>0</v>
      </c>
    </row>
    <row r="321" spans="1:52" x14ac:dyDescent="0.2">
      <c r="A321" s="32">
        <v>302</v>
      </c>
      <c r="B321" s="32">
        <v>26</v>
      </c>
      <c r="C321" s="32">
        <v>2</v>
      </c>
      <c r="D321" s="13">
        <f t="shared" si="60"/>
        <v>0</v>
      </c>
      <c r="E321" s="13"/>
      <c r="F321" s="13"/>
      <c r="G321" s="13"/>
      <c r="H321" s="13">
        <f t="shared" si="61"/>
        <v>0</v>
      </c>
      <c r="I321" s="13">
        <f t="shared" si="62"/>
        <v>0</v>
      </c>
      <c r="J321" s="13">
        <f t="shared" si="63"/>
        <v>0</v>
      </c>
      <c r="K321" s="13">
        <f>ROUNDUP(IF($D$2="Egyszeri",$D321,IF($D$2="Havi",SUM($D$20:$D$31),IF(MOD($C321,$M$1)-1=0,SUM($D$20:$D$31),0))/12*$M$1)*VLOOKUP($B321,Paraméterek!$B$27:$D$30,IF($D$2="Egyszeri",3,2)),IF($D$4="Forint",0,2))</f>
        <v>0</v>
      </c>
      <c r="L321" s="13">
        <f t="shared" si="64"/>
        <v>0</v>
      </c>
      <c r="M321" s="13">
        <f t="shared" ca="1" si="70"/>
        <v>-180803</v>
      </c>
      <c r="N321" s="13">
        <f ca="1">IF($V320&gt;=VLOOKUP($M$4-1+$B321,Paraméterek!$B$121:$D$122,IF($D$4="Forint",2,3)),0,VLOOKUP($M$4-1+$B321,Paraméterek!$B$121:$D$122,IF($D$4="Forint",2,3))-$V320)</f>
        <v>190803</v>
      </c>
      <c r="O321" s="13">
        <f ca="1">ROUNDUP($N321*Paraméterek!$C$58/Paraméterek!$C$56,IF($D$4="Forint",0,2))</f>
        <v>31</v>
      </c>
      <c r="P321" s="13">
        <f t="shared" si="65"/>
        <v>1152</v>
      </c>
      <c r="Q321" s="33"/>
      <c r="R321" s="13">
        <f t="shared" ca="1" si="66"/>
        <v>0</v>
      </c>
      <c r="S321" s="13">
        <f ca="1">ROUNDUP(($M321-$O321-$P321+$R321)*VLOOKUP($B321,Paraméterek!$B$38:$D$39,IF($D$2="Egyszeri",3,2))/12,IF($D$4="Forint",0,2))</f>
        <v>-445</v>
      </c>
      <c r="T321" s="13"/>
      <c r="U321" s="13"/>
      <c r="V321" s="13">
        <f ca="1">$M321-$O321-$P321+$R321-$S321-IF(ROUNDUP(IF(ISBLANK($U321),$T321,$U321)/IF(AND($B321=1,$D$2&lt;&gt;"Egyszeri"),1,VLOOKUP($B321+IF($C321=12,1,0),Paraméterek!$B$257:$D$267,IF($D$2="Egyszeri",3,2))),IF($D$4="Forint",0,2))&gt;$M321-$O321-$P321+$R321-$S321-IF($D$4="Forint",Paraméterek!$C$216,Paraméterek!$D$216),0,ROUNDUP(IF(ISBLANK($U321),$T321,$U321)/IF(AND($B321=1,$D$2&lt;&gt;"Egyszeri"),1,VLOOKUP($B321+IF($C321=12,1,0),Paraméterek!$B$257:$D$267,IF($D$2="Egyszeri",3,2))),IF($D$4="Forint",0,2)))</f>
        <v>-181541</v>
      </c>
      <c r="W321" s="13">
        <f ca="1">ROUNDDOWN($V321*VLOOKUP($B321+IF($C321=12,1,0),Paraméterek!$B$257:$D$267,IF($D$2="Egyszeri",3,2)),IF($D$4="Forint",0,2))</f>
        <v>-181541</v>
      </c>
      <c r="Y321" s="32">
        <v>302</v>
      </c>
      <c r="Z321" s="32">
        <v>26</v>
      </c>
      <c r="AA321" s="32">
        <v>2</v>
      </c>
      <c r="AB321" s="13">
        <f t="shared" si="71"/>
        <v>0</v>
      </c>
      <c r="AC321" s="33"/>
      <c r="AD321" s="13">
        <f t="shared" si="67"/>
        <v>0</v>
      </c>
      <c r="AE321" s="13">
        <f>ROUNDUP(($AB321+$AD321)*VLOOKUP($Z321,Paraméterek!$P$38:$Q$38,2)/12,IF($D$4="Forint",0,2))</f>
        <v>0</v>
      </c>
      <c r="AF321" s="13">
        <f>IF($D$2="Egyszeri",IF($D$7&gt;=IF($D$4="Forint",Paraméterek!$P$223,Paraméterek!$P$224),$D$7-IF($D$4="Forint",Paraméterek!$F$223,Paraméterek!$F$224),0),MIN(IF($AA321=12,AVERAGE($D$20:$D321)*12,0),SUM($D$20:$D$31)))</f>
        <v>0</v>
      </c>
      <c r="AG321" s="13">
        <f>IF(AND($Z321&gt;=10,MOD($Z321,5)=0),$AF321*IF($AA321=12,VLOOKUP($Z321,Paraméterek!$B$225:$F$240,IF($AF321&lt;IF($D$4="Forint",Paraméterek!$C$223,Paraméterek!$C$224),2,IF($AF321&lt;IF($D$4="Forint",Paraméterek!$D$223,Paraméterek!$D$224),3,4))),0),0)</f>
        <v>0</v>
      </c>
      <c r="AH321" s="13">
        <f>IF(AND($Z321&gt;=5,MOD($Z321,5)=0),IF($AA321=12,VLOOKUP($Z321,Paraméterek!$B$225:$F$240,5),0),IF(OR($Z321=3,$Z321=4),IF($AA321=12,VLOOKUP($Z321,Paraméterek!$B$225:$F$240,5,0),0),0))*$AF321</f>
        <v>0</v>
      </c>
      <c r="AI321" s="13">
        <f>ROUNDDOWN(IF(SUM($T$20:$U321)=0,IF($D$2="Egyszeri",$AH321,$AG321),0),IF($D$4="Forint",0,2))</f>
        <v>0</v>
      </c>
      <c r="AJ321" s="13">
        <f t="shared" si="72"/>
        <v>0</v>
      </c>
      <c r="AK321" s="13">
        <f t="shared" si="73"/>
        <v>0</v>
      </c>
      <c r="AM321" s="32">
        <v>302</v>
      </c>
      <c r="AN321" s="32">
        <v>26</v>
      </c>
      <c r="AO321" s="32">
        <v>2</v>
      </c>
      <c r="AP321" s="13"/>
      <c r="AQ321" s="32"/>
      <c r="AR321" s="13">
        <f t="shared" si="74"/>
        <v>0</v>
      </c>
      <c r="AS321" s="33"/>
      <c r="AT321" s="13">
        <f t="shared" si="68"/>
        <v>0</v>
      </c>
      <c r="AU321" s="13">
        <f>ROUNDUP(($AR321+$AT321)*VLOOKUP($AN321,Paraméterek!$P$38:$Q$38,2)/12,IF($D$4="Forint",0,2))</f>
        <v>0</v>
      </c>
      <c r="AV321" s="13"/>
      <c r="AW321" s="13"/>
      <c r="AX321" s="13">
        <f>ROUNDUP(IF(SUM($AV321:$AW321)=0,0,IF(IF(ISBLANK($AW321),$AV321,$AW321)*Paraméterek!$J$112&lt;IF($D$4="Forint",Paraméterek!$J$113,Paraméterek!$K$113),IF($D$4="Forint",Paraméterek!$J$113,Paraméterek!$K$113),IF(IF(ISBLANK($AW321),$AV321,$AW321)*Paraméterek!$J$112&gt;IF($D$4="Forint",Paraméterek!$J$114,Paraméterek!$K$114),IF($D$4="Forint",Paraméterek!$J$114,Paraméterek!$K$114),IF(ISBLANK($AW321),$AV321,$AW321)*Paraméterek!$J$112))),IF($D$4="Forint",0,2))</f>
        <v>0</v>
      </c>
      <c r="AY321" s="13">
        <f>$AR321+$AT321-$AU321-IF(ROUNDDOWN(IF(ISBLANK($AW321),$AV321,$AW321),IF($D$4="Forint",0,2))&gt;$AR321+$AT321-$AU321-IF($D$4="Forint",Paraméterek!$J$114,Paraméterek!$K$114),0,ROUNDDOWN(IF(ISBLANK($AW321),$AV321,$AW321),IF($D$4="Forint",0,2))-$AX321)</f>
        <v>0</v>
      </c>
      <c r="AZ321" s="13">
        <f t="shared" si="69"/>
        <v>0</v>
      </c>
    </row>
    <row r="322" spans="1:52" x14ac:dyDescent="0.2">
      <c r="A322" s="32">
        <v>303</v>
      </c>
      <c r="B322" s="32">
        <v>26</v>
      </c>
      <c r="C322" s="32">
        <v>3</v>
      </c>
      <c r="D322" s="13">
        <f t="shared" si="60"/>
        <v>0</v>
      </c>
      <c r="E322" s="13"/>
      <c r="F322" s="13"/>
      <c r="G322" s="13"/>
      <c r="H322" s="13">
        <f t="shared" si="61"/>
        <v>0</v>
      </c>
      <c r="I322" s="13">
        <f t="shared" si="62"/>
        <v>0</v>
      </c>
      <c r="J322" s="13">
        <f t="shared" si="63"/>
        <v>0</v>
      </c>
      <c r="K322" s="13">
        <f>ROUNDUP(IF($D$2="Egyszeri",$D322,IF($D$2="Havi",SUM($D$20:$D$31),IF(MOD($C322,$M$1)-1=0,SUM($D$20:$D$31),0))/12*$M$1)*VLOOKUP($B322,Paraméterek!$B$27:$D$30,IF($D$2="Egyszeri",3,2)),IF($D$4="Forint",0,2))</f>
        <v>0</v>
      </c>
      <c r="L322" s="13">
        <f t="shared" si="64"/>
        <v>0</v>
      </c>
      <c r="M322" s="13">
        <f t="shared" ca="1" si="70"/>
        <v>-181541</v>
      </c>
      <c r="N322" s="13">
        <f ca="1">IF($V321&gt;=VLOOKUP($M$4-1+$B322,Paraméterek!$B$121:$D$122,IF($D$4="Forint",2,3)),0,VLOOKUP($M$4-1+$B322,Paraméterek!$B$121:$D$122,IF($D$4="Forint",2,3))-$V321)</f>
        <v>191541</v>
      </c>
      <c r="O322" s="13">
        <f ca="1">ROUNDUP($N322*Paraméterek!$C$58/Paraméterek!$C$56,IF($D$4="Forint",0,2))</f>
        <v>31</v>
      </c>
      <c r="P322" s="13">
        <f t="shared" si="65"/>
        <v>1152</v>
      </c>
      <c r="Q322" s="33"/>
      <c r="R322" s="13">
        <f t="shared" ca="1" si="66"/>
        <v>0</v>
      </c>
      <c r="S322" s="13">
        <f ca="1">ROUNDUP(($M322-$O322-$P322+$R322)*VLOOKUP($B322,Paraméterek!$B$38:$D$39,IF($D$2="Egyszeri",3,2))/12,IF($D$4="Forint",0,2))</f>
        <v>-447</v>
      </c>
      <c r="T322" s="13"/>
      <c r="U322" s="13"/>
      <c r="V322" s="13">
        <f ca="1">$M322-$O322-$P322+$R322-$S322-IF(ROUNDUP(IF(ISBLANK($U322),$T322,$U322)/IF(AND($B322=1,$D$2&lt;&gt;"Egyszeri"),1,VLOOKUP($B322+IF($C322=12,1,0),Paraméterek!$B$257:$D$267,IF($D$2="Egyszeri",3,2))),IF($D$4="Forint",0,2))&gt;$M322-$O322-$P322+$R322-$S322-IF($D$4="Forint",Paraméterek!$C$216,Paraméterek!$D$216),0,ROUNDUP(IF(ISBLANK($U322),$T322,$U322)/IF(AND($B322=1,$D$2&lt;&gt;"Egyszeri"),1,VLOOKUP($B322+IF($C322=12,1,0),Paraméterek!$B$257:$D$267,IF($D$2="Egyszeri",3,2))),IF($D$4="Forint",0,2)))</f>
        <v>-182277</v>
      </c>
      <c r="W322" s="13">
        <f ca="1">ROUNDDOWN($V322*VLOOKUP($B322+IF($C322=12,1,0),Paraméterek!$B$257:$D$267,IF($D$2="Egyszeri",3,2)),IF($D$4="Forint",0,2))</f>
        <v>-182277</v>
      </c>
      <c r="Y322" s="32">
        <v>303</v>
      </c>
      <c r="Z322" s="32">
        <v>26</v>
      </c>
      <c r="AA322" s="32">
        <v>3</v>
      </c>
      <c r="AB322" s="13">
        <f t="shared" si="71"/>
        <v>0</v>
      </c>
      <c r="AC322" s="33"/>
      <c r="AD322" s="13">
        <f t="shared" si="67"/>
        <v>0</v>
      </c>
      <c r="AE322" s="13">
        <f>ROUNDUP(($AB322+$AD322)*VLOOKUP($Z322,Paraméterek!$P$38:$Q$38,2)/12,IF($D$4="Forint",0,2))</f>
        <v>0</v>
      </c>
      <c r="AF322" s="13">
        <f>IF($D$2="Egyszeri",IF($D$7&gt;=IF($D$4="Forint",Paraméterek!$P$223,Paraméterek!$P$224),$D$7-IF($D$4="Forint",Paraméterek!$F$223,Paraméterek!$F$224),0),MIN(IF($AA322=12,AVERAGE($D$20:$D322)*12,0),SUM($D$20:$D$31)))</f>
        <v>0</v>
      </c>
      <c r="AG322" s="13">
        <f>IF(AND($Z322&gt;=10,MOD($Z322,5)=0),$AF322*IF($AA322=12,VLOOKUP($Z322,Paraméterek!$B$225:$F$240,IF($AF322&lt;IF($D$4="Forint",Paraméterek!$C$223,Paraméterek!$C$224),2,IF($AF322&lt;IF($D$4="Forint",Paraméterek!$D$223,Paraméterek!$D$224),3,4))),0),0)</f>
        <v>0</v>
      </c>
      <c r="AH322" s="13">
        <f>IF(AND($Z322&gt;=5,MOD($Z322,5)=0),IF($AA322=12,VLOOKUP($Z322,Paraméterek!$B$225:$F$240,5),0),IF(OR($Z322=3,$Z322=4),IF($AA322=12,VLOOKUP($Z322,Paraméterek!$B$225:$F$240,5,0),0),0))*$AF322</f>
        <v>0</v>
      </c>
      <c r="AI322" s="13">
        <f>ROUNDDOWN(IF(SUM($T$20:$U322)=0,IF($D$2="Egyszeri",$AH322,$AG322),0),IF($D$4="Forint",0,2))</f>
        <v>0</v>
      </c>
      <c r="AJ322" s="13">
        <f t="shared" si="72"/>
        <v>0</v>
      </c>
      <c r="AK322" s="13">
        <f t="shared" si="73"/>
        <v>0</v>
      </c>
      <c r="AM322" s="32">
        <v>303</v>
      </c>
      <c r="AN322" s="32">
        <v>26</v>
      </c>
      <c r="AO322" s="32">
        <v>3</v>
      </c>
      <c r="AP322" s="13"/>
      <c r="AQ322" s="32"/>
      <c r="AR322" s="13">
        <f t="shared" si="74"/>
        <v>0</v>
      </c>
      <c r="AS322" s="33"/>
      <c r="AT322" s="13">
        <f t="shared" si="68"/>
        <v>0</v>
      </c>
      <c r="AU322" s="13">
        <f>ROUNDUP(($AR322+$AT322)*VLOOKUP($AN322,Paraméterek!$P$38:$Q$38,2)/12,IF($D$4="Forint",0,2))</f>
        <v>0</v>
      </c>
      <c r="AV322" s="13"/>
      <c r="AW322" s="13"/>
      <c r="AX322" s="13">
        <f>ROUNDUP(IF(SUM($AV322:$AW322)=0,0,IF(IF(ISBLANK($AW322),$AV322,$AW322)*Paraméterek!$J$112&lt;IF($D$4="Forint",Paraméterek!$J$113,Paraméterek!$K$113),IF($D$4="Forint",Paraméterek!$J$113,Paraméterek!$K$113),IF(IF(ISBLANK($AW322),$AV322,$AW322)*Paraméterek!$J$112&gt;IF($D$4="Forint",Paraméterek!$J$114,Paraméterek!$K$114),IF($D$4="Forint",Paraméterek!$J$114,Paraméterek!$K$114),IF(ISBLANK($AW322),$AV322,$AW322)*Paraméterek!$J$112))),IF($D$4="Forint",0,2))</f>
        <v>0</v>
      </c>
      <c r="AY322" s="13">
        <f>$AR322+$AT322-$AU322-IF(ROUNDDOWN(IF(ISBLANK($AW322),$AV322,$AW322),IF($D$4="Forint",0,2))&gt;$AR322+$AT322-$AU322-IF($D$4="Forint",Paraméterek!$J$114,Paraméterek!$K$114),0,ROUNDDOWN(IF(ISBLANK($AW322),$AV322,$AW322),IF($D$4="Forint",0,2))-$AX322)</f>
        <v>0</v>
      </c>
      <c r="AZ322" s="13">
        <f t="shared" si="69"/>
        <v>0</v>
      </c>
    </row>
    <row r="323" spans="1:52" x14ac:dyDescent="0.2">
      <c r="A323" s="32">
        <v>304</v>
      </c>
      <c r="B323" s="32">
        <v>26</v>
      </c>
      <c r="C323" s="32">
        <v>4</v>
      </c>
      <c r="D323" s="13">
        <f t="shared" si="60"/>
        <v>0</v>
      </c>
      <c r="E323" s="13"/>
      <c r="F323" s="13"/>
      <c r="G323" s="13"/>
      <c r="H323" s="13">
        <f t="shared" si="61"/>
        <v>0</v>
      </c>
      <c r="I323" s="13">
        <f t="shared" si="62"/>
        <v>0</v>
      </c>
      <c r="J323" s="13">
        <f t="shared" si="63"/>
        <v>0</v>
      </c>
      <c r="K323" s="13">
        <f>ROUNDUP(IF($D$2="Egyszeri",$D323,IF($D$2="Havi",SUM($D$20:$D$31),IF(MOD($C323,$M$1)-1=0,SUM($D$20:$D$31),0))/12*$M$1)*VLOOKUP($B323,Paraméterek!$B$27:$D$30,IF($D$2="Egyszeri",3,2)),IF($D$4="Forint",0,2))</f>
        <v>0</v>
      </c>
      <c r="L323" s="13">
        <f t="shared" si="64"/>
        <v>0</v>
      </c>
      <c r="M323" s="13">
        <f t="shared" ca="1" si="70"/>
        <v>-182277</v>
      </c>
      <c r="N323" s="13">
        <f ca="1">IF($V322&gt;=VLOOKUP($M$4-1+$B323,Paraméterek!$B$121:$D$122,IF($D$4="Forint",2,3)),0,VLOOKUP($M$4-1+$B323,Paraméterek!$B$121:$D$122,IF($D$4="Forint",2,3))-$V322)</f>
        <v>192277</v>
      </c>
      <c r="O323" s="13">
        <f ca="1">ROUNDUP($N323*Paraméterek!$C$58/Paraméterek!$C$56,IF($D$4="Forint",0,2))</f>
        <v>31</v>
      </c>
      <c r="P323" s="13">
        <f t="shared" si="65"/>
        <v>1152</v>
      </c>
      <c r="Q323" s="33"/>
      <c r="R323" s="13">
        <f t="shared" ca="1" si="66"/>
        <v>0</v>
      </c>
      <c r="S323" s="13">
        <f ca="1">ROUNDUP(($M323-$O323-$P323+$R323)*VLOOKUP($B323,Paraméterek!$B$38:$D$39,IF($D$2="Egyszeri",3,2))/12,IF($D$4="Forint",0,2))</f>
        <v>-448</v>
      </c>
      <c r="T323" s="13"/>
      <c r="U323" s="13"/>
      <c r="V323" s="13">
        <f ca="1">$M323-$O323-$P323+$R323-$S323-IF(ROUNDUP(IF(ISBLANK($U323),$T323,$U323)/IF(AND($B323=1,$D$2&lt;&gt;"Egyszeri"),1,VLOOKUP($B323+IF($C323=12,1,0),Paraméterek!$B$257:$D$267,IF($D$2="Egyszeri",3,2))),IF($D$4="Forint",0,2))&gt;$M323-$O323-$P323+$R323-$S323-IF($D$4="Forint",Paraméterek!$C$216,Paraméterek!$D$216),0,ROUNDUP(IF(ISBLANK($U323),$T323,$U323)/IF(AND($B323=1,$D$2&lt;&gt;"Egyszeri"),1,VLOOKUP($B323+IF($C323=12,1,0),Paraméterek!$B$257:$D$267,IF($D$2="Egyszeri",3,2))),IF($D$4="Forint",0,2)))</f>
        <v>-183012</v>
      </c>
      <c r="W323" s="13">
        <f ca="1">ROUNDDOWN($V323*VLOOKUP($B323+IF($C323=12,1,0),Paraméterek!$B$257:$D$267,IF($D$2="Egyszeri",3,2)),IF($D$4="Forint",0,2))</f>
        <v>-183012</v>
      </c>
      <c r="Y323" s="32">
        <v>304</v>
      </c>
      <c r="Z323" s="32">
        <v>26</v>
      </c>
      <c r="AA323" s="32">
        <v>4</v>
      </c>
      <c r="AB323" s="13">
        <f t="shared" si="71"/>
        <v>0</v>
      </c>
      <c r="AC323" s="33"/>
      <c r="AD323" s="13">
        <f t="shared" si="67"/>
        <v>0</v>
      </c>
      <c r="AE323" s="13">
        <f>ROUNDUP(($AB323+$AD323)*VLOOKUP($Z323,Paraméterek!$P$38:$Q$38,2)/12,IF($D$4="Forint",0,2))</f>
        <v>0</v>
      </c>
      <c r="AF323" s="13">
        <f>IF($D$2="Egyszeri",IF($D$7&gt;=IF($D$4="Forint",Paraméterek!$P$223,Paraméterek!$P$224),$D$7-IF($D$4="Forint",Paraméterek!$F$223,Paraméterek!$F$224),0),MIN(IF($AA323=12,AVERAGE($D$20:$D323)*12,0),SUM($D$20:$D$31)))</f>
        <v>0</v>
      </c>
      <c r="AG323" s="13">
        <f>IF(AND($Z323&gt;=10,MOD($Z323,5)=0),$AF323*IF($AA323=12,VLOOKUP($Z323,Paraméterek!$B$225:$F$240,IF($AF323&lt;IF($D$4="Forint",Paraméterek!$C$223,Paraméterek!$C$224),2,IF($AF323&lt;IF($D$4="Forint",Paraméterek!$D$223,Paraméterek!$D$224),3,4))),0),0)</f>
        <v>0</v>
      </c>
      <c r="AH323" s="13">
        <f>IF(AND($Z323&gt;=5,MOD($Z323,5)=0),IF($AA323=12,VLOOKUP($Z323,Paraméterek!$B$225:$F$240,5),0),IF(OR($Z323=3,$Z323=4),IF($AA323=12,VLOOKUP($Z323,Paraméterek!$B$225:$F$240,5,0),0),0))*$AF323</f>
        <v>0</v>
      </c>
      <c r="AI323" s="13">
        <f>ROUNDDOWN(IF(SUM($T$20:$U323)=0,IF($D$2="Egyszeri",$AH323,$AG323),0),IF($D$4="Forint",0,2))</f>
        <v>0</v>
      </c>
      <c r="AJ323" s="13">
        <f t="shared" si="72"/>
        <v>0</v>
      </c>
      <c r="AK323" s="13">
        <f t="shared" si="73"/>
        <v>0</v>
      </c>
      <c r="AM323" s="32">
        <v>304</v>
      </c>
      <c r="AN323" s="32">
        <v>26</v>
      </c>
      <c r="AO323" s="32">
        <v>4</v>
      </c>
      <c r="AP323" s="13"/>
      <c r="AQ323" s="32"/>
      <c r="AR323" s="13">
        <f t="shared" si="74"/>
        <v>0</v>
      </c>
      <c r="AS323" s="33"/>
      <c r="AT323" s="13">
        <f t="shared" si="68"/>
        <v>0</v>
      </c>
      <c r="AU323" s="13">
        <f>ROUNDUP(($AR323+$AT323)*VLOOKUP($AN323,Paraméterek!$P$38:$Q$38,2)/12,IF($D$4="Forint",0,2))</f>
        <v>0</v>
      </c>
      <c r="AV323" s="13"/>
      <c r="AW323" s="13"/>
      <c r="AX323" s="13">
        <f>ROUNDUP(IF(SUM($AV323:$AW323)=0,0,IF(IF(ISBLANK($AW323),$AV323,$AW323)*Paraméterek!$J$112&lt;IF($D$4="Forint",Paraméterek!$J$113,Paraméterek!$K$113),IF($D$4="Forint",Paraméterek!$J$113,Paraméterek!$K$113),IF(IF(ISBLANK($AW323),$AV323,$AW323)*Paraméterek!$J$112&gt;IF($D$4="Forint",Paraméterek!$J$114,Paraméterek!$K$114),IF($D$4="Forint",Paraméterek!$J$114,Paraméterek!$K$114),IF(ISBLANK($AW323),$AV323,$AW323)*Paraméterek!$J$112))),IF($D$4="Forint",0,2))</f>
        <v>0</v>
      </c>
      <c r="AY323" s="13">
        <f>$AR323+$AT323-$AU323-IF(ROUNDDOWN(IF(ISBLANK($AW323),$AV323,$AW323),IF($D$4="Forint",0,2))&gt;$AR323+$AT323-$AU323-IF($D$4="Forint",Paraméterek!$J$114,Paraméterek!$K$114),0,ROUNDDOWN(IF(ISBLANK($AW323),$AV323,$AW323),IF($D$4="Forint",0,2))-$AX323)</f>
        <v>0</v>
      </c>
      <c r="AZ323" s="13">
        <f t="shared" si="69"/>
        <v>0</v>
      </c>
    </row>
    <row r="324" spans="1:52" x14ac:dyDescent="0.2">
      <c r="A324" s="32">
        <v>305</v>
      </c>
      <c r="B324" s="32">
        <v>26</v>
      </c>
      <c r="C324" s="32">
        <v>5</v>
      </c>
      <c r="D324" s="13">
        <f t="shared" si="60"/>
        <v>0</v>
      </c>
      <c r="E324" s="13"/>
      <c r="F324" s="13"/>
      <c r="G324" s="13"/>
      <c r="H324" s="13">
        <f t="shared" si="61"/>
        <v>0</v>
      </c>
      <c r="I324" s="13">
        <f t="shared" si="62"/>
        <v>0</v>
      </c>
      <c r="J324" s="13">
        <f t="shared" si="63"/>
        <v>0</v>
      </c>
      <c r="K324" s="13">
        <f>ROUNDUP(IF($D$2="Egyszeri",$D324,IF($D$2="Havi",SUM($D$20:$D$31),IF(MOD($C324,$M$1)-1=0,SUM($D$20:$D$31),0))/12*$M$1)*VLOOKUP($B324,Paraméterek!$B$27:$D$30,IF($D$2="Egyszeri",3,2)),IF($D$4="Forint",0,2))</f>
        <v>0</v>
      </c>
      <c r="L324" s="13">
        <f t="shared" si="64"/>
        <v>0</v>
      </c>
      <c r="M324" s="13">
        <f t="shared" ca="1" si="70"/>
        <v>-183012</v>
      </c>
      <c r="N324" s="13">
        <f ca="1">IF($V323&gt;=VLOOKUP($M$4-1+$B324,Paraméterek!$B$121:$D$122,IF($D$4="Forint",2,3)),0,VLOOKUP($M$4-1+$B324,Paraméterek!$B$121:$D$122,IF($D$4="Forint",2,3))-$V323)</f>
        <v>193012</v>
      </c>
      <c r="O324" s="13">
        <f ca="1">ROUNDUP($N324*Paraméterek!$C$58/Paraméterek!$C$56,IF($D$4="Forint",0,2))</f>
        <v>31</v>
      </c>
      <c r="P324" s="13">
        <f t="shared" si="65"/>
        <v>1152</v>
      </c>
      <c r="Q324" s="33"/>
      <c r="R324" s="13">
        <f t="shared" ca="1" si="66"/>
        <v>0</v>
      </c>
      <c r="S324" s="13">
        <f ca="1">ROUNDUP(($M324-$O324-$P324+$R324)*VLOOKUP($B324,Paraméterek!$B$38:$D$39,IF($D$2="Egyszeri",3,2))/12,IF($D$4="Forint",0,2))</f>
        <v>-450</v>
      </c>
      <c r="T324" s="13"/>
      <c r="U324" s="13"/>
      <c r="V324" s="13">
        <f ca="1">$M324-$O324-$P324+$R324-$S324-IF(ROUNDUP(IF(ISBLANK($U324),$T324,$U324)/IF(AND($B324=1,$D$2&lt;&gt;"Egyszeri"),1,VLOOKUP($B324+IF($C324=12,1,0),Paraméterek!$B$257:$D$267,IF($D$2="Egyszeri",3,2))),IF($D$4="Forint",0,2))&gt;$M324-$O324-$P324+$R324-$S324-IF($D$4="Forint",Paraméterek!$C$216,Paraméterek!$D$216),0,ROUNDUP(IF(ISBLANK($U324),$T324,$U324)/IF(AND($B324=1,$D$2&lt;&gt;"Egyszeri"),1,VLOOKUP($B324+IF($C324=12,1,0),Paraméterek!$B$257:$D$267,IF($D$2="Egyszeri",3,2))),IF($D$4="Forint",0,2)))</f>
        <v>-183745</v>
      </c>
      <c r="W324" s="13">
        <f ca="1">ROUNDDOWN($V324*VLOOKUP($B324+IF($C324=12,1,0),Paraméterek!$B$257:$D$267,IF($D$2="Egyszeri",3,2)),IF($D$4="Forint",0,2))</f>
        <v>-183745</v>
      </c>
      <c r="Y324" s="32">
        <v>305</v>
      </c>
      <c r="Z324" s="32">
        <v>26</v>
      </c>
      <c r="AA324" s="32">
        <v>5</v>
      </c>
      <c r="AB324" s="13">
        <f t="shared" si="71"/>
        <v>0</v>
      </c>
      <c r="AC324" s="33"/>
      <c r="AD324" s="13">
        <f t="shared" si="67"/>
        <v>0</v>
      </c>
      <c r="AE324" s="13">
        <f>ROUNDUP(($AB324+$AD324)*VLOOKUP($Z324,Paraméterek!$P$38:$Q$38,2)/12,IF($D$4="Forint",0,2))</f>
        <v>0</v>
      </c>
      <c r="AF324" s="13">
        <f>IF($D$2="Egyszeri",IF($D$7&gt;=IF($D$4="Forint",Paraméterek!$P$223,Paraméterek!$P$224),$D$7-IF($D$4="Forint",Paraméterek!$F$223,Paraméterek!$F$224),0),MIN(IF($AA324=12,AVERAGE($D$20:$D324)*12,0),SUM($D$20:$D$31)))</f>
        <v>0</v>
      </c>
      <c r="AG324" s="13">
        <f>IF(AND($Z324&gt;=10,MOD($Z324,5)=0),$AF324*IF($AA324=12,VLOOKUP($Z324,Paraméterek!$B$225:$F$240,IF($AF324&lt;IF($D$4="Forint",Paraméterek!$C$223,Paraméterek!$C$224),2,IF($AF324&lt;IF($D$4="Forint",Paraméterek!$D$223,Paraméterek!$D$224),3,4))),0),0)</f>
        <v>0</v>
      </c>
      <c r="AH324" s="13">
        <f>IF(AND($Z324&gt;=5,MOD($Z324,5)=0),IF($AA324=12,VLOOKUP($Z324,Paraméterek!$B$225:$F$240,5),0),IF(OR($Z324=3,$Z324=4),IF($AA324=12,VLOOKUP($Z324,Paraméterek!$B$225:$F$240,5,0),0),0))*$AF324</f>
        <v>0</v>
      </c>
      <c r="AI324" s="13">
        <f>ROUNDDOWN(IF(SUM($T$20:$U324)=0,IF($D$2="Egyszeri",$AH324,$AG324),0),IF($D$4="Forint",0,2))</f>
        <v>0</v>
      </c>
      <c r="AJ324" s="13">
        <f t="shared" si="72"/>
        <v>0</v>
      </c>
      <c r="AK324" s="13">
        <f t="shared" si="73"/>
        <v>0</v>
      </c>
      <c r="AM324" s="32">
        <v>305</v>
      </c>
      <c r="AN324" s="32">
        <v>26</v>
      </c>
      <c r="AO324" s="32">
        <v>5</v>
      </c>
      <c r="AP324" s="13"/>
      <c r="AQ324" s="32"/>
      <c r="AR324" s="13">
        <f t="shared" si="74"/>
        <v>0</v>
      </c>
      <c r="AS324" s="33"/>
      <c r="AT324" s="13">
        <f t="shared" si="68"/>
        <v>0</v>
      </c>
      <c r="AU324" s="13">
        <f>ROUNDUP(($AR324+$AT324)*VLOOKUP($AN324,Paraméterek!$P$38:$Q$38,2)/12,IF($D$4="Forint",0,2))</f>
        <v>0</v>
      </c>
      <c r="AV324" s="13"/>
      <c r="AW324" s="13"/>
      <c r="AX324" s="13">
        <f>ROUNDUP(IF(SUM($AV324:$AW324)=0,0,IF(IF(ISBLANK($AW324),$AV324,$AW324)*Paraméterek!$J$112&lt;IF($D$4="Forint",Paraméterek!$J$113,Paraméterek!$K$113),IF($D$4="Forint",Paraméterek!$J$113,Paraméterek!$K$113),IF(IF(ISBLANK($AW324),$AV324,$AW324)*Paraméterek!$J$112&gt;IF($D$4="Forint",Paraméterek!$J$114,Paraméterek!$K$114),IF($D$4="Forint",Paraméterek!$J$114,Paraméterek!$K$114),IF(ISBLANK($AW324),$AV324,$AW324)*Paraméterek!$J$112))),IF($D$4="Forint",0,2))</f>
        <v>0</v>
      </c>
      <c r="AY324" s="13">
        <f>$AR324+$AT324-$AU324-IF(ROUNDDOWN(IF(ISBLANK($AW324),$AV324,$AW324),IF($D$4="Forint",0,2))&gt;$AR324+$AT324-$AU324-IF($D$4="Forint",Paraméterek!$J$114,Paraméterek!$K$114),0,ROUNDDOWN(IF(ISBLANK($AW324),$AV324,$AW324),IF($D$4="Forint",0,2))-$AX324)</f>
        <v>0</v>
      </c>
      <c r="AZ324" s="13">
        <f t="shared" si="69"/>
        <v>0</v>
      </c>
    </row>
    <row r="325" spans="1:52" x14ac:dyDescent="0.2">
      <c r="A325" s="32">
        <v>306</v>
      </c>
      <c r="B325" s="32">
        <v>26</v>
      </c>
      <c r="C325" s="32">
        <v>6</v>
      </c>
      <c r="D325" s="13">
        <f t="shared" si="60"/>
        <v>0</v>
      </c>
      <c r="E325" s="13"/>
      <c r="F325" s="13"/>
      <c r="G325" s="13"/>
      <c r="H325" s="13">
        <f t="shared" si="61"/>
        <v>0</v>
      </c>
      <c r="I325" s="13">
        <f t="shared" si="62"/>
        <v>0</v>
      </c>
      <c r="J325" s="13">
        <f t="shared" si="63"/>
        <v>0</v>
      </c>
      <c r="K325" s="13">
        <f>ROUNDUP(IF($D$2="Egyszeri",$D325,IF($D$2="Havi",SUM($D$20:$D$31),IF(MOD($C325,$M$1)-1=0,SUM($D$20:$D$31),0))/12*$M$1)*VLOOKUP($B325,Paraméterek!$B$27:$D$30,IF($D$2="Egyszeri",3,2)),IF($D$4="Forint",0,2))</f>
        <v>0</v>
      </c>
      <c r="L325" s="13">
        <f t="shared" si="64"/>
        <v>0</v>
      </c>
      <c r="M325" s="13">
        <f t="shared" ca="1" si="70"/>
        <v>-183745</v>
      </c>
      <c r="N325" s="13">
        <f ca="1">IF($V324&gt;=VLOOKUP($M$4-1+$B325,Paraméterek!$B$121:$D$122,IF($D$4="Forint",2,3)),0,VLOOKUP($M$4-1+$B325,Paraméterek!$B$121:$D$122,IF($D$4="Forint",2,3))-$V324)</f>
        <v>193745</v>
      </c>
      <c r="O325" s="13">
        <f ca="1">ROUNDUP($N325*Paraméterek!$C$58/Paraméterek!$C$56,IF($D$4="Forint",0,2))</f>
        <v>31</v>
      </c>
      <c r="P325" s="13">
        <f t="shared" si="65"/>
        <v>1152</v>
      </c>
      <c r="Q325" s="33"/>
      <c r="R325" s="13">
        <f t="shared" ca="1" si="66"/>
        <v>0</v>
      </c>
      <c r="S325" s="13">
        <f ca="1">ROUNDUP(($M325-$O325-$P325+$R325)*VLOOKUP($B325,Paraméterek!$B$38:$D$39,IF($D$2="Egyszeri",3,2))/12,IF($D$4="Forint",0,2))</f>
        <v>-452</v>
      </c>
      <c r="T325" s="13"/>
      <c r="U325" s="13"/>
      <c r="V325" s="13">
        <f ca="1">$M325-$O325-$P325+$R325-$S325-IF(ROUNDUP(IF(ISBLANK($U325),$T325,$U325)/IF(AND($B325=1,$D$2&lt;&gt;"Egyszeri"),1,VLOOKUP($B325+IF($C325=12,1,0),Paraméterek!$B$257:$D$267,IF($D$2="Egyszeri",3,2))),IF($D$4="Forint",0,2))&gt;$M325-$O325-$P325+$R325-$S325-IF($D$4="Forint",Paraméterek!$C$216,Paraméterek!$D$216),0,ROUNDUP(IF(ISBLANK($U325),$T325,$U325)/IF(AND($B325=1,$D$2&lt;&gt;"Egyszeri"),1,VLOOKUP($B325+IF($C325=12,1,0),Paraméterek!$B$257:$D$267,IF($D$2="Egyszeri",3,2))),IF($D$4="Forint",0,2)))</f>
        <v>-184476</v>
      </c>
      <c r="W325" s="13">
        <f ca="1">ROUNDDOWN($V325*VLOOKUP($B325+IF($C325=12,1,0),Paraméterek!$B$257:$D$267,IF($D$2="Egyszeri",3,2)),IF($D$4="Forint",0,2))</f>
        <v>-184476</v>
      </c>
      <c r="Y325" s="32">
        <v>306</v>
      </c>
      <c r="Z325" s="32">
        <v>26</v>
      </c>
      <c r="AA325" s="32">
        <v>6</v>
      </c>
      <c r="AB325" s="13">
        <f t="shared" si="71"/>
        <v>0</v>
      </c>
      <c r="AC325" s="33"/>
      <c r="AD325" s="13">
        <f t="shared" si="67"/>
        <v>0</v>
      </c>
      <c r="AE325" s="13">
        <f>ROUNDUP(($AB325+$AD325)*VLOOKUP($Z325,Paraméterek!$P$38:$Q$38,2)/12,IF($D$4="Forint",0,2))</f>
        <v>0</v>
      </c>
      <c r="AF325" s="13">
        <f>IF($D$2="Egyszeri",IF($D$7&gt;=IF($D$4="Forint",Paraméterek!$P$223,Paraméterek!$P$224),$D$7-IF($D$4="Forint",Paraméterek!$F$223,Paraméterek!$F$224),0),MIN(IF($AA325=12,AVERAGE($D$20:$D325)*12,0),SUM($D$20:$D$31)))</f>
        <v>0</v>
      </c>
      <c r="AG325" s="13">
        <f>IF(AND($Z325&gt;=10,MOD($Z325,5)=0),$AF325*IF($AA325=12,VLOOKUP($Z325,Paraméterek!$B$225:$F$240,IF($AF325&lt;IF($D$4="Forint",Paraméterek!$C$223,Paraméterek!$C$224),2,IF($AF325&lt;IF($D$4="Forint",Paraméterek!$D$223,Paraméterek!$D$224),3,4))),0),0)</f>
        <v>0</v>
      </c>
      <c r="AH325" s="13">
        <f>IF(AND($Z325&gt;=5,MOD($Z325,5)=0),IF($AA325=12,VLOOKUP($Z325,Paraméterek!$B$225:$F$240,5),0),IF(OR($Z325=3,$Z325=4),IF($AA325=12,VLOOKUP($Z325,Paraméterek!$B$225:$F$240,5,0),0),0))*$AF325</f>
        <v>0</v>
      </c>
      <c r="AI325" s="13">
        <f>ROUNDDOWN(IF(SUM($T$20:$U325)=0,IF($D$2="Egyszeri",$AH325,$AG325),0),IF($D$4="Forint",0,2))</f>
        <v>0</v>
      </c>
      <c r="AJ325" s="13">
        <f t="shared" si="72"/>
        <v>0</v>
      </c>
      <c r="AK325" s="13">
        <f t="shared" si="73"/>
        <v>0</v>
      </c>
      <c r="AM325" s="32">
        <v>306</v>
      </c>
      <c r="AN325" s="32">
        <v>26</v>
      </c>
      <c r="AO325" s="32">
        <v>6</v>
      </c>
      <c r="AP325" s="13"/>
      <c r="AQ325" s="32"/>
      <c r="AR325" s="13">
        <f t="shared" si="74"/>
        <v>0</v>
      </c>
      <c r="AS325" s="33"/>
      <c r="AT325" s="13">
        <f t="shared" si="68"/>
        <v>0</v>
      </c>
      <c r="AU325" s="13">
        <f>ROUNDUP(($AR325+$AT325)*VLOOKUP($AN325,Paraméterek!$P$38:$Q$38,2)/12,IF($D$4="Forint",0,2))</f>
        <v>0</v>
      </c>
      <c r="AV325" s="13"/>
      <c r="AW325" s="13"/>
      <c r="AX325" s="13">
        <f>ROUNDUP(IF(SUM($AV325:$AW325)=0,0,IF(IF(ISBLANK($AW325),$AV325,$AW325)*Paraméterek!$J$112&lt;IF($D$4="Forint",Paraméterek!$J$113,Paraméterek!$K$113),IF($D$4="Forint",Paraméterek!$J$113,Paraméterek!$K$113),IF(IF(ISBLANK($AW325),$AV325,$AW325)*Paraméterek!$J$112&gt;IF($D$4="Forint",Paraméterek!$J$114,Paraméterek!$K$114),IF($D$4="Forint",Paraméterek!$J$114,Paraméterek!$K$114),IF(ISBLANK($AW325),$AV325,$AW325)*Paraméterek!$J$112))),IF($D$4="Forint",0,2))</f>
        <v>0</v>
      </c>
      <c r="AY325" s="13">
        <f>$AR325+$AT325-$AU325-IF(ROUNDDOWN(IF(ISBLANK($AW325),$AV325,$AW325),IF($D$4="Forint",0,2))&gt;$AR325+$AT325-$AU325-IF($D$4="Forint",Paraméterek!$J$114,Paraméterek!$K$114),0,ROUNDDOWN(IF(ISBLANK($AW325),$AV325,$AW325),IF($D$4="Forint",0,2))-$AX325)</f>
        <v>0</v>
      </c>
      <c r="AZ325" s="13">
        <f t="shared" si="69"/>
        <v>0</v>
      </c>
    </row>
    <row r="326" spans="1:52" x14ac:dyDescent="0.2">
      <c r="A326" s="32">
        <v>307</v>
      </c>
      <c r="B326" s="32">
        <v>26</v>
      </c>
      <c r="C326" s="32">
        <v>7</v>
      </c>
      <c r="D326" s="13">
        <f t="shared" si="60"/>
        <v>0</v>
      </c>
      <c r="E326" s="13"/>
      <c r="F326" s="13"/>
      <c r="G326" s="13"/>
      <c r="H326" s="13">
        <f t="shared" si="61"/>
        <v>0</v>
      </c>
      <c r="I326" s="13">
        <f t="shared" si="62"/>
        <v>0</v>
      </c>
      <c r="J326" s="13">
        <f t="shared" si="63"/>
        <v>0</v>
      </c>
      <c r="K326" s="13">
        <f>ROUNDUP(IF($D$2="Egyszeri",$D326,IF($D$2="Havi",SUM($D$20:$D$31),IF(MOD($C326,$M$1)-1=0,SUM($D$20:$D$31),0))/12*$M$1)*VLOOKUP($B326,Paraméterek!$B$27:$D$30,IF($D$2="Egyszeri",3,2)),IF($D$4="Forint",0,2))</f>
        <v>0</v>
      </c>
      <c r="L326" s="13">
        <f t="shared" si="64"/>
        <v>0</v>
      </c>
      <c r="M326" s="13">
        <f t="shared" ca="1" si="70"/>
        <v>-184476</v>
      </c>
      <c r="N326" s="13">
        <f ca="1">IF($V325&gt;=VLOOKUP($M$4-1+$B326,Paraméterek!$B$121:$D$122,IF($D$4="Forint",2,3)),0,VLOOKUP($M$4-1+$B326,Paraméterek!$B$121:$D$122,IF($D$4="Forint",2,3))-$V325)</f>
        <v>194476</v>
      </c>
      <c r="O326" s="13">
        <f ca="1">ROUNDUP($N326*Paraméterek!$C$58/Paraméterek!$C$56,IF($D$4="Forint",0,2))</f>
        <v>31</v>
      </c>
      <c r="P326" s="13">
        <f t="shared" si="65"/>
        <v>1152</v>
      </c>
      <c r="Q326" s="33"/>
      <c r="R326" s="13">
        <f t="shared" ca="1" si="66"/>
        <v>0</v>
      </c>
      <c r="S326" s="13">
        <f ca="1">ROUNDUP(($M326-$O326-$P326+$R326)*VLOOKUP($B326,Paraméterek!$B$38:$D$39,IF($D$2="Egyszeri",3,2))/12,IF($D$4="Forint",0,2))</f>
        <v>-454</v>
      </c>
      <c r="T326" s="13"/>
      <c r="U326" s="13"/>
      <c r="V326" s="13">
        <f ca="1">$M326-$O326-$P326+$R326-$S326-IF(ROUNDUP(IF(ISBLANK($U326),$T326,$U326)/IF(AND($B326=1,$D$2&lt;&gt;"Egyszeri"),1,VLOOKUP($B326+IF($C326=12,1,0),Paraméterek!$B$257:$D$267,IF($D$2="Egyszeri",3,2))),IF($D$4="Forint",0,2))&gt;$M326-$O326-$P326+$R326-$S326-IF($D$4="Forint",Paraméterek!$C$216,Paraméterek!$D$216),0,ROUNDUP(IF(ISBLANK($U326),$T326,$U326)/IF(AND($B326=1,$D$2&lt;&gt;"Egyszeri"),1,VLOOKUP($B326+IF($C326=12,1,0),Paraméterek!$B$257:$D$267,IF($D$2="Egyszeri",3,2))),IF($D$4="Forint",0,2)))</f>
        <v>-185205</v>
      </c>
      <c r="W326" s="13">
        <f ca="1">ROUNDDOWN($V326*VLOOKUP($B326+IF($C326=12,1,0),Paraméterek!$B$257:$D$267,IF($D$2="Egyszeri",3,2)),IF($D$4="Forint",0,2))</f>
        <v>-185205</v>
      </c>
      <c r="Y326" s="32">
        <v>307</v>
      </c>
      <c r="Z326" s="32">
        <v>26</v>
      </c>
      <c r="AA326" s="32">
        <v>7</v>
      </c>
      <c r="AB326" s="13">
        <f t="shared" si="71"/>
        <v>0</v>
      </c>
      <c r="AC326" s="33"/>
      <c r="AD326" s="13">
        <f t="shared" si="67"/>
        <v>0</v>
      </c>
      <c r="AE326" s="13">
        <f>ROUNDUP(($AB326+$AD326)*VLOOKUP($Z326,Paraméterek!$P$38:$Q$38,2)/12,IF($D$4="Forint",0,2))</f>
        <v>0</v>
      </c>
      <c r="AF326" s="13">
        <f>IF($D$2="Egyszeri",IF($D$7&gt;=IF($D$4="Forint",Paraméterek!$P$223,Paraméterek!$P$224),$D$7-IF($D$4="Forint",Paraméterek!$F$223,Paraméterek!$F$224),0),MIN(IF($AA326=12,AVERAGE($D$20:$D326)*12,0),SUM($D$20:$D$31)))</f>
        <v>0</v>
      </c>
      <c r="AG326" s="13">
        <f>IF(AND($Z326&gt;=10,MOD($Z326,5)=0),$AF326*IF($AA326=12,VLOOKUP($Z326,Paraméterek!$B$225:$F$240,IF($AF326&lt;IF($D$4="Forint",Paraméterek!$C$223,Paraméterek!$C$224),2,IF($AF326&lt;IF($D$4="Forint",Paraméterek!$D$223,Paraméterek!$D$224),3,4))),0),0)</f>
        <v>0</v>
      </c>
      <c r="AH326" s="13">
        <f>IF(AND($Z326&gt;=5,MOD($Z326,5)=0),IF($AA326=12,VLOOKUP($Z326,Paraméterek!$B$225:$F$240,5),0),IF(OR($Z326=3,$Z326=4),IF($AA326=12,VLOOKUP($Z326,Paraméterek!$B$225:$F$240,5,0),0),0))*$AF326</f>
        <v>0</v>
      </c>
      <c r="AI326" s="13">
        <f>ROUNDDOWN(IF(SUM($T$20:$U326)=0,IF($D$2="Egyszeri",$AH326,$AG326),0),IF($D$4="Forint",0,2))</f>
        <v>0</v>
      </c>
      <c r="AJ326" s="13">
        <f t="shared" si="72"/>
        <v>0</v>
      </c>
      <c r="AK326" s="13">
        <f t="shared" si="73"/>
        <v>0</v>
      </c>
      <c r="AM326" s="32">
        <v>307</v>
      </c>
      <c r="AN326" s="32">
        <v>26</v>
      </c>
      <c r="AO326" s="32">
        <v>7</v>
      </c>
      <c r="AP326" s="13"/>
      <c r="AQ326" s="32"/>
      <c r="AR326" s="13">
        <f t="shared" si="74"/>
        <v>0</v>
      </c>
      <c r="AS326" s="33"/>
      <c r="AT326" s="13">
        <f t="shared" si="68"/>
        <v>0</v>
      </c>
      <c r="AU326" s="13">
        <f>ROUNDUP(($AR326+$AT326)*VLOOKUP($AN326,Paraméterek!$P$38:$Q$38,2)/12,IF($D$4="Forint",0,2))</f>
        <v>0</v>
      </c>
      <c r="AV326" s="13"/>
      <c r="AW326" s="13"/>
      <c r="AX326" s="13">
        <f>ROUNDUP(IF(SUM($AV326:$AW326)=0,0,IF(IF(ISBLANK($AW326),$AV326,$AW326)*Paraméterek!$J$112&lt;IF($D$4="Forint",Paraméterek!$J$113,Paraméterek!$K$113),IF($D$4="Forint",Paraméterek!$J$113,Paraméterek!$K$113),IF(IF(ISBLANK($AW326),$AV326,$AW326)*Paraméterek!$J$112&gt;IF($D$4="Forint",Paraméterek!$J$114,Paraméterek!$K$114),IF($D$4="Forint",Paraméterek!$J$114,Paraméterek!$K$114),IF(ISBLANK($AW326),$AV326,$AW326)*Paraméterek!$J$112))),IF($D$4="Forint",0,2))</f>
        <v>0</v>
      </c>
      <c r="AY326" s="13">
        <f>$AR326+$AT326-$AU326-IF(ROUNDDOWN(IF(ISBLANK($AW326),$AV326,$AW326),IF($D$4="Forint",0,2))&gt;$AR326+$AT326-$AU326-IF($D$4="Forint",Paraméterek!$J$114,Paraméterek!$K$114),0,ROUNDDOWN(IF(ISBLANK($AW326),$AV326,$AW326),IF($D$4="Forint",0,2))-$AX326)</f>
        <v>0</v>
      </c>
      <c r="AZ326" s="13">
        <f t="shared" si="69"/>
        <v>0</v>
      </c>
    </row>
    <row r="327" spans="1:52" x14ac:dyDescent="0.2">
      <c r="A327" s="32">
        <v>308</v>
      </c>
      <c r="B327" s="32">
        <v>26</v>
      </c>
      <c r="C327" s="32">
        <v>8</v>
      </c>
      <c r="D327" s="13">
        <f t="shared" si="60"/>
        <v>0</v>
      </c>
      <c r="E327" s="13"/>
      <c r="F327" s="13"/>
      <c r="G327" s="13"/>
      <c r="H327" s="13">
        <f t="shared" si="61"/>
        <v>0</v>
      </c>
      <c r="I327" s="13">
        <f t="shared" si="62"/>
        <v>0</v>
      </c>
      <c r="J327" s="13">
        <f t="shared" si="63"/>
        <v>0</v>
      </c>
      <c r="K327" s="13">
        <f>ROUNDUP(IF($D$2="Egyszeri",$D327,IF($D$2="Havi",SUM($D$20:$D$31),IF(MOD($C327,$M$1)-1=0,SUM($D$20:$D$31),0))/12*$M$1)*VLOOKUP($B327,Paraméterek!$B$27:$D$30,IF($D$2="Egyszeri",3,2)),IF($D$4="Forint",0,2))</f>
        <v>0</v>
      </c>
      <c r="L327" s="13">
        <f t="shared" si="64"/>
        <v>0</v>
      </c>
      <c r="M327" s="13">
        <f t="shared" ca="1" si="70"/>
        <v>-185205</v>
      </c>
      <c r="N327" s="13">
        <f ca="1">IF($V326&gt;=VLOOKUP($M$4-1+$B327,Paraméterek!$B$121:$D$122,IF($D$4="Forint",2,3)),0,VLOOKUP($M$4-1+$B327,Paraméterek!$B$121:$D$122,IF($D$4="Forint",2,3))-$V326)</f>
        <v>195205</v>
      </c>
      <c r="O327" s="13">
        <f ca="1">ROUNDUP($N327*Paraméterek!$C$58/Paraméterek!$C$56,IF($D$4="Forint",0,2))</f>
        <v>32</v>
      </c>
      <c r="P327" s="13">
        <f t="shared" si="65"/>
        <v>1152</v>
      </c>
      <c r="Q327" s="33"/>
      <c r="R327" s="13">
        <f t="shared" ca="1" si="66"/>
        <v>0</v>
      </c>
      <c r="S327" s="13">
        <f ca="1">ROUNDUP(($M327-$O327-$P327+$R327)*VLOOKUP($B327,Paraméterek!$B$38:$D$39,IF($D$2="Egyszeri",3,2))/12,IF($D$4="Forint",0,2))</f>
        <v>-456</v>
      </c>
      <c r="T327" s="13"/>
      <c r="U327" s="13"/>
      <c r="V327" s="13">
        <f ca="1">$M327-$O327-$P327+$R327-$S327-IF(ROUNDUP(IF(ISBLANK($U327),$T327,$U327)/IF(AND($B327=1,$D$2&lt;&gt;"Egyszeri"),1,VLOOKUP($B327+IF($C327=12,1,0),Paraméterek!$B$257:$D$267,IF($D$2="Egyszeri",3,2))),IF($D$4="Forint",0,2))&gt;$M327-$O327-$P327+$R327-$S327-IF($D$4="Forint",Paraméterek!$C$216,Paraméterek!$D$216),0,ROUNDUP(IF(ISBLANK($U327),$T327,$U327)/IF(AND($B327=1,$D$2&lt;&gt;"Egyszeri"),1,VLOOKUP($B327+IF($C327=12,1,0),Paraméterek!$B$257:$D$267,IF($D$2="Egyszeri",3,2))),IF($D$4="Forint",0,2)))</f>
        <v>-185933</v>
      </c>
      <c r="W327" s="13">
        <f ca="1">ROUNDDOWN($V327*VLOOKUP($B327+IF($C327=12,1,0),Paraméterek!$B$257:$D$267,IF($D$2="Egyszeri",3,2)),IF($D$4="Forint",0,2))</f>
        <v>-185933</v>
      </c>
      <c r="Y327" s="32">
        <v>308</v>
      </c>
      <c r="Z327" s="32">
        <v>26</v>
      </c>
      <c r="AA327" s="32">
        <v>8</v>
      </c>
      <c r="AB327" s="13">
        <f t="shared" si="71"/>
        <v>0</v>
      </c>
      <c r="AC327" s="33"/>
      <c r="AD327" s="13">
        <f t="shared" si="67"/>
        <v>0</v>
      </c>
      <c r="AE327" s="13">
        <f>ROUNDUP(($AB327+$AD327)*VLOOKUP($Z327,Paraméterek!$P$38:$Q$38,2)/12,IF($D$4="Forint",0,2))</f>
        <v>0</v>
      </c>
      <c r="AF327" s="13">
        <f>IF($D$2="Egyszeri",IF($D$7&gt;=IF($D$4="Forint",Paraméterek!$P$223,Paraméterek!$P$224),$D$7-IF($D$4="Forint",Paraméterek!$F$223,Paraméterek!$F$224),0),MIN(IF($AA327=12,AVERAGE($D$20:$D327)*12,0),SUM($D$20:$D$31)))</f>
        <v>0</v>
      </c>
      <c r="AG327" s="13">
        <f>IF(AND($Z327&gt;=10,MOD($Z327,5)=0),$AF327*IF($AA327=12,VLOOKUP($Z327,Paraméterek!$B$225:$F$240,IF($AF327&lt;IF($D$4="Forint",Paraméterek!$C$223,Paraméterek!$C$224),2,IF($AF327&lt;IF($D$4="Forint",Paraméterek!$D$223,Paraméterek!$D$224),3,4))),0),0)</f>
        <v>0</v>
      </c>
      <c r="AH327" s="13">
        <f>IF(AND($Z327&gt;=5,MOD($Z327,5)=0),IF($AA327=12,VLOOKUP($Z327,Paraméterek!$B$225:$F$240,5),0),IF(OR($Z327=3,$Z327=4),IF($AA327=12,VLOOKUP($Z327,Paraméterek!$B$225:$F$240,5,0),0),0))*$AF327</f>
        <v>0</v>
      </c>
      <c r="AI327" s="13">
        <f>ROUNDDOWN(IF(SUM($T$20:$U327)=0,IF($D$2="Egyszeri",$AH327,$AG327),0),IF($D$4="Forint",0,2))</f>
        <v>0</v>
      </c>
      <c r="AJ327" s="13">
        <f t="shared" si="72"/>
        <v>0</v>
      </c>
      <c r="AK327" s="13">
        <f t="shared" si="73"/>
        <v>0</v>
      </c>
      <c r="AM327" s="32">
        <v>308</v>
      </c>
      <c r="AN327" s="32">
        <v>26</v>
      </c>
      <c r="AO327" s="32">
        <v>8</v>
      </c>
      <c r="AP327" s="13"/>
      <c r="AQ327" s="32"/>
      <c r="AR327" s="13">
        <f t="shared" si="74"/>
        <v>0</v>
      </c>
      <c r="AS327" s="33"/>
      <c r="AT327" s="13">
        <f t="shared" si="68"/>
        <v>0</v>
      </c>
      <c r="AU327" s="13">
        <f>ROUNDUP(($AR327+$AT327)*VLOOKUP($AN327,Paraméterek!$P$38:$Q$38,2)/12,IF($D$4="Forint",0,2))</f>
        <v>0</v>
      </c>
      <c r="AV327" s="13"/>
      <c r="AW327" s="13"/>
      <c r="AX327" s="13">
        <f>ROUNDUP(IF(SUM($AV327:$AW327)=0,0,IF(IF(ISBLANK($AW327),$AV327,$AW327)*Paraméterek!$J$112&lt;IF($D$4="Forint",Paraméterek!$J$113,Paraméterek!$K$113),IF($D$4="Forint",Paraméterek!$J$113,Paraméterek!$K$113),IF(IF(ISBLANK($AW327),$AV327,$AW327)*Paraméterek!$J$112&gt;IF($D$4="Forint",Paraméterek!$J$114,Paraméterek!$K$114),IF($D$4="Forint",Paraméterek!$J$114,Paraméterek!$K$114),IF(ISBLANK($AW327),$AV327,$AW327)*Paraméterek!$J$112))),IF($D$4="Forint",0,2))</f>
        <v>0</v>
      </c>
      <c r="AY327" s="13">
        <f>$AR327+$AT327-$AU327-IF(ROUNDDOWN(IF(ISBLANK($AW327),$AV327,$AW327),IF($D$4="Forint",0,2))&gt;$AR327+$AT327-$AU327-IF($D$4="Forint",Paraméterek!$J$114,Paraméterek!$K$114),0,ROUNDDOWN(IF(ISBLANK($AW327),$AV327,$AW327),IF($D$4="Forint",0,2))-$AX327)</f>
        <v>0</v>
      </c>
      <c r="AZ327" s="13">
        <f t="shared" si="69"/>
        <v>0</v>
      </c>
    </row>
    <row r="328" spans="1:52" x14ac:dyDescent="0.2">
      <c r="A328" s="32">
        <v>309</v>
      </c>
      <c r="B328" s="32">
        <v>26</v>
      </c>
      <c r="C328" s="32">
        <v>9</v>
      </c>
      <c r="D328" s="13">
        <f t="shared" si="60"/>
        <v>0</v>
      </c>
      <c r="E328" s="13"/>
      <c r="F328" s="13"/>
      <c r="G328" s="13"/>
      <c r="H328" s="13">
        <f t="shared" si="61"/>
        <v>0</v>
      </c>
      <c r="I328" s="13">
        <f t="shared" si="62"/>
        <v>0</v>
      </c>
      <c r="J328" s="13">
        <f t="shared" si="63"/>
        <v>0</v>
      </c>
      <c r="K328" s="13">
        <f>ROUNDUP(IF($D$2="Egyszeri",$D328,IF($D$2="Havi",SUM($D$20:$D$31),IF(MOD($C328,$M$1)-1=0,SUM($D$20:$D$31),0))/12*$M$1)*VLOOKUP($B328,Paraméterek!$B$27:$D$30,IF($D$2="Egyszeri",3,2)),IF($D$4="Forint",0,2))</f>
        <v>0</v>
      </c>
      <c r="L328" s="13">
        <f t="shared" si="64"/>
        <v>0</v>
      </c>
      <c r="M328" s="13">
        <f t="shared" ca="1" si="70"/>
        <v>-185933</v>
      </c>
      <c r="N328" s="13">
        <f ca="1">IF($V327&gt;=VLOOKUP($M$4-1+$B328,Paraméterek!$B$121:$D$122,IF($D$4="Forint",2,3)),0,VLOOKUP($M$4-1+$B328,Paraméterek!$B$121:$D$122,IF($D$4="Forint",2,3))-$V327)</f>
        <v>195933</v>
      </c>
      <c r="O328" s="13">
        <f ca="1">ROUNDUP($N328*Paraméterek!$C$58/Paraméterek!$C$56,IF($D$4="Forint",0,2))</f>
        <v>32</v>
      </c>
      <c r="P328" s="13">
        <f t="shared" si="65"/>
        <v>1152</v>
      </c>
      <c r="Q328" s="33"/>
      <c r="R328" s="13">
        <f t="shared" ca="1" si="66"/>
        <v>0</v>
      </c>
      <c r="S328" s="13">
        <f ca="1">ROUNDUP(($M328-$O328-$P328+$R328)*VLOOKUP($B328,Paraméterek!$B$38:$D$39,IF($D$2="Egyszeri",3,2))/12,IF($D$4="Forint",0,2))</f>
        <v>-457</v>
      </c>
      <c r="T328" s="13"/>
      <c r="U328" s="13"/>
      <c r="V328" s="13">
        <f ca="1">$M328-$O328-$P328+$R328-$S328-IF(ROUNDUP(IF(ISBLANK($U328),$T328,$U328)/IF(AND($B328=1,$D$2&lt;&gt;"Egyszeri"),1,VLOOKUP($B328+IF($C328=12,1,0),Paraméterek!$B$257:$D$267,IF($D$2="Egyszeri",3,2))),IF($D$4="Forint",0,2))&gt;$M328-$O328-$P328+$R328-$S328-IF($D$4="Forint",Paraméterek!$C$216,Paraméterek!$D$216),0,ROUNDUP(IF(ISBLANK($U328),$T328,$U328)/IF(AND($B328=1,$D$2&lt;&gt;"Egyszeri"),1,VLOOKUP($B328+IF($C328=12,1,0),Paraméterek!$B$257:$D$267,IF($D$2="Egyszeri",3,2))),IF($D$4="Forint",0,2)))</f>
        <v>-186660</v>
      </c>
      <c r="W328" s="13">
        <f ca="1">ROUNDDOWN($V328*VLOOKUP($B328+IF($C328=12,1,0),Paraméterek!$B$257:$D$267,IF($D$2="Egyszeri",3,2)),IF($D$4="Forint",0,2))</f>
        <v>-186660</v>
      </c>
      <c r="Y328" s="32">
        <v>309</v>
      </c>
      <c r="Z328" s="32">
        <v>26</v>
      </c>
      <c r="AA328" s="32">
        <v>9</v>
      </c>
      <c r="AB328" s="13">
        <f t="shared" si="71"/>
        <v>0</v>
      </c>
      <c r="AC328" s="33"/>
      <c r="AD328" s="13">
        <f t="shared" si="67"/>
        <v>0</v>
      </c>
      <c r="AE328" s="13">
        <f>ROUNDUP(($AB328+$AD328)*VLOOKUP($Z328,Paraméterek!$P$38:$Q$38,2)/12,IF($D$4="Forint",0,2))</f>
        <v>0</v>
      </c>
      <c r="AF328" s="13">
        <f>IF($D$2="Egyszeri",IF($D$7&gt;=IF($D$4="Forint",Paraméterek!$P$223,Paraméterek!$P$224),$D$7-IF($D$4="Forint",Paraméterek!$F$223,Paraméterek!$F$224),0),MIN(IF($AA328=12,AVERAGE($D$20:$D328)*12,0),SUM($D$20:$D$31)))</f>
        <v>0</v>
      </c>
      <c r="AG328" s="13">
        <f>IF(AND($Z328&gt;=10,MOD($Z328,5)=0),$AF328*IF($AA328=12,VLOOKUP($Z328,Paraméterek!$B$225:$F$240,IF($AF328&lt;IF($D$4="Forint",Paraméterek!$C$223,Paraméterek!$C$224),2,IF($AF328&lt;IF($D$4="Forint",Paraméterek!$D$223,Paraméterek!$D$224),3,4))),0),0)</f>
        <v>0</v>
      </c>
      <c r="AH328" s="13">
        <f>IF(AND($Z328&gt;=5,MOD($Z328,5)=0),IF($AA328=12,VLOOKUP($Z328,Paraméterek!$B$225:$F$240,5),0),IF(OR($Z328=3,$Z328=4),IF($AA328=12,VLOOKUP($Z328,Paraméterek!$B$225:$F$240,5,0),0),0))*$AF328</f>
        <v>0</v>
      </c>
      <c r="AI328" s="13">
        <f>ROUNDDOWN(IF(SUM($T$20:$U328)=0,IF($D$2="Egyszeri",$AH328,$AG328),0),IF($D$4="Forint",0,2))</f>
        <v>0</v>
      </c>
      <c r="AJ328" s="13">
        <f t="shared" si="72"/>
        <v>0</v>
      </c>
      <c r="AK328" s="13">
        <f t="shared" si="73"/>
        <v>0</v>
      </c>
      <c r="AM328" s="32">
        <v>309</v>
      </c>
      <c r="AN328" s="32">
        <v>26</v>
      </c>
      <c r="AO328" s="32">
        <v>9</v>
      </c>
      <c r="AP328" s="13"/>
      <c r="AQ328" s="32"/>
      <c r="AR328" s="13">
        <f t="shared" si="74"/>
        <v>0</v>
      </c>
      <c r="AS328" s="33"/>
      <c r="AT328" s="13">
        <f t="shared" si="68"/>
        <v>0</v>
      </c>
      <c r="AU328" s="13">
        <f>ROUNDUP(($AR328+$AT328)*VLOOKUP($AN328,Paraméterek!$P$38:$Q$38,2)/12,IF($D$4="Forint",0,2))</f>
        <v>0</v>
      </c>
      <c r="AV328" s="13"/>
      <c r="AW328" s="13"/>
      <c r="AX328" s="13">
        <f>ROUNDUP(IF(SUM($AV328:$AW328)=0,0,IF(IF(ISBLANK($AW328),$AV328,$AW328)*Paraméterek!$J$112&lt;IF($D$4="Forint",Paraméterek!$J$113,Paraméterek!$K$113),IF($D$4="Forint",Paraméterek!$J$113,Paraméterek!$K$113),IF(IF(ISBLANK($AW328),$AV328,$AW328)*Paraméterek!$J$112&gt;IF($D$4="Forint",Paraméterek!$J$114,Paraméterek!$K$114),IF($D$4="Forint",Paraméterek!$J$114,Paraméterek!$K$114),IF(ISBLANK($AW328),$AV328,$AW328)*Paraméterek!$J$112))),IF($D$4="Forint",0,2))</f>
        <v>0</v>
      </c>
      <c r="AY328" s="13">
        <f>$AR328+$AT328-$AU328-IF(ROUNDDOWN(IF(ISBLANK($AW328),$AV328,$AW328),IF($D$4="Forint",0,2))&gt;$AR328+$AT328-$AU328-IF($D$4="Forint",Paraméterek!$J$114,Paraméterek!$K$114),0,ROUNDDOWN(IF(ISBLANK($AW328),$AV328,$AW328),IF($D$4="Forint",0,2))-$AX328)</f>
        <v>0</v>
      </c>
      <c r="AZ328" s="13">
        <f t="shared" si="69"/>
        <v>0</v>
      </c>
    </row>
    <row r="329" spans="1:52" x14ac:dyDescent="0.2">
      <c r="A329" s="32">
        <v>310</v>
      </c>
      <c r="B329" s="32">
        <v>26</v>
      </c>
      <c r="C329" s="32">
        <v>10</v>
      </c>
      <c r="D329" s="13">
        <f t="shared" si="60"/>
        <v>0</v>
      </c>
      <c r="E329" s="13"/>
      <c r="F329" s="13"/>
      <c r="G329" s="13"/>
      <c r="H329" s="13">
        <f t="shared" si="61"/>
        <v>0</v>
      </c>
      <c r="I329" s="13">
        <f t="shared" si="62"/>
        <v>0</v>
      </c>
      <c r="J329" s="13">
        <f t="shared" si="63"/>
        <v>0</v>
      </c>
      <c r="K329" s="13">
        <f>ROUNDUP(IF($D$2="Egyszeri",$D329,IF($D$2="Havi",SUM($D$20:$D$31),IF(MOD($C329,$M$1)-1=0,SUM($D$20:$D$31),0))/12*$M$1)*VLOOKUP($B329,Paraméterek!$B$27:$D$30,IF($D$2="Egyszeri",3,2)),IF($D$4="Forint",0,2))</f>
        <v>0</v>
      </c>
      <c r="L329" s="13">
        <f t="shared" si="64"/>
        <v>0</v>
      </c>
      <c r="M329" s="13">
        <f t="shared" ca="1" si="70"/>
        <v>-186660</v>
      </c>
      <c r="N329" s="13">
        <f ca="1">IF($V328&gt;=VLOOKUP($M$4-1+$B329,Paraméterek!$B$121:$D$122,IF($D$4="Forint",2,3)),0,VLOOKUP($M$4-1+$B329,Paraméterek!$B$121:$D$122,IF($D$4="Forint",2,3))-$V328)</f>
        <v>196660</v>
      </c>
      <c r="O329" s="13">
        <f ca="1">ROUNDUP($N329*Paraméterek!$C$58/Paraméterek!$C$56,IF($D$4="Forint",0,2))</f>
        <v>32</v>
      </c>
      <c r="P329" s="13">
        <f t="shared" si="65"/>
        <v>1152</v>
      </c>
      <c r="Q329" s="33"/>
      <c r="R329" s="13">
        <f t="shared" ca="1" si="66"/>
        <v>0</v>
      </c>
      <c r="S329" s="13">
        <f ca="1">ROUNDUP(($M329-$O329-$P329+$R329)*VLOOKUP($B329,Paraméterek!$B$38:$D$39,IF($D$2="Egyszeri",3,2))/12,IF($D$4="Forint",0,2))</f>
        <v>-459</v>
      </c>
      <c r="T329" s="13"/>
      <c r="U329" s="13"/>
      <c r="V329" s="13">
        <f ca="1">$M329-$O329-$P329+$R329-$S329-IF(ROUNDUP(IF(ISBLANK($U329),$T329,$U329)/IF(AND($B329=1,$D$2&lt;&gt;"Egyszeri"),1,VLOOKUP($B329+IF($C329=12,1,0),Paraméterek!$B$257:$D$267,IF($D$2="Egyszeri",3,2))),IF($D$4="Forint",0,2))&gt;$M329-$O329-$P329+$R329-$S329-IF($D$4="Forint",Paraméterek!$C$216,Paraméterek!$D$216),0,ROUNDUP(IF(ISBLANK($U329),$T329,$U329)/IF(AND($B329=1,$D$2&lt;&gt;"Egyszeri"),1,VLOOKUP($B329+IF($C329=12,1,0),Paraméterek!$B$257:$D$267,IF($D$2="Egyszeri",3,2))),IF($D$4="Forint",0,2)))</f>
        <v>-187385</v>
      </c>
      <c r="W329" s="13">
        <f ca="1">ROUNDDOWN($V329*VLOOKUP($B329+IF($C329=12,1,0),Paraméterek!$B$257:$D$267,IF($D$2="Egyszeri",3,2)),IF($D$4="Forint",0,2))</f>
        <v>-187385</v>
      </c>
      <c r="Y329" s="32">
        <v>310</v>
      </c>
      <c r="Z329" s="32">
        <v>26</v>
      </c>
      <c r="AA329" s="32">
        <v>10</v>
      </c>
      <c r="AB329" s="13">
        <f t="shared" si="71"/>
        <v>0</v>
      </c>
      <c r="AC329" s="33"/>
      <c r="AD329" s="13">
        <f t="shared" si="67"/>
        <v>0</v>
      </c>
      <c r="AE329" s="13">
        <f>ROUNDUP(($AB329+$AD329)*VLOOKUP($Z329,Paraméterek!$P$38:$Q$38,2)/12,IF($D$4="Forint",0,2))</f>
        <v>0</v>
      </c>
      <c r="AF329" s="13">
        <f>IF($D$2="Egyszeri",IF($D$7&gt;=IF($D$4="Forint",Paraméterek!$P$223,Paraméterek!$P$224),$D$7-IF($D$4="Forint",Paraméterek!$F$223,Paraméterek!$F$224),0),MIN(IF($AA329=12,AVERAGE($D$20:$D329)*12,0),SUM($D$20:$D$31)))</f>
        <v>0</v>
      </c>
      <c r="AG329" s="13">
        <f>IF(AND($Z329&gt;=10,MOD($Z329,5)=0),$AF329*IF($AA329=12,VLOOKUP($Z329,Paraméterek!$B$225:$F$240,IF($AF329&lt;IF($D$4="Forint",Paraméterek!$C$223,Paraméterek!$C$224),2,IF($AF329&lt;IF($D$4="Forint",Paraméterek!$D$223,Paraméterek!$D$224),3,4))),0),0)</f>
        <v>0</v>
      </c>
      <c r="AH329" s="13">
        <f>IF(AND($Z329&gt;=5,MOD($Z329,5)=0),IF($AA329=12,VLOOKUP($Z329,Paraméterek!$B$225:$F$240,5),0),IF(OR($Z329=3,$Z329=4),IF($AA329=12,VLOOKUP($Z329,Paraméterek!$B$225:$F$240,5,0),0),0))*$AF329</f>
        <v>0</v>
      </c>
      <c r="AI329" s="13">
        <f>ROUNDDOWN(IF(SUM($T$20:$U329)=0,IF($D$2="Egyszeri",$AH329,$AG329),0),IF($D$4="Forint",0,2))</f>
        <v>0</v>
      </c>
      <c r="AJ329" s="13">
        <f t="shared" si="72"/>
        <v>0</v>
      </c>
      <c r="AK329" s="13">
        <f t="shared" si="73"/>
        <v>0</v>
      </c>
      <c r="AM329" s="32">
        <v>310</v>
      </c>
      <c r="AN329" s="32">
        <v>26</v>
      </c>
      <c r="AO329" s="32">
        <v>10</v>
      </c>
      <c r="AP329" s="13"/>
      <c r="AQ329" s="32"/>
      <c r="AR329" s="13">
        <f t="shared" si="74"/>
        <v>0</v>
      </c>
      <c r="AS329" s="33"/>
      <c r="AT329" s="13">
        <f t="shared" si="68"/>
        <v>0</v>
      </c>
      <c r="AU329" s="13">
        <f>ROUNDUP(($AR329+$AT329)*VLOOKUP($AN329,Paraméterek!$P$38:$Q$38,2)/12,IF($D$4="Forint",0,2))</f>
        <v>0</v>
      </c>
      <c r="AV329" s="13"/>
      <c r="AW329" s="13"/>
      <c r="AX329" s="13">
        <f>ROUNDUP(IF(SUM($AV329:$AW329)=0,0,IF(IF(ISBLANK($AW329),$AV329,$AW329)*Paraméterek!$J$112&lt;IF($D$4="Forint",Paraméterek!$J$113,Paraméterek!$K$113),IF($D$4="Forint",Paraméterek!$J$113,Paraméterek!$K$113),IF(IF(ISBLANK($AW329),$AV329,$AW329)*Paraméterek!$J$112&gt;IF($D$4="Forint",Paraméterek!$J$114,Paraméterek!$K$114),IF($D$4="Forint",Paraméterek!$J$114,Paraméterek!$K$114),IF(ISBLANK($AW329),$AV329,$AW329)*Paraméterek!$J$112))),IF($D$4="Forint",0,2))</f>
        <v>0</v>
      </c>
      <c r="AY329" s="13">
        <f>$AR329+$AT329-$AU329-IF(ROUNDDOWN(IF(ISBLANK($AW329),$AV329,$AW329),IF($D$4="Forint",0,2))&gt;$AR329+$AT329-$AU329-IF($D$4="Forint",Paraméterek!$J$114,Paraméterek!$K$114),0,ROUNDDOWN(IF(ISBLANK($AW329),$AV329,$AW329),IF($D$4="Forint",0,2))-$AX329)</f>
        <v>0</v>
      </c>
      <c r="AZ329" s="13">
        <f t="shared" si="69"/>
        <v>0</v>
      </c>
    </row>
    <row r="330" spans="1:52" x14ac:dyDescent="0.2">
      <c r="A330" s="32">
        <v>311</v>
      </c>
      <c r="B330" s="32">
        <v>26</v>
      </c>
      <c r="C330" s="32">
        <v>11</v>
      </c>
      <c r="D330" s="13">
        <f t="shared" si="60"/>
        <v>0</v>
      </c>
      <c r="E330" s="13"/>
      <c r="F330" s="13"/>
      <c r="G330" s="13"/>
      <c r="H330" s="13">
        <f t="shared" si="61"/>
        <v>0</v>
      </c>
      <c r="I330" s="13">
        <f t="shared" si="62"/>
        <v>0</v>
      </c>
      <c r="J330" s="13">
        <f t="shared" si="63"/>
        <v>0</v>
      </c>
      <c r="K330" s="13">
        <f>ROUNDUP(IF($D$2="Egyszeri",$D330,IF($D$2="Havi",SUM($D$20:$D$31),IF(MOD($C330,$M$1)-1=0,SUM($D$20:$D$31),0))/12*$M$1)*VLOOKUP($B330,Paraméterek!$B$27:$D$30,IF($D$2="Egyszeri",3,2)),IF($D$4="Forint",0,2))</f>
        <v>0</v>
      </c>
      <c r="L330" s="13">
        <f t="shared" si="64"/>
        <v>0</v>
      </c>
      <c r="M330" s="13">
        <f t="shared" ca="1" si="70"/>
        <v>-187385</v>
      </c>
      <c r="N330" s="13">
        <f ca="1">IF($V329&gt;=VLOOKUP($M$4-1+$B330,Paraméterek!$B$121:$D$122,IF($D$4="Forint",2,3)),0,VLOOKUP($M$4-1+$B330,Paraméterek!$B$121:$D$122,IF($D$4="Forint",2,3))-$V329)</f>
        <v>197385</v>
      </c>
      <c r="O330" s="13">
        <f ca="1">ROUNDUP($N330*Paraméterek!$C$58/Paraméterek!$C$56,IF($D$4="Forint",0,2))</f>
        <v>32</v>
      </c>
      <c r="P330" s="13">
        <f t="shared" si="65"/>
        <v>1152</v>
      </c>
      <c r="Q330" s="33"/>
      <c r="R330" s="13">
        <f t="shared" ca="1" si="66"/>
        <v>0</v>
      </c>
      <c r="S330" s="13">
        <f ca="1">ROUNDUP(($M330-$O330-$P330+$R330)*VLOOKUP($B330,Paraméterek!$B$38:$D$39,IF($D$2="Egyszeri",3,2))/12,IF($D$4="Forint",0,2))</f>
        <v>-461</v>
      </c>
      <c r="T330" s="13"/>
      <c r="U330" s="13"/>
      <c r="V330" s="13">
        <f ca="1">$M330-$O330-$P330+$R330-$S330-IF(ROUNDUP(IF(ISBLANK($U330),$T330,$U330)/IF(AND($B330=1,$D$2&lt;&gt;"Egyszeri"),1,VLOOKUP($B330+IF($C330=12,1,0),Paraméterek!$B$257:$D$267,IF($D$2="Egyszeri",3,2))),IF($D$4="Forint",0,2))&gt;$M330-$O330-$P330+$R330-$S330-IF($D$4="Forint",Paraméterek!$C$216,Paraméterek!$D$216),0,ROUNDUP(IF(ISBLANK($U330),$T330,$U330)/IF(AND($B330=1,$D$2&lt;&gt;"Egyszeri"),1,VLOOKUP($B330+IF($C330=12,1,0),Paraméterek!$B$257:$D$267,IF($D$2="Egyszeri",3,2))),IF($D$4="Forint",0,2)))</f>
        <v>-188108</v>
      </c>
      <c r="W330" s="13">
        <f ca="1">ROUNDDOWN($V330*VLOOKUP($B330+IF($C330=12,1,0),Paraméterek!$B$257:$D$267,IF($D$2="Egyszeri",3,2)),IF($D$4="Forint",0,2))</f>
        <v>-188108</v>
      </c>
      <c r="Y330" s="32">
        <v>311</v>
      </c>
      <c r="Z330" s="32">
        <v>26</v>
      </c>
      <c r="AA330" s="32">
        <v>11</v>
      </c>
      <c r="AB330" s="13">
        <f t="shared" si="71"/>
        <v>0</v>
      </c>
      <c r="AC330" s="33"/>
      <c r="AD330" s="13">
        <f t="shared" si="67"/>
        <v>0</v>
      </c>
      <c r="AE330" s="13">
        <f>ROUNDUP(($AB330+$AD330)*VLOOKUP($Z330,Paraméterek!$P$38:$Q$38,2)/12,IF($D$4="Forint",0,2))</f>
        <v>0</v>
      </c>
      <c r="AF330" s="13">
        <f>IF($D$2="Egyszeri",IF($D$7&gt;=IF($D$4="Forint",Paraméterek!$P$223,Paraméterek!$P$224),$D$7-IF($D$4="Forint",Paraméterek!$F$223,Paraméterek!$F$224),0),MIN(IF($AA330=12,AVERAGE($D$20:$D330)*12,0),SUM($D$20:$D$31)))</f>
        <v>0</v>
      </c>
      <c r="AG330" s="13">
        <f>IF(AND($Z330&gt;=10,MOD($Z330,5)=0),$AF330*IF($AA330=12,VLOOKUP($Z330,Paraméterek!$B$225:$F$240,IF($AF330&lt;IF($D$4="Forint",Paraméterek!$C$223,Paraméterek!$C$224),2,IF($AF330&lt;IF($D$4="Forint",Paraméterek!$D$223,Paraméterek!$D$224),3,4))),0),0)</f>
        <v>0</v>
      </c>
      <c r="AH330" s="13">
        <f>IF(AND($Z330&gt;=5,MOD($Z330,5)=0),IF($AA330=12,VLOOKUP($Z330,Paraméterek!$B$225:$F$240,5),0),IF(OR($Z330=3,$Z330=4),IF($AA330=12,VLOOKUP($Z330,Paraméterek!$B$225:$F$240,5,0),0),0))*$AF330</f>
        <v>0</v>
      </c>
      <c r="AI330" s="13">
        <f>ROUNDDOWN(IF(SUM($T$20:$U330)=0,IF($D$2="Egyszeri",$AH330,$AG330),0),IF($D$4="Forint",0,2))</f>
        <v>0</v>
      </c>
      <c r="AJ330" s="13">
        <f t="shared" si="72"/>
        <v>0</v>
      </c>
      <c r="AK330" s="13">
        <f t="shared" si="73"/>
        <v>0</v>
      </c>
      <c r="AM330" s="32">
        <v>311</v>
      </c>
      <c r="AN330" s="32">
        <v>26</v>
      </c>
      <c r="AO330" s="32">
        <v>11</v>
      </c>
      <c r="AP330" s="13"/>
      <c r="AQ330" s="32"/>
      <c r="AR330" s="13">
        <f t="shared" si="74"/>
        <v>0</v>
      </c>
      <c r="AS330" s="33"/>
      <c r="AT330" s="13">
        <f t="shared" si="68"/>
        <v>0</v>
      </c>
      <c r="AU330" s="13">
        <f>ROUNDUP(($AR330+$AT330)*VLOOKUP($AN330,Paraméterek!$P$38:$Q$38,2)/12,IF($D$4="Forint",0,2))</f>
        <v>0</v>
      </c>
      <c r="AV330" s="13"/>
      <c r="AW330" s="13"/>
      <c r="AX330" s="13">
        <f>ROUNDUP(IF(SUM($AV330:$AW330)=0,0,IF(IF(ISBLANK($AW330),$AV330,$AW330)*Paraméterek!$J$112&lt;IF($D$4="Forint",Paraméterek!$J$113,Paraméterek!$K$113),IF($D$4="Forint",Paraméterek!$J$113,Paraméterek!$K$113),IF(IF(ISBLANK($AW330),$AV330,$AW330)*Paraméterek!$J$112&gt;IF($D$4="Forint",Paraméterek!$J$114,Paraméterek!$K$114),IF($D$4="Forint",Paraméterek!$J$114,Paraméterek!$K$114),IF(ISBLANK($AW330),$AV330,$AW330)*Paraméterek!$J$112))),IF($D$4="Forint",0,2))</f>
        <v>0</v>
      </c>
      <c r="AY330" s="13">
        <f>$AR330+$AT330-$AU330-IF(ROUNDDOWN(IF(ISBLANK($AW330),$AV330,$AW330),IF($D$4="Forint",0,2))&gt;$AR330+$AT330-$AU330-IF($D$4="Forint",Paraméterek!$J$114,Paraméterek!$K$114),0,ROUNDDOWN(IF(ISBLANK($AW330),$AV330,$AW330),IF($D$4="Forint",0,2))-$AX330)</f>
        <v>0</v>
      </c>
      <c r="AZ330" s="13">
        <f t="shared" si="69"/>
        <v>0</v>
      </c>
    </row>
    <row r="331" spans="1:52" x14ac:dyDescent="0.2">
      <c r="A331" s="32">
        <v>312</v>
      </c>
      <c r="B331" s="32">
        <v>26</v>
      </c>
      <c r="C331" s="32">
        <v>12</v>
      </c>
      <c r="D331" s="13">
        <f t="shared" si="60"/>
        <v>0</v>
      </c>
      <c r="E331" s="13"/>
      <c r="F331" s="13"/>
      <c r="G331" s="13"/>
      <c r="H331" s="13">
        <f t="shared" si="61"/>
        <v>0</v>
      </c>
      <c r="I331" s="13">
        <f t="shared" si="62"/>
        <v>0</v>
      </c>
      <c r="J331" s="13">
        <f t="shared" si="63"/>
        <v>0</v>
      </c>
      <c r="K331" s="13">
        <f>ROUNDUP(IF($D$2="Egyszeri",$D331,IF($D$2="Havi",SUM($D$20:$D$31),IF(MOD($C331,$M$1)-1=0,SUM($D$20:$D$31),0))/12*$M$1)*VLOOKUP($B331,Paraméterek!$B$27:$D$30,IF($D$2="Egyszeri",3,2)),IF($D$4="Forint",0,2))</f>
        <v>0</v>
      </c>
      <c r="L331" s="13">
        <f t="shared" si="64"/>
        <v>0</v>
      </c>
      <c r="M331" s="13">
        <f t="shared" ca="1" si="70"/>
        <v>-188108</v>
      </c>
      <c r="N331" s="13">
        <f ca="1">IF($V330&gt;=VLOOKUP($M$4-1+$B331,Paraméterek!$B$121:$D$122,IF($D$4="Forint",2,3)),0,VLOOKUP($M$4-1+$B331,Paraméterek!$B$121:$D$122,IF($D$4="Forint",2,3))-$V330)</f>
        <v>198108</v>
      </c>
      <c r="O331" s="13">
        <f ca="1">ROUNDUP($N331*Paraméterek!$C$58/Paraméterek!$C$56,IF($D$4="Forint",0,2))</f>
        <v>32</v>
      </c>
      <c r="P331" s="13">
        <f t="shared" si="65"/>
        <v>1152</v>
      </c>
      <c r="Q331" s="33"/>
      <c r="R331" s="13">
        <f t="shared" ca="1" si="66"/>
        <v>0</v>
      </c>
      <c r="S331" s="13">
        <f ca="1">ROUNDUP(($M331-$O331-$P331+$R331)*VLOOKUP($B331,Paraméterek!$B$38:$D$39,IF($D$2="Egyszeri",3,2))/12,IF($D$4="Forint",0,2))</f>
        <v>-463</v>
      </c>
      <c r="T331" s="13">
        <f>Tranzakciók!$F$57</f>
        <v>0</v>
      </c>
      <c r="U331" s="13"/>
      <c r="V331" s="13">
        <f ca="1">$M331-$O331-$P331+$R331-$S331-IF(ROUNDUP(IF(ISBLANK($U331),$T331,$U331)/IF(AND($B331=1,$D$2&lt;&gt;"Egyszeri"),1,VLOOKUP($B331+IF($C331=12,1,0),Paraméterek!$B$257:$D$267,IF($D$2="Egyszeri",3,2))),IF($D$4="Forint",0,2))&gt;$M331-$O331-$P331+$R331-$S331-IF($D$4="Forint",Paraméterek!$C$216,Paraméterek!$D$216),0,ROUNDUP(IF(ISBLANK($U331),$T331,$U331)/IF(AND($B331=1,$D$2&lt;&gt;"Egyszeri"),1,VLOOKUP($B331+IF($C331=12,1,0),Paraméterek!$B$257:$D$267,IF($D$2="Egyszeri",3,2))),IF($D$4="Forint",0,2)))</f>
        <v>-188829</v>
      </c>
      <c r="W331" s="13">
        <f ca="1">ROUNDDOWN($V331*VLOOKUP($B331+IF($C331=12,1,0),Paraméterek!$B$257:$D$267,IF($D$2="Egyszeri",3,2)),IF($D$4="Forint",0,2))</f>
        <v>-188829</v>
      </c>
      <c r="Y331" s="32">
        <v>312</v>
      </c>
      <c r="Z331" s="32">
        <v>26</v>
      </c>
      <c r="AA331" s="32">
        <v>12</v>
      </c>
      <c r="AB331" s="13">
        <f t="shared" si="71"/>
        <v>0</v>
      </c>
      <c r="AC331" s="33"/>
      <c r="AD331" s="13">
        <f t="shared" si="67"/>
        <v>0</v>
      </c>
      <c r="AE331" s="13">
        <f>ROUNDUP(($AB331+$AD331)*VLOOKUP($Z331,Paraméterek!$P$38:$Q$38,2)/12,IF($D$4="Forint",0,2))</f>
        <v>0</v>
      </c>
      <c r="AF331" s="13">
        <f>IF($D$2="Egyszeri",IF($D$7&gt;=IF($D$4="Forint",Paraméterek!$P$223,Paraméterek!$P$224),$D$7-IF($D$4="Forint",Paraméterek!$F$223,Paraméterek!$F$224),0),MIN(IF($AA331=12,AVERAGE($D$20:$D331)*12,0),SUM($D$20:$D$31)))</f>
        <v>0</v>
      </c>
      <c r="AG331" s="13">
        <f>IF(AND($Z331&gt;=10,MOD($Z331,5)=0),$AF331*IF($AA331=12,VLOOKUP($Z331,Paraméterek!$B$225:$F$240,IF($AF331&lt;IF($D$4="Forint",Paraméterek!$C$223,Paraméterek!$C$224),2,IF($AF331&lt;IF($D$4="Forint",Paraméterek!$D$223,Paraméterek!$D$224),3,4))),0),0)</f>
        <v>0</v>
      </c>
      <c r="AH331" s="13">
        <f>IF(AND($Z331&gt;=5,MOD($Z331,5)=0),IF($AA331=12,VLOOKUP($Z331,Paraméterek!$B$225:$F$240,5),0),IF(OR($Z331=3,$Z331=4),IF($AA331=12,VLOOKUP($Z331,Paraméterek!$B$225:$F$240,5,0),0),0))*$AF331</f>
        <v>0</v>
      </c>
      <c r="AI331" s="13">
        <f>ROUNDDOWN(IF(SUM($T$20:$U331)=0,IF($D$2="Egyszeri",$AH331,$AG331),0),IF($D$4="Forint",0,2))</f>
        <v>0</v>
      </c>
      <c r="AJ331" s="13">
        <f t="shared" si="72"/>
        <v>0</v>
      </c>
      <c r="AK331" s="13">
        <f t="shared" si="73"/>
        <v>0</v>
      </c>
      <c r="AM331" s="32">
        <v>312</v>
      </c>
      <c r="AN331" s="32">
        <v>26</v>
      </c>
      <c r="AO331" s="32">
        <v>12</v>
      </c>
      <c r="AP331" s="13"/>
      <c r="AQ331" s="32"/>
      <c r="AR331" s="13">
        <f t="shared" si="74"/>
        <v>0</v>
      </c>
      <c r="AS331" s="33"/>
      <c r="AT331" s="13">
        <f t="shared" si="68"/>
        <v>0</v>
      </c>
      <c r="AU331" s="13">
        <f>ROUNDUP(($AR331+$AT331)*VLOOKUP($AN331,Paraméterek!$P$38:$Q$38,2)/12,IF($D$4="Forint",0,2))</f>
        <v>0</v>
      </c>
      <c r="AV331" s="13">
        <f>Tranzakciók!$M$57</f>
        <v>0</v>
      </c>
      <c r="AW331" s="13"/>
      <c r="AX331" s="13">
        <f>ROUNDUP(IF(SUM($AV331:$AW331)=0,0,IF(IF(ISBLANK($AW331),$AV331,$AW331)*Paraméterek!$J$112&lt;IF($D$4="Forint",Paraméterek!$J$113,Paraméterek!$K$113),IF($D$4="Forint",Paraméterek!$J$113,Paraméterek!$K$113),IF(IF(ISBLANK($AW331),$AV331,$AW331)*Paraméterek!$J$112&gt;IF($D$4="Forint",Paraméterek!$J$114,Paraméterek!$K$114),IF($D$4="Forint",Paraméterek!$J$114,Paraméterek!$K$114),IF(ISBLANK($AW331),$AV331,$AW331)*Paraméterek!$J$112))),IF($D$4="Forint",0,2))</f>
        <v>0</v>
      </c>
      <c r="AY331" s="13">
        <f>$AR331+$AT331-$AU331-IF(ROUNDDOWN(IF(ISBLANK($AW331),$AV331,$AW331),IF($D$4="Forint",0,2))&gt;$AR331+$AT331-$AU331-IF($D$4="Forint",Paraméterek!$J$114,Paraméterek!$K$114),0,ROUNDDOWN(IF(ISBLANK($AW331),$AV331,$AW331),IF($D$4="Forint",0,2))-$AX331)</f>
        <v>0</v>
      </c>
      <c r="AZ331" s="13">
        <f t="shared" si="69"/>
        <v>0</v>
      </c>
    </row>
    <row r="332" spans="1:52" x14ac:dyDescent="0.2">
      <c r="A332" s="32">
        <v>313</v>
      </c>
      <c r="B332" s="32">
        <v>27</v>
      </c>
      <c r="C332" s="32">
        <v>1</v>
      </c>
      <c r="D332" s="13">
        <f t="shared" si="60"/>
        <v>0</v>
      </c>
      <c r="E332" s="13"/>
      <c r="F332" s="13">
        <f>Tranzakciók!$D$58</f>
        <v>0</v>
      </c>
      <c r="G332" s="13"/>
      <c r="H332" s="13">
        <f t="shared" si="61"/>
        <v>0</v>
      </c>
      <c r="I332" s="13">
        <f t="shared" si="62"/>
        <v>216</v>
      </c>
      <c r="J332" s="13">
        <f t="shared" si="63"/>
        <v>216</v>
      </c>
      <c r="K332" s="13">
        <f>ROUNDUP(IF($D$2="Egyszeri",$D332,IF($D$2="Havi",SUM($D$20:$D$31),IF(MOD($C332,$M$1)-1=0,SUM($D$20:$D$31),0))/12*$M$1)*VLOOKUP($B332,Paraméterek!$B$27:$D$30,IF($D$2="Egyszeri",3,2)),IF($D$4="Forint",0,2))</f>
        <v>0</v>
      </c>
      <c r="L332" s="13">
        <f t="shared" si="64"/>
        <v>0</v>
      </c>
      <c r="M332" s="13">
        <f t="shared" ca="1" si="70"/>
        <v>-188829</v>
      </c>
      <c r="N332" s="13">
        <f ca="1">IF($V331&gt;=VLOOKUP($M$4-1+$B332,Paraméterek!$B$121:$D$122,IF($D$4="Forint",2,3)),0,VLOOKUP($M$4-1+$B332,Paraméterek!$B$121:$D$122,IF($D$4="Forint",2,3))-$V331)</f>
        <v>198829</v>
      </c>
      <c r="O332" s="13">
        <f ca="1">ROUNDUP($N332*Paraméterek!$C$58/Paraméterek!$C$56,IF($D$4="Forint",0,2))</f>
        <v>32</v>
      </c>
      <c r="P332" s="13">
        <f t="shared" si="65"/>
        <v>1187</v>
      </c>
      <c r="Q332" s="33"/>
      <c r="R332" s="13">
        <f t="shared" ca="1" si="66"/>
        <v>0</v>
      </c>
      <c r="S332" s="13">
        <f ca="1">ROUNDUP(($M332-$O332-$P332+$R332)*VLOOKUP($B332,Paraméterek!$B$38:$D$39,IF($D$2="Egyszeri",3,2))/12,IF($D$4="Forint",0,2))</f>
        <v>-465</v>
      </c>
      <c r="T332" s="13"/>
      <c r="U332" s="13"/>
      <c r="V332" s="13">
        <f ca="1">$M332-$O332-$P332+$R332-$S332-IF(ROUNDUP(IF(ISBLANK($U332),$T332,$U332)/IF(AND($B332=1,$D$2&lt;&gt;"Egyszeri"),1,VLOOKUP($B332+IF($C332=12,1,0),Paraméterek!$B$257:$D$267,IF($D$2="Egyszeri",3,2))),IF($D$4="Forint",0,2))&gt;$M332-$O332-$P332+$R332-$S332-IF($D$4="Forint",Paraméterek!$C$216,Paraméterek!$D$216),0,ROUNDUP(IF(ISBLANK($U332),$T332,$U332)/IF(AND($B332=1,$D$2&lt;&gt;"Egyszeri"),1,VLOOKUP($B332+IF($C332=12,1,0),Paraméterek!$B$257:$D$267,IF($D$2="Egyszeri",3,2))),IF($D$4="Forint",0,2)))</f>
        <v>-189583</v>
      </c>
      <c r="W332" s="13">
        <f ca="1">ROUNDDOWN($V332*VLOOKUP($B332+IF($C332=12,1,0),Paraméterek!$B$257:$D$267,IF($D$2="Egyszeri",3,2)),IF($D$4="Forint",0,2))</f>
        <v>-189583</v>
      </c>
      <c r="Y332" s="32">
        <v>313</v>
      </c>
      <c r="Z332" s="32">
        <v>27</v>
      </c>
      <c r="AA332" s="32">
        <v>1</v>
      </c>
      <c r="AB332" s="13">
        <f t="shared" si="71"/>
        <v>0</v>
      </c>
      <c r="AC332" s="33"/>
      <c r="AD332" s="13">
        <f t="shared" si="67"/>
        <v>0</v>
      </c>
      <c r="AE332" s="13">
        <f>ROUNDUP(($AB332+$AD332)*VLOOKUP($Z332,Paraméterek!$P$38:$Q$38,2)/12,IF($D$4="Forint",0,2))</f>
        <v>0</v>
      </c>
      <c r="AF332" s="13">
        <f>IF($D$2="Egyszeri",IF($D$7&gt;=IF($D$4="Forint",Paraméterek!$P$223,Paraméterek!$P$224),$D$7-IF($D$4="Forint",Paraméterek!$F$223,Paraméterek!$F$224),0),MIN(IF($AA332=12,AVERAGE($D$20:$D332)*12,0),SUM($D$20:$D$31)))</f>
        <v>0</v>
      </c>
      <c r="AG332" s="13">
        <f>IF(AND($Z332&gt;=10,MOD($Z332,5)=0),$AF332*IF($AA332=12,VLOOKUP($Z332,Paraméterek!$B$225:$F$240,IF($AF332&lt;IF($D$4="Forint",Paraméterek!$C$223,Paraméterek!$C$224),2,IF($AF332&lt;IF($D$4="Forint",Paraméterek!$D$223,Paraméterek!$D$224),3,4))),0),0)</f>
        <v>0</v>
      </c>
      <c r="AH332" s="13">
        <f>IF(AND($Z332&gt;=5,MOD($Z332,5)=0),IF($AA332=12,VLOOKUP($Z332,Paraméterek!$B$225:$F$240,5),0),IF(OR($Z332=3,$Z332=4),IF($AA332=12,VLOOKUP($Z332,Paraméterek!$B$225:$F$240,5,0),0),0))*$AF332</f>
        <v>0</v>
      </c>
      <c r="AI332" s="13">
        <f>ROUNDDOWN(IF(SUM($T$20:$U332)=0,IF($D$2="Egyszeri",$AH332,$AG332),0),IF($D$4="Forint",0,2))</f>
        <v>0</v>
      </c>
      <c r="AJ332" s="13">
        <f t="shared" si="72"/>
        <v>0</v>
      </c>
      <c r="AK332" s="13">
        <f t="shared" si="73"/>
        <v>0</v>
      </c>
      <c r="AM332" s="32">
        <v>313</v>
      </c>
      <c r="AN332" s="32">
        <v>27</v>
      </c>
      <c r="AO332" s="32">
        <v>1</v>
      </c>
      <c r="AP332" s="13">
        <f>Tranzakciók!$K$58</f>
        <v>0</v>
      </c>
      <c r="AQ332" s="32"/>
      <c r="AR332" s="13">
        <f t="shared" si="74"/>
        <v>0</v>
      </c>
      <c r="AS332" s="33"/>
      <c r="AT332" s="13">
        <f t="shared" si="68"/>
        <v>0</v>
      </c>
      <c r="AU332" s="13">
        <f>ROUNDUP(($AR332+$AT332)*VLOOKUP($AN332,Paraméterek!$P$38:$Q$38,2)/12,IF($D$4="Forint",0,2))</f>
        <v>0</v>
      </c>
      <c r="AV332" s="13"/>
      <c r="AW332" s="13"/>
      <c r="AX332" s="13">
        <f>ROUNDUP(IF(SUM($AV332:$AW332)=0,0,IF(IF(ISBLANK($AW332),$AV332,$AW332)*Paraméterek!$J$112&lt;IF($D$4="Forint",Paraméterek!$J$113,Paraméterek!$K$113),IF($D$4="Forint",Paraméterek!$J$113,Paraméterek!$K$113),IF(IF(ISBLANK($AW332),$AV332,$AW332)*Paraméterek!$J$112&gt;IF($D$4="Forint",Paraméterek!$J$114,Paraméterek!$K$114),IF($D$4="Forint",Paraméterek!$J$114,Paraméterek!$K$114),IF(ISBLANK($AW332),$AV332,$AW332)*Paraméterek!$J$112))),IF($D$4="Forint",0,2))</f>
        <v>0</v>
      </c>
      <c r="AY332" s="13">
        <f>$AR332+$AT332-$AU332-IF(ROUNDDOWN(IF(ISBLANK($AW332),$AV332,$AW332),IF($D$4="Forint",0,2))&gt;$AR332+$AT332-$AU332-IF($D$4="Forint",Paraméterek!$J$114,Paraméterek!$K$114),0,ROUNDDOWN(IF(ISBLANK($AW332),$AV332,$AW332),IF($D$4="Forint",0,2))-$AX332)</f>
        <v>0</v>
      </c>
      <c r="AZ332" s="13">
        <f t="shared" si="69"/>
        <v>0</v>
      </c>
    </row>
    <row r="333" spans="1:52" x14ac:dyDescent="0.2">
      <c r="A333" s="32">
        <v>314</v>
      </c>
      <c r="B333" s="32">
        <v>27</v>
      </c>
      <c r="C333" s="32">
        <v>2</v>
      </c>
      <c r="D333" s="13">
        <f t="shared" si="60"/>
        <v>0</v>
      </c>
      <c r="E333" s="13"/>
      <c r="F333" s="13"/>
      <c r="G333" s="13"/>
      <c r="H333" s="13">
        <f t="shared" si="61"/>
        <v>0</v>
      </c>
      <c r="I333" s="13">
        <f t="shared" si="62"/>
        <v>0</v>
      </c>
      <c r="J333" s="13">
        <f t="shared" si="63"/>
        <v>0</v>
      </c>
      <c r="K333" s="13">
        <f>ROUNDUP(IF($D$2="Egyszeri",$D333,IF($D$2="Havi",SUM($D$20:$D$31),IF(MOD($C333,$M$1)-1=0,SUM($D$20:$D$31),0))/12*$M$1)*VLOOKUP($B333,Paraméterek!$B$27:$D$30,IF($D$2="Egyszeri",3,2)),IF($D$4="Forint",0,2))</f>
        <v>0</v>
      </c>
      <c r="L333" s="13">
        <f t="shared" si="64"/>
        <v>0</v>
      </c>
      <c r="M333" s="13">
        <f t="shared" ca="1" si="70"/>
        <v>-189583</v>
      </c>
      <c r="N333" s="13">
        <f ca="1">IF($V332&gt;=VLOOKUP($M$4-1+$B333,Paraméterek!$B$121:$D$122,IF($D$4="Forint",2,3)),0,VLOOKUP($M$4-1+$B333,Paraméterek!$B$121:$D$122,IF($D$4="Forint",2,3))-$V332)</f>
        <v>199583</v>
      </c>
      <c r="O333" s="13">
        <f ca="1">ROUNDUP($N333*Paraméterek!$C$58/Paraméterek!$C$56,IF($D$4="Forint",0,2))</f>
        <v>32</v>
      </c>
      <c r="P333" s="13">
        <f t="shared" si="65"/>
        <v>1187</v>
      </c>
      <c r="Q333" s="33"/>
      <c r="R333" s="13">
        <f t="shared" ca="1" si="66"/>
        <v>0</v>
      </c>
      <c r="S333" s="13">
        <f ca="1">ROUNDUP(($M333-$O333-$P333+$R333)*VLOOKUP($B333,Paraméterek!$B$38:$D$39,IF($D$2="Egyszeri",3,2))/12,IF($D$4="Forint",0,2))</f>
        <v>-466</v>
      </c>
      <c r="T333" s="13"/>
      <c r="U333" s="13"/>
      <c r="V333" s="13">
        <f ca="1">$M333-$O333-$P333+$R333-$S333-IF(ROUNDUP(IF(ISBLANK($U333),$T333,$U333)/IF(AND($B333=1,$D$2&lt;&gt;"Egyszeri"),1,VLOOKUP($B333+IF($C333=12,1,0),Paraméterek!$B$257:$D$267,IF($D$2="Egyszeri",3,2))),IF($D$4="Forint",0,2))&gt;$M333-$O333-$P333+$R333-$S333-IF($D$4="Forint",Paraméterek!$C$216,Paraméterek!$D$216),0,ROUNDUP(IF(ISBLANK($U333),$T333,$U333)/IF(AND($B333=1,$D$2&lt;&gt;"Egyszeri"),1,VLOOKUP($B333+IF($C333=12,1,0),Paraméterek!$B$257:$D$267,IF($D$2="Egyszeri",3,2))),IF($D$4="Forint",0,2)))</f>
        <v>-190336</v>
      </c>
      <c r="W333" s="13">
        <f ca="1">ROUNDDOWN($V333*VLOOKUP($B333+IF($C333=12,1,0),Paraméterek!$B$257:$D$267,IF($D$2="Egyszeri",3,2)),IF($D$4="Forint",0,2))</f>
        <v>-190336</v>
      </c>
      <c r="Y333" s="32">
        <v>314</v>
      </c>
      <c r="Z333" s="32">
        <v>27</v>
      </c>
      <c r="AA333" s="32">
        <v>2</v>
      </c>
      <c r="AB333" s="13">
        <f t="shared" si="71"/>
        <v>0</v>
      </c>
      <c r="AC333" s="33"/>
      <c r="AD333" s="13">
        <f t="shared" si="67"/>
        <v>0</v>
      </c>
      <c r="AE333" s="13">
        <f>ROUNDUP(($AB333+$AD333)*VLOOKUP($Z333,Paraméterek!$P$38:$Q$38,2)/12,IF($D$4="Forint",0,2))</f>
        <v>0</v>
      </c>
      <c r="AF333" s="13">
        <f>IF($D$2="Egyszeri",IF($D$7&gt;=IF($D$4="Forint",Paraméterek!$P$223,Paraméterek!$P$224),$D$7-IF($D$4="Forint",Paraméterek!$F$223,Paraméterek!$F$224),0),MIN(IF($AA333=12,AVERAGE($D$20:$D333)*12,0),SUM($D$20:$D$31)))</f>
        <v>0</v>
      </c>
      <c r="AG333" s="13">
        <f>IF(AND($Z333&gt;=10,MOD($Z333,5)=0),$AF333*IF($AA333=12,VLOOKUP($Z333,Paraméterek!$B$225:$F$240,IF($AF333&lt;IF($D$4="Forint",Paraméterek!$C$223,Paraméterek!$C$224),2,IF($AF333&lt;IF($D$4="Forint",Paraméterek!$D$223,Paraméterek!$D$224),3,4))),0),0)</f>
        <v>0</v>
      </c>
      <c r="AH333" s="13">
        <f>IF(AND($Z333&gt;=5,MOD($Z333,5)=0),IF($AA333=12,VLOOKUP($Z333,Paraméterek!$B$225:$F$240,5),0),IF(OR($Z333=3,$Z333=4),IF($AA333=12,VLOOKUP($Z333,Paraméterek!$B$225:$F$240,5,0),0),0))*$AF333</f>
        <v>0</v>
      </c>
      <c r="AI333" s="13">
        <f>ROUNDDOWN(IF(SUM($T$20:$U333)=0,IF($D$2="Egyszeri",$AH333,$AG333),0),IF($D$4="Forint",0,2))</f>
        <v>0</v>
      </c>
      <c r="AJ333" s="13">
        <f t="shared" si="72"/>
        <v>0</v>
      </c>
      <c r="AK333" s="13">
        <f t="shared" si="73"/>
        <v>0</v>
      </c>
      <c r="AM333" s="32">
        <v>314</v>
      </c>
      <c r="AN333" s="32">
        <v>27</v>
      </c>
      <c r="AO333" s="32">
        <v>2</v>
      </c>
      <c r="AP333" s="13"/>
      <c r="AQ333" s="32"/>
      <c r="AR333" s="13">
        <f t="shared" si="74"/>
        <v>0</v>
      </c>
      <c r="AS333" s="33"/>
      <c r="AT333" s="13">
        <f t="shared" si="68"/>
        <v>0</v>
      </c>
      <c r="AU333" s="13">
        <f>ROUNDUP(($AR333+$AT333)*VLOOKUP($AN333,Paraméterek!$P$38:$Q$38,2)/12,IF($D$4="Forint",0,2))</f>
        <v>0</v>
      </c>
      <c r="AV333" s="13"/>
      <c r="AW333" s="13"/>
      <c r="AX333" s="13">
        <f>ROUNDUP(IF(SUM($AV333:$AW333)=0,0,IF(IF(ISBLANK($AW333),$AV333,$AW333)*Paraméterek!$J$112&lt;IF($D$4="Forint",Paraméterek!$J$113,Paraméterek!$K$113),IF($D$4="Forint",Paraméterek!$J$113,Paraméterek!$K$113),IF(IF(ISBLANK($AW333),$AV333,$AW333)*Paraméterek!$J$112&gt;IF($D$4="Forint",Paraméterek!$J$114,Paraméterek!$K$114),IF($D$4="Forint",Paraméterek!$J$114,Paraméterek!$K$114),IF(ISBLANK($AW333),$AV333,$AW333)*Paraméterek!$J$112))),IF($D$4="Forint",0,2))</f>
        <v>0</v>
      </c>
      <c r="AY333" s="13">
        <f>$AR333+$AT333-$AU333-IF(ROUNDDOWN(IF(ISBLANK($AW333),$AV333,$AW333),IF($D$4="Forint",0,2))&gt;$AR333+$AT333-$AU333-IF($D$4="Forint",Paraméterek!$J$114,Paraméterek!$K$114),0,ROUNDDOWN(IF(ISBLANK($AW333),$AV333,$AW333),IF($D$4="Forint",0,2))-$AX333)</f>
        <v>0</v>
      </c>
      <c r="AZ333" s="13">
        <f t="shared" si="69"/>
        <v>0</v>
      </c>
    </row>
    <row r="334" spans="1:52" x14ac:dyDescent="0.2">
      <c r="A334" s="32">
        <v>315</v>
      </c>
      <c r="B334" s="32">
        <v>27</v>
      </c>
      <c r="C334" s="32">
        <v>3</v>
      </c>
      <c r="D334" s="13">
        <f t="shared" si="60"/>
        <v>0</v>
      </c>
      <c r="E334" s="13"/>
      <c r="F334" s="13"/>
      <c r="G334" s="13"/>
      <c r="H334" s="13">
        <f t="shared" si="61"/>
        <v>0</v>
      </c>
      <c r="I334" s="13">
        <f t="shared" si="62"/>
        <v>0</v>
      </c>
      <c r="J334" s="13">
        <f t="shared" si="63"/>
        <v>0</v>
      </c>
      <c r="K334" s="13">
        <f>ROUNDUP(IF($D$2="Egyszeri",$D334,IF($D$2="Havi",SUM($D$20:$D$31),IF(MOD($C334,$M$1)-1=0,SUM($D$20:$D$31),0))/12*$M$1)*VLOOKUP($B334,Paraméterek!$B$27:$D$30,IF($D$2="Egyszeri",3,2)),IF($D$4="Forint",0,2))</f>
        <v>0</v>
      </c>
      <c r="L334" s="13">
        <f t="shared" si="64"/>
        <v>0</v>
      </c>
      <c r="M334" s="13">
        <f t="shared" ca="1" si="70"/>
        <v>-190336</v>
      </c>
      <c r="N334" s="13">
        <f ca="1">IF($V333&gt;=VLOOKUP($M$4-1+$B334,Paraméterek!$B$121:$D$122,IF($D$4="Forint",2,3)),0,VLOOKUP($M$4-1+$B334,Paraméterek!$B$121:$D$122,IF($D$4="Forint",2,3))-$V333)</f>
        <v>200336</v>
      </c>
      <c r="O334" s="13">
        <f ca="1">ROUNDUP($N334*Paraméterek!$C$58/Paraméterek!$C$56,IF($D$4="Forint",0,2))</f>
        <v>32</v>
      </c>
      <c r="P334" s="13">
        <f t="shared" si="65"/>
        <v>1187</v>
      </c>
      <c r="Q334" s="33"/>
      <c r="R334" s="13">
        <f t="shared" ca="1" si="66"/>
        <v>0</v>
      </c>
      <c r="S334" s="13">
        <f ca="1">ROUNDUP(($M334-$O334-$P334+$R334)*VLOOKUP($B334,Paraméterek!$B$38:$D$39,IF($D$2="Egyszeri",3,2))/12,IF($D$4="Forint",0,2))</f>
        <v>-468</v>
      </c>
      <c r="T334" s="13"/>
      <c r="U334" s="13"/>
      <c r="V334" s="13">
        <f ca="1">$M334-$O334-$P334+$R334-$S334-IF(ROUNDUP(IF(ISBLANK($U334),$T334,$U334)/IF(AND($B334=1,$D$2&lt;&gt;"Egyszeri"),1,VLOOKUP($B334+IF($C334=12,1,0),Paraméterek!$B$257:$D$267,IF($D$2="Egyszeri",3,2))),IF($D$4="Forint",0,2))&gt;$M334-$O334-$P334+$R334-$S334-IF($D$4="Forint",Paraméterek!$C$216,Paraméterek!$D$216),0,ROUNDUP(IF(ISBLANK($U334),$T334,$U334)/IF(AND($B334=1,$D$2&lt;&gt;"Egyszeri"),1,VLOOKUP($B334+IF($C334=12,1,0),Paraméterek!$B$257:$D$267,IF($D$2="Egyszeri",3,2))),IF($D$4="Forint",0,2)))</f>
        <v>-191087</v>
      </c>
      <c r="W334" s="13">
        <f ca="1">ROUNDDOWN($V334*VLOOKUP($B334+IF($C334=12,1,0),Paraméterek!$B$257:$D$267,IF($D$2="Egyszeri",3,2)),IF($D$4="Forint",0,2))</f>
        <v>-191087</v>
      </c>
      <c r="Y334" s="32">
        <v>315</v>
      </c>
      <c r="Z334" s="32">
        <v>27</v>
      </c>
      <c r="AA334" s="32">
        <v>3</v>
      </c>
      <c r="AB334" s="13">
        <f t="shared" si="71"/>
        <v>0</v>
      </c>
      <c r="AC334" s="33"/>
      <c r="AD334" s="13">
        <f t="shared" si="67"/>
        <v>0</v>
      </c>
      <c r="AE334" s="13">
        <f>ROUNDUP(($AB334+$AD334)*VLOOKUP($Z334,Paraméterek!$P$38:$Q$38,2)/12,IF($D$4="Forint",0,2))</f>
        <v>0</v>
      </c>
      <c r="AF334" s="13">
        <f>IF($D$2="Egyszeri",IF($D$7&gt;=IF($D$4="Forint",Paraméterek!$P$223,Paraméterek!$P$224),$D$7-IF($D$4="Forint",Paraméterek!$F$223,Paraméterek!$F$224),0),MIN(IF($AA334=12,AVERAGE($D$20:$D334)*12,0),SUM($D$20:$D$31)))</f>
        <v>0</v>
      </c>
      <c r="AG334" s="13">
        <f>IF(AND($Z334&gt;=10,MOD($Z334,5)=0),$AF334*IF($AA334=12,VLOOKUP($Z334,Paraméterek!$B$225:$F$240,IF($AF334&lt;IF($D$4="Forint",Paraméterek!$C$223,Paraméterek!$C$224),2,IF($AF334&lt;IF($D$4="Forint",Paraméterek!$D$223,Paraméterek!$D$224),3,4))),0),0)</f>
        <v>0</v>
      </c>
      <c r="AH334" s="13">
        <f>IF(AND($Z334&gt;=5,MOD($Z334,5)=0),IF($AA334=12,VLOOKUP($Z334,Paraméterek!$B$225:$F$240,5),0),IF(OR($Z334=3,$Z334=4),IF($AA334=12,VLOOKUP($Z334,Paraméterek!$B$225:$F$240,5,0),0),0))*$AF334</f>
        <v>0</v>
      </c>
      <c r="AI334" s="13">
        <f>ROUNDDOWN(IF(SUM($T$20:$U334)=0,IF($D$2="Egyszeri",$AH334,$AG334),0),IF($D$4="Forint",0,2))</f>
        <v>0</v>
      </c>
      <c r="AJ334" s="13">
        <f t="shared" si="72"/>
        <v>0</v>
      </c>
      <c r="AK334" s="13">
        <f t="shared" si="73"/>
        <v>0</v>
      </c>
      <c r="AM334" s="32">
        <v>315</v>
      </c>
      <c r="AN334" s="32">
        <v>27</v>
      </c>
      <c r="AO334" s="32">
        <v>3</v>
      </c>
      <c r="AP334" s="13"/>
      <c r="AQ334" s="32"/>
      <c r="AR334" s="13">
        <f t="shared" si="74"/>
        <v>0</v>
      </c>
      <c r="AS334" s="33"/>
      <c r="AT334" s="13">
        <f t="shared" si="68"/>
        <v>0</v>
      </c>
      <c r="AU334" s="13">
        <f>ROUNDUP(($AR334+$AT334)*VLOOKUP($AN334,Paraméterek!$P$38:$Q$38,2)/12,IF($D$4="Forint",0,2))</f>
        <v>0</v>
      </c>
      <c r="AV334" s="13"/>
      <c r="AW334" s="13"/>
      <c r="AX334" s="13">
        <f>ROUNDUP(IF(SUM($AV334:$AW334)=0,0,IF(IF(ISBLANK($AW334),$AV334,$AW334)*Paraméterek!$J$112&lt;IF($D$4="Forint",Paraméterek!$J$113,Paraméterek!$K$113),IF($D$4="Forint",Paraméterek!$J$113,Paraméterek!$K$113),IF(IF(ISBLANK($AW334),$AV334,$AW334)*Paraméterek!$J$112&gt;IF($D$4="Forint",Paraméterek!$J$114,Paraméterek!$K$114),IF($D$4="Forint",Paraméterek!$J$114,Paraméterek!$K$114),IF(ISBLANK($AW334),$AV334,$AW334)*Paraméterek!$J$112))),IF($D$4="Forint",0,2))</f>
        <v>0</v>
      </c>
      <c r="AY334" s="13">
        <f>$AR334+$AT334-$AU334-IF(ROUNDDOWN(IF(ISBLANK($AW334),$AV334,$AW334),IF($D$4="Forint",0,2))&gt;$AR334+$AT334-$AU334-IF($D$4="Forint",Paraméterek!$J$114,Paraméterek!$K$114),0,ROUNDDOWN(IF(ISBLANK($AW334),$AV334,$AW334),IF($D$4="Forint",0,2))-$AX334)</f>
        <v>0</v>
      </c>
      <c r="AZ334" s="13">
        <f t="shared" si="69"/>
        <v>0</v>
      </c>
    </row>
    <row r="335" spans="1:52" x14ac:dyDescent="0.2">
      <c r="A335" s="32">
        <v>316</v>
      </c>
      <c r="B335" s="32">
        <v>27</v>
      </c>
      <c r="C335" s="32">
        <v>4</v>
      </c>
      <c r="D335" s="13">
        <f t="shared" si="60"/>
        <v>0</v>
      </c>
      <c r="E335" s="13"/>
      <c r="F335" s="13"/>
      <c r="G335" s="13"/>
      <c r="H335" s="13">
        <f t="shared" si="61"/>
        <v>0</v>
      </c>
      <c r="I335" s="13">
        <f t="shared" si="62"/>
        <v>0</v>
      </c>
      <c r="J335" s="13">
        <f t="shared" si="63"/>
        <v>0</v>
      </c>
      <c r="K335" s="13">
        <f>ROUNDUP(IF($D$2="Egyszeri",$D335,IF($D$2="Havi",SUM($D$20:$D$31),IF(MOD($C335,$M$1)-1=0,SUM($D$20:$D$31),0))/12*$M$1)*VLOOKUP($B335,Paraméterek!$B$27:$D$30,IF($D$2="Egyszeri",3,2)),IF($D$4="Forint",0,2))</f>
        <v>0</v>
      </c>
      <c r="L335" s="13">
        <f t="shared" si="64"/>
        <v>0</v>
      </c>
      <c r="M335" s="13">
        <f t="shared" ca="1" si="70"/>
        <v>-191087</v>
      </c>
      <c r="N335" s="13">
        <f ca="1">IF($V334&gt;=VLOOKUP($M$4-1+$B335,Paraméterek!$B$121:$D$122,IF($D$4="Forint",2,3)),0,VLOOKUP($M$4-1+$B335,Paraméterek!$B$121:$D$122,IF($D$4="Forint",2,3))-$V334)</f>
        <v>201087</v>
      </c>
      <c r="O335" s="13">
        <f ca="1">ROUNDUP($N335*Paraméterek!$C$58/Paraméterek!$C$56,IF($D$4="Forint",0,2))</f>
        <v>33</v>
      </c>
      <c r="P335" s="13">
        <f t="shared" si="65"/>
        <v>1187</v>
      </c>
      <c r="Q335" s="33"/>
      <c r="R335" s="13">
        <f t="shared" ca="1" si="66"/>
        <v>0</v>
      </c>
      <c r="S335" s="13">
        <f ca="1">ROUNDUP(($M335-$O335-$P335+$R335)*VLOOKUP($B335,Paraméterek!$B$38:$D$39,IF($D$2="Egyszeri",3,2))/12,IF($D$4="Forint",0,2))</f>
        <v>-470</v>
      </c>
      <c r="T335" s="13"/>
      <c r="U335" s="13"/>
      <c r="V335" s="13">
        <f ca="1">$M335-$O335-$P335+$R335-$S335-IF(ROUNDUP(IF(ISBLANK($U335),$T335,$U335)/IF(AND($B335=1,$D$2&lt;&gt;"Egyszeri"),1,VLOOKUP($B335+IF($C335=12,1,0),Paraméterek!$B$257:$D$267,IF($D$2="Egyszeri",3,2))),IF($D$4="Forint",0,2))&gt;$M335-$O335-$P335+$R335-$S335-IF($D$4="Forint",Paraméterek!$C$216,Paraméterek!$D$216),0,ROUNDUP(IF(ISBLANK($U335),$T335,$U335)/IF(AND($B335=1,$D$2&lt;&gt;"Egyszeri"),1,VLOOKUP($B335+IF($C335=12,1,0),Paraméterek!$B$257:$D$267,IF($D$2="Egyszeri",3,2))),IF($D$4="Forint",0,2)))</f>
        <v>-191837</v>
      </c>
      <c r="W335" s="13">
        <f ca="1">ROUNDDOWN($V335*VLOOKUP($B335+IF($C335=12,1,0),Paraméterek!$B$257:$D$267,IF($D$2="Egyszeri",3,2)),IF($D$4="Forint",0,2))</f>
        <v>-191837</v>
      </c>
      <c r="Y335" s="32">
        <v>316</v>
      </c>
      <c r="Z335" s="32">
        <v>27</v>
      </c>
      <c r="AA335" s="32">
        <v>4</v>
      </c>
      <c r="AB335" s="13">
        <f t="shared" si="71"/>
        <v>0</v>
      </c>
      <c r="AC335" s="33"/>
      <c r="AD335" s="13">
        <f t="shared" si="67"/>
        <v>0</v>
      </c>
      <c r="AE335" s="13">
        <f>ROUNDUP(($AB335+$AD335)*VLOOKUP($Z335,Paraméterek!$P$38:$Q$38,2)/12,IF($D$4="Forint",0,2))</f>
        <v>0</v>
      </c>
      <c r="AF335" s="13">
        <f>IF($D$2="Egyszeri",IF($D$7&gt;=IF($D$4="Forint",Paraméterek!$P$223,Paraméterek!$P$224),$D$7-IF($D$4="Forint",Paraméterek!$F$223,Paraméterek!$F$224),0),MIN(IF($AA335=12,AVERAGE($D$20:$D335)*12,0),SUM($D$20:$D$31)))</f>
        <v>0</v>
      </c>
      <c r="AG335" s="13">
        <f>IF(AND($Z335&gt;=10,MOD($Z335,5)=0),$AF335*IF($AA335=12,VLOOKUP($Z335,Paraméterek!$B$225:$F$240,IF($AF335&lt;IF($D$4="Forint",Paraméterek!$C$223,Paraméterek!$C$224),2,IF($AF335&lt;IF($D$4="Forint",Paraméterek!$D$223,Paraméterek!$D$224),3,4))),0),0)</f>
        <v>0</v>
      </c>
      <c r="AH335" s="13">
        <f>IF(AND($Z335&gt;=5,MOD($Z335,5)=0),IF($AA335=12,VLOOKUP($Z335,Paraméterek!$B$225:$F$240,5),0),IF(OR($Z335=3,$Z335=4),IF($AA335=12,VLOOKUP($Z335,Paraméterek!$B$225:$F$240,5,0),0),0))*$AF335</f>
        <v>0</v>
      </c>
      <c r="AI335" s="13">
        <f>ROUNDDOWN(IF(SUM($T$20:$U335)=0,IF($D$2="Egyszeri",$AH335,$AG335),0),IF($D$4="Forint",0,2))</f>
        <v>0</v>
      </c>
      <c r="AJ335" s="13">
        <f t="shared" si="72"/>
        <v>0</v>
      </c>
      <c r="AK335" s="13">
        <f t="shared" si="73"/>
        <v>0</v>
      </c>
      <c r="AM335" s="32">
        <v>316</v>
      </c>
      <c r="AN335" s="32">
        <v>27</v>
      </c>
      <c r="AO335" s="32">
        <v>4</v>
      </c>
      <c r="AP335" s="13"/>
      <c r="AQ335" s="32"/>
      <c r="AR335" s="13">
        <f t="shared" si="74"/>
        <v>0</v>
      </c>
      <c r="AS335" s="33"/>
      <c r="AT335" s="13">
        <f t="shared" si="68"/>
        <v>0</v>
      </c>
      <c r="AU335" s="13">
        <f>ROUNDUP(($AR335+$AT335)*VLOOKUP($AN335,Paraméterek!$P$38:$Q$38,2)/12,IF($D$4="Forint",0,2))</f>
        <v>0</v>
      </c>
      <c r="AV335" s="13"/>
      <c r="AW335" s="13"/>
      <c r="AX335" s="13">
        <f>ROUNDUP(IF(SUM($AV335:$AW335)=0,0,IF(IF(ISBLANK($AW335),$AV335,$AW335)*Paraméterek!$J$112&lt;IF($D$4="Forint",Paraméterek!$J$113,Paraméterek!$K$113),IF($D$4="Forint",Paraméterek!$J$113,Paraméterek!$K$113),IF(IF(ISBLANK($AW335),$AV335,$AW335)*Paraméterek!$J$112&gt;IF($D$4="Forint",Paraméterek!$J$114,Paraméterek!$K$114),IF($D$4="Forint",Paraméterek!$J$114,Paraméterek!$K$114),IF(ISBLANK($AW335),$AV335,$AW335)*Paraméterek!$J$112))),IF($D$4="Forint",0,2))</f>
        <v>0</v>
      </c>
      <c r="AY335" s="13">
        <f>$AR335+$AT335-$AU335-IF(ROUNDDOWN(IF(ISBLANK($AW335),$AV335,$AW335),IF($D$4="Forint",0,2))&gt;$AR335+$AT335-$AU335-IF($D$4="Forint",Paraméterek!$J$114,Paraméterek!$K$114),0,ROUNDDOWN(IF(ISBLANK($AW335),$AV335,$AW335),IF($D$4="Forint",0,2))-$AX335)</f>
        <v>0</v>
      </c>
      <c r="AZ335" s="13">
        <f t="shared" si="69"/>
        <v>0</v>
      </c>
    </row>
    <row r="336" spans="1:52" x14ac:dyDescent="0.2">
      <c r="A336" s="32">
        <v>317</v>
      </c>
      <c r="B336" s="32">
        <v>27</v>
      </c>
      <c r="C336" s="32">
        <v>5</v>
      </c>
      <c r="D336" s="13">
        <f t="shared" si="60"/>
        <v>0</v>
      </c>
      <c r="E336" s="13"/>
      <c r="F336" s="13"/>
      <c r="G336" s="13"/>
      <c r="H336" s="13">
        <f t="shared" si="61"/>
        <v>0</v>
      </c>
      <c r="I336" s="13">
        <f t="shared" si="62"/>
        <v>0</v>
      </c>
      <c r="J336" s="13">
        <f t="shared" si="63"/>
        <v>0</v>
      </c>
      <c r="K336" s="13">
        <f>ROUNDUP(IF($D$2="Egyszeri",$D336,IF($D$2="Havi",SUM($D$20:$D$31),IF(MOD($C336,$M$1)-1=0,SUM($D$20:$D$31),0))/12*$M$1)*VLOOKUP($B336,Paraméterek!$B$27:$D$30,IF($D$2="Egyszeri",3,2)),IF($D$4="Forint",0,2))</f>
        <v>0</v>
      </c>
      <c r="L336" s="13">
        <f t="shared" si="64"/>
        <v>0</v>
      </c>
      <c r="M336" s="13">
        <f t="shared" ca="1" si="70"/>
        <v>-191837</v>
      </c>
      <c r="N336" s="13">
        <f ca="1">IF($V335&gt;=VLOOKUP($M$4-1+$B336,Paraméterek!$B$121:$D$122,IF($D$4="Forint",2,3)),0,VLOOKUP($M$4-1+$B336,Paraméterek!$B$121:$D$122,IF($D$4="Forint",2,3))-$V335)</f>
        <v>201837</v>
      </c>
      <c r="O336" s="13">
        <f ca="1">ROUNDUP($N336*Paraméterek!$C$58/Paraméterek!$C$56,IF($D$4="Forint",0,2))</f>
        <v>33</v>
      </c>
      <c r="P336" s="13">
        <f t="shared" si="65"/>
        <v>1187</v>
      </c>
      <c r="Q336" s="33"/>
      <c r="R336" s="13">
        <f t="shared" ca="1" si="66"/>
        <v>0</v>
      </c>
      <c r="S336" s="13">
        <f ca="1">ROUNDUP(($M336-$O336-$P336+$R336)*VLOOKUP($B336,Paraméterek!$B$38:$D$39,IF($D$2="Egyszeri",3,2))/12,IF($D$4="Forint",0,2))</f>
        <v>-472</v>
      </c>
      <c r="T336" s="13"/>
      <c r="U336" s="13"/>
      <c r="V336" s="13">
        <f ca="1">$M336-$O336-$P336+$R336-$S336-IF(ROUNDUP(IF(ISBLANK($U336),$T336,$U336)/IF(AND($B336=1,$D$2&lt;&gt;"Egyszeri"),1,VLOOKUP($B336+IF($C336=12,1,0),Paraméterek!$B$257:$D$267,IF($D$2="Egyszeri",3,2))),IF($D$4="Forint",0,2))&gt;$M336-$O336-$P336+$R336-$S336-IF($D$4="Forint",Paraméterek!$C$216,Paraméterek!$D$216),0,ROUNDUP(IF(ISBLANK($U336),$T336,$U336)/IF(AND($B336=1,$D$2&lt;&gt;"Egyszeri"),1,VLOOKUP($B336+IF($C336=12,1,0),Paraméterek!$B$257:$D$267,IF($D$2="Egyszeri",3,2))),IF($D$4="Forint",0,2)))</f>
        <v>-192585</v>
      </c>
      <c r="W336" s="13">
        <f ca="1">ROUNDDOWN($V336*VLOOKUP($B336+IF($C336=12,1,0),Paraméterek!$B$257:$D$267,IF($D$2="Egyszeri",3,2)),IF($D$4="Forint",0,2))</f>
        <v>-192585</v>
      </c>
      <c r="Y336" s="32">
        <v>317</v>
      </c>
      <c r="Z336" s="32">
        <v>27</v>
      </c>
      <c r="AA336" s="32">
        <v>5</v>
      </c>
      <c r="AB336" s="13">
        <f t="shared" si="71"/>
        <v>0</v>
      </c>
      <c r="AC336" s="33"/>
      <c r="AD336" s="13">
        <f t="shared" si="67"/>
        <v>0</v>
      </c>
      <c r="AE336" s="13">
        <f>ROUNDUP(($AB336+$AD336)*VLOOKUP($Z336,Paraméterek!$P$38:$Q$38,2)/12,IF($D$4="Forint",0,2))</f>
        <v>0</v>
      </c>
      <c r="AF336" s="13">
        <f>IF($D$2="Egyszeri",IF($D$7&gt;=IF($D$4="Forint",Paraméterek!$P$223,Paraméterek!$P$224),$D$7-IF($D$4="Forint",Paraméterek!$F$223,Paraméterek!$F$224),0),MIN(IF($AA336=12,AVERAGE($D$20:$D336)*12,0),SUM($D$20:$D$31)))</f>
        <v>0</v>
      </c>
      <c r="AG336" s="13">
        <f>IF(AND($Z336&gt;=10,MOD($Z336,5)=0),$AF336*IF($AA336=12,VLOOKUP($Z336,Paraméterek!$B$225:$F$240,IF($AF336&lt;IF($D$4="Forint",Paraméterek!$C$223,Paraméterek!$C$224),2,IF($AF336&lt;IF($D$4="Forint",Paraméterek!$D$223,Paraméterek!$D$224),3,4))),0),0)</f>
        <v>0</v>
      </c>
      <c r="AH336" s="13">
        <f>IF(AND($Z336&gt;=5,MOD($Z336,5)=0),IF($AA336=12,VLOOKUP($Z336,Paraméterek!$B$225:$F$240,5),0),IF(OR($Z336=3,$Z336=4),IF($AA336=12,VLOOKUP($Z336,Paraméterek!$B$225:$F$240,5,0),0),0))*$AF336</f>
        <v>0</v>
      </c>
      <c r="AI336" s="13">
        <f>ROUNDDOWN(IF(SUM($T$20:$U336)=0,IF($D$2="Egyszeri",$AH336,$AG336),0),IF($D$4="Forint",0,2))</f>
        <v>0</v>
      </c>
      <c r="AJ336" s="13">
        <f t="shared" si="72"/>
        <v>0</v>
      </c>
      <c r="AK336" s="13">
        <f t="shared" si="73"/>
        <v>0</v>
      </c>
      <c r="AM336" s="32">
        <v>317</v>
      </c>
      <c r="AN336" s="32">
        <v>27</v>
      </c>
      <c r="AO336" s="32">
        <v>5</v>
      </c>
      <c r="AP336" s="13"/>
      <c r="AQ336" s="32"/>
      <c r="AR336" s="13">
        <f t="shared" si="74"/>
        <v>0</v>
      </c>
      <c r="AS336" s="33"/>
      <c r="AT336" s="13">
        <f t="shared" si="68"/>
        <v>0</v>
      </c>
      <c r="AU336" s="13">
        <f>ROUNDUP(($AR336+$AT336)*VLOOKUP($AN336,Paraméterek!$P$38:$Q$38,2)/12,IF($D$4="Forint",0,2))</f>
        <v>0</v>
      </c>
      <c r="AV336" s="13"/>
      <c r="AW336" s="13"/>
      <c r="AX336" s="13">
        <f>ROUNDUP(IF(SUM($AV336:$AW336)=0,0,IF(IF(ISBLANK($AW336),$AV336,$AW336)*Paraméterek!$J$112&lt;IF($D$4="Forint",Paraméterek!$J$113,Paraméterek!$K$113),IF($D$4="Forint",Paraméterek!$J$113,Paraméterek!$K$113),IF(IF(ISBLANK($AW336),$AV336,$AW336)*Paraméterek!$J$112&gt;IF($D$4="Forint",Paraméterek!$J$114,Paraméterek!$K$114),IF($D$4="Forint",Paraméterek!$J$114,Paraméterek!$K$114),IF(ISBLANK($AW336),$AV336,$AW336)*Paraméterek!$J$112))),IF($D$4="Forint",0,2))</f>
        <v>0</v>
      </c>
      <c r="AY336" s="13">
        <f>$AR336+$AT336-$AU336-IF(ROUNDDOWN(IF(ISBLANK($AW336),$AV336,$AW336),IF($D$4="Forint",0,2))&gt;$AR336+$AT336-$AU336-IF($D$4="Forint",Paraméterek!$J$114,Paraméterek!$K$114),0,ROUNDDOWN(IF(ISBLANK($AW336),$AV336,$AW336),IF($D$4="Forint",0,2))-$AX336)</f>
        <v>0</v>
      </c>
      <c r="AZ336" s="13">
        <f t="shared" si="69"/>
        <v>0</v>
      </c>
    </row>
    <row r="337" spans="1:52" x14ac:dyDescent="0.2">
      <c r="A337" s="32">
        <v>318</v>
      </c>
      <c r="B337" s="32">
        <v>27</v>
      </c>
      <c r="C337" s="32">
        <v>6</v>
      </c>
      <c r="D337" s="13">
        <f t="shared" si="60"/>
        <v>0</v>
      </c>
      <c r="E337" s="13"/>
      <c r="F337" s="13"/>
      <c r="G337" s="13"/>
      <c r="H337" s="13">
        <f t="shared" si="61"/>
        <v>0</v>
      </c>
      <c r="I337" s="13">
        <f t="shared" si="62"/>
        <v>0</v>
      </c>
      <c r="J337" s="13">
        <f t="shared" si="63"/>
        <v>0</v>
      </c>
      <c r="K337" s="13">
        <f>ROUNDUP(IF($D$2="Egyszeri",$D337,IF($D$2="Havi",SUM($D$20:$D$31),IF(MOD($C337,$M$1)-1=0,SUM($D$20:$D$31),0))/12*$M$1)*VLOOKUP($B337,Paraméterek!$B$27:$D$30,IF($D$2="Egyszeri",3,2)),IF($D$4="Forint",0,2))</f>
        <v>0</v>
      </c>
      <c r="L337" s="13">
        <f t="shared" si="64"/>
        <v>0</v>
      </c>
      <c r="M337" s="13">
        <f t="shared" ca="1" si="70"/>
        <v>-192585</v>
      </c>
      <c r="N337" s="13">
        <f ca="1">IF($V336&gt;=VLOOKUP($M$4-1+$B337,Paraméterek!$B$121:$D$122,IF($D$4="Forint",2,3)),0,VLOOKUP($M$4-1+$B337,Paraméterek!$B$121:$D$122,IF($D$4="Forint",2,3))-$V336)</f>
        <v>202585</v>
      </c>
      <c r="O337" s="13">
        <f ca="1">ROUNDUP($N337*Paraméterek!$C$58/Paraméterek!$C$56,IF($D$4="Forint",0,2))</f>
        <v>33</v>
      </c>
      <c r="P337" s="13">
        <f t="shared" si="65"/>
        <v>1187</v>
      </c>
      <c r="Q337" s="33"/>
      <c r="R337" s="13">
        <f t="shared" ca="1" si="66"/>
        <v>0</v>
      </c>
      <c r="S337" s="13">
        <f ca="1">ROUNDUP(($M337-$O337-$P337+$R337)*VLOOKUP($B337,Paraméterek!$B$38:$D$39,IF($D$2="Egyszeri",3,2))/12,IF($D$4="Forint",0,2))</f>
        <v>-474</v>
      </c>
      <c r="T337" s="13"/>
      <c r="U337" s="13"/>
      <c r="V337" s="13">
        <f ca="1">$M337-$O337-$P337+$R337-$S337-IF(ROUNDUP(IF(ISBLANK($U337),$T337,$U337)/IF(AND($B337=1,$D$2&lt;&gt;"Egyszeri"),1,VLOOKUP($B337+IF($C337=12,1,0),Paraméterek!$B$257:$D$267,IF($D$2="Egyszeri",3,2))),IF($D$4="Forint",0,2))&gt;$M337-$O337-$P337+$R337-$S337-IF($D$4="Forint",Paraméterek!$C$216,Paraméterek!$D$216),0,ROUNDUP(IF(ISBLANK($U337),$T337,$U337)/IF(AND($B337=1,$D$2&lt;&gt;"Egyszeri"),1,VLOOKUP($B337+IF($C337=12,1,0),Paraméterek!$B$257:$D$267,IF($D$2="Egyszeri",3,2))),IF($D$4="Forint",0,2)))</f>
        <v>-193331</v>
      </c>
      <c r="W337" s="13">
        <f ca="1">ROUNDDOWN($V337*VLOOKUP($B337+IF($C337=12,1,0),Paraméterek!$B$257:$D$267,IF($D$2="Egyszeri",3,2)),IF($D$4="Forint",0,2))</f>
        <v>-193331</v>
      </c>
      <c r="Y337" s="32">
        <v>318</v>
      </c>
      <c r="Z337" s="32">
        <v>27</v>
      </c>
      <c r="AA337" s="32">
        <v>6</v>
      </c>
      <c r="AB337" s="13">
        <f t="shared" si="71"/>
        <v>0</v>
      </c>
      <c r="AC337" s="33"/>
      <c r="AD337" s="13">
        <f t="shared" si="67"/>
        <v>0</v>
      </c>
      <c r="AE337" s="13">
        <f>ROUNDUP(($AB337+$AD337)*VLOOKUP($Z337,Paraméterek!$P$38:$Q$38,2)/12,IF($D$4="Forint",0,2))</f>
        <v>0</v>
      </c>
      <c r="AF337" s="13">
        <f>IF($D$2="Egyszeri",IF($D$7&gt;=IF($D$4="Forint",Paraméterek!$P$223,Paraméterek!$P$224),$D$7-IF($D$4="Forint",Paraméterek!$F$223,Paraméterek!$F$224),0),MIN(IF($AA337=12,AVERAGE($D$20:$D337)*12,0),SUM($D$20:$D$31)))</f>
        <v>0</v>
      </c>
      <c r="AG337" s="13">
        <f>IF(AND($Z337&gt;=10,MOD($Z337,5)=0),$AF337*IF($AA337=12,VLOOKUP($Z337,Paraméterek!$B$225:$F$240,IF($AF337&lt;IF($D$4="Forint",Paraméterek!$C$223,Paraméterek!$C$224),2,IF($AF337&lt;IF($D$4="Forint",Paraméterek!$D$223,Paraméterek!$D$224),3,4))),0),0)</f>
        <v>0</v>
      </c>
      <c r="AH337" s="13">
        <f>IF(AND($Z337&gt;=5,MOD($Z337,5)=0),IF($AA337=12,VLOOKUP($Z337,Paraméterek!$B$225:$F$240,5),0),IF(OR($Z337=3,$Z337=4),IF($AA337=12,VLOOKUP($Z337,Paraméterek!$B$225:$F$240,5,0),0),0))*$AF337</f>
        <v>0</v>
      </c>
      <c r="AI337" s="13">
        <f>ROUNDDOWN(IF(SUM($T$20:$U337)=0,IF($D$2="Egyszeri",$AH337,$AG337),0),IF($D$4="Forint",0,2))</f>
        <v>0</v>
      </c>
      <c r="AJ337" s="13">
        <f t="shared" si="72"/>
        <v>0</v>
      </c>
      <c r="AK337" s="13">
        <f t="shared" si="73"/>
        <v>0</v>
      </c>
      <c r="AM337" s="32">
        <v>318</v>
      </c>
      <c r="AN337" s="32">
        <v>27</v>
      </c>
      <c r="AO337" s="32">
        <v>6</v>
      </c>
      <c r="AP337" s="13"/>
      <c r="AQ337" s="32"/>
      <c r="AR337" s="13">
        <f t="shared" si="74"/>
        <v>0</v>
      </c>
      <c r="AS337" s="33"/>
      <c r="AT337" s="13">
        <f t="shared" si="68"/>
        <v>0</v>
      </c>
      <c r="AU337" s="13">
        <f>ROUNDUP(($AR337+$AT337)*VLOOKUP($AN337,Paraméterek!$P$38:$Q$38,2)/12,IF($D$4="Forint",0,2))</f>
        <v>0</v>
      </c>
      <c r="AV337" s="13"/>
      <c r="AW337" s="13"/>
      <c r="AX337" s="13">
        <f>ROUNDUP(IF(SUM($AV337:$AW337)=0,0,IF(IF(ISBLANK($AW337),$AV337,$AW337)*Paraméterek!$J$112&lt;IF($D$4="Forint",Paraméterek!$J$113,Paraméterek!$K$113),IF($D$4="Forint",Paraméterek!$J$113,Paraméterek!$K$113),IF(IF(ISBLANK($AW337),$AV337,$AW337)*Paraméterek!$J$112&gt;IF($D$4="Forint",Paraméterek!$J$114,Paraméterek!$K$114),IF($D$4="Forint",Paraméterek!$J$114,Paraméterek!$K$114),IF(ISBLANK($AW337),$AV337,$AW337)*Paraméterek!$J$112))),IF($D$4="Forint",0,2))</f>
        <v>0</v>
      </c>
      <c r="AY337" s="13">
        <f>$AR337+$AT337-$AU337-IF(ROUNDDOWN(IF(ISBLANK($AW337),$AV337,$AW337),IF($D$4="Forint",0,2))&gt;$AR337+$AT337-$AU337-IF($D$4="Forint",Paraméterek!$J$114,Paraméterek!$K$114),0,ROUNDDOWN(IF(ISBLANK($AW337),$AV337,$AW337),IF($D$4="Forint",0,2))-$AX337)</f>
        <v>0</v>
      </c>
      <c r="AZ337" s="13">
        <f t="shared" si="69"/>
        <v>0</v>
      </c>
    </row>
    <row r="338" spans="1:52" x14ac:dyDescent="0.2">
      <c r="A338" s="32">
        <v>319</v>
      </c>
      <c r="B338" s="32">
        <v>27</v>
      </c>
      <c r="C338" s="32">
        <v>7</v>
      </c>
      <c r="D338" s="13">
        <f t="shared" si="60"/>
        <v>0</v>
      </c>
      <c r="E338" s="13"/>
      <c r="F338" s="13"/>
      <c r="G338" s="13"/>
      <c r="H338" s="13">
        <f t="shared" si="61"/>
        <v>0</v>
      </c>
      <c r="I338" s="13">
        <f t="shared" si="62"/>
        <v>0</v>
      </c>
      <c r="J338" s="13">
        <f t="shared" si="63"/>
        <v>0</v>
      </c>
      <c r="K338" s="13">
        <f>ROUNDUP(IF($D$2="Egyszeri",$D338,IF($D$2="Havi",SUM($D$20:$D$31),IF(MOD($C338,$M$1)-1=0,SUM($D$20:$D$31),0))/12*$M$1)*VLOOKUP($B338,Paraméterek!$B$27:$D$30,IF($D$2="Egyszeri",3,2)),IF($D$4="Forint",0,2))</f>
        <v>0</v>
      </c>
      <c r="L338" s="13">
        <f t="shared" si="64"/>
        <v>0</v>
      </c>
      <c r="M338" s="13">
        <f t="shared" ca="1" si="70"/>
        <v>-193331</v>
      </c>
      <c r="N338" s="13">
        <f ca="1">IF($V337&gt;=VLOOKUP($M$4-1+$B338,Paraméterek!$B$121:$D$122,IF($D$4="Forint",2,3)),0,VLOOKUP($M$4-1+$B338,Paraméterek!$B$121:$D$122,IF($D$4="Forint",2,3))-$V337)</f>
        <v>203331</v>
      </c>
      <c r="O338" s="13">
        <f ca="1">ROUNDUP($N338*Paraméterek!$C$58/Paraméterek!$C$56,IF($D$4="Forint",0,2))</f>
        <v>33</v>
      </c>
      <c r="P338" s="13">
        <f t="shared" si="65"/>
        <v>1187</v>
      </c>
      <c r="Q338" s="33"/>
      <c r="R338" s="13">
        <f t="shared" ca="1" si="66"/>
        <v>0</v>
      </c>
      <c r="S338" s="13">
        <f ca="1">ROUNDUP(($M338-$O338-$P338+$R338)*VLOOKUP($B338,Paraméterek!$B$38:$D$39,IF($D$2="Egyszeri",3,2))/12,IF($D$4="Forint",0,2))</f>
        <v>-476</v>
      </c>
      <c r="T338" s="13"/>
      <c r="U338" s="13"/>
      <c r="V338" s="13">
        <f ca="1">$M338-$O338-$P338+$R338-$S338-IF(ROUNDUP(IF(ISBLANK($U338),$T338,$U338)/IF(AND($B338=1,$D$2&lt;&gt;"Egyszeri"),1,VLOOKUP($B338+IF($C338=12,1,0),Paraméterek!$B$257:$D$267,IF($D$2="Egyszeri",3,2))),IF($D$4="Forint",0,2))&gt;$M338-$O338-$P338+$R338-$S338-IF($D$4="Forint",Paraméterek!$C$216,Paraméterek!$D$216),0,ROUNDUP(IF(ISBLANK($U338),$T338,$U338)/IF(AND($B338=1,$D$2&lt;&gt;"Egyszeri"),1,VLOOKUP($B338+IF($C338=12,1,0),Paraméterek!$B$257:$D$267,IF($D$2="Egyszeri",3,2))),IF($D$4="Forint",0,2)))</f>
        <v>-194075</v>
      </c>
      <c r="W338" s="13">
        <f ca="1">ROUNDDOWN($V338*VLOOKUP($B338+IF($C338=12,1,0),Paraméterek!$B$257:$D$267,IF($D$2="Egyszeri",3,2)),IF($D$4="Forint",0,2))</f>
        <v>-194075</v>
      </c>
      <c r="Y338" s="32">
        <v>319</v>
      </c>
      <c r="Z338" s="32">
        <v>27</v>
      </c>
      <c r="AA338" s="32">
        <v>7</v>
      </c>
      <c r="AB338" s="13">
        <f t="shared" si="71"/>
        <v>0</v>
      </c>
      <c r="AC338" s="33"/>
      <c r="AD338" s="13">
        <f t="shared" si="67"/>
        <v>0</v>
      </c>
      <c r="AE338" s="13">
        <f>ROUNDUP(($AB338+$AD338)*VLOOKUP($Z338,Paraméterek!$P$38:$Q$38,2)/12,IF($D$4="Forint",0,2))</f>
        <v>0</v>
      </c>
      <c r="AF338" s="13">
        <f>IF($D$2="Egyszeri",IF($D$7&gt;=IF($D$4="Forint",Paraméterek!$P$223,Paraméterek!$P$224),$D$7-IF($D$4="Forint",Paraméterek!$F$223,Paraméterek!$F$224),0),MIN(IF($AA338=12,AVERAGE($D$20:$D338)*12,0),SUM($D$20:$D$31)))</f>
        <v>0</v>
      </c>
      <c r="AG338" s="13">
        <f>IF(AND($Z338&gt;=10,MOD($Z338,5)=0),$AF338*IF($AA338=12,VLOOKUP($Z338,Paraméterek!$B$225:$F$240,IF($AF338&lt;IF($D$4="Forint",Paraméterek!$C$223,Paraméterek!$C$224),2,IF($AF338&lt;IF($D$4="Forint",Paraméterek!$D$223,Paraméterek!$D$224),3,4))),0),0)</f>
        <v>0</v>
      </c>
      <c r="AH338" s="13">
        <f>IF(AND($Z338&gt;=5,MOD($Z338,5)=0),IF($AA338=12,VLOOKUP($Z338,Paraméterek!$B$225:$F$240,5),0),IF(OR($Z338=3,$Z338=4),IF($AA338=12,VLOOKUP($Z338,Paraméterek!$B$225:$F$240,5,0),0),0))*$AF338</f>
        <v>0</v>
      </c>
      <c r="AI338" s="13">
        <f>ROUNDDOWN(IF(SUM($T$20:$U338)=0,IF($D$2="Egyszeri",$AH338,$AG338),0),IF($D$4="Forint",0,2))</f>
        <v>0</v>
      </c>
      <c r="AJ338" s="13">
        <f t="shared" si="72"/>
        <v>0</v>
      </c>
      <c r="AK338" s="13">
        <f t="shared" si="73"/>
        <v>0</v>
      </c>
      <c r="AM338" s="32">
        <v>319</v>
      </c>
      <c r="AN338" s="32">
        <v>27</v>
      </c>
      <c r="AO338" s="32">
        <v>7</v>
      </c>
      <c r="AP338" s="13"/>
      <c r="AQ338" s="32"/>
      <c r="AR338" s="13">
        <f t="shared" si="74"/>
        <v>0</v>
      </c>
      <c r="AS338" s="33"/>
      <c r="AT338" s="13">
        <f t="shared" si="68"/>
        <v>0</v>
      </c>
      <c r="AU338" s="13">
        <f>ROUNDUP(($AR338+$AT338)*VLOOKUP($AN338,Paraméterek!$P$38:$Q$38,2)/12,IF($D$4="Forint",0,2))</f>
        <v>0</v>
      </c>
      <c r="AV338" s="13"/>
      <c r="AW338" s="13"/>
      <c r="AX338" s="13">
        <f>ROUNDUP(IF(SUM($AV338:$AW338)=0,0,IF(IF(ISBLANK($AW338),$AV338,$AW338)*Paraméterek!$J$112&lt;IF($D$4="Forint",Paraméterek!$J$113,Paraméterek!$K$113),IF($D$4="Forint",Paraméterek!$J$113,Paraméterek!$K$113),IF(IF(ISBLANK($AW338),$AV338,$AW338)*Paraméterek!$J$112&gt;IF($D$4="Forint",Paraméterek!$J$114,Paraméterek!$K$114),IF($D$4="Forint",Paraméterek!$J$114,Paraméterek!$K$114),IF(ISBLANK($AW338),$AV338,$AW338)*Paraméterek!$J$112))),IF($D$4="Forint",0,2))</f>
        <v>0</v>
      </c>
      <c r="AY338" s="13">
        <f>$AR338+$AT338-$AU338-IF(ROUNDDOWN(IF(ISBLANK($AW338),$AV338,$AW338),IF($D$4="Forint",0,2))&gt;$AR338+$AT338-$AU338-IF($D$4="Forint",Paraméterek!$J$114,Paraméterek!$K$114),0,ROUNDDOWN(IF(ISBLANK($AW338),$AV338,$AW338),IF($D$4="Forint",0,2))-$AX338)</f>
        <v>0</v>
      </c>
      <c r="AZ338" s="13">
        <f t="shared" si="69"/>
        <v>0</v>
      </c>
    </row>
    <row r="339" spans="1:52" x14ac:dyDescent="0.2">
      <c r="A339" s="32">
        <v>320</v>
      </c>
      <c r="B339" s="32">
        <v>27</v>
      </c>
      <c r="C339" s="32">
        <v>8</v>
      </c>
      <c r="D339" s="13">
        <f t="shared" si="60"/>
        <v>0</v>
      </c>
      <c r="E339" s="13"/>
      <c r="F339" s="13"/>
      <c r="G339" s="13"/>
      <c r="H339" s="13">
        <f t="shared" si="61"/>
        <v>0</v>
      </c>
      <c r="I339" s="13">
        <f t="shared" si="62"/>
        <v>0</v>
      </c>
      <c r="J339" s="13">
        <f t="shared" si="63"/>
        <v>0</v>
      </c>
      <c r="K339" s="13">
        <f>ROUNDUP(IF($D$2="Egyszeri",$D339,IF($D$2="Havi",SUM($D$20:$D$31),IF(MOD($C339,$M$1)-1=0,SUM($D$20:$D$31),0))/12*$M$1)*VLOOKUP($B339,Paraméterek!$B$27:$D$30,IF($D$2="Egyszeri",3,2)),IF($D$4="Forint",0,2))</f>
        <v>0</v>
      </c>
      <c r="L339" s="13">
        <f t="shared" si="64"/>
        <v>0</v>
      </c>
      <c r="M339" s="13">
        <f t="shared" ca="1" si="70"/>
        <v>-194075</v>
      </c>
      <c r="N339" s="13">
        <f ca="1">IF($V338&gt;=VLOOKUP($M$4-1+$B339,Paraméterek!$B$121:$D$122,IF($D$4="Forint",2,3)),0,VLOOKUP($M$4-1+$B339,Paraméterek!$B$121:$D$122,IF($D$4="Forint",2,3))-$V338)</f>
        <v>204075</v>
      </c>
      <c r="O339" s="13">
        <f ca="1">ROUNDUP($N339*Paraméterek!$C$58/Paraméterek!$C$56,IF($D$4="Forint",0,2))</f>
        <v>33</v>
      </c>
      <c r="P339" s="13">
        <f t="shared" si="65"/>
        <v>1187</v>
      </c>
      <c r="Q339" s="33"/>
      <c r="R339" s="13">
        <f t="shared" ca="1" si="66"/>
        <v>0</v>
      </c>
      <c r="S339" s="13">
        <f ca="1">ROUNDUP(($M339-$O339-$P339+$R339)*VLOOKUP($B339,Paraméterek!$B$38:$D$39,IF($D$2="Egyszeri",3,2))/12,IF($D$4="Forint",0,2))</f>
        <v>-477</v>
      </c>
      <c r="T339" s="13"/>
      <c r="U339" s="13"/>
      <c r="V339" s="13">
        <f ca="1">$M339-$O339-$P339+$R339-$S339-IF(ROUNDUP(IF(ISBLANK($U339),$T339,$U339)/IF(AND($B339=1,$D$2&lt;&gt;"Egyszeri"),1,VLOOKUP($B339+IF($C339=12,1,0),Paraméterek!$B$257:$D$267,IF($D$2="Egyszeri",3,2))),IF($D$4="Forint",0,2))&gt;$M339-$O339-$P339+$R339-$S339-IF($D$4="Forint",Paraméterek!$C$216,Paraméterek!$D$216),0,ROUNDUP(IF(ISBLANK($U339),$T339,$U339)/IF(AND($B339=1,$D$2&lt;&gt;"Egyszeri"),1,VLOOKUP($B339+IF($C339=12,1,0),Paraméterek!$B$257:$D$267,IF($D$2="Egyszeri",3,2))),IF($D$4="Forint",0,2)))</f>
        <v>-194818</v>
      </c>
      <c r="W339" s="13">
        <f ca="1">ROUNDDOWN($V339*VLOOKUP($B339+IF($C339=12,1,0),Paraméterek!$B$257:$D$267,IF($D$2="Egyszeri",3,2)),IF($D$4="Forint",0,2))</f>
        <v>-194818</v>
      </c>
      <c r="Y339" s="32">
        <v>320</v>
      </c>
      <c r="Z339" s="32">
        <v>27</v>
      </c>
      <c r="AA339" s="32">
        <v>8</v>
      </c>
      <c r="AB339" s="13">
        <f t="shared" si="71"/>
        <v>0</v>
      </c>
      <c r="AC339" s="33"/>
      <c r="AD339" s="13">
        <f t="shared" si="67"/>
        <v>0</v>
      </c>
      <c r="AE339" s="13">
        <f>ROUNDUP(($AB339+$AD339)*VLOOKUP($Z339,Paraméterek!$P$38:$Q$38,2)/12,IF($D$4="Forint",0,2))</f>
        <v>0</v>
      </c>
      <c r="AF339" s="13">
        <f>IF($D$2="Egyszeri",IF($D$7&gt;=IF($D$4="Forint",Paraméterek!$P$223,Paraméterek!$P$224),$D$7-IF($D$4="Forint",Paraméterek!$F$223,Paraméterek!$F$224),0),MIN(IF($AA339=12,AVERAGE($D$20:$D339)*12,0),SUM($D$20:$D$31)))</f>
        <v>0</v>
      </c>
      <c r="AG339" s="13">
        <f>IF(AND($Z339&gt;=10,MOD($Z339,5)=0),$AF339*IF($AA339=12,VLOOKUP($Z339,Paraméterek!$B$225:$F$240,IF($AF339&lt;IF($D$4="Forint",Paraméterek!$C$223,Paraméterek!$C$224),2,IF($AF339&lt;IF($D$4="Forint",Paraméterek!$D$223,Paraméterek!$D$224),3,4))),0),0)</f>
        <v>0</v>
      </c>
      <c r="AH339" s="13">
        <f>IF(AND($Z339&gt;=5,MOD($Z339,5)=0),IF($AA339=12,VLOOKUP($Z339,Paraméterek!$B$225:$F$240,5),0),IF(OR($Z339=3,$Z339=4),IF($AA339=12,VLOOKUP($Z339,Paraméterek!$B$225:$F$240,5,0),0),0))*$AF339</f>
        <v>0</v>
      </c>
      <c r="AI339" s="13">
        <f>ROUNDDOWN(IF(SUM($T$20:$U339)=0,IF($D$2="Egyszeri",$AH339,$AG339),0),IF($D$4="Forint",0,2))</f>
        <v>0</v>
      </c>
      <c r="AJ339" s="13">
        <f t="shared" si="72"/>
        <v>0</v>
      </c>
      <c r="AK339" s="13">
        <f t="shared" si="73"/>
        <v>0</v>
      </c>
      <c r="AM339" s="32">
        <v>320</v>
      </c>
      <c r="AN339" s="32">
        <v>27</v>
      </c>
      <c r="AO339" s="32">
        <v>8</v>
      </c>
      <c r="AP339" s="13"/>
      <c r="AQ339" s="32"/>
      <c r="AR339" s="13">
        <f t="shared" si="74"/>
        <v>0</v>
      </c>
      <c r="AS339" s="33"/>
      <c r="AT339" s="13">
        <f t="shared" si="68"/>
        <v>0</v>
      </c>
      <c r="AU339" s="13">
        <f>ROUNDUP(($AR339+$AT339)*VLOOKUP($AN339,Paraméterek!$P$38:$Q$38,2)/12,IF($D$4="Forint",0,2))</f>
        <v>0</v>
      </c>
      <c r="AV339" s="13"/>
      <c r="AW339" s="13"/>
      <c r="AX339" s="13">
        <f>ROUNDUP(IF(SUM($AV339:$AW339)=0,0,IF(IF(ISBLANK($AW339),$AV339,$AW339)*Paraméterek!$J$112&lt;IF($D$4="Forint",Paraméterek!$J$113,Paraméterek!$K$113),IF($D$4="Forint",Paraméterek!$J$113,Paraméterek!$K$113),IF(IF(ISBLANK($AW339),$AV339,$AW339)*Paraméterek!$J$112&gt;IF($D$4="Forint",Paraméterek!$J$114,Paraméterek!$K$114),IF($D$4="Forint",Paraméterek!$J$114,Paraméterek!$K$114),IF(ISBLANK($AW339),$AV339,$AW339)*Paraméterek!$J$112))),IF($D$4="Forint",0,2))</f>
        <v>0</v>
      </c>
      <c r="AY339" s="13">
        <f>$AR339+$AT339-$AU339-IF(ROUNDDOWN(IF(ISBLANK($AW339),$AV339,$AW339),IF($D$4="Forint",0,2))&gt;$AR339+$AT339-$AU339-IF($D$4="Forint",Paraméterek!$J$114,Paraméterek!$K$114),0,ROUNDDOWN(IF(ISBLANK($AW339),$AV339,$AW339),IF($D$4="Forint",0,2))-$AX339)</f>
        <v>0</v>
      </c>
      <c r="AZ339" s="13">
        <f t="shared" si="69"/>
        <v>0</v>
      </c>
    </row>
    <row r="340" spans="1:52" x14ac:dyDescent="0.2">
      <c r="A340" s="32">
        <v>321</v>
      </c>
      <c r="B340" s="32">
        <v>27</v>
      </c>
      <c r="C340" s="32">
        <v>9</v>
      </c>
      <c r="D340" s="13">
        <f t="shared" si="60"/>
        <v>0</v>
      </c>
      <c r="E340" s="13"/>
      <c r="F340" s="13"/>
      <c r="G340" s="13"/>
      <c r="H340" s="13">
        <f t="shared" si="61"/>
        <v>0</v>
      </c>
      <c r="I340" s="13">
        <f t="shared" si="62"/>
        <v>0</v>
      </c>
      <c r="J340" s="13">
        <f t="shared" si="63"/>
        <v>0</v>
      </c>
      <c r="K340" s="13">
        <f>ROUNDUP(IF($D$2="Egyszeri",$D340,IF($D$2="Havi",SUM($D$20:$D$31),IF(MOD($C340,$M$1)-1=0,SUM($D$20:$D$31),0))/12*$M$1)*VLOOKUP($B340,Paraméterek!$B$27:$D$30,IF($D$2="Egyszeri",3,2)),IF($D$4="Forint",0,2))</f>
        <v>0</v>
      </c>
      <c r="L340" s="13">
        <f t="shared" si="64"/>
        <v>0</v>
      </c>
      <c r="M340" s="13">
        <f t="shared" ca="1" si="70"/>
        <v>-194818</v>
      </c>
      <c r="N340" s="13">
        <f ca="1">IF($V339&gt;=VLOOKUP($M$4-1+$B340,Paraméterek!$B$121:$D$122,IF($D$4="Forint",2,3)),0,VLOOKUP($M$4-1+$B340,Paraméterek!$B$121:$D$122,IF($D$4="Forint",2,3))-$V339)</f>
        <v>204818</v>
      </c>
      <c r="O340" s="13">
        <f ca="1">ROUNDUP($N340*Paraméterek!$C$58/Paraméterek!$C$56,IF($D$4="Forint",0,2))</f>
        <v>33</v>
      </c>
      <c r="P340" s="13">
        <f t="shared" si="65"/>
        <v>1187</v>
      </c>
      <c r="Q340" s="33"/>
      <c r="R340" s="13">
        <f t="shared" ca="1" si="66"/>
        <v>0</v>
      </c>
      <c r="S340" s="13">
        <f ca="1">ROUNDUP(($M340-$O340-$P340+$R340)*VLOOKUP($B340,Paraméterek!$B$38:$D$39,IF($D$2="Egyszeri",3,2))/12,IF($D$4="Forint",0,2))</f>
        <v>-479</v>
      </c>
      <c r="T340" s="13"/>
      <c r="U340" s="13"/>
      <c r="V340" s="13">
        <f ca="1">$M340-$O340-$P340+$R340-$S340-IF(ROUNDUP(IF(ISBLANK($U340),$T340,$U340)/IF(AND($B340=1,$D$2&lt;&gt;"Egyszeri"),1,VLOOKUP($B340+IF($C340=12,1,0),Paraméterek!$B$257:$D$267,IF($D$2="Egyszeri",3,2))),IF($D$4="Forint",0,2))&gt;$M340-$O340-$P340+$R340-$S340-IF($D$4="Forint",Paraméterek!$C$216,Paraméterek!$D$216),0,ROUNDUP(IF(ISBLANK($U340),$T340,$U340)/IF(AND($B340=1,$D$2&lt;&gt;"Egyszeri"),1,VLOOKUP($B340+IF($C340=12,1,0),Paraméterek!$B$257:$D$267,IF($D$2="Egyszeri",3,2))),IF($D$4="Forint",0,2)))</f>
        <v>-195559</v>
      </c>
      <c r="W340" s="13">
        <f ca="1">ROUNDDOWN($V340*VLOOKUP($B340+IF($C340=12,1,0),Paraméterek!$B$257:$D$267,IF($D$2="Egyszeri",3,2)),IF($D$4="Forint",0,2))</f>
        <v>-195559</v>
      </c>
      <c r="Y340" s="32">
        <v>321</v>
      </c>
      <c r="Z340" s="32">
        <v>27</v>
      </c>
      <c r="AA340" s="32">
        <v>9</v>
      </c>
      <c r="AB340" s="13">
        <f t="shared" si="71"/>
        <v>0</v>
      </c>
      <c r="AC340" s="33"/>
      <c r="AD340" s="13">
        <f t="shared" si="67"/>
        <v>0</v>
      </c>
      <c r="AE340" s="13">
        <f>ROUNDUP(($AB340+$AD340)*VLOOKUP($Z340,Paraméterek!$P$38:$Q$38,2)/12,IF($D$4="Forint",0,2))</f>
        <v>0</v>
      </c>
      <c r="AF340" s="13">
        <f>IF($D$2="Egyszeri",IF($D$7&gt;=IF($D$4="Forint",Paraméterek!$P$223,Paraméterek!$P$224),$D$7-IF($D$4="Forint",Paraméterek!$F$223,Paraméterek!$F$224),0),MIN(IF($AA340=12,AVERAGE($D$20:$D340)*12,0),SUM($D$20:$D$31)))</f>
        <v>0</v>
      </c>
      <c r="AG340" s="13">
        <f>IF(AND($Z340&gt;=10,MOD($Z340,5)=0),$AF340*IF($AA340=12,VLOOKUP($Z340,Paraméterek!$B$225:$F$240,IF($AF340&lt;IF($D$4="Forint",Paraméterek!$C$223,Paraméterek!$C$224),2,IF($AF340&lt;IF($D$4="Forint",Paraméterek!$D$223,Paraméterek!$D$224),3,4))),0),0)</f>
        <v>0</v>
      </c>
      <c r="AH340" s="13">
        <f>IF(AND($Z340&gt;=5,MOD($Z340,5)=0),IF($AA340=12,VLOOKUP($Z340,Paraméterek!$B$225:$F$240,5),0),IF(OR($Z340=3,$Z340=4),IF($AA340=12,VLOOKUP($Z340,Paraméterek!$B$225:$F$240,5,0),0),0))*$AF340</f>
        <v>0</v>
      </c>
      <c r="AI340" s="13">
        <f>ROUNDDOWN(IF(SUM($T$20:$U340)=0,IF($D$2="Egyszeri",$AH340,$AG340),0),IF($D$4="Forint",0,2))</f>
        <v>0</v>
      </c>
      <c r="AJ340" s="13">
        <f t="shared" si="72"/>
        <v>0</v>
      </c>
      <c r="AK340" s="13">
        <f t="shared" si="73"/>
        <v>0</v>
      </c>
      <c r="AM340" s="32">
        <v>321</v>
      </c>
      <c r="AN340" s="32">
        <v>27</v>
      </c>
      <c r="AO340" s="32">
        <v>9</v>
      </c>
      <c r="AP340" s="13"/>
      <c r="AQ340" s="32"/>
      <c r="AR340" s="13">
        <f t="shared" si="74"/>
        <v>0</v>
      </c>
      <c r="AS340" s="33"/>
      <c r="AT340" s="13">
        <f t="shared" si="68"/>
        <v>0</v>
      </c>
      <c r="AU340" s="13">
        <f>ROUNDUP(($AR340+$AT340)*VLOOKUP($AN340,Paraméterek!$P$38:$Q$38,2)/12,IF($D$4="Forint",0,2))</f>
        <v>0</v>
      </c>
      <c r="AV340" s="13"/>
      <c r="AW340" s="13"/>
      <c r="AX340" s="13">
        <f>ROUNDUP(IF(SUM($AV340:$AW340)=0,0,IF(IF(ISBLANK($AW340),$AV340,$AW340)*Paraméterek!$J$112&lt;IF($D$4="Forint",Paraméterek!$J$113,Paraméterek!$K$113),IF($D$4="Forint",Paraméterek!$J$113,Paraméterek!$K$113),IF(IF(ISBLANK($AW340),$AV340,$AW340)*Paraméterek!$J$112&gt;IF($D$4="Forint",Paraméterek!$J$114,Paraméterek!$K$114),IF($D$4="Forint",Paraméterek!$J$114,Paraméterek!$K$114),IF(ISBLANK($AW340),$AV340,$AW340)*Paraméterek!$J$112))),IF($D$4="Forint",0,2))</f>
        <v>0</v>
      </c>
      <c r="AY340" s="13">
        <f>$AR340+$AT340-$AU340-IF(ROUNDDOWN(IF(ISBLANK($AW340),$AV340,$AW340),IF($D$4="Forint",0,2))&gt;$AR340+$AT340-$AU340-IF($D$4="Forint",Paraméterek!$J$114,Paraméterek!$K$114),0,ROUNDDOWN(IF(ISBLANK($AW340),$AV340,$AW340),IF($D$4="Forint",0,2))-$AX340)</f>
        <v>0</v>
      </c>
      <c r="AZ340" s="13">
        <f t="shared" si="69"/>
        <v>0</v>
      </c>
    </row>
    <row r="341" spans="1:52" x14ac:dyDescent="0.2">
      <c r="A341" s="32">
        <v>322</v>
      </c>
      <c r="B341" s="32">
        <v>27</v>
      </c>
      <c r="C341" s="32">
        <v>10</v>
      </c>
      <c r="D341" s="13">
        <f t="shared" ref="D341:D404" si="75">IF($D$2="Egyszeri",IF($A341=1,$D$7,0),ROUNDUP(IF($D$2="Havi",$D$7,IF(MOD($C341,$M$1)-1=0,$D$7,0))*(1+$D$6)^($B341-1),IF($D$4="Forint",0,2)))</f>
        <v>0</v>
      </c>
      <c r="E341" s="13"/>
      <c r="F341" s="13"/>
      <c r="G341" s="13"/>
      <c r="H341" s="13">
        <f t="shared" ref="H341:H404" si="76">ROUNDUP(IF(AND($D$8="Nincs",$D$2&lt;&gt;"Egyszeri"),$D341*10%,0),IF($D$4="Forint",0,2))</f>
        <v>0</v>
      </c>
      <c r="I341" s="13">
        <f t="shared" ref="I341:I404" si="77">IF($D$2="Egyszeri",IF($A341=1,$M$3,0),ROUNDUP(IF($D$2="Havi",$M$3,IF(MOD($C341,$M$1)-1=0,$M$3,0))*(1+$M$2)^($B341-1),IF($D$4="Forint",0,2)))</f>
        <v>0</v>
      </c>
      <c r="J341" s="13">
        <f t="shared" ref="J341:J404" si="78">IF(ISBLANK($E341),$D341,$E341)+IF(ISBLANK($G341),$F341,$G341)+$H341+$I341</f>
        <v>0</v>
      </c>
      <c r="K341" s="13">
        <f>ROUNDUP(IF($D$2="Egyszeri",$D341,IF($D$2="Havi",SUM($D$20:$D$31),IF(MOD($C341,$M$1)-1=0,SUM($D$20:$D$31),0))/12*$M$1)*VLOOKUP($B341,Paraméterek!$B$27:$D$30,IF($D$2="Egyszeri",3,2)),IF($D$4="Forint",0,2))</f>
        <v>0</v>
      </c>
      <c r="L341" s="13">
        <f t="shared" ref="L341:L404" si="79">$D341-$K341+IF(ISBLANK($G341),$F341,$G341)</f>
        <v>0</v>
      </c>
      <c r="M341" s="13">
        <f t="shared" ca="1" si="70"/>
        <v>-195559</v>
      </c>
      <c r="N341" s="13">
        <f ca="1">IF($V340&gt;=VLOOKUP($M$4-1+$B341,Paraméterek!$B$121:$D$122,IF($D$4="Forint",2,3)),0,VLOOKUP($M$4-1+$B341,Paraméterek!$B$121:$D$122,IF($D$4="Forint",2,3))-$V340)</f>
        <v>205559</v>
      </c>
      <c r="O341" s="13">
        <f ca="1">ROUNDUP($N341*Paraméterek!$C$58/Paraméterek!$C$56,IF($D$4="Forint",0,2))</f>
        <v>33</v>
      </c>
      <c r="P341" s="13">
        <f t="shared" ref="P341:P404" si="80">ROUNDUP($M$5*(1+$M$2)^($B341-1),IF($D$4="Forint",0,2))</f>
        <v>1187</v>
      </c>
      <c r="Q341" s="33"/>
      <c r="R341" s="13">
        <f t="shared" ref="R341:R404" ca="1" si="81">ROUNDDOWN(($M341-$O341-$P341)*IF(ISBLANK($Q341),$M$6,$Q341),IF($D$4="Forint",0,2))</f>
        <v>0</v>
      </c>
      <c r="S341" s="13">
        <f ca="1">ROUNDUP(($M341-$O341-$P341+$R341)*VLOOKUP($B341,Paraméterek!$B$38:$D$39,IF($D$2="Egyszeri",3,2))/12,IF($D$4="Forint",0,2))</f>
        <v>-481</v>
      </c>
      <c r="T341" s="13"/>
      <c r="U341" s="13"/>
      <c r="V341" s="13">
        <f ca="1">$M341-$O341-$P341+$R341-$S341-IF(ROUNDUP(IF(ISBLANK($U341),$T341,$U341)/IF(AND($B341=1,$D$2&lt;&gt;"Egyszeri"),1,VLOOKUP($B341+IF($C341=12,1,0),Paraméterek!$B$257:$D$267,IF($D$2="Egyszeri",3,2))),IF($D$4="Forint",0,2))&gt;$M341-$O341-$P341+$R341-$S341-IF($D$4="Forint",Paraméterek!$C$216,Paraméterek!$D$216),0,ROUNDUP(IF(ISBLANK($U341),$T341,$U341)/IF(AND($B341=1,$D$2&lt;&gt;"Egyszeri"),1,VLOOKUP($B341+IF($C341=12,1,0),Paraméterek!$B$257:$D$267,IF($D$2="Egyszeri",3,2))),IF($D$4="Forint",0,2)))</f>
        <v>-196298</v>
      </c>
      <c r="W341" s="13">
        <f ca="1">ROUNDDOWN($V341*VLOOKUP($B341+IF($C341=12,1,0),Paraméterek!$B$257:$D$267,IF($D$2="Egyszeri",3,2)),IF($D$4="Forint",0,2))</f>
        <v>-196298</v>
      </c>
      <c r="Y341" s="32">
        <v>322</v>
      </c>
      <c r="Z341" s="32">
        <v>27</v>
      </c>
      <c r="AA341" s="32">
        <v>10</v>
      </c>
      <c r="AB341" s="13">
        <f t="shared" si="71"/>
        <v>0</v>
      </c>
      <c r="AC341" s="33"/>
      <c r="AD341" s="13">
        <f t="shared" ref="AD341:AD404" si="82">ROUNDDOWN($AB341*IF(ISBLANK($AC341),$M$8,$AC341),IF($D$4="Forint",0,2))</f>
        <v>0</v>
      </c>
      <c r="AE341" s="13">
        <f>ROUNDUP(($AB341+$AD341)*VLOOKUP($Z341,Paraméterek!$P$38:$Q$38,2)/12,IF($D$4="Forint",0,2))</f>
        <v>0</v>
      </c>
      <c r="AF341" s="13">
        <f>IF($D$2="Egyszeri",IF($D$7&gt;=IF($D$4="Forint",Paraméterek!$P$223,Paraméterek!$P$224),$D$7-IF($D$4="Forint",Paraméterek!$F$223,Paraméterek!$F$224),0),MIN(IF($AA341=12,AVERAGE($D$20:$D341)*12,0),SUM($D$20:$D$31)))</f>
        <v>0</v>
      </c>
      <c r="AG341" s="13">
        <f>IF(AND($Z341&gt;=10,MOD($Z341,5)=0),$AF341*IF($AA341=12,VLOOKUP($Z341,Paraméterek!$B$225:$F$240,IF($AF341&lt;IF($D$4="Forint",Paraméterek!$C$223,Paraméterek!$C$224),2,IF($AF341&lt;IF($D$4="Forint",Paraméterek!$D$223,Paraméterek!$D$224),3,4))),0),0)</f>
        <v>0</v>
      </c>
      <c r="AH341" s="13">
        <f>IF(AND($Z341&gt;=5,MOD($Z341,5)=0),IF($AA341=12,VLOOKUP($Z341,Paraméterek!$B$225:$F$240,5),0),IF(OR($Z341=3,$Z341=4),IF($AA341=12,VLOOKUP($Z341,Paraméterek!$B$225:$F$240,5,0),0),0))*$AF341</f>
        <v>0</v>
      </c>
      <c r="AI341" s="13">
        <f>ROUNDDOWN(IF(SUM($T$20:$U341)=0,IF($D$2="Egyszeri",$AH341,$AG341),0),IF($D$4="Forint",0,2))</f>
        <v>0</v>
      </c>
      <c r="AJ341" s="13">
        <f t="shared" si="72"/>
        <v>0</v>
      </c>
      <c r="AK341" s="13">
        <f t="shared" si="73"/>
        <v>0</v>
      </c>
      <c r="AM341" s="32">
        <v>322</v>
      </c>
      <c r="AN341" s="32">
        <v>27</v>
      </c>
      <c r="AO341" s="32">
        <v>10</v>
      </c>
      <c r="AP341" s="13"/>
      <c r="AQ341" s="32"/>
      <c r="AR341" s="13">
        <f t="shared" si="74"/>
        <v>0</v>
      </c>
      <c r="AS341" s="33"/>
      <c r="AT341" s="13">
        <f t="shared" ref="AT341:AT404" si="83">ROUNDDOWN($AR341*IF(ISBLANK($AS341),$M$7,$AS341),IF($D$4="Forint",0,2))</f>
        <v>0</v>
      </c>
      <c r="AU341" s="13">
        <f>ROUNDUP(($AR341+$AT341)*VLOOKUP($AN341,Paraméterek!$P$38:$Q$38,2)/12,IF($D$4="Forint",0,2))</f>
        <v>0</v>
      </c>
      <c r="AV341" s="13"/>
      <c r="AW341" s="13"/>
      <c r="AX341" s="13">
        <f>ROUNDUP(IF(SUM($AV341:$AW341)=0,0,IF(IF(ISBLANK($AW341),$AV341,$AW341)*Paraméterek!$J$112&lt;IF($D$4="Forint",Paraméterek!$J$113,Paraméterek!$K$113),IF($D$4="Forint",Paraméterek!$J$113,Paraméterek!$K$113),IF(IF(ISBLANK($AW341),$AV341,$AW341)*Paraméterek!$J$112&gt;IF($D$4="Forint",Paraméterek!$J$114,Paraméterek!$K$114),IF($D$4="Forint",Paraméterek!$J$114,Paraméterek!$K$114),IF(ISBLANK($AW341),$AV341,$AW341)*Paraméterek!$J$112))),IF($D$4="Forint",0,2))</f>
        <v>0</v>
      </c>
      <c r="AY341" s="13">
        <f>$AR341+$AT341-$AU341-IF(ROUNDDOWN(IF(ISBLANK($AW341),$AV341,$AW341),IF($D$4="Forint",0,2))&gt;$AR341+$AT341-$AU341-IF($D$4="Forint",Paraméterek!$J$114,Paraméterek!$K$114),0,ROUNDDOWN(IF(ISBLANK($AW341),$AV341,$AW341),IF($D$4="Forint",0,2))-$AX341)</f>
        <v>0</v>
      </c>
      <c r="AZ341" s="13">
        <f t="shared" ref="AZ341:AZ404" si="84">$AY341</f>
        <v>0</v>
      </c>
    </row>
    <row r="342" spans="1:52" x14ac:dyDescent="0.2">
      <c r="A342" s="32">
        <v>323</v>
      </c>
      <c r="B342" s="32">
        <v>27</v>
      </c>
      <c r="C342" s="32">
        <v>11</v>
      </c>
      <c r="D342" s="13">
        <f t="shared" si="75"/>
        <v>0</v>
      </c>
      <c r="E342" s="13"/>
      <c r="F342" s="13"/>
      <c r="G342" s="13"/>
      <c r="H342" s="13">
        <f t="shared" si="76"/>
        <v>0</v>
      </c>
      <c r="I342" s="13">
        <f t="shared" si="77"/>
        <v>0</v>
      </c>
      <c r="J342" s="13">
        <f t="shared" si="78"/>
        <v>0</v>
      </c>
      <c r="K342" s="13">
        <f>ROUNDUP(IF($D$2="Egyszeri",$D342,IF($D$2="Havi",SUM($D$20:$D$31),IF(MOD($C342,$M$1)-1=0,SUM($D$20:$D$31),0))/12*$M$1)*VLOOKUP($B342,Paraméterek!$B$27:$D$30,IF($D$2="Egyszeri",3,2)),IF($D$4="Forint",0,2))</f>
        <v>0</v>
      </c>
      <c r="L342" s="13">
        <f t="shared" si="79"/>
        <v>0</v>
      </c>
      <c r="M342" s="13">
        <f t="shared" ref="M342:M405" ca="1" si="85">$L342+$V341</f>
        <v>-196298</v>
      </c>
      <c r="N342" s="13">
        <f ca="1">IF($V341&gt;=VLOOKUP($M$4-1+$B342,Paraméterek!$B$121:$D$122,IF($D$4="Forint",2,3)),0,VLOOKUP($M$4-1+$B342,Paraméterek!$B$121:$D$122,IF($D$4="Forint",2,3))-$V341)</f>
        <v>206298</v>
      </c>
      <c r="O342" s="13">
        <f ca="1">ROUNDUP($N342*Paraméterek!$C$58/Paraméterek!$C$56,IF($D$4="Forint",0,2))</f>
        <v>33</v>
      </c>
      <c r="P342" s="13">
        <f t="shared" si="80"/>
        <v>1187</v>
      </c>
      <c r="Q342" s="33"/>
      <c r="R342" s="13">
        <f t="shared" ca="1" si="81"/>
        <v>0</v>
      </c>
      <c r="S342" s="13">
        <f ca="1">ROUNDUP(($M342-$O342-$P342+$R342)*VLOOKUP($B342,Paraméterek!$B$38:$D$39,IF($D$2="Egyszeri",3,2))/12,IF($D$4="Forint",0,2))</f>
        <v>-483</v>
      </c>
      <c r="T342" s="13"/>
      <c r="U342" s="13"/>
      <c r="V342" s="13">
        <f ca="1">$M342-$O342-$P342+$R342-$S342-IF(ROUNDUP(IF(ISBLANK($U342),$T342,$U342)/IF(AND($B342=1,$D$2&lt;&gt;"Egyszeri"),1,VLOOKUP($B342+IF($C342=12,1,0),Paraméterek!$B$257:$D$267,IF($D$2="Egyszeri",3,2))),IF($D$4="Forint",0,2))&gt;$M342-$O342-$P342+$R342-$S342-IF($D$4="Forint",Paraméterek!$C$216,Paraméterek!$D$216),0,ROUNDUP(IF(ISBLANK($U342),$T342,$U342)/IF(AND($B342=1,$D$2&lt;&gt;"Egyszeri"),1,VLOOKUP($B342+IF($C342=12,1,0),Paraméterek!$B$257:$D$267,IF($D$2="Egyszeri",3,2))),IF($D$4="Forint",0,2)))</f>
        <v>-197035</v>
      </c>
      <c r="W342" s="13">
        <f ca="1">ROUNDDOWN($V342*VLOOKUP($B342+IF($C342=12,1,0),Paraméterek!$B$257:$D$267,IF($D$2="Egyszeri",3,2)),IF($D$4="Forint",0,2))</f>
        <v>-197035</v>
      </c>
      <c r="Y342" s="32">
        <v>323</v>
      </c>
      <c r="Z342" s="32">
        <v>27</v>
      </c>
      <c r="AA342" s="32">
        <v>11</v>
      </c>
      <c r="AB342" s="13">
        <f t="shared" ref="AB342:AB405" si="86">$AJ341</f>
        <v>0</v>
      </c>
      <c r="AC342" s="33"/>
      <c r="AD342" s="13">
        <f t="shared" si="82"/>
        <v>0</v>
      </c>
      <c r="AE342" s="13">
        <f>ROUNDUP(($AB342+$AD342)*VLOOKUP($Z342,Paraméterek!$P$38:$Q$38,2)/12,IF($D$4="Forint",0,2))</f>
        <v>0</v>
      </c>
      <c r="AF342" s="13">
        <f>IF($D$2="Egyszeri",IF($D$7&gt;=IF($D$4="Forint",Paraméterek!$P$223,Paraméterek!$P$224),$D$7-IF($D$4="Forint",Paraméterek!$F$223,Paraméterek!$F$224),0),MIN(IF($AA342=12,AVERAGE($D$20:$D342)*12,0),SUM($D$20:$D$31)))</f>
        <v>0</v>
      </c>
      <c r="AG342" s="13">
        <f>IF(AND($Z342&gt;=10,MOD($Z342,5)=0),$AF342*IF($AA342=12,VLOOKUP($Z342,Paraméterek!$B$225:$F$240,IF($AF342&lt;IF($D$4="Forint",Paraméterek!$C$223,Paraméterek!$C$224),2,IF($AF342&lt;IF($D$4="Forint",Paraméterek!$D$223,Paraméterek!$D$224),3,4))),0),0)</f>
        <v>0</v>
      </c>
      <c r="AH342" s="13">
        <f>IF(AND($Z342&gt;=5,MOD($Z342,5)=0),IF($AA342=12,VLOOKUP($Z342,Paraméterek!$B$225:$F$240,5),0),IF(OR($Z342=3,$Z342=4),IF($AA342=12,VLOOKUP($Z342,Paraméterek!$B$225:$F$240,5,0),0),0))*$AF342</f>
        <v>0</v>
      </c>
      <c r="AI342" s="13">
        <f>ROUNDDOWN(IF(SUM($T$20:$U342)=0,IF($D$2="Egyszeri",$AH342,$AG342),0),IF($D$4="Forint",0,2))</f>
        <v>0</v>
      </c>
      <c r="AJ342" s="13">
        <f t="shared" ref="AJ342:AJ405" si="87">$AB342+$AD342-$AE342+$AI342</f>
        <v>0</v>
      </c>
      <c r="AK342" s="13">
        <f t="shared" ref="AK342:AK405" si="88">$AJ342</f>
        <v>0</v>
      </c>
      <c r="AM342" s="32">
        <v>323</v>
      </c>
      <c r="AN342" s="32">
        <v>27</v>
      </c>
      <c r="AO342" s="32">
        <v>11</v>
      </c>
      <c r="AP342" s="13"/>
      <c r="AQ342" s="32"/>
      <c r="AR342" s="13">
        <f t="shared" ref="AR342:AR405" si="89">IF(ISBLANK($AQ342),$AP342,$AQ342)+$AY341</f>
        <v>0</v>
      </c>
      <c r="AS342" s="33"/>
      <c r="AT342" s="13">
        <f t="shared" si="83"/>
        <v>0</v>
      </c>
      <c r="AU342" s="13">
        <f>ROUNDUP(($AR342+$AT342)*VLOOKUP($AN342,Paraméterek!$P$38:$Q$38,2)/12,IF($D$4="Forint",0,2))</f>
        <v>0</v>
      </c>
      <c r="AV342" s="13"/>
      <c r="AW342" s="13"/>
      <c r="AX342" s="13">
        <f>ROUNDUP(IF(SUM($AV342:$AW342)=0,0,IF(IF(ISBLANK($AW342),$AV342,$AW342)*Paraméterek!$J$112&lt;IF($D$4="Forint",Paraméterek!$J$113,Paraméterek!$K$113),IF($D$4="Forint",Paraméterek!$J$113,Paraméterek!$K$113),IF(IF(ISBLANK($AW342),$AV342,$AW342)*Paraméterek!$J$112&gt;IF($D$4="Forint",Paraméterek!$J$114,Paraméterek!$K$114),IF($D$4="Forint",Paraméterek!$J$114,Paraméterek!$K$114),IF(ISBLANK($AW342),$AV342,$AW342)*Paraméterek!$J$112))),IF($D$4="Forint",0,2))</f>
        <v>0</v>
      </c>
      <c r="AY342" s="13">
        <f>$AR342+$AT342-$AU342-IF(ROUNDDOWN(IF(ISBLANK($AW342),$AV342,$AW342),IF($D$4="Forint",0,2))&gt;$AR342+$AT342-$AU342-IF($D$4="Forint",Paraméterek!$J$114,Paraméterek!$K$114),0,ROUNDDOWN(IF(ISBLANK($AW342),$AV342,$AW342),IF($D$4="Forint",0,2))-$AX342)</f>
        <v>0</v>
      </c>
      <c r="AZ342" s="13">
        <f t="shared" si="84"/>
        <v>0</v>
      </c>
    </row>
    <row r="343" spans="1:52" x14ac:dyDescent="0.2">
      <c r="A343" s="32">
        <v>324</v>
      </c>
      <c r="B343" s="32">
        <v>27</v>
      </c>
      <c r="C343" s="32">
        <v>12</v>
      </c>
      <c r="D343" s="13">
        <f t="shared" si="75"/>
        <v>0</v>
      </c>
      <c r="E343" s="13"/>
      <c r="F343" s="13"/>
      <c r="G343" s="13"/>
      <c r="H343" s="13">
        <f t="shared" si="76"/>
        <v>0</v>
      </c>
      <c r="I343" s="13">
        <f t="shared" si="77"/>
        <v>0</v>
      </c>
      <c r="J343" s="13">
        <f t="shared" si="78"/>
        <v>0</v>
      </c>
      <c r="K343" s="13">
        <f>ROUNDUP(IF($D$2="Egyszeri",$D343,IF($D$2="Havi",SUM($D$20:$D$31),IF(MOD($C343,$M$1)-1=0,SUM($D$20:$D$31),0))/12*$M$1)*VLOOKUP($B343,Paraméterek!$B$27:$D$30,IF($D$2="Egyszeri",3,2)),IF($D$4="Forint",0,2))</f>
        <v>0</v>
      </c>
      <c r="L343" s="13">
        <f t="shared" si="79"/>
        <v>0</v>
      </c>
      <c r="M343" s="13">
        <f t="shared" ca="1" si="85"/>
        <v>-197035</v>
      </c>
      <c r="N343" s="13">
        <f ca="1">IF($V342&gt;=VLOOKUP($M$4-1+$B343,Paraméterek!$B$121:$D$122,IF($D$4="Forint",2,3)),0,VLOOKUP($M$4-1+$B343,Paraméterek!$B$121:$D$122,IF($D$4="Forint",2,3))-$V342)</f>
        <v>207035</v>
      </c>
      <c r="O343" s="13">
        <f ca="1">ROUNDUP($N343*Paraméterek!$C$58/Paraméterek!$C$56,IF($D$4="Forint",0,2))</f>
        <v>33</v>
      </c>
      <c r="P343" s="13">
        <f t="shared" si="80"/>
        <v>1187</v>
      </c>
      <c r="Q343" s="33"/>
      <c r="R343" s="13">
        <f t="shared" ca="1" si="81"/>
        <v>0</v>
      </c>
      <c r="S343" s="13">
        <f ca="1">ROUNDUP(($M343-$O343-$P343+$R343)*VLOOKUP($B343,Paraméterek!$B$38:$D$39,IF($D$2="Egyszeri",3,2))/12,IF($D$4="Forint",0,2))</f>
        <v>-485</v>
      </c>
      <c r="T343" s="13">
        <f>Tranzakciók!$F$58</f>
        <v>0</v>
      </c>
      <c r="U343" s="13"/>
      <c r="V343" s="13">
        <f ca="1">$M343-$O343-$P343+$R343-$S343-IF(ROUNDUP(IF(ISBLANK($U343),$T343,$U343)/IF(AND($B343=1,$D$2&lt;&gt;"Egyszeri"),1,VLOOKUP($B343+IF($C343=12,1,0),Paraméterek!$B$257:$D$267,IF($D$2="Egyszeri",3,2))),IF($D$4="Forint",0,2))&gt;$M343-$O343-$P343+$R343-$S343-IF($D$4="Forint",Paraméterek!$C$216,Paraméterek!$D$216),0,ROUNDUP(IF(ISBLANK($U343),$T343,$U343)/IF(AND($B343=1,$D$2&lt;&gt;"Egyszeri"),1,VLOOKUP($B343+IF($C343=12,1,0),Paraméterek!$B$257:$D$267,IF($D$2="Egyszeri",3,2))),IF($D$4="Forint",0,2)))</f>
        <v>-197770</v>
      </c>
      <c r="W343" s="13">
        <f ca="1">ROUNDDOWN($V343*VLOOKUP($B343+IF($C343=12,1,0),Paraméterek!$B$257:$D$267,IF($D$2="Egyszeri",3,2)),IF($D$4="Forint",0,2))</f>
        <v>-197770</v>
      </c>
      <c r="Y343" s="32">
        <v>324</v>
      </c>
      <c r="Z343" s="32">
        <v>27</v>
      </c>
      <c r="AA343" s="32">
        <v>12</v>
      </c>
      <c r="AB343" s="13">
        <f t="shared" si="86"/>
        <v>0</v>
      </c>
      <c r="AC343" s="33"/>
      <c r="AD343" s="13">
        <f t="shared" si="82"/>
        <v>0</v>
      </c>
      <c r="AE343" s="13">
        <f>ROUNDUP(($AB343+$AD343)*VLOOKUP($Z343,Paraméterek!$P$38:$Q$38,2)/12,IF($D$4="Forint",0,2))</f>
        <v>0</v>
      </c>
      <c r="AF343" s="13">
        <f>IF($D$2="Egyszeri",IF($D$7&gt;=IF($D$4="Forint",Paraméterek!$P$223,Paraméterek!$P$224),$D$7-IF($D$4="Forint",Paraméterek!$F$223,Paraméterek!$F$224),0),MIN(IF($AA343=12,AVERAGE($D$20:$D343)*12,0),SUM($D$20:$D$31)))</f>
        <v>0</v>
      </c>
      <c r="AG343" s="13">
        <f>IF(AND($Z343&gt;=10,MOD($Z343,5)=0),$AF343*IF($AA343=12,VLOOKUP($Z343,Paraméterek!$B$225:$F$240,IF($AF343&lt;IF($D$4="Forint",Paraméterek!$C$223,Paraméterek!$C$224),2,IF($AF343&lt;IF($D$4="Forint",Paraméterek!$D$223,Paraméterek!$D$224),3,4))),0),0)</f>
        <v>0</v>
      </c>
      <c r="AH343" s="13">
        <f>IF(AND($Z343&gt;=5,MOD($Z343,5)=0),IF($AA343=12,VLOOKUP($Z343,Paraméterek!$B$225:$F$240,5),0),IF(OR($Z343=3,$Z343=4),IF($AA343=12,VLOOKUP($Z343,Paraméterek!$B$225:$F$240,5,0),0),0))*$AF343</f>
        <v>0</v>
      </c>
      <c r="AI343" s="13">
        <f>ROUNDDOWN(IF(SUM($T$20:$U343)=0,IF($D$2="Egyszeri",$AH343,$AG343),0),IF($D$4="Forint",0,2))</f>
        <v>0</v>
      </c>
      <c r="AJ343" s="13">
        <f t="shared" si="87"/>
        <v>0</v>
      </c>
      <c r="AK343" s="13">
        <f t="shared" si="88"/>
        <v>0</v>
      </c>
      <c r="AM343" s="32">
        <v>324</v>
      </c>
      <c r="AN343" s="32">
        <v>27</v>
      </c>
      <c r="AO343" s="32">
        <v>12</v>
      </c>
      <c r="AP343" s="13"/>
      <c r="AQ343" s="32"/>
      <c r="AR343" s="13">
        <f t="shared" si="89"/>
        <v>0</v>
      </c>
      <c r="AS343" s="33"/>
      <c r="AT343" s="13">
        <f t="shared" si="83"/>
        <v>0</v>
      </c>
      <c r="AU343" s="13">
        <f>ROUNDUP(($AR343+$AT343)*VLOOKUP($AN343,Paraméterek!$P$38:$Q$38,2)/12,IF($D$4="Forint",0,2))</f>
        <v>0</v>
      </c>
      <c r="AV343" s="13">
        <f>Tranzakciók!$M$58</f>
        <v>0</v>
      </c>
      <c r="AW343" s="13"/>
      <c r="AX343" s="13">
        <f>ROUNDUP(IF(SUM($AV343:$AW343)=0,0,IF(IF(ISBLANK($AW343),$AV343,$AW343)*Paraméterek!$J$112&lt;IF($D$4="Forint",Paraméterek!$J$113,Paraméterek!$K$113),IF($D$4="Forint",Paraméterek!$J$113,Paraméterek!$K$113),IF(IF(ISBLANK($AW343),$AV343,$AW343)*Paraméterek!$J$112&gt;IF($D$4="Forint",Paraméterek!$J$114,Paraméterek!$K$114),IF($D$4="Forint",Paraméterek!$J$114,Paraméterek!$K$114),IF(ISBLANK($AW343),$AV343,$AW343)*Paraméterek!$J$112))),IF($D$4="Forint",0,2))</f>
        <v>0</v>
      </c>
      <c r="AY343" s="13">
        <f>$AR343+$AT343-$AU343-IF(ROUNDDOWN(IF(ISBLANK($AW343),$AV343,$AW343),IF($D$4="Forint",0,2))&gt;$AR343+$AT343-$AU343-IF($D$4="Forint",Paraméterek!$J$114,Paraméterek!$K$114),0,ROUNDDOWN(IF(ISBLANK($AW343),$AV343,$AW343),IF($D$4="Forint",0,2))-$AX343)</f>
        <v>0</v>
      </c>
      <c r="AZ343" s="13">
        <f t="shared" si="84"/>
        <v>0</v>
      </c>
    </row>
    <row r="344" spans="1:52" x14ac:dyDescent="0.2">
      <c r="A344" s="32">
        <v>325</v>
      </c>
      <c r="B344" s="32">
        <v>28</v>
      </c>
      <c r="C344" s="32">
        <v>1</v>
      </c>
      <c r="D344" s="13">
        <f t="shared" si="75"/>
        <v>0</v>
      </c>
      <c r="E344" s="13"/>
      <c r="F344" s="13">
        <f>Tranzakciók!$D$59</f>
        <v>0</v>
      </c>
      <c r="G344" s="13"/>
      <c r="H344" s="13">
        <f t="shared" si="76"/>
        <v>0</v>
      </c>
      <c r="I344" s="13">
        <f t="shared" si="77"/>
        <v>223</v>
      </c>
      <c r="J344" s="13">
        <f t="shared" si="78"/>
        <v>223</v>
      </c>
      <c r="K344" s="13">
        <f>ROUNDUP(IF($D$2="Egyszeri",$D344,IF($D$2="Havi",SUM($D$20:$D$31),IF(MOD($C344,$M$1)-1=0,SUM($D$20:$D$31),0))/12*$M$1)*VLOOKUP($B344,Paraméterek!$B$27:$D$30,IF($D$2="Egyszeri",3,2)),IF($D$4="Forint",0,2))</f>
        <v>0</v>
      </c>
      <c r="L344" s="13">
        <f t="shared" si="79"/>
        <v>0</v>
      </c>
      <c r="M344" s="13">
        <f t="shared" ca="1" si="85"/>
        <v>-197770</v>
      </c>
      <c r="N344" s="13">
        <f ca="1">IF($V343&gt;=VLOOKUP($M$4-1+$B344,Paraméterek!$B$121:$D$122,IF($D$4="Forint",2,3)),0,VLOOKUP($M$4-1+$B344,Paraméterek!$B$121:$D$122,IF($D$4="Forint",2,3))-$V343)</f>
        <v>207770</v>
      </c>
      <c r="O344" s="13">
        <f ca="1">ROUNDUP($N344*Paraméterek!$C$58/Paraméterek!$C$56,IF($D$4="Forint",0,2))</f>
        <v>34</v>
      </c>
      <c r="P344" s="13">
        <f t="shared" si="80"/>
        <v>1222</v>
      </c>
      <c r="Q344" s="33"/>
      <c r="R344" s="13">
        <f t="shared" ca="1" si="81"/>
        <v>0</v>
      </c>
      <c r="S344" s="13">
        <f ca="1">ROUNDUP(($M344-$O344-$P344+$R344)*VLOOKUP($B344,Paraméterek!$B$38:$D$39,IF($D$2="Egyszeri",3,2))/12,IF($D$4="Forint",0,2))</f>
        <v>-486</v>
      </c>
      <c r="T344" s="13"/>
      <c r="U344" s="13"/>
      <c r="V344" s="13">
        <f ca="1">$M344-$O344-$P344+$R344-$S344-IF(ROUNDUP(IF(ISBLANK($U344),$T344,$U344)/IF(AND($B344=1,$D$2&lt;&gt;"Egyszeri"),1,VLOOKUP($B344+IF($C344=12,1,0),Paraméterek!$B$257:$D$267,IF($D$2="Egyszeri",3,2))),IF($D$4="Forint",0,2))&gt;$M344-$O344-$P344+$R344-$S344-IF($D$4="Forint",Paraméterek!$C$216,Paraméterek!$D$216),0,ROUNDUP(IF(ISBLANK($U344),$T344,$U344)/IF(AND($B344=1,$D$2&lt;&gt;"Egyszeri"),1,VLOOKUP($B344+IF($C344=12,1,0),Paraméterek!$B$257:$D$267,IF($D$2="Egyszeri",3,2))),IF($D$4="Forint",0,2)))</f>
        <v>-198540</v>
      </c>
      <c r="W344" s="13">
        <f ca="1">ROUNDDOWN($V344*VLOOKUP($B344+IF($C344=12,1,0),Paraméterek!$B$257:$D$267,IF($D$2="Egyszeri",3,2)),IF($D$4="Forint",0,2))</f>
        <v>-198540</v>
      </c>
      <c r="Y344" s="32">
        <v>325</v>
      </c>
      <c r="Z344" s="32">
        <v>28</v>
      </c>
      <c r="AA344" s="32">
        <v>1</v>
      </c>
      <c r="AB344" s="13">
        <f t="shared" si="86"/>
        <v>0</v>
      </c>
      <c r="AC344" s="33"/>
      <c r="AD344" s="13">
        <f t="shared" si="82"/>
        <v>0</v>
      </c>
      <c r="AE344" s="13">
        <f>ROUNDUP(($AB344+$AD344)*VLOOKUP($Z344,Paraméterek!$P$38:$Q$38,2)/12,IF($D$4="Forint",0,2))</f>
        <v>0</v>
      </c>
      <c r="AF344" s="13">
        <f>IF($D$2="Egyszeri",IF($D$7&gt;=IF($D$4="Forint",Paraméterek!$P$223,Paraméterek!$P$224),$D$7-IF($D$4="Forint",Paraméterek!$F$223,Paraméterek!$F$224),0),MIN(IF($AA344=12,AVERAGE($D$20:$D344)*12,0),SUM($D$20:$D$31)))</f>
        <v>0</v>
      </c>
      <c r="AG344" s="13">
        <f>IF(AND($Z344&gt;=10,MOD($Z344,5)=0),$AF344*IF($AA344=12,VLOOKUP($Z344,Paraméterek!$B$225:$F$240,IF($AF344&lt;IF($D$4="Forint",Paraméterek!$C$223,Paraméterek!$C$224),2,IF($AF344&lt;IF($D$4="Forint",Paraméterek!$D$223,Paraméterek!$D$224),3,4))),0),0)</f>
        <v>0</v>
      </c>
      <c r="AH344" s="13">
        <f>IF(AND($Z344&gt;=5,MOD($Z344,5)=0),IF($AA344=12,VLOOKUP($Z344,Paraméterek!$B$225:$F$240,5),0),IF(OR($Z344=3,$Z344=4),IF($AA344=12,VLOOKUP($Z344,Paraméterek!$B$225:$F$240,5,0),0),0))*$AF344</f>
        <v>0</v>
      </c>
      <c r="AI344" s="13">
        <f>ROUNDDOWN(IF(SUM($T$20:$U344)=0,IF($D$2="Egyszeri",$AH344,$AG344),0),IF($D$4="Forint",0,2))</f>
        <v>0</v>
      </c>
      <c r="AJ344" s="13">
        <f t="shared" si="87"/>
        <v>0</v>
      </c>
      <c r="AK344" s="13">
        <f t="shared" si="88"/>
        <v>0</v>
      </c>
      <c r="AM344" s="32">
        <v>325</v>
      </c>
      <c r="AN344" s="32">
        <v>28</v>
      </c>
      <c r="AO344" s="32">
        <v>1</v>
      </c>
      <c r="AP344" s="13">
        <f>Tranzakciók!$K$59</f>
        <v>0</v>
      </c>
      <c r="AQ344" s="32"/>
      <c r="AR344" s="13">
        <f t="shared" si="89"/>
        <v>0</v>
      </c>
      <c r="AS344" s="33"/>
      <c r="AT344" s="13">
        <f t="shared" si="83"/>
        <v>0</v>
      </c>
      <c r="AU344" s="13">
        <f>ROUNDUP(($AR344+$AT344)*VLOOKUP($AN344,Paraméterek!$P$38:$Q$38,2)/12,IF($D$4="Forint",0,2))</f>
        <v>0</v>
      </c>
      <c r="AV344" s="13"/>
      <c r="AW344" s="13"/>
      <c r="AX344" s="13">
        <f>ROUNDUP(IF(SUM($AV344:$AW344)=0,0,IF(IF(ISBLANK($AW344),$AV344,$AW344)*Paraméterek!$J$112&lt;IF($D$4="Forint",Paraméterek!$J$113,Paraméterek!$K$113),IF($D$4="Forint",Paraméterek!$J$113,Paraméterek!$K$113),IF(IF(ISBLANK($AW344),$AV344,$AW344)*Paraméterek!$J$112&gt;IF($D$4="Forint",Paraméterek!$J$114,Paraméterek!$K$114),IF($D$4="Forint",Paraméterek!$J$114,Paraméterek!$K$114),IF(ISBLANK($AW344),$AV344,$AW344)*Paraméterek!$J$112))),IF($D$4="Forint",0,2))</f>
        <v>0</v>
      </c>
      <c r="AY344" s="13">
        <f>$AR344+$AT344-$AU344-IF(ROUNDDOWN(IF(ISBLANK($AW344),$AV344,$AW344),IF($D$4="Forint",0,2))&gt;$AR344+$AT344-$AU344-IF($D$4="Forint",Paraméterek!$J$114,Paraméterek!$K$114),0,ROUNDDOWN(IF(ISBLANK($AW344),$AV344,$AW344),IF($D$4="Forint",0,2))-$AX344)</f>
        <v>0</v>
      </c>
      <c r="AZ344" s="13">
        <f t="shared" si="84"/>
        <v>0</v>
      </c>
    </row>
    <row r="345" spans="1:52" x14ac:dyDescent="0.2">
      <c r="A345" s="32">
        <v>326</v>
      </c>
      <c r="B345" s="32">
        <v>28</v>
      </c>
      <c r="C345" s="32">
        <v>2</v>
      </c>
      <c r="D345" s="13">
        <f t="shared" si="75"/>
        <v>0</v>
      </c>
      <c r="E345" s="13"/>
      <c r="F345" s="13"/>
      <c r="G345" s="13"/>
      <c r="H345" s="13">
        <f t="shared" si="76"/>
        <v>0</v>
      </c>
      <c r="I345" s="13">
        <f t="shared" si="77"/>
        <v>0</v>
      </c>
      <c r="J345" s="13">
        <f t="shared" si="78"/>
        <v>0</v>
      </c>
      <c r="K345" s="13">
        <f>ROUNDUP(IF($D$2="Egyszeri",$D345,IF($D$2="Havi",SUM($D$20:$D$31),IF(MOD($C345,$M$1)-1=0,SUM($D$20:$D$31),0))/12*$M$1)*VLOOKUP($B345,Paraméterek!$B$27:$D$30,IF($D$2="Egyszeri",3,2)),IF($D$4="Forint",0,2))</f>
        <v>0</v>
      </c>
      <c r="L345" s="13">
        <f t="shared" si="79"/>
        <v>0</v>
      </c>
      <c r="M345" s="13">
        <f t="shared" ca="1" si="85"/>
        <v>-198540</v>
      </c>
      <c r="N345" s="13">
        <f ca="1">IF($V344&gt;=VLOOKUP($M$4-1+$B345,Paraméterek!$B$121:$D$122,IF($D$4="Forint",2,3)),0,VLOOKUP($M$4-1+$B345,Paraméterek!$B$121:$D$122,IF($D$4="Forint",2,3))-$V344)</f>
        <v>208540</v>
      </c>
      <c r="O345" s="13">
        <f ca="1">ROUNDUP($N345*Paraméterek!$C$58/Paraméterek!$C$56,IF($D$4="Forint",0,2))</f>
        <v>34</v>
      </c>
      <c r="P345" s="13">
        <f t="shared" si="80"/>
        <v>1222</v>
      </c>
      <c r="Q345" s="33"/>
      <c r="R345" s="13">
        <f t="shared" ca="1" si="81"/>
        <v>0</v>
      </c>
      <c r="S345" s="13">
        <f ca="1">ROUNDUP(($M345-$O345-$P345+$R345)*VLOOKUP($B345,Paraméterek!$B$38:$D$39,IF($D$2="Egyszeri",3,2))/12,IF($D$4="Forint",0,2))</f>
        <v>-488</v>
      </c>
      <c r="T345" s="13"/>
      <c r="U345" s="13"/>
      <c r="V345" s="13">
        <f ca="1">$M345-$O345-$P345+$R345-$S345-IF(ROUNDUP(IF(ISBLANK($U345),$T345,$U345)/IF(AND($B345=1,$D$2&lt;&gt;"Egyszeri"),1,VLOOKUP($B345+IF($C345=12,1,0),Paraméterek!$B$257:$D$267,IF($D$2="Egyszeri",3,2))),IF($D$4="Forint",0,2))&gt;$M345-$O345-$P345+$R345-$S345-IF($D$4="Forint",Paraméterek!$C$216,Paraméterek!$D$216),0,ROUNDUP(IF(ISBLANK($U345),$T345,$U345)/IF(AND($B345=1,$D$2&lt;&gt;"Egyszeri"),1,VLOOKUP($B345+IF($C345=12,1,0),Paraméterek!$B$257:$D$267,IF($D$2="Egyszeri",3,2))),IF($D$4="Forint",0,2)))</f>
        <v>-199308</v>
      </c>
      <c r="W345" s="13">
        <f ca="1">ROUNDDOWN($V345*VLOOKUP($B345+IF($C345=12,1,0),Paraméterek!$B$257:$D$267,IF($D$2="Egyszeri",3,2)),IF($D$4="Forint",0,2))</f>
        <v>-199308</v>
      </c>
      <c r="Y345" s="32">
        <v>326</v>
      </c>
      <c r="Z345" s="32">
        <v>28</v>
      </c>
      <c r="AA345" s="32">
        <v>2</v>
      </c>
      <c r="AB345" s="13">
        <f t="shared" si="86"/>
        <v>0</v>
      </c>
      <c r="AC345" s="33"/>
      <c r="AD345" s="13">
        <f t="shared" si="82"/>
        <v>0</v>
      </c>
      <c r="AE345" s="13">
        <f>ROUNDUP(($AB345+$AD345)*VLOOKUP($Z345,Paraméterek!$P$38:$Q$38,2)/12,IF($D$4="Forint",0,2))</f>
        <v>0</v>
      </c>
      <c r="AF345" s="13">
        <f>IF($D$2="Egyszeri",IF($D$7&gt;=IF($D$4="Forint",Paraméterek!$P$223,Paraméterek!$P$224),$D$7-IF($D$4="Forint",Paraméterek!$F$223,Paraméterek!$F$224),0),MIN(IF($AA345=12,AVERAGE($D$20:$D345)*12,0),SUM($D$20:$D$31)))</f>
        <v>0</v>
      </c>
      <c r="AG345" s="13">
        <f>IF(AND($Z345&gt;=10,MOD($Z345,5)=0),$AF345*IF($AA345=12,VLOOKUP($Z345,Paraméterek!$B$225:$F$240,IF($AF345&lt;IF($D$4="Forint",Paraméterek!$C$223,Paraméterek!$C$224),2,IF($AF345&lt;IF($D$4="Forint",Paraméterek!$D$223,Paraméterek!$D$224),3,4))),0),0)</f>
        <v>0</v>
      </c>
      <c r="AH345" s="13">
        <f>IF(AND($Z345&gt;=5,MOD($Z345,5)=0),IF($AA345=12,VLOOKUP($Z345,Paraméterek!$B$225:$F$240,5),0),IF(OR($Z345=3,$Z345=4),IF($AA345=12,VLOOKUP($Z345,Paraméterek!$B$225:$F$240,5,0),0),0))*$AF345</f>
        <v>0</v>
      </c>
      <c r="AI345" s="13">
        <f>ROUNDDOWN(IF(SUM($T$20:$U345)=0,IF($D$2="Egyszeri",$AH345,$AG345),0),IF($D$4="Forint",0,2))</f>
        <v>0</v>
      </c>
      <c r="AJ345" s="13">
        <f t="shared" si="87"/>
        <v>0</v>
      </c>
      <c r="AK345" s="13">
        <f t="shared" si="88"/>
        <v>0</v>
      </c>
      <c r="AM345" s="32">
        <v>326</v>
      </c>
      <c r="AN345" s="32">
        <v>28</v>
      </c>
      <c r="AO345" s="32">
        <v>2</v>
      </c>
      <c r="AP345" s="13"/>
      <c r="AQ345" s="32"/>
      <c r="AR345" s="13">
        <f t="shared" si="89"/>
        <v>0</v>
      </c>
      <c r="AS345" s="33"/>
      <c r="AT345" s="13">
        <f t="shared" si="83"/>
        <v>0</v>
      </c>
      <c r="AU345" s="13">
        <f>ROUNDUP(($AR345+$AT345)*VLOOKUP($AN345,Paraméterek!$P$38:$Q$38,2)/12,IF($D$4="Forint",0,2))</f>
        <v>0</v>
      </c>
      <c r="AV345" s="13"/>
      <c r="AW345" s="13"/>
      <c r="AX345" s="13">
        <f>ROUNDUP(IF(SUM($AV345:$AW345)=0,0,IF(IF(ISBLANK($AW345),$AV345,$AW345)*Paraméterek!$J$112&lt;IF($D$4="Forint",Paraméterek!$J$113,Paraméterek!$K$113),IF($D$4="Forint",Paraméterek!$J$113,Paraméterek!$K$113),IF(IF(ISBLANK($AW345),$AV345,$AW345)*Paraméterek!$J$112&gt;IF($D$4="Forint",Paraméterek!$J$114,Paraméterek!$K$114),IF($D$4="Forint",Paraméterek!$J$114,Paraméterek!$K$114),IF(ISBLANK($AW345),$AV345,$AW345)*Paraméterek!$J$112))),IF($D$4="Forint",0,2))</f>
        <v>0</v>
      </c>
      <c r="AY345" s="13">
        <f>$AR345+$AT345-$AU345-IF(ROUNDDOWN(IF(ISBLANK($AW345),$AV345,$AW345),IF($D$4="Forint",0,2))&gt;$AR345+$AT345-$AU345-IF($D$4="Forint",Paraméterek!$J$114,Paraméterek!$K$114),0,ROUNDDOWN(IF(ISBLANK($AW345),$AV345,$AW345),IF($D$4="Forint",0,2))-$AX345)</f>
        <v>0</v>
      </c>
      <c r="AZ345" s="13">
        <f t="shared" si="84"/>
        <v>0</v>
      </c>
    </row>
    <row r="346" spans="1:52" x14ac:dyDescent="0.2">
      <c r="A346" s="32">
        <v>327</v>
      </c>
      <c r="B346" s="32">
        <v>28</v>
      </c>
      <c r="C346" s="32">
        <v>3</v>
      </c>
      <c r="D346" s="13">
        <f t="shared" si="75"/>
        <v>0</v>
      </c>
      <c r="E346" s="13"/>
      <c r="F346" s="13"/>
      <c r="G346" s="13"/>
      <c r="H346" s="13">
        <f t="shared" si="76"/>
        <v>0</v>
      </c>
      <c r="I346" s="13">
        <f t="shared" si="77"/>
        <v>0</v>
      </c>
      <c r="J346" s="13">
        <f t="shared" si="78"/>
        <v>0</v>
      </c>
      <c r="K346" s="13">
        <f>ROUNDUP(IF($D$2="Egyszeri",$D346,IF($D$2="Havi",SUM($D$20:$D$31),IF(MOD($C346,$M$1)-1=0,SUM($D$20:$D$31),0))/12*$M$1)*VLOOKUP($B346,Paraméterek!$B$27:$D$30,IF($D$2="Egyszeri",3,2)),IF($D$4="Forint",0,2))</f>
        <v>0</v>
      </c>
      <c r="L346" s="13">
        <f t="shared" si="79"/>
        <v>0</v>
      </c>
      <c r="M346" s="13">
        <f t="shared" ca="1" si="85"/>
        <v>-199308</v>
      </c>
      <c r="N346" s="13">
        <f ca="1">IF($V345&gt;=VLOOKUP($M$4-1+$B346,Paraméterek!$B$121:$D$122,IF($D$4="Forint",2,3)),0,VLOOKUP($M$4-1+$B346,Paraméterek!$B$121:$D$122,IF($D$4="Forint",2,3))-$V345)</f>
        <v>209308</v>
      </c>
      <c r="O346" s="13">
        <f ca="1">ROUNDUP($N346*Paraméterek!$C$58/Paraméterek!$C$56,IF($D$4="Forint",0,2))</f>
        <v>34</v>
      </c>
      <c r="P346" s="13">
        <f t="shared" si="80"/>
        <v>1222</v>
      </c>
      <c r="Q346" s="33"/>
      <c r="R346" s="13">
        <f t="shared" ca="1" si="81"/>
        <v>0</v>
      </c>
      <c r="S346" s="13">
        <f ca="1">ROUNDUP(($M346-$O346-$P346+$R346)*VLOOKUP($B346,Paraméterek!$B$38:$D$39,IF($D$2="Egyszeri",3,2))/12,IF($D$4="Forint",0,2))</f>
        <v>-490</v>
      </c>
      <c r="T346" s="13"/>
      <c r="U346" s="13"/>
      <c r="V346" s="13">
        <f ca="1">$M346-$O346-$P346+$R346-$S346-IF(ROUNDUP(IF(ISBLANK($U346),$T346,$U346)/IF(AND($B346=1,$D$2&lt;&gt;"Egyszeri"),1,VLOOKUP($B346+IF($C346=12,1,0),Paraméterek!$B$257:$D$267,IF($D$2="Egyszeri",3,2))),IF($D$4="Forint",0,2))&gt;$M346-$O346-$P346+$R346-$S346-IF($D$4="Forint",Paraméterek!$C$216,Paraméterek!$D$216),0,ROUNDUP(IF(ISBLANK($U346),$T346,$U346)/IF(AND($B346=1,$D$2&lt;&gt;"Egyszeri"),1,VLOOKUP($B346+IF($C346=12,1,0),Paraméterek!$B$257:$D$267,IF($D$2="Egyszeri",3,2))),IF($D$4="Forint",0,2)))</f>
        <v>-200074</v>
      </c>
      <c r="W346" s="13">
        <f ca="1">ROUNDDOWN($V346*VLOOKUP($B346+IF($C346=12,1,0),Paraméterek!$B$257:$D$267,IF($D$2="Egyszeri",3,2)),IF($D$4="Forint",0,2))</f>
        <v>-200074</v>
      </c>
      <c r="Y346" s="32">
        <v>327</v>
      </c>
      <c r="Z346" s="32">
        <v>28</v>
      </c>
      <c r="AA346" s="32">
        <v>3</v>
      </c>
      <c r="AB346" s="13">
        <f t="shared" si="86"/>
        <v>0</v>
      </c>
      <c r="AC346" s="33"/>
      <c r="AD346" s="13">
        <f t="shared" si="82"/>
        <v>0</v>
      </c>
      <c r="AE346" s="13">
        <f>ROUNDUP(($AB346+$AD346)*VLOOKUP($Z346,Paraméterek!$P$38:$Q$38,2)/12,IF($D$4="Forint",0,2))</f>
        <v>0</v>
      </c>
      <c r="AF346" s="13">
        <f>IF($D$2="Egyszeri",IF($D$7&gt;=IF($D$4="Forint",Paraméterek!$P$223,Paraméterek!$P$224),$D$7-IF($D$4="Forint",Paraméterek!$F$223,Paraméterek!$F$224),0),MIN(IF($AA346=12,AVERAGE($D$20:$D346)*12,0),SUM($D$20:$D$31)))</f>
        <v>0</v>
      </c>
      <c r="AG346" s="13">
        <f>IF(AND($Z346&gt;=10,MOD($Z346,5)=0),$AF346*IF($AA346=12,VLOOKUP($Z346,Paraméterek!$B$225:$F$240,IF($AF346&lt;IF($D$4="Forint",Paraméterek!$C$223,Paraméterek!$C$224),2,IF($AF346&lt;IF($D$4="Forint",Paraméterek!$D$223,Paraméterek!$D$224),3,4))),0),0)</f>
        <v>0</v>
      </c>
      <c r="AH346" s="13">
        <f>IF(AND($Z346&gt;=5,MOD($Z346,5)=0),IF($AA346=12,VLOOKUP($Z346,Paraméterek!$B$225:$F$240,5),0),IF(OR($Z346=3,$Z346=4),IF($AA346=12,VLOOKUP($Z346,Paraméterek!$B$225:$F$240,5,0),0),0))*$AF346</f>
        <v>0</v>
      </c>
      <c r="AI346" s="13">
        <f>ROUNDDOWN(IF(SUM($T$20:$U346)=0,IF($D$2="Egyszeri",$AH346,$AG346),0),IF($D$4="Forint",0,2))</f>
        <v>0</v>
      </c>
      <c r="AJ346" s="13">
        <f t="shared" si="87"/>
        <v>0</v>
      </c>
      <c r="AK346" s="13">
        <f t="shared" si="88"/>
        <v>0</v>
      </c>
      <c r="AM346" s="32">
        <v>327</v>
      </c>
      <c r="AN346" s="32">
        <v>28</v>
      </c>
      <c r="AO346" s="32">
        <v>3</v>
      </c>
      <c r="AP346" s="13"/>
      <c r="AQ346" s="32"/>
      <c r="AR346" s="13">
        <f t="shared" si="89"/>
        <v>0</v>
      </c>
      <c r="AS346" s="33"/>
      <c r="AT346" s="13">
        <f t="shared" si="83"/>
        <v>0</v>
      </c>
      <c r="AU346" s="13">
        <f>ROUNDUP(($AR346+$AT346)*VLOOKUP($AN346,Paraméterek!$P$38:$Q$38,2)/12,IF($D$4="Forint",0,2))</f>
        <v>0</v>
      </c>
      <c r="AV346" s="13"/>
      <c r="AW346" s="13"/>
      <c r="AX346" s="13">
        <f>ROUNDUP(IF(SUM($AV346:$AW346)=0,0,IF(IF(ISBLANK($AW346),$AV346,$AW346)*Paraméterek!$J$112&lt;IF($D$4="Forint",Paraméterek!$J$113,Paraméterek!$K$113),IF($D$4="Forint",Paraméterek!$J$113,Paraméterek!$K$113),IF(IF(ISBLANK($AW346),$AV346,$AW346)*Paraméterek!$J$112&gt;IF($D$4="Forint",Paraméterek!$J$114,Paraméterek!$K$114),IF($D$4="Forint",Paraméterek!$J$114,Paraméterek!$K$114),IF(ISBLANK($AW346),$AV346,$AW346)*Paraméterek!$J$112))),IF($D$4="Forint",0,2))</f>
        <v>0</v>
      </c>
      <c r="AY346" s="13">
        <f>$AR346+$AT346-$AU346-IF(ROUNDDOWN(IF(ISBLANK($AW346),$AV346,$AW346),IF($D$4="Forint",0,2))&gt;$AR346+$AT346-$AU346-IF($D$4="Forint",Paraméterek!$J$114,Paraméterek!$K$114),0,ROUNDDOWN(IF(ISBLANK($AW346),$AV346,$AW346),IF($D$4="Forint",0,2))-$AX346)</f>
        <v>0</v>
      </c>
      <c r="AZ346" s="13">
        <f t="shared" si="84"/>
        <v>0</v>
      </c>
    </row>
    <row r="347" spans="1:52" x14ac:dyDescent="0.2">
      <c r="A347" s="32">
        <v>328</v>
      </c>
      <c r="B347" s="32">
        <v>28</v>
      </c>
      <c r="C347" s="32">
        <v>4</v>
      </c>
      <c r="D347" s="13">
        <f t="shared" si="75"/>
        <v>0</v>
      </c>
      <c r="E347" s="13"/>
      <c r="F347" s="13"/>
      <c r="G347" s="13"/>
      <c r="H347" s="13">
        <f t="shared" si="76"/>
        <v>0</v>
      </c>
      <c r="I347" s="13">
        <f t="shared" si="77"/>
        <v>0</v>
      </c>
      <c r="J347" s="13">
        <f t="shared" si="78"/>
        <v>0</v>
      </c>
      <c r="K347" s="13">
        <f>ROUNDUP(IF($D$2="Egyszeri",$D347,IF($D$2="Havi",SUM($D$20:$D$31),IF(MOD($C347,$M$1)-1=0,SUM($D$20:$D$31),0))/12*$M$1)*VLOOKUP($B347,Paraméterek!$B$27:$D$30,IF($D$2="Egyszeri",3,2)),IF($D$4="Forint",0,2))</f>
        <v>0</v>
      </c>
      <c r="L347" s="13">
        <f t="shared" si="79"/>
        <v>0</v>
      </c>
      <c r="M347" s="13">
        <f t="shared" ca="1" si="85"/>
        <v>-200074</v>
      </c>
      <c r="N347" s="13">
        <f ca="1">IF($V346&gt;=VLOOKUP($M$4-1+$B347,Paraméterek!$B$121:$D$122,IF($D$4="Forint",2,3)),0,VLOOKUP($M$4-1+$B347,Paraméterek!$B$121:$D$122,IF($D$4="Forint",2,3))-$V346)</f>
        <v>210074</v>
      </c>
      <c r="O347" s="13">
        <f ca="1">ROUNDUP($N347*Paraméterek!$C$58/Paraméterek!$C$56,IF($D$4="Forint",0,2))</f>
        <v>34</v>
      </c>
      <c r="P347" s="13">
        <f t="shared" si="80"/>
        <v>1222</v>
      </c>
      <c r="Q347" s="33"/>
      <c r="R347" s="13">
        <f t="shared" ca="1" si="81"/>
        <v>0</v>
      </c>
      <c r="S347" s="13">
        <f ca="1">ROUNDUP(($M347-$O347-$P347+$R347)*VLOOKUP($B347,Paraméterek!$B$38:$D$39,IF($D$2="Egyszeri",3,2))/12,IF($D$4="Forint",0,2))</f>
        <v>-492</v>
      </c>
      <c r="T347" s="13"/>
      <c r="U347" s="13"/>
      <c r="V347" s="13">
        <f ca="1">$M347-$O347-$P347+$R347-$S347-IF(ROUNDUP(IF(ISBLANK($U347),$T347,$U347)/IF(AND($B347=1,$D$2&lt;&gt;"Egyszeri"),1,VLOOKUP($B347+IF($C347=12,1,0),Paraméterek!$B$257:$D$267,IF($D$2="Egyszeri",3,2))),IF($D$4="Forint",0,2))&gt;$M347-$O347-$P347+$R347-$S347-IF($D$4="Forint",Paraméterek!$C$216,Paraméterek!$D$216),0,ROUNDUP(IF(ISBLANK($U347),$T347,$U347)/IF(AND($B347=1,$D$2&lt;&gt;"Egyszeri"),1,VLOOKUP($B347+IF($C347=12,1,0),Paraméterek!$B$257:$D$267,IF($D$2="Egyszeri",3,2))),IF($D$4="Forint",0,2)))</f>
        <v>-200838</v>
      </c>
      <c r="W347" s="13">
        <f ca="1">ROUNDDOWN($V347*VLOOKUP($B347+IF($C347=12,1,0),Paraméterek!$B$257:$D$267,IF($D$2="Egyszeri",3,2)),IF($D$4="Forint",0,2))</f>
        <v>-200838</v>
      </c>
      <c r="Y347" s="32">
        <v>328</v>
      </c>
      <c r="Z347" s="32">
        <v>28</v>
      </c>
      <c r="AA347" s="32">
        <v>4</v>
      </c>
      <c r="AB347" s="13">
        <f t="shared" si="86"/>
        <v>0</v>
      </c>
      <c r="AC347" s="33"/>
      <c r="AD347" s="13">
        <f t="shared" si="82"/>
        <v>0</v>
      </c>
      <c r="AE347" s="13">
        <f>ROUNDUP(($AB347+$AD347)*VLOOKUP($Z347,Paraméterek!$P$38:$Q$38,2)/12,IF($D$4="Forint",0,2))</f>
        <v>0</v>
      </c>
      <c r="AF347" s="13">
        <f>IF($D$2="Egyszeri",IF($D$7&gt;=IF($D$4="Forint",Paraméterek!$P$223,Paraméterek!$P$224),$D$7-IF($D$4="Forint",Paraméterek!$F$223,Paraméterek!$F$224),0),MIN(IF($AA347=12,AVERAGE($D$20:$D347)*12,0),SUM($D$20:$D$31)))</f>
        <v>0</v>
      </c>
      <c r="AG347" s="13">
        <f>IF(AND($Z347&gt;=10,MOD($Z347,5)=0),$AF347*IF($AA347=12,VLOOKUP($Z347,Paraméterek!$B$225:$F$240,IF($AF347&lt;IF($D$4="Forint",Paraméterek!$C$223,Paraméterek!$C$224),2,IF($AF347&lt;IF($D$4="Forint",Paraméterek!$D$223,Paraméterek!$D$224),3,4))),0),0)</f>
        <v>0</v>
      </c>
      <c r="AH347" s="13">
        <f>IF(AND($Z347&gt;=5,MOD($Z347,5)=0),IF($AA347=12,VLOOKUP($Z347,Paraméterek!$B$225:$F$240,5),0),IF(OR($Z347=3,$Z347=4),IF($AA347=12,VLOOKUP($Z347,Paraméterek!$B$225:$F$240,5,0),0),0))*$AF347</f>
        <v>0</v>
      </c>
      <c r="AI347" s="13">
        <f>ROUNDDOWN(IF(SUM($T$20:$U347)=0,IF($D$2="Egyszeri",$AH347,$AG347),0),IF($D$4="Forint",0,2))</f>
        <v>0</v>
      </c>
      <c r="AJ347" s="13">
        <f t="shared" si="87"/>
        <v>0</v>
      </c>
      <c r="AK347" s="13">
        <f t="shared" si="88"/>
        <v>0</v>
      </c>
      <c r="AM347" s="32">
        <v>328</v>
      </c>
      <c r="AN347" s="32">
        <v>28</v>
      </c>
      <c r="AO347" s="32">
        <v>4</v>
      </c>
      <c r="AP347" s="13"/>
      <c r="AQ347" s="32"/>
      <c r="AR347" s="13">
        <f t="shared" si="89"/>
        <v>0</v>
      </c>
      <c r="AS347" s="33"/>
      <c r="AT347" s="13">
        <f t="shared" si="83"/>
        <v>0</v>
      </c>
      <c r="AU347" s="13">
        <f>ROUNDUP(($AR347+$AT347)*VLOOKUP($AN347,Paraméterek!$P$38:$Q$38,2)/12,IF($D$4="Forint",0,2))</f>
        <v>0</v>
      </c>
      <c r="AV347" s="13"/>
      <c r="AW347" s="13"/>
      <c r="AX347" s="13">
        <f>ROUNDUP(IF(SUM($AV347:$AW347)=0,0,IF(IF(ISBLANK($AW347),$AV347,$AW347)*Paraméterek!$J$112&lt;IF($D$4="Forint",Paraméterek!$J$113,Paraméterek!$K$113),IF($D$4="Forint",Paraméterek!$J$113,Paraméterek!$K$113),IF(IF(ISBLANK($AW347),$AV347,$AW347)*Paraméterek!$J$112&gt;IF($D$4="Forint",Paraméterek!$J$114,Paraméterek!$K$114),IF($D$4="Forint",Paraméterek!$J$114,Paraméterek!$K$114),IF(ISBLANK($AW347),$AV347,$AW347)*Paraméterek!$J$112))),IF($D$4="Forint",0,2))</f>
        <v>0</v>
      </c>
      <c r="AY347" s="13">
        <f>$AR347+$AT347-$AU347-IF(ROUNDDOWN(IF(ISBLANK($AW347),$AV347,$AW347),IF($D$4="Forint",0,2))&gt;$AR347+$AT347-$AU347-IF($D$4="Forint",Paraméterek!$J$114,Paraméterek!$K$114),0,ROUNDDOWN(IF(ISBLANK($AW347),$AV347,$AW347),IF($D$4="Forint",0,2))-$AX347)</f>
        <v>0</v>
      </c>
      <c r="AZ347" s="13">
        <f t="shared" si="84"/>
        <v>0</v>
      </c>
    </row>
    <row r="348" spans="1:52" x14ac:dyDescent="0.2">
      <c r="A348" s="32">
        <v>329</v>
      </c>
      <c r="B348" s="32">
        <v>28</v>
      </c>
      <c r="C348" s="32">
        <v>5</v>
      </c>
      <c r="D348" s="13">
        <f t="shared" si="75"/>
        <v>0</v>
      </c>
      <c r="E348" s="13"/>
      <c r="F348" s="13"/>
      <c r="G348" s="13"/>
      <c r="H348" s="13">
        <f t="shared" si="76"/>
        <v>0</v>
      </c>
      <c r="I348" s="13">
        <f t="shared" si="77"/>
        <v>0</v>
      </c>
      <c r="J348" s="13">
        <f t="shared" si="78"/>
        <v>0</v>
      </c>
      <c r="K348" s="13">
        <f>ROUNDUP(IF($D$2="Egyszeri",$D348,IF($D$2="Havi",SUM($D$20:$D$31),IF(MOD($C348,$M$1)-1=0,SUM($D$20:$D$31),0))/12*$M$1)*VLOOKUP($B348,Paraméterek!$B$27:$D$30,IF($D$2="Egyszeri",3,2)),IF($D$4="Forint",0,2))</f>
        <v>0</v>
      </c>
      <c r="L348" s="13">
        <f t="shared" si="79"/>
        <v>0</v>
      </c>
      <c r="M348" s="13">
        <f t="shared" ca="1" si="85"/>
        <v>-200838</v>
      </c>
      <c r="N348" s="13">
        <f ca="1">IF($V347&gt;=VLOOKUP($M$4-1+$B348,Paraméterek!$B$121:$D$122,IF($D$4="Forint",2,3)),0,VLOOKUP($M$4-1+$B348,Paraméterek!$B$121:$D$122,IF($D$4="Forint",2,3))-$V347)</f>
        <v>210838</v>
      </c>
      <c r="O348" s="13">
        <f ca="1">ROUNDUP($N348*Paraméterek!$C$58/Paraméterek!$C$56,IF($D$4="Forint",0,2))</f>
        <v>34</v>
      </c>
      <c r="P348" s="13">
        <f t="shared" si="80"/>
        <v>1222</v>
      </c>
      <c r="Q348" s="33"/>
      <c r="R348" s="13">
        <f t="shared" ca="1" si="81"/>
        <v>0</v>
      </c>
      <c r="S348" s="13">
        <f ca="1">ROUNDUP(($M348-$O348-$P348+$R348)*VLOOKUP($B348,Paraméterek!$B$38:$D$39,IF($D$2="Egyszeri",3,2))/12,IF($D$4="Forint",0,2))</f>
        <v>-494</v>
      </c>
      <c r="T348" s="13"/>
      <c r="U348" s="13"/>
      <c r="V348" s="13">
        <f ca="1">$M348-$O348-$P348+$R348-$S348-IF(ROUNDUP(IF(ISBLANK($U348),$T348,$U348)/IF(AND($B348=1,$D$2&lt;&gt;"Egyszeri"),1,VLOOKUP($B348+IF($C348=12,1,0),Paraméterek!$B$257:$D$267,IF($D$2="Egyszeri",3,2))),IF($D$4="Forint",0,2))&gt;$M348-$O348-$P348+$R348-$S348-IF($D$4="Forint",Paraméterek!$C$216,Paraméterek!$D$216),0,ROUNDUP(IF(ISBLANK($U348),$T348,$U348)/IF(AND($B348=1,$D$2&lt;&gt;"Egyszeri"),1,VLOOKUP($B348+IF($C348=12,1,0),Paraméterek!$B$257:$D$267,IF($D$2="Egyszeri",3,2))),IF($D$4="Forint",0,2)))</f>
        <v>-201600</v>
      </c>
      <c r="W348" s="13">
        <f ca="1">ROUNDDOWN($V348*VLOOKUP($B348+IF($C348=12,1,0),Paraméterek!$B$257:$D$267,IF($D$2="Egyszeri",3,2)),IF($D$4="Forint",0,2))</f>
        <v>-201600</v>
      </c>
      <c r="Y348" s="32">
        <v>329</v>
      </c>
      <c r="Z348" s="32">
        <v>28</v>
      </c>
      <c r="AA348" s="32">
        <v>5</v>
      </c>
      <c r="AB348" s="13">
        <f t="shared" si="86"/>
        <v>0</v>
      </c>
      <c r="AC348" s="33"/>
      <c r="AD348" s="13">
        <f t="shared" si="82"/>
        <v>0</v>
      </c>
      <c r="AE348" s="13">
        <f>ROUNDUP(($AB348+$AD348)*VLOOKUP($Z348,Paraméterek!$P$38:$Q$38,2)/12,IF($D$4="Forint",0,2))</f>
        <v>0</v>
      </c>
      <c r="AF348" s="13">
        <f>IF($D$2="Egyszeri",IF($D$7&gt;=IF($D$4="Forint",Paraméterek!$P$223,Paraméterek!$P$224),$D$7-IF($D$4="Forint",Paraméterek!$F$223,Paraméterek!$F$224),0),MIN(IF($AA348=12,AVERAGE($D$20:$D348)*12,0),SUM($D$20:$D$31)))</f>
        <v>0</v>
      </c>
      <c r="AG348" s="13">
        <f>IF(AND($Z348&gt;=10,MOD($Z348,5)=0),$AF348*IF($AA348=12,VLOOKUP($Z348,Paraméterek!$B$225:$F$240,IF($AF348&lt;IF($D$4="Forint",Paraméterek!$C$223,Paraméterek!$C$224),2,IF($AF348&lt;IF($D$4="Forint",Paraméterek!$D$223,Paraméterek!$D$224),3,4))),0),0)</f>
        <v>0</v>
      </c>
      <c r="AH348" s="13">
        <f>IF(AND($Z348&gt;=5,MOD($Z348,5)=0),IF($AA348=12,VLOOKUP($Z348,Paraméterek!$B$225:$F$240,5),0),IF(OR($Z348=3,$Z348=4),IF($AA348=12,VLOOKUP($Z348,Paraméterek!$B$225:$F$240,5,0),0),0))*$AF348</f>
        <v>0</v>
      </c>
      <c r="AI348" s="13">
        <f>ROUNDDOWN(IF(SUM($T$20:$U348)=0,IF($D$2="Egyszeri",$AH348,$AG348),0),IF($D$4="Forint",0,2))</f>
        <v>0</v>
      </c>
      <c r="AJ348" s="13">
        <f t="shared" si="87"/>
        <v>0</v>
      </c>
      <c r="AK348" s="13">
        <f t="shared" si="88"/>
        <v>0</v>
      </c>
      <c r="AM348" s="32">
        <v>329</v>
      </c>
      <c r="AN348" s="32">
        <v>28</v>
      </c>
      <c r="AO348" s="32">
        <v>5</v>
      </c>
      <c r="AP348" s="13"/>
      <c r="AQ348" s="32"/>
      <c r="AR348" s="13">
        <f t="shared" si="89"/>
        <v>0</v>
      </c>
      <c r="AS348" s="33"/>
      <c r="AT348" s="13">
        <f t="shared" si="83"/>
        <v>0</v>
      </c>
      <c r="AU348" s="13">
        <f>ROUNDUP(($AR348+$AT348)*VLOOKUP($AN348,Paraméterek!$P$38:$Q$38,2)/12,IF($D$4="Forint",0,2))</f>
        <v>0</v>
      </c>
      <c r="AV348" s="13"/>
      <c r="AW348" s="13"/>
      <c r="AX348" s="13">
        <f>ROUNDUP(IF(SUM($AV348:$AW348)=0,0,IF(IF(ISBLANK($AW348),$AV348,$AW348)*Paraméterek!$J$112&lt;IF($D$4="Forint",Paraméterek!$J$113,Paraméterek!$K$113),IF($D$4="Forint",Paraméterek!$J$113,Paraméterek!$K$113),IF(IF(ISBLANK($AW348),$AV348,$AW348)*Paraméterek!$J$112&gt;IF($D$4="Forint",Paraméterek!$J$114,Paraméterek!$K$114),IF($D$4="Forint",Paraméterek!$J$114,Paraméterek!$K$114),IF(ISBLANK($AW348),$AV348,$AW348)*Paraméterek!$J$112))),IF($D$4="Forint",0,2))</f>
        <v>0</v>
      </c>
      <c r="AY348" s="13">
        <f>$AR348+$AT348-$AU348-IF(ROUNDDOWN(IF(ISBLANK($AW348),$AV348,$AW348),IF($D$4="Forint",0,2))&gt;$AR348+$AT348-$AU348-IF($D$4="Forint",Paraméterek!$J$114,Paraméterek!$K$114),0,ROUNDDOWN(IF(ISBLANK($AW348),$AV348,$AW348),IF($D$4="Forint",0,2))-$AX348)</f>
        <v>0</v>
      </c>
      <c r="AZ348" s="13">
        <f t="shared" si="84"/>
        <v>0</v>
      </c>
    </row>
    <row r="349" spans="1:52" x14ac:dyDescent="0.2">
      <c r="A349" s="32">
        <v>330</v>
      </c>
      <c r="B349" s="32">
        <v>28</v>
      </c>
      <c r="C349" s="32">
        <v>6</v>
      </c>
      <c r="D349" s="13">
        <f t="shared" si="75"/>
        <v>0</v>
      </c>
      <c r="E349" s="13"/>
      <c r="F349" s="13"/>
      <c r="G349" s="13"/>
      <c r="H349" s="13">
        <f t="shared" si="76"/>
        <v>0</v>
      </c>
      <c r="I349" s="13">
        <f t="shared" si="77"/>
        <v>0</v>
      </c>
      <c r="J349" s="13">
        <f t="shared" si="78"/>
        <v>0</v>
      </c>
      <c r="K349" s="13">
        <f>ROUNDUP(IF($D$2="Egyszeri",$D349,IF($D$2="Havi",SUM($D$20:$D$31),IF(MOD($C349,$M$1)-1=0,SUM($D$20:$D$31),0))/12*$M$1)*VLOOKUP($B349,Paraméterek!$B$27:$D$30,IF($D$2="Egyszeri",3,2)),IF($D$4="Forint",0,2))</f>
        <v>0</v>
      </c>
      <c r="L349" s="13">
        <f t="shared" si="79"/>
        <v>0</v>
      </c>
      <c r="M349" s="13">
        <f t="shared" ca="1" si="85"/>
        <v>-201600</v>
      </c>
      <c r="N349" s="13">
        <f ca="1">IF($V348&gt;=VLOOKUP($M$4-1+$B349,Paraméterek!$B$121:$D$122,IF($D$4="Forint",2,3)),0,VLOOKUP($M$4-1+$B349,Paraméterek!$B$121:$D$122,IF($D$4="Forint",2,3))-$V348)</f>
        <v>211600</v>
      </c>
      <c r="O349" s="13">
        <f ca="1">ROUNDUP($N349*Paraméterek!$C$58/Paraméterek!$C$56,IF($D$4="Forint",0,2))</f>
        <v>34</v>
      </c>
      <c r="P349" s="13">
        <f t="shared" si="80"/>
        <v>1222</v>
      </c>
      <c r="Q349" s="33"/>
      <c r="R349" s="13">
        <f t="shared" ca="1" si="81"/>
        <v>0</v>
      </c>
      <c r="S349" s="13">
        <f ca="1">ROUNDUP(($M349-$O349-$P349+$R349)*VLOOKUP($B349,Paraméterek!$B$38:$D$39,IF($D$2="Egyszeri",3,2))/12,IF($D$4="Forint",0,2))</f>
        <v>-496</v>
      </c>
      <c r="T349" s="13"/>
      <c r="U349" s="13"/>
      <c r="V349" s="13">
        <f ca="1">$M349-$O349-$P349+$R349-$S349-IF(ROUNDUP(IF(ISBLANK($U349),$T349,$U349)/IF(AND($B349=1,$D$2&lt;&gt;"Egyszeri"),1,VLOOKUP($B349+IF($C349=12,1,0),Paraméterek!$B$257:$D$267,IF($D$2="Egyszeri",3,2))),IF($D$4="Forint",0,2))&gt;$M349-$O349-$P349+$R349-$S349-IF($D$4="Forint",Paraméterek!$C$216,Paraméterek!$D$216),0,ROUNDUP(IF(ISBLANK($U349),$T349,$U349)/IF(AND($B349=1,$D$2&lt;&gt;"Egyszeri"),1,VLOOKUP($B349+IF($C349=12,1,0),Paraméterek!$B$257:$D$267,IF($D$2="Egyszeri",3,2))),IF($D$4="Forint",0,2)))</f>
        <v>-202360</v>
      </c>
      <c r="W349" s="13">
        <f ca="1">ROUNDDOWN($V349*VLOOKUP($B349+IF($C349=12,1,0),Paraméterek!$B$257:$D$267,IF($D$2="Egyszeri",3,2)),IF($D$4="Forint",0,2))</f>
        <v>-202360</v>
      </c>
      <c r="Y349" s="32">
        <v>330</v>
      </c>
      <c r="Z349" s="32">
        <v>28</v>
      </c>
      <c r="AA349" s="32">
        <v>6</v>
      </c>
      <c r="AB349" s="13">
        <f t="shared" si="86"/>
        <v>0</v>
      </c>
      <c r="AC349" s="33"/>
      <c r="AD349" s="13">
        <f t="shared" si="82"/>
        <v>0</v>
      </c>
      <c r="AE349" s="13">
        <f>ROUNDUP(($AB349+$AD349)*VLOOKUP($Z349,Paraméterek!$P$38:$Q$38,2)/12,IF($D$4="Forint",0,2))</f>
        <v>0</v>
      </c>
      <c r="AF349" s="13">
        <f>IF($D$2="Egyszeri",IF($D$7&gt;=IF($D$4="Forint",Paraméterek!$P$223,Paraméterek!$P$224),$D$7-IF($D$4="Forint",Paraméterek!$F$223,Paraméterek!$F$224),0),MIN(IF($AA349=12,AVERAGE($D$20:$D349)*12,0),SUM($D$20:$D$31)))</f>
        <v>0</v>
      </c>
      <c r="AG349" s="13">
        <f>IF(AND($Z349&gt;=10,MOD($Z349,5)=0),$AF349*IF($AA349=12,VLOOKUP($Z349,Paraméterek!$B$225:$F$240,IF($AF349&lt;IF($D$4="Forint",Paraméterek!$C$223,Paraméterek!$C$224),2,IF($AF349&lt;IF($D$4="Forint",Paraméterek!$D$223,Paraméterek!$D$224),3,4))),0),0)</f>
        <v>0</v>
      </c>
      <c r="AH349" s="13">
        <f>IF(AND($Z349&gt;=5,MOD($Z349,5)=0),IF($AA349=12,VLOOKUP($Z349,Paraméterek!$B$225:$F$240,5),0),IF(OR($Z349=3,$Z349=4),IF($AA349=12,VLOOKUP($Z349,Paraméterek!$B$225:$F$240,5,0),0),0))*$AF349</f>
        <v>0</v>
      </c>
      <c r="AI349" s="13">
        <f>ROUNDDOWN(IF(SUM($T$20:$U349)=0,IF($D$2="Egyszeri",$AH349,$AG349),0),IF($D$4="Forint",0,2))</f>
        <v>0</v>
      </c>
      <c r="AJ349" s="13">
        <f t="shared" si="87"/>
        <v>0</v>
      </c>
      <c r="AK349" s="13">
        <f t="shared" si="88"/>
        <v>0</v>
      </c>
      <c r="AM349" s="32">
        <v>330</v>
      </c>
      <c r="AN349" s="32">
        <v>28</v>
      </c>
      <c r="AO349" s="32">
        <v>6</v>
      </c>
      <c r="AP349" s="13"/>
      <c r="AQ349" s="32"/>
      <c r="AR349" s="13">
        <f t="shared" si="89"/>
        <v>0</v>
      </c>
      <c r="AS349" s="33"/>
      <c r="AT349" s="13">
        <f t="shared" si="83"/>
        <v>0</v>
      </c>
      <c r="AU349" s="13">
        <f>ROUNDUP(($AR349+$AT349)*VLOOKUP($AN349,Paraméterek!$P$38:$Q$38,2)/12,IF($D$4="Forint",0,2))</f>
        <v>0</v>
      </c>
      <c r="AV349" s="13"/>
      <c r="AW349" s="13"/>
      <c r="AX349" s="13">
        <f>ROUNDUP(IF(SUM($AV349:$AW349)=0,0,IF(IF(ISBLANK($AW349),$AV349,$AW349)*Paraméterek!$J$112&lt;IF($D$4="Forint",Paraméterek!$J$113,Paraméterek!$K$113),IF($D$4="Forint",Paraméterek!$J$113,Paraméterek!$K$113),IF(IF(ISBLANK($AW349),$AV349,$AW349)*Paraméterek!$J$112&gt;IF($D$4="Forint",Paraméterek!$J$114,Paraméterek!$K$114),IF($D$4="Forint",Paraméterek!$J$114,Paraméterek!$K$114),IF(ISBLANK($AW349),$AV349,$AW349)*Paraméterek!$J$112))),IF($D$4="Forint",0,2))</f>
        <v>0</v>
      </c>
      <c r="AY349" s="13">
        <f>$AR349+$AT349-$AU349-IF(ROUNDDOWN(IF(ISBLANK($AW349),$AV349,$AW349),IF($D$4="Forint",0,2))&gt;$AR349+$AT349-$AU349-IF($D$4="Forint",Paraméterek!$J$114,Paraméterek!$K$114),0,ROUNDDOWN(IF(ISBLANK($AW349),$AV349,$AW349),IF($D$4="Forint",0,2))-$AX349)</f>
        <v>0</v>
      </c>
      <c r="AZ349" s="13">
        <f t="shared" si="84"/>
        <v>0</v>
      </c>
    </row>
    <row r="350" spans="1:52" x14ac:dyDescent="0.2">
      <c r="A350" s="32">
        <v>331</v>
      </c>
      <c r="B350" s="32">
        <v>28</v>
      </c>
      <c r="C350" s="32">
        <v>7</v>
      </c>
      <c r="D350" s="13">
        <f t="shared" si="75"/>
        <v>0</v>
      </c>
      <c r="E350" s="13"/>
      <c r="F350" s="13"/>
      <c r="G350" s="13"/>
      <c r="H350" s="13">
        <f t="shared" si="76"/>
        <v>0</v>
      </c>
      <c r="I350" s="13">
        <f t="shared" si="77"/>
        <v>0</v>
      </c>
      <c r="J350" s="13">
        <f t="shared" si="78"/>
        <v>0</v>
      </c>
      <c r="K350" s="13">
        <f>ROUNDUP(IF($D$2="Egyszeri",$D350,IF($D$2="Havi",SUM($D$20:$D$31),IF(MOD($C350,$M$1)-1=0,SUM($D$20:$D$31),0))/12*$M$1)*VLOOKUP($B350,Paraméterek!$B$27:$D$30,IF($D$2="Egyszeri",3,2)),IF($D$4="Forint",0,2))</f>
        <v>0</v>
      </c>
      <c r="L350" s="13">
        <f t="shared" si="79"/>
        <v>0</v>
      </c>
      <c r="M350" s="13">
        <f t="shared" ca="1" si="85"/>
        <v>-202360</v>
      </c>
      <c r="N350" s="13">
        <f ca="1">IF($V349&gt;=VLOOKUP($M$4-1+$B350,Paraméterek!$B$121:$D$122,IF($D$4="Forint",2,3)),0,VLOOKUP($M$4-1+$B350,Paraméterek!$B$121:$D$122,IF($D$4="Forint",2,3))-$V349)</f>
        <v>212360</v>
      </c>
      <c r="O350" s="13">
        <f ca="1">ROUNDUP($N350*Paraméterek!$C$58/Paraméterek!$C$56,IF($D$4="Forint",0,2))</f>
        <v>34</v>
      </c>
      <c r="P350" s="13">
        <f t="shared" si="80"/>
        <v>1222</v>
      </c>
      <c r="Q350" s="33"/>
      <c r="R350" s="13">
        <f t="shared" ca="1" si="81"/>
        <v>0</v>
      </c>
      <c r="S350" s="13">
        <f ca="1">ROUNDUP(($M350-$O350-$P350+$R350)*VLOOKUP($B350,Paraméterek!$B$38:$D$39,IF($D$2="Egyszeri",3,2))/12,IF($D$4="Forint",0,2))</f>
        <v>-498</v>
      </c>
      <c r="T350" s="13"/>
      <c r="U350" s="13"/>
      <c r="V350" s="13">
        <f ca="1">$M350-$O350-$P350+$R350-$S350-IF(ROUNDUP(IF(ISBLANK($U350),$T350,$U350)/IF(AND($B350=1,$D$2&lt;&gt;"Egyszeri"),1,VLOOKUP($B350+IF($C350=12,1,0),Paraméterek!$B$257:$D$267,IF($D$2="Egyszeri",3,2))),IF($D$4="Forint",0,2))&gt;$M350-$O350-$P350+$R350-$S350-IF($D$4="Forint",Paraméterek!$C$216,Paraméterek!$D$216),0,ROUNDUP(IF(ISBLANK($U350),$T350,$U350)/IF(AND($B350=1,$D$2&lt;&gt;"Egyszeri"),1,VLOOKUP($B350+IF($C350=12,1,0),Paraméterek!$B$257:$D$267,IF($D$2="Egyszeri",3,2))),IF($D$4="Forint",0,2)))</f>
        <v>-203118</v>
      </c>
      <c r="W350" s="13">
        <f ca="1">ROUNDDOWN($V350*VLOOKUP($B350+IF($C350=12,1,0),Paraméterek!$B$257:$D$267,IF($D$2="Egyszeri",3,2)),IF($D$4="Forint",0,2))</f>
        <v>-203118</v>
      </c>
      <c r="Y350" s="32">
        <v>331</v>
      </c>
      <c r="Z350" s="32">
        <v>28</v>
      </c>
      <c r="AA350" s="32">
        <v>7</v>
      </c>
      <c r="AB350" s="13">
        <f t="shared" si="86"/>
        <v>0</v>
      </c>
      <c r="AC350" s="33"/>
      <c r="AD350" s="13">
        <f t="shared" si="82"/>
        <v>0</v>
      </c>
      <c r="AE350" s="13">
        <f>ROUNDUP(($AB350+$AD350)*VLOOKUP($Z350,Paraméterek!$P$38:$Q$38,2)/12,IF($D$4="Forint",0,2))</f>
        <v>0</v>
      </c>
      <c r="AF350" s="13">
        <f>IF($D$2="Egyszeri",IF($D$7&gt;=IF($D$4="Forint",Paraméterek!$P$223,Paraméterek!$P$224),$D$7-IF($D$4="Forint",Paraméterek!$F$223,Paraméterek!$F$224),0),MIN(IF($AA350=12,AVERAGE($D$20:$D350)*12,0),SUM($D$20:$D$31)))</f>
        <v>0</v>
      </c>
      <c r="AG350" s="13">
        <f>IF(AND($Z350&gt;=10,MOD($Z350,5)=0),$AF350*IF($AA350=12,VLOOKUP($Z350,Paraméterek!$B$225:$F$240,IF($AF350&lt;IF($D$4="Forint",Paraméterek!$C$223,Paraméterek!$C$224),2,IF($AF350&lt;IF($D$4="Forint",Paraméterek!$D$223,Paraméterek!$D$224),3,4))),0),0)</f>
        <v>0</v>
      </c>
      <c r="AH350" s="13">
        <f>IF(AND($Z350&gt;=5,MOD($Z350,5)=0),IF($AA350=12,VLOOKUP($Z350,Paraméterek!$B$225:$F$240,5),0),IF(OR($Z350=3,$Z350=4),IF($AA350=12,VLOOKUP($Z350,Paraméterek!$B$225:$F$240,5,0),0),0))*$AF350</f>
        <v>0</v>
      </c>
      <c r="AI350" s="13">
        <f>ROUNDDOWN(IF(SUM($T$20:$U350)=0,IF($D$2="Egyszeri",$AH350,$AG350),0),IF($D$4="Forint",0,2))</f>
        <v>0</v>
      </c>
      <c r="AJ350" s="13">
        <f t="shared" si="87"/>
        <v>0</v>
      </c>
      <c r="AK350" s="13">
        <f t="shared" si="88"/>
        <v>0</v>
      </c>
      <c r="AM350" s="32">
        <v>331</v>
      </c>
      <c r="AN350" s="32">
        <v>28</v>
      </c>
      <c r="AO350" s="32">
        <v>7</v>
      </c>
      <c r="AP350" s="13"/>
      <c r="AQ350" s="32"/>
      <c r="AR350" s="13">
        <f t="shared" si="89"/>
        <v>0</v>
      </c>
      <c r="AS350" s="33"/>
      <c r="AT350" s="13">
        <f t="shared" si="83"/>
        <v>0</v>
      </c>
      <c r="AU350" s="13">
        <f>ROUNDUP(($AR350+$AT350)*VLOOKUP($AN350,Paraméterek!$P$38:$Q$38,2)/12,IF($D$4="Forint",0,2))</f>
        <v>0</v>
      </c>
      <c r="AV350" s="13"/>
      <c r="AW350" s="13"/>
      <c r="AX350" s="13">
        <f>ROUNDUP(IF(SUM($AV350:$AW350)=0,0,IF(IF(ISBLANK($AW350),$AV350,$AW350)*Paraméterek!$J$112&lt;IF($D$4="Forint",Paraméterek!$J$113,Paraméterek!$K$113),IF($D$4="Forint",Paraméterek!$J$113,Paraméterek!$K$113),IF(IF(ISBLANK($AW350),$AV350,$AW350)*Paraméterek!$J$112&gt;IF($D$4="Forint",Paraméterek!$J$114,Paraméterek!$K$114),IF($D$4="Forint",Paraméterek!$J$114,Paraméterek!$K$114),IF(ISBLANK($AW350),$AV350,$AW350)*Paraméterek!$J$112))),IF($D$4="Forint",0,2))</f>
        <v>0</v>
      </c>
      <c r="AY350" s="13">
        <f>$AR350+$AT350-$AU350-IF(ROUNDDOWN(IF(ISBLANK($AW350),$AV350,$AW350),IF($D$4="Forint",0,2))&gt;$AR350+$AT350-$AU350-IF($D$4="Forint",Paraméterek!$J$114,Paraméterek!$K$114),0,ROUNDDOWN(IF(ISBLANK($AW350),$AV350,$AW350),IF($D$4="Forint",0,2))-$AX350)</f>
        <v>0</v>
      </c>
      <c r="AZ350" s="13">
        <f t="shared" si="84"/>
        <v>0</v>
      </c>
    </row>
    <row r="351" spans="1:52" x14ac:dyDescent="0.2">
      <c r="A351" s="32">
        <v>332</v>
      </c>
      <c r="B351" s="32">
        <v>28</v>
      </c>
      <c r="C351" s="32">
        <v>8</v>
      </c>
      <c r="D351" s="13">
        <f t="shared" si="75"/>
        <v>0</v>
      </c>
      <c r="E351" s="13"/>
      <c r="F351" s="13"/>
      <c r="G351" s="13"/>
      <c r="H351" s="13">
        <f t="shared" si="76"/>
        <v>0</v>
      </c>
      <c r="I351" s="13">
        <f t="shared" si="77"/>
        <v>0</v>
      </c>
      <c r="J351" s="13">
        <f t="shared" si="78"/>
        <v>0</v>
      </c>
      <c r="K351" s="13">
        <f>ROUNDUP(IF($D$2="Egyszeri",$D351,IF($D$2="Havi",SUM($D$20:$D$31),IF(MOD($C351,$M$1)-1=0,SUM($D$20:$D$31),0))/12*$M$1)*VLOOKUP($B351,Paraméterek!$B$27:$D$30,IF($D$2="Egyszeri",3,2)),IF($D$4="Forint",0,2))</f>
        <v>0</v>
      </c>
      <c r="L351" s="13">
        <f t="shared" si="79"/>
        <v>0</v>
      </c>
      <c r="M351" s="13">
        <f t="shared" ca="1" si="85"/>
        <v>-203118</v>
      </c>
      <c r="N351" s="13">
        <f ca="1">IF($V350&gt;=VLOOKUP($M$4-1+$B351,Paraméterek!$B$121:$D$122,IF($D$4="Forint",2,3)),0,VLOOKUP($M$4-1+$B351,Paraméterek!$B$121:$D$122,IF($D$4="Forint",2,3))-$V350)</f>
        <v>213118</v>
      </c>
      <c r="O351" s="13">
        <f ca="1">ROUNDUP($N351*Paraméterek!$C$58/Paraméterek!$C$56,IF($D$4="Forint",0,2))</f>
        <v>34</v>
      </c>
      <c r="P351" s="13">
        <f t="shared" si="80"/>
        <v>1222</v>
      </c>
      <c r="Q351" s="33"/>
      <c r="R351" s="13">
        <f t="shared" ca="1" si="81"/>
        <v>0</v>
      </c>
      <c r="S351" s="13">
        <f ca="1">ROUNDUP(($M351-$O351-$P351+$R351)*VLOOKUP($B351,Paraméterek!$B$38:$D$39,IF($D$2="Egyszeri",3,2))/12,IF($D$4="Forint",0,2))</f>
        <v>-500</v>
      </c>
      <c r="T351" s="13"/>
      <c r="U351" s="13"/>
      <c r="V351" s="13">
        <f ca="1">$M351-$O351-$P351+$R351-$S351-IF(ROUNDUP(IF(ISBLANK($U351),$T351,$U351)/IF(AND($B351=1,$D$2&lt;&gt;"Egyszeri"),1,VLOOKUP($B351+IF($C351=12,1,0),Paraméterek!$B$257:$D$267,IF($D$2="Egyszeri",3,2))),IF($D$4="Forint",0,2))&gt;$M351-$O351-$P351+$R351-$S351-IF($D$4="Forint",Paraméterek!$C$216,Paraméterek!$D$216),0,ROUNDUP(IF(ISBLANK($U351),$T351,$U351)/IF(AND($B351=1,$D$2&lt;&gt;"Egyszeri"),1,VLOOKUP($B351+IF($C351=12,1,0),Paraméterek!$B$257:$D$267,IF($D$2="Egyszeri",3,2))),IF($D$4="Forint",0,2)))</f>
        <v>-203874</v>
      </c>
      <c r="W351" s="13">
        <f ca="1">ROUNDDOWN($V351*VLOOKUP($B351+IF($C351=12,1,0),Paraméterek!$B$257:$D$267,IF($D$2="Egyszeri",3,2)),IF($D$4="Forint",0,2))</f>
        <v>-203874</v>
      </c>
      <c r="Y351" s="32">
        <v>332</v>
      </c>
      <c r="Z351" s="32">
        <v>28</v>
      </c>
      <c r="AA351" s="32">
        <v>8</v>
      </c>
      <c r="AB351" s="13">
        <f t="shared" si="86"/>
        <v>0</v>
      </c>
      <c r="AC351" s="33"/>
      <c r="AD351" s="13">
        <f t="shared" si="82"/>
        <v>0</v>
      </c>
      <c r="AE351" s="13">
        <f>ROUNDUP(($AB351+$AD351)*VLOOKUP($Z351,Paraméterek!$P$38:$Q$38,2)/12,IF($D$4="Forint",0,2))</f>
        <v>0</v>
      </c>
      <c r="AF351" s="13">
        <f>IF($D$2="Egyszeri",IF($D$7&gt;=IF($D$4="Forint",Paraméterek!$P$223,Paraméterek!$P$224),$D$7-IF($D$4="Forint",Paraméterek!$F$223,Paraméterek!$F$224),0),MIN(IF($AA351=12,AVERAGE($D$20:$D351)*12,0),SUM($D$20:$D$31)))</f>
        <v>0</v>
      </c>
      <c r="AG351" s="13">
        <f>IF(AND($Z351&gt;=10,MOD($Z351,5)=0),$AF351*IF($AA351=12,VLOOKUP($Z351,Paraméterek!$B$225:$F$240,IF($AF351&lt;IF($D$4="Forint",Paraméterek!$C$223,Paraméterek!$C$224),2,IF($AF351&lt;IF($D$4="Forint",Paraméterek!$D$223,Paraméterek!$D$224),3,4))),0),0)</f>
        <v>0</v>
      </c>
      <c r="AH351" s="13">
        <f>IF(AND($Z351&gt;=5,MOD($Z351,5)=0),IF($AA351=12,VLOOKUP($Z351,Paraméterek!$B$225:$F$240,5),0),IF(OR($Z351=3,$Z351=4),IF($AA351=12,VLOOKUP($Z351,Paraméterek!$B$225:$F$240,5,0),0),0))*$AF351</f>
        <v>0</v>
      </c>
      <c r="AI351" s="13">
        <f>ROUNDDOWN(IF(SUM($T$20:$U351)=0,IF($D$2="Egyszeri",$AH351,$AG351),0),IF($D$4="Forint",0,2))</f>
        <v>0</v>
      </c>
      <c r="AJ351" s="13">
        <f t="shared" si="87"/>
        <v>0</v>
      </c>
      <c r="AK351" s="13">
        <f t="shared" si="88"/>
        <v>0</v>
      </c>
      <c r="AM351" s="32">
        <v>332</v>
      </c>
      <c r="AN351" s="32">
        <v>28</v>
      </c>
      <c r="AO351" s="32">
        <v>8</v>
      </c>
      <c r="AP351" s="13"/>
      <c r="AQ351" s="32"/>
      <c r="AR351" s="13">
        <f t="shared" si="89"/>
        <v>0</v>
      </c>
      <c r="AS351" s="33"/>
      <c r="AT351" s="13">
        <f t="shared" si="83"/>
        <v>0</v>
      </c>
      <c r="AU351" s="13">
        <f>ROUNDUP(($AR351+$AT351)*VLOOKUP($AN351,Paraméterek!$P$38:$Q$38,2)/12,IF($D$4="Forint",0,2))</f>
        <v>0</v>
      </c>
      <c r="AV351" s="13"/>
      <c r="AW351" s="13"/>
      <c r="AX351" s="13">
        <f>ROUNDUP(IF(SUM($AV351:$AW351)=0,0,IF(IF(ISBLANK($AW351),$AV351,$AW351)*Paraméterek!$J$112&lt;IF($D$4="Forint",Paraméterek!$J$113,Paraméterek!$K$113),IF($D$4="Forint",Paraméterek!$J$113,Paraméterek!$K$113),IF(IF(ISBLANK($AW351),$AV351,$AW351)*Paraméterek!$J$112&gt;IF($D$4="Forint",Paraméterek!$J$114,Paraméterek!$K$114),IF($D$4="Forint",Paraméterek!$J$114,Paraméterek!$K$114),IF(ISBLANK($AW351),$AV351,$AW351)*Paraméterek!$J$112))),IF($D$4="Forint",0,2))</f>
        <v>0</v>
      </c>
      <c r="AY351" s="13">
        <f>$AR351+$AT351-$AU351-IF(ROUNDDOWN(IF(ISBLANK($AW351),$AV351,$AW351),IF($D$4="Forint",0,2))&gt;$AR351+$AT351-$AU351-IF($D$4="Forint",Paraméterek!$J$114,Paraméterek!$K$114),0,ROUNDDOWN(IF(ISBLANK($AW351),$AV351,$AW351),IF($D$4="Forint",0,2))-$AX351)</f>
        <v>0</v>
      </c>
      <c r="AZ351" s="13">
        <f t="shared" si="84"/>
        <v>0</v>
      </c>
    </row>
    <row r="352" spans="1:52" x14ac:dyDescent="0.2">
      <c r="A352" s="32">
        <v>333</v>
      </c>
      <c r="B352" s="32">
        <v>28</v>
      </c>
      <c r="C352" s="32">
        <v>9</v>
      </c>
      <c r="D352" s="13">
        <f t="shared" si="75"/>
        <v>0</v>
      </c>
      <c r="E352" s="13"/>
      <c r="F352" s="13"/>
      <c r="G352" s="13"/>
      <c r="H352" s="13">
        <f t="shared" si="76"/>
        <v>0</v>
      </c>
      <c r="I352" s="13">
        <f t="shared" si="77"/>
        <v>0</v>
      </c>
      <c r="J352" s="13">
        <f t="shared" si="78"/>
        <v>0</v>
      </c>
      <c r="K352" s="13">
        <f>ROUNDUP(IF($D$2="Egyszeri",$D352,IF($D$2="Havi",SUM($D$20:$D$31),IF(MOD($C352,$M$1)-1=0,SUM($D$20:$D$31),0))/12*$M$1)*VLOOKUP($B352,Paraméterek!$B$27:$D$30,IF($D$2="Egyszeri",3,2)),IF($D$4="Forint",0,2))</f>
        <v>0</v>
      </c>
      <c r="L352" s="13">
        <f t="shared" si="79"/>
        <v>0</v>
      </c>
      <c r="M352" s="13">
        <f t="shared" ca="1" si="85"/>
        <v>-203874</v>
      </c>
      <c r="N352" s="13">
        <f ca="1">IF($V351&gt;=VLOOKUP($M$4-1+$B352,Paraméterek!$B$121:$D$122,IF($D$4="Forint",2,3)),0,VLOOKUP($M$4-1+$B352,Paraméterek!$B$121:$D$122,IF($D$4="Forint",2,3))-$V351)</f>
        <v>213874</v>
      </c>
      <c r="O352" s="13">
        <f ca="1">ROUNDUP($N352*Paraméterek!$C$58/Paraméterek!$C$56,IF($D$4="Forint",0,2))</f>
        <v>35</v>
      </c>
      <c r="P352" s="13">
        <f t="shared" si="80"/>
        <v>1222</v>
      </c>
      <c r="Q352" s="33"/>
      <c r="R352" s="13">
        <f t="shared" ca="1" si="81"/>
        <v>0</v>
      </c>
      <c r="S352" s="13">
        <f ca="1">ROUNDUP(($M352-$O352-$P352+$R352)*VLOOKUP($B352,Paraméterek!$B$38:$D$39,IF($D$2="Egyszeri",3,2))/12,IF($D$4="Forint",0,2))</f>
        <v>-501</v>
      </c>
      <c r="T352" s="13"/>
      <c r="U352" s="13"/>
      <c r="V352" s="13">
        <f ca="1">$M352-$O352-$P352+$R352-$S352-IF(ROUNDUP(IF(ISBLANK($U352),$T352,$U352)/IF(AND($B352=1,$D$2&lt;&gt;"Egyszeri"),1,VLOOKUP($B352+IF($C352=12,1,0),Paraméterek!$B$257:$D$267,IF($D$2="Egyszeri",3,2))),IF($D$4="Forint",0,2))&gt;$M352-$O352-$P352+$R352-$S352-IF($D$4="Forint",Paraméterek!$C$216,Paraméterek!$D$216),0,ROUNDUP(IF(ISBLANK($U352),$T352,$U352)/IF(AND($B352=1,$D$2&lt;&gt;"Egyszeri"),1,VLOOKUP($B352+IF($C352=12,1,0),Paraméterek!$B$257:$D$267,IF($D$2="Egyszeri",3,2))),IF($D$4="Forint",0,2)))</f>
        <v>-204630</v>
      </c>
      <c r="W352" s="13">
        <f ca="1">ROUNDDOWN($V352*VLOOKUP($B352+IF($C352=12,1,0),Paraméterek!$B$257:$D$267,IF($D$2="Egyszeri",3,2)),IF($D$4="Forint",0,2))</f>
        <v>-204630</v>
      </c>
      <c r="Y352" s="32">
        <v>333</v>
      </c>
      <c r="Z352" s="32">
        <v>28</v>
      </c>
      <c r="AA352" s="32">
        <v>9</v>
      </c>
      <c r="AB352" s="13">
        <f t="shared" si="86"/>
        <v>0</v>
      </c>
      <c r="AC352" s="33"/>
      <c r="AD352" s="13">
        <f t="shared" si="82"/>
        <v>0</v>
      </c>
      <c r="AE352" s="13">
        <f>ROUNDUP(($AB352+$AD352)*VLOOKUP($Z352,Paraméterek!$P$38:$Q$38,2)/12,IF($D$4="Forint",0,2))</f>
        <v>0</v>
      </c>
      <c r="AF352" s="13">
        <f>IF($D$2="Egyszeri",IF($D$7&gt;=IF($D$4="Forint",Paraméterek!$P$223,Paraméterek!$P$224),$D$7-IF($D$4="Forint",Paraméterek!$F$223,Paraméterek!$F$224),0),MIN(IF($AA352=12,AVERAGE($D$20:$D352)*12,0),SUM($D$20:$D$31)))</f>
        <v>0</v>
      </c>
      <c r="AG352" s="13">
        <f>IF(AND($Z352&gt;=10,MOD($Z352,5)=0),$AF352*IF($AA352=12,VLOOKUP($Z352,Paraméterek!$B$225:$F$240,IF($AF352&lt;IF($D$4="Forint",Paraméterek!$C$223,Paraméterek!$C$224),2,IF($AF352&lt;IF($D$4="Forint",Paraméterek!$D$223,Paraméterek!$D$224),3,4))),0),0)</f>
        <v>0</v>
      </c>
      <c r="AH352" s="13">
        <f>IF(AND($Z352&gt;=5,MOD($Z352,5)=0),IF($AA352=12,VLOOKUP($Z352,Paraméterek!$B$225:$F$240,5),0),IF(OR($Z352=3,$Z352=4),IF($AA352=12,VLOOKUP($Z352,Paraméterek!$B$225:$F$240,5,0),0),0))*$AF352</f>
        <v>0</v>
      </c>
      <c r="AI352" s="13">
        <f>ROUNDDOWN(IF(SUM($T$20:$U352)=0,IF($D$2="Egyszeri",$AH352,$AG352),0),IF($D$4="Forint",0,2))</f>
        <v>0</v>
      </c>
      <c r="AJ352" s="13">
        <f t="shared" si="87"/>
        <v>0</v>
      </c>
      <c r="AK352" s="13">
        <f t="shared" si="88"/>
        <v>0</v>
      </c>
      <c r="AM352" s="32">
        <v>333</v>
      </c>
      <c r="AN352" s="32">
        <v>28</v>
      </c>
      <c r="AO352" s="32">
        <v>9</v>
      </c>
      <c r="AP352" s="13"/>
      <c r="AQ352" s="32"/>
      <c r="AR352" s="13">
        <f t="shared" si="89"/>
        <v>0</v>
      </c>
      <c r="AS352" s="33"/>
      <c r="AT352" s="13">
        <f t="shared" si="83"/>
        <v>0</v>
      </c>
      <c r="AU352" s="13">
        <f>ROUNDUP(($AR352+$AT352)*VLOOKUP($AN352,Paraméterek!$P$38:$Q$38,2)/12,IF($D$4="Forint",0,2))</f>
        <v>0</v>
      </c>
      <c r="AV352" s="13"/>
      <c r="AW352" s="13"/>
      <c r="AX352" s="13">
        <f>ROUNDUP(IF(SUM($AV352:$AW352)=0,0,IF(IF(ISBLANK($AW352),$AV352,$AW352)*Paraméterek!$J$112&lt;IF($D$4="Forint",Paraméterek!$J$113,Paraméterek!$K$113),IF($D$4="Forint",Paraméterek!$J$113,Paraméterek!$K$113),IF(IF(ISBLANK($AW352),$AV352,$AW352)*Paraméterek!$J$112&gt;IF($D$4="Forint",Paraméterek!$J$114,Paraméterek!$K$114),IF($D$4="Forint",Paraméterek!$J$114,Paraméterek!$K$114),IF(ISBLANK($AW352),$AV352,$AW352)*Paraméterek!$J$112))),IF($D$4="Forint",0,2))</f>
        <v>0</v>
      </c>
      <c r="AY352" s="13">
        <f>$AR352+$AT352-$AU352-IF(ROUNDDOWN(IF(ISBLANK($AW352),$AV352,$AW352),IF($D$4="Forint",0,2))&gt;$AR352+$AT352-$AU352-IF($D$4="Forint",Paraméterek!$J$114,Paraméterek!$K$114),0,ROUNDDOWN(IF(ISBLANK($AW352),$AV352,$AW352),IF($D$4="Forint",0,2))-$AX352)</f>
        <v>0</v>
      </c>
      <c r="AZ352" s="13">
        <f t="shared" si="84"/>
        <v>0</v>
      </c>
    </row>
    <row r="353" spans="1:52" x14ac:dyDescent="0.2">
      <c r="A353" s="32">
        <v>334</v>
      </c>
      <c r="B353" s="32">
        <v>28</v>
      </c>
      <c r="C353" s="32">
        <v>10</v>
      </c>
      <c r="D353" s="13">
        <f t="shared" si="75"/>
        <v>0</v>
      </c>
      <c r="E353" s="13"/>
      <c r="F353" s="13"/>
      <c r="G353" s="13"/>
      <c r="H353" s="13">
        <f t="shared" si="76"/>
        <v>0</v>
      </c>
      <c r="I353" s="13">
        <f t="shared" si="77"/>
        <v>0</v>
      </c>
      <c r="J353" s="13">
        <f t="shared" si="78"/>
        <v>0</v>
      </c>
      <c r="K353" s="13">
        <f>ROUNDUP(IF($D$2="Egyszeri",$D353,IF($D$2="Havi",SUM($D$20:$D$31),IF(MOD($C353,$M$1)-1=0,SUM($D$20:$D$31),0))/12*$M$1)*VLOOKUP($B353,Paraméterek!$B$27:$D$30,IF($D$2="Egyszeri",3,2)),IF($D$4="Forint",0,2))</f>
        <v>0</v>
      </c>
      <c r="L353" s="13">
        <f t="shared" si="79"/>
        <v>0</v>
      </c>
      <c r="M353" s="13">
        <f t="shared" ca="1" si="85"/>
        <v>-204630</v>
      </c>
      <c r="N353" s="13">
        <f ca="1">IF($V352&gt;=VLOOKUP($M$4-1+$B353,Paraméterek!$B$121:$D$122,IF($D$4="Forint",2,3)),0,VLOOKUP($M$4-1+$B353,Paraméterek!$B$121:$D$122,IF($D$4="Forint",2,3))-$V352)</f>
        <v>214630</v>
      </c>
      <c r="O353" s="13">
        <f ca="1">ROUNDUP($N353*Paraméterek!$C$58/Paraméterek!$C$56,IF($D$4="Forint",0,2))</f>
        <v>35</v>
      </c>
      <c r="P353" s="13">
        <f t="shared" si="80"/>
        <v>1222</v>
      </c>
      <c r="Q353" s="33"/>
      <c r="R353" s="13">
        <f t="shared" ca="1" si="81"/>
        <v>0</v>
      </c>
      <c r="S353" s="13">
        <f ca="1">ROUNDUP(($M353-$O353-$P353+$R353)*VLOOKUP($B353,Paraméterek!$B$38:$D$39,IF($D$2="Egyszeri",3,2))/12,IF($D$4="Forint",0,2))</f>
        <v>-503</v>
      </c>
      <c r="T353" s="13"/>
      <c r="U353" s="13"/>
      <c r="V353" s="13">
        <f ca="1">$M353-$O353-$P353+$R353-$S353-IF(ROUNDUP(IF(ISBLANK($U353),$T353,$U353)/IF(AND($B353=1,$D$2&lt;&gt;"Egyszeri"),1,VLOOKUP($B353+IF($C353=12,1,0),Paraméterek!$B$257:$D$267,IF($D$2="Egyszeri",3,2))),IF($D$4="Forint",0,2))&gt;$M353-$O353-$P353+$R353-$S353-IF($D$4="Forint",Paraméterek!$C$216,Paraméterek!$D$216),0,ROUNDUP(IF(ISBLANK($U353),$T353,$U353)/IF(AND($B353=1,$D$2&lt;&gt;"Egyszeri"),1,VLOOKUP($B353+IF($C353=12,1,0),Paraméterek!$B$257:$D$267,IF($D$2="Egyszeri",3,2))),IF($D$4="Forint",0,2)))</f>
        <v>-205384</v>
      </c>
      <c r="W353" s="13">
        <f ca="1">ROUNDDOWN($V353*VLOOKUP($B353+IF($C353=12,1,0),Paraméterek!$B$257:$D$267,IF($D$2="Egyszeri",3,2)),IF($D$4="Forint",0,2))</f>
        <v>-205384</v>
      </c>
      <c r="Y353" s="32">
        <v>334</v>
      </c>
      <c r="Z353" s="32">
        <v>28</v>
      </c>
      <c r="AA353" s="32">
        <v>10</v>
      </c>
      <c r="AB353" s="13">
        <f t="shared" si="86"/>
        <v>0</v>
      </c>
      <c r="AC353" s="33"/>
      <c r="AD353" s="13">
        <f t="shared" si="82"/>
        <v>0</v>
      </c>
      <c r="AE353" s="13">
        <f>ROUNDUP(($AB353+$AD353)*VLOOKUP($Z353,Paraméterek!$P$38:$Q$38,2)/12,IF($D$4="Forint",0,2))</f>
        <v>0</v>
      </c>
      <c r="AF353" s="13">
        <f>IF($D$2="Egyszeri",IF($D$7&gt;=IF($D$4="Forint",Paraméterek!$P$223,Paraméterek!$P$224),$D$7-IF($D$4="Forint",Paraméterek!$F$223,Paraméterek!$F$224),0),MIN(IF($AA353=12,AVERAGE($D$20:$D353)*12,0),SUM($D$20:$D$31)))</f>
        <v>0</v>
      </c>
      <c r="AG353" s="13">
        <f>IF(AND($Z353&gt;=10,MOD($Z353,5)=0),$AF353*IF($AA353=12,VLOOKUP($Z353,Paraméterek!$B$225:$F$240,IF($AF353&lt;IF($D$4="Forint",Paraméterek!$C$223,Paraméterek!$C$224),2,IF($AF353&lt;IF($D$4="Forint",Paraméterek!$D$223,Paraméterek!$D$224),3,4))),0),0)</f>
        <v>0</v>
      </c>
      <c r="AH353" s="13">
        <f>IF(AND($Z353&gt;=5,MOD($Z353,5)=0),IF($AA353=12,VLOOKUP($Z353,Paraméterek!$B$225:$F$240,5),0),IF(OR($Z353=3,$Z353=4),IF($AA353=12,VLOOKUP($Z353,Paraméterek!$B$225:$F$240,5,0),0),0))*$AF353</f>
        <v>0</v>
      </c>
      <c r="AI353" s="13">
        <f>ROUNDDOWN(IF(SUM($T$20:$U353)=0,IF($D$2="Egyszeri",$AH353,$AG353),0),IF($D$4="Forint",0,2))</f>
        <v>0</v>
      </c>
      <c r="AJ353" s="13">
        <f t="shared" si="87"/>
        <v>0</v>
      </c>
      <c r="AK353" s="13">
        <f t="shared" si="88"/>
        <v>0</v>
      </c>
      <c r="AM353" s="32">
        <v>334</v>
      </c>
      <c r="AN353" s="32">
        <v>28</v>
      </c>
      <c r="AO353" s="32">
        <v>10</v>
      </c>
      <c r="AP353" s="13"/>
      <c r="AQ353" s="32"/>
      <c r="AR353" s="13">
        <f t="shared" si="89"/>
        <v>0</v>
      </c>
      <c r="AS353" s="33"/>
      <c r="AT353" s="13">
        <f t="shared" si="83"/>
        <v>0</v>
      </c>
      <c r="AU353" s="13">
        <f>ROUNDUP(($AR353+$AT353)*VLOOKUP($AN353,Paraméterek!$P$38:$Q$38,2)/12,IF($D$4="Forint",0,2))</f>
        <v>0</v>
      </c>
      <c r="AV353" s="13"/>
      <c r="AW353" s="13"/>
      <c r="AX353" s="13">
        <f>ROUNDUP(IF(SUM($AV353:$AW353)=0,0,IF(IF(ISBLANK($AW353),$AV353,$AW353)*Paraméterek!$J$112&lt;IF($D$4="Forint",Paraméterek!$J$113,Paraméterek!$K$113),IF($D$4="Forint",Paraméterek!$J$113,Paraméterek!$K$113),IF(IF(ISBLANK($AW353),$AV353,$AW353)*Paraméterek!$J$112&gt;IF($D$4="Forint",Paraméterek!$J$114,Paraméterek!$K$114),IF($D$4="Forint",Paraméterek!$J$114,Paraméterek!$K$114),IF(ISBLANK($AW353),$AV353,$AW353)*Paraméterek!$J$112))),IF($D$4="Forint",0,2))</f>
        <v>0</v>
      </c>
      <c r="AY353" s="13">
        <f>$AR353+$AT353-$AU353-IF(ROUNDDOWN(IF(ISBLANK($AW353),$AV353,$AW353),IF($D$4="Forint",0,2))&gt;$AR353+$AT353-$AU353-IF($D$4="Forint",Paraméterek!$J$114,Paraméterek!$K$114),0,ROUNDDOWN(IF(ISBLANK($AW353),$AV353,$AW353),IF($D$4="Forint",0,2))-$AX353)</f>
        <v>0</v>
      </c>
      <c r="AZ353" s="13">
        <f t="shared" si="84"/>
        <v>0</v>
      </c>
    </row>
    <row r="354" spans="1:52" x14ac:dyDescent="0.2">
      <c r="A354" s="32">
        <v>335</v>
      </c>
      <c r="B354" s="32">
        <v>28</v>
      </c>
      <c r="C354" s="32">
        <v>11</v>
      </c>
      <c r="D354" s="13">
        <f t="shared" si="75"/>
        <v>0</v>
      </c>
      <c r="E354" s="13"/>
      <c r="F354" s="13"/>
      <c r="G354" s="13"/>
      <c r="H354" s="13">
        <f t="shared" si="76"/>
        <v>0</v>
      </c>
      <c r="I354" s="13">
        <f t="shared" si="77"/>
        <v>0</v>
      </c>
      <c r="J354" s="13">
        <f t="shared" si="78"/>
        <v>0</v>
      </c>
      <c r="K354" s="13">
        <f>ROUNDUP(IF($D$2="Egyszeri",$D354,IF($D$2="Havi",SUM($D$20:$D$31),IF(MOD($C354,$M$1)-1=0,SUM($D$20:$D$31),0))/12*$M$1)*VLOOKUP($B354,Paraméterek!$B$27:$D$30,IF($D$2="Egyszeri",3,2)),IF($D$4="Forint",0,2))</f>
        <v>0</v>
      </c>
      <c r="L354" s="13">
        <f t="shared" si="79"/>
        <v>0</v>
      </c>
      <c r="M354" s="13">
        <f t="shared" ca="1" si="85"/>
        <v>-205384</v>
      </c>
      <c r="N354" s="13">
        <f ca="1">IF($V353&gt;=VLOOKUP($M$4-1+$B354,Paraméterek!$B$121:$D$122,IF($D$4="Forint",2,3)),0,VLOOKUP($M$4-1+$B354,Paraméterek!$B$121:$D$122,IF($D$4="Forint",2,3))-$V353)</f>
        <v>215384</v>
      </c>
      <c r="O354" s="13">
        <f ca="1">ROUNDUP($N354*Paraméterek!$C$58/Paraméterek!$C$56,IF($D$4="Forint",0,2))</f>
        <v>35</v>
      </c>
      <c r="P354" s="13">
        <f t="shared" si="80"/>
        <v>1222</v>
      </c>
      <c r="Q354" s="33"/>
      <c r="R354" s="13">
        <f t="shared" ca="1" si="81"/>
        <v>0</v>
      </c>
      <c r="S354" s="13">
        <f ca="1">ROUNDUP(($M354-$O354-$P354+$R354)*VLOOKUP($B354,Paraméterek!$B$38:$D$39,IF($D$2="Egyszeri",3,2))/12,IF($D$4="Forint",0,2))</f>
        <v>-505</v>
      </c>
      <c r="T354" s="13"/>
      <c r="U354" s="13"/>
      <c r="V354" s="13">
        <f ca="1">$M354-$O354-$P354+$R354-$S354-IF(ROUNDUP(IF(ISBLANK($U354),$T354,$U354)/IF(AND($B354=1,$D$2&lt;&gt;"Egyszeri"),1,VLOOKUP($B354+IF($C354=12,1,0),Paraméterek!$B$257:$D$267,IF($D$2="Egyszeri",3,2))),IF($D$4="Forint",0,2))&gt;$M354-$O354-$P354+$R354-$S354-IF($D$4="Forint",Paraméterek!$C$216,Paraméterek!$D$216),0,ROUNDUP(IF(ISBLANK($U354),$T354,$U354)/IF(AND($B354=1,$D$2&lt;&gt;"Egyszeri"),1,VLOOKUP($B354+IF($C354=12,1,0),Paraméterek!$B$257:$D$267,IF($D$2="Egyszeri",3,2))),IF($D$4="Forint",0,2)))</f>
        <v>-206136</v>
      </c>
      <c r="W354" s="13">
        <f ca="1">ROUNDDOWN($V354*VLOOKUP($B354+IF($C354=12,1,0),Paraméterek!$B$257:$D$267,IF($D$2="Egyszeri",3,2)),IF($D$4="Forint",0,2))</f>
        <v>-206136</v>
      </c>
      <c r="Y354" s="32">
        <v>335</v>
      </c>
      <c r="Z354" s="32">
        <v>28</v>
      </c>
      <c r="AA354" s="32">
        <v>11</v>
      </c>
      <c r="AB354" s="13">
        <f t="shared" si="86"/>
        <v>0</v>
      </c>
      <c r="AC354" s="33"/>
      <c r="AD354" s="13">
        <f t="shared" si="82"/>
        <v>0</v>
      </c>
      <c r="AE354" s="13">
        <f>ROUNDUP(($AB354+$AD354)*VLOOKUP($Z354,Paraméterek!$P$38:$Q$38,2)/12,IF($D$4="Forint",0,2))</f>
        <v>0</v>
      </c>
      <c r="AF354" s="13">
        <f>IF($D$2="Egyszeri",IF($D$7&gt;=IF($D$4="Forint",Paraméterek!$P$223,Paraméterek!$P$224),$D$7-IF($D$4="Forint",Paraméterek!$F$223,Paraméterek!$F$224),0),MIN(IF($AA354=12,AVERAGE($D$20:$D354)*12,0),SUM($D$20:$D$31)))</f>
        <v>0</v>
      </c>
      <c r="AG354" s="13">
        <f>IF(AND($Z354&gt;=10,MOD($Z354,5)=0),$AF354*IF($AA354=12,VLOOKUP($Z354,Paraméterek!$B$225:$F$240,IF($AF354&lt;IF($D$4="Forint",Paraméterek!$C$223,Paraméterek!$C$224),2,IF($AF354&lt;IF($D$4="Forint",Paraméterek!$D$223,Paraméterek!$D$224),3,4))),0),0)</f>
        <v>0</v>
      </c>
      <c r="AH354" s="13">
        <f>IF(AND($Z354&gt;=5,MOD($Z354,5)=0),IF($AA354=12,VLOOKUP($Z354,Paraméterek!$B$225:$F$240,5),0),IF(OR($Z354=3,$Z354=4),IF($AA354=12,VLOOKUP($Z354,Paraméterek!$B$225:$F$240,5,0),0),0))*$AF354</f>
        <v>0</v>
      </c>
      <c r="AI354" s="13">
        <f>ROUNDDOWN(IF(SUM($T$20:$U354)=0,IF($D$2="Egyszeri",$AH354,$AG354),0),IF($D$4="Forint",0,2))</f>
        <v>0</v>
      </c>
      <c r="AJ354" s="13">
        <f t="shared" si="87"/>
        <v>0</v>
      </c>
      <c r="AK354" s="13">
        <f t="shared" si="88"/>
        <v>0</v>
      </c>
      <c r="AM354" s="32">
        <v>335</v>
      </c>
      <c r="AN354" s="32">
        <v>28</v>
      </c>
      <c r="AO354" s="32">
        <v>11</v>
      </c>
      <c r="AP354" s="13"/>
      <c r="AQ354" s="32"/>
      <c r="AR354" s="13">
        <f t="shared" si="89"/>
        <v>0</v>
      </c>
      <c r="AS354" s="33"/>
      <c r="AT354" s="13">
        <f t="shared" si="83"/>
        <v>0</v>
      </c>
      <c r="AU354" s="13">
        <f>ROUNDUP(($AR354+$AT354)*VLOOKUP($AN354,Paraméterek!$P$38:$Q$38,2)/12,IF($D$4="Forint",0,2))</f>
        <v>0</v>
      </c>
      <c r="AV354" s="13"/>
      <c r="AW354" s="13"/>
      <c r="AX354" s="13">
        <f>ROUNDUP(IF(SUM($AV354:$AW354)=0,0,IF(IF(ISBLANK($AW354),$AV354,$AW354)*Paraméterek!$J$112&lt;IF($D$4="Forint",Paraméterek!$J$113,Paraméterek!$K$113),IF($D$4="Forint",Paraméterek!$J$113,Paraméterek!$K$113),IF(IF(ISBLANK($AW354),$AV354,$AW354)*Paraméterek!$J$112&gt;IF($D$4="Forint",Paraméterek!$J$114,Paraméterek!$K$114),IF($D$4="Forint",Paraméterek!$J$114,Paraméterek!$K$114),IF(ISBLANK($AW354),$AV354,$AW354)*Paraméterek!$J$112))),IF($D$4="Forint",0,2))</f>
        <v>0</v>
      </c>
      <c r="AY354" s="13">
        <f>$AR354+$AT354-$AU354-IF(ROUNDDOWN(IF(ISBLANK($AW354),$AV354,$AW354),IF($D$4="Forint",0,2))&gt;$AR354+$AT354-$AU354-IF($D$4="Forint",Paraméterek!$J$114,Paraméterek!$K$114),0,ROUNDDOWN(IF(ISBLANK($AW354),$AV354,$AW354),IF($D$4="Forint",0,2))-$AX354)</f>
        <v>0</v>
      </c>
      <c r="AZ354" s="13">
        <f t="shared" si="84"/>
        <v>0</v>
      </c>
    </row>
    <row r="355" spans="1:52" x14ac:dyDescent="0.2">
      <c r="A355" s="32">
        <v>336</v>
      </c>
      <c r="B355" s="32">
        <v>28</v>
      </c>
      <c r="C355" s="32">
        <v>12</v>
      </c>
      <c r="D355" s="13">
        <f t="shared" si="75"/>
        <v>0</v>
      </c>
      <c r="E355" s="13"/>
      <c r="F355" s="13"/>
      <c r="G355" s="13"/>
      <c r="H355" s="13">
        <f t="shared" si="76"/>
        <v>0</v>
      </c>
      <c r="I355" s="13">
        <f t="shared" si="77"/>
        <v>0</v>
      </c>
      <c r="J355" s="13">
        <f t="shared" si="78"/>
        <v>0</v>
      </c>
      <c r="K355" s="13">
        <f>ROUNDUP(IF($D$2="Egyszeri",$D355,IF($D$2="Havi",SUM($D$20:$D$31),IF(MOD($C355,$M$1)-1=0,SUM($D$20:$D$31),0))/12*$M$1)*VLOOKUP($B355,Paraméterek!$B$27:$D$30,IF($D$2="Egyszeri",3,2)),IF($D$4="Forint",0,2))</f>
        <v>0</v>
      </c>
      <c r="L355" s="13">
        <f t="shared" si="79"/>
        <v>0</v>
      </c>
      <c r="M355" s="13">
        <f t="shared" ca="1" si="85"/>
        <v>-206136</v>
      </c>
      <c r="N355" s="13">
        <f ca="1">IF($V354&gt;=VLOOKUP($M$4-1+$B355,Paraméterek!$B$121:$D$122,IF($D$4="Forint",2,3)),0,VLOOKUP($M$4-1+$B355,Paraméterek!$B$121:$D$122,IF($D$4="Forint",2,3))-$V354)</f>
        <v>216136</v>
      </c>
      <c r="O355" s="13">
        <f ca="1">ROUNDUP($N355*Paraméterek!$C$58/Paraméterek!$C$56,IF($D$4="Forint",0,2))</f>
        <v>35</v>
      </c>
      <c r="P355" s="13">
        <f t="shared" si="80"/>
        <v>1222</v>
      </c>
      <c r="Q355" s="33"/>
      <c r="R355" s="13">
        <f t="shared" ca="1" si="81"/>
        <v>0</v>
      </c>
      <c r="S355" s="13">
        <f ca="1">ROUNDUP(($M355-$O355-$P355+$R355)*VLOOKUP($B355,Paraméterek!$B$38:$D$39,IF($D$2="Egyszeri",3,2))/12,IF($D$4="Forint",0,2))</f>
        <v>-507</v>
      </c>
      <c r="T355" s="13">
        <f>Tranzakciók!$F$59</f>
        <v>0</v>
      </c>
      <c r="U355" s="13"/>
      <c r="V355" s="13">
        <f ca="1">$M355-$O355-$P355+$R355-$S355-IF(ROUNDUP(IF(ISBLANK($U355),$T355,$U355)/IF(AND($B355=1,$D$2&lt;&gt;"Egyszeri"),1,VLOOKUP($B355+IF($C355=12,1,0),Paraméterek!$B$257:$D$267,IF($D$2="Egyszeri",3,2))),IF($D$4="Forint",0,2))&gt;$M355-$O355-$P355+$R355-$S355-IF($D$4="Forint",Paraméterek!$C$216,Paraméterek!$D$216),0,ROUNDUP(IF(ISBLANK($U355),$T355,$U355)/IF(AND($B355=1,$D$2&lt;&gt;"Egyszeri"),1,VLOOKUP($B355+IF($C355=12,1,0),Paraméterek!$B$257:$D$267,IF($D$2="Egyszeri",3,2))),IF($D$4="Forint",0,2)))</f>
        <v>-206886</v>
      </c>
      <c r="W355" s="13">
        <f ca="1">ROUNDDOWN($V355*VLOOKUP($B355+IF($C355=12,1,0),Paraméterek!$B$257:$D$267,IF($D$2="Egyszeri",3,2)),IF($D$4="Forint",0,2))</f>
        <v>-206886</v>
      </c>
      <c r="Y355" s="32">
        <v>336</v>
      </c>
      <c r="Z355" s="32">
        <v>28</v>
      </c>
      <c r="AA355" s="32">
        <v>12</v>
      </c>
      <c r="AB355" s="13">
        <f t="shared" si="86"/>
        <v>0</v>
      </c>
      <c r="AC355" s="33"/>
      <c r="AD355" s="13">
        <f t="shared" si="82"/>
        <v>0</v>
      </c>
      <c r="AE355" s="13">
        <f>ROUNDUP(($AB355+$AD355)*VLOOKUP($Z355,Paraméterek!$P$38:$Q$38,2)/12,IF($D$4="Forint",0,2))</f>
        <v>0</v>
      </c>
      <c r="AF355" s="13">
        <f>IF($D$2="Egyszeri",IF($D$7&gt;=IF($D$4="Forint",Paraméterek!$P$223,Paraméterek!$P$224),$D$7-IF($D$4="Forint",Paraméterek!$F$223,Paraméterek!$F$224),0),MIN(IF($AA355=12,AVERAGE($D$20:$D355)*12,0),SUM($D$20:$D$31)))</f>
        <v>0</v>
      </c>
      <c r="AG355" s="13">
        <f>IF(AND($Z355&gt;=10,MOD($Z355,5)=0),$AF355*IF($AA355=12,VLOOKUP($Z355,Paraméterek!$B$225:$F$240,IF($AF355&lt;IF($D$4="Forint",Paraméterek!$C$223,Paraméterek!$C$224),2,IF($AF355&lt;IF($D$4="Forint",Paraméterek!$D$223,Paraméterek!$D$224),3,4))),0),0)</f>
        <v>0</v>
      </c>
      <c r="AH355" s="13">
        <f>IF(AND($Z355&gt;=5,MOD($Z355,5)=0),IF($AA355=12,VLOOKUP($Z355,Paraméterek!$B$225:$F$240,5),0),IF(OR($Z355=3,$Z355=4),IF($AA355=12,VLOOKUP($Z355,Paraméterek!$B$225:$F$240,5,0),0),0))*$AF355</f>
        <v>0</v>
      </c>
      <c r="AI355" s="13">
        <f>ROUNDDOWN(IF(SUM($T$20:$U355)=0,IF($D$2="Egyszeri",$AH355,$AG355),0),IF($D$4="Forint",0,2))</f>
        <v>0</v>
      </c>
      <c r="AJ355" s="13">
        <f t="shared" si="87"/>
        <v>0</v>
      </c>
      <c r="AK355" s="13">
        <f t="shared" si="88"/>
        <v>0</v>
      </c>
      <c r="AM355" s="32">
        <v>336</v>
      </c>
      <c r="AN355" s="32">
        <v>28</v>
      </c>
      <c r="AO355" s="32">
        <v>12</v>
      </c>
      <c r="AP355" s="13"/>
      <c r="AQ355" s="32"/>
      <c r="AR355" s="13">
        <f t="shared" si="89"/>
        <v>0</v>
      </c>
      <c r="AS355" s="33"/>
      <c r="AT355" s="13">
        <f t="shared" si="83"/>
        <v>0</v>
      </c>
      <c r="AU355" s="13">
        <f>ROUNDUP(($AR355+$AT355)*VLOOKUP($AN355,Paraméterek!$P$38:$Q$38,2)/12,IF($D$4="Forint",0,2))</f>
        <v>0</v>
      </c>
      <c r="AV355" s="13">
        <f>Tranzakciók!$M$59</f>
        <v>0</v>
      </c>
      <c r="AW355" s="13"/>
      <c r="AX355" s="13">
        <f>ROUNDUP(IF(SUM($AV355:$AW355)=0,0,IF(IF(ISBLANK($AW355),$AV355,$AW355)*Paraméterek!$J$112&lt;IF($D$4="Forint",Paraméterek!$J$113,Paraméterek!$K$113),IF($D$4="Forint",Paraméterek!$J$113,Paraméterek!$K$113),IF(IF(ISBLANK($AW355),$AV355,$AW355)*Paraméterek!$J$112&gt;IF($D$4="Forint",Paraméterek!$J$114,Paraméterek!$K$114),IF($D$4="Forint",Paraméterek!$J$114,Paraméterek!$K$114),IF(ISBLANK($AW355),$AV355,$AW355)*Paraméterek!$J$112))),IF($D$4="Forint",0,2))</f>
        <v>0</v>
      </c>
      <c r="AY355" s="13">
        <f>$AR355+$AT355-$AU355-IF(ROUNDDOWN(IF(ISBLANK($AW355),$AV355,$AW355),IF($D$4="Forint",0,2))&gt;$AR355+$AT355-$AU355-IF($D$4="Forint",Paraméterek!$J$114,Paraméterek!$K$114),0,ROUNDDOWN(IF(ISBLANK($AW355),$AV355,$AW355),IF($D$4="Forint",0,2))-$AX355)</f>
        <v>0</v>
      </c>
      <c r="AZ355" s="13">
        <f t="shared" si="84"/>
        <v>0</v>
      </c>
    </row>
    <row r="356" spans="1:52" x14ac:dyDescent="0.2">
      <c r="A356" s="32">
        <v>337</v>
      </c>
      <c r="B356" s="32">
        <v>29</v>
      </c>
      <c r="C356" s="32">
        <v>1</v>
      </c>
      <c r="D356" s="13">
        <f t="shared" si="75"/>
        <v>0</v>
      </c>
      <c r="E356" s="13"/>
      <c r="F356" s="13">
        <f>Tranzakciók!$D$60</f>
        <v>0</v>
      </c>
      <c r="G356" s="13"/>
      <c r="H356" s="13">
        <f t="shared" si="76"/>
        <v>0</v>
      </c>
      <c r="I356" s="13">
        <f t="shared" si="77"/>
        <v>229</v>
      </c>
      <c r="J356" s="13">
        <f t="shared" si="78"/>
        <v>229</v>
      </c>
      <c r="K356" s="13">
        <f>ROUNDUP(IF($D$2="Egyszeri",$D356,IF($D$2="Havi",SUM($D$20:$D$31),IF(MOD($C356,$M$1)-1=0,SUM($D$20:$D$31),0))/12*$M$1)*VLOOKUP($B356,Paraméterek!$B$27:$D$30,IF($D$2="Egyszeri",3,2)),IF($D$4="Forint",0,2))</f>
        <v>0</v>
      </c>
      <c r="L356" s="13">
        <f t="shared" si="79"/>
        <v>0</v>
      </c>
      <c r="M356" s="13">
        <f t="shared" ca="1" si="85"/>
        <v>-206886</v>
      </c>
      <c r="N356" s="13">
        <f ca="1">IF($V355&gt;=VLOOKUP($M$4-1+$B356,Paraméterek!$B$121:$D$122,IF($D$4="Forint",2,3)),0,VLOOKUP($M$4-1+$B356,Paraméterek!$B$121:$D$122,IF($D$4="Forint",2,3))-$V355)</f>
        <v>216886</v>
      </c>
      <c r="O356" s="13">
        <f ca="1">ROUNDUP($N356*Paraméterek!$C$58/Paraméterek!$C$56,IF($D$4="Forint",0,2))</f>
        <v>35</v>
      </c>
      <c r="P356" s="13">
        <f t="shared" si="80"/>
        <v>1259</v>
      </c>
      <c r="Q356" s="33"/>
      <c r="R356" s="13">
        <f t="shared" ca="1" si="81"/>
        <v>0</v>
      </c>
      <c r="S356" s="13">
        <f ca="1">ROUNDUP(($M356-$O356-$P356+$R356)*VLOOKUP($B356,Paraméterek!$B$38:$D$39,IF($D$2="Egyszeri",3,2))/12,IF($D$4="Forint",0,2))</f>
        <v>-509</v>
      </c>
      <c r="T356" s="13"/>
      <c r="U356" s="13"/>
      <c r="V356" s="13">
        <f ca="1">$M356-$O356-$P356+$R356-$S356-IF(ROUNDUP(IF(ISBLANK($U356),$T356,$U356)/IF(AND($B356=1,$D$2&lt;&gt;"Egyszeri"),1,VLOOKUP($B356+IF($C356=12,1,0),Paraméterek!$B$257:$D$267,IF($D$2="Egyszeri",3,2))),IF($D$4="Forint",0,2))&gt;$M356-$O356-$P356+$R356-$S356-IF($D$4="Forint",Paraméterek!$C$216,Paraméterek!$D$216),0,ROUNDUP(IF(ISBLANK($U356),$T356,$U356)/IF(AND($B356=1,$D$2&lt;&gt;"Egyszeri"),1,VLOOKUP($B356+IF($C356=12,1,0),Paraméterek!$B$257:$D$267,IF($D$2="Egyszeri",3,2))),IF($D$4="Forint",0,2)))</f>
        <v>-207671</v>
      </c>
      <c r="W356" s="13">
        <f ca="1">ROUNDDOWN($V356*VLOOKUP($B356+IF($C356=12,1,0),Paraméterek!$B$257:$D$267,IF($D$2="Egyszeri",3,2)),IF($D$4="Forint",0,2))</f>
        <v>-207671</v>
      </c>
      <c r="Y356" s="32">
        <v>337</v>
      </c>
      <c r="Z356" s="32">
        <v>29</v>
      </c>
      <c r="AA356" s="32">
        <v>1</v>
      </c>
      <c r="AB356" s="13">
        <f t="shared" si="86"/>
        <v>0</v>
      </c>
      <c r="AC356" s="33"/>
      <c r="AD356" s="13">
        <f t="shared" si="82"/>
        <v>0</v>
      </c>
      <c r="AE356" s="13">
        <f>ROUNDUP(($AB356+$AD356)*VLOOKUP($Z356,Paraméterek!$P$38:$Q$38,2)/12,IF($D$4="Forint",0,2))</f>
        <v>0</v>
      </c>
      <c r="AF356" s="13">
        <f>IF($D$2="Egyszeri",IF($D$7&gt;=IF($D$4="Forint",Paraméterek!$P$223,Paraméterek!$P$224),$D$7-IF($D$4="Forint",Paraméterek!$F$223,Paraméterek!$F$224),0),MIN(IF($AA356=12,AVERAGE($D$20:$D356)*12,0),SUM($D$20:$D$31)))</f>
        <v>0</v>
      </c>
      <c r="AG356" s="13">
        <f>IF(AND($Z356&gt;=10,MOD($Z356,5)=0),$AF356*IF($AA356=12,VLOOKUP($Z356,Paraméterek!$B$225:$F$240,IF($AF356&lt;IF($D$4="Forint",Paraméterek!$C$223,Paraméterek!$C$224),2,IF($AF356&lt;IF($D$4="Forint",Paraméterek!$D$223,Paraméterek!$D$224),3,4))),0),0)</f>
        <v>0</v>
      </c>
      <c r="AH356" s="13">
        <f>IF(AND($Z356&gt;=5,MOD($Z356,5)=0),IF($AA356=12,VLOOKUP($Z356,Paraméterek!$B$225:$F$240,5),0),IF(OR($Z356=3,$Z356=4),IF($AA356=12,VLOOKUP($Z356,Paraméterek!$B$225:$F$240,5,0),0),0))*$AF356</f>
        <v>0</v>
      </c>
      <c r="AI356" s="13">
        <f>ROUNDDOWN(IF(SUM($T$20:$U356)=0,IF($D$2="Egyszeri",$AH356,$AG356),0),IF($D$4="Forint",0,2))</f>
        <v>0</v>
      </c>
      <c r="AJ356" s="13">
        <f t="shared" si="87"/>
        <v>0</v>
      </c>
      <c r="AK356" s="13">
        <f t="shared" si="88"/>
        <v>0</v>
      </c>
      <c r="AM356" s="32">
        <v>337</v>
      </c>
      <c r="AN356" s="32">
        <v>29</v>
      </c>
      <c r="AO356" s="32">
        <v>1</v>
      </c>
      <c r="AP356" s="13">
        <f>Tranzakciók!$K$60</f>
        <v>0</v>
      </c>
      <c r="AQ356" s="32"/>
      <c r="AR356" s="13">
        <f t="shared" si="89"/>
        <v>0</v>
      </c>
      <c r="AS356" s="33"/>
      <c r="AT356" s="13">
        <f t="shared" si="83"/>
        <v>0</v>
      </c>
      <c r="AU356" s="13">
        <f>ROUNDUP(($AR356+$AT356)*VLOOKUP($AN356,Paraméterek!$P$38:$Q$38,2)/12,IF($D$4="Forint",0,2))</f>
        <v>0</v>
      </c>
      <c r="AV356" s="13"/>
      <c r="AW356" s="13"/>
      <c r="AX356" s="13">
        <f>ROUNDUP(IF(SUM($AV356:$AW356)=0,0,IF(IF(ISBLANK($AW356),$AV356,$AW356)*Paraméterek!$J$112&lt;IF($D$4="Forint",Paraméterek!$J$113,Paraméterek!$K$113),IF($D$4="Forint",Paraméterek!$J$113,Paraméterek!$K$113),IF(IF(ISBLANK($AW356),$AV356,$AW356)*Paraméterek!$J$112&gt;IF($D$4="Forint",Paraméterek!$J$114,Paraméterek!$K$114),IF($D$4="Forint",Paraméterek!$J$114,Paraméterek!$K$114),IF(ISBLANK($AW356),$AV356,$AW356)*Paraméterek!$J$112))),IF($D$4="Forint",0,2))</f>
        <v>0</v>
      </c>
      <c r="AY356" s="13">
        <f>$AR356+$AT356-$AU356-IF(ROUNDDOWN(IF(ISBLANK($AW356),$AV356,$AW356),IF($D$4="Forint",0,2))&gt;$AR356+$AT356-$AU356-IF($D$4="Forint",Paraméterek!$J$114,Paraméterek!$K$114),0,ROUNDDOWN(IF(ISBLANK($AW356),$AV356,$AW356),IF($D$4="Forint",0,2))-$AX356)</f>
        <v>0</v>
      </c>
      <c r="AZ356" s="13">
        <f t="shared" si="84"/>
        <v>0</v>
      </c>
    </row>
    <row r="357" spans="1:52" x14ac:dyDescent="0.2">
      <c r="A357" s="32">
        <v>338</v>
      </c>
      <c r="B357" s="32">
        <v>29</v>
      </c>
      <c r="C357" s="32">
        <v>2</v>
      </c>
      <c r="D357" s="13">
        <f t="shared" si="75"/>
        <v>0</v>
      </c>
      <c r="E357" s="13"/>
      <c r="F357" s="13"/>
      <c r="G357" s="13"/>
      <c r="H357" s="13">
        <f t="shared" si="76"/>
        <v>0</v>
      </c>
      <c r="I357" s="13">
        <f t="shared" si="77"/>
        <v>0</v>
      </c>
      <c r="J357" s="13">
        <f t="shared" si="78"/>
        <v>0</v>
      </c>
      <c r="K357" s="13">
        <f>ROUNDUP(IF($D$2="Egyszeri",$D357,IF($D$2="Havi",SUM($D$20:$D$31),IF(MOD($C357,$M$1)-1=0,SUM($D$20:$D$31),0))/12*$M$1)*VLOOKUP($B357,Paraméterek!$B$27:$D$30,IF($D$2="Egyszeri",3,2)),IF($D$4="Forint",0,2))</f>
        <v>0</v>
      </c>
      <c r="L357" s="13">
        <f t="shared" si="79"/>
        <v>0</v>
      </c>
      <c r="M357" s="13">
        <f t="shared" ca="1" si="85"/>
        <v>-207671</v>
      </c>
      <c r="N357" s="13">
        <f ca="1">IF($V356&gt;=VLOOKUP($M$4-1+$B357,Paraméterek!$B$121:$D$122,IF($D$4="Forint",2,3)),0,VLOOKUP($M$4-1+$B357,Paraméterek!$B$121:$D$122,IF($D$4="Forint",2,3))-$V356)</f>
        <v>217671</v>
      </c>
      <c r="O357" s="13">
        <f ca="1">ROUNDUP($N357*Paraméterek!$C$58/Paraméterek!$C$56,IF($D$4="Forint",0,2))</f>
        <v>35</v>
      </c>
      <c r="P357" s="13">
        <f t="shared" si="80"/>
        <v>1259</v>
      </c>
      <c r="Q357" s="33"/>
      <c r="R357" s="13">
        <f t="shared" ca="1" si="81"/>
        <v>0</v>
      </c>
      <c r="S357" s="13">
        <f ca="1">ROUNDUP(($M357-$O357-$P357+$R357)*VLOOKUP($B357,Paraméterek!$B$38:$D$39,IF($D$2="Egyszeri",3,2))/12,IF($D$4="Forint",0,2))</f>
        <v>-511</v>
      </c>
      <c r="T357" s="13"/>
      <c r="U357" s="13"/>
      <c r="V357" s="13">
        <f ca="1">$M357-$O357-$P357+$R357-$S357-IF(ROUNDUP(IF(ISBLANK($U357),$T357,$U357)/IF(AND($B357=1,$D$2&lt;&gt;"Egyszeri"),1,VLOOKUP($B357+IF($C357=12,1,0),Paraméterek!$B$257:$D$267,IF($D$2="Egyszeri",3,2))),IF($D$4="Forint",0,2))&gt;$M357-$O357-$P357+$R357-$S357-IF($D$4="Forint",Paraméterek!$C$216,Paraméterek!$D$216),0,ROUNDUP(IF(ISBLANK($U357),$T357,$U357)/IF(AND($B357=1,$D$2&lt;&gt;"Egyszeri"),1,VLOOKUP($B357+IF($C357=12,1,0),Paraméterek!$B$257:$D$267,IF($D$2="Egyszeri",3,2))),IF($D$4="Forint",0,2)))</f>
        <v>-208454</v>
      </c>
      <c r="W357" s="13">
        <f ca="1">ROUNDDOWN($V357*VLOOKUP($B357+IF($C357=12,1,0),Paraméterek!$B$257:$D$267,IF($D$2="Egyszeri",3,2)),IF($D$4="Forint",0,2))</f>
        <v>-208454</v>
      </c>
      <c r="Y357" s="32">
        <v>338</v>
      </c>
      <c r="Z357" s="32">
        <v>29</v>
      </c>
      <c r="AA357" s="32">
        <v>2</v>
      </c>
      <c r="AB357" s="13">
        <f t="shared" si="86"/>
        <v>0</v>
      </c>
      <c r="AC357" s="33"/>
      <c r="AD357" s="13">
        <f t="shared" si="82"/>
        <v>0</v>
      </c>
      <c r="AE357" s="13">
        <f>ROUNDUP(($AB357+$AD357)*VLOOKUP($Z357,Paraméterek!$P$38:$Q$38,2)/12,IF($D$4="Forint",0,2))</f>
        <v>0</v>
      </c>
      <c r="AF357" s="13">
        <f>IF($D$2="Egyszeri",IF($D$7&gt;=IF($D$4="Forint",Paraméterek!$P$223,Paraméterek!$P$224),$D$7-IF($D$4="Forint",Paraméterek!$F$223,Paraméterek!$F$224),0),MIN(IF($AA357=12,AVERAGE($D$20:$D357)*12,0),SUM($D$20:$D$31)))</f>
        <v>0</v>
      </c>
      <c r="AG357" s="13">
        <f>IF(AND($Z357&gt;=10,MOD($Z357,5)=0),$AF357*IF($AA357=12,VLOOKUP($Z357,Paraméterek!$B$225:$F$240,IF($AF357&lt;IF($D$4="Forint",Paraméterek!$C$223,Paraméterek!$C$224),2,IF($AF357&lt;IF($D$4="Forint",Paraméterek!$D$223,Paraméterek!$D$224),3,4))),0),0)</f>
        <v>0</v>
      </c>
      <c r="AH357" s="13">
        <f>IF(AND($Z357&gt;=5,MOD($Z357,5)=0),IF($AA357=12,VLOOKUP($Z357,Paraméterek!$B$225:$F$240,5),0),IF(OR($Z357=3,$Z357=4),IF($AA357=12,VLOOKUP($Z357,Paraméterek!$B$225:$F$240,5,0),0),0))*$AF357</f>
        <v>0</v>
      </c>
      <c r="AI357" s="13">
        <f>ROUNDDOWN(IF(SUM($T$20:$U357)=0,IF($D$2="Egyszeri",$AH357,$AG357),0),IF($D$4="Forint",0,2))</f>
        <v>0</v>
      </c>
      <c r="AJ357" s="13">
        <f t="shared" si="87"/>
        <v>0</v>
      </c>
      <c r="AK357" s="13">
        <f t="shared" si="88"/>
        <v>0</v>
      </c>
      <c r="AM357" s="32">
        <v>338</v>
      </c>
      <c r="AN357" s="32">
        <v>29</v>
      </c>
      <c r="AO357" s="32">
        <v>2</v>
      </c>
      <c r="AP357" s="13"/>
      <c r="AQ357" s="32"/>
      <c r="AR357" s="13">
        <f t="shared" si="89"/>
        <v>0</v>
      </c>
      <c r="AS357" s="33"/>
      <c r="AT357" s="13">
        <f t="shared" si="83"/>
        <v>0</v>
      </c>
      <c r="AU357" s="13">
        <f>ROUNDUP(($AR357+$AT357)*VLOOKUP($AN357,Paraméterek!$P$38:$Q$38,2)/12,IF($D$4="Forint",0,2))</f>
        <v>0</v>
      </c>
      <c r="AV357" s="13"/>
      <c r="AW357" s="13"/>
      <c r="AX357" s="13">
        <f>ROUNDUP(IF(SUM($AV357:$AW357)=0,0,IF(IF(ISBLANK($AW357),$AV357,$AW357)*Paraméterek!$J$112&lt;IF($D$4="Forint",Paraméterek!$J$113,Paraméterek!$K$113),IF($D$4="Forint",Paraméterek!$J$113,Paraméterek!$K$113),IF(IF(ISBLANK($AW357),$AV357,$AW357)*Paraméterek!$J$112&gt;IF($D$4="Forint",Paraméterek!$J$114,Paraméterek!$K$114),IF($D$4="Forint",Paraméterek!$J$114,Paraméterek!$K$114),IF(ISBLANK($AW357),$AV357,$AW357)*Paraméterek!$J$112))),IF($D$4="Forint",0,2))</f>
        <v>0</v>
      </c>
      <c r="AY357" s="13">
        <f>$AR357+$AT357-$AU357-IF(ROUNDDOWN(IF(ISBLANK($AW357),$AV357,$AW357),IF($D$4="Forint",0,2))&gt;$AR357+$AT357-$AU357-IF($D$4="Forint",Paraméterek!$J$114,Paraméterek!$K$114),0,ROUNDDOWN(IF(ISBLANK($AW357),$AV357,$AW357),IF($D$4="Forint",0,2))-$AX357)</f>
        <v>0</v>
      </c>
      <c r="AZ357" s="13">
        <f t="shared" si="84"/>
        <v>0</v>
      </c>
    </row>
    <row r="358" spans="1:52" x14ac:dyDescent="0.2">
      <c r="A358" s="32">
        <v>339</v>
      </c>
      <c r="B358" s="32">
        <v>29</v>
      </c>
      <c r="C358" s="32">
        <v>3</v>
      </c>
      <c r="D358" s="13">
        <f t="shared" si="75"/>
        <v>0</v>
      </c>
      <c r="E358" s="13"/>
      <c r="F358" s="13"/>
      <c r="G358" s="13"/>
      <c r="H358" s="13">
        <f t="shared" si="76"/>
        <v>0</v>
      </c>
      <c r="I358" s="13">
        <f t="shared" si="77"/>
        <v>0</v>
      </c>
      <c r="J358" s="13">
        <f t="shared" si="78"/>
        <v>0</v>
      </c>
      <c r="K358" s="13">
        <f>ROUNDUP(IF($D$2="Egyszeri",$D358,IF($D$2="Havi",SUM($D$20:$D$31),IF(MOD($C358,$M$1)-1=0,SUM($D$20:$D$31),0))/12*$M$1)*VLOOKUP($B358,Paraméterek!$B$27:$D$30,IF($D$2="Egyszeri",3,2)),IF($D$4="Forint",0,2))</f>
        <v>0</v>
      </c>
      <c r="L358" s="13">
        <f t="shared" si="79"/>
        <v>0</v>
      </c>
      <c r="M358" s="13">
        <f t="shared" ca="1" si="85"/>
        <v>-208454</v>
      </c>
      <c r="N358" s="13">
        <f ca="1">IF($V357&gt;=VLOOKUP($M$4-1+$B358,Paraméterek!$B$121:$D$122,IF($D$4="Forint",2,3)),0,VLOOKUP($M$4-1+$B358,Paraméterek!$B$121:$D$122,IF($D$4="Forint",2,3))-$V357)</f>
        <v>218454</v>
      </c>
      <c r="O358" s="13">
        <f ca="1">ROUNDUP($N358*Paraméterek!$C$58/Paraméterek!$C$56,IF($D$4="Forint",0,2))</f>
        <v>35</v>
      </c>
      <c r="P358" s="13">
        <f t="shared" si="80"/>
        <v>1259</v>
      </c>
      <c r="Q358" s="33"/>
      <c r="R358" s="13">
        <f t="shared" ca="1" si="81"/>
        <v>0</v>
      </c>
      <c r="S358" s="13">
        <f ca="1">ROUNDUP(($M358-$O358-$P358+$R358)*VLOOKUP($B358,Paraméterek!$B$38:$D$39,IF($D$2="Egyszeri",3,2))/12,IF($D$4="Forint",0,2))</f>
        <v>-513</v>
      </c>
      <c r="T358" s="13"/>
      <c r="U358" s="13"/>
      <c r="V358" s="13">
        <f ca="1">$M358-$O358-$P358+$R358-$S358-IF(ROUNDUP(IF(ISBLANK($U358),$T358,$U358)/IF(AND($B358=1,$D$2&lt;&gt;"Egyszeri"),1,VLOOKUP($B358+IF($C358=12,1,0),Paraméterek!$B$257:$D$267,IF($D$2="Egyszeri",3,2))),IF($D$4="Forint",0,2))&gt;$M358-$O358-$P358+$R358-$S358-IF($D$4="Forint",Paraméterek!$C$216,Paraméterek!$D$216),0,ROUNDUP(IF(ISBLANK($U358),$T358,$U358)/IF(AND($B358=1,$D$2&lt;&gt;"Egyszeri"),1,VLOOKUP($B358+IF($C358=12,1,0),Paraméterek!$B$257:$D$267,IF($D$2="Egyszeri",3,2))),IF($D$4="Forint",0,2)))</f>
        <v>-209235</v>
      </c>
      <c r="W358" s="13">
        <f ca="1">ROUNDDOWN($V358*VLOOKUP($B358+IF($C358=12,1,0),Paraméterek!$B$257:$D$267,IF($D$2="Egyszeri",3,2)),IF($D$4="Forint",0,2))</f>
        <v>-209235</v>
      </c>
      <c r="Y358" s="32">
        <v>339</v>
      </c>
      <c r="Z358" s="32">
        <v>29</v>
      </c>
      <c r="AA358" s="32">
        <v>3</v>
      </c>
      <c r="AB358" s="13">
        <f t="shared" si="86"/>
        <v>0</v>
      </c>
      <c r="AC358" s="33"/>
      <c r="AD358" s="13">
        <f t="shared" si="82"/>
        <v>0</v>
      </c>
      <c r="AE358" s="13">
        <f>ROUNDUP(($AB358+$AD358)*VLOOKUP($Z358,Paraméterek!$P$38:$Q$38,2)/12,IF($D$4="Forint",0,2))</f>
        <v>0</v>
      </c>
      <c r="AF358" s="13">
        <f>IF($D$2="Egyszeri",IF($D$7&gt;=IF($D$4="Forint",Paraméterek!$P$223,Paraméterek!$P$224),$D$7-IF($D$4="Forint",Paraméterek!$F$223,Paraméterek!$F$224),0),MIN(IF($AA358=12,AVERAGE($D$20:$D358)*12,0),SUM($D$20:$D$31)))</f>
        <v>0</v>
      </c>
      <c r="AG358" s="13">
        <f>IF(AND($Z358&gt;=10,MOD($Z358,5)=0),$AF358*IF($AA358=12,VLOOKUP($Z358,Paraméterek!$B$225:$F$240,IF($AF358&lt;IF($D$4="Forint",Paraméterek!$C$223,Paraméterek!$C$224),2,IF($AF358&lt;IF($D$4="Forint",Paraméterek!$D$223,Paraméterek!$D$224),3,4))),0),0)</f>
        <v>0</v>
      </c>
      <c r="AH358" s="13">
        <f>IF(AND($Z358&gt;=5,MOD($Z358,5)=0),IF($AA358=12,VLOOKUP($Z358,Paraméterek!$B$225:$F$240,5),0),IF(OR($Z358=3,$Z358=4),IF($AA358=12,VLOOKUP($Z358,Paraméterek!$B$225:$F$240,5,0),0),0))*$AF358</f>
        <v>0</v>
      </c>
      <c r="AI358" s="13">
        <f>ROUNDDOWN(IF(SUM($T$20:$U358)=0,IF($D$2="Egyszeri",$AH358,$AG358),0),IF($D$4="Forint",0,2))</f>
        <v>0</v>
      </c>
      <c r="AJ358" s="13">
        <f t="shared" si="87"/>
        <v>0</v>
      </c>
      <c r="AK358" s="13">
        <f t="shared" si="88"/>
        <v>0</v>
      </c>
      <c r="AM358" s="32">
        <v>339</v>
      </c>
      <c r="AN358" s="32">
        <v>29</v>
      </c>
      <c r="AO358" s="32">
        <v>3</v>
      </c>
      <c r="AP358" s="13"/>
      <c r="AQ358" s="32"/>
      <c r="AR358" s="13">
        <f t="shared" si="89"/>
        <v>0</v>
      </c>
      <c r="AS358" s="33"/>
      <c r="AT358" s="13">
        <f t="shared" si="83"/>
        <v>0</v>
      </c>
      <c r="AU358" s="13">
        <f>ROUNDUP(($AR358+$AT358)*VLOOKUP($AN358,Paraméterek!$P$38:$Q$38,2)/12,IF($D$4="Forint",0,2))</f>
        <v>0</v>
      </c>
      <c r="AV358" s="13"/>
      <c r="AW358" s="13"/>
      <c r="AX358" s="13">
        <f>ROUNDUP(IF(SUM($AV358:$AW358)=0,0,IF(IF(ISBLANK($AW358),$AV358,$AW358)*Paraméterek!$J$112&lt;IF($D$4="Forint",Paraméterek!$J$113,Paraméterek!$K$113),IF($D$4="Forint",Paraméterek!$J$113,Paraméterek!$K$113),IF(IF(ISBLANK($AW358),$AV358,$AW358)*Paraméterek!$J$112&gt;IF($D$4="Forint",Paraméterek!$J$114,Paraméterek!$K$114),IF($D$4="Forint",Paraméterek!$J$114,Paraméterek!$K$114),IF(ISBLANK($AW358),$AV358,$AW358)*Paraméterek!$J$112))),IF($D$4="Forint",0,2))</f>
        <v>0</v>
      </c>
      <c r="AY358" s="13">
        <f>$AR358+$AT358-$AU358-IF(ROUNDDOWN(IF(ISBLANK($AW358),$AV358,$AW358),IF($D$4="Forint",0,2))&gt;$AR358+$AT358-$AU358-IF($D$4="Forint",Paraméterek!$J$114,Paraméterek!$K$114),0,ROUNDDOWN(IF(ISBLANK($AW358),$AV358,$AW358),IF($D$4="Forint",0,2))-$AX358)</f>
        <v>0</v>
      </c>
      <c r="AZ358" s="13">
        <f t="shared" si="84"/>
        <v>0</v>
      </c>
    </row>
    <row r="359" spans="1:52" x14ac:dyDescent="0.2">
      <c r="A359" s="32">
        <v>340</v>
      </c>
      <c r="B359" s="32">
        <v>29</v>
      </c>
      <c r="C359" s="32">
        <v>4</v>
      </c>
      <c r="D359" s="13">
        <f t="shared" si="75"/>
        <v>0</v>
      </c>
      <c r="E359" s="13"/>
      <c r="F359" s="13"/>
      <c r="G359" s="13"/>
      <c r="H359" s="13">
        <f t="shared" si="76"/>
        <v>0</v>
      </c>
      <c r="I359" s="13">
        <f t="shared" si="77"/>
        <v>0</v>
      </c>
      <c r="J359" s="13">
        <f t="shared" si="78"/>
        <v>0</v>
      </c>
      <c r="K359" s="13">
        <f>ROUNDUP(IF($D$2="Egyszeri",$D359,IF($D$2="Havi",SUM($D$20:$D$31),IF(MOD($C359,$M$1)-1=0,SUM($D$20:$D$31),0))/12*$M$1)*VLOOKUP($B359,Paraméterek!$B$27:$D$30,IF($D$2="Egyszeri",3,2)),IF($D$4="Forint",0,2))</f>
        <v>0</v>
      </c>
      <c r="L359" s="13">
        <f t="shared" si="79"/>
        <v>0</v>
      </c>
      <c r="M359" s="13">
        <f t="shared" ca="1" si="85"/>
        <v>-209235</v>
      </c>
      <c r="N359" s="13">
        <f ca="1">IF($V358&gt;=VLOOKUP($M$4-1+$B359,Paraméterek!$B$121:$D$122,IF($D$4="Forint",2,3)),0,VLOOKUP($M$4-1+$B359,Paraméterek!$B$121:$D$122,IF($D$4="Forint",2,3))-$V358)</f>
        <v>219235</v>
      </c>
      <c r="O359" s="13">
        <f ca="1">ROUNDUP($N359*Paraméterek!$C$58/Paraméterek!$C$56,IF($D$4="Forint",0,2))</f>
        <v>35</v>
      </c>
      <c r="P359" s="13">
        <f t="shared" si="80"/>
        <v>1259</v>
      </c>
      <c r="Q359" s="33"/>
      <c r="R359" s="13">
        <f t="shared" ca="1" si="81"/>
        <v>0</v>
      </c>
      <c r="S359" s="13">
        <f ca="1">ROUNDUP(($M359-$O359-$P359+$R359)*VLOOKUP($B359,Paraméterek!$B$38:$D$39,IF($D$2="Egyszeri",3,2))/12,IF($D$4="Forint",0,2))</f>
        <v>-515</v>
      </c>
      <c r="T359" s="13"/>
      <c r="U359" s="13"/>
      <c r="V359" s="13">
        <f ca="1">$M359-$O359-$P359+$R359-$S359-IF(ROUNDUP(IF(ISBLANK($U359),$T359,$U359)/IF(AND($B359=1,$D$2&lt;&gt;"Egyszeri"),1,VLOOKUP($B359+IF($C359=12,1,0),Paraméterek!$B$257:$D$267,IF($D$2="Egyszeri",3,2))),IF($D$4="Forint",0,2))&gt;$M359-$O359-$P359+$R359-$S359-IF($D$4="Forint",Paraméterek!$C$216,Paraméterek!$D$216),0,ROUNDUP(IF(ISBLANK($U359),$T359,$U359)/IF(AND($B359=1,$D$2&lt;&gt;"Egyszeri"),1,VLOOKUP($B359+IF($C359=12,1,0),Paraméterek!$B$257:$D$267,IF($D$2="Egyszeri",3,2))),IF($D$4="Forint",0,2)))</f>
        <v>-210014</v>
      </c>
      <c r="W359" s="13">
        <f ca="1">ROUNDDOWN($V359*VLOOKUP($B359+IF($C359=12,1,0),Paraméterek!$B$257:$D$267,IF($D$2="Egyszeri",3,2)),IF($D$4="Forint",0,2))</f>
        <v>-210014</v>
      </c>
      <c r="Y359" s="32">
        <v>340</v>
      </c>
      <c r="Z359" s="32">
        <v>29</v>
      </c>
      <c r="AA359" s="32">
        <v>4</v>
      </c>
      <c r="AB359" s="13">
        <f t="shared" si="86"/>
        <v>0</v>
      </c>
      <c r="AC359" s="33"/>
      <c r="AD359" s="13">
        <f t="shared" si="82"/>
        <v>0</v>
      </c>
      <c r="AE359" s="13">
        <f>ROUNDUP(($AB359+$AD359)*VLOOKUP($Z359,Paraméterek!$P$38:$Q$38,2)/12,IF($D$4="Forint",0,2))</f>
        <v>0</v>
      </c>
      <c r="AF359" s="13">
        <f>IF($D$2="Egyszeri",IF($D$7&gt;=IF($D$4="Forint",Paraméterek!$P$223,Paraméterek!$P$224),$D$7-IF($D$4="Forint",Paraméterek!$F$223,Paraméterek!$F$224),0),MIN(IF($AA359=12,AVERAGE($D$20:$D359)*12,0),SUM($D$20:$D$31)))</f>
        <v>0</v>
      </c>
      <c r="AG359" s="13">
        <f>IF(AND($Z359&gt;=10,MOD($Z359,5)=0),$AF359*IF($AA359=12,VLOOKUP($Z359,Paraméterek!$B$225:$F$240,IF($AF359&lt;IF($D$4="Forint",Paraméterek!$C$223,Paraméterek!$C$224),2,IF($AF359&lt;IF($D$4="Forint",Paraméterek!$D$223,Paraméterek!$D$224),3,4))),0),0)</f>
        <v>0</v>
      </c>
      <c r="AH359" s="13">
        <f>IF(AND($Z359&gt;=5,MOD($Z359,5)=0),IF($AA359=12,VLOOKUP($Z359,Paraméterek!$B$225:$F$240,5),0),IF(OR($Z359=3,$Z359=4),IF($AA359=12,VLOOKUP($Z359,Paraméterek!$B$225:$F$240,5,0),0),0))*$AF359</f>
        <v>0</v>
      </c>
      <c r="AI359" s="13">
        <f>ROUNDDOWN(IF(SUM($T$20:$U359)=0,IF($D$2="Egyszeri",$AH359,$AG359),0),IF($D$4="Forint",0,2))</f>
        <v>0</v>
      </c>
      <c r="AJ359" s="13">
        <f t="shared" si="87"/>
        <v>0</v>
      </c>
      <c r="AK359" s="13">
        <f t="shared" si="88"/>
        <v>0</v>
      </c>
      <c r="AM359" s="32">
        <v>340</v>
      </c>
      <c r="AN359" s="32">
        <v>29</v>
      </c>
      <c r="AO359" s="32">
        <v>4</v>
      </c>
      <c r="AP359" s="13"/>
      <c r="AQ359" s="32"/>
      <c r="AR359" s="13">
        <f t="shared" si="89"/>
        <v>0</v>
      </c>
      <c r="AS359" s="33"/>
      <c r="AT359" s="13">
        <f t="shared" si="83"/>
        <v>0</v>
      </c>
      <c r="AU359" s="13">
        <f>ROUNDUP(($AR359+$AT359)*VLOOKUP($AN359,Paraméterek!$P$38:$Q$38,2)/12,IF($D$4="Forint",0,2))</f>
        <v>0</v>
      </c>
      <c r="AV359" s="13"/>
      <c r="AW359" s="13"/>
      <c r="AX359" s="13">
        <f>ROUNDUP(IF(SUM($AV359:$AW359)=0,0,IF(IF(ISBLANK($AW359),$AV359,$AW359)*Paraméterek!$J$112&lt;IF($D$4="Forint",Paraméterek!$J$113,Paraméterek!$K$113),IF($D$4="Forint",Paraméterek!$J$113,Paraméterek!$K$113),IF(IF(ISBLANK($AW359),$AV359,$AW359)*Paraméterek!$J$112&gt;IF($D$4="Forint",Paraméterek!$J$114,Paraméterek!$K$114),IF($D$4="Forint",Paraméterek!$J$114,Paraméterek!$K$114),IF(ISBLANK($AW359),$AV359,$AW359)*Paraméterek!$J$112))),IF($D$4="Forint",0,2))</f>
        <v>0</v>
      </c>
      <c r="AY359" s="13">
        <f>$AR359+$AT359-$AU359-IF(ROUNDDOWN(IF(ISBLANK($AW359),$AV359,$AW359),IF($D$4="Forint",0,2))&gt;$AR359+$AT359-$AU359-IF($D$4="Forint",Paraméterek!$J$114,Paraméterek!$K$114),0,ROUNDDOWN(IF(ISBLANK($AW359),$AV359,$AW359),IF($D$4="Forint",0,2))-$AX359)</f>
        <v>0</v>
      </c>
      <c r="AZ359" s="13">
        <f t="shared" si="84"/>
        <v>0</v>
      </c>
    </row>
    <row r="360" spans="1:52" x14ac:dyDescent="0.2">
      <c r="A360" s="32">
        <v>341</v>
      </c>
      <c r="B360" s="32">
        <v>29</v>
      </c>
      <c r="C360" s="32">
        <v>5</v>
      </c>
      <c r="D360" s="13">
        <f t="shared" si="75"/>
        <v>0</v>
      </c>
      <c r="E360" s="13"/>
      <c r="F360" s="13"/>
      <c r="G360" s="13"/>
      <c r="H360" s="13">
        <f t="shared" si="76"/>
        <v>0</v>
      </c>
      <c r="I360" s="13">
        <f t="shared" si="77"/>
        <v>0</v>
      </c>
      <c r="J360" s="13">
        <f t="shared" si="78"/>
        <v>0</v>
      </c>
      <c r="K360" s="13">
        <f>ROUNDUP(IF($D$2="Egyszeri",$D360,IF($D$2="Havi",SUM($D$20:$D$31),IF(MOD($C360,$M$1)-1=0,SUM($D$20:$D$31),0))/12*$M$1)*VLOOKUP($B360,Paraméterek!$B$27:$D$30,IF($D$2="Egyszeri",3,2)),IF($D$4="Forint",0,2))</f>
        <v>0</v>
      </c>
      <c r="L360" s="13">
        <f t="shared" si="79"/>
        <v>0</v>
      </c>
      <c r="M360" s="13">
        <f t="shared" ca="1" si="85"/>
        <v>-210014</v>
      </c>
      <c r="N360" s="13">
        <f ca="1">IF($V359&gt;=VLOOKUP($M$4-1+$B360,Paraméterek!$B$121:$D$122,IF($D$4="Forint",2,3)),0,VLOOKUP($M$4-1+$B360,Paraméterek!$B$121:$D$122,IF($D$4="Forint",2,3))-$V359)</f>
        <v>220014</v>
      </c>
      <c r="O360" s="13">
        <f ca="1">ROUNDUP($N360*Paraméterek!$C$58/Paraméterek!$C$56,IF($D$4="Forint",0,2))</f>
        <v>36</v>
      </c>
      <c r="P360" s="13">
        <f t="shared" si="80"/>
        <v>1259</v>
      </c>
      <c r="Q360" s="33"/>
      <c r="R360" s="13">
        <f t="shared" ca="1" si="81"/>
        <v>0</v>
      </c>
      <c r="S360" s="13">
        <f ca="1">ROUNDUP(($M360-$O360-$P360+$R360)*VLOOKUP($B360,Paraméterek!$B$38:$D$39,IF($D$2="Egyszeri",3,2))/12,IF($D$4="Forint",0,2))</f>
        <v>-516</v>
      </c>
      <c r="T360" s="13"/>
      <c r="U360" s="13"/>
      <c r="V360" s="13">
        <f ca="1">$M360-$O360-$P360+$R360-$S360-IF(ROUNDUP(IF(ISBLANK($U360),$T360,$U360)/IF(AND($B360=1,$D$2&lt;&gt;"Egyszeri"),1,VLOOKUP($B360+IF($C360=12,1,0),Paraméterek!$B$257:$D$267,IF($D$2="Egyszeri",3,2))),IF($D$4="Forint",0,2))&gt;$M360-$O360-$P360+$R360-$S360-IF($D$4="Forint",Paraméterek!$C$216,Paraméterek!$D$216),0,ROUNDUP(IF(ISBLANK($U360),$T360,$U360)/IF(AND($B360=1,$D$2&lt;&gt;"Egyszeri"),1,VLOOKUP($B360+IF($C360=12,1,0),Paraméterek!$B$257:$D$267,IF($D$2="Egyszeri",3,2))),IF($D$4="Forint",0,2)))</f>
        <v>-210793</v>
      </c>
      <c r="W360" s="13">
        <f ca="1">ROUNDDOWN($V360*VLOOKUP($B360+IF($C360=12,1,0),Paraméterek!$B$257:$D$267,IF($D$2="Egyszeri",3,2)),IF($D$4="Forint",0,2))</f>
        <v>-210793</v>
      </c>
      <c r="Y360" s="32">
        <v>341</v>
      </c>
      <c r="Z360" s="32">
        <v>29</v>
      </c>
      <c r="AA360" s="32">
        <v>5</v>
      </c>
      <c r="AB360" s="13">
        <f t="shared" si="86"/>
        <v>0</v>
      </c>
      <c r="AC360" s="33"/>
      <c r="AD360" s="13">
        <f t="shared" si="82"/>
        <v>0</v>
      </c>
      <c r="AE360" s="13">
        <f>ROUNDUP(($AB360+$AD360)*VLOOKUP($Z360,Paraméterek!$P$38:$Q$38,2)/12,IF($D$4="Forint",0,2))</f>
        <v>0</v>
      </c>
      <c r="AF360" s="13">
        <f>IF($D$2="Egyszeri",IF($D$7&gt;=IF($D$4="Forint",Paraméterek!$P$223,Paraméterek!$P$224),$D$7-IF($D$4="Forint",Paraméterek!$F$223,Paraméterek!$F$224),0),MIN(IF($AA360=12,AVERAGE($D$20:$D360)*12,0),SUM($D$20:$D$31)))</f>
        <v>0</v>
      </c>
      <c r="AG360" s="13">
        <f>IF(AND($Z360&gt;=10,MOD($Z360,5)=0),$AF360*IF($AA360=12,VLOOKUP($Z360,Paraméterek!$B$225:$F$240,IF($AF360&lt;IF($D$4="Forint",Paraméterek!$C$223,Paraméterek!$C$224),2,IF($AF360&lt;IF($D$4="Forint",Paraméterek!$D$223,Paraméterek!$D$224),3,4))),0),0)</f>
        <v>0</v>
      </c>
      <c r="AH360" s="13">
        <f>IF(AND($Z360&gt;=5,MOD($Z360,5)=0),IF($AA360=12,VLOOKUP($Z360,Paraméterek!$B$225:$F$240,5),0),IF(OR($Z360=3,$Z360=4),IF($AA360=12,VLOOKUP($Z360,Paraméterek!$B$225:$F$240,5,0),0),0))*$AF360</f>
        <v>0</v>
      </c>
      <c r="AI360" s="13">
        <f>ROUNDDOWN(IF(SUM($T$20:$U360)=0,IF($D$2="Egyszeri",$AH360,$AG360),0),IF($D$4="Forint",0,2))</f>
        <v>0</v>
      </c>
      <c r="AJ360" s="13">
        <f t="shared" si="87"/>
        <v>0</v>
      </c>
      <c r="AK360" s="13">
        <f t="shared" si="88"/>
        <v>0</v>
      </c>
      <c r="AM360" s="32">
        <v>341</v>
      </c>
      <c r="AN360" s="32">
        <v>29</v>
      </c>
      <c r="AO360" s="32">
        <v>5</v>
      </c>
      <c r="AP360" s="13"/>
      <c r="AQ360" s="32"/>
      <c r="AR360" s="13">
        <f t="shared" si="89"/>
        <v>0</v>
      </c>
      <c r="AS360" s="33"/>
      <c r="AT360" s="13">
        <f t="shared" si="83"/>
        <v>0</v>
      </c>
      <c r="AU360" s="13">
        <f>ROUNDUP(($AR360+$AT360)*VLOOKUP($AN360,Paraméterek!$P$38:$Q$38,2)/12,IF($D$4="Forint",0,2))</f>
        <v>0</v>
      </c>
      <c r="AV360" s="13"/>
      <c r="AW360" s="13"/>
      <c r="AX360" s="13">
        <f>ROUNDUP(IF(SUM($AV360:$AW360)=0,0,IF(IF(ISBLANK($AW360),$AV360,$AW360)*Paraméterek!$J$112&lt;IF($D$4="Forint",Paraméterek!$J$113,Paraméterek!$K$113),IF($D$4="Forint",Paraméterek!$J$113,Paraméterek!$K$113),IF(IF(ISBLANK($AW360),$AV360,$AW360)*Paraméterek!$J$112&gt;IF($D$4="Forint",Paraméterek!$J$114,Paraméterek!$K$114),IF($D$4="Forint",Paraméterek!$J$114,Paraméterek!$K$114),IF(ISBLANK($AW360),$AV360,$AW360)*Paraméterek!$J$112))),IF($D$4="Forint",0,2))</f>
        <v>0</v>
      </c>
      <c r="AY360" s="13">
        <f>$AR360+$AT360-$AU360-IF(ROUNDDOWN(IF(ISBLANK($AW360),$AV360,$AW360),IF($D$4="Forint",0,2))&gt;$AR360+$AT360-$AU360-IF($D$4="Forint",Paraméterek!$J$114,Paraméterek!$K$114),0,ROUNDDOWN(IF(ISBLANK($AW360),$AV360,$AW360),IF($D$4="Forint",0,2))-$AX360)</f>
        <v>0</v>
      </c>
      <c r="AZ360" s="13">
        <f t="shared" si="84"/>
        <v>0</v>
      </c>
    </row>
    <row r="361" spans="1:52" x14ac:dyDescent="0.2">
      <c r="A361" s="32">
        <v>342</v>
      </c>
      <c r="B361" s="32">
        <v>29</v>
      </c>
      <c r="C361" s="32">
        <v>6</v>
      </c>
      <c r="D361" s="13">
        <f t="shared" si="75"/>
        <v>0</v>
      </c>
      <c r="E361" s="13"/>
      <c r="F361" s="13"/>
      <c r="G361" s="13"/>
      <c r="H361" s="13">
        <f t="shared" si="76"/>
        <v>0</v>
      </c>
      <c r="I361" s="13">
        <f t="shared" si="77"/>
        <v>0</v>
      </c>
      <c r="J361" s="13">
        <f t="shared" si="78"/>
        <v>0</v>
      </c>
      <c r="K361" s="13">
        <f>ROUNDUP(IF($D$2="Egyszeri",$D361,IF($D$2="Havi",SUM($D$20:$D$31),IF(MOD($C361,$M$1)-1=0,SUM($D$20:$D$31),0))/12*$M$1)*VLOOKUP($B361,Paraméterek!$B$27:$D$30,IF($D$2="Egyszeri",3,2)),IF($D$4="Forint",0,2))</f>
        <v>0</v>
      </c>
      <c r="L361" s="13">
        <f t="shared" si="79"/>
        <v>0</v>
      </c>
      <c r="M361" s="13">
        <f t="shared" ca="1" si="85"/>
        <v>-210793</v>
      </c>
      <c r="N361" s="13">
        <f ca="1">IF($V360&gt;=VLOOKUP($M$4-1+$B361,Paraméterek!$B$121:$D$122,IF($D$4="Forint",2,3)),0,VLOOKUP($M$4-1+$B361,Paraméterek!$B$121:$D$122,IF($D$4="Forint",2,3))-$V360)</f>
        <v>220793</v>
      </c>
      <c r="O361" s="13">
        <f ca="1">ROUNDUP($N361*Paraméterek!$C$58/Paraméterek!$C$56,IF($D$4="Forint",0,2))</f>
        <v>36</v>
      </c>
      <c r="P361" s="13">
        <f t="shared" si="80"/>
        <v>1259</v>
      </c>
      <c r="Q361" s="33"/>
      <c r="R361" s="13">
        <f t="shared" ca="1" si="81"/>
        <v>0</v>
      </c>
      <c r="S361" s="13">
        <f ca="1">ROUNDUP(($M361-$O361-$P361+$R361)*VLOOKUP($B361,Paraméterek!$B$38:$D$39,IF($D$2="Egyszeri",3,2))/12,IF($D$4="Forint",0,2))</f>
        <v>-518</v>
      </c>
      <c r="T361" s="13"/>
      <c r="U361" s="13"/>
      <c r="V361" s="13">
        <f ca="1">$M361-$O361-$P361+$R361-$S361-IF(ROUNDUP(IF(ISBLANK($U361),$T361,$U361)/IF(AND($B361=1,$D$2&lt;&gt;"Egyszeri"),1,VLOOKUP($B361+IF($C361=12,1,0),Paraméterek!$B$257:$D$267,IF($D$2="Egyszeri",3,2))),IF($D$4="Forint",0,2))&gt;$M361-$O361-$P361+$R361-$S361-IF($D$4="Forint",Paraméterek!$C$216,Paraméterek!$D$216),0,ROUNDUP(IF(ISBLANK($U361),$T361,$U361)/IF(AND($B361=1,$D$2&lt;&gt;"Egyszeri"),1,VLOOKUP($B361+IF($C361=12,1,0),Paraméterek!$B$257:$D$267,IF($D$2="Egyszeri",3,2))),IF($D$4="Forint",0,2)))</f>
        <v>-211570</v>
      </c>
      <c r="W361" s="13">
        <f ca="1">ROUNDDOWN($V361*VLOOKUP($B361+IF($C361=12,1,0),Paraméterek!$B$257:$D$267,IF($D$2="Egyszeri",3,2)),IF($D$4="Forint",0,2))</f>
        <v>-211570</v>
      </c>
      <c r="Y361" s="32">
        <v>342</v>
      </c>
      <c r="Z361" s="32">
        <v>29</v>
      </c>
      <c r="AA361" s="32">
        <v>6</v>
      </c>
      <c r="AB361" s="13">
        <f t="shared" si="86"/>
        <v>0</v>
      </c>
      <c r="AC361" s="33"/>
      <c r="AD361" s="13">
        <f t="shared" si="82"/>
        <v>0</v>
      </c>
      <c r="AE361" s="13">
        <f>ROUNDUP(($AB361+$AD361)*VLOOKUP($Z361,Paraméterek!$P$38:$Q$38,2)/12,IF($D$4="Forint",0,2))</f>
        <v>0</v>
      </c>
      <c r="AF361" s="13">
        <f>IF($D$2="Egyszeri",IF($D$7&gt;=IF($D$4="Forint",Paraméterek!$P$223,Paraméterek!$P$224),$D$7-IF($D$4="Forint",Paraméterek!$F$223,Paraméterek!$F$224),0),MIN(IF($AA361=12,AVERAGE($D$20:$D361)*12,0),SUM($D$20:$D$31)))</f>
        <v>0</v>
      </c>
      <c r="AG361" s="13">
        <f>IF(AND($Z361&gt;=10,MOD($Z361,5)=0),$AF361*IF($AA361=12,VLOOKUP($Z361,Paraméterek!$B$225:$F$240,IF($AF361&lt;IF($D$4="Forint",Paraméterek!$C$223,Paraméterek!$C$224),2,IF($AF361&lt;IF($D$4="Forint",Paraméterek!$D$223,Paraméterek!$D$224),3,4))),0),0)</f>
        <v>0</v>
      </c>
      <c r="AH361" s="13">
        <f>IF(AND($Z361&gt;=5,MOD($Z361,5)=0),IF($AA361=12,VLOOKUP($Z361,Paraméterek!$B$225:$F$240,5),0),IF(OR($Z361=3,$Z361=4),IF($AA361=12,VLOOKUP($Z361,Paraméterek!$B$225:$F$240,5,0),0),0))*$AF361</f>
        <v>0</v>
      </c>
      <c r="AI361" s="13">
        <f>ROUNDDOWN(IF(SUM($T$20:$U361)=0,IF($D$2="Egyszeri",$AH361,$AG361),0),IF($D$4="Forint",0,2))</f>
        <v>0</v>
      </c>
      <c r="AJ361" s="13">
        <f t="shared" si="87"/>
        <v>0</v>
      </c>
      <c r="AK361" s="13">
        <f t="shared" si="88"/>
        <v>0</v>
      </c>
      <c r="AM361" s="32">
        <v>342</v>
      </c>
      <c r="AN361" s="32">
        <v>29</v>
      </c>
      <c r="AO361" s="32">
        <v>6</v>
      </c>
      <c r="AP361" s="13"/>
      <c r="AQ361" s="32"/>
      <c r="AR361" s="13">
        <f t="shared" si="89"/>
        <v>0</v>
      </c>
      <c r="AS361" s="33"/>
      <c r="AT361" s="13">
        <f t="shared" si="83"/>
        <v>0</v>
      </c>
      <c r="AU361" s="13">
        <f>ROUNDUP(($AR361+$AT361)*VLOOKUP($AN361,Paraméterek!$P$38:$Q$38,2)/12,IF($D$4="Forint",0,2))</f>
        <v>0</v>
      </c>
      <c r="AV361" s="13"/>
      <c r="AW361" s="13"/>
      <c r="AX361" s="13">
        <f>ROUNDUP(IF(SUM($AV361:$AW361)=0,0,IF(IF(ISBLANK($AW361),$AV361,$AW361)*Paraméterek!$J$112&lt;IF($D$4="Forint",Paraméterek!$J$113,Paraméterek!$K$113),IF($D$4="Forint",Paraméterek!$J$113,Paraméterek!$K$113),IF(IF(ISBLANK($AW361),$AV361,$AW361)*Paraméterek!$J$112&gt;IF($D$4="Forint",Paraméterek!$J$114,Paraméterek!$K$114),IF($D$4="Forint",Paraméterek!$J$114,Paraméterek!$K$114),IF(ISBLANK($AW361),$AV361,$AW361)*Paraméterek!$J$112))),IF($D$4="Forint",0,2))</f>
        <v>0</v>
      </c>
      <c r="AY361" s="13">
        <f>$AR361+$AT361-$AU361-IF(ROUNDDOWN(IF(ISBLANK($AW361),$AV361,$AW361),IF($D$4="Forint",0,2))&gt;$AR361+$AT361-$AU361-IF($D$4="Forint",Paraméterek!$J$114,Paraméterek!$K$114),0,ROUNDDOWN(IF(ISBLANK($AW361),$AV361,$AW361),IF($D$4="Forint",0,2))-$AX361)</f>
        <v>0</v>
      </c>
      <c r="AZ361" s="13">
        <f t="shared" si="84"/>
        <v>0</v>
      </c>
    </row>
    <row r="362" spans="1:52" x14ac:dyDescent="0.2">
      <c r="A362" s="32">
        <v>343</v>
      </c>
      <c r="B362" s="32">
        <v>29</v>
      </c>
      <c r="C362" s="32">
        <v>7</v>
      </c>
      <c r="D362" s="13">
        <f t="shared" si="75"/>
        <v>0</v>
      </c>
      <c r="E362" s="13"/>
      <c r="F362" s="13"/>
      <c r="G362" s="13"/>
      <c r="H362" s="13">
        <f t="shared" si="76"/>
        <v>0</v>
      </c>
      <c r="I362" s="13">
        <f t="shared" si="77"/>
        <v>0</v>
      </c>
      <c r="J362" s="13">
        <f t="shared" si="78"/>
        <v>0</v>
      </c>
      <c r="K362" s="13">
        <f>ROUNDUP(IF($D$2="Egyszeri",$D362,IF($D$2="Havi",SUM($D$20:$D$31),IF(MOD($C362,$M$1)-1=0,SUM($D$20:$D$31),0))/12*$M$1)*VLOOKUP($B362,Paraméterek!$B$27:$D$30,IF($D$2="Egyszeri",3,2)),IF($D$4="Forint",0,2))</f>
        <v>0</v>
      </c>
      <c r="L362" s="13">
        <f t="shared" si="79"/>
        <v>0</v>
      </c>
      <c r="M362" s="13">
        <f t="shared" ca="1" si="85"/>
        <v>-211570</v>
      </c>
      <c r="N362" s="13">
        <f ca="1">IF($V361&gt;=VLOOKUP($M$4-1+$B362,Paraméterek!$B$121:$D$122,IF($D$4="Forint",2,3)),0,VLOOKUP($M$4-1+$B362,Paraméterek!$B$121:$D$122,IF($D$4="Forint",2,3))-$V361)</f>
        <v>221570</v>
      </c>
      <c r="O362" s="13">
        <f ca="1">ROUNDUP($N362*Paraméterek!$C$58/Paraméterek!$C$56,IF($D$4="Forint",0,2))</f>
        <v>36</v>
      </c>
      <c r="P362" s="13">
        <f t="shared" si="80"/>
        <v>1259</v>
      </c>
      <c r="Q362" s="33"/>
      <c r="R362" s="13">
        <f t="shared" ca="1" si="81"/>
        <v>0</v>
      </c>
      <c r="S362" s="13">
        <f ca="1">ROUNDUP(($M362-$O362-$P362+$R362)*VLOOKUP($B362,Paraméterek!$B$38:$D$39,IF($D$2="Egyszeri",3,2))/12,IF($D$4="Forint",0,2))</f>
        <v>-520</v>
      </c>
      <c r="T362" s="13"/>
      <c r="U362" s="13"/>
      <c r="V362" s="13">
        <f ca="1">$M362-$O362-$P362+$R362-$S362-IF(ROUNDUP(IF(ISBLANK($U362),$T362,$U362)/IF(AND($B362=1,$D$2&lt;&gt;"Egyszeri"),1,VLOOKUP($B362+IF($C362=12,1,0),Paraméterek!$B$257:$D$267,IF($D$2="Egyszeri",3,2))),IF($D$4="Forint",0,2))&gt;$M362-$O362-$P362+$R362-$S362-IF($D$4="Forint",Paraméterek!$C$216,Paraméterek!$D$216),0,ROUNDUP(IF(ISBLANK($U362),$T362,$U362)/IF(AND($B362=1,$D$2&lt;&gt;"Egyszeri"),1,VLOOKUP($B362+IF($C362=12,1,0),Paraméterek!$B$257:$D$267,IF($D$2="Egyszeri",3,2))),IF($D$4="Forint",0,2)))</f>
        <v>-212345</v>
      </c>
      <c r="W362" s="13">
        <f ca="1">ROUNDDOWN($V362*VLOOKUP($B362+IF($C362=12,1,0),Paraméterek!$B$257:$D$267,IF($D$2="Egyszeri",3,2)),IF($D$4="Forint",0,2))</f>
        <v>-212345</v>
      </c>
      <c r="Y362" s="32">
        <v>343</v>
      </c>
      <c r="Z362" s="32">
        <v>29</v>
      </c>
      <c r="AA362" s="32">
        <v>7</v>
      </c>
      <c r="AB362" s="13">
        <f t="shared" si="86"/>
        <v>0</v>
      </c>
      <c r="AC362" s="33"/>
      <c r="AD362" s="13">
        <f t="shared" si="82"/>
        <v>0</v>
      </c>
      <c r="AE362" s="13">
        <f>ROUNDUP(($AB362+$AD362)*VLOOKUP($Z362,Paraméterek!$P$38:$Q$38,2)/12,IF($D$4="Forint",0,2))</f>
        <v>0</v>
      </c>
      <c r="AF362" s="13">
        <f>IF($D$2="Egyszeri",IF($D$7&gt;=IF($D$4="Forint",Paraméterek!$P$223,Paraméterek!$P$224),$D$7-IF($D$4="Forint",Paraméterek!$F$223,Paraméterek!$F$224),0),MIN(IF($AA362=12,AVERAGE($D$20:$D362)*12,0),SUM($D$20:$D$31)))</f>
        <v>0</v>
      </c>
      <c r="AG362" s="13">
        <f>IF(AND($Z362&gt;=10,MOD($Z362,5)=0),$AF362*IF($AA362=12,VLOOKUP($Z362,Paraméterek!$B$225:$F$240,IF($AF362&lt;IF($D$4="Forint",Paraméterek!$C$223,Paraméterek!$C$224),2,IF($AF362&lt;IF($D$4="Forint",Paraméterek!$D$223,Paraméterek!$D$224),3,4))),0),0)</f>
        <v>0</v>
      </c>
      <c r="AH362" s="13">
        <f>IF(AND($Z362&gt;=5,MOD($Z362,5)=0),IF($AA362=12,VLOOKUP($Z362,Paraméterek!$B$225:$F$240,5),0),IF(OR($Z362=3,$Z362=4),IF($AA362=12,VLOOKUP($Z362,Paraméterek!$B$225:$F$240,5,0),0),0))*$AF362</f>
        <v>0</v>
      </c>
      <c r="AI362" s="13">
        <f>ROUNDDOWN(IF(SUM($T$20:$U362)=0,IF($D$2="Egyszeri",$AH362,$AG362),0),IF($D$4="Forint",0,2))</f>
        <v>0</v>
      </c>
      <c r="AJ362" s="13">
        <f t="shared" si="87"/>
        <v>0</v>
      </c>
      <c r="AK362" s="13">
        <f t="shared" si="88"/>
        <v>0</v>
      </c>
      <c r="AM362" s="32">
        <v>343</v>
      </c>
      <c r="AN362" s="32">
        <v>29</v>
      </c>
      <c r="AO362" s="32">
        <v>7</v>
      </c>
      <c r="AP362" s="13"/>
      <c r="AQ362" s="32"/>
      <c r="AR362" s="13">
        <f t="shared" si="89"/>
        <v>0</v>
      </c>
      <c r="AS362" s="33"/>
      <c r="AT362" s="13">
        <f t="shared" si="83"/>
        <v>0</v>
      </c>
      <c r="AU362" s="13">
        <f>ROUNDUP(($AR362+$AT362)*VLOOKUP($AN362,Paraméterek!$P$38:$Q$38,2)/12,IF($D$4="Forint",0,2))</f>
        <v>0</v>
      </c>
      <c r="AV362" s="13"/>
      <c r="AW362" s="13"/>
      <c r="AX362" s="13">
        <f>ROUNDUP(IF(SUM($AV362:$AW362)=0,0,IF(IF(ISBLANK($AW362),$AV362,$AW362)*Paraméterek!$J$112&lt;IF($D$4="Forint",Paraméterek!$J$113,Paraméterek!$K$113),IF($D$4="Forint",Paraméterek!$J$113,Paraméterek!$K$113),IF(IF(ISBLANK($AW362),$AV362,$AW362)*Paraméterek!$J$112&gt;IF($D$4="Forint",Paraméterek!$J$114,Paraméterek!$K$114),IF($D$4="Forint",Paraméterek!$J$114,Paraméterek!$K$114),IF(ISBLANK($AW362),$AV362,$AW362)*Paraméterek!$J$112))),IF($D$4="Forint",0,2))</f>
        <v>0</v>
      </c>
      <c r="AY362" s="13">
        <f>$AR362+$AT362-$AU362-IF(ROUNDDOWN(IF(ISBLANK($AW362),$AV362,$AW362),IF($D$4="Forint",0,2))&gt;$AR362+$AT362-$AU362-IF($D$4="Forint",Paraméterek!$J$114,Paraméterek!$K$114),0,ROUNDDOWN(IF(ISBLANK($AW362),$AV362,$AW362),IF($D$4="Forint",0,2))-$AX362)</f>
        <v>0</v>
      </c>
      <c r="AZ362" s="13">
        <f t="shared" si="84"/>
        <v>0</v>
      </c>
    </row>
    <row r="363" spans="1:52" x14ac:dyDescent="0.2">
      <c r="A363" s="32">
        <v>344</v>
      </c>
      <c r="B363" s="32">
        <v>29</v>
      </c>
      <c r="C363" s="32">
        <v>8</v>
      </c>
      <c r="D363" s="13">
        <f t="shared" si="75"/>
        <v>0</v>
      </c>
      <c r="E363" s="13"/>
      <c r="F363" s="13"/>
      <c r="G363" s="13"/>
      <c r="H363" s="13">
        <f t="shared" si="76"/>
        <v>0</v>
      </c>
      <c r="I363" s="13">
        <f t="shared" si="77"/>
        <v>0</v>
      </c>
      <c r="J363" s="13">
        <f t="shared" si="78"/>
        <v>0</v>
      </c>
      <c r="K363" s="13">
        <f>ROUNDUP(IF($D$2="Egyszeri",$D363,IF($D$2="Havi",SUM($D$20:$D$31),IF(MOD($C363,$M$1)-1=0,SUM($D$20:$D$31),0))/12*$M$1)*VLOOKUP($B363,Paraméterek!$B$27:$D$30,IF($D$2="Egyszeri",3,2)),IF($D$4="Forint",0,2))</f>
        <v>0</v>
      </c>
      <c r="L363" s="13">
        <f t="shared" si="79"/>
        <v>0</v>
      </c>
      <c r="M363" s="13">
        <f t="shared" ca="1" si="85"/>
        <v>-212345</v>
      </c>
      <c r="N363" s="13">
        <f ca="1">IF($V362&gt;=VLOOKUP($M$4-1+$B363,Paraméterek!$B$121:$D$122,IF($D$4="Forint",2,3)),0,VLOOKUP($M$4-1+$B363,Paraméterek!$B$121:$D$122,IF($D$4="Forint",2,3))-$V362)</f>
        <v>222345</v>
      </c>
      <c r="O363" s="13">
        <f ca="1">ROUNDUP($N363*Paraméterek!$C$58/Paraméterek!$C$56,IF($D$4="Forint",0,2))</f>
        <v>36</v>
      </c>
      <c r="P363" s="13">
        <f t="shared" si="80"/>
        <v>1259</v>
      </c>
      <c r="Q363" s="33"/>
      <c r="R363" s="13">
        <f t="shared" ca="1" si="81"/>
        <v>0</v>
      </c>
      <c r="S363" s="13">
        <f ca="1">ROUNDUP(($M363-$O363-$P363+$R363)*VLOOKUP($B363,Paraméterek!$B$38:$D$39,IF($D$2="Egyszeri",3,2))/12,IF($D$4="Forint",0,2))</f>
        <v>-522</v>
      </c>
      <c r="T363" s="13"/>
      <c r="U363" s="13"/>
      <c r="V363" s="13">
        <f ca="1">$M363-$O363-$P363+$R363-$S363-IF(ROUNDUP(IF(ISBLANK($U363),$T363,$U363)/IF(AND($B363=1,$D$2&lt;&gt;"Egyszeri"),1,VLOOKUP($B363+IF($C363=12,1,0),Paraméterek!$B$257:$D$267,IF($D$2="Egyszeri",3,2))),IF($D$4="Forint",0,2))&gt;$M363-$O363-$P363+$R363-$S363-IF($D$4="Forint",Paraméterek!$C$216,Paraméterek!$D$216),0,ROUNDUP(IF(ISBLANK($U363),$T363,$U363)/IF(AND($B363=1,$D$2&lt;&gt;"Egyszeri"),1,VLOOKUP($B363+IF($C363=12,1,0),Paraméterek!$B$257:$D$267,IF($D$2="Egyszeri",3,2))),IF($D$4="Forint",0,2)))</f>
        <v>-213118</v>
      </c>
      <c r="W363" s="13">
        <f ca="1">ROUNDDOWN($V363*VLOOKUP($B363+IF($C363=12,1,0),Paraméterek!$B$257:$D$267,IF($D$2="Egyszeri",3,2)),IF($D$4="Forint",0,2))</f>
        <v>-213118</v>
      </c>
      <c r="Y363" s="32">
        <v>344</v>
      </c>
      <c r="Z363" s="32">
        <v>29</v>
      </c>
      <c r="AA363" s="32">
        <v>8</v>
      </c>
      <c r="AB363" s="13">
        <f t="shared" si="86"/>
        <v>0</v>
      </c>
      <c r="AC363" s="33"/>
      <c r="AD363" s="13">
        <f t="shared" si="82"/>
        <v>0</v>
      </c>
      <c r="AE363" s="13">
        <f>ROUNDUP(($AB363+$AD363)*VLOOKUP($Z363,Paraméterek!$P$38:$Q$38,2)/12,IF($D$4="Forint",0,2))</f>
        <v>0</v>
      </c>
      <c r="AF363" s="13">
        <f>IF($D$2="Egyszeri",IF($D$7&gt;=IF($D$4="Forint",Paraméterek!$P$223,Paraméterek!$P$224),$D$7-IF($D$4="Forint",Paraméterek!$F$223,Paraméterek!$F$224),0),MIN(IF($AA363=12,AVERAGE($D$20:$D363)*12,0),SUM($D$20:$D$31)))</f>
        <v>0</v>
      </c>
      <c r="AG363" s="13">
        <f>IF(AND($Z363&gt;=10,MOD($Z363,5)=0),$AF363*IF($AA363=12,VLOOKUP($Z363,Paraméterek!$B$225:$F$240,IF($AF363&lt;IF($D$4="Forint",Paraméterek!$C$223,Paraméterek!$C$224),2,IF($AF363&lt;IF($D$4="Forint",Paraméterek!$D$223,Paraméterek!$D$224),3,4))),0),0)</f>
        <v>0</v>
      </c>
      <c r="AH363" s="13">
        <f>IF(AND($Z363&gt;=5,MOD($Z363,5)=0),IF($AA363=12,VLOOKUP($Z363,Paraméterek!$B$225:$F$240,5),0),IF(OR($Z363=3,$Z363=4),IF($AA363=12,VLOOKUP($Z363,Paraméterek!$B$225:$F$240,5,0),0),0))*$AF363</f>
        <v>0</v>
      </c>
      <c r="AI363" s="13">
        <f>ROUNDDOWN(IF(SUM($T$20:$U363)=0,IF($D$2="Egyszeri",$AH363,$AG363),0),IF($D$4="Forint",0,2))</f>
        <v>0</v>
      </c>
      <c r="AJ363" s="13">
        <f t="shared" si="87"/>
        <v>0</v>
      </c>
      <c r="AK363" s="13">
        <f t="shared" si="88"/>
        <v>0</v>
      </c>
      <c r="AM363" s="32">
        <v>344</v>
      </c>
      <c r="AN363" s="32">
        <v>29</v>
      </c>
      <c r="AO363" s="32">
        <v>8</v>
      </c>
      <c r="AP363" s="13"/>
      <c r="AQ363" s="32"/>
      <c r="AR363" s="13">
        <f t="shared" si="89"/>
        <v>0</v>
      </c>
      <c r="AS363" s="33"/>
      <c r="AT363" s="13">
        <f t="shared" si="83"/>
        <v>0</v>
      </c>
      <c r="AU363" s="13">
        <f>ROUNDUP(($AR363+$AT363)*VLOOKUP($AN363,Paraméterek!$P$38:$Q$38,2)/12,IF($D$4="Forint",0,2))</f>
        <v>0</v>
      </c>
      <c r="AV363" s="13"/>
      <c r="AW363" s="13"/>
      <c r="AX363" s="13">
        <f>ROUNDUP(IF(SUM($AV363:$AW363)=0,0,IF(IF(ISBLANK($AW363),$AV363,$AW363)*Paraméterek!$J$112&lt;IF($D$4="Forint",Paraméterek!$J$113,Paraméterek!$K$113),IF($D$4="Forint",Paraméterek!$J$113,Paraméterek!$K$113),IF(IF(ISBLANK($AW363),$AV363,$AW363)*Paraméterek!$J$112&gt;IF($D$4="Forint",Paraméterek!$J$114,Paraméterek!$K$114),IF($D$4="Forint",Paraméterek!$J$114,Paraméterek!$K$114),IF(ISBLANK($AW363),$AV363,$AW363)*Paraméterek!$J$112))),IF($D$4="Forint",0,2))</f>
        <v>0</v>
      </c>
      <c r="AY363" s="13">
        <f>$AR363+$AT363-$AU363-IF(ROUNDDOWN(IF(ISBLANK($AW363),$AV363,$AW363),IF($D$4="Forint",0,2))&gt;$AR363+$AT363-$AU363-IF($D$4="Forint",Paraméterek!$J$114,Paraméterek!$K$114),0,ROUNDDOWN(IF(ISBLANK($AW363),$AV363,$AW363),IF($D$4="Forint",0,2))-$AX363)</f>
        <v>0</v>
      </c>
      <c r="AZ363" s="13">
        <f t="shared" si="84"/>
        <v>0</v>
      </c>
    </row>
    <row r="364" spans="1:52" x14ac:dyDescent="0.2">
      <c r="A364" s="32">
        <v>345</v>
      </c>
      <c r="B364" s="32">
        <v>29</v>
      </c>
      <c r="C364" s="32">
        <v>9</v>
      </c>
      <c r="D364" s="13">
        <f t="shared" si="75"/>
        <v>0</v>
      </c>
      <c r="E364" s="13"/>
      <c r="F364" s="13"/>
      <c r="G364" s="13"/>
      <c r="H364" s="13">
        <f t="shared" si="76"/>
        <v>0</v>
      </c>
      <c r="I364" s="13">
        <f t="shared" si="77"/>
        <v>0</v>
      </c>
      <c r="J364" s="13">
        <f t="shared" si="78"/>
        <v>0</v>
      </c>
      <c r="K364" s="13">
        <f>ROUNDUP(IF($D$2="Egyszeri",$D364,IF($D$2="Havi",SUM($D$20:$D$31),IF(MOD($C364,$M$1)-1=0,SUM($D$20:$D$31),0))/12*$M$1)*VLOOKUP($B364,Paraméterek!$B$27:$D$30,IF($D$2="Egyszeri",3,2)),IF($D$4="Forint",0,2))</f>
        <v>0</v>
      </c>
      <c r="L364" s="13">
        <f t="shared" si="79"/>
        <v>0</v>
      </c>
      <c r="M364" s="13">
        <f t="shared" ca="1" si="85"/>
        <v>-213118</v>
      </c>
      <c r="N364" s="13">
        <f ca="1">IF($V363&gt;=VLOOKUP($M$4-1+$B364,Paraméterek!$B$121:$D$122,IF($D$4="Forint",2,3)),0,VLOOKUP($M$4-1+$B364,Paraméterek!$B$121:$D$122,IF($D$4="Forint",2,3))-$V363)</f>
        <v>223118</v>
      </c>
      <c r="O364" s="13">
        <f ca="1">ROUNDUP($N364*Paraméterek!$C$58/Paraméterek!$C$56,IF($D$4="Forint",0,2))</f>
        <v>36</v>
      </c>
      <c r="P364" s="13">
        <f t="shared" si="80"/>
        <v>1259</v>
      </c>
      <c r="Q364" s="33"/>
      <c r="R364" s="13">
        <f t="shared" ca="1" si="81"/>
        <v>0</v>
      </c>
      <c r="S364" s="13">
        <f ca="1">ROUNDUP(($M364-$O364-$P364+$R364)*VLOOKUP($B364,Paraméterek!$B$38:$D$39,IF($D$2="Egyszeri",3,2))/12,IF($D$4="Forint",0,2))</f>
        <v>-524</v>
      </c>
      <c r="T364" s="13"/>
      <c r="U364" s="13"/>
      <c r="V364" s="13">
        <f ca="1">$M364-$O364-$P364+$R364-$S364-IF(ROUNDUP(IF(ISBLANK($U364),$T364,$U364)/IF(AND($B364=1,$D$2&lt;&gt;"Egyszeri"),1,VLOOKUP($B364+IF($C364=12,1,0),Paraméterek!$B$257:$D$267,IF($D$2="Egyszeri",3,2))),IF($D$4="Forint",0,2))&gt;$M364-$O364-$P364+$R364-$S364-IF($D$4="Forint",Paraméterek!$C$216,Paraméterek!$D$216),0,ROUNDUP(IF(ISBLANK($U364),$T364,$U364)/IF(AND($B364=1,$D$2&lt;&gt;"Egyszeri"),1,VLOOKUP($B364+IF($C364=12,1,0),Paraméterek!$B$257:$D$267,IF($D$2="Egyszeri",3,2))),IF($D$4="Forint",0,2)))</f>
        <v>-213889</v>
      </c>
      <c r="W364" s="13">
        <f ca="1">ROUNDDOWN($V364*VLOOKUP($B364+IF($C364=12,1,0),Paraméterek!$B$257:$D$267,IF($D$2="Egyszeri",3,2)),IF($D$4="Forint",0,2))</f>
        <v>-213889</v>
      </c>
      <c r="Y364" s="32">
        <v>345</v>
      </c>
      <c r="Z364" s="32">
        <v>29</v>
      </c>
      <c r="AA364" s="32">
        <v>9</v>
      </c>
      <c r="AB364" s="13">
        <f t="shared" si="86"/>
        <v>0</v>
      </c>
      <c r="AC364" s="33"/>
      <c r="AD364" s="13">
        <f t="shared" si="82"/>
        <v>0</v>
      </c>
      <c r="AE364" s="13">
        <f>ROUNDUP(($AB364+$AD364)*VLOOKUP($Z364,Paraméterek!$P$38:$Q$38,2)/12,IF($D$4="Forint",0,2))</f>
        <v>0</v>
      </c>
      <c r="AF364" s="13">
        <f>IF($D$2="Egyszeri",IF($D$7&gt;=IF($D$4="Forint",Paraméterek!$P$223,Paraméterek!$P$224),$D$7-IF($D$4="Forint",Paraméterek!$F$223,Paraméterek!$F$224),0),MIN(IF($AA364=12,AVERAGE($D$20:$D364)*12,0),SUM($D$20:$D$31)))</f>
        <v>0</v>
      </c>
      <c r="AG364" s="13">
        <f>IF(AND($Z364&gt;=10,MOD($Z364,5)=0),$AF364*IF($AA364=12,VLOOKUP($Z364,Paraméterek!$B$225:$F$240,IF($AF364&lt;IF($D$4="Forint",Paraméterek!$C$223,Paraméterek!$C$224),2,IF($AF364&lt;IF($D$4="Forint",Paraméterek!$D$223,Paraméterek!$D$224),3,4))),0),0)</f>
        <v>0</v>
      </c>
      <c r="AH364" s="13">
        <f>IF(AND($Z364&gt;=5,MOD($Z364,5)=0),IF($AA364=12,VLOOKUP($Z364,Paraméterek!$B$225:$F$240,5),0),IF(OR($Z364=3,$Z364=4),IF($AA364=12,VLOOKUP($Z364,Paraméterek!$B$225:$F$240,5,0),0),0))*$AF364</f>
        <v>0</v>
      </c>
      <c r="AI364" s="13">
        <f>ROUNDDOWN(IF(SUM($T$20:$U364)=0,IF($D$2="Egyszeri",$AH364,$AG364),0),IF($D$4="Forint",0,2))</f>
        <v>0</v>
      </c>
      <c r="AJ364" s="13">
        <f t="shared" si="87"/>
        <v>0</v>
      </c>
      <c r="AK364" s="13">
        <f t="shared" si="88"/>
        <v>0</v>
      </c>
      <c r="AM364" s="32">
        <v>345</v>
      </c>
      <c r="AN364" s="32">
        <v>29</v>
      </c>
      <c r="AO364" s="32">
        <v>9</v>
      </c>
      <c r="AP364" s="13"/>
      <c r="AQ364" s="32"/>
      <c r="AR364" s="13">
        <f t="shared" si="89"/>
        <v>0</v>
      </c>
      <c r="AS364" s="33"/>
      <c r="AT364" s="13">
        <f t="shared" si="83"/>
        <v>0</v>
      </c>
      <c r="AU364" s="13">
        <f>ROUNDUP(($AR364+$AT364)*VLOOKUP($AN364,Paraméterek!$P$38:$Q$38,2)/12,IF($D$4="Forint",0,2))</f>
        <v>0</v>
      </c>
      <c r="AV364" s="13"/>
      <c r="AW364" s="13"/>
      <c r="AX364" s="13">
        <f>ROUNDUP(IF(SUM($AV364:$AW364)=0,0,IF(IF(ISBLANK($AW364),$AV364,$AW364)*Paraméterek!$J$112&lt;IF($D$4="Forint",Paraméterek!$J$113,Paraméterek!$K$113),IF($D$4="Forint",Paraméterek!$J$113,Paraméterek!$K$113),IF(IF(ISBLANK($AW364),$AV364,$AW364)*Paraméterek!$J$112&gt;IF($D$4="Forint",Paraméterek!$J$114,Paraméterek!$K$114),IF($D$4="Forint",Paraméterek!$J$114,Paraméterek!$K$114),IF(ISBLANK($AW364),$AV364,$AW364)*Paraméterek!$J$112))),IF($D$4="Forint",0,2))</f>
        <v>0</v>
      </c>
      <c r="AY364" s="13">
        <f>$AR364+$AT364-$AU364-IF(ROUNDDOWN(IF(ISBLANK($AW364),$AV364,$AW364),IF($D$4="Forint",0,2))&gt;$AR364+$AT364-$AU364-IF($D$4="Forint",Paraméterek!$J$114,Paraméterek!$K$114),0,ROUNDDOWN(IF(ISBLANK($AW364),$AV364,$AW364),IF($D$4="Forint",0,2))-$AX364)</f>
        <v>0</v>
      </c>
      <c r="AZ364" s="13">
        <f t="shared" si="84"/>
        <v>0</v>
      </c>
    </row>
    <row r="365" spans="1:52" x14ac:dyDescent="0.2">
      <c r="A365" s="32">
        <v>346</v>
      </c>
      <c r="B365" s="32">
        <v>29</v>
      </c>
      <c r="C365" s="32">
        <v>10</v>
      </c>
      <c r="D365" s="13">
        <f t="shared" si="75"/>
        <v>0</v>
      </c>
      <c r="E365" s="13"/>
      <c r="F365" s="13"/>
      <c r="G365" s="13"/>
      <c r="H365" s="13">
        <f t="shared" si="76"/>
        <v>0</v>
      </c>
      <c r="I365" s="13">
        <f t="shared" si="77"/>
        <v>0</v>
      </c>
      <c r="J365" s="13">
        <f t="shared" si="78"/>
        <v>0</v>
      </c>
      <c r="K365" s="13">
        <f>ROUNDUP(IF($D$2="Egyszeri",$D365,IF($D$2="Havi",SUM($D$20:$D$31),IF(MOD($C365,$M$1)-1=0,SUM($D$20:$D$31),0))/12*$M$1)*VLOOKUP($B365,Paraméterek!$B$27:$D$30,IF($D$2="Egyszeri",3,2)),IF($D$4="Forint",0,2))</f>
        <v>0</v>
      </c>
      <c r="L365" s="13">
        <f t="shared" si="79"/>
        <v>0</v>
      </c>
      <c r="M365" s="13">
        <f t="shared" ca="1" si="85"/>
        <v>-213889</v>
      </c>
      <c r="N365" s="13">
        <f ca="1">IF($V364&gt;=VLOOKUP($M$4-1+$B365,Paraméterek!$B$121:$D$122,IF($D$4="Forint",2,3)),0,VLOOKUP($M$4-1+$B365,Paraméterek!$B$121:$D$122,IF($D$4="Forint",2,3))-$V364)</f>
        <v>223889</v>
      </c>
      <c r="O365" s="13">
        <f ca="1">ROUNDUP($N365*Paraméterek!$C$58/Paraméterek!$C$56,IF($D$4="Forint",0,2))</f>
        <v>36</v>
      </c>
      <c r="P365" s="13">
        <f t="shared" si="80"/>
        <v>1259</v>
      </c>
      <c r="Q365" s="33"/>
      <c r="R365" s="13">
        <f t="shared" ca="1" si="81"/>
        <v>0</v>
      </c>
      <c r="S365" s="13">
        <f ca="1">ROUNDUP(($M365-$O365-$P365+$R365)*VLOOKUP($B365,Paraméterek!$B$38:$D$39,IF($D$2="Egyszeri",3,2))/12,IF($D$4="Forint",0,2))</f>
        <v>-526</v>
      </c>
      <c r="T365" s="13"/>
      <c r="U365" s="13"/>
      <c r="V365" s="13">
        <f ca="1">$M365-$O365-$P365+$R365-$S365-IF(ROUNDUP(IF(ISBLANK($U365),$T365,$U365)/IF(AND($B365=1,$D$2&lt;&gt;"Egyszeri"),1,VLOOKUP($B365+IF($C365=12,1,0),Paraméterek!$B$257:$D$267,IF($D$2="Egyszeri",3,2))),IF($D$4="Forint",0,2))&gt;$M365-$O365-$P365+$R365-$S365-IF($D$4="Forint",Paraméterek!$C$216,Paraméterek!$D$216),0,ROUNDUP(IF(ISBLANK($U365),$T365,$U365)/IF(AND($B365=1,$D$2&lt;&gt;"Egyszeri"),1,VLOOKUP($B365+IF($C365=12,1,0),Paraméterek!$B$257:$D$267,IF($D$2="Egyszeri",3,2))),IF($D$4="Forint",0,2)))</f>
        <v>-214658</v>
      </c>
      <c r="W365" s="13">
        <f ca="1">ROUNDDOWN($V365*VLOOKUP($B365+IF($C365=12,1,0),Paraméterek!$B$257:$D$267,IF($D$2="Egyszeri",3,2)),IF($D$4="Forint",0,2))</f>
        <v>-214658</v>
      </c>
      <c r="Y365" s="32">
        <v>346</v>
      </c>
      <c r="Z365" s="32">
        <v>29</v>
      </c>
      <c r="AA365" s="32">
        <v>10</v>
      </c>
      <c r="AB365" s="13">
        <f t="shared" si="86"/>
        <v>0</v>
      </c>
      <c r="AC365" s="33"/>
      <c r="AD365" s="13">
        <f t="shared" si="82"/>
        <v>0</v>
      </c>
      <c r="AE365" s="13">
        <f>ROUNDUP(($AB365+$AD365)*VLOOKUP($Z365,Paraméterek!$P$38:$Q$38,2)/12,IF($D$4="Forint",0,2))</f>
        <v>0</v>
      </c>
      <c r="AF365" s="13">
        <f>IF($D$2="Egyszeri",IF($D$7&gt;=IF($D$4="Forint",Paraméterek!$P$223,Paraméterek!$P$224),$D$7-IF($D$4="Forint",Paraméterek!$F$223,Paraméterek!$F$224),0),MIN(IF($AA365=12,AVERAGE($D$20:$D365)*12,0),SUM($D$20:$D$31)))</f>
        <v>0</v>
      </c>
      <c r="AG365" s="13">
        <f>IF(AND($Z365&gt;=10,MOD($Z365,5)=0),$AF365*IF($AA365=12,VLOOKUP($Z365,Paraméterek!$B$225:$F$240,IF($AF365&lt;IF($D$4="Forint",Paraméterek!$C$223,Paraméterek!$C$224),2,IF($AF365&lt;IF($D$4="Forint",Paraméterek!$D$223,Paraméterek!$D$224),3,4))),0),0)</f>
        <v>0</v>
      </c>
      <c r="AH365" s="13">
        <f>IF(AND($Z365&gt;=5,MOD($Z365,5)=0),IF($AA365=12,VLOOKUP($Z365,Paraméterek!$B$225:$F$240,5),0),IF(OR($Z365=3,$Z365=4),IF($AA365=12,VLOOKUP($Z365,Paraméterek!$B$225:$F$240,5,0),0),0))*$AF365</f>
        <v>0</v>
      </c>
      <c r="AI365" s="13">
        <f>ROUNDDOWN(IF(SUM($T$20:$U365)=0,IF($D$2="Egyszeri",$AH365,$AG365),0),IF($D$4="Forint",0,2))</f>
        <v>0</v>
      </c>
      <c r="AJ365" s="13">
        <f t="shared" si="87"/>
        <v>0</v>
      </c>
      <c r="AK365" s="13">
        <f t="shared" si="88"/>
        <v>0</v>
      </c>
      <c r="AM365" s="32">
        <v>346</v>
      </c>
      <c r="AN365" s="32">
        <v>29</v>
      </c>
      <c r="AO365" s="32">
        <v>10</v>
      </c>
      <c r="AP365" s="13"/>
      <c r="AQ365" s="32"/>
      <c r="AR365" s="13">
        <f t="shared" si="89"/>
        <v>0</v>
      </c>
      <c r="AS365" s="33"/>
      <c r="AT365" s="13">
        <f t="shared" si="83"/>
        <v>0</v>
      </c>
      <c r="AU365" s="13">
        <f>ROUNDUP(($AR365+$AT365)*VLOOKUP($AN365,Paraméterek!$P$38:$Q$38,2)/12,IF($D$4="Forint",0,2))</f>
        <v>0</v>
      </c>
      <c r="AV365" s="13"/>
      <c r="AW365" s="13"/>
      <c r="AX365" s="13">
        <f>ROUNDUP(IF(SUM($AV365:$AW365)=0,0,IF(IF(ISBLANK($AW365),$AV365,$AW365)*Paraméterek!$J$112&lt;IF($D$4="Forint",Paraméterek!$J$113,Paraméterek!$K$113),IF($D$4="Forint",Paraméterek!$J$113,Paraméterek!$K$113),IF(IF(ISBLANK($AW365),$AV365,$AW365)*Paraméterek!$J$112&gt;IF($D$4="Forint",Paraméterek!$J$114,Paraméterek!$K$114),IF($D$4="Forint",Paraméterek!$J$114,Paraméterek!$K$114),IF(ISBLANK($AW365),$AV365,$AW365)*Paraméterek!$J$112))),IF($D$4="Forint",0,2))</f>
        <v>0</v>
      </c>
      <c r="AY365" s="13">
        <f>$AR365+$AT365-$AU365-IF(ROUNDDOWN(IF(ISBLANK($AW365),$AV365,$AW365),IF($D$4="Forint",0,2))&gt;$AR365+$AT365-$AU365-IF($D$4="Forint",Paraméterek!$J$114,Paraméterek!$K$114),0,ROUNDDOWN(IF(ISBLANK($AW365),$AV365,$AW365),IF($D$4="Forint",0,2))-$AX365)</f>
        <v>0</v>
      </c>
      <c r="AZ365" s="13">
        <f t="shared" si="84"/>
        <v>0</v>
      </c>
    </row>
    <row r="366" spans="1:52" x14ac:dyDescent="0.2">
      <c r="A366" s="32">
        <v>347</v>
      </c>
      <c r="B366" s="32">
        <v>29</v>
      </c>
      <c r="C366" s="32">
        <v>11</v>
      </c>
      <c r="D366" s="13">
        <f t="shared" si="75"/>
        <v>0</v>
      </c>
      <c r="E366" s="13"/>
      <c r="F366" s="13"/>
      <c r="G366" s="13"/>
      <c r="H366" s="13">
        <f t="shared" si="76"/>
        <v>0</v>
      </c>
      <c r="I366" s="13">
        <f t="shared" si="77"/>
        <v>0</v>
      </c>
      <c r="J366" s="13">
        <f t="shared" si="78"/>
        <v>0</v>
      </c>
      <c r="K366" s="13">
        <f>ROUNDUP(IF($D$2="Egyszeri",$D366,IF($D$2="Havi",SUM($D$20:$D$31),IF(MOD($C366,$M$1)-1=0,SUM($D$20:$D$31),0))/12*$M$1)*VLOOKUP($B366,Paraméterek!$B$27:$D$30,IF($D$2="Egyszeri",3,2)),IF($D$4="Forint",0,2))</f>
        <v>0</v>
      </c>
      <c r="L366" s="13">
        <f t="shared" si="79"/>
        <v>0</v>
      </c>
      <c r="M366" s="13">
        <f t="shared" ca="1" si="85"/>
        <v>-214658</v>
      </c>
      <c r="N366" s="13">
        <f ca="1">IF($V365&gt;=VLOOKUP($M$4-1+$B366,Paraméterek!$B$121:$D$122,IF($D$4="Forint",2,3)),0,VLOOKUP($M$4-1+$B366,Paraméterek!$B$121:$D$122,IF($D$4="Forint",2,3))-$V365)</f>
        <v>224658</v>
      </c>
      <c r="O366" s="13">
        <f ca="1">ROUNDUP($N366*Paraméterek!$C$58/Paraméterek!$C$56,IF($D$4="Forint",0,2))</f>
        <v>36</v>
      </c>
      <c r="P366" s="13">
        <f t="shared" si="80"/>
        <v>1259</v>
      </c>
      <c r="Q366" s="33"/>
      <c r="R366" s="13">
        <f t="shared" ca="1" si="81"/>
        <v>0</v>
      </c>
      <c r="S366" s="13">
        <f ca="1">ROUNDUP(($M366-$O366-$P366+$R366)*VLOOKUP($B366,Paraméterek!$B$38:$D$39,IF($D$2="Egyszeri",3,2))/12,IF($D$4="Forint",0,2))</f>
        <v>-528</v>
      </c>
      <c r="T366" s="13"/>
      <c r="U366" s="13"/>
      <c r="V366" s="13">
        <f ca="1">$M366-$O366-$P366+$R366-$S366-IF(ROUNDUP(IF(ISBLANK($U366),$T366,$U366)/IF(AND($B366=1,$D$2&lt;&gt;"Egyszeri"),1,VLOOKUP($B366+IF($C366=12,1,0),Paraméterek!$B$257:$D$267,IF($D$2="Egyszeri",3,2))),IF($D$4="Forint",0,2))&gt;$M366-$O366-$P366+$R366-$S366-IF($D$4="Forint",Paraméterek!$C$216,Paraméterek!$D$216),0,ROUNDUP(IF(ISBLANK($U366),$T366,$U366)/IF(AND($B366=1,$D$2&lt;&gt;"Egyszeri"),1,VLOOKUP($B366+IF($C366=12,1,0),Paraméterek!$B$257:$D$267,IF($D$2="Egyszeri",3,2))),IF($D$4="Forint",0,2)))</f>
        <v>-215425</v>
      </c>
      <c r="W366" s="13">
        <f ca="1">ROUNDDOWN($V366*VLOOKUP($B366+IF($C366=12,1,0),Paraméterek!$B$257:$D$267,IF($D$2="Egyszeri",3,2)),IF($D$4="Forint",0,2))</f>
        <v>-215425</v>
      </c>
      <c r="Y366" s="32">
        <v>347</v>
      </c>
      <c r="Z366" s="32">
        <v>29</v>
      </c>
      <c r="AA366" s="32">
        <v>11</v>
      </c>
      <c r="AB366" s="13">
        <f t="shared" si="86"/>
        <v>0</v>
      </c>
      <c r="AC366" s="33"/>
      <c r="AD366" s="13">
        <f t="shared" si="82"/>
        <v>0</v>
      </c>
      <c r="AE366" s="13">
        <f>ROUNDUP(($AB366+$AD366)*VLOOKUP($Z366,Paraméterek!$P$38:$Q$38,2)/12,IF($D$4="Forint",0,2))</f>
        <v>0</v>
      </c>
      <c r="AF366" s="13">
        <f>IF($D$2="Egyszeri",IF($D$7&gt;=IF($D$4="Forint",Paraméterek!$P$223,Paraméterek!$P$224),$D$7-IF($D$4="Forint",Paraméterek!$F$223,Paraméterek!$F$224),0),MIN(IF($AA366=12,AVERAGE($D$20:$D366)*12,0),SUM($D$20:$D$31)))</f>
        <v>0</v>
      </c>
      <c r="AG366" s="13">
        <f>IF(AND($Z366&gt;=10,MOD($Z366,5)=0),$AF366*IF($AA366=12,VLOOKUP($Z366,Paraméterek!$B$225:$F$240,IF($AF366&lt;IF($D$4="Forint",Paraméterek!$C$223,Paraméterek!$C$224),2,IF($AF366&lt;IF($D$4="Forint",Paraméterek!$D$223,Paraméterek!$D$224),3,4))),0),0)</f>
        <v>0</v>
      </c>
      <c r="AH366" s="13">
        <f>IF(AND($Z366&gt;=5,MOD($Z366,5)=0),IF($AA366=12,VLOOKUP($Z366,Paraméterek!$B$225:$F$240,5),0),IF(OR($Z366=3,$Z366=4),IF($AA366=12,VLOOKUP($Z366,Paraméterek!$B$225:$F$240,5,0),0),0))*$AF366</f>
        <v>0</v>
      </c>
      <c r="AI366" s="13">
        <f>ROUNDDOWN(IF(SUM($T$20:$U366)=0,IF($D$2="Egyszeri",$AH366,$AG366),0),IF($D$4="Forint",0,2))</f>
        <v>0</v>
      </c>
      <c r="AJ366" s="13">
        <f t="shared" si="87"/>
        <v>0</v>
      </c>
      <c r="AK366" s="13">
        <f t="shared" si="88"/>
        <v>0</v>
      </c>
      <c r="AM366" s="32">
        <v>347</v>
      </c>
      <c r="AN366" s="32">
        <v>29</v>
      </c>
      <c r="AO366" s="32">
        <v>11</v>
      </c>
      <c r="AP366" s="13"/>
      <c r="AQ366" s="32"/>
      <c r="AR366" s="13">
        <f t="shared" si="89"/>
        <v>0</v>
      </c>
      <c r="AS366" s="33"/>
      <c r="AT366" s="13">
        <f t="shared" si="83"/>
        <v>0</v>
      </c>
      <c r="AU366" s="13">
        <f>ROUNDUP(($AR366+$AT366)*VLOOKUP($AN366,Paraméterek!$P$38:$Q$38,2)/12,IF($D$4="Forint",0,2))</f>
        <v>0</v>
      </c>
      <c r="AV366" s="13"/>
      <c r="AW366" s="13"/>
      <c r="AX366" s="13">
        <f>ROUNDUP(IF(SUM($AV366:$AW366)=0,0,IF(IF(ISBLANK($AW366),$AV366,$AW366)*Paraméterek!$J$112&lt;IF($D$4="Forint",Paraméterek!$J$113,Paraméterek!$K$113),IF($D$4="Forint",Paraméterek!$J$113,Paraméterek!$K$113),IF(IF(ISBLANK($AW366),$AV366,$AW366)*Paraméterek!$J$112&gt;IF($D$4="Forint",Paraméterek!$J$114,Paraméterek!$K$114),IF($D$4="Forint",Paraméterek!$J$114,Paraméterek!$K$114),IF(ISBLANK($AW366),$AV366,$AW366)*Paraméterek!$J$112))),IF($D$4="Forint",0,2))</f>
        <v>0</v>
      </c>
      <c r="AY366" s="13">
        <f>$AR366+$AT366-$AU366-IF(ROUNDDOWN(IF(ISBLANK($AW366),$AV366,$AW366),IF($D$4="Forint",0,2))&gt;$AR366+$AT366-$AU366-IF($D$4="Forint",Paraméterek!$J$114,Paraméterek!$K$114),0,ROUNDDOWN(IF(ISBLANK($AW366),$AV366,$AW366),IF($D$4="Forint",0,2))-$AX366)</f>
        <v>0</v>
      </c>
      <c r="AZ366" s="13">
        <f t="shared" si="84"/>
        <v>0</v>
      </c>
    </row>
    <row r="367" spans="1:52" x14ac:dyDescent="0.2">
      <c r="A367" s="32">
        <v>348</v>
      </c>
      <c r="B367" s="32">
        <v>29</v>
      </c>
      <c r="C367" s="32">
        <v>12</v>
      </c>
      <c r="D367" s="13">
        <f t="shared" si="75"/>
        <v>0</v>
      </c>
      <c r="E367" s="13"/>
      <c r="F367" s="13"/>
      <c r="G367" s="13"/>
      <c r="H367" s="13">
        <f t="shared" si="76"/>
        <v>0</v>
      </c>
      <c r="I367" s="13">
        <f t="shared" si="77"/>
        <v>0</v>
      </c>
      <c r="J367" s="13">
        <f t="shared" si="78"/>
        <v>0</v>
      </c>
      <c r="K367" s="13">
        <f>ROUNDUP(IF($D$2="Egyszeri",$D367,IF($D$2="Havi",SUM($D$20:$D$31),IF(MOD($C367,$M$1)-1=0,SUM($D$20:$D$31),0))/12*$M$1)*VLOOKUP($B367,Paraméterek!$B$27:$D$30,IF($D$2="Egyszeri",3,2)),IF($D$4="Forint",0,2))</f>
        <v>0</v>
      </c>
      <c r="L367" s="13">
        <f t="shared" si="79"/>
        <v>0</v>
      </c>
      <c r="M367" s="13">
        <f t="shared" ca="1" si="85"/>
        <v>-215425</v>
      </c>
      <c r="N367" s="13">
        <f ca="1">IF($V366&gt;=VLOOKUP($M$4-1+$B367,Paraméterek!$B$121:$D$122,IF($D$4="Forint",2,3)),0,VLOOKUP($M$4-1+$B367,Paraméterek!$B$121:$D$122,IF($D$4="Forint",2,3))-$V366)</f>
        <v>225425</v>
      </c>
      <c r="O367" s="13">
        <f ca="1">ROUNDUP($N367*Paraméterek!$C$58/Paraméterek!$C$56,IF($D$4="Forint",0,2))</f>
        <v>36</v>
      </c>
      <c r="P367" s="13">
        <f t="shared" si="80"/>
        <v>1259</v>
      </c>
      <c r="Q367" s="33"/>
      <c r="R367" s="13">
        <f t="shared" ca="1" si="81"/>
        <v>0</v>
      </c>
      <c r="S367" s="13">
        <f ca="1">ROUNDUP(($M367-$O367-$P367+$R367)*VLOOKUP($B367,Paraméterek!$B$38:$D$39,IF($D$2="Egyszeri",3,2))/12,IF($D$4="Forint",0,2))</f>
        <v>-530</v>
      </c>
      <c r="T367" s="13">
        <f>Tranzakciók!$F$60</f>
        <v>0</v>
      </c>
      <c r="U367" s="13"/>
      <c r="V367" s="13">
        <f ca="1">$M367-$O367-$P367+$R367-$S367-IF(ROUNDUP(IF(ISBLANK($U367),$T367,$U367)/IF(AND($B367=1,$D$2&lt;&gt;"Egyszeri"),1,VLOOKUP($B367+IF($C367=12,1,0),Paraméterek!$B$257:$D$267,IF($D$2="Egyszeri",3,2))),IF($D$4="Forint",0,2))&gt;$M367-$O367-$P367+$R367-$S367-IF($D$4="Forint",Paraméterek!$C$216,Paraméterek!$D$216),0,ROUNDUP(IF(ISBLANK($U367),$T367,$U367)/IF(AND($B367=1,$D$2&lt;&gt;"Egyszeri"),1,VLOOKUP($B367+IF($C367=12,1,0),Paraméterek!$B$257:$D$267,IF($D$2="Egyszeri",3,2))),IF($D$4="Forint",0,2)))</f>
        <v>-216190</v>
      </c>
      <c r="W367" s="13">
        <f ca="1">ROUNDDOWN($V367*VLOOKUP($B367+IF($C367=12,1,0),Paraméterek!$B$257:$D$267,IF($D$2="Egyszeri",3,2)),IF($D$4="Forint",0,2))</f>
        <v>-216190</v>
      </c>
      <c r="Y367" s="32">
        <v>348</v>
      </c>
      <c r="Z367" s="32">
        <v>29</v>
      </c>
      <c r="AA367" s="32">
        <v>12</v>
      </c>
      <c r="AB367" s="13">
        <f t="shared" si="86"/>
        <v>0</v>
      </c>
      <c r="AC367" s="33"/>
      <c r="AD367" s="13">
        <f t="shared" si="82"/>
        <v>0</v>
      </c>
      <c r="AE367" s="13">
        <f>ROUNDUP(($AB367+$AD367)*VLOOKUP($Z367,Paraméterek!$P$38:$Q$38,2)/12,IF($D$4="Forint",0,2))</f>
        <v>0</v>
      </c>
      <c r="AF367" s="13">
        <f>IF($D$2="Egyszeri",IF($D$7&gt;=IF($D$4="Forint",Paraméterek!$P$223,Paraméterek!$P$224),$D$7-IF($D$4="Forint",Paraméterek!$F$223,Paraméterek!$F$224),0),MIN(IF($AA367=12,AVERAGE($D$20:$D367)*12,0),SUM($D$20:$D$31)))</f>
        <v>0</v>
      </c>
      <c r="AG367" s="13">
        <f>IF(AND($Z367&gt;=10,MOD($Z367,5)=0),$AF367*IF($AA367=12,VLOOKUP($Z367,Paraméterek!$B$225:$F$240,IF($AF367&lt;IF($D$4="Forint",Paraméterek!$C$223,Paraméterek!$C$224),2,IF($AF367&lt;IF($D$4="Forint",Paraméterek!$D$223,Paraméterek!$D$224),3,4))),0),0)</f>
        <v>0</v>
      </c>
      <c r="AH367" s="13">
        <f>IF(AND($Z367&gt;=5,MOD($Z367,5)=0),IF($AA367=12,VLOOKUP($Z367,Paraméterek!$B$225:$F$240,5),0),IF(OR($Z367=3,$Z367=4),IF($AA367=12,VLOOKUP($Z367,Paraméterek!$B$225:$F$240,5,0),0),0))*$AF367</f>
        <v>0</v>
      </c>
      <c r="AI367" s="13">
        <f>ROUNDDOWN(IF(SUM($T$20:$U367)=0,IF($D$2="Egyszeri",$AH367,$AG367),0),IF($D$4="Forint",0,2))</f>
        <v>0</v>
      </c>
      <c r="AJ367" s="13">
        <f t="shared" si="87"/>
        <v>0</v>
      </c>
      <c r="AK367" s="13">
        <f t="shared" si="88"/>
        <v>0</v>
      </c>
      <c r="AM367" s="32">
        <v>348</v>
      </c>
      <c r="AN367" s="32">
        <v>29</v>
      </c>
      <c r="AO367" s="32">
        <v>12</v>
      </c>
      <c r="AP367" s="13"/>
      <c r="AQ367" s="32"/>
      <c r="AR367" s="13">
        <f t="shared" si="89"/>
        <v>0</v>
      </c>
      <c r="AS367" s="33"/>
      <c r="AT367" s="13">
        <f t="shared" si="83"/>
        <v>0</v>
      </c>
      <c r="AU367" s="13">
        <f>ROUNDUP(($AR367+$AT367)*VLOOKUP($AN367,Paraméterek!$P$38:$Q$38,2)/12,IF($D$4="Forint",0,2))</f>
        <v>0</v>
      </c>
      <c r="AV367" s="13">
        <f>Tranzakciók!$M$60</f>
        <v>0</v>
      </c>
      <c r="AW367" s="13"/>
      <c r="AX367" s="13">
        <f>ROUNDUP(IF(SUM($AV367:$AW367)=0,0,IF(IF(ISBLANK($AW367),$AV367,$AW367)*Paraméterek!$J$112&lt;IF($D$4="Forint",Paraméterek!$J$113,Paraméterek!$K$113),IF($D$4="Forint",Paraméterek!$J$113,Paraméterek!$K$113),IF(IF(ISBLANK($AW367),$AV367,$AW367)*Paraméterek!$J$112&gt;IF($D$4="Forint",Paraméterek!$J$114,Paraméterek!$K$114),IF($D$4="Forint",Paraméterek!$J$114,Paraméterek!$K$114),IF(ISBLANK($AW367),$AV367,$AW367)*Paraméterek!$J$112))),IF($D$4="Forint",0,2))</f>
        <v>0</v>
      </c>
      <c r="AY367" s="13">
        <f>$AR367+$AT367-$AU367-IF(ROUNDDOWN(IF(ISBLANK($AW367),$AV367,$AW367),IF($D$4="Forint",0,2))&gt;$AR367+$AT367-$AU367-IF($D$4="Forint",Paraméterek!$J$114,Paraméterek!$K$114),0,ROUNDDOWN(IF(ISBLANK($AW367),$AV367,$AW367),IF($D$4="Forint",0,2))-$AX367)</f>
        <v>0</v>
      </c>
      <c r="AZ367" s="13">
        <f t="shared" si="84"/>
        <v>0</v>
      </c>
    </row>
    <row r="368" spans="1:52" x14ac:dyDescent="0.2">
      <c r="A368" s="32">
        <v>349</v>
      </c>
      <c r="B368" s="32">
        <v>30</v>
      </c>
      <c r="C368" s="32">
        <v>1</v>
      </c>
      <c r="D368" s="13">
        <f t="shared" si="75"/>
        <v>0</v>
      </c>
      <c r="E368" s="13"/>
      <c r="F368" s="13">
        <f>Tranzakciók!$D$61</f>
        <v>0</v>
      </c>
      <c r="G368" s="13"/>
      <c r="H368" s="13">
        <f t="shared" si="76"/>
        <v>0</v>
      </c>
      <c r="I368" s="13">
        <f t="shared" si="77"/>
        <v>236</v>
      </c>
      <c r="J368" s="13">
        <f t="shared" si="78"/>
        <v>236</v>
      </c>
      <c r="K368" s="13">
        <f>ROUNDUP(IF($D$2="Egyszeri",$D368,IF($D$2="Havi",SUM($D$20:$D$31),IF(MOD($C368,$M$1)-1=0,SUM($D$20:$D$31),0))/12*$M$1)*VLOOKUP($B368,Paraméterek!$B$27:$D$30,IF($D$2="Egyszeri",3,2)),IF($D$4="Forint",0,2))</f>
        <v>0</v>
      </c>
      <c r="L368" s="13">
        <f t="shared" si="79"/>
        <v>0</v>
      </c>
      <c r="M368" s="13">
        <f t="shared" ca="1" si="85"/>
        <v>-216190</v>
      </c>
      <c r="N368" s="13">
        <f ca="1">IF($V367&gt;=VLOOKUP($M$4-1+$B368,Paraméterek!$B$121:$D$122,IF($D$4="Forint",2,3)),0,VLOOKUP($M$4-1+$B368,Paraméterek!$B$121:$D$122,IF($D$4="Forint",2,3))-$V367)</f>
        <v>226190</v>
      </c>
      <c r="O368" s="13">
        <f ca="1">ROUNDUP($N368*Paraméterek!$C$58/Paraméterek!$C$56,IF($D$4="Forint",0,2))</f>
        <v>37</v>
      </c>
      <c r="P368" s="13">
        <f t="shared" si="80"/>
        <v>1297</v>
      </c>
      <c r="Q368" s="33"/>
      <c r="R368" s="13">
        <f t="shared" ca="1" si="81"/>
        <v>0</v>
      </c>
      <c r="S368" s="13">
        <f ca="1">ROUNDUP(($M368-$O368-$P368+$R368)*VLOOKUP($B368,Paraméterek!$B$38:$D$39,IF($D$2="Egyszeri",3,2))/12,IF($D$4="Forint",0,2))</f>
        <v>-532</v>
      </c>
      <c r="T368" s="13"/>
      <c r="U368" s="13"/>
      <c r="V368" s="13">
        <f ca="1">$M368-$O368-$P368+$R368-$S368-IF(ROUNDUP(IF(ISBLANK($U368),$T368,$U368)/IF(AND($B368=1,$D$2&lt;&gt;"Egyszeri"),1,VLOOKUP($B368+IF($C368=12,1,0),Paraméterek!$B$257:$D$267,IF($D$2="Egyszeri",3,2))),IF($D$4="Forint",0,2))&gt;$M368-$O368-$P368+$R368-$S368-IF($D$4="Forint",Paraméterek!$C$216,Paraméterek!$D$216),0,ROUNDUP(IF(ISBLANK($U368),$T368,$U368)/IF(AND($B368=1,$D$2&lt;&gt;"Egyszeri"),1,VLOOKUP($B368+IF($C368=12,1,0),Paraméterek!$B$257:$D$267,IF($D$2="Egyszeri",3,2))),IF($D$4="Forint",0,2)))</f>
        <v>-216992</v>
      </c>
      <c r="W368" s="13">
        <f ca="1">ROUNDDOWN($V368*VLOOKUP($B368+IF($C368=12,1,0),Paraméterek!$B$257:$D$267,IF($D$2="Egyszeri",3,2)),IF($D$4="Forint",0,2))</f>
        <v>-216992</v>
      </c>
      <c r="Y368" s="32">
        <v>349</v>
      </c>
      <c r="Z368" s="32">
        <v>30</v>
      </c>
      <c r="AA368" s="32">
        <v>1</v>
      </c>
      <c r="AB368" s="13">
        <f t="shared" si="86"/>
        <v>0</v>
      </c>
      <c r="AC368" s="33"/>
      <c r="AD368" s="13">
        <f t="shared" si="82"/>
        <v>0</v>
      </c>
      <c r="AE368" s="13">
        <f>ROUNDUP(($AB368+$AD368)*VLOOKUP($Z368,Paraméterek!$P$38:$Q$38,2)/12,IF($D$4="Forint",0,2))</f>
        <v>0</v>
      </c>
      <c r="AF368" s="13">
        <f>IF($D$2="Egyszeri",IF($D$7&gt;=IF($D$4="Forint",Paraméterek!$P$223,Paraméterek!$P$224),$D$7-IF($D$4="Forint",Paraméterek!$F$223,Paraméterek!$F$224),0),MIN(IF($AA368=12,AVERAGE($D$20:$D368)*12,0),SUM($D$20:$D$31)))</f>
        <v>0</v>
      </c>
      <c r="AG368" s="13">
        <f>IF(AND($Z368&gt;=10,MOD($Z368,5)=0),$AF368*IF($AA368=12,VLOOKUP($Z368,Paraméterek!$B$225:$F$240,IF($AF368&lt;IF($D$4="Forint",Paraméterek!$C$223,Paraméterek!$C$224),2,IF($AF368&lt;IF($D$4="Forint",Paraméterek!$D$223,Paraméterek!$D$224),3,4))),0),0)</f>
        <v>0</v>
      </c>
      <c r="AH368" s="13">
        <f>IF(AND($Z368&gt;=5,MOD($Z368,5)=0),IF($AA368=12,VLOOKUP($Z368,Paraméterek!$B$225:$F$240,5),0),IF(OR($Z368=3,$Z368=4),IF($AA368=12,VLOOKUP($Z368,Paraméterek!$B$225:$F$240,5,0),0),0))*$AF368</f>
        <v>0</v>
      </c>
      <c r="AI368" s="13">
        <f>ROUNDDOWN(IF(SUM($T$20:$U368)=0,IF($D$2="Egyszeri",$AH368,$AG368),0),IF($D$4="Forint",0,2))</f>
        <v>0</v>
      </c>
      <c r="AJ368" s="13">
        <f t="shared" si="87"/>
        <v>0</v>
      </c>
      <c r="AK368" s="13">
        <f t="shared" si="88"/>
        <v>0</v>
      </c>
      <c r="AM368" s="32">
        <v>349</v>
      </c>
      <c r="AN368" s="32">
        <v>30</v>
      </c>
      <c r="AO368" s="32">
        <v>1</v>
      </c>
      <c r="AP368" s="13">
        <f>Tranzakciók!$K$61</f>
        <v>0</v>
      </c>
      <c r="AQ368" s="32"/>
      <c r="AR368" s="13">
        <f t="shared" si="89"/>
        <v>0</v>
      </c>
      <c r="AS368" s="33"/>
      <c r="AT368" s="13">
        <f t="shared" si="83"/>
        <v>0</v>
      </c>
      <c r="AU368" s="13">
        <f>ROUNDUP(($AR368+$AT368)*VLOOKUP($AN368,Paraméterek!$P$38:$Q$38,2)/12,IF($D$4="Forint",0,2))</f>
        <v>0</v>
      </c>
      <c r="AV368" s="13"/>
      <c r="AW368" s="13"/>
      <c r="AX368" s="13">
        <f>ROUNDUP(IF(SUM($AV368:$AW368)=0,0,IF(IF(ISBLANK($AW368),$AV368,$AW368)*Paraméterek!$J$112&lt;IF($D$4="Forint",Paraméterek!$J$113,Paraméterek!$K$113),IF($D$4="Forint",Paraméterek!$J$113,Paraméterek!$K$113),IF(IF(ISBLANK($AW368),$AV368,$AW368)*Paraméterek!$J$112&gt;IF($D$4="Forint",Paraméterek!$J$114,Paraméterek!$K$114),IF($D$4="Forint",Paraméterek!$J$114,Paraméterek!$K$114),IF(ISBLANK($AW368),$AV368,$AW368)*Paraméterek!$J$112))),IF($D$4="Forint",0,2))</f>
        <v>0</v>
      </c>
      <c r="AY368" s="13">
        <f>$AR368+$AT368-$AU368-IF(ROUNDDOWN(IF(ISBLANK($AW368),$AV368,$AW368),IF($D$4="Forint",0,2))&gt;$AR368+$AT368-$AU368-IF($D$4="Forint",Paraméterek!$J$114,Paraméterek!$K$114),0,ROUNDDOWN(IF(ISBLANK($AW368),$AV368,$AW368),IF($D$4="Forint",0,2))-$AX368)</f>
        <v>0</v>
      </c>
      <c r="AZ368" s="13">
        <f t="shared" si="84"/>
        <v>0</v>
      </c>
    </row>
    <row r="369" spans="1:52" x14ac:dyDescent="0.2">
      <c r="A369" s="32">
        <v>350</v>
      </c>
      <c r="B369" s="32">
        <v>30</v>
      </c>
      <c r="C369" s="32">
        <v>2</v>
      </c>
      <c r="D369" s="13">
        <f t="shared" si="75"/>
        <v>0</v>
      </c>
      <c r="E369" s="13"/>
      <c r="F369" s="13"/>
      <c r="G369" s="13"/>
      <c r="H369" s="13">
        <f t="shared" si="76"/>
        <v>0</v>
      </c>
      <c r="I369" s="13">
        <f t="shared" si="77"/>
        <v>0</v>
      </c>
      <c r="J369" s="13">
        <f t="shared" si="78"/>
        <v>0</v>
      </c>
      <c r="K369" s="13">
        <f>ROUNDUP(IF($D$2="Egyszeri",$D369,IF($D$2="Havi",SUM($D$20:$D$31),IF(MOD($C369,$M$1)-1=0,SUM($D$20:$D$31),0))/12*$M$1)*VLOOKUP($B369,Paraméterek!$B$27:$D$30,IF($D$2="Egyszeri",3,2)),IF($D$4="Forint",0,2))</f>
        <v>0</v>
      </c>
      <c r="L369" s="13">
        <f t="shared" si="79"/>
        <v>0</v>
      </c>
      <c r="M369" s="13">
        <f t="shared" ca="1" si="85"/>
        <v>-216992</v>
      </c>
      <c r="N369" s="13">
        <f ca="1">IF($V368&gt;=VLOOKUP($M$4-1+$B369,Paraméterek!$B$121:$D$122,IF($D$4="Forint",2,3)),0,VLOOKUP($M$4-1+$B369,Paraméterek!$B$121:$D$122,IF($D$4="Forint",2,3))-$V368)</f>
        <v>226992</v>
      </c>
      <c r="O369" s="13">
        <f ca="1">ROUNDUP($N369*Paraméterek!$C$58/Paraméterek!$C$56,IF($D$4="Forint",0,2))</f>
        <v>37</v>
      </c>
      <c r="P369" s="13">
        <f t="shared" si="80"/>
        <v>1297</v>
      </c>
      <c r="Q369" s="33"/>
      <c r="R369" s="13">
        <f t="shared" ca="1" si="81"/>
        <v>0</v>
      </c>
      <c r="S369" s="13">
        <f ca="1">ROUNDUP(($M369-$O369-$P369+$R369)*VLOOKUP($B369,Paraméterek!$B$38:$D$39,IF($D$2="Egyszeri",3,2))/12,IF($D$4="Forint",0,2))</f>
        <v>-534</v>
      </c>
      <c r="T369" s="13"/>
      <c r="U369" s="13"/>
      <c r="V369" s="13">
        <f ca="1">$M369-$O369-$P369+$R369-$S369-IF(ROUNDUP(IF(ISBLANK($U369),$T369,$U369)/IF(AND($B369=1,$D$2&lt;&gt;"Egyszeri"),1,VLOOKUP($B369+IF($C369=12,1,0),Paraméterek!$B$257:$D$267,IF($D$2="Egyszeri",3,2))),IF($D$4="Forint",0,2))&gt;$M369-$O369-$P369+$R369-$S369-IF($D$4="Forint",Paraméterek!$C$216,Paraméterek!$D$216),0,ROUNDUP(IF(ISBLANK($U369),$T369,$U369)/IF(AND($B369=1,$D$2&lt;&gt;"Egyszeri"),1,VLOOKUP($B369+IF($C369=12,1,0),Paraméterek!$B$257:$D$267,IF($D$2="Egyszeri",3,2))),IF($D$4="Forint",0,2)))</f>
        <v>-217792</v>
      </c>
      <c r="W369" s="13">
        <f ca="1">ROUNDDOWN($V369*VLOOKUP($B369+IF($C369=12,1,0),Paraméterek!$B$257:$D$267,IF($D$2="Egyszeri",3,2)),IF($D$4="Forint",0,2))</f>
        <v>-217792</v>
      </c>
      <c r="Y369" s="32">
        <v>350</v>
      </c>
      <c r="Z369" s="32">
        <v>30</v>
      </c>
      <c r="AA369" s="32">
        <v>2</v>
      </c>
      <c r="AB369" s="13">
        <f t="shared" si="86"/>
        <v>0</v>
      </c>
      <c r="AC369" s="33"/>
      <c r="AD369" s="13">
        <f t="shared" si="82"/>
        <v>0</v>
      </c>
      <c r="AE369" s="13">
        <f>ROUNDUP(($AB369+$AD369)*VLOOKUP($Z369,Paraméterek!$P$38:$Q$38,2)/12,IF($D$4="Forint",0,2))</f>
        <v>0</v>
      </c>
      <c r="AF369" s="13">
        <f>IF($D$2="Egyszeri",IF($D$7&gt;=IF($D$4="Forint",Paraméterek!$P$223,Paraméterek!$P$224),$D$7-IF($D$4="Forint",Paraméterek!$F$223,Paraméterek!$F$224),0),MIN(IF($AA369=12,AVERAGE($D$20:$D369)*12,0),SUM($D$20:$D$31)))</f>
        <v>0</v>
      </c>
      <c r="AG369" s="13">
        <f>IF(AND($Z369&gt;=10,MOD($Z369,5)=0),$AF369*IF($AA369=12,VLOOKUP($Z369,Paraméterek!$B$225:$F$240,IF($AF369&lt;IF($D$4="Forint",Paraméterek!$C$223,Paraméterek!$C$224),2,IF($AF369&lt;IF($D$4="Forint",Paraméterek!$D$223,Paraméterek!$D$224),3,4))),0),0)</f>
        <v>0</v>
      </c>
      <c r="AH369" s="13">
        <f>IF(AND($Z369&gt;=5,MOD($Z369,5)=0),IF($AA369=12,VLOOKUP($Z369,Paraméterek!$B$225:$F$240,5),0),IF(OR($Z369=3,$Z369=4),IF($AA369=12,VLOOKUP($Z369,Paraméterek!$B$225:$F$240,5,0),0),0))*$AF369</f>
        <v>0</v>
      </c>
      <c r="AI369" s="13">
        <f>ROUNDDOWN(IF(SUM($T$20:$U369)=0,IF($D$2="Egyszeri",$AH369,$AG369),0),IF($D$4="Forint",0,2))</f>
        <v>0</v>
      </c>
      <c r="AJ369" s="13">
        <f t="shared" si="87"/>
        <v>0</v>
      </c>
      <c r="AK369" s="13">
        <f t="shared" si="88"/>
        <v>0</v>
      </c>
      <c r="AM369" s="32">
        <v>350</v>
      </c>
      <c r="AN369" s="32">
        <v>30</v>
      </c>
      <c r="AO369" s="32">
        <v>2</v>
      </c>
      <c r="AP369" s="13"/>
      <c r="AQ369" s="32"/>
      <c r="AR369" s="13">
        <f t="shared" si="89"/>
        <v>0</v>
      </c>
      <c r="AS369" s="33"/>
      <c r="AT369" s="13">
        <f t="shared" si="83"/>
        <v>0</v>
      </c>
      <c r="AU369" s="13">
        <f>ROUNDUP(($AR369+$AT369)*VLOOKUP($AN369,Paraméterek!$P$38:$Q$38,2)/12,IF($D$4="Forint",0,2))</f>
        <v>0</v>
      </c>
      <c r="AV369" s="13"/>
      <c r="AW369" s="13"/>
      <c r="AX369" s="13">
        <f>ROUNDUP(IF(SUM($AV369:$AW369)=0,0,IF(IF(ISBLANK($AW369),$AV369,$AW369)*Paraméterek!$J$112&lt;IF($D$4="Forint",Paraméterek!$J$113,Paraméterek!$K$113),IF($D$4="Forint",Paraméterek!$J$113,Paraméterek!$K$113),IF(IF(ISBLANK($AW369),$AV369,$AW369)*Paraméterek!$J$112&gt;IF($D$4="Forint",Paraméterek!$J$114,Paraméterek!$K$114),IF($D$4="Forint",Paraméterek!$J$114,Paraméterek!$K$114),IF(ISBLANK($AW369),$AV369,$AW369)*Paraméterek!$J$112))),IF($D$4="Forint",0,2))</f>
        <v>0</v>
      </c>
      <c r="AY369" s="13">
        <f>$AR369+$AT369-$AU369-IF(ROUNDDOWN(IF(ISBLANK($AW369),$AV369,$AW369),IF($D$4="Forint",0,2))&gt;$AR369+$AT369-$AU369-IF($D$4="Forint",Paraméterek!$J$114,Paraméterek!$K$114),0,ROUNDDOWN(IF(ISBLANK($AW369),$AV369,$AW369),IF($D$4="Forint",0,2))-$AX369)</f>
        <v>0</v>
      </c>
      <c r="AZ369" s="13">
        <f t="shared" si="84"/>
        <v>0</v>
      </c>
    </row>
    <row r="370" spans="1:52" x14ac:dyDescent="0.2">
      <c r="A370" s="32">
        <v>351</v>
      </c>
      <c r="B370" s="32">
        <v>30</v>
      </c>
      <c r="C370" s="32">
        <v>3</v>
      </c>
      <c r="D370" s="13">
        <f t="shared" si="75"/>
        <v>0</v>
      </c>
      <c r="E370" s="13"/>
      <c r="F370" s="13"/>
      <c r="G370" s="13"/>
      <c r="H370" s="13">
        <f t="shared" si="76"/>
        <v>0</v>
      </c>
      <c r="I370" s="13">
        <f t="shared" si="77"/>
        <v>0</v>
      </c>
      <c r="J370" s="13">
        <f t="shared" si="78"/>
        <v>0</v>
      </c>
      <c r="K370" s="13">
        <f>ROUNDUP(IF($D$2="Egyszeri",$D370,IF($D$2="Havi",SUM($D$20:$D$31),IF(MOD($C370,$M$1)-1=0,SUM($D$20:$D$31),0))/12*$M$1)*VLOOKUP($B370,Paraméterek!$B$27:$D$30,IF($D$2="Egyszeri",3,2)),IF($D$4="Forint",0,2))</f>
        <v>0</v>
      </c>
      <c r="L370" s="13">
        <f t="shared" si="79"/>
        <v>0</v>
      </c>
      <c r="M370" s="13">
        <f t="shared" ca="1" si="85"/>
        <v>-217792</v>
      </c>
      <c r="N370" s="13">
        <f ca="1">IF($V369&gt;=VLOOKUP($M$4-1+$B370,Paraméterek!$B$121:$D$122,IF($D$4="Forint",2,3)),0,VLOOKUP($M$4-1+$B370,Paraméterek!$B$121:$D$122,IF($D$4="Forint",2,3))-$V369)</f>
        <v>227792</v>
      </c>
      <c r="O370" s="13">
        <f ca="1">ROUNDUP($N370*Paraméterek!$C$58/Paraméterek!$C$56,IF($D$4="Forint",0,2))</f>
        <v>37</v>
      </c>
      <c r="P370" s="13">
        <f t="shared" si="80"/>
        <v>1297</v>
      </c>
      <c r="Q370" s="33"/>
      <c r="R370" s="13">
        <f t="shared" ca="1" si="81"/>
        <v>0</v>
      </c>
      <c r="S370" s="13">
        <f ca="1">ROUNDUP(($M370-$O370-$P370+$R370)*VLOOKUP($B370,Paraméterek!$B$38:$D$39,IF($D$2="Egyszeri",3,2))/12,IF($D$4="Forint",0,2))</f>
        <v>-536</v>
      </c>
      <c r="T370" s="13"/>
      <c r="U370" s="13"/>
      <c r="V370" s="13">
        <f ca="1">$M370-$O370-$P370+$R370-$S370-IF(ROUNDUP(IF(ISBLANK($U370),$T370,$U370)/IF(AND($B370=1,$D$2&lt;&gt;"Egyszeri"),1,VLOOKUP($B370+IF($C370=12,1,0),Paraméterek!$B$257:$D$267,IF($D$2="Egyszeri",3,2))),IF($D$4="Forint",0,2))&gt;$M370-$O370-$P370+$R370-$S370-IF($D$4="Forint",Paraméterek!$C$216,Paraméterek!$D$216),0,ROUNDUP(IF(ISBLANK($U370),$T370,$U370)/IF(AND($B370=1,$D$2&lt;&gt;"Egyszeri"),1,VLOOKUP($B370+IF($C370=12,1,0),Paraméterek!$B$257:$D$267,IF($D$2="Egyszeri",3,2))),IF($D$4="Forint",0,2)))</f>
        <v>-218590</v>
      </c>
      <c r="W370" s="13">
        <f ca="1">ROUNDDOWN($V370*VLOOKUP($B370+IF($C370=12,1,0),Paraméterek!$B$257:$D$267,IF($D$2="Egyszeri",3,2)),IF($D$4="Forint",0,2))</f>
        <v>-218590</v>
      </c>
      <c r="Y370" s="32">
        <v>351</v>
      </c>
      <c r="Z370" s="32">
        <v>30</v>
      </c>
      <c r="AA370" s="32">
        <v>3</v>
      </c>
      <c r="AB370" s="13">
        <f t="shared" si="86"/>
        <v>0</v>
      </c>
      <c r="AC370" s="33"/>
      <c r="AD370" s="13">
        <f t="shared" si="82"/>
        <v>0</v>
      </c>
      <c r="AE370" s="13">
        <f>ROUNDUP(($AB370+$AD370)*VLOOKUP($Z370,Paraméterek!$P$38:$Q$38,2)/12,IF($D$4="Forint",0,2))</f>
        <v>0</v>
      </c>
      <c r="AF370" s="13">
        <f>IF($D$2="Egyszeri",IF($D$7&gt;=IF($D$4="Forint",Paraméterek!$P$223,Paraméterek!$P$224),$D$7-IF($D$4="Forint",Paraméterek!$F$223,Paraméterek!$F$224),0),MIN(IF($AA370=12,AVERAGE($D$20:$D370)*12,0),SUM($D$20:$D$31)))</f>
        <v>0</v>
      </c>
      <c r="AG370" s="13">
        <f>IF(AND($Z370&gt;=10,MOD($Z370,5)=0),$AF370*IF($AA370=12,VLOOKUP($Z370,Paraméterek!$B$225:$F$240,IF($AF370&lt;IF($D$4="Forint",Paraméterek!$C$223,Paraméterek!$C$224),2,IF($AF370&lt;IF($D$4="Forint",Paraméterek!$D$223,Paraméterek!$D$224),3,4))),0),0)</f>
        <v>0</v>
      </c>
      <c r="AH370" s="13">
        <f>IF(AND($Z370&gt;=5,MOD($Z370,5)=0),IF($AA370=12,VLOOKUP($Z370,Paraméterek!$B$225:$F$240,5),0),IF(OR($Z370=3,$Z370=4),IF($AA370=12,VLOOKUP($Z370,Paraméterek!$B$225:$F$240,5,0),0),0))*$AF370</f>
        <v>0</v>
      </c>
      <c r="AI370" s="13">
        <f>ROUNDDOWN(IF(SUM($T$20:$U370)=0,IF($D$2="Egyszeri",$AH370,$AG370),0),IF($D$4="Forint",0,2))</f>
        <v>0</v>
      </c>
      <c r="AJ370" s="13">
        <f t="shared" si="87"/>
        <v>0</v>
      </c>
      <c r="AK370" s="13">
        <f t="shared" si="88"/>
        <v>0</v>
      </c>
      <c r="AM370" s="32">
        <v>351</v>
      </c>
      <c r="AN370" s="32">
        <v>30</v>
      </c>
      <c r="AO370" s="32">
        <v>3</v>
      </c>
      <c r="AP370" s="13"/>
      <c r="AQ370" s="32"/>
      <c r="AR370" s="13">
        <f t="shared" si="89"/>
        <v>0</v>
      </c>
      <c r="AS370" s="33"/>
      <c r="AT370" s="13">
        <f t="shared" si="83"/>
        <v>0</v>
      </c>
      <c r="AU370" s="13">
        <f>ROUNDUP(($AR370+$AT370)*VLOOKUP($AN370,Paraméterek!$P$38:$Q$38,2)/12,IF($D$4="Forint",0,2))</f>
        <v>0</v>
      </c>
      <c r="AV370" s="13"/>
      <c r="AW370" s="13"/>
      <c r="AX370" s="13">
        <f>ROUNDUP(IF(SUM($AV370:$AW370)=0,0,IF(IF(ISBLANK($AW370),$AV370,$AW370)*Paraméterek!$J$112&lt;IF($D$4="Forint",Paraméterek!$J$113,Paraméterek!$K$113),IF($D$4="Forint",Paraméterek!$J$113,Paraméterek!$K$113),IF(IF(ISBLANK($AW370),$AV370,$AW370)*Paraméterek!$J$112&gt;IF($D$4="Forint",Paraméterek!$J$114,Paraméterek!$K$114),IF($D$4="Forint",Paraméterek!$J$114,Paraméterek!$K$114),IF(ISBLANK($AW370),$AV370,$AW370)*Paraméterek!$J$112))),IF($D$4="Forint",0,2))</f>
        <v>0</v>
      </c>
      <c r="AY370" s="13">
        <f>$AR370+$AT370-$AU370-IF(ROUNDDOWN(IF(ISBLANK($AW370),$AV370,$AW370),IF($D$4="Forint",0,2))&gt;$AR370+$AT370-$AU370-IF($D$4="Forint",Paraméterek!$J$114,Paraméterek!$K$114),0,ROUNDDOWN(IF(ISBLANK($AW370),$AV370,$AW370),IF($D$4="Forint",0,2))-$AX370)</f>
        <v>0</v>
      </c>
      <c r="AZ370" s="13">
        <f t="shared" si="84"/>
        <v>0</v>
      </c>
    </row>
    <row r="371" spans="1:52" x14ac:dyDescent="0.2">
      <c r="A371" s="32">
        <v>352</v>
      </c>
      <c r="B371" s="32">
        <v>30</v>
      </c>
      <c r="C371" s="32">
        <v>4</v>
      </c>
      <c r="D371" s="13">
        <f t="shared" si="75"/>
        <v>0</v>
      </c>
      <c r="E371" s="13"/>
      <c r="F371" s="13"/>
      <c r="G371" s="13"/>
      <c r="H371" s="13">
        <f t="shared" si="76"/>
        <v>0</v>
      </c>
      <c r="I371" s="13">
        <f t="shared" si="77"/>
        <v>0</v>
      </c>
      <c r="J371" s="13">
        <f t="shared" si="78"/>
        <v>0</v>
      </c>
      <c r="K371" s="13">
        <f>ROUNDUP(IF($D$2="Egyszeri",$D371,IF($D$2="Havi",SUM($D$20:$D$31),IF(MOD($C371,$M$1)-1=0,SUM($D$20:$D$31),0))/12*$M$1)*VLOOKUP($B371,Paraméterek!$B$27:$D$30,IF($D$2="Egyszeri",3,2)),IF($D$4="Forint",0,2))</f>
        <v>0</v>
      </c>
      <c r="L371" s="13">
        <f t="shared" si="79"/>
        <v>0</v>
      </c>
      <c r="M371" s="13">
        <f t="shared" ca="1" si="85"/>
        <v>-218590</v>
      </c>
      <c r="N371" s="13">
        <f ca="1">IF($V370&gt;=VLOOKUP($M$4-1+$B371,Paraméterek!$B$121:$D$122,IF($D$4="Forint",2,3)),0,VLOOKUP($M$4-1+$B371,Paraméterek!$B$121:$D$122,IF($D$4="Forint",2,3))-$V370)</f>
        <v>228590</v>
      </c>
      <c r="O371" s="13">
        <f ca="1">ROUNDUP($N371*Paraméterek!$C$58/Paraméterek!$C$56,IF($D$4="Forint",0,2))</f>
        <v>37</v>
      </c>
      <c r="P371" s="13">
        <f t="shared" si="80"/>
        <v>1297</v>
      </c>
      <c r="Q371" s="33"/>
      <c r="R371" s="13">
        <f t="shared" ca="1" si="81"/>
        <v>0</v>
      </c>
      <c r="S371" s="13">
        <f ca="1">ROUNDUP(($M371-$O371-$P371+$R371)*VLOOKUP($B371,Paraméterek!$B$38:$D$39,IF($D$2="Egyszeri",3,2))/12,IF($D$4="Forint",0,2))</f>
        <v>-537</v>
      </c>
      <c r="T371" s="13"/>
      <c r="U371" s="13"/>
      <c r="V371" s="13">
        <f ca="1">$M371-$O371-$P371+$R371-$S371-IF(ROUNDUP(IF(ISBLANK($U371),$T371,$U371)/IF(AND($B371=1,$D$2&lt;&gt;"Egyszeri"),1,VLOOKUP($B371+IF($C371=12,1,0),Paraméterek!$B$257:$D$267,IF($D$2="Egyszeri",3,2))),IF($D$4="Forint",0,2))&gt;$M371-$O371-$P371+$R371-$S371-IF($D$4="Forint",Paraméterek!$C$216,Paraméterek!$D$216),0,ROUNDUP(IF(ISBLANK($U371),$T371,$U371)/IF(AND($B371=1,$D$2&lt;&gt;"Egyszeri"),1,VLOOKUP($B371+IF($C371=12,1,0),Paraméterek!$B$257:$D$267,IF($D$2="Egyszeri",3,2))),IF($D$4="Forint",0,2)))</f>
        <v>-219387</v>
      </c>
      <c r="W371" s="13">
        <f ca="1">ROUNDDOWN($V371*VLOOKUP($B371+IF($C371=12,1,0),Paraméterek!$B$257:$D$267,IF($D$2="Egyszeri",3,2)),IF($D$4="Forint",0,2))</f>
        <v>-219387</v>
      </c>
      <c r="Y371" s="32">
        <v>352</v>
      </c>
      <c r="Z371" s="32">
        <v>30</v>
      </c>
      <c r="AA371" s="32">
        <v>4</v>
      </c>
      <c r="AB371" s="13">
        <f t="shared" si="86"/>
        <v>0</v>
      </c>
      <c r="AC371" s="33"/>
      <c r="AD371" s="13">
        <f t="shared" si="82"/>
        <v>0</v>
      </c>
      <c r="AE371" s="13">
        <f>ROUNDUP(($AB371+$AD371)*VLOOKUP($Z371,Paraméterek!$P$38:$Q$38,2)/12,IF($D$4="Forint",0,2))</f>
        <v>0</v>
      </c>
      <c r="AF371" s="13">
        <f>IF($D$2="Egyszeri",IF($D$7&gt;=IF($D$4="Forint",Paraméterek!$P$223,Paraméterek!$P$224),$D$7-IF($D$4="Forint",Paraméterek!$F$223,Paraméterek!$F$224),0),MIN(IF($AA371=12,AVERAGE($D$20:$D371)*12,0),SUM($D$20:$D$31)))</f>
        <v>0</v>
      </c>
      <c r="AG371" s="13">
        <f>IF(AND($Z371&gt;=10,MOD($Z371,5)=0),$AF371*IF($AA371=12,VLOOKUP($Z371,Paraméterek!$B$225:$F$240,IF($AF371&lt;IF($D$4="Forint",Paraméterek!$C$223,Paraméterek!$C$224),2,IF($AF371&lt;IF($D$4="Forint",Paraméterek!$D$223,Paraméterek!$D$224),3,4))),0),0)</f>
        <v>0</v>
      </c>
      <c r="AH371" s="13">
        <f>IF(AND($Z371&gt;=5,MOD($Z371,5)=0),IF($AA371=12,VLOOKUP($Z371,Paraméterek!$B$225:$F$240,5),0),IF(OR($Z371=3,$Z371=4),IF($AA371=12,VLOOKUP($Z371,Paraméterek!$B$225:$F$240,5,0),0),0))*$AF371</f>
        <v>0</v>
      </c>
      <c r="AI371" s="13">
        <f>ROUNDDOWN(IF(SUM($T$20:$U371)=0,IF($D$2="Egyszeri",$AH371,$AG371),0),IF($D$4="Forint",0,2))</f>
        <v>0</v>
      </c>
      <c r="AJ371" s="13">
        <f t="shared" si="87"/>
        <v>0</v>
      </c>
      <c r="AK371" s="13">
        <f t="shared" si="88"/>
        <v>0</v>
      </c>
      <c r="AM371" s="32">
        <v>352</v>
      </c>
      <c r="AN371" s="32">
        <v>30</v>
      </c>
      <c r="AO371" s="32">
        <v>4</v>
      </c>
      <c r="AP371" s="13"/>
      <c r="AQ371" s="32"/>
      <c r="AR371" s="13">
        <f t="shared" si="89"/>
        <v>0</v>
      </c>
      <c r="AS371" s="33"/>
      <c r="AT371" s="13">
        <f t="shared" si="83"/>
        <v>0</v>
      </c>
      <c r="AU371" s="13">
        <f>ROUNDUP(($AR371+$AT371)*VLOOKUP($AN371,Paraméterek!$P$38:$Q$38,2)/12,IF($D$4="Forint",0,2))</f>
        <v>0</v>
      </c>
      <c r="AV371" s="13"/>
      <c r="AW371" s="13"/>
      <c r="AX371" s="13">
        <f>ROUNDUP(IF(SUM($AV371:$AW371)=0,0,IF(IF(ISBLANK($AW371),$AV371,$AW371)*Paraméterek!$J$112&lt;IF($D$4="Forint",Paraméterek!$J$113,Paraméterek!$K$113),IF($D$4="Forint",Paraméterek!$J$113,Paraméterek!$K$113),IF(IF(ISBLANK($AW371),$AV371,$AW371)*Paraméterek!$J$112&gt;IF($D$4="Forint",Paraméterek!$J$114,Paraméterek!$K$114),IF($D$4="Forint",Paraméterek!$J$114,Paraméterek!$K$114),IF(ISBLANK($AW371),$AV371,$AW371)*Paraméterek!$J$112))),IF($D$4="Forint",0,2))</f>
        <v>0</v>
      </c>
      <c r="AY371" s="13">
        <f>$AR371+$AT371-$AU371-IF(ROUNDDOWN(IF(ISBLANK($AW371),$AV371,$AW371),IF($D$4="Forint",0,2))&gt;$AR371+$AT371-$AU371-IF($D$4="Forint",Paraméterek!$J$114,Paraméterek!$K$114),0,ROUNDDOWN(IF(ISBLANK($AW371),$AV371,$AW371),IF($D$4="Forint",0,2))-$AX371)</f>
        <v>0</v>
      </c>
      <c r="AZ371" s="13">
        <f t="shared" si="84"/>
        <v>0</v>
      </c>
    </row>
    <row r="372" spans="1:52" x14ac:dyDescent="0.2">
      <c r="A372" s="32">
        <v>353</v>
      </c>
      <c r="B372" s="32">
        <v>30</v>
      </c>
      <c r="C372" s="32">
        <v>5</v>
      </c>
      <c r="D372" s="13">
        <f t="shared" si="75"/>
        <v>0</v>
      </c>
      <c r="E372" s="13"/>
      <c r="F372" s="13"/>
      <c r="G372" s="13"/>
      <c r="H372" s="13">
        <f t="shared" si="76"/>
        <v>0</v>
      </c>
      <c r="I372" s="13">
        <f t="shared" si="77"/>
        <v>0</v>
      </c>
      <c r="J372" s="13">
        <f t="shared" si="78"/>
        <v>0</v>
      </c>
      <c r="K372" s="13">
        <f>ROUNDUP(IF($D$2="Egyszeri",$D372,IF($D$2="Havi",SUM($D$20:$D$31),IF(MOD($C372,$M$1)-1=0,SUM($D$20:$D$31),0))/12*$M$1)*VLOOKUP($B372,Paraméterek!$B$27:$D$30,IF($D$2="Egyszeri",3,2)),IF($D$4="Forint",0,2))</f>
        <v>0</v>
      </c>
      <c r="L372" s="13">
        <f t="shared" si="79"/>
        <v>0</v>
      </c>
      <c r="M372" s="13">
        <f t="shared" ca="1" si="85"/>
        <v>-219387</v>
      </c>
      <c r="N372" s="13">
        <f ca="1">IF($V371&gt;=VLOOKUP($M$4-1+$B372,Paraméterek!$B$121:$D$122,IF($D$4="Forint",2,3)),0,VLOOKUP($M$4-1+$B372,Paraméterek!$B$121:$D$122,IF($D$4="Forint",2,3))-$V371)</f>
        <v>229387</v>
      </c>
      <c r="O372" s="13">
        <f ca="1">ROUNDUP($N372*Paraméterek!$C$58/Paraméterek!$C$56,IF($D$4="Forint",0,2))</f>
        <v>37</v>
      </c>
      <c r="P372" s="13">
        <f t="shared" si="80"/>
        <v>1297</v>
      </c>
      <c r="Q372" s="33"/>
      <c r="R372" s="13">
        <f t="shared" ca="1" si="81"/>
        <v>0</v>
      </c>
      <c r="S372" s="13">
        <f ca="1">ROUNDUP(($M372-$O372-$P372+$R372)*VLOOKUP($B372,Paraméterek!$B$38:$D$39,IF($D$2="Egyszeri",3,2))/12,IF($D$4="Forint",0,2))</f>
        <v>-539</v>
      </c>
      <c r="T372" s="13"/>
      <c r="U372" s="13"/>
      <c r="V372" s="13">
        <f ca="1">$M372-$O372-$P372+$R372-$S372-IF(ROUNDUP(IF(ISBLANK($U372),$T372,$U372)/IF(AND($B372=1,$D$2&lt;&gt;"Egyszeri"),1,VLOOKUP($B372+IF($C372=12,1,0),Paraméterek!$B$257:$D$267,IF($D$2="Egyszeri",3,2))),IF($D$4="Forint",0,2))&gt;$M372-$O372-$P372+$R372-$S372-IF($D$4="Forint",Paraméterek!$C$216,Paraméterek!$D$216),0,ROUNDUP(IF(ISBLANK($U372),$T372,$U372)/IF(AND($B372=1,$D$2&lt;&gt;"Egyszeri"),1,VLOOKUP($B372+IF($C372=12,1,0),Paraméterek!$B$257:$D$267,IF($D$2="Egyszeri",3,2))),IF($D$4="Forint",0,2)))</f>
        <v>-220182</v>
      </c>
      <c r="W372" s="13">
        <f ca="1">ROUNDDOWN($V372*VLOOKUP($B372+IF($C372=12,1,0),Paraméterek!$B$257:$D$267,IF($D$2="Egyszeri",3,2)),IF($D$4="Forint",0,2))</f>
        <v>-220182</v>
      </c>
      <c r="Y372" s="32">
        <v>353</v>
      </c>
      <c r="Z372" s="32">
        <v>30</v>
      </c>
      <c r="AA372" s="32">
        <v>5</v>
      </c>
      <c r="AB372" s="13">
        <f t="shared" si="86"/>
        <v>0</v>
      </c>
      <c r="AC372" s="33"/>
      <c r="AD372" s="13">
        <f t="shared" si="82"/>
        <v>0</v>
      </c>
      <c r="AE372" s="13">
        <f>ROUNDUP(($AB372+$AD372)*VLOOKUP($Z372,Paraméterek!$P$38:$Q$38,2)/12,IF($D$4="Forint",0,2))</f>
        <v>0</v>
      </c>
      <c r="AF372" s="13">
        <f>IF($D$2="Egyszeri",IF($D$7&gt;=IF($D$4="Forint",Paraméterek!$P$223,Paraméterek!$P$224),$D$7-IF($D$4="Forint",Paraméterek!$F$223,Paraméterek!$F$224),0),MIN(IF($AA372=12,AVERAGE($D$20:$D372)*12,0),SUM($D$20:$D$31)))</f>
        <v>0</v>
      </c>
      <c r="AG372" s="13">
        <f>IF(AND($Z372&gt;=10,MOD($Z372,5)=0),$AF372*IF($AA372=12,VLOOKUP($Z372,Paraméterek!$B$225:$F$240,IF($AF372&lt;IF($D$4="Forint",Paraméterek!$C$223,Paraméterek!$C$224),2,IF($AF372&lt;IF($D$4="Forint",Paraméterek!$D$223,Paraméterek!$D$224),3,4))),0),0)</f>
        <v>0</v>
      </c>
      <c r="AH372" s="13">
        <f>IF(AND($Z372&gt;=5,MOD($Z372,5)=0),IF($AA372=12,VLOOKUP($Z372,Paraméterek!$B$225:$F$240,5),0),IF(OR($Z372=3,$Z372=4),IF($AA372=12,VLOOKUP($Z372,Paraméterek!$B$225:$F$240,5,0),0),0))*$AF372</f>
        <v>0</v>
      </c>
      <c r="AI372" s="13">
        <f>ROUNDDOWN(IF(SUM($T$20:$U372)=0,IF($D$2="Egyszeri",$AH372,$AG372),0),IF($D$4="Forint",0,2))</f>
        <v>0</v>
      </c>
      <c r="AJ372" s="13">
        <f t="shared" si="87"/>
        <v>0</v>
      </c>
      <c r="AK372" s="13">
        <f t="shared" si="88"/>
        <v>0</v>
      </c>
      <c r="AM372" s="32">
        <v>353</v>
      </c>
      <c r="AN372" s="32">
        <v>30</v>
      </c>
      <c r="AO372" s="32">
        <v>5</v>
      </c>
      <c r="AP372" s="13"/>
      <c r="AQ372" s="32"/>
      <c r="AR372" s="13">
        <f t="shared" si="89"/>
        <v>0</v>
      </c>
      <c r="AS372" s="33"/>
      <c r="AT372" s="13">
        <f t="shared" si="83"/>
        <v>0</v>
      </c>
      <c r="AU372" s="13">
        <f>ROUNDUP(($AR372+$AT372)*VLOOKUP($AN372,Paraméterek!$P$38:$Q$38,2)/12,IF($D$4="Forint",0,2))</f>
        <v>0</v>
      </c>
      <c r="AV372" s="13"/>
      <c r="AW372" s="13"/>
      <c r="AX372" s="13">
        <f>ROUNDUP(IF(SUM($AV372:$AW372)=0,0,IF(IF(ISBLANK($AW372),$AV372,$AW372)*Paraméterek!$J$112&lt;IF($D$4="Forint",Paraméterek!$J$113,Paraméterek!$K$113),IF($D$4="Forint",Paraméterek!$J$113,Paraméterek!$K$113),IF(IF(ISBLANK($AW372),$AV372,$AW372)*Paraméterek!$J$112&gt;IF($D$4="Forint",Paraméterek!$J$114,Paraméterek!$K$114),IF($D$4="Forint",Paraméterek!$J$114,Paraméterek!$K$114),IF(ISBLANK($AW372),$AV372,$AW372)*Paraméterek!$J$112))),IF($D$4="Forint",0,2))</f>
        <v>0</v>
      </c>
      <c r="AY372" s="13">
        <f>$AR372+$AT372-$AU372-IF(ROUNDDOWN(IF(ISBLANK($AW372),$AV372,$AW372),IF($D$4="Forint",0,2))&gt;$AR372+$AT372-$AU372-IF($D$4="Forint",Paraméterek!$J$114,Paraméterek!$K$114),0,ROUNDDOWN(IF(ISBLANK($AW372),$AV372,$AW372),IF($D$4="Forint",0,2))-$AX372)</f>
        <v>0</v>
      </c>
      <c r="AZ372" s="13">
        <f t="shared" si="84"/>
        <v>0</v>
      </c>
    </row>
    <row r="373" spans="1:52" x14ac:dyDescent="0.2">
      <c r="A373" s="32">
        <v>354</v>
      </c>
      <c r="B373" s="32">
        <v>30</v>
      </c>
      <c r="C373" s="32">
        <v>6</v>
      </c>
      <c r="D373" s="13">
        <f t="shared" si="75"/>
        <v>0</v>
      </c>
      <c r="E373" s="13"/>
      <c r="F373" s="13"/>
      <c r="G373" s="13"/>
      <c r="H373" s="13">
        <f t="shared" si="76"/>
        <v>0</v>
      </c>
      <c r="I373" s="13">
        <f t="shared" si="77"/>
        <v>0</v>
      </c>
      <c r="J373" s="13">
        <f t="shared" si="78"/>
        <v>0</v>
      </c>
      <c r="K373" s="13">
        <f>ROUNDUP(IF($D$2="Egyszeri",$D373,IF($D$2="Havi",SUM($D$20:$D$31),IF(MOD($C373,$M$1)-1=0,SUM($D$20:$D$31),0))/12*$M$1)*VLOOKUP($B373,Paraméterek!$B$27:$D$30,IF($D$2="Egyszeri",3,2)),IF($D$4="Forint",0,2))</f>
        <v>0</v>
      </c>
      <c r="L373" s="13">
        <f t="shared" si="79"/>
        <v>0</v>
      </c>
      <c r="M373" s="13">
        <f t="shared" ca="1" si="85"/>
        <v>-220182</v>
      </c>
      <c r="N373" s="13">
        <f ca="1">IF($V372&gt;=VLOOKUP($M$4-1+$B373,Paraméterek!$B$121:$D$122,IF($D$4="Forint",2,3)),0,VLOOKUP($M$4-1+$B373,Paraméterek!$B$121:$D$122,IF($D$4="Forint",2,3))-$V372)</f>
        <v>230182</v>
      </c>
      <c r="O373" s="13">
        <f ca="1">ROUNDUP($N373*Paraméterek!$C$58/Paraméterek!$C$56,IF($D$4="Forint",0,2))</f>
        <v>37</v>
      </c>
      <c r="P373" s="13">
        <f t="shared" si="80"/>
        <v>1297</v>
      </c>
      <c r="Q373" s="33"/>
      <c r="R373" s="13">
        <f t="shared" ca="1" si="81"/>
        <v>0</v>
      </c>
      <c r="S373" s="13">
        <f ca="1">ROUNDUP(($M373-$O373-$P373+$R373)*VLOOKUP($B373,Paraméterek!$B$38:$D$39,IF($D$2="Egyszeri",3,2))/12,IF($D$4="Forint",0,2))</f>
        <v>-541</v>
      </c>
      <c r="T373" s="13"/>
      <c r="U373" s="13"/>
      <c r="V373" s="13">
        <f ca="1">$M373-$O373-$P373+$R373-$S373-IF(ROUNDUP(IF(ISBLANK($U373),$T373,$U373)/IF(AND($B373=1,$D$2&lt;&gt;"Egyszeri"),1,VLOOKUP($B373+IF($C373=12,1,0),Paraméterek!$B$257:$D$267,IF($D$2="Egyszeri",3,2))),IF($D$4="Forint",0,2))&gt;$M373-$O373-$P373+$R373-$S373-IF($D$4="Forint",Paraméterek!$C$216,Paraméterek!$D$216),0,ROUNDUP(IF(ISBLANK($U373),$T373,$U373)/IF(AND($B373=1,$D$2&lt;&gt;"Egyszeri"),1,VLOOKUP($B373+IF($C373=12,1,0),Paraméterek!$B$257:$D$267,IF($D$2="Egyszeri",3,2))),IF($D$4="Forint",0,2)))</f>
        <v>-220975</v>
      </c>
      <c r="W373" s="13">
        <f ca="1">ROUNDDOWN($V373*VLOOKUP($B373+IF($C373=12,1,0),Paraméterek!$B$257:$D$267,IF($D$2="Egyszeri",3,2)),IF($D$4="Forint",0,2))</f>
        <v>-220975</v>
      </c>
      <c r="Y373" s="32">
        <v>354</v>
      </c>
      <c r="Z373" s="32">
        <v>30</v>
      </c>
      <c r="AA373" s="32">
        <v>6</v>
      </c>
      <c r="AB373" s="13">
        <f t="shared" si="86"/>
        <v>0</v>
      </c>
      <c r="AC373" s="33"/>
      <c r="AD373" s="13">
        <f t="shared" si="82"/>
        <v>0</v>
      </c>
      <c r="AE373" s="13">
        <f>ROUNDUP(($AB373+$AD373)*VLOOKUP($Z373,Paraméterek!$P$38:$Q$38,2)/12,IF($D$4="Forint",0,2))</f>
        <v>0</v>
      </c>
      <c r="AF373" s="13">
        <f>IF($D$2="Egyszeri",IF($D$7&gt;=IF($D$4="Forint",Paraméterek!$P$223,Paraméterek!$P$224),$D$7-IF($D$4="Forint",Paraméterek!$F$223,Paraméterek!$F$224),0),MIN(IF($AA373=12,AVERAGE($D$20:$D373)*12,0),SUM($D$20:$D$31)))</f>
        <v>0</v>
      </c>
      <c r="AG373" s="13">
        <f>IF(AND($Z373&gt;=10,MOD($Z373,5)=0),$AF373*IF($AA373=12,VLOOKUP($Z373,Paraméterek!$B$225:$F$240,IF($AF373&lt;IF($D$4="Forint",Paraméterek!$C$223,Paraméterek!$C$224),2,IF($AF373&lt;IF($D$4="Forint",Paraméterek!$D$223,Paraméterek!$D$224),3,4))),0),0)</f>
        <v>0</v>
      </c>
      <c r="AH373" s="13">
        <f>IF(AND($Z373&gt;=5,MOD($Z373,5)=0),IF($AA373=12,VLOOKUP($Z373,Paraméterek!$B$225:$F$240,5),0),IF(OR($Z373=3,$Z373=4),IF($AA373=12,VLOOKUP($Z373,Paraméterek!$B$225:$F$240,5,0),0),0))*$AF373</f>
        <v>0</v>
      </c>
      <c r="AI373" s="13">
        <f>ROUNDDOWN(IF(SUM($T$20:$U373)=0,IF($D$2="Egyszeri",$AH373,$AG373),0),IF($D$4="Forint",0,2))</f>
        <v>0</v>
      </c>
      <c r="AJ373" s="13">
        <f t="shared" si="87"/>
        <v>0</v>
      </c>
      <c r="AK373" s="13">
        <f t="shared" si="88"/>
        <v>0</v>
      </c>
      <c r="AM373" s="32">
        <v>354</v>
      </c>
      <c r="AN373" s="32">
        <v>30</v>
      </c>
      <c r="AO373" s="32">
        <v>6</v>
      </c>
      <c r="AP373" s="13"/>
      <c r="AQ373" s="32"/>
      <c r="AR373" s="13">
        <f t="shared" si="89"/>
        <v>0</v>
      </c>
      <c r="AS373" s="33"/>
      <c r="AT373" s="13">
        <f t="shared" si="83"/>
        <v>0</v>
      </c>
      <c r="AU373" s="13">
        <f>ROUNDUP(($AR373+$AT373)*VLOOKUP($AN373,Paraméterek!$P$38:$Q$38,2)/12,IF($D$4="Forint",0,2))</f>
        <v>0</v>
      </c>
      <c r="AV373" s="13"/>
      <c r="AW373" s="13"/>
      <c r="AX373" s="13">
        <f>ROUNDUP(IF(SUM($AV373:$AW373)=0,0,IF(IF(ISBLANK($AW373),$AV373,$AW373)*Paraméterek!$J$112&lt;IF($D$4="Forint",Paraméterek!$J$113,Paraméterek!$K$113),IF($D$4="Forint",Paraméterek!$J$113,Paraméterek!$K$113),IF(IF(ISBLANK($AW373),$AV373,$AW373)*Paraméterek!$J$112&gt;IF($D$4="Forint",Paraméterek!$J$114,Paraméterek!$K$114),IF($D$4="Forint",Paraméterek!$J$114,Paraméterek!$K$114),IF(ISBLANK($AW373),$AV373,$AW373)*Paraméterek!$J$112))),IF($D$4="Forint",0,2))</f>
        <v>0</v>
      </c>
      <c r="AY373" s="13">
        <f>$AR373+$AT373-$AU373-IF(ROUNDDOWN(IF(ISBLANK($AW373),$AV373,$AW373),IF($D$4="Forint",0,2))&gt;$AR373+$AT373-$AU373-IF($D$4="Forint",Paraméterek!$J$114,Paraméterek!$K$114),0,ROUNDDOWN(IF(ISBLANK($AW373),$AV373,$AW373),IF($D$4="Forint",0,2))-$AX373)</f>
        <v>0</v>
      </c>
      <c r="AZ373" s="13">
        <f t="shared" si="84"/>
        <v>0</v>
      </c>
    </row>
    <row r="374" spans="1:52" x14ac:dyDescent="0.2">
      <c r="A374" s="32">
        <v>355</v>
      </c>
      <c r="B374" s="32">
        <v>30</v>
      </c>
      <c r="C374" s="32">
        <v>7</v>
      </c>
      <c r="D374" s="13">
        <f t="shared" si="75"/>
        <v>0</v>
      </c>
      <c r="E374" s="13"/>
      <c r="F374" s="13"/>
      <c r="G374" s="13"/>
      <c r="H374" s="13">
        <f t="shared" si="76"/>
        <v>0</v>
      </c>
      <c r="I374" s="13">
        <f t="shared" si="77"/>
        <v>0</v>
      </c>
      <c r="J374" s="13">
        <f t="shared" si="78"/>
        <v>0</v>
      </c>
      <c r="K374" s="13">
        <f>ROUNDUP(IF($D$2="Egyszeri",$D374,IF($D$2="Havi",SUM($D$20:$D$31),IF(MOD($C374,$M$1)-1=0,SUM($D$20:$D$31),0))/12*$M$1)*VLOOKUP($B374,Paraméterek!$B$27:$D$30,IF($D$2="Egyszeri",3,2)),IF($D$4="Forint",0,2))</f>
        <v>0</v>
      </c>
      <c r="L374" s="13">
        <f t="shared" si="79"/>
        <v>0</v>
      </c>
      <c r="M374" s="13">
        <f t="shared" ca="1" si="85"/>
        <v>-220975</v>
      </c>
      <c r="N374" s="13">
        <f ca="1">IF($V373&gt;=VLOOKUP($M$4-1+$B374,Paraméterek!$B$121:$D$122,IF($D$4="Forint",2,3)),0,VLOOKUP($M$4-1+$B374,Paraméterek!$B$121:$D$122,IF($D$4="Forint",2,3))-$V373)</f>
        <v>230975</v>
      </c>
      <c r="O374" s="13">
        <f ca="1">ROUNDUP($N374*Paraméterek!$C$58/Paraméterek!$C$56,IF($D$4="Forint",0,2))</f>
        <v>37</v>
      </c>
      <c r="P374" s="13">
        <f t="shared" si="80"/>
        <v>1297</v>
      </c>
      <c r="Q374" s="33"/>
      <c r="R374" s="13">
        <f t="shared" ca="1" si="81"/>
        <v>0</v>
      </c>
      <c r="S374" s="13">
        <f ca="1">ROUNDUP(($M374-$O374-$P374+$R374)*VLOOKUP($B374,Paraméterek!$B$38:$D$39,IF($D$2="Egyszeri",3,2))/12,IF($D$4="Forint",0,2))</f>
        <v>-543</v>
      </c>
      <c r="T374" s="13"/>
      <c r="U374" s="13"/>
      <c r="V374" s="13">
        <f ca="1">$M374-$O374-$P374+$R374-$S374-IF(ROUNDUP(IF(ISBLANK($U374),$T374,$U374)/IF(AND($B374=1,$D$2&lt;&gt;"Egyszeri"),1,VLOOKUP($B374+IF($C374=12,1,0),Paraméterek!$B$257:$D$267,IF($D$2="Egyszeri",3,2))),IF($D$4="Forint",0,2))&gt;$M374-$O374-$P374+$R374-$S374-IF($D$4="Forint",Paraméterek!$C$216,Paraméterek!$D$216),0,ROUNDUP(IF(ISBLANK($U374),$T374,$U374)/IF(AND($B374=1,$D$2&lt;&gt;"Egyszeri"),1,VLOOKUP($B374+IF($C374=12,1,0),Paraméterek!$B$257:$D$267,IF($D$2="Egyszeri",3,2))),IF($D$4="Forint",0,2)))</f>
        <v>-221766</v>
      </c>
      <c r="W374" s="13">
        <f ca="1">ROUNDDOWN($V374*VLOOKUP($B374+IF($C374=12,1,0),Paraméterek!$B$257:$D$267,IF($D$2="Egyszeri",3,2)),IF($D$4="Forint",0,2))</f>
        <v>-221766</v>
      </c>
      <c r="Y374" s="32">
        <v>355</v>
      </c>
      <c r="Z374" s="32">
        <v>30</v>
      </c>
      <c r="AA374" s="32">
        <v>7</v>
      </c>
      <c r="AB374" s="13">
        <f t="shared" si="86"/>
        <v>0</v>
      </c>
      <c r="AC374" s="33"/>
      <c r="AD374" s="13">
        <f t="shared" si="82"/>
        <v>0</v>
      </c>
      <c r="AE374" s="13">
        <f>ROUNDUP(($AB374+$AD374)*VLOOKUP($Z374,Paraméterek!$P$38:$Q$38,2)/12,IF($D$4="Forint",0,2))</f>
        <v>0</v>
      </c>
      <c r="AF374" s="13">
        <f>IF($D$2="Egyszeri",IF($D$7&gt;=IF($D$4="Forint",Paraméterek!$P$223,Paraméterek!$P$224),$D$7-IF($D$4="Forint",Paraméterek!$F$223,Paraméterek!$F$224),0),MIN(IF($AA374=12,AVERAGE($D$20:$D374)*12,0),SUM($D$20:$D$31)))</f>
        <v>0</v>
      </c>
      <c r="AG374" s="13">
        <f>IF(AND($Z374&gt;=10,MOD($Z374,5)=0),$AF374*IF($AA374=12,VLOOKUP($Z374,Paraméterek!$B$225:$F$240,IF($AF374&lt;IF($D$4="Forint",Paraméterek!$C$223,Paraméterek!$C$224),2,IF($AF374&lt;IF($D$4="Forint",Paraméterek!$D$223,Paraméterek!$D$224),3,4))),0),0)</f>
        <v>0</v>
      </c>
      <c r="AH374" s="13">
        <f>IF(AND($Z374&gt;=5,MOD($Z374,5)=0),IF($AA374=12,VLOOKUP($Z374,Paraméterek!$B$225:$F$240,5),0),IF(OR($Z374=3,$Z374=4),IF($AA374=12,VLOOKUP($Z374,Paraméterek!$B$225:$F$240,5,0),0),0))*$AF374</f>
        <v>0</v>
      </c>
      <c r="AI374" s="13">
        <f>ROUNDDOWN(IF(SUM($T$20:$U374)=0,IF($D$2="Egyszeri",$AH374,$AG374),0),IF($D$4="Forint",0,2))</f>
        <v>0</v>
      </c>
      <c r="AJ374" s="13">
        <f t="shared" si="87"/>
        <v>0</v>
      </c>
      <c r="AK374" s="13">
        <f t="shared" si="88"/>
        <v>0</v>
      </c>
      <c r="AM374" s="32">
        <v>355</v>
      </c>
      <c r="AN374" s="32">
        <v>30</v>
      </c>
      <c r="AO374" s="32">
        <v>7</v>
      </c>
      <c r="AP374" s="13"/>
      <c r="AQ374" s="32"/>
      <c r="AR374" s="13">
        <f t="shared" si="89"/>
        <v>0</v>
      </c>
      <c r="AS374" s="33"/>
      <c r="AT374" s="13">
        <f t="shared" si="83"/>
        <v>0</v>
      </c>
      <c r="AU374" s="13">
        <f>ROUNDUP(($AR374+$AT374)*VLOOKUP($AN374,Paraméterek!$P$38:$Q$38,2)/12,IF($D$4="Forint",0,2))</f>
        <v>0</v>
      </c>
      <c r="AV374" s="13"/>
      <c r="AW374" s="13"/>
      <c r="AX374" s="13">
        <f>ROUNDUP(IF(SUM($AV374:$AW374)=0,0,IF(IF(ISBLANK($AW374),$AV374,$AW374)*Paraméterek!$J$112&lt;IF($D$4="Forint",Paraméterek!$J$113,Paraméterek!$K$113),IF($D$4="Forint",Paraméterek!$J$113,Paraméterek!$K$113),IF(IF(ISBLANK($AW374),$AV374,$AW374)*Paraméterek!$J$112&gt;IF($D$4="Forint",Paraméterek!$J$114,Paraméterek!$K$114),IF($D$4="Forint",Paraméterek!$J$114,Paraméterek!$K$114),IF(ISBLANK($AW374),$AV374,$AW374)*Paraméterek!$J$112))),IF($D$4="Forint",0,2))</f>
        <v>0</v>
      </c>
      <c r="AY374" s="13">
        <f>$AR374+$AT374-$AU374-IF(ROUNDDOWN(IF(ISBLANK($AW374),$AV374,$AW374),IF($D$4="Forint",0,2))&gt;$AR374+$AT374-$AU374-IF($D$4="Forint",Paraméterek!$J$114,Paraméterek!$K$114),0,ROUNDDOWN(IF(ISBLANK($AW374),$AV374,$AW374),IF($D$4="Forint",0,2))-$AX374)</f>
        <v>0</v>
      </c>
      <c r="AZ374" s="13">
        <f t="shared" si="84"/>
        <v>0</v>
      </c>
    </row>
    <row r="375" spans="1:52" x14ac:dyDescent="0.2">
      <c r="A375" s="32">
        <v>356</v>
      </c>
      <c r="B375" s="32">
        <v>30</v>
      </c>
      <c r="C375" s="32">
        <v>8</v>
      </c>
      <c r="D375" s="13">
        <f t="shared" si="75"/>
        <v>0</v>
      </c>
      <c r="E375" s="13"/>
      <c r="F375" s="13"/>
      <c r="G375" s="13"/>
      <c r="H375" s="13">
        <f t="shared" si="76"/>
        <v>0</v>
      </c>
      <c r="I375" s="13">
        <f t="shared" si="77"/>
        <v>0</v>
      </c>
      <c r="J375" s="13">
        <f t="shared" si="78"/>
        <v>0</v>
      </c>
      <c r="K375" s="13">
        <f>ROUNDUP(IF($D$2="Egyszeri",$D375,IF($D$2="Havi",SUM($D$20:$D$31),IF(MOD($C375,$M$1)-1=0,SUM($D$20:$D$31),0))/12*$M$1)*VLOOKUP($B375,Paraméterek!$B$27:$D$30,IF($D$2="Egyszeri",3,2)),IF($D$4="Forint",0,2))</f>
        <v>0</v>
      </c>
      <c r="L375" s="13">
        <f t="shared" si="79"/>
        <v>0</v>
      </c>
      <c r="M375" s="13">
        <f t="shared" ca="1" si="85"/>
        <v>-221766</v>
      </c>
      <c r="N375" s="13">
        <f ca="1">IF($V374&gt;=VLOOKUP($M$4-1+$B375,Paraméterek!$B$121:$D$122,IF($D$4="Forint",2,3)),0,VLOOKUP($M$4-1+$B375,Paraméterek!$B$121:$D$122,IF($D$4="Forint",2,3))-$V374)</f>
        <v>231766</v>
      </c>
      <c r="O375" s="13">
        <f ca="1">ROUNDUP($N375*Paraméterek!$C$58/Paraméterek!$C$56,IF($D$4="Forint",0,2))</f>
        <v>37</v>
      </c>
      <c r="P375" s="13">
        <f t="shared" si="80"/>
        <v>1297</v>
      </c>
      <c r="Q375" s="33"/>
      <c r="R375" s="13">
        <f t="shared" ca="1" si="81"/>
        <v>0</v>
      </c>
      <c r="S375" s="13">
        <f ca="1">ROUNDUP(($M375-$O375-$P375+$R375)*VLOOKUP($B375,Paraméterek!$B$38:$D$39,IF($D$2="Egyszeri",3,2))/12,IF($D$4="Forint",0,2))</f>
        <v>-545</v>
      </c>
      <c r="T375" s="13"/>
      <c r="U375" s="13"/>
      <c r="V375" s="13">
        <f ca="1">$M375-$O375-$P375+$R375-$S375-IF(ROUNDUP(IF(ISBLANK($U375),$T375,$U375)/IF(AND($B375=1,$D$2&lt;&gt;"Egyszeri"),1,VLOOKUP($B375+IF($C375=12,1,0),Paraméterek!$B$257:$D$267,IF($D$2="Egyszeri",3,2))),IF($D$4="Forint",0,2))&gt;$M375-$O375-$P375+$R375-$S375-IF($D$4="Forint",Paraméterek!$C$216,Paraméterek!$D$216),0,ROUNDUP(IF(ISBLANK($U375),$T375,$U375)/IF(AND($B375=1,$D$2&lt;&gt;"Egyszeri"),1,VLOOKUP($B375+IF($C375=12,1,0),Paraméterek!$B$257:$D$267,IF($D$2="Egyszeri",3,2))),IF($D$4="Forint",0,2)))</f>
        <v>-222555</v>
      </c>
      <c r="W375" s="13">
        <f ca="1">ROUNDDOWN($V375*VLOOKUP($B375+IF($C375=12,1,0),Paraméterek!$B$257:$D$267,IF($D$2="Egyszeri",3,2)),IF($D$4="Forint",0,2))</f>
        <v>-222555</v>
      </c>
      <c r="Y375" s="32">
        <v>356</v>
      </c>
      <c r="Z375" s="32">
        <v>30</v>
      </c>
      <c r="AA375" s="32">
        <v>8</v>
      </c>
      <c r="AB375" s="13">
        <f t="shared" si="86"/>
        <v>0</v>
      </c>
      <c r="AC375" s="33"/>
      <c r="AD375" s="13">
        <f t="shared" si="82"/>
        <v>0</v>
      </c>
      <c r="AE375" s="13">
        <f>ROUNDUP(($AB375+$AD375)*VLOOKUP($Z375,Paraméterek!$P$38:$Q$38,2)/12,IF($D$4="Forint",0,2))</f>
        <v>0</v>
      </c>
      <c r="AF375" s="13">
        <f>IF($D$2="Egyszeri",IF($D$7&gt;=IF($D$4="Forint",Paraméterek!$P$223,Paraméterek!$P$224),$D$7-IF($D$4="Forint",Paraméterek!$F$223,Paraméterek!$F$224),0),MIN(IF($AA375=12,AVERAGE($D$20:$D375)*12,0),SUM($D$20:$D$31)))</f>
        <v>0</v>
      </c>
      <c r="AG375" s="13">
        <f>IF(AND($Z375&gt;=10,MOD($Z375,5)=0),$AF375*IF($AA375=12,VLOOKUP($Z375,Paraméterek!$B$225:$F$240,IF($AF375&lt;IF($D$4="Forint",Paraméterek!$C$223,Paraméterek!$C$224),2,IF($AF375&lt;IF($D$4="Forint",Paraméterek!$D$223,Paraméterek!$D$224),3,4))),0),0)</f>
        <v>0</v>
      </c>
      <c r="AH375" s="13">
        <f>IF(AND($Z375&gt;=5,MOD($Z375,5)=0),IF($AA375=12,VLOOKUP($Z375,Paraméterek!$B$225:$F$240,5),0),IF(OR($Z375=3,$Z375=4),IF($AA375=12,VLOOKUP($Z375,Paraméterek!$B$225:$F$240,5,0),0),0))*$AF375</f>
        <v>0</v>
      </c>
      <c r="AI375" s="13">
        <f>ROUNDDOWN(IF(SUM($T$20:$U375)=0,IF($D$2="Egyszeri",$AH375,$AG375),0),IF($D$4="Forint",0,2))</f>
        <v>0</v>
      </c>
      <c r="AJ375" s="13">
        <f t="shared" si="87"/>
        <v>0</v>
      </c>
      <c r="AK375" s="13">
        <f t="shared" si="88"/>
        <v>0</v>
      </c>
      <c r="AM375" s="32">
        <v>356</v>
      </c>
      <c r="AN375" s="32">
        <v>30</v>
      </c>
      <c r="AO375" s="32">
        <v>8</v>
      </c>
      <c r="AP375" s="13"/>
      <c r="AQ375" s="32"/>
      <c r="AR375" s="13">
        <f t="shared" si="89"/>
        <v>0</v>
      </c>
      <c r="AS375" s="33"/>
      <c r="AT375" s="13">
        <f t="shared" si="83"/>
        <v>0</v>
      </c>
      <c r="AU375" s="13">
        <f>ROUNDUP(($AR375+$AT375)*VLOOKUP($AN375,Paraméterek!$P$38:$Q$38,2)/12,IF($D$4="Forint",0,2))</f>
        <v>0</v>
      </c>
      <c r="AV375" s="13"/>
      <c r="AW375" s="13"/>
      <c r="AX375" s="13">
        <f>ROUNDUP(IF(SUM($AV375:$AW375)=0,0,IF(IF(ISBLANK($AW375),$AV375,$AW375)*Paraméterek!$J$112&lt;IF($D$4="Forint",Paraméterek!$J$113,Paraméterek!$K$113),IF($D$4="Forint",Paraméterek!$J$113,Paraméterek!$K$113),IF(IF(ISBLANK($AW375),$AV375,$AW375)*Paraméterek!$J$112&gt;IF($D$4="Forint",Paraméterek!$J$114,Paraméterek!$K$114),IF($D$4="Forint",Paraméterek!$J$114,Paraméterek!$K$114),IF(ISBLANK($AW375),$AV375,$AW375)*Paraméterek!$J$112))),IF($D$4="Forint",0,2))</f>
        <v>0</v>
      </c>
      <c r="AY375" s="13">
        <f>$AR375+$AT375-$AU375-IF(ROUNDDOWN(IF(ISBLANK($AW375),$AV375,$AW375),IF($D$4="Forint",0,2))&gt;$AR375+$AT375-$AU375-IF($D$4="Forint",Paraméterek!$J$114,Paraméterek!$K$114),0,ROUNDDOWN(IF(ISBLANK($AW375),$AV375,$AW375),IF($D$4="Forint",0,2))-$AX375)</f>
        <v>0</v>
      </c>
      <c r="AZ375" s="13">
        <f t="shared" si="84"/>
        <v>0</v>
      </c>
    </row>
    <row r="376" spans="1:52" x14ac:dyDescent="0.2">
      <c r="A376" s="32">
        <v>357</v>
      </c>
      <c r="B376" s="32">
        <v>30</v>
      </c>
      <c r="C376" s="32">
        <v>9</v>
      </c>
      <c r="D376" s="13">
        <f t="shared" si="75"/>
        <v>0</v>
      </c>
      <c r="E376" s="13"/>
      <c r="F376" s="13"/>
      <c r="G376" s="13"/>
      <c r="H376" s="13">
        <f t="shared" si="76"/>
        <v>0</v>
      </c>
      <c r="I376" s="13">
        <f t="shared" si="77"/>
        <v>0</v>
      </c>
      <c r="J376" s="13">
        <f t="shared" si="78"/>
        <v>0</v>
      </c>
      <c r="K376" s="13">
        <f>ROUNDUP(IF($D$2="Egyszeri",$D376,IF($D$2="Havi",SUM($D$20:$D$31),IF(MOD($C376,$M$1)-1=0,SUM($D$20:$D$31),0))/12*$M$1)*VLOOKUP($B376,Paraméterek!$B$27:$D$30,IF($D$2="Egyszeri",3,2)),IF($D$4="Forint",0,2))</f>
        <v>0</v>
      </c>
      <c r="L376" s="13">
        <f t="shared" si="79"/>
        <v>0</v>
      </c>
      <c r="M376" s="13">
        <f t="shared" ca="1" si="85"/>
        <v>-222555</v>
      </c>
      <c r="N376" s="13">
        <f ca="1">IF($V375&gt;=VLOOKUP($M$4-1+$B376,Paraméterek!$B$121:$D$122,IF($D$4="Forint",2,3)),0,VLOOKUP($M$4-1+$B376,Paraméterek!$B$121:$D$122,IF($D$4="Forint",2,3))-$V375)</f>
        <v>232555</v>
      </c>
      <c r="O376" s="13">
        <f ca="1">ROUNDUP($N376*Paraméterek!$C$58/Paraméterek!$C$56,IF($D$4="Forint",0,2))</f>
        <v>38</v>
      </c>
      <c r="P376" s="13">
        <f t="shared" si="80"/>
        <v>1297</v>
      </c>
      <c r="Q376" s="33"/>
      <c r="R376" s="13">
        <f t="shared" ca="1" si="81"/>
        <v>0</v>
      </c>
      <c r="S376" s="13">
        <f ca="1">ROUNDUP(($M376-$O376-$P376+$R376)*VLOOKUP($B376,Paraméterek!$B$38:$D$39,IF($D$2="Egyszeri",3,2))/12,IF($D$4="Forint",0,2))</f>
        <v>-547</v>
      </c>
      <c r="T376" s="13"/>
      <c r="U376" s="13"/>
      <c r="V376" s="13">
        <f ca="1">$M376-$O376-$P376+$R376-$S376-IF(ROUNDUP(IF(ISBLANK($U376),$T376,$U376)/IF(AND($B376=1,$D$2&lt;&gt;"Egyszeri"),1,VLOOKUP($B376+IF($C376=12,1,0),Paraméterek!$B$257:$D$267,IF($D$2="Egyszeri",3,2))),IF($D$4="Forint",0,2))&gt;$M376-$O376-$P376+$R376-$S376-IF($D$4="Forint",Paraméterek!$C$216,Paraméterek!$D$216),0,ROUNDUP(IF(ISBLANK($U376),$T376,$U376)/IF(AND($B376=1,$D$2&lt;&gt;"Egyszeri"),1,VLOOKUP($B376+IF($C376=12,1,0),Paraméterek!$B$257:$D$267,IF($D$2="Egyszeri",3,2))),IF($D$4="Forint",0,2)))</f>
        <v>-223343</v>
      </c>
      <c r="W376" s="13">
        <f ca="1">ROUNDDOWN($V376*VLOOKUP($B376+IF($C376=12,1,0),Paraméterek!$B$257:$D$267,IF($D$2="Egyszeri",3,2)),IF($D$4="Forint",0,2))</f>
        <v>-223343</v>
      </c>
      <c r="Y376" s="32">
        <v>357</v>
      </c>
      <c r="Z376" s="32">
        <v>30</v>
      </c>
      <c r="AA376" s="32">
        <v>9</v>
      </c>
      <c r="AB376" s="13">
        <f t="shared" si="86"/>
        <v>0</v>
      </c>
      <c r="AC376" s="33"/>
      <c r="AD376" s="13">
        <f t="shared" si="82"/>
        <v>0</v>
      </c>
      <c r="AE376" s="13">
        <f>ROUNDUP(($AB376+$AD376)*VLOOKUP($Z376,Paraméterek!$P$38:$Q$38,2)/12,IF($D$4="Forint",0,2))</f>
        <v>0</v>
      </c>
      <c r="AF376" s="13">
        <f>IF($D$2="Egyszeri",IF($D$7&gt;=IF($D$4="Forint",Paraméterek!$P$223,Paraméterek!$P$224),$D$7-IF($D$4="Forint",Paraméterek!$F$223,Paraméterek!$F$224),0),MIN(IF($AA376=12,AVERAGE($D$20:$D376)*12,0),SUM($D$20:$D$31)))</f>
        <v>0</v>
      </c>
      <c r="AG376" s="13">
        <f>IF(AND($Z376&gt;=10,MOD($Z376,5)=0),$AF376*IF($AA376=12,VLOOKUP($Z376,Paraméterek!$B$225:$F$240,IF($AF376&lt;IF($D$4="Forint",Paraméterek!$C$223,Paraméterek!$C$224),2,IF($AF376&lt;IF($D$4="Forint",Paraméterek!$D$223,Paraméterek!$D$224),3,4))),0),0)</f>
        <v>0</v>
      </c>
      <c r="AH376" s="13">
        <f>IF(AND($Z376&gt;=5,MOD($Z376,5)=0),IF($AA376=12,VLOOKUP($Z376,Paraméterek!$B$225:$F$240,5),0),IF(OR($Z376=3,$Z376=4),IF($AA376=12,VLOOKUP($Z376,Paraméterek!$B$225:$F$240,5,0),0),0))*$AF376</f>
        <v>0</v>
      </c>
      <c r="AI376" s="13">
        <f>ROUNDDOWN(IF(SUM($T$20:$U376)=0,IF($D$2="Egyszeri",$AH376,$AG376),0),IF($D$4="Forint",0,2))</f>
        <v>0</v>
      </c>
      <c r="AJ376" s="13">
        <f t="shared" si="87"/>
        <v>0</v>
      </c>
      <c r="AK376" s="13">
        <f t="shared" si="88"/>
        <v>0</v>
      </c>
      <c r="AM376" s="32">
        <v>357</v>
      </c>
      <c r="AN376" s="32">
        <v>30</v>
      </c>
      <c r="AO376" s="32">
        <v>9</v>
      </c>
      <c r="AP376" s="13"/>
      <c r="AQ376" s="32"/>
      <c r="AR376" s="13">
        <f t="shared" si="89"/>
        <v>0</v>
      </c>
      <c r="AS376" s="33"/>
      <c r="AT376" s="13">
        <f t="shared" si="83"/>
        <v>0</v>
      </c>
      <c r="AU376" s="13">
        <f>ROUNDUP(($AR376+$AT376)*VLOOKUP($AN376,Paraméterek!$P$38:$Q$38,2)/12,IF($D$4="Forint",0,2))</f>
        <v>0</v>
      </c>
      <c r="AV376" s="13"/>
      <c r="AW376" s="13"/>
      <c r="AX376" s="13">
        <f>ROUNDUP(IF(SUM($AV376:$AW376)=0,0,IF(IF(ISBLANK($AW376),$AV376,$AW376)*Paraméterek!$J$112&lt;IF($D$4="Forint",Paraméterek!$J$113,Paraméterek!$K$113),IF($D$4="Forint",Paraméterek!$J$113,Paraméterek!$K$113),IF(IF(ISBLANK($AW376),$AV376,$AW376)*Paraméterek!$J$112&gt;IF($D$4="Forint",Paraméterek!$J$114,Paraméterek!$K$114),IF($D$4="Forint",Paraméterek!$J$114,Paraméterek!$K$114),IF(ISBLANK($AW376),$AV376,$AW376)*Paraméterek!$J$112))),IF($D$4="Forint",0,2))</f>
        <v>0</v>
      </c>
      <c r="AY376" s="13">
        <f>$AR376+$AT376-$AU376-IF(ROUNDDOWN(IF(ISBLANK($AW376),$AV376,$AW376),IF($D$4="Forint",0,2))&gt;$AR376+$AT376-$AU376-IF($D$4="Forint",Paraméterek!$J$114,Paraméterek!$K$114),0,ROUNDDOWN(IF(ISBLANK($AW376),$AV376,$AW376),IF($D$4="Forint",0,2))-$AX376)</f>
        <v>0</v>
      </c>
      <c r="AZ376" s="13">
        <f t="shared" si="84"/>
        <v>0</v>
      </c>
    </row>
    <row r="377" spans="1:52" x14ac:dyDescent="0.2">
      <c r="A377" s="32">
        <v>358</v>
      </c>
      <c r="B377" s="32">
        <v>30</v>
      </c>
      <c r="C377" s="32">
        <v>10</v>
      </c>
      <c r="D377" s="13">
        <f t="shared" si="75"/>
        <v>0</v>
      </c>
      <c r="E377" s="13"/>
      <c r="F377" s="13"/>
      <c r="G377" s="13"/>
      <c r="H377" s="13">
        <f t="shared" si="76"/>
        <v>0</v>
      </c>
      <c r="I377" s="13">
        <f t="shared" si="77"/>
        <v>0</v>
      </c>
      <c r="J377" s="13">
        <f t="shared" si="78"/>
        <v>0</v>
      </c>
      <c r="K377" s="13">
        <f>ROUNDUP(IF($D$2="Egyszeri",$D377,IF($D$2="Havi",SUM($D$20:$D$31),IF(MOD($C377,$M$1)-1=0,SUM($D$20:$D$31),0))/12*$M$1)*VLOOKUP($B377,Paraméterek!$B$27:$D$30,IF($D$2="Egyszeri",3,2)),IF($D$4="Forint",0,2))</f>
        <v>0</v>
      </c>
      <c r="L377" s="13">
        <f t="shared" si="79"/>
        <v>0</v>
      </c>
      <c r="M377" s="13">
        <f t="shared" ca="1" si="85"/>
        <v>-223343</v>
      </c>
      <c r="N377" s="13">
        <f ca="1">IF($V376&gt;=VLOOKUP($M$4-1+$B377,Paraméterek!$B$121:$D$122,IF($D$4="Forint",2,3)),0,VLOOKUP($M$4-1+$B377,Paraméterek!$B$121:$D$122,IF($D$4="Forint",2,3))-$V376)</f>
        <v>233343</v>
      </c>
      <c r="O377" s="13">
        <f ca="1">ROUNDUP($N377*Paraméterek!$C$58/Paraméterek!$C$56,IF($D$4="Forint",0,2))</f>
        <v>38</v>
      </c>
      <c r="P377" s="13">
        <f t="shared" si="80"/>
        <v>1297</v>
      </c>
      <c r="Q377" s="33"/>
      <c r="R377" s="13">
        <f t="shared" ca="1" si="81"/>
        <v>0</v>
      </c>
      <c r="S377" s="13">
        <f ca="1">ROUNDUP(($M377-$O377-$P377+$R377)*VLOOKUP($B377,Paraméterek!$B$38:$D$39,IF($D$2="Egyszeri",3,2))/12,IF($D$4="Forint",0,2))</f>
        <v>-549</v>
      </c>
      <c r="T377" s="13"/>
      <c r="U377" s="13"/>
      <c r="V377" s="13">
        <f ca="1">$M377-$O377-$P377+$R377-$S377-IF(ROUNDUP(IF(ISBLANK($U377),$T377,$U377)/IF(AND($B377=1,$D$2&lt;&gt;"Egyszeri"),1,VLOOKUP($B377+IF($C377=12,1,0),Paraméterek!$B$257:$D$267,IF($D$2="Egyszeri",3,2))),IF($D$4="Forint",0,2))&gt;$M377-$O377-$P377+$R377-$S377-IF($D$4="Forint",Paraméterek!$C$216,Paraméterek!$D$216),0,ROUNDUP(IF(ISBLANK($U377),$T377,$U377)/IF(AND($B377=1,$D$2&lt;&gt;"Egyszeri"),1,VLOOKUP($B377+IF($C377=12,1,0),Paraméterek!$B$257:$D$267,IF($D$2="Egyszeri",3,2))),IF($D$4="Forint",0,2)))</f>
        <v>-224129</v>
      </c>
      <c r="W377" s="13">
        <f ca="1">ROUNDDOWN($V377*VLOOKUP($B377+IF($C377=12,1,0),Paraméterek!$B$257:$D$267,IF($D$2="Egyszeri",3,2)),IF($D$4="Forint",0,2))</f>
        <v>-224129</v>
      </c>
      <c r="Y377" s="32">
        <v>358</v>
      </c>
      <c r="Z377" s="32">
        <v>30</v>
      </c>
      <c r="AA377" s="32">
        <v>10</v>
      </c>
      <c r="AB377" s="13">
        <f t="shared" si="86"/>
        <v>0</v>
      </c>
      <c r="AC377" s="33"/>
      <c r="AD377" s="13">
        <f t="shared" si="82"/>
        <v>0</v>
      </c>
      <c r="AE377" s="13">
        <f>ROUNDUP(($AB377+$AD377)*VLOOKUP($Z377,Paraméterek!$P$38:$Q$38,2)/12,IF($D$4="Forint",0,2))</f>
        <v>0</v>
      </c>
      <c r="AF377" s="13">
        <f>IF($D$2="Egyszeri",IF($D$7&gt;=IF($D$4="Forint",Paraméterek!$P$223,Paraméterek!$P$224),$D$7-IF($D$4="Forint",Paraméterek!$F$223,Paraméterek!$F$224),0),MIN(IF($AA377=12,AVERAGE($D$20:$D377)*12,0),SUM($D$20:$D$31)))</f>
        <v>0</v>
      </c>
      <c r="AG377" s="13">
        <f>IF(AND($Z377&gt;=10,MOD($Z377,5)=0),$AF377*IF($AA377=12,VLOOKUP($Z377,Paraméterek!$B$225:$F$240,IF($AF377&lt;IF($D$4="Forint",Paraméterek!$C$223,Paraméterek!$C$224),2,IF($AF377&lt;IF($D$4="Forint",Paraméterek!$D$223,Paraméterek!$D$224),3,4))),0),0)</f>
        <v>0</v>
      </c>
      <c r="AH377" s="13">
        <f>IF(AND($Z377&gt;=5,MOD($Z377,5)=0),IF($AA377=12,VLOOKUP($Z377,Paraméterek!$B$225:$F$240,5),0),IF(OR($Z377=3,$Z377=4),IF($AA377=12,VLOOKUP($Z377,Paraméterek!$B$225:$F$240,5,0),0),0))*$AF377</f>
        <v>0</v>
      </c>
      <c r="AI377" s="13">
        <f>ROUNDDOWN(IF(SUM($T$20:$U377)=0,IF($D$2="Egyszeri",$AH377,$AG377),0),IF($D$4="Forint",0,2))</f>
        <v>0</v>
      </c>
      <c r="AJ377" s="13">
        <f t="shared" si="87"/>
        <v>0</v>
      </c>
      <c r="AK377" s="13">
        <f t="shared" si="88"/>
        <v>0</v>
      </c>
      <c r="AM377" s="32">
        <v>358</v>
      </c>
      <c r="AN377" s="32">
        <v>30</v>
      </c>
      <c r="AO377" s="32">
        <v>10</v>
      </c>
      <c r="AP377" s="13"/>
      <c r="AQ377" s="32"/>
      <c r="AR377" s="13">
        <f t="shared" si="89"/>
        <v>0</v>
      </c>
      <c r="AS377" s="33"/>
      <c r="AT377" s="13">
        <f t="shared" si="83"/>
        <v>0</v>
      </c>
      <c r="AU377" s="13">
        <f>ROUNDUP(($AR377+$AT377)*VLOOKUP($AN377,Paraméterek!$P$38:$Q$38,2)/12,IF($D$4="Forint",0,2))</f>
        <v>0</v>
      </c>
      <c r="AV377" s="13"/>
      <c r="AW377" s="13"/>
      <c r="AX377" s="13">
        <f>ROUNDUP(IF(SUM($AV377:$AW377)=0,0,IF(IF(ISBLANK($AW377),$AV377,$AW377)*Paraméterek!$J$112&lt;IF($D$4="Forint",Paraméterek!$J$113,Paraméterek!$K$113),IF($D$4="Forint",Paraméterek!$J$113,Paraméterek!$K$113),IF(IF(ISBLANK($AW377),$AV377,$AW377)*Paraméterek!$J$112&gt;IF($D$4="Forint",Paraméterek!$J$114,Paraméterek!$K$114),IF($D$4="Forint",Paraméterek!$J$114,Paraméterek!$K$114),IF(ISBLANK($AW377),$AV377,$AW377)*Paraméterek!$J$112))),IF($D$4="Forint",0,2))</f>
        <v>0</v>
      </c>
      <c r="AY377" s="13">
        <f>$AR377+$AT377-$AU377-IF(ROUNDDOWN(IF(ISBLANK($AW377),$AV377,$AW377),IF($D$4="Forint",0,2))&gt;$AR377+$AT377-$AU377-IF($D$4="Forint",Paraméterek!$J$114,Paraméterek!$K$114),0,ROUNDDOWN(IF(ISBLANK($AW377),$AV377,$AW377),IF($D$4="Forint",0,2))-$AX377)</f>
        <v>0</v>
      </c>
      <c r="AZ377" s="13">
        <f t="shared" si="84"/>
        <v>0</v>
      </c>
    </row>
    <row r="378" spans="1:52" x14ac:dyDescent="0.2">
      <c r="A378" s="32">
        <v>359</v>
      </c>
      <c r="B378" s="32">
        <v>30</v>
      </c>
      <c r="C378" s="32">
        <v>11</v>
      </c>
      <c r="D378" s="13">
        <f t="shared" si="75"/>
        <v>0</v>
      </c>
      <c r="E378" s="13"/>
      <c r="F378" s="13"/>
      <c r="G378" s="13"/>
      <c r="H378" s="13">
        <f t="shared" si="76"/>
        <v>0</v>
      </c>
      <c r="I378" s="13">
        <f t="shared" si="77"/>
        <v>0</v>
      </c>
      <c r="J378" s="13">
        <f t="shared" si="78"/>
        <v>0</v>
      </c>
      <c r="K378" s="13">
        <f>ROUNDUP(IF($D$2="Egyszeri",$D378,IF($D$2="Havi",SUM($D$20:$D$31),IF(MOD($C378,$M$1)-1=0,SUM($D$20:$D$31),0))/12*$M$1)*VLOOKUP($B378,Paraméterek!$B$27:$D$30,IF($D$2="Egyszeri",3,2)),IF($D$4="Forint",0,2))</f>
        <v>0</v>
      </c>
      <c r="L378" s="13">
        <f t="shared" si="79"/>
        <v>0</v>
      </c>
      <c r="M378" s="13">
        <f t="shared" ca="1" si="85"/>
        <v>-224129</v>
      </c>
      <c r="N378" s="13">
        <f ca="1">IF($V377&gt;=VLOOKUP($M$4-1+$B378,Paraméterek!$B$121:$D$122,IF($D$4="Forint",2,3)),0,VLOOKUP($M$4-1+$B378,Paraméterek!$B$121:$D$122,IF($D$4="Forint",2,3))-$V377)</f>
        <v>234129</v>
      </c>
      <c r="O378" s="13">
        <f ca="1">ROUNDUP($N378*Paraméterek!$C$58/Paraméterek!$C$56,IF($D$4="Forint",0,2))</f>
        <v>38</v>
      </c>
      <c r="P378" s="13">
        <f t="shared" si="80"/>
        <v>1297</v>
      </c>
      <c r="Q378" s="33"/>
      <c r="R378" s="13">
        <f t="shared" ca="1" si="81"/>
        <v>0</v>
      </c>
      <c r="S378" s="13">
        <f ca="1">ROUNDUP(($M378-$O378-$P378+$R378)*VLOOKUP($B378,Paraméterek!$B$38:$D$39,IF($D$2="Egyszeri",3,2))/12,IF($D$4="Forint",0,2))</f>
        <v>-551</v>
      </c>
      <c r="T378" s="13"/>
      <c r="U378" s="13"/>
      <c r="V378" s="13">
        <f ca="1">$M378-$O378-$P378+$R378-$S378-IF(ROUNDUP(IF(ISBLANK($U378),$T378,$U378)/IF(AND($B378=1,$D$2&lt;&gt;"Egyszeri"),1,VLOOKUP($B378+IF($C378=12,1,0),Paraméterek!$B$257:$D$267,IF($D$2="Egyszeri",3,2))),IF($D$4="Forint",0,2))&gt;$M378-$O378-$P378+$R378-$S378-IF($D$4="Forint",Paraméterek!$C$216,Paraméterek!$D$216),0,ROUNDUP(IF(ISBLANK($U378),$T378,$U378)/IF(AND($B378=1,$D$2&lt;&gt;"Egyszeri"),1,VLOOKUP($B378+IF($C378=12,1,0),Paraméterek!$B$257:$D$267,IF($D$2="Egyszeri",3,2))),IF($D$4="Forint",0,2)))</f>
        <v>-224913</v>
      </c>
      <c r="W378" s="13">
        <f ca="1">ROUNDDOWN($V378*VLOOKUP($B378+IF($C378=12,1,0),Paraméterek!$B$257:$D$267,IF($D$2="Egyszeri",3,2)),IF($D$4="Forint",0,2))</f>
        <v>-224913</v>
      </c>
      <c r="Y378" s="32">
        <v>359</v>
      </c>
      <c r="Z378" s="32">
        <v>30</v>
      </c>
      <c r="AA378" s="32">
        <v>11</v>
      </c>
      <c r="AB378" s="13">
        <f t="shared" si="86"/>
        <v>0</v>
      </c>
      <c r="AC378" s="33"/>
      <c r="AD378" s="13">
        <f t="shared" si="82"/>
        <v>0</v>
      </c>
      <c r="AE378" s="13">
        <f>ROUNDUP(($AB378+$AD378)*VLOOKUP($Z378,Paraméterek!$P$38:$Q$38,2)/12,IF($D$4="Forint",0,2))</f>
        <v>0</v>
      </c>
      <c r="AF378" s="13">
        <f>IF($D$2="Egyszeri",IF($D$7&gt;=IF($D$4="Forint",Paraméterek!$P$223,Paraméterek!$P$224),$D$7-IF($D$4="Forint",Paraméterek!$F$223,Paraméterek!$F$224),0),MIN(IF($AA378=12,AVERAGE($D$20:$D378)*12,0),SUM($D$20:$D$31)))</f>
        <v>0</v>
      </c>
      <c r="AG378" s="13">
        <f>IF(AND($Z378&gt;=10,MOD($Z378,5)=0),$AF378*IF($AA378=12,VLOOKUP($Z378,Paraméterek!$B$225:$F$240,IF($AF378&lt;IF($D$4="Forint",Paraméterek!$C$223,Paraméterek!$C$224),2,IF($AF378&lt;IF($D$4="Forint",Paraméterek!$D$223,Paraméterek!$D$224),3,4))),0),0)</f>
        <v>0</v>
      </c>
      <c r="AH378" s="13">
        <f>IF(AND($Z378&gt;=5,MOD($Z378,5)=0),IF($AA378=12,VLOOKUP($Z378,Paraméterek!$B$225:$F$240,5),0),IF(OR($Z378=3,$Z378=4),IF($AA378=12,VLOOKUP($Z378,Paraméterek!$B$225:$F$240,5,0),0),0))*$AF378</f>
        <v>0</v>
      </c>
      <c r="AI378" s="13">
        <f>ROUNDDOWN(IF(SUM($T$20:$U378)=0,IF($D$2="Egyszeri",$AH378,$AG378),0),IF($D$4="Forint",0,2))</f>
        <v>0</v>
      </c>
      <c r="AJ378" s="13">
        <f t="shared" si="87"/>
        <v>0</v>
      </c>
      <c r="AK378" s="13">
        <f t="shared" si="88"/>
        <v>0</v>
      </c>
      <c r="AM378" s="32">
        <v>359</v>
      </c>
      <c r="AN378" s="32">
        <v>30</v>
      </c>
      <c r="AO378" s="32">
        <v>11</v>
      </c>
      <c r="AP378" s="13"/>
      <c r="AQ378" s="32"/>
      <c r="AR378" s="13">
        <f t="shared" si="89"/>
        <v>0</v>
      </c>
      <c r="AS378" s="33"/>
      <c r="AT378" s="13">
        <f t="shared" si="83"/>
        <v>0</v>
      </c>
      <c r="AU378" s="13">
        <f>ROUNDUP(($AR378+$AT378)*VLOOKUP($AN378,Paraméterek!$P$38:$Q$38,2)/12,IF($D$4="Forint",0,2))</f>
        <v>0</v>
      </c>
      <c r="AV378" s="13"/>
      <c r="AW378" s="13"/>
      <c r="AX378" s="13">
        <f>ROUNDUP(IF(SUM($AV378:$AW378)=0,0,IF(IF(ISBLANK($AW378),$AV378,$AW378)*Paraméterek!$J$112&lt;IF($D$4="Forint",Paraméterek!$J$113,Paraméterek!$K$113),IF($D$4="Forint",Paraméterek!$J$113,Paraméterek!$K$113),IF(IF(ISBLANK($AW378),$AV378,$AW378)*Paraméterek!$J$112&gt;IF($D$4="Forint",Paraméterek!$J$114,Paraméterek!$K$114),IF($D$4="Forint",Paraméterek!$J$114,Paraméterek!$K$114),IF(ISBLANK($AW378),$AV378,$AW378)*Paraméterek!$J$112))),IF($D$4="Forint",0,2))</f>
        <v>0</v>
      </c>
      <c r="AY378" s="13">
        <f>$AR378+$AT378-$AU378-IF(ROUNDDOWN(IF(ISBLANK($AW378),$AV378,$AW378),IF($D$4="Forint",0,2))&gt;$AR378+$AT378-$AU378-IF($D$4="Forint",Paraméterek!$J$114,Paraméterek!$K$114),0,ROUNDDOWN(IF(ISBLANK($AW378),$AV378,$AW378),IF($D$4="Forint",0,2))-$AX378)</f>
        <v>0</v>
      </c>
      <c r="AZ378" s="13">
        <f t="shared" si="84"/>
        <v>0</v>
      </c>
    </row>
    <row r="379" spans="1:52" x14ac:dyDescent="0.2">
      <c r="A379" s="32">
        <v>360</v>
      </c>
      <c r="B379" s="32">
        <v>30</v>
      </c>
      <c r="C379" s="32">
        <v>12</v>
      </c>
      <c r="D379" s="13">
        <f t="shared" si="75"/>
        <v>0</v>
      </c>
      <c r="E379" s="13"/>
      <c r="F379" s="13"/>
      <c r="G379" s="13"/>
      <c r="H379" s="13">
        <f t="shared" si="76"/>
        <v>0</v>
      </c>
      <c r="I379" s="13">
        <f t="shared" si="77"/>
        <v>0</v>
      </c>
      <c r="J379" s="13">
        <f t="shared" si="78"/>
        <v>0</v>
      </c>
      <c r="K379" s="13">
        <f>ROUNDUP(IF($D$2="Egyszeri",$D379,IF($D$2="Havi",SUM($D$20:$D$31),IF(MOD($C379,$M$1)-1=0,SUM($D$20:$D$31),0))/12*$M$1)*VLOOKUP($B379,Paraméterek!$B$27:$D$30,IF($D$2="Egyszeri",3,2)),IF($D$4="Forint",0,2))</f>
        <v>0</v>
      </c>
      <c r="L379" s="13">
        <f t="shared" si="79"/>
        <v>0</v>
      </c>
      <c r="M379" s="13">
        <f t="shared" ca="1" si="85"/>
        <v>-224913</v>
      </c>
      <c r="N379" s="13">
        <f ca="1">IF($V378&gt;=VLOOKUP($M$4-1+$B379,Paraméterek!$B$121:$D$122,IF($D$4="Forint",2,3)),0,VLOOKUP($M$4-1+$B379,Paraméterek!$B$121:$D$122,IF($D$4="Forint",2,3))-$V378)</f>
        <v>234913</v>
      </c>
      <c r="O379" s="13">
        <f ca="1">ROUNDUP($N379*Paraméterek!$C$58/Paraméterek!$C$56,IF($D$4="Forint",0,2))</f>
        <v>38</v>
      </c>
      <c r="P379" s="13">
        <f t="shared" si="80"/>
        <v>1297</v>
      </c>
      <c r="Q379" s="33"/>
      <c r="R379" s="13">
        <f t="shared" ca="1" si="81"/>
        <v>0</v>
      </c>
      <c r="S379" s="13">
        <f ca="1">ROUNDUP(($M379-$O379-$P379+$R379)*VLOOKUP($B379,Paraméterek!$B$38:$D$39,IF($D$2="Egyszeri",3,2))/12,IF($D$4="Forint",0,2))</f>
        <v>-553</v>
      </c>
      <c r="T379" s="13">
        <f>Tranzakciók!$F$61</f>
        <v>0</v>
      </c>
      <c r="U379" s="13"/>
      <c r="V379" s="13">
        <f ca="1">$M379-$O379-$P379+$R379-$S379-IF(ROUNDUP(IF(ISBLANK($U379),$T379,$U379)/IF(AND($B379=1,$D$2&lt;&gt;"Egyszeri"),1,VLOOKUP($B379+IF($C379=12,1,0),Paraméterek!$B$257:$D$267,IF($D$2="Egyszeri",3,2))),IF($D$4="Forint",0,2))&gt;$M379-$O379-$P379+$R379-$S379-IF($D$4="Forint",Paraméterek!$C$216,Paraméterek!$D$216),0,ROUNDUP(IF(ISBLANK($U379),$T379,$U379)/IF(AND($B379=1,$D$2&lt;&gt;"Egyszeri"),1,VLOOKUP($B379+IF($C379=12,1,0),Paraméterek!$B$257:$D$267,IF($D$2="Egyszeri",3,2))),IF($D$4="Forint",0,2)))</f>
        <v>-225695</v>
      </c>
      <c r="W379" s="13">
        <f ca="1">ROUNDDOWN($V379*VLOOKUP($B379+IF($C379=12,1,0),Paraméterek!$B$257:$D$267,IF($D$2="Egyszeri",3,2)),IF($D$4="Forint",0,2))</f>
        <v>-225695</v>
      </c>
      <c r="Y379" s="32">
        <v>360</v>
      </c>
      <c r="Z379" s="32">
        <v>30</v>
      </c>
      <c r="AA379" s="32">
        <v>12</v>
      </c>
      <c r="AB379" s="13">
        <f t="shared" si="86"/>
        <v>0</v>
      </c>
      <c r="AC379" s="33"/>
      <c r="AD379" s="13">
        <f t="shared" si="82"/>
        <v>0</v>
      </c>
      <c r="AE379" s="13">
        <f>ROUNDUP(($AB379+$AD379)*VLOOKUP($Z379,Paraméterek!$P$38:$Q$38,2)/12,IF($D$4="Forint",0,2))</f>
        <v>0</v>
      </c>
      <c r="AF379" s="13">
        <f>IF($D$2="Egyszeri",IF($D$7&gt;=IF($D$4="Forint",Paraméterek!$P$223,Paraméterek!$P$224),$D$7-IF($D$4="Forint",Paraméterek!$F$223,Paraméterek!$F$224),0),MIN(IF($AA379=12,AVERAGE($D$20:$D379)*12,0),SUM($D$20:$D$31)))</f>
        <v>0</v>
      </c>
      <c r="AG379" s="13">
        <f>IF(AND($Z379&gt;=10,MOD($Z379,5)=0),$AF379*IF($AA379=12,VLOOKUP($Z379,Paraméterek!$B$225:$F$240,IF($AF379&lt;IF($D$4="Forint",Paraméterek!$C$223,Paraméterek!$C$224),2,IF($AF379&lt;IF($D$4="Forint",Paraméterek!$D$223,Paraméterek!$D$224),3,4))),0),0)</f>
        <v>0</v>
      </c>
      <c r="AH379" s="13">
        <f>IF(AND($Z379&gt;=5,MOD($Z379,5)=0),IF($AA379=12,VLOOKUP($Z379,Paraméterek!$B$225:$F$240,5),0),IF(OR($Z379=3,$Z379=4),IF($AA379=12,VLOOKUP($Z379,Paraméterek!$B$225:$F$240,5,0),0),0))*$AF379</f>
        <v>0</v>
      </c>
      <c r="AI379" s="13">
        <f>ROUNDDOWN(IF(SUM($T$20:$U379)=0,IF($D$2="Egyszeri",$AH379,$AG379),0),IF($D$4="Forint",0,2))</f>
        <v>0</v>
      </c>
      <c r="AJ379" s="13">
        <f t="shared" si="87"/>
        <v>0</v>
      </c>
      <c r="AK379" s="13">
        <f t="shared" si="88"/>
        <v>0</v>
      </c>
      <c r="AM379" s="32">
        <v>360</v>
      </c>
      <c r="AN379" s="32">
        <v>30</v>
      </c>
      <c r="AO379" s="32">
        <v>12</v>
      </c>
      <c r="AP379" s="13"/>
      <c r="AQ379" s="32"/>
      <c r="AR379" s="13">
        <f t="shared" si="89"/>
        <v>0</v>
      </c>
      <c r="AS379" s="33"/>
      <c r="AT379" s="13">
        <f t="shared" si="83"/>
        <v>0</v>
      </c>
      <c r="AU379" s="13">
        <f>ROUNDUP(($AR379+$AT379)*VLOOKUP($AN379,Paraméterek!$P$38:$Q$38,2)/12,IF($D$4="Forint",0,2))</f>
        <v>0</v>
      </c>
      <c r="AV379" s="13">
        <f>Tranzakciók!$M$61</f>
        <v>0</v>
      </c>
      <c r="AW379" s="13"/>
      <c r="AX379" s="13">
        <f>ROUNDUP(IF(SUM($AV379:$AW379)=0,0,IF(IF(ISBLANK($AW379),$AV379,$AW379)*Paraméterek!$J$112&lt;IF($D$4="Forint",Paraméterek!$J$113,Paraméterek!$K$113),IF($D$4="Forint",Paraméterek!$J$113,Paraméterek!$K$113),IF(IF(ISBLANK($AW379),$AV379,$AW379)*Paraméterek!$J$112&gt;IF($D$4="Forint",Paraméterek!$J$114,Paraméterek!$K$114),IF($D$4="Forint",Paraméterek!$J$114,Paraméterek!$K$114),IF(ISBLANK($AW379),$AV379,$AW379)*Paraméterek!$J$112))),IF($D$4="Forint",0,2))</f>
        <v>0</v>
      </c>
      <c r="AY379" s="13">
        <f>$AR379+$AT379-$AU379-IF(ROUNDDOWN(IF(ISBLANK($AW379),$AV379,$AW379),IF($D$4="Forint",0,2))&gt;$AR379+$AT379-$AU379-IF($D$4="Forint",Paraméterek!$J$114,Paraméterek!$K$114),0,ROUNDDOWN(IF(ISBLANK($AW379),$AV379,$AW379),IF($D$4="Forint",0,2))-$AX379)</f>
        <v>0</v>
      </c>
      <c r="AZ379" s="13">
        <f t="shared" si="84"/>
        <v>0</v>
      </c>
    </row>
    <row r="380" spans="1:52" x14ac:dyDescent="0.2">
      <c r="A380" s="32">
        <v>361</v>
      </c>
      <c r="B380" s="32">
        <v>31</v>
      </c>
      <c r="C380" s="32">
        <v>1</v>
      </c>
      <c r="D380" s="13">
        <f t="shared" si="75"/>
        <v>0</v>
      </c>
      <c r="E380" s="13"/>
      <c r="F380" s="13">
        <f>Tranzakciók!$D$62</f>
        <v>0</v>
      </c>
      <c r="G380" s="13"/>
      <c r="H380" s="13">
        <f t="shared" si="76"/>
        <v>0</v>
      </c>
      <c r="I380" s="13">
        <f t="shared" si="77"/>
        <v>243</v>
      </c>
      <c r="J380" s="13">
        <f t="shared" si="78"/>
        <v>243</v>
      </c>
      <c r="K380" s="13">
        <f>ROUNDUP(IF($D$2="Egyszeri",$D380,IF($D$2="Havi",SUM($D$20:$D$31),IF(MOD($C380,$M$1)-1=0,SUM($D$20:$D$31),0))/12*$M$1)*VLOOKUP($B380,Paraméterek!$B$27:$D$30,IF($D$2="Egyszeri",3,2)),IF($D$4="Forint",0,2))</f>
        <v>0</v>
      </c>
      <c r="L380" s="13">
        <f t="shared" si="79"/>
        <v>0</v>
      </c>
      <c r="M380" s="13">
        <f t="shared" ca="1" si="85"/>
        <v>-225695</v>
      </c>
      <c r="N380" s="13">
        <f ca="1">IF($V379&gt;=VLOOKUP($M$4-1+$B380,Paraméterek!$B$121:$D$122,IF($D$4="Forint",2,3)),0,VLOOKUP($M$4-1+$B380,Paraméterek!$B$121:$D$122,IF($D$4="Forint",2,3))-$V379)</f>
        <v>235695</v>
      </c>
      <c r="O380" s="13">
        <f ca="1">ROUNDUP($N380*Paraméterek!$C$58/Paraméterek!$C$56,IF($D$4="Forint",0,2))</f>
        <v>38</v>
      </c>
      <c r="P380" s="13">
        <f t="shared" si="80"/>
        <v>1335</v>
      </c>
      <c r="Q380" s="33"/>
      <c r="R380" s="13">
        <f t="shared" ca="1" si="81"/>
        <v>0</v>
      </c>
      <c r="S380" s="13">
        <f ca="1">ROUNDUP(($M380-$O380-$P380+$R380)*VLOOKUP($B380,Paraméterek!$B$38:$D$39,IF($D$2="Egyszeri",3,2))/12,IF($D$4="Forint",0,2))</f>
        <v>-555</v>
      </c>
      <c r="T380" s="13"/>
      <c r="U380" s="13"/>
      <c r="V380" s="13">
        <f ca="1">$M380-$O380-$P380+$R380-$S380-IF(ROUNDUP(IF(ISBLANK($U380),$T380,$U380)/IF(AND($B380=1,$D$2&lt;&gt;"Egyszeri"),1,VLOOKUP($B380+IF($C380=12,1,0),Paraméterek!$B$257:$D$267,IF($D$2="Egyszeri",3,2))),IF($D$4="Forint",0,2))&gt;$M380-$O380-$P380+$R380-$S380-IF($D$4="Forint",Paraméterek!$C$216,Paraméterek!$D$216),0,ROUNDUP(IF(ISBLANK($U380),$T380,$U380)/IF(AND($B380=1,$D$2&lt;&gt;"Egyszeri"),1,VLOOKUP($B380+IF($C380=12,1,0),Paraméterek!$B$257:$D$267,IF($D$2="Egyszeri",3,2))),IF($D$4="Forint",0,2)))</f>
        <v>-226513</v>
      </c>
      <c r="W380" s="13">
        <f ca="1">ROUNDDOWN($V380*VLOOKUP($B380+IF($C380=12,1,0),Paraméterek!$B$257:$D$267,IF($D$2="Egyszeri",3,2)),IF($D$4="Forint",0,2))</f>
        <v>-226513</v>
      </c>
      <c r="Y380" s="32">
        <v>361</v>
      </c>
      <c r="Z380" s="32">
        <v>31</v>
      </c>
      <c r="AA380" s="32">
        <v>1</v>
      </c>
      <c r="AB380" s="13">
        <f t="shared" si="86"/>
        <v>0</v>
      </c>
      <c r="AC380" s="33"/>
      <c r="AD380" s="13">
        <f t="shared" si="82"/>
        <v>0</v>
      </c>
      <c r="AE380" s="13">
        <f>ROUNDUP(($AB380+$AD380)*VLOOKUP($Z380,Paraméterek!$P$38:$Q$38,2)/12,IF($D$4="Forint",0,2))</f>
        <v>0</v>
      </c>
      <c r="AF380" s="13">
        <f>IF($D$2="Egyszeri",IF($D$7&gt;=IF($D$4="Forint",Paraméterek!$P$223,Paraméterek!$P$224),$D$7-IF($D$4="Forint",Paraméterek!$F$223,Paraméterek!$F$224),0),MIN(IF($AA380=12,AVERAGE($D$20:$D380)*12,0),SUM($D$20:$D$31)))</f>
        <v>0</v>
      </c>
      <c r="AG380" s="13">
        <f>IF(AND($Z380&gt;=10,MOD($Z380,5)=0),$AF380*IF($AA380=12,VLOOKUP($Z380,Paraméterek!$B$225:$F$240,IF($AF380&lt;IF($D$4="Forint",Paraméterek!$C$223,Paraméterek!$C$224),2,IF($AF380&lt;IF($D$4="Forint",Paraméterek!$D$223,Paraméterek!$D$224),3,4))),0),0)</f>
        <v>0</v>
      </c>
      <c r="AH380" s="13">
        <f>IF(AND($Z380&gt;=5,MOD($Z380,5)=0),IF($AA380=12,VLOOKUP($Z380,Paraméterek!$B$225:$F$240,5),0),IF(OR($Z380=3,$Z380=4),IF($AA380=12,VLOOKUP($Z380,Paraméterek!$B$225:$F$240,5,0),0),0))*$AF380</f>
        <v>0</v>
      </c>
      <c r="AI380" s="13">
        <f>ROUNDDOWN(IF(SUM($T$20:$U380)=0,IF($D$2="Egyszeri",$AH380,$AG380),0),IF($D$4="Forint",0,2))</f>
        <v>0</v>
      </c>
      <c r="AJ380" s="13">
        <f t="shared" si="87"/>
        <v>0</v>
      </c>
      <c r="AK380" s="13">
        <f t="shared" si="88"/>
        <v>0</v>
      </c>
      <c r="AM380" s="32">
        <v>361</v>
      </c>
      <c r="AN380" s="32">
        <v>31</v>
      </c>
      <c r="AO380" s="32">
        <v>1</v>
      </c>
      <c r="AP380" s="13">
        <f>Tranzakciók!$K$62</f>
        <v>0</v>
      </c>
      <c r="AQ380" s="32"/>
      <c r="AR380" s="13">
        <f t="shared" si="89"/>
        <v>0</v>
      </c>
      <c r="AS380" s="33"/>
      <c r="AT380" s="13">
        <f t="shared" si="83"/>
        <v>0</v>
      </c>
      <c r="AU380" s="13">
        <f>ROUNDUP(($AR380+$AT380)*VLOOKUP($AN380,Paraméterek!$P$38:$Q$38,2)/12,IF($D$4="Forint",0,2))</f>
        <v>0</v>
      </c>
      <c r="AV380" s="13"/>
      <c r="AW380" s="13"/>
      <c r="AX380" s="13">
        <f>ROUNDUP(IF(SUM($AV380:$AW380)=0,0,IF(IF(ISBLANK($AW380),$AV380,$AW380)*Paraméterek!$J$112&lt;IF($D$4="Forint",Paraméterek!$J$113,Paraméterek!$K$113),IF($D$4="Forint",Paraméterek!$J$113,Paraméterek!$K$113),IF(IF(ISBLANK($AW380),$AV380,$AW380)*Paraméterek!$J$112&gt;IF($D$4="Forint",Paraméterek!$J$114,Paraméterek!$K$114),IF($D$4="Forint",Paraméterek!$J$114,Paraméterek!$K$114),IF(ISBLANK($AW380),$AV380,$AW380)*Paraméterek!$J$112))),IF($D$4="Forint",0,2))</f>
        <v>0</v>
      </c>
      <c r="AY380" s="13">
        <f>$AR380+$AT380-$AU380-IF(ROUNDDOWN(IF(ISBLANK($AW380),$AV380,$AW380),IF($D$4="Forint",0,2))&gt;$AR380+$AT380-$AU380-IF($D$4="Forint",Paraméterek!$J$114,Paraméterek!$K$114),0,ROUNDDOWN(IF(ISBLANK($AW380),$AV380,$AW380),IF($D$4="Forint",0,2))-$AX380)</f>
        <v>0</v>
      </c>
      <c r="AZ380" s="13">
        <f t="shared" si="84"/>
        <v>0</v>
      </c>
    </row>
    <row r="381" spans="1:52" x14ac:dyDescent="0.2">
      <c r="A381" s="32">
        <v>362</v>
      </c>
      <c r="B381" s="32">
        <v>31</v>
      </c>
      <c r="C381" s="32">
        <v>2</v>
      </c>
      <c r="D381" s="13">
        <f t="shared" si="75"/>
        <v>0</v>
      </c>
      <c r="E381" s="13"/>
      <c r="F381" s="13"/>
      <c r="G381" s="13"/>
      <c r="H381" s="13">
        <f t="shared" si="76"/>
        <v>0</v>
      </c>
      <c r="I381" s="13">
        <f t="shared" si="77"/>
        <v>0</v>
      </c>
      <c r="J381" s="13">
        <f t="shared" si="78"/>
        <v>0</v>
      </c>
      <c r="K381" s="13">
        <f>ROUNDUP(IF($D$2="Egyszeri",$D381,IF($D$2="Havi",SUM($D$20:$D$31),IF(MOD($C381,$M$1)-1=0,SUM($D$20:$D$31),0))/12*$M$1)*VLOOKUP($B381,Paraméterek!$B$27:$D$30,IF($D$2="Egyszeri",3,2)),IF($D$4="Forint",0,2))</f>
        <v>0</v>
      </c>
      <c r="L381" s="13">
        <f t="shared" si="79"/>
        <v>0</v>
      </c>
      <c r="M381" s="13">
        <f t="shared" ca="1" si="85"/>
        <v>-226513</v>
      </c>
      <c r="N381" s="13">
        <f ca="1">IF($V380&gt;=VLOOKUP($M$4-1+$B381,Paraméterek!$B$121:$D$122,IF($D$4="Forint",2,3)),0,VLOOKUP($M$4-1+$B381,Paraméterek!$B$121:$D$122,IF($D$4="Forint",2,3))-$V380)</f>
        <v>236513</v>
      </c>
      <c r="O381" s="13">
        <f ca="1">ROUNDUP($N381*Paraméterek!$C$58/Paraméterek!$C$56,IF($D$4="Forint",0,2))</f>
        <v>38</v>
      </c>
      <c r="P381" s="13">
        <f t="shared" si="80"/>
        <v>1335</v>
      </c>
      <c r="Q381" s="33"/>
      <c r="R381" s="13">
        <f t="shared" ca="1" si="81"/>
        <v>0</v>
      </c>
      <c r="S381" s="13">
        <f ca="1">ROUNDUP(($M381-$O381-$P381+$R381)*VLOOKUP($B381,Paraméterek!$B$38:$D$39,IF($D$2="Egyszeri",3,2))/12,IF($D$4="Forint",0,2))</f>
        <v>-557</v>
      </c>
      <c r="T381" s="13"/>
      <c r="U381" s="13"/>
      <c r="V381" s="13">
        <f ca="1">$M381-$O381-$P381+$R381-$S381-IF(ROUNDUP(IF(ISBLANK($U381),$T381,$U381)/IF(AND($B381=1,$D$2&lt;&gt;"Egyszeri"),1,VLOOKUP($B381+IF($C381=12,1,0),Paraméterek!$B$257:$D$267,IF($D$2="Egyszeri",3,2))),IF($D$4="Forint",0,2))&gt;$M381-$O381-$P381+$R381-$S381-IF($D$4="Forint",Paraméterek!$C$216,Paraméterek!$D$216),0,ROUNDUP(IF(ISBLANK($U381),$T381,$U381)/IF(AND($B381=1,$D$2&lt;&gt;"Egyszeri"),1,VLOOKUP($B381+IF($C381=12,1,0),Paraméterek!$B$257:$D$267,IF($D$2="Egyszeri",3,2))),IF($D$4="Forint",0,2)))</f>
        <v>-227329</v>
      </c>
      <c r="W381" s="13">
        <f ca="1">ROUNDDOWN($V381*VLOOKUP($B381+IF($C381=12,1,0),Paraméterek!$B$257:$D$267,IF($D$2="Egyszeri",3,2)),IF($D$4="Forint",0,2))</f>
        <v>-227329</v>
      </c>
      <c r="Y381" s="32">
        <v>362</v>
      </c>
      <c r="Z381" s="32">
        <v>31</v>
      </c>
      <c r="AA381" s="32">
        <v>2</v>
      </c>
      <c r="AB381" s="13">
        <f t="shared" si="86"/>
        <v>0</v>
      </c>
      <c r="AC381" s="33"/>
      <c r="AD381" s="13">
        <f t="shared" si="82"/>
        <v>0</v>
      </c>
      <c r="AE381" s="13">
        <f>ROUNDUP(($AB381+$AD381)*VLOOKUP($Z381,Paraméterek!$P$38:$Q$38,2)/12,IF($D$4="Forint",0,2))</f>
        <v>0</v>
      </c>
      <c r="AF381" s="13">
        <f>IF($D$2="Egyszeri",IF($D$7&gt;=IF($D$4="Forint",Paraméterek!$P$223,Paraméterek!$P$224),$D$7-IF($D$4="Forint",Paraméterek!$F$223,Paraméterek!$F$224),0),MIN(IF($AA381=12,AVERAGE($D$20:$D381)*12,0),SUM($D$20:$D$31)))</f>
        <v>0</v>
      </c>
      <c r="AG381" s="13">
        <f>IF(AND($Z381&gt;=10,MOD($Z381,5)=0),$AF381*IF($AA381=12,VLOOKUP($Z381,Paraméterek!$B$225:$F$240,IF($AF381&lt;IF($D$4="Forint",Paraméterek!$C$223,Paraméterek!$C$224),2,IF($AF381&lt;IF($D$4="Forint",Paraméterek!$D$223,Paraméterek!$D$224),3,4))),0),0)</f>
        <v>0</v>
      </c>
      <c r="AH381" s="13">
        <f>IF(AND($Z381&gt;=5,MOD($Z381,5)=0),IF($AA381=12,VLOOKUP($Z381,Paraméterek!$B$225:$F$240,5),0),IF(OR($Z381=3,$Z381=4),IF($AA381=12,VLOOKUP($Z381,Paraméterek!$B$225:$F$240,5,0),0),0))*$AF381</f>
        <v>0</v>
      </c>
      <c r="AI381" s="13">
        <f>ROUNDDOWN(IF(SUM($T$20:$U381)=0,IF($D$2="Egyszeri",$AH381,$AG381),0),IF($D$4="Forint",0,2))</f>
        <v>0</v>
      </c>
      <c r="AJ381" s="13">
        <f t="shared" si="87"/>
        <v>0</v>
      </c>
      <c r="AK381" s="13">
        <f t="shared" si="88"/>
        <v>0</v>
      </c>
      <c r="AM381" s="32">
        <v>362</v>
      </c>
      <c r="AN381" s="32">
        <v>31</v>
      </c>
      <c r="AO381" s="32">
        <v>2</v>
      </c>
      <c r="AP381" s="13"/>
      <c r="AQ381" s="32"/>
      <c r="AR381" s="13">
        <f t="shared" si="89"/>
        <v>0</v>
      </c>
      <c r="AS381" s="33"/>
      <c r="AT381" s="13">
        <f t="shared" si="83"/>
        <v>0</v>
      </c>
      <c r="AU381" s="13">
        <f>ROUNDUP(($AR381+$AT381)*VLOOKUP($AN381,Paraméterek!$P$38:$Q$38,2)/12,IF($D$4="Forint",0,2))</f>
        <v>0</v>
      </c>
      <c r="AV381" s="13"/>
      <c r="AW381" s="13"/>
      <c r="AX381" s="13">
        <f>ROUNDUP(IF(SUM($AV381:$AW381)=0,0,IF(IF(ISBLANK($AW381),$AV381,$AW381)*Paraméterek!$J$112&lt;IF($D$4="Forint",Paraméterek!$J$113,Paraméterek!$K$113),IF($D$4="Forint",Paraméterek!$J$113,Paraméterek!$K$113),IF(IF(ISBLANK($AW381),$AV381,$AW381)*Paraméterek!$J$112&gt;IF($D$4="Forint",Paraméterek!$J$114,Paraméterek!$K$114),IF($D$4="Forint",Paraméterek!$J$114,Paraméterek!$K$114),IF(ISBLANK($AW381),$AV381,$AW381)*Paraméterek!$J$112))),IF($D$4="Forint",0,2))</f>
        <v>0</v>
      </c>
      <c r="AY381" s="13">
        <f>$AR381+$AT381-$AU381-IF(ROUNDDOWN(IF(ISBLANK($AW381),$AV381,$AW381),IF($D$4="Forint",0,2))&gt;$AR381+$AT381-$AU381-IF($D$4="Forint",Paraméterek!$J$114,Paraméterek!$K$114),0,ROUNDDOWN(IF(ISBLANK($AW381),$AV381,$AW381),IF($D$4="Forint",0,2))-$AX381)</f>
        <v>0</v>
      </c>
      <c r="AZ381" s="13">
        <f t="shared" si="84"/>
        <v>0</v>
      </c>
    </row>
    <row r="382" spans="1:52" x14ac:dyDescent="0.2">
      <c r="A382" s="32">
        <v>363</v>
      </c>
      <c r="B382" s="32">
        <v>31</v>
      </c>
      <c r="C382" s="32">
        <v>3</v>
      </c>
      <c r="D382" s="13">
        <f t="shared" si="75"/>
        <v>0</v>
      </c>
      <c r="E382" s="13"/>
      <c r="F382" s="13"/>
      <c r="G382" s="13"/>
      <c r="H382" s="13">
        <f t="shared" si="76"/>
        <v>0</v>
      </c>
      <c r="I382" s="13">
        <f t="shared" si="77"/>
        <v>0</v>
      </c>
      <c r="J382" s="13">
        <f t="shared" si="78"/>
        <v>0</v>
      </c>
      <c r="K382" s="13">
        <f>ROUNDUP(IF($D$2="Egyszeri",$D382,IF($D$2="Havi",SUM($D$20:$D$31),IF(MOD($C382,$M$1)-1=0,SUM($D$20:$D$31),0))/12*$M$1)*VLOOKUP($B382,Paraméterek!$B$27:$D$30,IF($D$2="Egyszeri",3,2)),IF($D$4="Forint",0,2))</f>
        <v>0</v>
      </c>
      <c r="L382" s="13">
        <f t="shared" si="79"/>
        <v>0</v>
      </c>
      <c r="M382" s="13">
        <f t="shared" ca="1" si="85"/>
        <v>-227329</v>
      </c>
      <c r="N382" s="13">
        <f ca="1">IF($V381&gt;=VLOOKUP($M$4-1+$B382,Paraméterek!$B$121:$D$122,IF($D$4="Forint",2,3)),0,VLOOKUP($M$4-1+$B382,Paraméterek!$B$121:$D$122,IF($D$4="Forint",2,3))-$V381)</f>
        <v>237329</v>
      </c>
      <c r="O382" s="13">
        <f ca="1">ROUNDUP($N382*Paraméterek!$C$58/Paraméterek!$C$56,IF($D$4="Forint",0,2))</f>
        <v>38</v>
      </c>
      <c r="P382" s="13">
        <f t="shared" si="80"/>
        <v>1335</v>
      </c>
      <c r="Q382" s="33"/>
      <c r="R382" s="13">
        <f t="shared" ca="1" si="81"/>
        <v>0</v>
      </c>
      <c r="S382" s="13">
        <f ca="1">ROUNDUP(($M382-$O382-$P382+$R382)*VLOOKUP($B382,Paraméterek!$B$38:$D$39,IF($D$2="Egyszeri",3,2))/12,IF($D$4="Forint",0,2))</f>
        <v>-559</v>
      </c>
      <c r="T382" s="13"/>
      <c r="U382" s="13"/>
      <c r="V382" s="13">
        <f ca="1">$M382-$O382-$P382+$R382-$S382-IF(ROUNDUP(IF(ISBLANK($U382),$T382,$U382)/IF(AND($B382=1,$D$2&lt;&gt;"Egyszeri"),1,VLOOKUP($B382+IF($C382=12,1,0),Paraméterek!$B$257:$D$267,IF($D$2="Egyszeri",3,2))),IF($D$4="Forint",0,2))&gt;$M382-$O382-$P382+$R382-$S382-IF($D$4="Forint",Paraméterek!$C$216,Paraméterek!$D$216),0,ROUNDUP(IF(ISBLANK($U382),$T382,$U382)/IF(AND($B382=1,$D$2&lt;&gt;"Egyszeri"),1,VLOOKUP($B382+IF($C382=12,1,0),Paraméterek!$B$257:$D$267,IF($D$2="Egyszeri",3,2))),IF($D$4="Forint",0,2)))</f>
        <v>-228143</v>
      </c>
      <c r="W382" s="13">
        <f ca="1">ROUNDDOWN($V382*VLOOKUP($B382+IF($C382=12,1,0),Paraméterek!$B$257:$D$267,IF($D$2="Egyszeri",3,2)),IF($D$4="Forint",0,2))</f>
        <v>-228143</v>
      </c>
      <c r="Y382" s="32">
        <v>363</v>
      </c>
      <c r="Z382" s="32">
        <v>31</v>
      </c>
      <c r="AA382" s="32">
        <v>3</v>
      </c>
      <c r="AB382" s="13">
        <f t="shared" si="86"/>
        <v>0</v>
      </c>
      <c r="AC382" s="33"/>
      <c r="AD382" s="13">
        <f t="shared" si="82"/>
        <v>0</v>
      </c>
      <c r="AE382" s="13">
        <f>ROUNDUP(($AB382+$AD382)*VLOOKUP($Z382,Paraméterek!$P$38:$Q$38,2)/12,IF($D$4="Forint",0,2))</f>
        <v>0</v>
      </c>
      <c r="AF382" s="13">
        <f>IF($D$2="Egyszeri",IF($D$7&gt;=IF($D$4="Forint",Paraméterek!$P$223,Paraméterek!$P$224),$D$7-IF($D$4="Forint",Paraméterek!$F$223,Paraméterek!$F$224),0),MIN(IF($AA382=12,AVERAGE($D$20:$D382)*12,0),SUM($D$20:$D$31)))</f>
        <v>0</v>
      </c>
      <c r="AG382" s="13">
        <f>IF(AND($Z382&gt;=10,MOD($Z382,5)=0),$AF382*IF($AA382=12,VLOOKUP($Z382,Paraméterek!$B$225:$F$240,IF($AF382&lt;IF($D$4="Forint",Paraméterek!$C$223,Paraméterek!$C$224),2,IF($AF382&lt;IF($D$4="Forint",Paraméterek!$D$223,Paraméterek!$D$224),3,4))),0),0)</f>
        <v>0</v>
      </c>
      <c r="AH382" s="13">
        <f>IF(AND($Z382&gt;=5,MOD($Z382,5)=0),IF($AA382=12,VLOOKUP($Z382,Paraméterek!$B$225:$F$240,5),0),IF(OR($Z382=3,$Z382=4),IF($AA382=12,VLOOKUP($Z382,Paraméterek!$B$225:$F$240,5,0),0),0))*$AF382</f>
        <v>0</v>
      </c>
      <c r="AI382" s="13">
        <f>ROUNDDOWN(IF(SUM($T$20:$U382)=0,IF($D$2="Egyszeri",$AH382,$AG382),0),IF($D$4="Forint",0,2))</f>
        <v>0</v>
      </c>
      <c r="AJ382" s="13">
        <f t="shared" si="87"/>
        <v>0</v>
      </c>
      <c r="AK382" s="13">
        <f t="shared" si="88"/>
        <v>0</v>
      </c>
      <c r="AM382" s="32">
        <v>363</v>
      </c>
      <c r="AN382" s="32">
        <v>31</v>
      </c>
      <c r="AO382" s="32">
        <v>3</v>
      </c>
      <c r="AP382" s="13"/>
      <c r="AQ382" s="32"/>
      <c r="AR382" s="13">
        <f t="shared" si="89"/>
        <v>0</v>
      </c>
      <c r="AS382" s="33"/>
      <c r="AT382" s="13">
        <f t="shared" si="83"/>
        <v>0</v>
      </c>
      <c r="AU382" s="13">
        <f>ROUNDUP(($AR382+$AT382)*VLOOKUP($AN382,Paraméterek!$P$38:$Q$38,2)/12,IF($D$4="Forint",0,2))</f>
        <v>0</v>
      </c>
      <c r="AV382" s="13"/>
      <c r="AW382" s="13"/>
      <c r="AX382" s="13">
        <f>ROUNDUP(IF(SUM($AV382:$AW382)=0,0,IF(IF(ISBLANK($AW382),$AV382,$AW382)*Paraméterek!$J$112&lt;IF($D$4="Forint",Paraméterek!$J$113,Paraméterek!$K$113),IF($D$4="Forint",Paraméterek!$J$113,Paraméterek!$K$113),IF(IF(ISBLANK($AW382),$AV382,$AW382)*Paraméterek!$J$112&gt;IF($D$4="Forint",Paraméterek!$J$114,Paraméterek!$K$114),IF($D$4="Forint",Paraméterek!$J$114,Paraméterek!$K$114),IF(ISBLANK($AW382),$AV382,$AW382)*Paraméterek!$J$112))),IF($D$4="Forint",0,2))</f>
        <v>0</v>
      </c>
      <c r="AY382" s="13">
        <f>$AR382+$AT382-$AU382-IF(ROUNDDOWN(IF(ISBLANK($AW382),$AV382,$AW382),IF($D$4="Forint",0,2))&gt;$AR382+$AT382-$AU382-IF($D$4="Forint",Paraméterek!$J$114,Paraméterek!$K$114),0,ROUNDDOWN(IF(ISBLANK($AW382),$AV382,$AW382),IF($D$4="Forint",0,2))-$AX382)</f>
        <v>0</v>
      </c>
      <c r="AZ382" s="13">
        <f t="shared" si="84"/>
        <v>0</v>
      </c>
    </row>
    <row r="383" spans="1:52" x14ac:dyDescent="0.2">
      <c r="A383" s="32">
        <v>364</v>
      </c>
      <c r="B383" s="32">
        <v>31</v>
      </c>
      <c r="C383" s="32">
        <v>4</v>
      </c>
      <c r="D383" s="13">
        <f t="shared" si="75"/>
        <v>0</v>
      </c>
      <c r="E383" s="13"/>
      <c r="F383" s="13"/>
      <c r="G383" s="13"/>
      <c r="H383" s="13">
        <f t="shared" si="76"/>
        <v>0</v>
      </c>
      <c r="I383" s="13">
        <f t="shared" si="77"/>
        <v>0</v>
      </c>
      <c r="J383" s="13">
        <f t="shared" si="78"/>
        <v>0</v>
      </c>
      <c r="K383" s="13">
        <f>ROUNDUP(IF($D$2="Egyszeri",$D383,IF($D$2="Havi",SUM($D$20:$D$31),IF(MOD($C383,$M$1)-1=0,SUM($D$20:$D$31),0))/12*$M$1)*VLOOKUP($B383,Paraméterek!$B$27:$D$30,IF($D$2="Egyszeri",3,2)),IF($D$4="Forint",0,2))</f>
        <v>0</v>
      </c>
      <c r="L383" s="13">
        <f t="shared" si="79"/>
        <v>0</v>
      </c>
      <c r="M383" s="13">
        <f t="shared" ca="1" si="85"/>
        <v>-228143</v>
      </c>
      <c r="N383" s="13">
        <f ca="1">IF($V382&gt;=VLOOKUP($M$4-1+$B383,Paraméterek!$B$121:$D$122,IF($D$4="Forint",2,3)),0,VLOOKUP($M$4-1+$B383,Paraméterek!$B$121:$D$122,IF($D$4="Forint",2,3))-$V382)</f>
        <v>238143</v>
      </c>
      <c r="O383" s="13">
        <f ca="1">ROUNDUP($N383*Paraméterek!$C$58/Paraméterek!$C$56,IF($D$4="Forint",0,2))</f>
        <v>38</v>
      </c>
      <c r="P383" s="13">
        <f t="shared" si="80"/>
        <v>1335</v>
      </c>
      <c r="Q383" s="33"/>
      <c r="R383" s="13">
        <f t="shared" ca="1" si="81"/>
        <v>0</v>
      </c>
      <c r="S383" s="13">
        <f ca="1">ROUNDUP(($M383-$O383-$P383+$R383)*VLOOKUP($B383,Paraméterek!$B$38:$D$39,IF($D$2="Egyszeri",3,2))/12,IF($D$4="Forint",0,2))</f>
        <v>-561</v>
      </c>
      <c r="T383" s="13"/>
      <c r="U383" s="13"/>
      <c r="V383" s="13">
        <f ca="1">$M383-$O383-$P383+$R383-$S383-IF(ROUNDUP(IF(ISBLANK($U383),$T383,$U383)/IF(AND($B383=1,$D$2&lt;&gt;"Egyszeri"),1,VLOOKUP($B383+IF($C383=12,1,0),Paraméterek!$B$257:$D$267,IF($D$2="Egyszeri",3,2))),IF($D$4="Forint",0,2))&gt;$M383-$O383-$P383+$R383-$S383-IF($D$4="Forint",Paraméterek!$C$216,Paraméterek!$D$216),0,ROUNDUP(IF(ISBLANK($U383),$T383,$U383)/IF(AND($B383=1,$D$2&lt;&gt;"Egyszeri"),1,VLOOKUP($B383+IF($C383=12,1,0),Paraméterek!$B$257:$D$267,IF($D$2="Egyszeri",3,2))),IF($D$4="Forint",0,2)))</f>
        <v>-228955</v>
      </c>
      <c r="W383" s="13">
        <f ca="1">ROUNDDOWN($V383*VLOOKUP($B383+IF($C383=12,1,0),Paraméterek!$B$257:$D$267,IF($D$2="Egyszeri",3,2)),IF($D$4="Forint",0,2))</f>
        <v>-228955</v>
      </c>
      <c r="Y383" s="32">
        <v>364</v>
      </c>
      <c r="Z383" s="32">
        <v>31</v>
      </c>
      <c r="AA383" s="32">
        <v>4</v>
      </c>
      <c r="AB383" s="13">
        <f t="shared" si="86"/>
        <v>0</v>
      </c>
      <c r="AC383" s="33"/>
      <c r="AD383" s="13">
        <f t="shared" si="82"/>
        <v>0</v>
      </c>
      <c r="AE383" s="13">
        <f>ROUNDUP(($AB383+$AD383)*VLOOKUP($Z383,Paraméterek!$P$38:$Q$38,2)/12,IF($D$4="Forint",0,2))</f>
        <v>0</v>
      </c>
      <c r="AF383" s="13">
        <f>IF($D$2="Egyszeri",IF($D$7&gt;=IF($D$4="Forint",Paraméterek!$P$223,Paraméterek!$P$224),$D$7-IF($D$4="Forint",Paraméterek!$F$223,Paraméterek!$F$224),0),MIN(IF($AA383=12,AVERAGE($D$20:$D383)*12,0),SUM($D$20:$D$31)))</f>
        <v>0</v>
      </c>
      <c r="AG383" s="13">
        <f>IF(AND($Z383&gt;=10,MOD($Z383,5)=0),$AF383*IF($AA383=12,VLOOKUP($Z383,Paraméterek!$B$225:$F$240,IF($AF383&lt;IF($D$4="Forint",Paraméterek!$C$223,Paraméterek!$C$224),2,IF($AF383&lt;IF($D$4="Forint",Paraméterek!$D$223,Paraméterek!$D$224),3,4))),0),0)</f>
        <v>0</v>
      </c>
      <c r="AH383" s="13">
        <f>IF(AND($Z383&gt;=5,MOD($Z383,5)=0),IF($AA383=12,VLOOKUP($Z383,Paraméterek!$B$225:$F$240,5),0),IF(OR($Z383=3,$Z383=4),IF($AA383=12,VLOOKUP($Z383,Paraméterek!$B$225:$F$240,5,0),0),0))*$AF383</f>
        <v>0</v>
      </c>
      <c r="AI383" s="13">
        <f>ROUNDDOWN(IF(SUM($T$20:$U383)=0,IF($D$2="Egyszeri",$AH383,$AG383),0),IF($D$4="Forint",0,2))</f>
        <v>0</v>
      </c>
      <c r="AJ383" s="13">
        <f t="shared" si="87"/>
        <v>0</v>
      </c>
      <c r="AK383" s="13">
        <f t="shared" si="88"/>
        <v>0</v>
      </c>
      <c r="AM383" s="32">
        <v>364</v>
      </c>
      <c r="AN383" s="32">
        <v>31</v>
      </c>
      <c r="AO383" s="32">
        <v>4</v>
      </c>
      <c r="AP383" s="13"/>
      <c r="AQ383" s="32"/>
      <c r="AR383" s="13">
        <f t="shared" si="89"/>
        <v>0</v>
      </c>
      <c r="AS383" s="33"/>
      <c r="AT383" s="13">
        <f t="shared" si="83"/>
        <v>0</v>
      </c>
      <c r="AU383" s="13">
        <f>ROUNDUP(($AR383+$AT383)*VLOOKUP($AN383,Paraméterek!$P$38:$Q$38,2)/12,IF($D$4="Forint",0,2))</f>
        <v>0</v>
      </c>
      <c r="AV383" s="13"/>
      <c r="AW383" s="13"/>
      <c r="AX383" s="13">
        <f>ROUNDUP(IF(SUM($AV383:$AW383)=0,0,IF(IF(ISBLANK($AW383),$AV383,$AW383)*Paraméterek!$J$112&lt;IF($D$4="Forint",Paraméterek!$J$113,Paraméterek!$K$113),IF($D$4="Forint",Paraméterek!$J$113,Paraméterek!$K$113),IF(IF(ISBLANK($AW383),$AV383,$AW383)*Paraméterek!$J$112&gt;IF($D$4="Forint",Paraméterek!$J$114,Paraméterek!$K$114),IF($D$4="Forint",Paraméterek!$J$114,Paraméterek!$K$114),IF(ISBLANK($AW383),$AV383,$AW383)*Paraméterek!$J$112))),IF($D$4="Forint",0,2))</f>
        <v>0</v>
      </c>
      <c r="AY383" s="13">
        <f>$AR383+$AT383-$AU383-IF(ROUNDDOWN(IF(ISBLANK($AW383),$AV383,$AW383),IF($D$4="Forint",0,2))&gt;$AR383+$AT383-$AU383-IF($D$4="Forint",Paraméterek!$J$114,Paraméterek!$K$114),0,ROUNDDOWN(IF(ISBLANK($AW383),$AV383,$AW383),IF($D$4="Forint",0,2))-$AX383)</f>
        <v>0</v>
      </c>
      <c r="AZ383" s="13">
        <f t="shared" si="84"/>
        <v>0</v>
      </c>
    </row>
    <row r="384" spans="1:52" x14ac:dyDescent="0.2">
      <c r="A384" s="32">
        <v>365</v>
      </c>
      <c r="B384" s="32">
        <v>31</v>
      </c>
      <c r="C384" s="32">
        <v>5</v>
      </c>
      <c r="D384" s="13">
        <f t="shared" si="75"/>
        <v>0</v>
      </c>
      <c r="E384" s="13"/>
      <c r="F384" s="13"/>
      <c r="G384" s="13"/>
      <c r="H384" s="13">
        <f t="shared" si="76"/>
        <v>0</v>
      </c>
      <c r="I384" s="13">
        <f t="shared" si="77"/>
        <v>0</v>
      </c>
      <c r="J384" s="13">
        <f t="shared" si="78"/>
        <v>0</v>
      </c>
      <c r="K384" s="13">
        <f>ROUNDUP(IF($D$2="Egyszeri",$D384,IF($D$2="Havi",SUM($D$20:$D$31),IF(MOD($C384,$M$1)-1=0,SUM($D$20:$D$31),0))/12*$M$1)*VLOOKUP($B384,Paraméterek!$B$27:$D$30,IF($D$2="Egyszeri",3,2)),IF($D$4="Forint",0,2))</f>
        <v>0</v>
      </c>
      <c r="L384" s="13">
        <f t="shared" si="79"/>
        <v>0</v>
      </c>
      <c r="M384" s="13">
        <f t="shared" ca="1" si="85"/>
        <v>-228955</v>
      </c>
      <c r="N384" s="13">
        <f ca="1">IF($V383&gt;=VLOOKUP($M$4-1+$B384,Paraméterek!$B$121:$D$122,IF($D$4="Forint",2,3)),0,VLOOKUP($M$4-1+$B384,Paraméterek!$B$121:$D$122,IF($D$4="Forint",2,3))-$V383)</f>
        <v>238955</v>
      </c>
      <c r="O384" s="13">
        <f ca="1">ROUNDUP($N384*Paraméterek!$C$58/Paraméterek!$C$56,IF($D$4="Forint",0,2))</f>
        <v>39</v>
      </c>
      <c r="P384" s="13">
        <f t="shared" si="80"/>
        <v>1335</v>
      </c>
      <c r="Q384" s="33"/>
      <c r="R384" s="13">
        <f t="shared" ca="1" si="81"/>
        <v>0</v>
      </c>
      <c r="S384" s="13">
        <f ca="1">ROUNDUP(($M384-$O384-$P384+$R384)*VLOOKUP($B384,Paraméterek!$B$38:$D$39,IF($D$2="Egyszeri",3,2))/12,IF($D$4="Forint",0,2))</f>
        <v>-563</v>
      </c>
      <c r="T384" s="13"/>
      <c r="U384" s="13"/>
      <c r="V384" s="13">
        <f ca="1">$M384-$O384-$P384+$R384-$S384-IF(ROUNDUP(IF(ISBLANK($U384),$T384,$U384)/IF(AND($B384=1,$D$2&lt;&gt;"Egyszeri"),1,VLOOKUP($B384+IF($C384=12,1,0),Paraméterek!$B$257:$D$267,IF($D$2="Egyszeri",3,2))),IF($D$4="Forint",0,2))&gt;$M384-$O384-$P384+$R384-$S384-IF($D$4="Forint",Paraméterek!$C$216,Paraméterek!$D$216),0,ROUNDUP(IF(ISBLANK($U384),$T384,$U384)/IF(AND($B384=1,$D$2&lt;&gt;"Egyszeri"),1,VLOOKUP($B384+IF($C384=12,1,0),Paraméterek!$B$257:$D$267,IF($D$2="Egyszeri",3,2))),IF($D$4="Forint",0,2)))</f>
        <v>-229766</v>
      </c>
      <c r="W384" s="13">
        <f ca="1">ROUNDDOWN($V384*VLOOKUP($B384+IF($C384=12,1,0),Paraméterek!$B$257:$D$267,IF($D$2="Egyszeri",3,2)),IF($D$4="Forint",0,2))</f>
        <v>-229766</v>
      </c>
      <c r="Y384" s="32">
        <v>365</v>
      </c>
      <c r="Z384" s="32">
        <v>31</v>
      </c>
      <c r="AA384" s="32">
        <v>5</v>
      </c>
      <c r="AB384" s="13">
        <f t="shared" si="86"/>
        <v>0</v>
      </c>
      <c r="AC384" s="33"/>
      <c r="AD384" s="13">
        <f t="shared" si="82"/>
        <v>0</v>
      </c>
      <c r="AE384" s="13">
        <f>ROUNDUP(($AB384+$AD384)*VLOOKUP($Z384,Paraméterek!$P$38:$Q$38,2)/12,IF($D$4="Forint",0,2))</f>
        <v>0</v>
      </c>
      <c r="AF384" s="13">
        <f>IF($D$2="Egyszeri",IF($D$7&gt;=IF($D$4="Forint",Paraméterek!$P$223,Paraméterek!$P$224),$D$7-IF($D$4="Forint",Paraméterek!$F$223,Paraméterek!$F$224),0),MIN(IF($AA384=12,AVERAGE($D$20:$D384)*12,0),SUM($D$20:$D$31)))</f>
        <v>0</v>
      </c>
      <c r="AG384" s="13">
        <f>IF(AND($Z384&gt;=10,MOD($Z384,5)=0),$AF384*IF($AA384=12,VLOOKUP($Z384,Paraméterek!$B$225:$F$240,IF($AF384&lt;IF($D$4="Forint",Paraméterek!$C$223,Paraméterek!$C$224),2,IF($AF384&lt;IF($D$4="Forint",Paraméterek!$D$223,Paraméterek!$D$224),3,4))),0),0)</f>
        <v>0</v>
      </c>
      <c r="AH384" s="13">
        <f>IF(AND($Z384&gt;=5,MOD($Z384,5)=0),IF($AA384=12,VLOOKUP($Z384,Paraméterek!$B$225:$F$240,5),0),IF(OR($Z384=3,$Z384=4),IF($AA384=12,VLOOKUP($Z384,Paraméterek!$B$225:$F$240,5,0),0),0))*$AF384</f>
        <v>0</v>
      </c>
      <c r="AI384" s="13">
        <f>ROUNDDOWN(IF(SUM($T$20:$U384)=0,IF($D$2="Egyszeri",$AH384,$AG384),0),IF($D$4="Forint",0,2))</f>
        <v>0</v>
      </c>
      <c r="AJ384" s="13">
        <f t="shared" si="87"/>
        <v>0</v>
      </c>
      <c r="AK384" s="13">
        <f t="shared" si="88"/>
        <v>0</v>
      </c>
      <c r="AM384" s="32">
        <v>365</v>
      </c>
      <c r="AN384" s="32">
        <v>31</v>
      </c>
      <c r="AO384" s="32">
        <v>5</v>
      </c>
      <c r="AP384" s="13"/>
      <c r="AQ384" s="32"/>
      <c r="AR384" s="13">
        <f t="shared" si="89"/>
        <v>0</v>
      </c>
      <c r="AS384" s="33"/>
      <c r="AT384" s="13">
        <f t="shared" si="83"/>
        <v>0</v>
      </c>
      <c r="AU384" s="13">
        <f>ROUNDUP(($AR384+$AT384)*VLOOKUP($AN384,Paraméterek!$P$38:$Q$38,2)/12,IF($D$4="Forint",0,2))</f>
        <v>0</v>
      </c>
      <c r="AV384" s="13"/>
      <c r="AW384" s="13"/>
      <c r="AX384" s="13">
        <f>ROUNDUP(IF(SUM($AV384:$AW384)=0,0,IF(IF(ISBLANK($AW384),$AV384,$AW384)*Paraméterek!$J$112&lt;IF($D$4="Forint",Paraméterek!$J$113,Paraméterek!$K$113),IF($D$4="Forint",Paraméterek!$J$113,Paraméterek!$K$113),IF(IF(ISBLANK($AW384),$AV384,$AW384)*Paraméterek!$J$112&gt;IF($D$4="Forint",Paraméterek!$J$114,Paraméterek!$K$114),IF($D$4="Forint",Paraméterek!$J$114,Paraméterek!$K$114),IF(ISBLANK($AW384),$AV384,$AW384)*Paraméterek!$J$112))),IF($D$4="Forint",0,2))</f>
        <v>0</v>
      </c>
      <c r="AY384" s="13">
        <f>$AR384+$AT384-$AU384-IF(ROUNDDOWN(IF(ISBLANK($AW384),$AV384,$AW384),IF($D$4="Forint",0,2))&gt;$AR384+$AT384-$AU384-IF($D$4="Forint",Paraméterek!$J$114,Paraméterek!$K$114),0,ROUNDDOWN(IF(ISBLANK($AW384),$AV384,$AW384),IF($D$4="Forint",0,2))-$AX384)</f>
        <v>0</v>
      </c>
      <c r="AZ384" s="13">
        <f t="shared" si="84"/>
        <v>0</v>
      </c>
    </row>
    <row r="385" spans="1:52" x14ac:dyDescent="0.2">
      <c r="A385" s="32">
        <v>366</v>
      </c>
      <c r="B385" s="32">
        <v>31</v>
      </c>
      <c r="C385" s="32">
        <v>6</v>
      </c>
      <c r="D385" s="13">
        <f t="shared" si="75"/>
        <v>0</v>
      </c>
      <c r="E385" s="13"/>
      <c r="F385" s="13"/>
      <c r="G385" s="13"/>
      <c r="H385" s="13">
        <f t="shared" si="76"/>
        <v>0</v>
      </c>
      <c r="I385" s="13">
        <f t="shared" si="77"/>
        <v>0</v>
      </c>
      <c r="J385" s="13">
        <f t="shared" si="78"/>
        <v>0</v>
      </c>
      <c r="K385" s="13">
        <f>ROUNDUP(IF($D$2="Egyszeri",$D385,IF($D$2="Havi",SUM($D$20:$D$31),IF(MOD($C385,$M$1)-1=0,SUM($D$20:$D$31),0))/12*$M$1)*VLOOKUP($B385,Paraméterek!$B$27:$D$30,IF($D$2="Egyszeri",3,2)),IF($D$4="Forint",0,2))</f>
        <v>0</v>
      </c>
      <c r="L385" s="13">
        <f t="shared" si="79"/>
        <v>0</v>
      </c>
      <c r="M385" s="13">
        <f t="shared" ca="1" si="85"/>
        <v>-229766</v>
      </c>
      <c r="N385" s="13">
        <f ca="1">IF($V384&gt;=VLOOKUP($M$4-1+$B385,Paraméterek!$B$121:$D$122,IF($D$4="Forint",2,3)),0,VLOOKUP($M$4-1+$B385,Paraméterek!$B$121:$D$122,IF($D$4="Forint",2,3))-$V384)</f>
        <v>239766</v>
      </c>
      <c r="O385" s="13">
        <f ca="1">ROUNDUP($N385*Paraméterek!$C$58/Paraméterek!$C$56,IF($D$4="Forint",0,2))</f>
        <v>39</v>
      </c>
      <c r="P385" s="13">
        <f t="shared" si="80"/>
        <v>1335</v>
      </c>
      <c r="Q385" s="33"/>
      <c r="R385" s="13">
        <f t="shared" ca="1" si="81"/>
        <v>0</v>
      </c>
      <c r="S385" s="13">
        <f ca="1">ROUNDUP(($M385-$O385-$P385+$R385)*VLOOKUP($B385,Paraméterek!$B$38:$D$39,IF($D$2="Egyszeri",3,2))/12,IF($D$4="Forint",0,2))</f>
        <v>-565</v>
      </c>
      <c r="T385" s="13"/>
      <c r="U385" s="13"/>
      <c r="V385" s="13">
        <f ca="1">$M385-$O385-$P385+$R385-$S385-IF(ROUNDUP(IF(ISBLANK($U385),$T385,$U385)/IF(AND($B385=1,$D$2&lt;&gt;"Egyszeri"),1,VLOOKUP($B385+IF($C385=12,1,0),Paraméterek!$B$257:$D$267,IF($D$2="Egyszeri",3,2))),IF($D$4="Forint",0,2))&gt;$M385-$O385-$P385+$R385-$S385-IF($D$4="Forint",Paraméterek!$C$216,Paraméterek!$D$216),0,ROUNDUP(IF(ISBLANK($U385),$T385,$U385)/IF(AND($B385=1,$D$2&lt;&gt;"Egyszeri"),1,VLOOKUP($B385+IF($C385=12,1,0),Paraméterek!$B$257:$D$267,IF($D$2="Egyszeri",3,2))),IF($D$4="Forint",0,2)))</f>
        <v>-230575</v>
      </c>
      <c r="W385" s="13">
        <f ca="1">ROUNDDOWN($V385*VLOOKUP($B385+IF($C385=12,1,0),Paraméterek!$B$257:$D$267,IF($D$2="Egyszeri",3,2)),IF($D$4="Forint",0,2))</f>
        <v>-230575</v>
      </c>
      <c r="Y385" s="32">
        <v>366</v>
      </c>
      <c r="Z385" s="32">
        <v>31</v>
      </c>
      <c r="AA385" s="32">
        <v>6</v>
      </c>
      <c r="AB385" s="13">
        <f t="shared" si="86"/>
        <v>0</v>
      </c>
      <c r="AC385" s="33"/>
      <c r="AD385" s="13">
        <f t="shared" si="82"/>
        <v>0</v>
      </c>
      <c r="AE385" s="13">
        <f>ROUNDUP(($AB385+$AD385)*VLOOKUP($Z385,Paraméterek!$P$38:$Q$38,2)/12,IF($D$4="Forint",0,2))</f>
        <v>0</v>
      </c>
      <c r="AF385" s="13">
        <f>IF($D$2="Egyszeri",IF($D$7&gt;=IF($D$4="Forint",Paraméterek!$P$223,Paraméterek!$P$224),$D$7-IF($D$4="Forint",Paraméterek!$F$223,Paraméterek!$F$224),0),MIN(IF($AA385=12,AVERAGE($D$20:$D385)*12,0),SUM($D$20:$D$31)))</f>
        <v>0</v>
      </c>
      <c r="AG385" s="13">
        <f>IF(AND($Z385&gt;=10,MOD($Z385,5)=0),$AF385*IF($AA385=12,VLOOKUP($Z385,Paraméterek!$B$225:$F$240,IF($AF385&lt;IF($D$4="Forint",Paraméterek!$C$223,Paraméterek!$C$224),2,IF($AF385&lt;IF($D$4="Forint",Paraméterek!$D$223,Paraméterek!$D$224),3,4))),0),0)</f>
        <v>0</v>
      </c>
      <c r="AH385" s="13">
        <f>IF(AND($Z385&gt;=5,MOD($Z385,5)=0),IF($AA385=12,VLOOKUP($Z385,Paraméterek!$B$225:$F$240,5),0),IF(OR($Z385=3,$Z385=4),IF($AA385=12,VLOOKUP($Z385,Paraméterek!$B$225:$F$240,5,0),0),0))*$AF385</f>
        <v>0</v>
      </c>
      <c r="AI385" s="13">
        <f>ROUNDDOWN(IF(SUM($T$20:$U385)=0,IF($D$2="Egyszeri",$AH385,$AG385),0),IF($D$4="Forint",0,2))</f>
        <v>0</v>
      </c>
      <c r="AJ385" s="13">
        <f t="shared" si="87"/>
        <v>0</v>
      </c>
      <c r="AK385" s="13">
        <f t="shared" si="88"/>
        <v>0</v>
      </c>
      <c r="AM385" s="32">
        <v>366</v>
      </c>
      <c r="AN385" s="32">
        <v>31</v>
      </c>
      <c r="AO385" s="32">
        <v>6</v>
      </c>
      <c r="AP385" s="13"/>
      <c r="AQ385" s="32"/>
      <c r="AR385" s="13">
        <f t="shared" si="89"/>
        <v>0</v>
      </c>
      <c r="AS385" s="33"/>
      <c r="AT385" s="13">
        <f t="shared" si="83"/>
        <v>0</v>
      </c>
      <c r="AU385" s="13">
        <f>ROUNDUP(($AR385+$AT385)*VLOOKUP($AN385,Paraméterek!$P$38:$Q$38,2)/12,IF($D$4="Forint",0,2))</f>
        <v>0</v>
      </c>
      <c r="AV385" s="13"/>
      <c r="AW385" s="13"/>
      <c r="AX385" s="13">
        <f>ROUNDUP(IF(SUM($AV385:$AW385)=0,0,IF(IF(ISBLANK($AW385),$AV385,$AW385)*Paraméterek!$J$112&lt;IF($D$4="Forint",Paraméterek!$J$113,Paraméterek!$K$113),IF($D$4="Forint",Paraméterek!$J$113,Paraméterek!$K$113),IF(IF(ISBLANK($AW385),$AV385,$AW385)*Paraméterek!$J$112&gt;IF($D$4="Forint",Paraméterek!$J$114,Paraméterek!$K$114),IF($D$4="Forint",Paraméterek!$J$114,Paraméterek!$K$114),IF(ISBLANK($AW385),$AV385,$AW385)*Paraméterek!$J$112))),IF($D$4="Forint",0,2))</f>
        <v>0</v>
      </c>
      <c r="AY385" s="13">
        <f>$AR385+$AT385-$AU385-IF(ROUNDDOWN(IF(ISBLANK($AW385),$AV385,$AW385),IF($D$4="Forint",0,2))&gt;$AR385+$AT385-$AU385-IF($D$4="Forint",Paraméterek!$J$114,Paraméterek!$K$114),0,ROUNDDOWN(IF(ISBLANK($AW385),$AV385,$AW385),IF($D$4="Forint",0,2))-$AX385)</f>
        <v>0</v>
      </c>
      <c r="AZ385" s="13">
        <f t="shared" si="84"/>
        <v>0</v>
      </c>
    </row>
    <row r="386" spans="1:52" x14ac:dyDescent="0.2">
      <c r="A386" s="32">
        <v>367</v>
      </c>
      <c r="B386" s="32">
        <v>31</v>
      </c>
      <c r="C386" s="32">
        <v>7</v>
      </c>
      <c r="D386" s="13">
        <f t="shared" si="75"/>
        <v>0</v>
      </c>
      <c r="E386" s="13"/>
      <c r="F386" s="13"/>
      <c r="G386" s="13"/>
      <c r="H386" s="13">
        <f t="shared" si="76"/>
        <v>0</v>
      </c>
      <c r="I386" s="13">
        <f t="shared" si="77"/>
        <v>0</v>
      </c>
      <c r="J386" s="13">
        <f t="shared" si="78"/>
        <v>0</v>
      </c>
      <c r="K386" s="13">
        <f>ROUNDUP(IF($D$2="Egyszeri",$D386,IF($D$2="Havi",SUM($D$20:$D$31),IF(MOD($C386,$M$1)-1=0,SUM($D$20:$D$31),0))/12*$M$1)*VLOOKUP($B386,Paraméterek!$B$27:$D$30,IF($D$2="Egyszeri",3,2)),IF($D$4="Forint",0,2))</f>
        <v>0</v>
      </c>
      <c r="L386" s="13">
        <f t="shared" si="79"/>
        <v>0</v>
      </c>
      <c r="M386" s="13">
        <f t="shared" ca="1" si="85"/>
        <v>-230575</v>
      </c>
      <c r="N386" s="13">
        <f ca="1">IF($V385&gt;=VLOOKUP($M$4-1+$B386,Paraméterek!$B$121:$D$122,IF($D$4="Forint",2,3)),0,VLOOKUP($M$4-1+$B386,Paraméterek!$B$121:$D$122,IF($D$4="Forint",2,3))-$V385)</f>
        <v>240575</v>
      </c>
      <c r="O386" s="13">
        <f ca="1">ROUNDUP($N386*Paraméterek!$C$58/Paraméterek!$C$56,IF($D$4="Forint",0,2))</f>
        <v>39</v>
      </c>
      <c r="P386" s="13">
        <f t="shared" si="80"/>
        <v>1335</v>
      </c>
      <c r="Q386" s="33"/>
      <c r="R386" s="13">
        <f t="shared" ca="1" si="81"/>
        <v>0</v>
      </c>
      <c r="S386" s="13">
        <f ca="1">ROUNDUP(($M386-$O386-$P386+$R386)*VLOOKUP($B386,Paraméterek!$B$38:$D$39,IF($D$2="Egyszeri",3,2))/12,IF($D$4="Forint",0,2))</f>
        <v>-567</v>
      </c>
      <c r="T386" s="13"/>
      <c r="U386" s="13"/>
      <c r="V386" s="13">
        <f ca="1">$M386-$O386-$P386+$R386-$S386-IF(ROUNDUP(IF(ISBLANK($U386),$T386,$U386)/IF(AND($B386=1,$D$2&lt;&gt;"Egyszeri"),1,VLOOKUP($B386+IF($C386=12,1,0),Paraméterek!$B$257:$D$267,IF($D$2="Egyszeri",3,2))),IF($D$4="Forint",0,2))&gt;$M386-$O386-$P386+$R386-$S386-IF($D$4="Forint",Paraméterek!$C$216,Paraméterek!$D$216),0,ROUNDUP(IF(ISBLANK($U386),$T386,$U386)/IF(AND($B386=1,$D$2&lt;&gt;"Egyszeri"),1,VLOOKUP($B386+IF($C386=12,1,0),Paraméterek!$B$257:$D$267,IF($D$2="Egyszeri",3,2))),IF($D$4="Forint",0,2)))</f>
        <v>-231382</v>
      </c>
      <c r="W386" s="13">
        <f ca="1">ROUNDDOWN($V386*VLOOKUP($B386+IF($C386=12,1,0),Paraméterek!$B$257:$D$267,IF($D$2="Egyszeri",3,2)),IF($D$4="Forint",0,2))</f>
        <v>-231382</v>
      </c>
      <c r="Y386" s="32">
        <v>367</v>
      </c>
      <c r="Z386" s="32">
        <v>31</v>
      </c>
      <c r="AA386" s="32">
        <v>7</v>
      </c>
      <c r="AB386" s="13">
        <f t="shared" si="86"/>
        <v>0</v>
      </c>
      <c r="AC386" s="33"/>
      <c r="AD386" s="13">
        <f t="shared" si="82"/>
        <v>0</v>
      </c>
      <c r="AE386" s="13">
        <f>ROUNDUP(($AB386+$AD386)*VLOOKUP($Z386,Paraméterek!$P$38:$Q$38,2)/12,IF($D$4="Forint",0,2))</f>
        <v>0</v>
      </c>
      <c r="AF386" s="13">
        <f>IF($D$2="Egyszeri",IF($D$7&gt;=IF($D$4="Forint",Paraméterek!$P$223,Paraméterek!$P$224),$D$7-IF($D$4="Forint",Paraméterek!$F$223,Paraméterek!$F$224),0),MIN(IF($AA386=12,AVERAGE($D$20:$D386)*12,0),SUM($D$20:$D$31)))</f>
        <v>0</v>
      </c>
      <c r="AG386" s="13">
        <f>IF(AND($Z386&gt;=10,MOD($Z386,5)=0),$AF386*IF($AA386=12,VLOOKUP($Z386,Paraméterek!$B$225:$F$240,IF($AF386&lt;IF($D$4="Forint",Paraméterek!$C$223,Paraméterek!$C$224),2,IF($AF386&lt;IF($D$4="Forint",Paraméterek!$D$223,Paraméterek!$D$224),3,4))),0),0)</f>
        <v>0</v>
      </c>
      <c r="AH386" s="13">
        <f>IF(AND($Z386&gt;=5,MOD($Z386,5)=0),IF($AA386=12,VLOOKUP($Z386,Paraméterek!$B$225:$F$240,5),0),IF(OR($Z386=3,$Z386=4),IF($AA386=12,VLOOKUP($Z386,Paraméterek!$B$225:$F$240,5,0),0),0))*$AF386</f>
        <v>0</v>
      </c>
      <c r="AI386" s="13">
        <f>ROUNDDOWN(IF(SUM($T$20:$U386)=0,IF($D$2="Egyszeri",$AH386,$AG386),0),IF($D$4="Forint",0,2))</f>
        <v>0</v>
      </c>
      <c r="AJ386" s="13">
        <f t="shared" si="87"/>
        <v>0</v>
      </c>
      <c r="AK386" s="13">
        <f t="shared" si="88"/>
        <v>0</v>
      </c>
      <c r="AM386" s="32">
        <v>367</v>
      </c>
      <c r="AN386" s="32">
        <v>31</v>
      </c>
      <c r="AO386" s="32">
        <v>7</v>
      </c>
      <c r="AP386" s="13"/>
      <c r="AQ386" s="32"/>
      <c r="AR386" s="13">
        <f t="shared" si="89"/>
        <v>0</v>
      </c>
      <c r="AS386" s="33"/>
      <c r="AT386" s="13">
        <f t="shared" si="83"/>
        <v>0</v>
      </c>
      <c r="AU386" s="13">
        <f>ROUNDUP(($AR386+$AT386)*VLOOKUP($AN386,Paraméterek!$P$38:$Q$38,2)/12,IF($D$4="Forint",0,2))</f>
        <v>0</v>
      </c>
      <c r="AV386" s="13"/>
      <c r="AW386" s="13"/>
      <c r="AX386" s="13">
        <f>ROUNDUP(IF(SUM($AV386:$AW386)=0,0,IF(IF(ISBLANK($AW386),$AV386,$AW386)*Paraméterek!$J$112&lt;IF($D$4="Forint",Paraméterek!$J$113,Paraméterek!$K$113),IF($D$4="Forint",Paraméterek!$J$113,Paraméterek!$K$113),IF(IF(ISBLANK($AW386),$AV386,$AW386)*Paraméterek!$J$112&gt;IF($D$4="Forint",Paraméterek!$J$114,Paraméterek!$K$114),IF($D$4="Forint",Paraméterek!$J$114,Paraméterek!$K$114),IF(ISBLANK($AW386),$AV386,$AW386)*Paraméterek!$J$112))),IF($D$4="Forint",0,2))</f>
        <v>0</v>
      </c>
      <c r="AY386" s="13">
        <f>$AR386+$AT386-$AU386-IF(ROUNDDOWN(IF(ISBLANK($AW386),$AV386,$AW386),IF($D$4="Forint",0,2))&gt;$AR386+$AT386-$AU386-IF($D$4="Forint",Paraméterek!$J$114,Paraméterek!$K$114),0,ROUNDDOWN(IF(ISBLANK($AW386),$AV386,$AW386),IF($D$4="Forint",0,2))-$AX386)</f>
        <v>0</v>
      </c>
      <c r="AZ386" s="13">
        <f t="shared" si="84"/>
        <v>0</v>
      </c>
    </row>
    <row r="387" spans="1:52" x14ac:dyDescent="0.2">
      <c r="A387" s="32">
        <v>368</v>
      </c>
      <c r="B387" s="32">
        <v>31</v>
      </c>
      <c r="C387" s="32">
        <v>8</v>
      </c>
      <c r="D387" s="13">
        <f t="shared" si="75"/>
        <v>0</v>
      </c>
      <c r="E387" s="13"/>
      <c r="F387" s="13"/>
      <c r="G387" s="13"/>
      <c r="H387" s="13">
        <f t="shared" si="76"/>
        <v>0</v>
      </c>
      <c r="I387" s="13">
        <f t="shared" si="77"/>
        <v>0</v>
      </c>
      <c r="J387" s="13">
        <f t="shared" si="78"/>
        <v>0</v>
      </c>
      <c r="K387" s="13">
        <f>ROUNDUP(IF($D$2="Egyszeri",$D387,IF($D$2="Havi",SUM($D$20:$D$31),IF(MOD($C387,$M$1)-1=0,SUM($D$20:$D$31),0))/12*$M$1)*VLOOKUP($B387,Paraméterek!$B$27:$D$30,IF($D$2="Egyszeri",3,2)),IF($D$4="Forint",0,2))</f>
        <v>0</v>
      </c>
      <c r="L387" s="13">
        <f t="shared" si="79"/>
        <v>0</v>
      </c>
      <c r="M387" s="13">
        <f t="shared" ca="1" si="85"/>
        <v>-231382</v>
      </c>
      <c r="N387" s="13">
        <f ca="1">IF($V386&gt;=VLOOKUP($M$4-1+$B387,Paraméterek!$B$121:$D$122,IF($D$4="Forint",2,3)),0,VLOOKUP($M$4-1+$B387,Paraméterek!$B$121:$D$122,IF($D$4="Forint",2,3))-$V386)</f>
        <v>241382</v>
      </c>
      <c r="O387" s="13">
        <f ca="1">ROUNDUP($N387*Paraméterek!$C$58/Paraméterek!$C$56,IF($D$4="Forint",0,2))</f>
        <v>39</v>
      </c>
      <c r="P387" s="13">
        <f t="shared" si="80"/>
        <v>1335</v>
      </c>
      <c r="Q387" s="33"/>
      <c r="R387" s="13">
        <f t="shared" ca="1" si="81"/>
        <v>0</v>
      </c>
      <c r="S387" s="13">
        <f ca="1">ROUNDUP(($M387-$O387-$P387+$R387)*VLOOKUP($B387,Paraméterek!$B$38:$D$39,IF($D$2="Egyszeri",3,2))/12,IF($D$4="Forint",0,2))</f>
        <v>-569</v>
      </c>
      <c r="T387" s="13"/>
      <c r="U387" s="13"/>
      <c r="V387" s="13">
        <f ca="1">$M387-$O387-$P387+$R387-$S387-IF(ROUNDUP(IF(ISBLANK($U387),$T387,$U387)/IF(AND($B387=1,$D$2&lt;&gt;"Egyszeri"),1,VLOOKUP($B387+IF($C387=12,1,0),Paraméterek!$B$257:$D$267,IF($D$2="Egyszeri",3,2))),IF($D$4="Forint",0,2))&gt;$M387-$O387-$P387+$R387-$S387-IF($D$4="Forint",Paraméterek!$C$216,Paraméterek!$D$216),0,ROUNDUP(IF(ISBLANK($U387),$T387,$U387)/IF(AND($B387=1,$D$2&lt;&gt;"Egyszeri"),1,VLOOKUP($B387+IF($C387=12,1,0),Paraméterek!$B$257:$D$267,IF($D$2="Egyszeri",3,2))),IF($D$4="Forint",0,2)))</f>
        <v>-232187</v>
      </c>
      <c r="W387" s="13">
        <f ca="1">ROUNDDOWN($V387*VLOOKUP($B387+IF($C387=12,1,0),Paraméterek!$B$257:$D$267,IF($D$2="Egyszeri",3,2)),IF($D$4="Forint",0,2))</f>
        <v>-232187</v>
      </c>
      <c r="Y387" s="32">
        <v>368</v>
      </c>
      <c r="Z387" s="32">
        <v>31</v>
      </c>
      <c r="AA387" s="32">
        <v>8</v>
      </c>
      <c r="AB387" s="13">
        <f t="shared" si="86"/>
        <v>0</v>
      </c>
      <c r="AC387" s="33"/>
      <c r="AD387" s="13">
        <f t="shared" si="82"/>
        <v>0</v>
      </c>
      <c r="AE387" s="13">
        <f>ROUNDUP(($AB387+$AD387)*VLOOKUP($Z387,Paraméterek!$P$38:$Q$38,2)/12,IF($D$4="Forint",0,2))</f>
        <v>0</v>
      </c>
      <c r="AF387" s="13">
        <f>IF($D$2="Egyszeri",IF($D$7&gt;=IF($D$4="Forint",Paraméterek!$P$223,Paraméterek!$P$224),$D$7-IF($D$4="Forint",Paraméterek!$F$223,Paraméterek!$F$224),0),MIN(IF($AA387=12,AVERAGE($D$20:$D387)*12,0),SUM($D$20:$D$31)))</f>
        <v>0</v>
      </c>
      <c r="AG387" s="13">
        <f>IF(AND($Z387&gt;=10,MOD($Z387,5)=0),$AF387*IF($AA387=12,VLOOKUP($Z387,Paraméterek!$B$225:$F$240,IF($AF387&lt;IF($D$4="Forint",Paraméterek!$C$223,Paraméterek!$C$224),2,IF($AF387&lt;IF($D$4="Forint",Paraméterek!$D$223,Paraméterek!$D$224),3,4))),0),0)</f>
        <v>0</v>
      </c>
      <c r="AH387" s="13">
        <f>IF(AND($Z387&gt;=5,MOD($Z387,5)=0),IF($AA387=12,VLOOKUP($Z387,Paraméterek!$B$225:$F$240,5),0),IF(OR($Z387=3,$Z387=4),IF($AA387=12,VLOOKUP($Z387,Paraméterek!$B$225:$F$240,5,0),0),0))*$AF387</f>
        <v>0</v>
      </c>
      <c r="AI387" s="13">
        <f>ROUNDDOWN(IF(SUM($T$20:$U387)=0,IF($D$2="Egyszeri",$AH387,$AG387),0),IF($D$4="Forint",0,2))</f>
        <v>0</v>
      </c>
      <c r="AJ387" s="13">
        <f t="shared" si="87"/>
        <v>0</v>
      </c>
      <c r="AK387" s="13">
        <f t="shared" si="88"/>
        <v>0</v>
      </c>
      <c r="AM387" s="32">
        <v>368</v>
      </c>
      <c r="AN387" s="32">
        <v>31</v>
      </c>
      <c r="AO387" s="32">
        <v>8</v>
      </c>
      <c r="AP387" s="13"/>
      <c r="AQ387" s="32"/>
      <c r="AR387" s="13">
        <f t="shared" si="89"/>
        <v>0</v>
      </c>
      <c r="AS387" s="33"/>
      <c r="AT387" s="13">
        <f t="shared" si="83"/>
        <v>0</v>
      </c>
      <c r="AU387" s="13">
        <f>ROUNDUP(($AR387+$AT387)*VLOOKUP($AN387,Paraméterek!$P$38:$Q$38,2)/12,IF($D$4="Forint",0,2))</f>
        <v>0</v>
      </c>
      <c r="AV387" s="13"/>
      <c r="AW387" s="13"/>
      <c r="AX387" s="13">
        <f>ROUNDUP(IF(SUM($AV387:$AW387)=0,0,IF(IF(ISBLANK($AW387),$AV387,$AW387)*Paraméterek!$J$112&lt;IF($D$4="Forint",Paraméterek!$J$113,Paraméterek!$K$113),IF($D$4="Forint",Paraméterek!$J$113,Paraméterek!$K$113),IF(IF(ISBLANK($AW387),$AV387,$AW387)*Paraméterek!$J$112&gt;IF($D$4="Forint",Paraméterek!$J$114,Paraméterek!$K$114),IF($D$4="Forint",Paraméterek!$J$114,Paraméterek!$K$114),IF(ISBLANK($AW387),$AV387,$AW387)*Paraméterek!$J$112))),IF($D$4="Forint",0,2))</f>
        <v>0</v>
      </c>
      <c r="AY387" s="13">
        <f>$AR387+$AT387-$AU387-IF(ROUNDDOWN(IF(ISBLANK($AW387),$AV387,$AW387),IF($D$4="Forint",0,2))&gt;$AR387+$AT387-$AU387-IF($D$4="Forint",Paraméterek!$J$114,Paraméterek!$K$114),0,ROUNDDOWN(IF(ISBLANK($AW387),$AV387,$AW387),IF($D$4="Forint",0,2))-$AX387)</f>
        <v>0</v>
      </c>
      <c r="AZ387" s="13">
        <f t="shared" si="84"/>
        <v>0</v>
      </c>
    </row>
    <row r="388" spans="1:52" x14ac:dyDescent="0.2">
      <c r="A388" s="32">
        <v>369</v>
      </c>
      <c r="B388" s="32">
        <v>31</v>
      </c>
      <c r="C388" s="32">
        <v>9</v>
      </c>
      <c r="D388" s="13">
        <f t="shared" si="75"/>
        <v>0</v>
      </c>
      <c r="E388" s="13"/>
      <c r="F388" s="13"/>
      <c r="G388" s="13"/>
      <c r="H388" s="13">
        <f t="shared" si="76"/>
        <v>0</v>
      </c>
      <c r="I388" s="13">
        <f t="shared" si="77"/>
        <v>0</v>
      </c>
      <c r="J388" s="13">
        <f t="shared" si="78"/>
        <v>0</v>
      </c>
      <c r="K388" s="13">
        <f>ROUNDUP(IF($D$2="Egyszeri",$D388,IF($D$2="Havi",SUM($D$20:$D$31),IF(MOD($C388,$M$1)-1=0,SUM($D$20:$D$31),0))/12*$M$1)*VLOOKUP($B388,Paraméterek!$B$27:$D$30,IF($D$2="Egyszeri",3,2)),IF($D$4="Forint",0,2))</f>
        <v>0</v>
      </c>
      <c r="L388" s="13">
        <f t="shared" si="79"/>
        <v>0</v>
      </c>
      <c r="M388" s="13">
        <f t="shared" ca="1" si="85"/>
        <v>-232187</v>
      </c>
      <c r="N388" s="13">
        <f ca="1">IF($V387&gt;=VLOOKUP($M$4-1+$B388,Paraméterek!$B$121:$D$122,IF($D$4="Forint",2,3)),0,VLOOKUP($M$4-1+$B388,Paraméterek!$B$121:$D$122,IF($D$4="Forint",2,3))-$V387)</f>
        <v>242187</v>
      </c>
      <c r="O388" s="13">
        <f ca="1">ROUNDUP($N388*Paraméterek!$C$58/Paraméterek!$C$56,IF($D$4="Forint",0,2))</f>
        <v>39</v>
      </c>
      <c r="P388" s="13">
        <f t="shared" si="80"/>
        <v>1335</v>
      </c>
      <c r="Q388" s="33"/>
      <c r="R388" s="13">
        <f t="shared" ca="1" si="81"/>
        <v>0</v>
      </c>
      <c r="S388" s="13">
        <f ca="1">ROUNDUP(($M388-$O388-$P388+$R388)*VLOOKUP($B388,Paraméterek!$B$38:$D$39,IF($D$2="Egyszeri",3,2))/12,IF($D$4="Forint",0,2))</f>
        <v>-571</v>
      </c>
      <c r="T388" s="13"/>
      <c r="U388" s="13"/>
      <c r="V388" s="13">
        <f ca="1">$M388-$O388-$P388+$R388-$S388-IF(ROUNDUP(IF(ISBLANK($U388),$T388,$U388)/IF(AND($B388=1,$D$2&lt;&gt;"Egyszeri"),1,VLOOKUP($B388+IF($C388=12,1,0),Paraméterek!$B$257:$D$267,IF($D$2="Egyszeri",3,2))),IF($D$4="Forint",0,2))&gt;$M388-$O388-$P388+$R388-$S388-IF($D$4="Forint",Paraméterek!$C$216,Paraméterek!$D$216),0,ROUNDUP(IF(ISBLANK($U388),$T388,$U388)/IF(AND($B388=1,$D$2&lt;&gt;"Egyszeri"),1,VLOOKUP($B388+IF($C388=12,1,0),Paraméterek!$B$257:$D$267,IF($D$2="Egyszeri",3,2))),IF($D$4="Forint",0,2)))</f>
        <v>-232990</v>
      </c>
      <c r="W388" s="13">
        <f ca="1">ROUNDDOWN($V388*VLOOKUP($B388+IF($C388=12,1,0),Paraméterek!$B$257:$D$267,IF($D$2="Egyszeri",3,2)),IF($D$4="Forint",0,2))</f>
        <v>-232990</v>
      </c>
      <c r="Y388" s="32">
        <v>369</v>
      </c>
      <c r="Z388" s="32">
        <v>31</v>
      </c>
      <c r="AA388" s="32">
        <v>9</v>
      </c>
      <c r="AB388" s="13">
        <f t="shared" si="86"/>
        <v>0</v>
      </c>
      <c r="AC388" s="33"/>
      <c r="AD388" s="13">
        <f t="shared" si="82"/>
        <v>0</v>
      </c>
      <c r="AE388" s="13">
        <f>ROUNDUP(($AB388+$AD388)*VLOOKUP($Z388,Paraméterek!$P$38:$Q$38,2)/12,IF($D$4="Forint",0,2))</f>
        <v>0</v>
      </c>
      <c r="AF388" s="13">
        <f>IF($D$2="Egyszeri",IF($D$7&gt;=IF($D$4="Forint",Paraméterek!$P$223,Paraméterek!$P$224),$D$7-IF($D$4="Forint",Paraméterek!$F$223,Paraméterek!$F$224),0),MIN(IF($AA388=12,AVERAGE($D$20:$D388)*12,0),SUM($D$20:$D$31)))</f>
        <v>0</v>
      </c>
      <c r="AG388" s="13">
        <f>IF(AND($Z388&gt;=10,MOD($Z388,5)=0),$AF388*IF($AA388=12,VLOOKUP($Z388,Paraméterek!$B$225:$F$240,IF($AF388&lt;IF($D$4="Forint",Paraméterek!$C$223,Paraméterek!$C$224),2,IF($AF388&lt;IF($D$4="Forint",Paraméterek!$D$223,Paraméterek!$D$224),3,4))),0),0)</f>
        <v>0</v>
      </c>
      <c r="AH388" s="13">
        <f>IF(AND($Z388&gt;=5,MOD($Z388,5)=0),IF($AA388=12,VLOOKUP($Z388,Paraméterek!$B$225:$F$240,5),0),IF(OR($Z388=3,$Z388=4),IF($AA388=12,VLOOKUP($Z388,Paraméterek!$B$225:$F$240,5,0),0),0))*$AF388</f>
        <v>0</v>
      </c>
      <c r="AI388" s="13">
        <f>ROUNDDOWN(IF(SUM($T$20:$U388)=0,IF($D$2="Egyszeri",$AH388,$AG388),0),IF($D$4="Forint",0,2))</f>
        <v>0</v>
      </c>
      <c r="AJ388" s="13">
        <f t="shared" si="87"/>
        <v>0</v>
      </c>
      <c r="AK388" s="13">
        <f t="shared" si="88"/>
        <v>0</v>
      </c>
      <c r="AM388" s="32">
        <v>369</v>
      </c>
      <c r="AN388" s="32">
        <v>31</v>
      </c>
      <c r="AO388" s="32">
        <v>9</v>
      </c>
      <c r="AP388" s="13"/>
      <c r="AQ388" s="32"/>
      <c r="AR388" s="13">
        <f t="shared" si="89"/>
        <v>0</v>
      </c>
      <c r="AS388" s="33"/>
      <c r="AT388" s="13">
        <f t="shared" si="83"/>
        <v>0</v>
      </c>
      <c r="AU388" s="13">
        <f>ROUNDUP(($AR388+$AT388)*VLOOKUP($AN388,Paraméterek!$P$38:$Q$38,2)/12,IF($D$4="Forint",0,2))</f>
        <v>0</v>
      </c>
      <c r="AV388" s="13"/>
      <c r="AW388" s="13"/>
      <c r="AX388" s="13">
        <f>ROUNDUP(IF(SUM($AV388:$AW388)=0,0,IF(IF(ISBLANK($AW388),$AV388,$AW388)*Paraméterek!$J$112&lt;IF($D$4="Forint",Paraméterek!$J$113,Paraméterek!$K$113),IF($D$4="Forint",Paraméterek!$J$113,Paraméterek!$K$113),IF(IF(ISBLANK($AW388),$AV388,$AW388)*Paraméterek!$J$112&gt;IF($D$4="Forint",Paraméterek!$J$114,Paraméterek!$K$114),IF($D$4="Forint",Paraméterek!$J$114,Paraméterek!$K$114),IF(ISBLANK($AW388),$AV388,$AW388)*Paraméterek!$J$112))),IF($D$4="Forint",0,2))</f>
        <v>0</v>
      </c>
      <c r="AY388" s="13">
        <f>$AR388+$AT388-$AU388-IF(ROUNDDOWN(IF(ISBLANK($AW388),$AV388,$AW388),IF($D$4="Forint",0,2))&gt;$AR388+$AT388-$AU388-IF($D$4="Forint",Paraméterek!$J$114,Paraméterek!$K$114),0,ROUNDDOWN(IF(ISBLANK($AW388),$AV388,$AW388),IF($D$4="Forint",0,2))-$AX388)</f>
        <v>0</v>
      </c>
      <c r="AZ388" s="13">
        <f t="shared" si="84"/>
        <v>0</v>
      </c>
    </row>
    <row r="389" spans="1:52" x14ac:dyDescent="0.2">
      <c r="A389" s="32">
        <v>370</v>
      </c>
      <c r="B389" s="32">
        <v>31</v>
      </c>
      <c r="C389" s="32">
        <v>10</v>
      </c>
      <c r="D389" s="13">
        <f t="shared" si="75"/>
        <v>0</v>
      </c>
      <c r="E389" s="13"/>
      <c r="F389" s="13"/>
      <c r="G389" s="13"/>
      <c r="H389" s="13">
        <f t="shared" si="76"/>
        <v>0</v>
      </c>
      <c r="I389" s="13">
        <f t="shared" si="77"/>
        <v>0</v>
      </c>
      <c r="J389" s="13">
        <f t="shared" si="78"/>
        <v>0</v>
      </c>
      <c r="K389" s="13">
        <f>ROUNDUP(IF($D$2="Egyszeri",$D389,IF($D$2="Havi",SUM($D$20:$D$31),IF(MOD($C389,$M$1)-1=0,SUM($D$20:$D$31),0))/12*$M$1)*VLOOKUP($B389,Paraméterek!$B$27:$D$30,IF($D$2="Egyszeri",3,2)),IF($D$4="Forint",0,2))</f>
        <v>0</v>
      </c>
      <c r="L389" s="13">
        <f t="shared" si="79"/>
        <v>0</v>
      </c>
      <c r="M389" s="13">
        <f t="shared" ca="1" si="85"/>
        <v>-232990</v>
      </c>
      <c r="N389" s="13">
        <f ca="1">IF($V388&gt;=VLOOKUP($M$4-1+$B389,Paraméterek!$B$121:$D$122,IF($D$4="Forint",2,3)),0,VLOOKUP($M$4-1+$B389,Paraméterek!$B$121:$D$122,IF($D$4="Forint",2,3))-$V388)</f>
        <v>242990</v>
      </c>
      <c r="O389" s="13">
        <f ca="1">ROUNDUP($N389*Paraméterek!$C$58/Paraméterek!$C$56,IF($D$4="Forint",0,2))</f>
        <v>39</v>
      </c>
      <c r="P389" s="13">
        <f t="shared" si="80"/>
        <v>1335</v>
      </c>
      <c r="Q389" s="33"/>
      <c r="R389" s="13">
        <f t="shared" ca="1" si="81"/>
        <v>0</v>
      </c>
      <c r="S389" s="13">
        <f ca="1">ROUNDUP(($M389-$O389-$P389+$R389)*VLOOKUP($B389,Paraméterek!$B$38:$D$39,IF($D$2="Egyszeri",3,2))/12,IF($D$4="Forint",0,2))</f>
        <v>-573</v>
      </c>
      <c r="T389" s="13"/>
      <c r="U389" s="13"/>
      <c r="V389" s="13">
        <f ca="1">$M389-$O389-$P389+$R389-$S389-IF(ROUNDUP(IF(ISBLANK($U389),$T389,$U389)/IF(AND($B389=1,$D$2&lt;&gt;"Egyszeri"),1,VLOOKUP($B389+IF($C389=12,1,0),Paraméterek!$B$257:$D$267,IF($D$2="Egyszeri",3,2))),IF($D$4="Forint",0,2))&gt;$M389-$O389-$P389+$R389-$S389-IF($D$4="Forint",Paraméterek!$C$216,Paraméterek!$D$216),0,ROUNDUP(IF(ISBLANK($U389),$T389,$U389)/IF(AND($B389=1,$D$2&lt;&gt;"Egyszeri"),1,VLOOKUP($B389+IF($C389=12,1,0),Paraméterek!$B$257:$D$267,IF($D$2="Egyszeri",3,2))),IF($D$4="Forint",0,2)))</f>
        <v>-233791</v>
      </c>
      <c r="W389" s="13">
        <f ca="1">ROUNDDOWN($V389*VLOOKUP($B389+IF($C389=12,1,0),Paraméterek!$B$257:$D$267,IF($D$2="Egyszeri",3,2)),IF($D$4="Forint",0,2))</f>
        <v>-233791</v>
      </c>
      <c r="Y389" s="32">
        <v>370</v>
      </c>
      <c r="Z389" s="32">
        <v>31</v>
      </c>
      <c r="AA389" s="32">
        <v>10</v>
      </c>
      <c r="AB389" s="13">
        <f t="shared" si="86"/>
        <v>0</v>
      </c>
      <c r="AC389" s="33"/>
      <c r="AD389" s="13">
        <f t="shared" si="82"/>
        <v>0</v>
      </c>
      <c r="AE389" s="13">
        <f>ROUNDUP(($AB389+$AD389)*VLOOKUP($Z389,Paraméterek!$P$38:$Q$38,2)/12,IF($D$4="Forint",0,2))</f>
        <v>0</v>
      </c>
      <c r="AF389" s="13">
        <f>IF($D$2="Egyszeri",IF($D$7&gt;=IF($D$4="Forint",Paraméterek!$P$223,Paraméterek!$P$224),$D$7-IF($D$4="Forint",Paraméterek!$F$223,Paraméterek!$F$224),0),MIN(IF($AA389=12,AVERAGE($D$20:$D389)*12,0),SUM($D$20:$D$31)))</f>
        <v>0</v>
      </c>
      <c r="AG389" s="13">
        <f>IF(AND($Z389&gt;=10,MOD($Z389,5)=0),$AF389*IF($AA389=12,VLOOKUP($Z389,Paraméterek!$B$225:$F$240,IF($AF389&lt;IF($D$4="Forint",Paraméterek!$C$223,Paraméterek!$C$224),2,IF($AF389&lt;IF($D$4="Forint",Paraméterek!$D$223,Paraméterek!$D$224),3,4))),0),0)</f>
        <v>0</v>
      </c>
      <c r="AH389" s="13">
        <f>IF(AND($Z389&gt;=5,MOD($Z389,5)=0),IF($AA389=12,VLOOKUP($Z389,Paraméterek!$B$225:$F$240,5),0),IF(OR($Z389=3,$Z389=4),IF($AA389=12,VLOOKUP($Z389,Paraméterek!$B$225:$F$240,5,0),0),0))*$AF389</f>
        <v>0</v>
      </c>
      <c r="AI389" s="13">
        <f>ROUNDDOWN(IF(SUM($T$20:$U389)=0,IF($D$2="Egyszeri",$AH389,$AG389),0),IF($D$4="Forint",0,2))</f>
        <v>0</v>
      </c>
      <c r="AJ389" s="13">
        <f t="shared" si="87"/>
        <v>0</v>
      </c>
      <c r="AK389" s="13">
        <f t="shared" si="88"/>
        <v>0</v>
      </c>
      <c r="AM389" s="32">
        <v>370</v>
      </c>
      <c r="AN389" s="32">
        <v>31</v>
      </c>
      <c r="AO389" s="32">
        <v>10</v>
      </c>
      <c r="AP389" s="13"/>
      <c r="AQ389" s="32"/>
      <c r="AR389" s="13">
        <f t="shared" si="89"/>
        <v>0</v>
      </c>
      <c r="AS389" s="33"/>
      <c r="AT389" s="13">
        <f t="shared" si="83"/>
        <v>0</v>
      </c>
      <c r="AU389" s="13">
        <f>ROUNDUP(($AR389+$AT389)*VLOOKUP($AN389,Paraméterek!$P$38:$Q$38,2)/12,IF($D$4="Forint",0,2))</f>
        <v>0</v>
      </c>
      <c r="AV389" s="13"/>
      <c r="AW389" s="13"/>
      <c r="AX389" s="13">
        <f>ROUNDUP(IF(SUM($AV389:$AW389)=0,0,IF(IF(ISBLANK($AW389),$AV389,$AW389)*Paraméterek!$J$112&lt;IF($D$4="Forint",Paraméterek!$J$113,Paraméterek!$K$113),IF($D$4="Forint",Paraméterek!$J$113,Paraméterek!$K$113),IF(IF(ISBLANK($AW389),$AV389,$AW389)*Paraméterek!$J$112&gt;IF($D$4="Forint",Paraméterek!$J$114,Paraméterek!$K$114),IF($D$4="Forint",Paraméterek!$J$114,Paraméterek!$K$114),IF(ISBLANK($AW389),$AV389,$AW389)*Paraméterek!$J$112))),IF($D$4="Forint",0,2))</f>
        <v>0</v>
      </c>
      <c r="AY389" s="13">
        <f>$AR389+$AT389-$AU389-IF(ROUNDDOWN(IF(ISBLANK($AW389),$AV389,$AW389),IF($D$4="Forint",0,2))&gt;$AR389+$AT389-$AU389-IF($D$4="Forint",Paraméterek!$J$114,Paraméterek!$K$114),0,ROUNDDOWN(IF(ISBLANK($AW389),$AV389,$AW389),IF($D$4="Forint",0,2))-$AX389)</f>
        <v>0</v>
      </c>
      <c r="AZ389" s="13">
        <f t="shared" si="84"/>
        <v>0</v>
      </c>
    </row>
    <row r="390" spans="1:52" x14ac:dyDescent="0.2">
      <c r="A390" s="32">
        <v>371</v>
      </c>
      <c r="B390" s="32">
        <v>31</v>
      </c>
      <c r="C390" s="32">
        <v>11</v>
      </c>
      <c r="D390" s="13">
        <f t="shared" si="75"/>
        <v>0</v>
      </c>
      <c r="E390" s="13"/>
      <c r="F390" s="13"/>
      <c r="G390" s="13"/>
      <c r="H390" s="13">
        <f t="shared" si="76"/>
        <v>0</v>
      </c>
      <c r="I390" s="13">
        <f t="shared" si="77"/>
        <v>0</v>
      </c>
      <c r="J390" s="13">
        <f t="shared" si="78"/>
        <v>0</v>
      </c>
      <c r="K390" s="13">
        <f>ROUNDUP(IF($D$2="Egyszeri",$D390,IF($D$2="Havi",SUM($D$20:$D$31),IF(MOD($C390,$M$1)-1=0,SUM($D$20:$D$31),0))/12*$M$1)*VLOOKUP($B390,Paraméterek!$B$27:$D$30,IF($D$2="Egyszeri",3,2)),IF($D$4="Forint",0,2))</f>
        <v>0</v>
      </c>
      <c r="L390" s="13">
        <f t="shared" si="79"/>
        <v>0</v>
      </c>
      <c r="M390" s="13">
        <f t="shared" ca="1" si="85"/>
        <v>-233791</v>
      </c>
      <c r="N390" s="13">
        <f ca="1">IF($V389&gt;=VLOOKUP($M$4-1+$B390,Paraméterek!$B$121:$D$122,IF($D$4="Forint",2,3)),0,VLOOKUP($M$4-1+$B390,Paraméterek!$B$121:$D$122,IF($D$4="Forint",2,3))-$V389)</f>
        <v>243791</v>
      </c>
      <c r="O390" s="13">
        <f ca="1">ROUNDUP($N390*Paraméterek!$C$58/Paraméterek!$C$56,IF($D$4="Forint",0,2))</f>
        <v>39</v>
      </c>
      <c r="P390" s="13">
        <f t="shared" si="80"/>
        <v>1335</v>
      </c>
      <c r="Q390" s="33"/>
      <c r="R390" s="13">
        <f t="shared" ca="1" si="81"/>
        <v>0</v>
      </c>
      <c r="S390" s="13">
        <f ca="1">ROUNDUP(($M390-$O390-$P390+$R390)*VLOOKUP($B390,Paraméterek!$B$38:$D$39,IF($D$2="Egyszeri",3,2))/12,IF($D$4="Forint",0,2))</f>
        <v>-575</v>
      </c>
      <c r="T390" s="13"/>
      <c r="U390" s="13"/>
      <c r="V390" s="13">
        <f ca="1">$M390-$O390-$P390+$R390-$S390-IF(ROUNDUP(IF(ISBLANK($U390),$T390,$U390)/IF(AND($B390=1,$D$2&lt;&gt;"Egyszeri"),1,VLOOKUP($B390+IF($C390=12,1,0),Paraméterek!$B$257:$D$267,IF($D$2="Egyszeri",3,2))),IF($D$4="Forint",0,2))&gt;$M390-$O390-$P390+$R390-$S390-IF($D$4="Forint",Paraméterek!$C$216,Paraméterek!$D$216),0,ROUNDUP(IF(ISBLANK($U390),$T390,$U390)/IF(AND($B390=1,$D$2&lt;&gt;"Egyszeri"),1,VLOOKUP($B390+IF($C390=12,1,0),Paraméterek!$B$257:$D$267,IF($D$2="Egyszeri",3,2))),IF($D$4="Forint",0,2)))</f>
        <v>-234590</v>
      </c>
      <c r="W390" s="13">
        <f ca="1">ROUNDDOWN($V390*VLOOKUP($B390+IF($C390=12,1,0),Paraméterek!$B$257:$D$267,IF($D$2="Egyszeri",3,2)),IF($D$4="Forint",0,2))</f>
        <v>-234590</v>
      </c>
      <c r="Y390" s="32">
        <v>371</v>
      </c>
      <c r="Z390" s="32">
        <v>31</v>
      </c>
      <c r="AA390" s="32">
        <v>11</v>
      </c>
      <c r="AB390" s="13">
        <f t="shared" si="86"/>
        <v>0</v>
      </c>
      <c r="AC390" s="33"/>
      <c r="AD390" s="13">
        <f t="shared" si="82"/>
        <v>0</v>
      </c>
      <c r="AE390" s="13">
        <f>ROUNDUP(($AB390+$AD390)*VLOOKUP($Z390,Paraméterek!$P$38:$Q$38,2)/12,IF($D$4="Forint",0,2))</f>
        <v>0</v>
      </c>
      <c r="AF390" s="13">
        <f>IF($D$2="Egyszeri",IF($D$7&gt;=IF($D$4="Forint",Paraméterek!$P$223,Paraméterek!$P$224),$D$7-IF($D$4="Forint",Paraméterek!$F$223,Paraméterek!$F$224),0),MIN(IF($AA390=12,AVERAGE($D$20:$D390)*12,0),SUM($D$20:$D$31)))</f>
        <v>0</v>
      </c>
      <c r="AG390" s="13">
        <f>IF(AND($Z390&gt;=10,MOD($Z390,5)=0),$AF390*IF($AA390=12,VLOOKUP($Z390,Paraméterek!$B$225:$F$240,IF($AF390&lt;IF($D$4="Forint",Paraméterek!$C$223,Paraméterek!$C$224),2,IF($AF390&lt;IF($D$4="Forint",Paraméterek!$D$223,Paraméterek!$D$224),3,4))),0),0)</f>
        <v>0</v>
      </c>
      <c r="AH390" s="13">
        <f>IF(AND($Z390&gt;=5,MOD($Z390,5)=0),IF($AA390=12,VLOOKUP($Z390,Paraméterek!$B$225:$F$240,5),0),IF(OR($Z390=3,$Z390=4),IF($AA390=12,VLOOKUP($Z390,Paraméterek!$B$225:$F$240,5,0),0),0))*$AF390</f>
        <v>0</v>
      </c>
      <c r="AI390" s="13">
        <f>ROUNDDOWN(IF(SUM($T$20:$U390)=0,IF($D$2="Egyszeri",$AH390,$AG390),0),IF($D$4="Forint",0,2))</f>
        <v>0</v>
      </c>
      <c r="AJ390" s="13">
        <f t="shared" si="87"/>
        <v>0</v>
      </c>
      <c r="AK390" s="13">
        <f t="shared" si="88"/>
        <v>0</v>
      </c>
      <c r="AM390" s="32">
        <v>371</v>
      </c>
      <c r="AN390" s="32">
        <v>31</v>
      </c>
      <c r="AO390" s="32">
        <v>11</v>
      </c>
      <c r="AP390" s="13"/>
      <c r="AQ390" s="32"/>
      <c r="AR390" s="13">
        <f t="shared" si="89"/>
        <v>0</v>
      </c>
      <c r="AS390" s="33"/>
      <c r="AT390" s="13">
        <f t="shared" si="83"/>
        <v>0</v>
      </c>
      <c r="AU390" s="13">
        <f>ROUNDUP(($AR390+$AT390)*VLOOKUP($AN390,Paraméterek!$P$38:$Q$38,2)/12,IF($D$4="Forint",0,2))</f>
        <v>0</v>
      </c>
      <c r="AV390" s="13"/>
      <c r="AW390" s="13"/>
      <c r="AX390" s="13">
        <f>ROUNDUP(IF(SUM($AV390:$AW390)=0,0,IF(IF(ISBLANK($AW390),$AV390,$AW390)*Paraméterek!$J$112&lt;IF($D$4="Forint",Paraméterek!$J$113,Paraméterek!$K$113),IF($D$4="Forint",Paraméterek!$J$113,Paraméterek!$K$113),IF(IF(ISBLANK($AW390),$AV390,$AW390)*Paraméterek!$J$112&gt;IF($D$4="Forint",Paraméterek!$J$114,Paraméterek!$K$114),IF($D$4="Forint",Paraméterek!$J$114,Paraméterek!$K$114),IF(ISBLANK($AW390),$AV390,$AW390)*Paraméterek!$J$112))),IF($D$4="Forint",0,2))</f>
        <v>0</v>
      </c>
      <c r="AY390" s="13">
        <f>$AR390+$AT390-$AU390-IF(ROUNDDOWN(IF(ISBLANK($AW390),$AV390,$AW390),IF($D$4="Forint",0,2))&gt;$AR390+$AT390-$AU390-IF($D$4="Forint",Paraméterek!$J$114,Paraméterek!$K$114),0,ROUNDDOWN(IF(ISBLANK($AW390),$AV390,$AW390),IF($D$4="Forint",0,2))-$AX390)</f>
        <v>0</v>
      </c>
      <c r="AZ390" s="13">
        <f t="shared" si="84"/>
        <v>0</v>
      </c>
    </row>
    <row r="391" spans="1:52" x14ac:dyDescent="0.2">
      <c r="A391" s="32">
        <v>372</v>
      </c>
      <c r="B391" s="32">
        <v>31</v>
      </c>
      <c r="C391" s="32">
        <v>12</v>
      </c>
      <c r="D391" s="13">
        <f t="shared" si="75"/>
        <v>0</v>
      </c>
      <c r="E391" s="13"/>
      <c r="F391" s="13"/>
      <c r="G391" s="13"/>
      <c r="H391" s="13">
        <f t="shared" si="76"/>
        <v>0</v>
      </c>
      <c r="I391" s="13">
        <f t="shared" si="77"/>
        <v>0</v>
      </c>
      <c r="J391" s="13">
        <f t="shared" si="78"/>
        <v>0</v>
      </c>
      <c r="K391" s="13">
        <f>ROUNDUP(IF($D$2="Egyszeri",$D391,IF($D$2="Havi",SUM($D$20:$D$31),IF(MOD($C391,$M$1)-1=0,SUM($D$20:$D$31),0))/12*$M$1)*VLOOKUP($B391,Paraméterek!$B$27:$D$30,IF($D$2="Egyszeri",3,2)),IF($D$4="Forint",0,2))</f>
        <v>0</v>
      </c>
      <c r="L391" s="13">
        <f t="shared" si="79"/>
        <v>0</v>
      </c>
      <c r="M391" s="13">
        <f t="shared" ca="1" si="85"/>
        <v>-234590</v>
      </c>
      <c r="N391" s="13">
        <f ca="1">IF($V390&gt;=VLOOKUP($M$4-1+$B391,Paraméterek!$B$121:$D$122,IF($D$4="Forint",2,3)),0,VLOOKUP($M$4-1+$B391,Paraméterek!$B$121:$D$122,IF($D$4="Forint",2,3))-$V390)</f>
        <v>244590</v>
      </c>
      <c r="O391" s="13">
        <f ca="1">ROUNDUP($N391*Paraméterek!$C$58/Paraméterek!$C$56,IF($D$4="Forint",0,2))</f>
        <v>39</v>
      </c>
      <c r="P391" s="13">
        <f t="shared" si="80"/>
        <v>1335</v>
      </c>
      <c r="Q391" s="33"/>
      <c r="R391" s="13">
        <f t="shared" ca="1" si="81"/>
        <v>0</v>
      </c>
      <c r="S391" s="13">
        <f ca="1">ROUNDUP(($M391-$O391-$P391+$R391)*VLOOKUP($B391,Paraméterek!$B$38:$D$39,IF($D$2="Egyszeri",3,2))/12,IF($D$4="Forint",0,2))</f>
        <v>-577</v>
      </c>
      <c r="T391" s="13">
        <f>Tranzakciók!$F$62</f>
        <v>0</v>
      </c>
      <c r="U391" s="13"/>
      <c r="V391" s="13">
        <f ca="1">$M391-$O391-$P391+$R391-$S391-IF(ROUNDUP(IF(ISBLANK($U391),$T391,$U391)/IF(AND($B391=1,$D$2&lt;&gt;"Egyszeri"),1,VLOOKUP($B391+IF($C391=12,1,0),Paraméterek!$B$257:$D$267,IF($D$2="Egyszeri",3,2))),IF($D$4="Forint",0,2))&gt;$M391-$O391-$P391+$R391-$S391-IF($D$4="Forint",Paraméterek!$C$216,Paraméterek!$D$216),0,ROUNDUP(IF(ISBLANK($U391),$T391,$U391)/IF(AND($B391=1,$D$2&lt;&gt;"Egyszeri"),1,VLOOKUP($B391+IF($C391=12,1,0),Paraméterek!$B$257:$D$267,IF($D$2="Egyszeri",3,2))),IF($D$4="Forint",0,2)))</f>
        <v>-235387</v>
      </c>
      <c r="W391" s="13">
        <f ca="1">ROUNDDOWN($V391*VLOOKUP($B391+IF($C391=12,1,0),Paraméterek!$B$257:$D$267,IF($D$2="Egyszeri",3,2)),IF($D$4="Forint",0,2))</f>
        <v>-235387</v>
      </c>
      <c r="Y391" s="32">
        <v>372</v>
      </c>
      <c r="Z391" s="32">
        <v>31</v>
      </c>
      <c r="AA391" s="32">
        <v>12</v>
      </c>
      <c r="AB391" s="13">
        <f t="shared" si="86"/>
        <v>0</v>
      </c>
      <c r="AC391" s="33"/>
      <c r="AD391" s="13">
        <f t="shared" si="82"/>
        <v>0</v>
      </c>
      <c r="AE391" s="13">
        <f>ROUNDUP(($AB391+$AD391)*VLOOKUP($Z391,Paraméterek!$P$38:$Q$38,2)/12,IF($D$4="Forint",0,2))</f>
        <v>0</v>
      </c>
      <c r="AF391" s="13">
        <f>IF($D$2="Egyszeri",IF($D$7&gt;=IF($D$4="Forint",Paraméterek!$P$223,Paraméterek!$P$224),$D$7-IF($D$4="Forint",Paraméterek!$F$223,Paraméterek!$F$224),0),MIN(IF($AA391=12,AVERAGE($D$20:$D391)*12,0),SUM($D$20:$D$31)))</f>
        <v>0</v>
      </c>
      <c r="AG391" s="13">
        <f>IF(AND($Z391&gt;=10,MOD($Z391,5)=0),$AF391*IF($AA391=12,VLOOKUP($Z391,Paraméterek!$B$225:$F$240,IF($AF391&lt;IF($D$4="Forint",Paraméterek!$C$223,Paraméterek!$C$224),2,IF($AF391&lt;IF($D$4="Forint",Paraméterek!$D$223,Paraméterek!$D$224),3,4))),0),0)</f>
        <v>0</v>
      </c>
      <c r="AH391" s="13">
        <f>IF(AND($Z391&gt;=5,MOD($Z391,5)=0),IF($AA391=12,VLOOKUP($Z391,Paraméterek!$B$225:$F$240,5),0),IF(OR($Z391=3,$Z391=4),IF($AA391=12,VLOOKUP($Z391,Paraméterek!$B$225:$F$240,5,0),0),0))*$AF391</f>
        <v>0</v>
      </c>
      <c r="AI391" s="13">
        <f>ROUNDDOWN(IF(SUM($T$20:$U391)=0,IF($D$2="Egyszeri",$AH391,$AG391),0),IF($D$4="Forint",0,2))</f>
        <v>0</v>
      </c>
      <c r="AJ391" s="13">
        <f t="shared" si="87"/>
        <v>0</v>
      </c>
      <c r="AK391" s="13">
        <f t="shared" si="88"/>
        <v>0</v>
      </c>
      <c r="AM391" s="32">
        <v>372</v>
      </c>
      <c r="AN391" s="32">
        <v>31</v>
      </c>
      <c r="AO391" s="32">
        <v>12</v>
      </c>
      <c r="AP391" s="13"/>
      <c r="AQ391" s="32"/>
      <c r="AR391" s="13">
        <f t="shared" si="89"/>
        <v>0</v>
      </c>
      <c r="AS391" s="33"/>
      <c r="AT391" s="13">
        <f t="shared" si="83"/>
        <v>0</v>
      </c>
      <c r="AU391" s="13">
        <f>ROUNDUP(($AR391+$AT391)*VLOOKUP($AN391,Paraméterek!$P$38:$Q$38,2)/12,IF($D$4="Forint",0,2))</f>
        <v>0</v>
      </c>
      <c r="AV391" s="13">
        <f>Tranzakciók!$M$62</f>
        <v>0</v>
      </c>
      <c r="AW391" s="13"/>
      <c r="AX391" s="13">
        <f>ROUNDUP(IF(SUM($AV391:$AW391)=0,0,IF(IF(ISBLANK($AW391),$AV391,$AW391)*Paraméterek!$J$112&lt;IF($D$4="Forint",Paraméterek!$J$113,Paraméterek!$K$113),IF($D$4="Forint",Paraméterek!$J$113,Paraméterek!$K$113),IF(IF(ISBLANK($AW391),$AV391,$AW391)*Paraméterek!$J$112&gt;IF($D$4="Forint",Paraméterek!$J$114,Paraméterek!$K$114),IF($D$4="Forint",Paraméterek!$J$114,Paraméterek!$K$114),IF(ISBLANK($AW391),$AV391,$AW391)*Paraméterek!$J$112))),IF($D$4="Forint",0,2))</f>
        <v>0</v>
      </c>
      <c r="AY391" s="13">
        <f>$AR391+$AT391-$AU391-IF(ROUNDDOWN(IF(ISBLANK($AW391),$AV391,$AW391),IF($D$4="Forint",0,2))&gt;$AR391+$AT391-$AU391-IF($D$4="Forint",Paraméterek!$J$114,Paraméterek!$K$114),0,ROUNDDOWN(IF(ISBLANK($AW391),$AV391,$AW391),IF($D$4="Forint",0,2))-$AX391)</f>
        <v>0</v>
      </c>
      <c r="AZ391" s="13">
        <f t="shared" si="84"/>
        <v>0</v>
      </c>
    </row>
    <row r="392" spans="1:52" x14ac:dyDescent="0.2">
      <c r="A392" s="32">
        <v>373</v>
      </c>
      <c r="B392" s="32">
        <v>32</v>
      </c>
      <c r="C392" s="32">
        <v>1</v>
      </c>
      <c r="D392" s="13">
        <f t="shared" si="75"/>
        <v>0</v>
      </c>
      <c r="E392" s="13"/>
      <c r="F392" s="13">
        <f>Tranzakciók!$D$63</f>
        <v>0</v>
      </c>
      <c r="G392" s="13"/>
      <c r="H392" s="13">
        <f t="shared" si="76"/>
        <v>0</v>
      </c>
      <c r="I392" s="13">
        <f t="shared" si="77"/>
        <v>251</v>
      </c>
      <c r="J392" s="13">
        <f t="shared" si="78"/>
        <v>251</v>
      </c>
      <c r="K392" s="13">
        <f>ROUNDUP(IF($D$2="Egyszeri",$D392,IF($D$2="Havi",SUM($D$20:$D$31),IF(MOD($C392,$M$1)-1=0,SUM($D$20:$D$31),0))/12*$M$1)*VLOOKUP($B392,Paraméterek!$B$27:$D$30,IF($D$2="Egyszeri",3,2)),IF($D$4="Forint",0,2))</f>
        <v>0</v>
      </c>
      <c r="L392" s="13">
        <f t="shared" si="79"/>
        <v>0</v>
      </c>
      <c r="M392" s="13">
        <f t="shared" ca="1" si="85"/>
        <v>-235387</v>
      </c>
      <c r="N392" s="13">
        <f ca="1">IF($V391&gt;=VLOOKUP($M$4-1+$B392,Paraméterek!$B$121:$D$122,IF($D$4="Forint",2,3)),0,VLOOKUP($M$4-1+$B392,Paraméterek!$B$121:$D$122,IF($D$4="Forint",2,3))-$V391)</f>
        <v>245387</v>
      </c>
      <c r="O392" s="13">
        <f ca="1">ROUNDUP($N392*Paraméterek!$C$58/Paraméterek!$C$56,IF($D$4="Forint",0,2))</f>
        <v>40</v>
      </c>
      <c r="P392" s="13">
        <f t="shared" si="80"/>
        <v>1376</v>
      </c>
      <c r="Q392" s="33"/>
      <c r="R392" s="13">
        <f t="shared" ca="1" si="81"/>
        <v>0</v>
      </c>
      <c r="S392" s="13">
        <f ca="1">ROUNDUP(($M392-$O392-$P392+$R392)*VLOOKUP($B392,Paraméterek!$B$38:$D$39,IF($D$2="Egyszeri",3,2))/12,IF($D$4="Forint",0,2))</f>
        <v>-579</v>
      </c>
      <c r="T392" s="13"/>
      <c r="U392" s="13"/>
      <c r="V392" s="13">
        <f ca="1">$M392-$O392-$P392+$R392-$S392-IF(ROUNDUP(IF(ISBLANK($U392),$T392,$U392)/IF(AND($B392=1,$D$2&lt;&gt;"Egyszeri"),1,VLOOKUP($B392+IF($C392=12,1,0),Paraméterek!$B$257:$D$267,IF($D$2="Egyszeri",3,2))),IF($D$4="Forint",0,2))&gt;$M392-$O392-$P392+$R392-$S392-IF($D$4="Forint",Paraméterek!$C$216,Paraméterek!$D$216),0,ROUNDUP(IF(ISBLANK($U392),$T392,$U392)/IF(AND($B392=1,$D$2&lt;&gt;"Egyszeri"),1,VLOOKUP($B392+IF($C392=12,1,0),Paraméterek!$B$257:$D$267,IF($D$2="Egyszeri",3,2))),IF($D$4="Forint",0,2)))</f>
        <v>-236224</v>
      </c>
      <c r="W392" s="13">
        <f ca="1">ROUNDDOWN($V392*VLOOKUP($B392+IF($C392=12,1,0),Paraméterek!$B$257:$D$267,IF($D$2="Egyszeri",3,2)),IF($D$4="Forint",0,2))</f>
        <v>-236224</v>
      </c>
      <c r="Y392" s="32">
        <v>373</v>
      </c>
      <c r="Z392" s="32">
        <v>32</v>
      </c>
      <c r="AA392" s="32">
        <v>1</v>
      </c>
      <c r="AB392" s="13">
        <f t="shared" si="86"/>
        <v>0</v>
      </c>
      <c r="AC392" s="33"/>
      <c r="AD392" s="13">
        <f t="shared" si="82"/>
        <v>0</v>
      </c>
      <c r="AE392" s="13">
        <f>ROUNDUP(($AB392+$AD392)*VLOOKUP($Z392,Paraméterek!$P$38:$Q$38,2)/12,IF($D$4="Forint",0,2))</f>
        <v>0</v>
      </c>
      <c r="AF392" s="13">
        <f>IF($D$2="Egyszeri",IF($D$7&gt;=IF($D$4="Forint",Paraméterek!$P$223,Paraméterek!$P$224),$D$7-IF($D$4="Forint",Paraméterek!$F$223,Paraméterek!$F$224),0),MIN(IF($AA392=12,AVERAGE($D$20:$D392)*12,0),SUM($D$20:$D$31)))</f>
        <v>0</v>
      </c>
      <c r="AG392" s="13">
        <f>IF(AND($Z392&gt;=10,MOD($Z392,5)=0),$AF392*IF($AA392=12,VLOOKUP($Z392,Paraméterek!$B$225:$F$240,IF($AF392&lt;IF($D$4="Forint",Paraméterek!$C$223,Paraméterek!$C$224),2,IF($AF392&lt;IF($D$4="Forint",Paraméterek!$D$223,Paraméterek!$D$224),3,4))),0),0)</f>
        <v>0</v>
      </c>
      <c r="AH392" s="13">
        <f>IF(AND($Z392&gt;=5,MOD($Z392,5)=0),IF($AA392=12,VLOOKUP($Z392,Paraméterek!$B$225:$F$240,5),0),IF(OR($Z392=3,$Z392=4),IF($AA392=12,VLOOKUP($Z392,Paraméterek!$B$225:$F$240,5,0),0),0))*$AF392</f>
        <v>0</v>
      </c>
      <c r="AI392" s="13">
        <f>ROUNDDOWN(IF(SUM($T$20:$U392)=0,IF($D$2="Egyszeri",$AH392,$AG392),0),IF($D$4="Forint",0,2))</f>
        <v>0</v>
      </c>
      <c r="AJ392" s="13">
        <f t="shared" si="87"/>
        <v>0</v>
      </c>
      <c r="AK392" s="13">
        <f t="shared" si="88"/>
        <v>0</v>
      </c>
      <c r="AM392" s="32">
        <v>373</v>
      </c>
      <c r="AN392" s="32">
        <v>32</v>
      </c>
      <c r="AO392" s="32">
        <v>1</v>
      </c>
      <c r="AP392" s="13">
        <f>Tranzakciók!$K$63</f>
        <v>0</v>
      </c>
      <c r="AQ392" s="32"/>
      <c r="AR392" s="13">
        <f t="shared" si="89"/>
        <v>0</v>
      </c>
      <c r="AS392" s="33"/>
      <c r="AT392" s="13">
        <f t="shared" si="83"/>
        <v>0</v>
      </c>
      <c r="AU392" s="13">
        <f>ROUNDUP(($AR392+$AT392)*VLOOKUP($AN392,Paraméterek!$P$38:$Q$38,2)/12,IF($D$4="Forint",0,2))</f>
        <v>0</v>
      </c>
      <c r="AV392" s="13"/>
      <c r="AW392" s="13"/>
      <c r="AX392" s="13">
        <f>ROUNDUP(IF(SUM($AV392:$AW392)=0,0,IF(IF(ISBLANK($AW392),$AV392,$AW392)*Paraméterek!$J$112&lt;IF($D$4="Forint",Paraméterek!$J$113,Paraméterek!$K$113),IF($D$4="Forint",Paraméterek!$J$113,Paraméterek!$K$113),IF(IF(ISBLANK($AW392),$AV392,$AW392)*Paraméterek!$J$112&gt;IF($D$4="Forint",Paraméterek!$J$114,Paraméterek!$K$114),IF($D$4="Forint",Paraméterek!$J$114,Paraméterek!$K$114),IF(ISBLANK($AW392),$AV392,$AW392)*Paraméterek!$J$112))),IF($D$4="Forint",0,2))</f>
        <v>0</v>
      </c>
      <c r="AY392" s="13">
        <f>$AR392+$AT392-$AU392-IF(ROUNDDOWN(IF(ISBLANK($AW392),$AV392,$AW392),IF($D$4="Forint",0,2))&gt;$AR392+$AT392-$AU392-IF($D$4="Forint",Paraméterek!$J$114,Paraméterek!$K$114),0,ROUNDDOWN(IF(ISBLANK($AW392),$AV392,$AW392),IF($D$4="Forint",0,2))-$AX392)</f>
        <v>0</v>
      </c>
      <c r="AZ392" s="13">
        <f t="shared" si="84"/>
        <v>0</v>
      </c>
    </row>
    <row r="393" spans="1:52" x14ac:dyDescent="0.2">
      <c r="A393" s="32">
        <v>374</v>
      </c>
      <c r="B393" s="32">
        <v>32</v>
      </c>
      <c r="C393" s="32">
        <v>2</v>
      </c>
      <c r="D393" s="13">
        <f t="shared" si="75"/>
        <v>0</v>
      </c>
      <c r="E393" s="13"/>
      <c r="F393" s="13"/>
      <c r="G393" s="13"/>
      <c r="H393" s="13">
        <f t="shared" si="76"/>
        <v>0</v>
      </c>
      <c r="I393" s="13">
        <f t="shared" si="77"/>
        <v>0</v>
      </c>
      <c r="J393" s="13">
        <f t="shared" si="78"/>
        <v>0</v>
      </c>
      <c r="K393" s="13">
        <f>ROUNDUP(IF($D$2="Egyszeri",$D393,IF($D$2="Havi",SUM($D$20:$D$31),IF(MOD($C393,$M$1)-1=0,SUM($D$20:$D$31),0))/12*$M$1)*VLOOKUP($B393,Paraméterek!$B$27:$D$30,IF($D$2="Egyszeri",3,2)),IF($D$4="Forint",0,2))</f>
        <v>0</v>
      </c>
      <c r="L393" s="13">
        <f t="shared" si="79"/>
        <v>0</v>
      </c>
      <c r="M393" s="13">
        <f t="shared" ca="1" si="85"/>
        <v>-236224</v>
      </c>
      <c r="N393" s="13">
        <f ca="1">IF($V392&gt;=VLOOKUP($M$4-1+$B393,Paraméterek!$B$121:$D$122,IF($D$4="Forint",2,3)),0,VLOOKUP($M$4-1+$B393,Paraméterek!$B$121:$D$122,IF($D$4="Forint",2,3))-$V392)</f>
        <v>246224</v>
      </c>
      <c r="O393" s="13">
        <f ca="1">ROUNDUP($N393*Paraméterek!$C$58/Paraméterek!$C$56,IF($D$4="Forint",0,2))</f>
        <v>40</v>
      </c>
      <c r="P393" s="13">
        <f t="shared" si="80"/>
        <v>1376</v>
      </c>
      <c r="Q393" s="33"/>
      <c r="R393" s="13">
        <f t="shared" ca="1" si="81"/>
        <v>0</v>
      </c>
      <c r="S393" s="13">
        <f ca="1">ROUNDUP(($M393-$O393-$P393+$R393)*VLOOKUP($B393,Paraméterek!$B$38:$D$39,IF($D$2="Egyszeri",3,2))/12,IF($D$4="Forint",0,2))</f>
        <v>-581</v>
      </c>
      <c r="T393" s="13"/>
      <c r="U393" s="13"/>
      <c r="V393" s="13">
        <f ca="1">$M393-$O393-$P393+$R393-$S393-IF(ROUNDUP(IF(ISBLANK($U393),$T393,$U393)/IF(AND($B393=1,$D$2&lt;&gt;"Egyszeri"),1,VLOOKUP($B393+IF($C393=12,1,0),Paraméterek!$B$257:$D$267,IF($D$2="Egyszeri",3,2))),IF($D$4="Forint",0,2))&gt;$M393-$O393-$P393+$R393-$S393-IF($D$4="Forint",Paraméterek!$C$216,Paraméterek!$D$216),0,ROUNDUP(IF(ISBLANK($U393),$T393,$U393)/IF(AND($B393=1,$D$2&lt;&gt;"Egyszeri"),1,VLOOKUP($B393+IF($C393=12,1,0),Paraméterek!$B$257:$D$267,IF($D$2="Egyszeri",3,2))),IF($D$4="Forint",0,2)))</f>
        <v>-237059</v>
      </c>
      <c r="W393" s="13">
        <f ca="1">ROUNDDOWN($V393*VLOOKUP($B393+IF($C393=12,1,0),Paraméterek!$B$257:$D$267,IF($D$2="Egyszeri",3,2)),IF($D$4="Forint",0,2))</f>
        <v>-237059</v>
      </c>
      <c r="Y393" s="32">
        <v>374</v>
      </c>
      <c r="Z393" s="32">
        <v>32</v>
      </c>
      <c r="AA393" s="32">
        <v>2</v>
      </c>
      <c r="AB393" s="13">
        <f t="shared" si="86"/>
        <v>0</v>
      </c>
      <c r="AC393" s="33"/>
      <c r="AD393" s="13">
        <f t="shared" si="82"/>
        <v>0</v>
      </c>
      <c r="AE393" s="13">
        <f>ROUNDUP(($AB393+$AD393)*VLOOKUP($Z393,Paraméterek!$P$38:$Q$38,2)/12,IF($D$4="Forint",0,2))</f>
        <v>0</v>
      </c>
      <c r="AF393" s="13">
        <f>IF($D$2="Egyszeri",IF($D$7&gt;=IF($D$4="Forint",Paraméterek!$P$223,Paraméterek!$P$224),$D$7-IF($D$4="Forint",Paraméterek!$F$223,Paraméterek!$F$224),0),MIN(IF($AA393=12,AVERAGE($D$20:$D393)*12,0),SUM($D$20:$D$31)))</f>
        <v>0</v>
      </c>
      <c r="AG393" s="13">
        <f>IF(AND($Z393&gt;=10,MOD($Z393,5)=0),$AF393*IF($AA393=12,VLOOKUP($Z393,Paraméterek!$B$225:$F$240,IF($AF393&lt;IF($D$4="Forint",Paraméterek!$C$223,Paraméterek!$C$224),2,IF($AF393&lt;IF($D$4="Forint",Paraméterek!$D$223,Paraméterek!$D$224),3,4))),0),0)</f>
        <v>0</v>
      </c>
      <c r="AH393" s="13">
        <f>IF(AND($Z393&gt;=5,MOD($Z393,5)=0),IF($AA393=12,VLOOKUP($Z393,Paraméterek!$B$225:$F$240,5),0),IF(OR($Z393=3,$Z393=4),IF($AA393=12,VLOOKUP($Z393,Paraméterek!$B$225:$F$240,5,0),0),0))*$AF393</f>
        <v>0</v>
      </c>
      <c r="AI393" s="13">
        <f>ROUNDDOWN(IF(SUM($T$20:$U393)=0,IF($D$2="Egyszeri",$AH393,$AG393),0),IF($D$4="Forint",0,2))</f>
        <v>0</v>
      </c>
      <c r="AJ393" s="13">
        <f t="shared" si="87"/>
        <v>0</v>
      </c>
      <c r="AK393" s="13">
        <f t="shared" si="88"/>
        <v>0</v>
      </c>
      <c r="AM393" s="32">
        <v>374</v>
      </c>
      <c r="AN393" s="32">
        <v>32</v>
      </c>
      <c r="AO393" s="32">
        <v>2</v>
      </c>
      <c r="AP393" s="13"/>
      <c r="AQ393" s="32"/>
      <c r="AR393" s="13">
        <f t="shared" si="89"/>
        <v>0</v>
      </c>
      <c r="AS393" s="33"/>
      <c r="AT393" s="13">
        <f t="shared" si="83"/>
        <v>0</v>
      </c>
      <c r="AU393" s="13">
        <f>ROUNDUP(($AR393+$AT393)*VLOOKUP($AN393,Paraméterek!$P$38:$Q$38,2)/12,IF($D$4="Forint",0,2))</f>
        <v>0</v>
      </c>
      <c r="AV393" s="13"/>
      <c r="AW393" s="13"/>
      <c r="AX393" s="13">
        <f>ROUNDUP(IF(SUM($AV393:$AW393)=0,0,IF(IF(ISBLANK($AW393),$AV393,$AW393)*Paraméterek!$J$112&lt;IF($D$4="Forint",Paraméterek!$J$113,Paraméterek!$K$113),IF($D$4="Forint",Paraméterek!$J$113,Paraméterek!$K$113),IF(IF(ISBLANK($AW393),$AV393,$AW393)*Paraméterek!$J$112&gt;IF($D$4="Forint",Paraméterek!$J$114,Paraméterek!$K$114),IF($D$4="Forint",Paraméterek!$J$114,Paraméterek!$K$114),IF(ISBLANK($AW393),$AV393,$AW393)*Paraméterek!$J$112))),IF($D$4="Forint",0,2))</f>
        <v>0</v>
      </c>
      <c r="AY393" s="13">
        <f>$AR393+$AT393-$AU393-IF(ROUNDDOWN(IF(ISBLANK($AW393),$AV393,$AW393),IF($D$4="Forint",0,2))&gt;$AR393+$AT393-$AU393-IF($D$4="Forint",Paraméterek!$J$114,Paraméterek!$K$114),0,ROUNDDOWN(IF(ISBLANK($AW393),$AV393,$AW393),IF($D$4="Forint",0,2))-$AX393)</f>
        <v>0</v>
      </c>
      <c r="AZ393" s="13">
        <f t="shared" si="84"/>
        <v>0</v>
      </c>
    </row>
    <row r="394" spans="1:52" x14ac:dyDescent="0.2">
      <c r="A394" s="32">
        <v>375</v>
      </c>
      <c r="B394" s="32">
        <v>32</v>
      </c>
      <c r="C394" s="32">
        <v>3</v>
      </c>
      <c r="D394" s="13">
        <f t="shared" si="75"/>
        <v>0</v>
      </c>
      <c r="E394" s="13"/>
      <c r="F394" s="13"/>
      <c r="G394" s="13"/>
      <c r="H394" s="13">
        <f t="shared" si="76"/>
        <v>0</v>
      </c>
      <c r="I394" s="13">
        <f t="shared" si="77"/>
        <v>0</v>
      </c>
      <c r="J394" s="13">
        <f t="shared" si="78"/>
        <v>0</v>
      </c>
      <c r="K394" s="13">
        <f>ROUNDUP(IF($D$2="Egyszeri",$D394,IF($D$2="Havi",SUM($D$20:$D$31),IF(MOD($C394,$M$1)-1=0,SUM($D$20:$D$31),0))/12*$M$1)*VLOOKUP($B394,Paraméterek!$B$27:$D$30,IF($D$2="Egyszeri",3,2)),IF($D$4="Forint",0,2))</f>
        <v>0</v>
      </c>
      <c r="L394" s="13">
        <f t="shared" si="79"/>
        <v>0</v>
      </c>
      <c r="M394" s="13">
        <f t="shared" ca="1" si="85"/>
        <v>-237059</v>
      </c>
      <c r="N394" s="13">
        <f ca="1">IF($V393&gt;=VLOOKUP($M$4-1+$B394,Paraméterek!$B$121:$D$122,IF($D$4="Forint",2,3)),0,VLOOKUP($M$4-1+$B394,Paraméterek!$B$121:$D$122,IF($D$4="Forint",2,3))-$V393)</f>
        <v>247059</v>
      </c>
      <c r="O394" s="13">
        <f ca="1">ROUNDUP($N394*Paraméterek!$C$58/Paraméterek!$C$56,IF($D$4="Forint",0,2))</f>
        <v>40</v>
      </c>
      <c r="P394" s="13">
        <f t="shared" si="80"/>
        <v>1376</v>
      </c>
      <c r="Q394" s="33"/>
      <c r="R394" s="13">
        <f t="shared" ca="1" si="81"/>
        <v>0</v>
      </c>
      <c r="S394" s="13">
        <f ca="1">ROUNDUP(($M394-$O394-$P394+$R394)*VLOOKUP($B394,Paraméterek!$B$38:$D$39,IF($D$2="Egyszeri",3,2))/12,IF($D$4="Forint",0,2))</f>
        <v>-583</v>
      </c>
      <c r="T394" s="13"/>
      <c r="U394" s="13"/>
      <c r="V394" s="13">
        <f ca="1">$M394-$O394-$P394+$R394-$S394-IF(ROUNDUP(IF(ISBLANK($U394),$T394,$U394)/IF(AND($B394=1,$D$2&lt;&gt;"Egyszeri"),1,VLOOKUP($B394+IF($C394=12,1,0),Paraméterek!$B$257:$D$267,IF($D$2="Egyszeri",3,2))),IF($D$4="Forint",0,2))&gt;$M394-$O394-$P394+$R394-$S394-IF($D$4="Forint",Paraméterek!$C$216,Paraméterek!$D$216),0,ROUNDUP(IF(ISBLANK($U394),$T394,$U394)/IF(AND($B394=1,$D$2&lt;&gt;"Egyszeri"),1,VLOOKUP($B394+IF($C394=12,1,0),Paraméterek!$B$257:$D$267,IF($D$2="Egyszeri",3,2))),IF($D$4="Forint",0,2)))</f>
        <v>-237892</v>
      </c>
      <c r="W394" s="13">
        <f ca="1">ROUNDDOWN($V394*VLOOKUP($B394+IF($C394=12,1,0),Paraméterek!$B$257:$D$267,IF($D$2="Egyszeri",3,2)),IF($D$4="Forint",0,2))</f>
        <v>-237892</v>
      </c>
      <c r="Y394" s="32">
        <v>375</v>
      </c>
      <c r="Z394" s="32">
        <v>32</v>
      </c>
      <c r="AA394" s="32">
        <v>3</v>
      </c>
      <c r="AB394" s="13">
        <f t="shared" si="86"/>
        <v>0</v>
      </c>
      <c r="AC394" s="33"/>
      <c r="AD394" s="13">
        <f t="shared" si="82"/>
        <v>0</v>
      </c>
      <c r="AE394" s="13">
        <f>ROUNDUP(($AB394+$AD394)*VLOOKUP($Z394,Paraméterek!$P$38:$Q$38,2)/12,IF($D$4="Forint",0,2))</f>
        <v>0</v>
      </c>
      <c r="AF394" s="13">
        <f>IF($D$2="Egyszeri",IF($D$7&gt;=IF($D$4="Forint",Paraméterek!$P$223,Paraméterek!$P$224),$D$7-IF($D$4="Forint",Paraméterek!$F$223,Paraméterek!$F$224),0),MIN(IF($AA394=12,AVERAGE($D$20:$D394)*12,0),SUM($D$20:$D$31)))</f>
        <v>0</v>
      </c>
      <c r="AG394" s="13">
        <f>IF(AND($Z394&gt;=10,MOD($Z394,5)=0),$AF394*IF($AA394=12,VLOOKUP($Z394,Paraméterek!$B$225:$F$240,IF($AF394&lt;IF($D$4="Forint",Paraméterek!$C$223,Paraméterek!$C$224),2,IF($AF394&lt;IF($D$4="Forint",Paraméterek!$D$223,Paraméterek!$D$224),3,4))),0),0)</f>
        <v>0</v>
      </c>
      <c r="AH394" s="13">
        <f>IF(AND($Z394&gt;=5,MOD($Z394,5)=0),IF($AA394=12,VLOOKUP($Z394,Paraméterek!$B$225:$F$240,5),0),IF(OR($Z394=3,$Z394=4),IF($AA394=12,VLOOKUP($Z394,Paraméterek!$B$225:$F$240,5,0),0),0))*$AF394</f>
        <v>0</v>
      </c>
      <c r="AI394" s="13">
        <f>ROUNDDOWN(IF(SUM($T$20:$U394)=0,IF($D$2="Egyszeri",$AH394,$AG394),0),IF($D$4="Forint",0,2))</f>
        <v>0</v>
      </c>
      <c r="AJ394" s="13">
        <f t="shared" si="87"/>
        <v>0</v>
      </c>
      <c r="AK394" s="13">
        <f t="shared" si="88"/>
        <v>0</v>
      </c>
      <c r="AM394" s="32">
        <v>375</v>
      </c>
      <c r="AN394" s="32">
        <v>32</v>
      </c>
      <c r="AO394" s="32">
        <v>3</v>
      </c>
      <c r="AP394" s="13"/>
      <c r="AQ394" s="32"/>
      <c r="AR394" s="13">
        <f t="shared" si="89"/>
        <v>0</v>
      </c>
      <c r="AS394" s="33"/>
      <c r="AT394" s="13">
        <f t="shared" si="83"/>
        <v>0</v>
      </c>
      <c r="AU394" s="13">
        <f>ROUNDUP(($AR394+$AT394)*VLOOKUP($AN394,Paraméterek!$P$38:$Q$38,2)/12,IF($D$4="Forint",0,2))</f>
        <v>0</v>
      </c>
      <c r="AV394" s="13"/>
      <c r="AW394" s="13"/>
      <c r="AX394" s="13">
        <f>ROUNDUP(IF(SUM($AV394:$AW394)=0,0,IF(IF(ISBLANK($AW394),$AV394,$AW394)*Paraméterek!$J$112&lt;IF($D$4="Forint",Paraméterek!$J$113,Paraméterek!$K$113),IF($D$4="Forint",Paraméterek!$J$113,Paraméterek!$K$113),IF(IF(ISBLANK($AW394),$AV394,$AW394)*Paraméterek!$J$112&gt;IF($D$4="Forint",Paraméterek!$J$114,Paraméterek!$K$114),IF($D$4="Forint",Paraméterek!$J$114,Paraméterek!$K$114),IF(ISBLANK($AW394),$AV394,$AW394)*Paraméterek!$J$112))),IF($D$4="Forint",0,2))</f>
        <v>0</v>
      </c>
      <c r="AY394" s="13">
        <f>$AR394+$AT394-$AU394-IF(ROUNDDOWN(IF(ISBLANK($AW394),$AV394,$AW394),IF($D$4="Forint",0,2))&gt;$AR394+$AT394-$AU394-IF($D$4="Forint",Paraméterek!$J$114,Paraméterek!$K$114),0,ROUNDDOWN(IF(ISBLANK($AW394),$AV394,$AW394),IF($D$4="Forint",0,2))-$AX394)</f>
        <v>0</v>
      </c>
      <c r="AZ394" s="13">
        <f t="shared" si="84"/>
        <v>0</v>
      </c>
    </row>
    <row r="395" spans="1:52" x14ac:dyDescent="0.2">
      <c r="A395" s="32">
        <v>376</v>
      </c>
      <c r="B395" s="32">
        <v>32</v>
      </c>
      <c r="C395" s="32">
        <v>4</v>
      </c>
      <c r="D395" s="13">
        <f t="shared" si="75"/>
        <v>0</v>
      </c>
      <c r="E395" s="13"/>
      <c r="F395" s="13"/>
      <c r="G395" s="13"/>
      <c r="H395" s="13">
        <f t="shared" si="76"/>
        <v>0</v>
      </c>
      <c r="I395" s="13">
        <f t="shared" si="77"/>
        <v>0</v>
      </c>
      <c r="J395" s="13">
        <f t="shared" si="78"/>
        <v>0</v>
      </c>
      <c r="K395" s="13">
        <f>ROUNDUP(IF($D$2="Egyszeri",$D395,IF($D$2="Havi",SUM($D$20:$D$31),IF(MOD($C395,$M$1)-1=0,SUM($D$20:$D$31),0))/12*$M$1)*VLOOKUP($B395,Paraméterek!$B$27:$D$30,IF($D$2="Egyszeri",3,2)),IF($D$4="Forint",0,2))</f>
        <v>0</v>
      </c>
      <c r="L395" s="13">
        <f t="shared" si="79"/>
        <v>0</v>
      </c>
      <c r="M395" s="13">
        <f t="shared" ca="1" si="85"/>
        <v>-237892</v>
      </c>
      <c r="N395" s="13">
        <f ca="1">IF($V394&gt;=VLOOKUP($M$4-1+$B395,Paraméterek!$B$121:$D$122,IF($D$4="Forint",2,3)),0,VLOOKUP($M$4-1+$B395,Paraméterek!$B$121:$D$122,IF($D$4="Forint",2,3))-$V394)</f>
        <v>247892</v>
      </c>
      <c r="O395" s="13">
        <f ca="1">ROUNDUP($N395*Paraméterek!$C$58/Paraméterek!$C$56,IF($D$4="Forint",0,2))</f>
        <v>40</v>
      </c>
      <c r="P395" s="13">
        <f t="shared" si="80"/>
        <v>1376</v>
      </c>
      <c r="Q395" s="33"/>
      <c r="R395" s="13">
        <f t="shared" ca="1" si="81"/>
        <v>0</v>
      </c>
      <c r="S395" s="13">
        <f ca="1">ROUNDUP(($M395-$O395-$P395+$R395)*VLOOKUP($B395,Paraméterek!$B$38:$D$39,IF($D$2="Egyszeri",3,2))/12,IF($D$4="Forint",0,2))</f>
        <v>-585</v>
      </c>
      <c r="T395" s="13"/>
      <c r="U395" s="13"/>
      <c r="V395" s="13">
        <f ca="1">$M395-$O395-$P395+$R395-$S395-IF(ROUNDUP(IF(ISBLANK($U395),$T395,$U395)/IF(AND($B395=1,$D$2&lt;&gt;"Egyszeri"),1,VLOOKUP($B395+IF($C395=12,1,0),Paraméterek!$B$257:$D$267,IF($D$2="Egyszeri",3,2))),IF($D$4="Forint",0,2))&gt;$M395-$O395-$P395+$R395-$S395-IF($D$4="Forint",Paraméterek!$C$216,Paraméterek!$D$216),0,ROUNDUP(IF(ISBLANK($U395),$T395,$U395)/IF(AND($B395=1,$D$2&lt;&gt;"Egyszeri"),1,VLOOKUP($B395+IF($C395=12,1,0),Paraméterek!$B$257:$D$267,IF($D$2="Egyszeri",3,2))),IF($D$4="Forint",0,2)))</f>
        <v>-238723</v>
      </c>
      <c r="W395" s="13">
        <f ca="1">ROUNDDOWN($V395*VLOOKUP($B395+IF($C395=12,1,0),Paraméterek!$B$257:$D$267,IF($D$2="Egyszeri",3,2)),IF($D$4="Forint",0,2))</f>
        <v>-238723</v>
      </c>
      <c r="Y395" s="32">
        <v>376</v>
      </c>
      <c r="Z395" s="32">
        <v>32</v>
      </c>
      <c r="AA395" s="32">
        <v>4</v>
      </c>
      <c r="AB395" s="13">
        <f t="shared" si="86"/>
        <v>0</v>
      </c>
      <c r="AC395" s="33"/>
      <c r="AD395" s="13">
        <f t="shared" si="82"/>
        <v>0</v>
      </c>
      <c r="AE395" s="13">
        <f>ROUNDUP(($AB395+$AD395)*VLOOKUP($Z395,Paraméterek!$P$38:$Q$38,2)/12,IF($D$4="Forint",0,2))</f>
        <v>0</v>
      </c>
      <c r="AF395" s="13">
        <f>IF($D$2="Egyszeri",IF($D$7&gt;=IF($D$4="Forint",Paraméterek!$P$223,Paraméterek!$P$224),$D$7-IF($D$4="Forint",Paraméterek!$F$223,Paraméterek!$F$224),0),MIN(IF($AA395=12,AVERAGE($D$20:$D395)*12,0),SUM($D$20:$D$31)))</f>
        <v>0</v>
      </c>
      <c r="AG395" s="13">
        <f>IF(AND($Z395&gt;=10,MOD($Z395,5)=0),$AF395*IF($AA395=12,VLOOKUP($Z395,Paraméterek!$B$225:$F$240,IF($AF395&lt;IF($D$4="Forint",Paraméterek!$C$223,Paraméterek!$C$224),2,IF($AF395&lt;IF($D$4="Forint",Paraméterek!$D$223,Paraméterek!$D$224),3,4))),0),0)</f>
        <v>0</v>
      </c>
      <c r="AH395" s="13">
        <f>IF(AND($Z395&gt;=5,MOD($Z395,5)=0),IF($AA395=12,VLOOKUP($Z395,Paraméterek!$B$225:$F$240,5),0),IF(OR($Z395=3,$Z395=4),IF($AA395=12,VLOOKUP($Z395,Paraméterek!$B$225:$F$240,5,0),0),0))*$AF395</f>
        <v>0</v>
      </c>
      <c r="AI395" s="13">
        <f>ROUNDDOWN(IF(SUM($T$20:$U395)=0,IF($D$2="Egyszeri",$AH395,$AG395),0),IF($D$4="Forint",0,2))</f>
        <v>0</v>
      </c>
      <c r="AJ395" s="13">
        <f t="shared" si="87"/>
        <v>0</v>
      </c>
      <c r="AK395" s="13">
        <f t="shared" si="88"/>
        <v>0</v>
      </c>
      <c r="AM395" s="32">
        <v>376</v>
      </c>
      <c r="AN395" s="32">
        <v>32</v>
      </c>
      <c r="AO395" s="32">
        <v>4</v>
      </c>
      <c r="AP395" s="13"/>
      <c r="AQ395" s="32"/>
      <c r="AR395" s="13">
        <f t="shared" si="89"/>
        <v>0</v>
      </c>
      <c r="AS395" s="33"/>
      <c r="AT395" s="13">
        <f t="shared" si="83"/>
        <v>0</v>
      </c>
      <c r="AU395" s="13">
        <f>ROUNDUP(($AR395+$AT395)*VLOOKUP($AN395,Paraméterek!$P$38:$Q$38,2)/12,IF($D$4="Forint",0,2))</f>
        <v>0</v>
      </c>
      <c r="AV395" s="13"/>
      <c r="AW395" s="13"/>
      <c r="AX395" s="13">
        <f>ROUNDUP(IF(SUM($AV395:$AW395)=0,0,IF(IF(ISBLANK($AW395),$AV395,$AW395)*Paraméterek!$J$112&lt;IF($D$4="Forint",Paraméterek!$J$113,Paraméterek!$K$113),IF($D$4="Forint",Paraméterek!$J$113,Paraméterek!$K$113),IF(IF(ISBLANK($AW395),$AV395,$AW395)*Paraméterek!$J$112&gt;IF($D$4="Forint",Paraméterek!$J$114,Paraméterek!$K$114),IF($D$4="Forint",Paraméterek!$J$114,Paraméterek!$K$114),IF(ISBLANK($AW395),$AV395,$AW395)*Paraméterek!$J$112))),IF($D$4="Forint",0,2))</f>
        <v>0</v>
      </c>
      <c r="AY395" s="13">
        <f>$AR395+$AT395-$AU395-IF(ROUNDDOWN(IF(ISBLANK($AW395),$AV395,$AW395),IF($D$4="Forint",0,2))&gt;$AR395+$AT395-$AU395-IF($D$4="Forint",Paraméterek!$J$114,Paraméterek!$K$114),0,ROUNDDOWN(IF(ISBLANK($AW395),$AV395,$AW395),IF($D$4="Forint",0,2))-$AX395)</f>
        <v>0</v>
      </c>
      <c r="AZ395" s="13">
        <f t="shared" si="84"/>
        <v>0</v>
      </c>
    </row>
    <row r="396" spans="1:52" x14ac:dyDescent="0.2">
      <c r="A396" s="32">
        <v>377</v>
      </c>
      <c r="B396" s="32">
        <v>32</v>
      </c>
      <c r="C396" s="32">
        <v>5</v>
      </c>
      <c r="D396" s="13">
        <f t="shared" si="75"/>
        <v>0</v>
      </c>
      <c r="E396" s="13"/>
      <c r="F396" s="13"/>
      <c r="G396" s="13"/>
      <c r="H396" s="13">
        <f t="shared" si="76"/>
        <v>0</v>
      </c>
      <c r="I396" s="13">
        <f t="shared" si="77"/>
        <v>0</v>
      </c>
      <c r="J396" s="13">
        <f t="shared" si="78"/>
        <v>0</v>
      </c>
      <c r="K396" s="13">
        <f>ROUNDUP(IF($D$2="Egyszeri",$D396,IF($D$2="Havi",SUM($D$20:$D$31),IF(MOD($C396,$M$1)-1=0,SUM($D$20:$D$31),0))/12*$M$1)*VLOOKUP($B396,Paraméterek!$B$27:$D$30,IF($D$2="Egyszeri",3,2)),IF($D$4="Forint",0,2))</f>
        <v>0</v>
      </c>
      <c r="L396" s="13">
        <f t="shared" si="79"/>
        <v>0</v>
      </c>
      <c r="M396" s="13">
        <f t="shared" ca="1" si="85"/>
        <v>-238723</v>
      </c>
      <c r="N396" s="13">
        <f ca="1">IF($V395&gt;=VLOOKUP($M$4-1+$B396,Paraméterek!$B$121:$D$122,IF($D$4="Forint",2,3)),0,VLOOKUP($M$4-1+$B396,Paraméterek!$B$121:$D$122,IF($D$4="Forint",2,3))-$V395)</f>
        <v>248723</v>
      </c>
      <c r="O396" s="13">
        <f ca="1">ROUNDUP($N396*Paraméterek!$C$58/Paraméterek!$C$56,IF($D$4="Forint",0,2))</f>
        <v>40</v>
      </c>
      <c r="P396" s="13">
        <f t="shared" si="80"/>
        <v>1376</v>
      </c>
      <c r="Q396" s="33"/>
      <c r="R396" s="13">
        <f t="shared" ca="1" si="81"/>
        <v>0</v>
      </c>
      <c r="S396" s="13">
        <f ca="1">ROUNDUP(($M396-$O396-$P396+$R396)*VLOOKUP($B396,Paraméterek!$B$38:$D$39,IF($D$2="Egyszeri",3,2))/12,IF($D$4="Forint",0,2))</f>
        <v>-587</v>
      </c>
      <c r="T396" s="13"/>
      <c r="U396" s="13"/>
      <c r="V396" s="13">
        <f ca="1">$M396-$O396-$P396+$R396-$S396-IF(ROUNDUP(IF(ISBLANK($U396),$T396,$U396)/IF(AND($B396=1,$D$2&lt;&gt;"Egyszeri"),1,VLOOKUP($B396+IF($C396=12,1,0),Paraméterek!$B$257:$D$267,IF($D$2="Egyszeri",3,2))),IF($D$4="Forint",0,2))&gt;$M396-$O396-$P396+$R396-$S396-IF($D$4="Forint",Paraméterek!$C$216,Paraméterek!$D$216),0,ROUNDUP(IF(ISBLANK($U396),$T396,$U396)/IF(AND($B396=1,$D$2&lt;&gt;"Egyszeri"),1,VLOOKUP($B396+IF($C396=12,1,0),Paraméterek!$B$257:$D$267,IF($D$2="Egyszeri",3,2))),IF($D$4="Forint",0,2)))</f>
        <v>-239552</v>
      </c>
      <c r="W396" s="13">
        <f ca="1">ROUNDDOWN($V396*VLOOKUP($B396+IF($C396=12,1,0),Paraméterek!$B$257:$D$267,IF($D$2="Egyszeri",3,2)),IF($D$4="Forint",0,2))</f>
        <v>-239552</v>
      </c>
      <c r="Y396" s="32">
        <v>377</v>
      </c>
      <c r="Z396" s="32">
        <v>32</v>
      </c>
      <c r="AA396" s="32">
        <v>5</v>
      </c>
      <c r="AB396" s="13">
        <f t="shared" si="86"/>
        <v>0</v>
      </c>
      <c r="AC396" s="33"/>
      <c r="AD396" s="13">
        <f t="shared" si="82"/>
        <v>0</v>
      </c>
      <c r="AE396" s="13">
        <f>ROUNDUP(($AB396+$AD396)*VLOOKUP($Z396,Paraméterek!$P$38:$Q$38,2)/12,IF($D$4="Forint",0,2))</f>
        <v>0</v>
      </c>
      <c r="AF396" s="13">
        <f>IF($D$2="Egyszeri",IF($D$7&gt;=IF($D$4="Forint",Paraméterek!$P$223,Paraméterek!$P$224),$D$7-IF($D$4="Forint",Paraméterek!$F$223,Paraméterek!$F$224),0),MIN(IF($AA396=12,AVERAGE($D$20:$D396)*12,0),SUM($D$20:$D$31)))</f>
        <v>0</v>
      </c>
      <c r="AG396" s="13">
        <f>IF(AND($Z396&gt;=10,MOD($Z396,5)=0),$AF396*IF($AA396=12,VLOOKUP($Z396,Paraméterek!$B$225:$F$240,IF($AF396&lt;IF($D$4="Forint",Paraméterek!$C$223,Paraméterek!$C$224),2,IF($AF396&lt;IF($D$4="Forint",Paraméterek!$D$223,Paraméterek!$D$224),3,4))),0),0)</f>
        <v>0</v>
      </c>
      <c r="AH396" s="13">
        <f>IF(AND($Z396&gt;=5,MOD($Z396,5)=0),IF($AA396=12,VLOOKUP($Z396,Paraméterek!$B$225:$F$240,5),0),IF(OR($Z396=3,$Z396=4),IF($AA396=12,VLOOKUP($Z396,Paraméterek!$B$225:$F$240,5,0),0),0))*$AF396</f>
        <v>0</v>
      </c>
      <c r="AI396" s="13">
        <f>ROUNDDOWN(IF(SUM($T$20:$U396)=0,IF($D$2="Egyszeri",$AH396,$AG396),0),IF($D$4="Forint",0,2))</f>
        <v>0</v>
      </c>
      <c r="AJ396" s="13">
        <f t="shared" si="87"/>
        <v>0</v>
      </c>
      <c r="AK396" s="13">
        <f t="shared" si="88"/>
        <v>0</v>
      </c>
      <c r="AM396" s="32">
        <v>377</v>
      </c>
      <c r="AN396" s="32">
        <v>32</v>
      </c>
      <c r="AO396" s="32">
        <v>5</v>
      </c>
      <c r="AP396" s="13"/>
      <c r="AQ396" s="32"/>
      <c r="AR396" s="13">
        <f t="shared" si="89"/>
        <v>0</v>
      </c>
      <c r="AS396" s="33"/>
      <c r="AT396" s="13">
        <f t="shared" si="83"/>
        <v>0</v>
      </c>
      <c r="AU396" s="13">
        <f>ROUNDUP(($AR396+$AT396)*VLOOKUP($AN396,Paraméterek!$P$38:$Q$38,2)/12,IF($D$4="Forint",0,2))</f>
        <v>0</v>
      </c>
      <c r="AV396" s="13"/>
      <c r="AW396" s="13"/>
      <c r="AX396" s="13">
        <f>ROUNDUP(IF(SUM($AV396:$AW396)=0,0,IF(IF(ISBLANK($AW396),$AV396,$AW396)*Paraméterek!$J$112&lt;IF($D$4="Forint",Paraméterek!$J$113,Paraméterek!$K$113),IF($D$4="Forint",Paraméterek!$J$113,Paraméterek!$K$113),IF(IF(ISBLANK($AW396),$AV396,$AW396)*Paraméterek!$J$112&gt;IF($D$4="Forint",Paraméterek!$J$114,Paraméterek!$K$114),IF($D$4="Forint",Paraméterek!$J$114,Paraméterek!$K$114),IF(ISBLANK($AW396),$AV396,$AW396)*Paraméterek!$J$112))),IF($D$4="Forint",0,2))</f>
        <v>0</v>
      </c>
      <c r="AY396" s="13">
        <f>$AR396+$AT396-$AU396-IF(ROUNDDOWN(IF(ISBLANK($AW396),$AV396,$AW396),IF($D$4="Forint",0,2))&gt;$AR396+$AT396-$AU396-IF($D$4="Forint",Paraméterek!$J$114,Paraméterek!$K$114),0,ROUNDDOWN(IF(ISBLANK($AW396),$AV396,$AW396),IF($D$4="Forint",0,2))-$AX396)</f>
        <v>0</v>
      </c>
      <c r="AZ396" s="13">
        <f t="shared" si="84"/>
        <v>0</v>
      </c>
    </row>
    <row r="397" spans="1:52" x14ac:dyDescent="0.2">
      <c r="A397" s="32">
        <v>378</v>
      </c>
      <c r="B397" s="32">
        <v>32</v>
      </c>
      <c r="C397" s="32">
        <v>6</v>
      </c>
      <c r="D397" s="13">
        <f t="shared" si="75"/>
        <v>0</v>
      </c>
      <c r="E397" s="13"/>
      <c r="F397" s="13"/>
      <c r="G397" s="13"/>
      <c r="H397" s="13">
        <f t="shared" si="76"/>
        <v>0</v>
      </c>
      <c r="I397" s="13">
        <f t="shared" si="77"/>
        <v>0</v>
      </c>
      <c r="J397" s="13">
        <f t="shared" si="78"/>
        <v>0</v>
      </c>
      <c r="K397" s="13">
        <f>ROUNDUP(IF($D$2="Egyszeri",$D397,IF($D$2="Havi",SUM($D$20:$D$31),IF(MOD($C397,$M$1)-1=0,SUM($D$20:$D$31),0))/12*$M$1)*VLOOKUP($B397,Paraméterek!$B$27:$D$30,IF($D$2="Egyszeri",3,2)),IF($D$4="Forint",0,2))</f>
        <v>0</v>
      </c>
      <c r="L397" s="13">
        <f t="shared" si="79"/>
        <v>0</v>
      </c>
      <c r="M397" s="13">
        <f t="shared" ca="1" si="85"/>
        <v>-239552</v>
      </c>
      <c r="N397" s="13">
        <f ca="1">IF($V396&gt;=VLOOKUP($M$4-1+$B397,Paraméterek!$B$121:$D$122,IF($D$4="Forint",2,3)),0,VLOOKUP($M$4-1+$B397,Paraméterek!$B$121:$D$122,IF($D$4="Forint",2,3))-$V396)</f>
        <v>249552</v>
      </c>
      <c r="O397" s="13">
        <f ca="1">ROUNDUP($N397*Paraméterek!$C$58/Paraméterek!$C$56,IF($D$4="Forint",0,2))</f>
        <v>40</v>
      </c>
      <c r="P397" s="13">
        <f t="shared" si="80"/>
        <v>1376</v>
      </c>
      <c r="Q397" s="33"/>
      <c r="R397" s="13">
        <f t="shared" ca="1" si="81"/>
        <v>0</v>
      </c>
      <c r="S397" s="13">
        <f ca="1">ROUNDUP(($M397-$O397-$P397+$R397)*VLOOKUP($B397,Paraméterek!$B$38:$D$39,IF($D$2="Egyszeri",3,2))/12,IF($D$4="Forint",0,2))</f>
        <v>-589</v>
      </c>
      <c r="T397" s="13"/>
      <c r="U397" s="13"/>
      <c r="V397" s="13">
        <f ca="1">$M397-$O397-$P397+$R397-$S397-IF(ROUNDUP(IF(ISBLANK($U397),$T397,$U397)/IF(AND($B397=1,$D$2&lt;&gt;"Egyszeri"),1,VLOOKUP($B397+IF($C397=12,1,0),Paraméterek!$B$257:$D$267,IF($D$2="Egyszeri",3,2))),IF($D$4="Forint",0,2))&gt;$M397-$O397-$P397+$R397-$S397-IF($D$4="Forint",Paraméterek!$C$216,Paraméterek!$D$216),0,ROUNDUP(IF(ISBLANK($U397),$T397,$U397)/IF(AND($B397=1,$D$2&lt;&gt;"Egyszeri"),1,VLOOKUP($B397+IF($C397=12,1,0),Paraméterek!$B$257:$D$267,IF($D$2="Egyszeri",3,2))),IF($D$4="Forint",0,2)))</f>
        <v>-240379</v>
      </c>
      <c r="W397" s="13">
        <f ca="1">ROUNDDOWN($V397*VLOOKUP($B397+IF($C397=12,1,0),Paraméterek!$B$257:$D$267,IF($D$2="Egyszeri",3,2)),IF($D$4="Forint",0,2))</f>
        <v>-240379</v>
      </c>
      <c r="Y397" s="32">
        <v>378</v>
      </c>
      <c r="Z397" s="32">
        <v>32</v>
      </c>
      <c r="AA397" s="32">
        <v>6</v>
      </c>
      <c r="AB397" s="13">
        <f t="shared" si="86"/>
        <v>0</v>
      </c>
      <c r="AC397" s="33"/>
      <c r="AD397" s="13">
        <f t="shared" si="82"/>
        <v>0</v>
      </c>
      <c r="AE397" s="13">
        <f>ROUNDUP(($AB397+$AD397)*VLOOKUP($Z397,Paraméterek!$P$38:$Q$38,2)/12,IF($D$4="Forint",0,2))</f>
        <v>0</v>
      </c>
      <c r="AF397" s="13">
        <f>IF($D$2="Egyszeri",IF($D$7&gt;=IF($D$4="Forint",Paraméterek!$P$223,Paraméterek!$P$224),$D$7-IF($D$4="Forint",Paraméterek!$F$223,Paraméterek!$F$224),0),MIN(IF($AA397=12,AVERAGE($D$20:$D397)*12,0),SUM($D$20:$D$31)))</f>
        <v>0</v>
      </c>
      <c r="AG397" s="13">
        <f>IF(AND($Z397&gt;=10,MOD($Z397,5)=0),$AF397*IF($AA397=12,VLOOKUP($Z397,Paraméterek!$B$225:$F$240,IF($AF397&lt;IF($D$4="Forint",Paraméterek!$C$223,Paraméterek!$C$224),2,IF($AF397&lt;IF($D$4="Forint",Paraméterek!$D$223,Paraméterek!$D$224),3,4))),0),0)</f>
        <v>0</v>
      </c>
      <c r="AH397" s="13">
        <f>IF(AND($Z397&gt;=5,MOD($Z397,5)=0),IF($AA397=12,VLOOKUP($Z397,Paraméterek!$B$225:$F$240,5),0),IF(OR($Z397=3,$Z397=4),IF($AA397=12,VLOOKUP($Z397,Paraméterek!$B$225:$F$240,5,0),0),0))*$AF397</f>
        <v>0</v>
      </c>
      <c r="AI397" s="13">
        <f>ROUNDDOWN(IF(SUM($T$20:$U397)=0,IF($D$2="Egyszeri",$AH397,$AG397),0),IF($D$4="Forint",0,2))</f>
        <v>0</v>
      </c>
      <c r="AJ397" s="13">
        <f t="shared" si="87"/>
        <v>0</v>
      </c>
      <c r="AK397" s="13">
        <f t="shared" si="88"/>
        <v>0</v>
      </c>
      <c r="AM397" s="32">
        <v>378</v>
      </c>
      <c r="AN397" s="32">
        <v>32</v>
      </c>
      <c r="AO397" s="32">
        <v>6</v>
      </c>
      <c r="AP397" s="13"/>
      <c r="AQ397" s="32"/>
      <c r="AR397" s="13">
        <f t="shared" si="89"/>
        <v>0</v>
      </c>
      <c r="AS397" s="33"/>
      <c r="AT397" s="13">
        <f t="shared" si="83"/>
        <v>0</v>
      </c>
      <c r="AU397" s="13">
        <f>ROUNDUP(($AR397+$AT397)*VLOOKUP($AN397,Paraméterek!$P$38:$Q$38,2)/12,IF($D$4="Forint",0,2))</f>
        <v>0</v>
      </c>
      <c r="AV397" s="13"/>
      <c r="AW397" s="13"/>
      <c r="AX397" s="13">
        <f>ROUNDUP(IF(SUM($AV397:$AW397)=0,0,IF(IF(ISBLANK($AW397),$AV397,$AW397)*Paraméterek!$J$112&lt;IF($D$4="Forint",Paraméterek!$J$113,Paraméterek!$K$113),IF($D$4="Forint",Paraméterek!$J$113,Paraméterek!$K$113),IF(IF(ISBLANK($AW397),$AV397,$AW397)*Paraméterek!$J$112&gt;IF($D$4="Forint",Paraméterek!$J$114,Paraméterek!$K$114),IF($D$4="Forint",Paraméterek!$J$114,Paraméterek!$K$114),IF(ISBLANK($AW397),$AV397,$AW397)*Paraméterek!$J$112))),IF($D$4="Forint",0,2))</f>
        <v>0</v>
      </c>
      <c r="AY397" s="13">
        <f>$AR397+$AT397-$AU397-IF(ROUNDDOWN(IF(ISBLANK($AW397),$AV397,$AW397),IF($D$4="Forint",0,2))&gt;$AR397+$AT397-$AU397-IF($D$4="Forint",Paraméterek!$J$114,Paraméterek!$K$114),0,ROUNDDOWN(IF(ISBLANK($AW397),$AV397,$AW397),IF($D$4="Forint",0,2))-$AX397)</f>
        <v>0</v>
      </c>
      <c r="AZ397" s="13">
        <f t="shared" si="84"/>
        <v>0</v>
      </c>
    </row>
    <row r="398" spans="1:52" x14ac:dyDescent="0.2">
      <c r="A398" s="32">
        <v>379</v>
      </c>
      <c r="B398" s="32">
        <v>32</v>
      </c>
      <c r="C398" s="32">
        <v>7</v>
      </c>
      <c r="D398" s="13">
        <f t="shared" si="75"/>
        <v>0</v>
      </c>
      <c r="E398" s="13"/>
      <c r="F398" s="13"/>
      <c r="G398" s="13"/>
      <c r="H398" s="13">
        <f t="shared" si="76"/>
        <v>0</v>
      </c>
      <c r="I398" s="13">
        <f t="shared" si="77"/>
        <v>0</v>
      </c>
      <c r="J398" s="13">
        <f t="shared" si="78"/>
        <v>0</v>
      </c>
      <c r="K398" s="13">
        <f>ROUNDUP(IF($D$2="Egyszeri",$D398,IF($D$2="Havi",SUM($D$20:$D$31),IF(MOD($C398,$M$1)-1=0,SUM($D$20:$D$31),0))/12*$M$1)*VLOOKUP($B398,Paraméterek!$B$27:$D$30,IF($D$2="Egyszeri",3,2)),IF($D$4="Forint",0,2))</f>
        <v>0</v>
      </c>
      <c r="L398" s="13">
        <f t="shared" si="79"/>
        <v>0</v>
      </c>
      <c r="M398" s="13">
        <f t="shared" ca="1" si="85"/>
        <v>-240379</v>
      </c>
      <c r="N398" s="13">
        <f ca="1">IF($V397&gt;=VLOOKUP($M$4-1+$B398,Paraméterek!$B$121:$D$122,IF($D$4="Forint",2,3)),0,VLOOKUP($M$4-1+$B398,Paraméterek!$B$121:$D$122,IF($D$4="Forint",2,3))-$V397)</f>
        <v>250379</v>
      </c>
      <c r="O398" s="13">
        <f ca="1">ROUNDUP($N398*Paraméterek!$C$58/Paraméterek!$C$56,IF($D$4="Forint",0,2))</f>
        <v>40</v>
      </c>
      <c r="P398" s="13">
        <f t="shared" si="80"/>
        <v>1376</v>
      </c>
      <c r="Q398" s="33"/>
      <c r="R398" s="13">
        <f t="shared" ca="1" si="81"/>
        <v>0</v>
      </c>
      <c r="S398" s="13">
        <f ca="1">ROUNDUP(($M398-$O398-$P398+$R398)*VLOOKUP($B398,Paraméterek!$B$38:$D$39,IF($D$2="Egyszeri",3,2))/12,IF($D$4="Forint",0,2))</f>
        <v>-591</v>
      </c>
      <c r="T398" s="13"/>
      <c r="U398" s="13"/>
      <c r="V398" s="13">
        <f ca="1">$M398-$O398-$P398+$R398-$S398-IF(ROUNDUP(IF(ISBLANK($U398),$T398,$U398)/IF(AND($B398=1,$D$2&lt;&gt;"Egyszeri"),1,VLOOKUP($B398+IF($C398=12,1,0),Paraméterek!$B$257:$D$267,IF($D$2="Egyszeri",3,2))),IF($D$4="Forint",0,2))&gt;$M398-$O398-$P398+$R398-$S398-IF($D$4="Forint",Paraméterek!$C$216,Paraméterek!$D$216),0,ROUNDUP(IF(ISBLANK($U398),$T398,$U398)/IF(AND($B398=1,$D$2&lt;&gt;"Egyszeri"),1,VLOOKUP($B398+IF($C398=12,1,0),Paraméterek!$B$257:$D$267,IF($D$2="Egyszeri",3,2))),IF($D$4="Forint",0,2)))</f>
        <v>-241204</v>
      </c>
      <c r="W398" s="13">
        <f ca="1">ROUNDDOWN($V398*VLOOKUP($B398+IF($C398=12,1,0),Paraméterek!$B$257:$D$267,IF($D$2="Egyszeri",3,2)),IF($D$4="Forint",0,2))</f>
        <v>-241204</v>
      </c>
      <c r="Y398" s="32">
        <v>379</v>
      </c>
      <c r="Z398" s="32">
        <v>32</v>
      </c>
      <c r="AA398" s="32">
        <v>7</v>
      </c>
      <c r="AB398" s="13">
        <f t="shared" si="86"/>
        <v>0</v>
      </c>
      <c r="AC398" s="33"/>
      <c r="AD398" s="13">
        <f t="shared" si="82"/>
        <v>0</v>
      </c>
      <c r="AE398" s="13">
        <f>ROUNDUP(($AB398+$AD398)*VLOOKUP($Z398,Paraméterek!$P$38:$Q$38,2)/12,IF($D$4="Forint",0,2))</f>
        <v>0</v>
      </c>
      <c r="AF398" s="13">
        <f>IF($D$2="Egyszeri",IF($D$7&gt;=IF($D$4="Forint",Paraméterek!$P$223,Paraméterek!$P$224),$D$7-IF($D$4="Forint",Paraméterek!$F$223,Paraméterek!$F$224),0),MIN(IF($AA398=12,AVERAGE($D$20:$D398)*12,0),SUM($D$20:$D$31)))</f>
        <v>0</v>
      </c>
      <c r="AG398" s="13">
        <f>IF(AND($Z398&gt;=10,MOD($Z398,5)=0),$AF398*IF($AA398=12,VLOOKUP($Z398,Paraméterek!$B$225:$F$240,IF($AF398&lt;IF($D$4="Forint",Paraméterek!$C$223,Paraméterek!$C$224),2,IF($AF398&lt;IF($D$4="Forint",Paraméterek!$D$223,Paraméterek!$D$224),3,4))),0),0)</f>
        <v>0</v>
      </c>
      <c r="AH398" s="13">
        <f>IF(AND($Z398&gt;=5,MOD($Z398,5)=0),IF($AA398=12,VLOOKUP($Z398,Paraméterek!$B$225:$F$240,5),0),IF(OR($Z398=3,$Z398=4),IF($AA398=12,VLOOKUP($Z398,Paraméterek!$B$225:$F$240,5,0),0),0))*$AF398</f>
        <v>0</v>
      </c>
      <c r="AI398" s="13">
        <f>ROUNDDOWN(IF(SUM($T$20:$U398)=0,IF($D$2="Egyszeri",$AH398,$AG398),0),IF($D$4="Forint",0,2))</f>
        <v>0</v>
      </c>
      <c r="AJ398" s="13">
        <f t="shared" si="87"/>
        <v>0</v>
      </c>
      <c r="AK398" s="13">
        <f t="shared" si="88"/>
        <v>0</v>
      </c>
      <c r="AM398" s="32">
        <v>379</v>
      </c>
      <c r="AN398" s="32">
        <v>32</v>
      </c>
      <c r="AO398" s="32">
        <v>7</v>
      </c>
      <c r="AP398" s="13"/>
      <c r="AQ398" s="32"/>
      <c r="AR398" s="13">
        <f t="shared" si="89"/>
        <v>0</v>
      </c>
      <c r="AS398" s="33"/>
      <c r="AT398" s="13">
        <f t="shared" si="83"/>
        <v>0</v>
      </c>
      <c r="AU398" s="13">
        <f>ROUNDUP(($AR398+$AT398)*VLOOKUP($AN398,Paraméterek!$P$38:$Q$38,2)/12,IF($D$4="Forint",0,2))</f>
        <v>0</v>
      </c>
      <c r="AV398" s="13"/>
      <c r="AW398" s="13"/>
      <c r="AX398" s="13">
        <f>ROUNDUP(IF(SUM($AV398:$AW398)=0,0,IF(IF(ISBLANK($AW398),$AV398,$AW398)*Paraméterek!$J$112&lt;IF($D$4="Forint",Paraméterek!$J$113,Paraméterek!$K$113),IF($D$4="Forint",Paraméterek!$J$113,Paraméterek!$K$113),IF(IF(ISBLANK($AW398),$AV398,$AW398)*Paraméterek!$J$112&gt;IF($D$4="Forint",Paraméterek!$J$114,Paraméterek!$K$114),IF($D$4="Forint",Paraméterek!$J$114,Paraméterek!$K$114),IF(ISBLANK($AW398),$AV398,$AW398)*Paraméterek!$J$112))),IF($D$4="Forint",0,2))</f>
        <v>0</v>
      </c>
      <c r="AY398" s="13">
        <f>$AR398+$AT398-$AU398-IF(ROUNDDOWN(IF(ISBLANK($AW398),$AV398,$AW398),IF($D$4="Forint",0,2))&gt;$AR398+$AT398-$AU398-IF($D$4="Forint",Paraméterek!$J$114,Paraméterek!$K$114),0,ROUNDDOWN(IF(ISBLANK($AW398),$AV398,$AW398),IF($D$4="Forint",0,2))-$AX398)</f>
        <v>0</v>
      </c>
      <c r="AZ398" s="13">
        <f t="shared" si="84"/>
        <v>0</v>
      </c>
    </row>
    <row r="399" spans="1:52" x14ac:dyDescent="0.2">
      <c r="A399" s="32">
        <v>380</v>
      </c>
      <c r="B399" s="32">
        <v>32</v>
      </c>
      <c r="C399" s="32">
        <v>8</v>
      </c>
      <c r="D399" s="13">
        <f t="shared" si="75"/>
        <v>0</v>
      </c>
      <c r="E399" s="13"/>
      <c r="F399" s="13"/>
      <c r="G399" s="13"/>
      <c r="H399" s="13">
        <f t="shared" si="76"/>
        <v>0</v>
      </c>
      <c r="I399" s="13">
        <f t="shared" si="77"/>
        <v>0</v>
      </c>
      <c r="J399" s="13">
        <f t="shared" si="78"/>
        <v>0</v>
      </c>
      <c r="K399" s="13">
        <f>ROUNDUP(IF($D$2="Egyszeri",$D399,IF($D$2="Havi",SUM($D$20:$D$31),IF(MOD($C399,$M$1)-1=0,SUM($D$20:$D$31),0))/12*$M$1)*VLOOKUP($B399,Paraméterek!$B$27:$D$30,IF($D$2="Egyszeri",3,2)),IF($D$4="Forint",0,2))</f>
        <v>0</v>
      </c>
      <c r="L399" s="13">
        <f t="shared" si="79"/>
        <v>0</v>
      </c>
      <c r="M399" s="13">
        <f t="shared" ca="1" si="85"/>
        <v>-241204</v>
      </c>
      <c r="N399" s="13">
        <f ca="1">IF($V398&gt;=VLOOKUP($M$4-1+$B399,Paraméterek!$B$121:$D$122,IF($D$4="Forint",2,3)),0,VLOOKUP($M$4-1+$B399,Paraméterek!$B$121:$D$122,IF($D$4="Forint",2,3))-$V398)</f>
        <v>251204</v>
      </c>
      <c r="O399" s="13">
        <f ca="1">ROUNDUP($N399*Paraméterek!$C$58/Paraméterek!$C$56,IF($D$4="Forint",0,2))</f>
        <v>40</v>
      </c>
      <c r="P399" s="13">
        <f t="shared" si="80"/>
        <v>1376</v>
      </c>
      <c r="Q399" s="33"/>
      <c r="R399" s="13">
        <f t="shared" ca="1" si="81"/>
        <v>0</v>
      </c>
      <c r="S399" s="13">
        <f ca="1">ROUNDUP(($M399-$O399-$P399+$R399)*VLOOKUP($B399,Paraméterek!$B$38:$D$39,IF($D$2="Egyszeri",3,2))/12,IF($D$4="Forint",0,2))</f>
        <v>-593</v>
      </c>
      <c r="T399" s="13"/>
      <c r="U399" s="13"/>
      <c r="V399" s="13">
        <f ca="1">$M399-$O399-$P399+$R399-$S399-IF(ROUNDUP(IF(ISBLANK($U399),$T399,$U399)/IF(AND($B399=1,$D$2&lt;&gt;"Egyszeri"),1,VLOOKUP($B399+IF($C399=12,1,0),Paraméterek!$B$257:$D$267,IF($D$2="Egyszeri",3,2))),IF($D$4="Forint",0,2))&gt;$M399-$O399-$P399+$R399-$S399-IF($D$4="Forint",Paraméterek!$C$216,Paraméterek!$D$216),0,ROUNDUP(IF(ISBLANK($U399),$T399,$U399)/IF(AND($B399=1,$D$2&lt;&gt;"Egyszeri"),1,VLOOKUP($B399+IF($C399=12,1,0),Paraméterek!$B$257:$D$267,IF($D$2="Egyszeri",3,2))),IF($D$4="Forint",0,2)))</f>
        <v>-242027</v>
      </c>
      <c r="W399" s="13">
        <f ca="1">ROUNDDOWN($V399*VLOOKUP($B399+IF($C399=12,1,0),Paraméterek!$B$257:$D$267,IF($D$2="Egyszeri",3,2)),IF($D$4="Forint",0,2))</f>
        <v>-242027</v>
      </c>
      <c r="Y399" s="32">
        <v>380</v>
      </c>
      <c r="Z399" s="32">
        <v>32</v>
      </c>
      <c r="AA399" s="32">
        <v>8</v>
      </c>
      <c r="AB399" s="13">
        <f t="shared" si="86"/>
        <v>0</v>
      </c>
      <c r="AC399" s="33"/>
      <c r="AD399" s="13">
        <f t="shared" si="82"/>
        <v>0</v>
      </c>
      <c r="AE399" s="13">
        <f>ROUNDUP(($AB399+$AD399)*VLOOKUP($Z399,Paraméterek!$P$38:$Q$38,2)/12,IF($D$4="Forint",0,2))</f>
        <v>0</v>
      </c>
      <c r="AF399" s="13">
        <f>IF($D$2="Egyszeri",IF($D$7&gt;=IF($D$4="Forint",Paraméterek!$P$223,Paraméterek!$P$224),$D$7-IF($D$4="Forint",Paraméterek!$F$223,Paraméterek!$F$224),0),MIN(IF($AA399=12,AVERAGE($D$20:$D399)*12,0),SUM($D$20:$D$31)))</f>
        <v>0</v>
      </c>
      <c r="AG399" s="13">
        <f>IF(AND($Z399&gt;=10,MOD($Z399,5)=0),$AF399*IF($AA399=12,VLOOKUP($Z399,Paraméterek!$B$225:$F$240,IF($AF399&lt;IF($D$4="Forint",Paraméterek!$C$223,Paraméterek!$C$224),2,IF($AF399&lt;IF($D$4="Forint",Paraméterek!$D$223,Paraméterek!$D$224),3,4))),0),0)</f>
        <v>0</v>
      </c>
      <c r="AH399" s="13">
        <f>IF(AND($Z399&gt;=5,MOD($Z399,5)=0),IF($AA399=12,VLOOKUP($Z399,Paraméterek!$B$225:$F$240,5),0),IF(OR($Z399=3,$Z399=4),IF($AA399=12,VLOOKUP($Z399,Paraméterek!$B$225:$F$240,5,0),0),0))*$AF399</f>
        <v>0</v>
      </c>
      <c r="AI399" s="13">
        <f>ROUNDDOWN(IF(SUM($T$20:$U399)=0,IF($D$2="Egyszeri",$AH399,$AG399),0),IF($D$4="Forint",0,2))</f>
        <v>0</v>
      </c>
      <c r="AJ399" s="13">
        <f t="shared" si="87"/>
        <v>0</v>
      </c>
      <c r="AK399" s="13">
        <f t="shared" si="88"/>
        <v>0</v>
      </c>
      <c r="AM399" s="32">
        <v>380</v>
      </c>
      <c r="AN399" s="32">
        <v>32</v>
      </c>
      <c r="AO399" s="32">
        <v>8</v>
      </c>
      <c r="AP399" s="13"/>
      <c r="AQ399" s="32"/>
      <c r="AR399" s="13">
        <f t="shared" si="89"/>
        <v>0</v>
      </c>
      <c r="AS399" s="33"/>
      <c r="AT399" s="13">
        <f t="shared" si="83"/>
        <v>0</v>
      </c>
      <c r="AU399" s="13">
        <f>ROUNDUP(($AR399+$AT399)*VLOOKUP($AN399,Paraméterek!$P$38:$Q$38,2)/12,IF($D$4="Forint",0,2))</f>
        <v>0</v>
      </c>
      <c r="AV399" s="13"/>
      <c r="AW399" s="13"/>
      <c r="AX399" s="13">
        <f>ROUNDUP(IF(SUM($AV399:$AW399)=0,0,IF(IF(ISBLANK($AW399),$AV399,$AW399)*Paraméterek!$J$112&lt;IF($D$4="Forint",Paraméterek!$J$113,Paraméterek!$K$113),IF($D$4="Forint",Paraméterek!$J$113,Paraméterek!$K$113),IF(IF(ISBLANK($AW399),$AV399,$AW399)*Paraméterek!$J$112&gt;IF($D$4="Forint",Paraméterek!$J$114,Paraméterek!$K$114),IF($D$4="Forint",Paraméterek!$J$114,Paraméterek!$K$114),IF(ISBLANK($AW399),$AV399,$AW399)*Paraméterek!$J$112))),IF($D$4="Forint",0,2))</f>
        <v>0</v>
      </c>
      <c r="AY399" s="13">
        <f>$AR399+$AT399-$AU399-IF(ROUNDDOWN(IF(ISBLANK($AW399),$AV399,$AW399),IF($D$4="Forint",0,2))&gt;$AR399+$AT399-$AU399-IF($D$4="Forint",Paraméterek!$J$114,Paraméterek!$K$114),0,ROUNDDOWN(IF(ISBLANK($AW399),$AV399,$AW399),IF($D$4="Forint",0,2))-$AX399)</f>
        <v>0</v>
      </c>
      <c r="AZ399" s="13">
        <f t="shared" si="84"/>
        <v>0</v>
      </c>
    </row>
    <row r="400" spans="1:52" x14ac:dyDescent="0.2">
      <c r="A400" s="32">
        <v>381</v>
      </c>
      <c r="B400" s="32">
        <v>32</v>
      </c>
      <c r="C400" s="32">
        <v>9</v>
      </c>
      <c r="D400" s="13">
        <f t="shared" si="75"/>
        <v>0</v>
      </c>
      <c r="E400" s="13"/>
      <c r="F400" s="13"/>
      <c r="G400" s="13"/>
      <c r="H400" s="13">
        <f t="shared" si="76"/>
        <v>0</v>
      </c>
      <c r="I400" s="13">
        <f t="shared" si="77"/>
        <v>0</v>
      </c>
      <c r="J400" s="13">
        <f t="shared" si="78"/>
        <v>0</v>
      </c>
      <c r="K400" s="13">
        <f>ROUNDUP(IF($D$2="Egyszeri",$D400,IF($D$2="Havi",SUM($D$20:$D$31),IF(MOD($C400,$M$1)-1=0,SUM($D$20:$D$31),0))/12*$M$1)*VLOOKUP($B400,Paraméterek!$B$27:$D$30,IF($D$2="Egyszeri",3,2)),IF($D$4="Forint",0,2))</f>
        <v>0</v>
      </c>
      <c r="L400" s="13">
        <f t="shared" si="79"/>
        <v>0</v>
      </c>
      <c r="M400" s="13">
        <f t="shared" ca="1" si="85"/>
        <v>-242027</v>
      </c>
      <c r="N400" s="13">
        <f ca="1">IF($V399&gt;=VLOOKUP($M$4-1+$B400,Paraméterek!$B$121:$D$122,IF($D$4="Forint",2,3)),0,VLOOKUP($M$4-1+$B400,Paraméterek!$B$121:$D$122,IF($D$4="Forint",2,3))-$V399)</f>
        <v>252027</v>
      </c>
      <c r="O400" s="13">
        <f ca="1">ROUNDUP($N400*Paraméterek!$C$58/Paraméterek!$C$56,IF($D$4="Forint",0,2))</f>
        <v>41</v>
      </c>
      <c r="P400" s="13">
        <f t="shared" si="80"/>
        <v>1376</v>
      </c>
      <c r="Q400" s="33"/>
      <c r="R400" s="13">
        <f t="shared" ca="1" si="81"/>
        <v>0</v>
      </c>
      <c r="S400" s="13">
        <f ca="1">ROUNDUP(($M400-$O400-$P400+$R400)*VLOOKUP($B400,Paraméterek!$B$38:$D$39,IF($D$2="Egyszeri",3,2))/12,IF($D$4="Forint",0,2))</f>
        <v>-595</v>
      </c>
      <c r="T400" s="13"/>
      <c r="U400" s="13"/>
      <c r="V400" s="13">
        <f ca="1">$M400-$O400-$P400+$R400-$S400-IF(ROUNDUP(IF(ISBLANK($U400),$T400,$U400)/IF(AND($B400=1,$D$2&lt;&gt;"Egyszeri"),1,VLOOKUP($B400+IF($C400=12,1,0),Paraméterek!$B$257:$D$267,IF($D$2="Egyszeri",3,2))),IF($D$4="Forint",0,2))&gt;$M400-$O400-$P400+$R400-$S400-IF($D$4="Forint",Paraméterek!$C$216,Paraméterek!$D$216),0,ROUNDUP(IF(ISBLANK($U400),$T400,$U400)/IF(AND($B400=1,$D$2&lt;&gt;"Egyszeri"),1,VLOOKUP($B400+IF($C400=12,1,0),Paraméterek!$B$257:$D$267,IF($D$2="Egyszeri",3,2))),IF($D$4="Forint",0,2)))</f>
        <v>-242849</v>
      </c>
      <c r="W400" s="13">
        <f ca="1">ROUNDDOWN($V400*VLOOKUP($B400+IF($C400=12,1,0),Paraméterek!$B$257:$D$267,IF($D$2="Egyszeri",3,2)),IF($D$4="Forint",0,2))</f>
        <v>-242849</v>
      </c>
      <c r="Y400" s="32">
        <v>381</v>
      </c>
      <c r="Z400" s="32">
        <v>32</v>
      </c>
      <c r="AA400" s="32">
        <v>9</v>
      </c>
      <c r="AB400" s="13">
        <f t="shared" si="86"/>
        <v>0</v>
      </c>
      <c r="AC400" s="33"/>
      <c r="AD400" s="13">
        <f t="shared" si="82"/>
        <v>0</v>
      </c>
      <c r="AE400" s="13">
        <f>ROUNDUP(($AB400+$AD400)*VLOOKUP($Z400,Paraméterek!$P$38:$Q$38,2)/12,IF($D$4="Forint",0,2))</f>
        <v>0</v>
      </c>
      <c r="AF400" s="13">
        <f>IF($D$2="Egyszeri",IF($D$7&gt;=IF($D$4="Forint",Paraméterek!$P$223,Paraméterek!$P$224),$D$7-IF($D$4="Forint",Paraméterek!$F$223,Paraméterek!$F$224),0),MIN(IF($AA400=12,AVERAGE($D$20:$D400)*12,0),SUM($D$20:$D$31)))</f>
        <v>0</v>
      </c>
      <c r="AG400" s="13">
        <f>IF(AND($Z400&gt;=10,MOD($Z400,5)=0),$AF400*IF($AA400=12,VLOOKUP($Z400,Paraméterek!$B$225:$F$240,IF($AF400&lt;IF($D$4="Forint",Paraméterek!$C$223,Paraméterek!$C$224),2,IF($AF400&lt;IF($D$4="Forint",Paraméterek!$D$223,Paraméterek!$D$224),3,4))),0),0)</f>
        <v>0</v>
      </c>
      <c r="AH400" s="13">
        <f>IF(AND($Z400&gt;=5,MOD($Z400,5)=0),IF($AA400=12,VLOOKUP($Z400,Paraméterek!$B$225:$F$240,5),0),IF(OR($Z400=3,$Z400=4),IF($AA400=12,VLOOKUP($Z400,Paraméterek!$B$225:$F$240,5,0),0),0))*$AF400</f>
        <v>0</v>
      </c>
      <c r="AI400" s="13">
        <f>ROUNDDOWN(IF(SUM($T$20:$U400)=0,IF($D$2="Egyszeri",$AH400,$AG400),0),IF($D$4="Forint",0,2))</f>
        <v>0</v>
      </c>
      <c r="AJ400" s="13">
        <f t="shared" si="87"/>
        <v>0</v>
      </c>
      <c r="AK400" s="13">
        <f t="shared" si="88"/>
        <v>0</v>
      </c>
      <c r="AM400" s="32">
        <v>381</v>
      </c>
      <c r="AN400" s="32">
        <v>32</v>
      </c>
      <c r="AO400" s="32">
        <v>9</v>
      </c>
      <c r="AP400" s="13"/>
      <c r="AQ400" s="32"/>
      <c r="AR400" s="13">
        <f t="shared" si="89"/>
        <v>0</v>
      </c>
      <c r="AS400" s="33"/>
      <c r="AT400" s="13">
        <f t="shared" si="83"/>
        <v>0</v>
      </c>
      <c r="AU400" s="13">
        <f>ROUNDUP(($AR400+$AT400)*VLOOKUP($AN400,Paraméterek!$P$38:$Q$38,2)/12,IF($D$4="Forint",0,2))</f>
        <v>0</v>
      </c>
      <c r="AV400" s="13"/>
      <c r="AW400" s="13"/>
      <c r="AX400" s="13">
        <f>ROUNDUP(IF(SUM($AV400:$AW400)=0,0,IF(IF(ISBLANK($AW400),$AV400,$AW400)*Paraméterek!$J$112&lt;IF($D$4="Forint",Paraméterek!$J$113,Paraméterek!$K$113),IF($D$4="Forint",Paraméterek!$J$113,Paraméterek!$K$113),IF(IF(ISBLANK($AW400),$AV400,$AW400)*Paraméterek!$J$112&gt;IF($D$4="Forint",Paraméterek!$J$114,Paraméterek!$K$114),IF($D$4="Forint",Paraméterek!$J$114,Paraméterek!$K$114),IF(ISBLANK($AW400),$AV400,$AW400)*Paraméterek!$J$112))),IF($D$4="Forint",0,2))</f>
        <v>0</v>
      </c>
      <c r="AY400" s="13">
        <f>$AR400+$AT400-$AU400-IF(ROUNDDOWN(IF(ISBLANK($AW400),$AV400,$AW400),IF($D$4="Forint",0,2))&gt;$AR400+$AT400-$AU400-IF($D$4="Forint",Paraméterek!$J$114,Paraméterek!$K$114),0,ROUNDDOWN(IF(ISBLANK($AW400),$AV400,$AW400),IF($D$4="Forint",0,2))-$AX400)</f>
        <v>0</v>
      </c>
      <c r="AZ400" s="13">
        <f t="shared" si="84"/>
        <v>0</v>
      </c>
    </row>
    <row r="401" spans="1:52" x14ac:dyDescent="0.2">
      <c r="A401" s="32">
        <v>382</v>
      </c>
      <c r="B401" s="32">
        <v>32</v>
      </c>
      <c r="C401" s="32">
        <v>10</v>
      </c>
      <c r="D401" s="13">
        <f t="shared" si="75"/>
        <v>0</v>
      </c>
      <c r="E401" s="13"/>
      <c r="F401" s="13"/>
      <c r="G401" s="13"/>
      <c r="H401" s="13">
        <f t="shared" si="76"/>
        <v>0</v>
      </c>
      <c r="I401" s="13">
        <f t="shared" si="77"/>
        <v>0</v>
      </c>
      <c r="J401" s="13">
        <f t="shared" si="78"/>
        <v>0</v>
      </c>
      <c r="K401" s="13">
        <f>ROUNDUP(IF($D$2="Egyszeri",$D401,IF($D$2="Havi",SUM($D$20:$D$31),IF(MOD($C401,$M$1)-1=0,SUM($D$20:$D$31),0))/12*$M$1)*VLOOKUP($B401,Paraméterek!$B$27:$D$30,IF($D$2="Egyszeri",3,2)),IF($D$4="Forint",0,2))</f>
        <v>0</v>
      </c>
      <c r="L401" s="13">
        <f t="shared" si="79"/>
        <v>0</v>
      </c>
      <c r="M401" s="13">
        <f t="shared" ca="1" si="85"/>
        <v>-242849</v>
      </c>
      <c r="N401" s="13">
        <f ca="1">IF($V400&gt;=VLOOKUP($M$4-1+$B401,Paraméterek!$B$121:$D$122,IF($D$4="Forint",2,3)),0,VLOOKUP($M$4-1+$B401,Paraméterek!$B$121:$D$122,IF($D$4="Forint",2,3))-$V400)</f>
        <v>252849</v>
      </c>
      <c r="O401" s="13">
        <f ca="1">ROUNDUP($N401*Paraméterek!$C$58/Paraméterek!$C$56,IF($D$4="Forint",0,2))</f>
        <v>41</v>
      </c>
      <c r="P401" s="13">
        <f t="shared" si="80"/>
        <v>1376</v>
      </c>
      <c r="Q401" s="33"/>
      <c r="R401" s="13">
        <f t="shared" ca="1" si="81"/>
        <v>0</v>
      </c>
      <c r="S401" s="13">
        <f ca="1">ROUNDUP(($M401-$O401-$P401+$R401)*VLOOKUP($B401,Paraméterek!$B$38:$D$39,IF($D$2="Egyszeri",3,2))/12,IF($D$4="Forint",0,2))</f>
        <v>-597</v>
      </c>
      <c r="T401" s="13"/>
      <c r="U401" s="13"/>
      <c r="V401" s="13">
        <f ca="1">$M401-$O401-$P401+$R401-$S401-IF(ROUNDUP(IF(ISBLANK($U401),$T401,$U401)/IF(AND($B401=1,$D$2&lt;&gt;"Egyszeri"),1,VLOOKUP($B401+IF($C401=12,1,0),Paraméterek!$B$257:$D$267,IF($D$2="Egyszeri",3,2))),IF($D$4="Forint",0,2))&gt;$M401-$O401-$P401+$R401-$S401-IF($D$4="Forint",Paraméterek!$C$216,Paraméterek!$D$216),0,ROUNDUP(IF(ISBLANK($U401),$T401,$U401)/IF(AND($B401=1,$D$2&lt;&gt;"Egyszeri"),1,VLOOKUP($B401+IF($C401=12,1,0),Paraméterek!$B$257:$D$267,IF($D$2="Egyszeri",3,2))),IF($D$4="Forint",0,2)))</f>
        <v>-243669</v>
      </c>
      <c r="W401" s="13">
        <f ca="1">ROUNDDOWN($V401*VLOOKUP($B401+IF($C401=12,1,0),Paraméterek!$B$257:$D$267,IF($D$2="Egyszeri",3,2)),IF($D$4="Forint",0,2))</f>
        <v>-243669</v>
      </c>
      <c r="Y401" s="32">
        <v>382</v>
      </c>
      <c r="Z401" s="32">
        <v>32</v>
      </c>
      <c r="AA401" s="32">
        <v>10</v>
      </c>
      <c r="AB401" s="13">
        <f t="shared" si="86"/>
        <v>0</v>
      </c>
      <c r="AC401" s="33"/>
      <c r="AD401" s="13">
        <f t="shared" si="82"/>
        <v>0</v>
      </c>
      <c r="AE401" s="13">
        <f>ROUNDUP(($AB401+$AD401)*VLOOKUP($Z401,Paraméterek!$P$38:$Q$38,2)/12,IF($D$4="Forint",0,2))</f>
        <v>0</v>
      </c>
      <c r="AF401" s="13">
        <f>IF($D$2="Egyszeri",IF($D$7&gt;=IF($D$4="Forint",Paraméterek!$P$223,Paraméterek!$P$224),$D$7-IF($D$4="Forint",Paraméterek!$F$223,Paraméterek!$F$224),0),MIN(IF($AA401=12,AVERAGE($D$20:$D401)*12,0),SUM($D$20:$D$31)))</f>
        <v>0</v>
      </c>
      <c r="AG401" s="13">
        <f>IF(AND($Z401&gt;=10,MOD($Z401,5)=0),$AF401*IF($AA401=12,VLOOKUP($Z401,Paraméterek!$B$225:$F$240,IF($AF401&lt;IF($D$4="Forint",Paraméterek!$C$223,Paraméterek!$C$224),2,IF($AF401&lt;IF($D$4="Forint",Paraméterek!$D$223,Paraméterek!$D$224),3,4))),0),0)</f>
        <v>0</v>
      </c>
      <c r="AH401" s="13">
        <f>IF(AND($Z401&gt;=5,MOD($Z401,5)=0),IF($AA401=12,VLOOKUP($Z401,Paraméterek!$B$225:$F$240,5),0),IF(OR($Z401=3,$Z401=4),IF($AA401=12,VLOOKUP($Z401,Paraméterek!$B$225:$F$240,5,0),0),0))*$AF401</f>
        <v>0</v>
      </c>
      <c r="AI401" s="13">
        <f>ROUNDDOWN(IF(SUM($T$20:$U401)=0,IF($D$2="Egyszeri",$AH401,$AG401),0),IF($D$4="Forint",0,2))</f>
        <v>0</v>
      </c>
      <c r="AJ401" s="13">
        <f t="shared" si="87"/>
        <v>0</v>
      </c>
      <c r="AK401" s="13">
        <f t="shared" si="88"/>
        <v>0</v>
      </c>
      <c r="AM401" s="32">
        <v>382</v>
      </c>
      <c r="AN401" s="32">
        <v>32</v>
      </c>
      <c r="AO401" s="32">
        <v>10</v>
      </c>
      <c r="AP401" s="13"/>
      <c r="AQ401" s="32"/>
      <c r="AR401" s="13">
        <f t="shared" si="89"/>
        <v>0</v>
      </c>
      <c r="AS401" s="33"/>
      <c r="AT401" s="13">
        <f t="shared" si="83"/>
        <v>0</v>
      </c>
      <c r="AU401" s="13">
        <f>ROUNDUP(($AR401+$AT401)*VLOOKUP($AN401,Paraméterek!$P$38:$Q$38,2)/12,IF($D$4="Forint",0,2))</f>
        <v>0</v>
      </c>
      <c r="AV401" s="13"/>
      <c r="AW401" s="13"/>
      <c r="AX401" s="13">
        <f>ROUNDUP(IF(SUM($AV401:$AW401)=0,0,IF(IF(ISBLANK($AW401),$AV401,$AW401)*Paraméterek!$J$112&lt;IF($D$4="Forint",Paraméterek!$J$113,Paraméterek!$K$113),IF($D$4="Forint",Paraméterek!$J$113,Paraméterek!$K$113),IF(IF(ISBLANK($AW401),$AV401,$AW401)*Paraméterek!$J$112&gt;IF($D$4="Forint",Paraméterek!$J$114,Paraméterek!$K$114),IF($D$4="Forint",Paraméterek!$J$114,Paraméterek!$K$114),IF(ISBLANK($AW401),$AV401,$AW401)*Paraméterek!$J$112))),IF($D$4="Forint",0,2))</f>
        <v>0</v>
      </c>
      <c r="AY401" s="13">
        <f>$AR401+$AT401-$AU401-IF(ROUNDDOWN(IF(ISBLANK($AW401),$AV401,$AW401),IF($D$4="Forint",0,2))&gt;$AR401+$AT401-$AU401-IF($D$4="Forint",Paraméterek!$J$114,Paraméterek!$K$114),0,ROUNDDOWN(IF(ISBLANK($AW401),$AV401,$AW401),IF($D$4="Forint",0,2))-$AX401)</f>
        <v>0</v>
      </c>
      <c r="AZ401" s="13">
        <f t="shared" si="84"/>
        <v>0</v>
      </c>
    </row>
    <row r="402" spans="1:52" x14ac:dyDescent="0.2">
      <c r="A402" s="32">
        <v>383</v>
      </c>
      <c r="B402" s="32">
        <v>32</v>
      </c>
      <c r="C402" s="32">
        <v>11</v>
      </c>
      <c r="D402" s="13">
        <f t="shared" si="75"/>
        <v>0</v>
      </c>
      <c r="E402" s="13"/>
      <c r="F402" s="13"/>
      <c r="G402" s="13"/>
      <c r="H402" s="13">
        <f t="shared" si="76"/>
        <v>0</v>
      </c>
      <c r="I402" s="13">
        <f t="shared" si="77"/>
        <v>0</v>
      </c>
      <c r="J402" s="13">
        <f t="shared" si="78"/>
        <v>0</v>
      </c>
      <c r="K402" s="13">
        <f>ROUNDUP(IF($D$2="Egyszeri",$D402,IF($D$2="Havi",SUM($D$20:$D$31),IF(MOD($C402,$M$1)-1=0,SUM($D$20:$D$31),0))/12*$M$1)*VLOOKUP($B402,Paraméterek!$B$27:$D$30,IF($D$2="Egyszeri",3,2)),IF($D$4="Forint",0,2))</f>
        <v>0</v>
      </c>
      <c r="L402" s="13">
        <f t="shared" si="79"/>
        <v>0</v>
      </c>
      <c r="M402" s="13">
        <f t="shared" ca="1" si="85"/>
        <v>-243669</v>
      </c>
      <c r="N402" s="13">
        <f ca="1">IF($V401&gt;=VLOOKUP($M$4-1+$B402,Paraméterek!$B$121:$D$122,IF($D$4="Forint",2,3)),0,VLOOKUP($M$4-1+$B402,Paraméterek!$B$121:$D$122,IF($D$4="Forint",2,3))-$V401)</f>
        <v>253669</v>
      </c>
      <c r="O402" s="13">
        <f ca="1">ROUNDUP($N402*Paraméterek!$C$58/Paraméterek!$C$56,IF($D$4="Forint",0,2))</f>
        <v>41</v>
      </c>
      <c r="P402" s="13">
        <f t="shared" si="80"/>
        <v>1376</v>
      </c>
      <c r="Q402" s="33"/>
      <c r="R402" s="13">
        <f t="shared" ca="1" si="81"/>
        <v>0</v>
      </c>
      <c r="S402" s="13">
        <f ca="1">ROUNDUP(($M402-$O402-$P402+$R402)*VLOOKUP($B402,Paraméterek!$B$38:$D$39,IF($D$2="Egyszeri",3,2))/12,IF($D$4="Forint",0,2))</f>
        <v>-599</v>
      </c>
      <c r="T402" s="13"/>
      <c r="U402" s="13"/>
      <c r="V402" s="13">
        <f ca="1">$M402-$O402-$P402+$R402-$S402-IF(ROUNDUP(IF(ISBLANK($U402),$T402,$U402)/IF(AND($B402=1,$D$2&lt;&gt;"Egyszeri"),1,VLOOKUP($B402+IF($C402=12,1,0),Paraméterek!$B$257:$D$267,IF($D$2="Egyszeri",3,2))),IF($D$4="Forint",0,2))&gt;$M402-$O402-$P402+$R402-$S402-IF($D$4="Forint",Paraméterek!$C$216,Paraméterek!$D$216),0,ROUNDUP(IF(ISBLANK($U402),$T402,$U402)/IF(AND($B402=1,$D$2&lt;&gt;"Egyszeri"),1,VLOOKUP($B402+IF($C402=12,1,0),Paraméterek!$B$257:$D$267,IF($D$2="Egyszeri",3,2))),IF($D$4="Forint",0,2)))</f>
        <v>-244487</v>
      </c>
      <c r="W402" s="13">
        <f ca="1">ROUNDDOWN($V402*VLOOKUP($B402+IF($C402=12,1,0),Paraméterek!$B$257:$D$267,IF($D$2="Egyszeri",3,2)),IF($D$4="Forint",0,2))</f>
        <v>-244487</v>
      </c>
      <c r="Y402" s="32">
        <v>383</v>
      </c>
      <c r="Z402" s="32">
        <v>32</v>
      </c>
      <c r="AA402" s="32">
        <v>11</v>
      </c>
      <c r="AB402" s="13">
        <f t="shared" si="86"/>
        <v>0</v>
      </c>
      <c r="AC402" s="33"/>
      <c r="AD402" s="13">
        <f t="shared" si="82"/>
        <v>0</v>
      </c>
      <c r="AE402" s="13">
        <f>ROUNDUP(($AB402+$AD402)*VLOOKUP($Z402,Paraméterek!$P$38:$Q$38,2)/12,IF($D$4="Forint",0,2))</f>
        <v>0</v>
      </c>
      <c r="AF402" s="13">
        <f>IF($D$2="Egyszeri",IF($D$7&gt;=IF($D$4="Forint",Paraméterek!$P$223,Paraméterek!$P$224),$D$7-IF($D$4="Forint",Paraméterek!$F$223,Paraméterek!$F$224),0),MIN(IF($AA402=12,AVERAGE($D$20:$D402)*12,0),SUM($D$20:$D$31)))</f>
        <v>0</v>
      </c>
      <c r="AG402" s="13">
        <f>IF(AND($Z402&gt;=10,MOD($Z402,5)=0),$AF402*IF($AA402=12,VLOOKUP($Z402,Paraméterek!$B$225:$F$240,IF($AF402&lt;IF($D$4="Forint",Paraméterek!$C$223,Paraméterek!$C$224),2,IF($AF402&lt;IF($D$4="Forint",Paraméterek!$D$223,Paraméterek!$D$224),3,4))),0),0)</f>
        <v>0</v>
      </c>
      <c r="AH402" s="13">
        <f>IF(AND($Z402&gt;=5,MOD($Z402,5)=0),IF($AA402=12,VLOOKUP($Z402,Paraméterek!$B$225:$F$240,5),0),IF(OR($Z402=3,$Z402=4),IF($AA402=12,VLOOKUP($Z402,Paraméterek!$B$225:$F$240,5,0),0),0))*$AF402</f>
        <v>0</v>
      </c>
      <c r="AI402" s="13">
        <f>ROUNDDOWN(IF(SUM($T$20:$U402)=0,IF($D$2="Egyszeri",$AH402,$AG402),0),IF($D$4="Forint",0,2))</f>
        <v>0</v>
      </c>
      <c r="AJ402" s="13">
        <f t="shared" si="87"/>
        <v>0</v>
      </c>
      <c r="AK402" s="13">
        <f t="shared" si="88"/>
        <v>0</v>
      </c>
      <c r="AM402" s="32">
        <v>383</v>
      </c>
      <c r="AN402" s="32">
        <v>32</v>
      </c>
      <c r="AO402" s="32">
        <v>11</v>
      </c>
      <c r="AP402" s="13"/>
      <c r="AQ402" s="32"/>
      <c r="AR402" s="13">
        <f t="shared" si="89"/>
        <v>0</v>
      </c>
      <c r="AS402" s="33"/>
      <c r="AT402" s="13">
        <f t="shared" si="83"/>
        <v>0</v>
      </c>
      <c r="AU402" s="13">
        <f>ROUNDUP(($AR402+$AT402)*VLOOKUP($AN402,Paraméterek!$P$38:$Q$38,2)/12,IF($D$4="Forint",0,2))</f>
        <v>0</v>
      </c>
      <c r="AV402" s="13"/>
      <c r="AW402" s="13"/>
      <c r="AX402" s="13">
        <f>ROUNDUP(IF(SUM($AV402:$AW402)=0,0,IF(IF(ISBLANK($AW402),$AV402,$AW402)*Paraméterek!$J$112&lt;IF($D$4="Forint",Paraméterek!$J$113,Paraméterek!$K$113),IF($D$4="Forint",Paraméterek!$J$113,Paraméterek!$K$113),IF(IF(ISBLANK($AW402),$AV402,$AW402)*Paraméterek!$J$112&gt;IF($D$4="Forint",Paraméterek!$J$114,Paraméterek!$K$114),IF($D$4="Forint",Paraméterek!$J$114,Paraméterek!$K$114),IF(ISBLANK($AW402),$AV402,$AW402)*Paraméterek!$J$112))),IF($D$4="Forint",0,2))</f>
        <v>0</v>
      </c>
      <c r="AY402" s="13">
        <f>$AR402+$AT402-$AU402-IF(ROUNDDOWN(IF(ISBLANK($AW402),$AV402,$AW402),IF($D$4="Forint",0,2))&gt;$AR402+$AT402-$AU402-IF($D$4="Forint",Paraméterek!$J$114,Paraméterek!$K$114),0,ROUNDDOWN(IF(ISBLANK($AW402),$AV402,$AW402),IF($D$4="Forint",0,2))-$AX402)</f>
        <v>0</v>
      </c>
      <c r="AZ402" s="13">
        <f t="shared" si="84"/>
        <v>0</v>
      </c>
    </row>
    <row r="403" spans="1:52" x14ac:dyDescent="0.2">
      <c r="A403" s="32">
        <v>384</v>
      </c>
      <c r="B403" s="32">
        <v>32</v>
      </c>
      <c r="C403" s="32">
        <v>12</v>
      </c>
      <c r="D403" s="13">
        <f t="shared" si="75"/>
        <v>0</v>
      </c>
      <c r="E403" s="13"/>
      <c r="F403" s="13"/>
      <c r="G403" s="13"/>
      <c r="H403" s="13">
        <f t="shared" si="76"/>
        <v>0</v>
      </c>
      <c r="I403" s="13">
        <f t="shared" si="77"/>
        <v>0</v>
      </c>
      <c r="J403" s="13">
        <f t="shared" si="78"/>
        <v>0</v>
      </c>
      <c r="K403" s="13">
        <f>ROUNDUP(IF($D$2="Egyszeri",$D403,IF($D$2="Havi",SUM($D$20:$D$31),IF(MOD($C403,$M$1)-1=0,SUM($D$20:$D$31),0))/12*$M$1)*VLOOKUP($B403,Paraméterek!$B$27:$D$30,IF($D$2="Egyszeri",3,2)),IF($D$4="Forint",0,2))</f>
        <v>0</v>
      </c>
      <c r="L403" s="13">
        <f t="shared" si="79"/>
        <v>0</v>
      </c>
      <c r="M403" s="13">
        <f t="shared" ca="1" si="85"/>
        <v>-244487</v>
      </c>
      <c r="N403" s="13">
        <f ca="1">IF($V402&gt;=VLOOKUP($M$4-1+$B403,Paraméterek!$B$121:$D$122,IF($D$4="Forint",2,3)),0,VLOOKUP($M$4-1+$B403,Paraméterek!$B$121:$D$122,IF($D$4="Forint",2,3))-$V402)</f>
        <v>254487</v>
      </c>
      <c r="O403" s="13">
        <f ca="1">ROUNDUP($N403*Paraméterek!$C$58/Paraméterek!$C$56,IF($D$4="Forint",0,2))</f>
        <v>41</v>
      </c>
      <c r="P403" s="13">
        <f t="shared" si="80"/>
        <v>1376</v>
      </c>
      <c r="Q403" s="33"/>
      <c r="R403" s="13">
        <f t="shared" ca="1" si="81"/>
        <v>0</v>
      </c>
      <c r="S403" s="13">
        <f ca="1">ROUNDUP(($M403-$O403-$P403+$R403)*VLOOKUP($B403,Paraméterek!$B$38:$D$39,IF($D$2="Egyszeri",3,2))/12,IF($D$4="Forint",0,2))</f>
        <v>-601</v>
      </c>
      <c r="T403" s="13">
        <f>Tranzakciók!$F$63</f>
        <v>0</v>
      </c>
      <c r="U403" s="13"/>
      <c r="V403" s="13">
        <f ca="1">$M403-$O403-$P403+$R403-$S403-IF(ROUNDUP(IF(ISBLANK($U403),$T403,$U403)/IF(AND($B403=1,$D$2&lt;&gt;"Egyszeri"),1,VLOOKUP($B403+IF($C403=12,1,0),Paraméterek!$B$257:$D$267,IF($D$2="Egyszeri",3,2))),IF($D$4="Forint",0,2))&gt;$M403-$O403-$P403+$R403-$S403-IF($D$4="Forint",Paraméterek!$C$216,Paraméterek!$D$216),0,ROUNDUP(IF(ISBLANK($U403),$T403,$U403)/IF(AND($B403=1,$D$2&lt;&gt;"Egyszeri"),1,VLOOKUP($B403+IF($C403=12,1,0),Paraméterek!$B$257:$D$267,IF($D$2="Egyszeri",3,2))),IF($D$4="Forint",0,2)))</f>
        <v>-245303</v>
      </c>
      <c r="W403" s="13">
        <f ca="1">ROUNDDOWN($V403*VLOOKUP($B403+IF($C403=12,1,0),Paraméterek!$B$257:$D$267,IF($D$2="Egyszeri",3,2)),IF($D$4="Forint",0,2))</f>
        <v>-245303</v>
      </c>
      <c r="Y403" s="32">
        <v>384</v>
      </c>
      <c r="Z403" s="32">
        <v>32</v>
      </c>
      <c r="AA403" s="32">
        <v>12</v>
      </c>
      <c r="AB403" s="13">
        <f t="shared" si="86"/>
        <v>0</v>
      </c>
      <c r="AC403" s="33"/>
      <c r="AD403" s="13">
        <f t="shared" si="82"/>
        <v>0</v>
      </c>
      <c r="AE403" s="13">
        <f>ROUNDUP(($AB403+$AD403)*VLOOKUP($Z403,Paraméterek!$P$38:$Q$38,2)/12,IF($D$4="Forint",0,2))</f>
        <v>0</v>
      </c>
      <c r="AF403" s="13">
        <f>IF($D$2="Egyszeri",IF($D$7&gt;=IF($D$4="Forint",Paraméterek!$P$223,Paraméterek!$P$224),$D$7-IF($D$4="Forint",Paraméterek!$F$223,Paraméterek!$F$224),0),MIN(IF($AA403=12,AVERAGE($D$20:$D403)*12,0),SUM($D$20:$D$31)))</f>
        <v>0</v>
      </c>
      <c r="AG403" s="13">
        <f>IF(AND($Z403&gt;=10,MOD($Z403,5)=0),$AF403*IF($AA403=12,VLOOKUP($Z403,Paraméterek!$B$225:$F$240,IF($AF403&lt;IF($D$4="Forint",Paraméterek!$C$223,Paraméterek!$C$224),2,IF($AF403&lt;IF($D$4="Forint",Paraméterek!$D$223,Paraméterek!$D$224),3,4))),0),0)</f>
        <v>0</v>
      </c>
      <c r="AH403" s="13">
        <f>IF(AND($Z403&gt;=5,MOD($Z403,5)=0),IF($AA403=12,VLOOKUP($Z403,Paraméterek!$B$225:$F$240,5),0),IF(OR($Z403=3,$Z403=4),IF($AA403=12,VLOOKUP($Z403,Paraméterek!$B$225:$F$240,5,0),0),0))*$AF403</f>
        <v>0</v>
      </c>
      <c r="AI403" s="13">
        <f>ROUNDDOWN(IF(SUM($T$20:$U403)=0,IF($D$2="Egyszeri",$AH403,$AG403),0),IF($D$4="Forint",0,2))</f>
        <v>0</v>
      </c>
      <c r="AJ403" s="13">
        <f t="shared" si="87"/>
        <v>0</v>
      </c>
      <c r="AK403" s="13">
        <f t="shared" si="88"/>
        <v>0</v>
      </c>
      <c r="AM403" s="32">
        <v>384</v>
      </c>
      <c r="AN403" s="32">
        <v>32</v>
      </c>
      <c r="AO403" s="32">
        <v>12</v>
      </c>
      <c r="AP403" s="13"/>
      <c r="AQ403" s="32"/>
      <c r="AR403" s="13">
        <f t="shared" si="89"/>
        <v>0</v>
      </c>
      <c r="AS403" s="33"/>
      <c r="AT403" s="13">
        <f t="shared" si="83"/>
        <v>0</v>
      </c>
      <c r="AU403" s="13">
        <f>ROUNDUP(($AR403+$AT403)*VLOOKUP($AN403,Paraméterek!$P$38:$Q$38,2)/12,IF($D$4="Forint",0,2))</f>
        <v>0</v>
      </c>
      <c r="AV403" s="13">
        <f>Tranzakciók!$M$63</f>
        <v>0</v>
      </c>
      <c r="AW403" s="13"/>
      <c r="AX403" s="13">
        <f>ROUNDUP(IF(SUM($AV403:$AW403)=0,0,IF(IF(ISBLANK($AW403),$AV403,$AW403)*Paraméterek!$J$112&lt;IF($D$4="Forint",Paraméterek!$J$113,Paraméterek!$K$113),IF($D$4="Forint",Paraméterek!$J$113,Paraméterek!$K$113),IF(IF(ISBLANK($AW403),$AV403,$AW403)*Paraméterek!$J$112&gt;IF($D$4="Forint",Paraméterek!$J$114,Paraméterek!$K$114),IF($D$4="Forint",Paraméterek!$J$114,Paraméterek!$K$114),IF(ISBLANK($AW403),$AV403,$AW403)*Paraméterek!$J$112))),IF($D$4="Forint",0,2))</f>
        <v>0</v>
      </c>
      <c r="AY403" s="13">
        <f>$AR403+$AT403-$AU403-IF(ROUNDDOWN(IF(ISBLANK($AW403),$AV403,$AW403),IF($D$4="Forint",0,2))&gt;$AR403+$AT403-$AU403-IF($D$4="Forint",Paraméterek!$J$114,Paraméterek!$K$114),0,ROUNDDOWN(IF(ISBLANK($AW403),$AV403,$AW403),IF($D$4="Forint",0,2))-$AX403)</f>
        <v>0</v>
      </c>
      <c r="AZ403" s="13">
        <f t="shared" si="84"/>
        <v>0</v>
      </c>
    </row>
    <row r="404" spans="1:52" x14ac:dyDescent="0.2">
      <c r="A404" s="32">
        <v>385</v>
      </c>
      <c r="B404" s="32">
        <v>33</v>
      </c>
      <c r="C404" s="32">
        <v>1</v>
      </c>
      <c r="D404" s="13">
        <f t="shared" si="75"/>
        <v>0</v>
      </c>
      <c r="E404" s="13"/>
      <c r="F404" s="13">
        <f>Tranzakciók!$D$64</f>
        <v>0</v>
      </c>
      <c r="G404" s="13"/>
      <c r="H404" s="13">
        <f t="shared" si="76"/>
        <v>0</v>
      </c>
      <c r="I404" s="13">
        <f t="shared" si="77"/>
        <v>258</v>
      </c>
      <c r="J404" s="13">
        <f t="shared" si="78"/>
        <v>258</v>
      </c>
      <c r="K404" s="13">
        <f>ROUNDUP(IF($D$2="Egyszeri",$D404,IF($D$2="Havi",SUM($D$20:$D$31),IF(MOD($C404,$M$1)-1=0,SUM($D$20:$D$31),0))/12*$M$1)*VLOOKUP($B404,Paraméterek!$B$27:$D$30,IF($D$2="Egyszeri",3,2)),IF($D$4="Forint",0,2))</f>
        <v>0</v>
      </c>
      <c r="L404" s="13">
        <f t="shared" si="79"/>
        <v>0</v>
      </c>
      <c r="M404" s="13">
        <f t="shared" ca="1" si="85"/>
        <v>-245303</v>
      </c>
      <c r="N404" s="13">
        <f ca="1">IF($V403&gt;=VLOOKUP($M$4-1+$B404,Paraméterek!$B$121:$D$122,IF($D$4="Forint",2,3)),0,VLOOKUP($M$4-1+$B404,Paraméterek!$B$121:$D$122,IF($D$4="Forint",2,3))-$V403)</f>
        <v>255303</v>
      </c>
      <c r="O404" s="13">
        <f ca="1">ROUNDUP($N404*Paraméterek!$C$58/Paraméterek!$C$56,IF($D$4="Forint",0,2))</f>
        <v>41</v>
      </c>
      <c r="P404" s="13">
        <f t="shared" si="80"/>
        <v>1417</v>
      </c>
      <c r="Q404" s="33"/>
      <c r="R404" s="13">
        <f t="shared" ca="1" si="81"/>
        <v>0</v>
      </c>
      <c r="S404" s="13">
        <f ca="1">ROUNDUP(($M404-$O404-$P404+$R404)*VLOOKUP($B404,Paraméterek!$B$38:$D$39,IF($D$2="Egyszeri",3,2))/12,IF($D$4="Forint",0,2))</f>
        <v>-603</v>
      </c>
      <c r="T404" s="13"/>
      <c r="U404" s="13"/>
      <c r="V404" s="13">
        <f ca="1">$M404-$O404-$P404+$R404-$S404-IF(ROUNDUP(IF(ISBLANK($U404),$T404,$U404)/IF(AND($B404=1,$D$2&lt;&gt;"Egyszeri"),1,VLOOKUP($B404+IF($C404=12,1,0),Paraméterek!$B$257:$D$267,IF($D$2="Egyszeri",3,2))),IF($D$4="Forint",0,2))&gt;$M404-$O404-$P404+$R404-$S404-IF($D$4="Forint",Paraméterek!$C$216,Paraméterek!$D$216),0,ROUNDUP(IF(ISBLANK($U404),$T404,$U404)/IF(AND($B404=1,$D$2&lt;&gt;"Egyszeri"),1,VLOOKUP($B404+IF($C404=12,1,0),Paraméterek!$B$257:$D$267,IF($D$2="Egyszeri",3,2))),IF($D$4="Forint",0,2)))</f>
        <v>-246158</v>
      </c>
      <c r="W404" s="13">
        <f ca="1">ROUNDDOWN($V404*VLOOKUP($B404+IF($C404=12,1,0),Paraméterek!$B$257:$D$267,IF($D$2="Egyszeri",3,2)),IF($D$4="Forint",0,2))</f>
        <v>-246158</v>
      </c>
      <c r="Y404" s="32">
        <v>385</v>
      </c>
      <c r="Z404" s="32">
        <v>33</v>
      </c>
      <c r="AA404" s="32">
        <v>1</v>
      </c>
      <c r="AB404" s="13">
        <f t="shared" si="86"/>
        <v>0</v>
      </c>
      <c r="AC404" s="33"/>
      <c r="AD404" s="13">
        <f t="shared" si="82"/>
        <v>0</v>
      </c>
      <c r="AE404" s="13">
        <f>ROUNDUP(($AB404+$AD404)*VLOOKUP($Z404,Paraméterek!$P$38:$Q$38,2)/12,IF($D$4="Forint",0,2))</f>
        <v>0</v>
      </c>
      <c r="AF404" s="13">
        <f>IF($D$2="Egyszeri",IF($D$7&gt;=IF($D$4="Forint",Paraméterek!$P$223,Paraméterek!$P$224),$D$7-IF($D$4="Forint",Paraméterek!$F$223,Paraméterek!$F$224),0),MIN(IF($AA404=12,AVERAGE($D$20:$D404)*12,0),SUM($D$20:$D$31)))</f>
        <v>0</v>
      </c>
      <c r="AG404" s="13">
        <f>IF(AND($Z404&gt;=10,MOD($Z404,5)=0),$AF404*IF($AA404=12,VLOOKUP($Z404,Paraméterek!$B$225:$F$240,IF($AF404&lt;IF($D$4="Forint",Paraméterek!$C$223,Paraméterek!$C$224),2,IF($AF404&lt;IF($D$4="Forint",Paraméterek!$D$223,Paraméterek!$D$224),3,4))),0),0)</f>
        <v>0</v>
      </c>
      <c r="AH404" s="13">
        <f>IF(AND($Z404&gt;=5,MOD($Z404,5)=0),IF($AA404=12,VLOOKUP($Z404,Paraméterek!$B$225:$F$240,5),0),IF(OR($Z404=3,$Z404=4),IF($AA404=12,VLOOKUP($Z404,Paraméterek!$B$225:$F$240,5,0),0),0))*$AF404</f>
        <v>0</v>
      </c>
      <c r="AI404" s="13">
        <f>ROUNDDOWN(IF(SUM($T$20:$U404)=0,IF($D$2="Egyszeri",$AH404,$AG404),0),IF($D$4="Forint",0,2))</f>
        <v>0</v>
      </c>
      <c r="AJ404" s="13">
        <f t="shared" si="87"/>
        <v>0</v>
      </c>
      <c r="AK404" s="13">
        <f t="shared" si="88"/>
        <v>0</v>
      </c>
      <c r="AM404" s="32">
        <v>385</v>
      </c>
      <c r="AN404" s="32">
        <v>33</v>
      </c>
      <c r="AO404" s="32">
        <v>1</v>
      </c>
      <c r="AP404" s="13">
        <f>Tranzakciók!$K$64</f>
        <v>0</v>
      </c>
      <c r="AQ404" s="32"/>
      <c r="AR404" s="13">
        <f t="shared" si="89"/>
        <v>0</v>
      </c>
      <c r="AS404" s="33"/>
      <c r="AT404" s="13">
        <f t="shared" si="83"/>
        <v>0</v>
      </c>
      <c r="AU404" s="13">
        <f>ROUNDUP(($AR404+$AT404)*VLOOKUP($AN404,Paraméterek!$P$38:$Q$38,2)/12,IF($D$4="Forint",0,2))</f>
        <v>0</v>
      </c>
      <c r="AV404" s="13"/>
      <c r="AW404" s="13"/>
      <c r="AX404" s="13">
        <f>ROUNDUP(IF(SUM($AV404:$AW404)=0,0,IF(IF(ISBLANK($AW404),$AV404,$AW404)*Paraméterek!$J$112&lt;IF($D$4="Forint",Paraméterek!$J$113,Paraméterek!$K$113),IF($D$4="Forint",Paraméterek!$J$113,Paraméterek!$K$113),IF(IF(ISBLANK($AW404),$AV404,$AW404)*Paraméterek!$J$112&gt;IF($D$4="Forint",Paraméterek!$J$114,Paraméterek!$K$114),IF($D$4="Forint",Paraméterek!$J$114,Paraméterek!$K$114),IF(ISBLANK($AW404),$AV404,$AW404)*Paraméterek!$J$112))),IF($D$4="Forint",0,2))</f>
        <v>0</v>
      </c>
      <c r="AY404" s="13">
        <f>$AR404+$AT404-$AU404-IF(ROUNDDOWN(IF(ISBLANK($AW404),$AV404,$AW404),IF($D$4="Forint",0,2))&gt;$AR404+$AT404-$AU404-IF($D$4="Forint",Paraméterek!$J$114,Paraméterek!$K$114),0,ROUNDDOWN(IF(ISBLANK($AW404),$AV404,$AW404),IF($D$4="Forint",0,2))-$AX404)</f>
        <v>0</v>
      </c>
      <c r="AZ404" s="13">
        <f t="shared" si="84"/>
        <v>0</v>
      </c>
    </row>
    <row r="405" spans="1:52" x14ac:dyDescent="0.2">
      <c r="A405" s="32">
        <v>386</v>
      </c>
      <c r="B405" s="32">
        <v>33</v>
      </c>
      <c r="C405" s="32">
        <v>2</v>
      </c>
      <c r="D405" s="13">
        <f t="shared" ref="D405:D468" si="90">IF($D$2="Egyszeri",IF($A405=1,$D$7,0),ROUNDUP(IF($D$2="Havi",$D$7,IF(MOD($C405,$M$1)-1=0,$D$7,0))*(1+$D$6)^($B405-1),IF($D$4="Forint",0,2)))</f>
        <v>0</v>
      </c>
      <c r="E405" s="13"/>
      <c r="F405" s="13"/>
      <c r="G405" s="13"/>
      <c r="H405" s="13">
        <f t="shared" ref="H405:H468" si="91">ROUNDUP(IF(AND($D$8="Nincs",$D$2&lt;&gt;"Egyszeri"),$D405*10%,0),IF($D$4="Forint",0,2))</f>
        <v>0</v>
      </c>
      <c r="I405" s="13">
        <f t="shared" ref="I405:I468" si="92">IF($D$2="Egyszeri",IF($A405=1,$M$3,0),ROUNDUP(IF($D$2="Havi",$M$3,IF(MOD($C405,$M$1)-1=0,$M$3,0))*(1+$M$2)^($B405-1),IF($D$4="Forint",0,2)))</f>
        <v>0</v>
      </c>
      <c r="J405" s="13">
        <f t="shared" ref="J405:J468" si="93">IF(ISBLANK($E405),$D405,$E405)+IF(ISBLANK($G405),$F405,$G405)+$H405+$I405</f>
        <v>0</v>
      </c>
      <c r="K405" s="13">
        <f>ROUNDUP(IF($D$2="Egyszeri",$D405,IF($D$2="Havi",SUM($D$20:$D$31),IF(MOD($C405,$M$1)-1=0,SUM($D$20:$D$31),0))/12*$M$1)*VLOOKUP($B405,Paraméterek!$B$27:$D$30,IF($D$2="Egyszeri",3,2)),IF($D$4="Forint",0,2))</f>
        <v>0</v>
      </c>
      <c r="L405" s="13">
        <f t="shared" ref="L405:L468" si="94">$D405-$K405+IF(ISBLANK($G405),$F405,$G405)</f>
        <v>0</v>
      </c>
      <c r="M405" s="13">
        <f t="shared" ca="1" si="85"/>
        <v>-246158</v>
      </c>
      <c r="N405" s="13">
        <f ca="1">IF($V404&gt;=VLOOKUP($M$4-1+$B405,Paraméterek!$B$121:$D$122,IF($D$4="Forint",2,3)),0,VLOOKUP($M$4-1+$B405,Paraméterek!$B$121:$D$122,IF($D$4="Forint",2,3))-$V404)</f>
        <v>256158</v>
      </c>
      <c r="O405" s="13">
        <f ca="1">ROUNDUP($N405*Paraméterek!$C$58/Paraméterek!$C$56,IF($D$4="Forint",0,2))</f>
        <v>41</v>
      </c>
      <c r="P405" s="13">
        <f t="shared" ref="P405:P468" si="95">ROUNDUP($M$5*(1+$M$2)^($B405-1),IF($D$4="Forint",0,2))</f>
        <v>1417</v>
      </c>
      <c r="Q405" s="33"/>
      <c r="R405" s="13">
        <f t="shared" ref="R405:R468" ca="1" si="96">ROUNDDOWN(($M405-$O405-$P405)*IF(ISBLANK($Q405),$M$6,$Q405),IF($D$4="Forint",0,2))</f>
        <v>0</v>
      </c>
      <c r="S405" s="13">
        <f ca="1">ROUNDUP(($M405-$O405-$P405+$R405)*VLOOKUP($B405,Paraméterek!$B$38:$D$39,IF($D$2="Egyszeri",3,2))/12,IF($D$4="Forint",0,2))</f>
        <v>-605</v>
      </c>
      <c r="T405" s="13"/>
      <c r="U405" s="13"/>
      <c r="V405" s="13">
        <f ca="1">$M405-$O405-$P405+$R405-$S405-IF(ROUNDUP(IF(ISBLANK($U405),$T405,$U405)/IF(AND($B405=1,$D$2&lt;&gt;"Egyszeri"),1,VLOOKUP($B405+IF($C405=12,1,0),Paraméterek!$B$257:$D$267,IF($D$2="Egyszeri",3,2))),IF($D$4="Forint",0,2))&gt;$M405-$O405-$P405+$R405-$S405-IF($D$4="Forint",Paraméterek!$C$216,Paraméterek!$D$216),0,ROUNDUP(IF(ISBLANK($U405),$T405,$U405)/IF(AND($B405=1,$D$2&lt;&gt;"Egyszeri"),1,VLOOKUP($B405+IF($C405=12,1,0),Paraméterek!$B$257:$D$267,IF($D$2="Egyszeri",3,2))),IF($D$4="Forint",0,2)))</f>
        <v>-247011</v>
      </c>
      <c r="W405" s="13">
        <f ca="1">ROUNDDOWN($V405*VLOOKUP($B405+IF($C405=12,1,0),Paraméterek!$B$257:$D$267,IF($D$2="Egyszeri",3,2)),IF($D$4="Forint",0,2))</f>
        <v>-247011</v>
      </c>
      <c r="Y405" s="32">
        <v>386</v>
      </c>
      <c r="Z405" s="32">
        <v>33</v>
      </c>
      <c r="AA405" s="32">
        <v>2</v>
      </c>
      <c r="AB405" s="13">
        <f t="shared" si="86"/>
        <v>0</v>
      </c>
      <c r="AC405" s="33"/>
      <c r="AD405" s="13">
        <f t="shared" ref="AD405:AD468" si="97">ROUNDDOWN($AB405*IF(ISBLANK($AC405),$M$8,$AC405),IF($D$4="Forint",0,2))</f>
        <v>0</v>
      </c>
      <c r="AE405" s="13">
        <f>ROUNDUP(($AB405+$AD405)*VLOOKUP($Z405,Paraméterek!$P$38:$Q$38,2)/12,IF($D$4="Forint",0,2))</f>
        <v>0</v>
      </c>
      <c r="AF405" s="13">
        <f>IF($D$2="Egyszeri",IF($D$7&gt;=IF($D$4="Forint",Paraméterek!$P$223,Paraméterek!$P$224),$D$7-IF($D$4="Forint",Paraméterek!$F$223,Paraméterek!$F$224),0),MIN(IF($AA405=12,AVERAGE($D$20:$D405)*12,0),SUM($D$20:$D$31)))</f>
        <v>0</v>
      </c>
      <c r="AG405" s="13">
        <f>IF(AND($Z405&gt;=10,MOD($Z405,5)=0),$AF405*IF($AA405=12,VLOOKUP($Z405,Paraméterek!$B$225:$F$240,IF($AF405&lt;IF($D$4="Forint",Paraméterek!$C$223,Paraméterek!$C$224),2,IF($AF405&lt;IF($D$4="Forint",Paraméterek!$D$223,Paraméterek!$D$224),3,4))),0),0)</f>
        <v>0</v>
      </c>
      <c r="AH405" s="13">
        <f>IF(AND($Z405&gt;=5,MOD($Z405,5)=0),IF($AA405=12,VLOOKUP($Z405,Paraméterek!$B$225:$F$240,5),0),IF(OR($Z405=3,$Z405=4),IF($AA405=12,VLOOKUP($Z405,Paraméterek!$B$225:$F$240,5,0),0),0))*$AF405</f>
        <v>0</v>
      </c>
      <c r="AI405" s="13">
        <f>ROUNDDOWN(IF(SUM($T$20:$U405)=0,IF($D$2="Egyszeri",$AH405,$AG405),0),IF($D$4="Forint",0,2))</f>
        <v>0</v>
      </c>
      <c r="AJ405" s="13">
        <f t="shared" si="87"/>
        <v>0</v>
      </c>
      <c r="AK405" s="13">
        <f t="shared" si="88"/>
        <v>0</v>
      </c>
      <c r="AM405" s="32">
        <v>386</v>
      </c>
      <c r="AN405" s="32">
        <v>33</v>
      </c>
      <c r="AO405" s="32">
        <v>2</v>
      </c>
      <c r="AP405" s="13"/>
      <c r="AQ405" s="32"/>
      <c r="AR405" s="13">
        <f t="shared" si="89"/>
        <v>0</v>
      </c>
      <c r="AS405" s="33"/>
      <c r="AT405" s="13">
        <f t="shared" ref="AT405:AT468" si="98">ROUNDDOWN($AR405*IF(ISBLANK($AS405),$M$7,$AS405),IF($D$4="Forint",0,2))</f>
        <v>0</v>
      </c>
      <c r="AU405" s="13">
        <f>ROUNDUP(($AR405+$AT405)*VLOOKUP($AN405,Paraméterek!$P$38:$Q$38,2)/12,IF($D$4="Forint",0,2))</f>
        <v>0</v>
      </c>
      <c r="AV405" s="13"/>
      <c r="AW405" s="13"/>
      <c r="AX405" s="13">
        <f>ROUNDUP(IF(SUM($AV405:$AW405)=0,0,IF(IF(ISBLANK($AW405),$AV405,$AW405)*Paraméterek!$J$112&lt;IF($D$4="Forint",Paraméterek!$J$113,Paraméterek!$K$113),IF($D$4="Forint",Paraméterek!$J$113,Paraméterek!$K$113),IF(IF(ISBLANK($AW405),$AV405,$AW405)*Paraméterek!$J$112&gt;IF($D$4="Forint",Paraméterek!$J$114,Paraméterek!$K$114),IF($D$4="Forint",Paraméterek!$J$114,Paraméterek!$K$114),IF(ISBLANK($AW405),$AV405,$AW405)*Paraméterek!$J$112))),IF($D$4="Forint",0,2))</f>
        <v>0</v>
      </c>
      <c r="AY405" s="13">
        <f>$AR405+$AT405-$AU405-IF(ROUNDDOWN(IF(ISBLANK($AW405),$AV405,$AW405),IF($D$4="Forint",0,2))&gt;$AR405+$AT405-$AU405-IF($D$4="Forint",Paraméterek!$J$114,Paraméterek!$K$114),0,ROUNDDOWN(IF(ISBLANK($AW405),$AV405,$AW405),IF($D$4="Forint",0,2))-$AX405)</f>
        <v>0</v>
      </c>
      <c r="AZ405" s="13">
        <f t="shared" ref="AZ405:AZ468" si="99">$AY405</f>
        <v>0</v>
      </c>
    </row>
    <row r="406" spans="1:52" x14ac:dyDescent="0.2">
      <c r="A406" s="32">
        <v>387</v>
      </c>
      <c r="B406" s="32">
        <v>33</v>
      </c>
      <c r="C406" s="32">
        <v>3</v>
      </c>
      <c r="D406" s="13">
        <f t="shared" si="90"/>
        <v>0</v>
      </c>
      <c r="E406" s="13"/>
      <c r="F406" s="13"/>
      <c r="G406" s="13"/>
      <c r="H406" s="13">
        <f t="shared" si="91"/>
        <v>0</v>
      </c>
      <c r="I406" s="13">
        <f t="shared" si="92"/>
        <v>0</v>
      </c>
      <c r="J406" s="13">
        <f t="shared" si="93"/>
        <v>0</v>
      </c>
      <c r="K406" s="13">
        <f>ROUNDUP(IF($D$2="Egyszeri",$D406,IF($D$2="Havi",SUM($D$20:$D$31),IF(MOD($C406,$M$1)-1=0,SUM($D$20:$D$31),0))/12*$M$1)*VLOOKUP($B406,Paraméterek!$B$27:$D$30,IF($D$2="Egyszeri",3,2)),IF($D$4="Forint",0,2))</f>
        <v>0</v>
      </c>
      <c r="L406" s="13">
        <f t="shared" si="94"/>
        <v>0</v>
      </c>
      <c r="M406" s="13">
        <f t="shared" ref="M406:M469" ca="1" si="100">$L406+$V405</f>
        <v>-247011</v>
      </c>
      <c r="N406" s="13">
        <f ca="1">IF($V405&gt;=VLOOKUP($M$4-1+$B406,Paraméterek!$B$121:$D$122,IF($D$4="Forint",2,3)),0,VLOOKUP($M$4-1+$B406,Paraméterek!$B$121:$D$122,IF($D$4="Forint",2,3))-$V405)</f>
        <v>257011</v>
      </c>
      <c r="O406" s="13">
        <f ca="1">ROUNDUP($N406*Paraméterek!$C$58/Paraméterek!$C$56,IF($D$4="Forint",0,2))</f>
        <v>41</v>
      </c>
      <c r="P406" s="13">
        <f t="shared" si="95"/>
        <v>1417</v>
      </c>
      <c r="Q406" s="33"/>
      <c r="R406" s="13">
        <f t="shared" ca="1" si="96"/>
        <v>0</v>
      </c>
      <c r="S406" s="13">
        <f ca="1">ROUNDUP(($M406-$O406-$P406+$R406)*VLOOKUP($B406,Paraméterek!$B$38:$D$39,IF($D$2="Egyszeri",3,2))/12,IF($D$4="Forint",0,2))</f>
        <v>-607</v>
      </c>
      <c r="T406" s="13"/>
      <c r="U406" s="13"/>
      <c r="V406" s="13">
        <f ca="1">$M406-$O406-$P406+$R406-$S406-IF(ROUNDUP(IF(ISBLANK($U406),$T406,$U406)/IF(AND($B406=1,$D$2&lt;&gt;"Egyszeri"),1,VLOOKUP($B406+IF($C406=12,1,0),Paraméterek!$B$257:$D$267,IF($D$2="Egyszeri",3,2))),IF($D$4="Forint",0,2))&gt;$M406-$O406-$P406+$R406-$S406-IF($D$4="Forint",Paraméterek!$C$216,Paraméterek!$D$216),0,ROUNDUP(IF(ISBLANK($U406),$T406,$U406)/IF(AND($B406=1,$D$2&lt;&gt;"Egyszeri"),1,VLOOKUP($B406+IF($C406=12,1,0),Paraméterek!$B$257:$D$267,IF($D$2="Egyszeri",3,2))),IF($D$4="Forint",0,2)))</f>
        <v>-247862</v>
      </c>
      <c r="W406" s="13">
        <f ca="1">ROUNDDOWN($V406*VLOOKUP($B406+IF($C406=12,1,0),Paraméterek!$B$257:$D$267,IF($D$2="Egyszeri",3,2)),IF($D$4="Forint",0,2))</f>
        <v>-247862</v>
      </c>
      <c r="Y406" s="32">
        <v>387</v>
      </c>
      <c r="Z406" s="32">
        <v>33</v>
      </c>
      <c r="AA406" s="32">
        <v>3</v>
      </c>
      <c r="AB406" s="13">
        <f t="shared" ref="AB406:AB469" si="101">$AJ405</f>
        <v>0</v>
      </c>
      <c r="AC406" s="33"/>
      <c r="AD406" s="13">
        <f t="shared" si="97"/>
        <v>0</v>
      </c>
      <c r="AE406" s="13">
        <f>ROUNDUP(($AB406+$AD406)*VLOOKUP($Z406,Paraméterek!$P$38:$Q$38,2)/12,IF($D$4="Forint",0,2))</f>
        <v>0</v>
      </c>
      <c r="AF406" s="13">
        <f>IF($D$2="Egyszeri",IF($D$7&gt;=IF($D$4="Forint",Paraméterek!$P$223,Paraméterek!$P$224),$D$7-IF($D$4="Forint",Paraméterek!$F$223,Paraméterek!$F$224),0),MIN(IF($AA406=12,AVERAGE($D$20:$D406)*12,0),SUM($D$20:$D$31)))</f>
        <v>0</v>
      </c>
      <c r="AG406" s="13">
        <f>IF(AND($Z406&gt;=10,MOD($Z406,5)=0),$AF406*IF($AA406=12,VLOOKUP($Z406,Paraméterek!$B$225:$F$240,IF($AF406&lt;IF($D$4="Forint",Paraméterek!$C$223,Paraméterek!$C$224),2,IF($AF406&lt;IF($D$4="Forint",Paraméterek!$D$223,Paraméterek!$D$224),3,4))),0),0)</f>
        <v>0</v>
      </c>
      <c r="AH406" s="13">
        <f>IF(AND($Z406&gt;=5,MOD($Z406,5)=0),IF($AA406=12,VLOOKUP($Z406,Paraméterek!$B$225:$F$240,5),0),IF(OR($Z406=3,$Z406=4),IF($AA406=12,VLOOKUP($Z406,Paraméterek!$B$225:$F$240,5,0),0),0))*$AF406</f>
        <v>0</v>
      </c>
      <c r="AI406" s="13">
        <f>ROUNDDOWN(IF(SUM($T$20:$U406)=0,IF($D$2="Egyszeri",$AH406,$AG406),0),IF($D$4="Forint",0,2))</f>
        <v>0</v>
      </c>
      <c r="AJ406" s="13">
        <f t="shared" ref="AJ406:AJ469" si="102">$AB406+$AD406-$AE406+$AI406</f>
        <v>0</v>
      </c>
      <c r="AK406" s="13">
        <f t="shared" ref="AK406:AK469" si="103">$AJ406</f>
        <v>0</v>
      </c>
      <c r="AM406" s="32">
        <v>387</v>
      </c>
      <c r="AN406" s="32">
        <v>33</v>
      </c>
      <c r="AO406" s="32">
        <v>3</v>
      </c>
      <c r="AP406" s="13"/>
      <c r="AQ406" s="32"/>
      <c r="AR406" s="13">
        <f t="shared" ref="AR406:AR469" si="104">IF(ISBLANK($AQ406),$AP406,$AQ406)+$AY405</f>
        <v>0</v>
      </c>
      <c r="AS406" s="33"/>
      <c r="AT406" s="13">
        <f t="shared" si="98"/>
        <v>0</v>
      </c>
      <c r="AU406" s="13">
        <f>ROUNDUP(($AR406+$AT406)*VLOOKUP($AN406,Paraméterek!$P$38:$Q$38,2)/12,IF($D$4="Forint",0,2))</f>
        <v>0</v>
      </c>
      <c r="AV406" s="13"/>
      <c r="AW406" s="13"/>
      <c r="AX406" s="13">
        <f>ROUNDUP(IF(SUM($AV406:$AW406)=0,0,IF(IF(ISBLANK($AW406),$AV406,$AW406)*Paraméterek!$J$112&lt;IF($D$4="Forint",Paraméterek!$J$113,Paraméterek!$K$113),IF($D$4="Forint",Paraméterek!$J$113,Paraméterek!$K$113),IF(IF(ISBLANK($AW406),$AV406,$AW406)*Paraméterek!$J$112&gt;IF($D$4="Forint",Paraméterek!$J$114,Paraméterek!$K$114),IF($D$4="Forint",Paraméterek!$J$114,Paraméterek!$K$114),IF(ISBLANK($AW406),$AV406,$AW406)*Paraméterek!$J$112))),IF($D$4="Forint",0,2))</f>
        <v>0</v>
      </c>
      <c r="AY406" s="13">
        <f>$AR406+$AT406-$AU406-IF(ROUNDDOWN(IF(ISBLANK($AW406),$AV406,$AW406),IF($D$4="Forint",0,2))&gt;$AR406+$AT406-$AU406-IF($D$4="Forint",Paraméterek!$J$114,Paraméterek!$K$114),0,ROUNDDOWN(IF(ISBLANK($AW406),$AV406,$AW406),IF($D$4="Forint",0,2))-$AX406)</f>
        <v>0</v>
      </c>
      <c r="AZ406" s="13">
        <f t="shared" si="99"/>
        <v>0</v>
      </c>
    </row>
    <row r="407" spans="1:52" x14ac:dyDescent="0.2">
      <c r="A407" s="32">
        <v>388</v>
      </c>
      <c r="B407" s="32">
        <v>33</v>
      </c>
      <c r="C407" s="32">
        <v>4</v>
      </c>
      <c r="D407" s="13">
        <f t="shared" si="90"/>
        <v>0</v>
      </c>
      <c r="E407" s="13"/>
      <c r="F407" s="13"/>
      <c r="G407" s="13"/>
      <c r="H407" s="13">
        <f t="shared" si="91"/>
        <v>0</v>
      </c>
      <c r="I407" s="13">
        <f t="shared" si="92"/>
        <v>0</v>
      </c>
      <c r="J407" s="13">
        <f t="shared" si="93"/>
        <v>0</v>
      </c>
      <c r="K407" s="13">
        <f>ROUNDUP(IF($D$2="Egyszeri",$D407,IF($D$2="Havi",SUM($D$20:$D$31),IF(MOD($C407,$M$1)-1=0,SUM($D$20:$D$31),0))/12*$M$1)*VLOOKUP($B407,Paraméterek!$B$27:$D$30,IF($D$2="Egyszeri",3,2)),IF($D$4="Forint",0,2))</f>
        <v>0</v>
      </c>
      <c r="L407" s="13">
        <f t="shared" si="94"/>
        <v>0</v>
      </c>
      <c r="M407" s="13">
        <f t="shared" ca="1" si="100"/>
        <v>-247862</v>
      </c>
      <c r="N407" s="13">
        <f ca="1">IF($V406&gt;=VLOOKUP($M$4-1+$B407,Paraméterek!$B$121:$D$122,IF($D$4="Forint",2,3)),0,VLOOKUP($M$4-1+$B407,Paraméterek!$B$121:$D$122,IF($D$4="Forint",2,3))-$V406)</f>
        <v>257862</v>
      </c>
      <c r="O407" s="13">
        <f ca="1">ROUNDUP($N407*Paraméterek!$C$58/Paraméterek!$C$56,IF($D$4="Forint",0,2))</f>
        <v>42</v>
      </c>
      <c r="P407" s="13">
        <f t="shared" si="95"/>
        <v>1417</v>
      </c>
      <c r="Q407" s="33"/>
      <c r="R407" s="13">
        <f t="shared" ca="1" si="96"/>
        <v>0</v>
      </c>
      <c r="S407" s="13">
        <f ca="1">ROUNDUP(($M407-$O407-$P407+$R407)*VLOOKUP($B407,Paraméterek!$B$38:$D$39,IF($D$2="Egyszeri",3,2))/12,IF($D$4="Forint",0,2))</f>
        <v>-609</v>
      </c>
      <c r="T407" s="13"/>
      <c r="U407" s="13"/>
      <c r="V407" s="13">
        <f ca="1">$M407-$O407-$P407+$R407-$S407-IF(ROUNDUP(IF(ISBLANK($U407),$T407,$U407)/IF(AND($B407=1,$D$2&lt;&gt;"Egyszeri"),1,VLOOKUP($B407+IF($C407=12,1,0),Paraméterek!$B$257:$D$267,IF($D$2="Egyszeri",3,2))),IF($D$4="Forint",0,2))&gt;$M407-$O407-$P407+$R407-$S407-IF($D$4="Forint",Paraméterek!$C$216,Paraméterek!$D$216),0,ROUNDUP(IF(ISBLANK($U407),$T407,$U407)/IF(AND($B407=1,$D$2&lt;&gt;"Egyszeri"),1,VLOOKUP($B407+IF($C407=12,1,0),Paraméterek!$B$257:$D$267,IF($D$2="Egyszeri",3,2))),IF($D$4="Forint",0,2)))</f>
        <v>-248712</v>
      </c>
      <c r="W407" s="13">
        <f ca="1">ROUNDDOWN($V407*VLOOKUP($B407+IF($C407=12,1,0),Paraméterek!$B$257:$D$267,IF($D$2="Egyszeri",3,2)),IF($D$4="Forint",0,2))</f>
        <v>-248712</v>
      </c>
      <c r="Y407" s="32">
        <v>388</v>
      </c>
      <c r="Z407" s="32">
        <v>33</v>
      </c>
      <c r="AA407" s="32">
        <v>4</v>
      </c>
      <c r="AB407" s="13">
        <f t="shared" si="101"/>
        <v>0</v>
      </c>
      <c r="AC407" s="33"/>
      <c r="AD407" s="13">
        <f t="shared" si="97"/>
        <v>0</v>
      </c>
      <c r="AE407" s="13">
        <f>ROUNDUP(($AB407+$AD407)*VLOOKUP($Z407,Paraméterek!$P$38:$Q$38,2)/12,IF($D$4="Forint",0,2))</f>
        <v>0</v>
      </c>
      <c r="AF407" s="13">
        <f>IF($D$2="Egyszeri",IF($D$7&gt;=IF($D$4="Forint",Paraméterek!$P$223,Paraméterek!$P$224),$D$7-IF($D$4="Forint",Paraméterek!$F$223,Paraméterek!$F$224),0),MIN(IF($AA407=12,AVERAGE($D$20:$D407)*12,0),SUM($D$20:$D$31)))</f>
        <v>0</v>
      </c>
      <c r="AG407" s="13">
        <f>IF(AND($Z407&gt;=10,MOD($Z407,5)=0),$AF407*IF($AA407=12,VLOOKUP($Z407,Paraméterek!$B$225:$F$240,IF($AF407&lt;IF($D$4="Forint",Paraméterek!$C$223,Paraméterek!$C$224),2,IF($AF407&lt;IF($D$4="Forint",Paraméterek!$D$223,Paraméterek!$D$224),3,4))),0),0)</f>
        <v>0</v>
      </c>
      <c r="AH407" s="13">
        <f>IF(AND($Z407&gt;=5,MOD($Z407,5)=0),IF($AA407=12,VLOOKUP($Z407,Paraméterek!$B$225:$F$240,5),0),IF(OR($Z407=3,$Z407=4),IF($AA407=12,VLOOKUP($Z407,Paraméterek!$B$225:$F$240,5,0),0),0))*$AF407</f>
        <v>0</v>
      </c>
      <c r="AI407" s="13">
        <f>ROUNDDOWN(IF(SUM($T$20:$U407)=0,IF($D$2="Egyszeri",$AH407,$AG407),0),IF($D$4="Forint",0,2))</f>
        <v>0</v>
      </c>
      <c r="AJ407" s="13">
        <f t="shared" si="102"/>
        <v>0</v>
      </c>
      <c r="AK407" s="13">
        <f t="shared" si="103"/>
        <v>0</v>
      </c>
      <c r="AM407" s="32">
        <v>388</v>
      </c>
      <c r="AN407" s="32">
        <v>33</v>
      </c>
      <c r="AO407" s="32">
        <v>4</v>
      </c>
      <c r="AP407" s="13"/>
      <c r="AQ407" s="32"/>
      <c r="AR407" s="13">
        <f t="shared" si="104"/>
        <v>0</v>
      </c>
      <c r="AS407" s="33"/>
      <c r="AT407" s="13">
        <f t="shared" si="98"/>
        <v>0</v>
      </c>
      <c r="AU407" s="13">
        <f>ROUNDUP(($AR407+$AT407)*VLOOKUP($AN407,Paraméterek!$P$38:$Q$38,2)/12,IF($D$4="Forint",0,2))</f>
        <v>0</v>
      </c>
      <c r="AV407" s="13"/>
      <c r="AW407" s="13"/>
      <c r="AX407" s="13">
        <f>ROUNDUP(IF(SUM($AV407:$AW407)=0,0,IF(IF(ISBLANK($AW407),$AV407,$AW407)*Paraméterek!$J$112&lt;IF($D$4="Forint",Paraméterek!$J$113,Paraméterek!$K$113),IF($D$4="Forint",Paraméterek!$J$113,Paraméterek!$K$113),IF(IF(ISBLANK($AW407),$AV407,$AW407)*Paraméterek!$J$112&gt;IF($D$4="Forint",Paraméterek!$J$114,Paraméterek!$K$114),IF($D$4="Forint",Paraméterek!$J$114,Paraméterek!$K$114),IF(ISBLANK($AW407),$AV407,$AW407)*Paraméterek!$J$112))),IF($D$4="Forint",0,2))</f>
        <v>0</v>
      </c>
      <c r="AY407" s="13">
        <f>$AR407+$AT407-$AU407-IF(ROUNDDOWN(IF(ISBLANK($AW407),$AV407,$AW407),IF($D$4="Forint",0,2))&gt;$AR407+$AT407-$AU407-IF($D$4="Forint",Paraméterek!$J$114,Paraméterek!$K$114),0,ROUNDDOWN(IF(ISBLANK($AW407),$AV407,$AW407),IF($D$4="Forint",0,2))-$AX407)</f>
        <v>0</v>
      </c>
      <c r="AZ407" s="13">
        <f t="shared" si="99"/>
        <v>0</v>
      </c>
    </row>
    <row r="408" spans="1:52" x14ac:dyDescent="0.2">
      <c r="A408" s="32">
        <v>389</v>
      </c>
      <c r="B408" s="32">
        <v>33</v>
      </c>
      <c r="C408" s="32">
        <v>5</v>
      </c>
      <c r="D408" s="13">
        <f t="shared" si="90"/>
        <v>0</v>
      </c>
      <c r="E408" s="13"/>
      <c r="F408" s="13"/>
      <c r="G408" s="13"/>
      <c r="H408" s="13">
        <f t="shared" si="91"/>
        <v>0</v>
      </c>
      <c r="I408" s="13">
        <f t="shared" si="92"/>
        <v>0</v>
      </c>
      <c r="J408" s="13">
        <f t="shared" si="93"/>
        <v>0</v>
      </c>
      <c r="K408" s="13">
        <f>ROUNDUP(IF($D$2="Egyszeri",$D408,IF($D$2="Havi",SUM($D$20:$D$31),IF(MOD($C408,$M$1)-1=0,SUM($D$20:$D$31),0))/12*$M$1)*VLOOKUP($B408,Paraméterek!$B$27:$D$30,IF($D$2="Egyszeri",3,2)),IF($D$4="Forint",0,2))</f>
        <v>0</v>
      </c>
      <c r="L408" s="13">
        <f t="shared" si="94"/>
        <v>0</v>
      </c>
      <c r="M408" s="13">
        <f t="shared" ca="1" si="100"/>
        <v>-248712</v>
      </c>
      <c r="N408" s="13">
        <f ca="1">IF($V407&gt;=VLOOKUP($M$4-1+$B408,Paraméterek!$B$121:$D$122,IF($D$4="Forint",2,3)),0,VLOOKUP($M$4-1+$B408,Paraméterek!$B$121:$D$122,IF($D$4="Forint",2,3))-$V407)</f>
        <v>258712</v>
      </c>
      <c r="O408" s="13">
        <f ca="1">ROUNDUP($N408*Paraméterek!$C$58/Paraméterek!$C$56,IF($D$4="Forint",0,2))</f>
        <v>42</v>
      </c>
      <c r="P408" s="13">
        <f t="shared" si="95"/>
        <v>1417</v>
      </c>
      <c r="Q408" s="33"/>
      <c r="R408" s="13">
        <f t="shared" ca="1" si="96"/>
        <v>0</v>
      </c>
      <c r="S408" s="13">
        <f ca="1">ROUNDUP(($M408-$O408-$P408+$R408)*VLOOKUP($B408,Paraméterek!$B$38:$D$39,IF($D$2="Egyszeri",3,2))/12,IF($D$4="Forint",0,2))</f>
        <v>-611</v>
      </c>
      <c r="T408" s="13"/>
      <c r="U408" s="13"/>
      <c r="V408" s="13">
        <f ca="1">$M408-$O408-$P408+$R408-$S408-IF(ROUNDUP(IF(ISBLANK($U408),$T408,$U408)/IF(AND($B408=1,$D$2&lt;&gt;"Egyszeri"),1,VLOOKUP($B408+IF($C408=12,1,0),Paraméterek!$B$257:$D$267,IF($D$2="Egyszeri",3,2))),IF($D$4="Forint",0,2))&gt;$M408-$O408-$P408+$R408-$S408-IF($D$4="Forint",Paraméterek!$C$216,Paraméterek!$D$216),0,ROUNDUP(IF(ISBLANK($U408),$T408,$U408)/IF(AND($B408=1,$D$2&lt;&gt;"Egyszeri"),1,VLOOKUP($B408+IF($C408=12,1,0),Paraméterek!$B$257:$D$267,IF($D$2="Egyszeri",3,2))),IF($D$4="Forint",0,2)))</f>
        <v>-249560</v>
      </c>
      <c r="W408" s="13">
        <f ca="1">ROUNDDOWN($V408*VLOOKUP($B408+IF($C408=12,1,0),Paraméterek!$B$257:$D$267,IF($D$2="Egyszeri",3,2)),IF($D$4="Forint",0,2))</f>
        <v>-249560</v>
      </c>
      <c r="Y408" s="32">
        <v>389</v>
      </c>
      <c r="Z408" s="32">
        <v>33</v>
      </c>
      <c r="AA408" s="32">
        <v>5</v>
      </c>
      <c r="AB408" s="13">
        <f t="shared" si="101"/>
        <v>0</v>
      </c>
      <c r="AC408" s="33"/>
      <c r="AD408" s="13">
        <f t="shared" si="97"/>
        <v>0</v>
      </c>
      <c r="AE408" s="13">
        <f>ROUNDUP(($AB408+$AD408)*VLOOKUP($Z408,Paraméterek!$P$38:$Q$38,2)/12,IF($D$4="Forint",0,2))</f>
        <v>0</v>
      </c>
      <c r="AF408" s="13">
        <f>IF($D$2="Egyszeri",IF($D$7&gt;=IF($D$4="Forint",Paraméterek!$P$223,Paraméterek!$P$224),$D$7-IF($D$4="Forint",Paraméterek!$F$223,Paraméterek!$F$224),0),MIN(IF($AA408=12,AVERAGE($D$20:$D408)*12,0),SUM($D$20:$D$31)))</f>
        <v>0</v>
      </c>
      <c r="AG408" s="13">
        <f>IF(AND($Z408&gt;=10,MOD($Z408,5)=0),$AF408*IF($AA408=12,VLOOKUP($Z408,Paraméterek!$B$225:$F$240,IF($AF408&lt;IF($D$4="Forint",Paraméterek!$C$223,Paraméterek!$C$224),2,IF($AF408&lt;IF($D$4="Forint",Paraméterek!$D$223,Paraméterek!$D$224),3,4))),0),0)</f>
        <v>0</v>
      </c>
      <c r="AH408" s="13">
        <f>IF(AND($Z408&gt;=5,MOD($Z408,5)=0),IF($AA408=12,VLOOKUP($Z408,Paraméterek!$B$225:$F$240,5),0),IF(OR($Z408=3,$Z408=4),IF($AA408=12,VLOOKUP($Z408,Paraméterek!$B$225:$F$240,5,0),0),0))*$AF408</f>
        <v>0</v>
      </c>
      <c r="AI408" s="13">
        <f>ROUNDDOWN(IF(SUM($T$20:$U408)=0,IF($D$2="Egyszeri",$AH408,$AG408),0),IF($D$4="Forint",0,2))</f>
        <v>0</v>
      </c>
      <c r="AJ408" s="13">
        <f t="shared" si="102"/>
        <v>0</v>
      </c>
      <c r="AK408" s="13">
        <f t="shared" si="103"/>
        <v>0</v>
      </c>
      <c r="AM408" s="32">
        <v>389</v>
      </c>
      <c r="AN408" s="32">
        <v>33</v>
      </c>
      <c r="AO408" s="32">
        <v>5</v>
      </c>
      <c r="AP408" s="13"/>
      <c r="AQ408" s="32"/>
      <c r="AR408" s="13">
        <f t="shared" si="104"/>
        <v>0</v>
      </c>
      <c r="AS408" s="33"/>
      <c r="AT408" s="13">
        <f t="shared" si="98"/>
        <v>0</v>
      </c>
      <c r="AU408" s="13">
        <f>ROUNDUP(($AR408+$AT408)*VLOOKUP($AN408,Paraméterek!$P$38:$Q$38,2)/12,IF($D$4="Forint",0,2))</f>
        <v>0</v>
      </c>
      <c r="AV408" s="13"/>
      <c r="AW408" s="13"/>
      <c r="AX408" s="13">
        <f>ROUNDUP(IF(SUM($AV408:$AW408)=0,0,IF(IF(ISBLANK($AW408),$AV408,$AW408)*Paraméterek!$J$112&lt;IF($D$4="Forint",Paraméterek!$J$113,Paraméterek!$K$113),IF($D$4="Forint",Paraméterek!$J$113,Paraméterek!$K$113),IF(IF(ISBLANK($AW408),$AV408,$AW408)*Paraméterek!$J$112&gt;IF($D$4="Forint",Paraméterek!$J$114,Paraméterek!$K$114),IF($D$4="Forint",Paraméterek!$J$114,Paraméterek!$K$114),IF(ISBLANK($AW408),$AV408,$AW408)*Paraméterek!$J$112))),IF($D$4="Forint",0,2))</f>
        <v>0</v>
      </c>
      <c r="AY408" s="13">
        <f>$AR408+$AT408-$AU408-IF(ROUNDDOWN(IF(ISBLANK($AW408),$AV408,$AW408),IF($D$4="Forint",0,2))&gt;$AR408+$AT408-$AU408-IF($D$4="Forint",Paraméterek!$J$114,Paraméterek!$K$114),0,ROUNDDOWN(IF(ISBLANK($AW408),$AV408,$AW408),IF($D$4="Forint",0,2))-$AX408)</f>
        <v>0</v>
      </c>
      <c r="AZ408" s="13">
        <f t="shared" si="99"/>
        <v>0</v>
      </c>
    </row>
    <row r="409" spans="1:52" x14ac:dyDescent="0.2">
      <c r="A409" s="32">
        <v>390</v>
      </c>
      <c r="B409" s="32">
        <v>33</v>
      </c>
      <c r="C409" s="32">
        <v>6</v>
      </c>
      <c r="D409" s="13">
        <f t="shared" si="90"/>
        <v>0</v>
      </c>
      <c r="E409" s="13"/>
      <c r="F409" s="13"/>
      <c r="G409" s="13"/>
      <c r="H409" s="13">
        <f t="shared" si="91"/>
        <v>0</v>
      </c>
      <c r="I409" s="13">
        <f t="shared" si="92"/>
        <v>0</v>
      </c>
      <c r="J409" s="13">
        <f t="shared" si="93"/>
        <v>0</v>
      </c>
      <c r="K409" s="13">
        <f>ROUNDUP(IF($D$2="Egyszeri",$D409,IF($D$2="Havi",SUM($D$20:$D$31),IF(MOD($C409,$M$1)-1=0,SUM($D$20:$D$31),0))/12*$M$1)*VLOOKUP($B409,Paraméterek!$B$27:$D$30,IF($D$2="Egyszeri",3,2)),IF($D$4="Forint",0,2))</f>
        <v>0</v>
      </c>
      <c r="L409" s="13">
        <f t="shared" si="94"/>
        <v>0</v>
      </c>
      <c r="M409" s="13">
        <f t="shared" ca="1" si="100"/>
        <v>-249560</v>
      </c>
      <c r="N409" s="13">
        <f ca="1">IF($V408&gt;=VLOOKUP($M$4-1+$B409,Paraméterek!$B$121:$D$122,IF($D$4="Forint",2,3)),0,VLOOKUP($M$4-1+$B409,Paraméterek!$B$121:$D$122,IF($D$4="Forint",2,3))-$V408)</f>
        <v>259560</v>
      </c>
      <c r="O409" s="13">
        <f ca="1">ROUNDUP($N409*Paraméterek!$C$58/Paraméterek!$C$56,IF($D$4="Forint",0,2))</f>
        <v>42</v>
      </c>
      <c r="P409" s="13">
        <f t="shared" si="95"/>
        <v>1417</v>
      </c>
      <c r="Q409" s="33"/>
      <c r="R409" s="13">
        <f t="shared" ca="1" si="96"/>
        <v>0</v>
      </c>
      <c r="S409" s="13">
        <f ca="1">ROUNDUP(($M409-$O409-$P409+$R409)*VLOOKUP($B409,Paraméterek!$B$38:$D$39,IF($D$2="Egyszeri",3,2))/12,IF($D$4="Forint",0,2))</f>
        <v>-613</v>
      </c>
      <c r="T409" s="13"/>
      <c r="U409" s="13"/>
      <c r="V409" s="13">
        <f ca="1">$M409-$O409-$P409+$R409-$S409-IF(ROUNDUP(IF(ISBLANK($U409),$T409,$U409)/IF(AND($B409=1,$D$2&lt;&gt;"Egyszeri"),1,VLOOKUP($B409+IF($C409=12,1,0),Paraméterek!$B$257:$D$267,IF($D$2="Egyszeri",3,2))),IF($D$4="Forint",0,2))&gt;$M409-$O409-$P409+$R409-$S409-IF($D$4="Forint",Paraméterek!$C$216,Paraméterek!$D$216),0,ROUNDUP(IF(ISBLANK($U409),$T409,$U409)/IF(AND($B409=1,$D$2&lt;&gt;"Egyszeri"),1,VLOOKUP($B409+IF($C409=12,1,0),Paraméterek!$B$257:$D$267,IF($D$2="Egyszeri",3,2))),IF($D$4="Forint",0,2)))</f>
        <v>-250406</v>
      </c>
      <c r="W409" s="13">
        <f ca="1">ROUNDDOWN($V409*VLOOKUP($B409+IF($C409=12,1,0),Paraméterek!$B$257:$D$267,IF($D$2="Egyszeri",3,2)),IF($D$4="Forint",0,2))</f>
        <v>-250406</v>
      </c>
      <c r="Y409" s="32">
        <v>390</v>
      </c>
      <c r="Z409" s="32">
        <v>33</v>
      </c>
      <c r="AA409" s="32">
        <v>6</v>
      </c>
      <c r="AB409" s="13">
        <f t="shared" si="101"/>
        <v>0</v>
      </c>
      <c r="AC409" s="33"/>
      <c r="AD409" s="13">
        <f t="shared" si="97"/>
        <v>0</v>
      </c>
      <c r="AE409" s="13">
        <f>ROUNDUP(($AB409+$AD409)*VLOOKUP($Z409,Paraméterek!$P$38:$Q$38,2)/12,IF($D$4="Forint",0,2))</f>
        <v>0</v>
      </c>
      <c r="AF409" s="13">
        <f>IF($D$2="Egyszeri",IF($D$7&gt;=IF($D$4="Forint",Paraméterek!$P$223,Paraméterek!$P$224),$D$7-IF($D$4="Forint",Paraméterek!$F$223,Paraméterek!$F$224),0),MIN(IF($AA409=12,AVERAGE($D$20:$D409)*12,0),SUM($D$20:$D$31)))</f>
        <v>0</v>
      </c>
      <c r="AG409" s="13">
        <f>IF(AND($Z409&gt;=10,MOD($Z409,5)=0),$AF409*IF($AA409=12,VLOOKUP($Z409,Paraméterek!$B$225:$F$240,IF($AF409&lt;IF($D$4="Forint",Paraméterek!$C$223,Paraméterek!$C$224),2,IF($AF409&lt;IF($D$4="Forint",Paraméterek!$D$223,Paraméterek!$D$224),3,4))),0),0)</f>
        <v>0</v>
      </c>
      <c r="AH409" s="13">
        <f>IF(AND($Z409&gt;=5,MOD($Z409,5)=0),IF($AA409=12,VLOOKUP($Z409,Paraméterek!$B$225:$F$240,5),0),IF(OR($Z409=3,$Z409=4),IF($AA409=12,VLOOKUP($Z409,Paraméterek!$B$225:$F$240,5,0),0),0))*$AF409</f>
        <v>0</v>
      </c>
      <c r="AI409" s="13">
        <f>ROUNDDOWN(IF(SUM($T$20:$U409)=0,IF($D$2="Egyszeri",$AH409,$AG409),0),IF($D$4="Forint",0,2))</f>
        <v>0</v>
      </c>
      <c r="AJ409" s="13">
        <f t="shared" si="102"/>
        <v>0</v>
      </c>
      <c r="AK409" s="13">
        <f t="shared" si="103"/>
        <v>0</v>
      </c>
      <c r="AM409" s="32">
        <v>390</v>
      </c>
      <c r="AN409" s="32">
        <v>33</v>
      </c>
      <c r="AO409" s="32">
        <v>6</v>
      </c>
      <c r="AP409" s="13"/>
      <c r="AQ409" s="32"/>
      <c r="AR409" s="13">
        <f t="shared" si="104"/>
        <v>0</v>
      </c>
      <c r="AS409" s="33"/>
      <c r="AT409" s="13">
        <f t="shared" si="98"/>
        <v>0</v>
      </c>
      <c r="AU409" s="13">
        <f>ROUNDUP(($AR409+$AT409)*VLOOKUP($AN409,Paraméterek!$P$38:$Q$38,2)/12,IF($D$4="Forint",0,2))</f>
        <v>0</v>
      </c>
      <c r="AV409" s="13"/>
      <c r="AW409" s="13"/>
      <c r="AX409" s="13">
        <f>ROUNDUP(IF(SUM($AV409:$AW409)=0,0,IF(IF(ISBLANK($AW409),$AV409,$AW409)*Paraméterek!$J$112&lt;IF($D$4="Forint",Paraméterek!$J$113,Paraméterek!$K$113),IF($D$4="Forint",Paraméterek!$J$113,Paraméterek!$K$113),IF(IF(ISBLANK($AW409),$AV409,$AW409)*Paraméterek!$J$112&gt;IF($D$4="Forint",Paraméterek!$J$114,Paraméterek!$K$114),IF($D$4="Forint",Paraméterek!$J$114,Paraméterek!$K$114),IF(ISBLANK($AW409),$AV409,$AW409)*Paraméterek!$J$112))),IF($D$4="Forint",0,2))</f>
        <v>0</v>
      </c>
      <c r="AY409" s="13">
        <f>$AR409+$AT409-$AU409-IF(ROUNDDOWN(IF(ISBLANK($AW409),$AV409,$AW409),IF($D$4="Forint",0,2))&gt;$AR409+$AT409-$AU409-IF($D$4="Forint",Paraméterek!$J$114,Paraméterek!$K$114),0,ROUNDDOWN(IF(ISBLANK($AW409),$AV409,$AW409),IF($D$4="Forint",0,2))-$AX409)</f>
        <v>0</v>
      </c>
      <c r="AZ409" s="13">
        <f t="shared" si="99"/>
        <v>0</v>
      </c>
    </row>
    <row r="410" spans="1:52" x14ac:dyDescent="0.2">
      <c r="A410" s="32">
        <v>391</v>
      </c>
      <c r="B410" s="32">
        <v>33</v>
      </c>
      <c r="C410" s="32">
        <v>7</v>
      </c>
      <c r="D410" s="13">
        <f t="shared" si="90"/>
        <v>0</v>
      </c>
      <c r="E410" s="13"/>
      <c r="F410" s="13"/>
      <c r="G410" s="13"/>
      <c r="H410" s="13">
        <f t="shared" si="91"/>
        <v>0</v>
      </c>
      <c r="I410" s="13">
        <f t="shared" si="92"/>
        <v>0</v>
      </c>
      <c r="J410" s="13">
        <f t="shared" si="93"/>
        <v>0</v>
      </c>
      <c r="K410" s="13">
        <f>ROUNDUP(IF($D$2="Egyszeri",$D410,IF($D$2="Havi",SUM($D$20:$D$31),IF(MOD($C410,$M$1)-1=0,SUM($D$20:$D$31),0))/12*$M$1)*VLOOKUP($B410,Paraméterek!$B$27:$D$30,IF($D$2="Egyszeri",3,2)),IF($D$4="Forint",0,2))</f>
        <v>0</v>
      </c>
      <c r="L410" s="13">
        <f t="shared" si="94"/>
        <v>0</v>
      </c>
      <c r="M410" s="13">
        <f t="shared" ca="1" si="100"/>
        <v>-250406</v>
      </c>
      <c r="N410" s="13">
        <f ca="1">IF($V409&gt;=VLOOKUP($M$4-1+$B410,Paraméterek!$B$121:$D$122,IF($D$4="Forint",2,3)),0,VLOOKUP($M$4-1+$B410,Paraméterek!$B$121:$D$122,IF($D$4="Forint",2,3))-$V409)</f>
        <v>260406</v>
      </c>
      <c r="O410" s="13">
        <f ca="1">ROUNDUP($N410*Paraméterek!$C$58/Paraméterek!$C$56,IF($D$4="Forint",0,2))</f>
        <v>42</v>
      </c>
      <c r="P410" s="13">
        <f t="shared" si="95"/>
        <v>1417</v>
      </c>
      <c r="Q410" s="33"/>
      <c r="R410" s="13">
        <f t="shared" ca="1" si="96"/>
        <v>0</v>
      </c>
      <c r="S410" s="13">
        <f ca="1">ROUNDUP(($M410-$O410-$P410+$R410)*VLOOKUP($B410,Paraméterek!$B$38:$D$39,IF($D$2="Egyszeri",3,2))/12,IF($D$4="Forint",0,2))</f>
        <v>-615</v>
      </c>
      <c r="T410" s="13"/>
      <c r="U410" s="13"/>
      <c r="V410" s="13">
        <f ca="1">$M410-$O410-$P410+$R410-$S410-IF(ROUNDUP(IF(ISBLANK($U410),$T410,$U410)/IF(AND($B410=1,$D$2&lt;&gt;"Egyszeri"),1,VLOOKUP($B410+IF($C410=12,1,0),Paraméterek!$B$257:$D$267,IF($D$2="Egyszeri",3,2))),IF($D$4="Forint",0,2))&gt;$M410-$O410-$P410+$R410-$S410-IF($D$4="Forint",Paraméterek!$C$216,Paraméterek!$D$216),0,ROUNDUP(IF(ISBLANK($U410),$T410,$U410)/IF(AND($B410=1,$D$2&lt;&gt;"Egyszeri"),1,VLOOKUP($B410+IF($C410=12,1,0),Paraméterek!$B$257:$D$267,IF($D$2="Egyszeri",3,2))),IF($D$4="Forint",0,2)))</f>
        <v>-251250</v>
      </c>
      <c r="W410" s="13">
        <f ca="1">ROUNDDOWN($V410*VLOOKUP($B410+IF($C410=12,1,0),Paraméterek!$B$257:$D$267,IF($D$2="Egyszeri",3,2)),IF($D$4="Forint",0,2))</f>
        <v>-251250</v>
      </c>
      <c r="Y410" s="32">
        <v>391</v>
      </c>
      <c r="Z410" s="32">
        <v>33</v>
      </c>
      <c r="AA410" s="32">
        <v>7</v>
      </c>
      <c r="AB410" s="13">
        <f t="shared" si="101"/>
        <v>0</v>
      </c>
      <c r="AC410" s="33"/>
      <c r="AD410" s="13">
        <f t="shared" si="97"/>
        <v>0</v>
      </c>
      <c r="AE410" s="13">
        <f>ROUNDUP(($AB410+$AD410)*VLOOKUP($Z410,Paraméterek!$P$38:$Q$38,2)/12,IF($D$4="Forint",0,2))</f>
        <v>0</v>
      </c>
      <c r="AF410" s="13">
        <f>IF($D$2="Egyszeri",IF($D$7&gt;=IF($D$4="Forint",Paraméterek!$P$223,Paraméterek!$P$224),$D$7-IF($D$4="Forint",Paraméterek!$F$223,Paraméterek!$F$224),0),MIN(IF($AA410=12,AVERAGE($D$20:$D410)*12,0),SUM($D$20:$D$31)))</f>
        <v>0</v>
      </c>
      <c r="AG410" s="13">
        <f>IF(AND($Z410&gt;=10,MOD($Z410,5)=0),$AF410*IF($AA410=12,VLOOKUP($Z410,Paraméterek!$B$225:$F$240,IF($AF410&lt;IF($D$4="Forint",Paraméterek!$C$223,Paraméterek!$C$224),2,IF($AF410&lt;IF($D$4="Forint",Paraméterek!$D$223,Paraméterek!$D$224),3,4))),0),0)</f>
        <v>0</v>
      </c>
      <c r="AH410" s="13">
        <f>IF(AND($Z410&gt;=5,MOD($Z410,5)=0),IF($AA410=12,VLOOKUP($Z410,Paraméterek!$B$225:$F$240,5),0),IF(OR($Z410=3,$Z410=4),IF($AA410=12,VLOOKUP($Z410,Paraméterek!$B$225:$F$240,5,0),0),0))*$AF410</f>
        <v>0</v>
      </c>
      <c r="AI410" s="13">
        <f>ROUNDDOWN(IF(SUM($T$20:$U410)=0,IF($D$2="Egyszeri",$AH410,$AG410),0),IF($D$4="Forint",0,2))</f>
        <v>0</v>
      </c>
      <c r="AJ410" s="13">
        <f t="shared" si="102"/>
        <v>0</v>
      </c>
      <c r="AK410" s="13">
        <f t="shared" si="103"/>
        <v>0</v>
      </c>
      <c r="AM410" s="32">
        <v>391</v>
      </c>
      <c r="AN410" s="32">
        <v>33</v>
      </c>
      <c r="AO410" s="32">
        <v>7</v>
      </c>
      <c r="AP410" s="13"/>
      <c r="AQ410" s="32"/>
      <c r="AR410" s="13">
        <f t="shared" si="104"/>
        <v>0</v>
      </c>
      <c r="AS410" s="33"/>
      <c r="AT410" s="13">
        <f t="shared" si="98"/>
        <v>0</v>
      </c>
      <c r="AU410" s="13">
        <f>ROUNDUP(($AR410+$AT410)*VLOOKUP($AN410,Paraméterek!$P$38:$Q$38,2)/12,IF($D$4="Forint",0,2))</f>
        <v>0</v>
      </c>
      <c r="AV410" s="13"/>
      <c r="AW410" s="13"/>
      <c r="AX410" s="13">
        <f>ROUNDUP(IF(SUM($AV410:$AW410)=0,0,IF(IF(ISBLANK($AW410),$AV410,$AW410)*Paraméterek!$J$112&lt;IF($D$4="Forint",Paraméterek!$J$113,Paraméterek!$K$113),IF($D$4="Forint",Paraméterek!$J$113,Paraméterek!$K$113),IF(IF(ISBLANK($AW410),$AV410,$AW410)*Paraméterek!$J$112&gt;IF($D$4="Forint",Paraméterek!$J$114,Paraméterek!$K$114),IF($D$4="Forint",Paraméterek!$J$114,Paraméterek!$K$114),IF(ISBLANK($AW410),$AV410,$AW410)*Paraméterek!$J$112))),IF($D$4="Forint",0,2))</f>
        <v>0</v>
      </c>
      <c r="AY410" s="13">
        <f>$AR410+$AT410-$AU410-IF(ROUNDDOWN(IF(ISBLANK($AW410),$AV410,$AW410),IF($D$4="Forint",0,2))&gt;$AR410+$AT410-$AU410-IF($D$4="Forint",Paraméterek!$J$114,Paraméterek!$K$114),0,ROUNDDOWN(IF(ISBLANK($AW410),$AV410,$AW410),IF($D$4="Forint",0,2))-$AX410)</f>
        <v>0</v>
      </c>
      <c r="AZ410" s="13">
        <f t="shared" si="99"/>
        <v>0</v>
      </c>
    </row>
    <row r="411" spans="1:52" x14ac:dyDescent="0.2">
      <c r="A411" s="32">
        <v>392</v>
      </c>
      <c r="B411" s="32">
        <v>33</v>
      </c>
      <c r="C411" s="32">
        <v>8</v>
      </c>
      <c r="D411" s="13">
        <f t="shared" si="90"/>
        <v>0</v>
      </c>
      <c r="E411" s="13"/>
      <c r="F411" s="13"/>
      <c r="G411" s="13"/>
      <c r="H411" s="13">
        <f t="shared" si="91"/>
        <v>0</v>
      </c>
      <c r="I411" s="13">
        <f t="shared" si="92"/>
        <v>0</v>
      </c>
      <c r="J411" s="13">
        <f t="shared" si="93"/>
        <v>0</v>
      </c>
      <c r="K411" s="13">
        <f>ROUNDUP(IF($D$2="Egyszeri",$D411,IF($D$2="Havi",SUM($D$20:$D$31),IF(MOD($C411,$M$1)-1=0,SUM($D$20:$D$31),0))/12*$M$1)*VLOOKUP($B411,Paraméterek!$B$27:$D$30,IF($D$2="Egyszeri",3,2)),IF($D$4="Forint",0,2))</f>
        <v>0</v>
      </c>
      <c r="L411" s="13">
        <f t="shared" si="94"/>
        <v>0</v>
      </c>
      <c r="M411" s="13">
        <f t="shared" ca="1" si="100"/>
        <v>-251250</v>
      </c>
      <c r="N411" s="13">
        <f ca="1">IF($V410&gt;=VLOOKUP($M$4-1+$B411,Paraméterek!$B$121:$D$122,IF($D$4="Forint",2,3)),0,VLOOKUP($M$4-1+$B411,Paraméterek!$B$121:$D$122,IF($D$4="Forint",2,3))-$V410)</f>
        <v>261250</v>
      </c>
      <c r="O411" s="13">
        <f ca="1">ROUNDUP($N411*Paraméterek!$C$58/Paraméterek!$C$56,IF($D$4="Forint",0,2))</f>
        <v>42</v>
      </c>
      <c r="P411" s="13">
        <f t="shared" si="95"/>
        <v>1417</v>
      </c>
      <c r="Q411" s="33"/>
      <c r="R411" s="13">
        <f t="shared" ca="1" si="96"/>
        <v>0</v>
      </c>
      <c r="S411" s="13">
        <f ca="1">ROUNDUP(($M411-$O411-$P411+$R411)*VLOOKUP($B411,Paraméterek!$B$38:$D$39,IF($D$2="Egyszeri",3,2))/12,IF($D$4="Forint",0,2))</f>
        <v>-618</v>
      </c>
      <c r="T411" s="13"/>
      <c r="U411" s="13"/>
      <c r="V411" s="13">
        <f ca="1">$M411-$O411-$P411+$R411-$S411-IF(ROUNDUP(IF(ISBLANK($U411),$T411,$U411)/IF(AND($B411=1,$D$2&lt;&gt;"Egyszeri"),1,VLOOKUP($B411+IF($C411=12,1,0),Paraméterek!$B$257:$D$267,IF($D$2="Egyszeri",3,2))),IF($D$4="Forint",0,2))&gt;$M411-$O411-$P411+$R411-$S411-IF($D$4="Forint",Paraméterek!$C$216,Paraméterek!$D$216),0,ROUNDUP(IF(ISBLANK($U411),$T411,$U411)/IF(AND($B411=1,$D$2&lt;&gt;"Egyszeri"),1,VLOOKUP($B411+IF($C411=12,1,0),Paraméterek!$B$257:$D$267,IF($D$2="Egyszeri",3,2))),IF($D$4="Forint",0,2)))</f>
        <v>-252091</v>
      </c>
      <c r="W411" s="13">
        <f ca="1">ROUNDDOWN($V411*VLOOKUP($B411+IF($C411=12,1,0),Paraméterek!$B$257:$D$267,IF($D$2="Egyszeri",3,2)),IF($D$4="Forint",0,2))</f>
        <v>-252091</v>
      </c>
      <c r="Y411" s="32">
        <v>392</v>
      </c>
      <c r="Z411" s="32">
        <v>33</v>
      </c>
      <c r="AA411" s="32">
        <v>8</v>
      </c>
      <c r="AB411" s="13">
        <f t="shared" si="101"/>
        <v>0</v>
      </c>
      <c r="AC411" s="33"/>
      <c r="AD411" s="13">
        <f t="shared" si="97"/>
        <v>0</v>
      </c>
      <c r="AE411" s="13">
        <f>ROUNDUP(($AB411+$AD411)*VLOOKUP($Z411,Paraméterek!$P$38:$Q$38,2)/12,IF($D$4="Forint",0,2))</f>
        <v>0</v>
      </c>
      <c r="AF411" s="13">
        <f>IF($D$2="Egyszeri",IF($D$7&gt;=IF($D$4="Forint",Paraméterek!$P$223,Paraméterek!$P$224),$D$7-IF($D$4="Forint",Paraméterek!$F$223,Paraméterek!$F$224),0),MIN(IF($AA411=12,AVERAGE($D$20:$D411)*12,0),SUM($D$20:$D$31)))</f>
        <v>0</v>
      </c>
      <c r="AG411" s="13">
        <f>IF(AND($Z411&gt;=10,MOD($Z411,5)=0),$AF411*IF($AA411=12,VLOOKUP($Z411,Paraméterek!$B$225:$F$240,IF($AF411&lt;IF($D$4="Forint",Paraméterek!$C$223,Paraméterek!$C$224),2,IF($AF411&lt;IF($D$4="Forint",Paraméterek!$D$223,Paraméterek!$D$224),3,4))),0),0)</f>
        <v>0</v>
      </c>
      <c r="AH411" s="13">
        <f>IF(AND($Z411&gt;=5,MOD($Z411,5)=0),IF($AA411=12,VLOOKUP($Z411,Paraméterek!$B$225:$F$240,5),0),IF(OR($Z411=3,$Z411=4),IF($AA411=12,VLOOKUP($Z411,Paraméterek!$B$225:$F$240,5,0),0),0))*$AF411</f>
        <v>0</v>
      </c>
      <c r="AI411" s="13">
        <f>ROUNDDOWN(IF(SUM($T$20:$U411)=0,IF($D$2="Egyszeri",$AH411,$AG411),0),IF($D$4="Forint",0,2))</f>
        <v>0</v>
      </c>
      <c r="AJ411" s="13">
        <f t="shared" si="102"/>
        <v>0</v>
      </c>
      <c r="AK411" s="13">
        <f t="shared" si="103"/>
        <v>0</v>
      </c>
      <c r="AM411" s="32">
        <v>392</v>
      </c>
      <c r="AN411" s="32">
        <v>33</v>
      </c>
      <c r="AO411" s="32">
        <v>8</v>
      </c>
      <c r="AP411" s="13"/>
      <c r="AQ411" s="32"/>
      <c r="AR411" s="13">
        <f t="shared" si="104"/>
        <v>0</v>
      </c>
      <c r="AS411" s="33"/>
      <c r="AT411" s="13">
        <f t="shared" si="98"/>
        <v>0</v>
      </c>
      <c r="AU411" s="13">
        <f>ROUNDUP(($AR411+$AT411)*VLOOKUP($AN411,Paraméterek!$P$38:$Q$38,2)/12,IF($D$4="Forint",0,2))</f>
        <v>0</v>
      </c>
      <c r="AV411" s="13"/>
      <c r="AW411" s="13"/>
      <c r="AX411" s="13">
        <f>ROUNDUP(IF(SUM($AV411:$AW411)=0,0,IF(IF(ISBLANK($AW411),$AV411,$AW411)*Paraméterek!$J$112&lt;IF($D$4="Forint",Paraméterek!$J$113,Paraméterek!$K$113),IF($D$4="Forint",Paraméterek!$J$113,Paraméterek!$K$113),IF(IF(ISBLANK($AW411),$AV411,$AW411)*Paraméterek!$J$112&gt;IF($D$4="Forint",Paraméterek!$J$114,Paraméterek!$K$114),IF($D$4="Forint",Paraméterek!$J$114,Paraméterek!$K$114),IF(ISBLANK($AW411),$AV411,$AW411)*Paraméterek!$J$112))),IF($D$4="Forint",0,2))</f>
        <v>0</v>
      </c>
      <c r="AY411" s="13">
        <f>$AR411+$AT411-$AU411-IF(ROUNDDOWN(IF(ISBLANK($AW411),$AV411,$AW411),IF($D$4="Forint",0,2))&gt;$AR411+$AT411-$AU411-IF($D$4="Forint",Paraméterek!$J$114,Paraméterek!$K$114),0,ROUNDDOWN(IF(ISBLANK($AW411),$AV411,$AW411),IF($D$4="Forint",0,2))-$AX411)</f>
        <v>0</v>
      </c>
      <c r="AZ411" s="13">
        <f t="shared" si="99"/>
        <v>0</v>
      </c>
    </row>
    <row r="412" spans="1:52" x14ac:dyDescent="0.2">
      <c r="A412" s="32">
        <v>393</v>
      </c>
      <c r="B412" s="32">
        <v>33</v>
      </c>
      <c r="C412" s="32">
        <v>9</v>
      </c>
      <c r="D412" s="13">
        <f t="shared" si="90"/>
        <v>0</v>
      </c>
      <c r="E412" s="13"/>
      <c r="F412" s="13"/>
      <c r="G412" s="13"/>
      <c r="H412" s="13">
        <f t="shared" si="91"/>
        <v>0</v>
      </c>
      <c r="I412" s="13">
        <f t="shared" si="92"/>
        <v>0</v>
      </c>
      <c r="J412" s="13">
        <f t="shared" si="93"/>
        <v>0</v>
      </c>
      <c r="K412" s="13">
        <f>ROUNDUP(IF($D$2="Egyszeri",$D412,IF($D$2="Havi",SUM($D$20:$D$31),IF(MOD($C412,$M$1)-1=0,SUM($D$20:$D$31),0))/12*$M$1)*VLOOKUP($B412,Paraméterek!$B$27:$D$30,IF($D$2="Egyszeri",3,2)),IF($D$4="Forint",0,2))</f>
        <v>0</v>
      </c>
      <c r="L412" s="13">
        <f t="shared" si="94"/>
        <v>0</v>
      </c>
      <c r="M412" s="13">
        <f t="shared" ca="1" si="100"/>
        <v>-252091</v>
      </c>
      <c r="N412" s="13">
        <f ca="1">IF($V411&gt;=VLOOKUP($M$4-1+$B412,Paraméterek!$B$121:$D$122,IF($D$4="Forint",2,3)),0,VLOOKUP($M$4-1+$B412,Paraméterek!$B$121:$D$122,IF($D$4="Forint",2,3))-$V411)</f>
        <v>262091</v>
      </c>
      <c r="O412" s="13">
        <f ca="1">ROUNDUP($N412*Paraméterek!$C$58/Paraméterek!$C$56,IF($D$4="Forint",0,2))</f>
        <v>42</v>
      </c>
      <c r="P412" s="13">
        <f t="shared" si="95"/>
        <v>1417</v>
      </c>
      <c r="Q412" s="33"/>
      <c r="R412" s="13">
        <f t="shared" ca="1" si="96"/>
        <v>0</v>
      </c>
      <c r="S412" s="13">
        <f ca="1">ROUNDUP(($M412-$O412-$P412+$R412)*VLOOKUP($B412,Paraméterek!$B$38:$D$39,IF($D$2="Egyszeri",3,2))/12,IF($D$4="Forint",0,2))</f>
        <v>-620</v>
      </c>
      <c r="T412" s="13"/>
      <c r="U412" s="13"/>
      <c r="V412" s="13">
        <f ca="1">$M412-$O412-$P412+$R412-$S412-IF(ROUNDUP(IF(ISBLANK($U412),$T412,$U412)/IF(AND($B412=1,$D$2&lt;&gt;"Egyszeri"),1,VLOOKUP($B412+IF($C412=12,1,0),Paraméterek!$B$257:$D$267,IF($D$2="Egyszeri",3,2))),IF($D$4="Forint",0,2))&gt;$M412-$O412-$P412+$R412-$S412-IF($D$4="Forint",Paraméterek!$C$216,Paraméterek!$D$216),0,ROUNDUP(IF(ISBLANK($U412),$T412,$U412)/IF(AND($B412=1,$D$2&lt;&gt;"Egyszeri"),1,VLOOKUP($B412+IF($C412=12,1,0),Paraméterek!$B$257:$D$267,IF($D$2="Egyszeri",3,2))),IF($D$4="Forint",0,2)))</f>
        <v>-252930</v>
      </c>
      <c r="W412" s="13">
        <f ca="1">ROUNDDOWN($V412*VLOOKUP($B412+IF($C412=12,1,0),Paraméterek!$B$257:$D$267,IF($D$2="Egyszeri",3,2)),IF($D$4="Forint",0,2))</f>
        <v>-252930</v>
      </c>
      <c r="Y412" s="32">
        <v>393</v>
      </c>
      <c r="Z412" s="32">
        <v>33</v>
      </c>
      <c r="AA412" s="32">
        <v>9</v>
      </c>
      <c r="AB412" s="13">
        <f t="shared" si="101"/>
        <v>0</v>
      </c>
      <c r="AC412" s="33"/>
      <c r="AD412" s="13">
        <f t="shared" si="97"/>
        <v>0</v>
      </c>
      <c r="AE412" s="13">
        <f>ROUNDUP(($AB412+$AD412)*VLOOKUP($Z412,Paraméterek!$P$38:$Q$38,2)/12,IF($D$4="Forint",0,2))</f>
        <v>0</v>
      </c>
      <c r="AF412" s="13">
        <f>IF($D$2="Egyszeri",IF($D$7&gt;=IF($D$4="Forint",Paraméterek!$P$223,Paraméterek!$P$224),$D$7-IF($D$4="Forint",Paraméterek!$F$223,Paraméterek!$F$224),0),MIN(IF($AA412=12,AVERAGE($D$20:$D412)*12,0),SUM($D$20:$D$31)))</f>
        <v>0</v>
      </c>
      <c r="AG412" s="13">
        <f>IF(AND($Z412&gt;=10,MOD($Z412,5)=0),$AF412*IF($AA412=12,VLOOKUP($Z412,Paraméterek!$B$225:$F$240,IF($AF412&lt;IF($D$4="Forint",Paraméterek!$C$223,Paraméterek!$C$224),2,IF($AF412&lt;IF($D$4="Forint",Paraméterek!$D$223,Paraméterek!$D$224),3,4))),0),0)</f>
        <v>0</v>
      </c>
      <c r="AH412" s="13">
        <f>IF(AND($Z412&gt;=5,MOD($Z412,5)=0),IF($AA412=12,VLOOKUP($Z412,Paraméterek!$B$225:$F$240,5),0),IF(OR($Z412=3,$Z412=4),IF($AA412=12,VLOOKUP($Z412,Paraméterek!$B$225:$F$240,5,0),0),0))*$AF412</f>
        <v>0</v>
      </c>
      <c r="AI412" s="13">
        <f>ROUNDDOWN(IF(SUM($T$20:$U412)=0,IF($D$2="Egyszeri",$AH412,$AG412),0),IF($D$4="Forint",0,2))</f>
        <v>0</v>
      </c>
      <c r="AJ412" s="13">
        <f t="shared" si="102"/>
        <v>0</v>
      </c>
      <c r="AK412" s="13">
        <f t="shared" si="103"/>
        <v>0</v>
      </c>
      <c r="AM412" s="32">
        <v>393</v>
      </c>
      <c r="AN412" s="32">
        <v>33</v>
      </c>
      <c r="AO412" s="32">
        <v>9</v>
      </c>
      <c r="AP412" s="13"/>
      <c r="AQ412" s="32"/>
      <c r="AR412" s="13">
        <f t="shared" si="104"/>
        <v>0</v>
      </c>
      <c r="AS412" s="33"/>
      <c r="AT412" s="13">
        <f t="shared" si="98"/>
        <v>0</v>
      </c>
      <c r="AU412" s="13">
        <f>ROUNDUP(($AR412+$AT412)*VLOOKUP($AN412,Paraméterek!$P$38:$Q$38,2)/12,IF($D$4="Forint",0,2))</f>
        <v>0</v>
      </c>
      <c r="AV412" s="13"/>
      <c r="AW412" s="13"/>
      <c r="AX412" s="13">
        <f>ROUNDUP(IF(SUM($AV412:$AW412)=0,0,IF(IF(ISBLANK($AW412),$AV412,$AW412)*Paraméterek!$J$112&lt;IF($D$4="Forint",Paraméterek!$J$113,Paraméterek!$K$113),IF($D$4="Forint",Paraméterek!$J$113,Paraméterek!$K$113),IF(IF(ISBLANK($AW412),$AV412,$AW412)*Paraméterek!$J$112&gt;IF($D$4="Forint",Paraméterek!$J$114,Paraméterek!$K$114),IF($D$4="Forint",Paraméterek!$J$114,Paraméterek!$K$114),IF(ISBLANK($AW412),$AV412,$AW412)*Paraméterek!$J$112))),IF($D$4="Forint",0,2))</f>
        <v>0</v>
      </c>
      <c r="AY412" s="13">
        <f>$AR412+$AT412-$AU412-IF(ROUNDDOWN(IF(ISBLANK($AW412),$AV412,$AW412),IF($D$4="Forint",0,2))&gt;$AR412+$AT412-$AU412-IF($D$4="Forint",Paraméterek!$J$114,Paraméterek!$K$114),0,ROUNDDOWN(IF(ISBLANK($AW412),$AV412,$AW412),IF($D$4="Forint",0,2))-$AX412)</f>
        <v>0</v>
      </c>
      <c r="AZ412" s="13">
        <f t="shared" si="99"/>
        <v>0</v>
      </c>
    </row>
    <row r="413" spans="1:52" x14ac:dyDescent="0.2">
      <c r="A413" s="32">
        <v>394</v>
      </c>
      <c r="B413" s="32">
        <v>33</v>
      </c>
      <c r="C413" s="32">
        <v>10</v>
      </c>
      <c r="D413" s="13">
        <f t="shared" si="90"/>
        <v>0</v>
      </c>
      <c r="E413" s="13"/>
      <c r="F413" s="13"/>
      <c r="G413" s="13"/>
      <c r="H413" s="13">
        <f t="shared" si="91"/>
        <v>0</v>
      </c>
      <c r="I413" s="13">
        <f t="shared" si="92"/>
        <v>0</v>
      </c>
      <c r="J413" s="13">
        <f t="shared" si="93"/>
        <v>0</v>
      </c>
      <c r="K413" s="13">
        <f>ROUNDUP(IF($D$2="Egyszeri",$D413,IF($D$2="Havi",SUM($D$20:$D$31),IF(MOD($C413,$M$1)-1=0,SUM($D$20:$D$31),0))/12*$M$1)*VLOOKUP($B413,Paraméterek!$B$27:$D$30,IF($D$2="Egyszeri",3,2)),IF($D$4="Forint",0,2))</f>
        <v>0</v>
      </c>
      <c r="L413" s="13">
        <f t="shared" si="94"/>
        <v>0</v>
      </c>
      <c r="M413" s="13">
        <f t="shared" ca="1" si="100"/>
        <v>-252930</v>
      </c>
      <c r="N413" s="13">
        <f ca="1">IF($V412&gt;=VLOOKUP($M$4-1+$B413,Paraméterek!$B$121:$D$122,IF($D$4="Forint",2,3)),0,VLOOKUP($M$4-1+$B413,Paraméterek!$B$121:$D$122,IF($D$4="Forint",2,3))-$V412)</f>
        <v>262930</v>
      </c>
      <c r="O413" s="13">
        <f ca="1">ROUNDUP($N413*Paraméterek!$C$58/Paraméterek!$C$56,IF($D$4="Forint",0,2))</f>
        <v>42</v>
      </c>
      <c r="P413" s="13">
        <f t="shared" si="95"/>
        <v>1417</v>
      </c>
      <c r="Q413" s="33"/>
      <c r="R413" s="13">
        <f t="shared" ca="1" si="96"/>
        <v>0</v>
      </c>
      <c r="S413" s="13">
        <f ca="1">ROUNDUP(($M413-$O413-$P413+$R413)*VLOOKUP($B413,Paraméterek!$B$38:$D$39,IF($D$2="Egyszeri",3,2))/12,IF($D$4="Forint",0,2))</f>
        <v>-622</v>
      </c>
      <c r="T413" s="13"/>
      <c r="U413" s="13"/>
      <c r="V413" s="13">
        <f ca="1">$M413-$O413-$P413+$R413-$S413-IF(ROUNDUP(IF(ISBLANK($U413),$T413,$U413)/IF(AND($B413=1,$D$2&lt;&gt;"Egyszeri"),1,VLOOKUP($B413+IF($C413=12,1,0),Paraméterek!$B$257:$D$267,IF($D$2="Egyszeri",3,2))),IF($D$4="Forint",0,2))&gt;$M413-$O413-$P413+$R413-$S413-IF($D$4="Forint",Paraméterek!$C$216,Paraméterek!$D$216),0,ROUNDUP(IF(ISBLANK($U413),$T413,$U413)/IF(AND($B413=1,$D$2&lt;&gt;"Egyszeri"),1,VLOOKUP($B413+IF($C413=12,1,0),Paraméterek!$B$257:$D$267,IF($D$2="Egyszeri",3,2))),IF($D$4="Forint",0,2)))</f>
        <v>-253767</v>
      </c>
      <c r="W413" s="13">
        <f ca="1">ROUNDDOWN($V413*VLOOKUP($B413+IF($C413=12,1,0),Paraméterek!$B$257:$D$267,IF($D$2="Egyszeri",3,2)),IF($D$4="Forint",0,2))</f>
        <v>-253767</v>
      </c>
      <c r="Y413" s="32">
        <v>394</v>
      </c>
      <c r="Z413" s="32">
        <v>33</v>
      </c>
      <c r="AA413" s="32">
        <v>10</v>
      </c>
      <c r="AB413" s="13">
        <f t="shared" si="101"/>
        <v>0</v>
      </c>
      <c r="AC413" s="33"/>
      <c r="AD413" s="13">
        <f t="shared" si="97"/>
        <v>0</v>
      </c>
      <c r="AE413" s="13">
        <f>ROUNDUP(($AB413+$AD413)*VLOOKUP($Z413,Paraméterek!$P$38:$Q$38,2)/12,IF($D$4="Forint",0,2))</f>
        <v>0</v>
      </c>
      <c r="AF413" s="13">
        <f>IF($D$2="Egyszeri",IF($D$7&gt;=IF($D$4="Forint",Paraméterek!$P$223,Paraméterek!$P$224),$D$7-IF($D$4="Forint",Paraméterek!$F$223,Paraméterek!$F$224),0),MIN(IF($AA413=12,AVERAGE($D$20:$D413)*12,0),SUM($D$20:$D$31)))</f>
        <v>0</v>
      </c>
      <c r="AG413" s="13">
        <f>IF(AND($Z413&gt;=10,MOD($Z413,5)=0),$AF413*IF($AA413=12,VLOOKUP($Z413,Paraméterek!$B$225:$F$240,IF($AF413&lt;IF($D$4="Forint",Paraméterek!$C$223,Paraméterek!$C$224),2,IF($AF413&lt;IF($D$4="Forint",Paraméterek!$D$223,Paraméterek!$D$224),3,4))),0),0)</f>
        <v>0</v>
      </c>
      <c r="AH413" s="13">
        <f>IF(AND($Z413&gt;=5,MOD($Z413,5)=0),IF($AA413=12,VLOOKUP($Z413,Paraméterek!$B$225:$F$240,5),0),IF(OR($Z413=3,$Z413=4),IF($AA413=12,VLOOKUP($Z413,Paraméterek!$B$225:$F$240,5,0),0),0))*$AF413</f>
        <v>0</v>
      </c>
      <c r="AI413" s="13">
        <f>ROUNDDOWN(IF(SUM($T$20:$U413)=0,IF($D$2="Egyszeri",$AH413,$AG413),0),IF($D$4="Forint",0,2))</f>
        <v>0</v>
      </c>
      <c r="AJ413" s="13">
        <f t="shared" si="102"/>
        <v>0</v>
      </c>
      <c r="AK413" s="13">
        <f t="shared" si="103"/>
        <v>0</v>
      </c>
      <c r="AM413" s="32">
        <v>394</v>
      </c>
      <c r="AN413" s="32">
        <v>33</v>
      </c>
      <c r="AO413" s="32">
        <v>10</v>
      </c>
      <c r="AP413" s="13"/>
      <c r="AQ413" s="32"/>
      <c r="AR413" s="13">
        <f t="shared" si="104"/>
        <v>0</v>
      </c>
      <c r="AS413" s="33"/>
      <c r="AT413" s="13">
        <f t="shared" si="98"/>
        <v>0</v>
      </c>
      <c r="AU413" s="13">
        <f>ROUNDUP(($AR413+$AT413)*VLOOKUP($AN413,Paraméterek!$P$38:$Q$38,2)/12,IF($D$4="Forint",0,2))</f>
        <v>0</v>
      </c>
      <c r="AV413" s="13"/>
      <c r="AW413" s="13"/>
      <c r="AX413" s="13">
        <f>ROUNDUP(IF(SUM($AV413:$AW413)=0,0,IF(IF(ISBLANK($AW413),$AV413,$AW413)*Paraméterek!$J$112&lt;IF($D$4="Forint",Paraméterek!$J$113,Paraméterek!$K$113),IF($D$4="Forint",Paraméterek!$J$113,Paraméterek!$K$113),IF(IF(ISBLANK($AW413),$AV413,$AW413)*Paraméterek!$J$112&gt;IF($D$4="Forint",Paraméterek!$J$114,Paraméterek!$K$114),IF($D$4="Forint",Paraméterek!$J$114,Paraméterek!$K$114),IF(ISBLANK($AW413),$AV413,$AW413)*Paraméterek!$J$112))),IF($D$4="Forint",0,2))</f>
        <v>0</v>
      </c>
      <c r="AY413" s="13">
        <f>$AR413+$AT413-$AU413-IF(ROUNDDOWN(IF(ISBLANK($AW413),$AV413,$AW413),IF($D$4="Forint",0,2))&gt;$AR413+$AT413-$AU413-IF($D$4="Forint",Paraméterek!$J$114,Paraméterek!$K$114),0,ROUNDDOWN(IF(ISBLANK($AW413),$AV413,$AW413),IF($D$4="Forint",0,2))-$AX413)</f>
        <v>0</v>
      </c>
      <c r="AZ413" s="13">
        <f t="shared" si="99"/>
        <v>0</v>
      </c>
    </row>
    <row r="414" spans="1:52" x14ac:dyDescent="0.2">
      <c r="A414" s="32">
        <v>395</v>
      </c>
      <c r="B414" s="32">
        <v>33</v>
      </c>
      <c r="C414" s="32">
        <v>11</v>
      </c>
      <c r="D414" s="13">
        <f t="shared" si="90"/>
        <v>0</v>
      </c>
      <c r="E414" s="13"/>
      <c r="F414" s="13"/>
      <c r="G414" s="13"/>
      <c r="H414" s="13">
        <f t="shared" si="91"/>
        <v>0</v>
      </c>
      <c r="I414" s="13">
        <f t="shared" si="92"/>
        <v>0</v>
      </c>
      <c r="J414" s="13">
        <f t="shared" si="93"/>
        <v>0</v>
      </c>
      <c r="K414" s="13">
        <f>ROUNDUP(IF($D$2="Egyszeri",$D414,IF($D$2="Havi",SUM($D$20:$D$31),IF(MOD($C414,$M$1)-1=0,SUM($D$20:$D$31),0))/12*$M$1)*VLOOKUP($B414,Paraméterek!$B$27:$D$30,IF($D$2="Egyszeri",3,2)),IF($D$4="Forint",0,2))</f>
        <v>0</v>
      </c>
      <c r="L414" s="13">
        <f t="shared" si="94"/>
        <v>0</v>
      </c>
      <c r="M414" s="13">
        <f t="shared" ca="1" si="100"/>
        <v>-253767</v>
      </c>
      <c r="N414" s="13">
        <f ca="1">IF($V413&gt;=VLOOKUP($M$4-1+$B414,Paraméterek!$B$121:$D$122,IF($D$4="Forint",2,3)),0,VLOOKUP($M$4-1+$B414,Paraméterek!$B$121:$D$122,IF($D$4="Forint",2,3))-$V413)</f>
        <v>263767</v>
      </c>
      <c r="O414" s="13">
        <f ca="1">ROUNDUP($N414*Paraméterek!$C$58/Paraméterek!$C$56,IF($D$4="Forint",0,2))</f>
        <v>42</v>
      </c>
      <c r="P414" s="13">
        <f t="shared" si="95"/>
        <v>1417</v>
      </c>
      <c r="Q414" s="33"/>
      <c r="R414" s="13">
        <f t="shared" ca="1" si="96"/>
        <v>0</v>
      </c>
      <c r="S414" s="13">
        <f ca="1">ROUNDUP(($M414-$O414-$P414+$R414)*VLOOKUP($B414,Paraméterek!$B$38:$D$39,IF($D$2="Egyszeri",3,2))/12,IF($D$4="Forint",0,2))</f>
        <v>-624</v>
      </c>
      <c r="T414" s="13"/>
      <c r="U414" s="13"/>
      <c r="V414" s="13">
        <f ca="1">$M414-$O414-$P414+$R414-$S414-IF(ROUNDUP(IF(ISBLANK($U414),$T414,$U414)/IF(AND($B414=1,$D$2&lt;&gt;"Egyszeri"),1,VLOOKUP($B414+IF($C414=12,1,0),Paraméterek!$B$257:$D$267,IF($D$2="Egyszeri",3,2))),IF($D$4="Forint",0,2))&gt;$M414-$O414-$P414+$R414-$S414-IF($D$4="Forint",Paraméterek!$C$216,Paraméterek!$D$216),0,ROUNDUP(IF(ISBLANK($U414),$T414,$U414)/IF(AND($B414=1,$D$2&lt;&gt;"Egyszeri"),1,VLOOKUP($B414+IF($C414=12,1,0),Paraméterek!$B$257:$D$267,IF($D$2="Egyszeri",3,2))),IF($D$4="Forint",0,2)))</f>
        <v>-254602</v>
      </c>
      <c r="W414" s="13">
        <f ca="1">ROUNDDOWN($V414*VLOOKUP($B414+IF($C414=12,1,0),Paraméterek!$B$257:$D$267,IF($D$2="Egyszeri",3,2)),IF($D$4="Forint",0,2))</f>
        <v>-254602</v>
      </c>
      <c r="Y414" s="32">
        <v>395</v>
      </c>
      <c r="Z414" s="32">
        <v>33</v>
      </c>
      <c r="AA414" s="32">
        <v>11</v>
      </c>
      <c r="AB414" s="13">
        <f t="shared" si="101"/>
        <v>0</v>
      </c>
      <c r="AC414" s="33"/>
      <c r="AD414" s="13">
        <f t="shared" si="97"/>
        <v>0</v>
      </c>
      <c r="AE414" s="13">
        <f>ROUNDUP(($AB414+$AD414)*VLOOKUP($Z414,Paraméterek!$P$38:$Q$38,2)/12,IF($D$4="Forint",0,2))</f>
        <v>0</v>
      </c>
      <c r="AF414" s="13">
        <f>IF($D$2="Egyszeri",IF($D$7&gt;=IF($D$4="Forint",Paraméterek!$P$223,Paraméterek!$P$224),$D$7-IF($D$4="Forint",Paraméterek!$F$223,Paraméterek!$F$224),0),MIN(IF($AA414=12,AVERAGE($D$20:$D414)*12,0),SUM($D$20:$D$31)))</f>
        <v>0</v>
      </c>
      <c r="AG414" s="13">
        <f>IF(AND($Z414&gt;=10,MOD($Z414,5)=0),$AF414*IF($AA414=12,VLOOKUP($Z414,Paraméterek!$B$225:$F$240,IF($AF414&lt;IF($D$4="Forint",Paraméterek!$C$223,Paraméterek!$C$224),2,IF($AF414&lt;IF($D$4="Forint",Paraméterek!$D$223,Paraméterek!$D$224),3,4))),0),0)</f>
        <v>0</v>
      </c>
      <c r="AH414" s="13">
        <f>IF(AND($Z414&gt;=5,MOD($Z414,5)=0),IF($AA414=12,VLOOKUP($Z414,Paraméterek!$B$225:$F$240,5),0),IF(OR($Z414=3,$Z414=4),IF($AA414=12,VLOOKUP($Z414,Paraméterek!$B$225:$F$240,5,0),0),0))*$AF414</f>
        <v>0</v>
      </c>
      <c r="AI414" s="13">
        <f>ROUNDDOWN(IF(SUM($T$20:$U414)=0,IF($D$2="Egyszeri",$AH414,$AG414),0),IF($D$4="Forint",0,2))</f>
        <v>0</v>
      </c>
      <c r="AJ414" s="13">
        <f t="shared" si="102"/>
        <v>0</v>
      </c>
      <c r="AK414" s="13">
        <f t="shared" si="103"/>
        <v>0</v>
      </c>
      <c r="AM414" s="32">
        <v>395</v>
      </c>
      <c r="AN414" s="32">
        <v>33</v>
      </c>
      <c r="AO414" s="32">
        <v>11</v>
      </c>
      <c r="AP414" s="13"/>
      <c r="AQ414" s="32"/>
      <c r="AR414" s="13">
        <f t="shared" si="104"/>
        <v>0</v>
      </c>
      <c r="AS414" s="33"/>
      <c r="AT414" s="13">
        <f t="shared" si="98"/>
        <v>0</v>
      </c>
      <c r="AU414" s="13">
        <f>ROUNDUP(($AR414+$AT414)*VLOOKUP($AN414,Paraméterek!$P$38:$Q$38,2)/12,IF($D$4="Forint",0,2))</f>
        <v>0</v>
      </c>
      <c r="AV414" s="13"/>
      <c r="AW414" s="13"/>
      <c r="AX414" s="13">
        <f>ROUNDUP(IF(SUM($AV414:$AW414)=0,0,IF(IF(ISBLANK($AW414),$AV414,$AW414)*Paraméterek!$J$112&lt;IF($D$4="Forint",Paraméterek!$J$113,Paraméterek!$K$113),IF($D$4="Forint",Paraméterek!$J$113,Paraméterek!$K$113),IF(IF(ISBLANK($AW414),$AV414,$AW414)*Paraméterek!$J$112&gt;IF($D$4="Forint",Paraméterek!$J$114,Paraméterek!$K$114),IF($D$4="Forint",Paraméterek!$J$114,Paraméterek!$K$114),IF(ISBLANK($AW414),$AV414,$AW414)*Paraméterek!$J$112))),IF($D$4="Forint",0,2))</f>
        <v>0</v>
      </c>
      <c r="AY414" s="13">
        <f>$AR414+$AT414-$AU414-IF(ROUNDDOWN(IF(ISBLANK($AW414),$AV414,$AW414),IF($D$4="Forint",0,2))&gt;$AR414+$AT414-$AU414-IF($D$4="Forint",Paraméterek!$J$114,Paraméterek!$K$114),0,ROUNDDOWN(IF(ISBLANK($AW414),$AV414,$AW414),IF($D$4="Forint",0,2))-$AX414)</f>
        <v>0</v>
      </c>
      <c r="AZ414" s="13">
        <f t="shared" si="99"/>
        <v>0</v>
      </c>
    </row>
    <row r="415" spans="1:52" x14ac:dyDescent="0.2">
      <c r="A415" s="32">
        <v>396</v>
      </c>
      <c r="B415" s="32">
        <v>33</v>
      </c>
      <c r="C415" s="32">
        <v>12</v>
      </c>
      <c r="D415" s="13">
        <f t="shared" si="90"/>
        <v>0</v>
      </c>
      <c r="E415" s="13"/>
      <c r="F415" s="13"/>
      <c r="G415" s="13"/>
      <c r="H415" s="13">
        <f t="shared" si="91"/>
        <v>0</v>
      </c>
      <c r="I415" s="13">
        <f t="shared" si="92"/>
        <v>0</v>
      </c>
      <c r="J415" s="13">
        <f t="shared" si="93"/>
        <v>0</v>
      </c>
      <c r="K415" s="13">
        <f>ROUNDUP(IF($D$2="Egyszeri",$D415,IF($D$2="Havi",SUM($D$20:$D$31),IF(MOD($C415,$M$1)-1=0,SUM($D$20:$D$31),0))/12*$M$1)*VLOOKUP($B415,Paraméterek!$B$27:$D$30,IF($D$2="Egyszeri",3,2)),IF($D$4="Forint",0,2))</f>
        <v>0</v>
      </c>
      <c r="L415" s="13">
        <f t="shared" si="94"/>
        <v>0</v>
      </c>
      <c r="M415" s="13">
        <f t="shared" ca="1" si="100"/>
        <v>-254602</v>
      </c>
      <c r="N415" s="13">
        <f ca="1">IF($V414&gt;=VLOOKUP($M$4-1+$B415,Paraméterek!$B$121:$D$122,IF($D$4="Forint",2,3)),0,VLOOKUP($M$4-1+$B415,Paraméterek!$B$121:$D$122,IF($D$4="Forint",2,3))-$V414)</f>
        <v>264602</v>
      </c>
      <c r="O415" s="13">
        <f ca="1">ROUNDUP($N415*Paraméterek!$C$58/Paraméterek!$C$56,IF($D$4="Forint",0,2))</f>
        <v>43</v>
      </c>
      <c r="P415" s="13">
        <f t="shared" si="95"/>
        <v>1417</v>
      </c>
      <c r="Q415" s="33"/>
      <c r="R415" s="13">
        <f t="shared" ca="1" si="96"/>
        <v>0</v>
      </c>
      <c r="S415" s="13">
        <f ca="1">ROUNDUP(($M415-$O415-$P415+$R415)*VLOOKUP($B415,Paraméterek!$B$38:$D$39,IF($D$2="Egyszeri",3,2))/12,IF($D$4="Forint",0,2))</f>
        <v>-626</v>
      </c>
      <c r="T415" s="13">
        <f>Tranzakciók!$F$64</f>
        <v>0</v>
      </c>
      <c r="U415" s="13"/>
      <c r="V415" s="13">
        <f ca="1">$M415-$O415-$P415+$R415-$S415-IF(ROUNDUP(IF(ISBLANK($U415),$T415,$U415)/IF(AND($B415=1,$D$2&lt;&gt;"Egyszeri"),1,VLOOKUP($B415+IF($C415=12,1,0),Paraméterek!$B$257:$D$267,IF($D$2="Egyszeri",3,2))),IF($D$4="Forint",0,2))&gt;$M415-$O415-$P415+$R415-$S415-IF($D$4="Forint",Paraméterek!$C$216,Paraméterek!$D$216),0,ROUNDUP(IF(ISBLANK($U415),$T415,$U415)/IF(AND($B415=1,$D$2&lt;&gt;"Egyszeri"),1,VLOOKUP($B415+IF($C415=12,1,0),Paraméterek!$B$257:$D$267,IF($D$2="Egyszeri",3,2))),IF($D$4="Forint",0,2)))</f>
        <v>-255436</v>
      </c>
      <c r="W415" s="13">
        <f ca="1">ROUNDDOWN($V415*VLOOKUP($B415+IF($C415=12,1,0),Paraméterek!$B$257:$D$267,IF($D$2="Egyszeri",3,2)),IF($D$4="Forint",0,2))</f>
        <v>-255436</v>
      </c>
      <c r="Y415" s="32">
        <v>396</v>
      </c>
      <c r="Z415" s="32">
        <v>33</v>
      </c>
      <c r="AA415" s="32">
        <v>12</v>
      </c>
      <c r="AB415" s="13">
        <f t="shared" si="101"/>
        <v>0</v>
      </c>
      <c r="AC415" s="33"/>
      <c r="AD415" s="13">
        <f t="shared" si="97"/>
        <v>0</v>
      </c>
      <c r="AE415" s="13">
        <f>ROUNDUP(($AB415+$AD415)*VLOOKUP($Z415,Paraméterek!$P$38:$Q$38,2)/12,IF($D$4="Forint",0,2))</f>
        <v>0</v>
      </c>
      <c r="AF415" s="13">
        <f>IF($D$2="Egyszeri",IF($D$7&gt;=IF($D$4="Forint",Paraméterek!$P$223,Paraméterek!$P$224),$D$7-IF($D$4="Forint",Paraméterek!$F$223,Paraméterek!$F$224),0),MIN(IF($AA415=12,AVERAGE($D$20:$D415)*12,0),SUM($D$20:$D$31)))</f>
        <v>0</v>
      </c>
      <c r="AG415" s="13">
        <f>IF(AND($Z415&gt;=10,MOD($Z415,5)=0),$AF415*IF($AA415=12,VLOOKUP($Z415,Paraméterek!$B$225:$F$240,IF($AF415&lt;IF($D$4="Forint",Paraméterek!$C$223,Paraméterek!$C$224),2,IF($AF415&lt;IF($D$4="Forint",Paraméterek!$D$223,Paraméterek!$D$224),3,4))),0),0)</f>
        <v>0</v>
      </c>
      <c r="AH415" s="13">
        <f>IF(AND($Z415&gt;=5,MOD($Z415,5)=0),IF($AA415=12,VLOOKUP($Z415,Paraméterek!$B$225:$F$240,5),0),IF(OR($Z415=3,$Z415=4),IF($AA415=12,VLOOKUP($Z415,Paraméterek!$B$225:$F$240,5,0),0),0))*$AF415</f>
        <v>0</v>
      </c>
      <c r="AI415" s="13">
        <f>ROUNDDOWN(IF(SUM($T$20:$U415)=0,IF($D$2="Egyszeri",$AH415,$AG415),0),IF($D$4="Forint",0,2))</f>
        <v>0</v>
      </c>
      <c r="AJ415" s="13">
        <f t="shared" si="102"/>
        <v>0</v>
      </c>
      <c r="AK415" s="13">
        <f t="shared" si="103"/>
        <v>0</v>
      </c>
      <c r="AM415" s="32">
        <v>396</v>
      </c>
      <c r="AN415" s="32">
        <v>33</v>
      </c>
      <c r="AO415" s="32">
        <v>12</v>
      </c>
      <c r="AP415" s="13"/>
      <c r="AQ415" s="32"/>
      <c r="AR415" s="13">
        <f t="shared" si="104"/>
        <v>0</v>
      </c>
      <c r="AS415" s="33"/>
      <c r="AT415" s="13">
        <f t="shared" si="98"/>
        <v>0</v>
      </c>
      <c r="AU415" s="13">
        <f>ROUNDUP(($AR415+$AT415)*VLOOKUP($AN415,Paraméterek!$P$38:$Q$38,2)/12,IF($D$4="Forint",0,2))</f>
        <v>0</v>
      </c>
      <c r="AV415" s="13">
        <f>Tranzakciók!$M$64</f>
        <v>0</v>
      </c>
      <c r="AW415" s="13"/>
      <c r="AX415" s="13">
        <f>ROUNDUP(IF(SUM($AV415:$AW415)=0,0,IF(IF(ISBLANK($AW415),$AV415,$AW415)*Paraméterek!$J$112&lt;IF($D$4="Forint",Paraméterek!$J$113,Paraméterek!$K$113),IF($D$4="Forint",Paraméterek!$J$113,Paraméterek!$K$113),IF(IF(ISBLANK($AW415),$AV415,$AW415)*Paraméterek!$J$112&gt;IF($D$4="Forint",Paraméterek!$J$114,Paraméterek!$K$114),IF($D$4="Forint",Paraméterek!$J$114,Paraméterek!$K$114),IF(ISBLANK($AW415),$AV415,$AW415)*Paraméterek!$J$112))),IF($D$4="Forint",0,2))</f>
        <v>0</v>
      </c>
      <c r="AY415" s="13">
        <f>$AR415+$AT415-$AU415-IF(ROUNDDOWN(IF(ISBLANK($AW415),$AV415,$AW415),IF($D$4="Forint",0,2))&gt;$AR415+$AT415-$AU415-IF($D$4="Forint",Paraméterek!$J$114,Paraméterek!$K$114),0,ROUNDDOWN(IF(ISBLANK($AW415),$AV415,$AW415),IF($D$4="Forint",0,2))-$AX415)</f>
        <v>0</v>
      </c>
      <c r="AZ415" s="13">
        <f t="shared" si="99"/>
        <v>0</v>
      </c>
    </row>
    <row r="416" spans="1:52" x14ac:dyDescent="0.2">
      <c r="A416" s="32">
        <v>397</v>
      </c>
      <c r="B416" s="32">
        <v>34</v>
      </c>
      <c r="C416" s="32">
        <v>1</v>
      </c>
      <c r="D416" s="13">
        <f t="shared" si="90"/>
        <v>0</v>
      </c>
      <c r="E416" s="13"/>
      <c r="F416" s="13">
        <f>Tranzakciók!$D$65</f>
        <v>0</v>
      </c>
      <c r="G416" s="13"/>
      <c r="H416" s="13">
        <f t="shared" si="91"/>
        <v>0</v>
      </c>
      <c r="I416" s="13">
        <f t="shared" si="92"/>
        <v>266</v>
      </c>
      <c r="J416" s="13">
        <f t="shared" si="93"/>
        <v>266</v>
      </c>
      <c r="K416" s="13">
        <f>ROUNDUP(IF($D$2="Egyszeri",$D416,IF($D$2="Havi",SUM($D$20:$D$31),IF(MOD($C416,$M$1)-1=0,SUM($D$20:$D$31),0))/12*$M$1)*VLOOKUP($B416,Paraméterek!$B$27:$D$30,IF($D$2="Egyszeri",3,2)),IF($D$4="Forint",0,2))</f>
        <v>0</v>
      </c>
      <c r="L416" s="13">
        <f t="shared" si="94"/>
        <v>0</v>
      </c>
      <c r="M416" s="13">
        <f t="shared" ca="1" si="100"/>
        <v>-255436</v>
      </c>
      <c r="N416" s="13">
        <f ca="1">IF($V415&gt;=VLOOKUP($M$4-1+$B416,Paraméterek!$B$121:$D$122,IF($D$4="Forint",2,3)),0,VLOOKUP($M$4-1+$B416,Paraméterek!$B$121:$D$122,IF($D$4="Forint",2,3))-$V415)</f>
        <v>265436</v>
      </c>
      <c r="O416" s="13">
        <f ca="1">ROUNDUP($N416*Paraméterek!$C$58/Paraméterek!$C$56,IF($D$4="Forint",0,2))</f>
        <v>43</v>
      </c>
      <c r="P416" s="13">
        <f t="shared" si="95"/>
        <v>1459</v>
      </c>
      <c r="Q416" s="33"/>
      <c r="R416" s="13">
        <f t="shared" ca="1" si="96"/>
        <v>0</v>
      </c>
      <c r="S416" s="13">
        <f ca="1">ROUNDUP(($M416-$O416-$P416+$R416)*VLOOKUP($B416,Paraméterek!$B$38:$D$39,IF($D$2="Egyszeri",3,2))/12,IF($D$4="Forint",0,2))</f>
        <v>-628</v>
      </c>
      <c r="T416" s="13"/>
      <c r="U416" s="13"/>
      <c r="V416" s="13">
        <f ca="1">$M416-$O416-$P416+$R416-$S416-IF(ROUNDUP(IF(ISBLANK($U416),$T416,$U416)/IF(AND($B416=1,$D$2&lt;&gt;"Egyszeri"),1,VLOOKUP($B416+IF($C416=12,1,0),Paraméterek!$B$257:$D$267,IF($D$2="Egyszeri",3,2))),IF($D$4="Forint",0,2))&gt;$M416-$O416-$P416+$R416-$S416-IF($D$4="Forint",Paraméterek!$C$216,Paraméterek!$D$216),0,ROUNDUP(IF(ISBLANK($U416),$T416,$U416)/IF(AND($B416=1,$D$2&lt;&gt;"Egyszeri"),1,VLOOKUP($B416+IF($C416=12,1,0),Paraméterek!$B$257:$D$267,IF($D$2="Egyszeri",3,2))),IF($D$4="Forint",0,2)))</f>
        <v>-256310</v>
      </c>
      <c r="W416" s="13">
        <f ca="1">ROUNDDOWN($V416*VLOOKUP($B416+IF($C416=12,1,0),Paraméterek!$B$257:$D$267,IF($D$2="Egyszeri",3,2)),IF($D$4="Forint",0,2))</f>
        <v>-256310</v>
      </c>
      <c r="Y416" s="32">
        <v>397</v>
      </c>
      <c r="Z416" s="32">
        <v>34</v>
      </c>
      <c r="AA416" s="32">
        <v>1</v>
      </c>
      <c r="AB416" s="13">
        <f t="shared" si="101"/>
        <v>0</v>
      </c>
      <c r="AC416" s="33"/>
      <c r="AD416" s="13">
        <f t="shared" si="97"/>
        <v>0</v>
      </c>
      <c r="AE416" s="13">
        <f>ROUNDUP(($AB416+$AD416)*VLOOKUP($Z416,Paraméterek!$P$38:$Q$38,2)/12,IF($D$4="Forint",0,2))</f>
        <v>0</v>
      </c>
      <c r="AF416" s="13">
        <f>IF($D$2="Egyszeri",IF($D$7&gt;=IF($D$4="Forint",Paraméterek!$P$223,Paraméterek!$P$224),$D$7-IF($D$4="Forint",Paraméterek!$F$223,Paraméterek!$F$224),0),MIN(IF($AA416=12,AVERAGE($D$20:$D416)*12,0),SUM($D$20:$D$31)))</f>
        <v>0</v>
      </c>
      <c r="AG416" s="13">
        <f>IF(AND($Z416&gt;=10,MOD($Z416,5)=0),$AF416*IF($AA416=12,VLOOKUP($Z416,Paraméterek!$B$225:$F$240,IF($AF416&lt;IF($D$4="Forint",Paraméterek!$C$223,Paraméterek!$C$224),2,IF($AF416&lt;IF($D$4="Forint",Paraméterek!$D$223,Paraméterek!$D$224),3,4))),0),0)</f>
        <v>0</v>
      </c>
      <c r="AH416" s="13">
        <f>IF(AND($Z416&gt;=5,MOD($Z416,5)=0),IF($AA416=12,VLOOKUP($Z416,Paraméterek!$B$225:$F$240,5),0),IF(OR($Z416=3,$Z416=4),IF($AA416=12,VLOOKUP($Z416,Paraméterek!$B$225:$F$240,5,0),0),0))*$AF416</f>
        <v>0</v>
      </c>
      <c r="AI416" s="13">
        <f>ROUNDDOWN(IF(SUM($T$20:$U416)=0,IF($D$2="Egyszeri",$AH416,$AG416),0),IF($D$4="Forint",0,2))</f>
        <v>0</v>
      </c>
      <c r="AJ416" s="13">
        <f t="shared" si="102"/>
        <v>0</v>
      </c>
      <c r="AK416" s="13">
        <f t="shared" si="103"/>
        <v>0</v>
      </c>
      <c r="AM416" s="32">
        <v>397</v>
      </c>
      <c r="AN416" s="32">
        <v>34</v>
      </c>
      <c r="AO416" s="32">
        <v>1</v>
      </c>
      <c r="AP416" s="13">
        <f>Tranzakciók!$K$65</f>
        <v>0</v>
      </c>
      <c r="AQ416" s="32"/>
      <c r="AR416" s="13">
        <f t="shared" si="104"/>
        <v>0</v>
      </c>
      <c r="AS416" s="33"/>
      <c r="AT416" s="13">
        <f t="shared" si="98"/>
        <v>0</v>
      </c>
      <c r="AU416" s="13">
        <f>ROUNDUP(($AR416+$AT416)*VLOOKUP($AN416,Paraméterek!$P$38:$Q$38,2)/12,IF($D$4="Forint",0,2))</f>
        <v>0</v>
      </c>
      <c r="AV416" s="13"/>
      <c r="AW416" s="13"/>
      <c r="AX416" s="13">
        <f>ROUNDUP(IF(SUM($AV416:$AW416)=0,0,IF(IF(ISBLANK($AW416),$AV416,$AW416)*Paraméterek!$J$112&lt;IF($D$4="Forint",Paraméterek!$J$113,Paraméterek!$K$113),IF($D$4="Forint",Paraméterek!$J$113,Paraméterek!$K$113),IF(IF(ISBLANK($AW416),$AV416,$AW416)*Paraméterek!$J$112&gt;IF($D$4="Forint",Paraméterek!$J$114,Paraméterek!$K$114),IF($D$4="Forint",Paraméterek!$J$114,Paraméterek!$K$114),IF(ISBLANK($AW416),$AV416,$AW416)*Paraméterek!$J$112))),IF($D$4="Forint",0,2))</f>
        <v>0</v>
      </c>
      <c r="AY416" s="13">
        <f>$AR416+$AT416-$AU416-IF(ROUNDDOWN(IF(ISBLANK($AW416),$AV416,$AW416),IF($D$4="Forint",0,2))&gt;$AR416+$AT416-$AU416-IF($D$4="Forint",Paraméterek!$J$114,Paraméterek!$K$114),0,ROUNDDOWN(IF(ISBLANK($AW416),$AV416,$AW416),IF($D$4="Forint",0,2))-$AX416)</f>
        <v>0</v>
      </c>
      <c r="AZ416" s="13">
        <f t="shared" si="99"/>
        <v>0</v>
      </c>
    </row>
    <row r="417" spans="1:52" x14ac:dyDescent="0.2">
      <c r="A417" s="32">
        <v>398</v>
      </c>
      <c r="B417" s="32">
        <v>34</v>
      </c>
      <c r="C417" s="32">
        <v>2</v>
      </c>
      <c r="D417" s="13">
        <f t="shared" si="90"/>
        <v>0</v>
      </c>
      <c r="E417" s="13"/>
      <c r="F417" s="13"/>
      <c r="G417" s="13"/>
      <c r="H417" s="13">
        <f t="shared" si="91"/>
        <v>0</v>
      </c>
      <c r="I417" s="13">
        <f t="shared" si="92"/>
        <v>0</v>
      </c>
      <c r="J417" s="13">
        <f t="shared" si="93"/>
        <v>0</v>
      </c>
      <c r="K417" s="13">
        <f>ROUNDUP(IF($D$2="Egyszeri",$D417,IF($D$2="Havi",SUM($D$20:$D$31),IF(MOD($C417,$M$1)-1=0,SUM($D$20:$D$31),0))/12*$M$1)*VLOOKUP($B417,Paraméterek!$B$27:$D$30,IF($D$2="Egyszeri",3,2)),IF($D$4="Forint",0,2))</f>
        <v>0</v>
      </c>
      <c r="L417" s="13">
        <f t="shared" si="94"/>
        <v>0</v>
      </c>
      <c r="M417" s="13">
        <f t="shared" ca="1" si="100"/>
        <v>-256310</v>
      </c>
      <c r="N417" s="13">
        <f ca="1">IF($V416&gt;=VLOOKUP($M$4-1+$B417,Paraméterek!$B$121:$D$122,IF($D$4="Forint",2,3)),0,VLOOKUP($M$4-1+$B417,Paraméterek!$B$121:$D$122,IF($D$4="Forint",2,3))-$V416)</f>
        <v>266310</v>
      </c>
      <c r="O417" s="13">
        <f ca="1">ROUNDUP($N417*Paraméterek!$C$58/Paraméterek!$C$56,IF($D$4="Forint",0,2))</f>
        <v>43</v>
      </c>
      <c r="P417" s="13">
        <f t="shared" si="95"/>
        <v>1459</v>
      </c>
      <c r="Q417" s="33"/>
      <c r="R417" s="13">
        <f t="shared" ca="1" si="96"/>
        <v>0</v>
      </c>
      <c r="S417" s="13">
        <f ca="1">ROUNDUP(($M417-$O417-$P417+$R417)*VLOOKUP($B417,Paraméterek!$B$38:$D$39,IF($D$2="Egyszeri",3,2))/12,IF($D$4="Forint",0,2))</f>
        <v>-630</v>
      </c>
      <c r="T417" s="13"/>
      <c r="U417" s="13"/>
      <c r="V417" s="13">
        <f ca="1">$M417-$O417-$P417+$R417-$S417-IF(ROUNDUP(IF(ISBLANK($U417),$T417,$U417)/IF(AND($B417=1,$D$2&lt;&gt;"Egyszeri"),1,VLOOKUP($B417+IF($C417=12,1,0),Paraméterek!$B$257:$D$267,IF($D$2="Egyszeri",3,2))),IF($D$4="Forint",0,2))&gt;$M417-$O417-$P417+$R417-$S417-IF($D$4="Forint",Paraméterek!$C$216,Paraméterek!$D$216),0,ROUNDUP(IF(ISBLANK($U417),$T417,$U417)/IF(AND($B417=1,$D$2&lt;&gt;"Egyszeri"),1,VLOOKUP($B417+IF($C417=12,1,0),Paraméterek!$B$257:$D$267,IF($D$2="Egyszeri",3,2))),IF($D$4="Forint",0,2)))</f>
        <v>-257182</v>
      </c>
      <c r="W417" s="13">
        <f ca="1">ROUNDDOWN($V417*VLOOKUP($B417+IF($C417=12,1,0),Paraméterek!$B$257:$D$267,IF($D$2="Egyszeri",3,2)),IF($D$4="Forint",0,2))</f>
        <v>-257182</v>
      </c>
      <c r="Y417" s="32">
        <v>398</v>
      </c>
      <c r="Z417" s="32">
        <v>34</v>
      </c>
      <c r="AA417" s="32">
        <v>2</v>
      </c>
      <c r="AB417" s="13">
        <f t="shared" si="101"/>
        <v>0</v>
      </c>
      <c r="AC417" s="33"/>
      <c r="AD417" s="13">
        <f t="shared" si="97"/>
        <v>0</v>
      </c>
      <c r="AE417" s="13">
        <f>ROUNDUP(($AB417+$AD417)*VLOOKUP($Z417,Paraméterek!$P$38:$Q$38,2)/12,IF($D$4="Forint",0,2))</f>
        <v>0</v>
      </c>
      <c r="AF417" s="13">
        <f>IF($D$2="Egyszeri",IF($D$7&gt;=IF($D$4="Forint",Paraméterek!$P$223,Paraméterek!$P$224),$D$7-IF($D$4="Forint",Paraméterek!$F$223,Paraméterek!$F$224),0),MIN(IF($AA417=12,AVERAGE($D$20:$D417)*12,0),SUM($D$20:$D$31)))</f>
        <v>0</v>
      </c>
      <c r="AG417" s="13">
        <f>IF(AND($Z417&gt;=10,MOD($Z417,5)=0),$AF417*IF($AA417=12,VLOOKUP($Z417,Paraméterek!$B$225:$F$240,IF($AF417&lt;IF($D$4="Forint",Paraméterek!$C$223,Paraméterek!$C$224),2,IF($AF417&lt;IF($D$4="Forint",Paraméterek!$D$223,Paraméterek!$D$224),3,4))),0),0)</f>
        <v>0</v>
      </c>
      <c r="AH417" s="13">
        <f>IF(AND($Z417&gt;=5,MOD($Z417,5)=0),IF($AA417=12,VLOOKUP($Z417,Paraméterek!$B$225:$F$240,5),0),IF(OR($Z417=3,$Z417=4),IF($AA417=12,VLOOKUP($Z417,Paraméterek!$B$225:$F$240,5,0),0),0))*$AF417</f>
        <v>0</v>
      </c>
      <c r="AI417" s="13">
        <f>ROUNDDOWN(IF(SUM($T$20:$U417)=0,IF($D$2="Egyszeri",$AH417,$AG417),0),IF($D$4="Forint",0,2))</f>
        <v>0</v>
      </c>
      <c r="AJ417" s="13">
        <f t="shared" si="102"/>
        <v>0</v>
      </c>
      <c r="AK417" s="13">
        <f t="shared" si="103"/>
        <v>0</v>
      </c>
      <c r="AM417" s="32">
        <v>398</v>
      </c>
      <c r="AN417" s="32">
        <v>34</v>
      </c>
      <c r="AO417" s="32">
        <v>2</v>
      </c>
      <c r="AP417" s="13"/>
      <c r="AQ417" s="32"/>
      <c r="AR417" s="13">
        <f t="shared" si="104"/>
        <v>0</v>
      </c>
      <c r="AS417" s="33"/>
      <c r="AT417" s="13">
        <f t="shared" si="98"/>
        <v>0</v>
      </c>
      <c r="AU417" s="13">
        <f>ROUNDUP(($AR417+$AT417)*VLOOKUP($AN417,Paraméterek!$P$38:$Q$38,2)/12,IF($D$4="Forint",0,2))</f>
        <v>0</v>
      </c>
      <c r="AV417" s="13"/>
      <c r="AW417" s="13"/>
      <c r="AX417" s="13">
        <f>ROUNDUP(IF(SUM($AV417:$AW417)=0,0,IF(IF(ISBLANK($AW417),$AV417,$AW417)*Paraméterek!$J$112&lt;IF($D$4="Forint",Paraméterek!$J$113,Paraméterek!$K$113),IF($D$4="Forint",Paraméterek!$J$113,Paraméterek!$K$113),IF(IF(ISBLANK($AW417),$AV417,$AW417)*Paraméterek!$J$112&gt;IF($D$4="Forint",Paraméterek!$J$114,Paraméterek!$K$114),IF($D$4="Forint",Paraméterek!$J$114,Paraméterek!$K$114),IF(ISBLANK($AW417),$AV417,$AW417)*Paraméterek!$J$112))),IF($D$4="Forint",0,2))</f>
        <v>0</v>
      </c>
      <c r="AY417" s="13">
        <f>$AR417+$AT417-$AU417-IF(ROUNDDOWN(IF(ISBLANK($AW417),$AV417,$AW417),IF($D$4="Forint",0,2))&gt;$AR417+$AT417-$AU417-IF($D$4="Forint",Paraméterek!$J$114,Paraméterek!$K$114),0,ROUNDDOWN(IF(ISBLANK($AW417),$AV417,$AW417),IF($D$4="Forint",0,2))-$AX417)</f>
        <v>0</v>
      </c>
      <c r="AZ417" s="13">
        <f t="shared" si="99"/>
        <v>0</v>
      </c>
    </row>
    <row r="418" spans="1:52" x14ac:dyDescent="0.2">
      <c r="A418" s="32">
        <v>399</v>
      </c>
      <c r="B418" s="32">
        <v>34</v>
      </c>
      <c r="C418" s="32">
        <v>3</v>
      </c>
      <c r="D418" s="13">
        <f t="shared" si="90"/>
        <v>0</v>
      </c>
      <c r="E418" s="13"/>
      <c r="F418" s="13"/>
      <c r="G418" s="13"/>
      <c r="H418" s="13">
        <f t="shared" si="91"/>
        <v>0</v>
      </c>
      <c r="I418" s="13">
        <f t="shared" si="92"/>
        <v>0</v>
      </c>
      <c r="J418" s="13">
        <f t="shared" si="93"/>
        <v>0</v>
      </c>
      <c r="K418" s="13">
        <f>ROUNDUP(IF($D$2="Egyszeri",$D418,IF($D$2="Havi",SUM($D$20:$D$31),IF(MOD($C418,$M$1)-1=0,SUM($D$20:$D$31),0))/12*$M$1)*VLOOKUP($B418,Paraméterek!$B$27:$D$30,IF($D$2="Egyszeri",3,2)),IF($D$4="Forint",0,2))</f>
        <v>0</v>
      </c>
      <c r="L418" s="13">
        <f t="shared" si="94"/>
        <v>0</v>
      </c>
      <c r="M418" s="13">
        <f t="shared" ca="1" si="100"/>
        <v>-257182</v>
      </c>
      <c r="N418" s="13">
        <f ca="1">IF($V417&gt;=VLOOKUP($M$4-1+$B418,Paraméterek!$B$121:$D$122,IF($D$4="Forint",2,3)),0,VLOOKUP($M$4-1+$B418,Paraméterek!$B$121:$D$122,IF($D$4="Forint",2,3))-$V417)</f>
        <v>267182</v>
      </c>
      <c r="O418" s="13">
        <f ca="1">ROUNDUP($N418*Paraméterek!$C$58/Paraméterek!$C$56,IF($D$4="Forint",0,2))</f>
        <v>43</v>
      </c>
      <c r="P418" s="13">
        <f t="shared" si="95"/>
        <v>1459</v>
      </c>
      <c r="Q418" s="33"/>
      <c r="R418" s="13">
        <f t="shared" ca="1" si="96"/>
        <v>0</v>
      </c>
      <c r="S418" s="13">
        <f ca="1">ROUNDUP(($M418-$O418-$P418+$R418)*VLOOKUP($B418,Paraméterek!$B$38:$D$39,IF($D$2="Egyszeri",3,2))/12,IF($D$4="Forint",0,2))</f>
        <v>-632</v>
      </c>
      <c r="T418" s="13"/>
      <c r="U418" s="13"/>
      <c r="V418" s="13">
        <f ca="1">$M418-$O418-$P418+$R418-$S418-IF(ROUNDUP(IF(ISBLANK($U418),$T418,$U418)/IF(AND($B418=1,$D$2&lt;&gt;"Egyszeri"),1,VLOOKUP($B418+IF($C418=12,1,0),Paraméterek!$B$257:$D$267,IF($D$2="Egyszeri",3,2))),IF($D$4="Forint",0,2))&gt;$M418-$O418-$P418+$R418-$S418-IF($D$4="Forint",Paraméterek!$C$216,Paraméterek!$D$216),0,ROUNDUP(IF(ISBLANK($U418),$T418,$U418)/IF(AND($B418=1,$D$2&lt;&gt;"Egyszeri"),1,VLOOKUP($B418+IF($C418=12,1,0),Paraméterek!$B$257:$D$267,IF($D$2="Egyszeri",3,2))),IF($D$4="Forint",0,2)))</f>
        <v>-258052</v>
      </c>
      <c r="W418" s="13">
        <f ca="1">ROUNDDOWN($V418*VLOOKUP($B418+IF($C418=12,1,0),Paraméterek!$B$257:$D$267,IF($D$2="Egyszeri",3,2)),IF($D$4="Forint",0,2))</f>
        <v>-258052</v>
      </c>
      <c r="Y418" s="32">
        <v>399</v>
      </c>
      <c r="Z418" s="32">
        <v>34</v>
      </c>
      <c r="AA418" s="32">
        <v>3</v>
      </c>
      <c r="AB418" s="13">
        <f t="shared" si="101"/>
        <v>0</v>
      </c>
      <c r="AC418" s="33"/>
      <c r="AD418" s="13">
        <f t="shared" si="97"/>
        <v>0</v>
      </c>
      <c r="AE418" s="13">
        <f>ROUNDUP(($AB418+$AD418)*VLOOKUP($Z418,Paraméterek!$P$38:$Q$38,2)/12,IF($D$4="Forint",0,2))</f>
        <v>0</v>
      </c>
      <c r="AF418" s="13">
        <f>IF($D$2="Egyszeri",IF($D$7&gt;=IF($D$4="Forint",Paraméterek!$P$223,Paraméterek!$P$224),$D$7-IF($D$4="Forint",Paraméterek!$F$223,Paraméterek!$F$224),0),MIN(IF($AA418=12,AVERAGE($D$20:$D418)*12,0),SUM($D$20:$D$31)))</f>
        <v>0</v>
      </c>
      <c r="AG418" s="13">
        <f>IF(AND($Z418&gt;=10,MOD($Z418,5)=0),$AF418*IF($AA418=12,VLOOKUP($Z418,Paraméterek!$B$225:$F$240,IF($AF418&lt;IF($D$4="Forint",Paraméterek!$C$223,Paraméterek!$C$224),2,IF($AF418&lt;IF($D$4="Forint",Paraméterek!$D$223,Paraméterek!$D$224),3,4))),0),0)</f>
        <v>0</v>
      </c>
      <c r="AH418" s="13">
        <f>IF(AND($Z418&gt;=5,MOD($Z418,5)=0),IF($AA418=12,VLOOKUP($Z418,Paraméterek!$B$225:$F$240,5),0),IF(OR($Z418=3,$Z418=4),IF($AA418=12,VLOOKUP($Z418,Paraméterek!$B$225:$F$240,5,0),0),0))*$AF418</f>
        <v>0</v>
      </c>
      <c r="AI418" s="13">
        <f>ROUNDDOWN(IF(SUM($T$20:$U418)=0,IF($D$2="Egyszeri",$AH418,$AG418),0),IF($D$4="Forint",0,2))</f>
        <v>0</v>
      </c>
      <c r="AJ418" s="13">
        <f t="shared" si="102"/>
        <v>0</v>
      </c>
      <c r="AK418" s="13">
        <f t="shared" si="103"/>
        <v>0</v>
      </c>
      <c r="AM418" s="32">
        <v>399</v>
      </c>
      <c r="AN418" s="32">
        <v>34</v>
      </c>
      <c r="AO418" s="32">
        <v>3</v>
      </c>
      <c r="AP418" s="13"/>
      <c r="AQ418" s="32"/>
      <c r="AR418" s="13">
        <f t="shared" si="104"/>
        <v>0</v>
      </c>
      <c r="AS418" s="33"/>
      <c r="AT418" s="13">
        <f t="shared" si="98"/>
        <v>0</v>
      </c>
      <c r="AU418" s="13">
        <f>ROUNDUP(($AR418+$AT418)*VLOOKUP($AN418,Paraméterek!$P$38:$Q$38,2)/12,IF($D$4="Forint",0,2))</f>
        <v>0</v>
      </c>
      <c r="AV418" s="13"/>
      <c r="AW418" s="13"/>
      <c r="AX418" s="13">
        <f>ROUNDUP(IF(SUM($AV418:$AW418)=0,0,IF(IF(ISBLANK($AW418),$AV418,$AW418)*Paraméterek!$J$112&lt;IF($D$4="Forint",Paraméterek!$J$113,Paraméterek!$K$113),IF($D$4="Forint",Paraméterek!$J$113,Paraméterek!$K$113),IF(IF(ISBLANK($AW418),$AV418,$AW418)*Paraméterek!$J$112&gt;IF($D$4="Forint",Paraméterek!$J$114,Paraméterek!$K$114),IF($D$4="Forint",Paraméterek!$J$114,Paraméterek!$K$114),IF(ISBLANK($AW418),$AV418,$AW418)*Paraméterek!$J$112))),IF($D$4="Forint",0,2))</f>
        <v>0</v>
      </c>
      <c r="AY418" s="13">
        <f>$AR418+$AT418-$AU418-IF(ROUNDDOWN(IF(ISBLANK($AW418),$AV418,$AW418),IF($D$4="Forint",0,2))&gt;$AR418+$AT418-$AU418-IF($D$4="Forint",Paraméterek!$J$114,Paraméterek!$K$114),0,ROUNDDOWN(IF(ISBLANK($AW418),$AV418,$AW418),IF($D$4="Forint",0,2))-$AX418)</f>
        <v>0</v>
      </c>
      <c r="AZ418" s="13">
        <f t="shared" si="99"/>
        <v>0</v>
      </c>
    </row>
    <row r="419" spans="1:52" x14ac:dyDescent="0.2">
      <c r="A419" s="32">
        <v>400</v>
      </c>
      <c r="B419" s="32">
        <v>34</v>
      </c>
      <c r="C419" s="32">
        <v>4</v>
      </c>
      <c r="D419" s="13">
        <f t="shared" si="90"/>
        <v>0</v>
      </c>
      <c r="E419" s="13"/>
      <c r="F419" s="13"/>
      <c r="G419" s="13"/>
      <c r="H419" s="13">
        <f t="shared" si="91"/>
        <v>0</v>
      </c>
      <c r="I419" s="13">
        <f t="shared" si="92"/>
        <v>0</v>
      </c>
      <c r="J419" s="13">
        <f t="shared" si="93"/>
        <v>0</v>
      </c>
      <c r="K419" s="13">
        <f>ROUNDUP(IF($D$2="Egyszeri",$D419,IF($D$2="Havi",SUM($D$20:$D$31),IF(MOD($C419,$M$1)-1=0,SUM($D$20:$D$31),0))/12*$M$1)*VLOOKUP($B419,Paraméterek!$B$27:$D$30,IF($D$2="Egyszeri",3,2)),IF($D$4="Forint",0,2))</f>
        <v>0</v>
      </c>
      <c r="L419" s="13">
        <f t="shared" si="94"/>
        <v>0</v>
      </c>
      <c r="M419" s="13">
        <f t="shared" ca="1" si="100"/>
        <v>-258052</v>
      </c>
      <c r="N419" s="13">
        <f ca="1">IF($V418&gt;=VLOOKUP($M$4-1+$B419,Paraméterek!$B$121:$D$122,IF($D$4="Forint",2,3)),0,VLOOKUP($M$4-1+$B419,Paraméterek!$B$121:$D$122,IF($D$4="Forint",2,3))-$V418)</f>
        <v>268052</v>
      </c>
      <c r="O419" s="13">
        <f ca="1">ROUNDUP($N419*Paraméterek!$C$58/Paraméterek!$C$56,IF($D$4="Forint",0,2))</f>
        <v>43</v>
      </c>
      <c r="P419" s="13">
        <f t="shared" si="95"/>
        <v>1459</v>
      </c>
      <c r="Q419" s="33"/>
      <c r="R419" s="13">
        <f t="shared" ca="1" si="96"/>
        <v>0</v>
      </c>
      <c r="S419" s="13">
        <f ca="1">ROUNDUP(($M419-$O419-$P419+$R419)*VLOOKUP($B419,Paraméterek!$B$38:$D$39,IF($D$2="Egyszeri",3,2))/12,IF($D$4="Forint",0,2))</f>
        <v>-634</v>
      </c>
      <c r="T419" s="13"/>
      <c r="U419" s="13"/>
      <c r="V419" s="13">
        <f ca="1">$M419-$O419-$P419+$R419-$S419-IF(ROUNDUP(IF(ISBLANK($U419),$T419,$U419)/IF(AND($B419=1,$D$2&lt;&gt;"Egyszeri"),1,VLOOKUP($B419+IF($C419=12,1,0),Paraméterek!$B$257:$D$267,IF($D$2="Egyszeri",3,2))),IF($D$4="Forint",0,2))&gt;$M419-$O419-$P419+$R419-$S419-IF($D$4="Forint",Paraméterek!$C$216,Paraméterek!$D$216),0,ROUNDUP(IF(ISBLANK($U419),$T419,$U419)/IF(AND($B419=1,$D$2&lt;&gt;"Egyszeri"),1,VLOOKUP($B419+IF($C419=12,1,0),Paraméterek!$B$257:$D$267,IF($D$2="Egyszeri",3,2))),IF($D$4="Forint",0,2)))</f>
        <v>-258920</v>
      </c>
      <c r="W419" s="13">
        <f ca="1">ROUNDDOWN($V419*VLOOKUP($B419+IF($C419=12,1,0),Paraméterek!$B$257:$D$267,IF($D$2="Egyszeri",3,2)),IF($D$4="Forint",0,2))</f>
        <v>-258920</v>
      </c>
      <c r="Y419" s="32">
        <v>400</v>
      </c>
      <c r="Z419" s="32">
        <v>34</v>
      </c>
      <c r="AA419" s="32">
        <v>4</v>
      </c>
      <c r="AB419" s="13">
        <f t="shared" si="101"/>
        <v>0</v>
      </c>
      <c r="AC419" s="33"/>
      <c r="AD419" s="13">
        <f t="shared" si="97"/>
        <v>0</v>
      </c>
      <c r="AE419" s="13">
        <f>ROUNDUP(($AB419+$AD419)*VLOOKUP($Z419,Paraméterek!$P$38:$Q$38,2)/12,IF($D$4="Forint",0,2))</f>
        <v>0</v>
      </c>
      <c r="AF419" s="13">
        <f>IF($D$2="Egyszeri",IF($D$7&gt;=IF($D$4="Forint",Paraméterek!$P$223,Paraméterek!$P$224),$D$7-IF($D$4="Forint",Paraméterek!$F$223,Paraméterek!$F$224),0),MIN(IF($AA419=12,AVERAGE($D$20:$D419)*12,0),SUM($D$20:$D$31)))</f>
        <v>0</v>
      </c>
      <c r="AG419" s="13">
        <f>IF(AND($Z419&gt;=10,MOD($Z419,5)=0),$AF419*IF($AA419=12,VLOOKUP($Z419,Paraméterek!$B$225:$F$240,IF($AF419&lt;IF($D$4="Forint",Paraméterek!$C$223,Paraméterek!$C$224),2,IF($AF419&lt;IF($D$4="Forint",Paraméterek!$D$223,Paraméterek!$D$224),3,4))),0),0)</f>
        <v>0</v>
      </c>
      <c r="AH419" s="13">
        <f>IF(AND($Z419&gt;=5,MOD($Z419,5)=0),IF($AA419=12,VLOOKUP($Z419,Paraméterek!$B$225:$F$240,5),0),IF(OR($Z419=3,$Z419=4),IF($AA419=12,VLOOKUP($Z419,Paraméterek!$B$225:$F$240,5,0),0),0))*$AF419</f>
        <v>0</v>
      </c>
      <c r="AI419" s="13">
        <f>ROUNDDOWN(IF(SUM($T$20:$U419)=0,IF($D$2="Egyszeri",$AH419,$AG419),0),IF($D$4="Forint",0,2))</f>
        <v>0</v>
      </c>
      <c r="AJ419" s="13">
        <f t="shared" si="102"/>
        <v>0</v>
      </c>
      <c r="AK419" s="13">
        <f t="shared" si="103"/>
        <v>0</v>
      </c>
      <c r="AM419" s="32">
        <v>400</v>
      </c>
      <c r="AN419" s="32">
        <v>34</v>
      </c>
      <c r="AO419" s="32">
        <v>4</v>
      </c>
      <c r="AP419" s="13"/>
      <c r="AQ419" s="32"/>
      <c r="AR419" s="13">
        <f t="shared" si="104"/>
        <v>0</v>
      </c>
      <c r="AS419" s="33"/>
      <c r="AT419" s="13">
        <f t="shared" si="98"/>
        <v>0</v>
      </c>
      <c r="AU419" s="13">
        <f>ROUNDUP(($AR419+$AT419)*VLOOKUP($AN419,Paraméterek!$P$38:$Q$38,2)/12,IF($D$4="Forint",0,2))</f>
        <v>0</v>
      </c>
      <c r="AV419" s="13"/>
      <c r="AW419" s="13"/>
      <c r="AX419" s="13">
        <f>ROUNDUP(IF(SUM($AV419:$AW419)=0,0,IF(IF(ISBLANK($AW419),$AV419,$AW419)*Paraméterek!$J$112&lt;IF($D$4="Forint",Paraméterek!$J$113,Paraméterek!$K$113),IF($D$4="Forint",Paraméterek!$J$113,Paraméterek!$K$113),IF(IF(ISBLANK($AW419),$AV419,$AW419)*Paraméterek!$J$112&gt;IF($D$4="Forint",Paraméterek!$J$114,Paraméterek!$K$114),IF($D$4="Forint",Paraméterek!$J$114,Paraméterek!$K$114),IF(ISBLANK($AW419),$AV419,$AW419)*Paraméterek!$J$112))),IF($D$4="Forint",0,2))</f>
        <v>0</v>
      </c>
      <c r="AY419" s="13">
        <f>$AR419+$AT419-$AU419-IF(ROUNDDOWN(IF(ISBLANK($AW419),$AV419,$AW419),IF($D$4="Forint",0,2))&gt;$AR419+$AT419-$AU419-IF($D$4="Forint",Paraméterek!$J$114,Paraméterek!$K$114),0,ROUNDDOWN(IF(ISBLANK($AW419),$AV419,$AW419),IF($D$4="Forint",0,2))-$AX419)</f>
        <v>0</v>
      </c>
      <c r="AZ419" s="13">
        <f t="shared" si="99"/>
        <v>0</v>
      </c>
    </row>
    <row r="420" spans="1:52" x14ac:dyDescent="0.2">
      <c r="A420" s="32">
        <v>401</v>
      </c>
      <c r="B420" s="32">
        <v>34</v>
      </c>
      <c r="C420" s="32">
        <v>5</v>
      </c>
      <c r="D420" s="13">
        <f t="shared" si="90"/>
        <v>0</v>
      </c>
      <c r="E420" s="13"/>
      <c r="F420" s="13"/>
      <c r="G420" s="13"/>
      <c r="H420" s="13">
        <f t="shared" si="91"/>
        <v>0</v>
      </c>
      <c r="I420" s="13">
        <f t="shared" si="92"/>
        <v>0</v>
      </c>
      <c r="J420" s="13">
        <f t="shared" si="93"/>
        <v>0</v>
      </c>
      <c r="K420" s="13">
        <f>ROUNDUP(IF($D$2="Egyszeri",$D420,IF($D$2="Havi",SUM($D$20:$D$31),IF(MOD($C420,$M$1)-1=0,SUM($D$20:$D$31),0))/12*$M$1)*VLOOKUP($B420,Paraméterek!$B$27:$D$30,IF($D$2="Egyszeri",3,2)),IF($D$4="Forint",0,2))</f>
        <v>0</v>
      </c>
      <c r="L420" s="13">
        <f t="shared" si="94"/>
        <v>0</v>
      </c>
      <c r="M420" s="13">
        <f t="shared" ca="1" si="100"/>
        <v>-258920</v>
      </c>
      <c r="N420" s="13">
        <f ca="1">IF($V419&gt;=VLOOKUP($M$4-1+$B420,Paraméterek!$B$121:$D$122,IF($D$4="Forint",2,3)),0,VLOOKUP($M$4-1+$B420,Paraméterek!$B$121:$D$122,IF($D$4="Forint",2,3))-$V419)</f>
        <v>268920</v>
      </c>
      <c r="O420" s="13">
        <f ca="1">ROUNDUP($N420*Paraméterek!$C$58/Paraméterek!$C$56,IF($D$4="Forint",0,2))</f>
        <v>43</v>
      </c>
      <c r="P420" s="13">
        <f t="shared" si="95"/>
        <v>1459</v>
      </c>
      <c r="Q420" s="33"/>
      <c r="R420" s="13">
        <f t="shared" ca="1" si="96"/>
        <v>0</v>
      </c>
      <c r="S420" s="13">
        <f ca="1">ROUNDUP(($M420-$O420-$P420+$R420)*VLOOKUP($B420,Paraméterek!$B$38:$D$39,IF($D$2="Egyszeri",3,2))/12,IF($D$4="Forint",0,2))</f>
        <v>-636</v>
      </c>
      <c r="T420" s="13"/>
      <c r="U420" s="13"/>
      <c r="V420" s="13">
        <f ca="1">$M420-$O420-$P420+$R420-$S420-IF(ROUNDUP(IF(ISBLANK($U420),$T420,$U420)/IF(AND($B420=1,$D$2&lt;&gt;"Egyszeri"),1,VLOOKUP($B420+IF($C420=12,1,0),Paraméterek!$B$257:$D$267,IF($D$2="Egyszeri",3,2))),IF($D$4="Forint",0,2))&gt;$M420-$O420-$P420+$R420-$S420-IF($D$4="Forint",Paraméterek!$C$216,Paraméterek!$D$216),0,ROUNDUP(IF(ISBLANK($U420),$T420,$U420)/IF(AND($B420=1,$D$2&lt;&gt;"Egyszeri"),1,VLOOKUP($B420+IF($C420=12,1,0),Paraméterek!$B$257:$D$267,IF($D$2="Egyszeri",3,2))),IF($D$4="Forint",0,2)))</f>
        <v>-259786</v>
      </c>
      <c r="W420" s="13">
        <f ca="1">ROUNDDOWN($V420*VLOOKUP($B420+IF($C420=12,1,0),Paraméterek!$B$257:$D$267,IF($D$2="Egyszeri",3,2)),IF($D$4="Forint",0,2))</f>
        <v>-259786</v>
      </c>
      <c r="Y420" s="32">
        <v>401</v>
      </c>
      <c r="Z420" s="32">
        <v>34</v>
      </c>
      <c r="AA420" s="32">
        <v>5</v>
      </c>
      <c r="AB420" s="13">
        <f t="shared" si="101"/>
        <v>0</v>
      </c>
      <c r="AC420" s="33"/>
      <c r="AD420" s="13">
        <f t="shared" si="97"/>
        <v>0</v>
      </c>
      <c r="AE420" s="13">
        <f>ROUNDUP(($AB420+$AD420)*VLOOKUP($Z420,Paraméterek!$P$38:$Q$38,2)/12,IF($D$4="Forint",0,2))</f>
        <v>0</v>
      </c>
      <c r="AF420" s="13">
        <f>IF($D$2="Egyszeri",IF($D$7&gt;=IF($D$4="Forint",Paraméterek!$P$223,Paraméterek!$P$224),$D$7-IF($D$4="Forint",Paraméterek!$F$223,Paraméterek!$F$224),0),MIN(IF($AA420=12,AVERAGE($D$20:$D420)*12,0),SUM($D$20:$D$31)))</f>
        <v>0</v>
      </c>
      <c r="AG420" s="13">
        <f>IF(AND($Z420&gt;=10,MOD($Z420,5)=0),$AF420*IF($AA420=12,VLOOKUP($Z420,Paraméterek!$B$225:$F$240,IF($AF420&lt;IF($D$4="Forint",Paraméterek!$C$223,Paraméterek!$C$224),2,IF($AF420&lt;IF($D$4="Forint",Paraméterek!$D$223,Paraméterek!$D$224),3,4))),0),0)</f>
        <v>0</v>
      </c>
      <c r="AH420" s="13">
        <f>IF(AND($Z420&gt;=5,MOD($Z420,5)=0),IF($AA420=12,VLOOKUP($Z420,Paraméterek!$B$225:$F$240,5),0),IF(OR($Z420=3,$Z420=4),IF($AA420=12,VLOOKUP($Z420,Paraméterek!$B$225:$F$240,5,0),0),0))*$AF420</f>
        <v>0</v>
      </c>
      <c r="AI420" s="13">
        <f>ROUNDDOWN(IF(SUM($T$20:$U420)=0,IF($D$2="Egyszeri",$AH420,$AG420),0),IF($D$4="Forint",0,2))</f>
        <v>0</v>
      </c>
      <c r="AJ420" s="13">
        <f t="shared" si="102"/>
        <v>0</v>
      </c>
      <c r="AK420" s="13">
        <f t="shared" si="103"/>
        <v>0</v>
      </c>
      <c r="AM420" s="32">
        <v>401</v>
      </c>
      <c r="AN420" s="32">
        <v>34</v>
      </c>
      <c r="AO420" s="32">
        <v>5</v>
      </c>
      <c r="AP420" s="13"/>
      <c r="AQ420" s="32"/>
      <c r="AR420" s="13">
        <f t="shared" si="104"/>
        <v>0</v>
      </c>
      <c r="AS420" s="33"/>
      <c r="AT420" s="13">
        <f t="shared" si="98"/>
        <v>0</v>
      </c>
      <c r="AU420" s="13">
        <f>ROUNDUP(($AR420+$AT420)*VLOOKUP($AN420,Paraméterek!$P$38:$Q$38,2)/12,IF($D$4="Forint",0,2))</f>
        <v>0</v>
      </c>
      <c r="AV420" s="13"/>
      <c r="AW420" s="13"/>
      <c r="AX420" s="13">
        <f>ROUNDUP(IF(SUM($AV420:$AW420)=0,0,IF(IF(ISBLANK($AW420),$AV420,$AW420)*Paraméterek!$J$112&lt;IF($D$4="Forint",Paraméterek!$J$113,Paraméterek!$K$113),IF($D$4="Forint",Paraméterek!$J$113,Paraméterek!$K$113),IF(IF(ISBLANK($AW420),$AV420,$AW420)*Paraméterek!$J$112&gt;IF($D$4="Forint",Paraméterek!$J$114,Paraméterek!$K$114),IF($D$4="Forint",Paraméterek!$J$114,Paraméterek!$K$114),IF(ISBLANK($AW420),$AV420,$AW420)*Paraméterek!$J$112))),IF($D$4="Forint",0,2))</f>
        <v>0</v>
      </c>
      <c r="AY420" s="13">
        <f>$AR420+$AT420-$AU420-IF(ROUNDDOWN(IF(ISBLANK($AW420),$AV420,$AW420),IF($D$4="Forint",0,2))&gt;$AR420+$AT420-$AU420-IF($D$4="Forint",Paraméterek!$J$114,Paraméterek!$K$114),0,ROUNDDOWN(IF(ISBLANK($AW420),$AV420,$AW420),IF($D$4="Forint",0,2))-$AX420)</f>
        <v>0</v>
      </c>
      <c r="AZ420" s="13">
        <f t="shared" si="99"/>
        <v>0</v>
      </c>
    </row>
    <row r="421" spans="1:52" x14ac:dyDescent="0.2">
      <c r="A421" s="32">
        <v>402</v>
      </c>
      <c r="B421" s="32">
        <v>34</v>
      </c>
      <c r="C421" s="32">
        <v>6</v>
      </c>
      <c r="D421" s="13">
        <f t="shared" si="90"/>
        <v>0</v>
      </c>
      <c r="E421" s="13"/>
      <c r="F421" s="13"/>
      <c r="G421" s="13"/>
      <c r="H421" s="13">
        <f t="shared" si="91"/>
        <v>0</v>
      </c>
      <c r="I421" s="13">
        <f t="shared" si="92"/>
        <v>0</v>
      </c>
      <c r="J421" s="13">
        <f t="shared" si="93"/>
        <v>0</v>
      </c>
      <c r="K421" s="13">
        <f>ROUNDUP(IF($D$2="Egyszeri",$D421,IF($D$2="Havi",SUM($D$20:$D$31),IF(MOD($C421,$M$1)-1=0,SUM($D$20:$D$31),0))/12*$M$1)*VLOOKUP($B421,Paraméterek!$B$27:$D$30,IF($D$2="Egyszeri",3,2)),IF($D$4="Forint",0,2))</f>
        <v>0</v>
      </c>
      <c r="L421" s="13">
        <f t="shared" si="94"/>
        <v>0</v>
      </c>
      <c r="M421" s="13">
        <f t="shared" ca="1" si="100"/>
        <v>-259786</v>
      </c>
      <c r="N421" s="13">
        <f ca="1">IF($V420&gt;=VLOOKUP($M$4-1+$B421,Paraméterek!$B$121:$D$122,IF($D$4="Forint",2,3)),0,VLOOKUP($M$4-1+$B421,Paraméterek!$B$121:$D$122,IF($D$4="Forint",2,3))-$V420)</f>
        <v>269786</v>
      </c>
      <c r="O421" s="13">
        <f ca="1">ROUNDUP($N421*Paraméterek!$C$58/Paraméterek!$C$56,IF($D$4="Forint",0,2))</f>
        <v>43</v>
      </c>
      <c r="P421" s="13">
        <f t="shared" si="95"/>
        <v>1459</v>
      </c>
      <c r="Q421" s="33"/>
      <c r="R421" s="13">
        <f t="shared" ca="1" si="96"/>
        <v>0</v>
      </c>
      <c r="S421" s="13">
        <f ca="1">ROUNDUP(($M421-$O421-$P421+$R421)*VLOOKUP($B421,Paraméterek!$B$38:$D$39,IF($D$2="Egyszeri",3,2))/12,IF($D$4="Forint",0,2))</f>
        <v>-638</v>
      </c>
      <c r="T421" s="13"/>
      <c r="U421" s="13"/>
      <c r="V421" s="13">
        <f ca="1">$M421-$O421-$P421+$R421-$S421-IF(ROUNDUP(IF(ISBLANK($U421),$T421,$U421)/IF(AND($B421=1,$D$2&lt;&gt;"Egyszeri"),1,VLOOKUP($B421+IF($C421=12,1,0),Paraméterek!$B$257:$D$267,IF($D$2="Egyszeri",3,2))),IF($D$4="Forint",0,2))&gt;$M421-$O421-$P421+$R421-$S421-IF($D$4="Forint",Paraméterek!$C$216,Paraméterek!$D$216),0,ROUNDUP(IF(ISBLANK($U421),$T421,$U421)/IF(AND($B421=1,$D$2&lt;&gt;"Egyszeri"),1,VLOOKUP($B421+IF($C421=12,1,0),Paraméterek!$B$257:$D$267,IF($D$2="Egyszeri",3,2))),IF($D$4="Forint",0,2)))</f>
        <v>-260650</v>
      </c>
      <c r="W421" s="13">
        <f ca="1">ROUNDDOWN($V421*VLOOKUP($B421+IF($C421=12,1,0),Paraméterek!$B$257:$D$267,IF($D$2="Egyszeri",3,2)),IF($D$4="Forint",0,2))</f>
        <v>-260650</v>
      </c>
      <c r="Y421" s="32">
        <v>402</v>
      </c>
      <c r="Z421" s="32">
        <v>34</v>
      </c>
      <c r="AA421" s="32">
        <v>6</v>
      </c>
      <c r="AB421" s="13">
        <f t="shared" si="101"/>
        <v>0</v>
      </c>
      <c r="AC421" s="33"/>
      <c r="AD421" s="13">
        <f t="shared" si="97"/>
        <v>0</v>
      </c>
      <c r="AE421" s="13">
        <f>ROUNDUP(($AB421+$AD421)*VLOOKUP($Z421,Paraméterek!$P$38:$Q$38,2)/12,IF($D$4="Forint",0,2))</f>
        <v>0</v>
      </c>
      <c r="AF421" s="13">
        <f>IF($D$2="Egyszeri",IF($D$7&gt;=IF($D$4="Forint",Paraméterek!$P$223,Paraméterek!$P$224),$D$7-IF($D$4="Forint",Paraméterek!$F$223,Paraméterek!$F$224),0),MIN(IF($AA421=12,AVERAGE($D$20:$D421)*12,0),SUM($D$20:$D$31)))</f>
        <v>0</v>
      </c>
      <c r="AG421" s="13">
        <f>IF(AND($Z421&gt;=10,MOD($Z421,5)=0),$AF421*IF($AA421=12,VLOOKUP($Z421,Paraméterek!$B$225:$F$240,IF($AF421&lt;IF($D$4="Forint",Paraméterek!$C$223,Paraméterek!$C$224),2,IF($AF421&lt;IF($D$4="Forint",Paraméterek!$D$223,Paraméterek!$D$224),3,4))),0),0)</f>
        <v>0</v>
      </c>
      <c r="AH421" s="13">
        <f>IF(AND($Z421&gt;=5,MOD($Z421,5)=0),IF($AA421=12,VLOOKUP($Z421,Paraméterek!$B$225:$F$240,5),0),IF(OR($Z421=3,$Z421=4),IF($AA421=12,VLOOKUP($Z421,Paraméterek!$B$225:$F$240,5,0),0),0))*$AF421</f>
        <v>0</v>
      </c>
      <c r="AI421" s="13">
        <f>ROUNDDOWN(IF(SUM($T$20:$U421)=0,IF($D$2="Egyszeri",$AH421,$AG421),0),IF($D$4="Forint",0,2))</f>
        <v>0</v>
      </c>
      <c r="AJ421" s="13">
        <f t="shared" si="102"/>
        <v>0</v>
      </c>
      <c r="AK421" s="13">
        <f t="shared" si="103"/>
        <v>0</v>
      </c>
      <c r="AM421" s="32">
        <v>402</v>
      </c>
      <c r="AN421" s="32">
        <v>34</v>
      </c>
      <c r="AO421" s="32">
        <v>6</v>
      </c>
      <c r="AP421" s="13"/>
      <c r="AQ421" s="32"/>
      <c r="AR421" s="13">
        <f t="shared" si="104"/>
        <v>0</v>
      </c>
      <c r="AS421" s="33"/>
      <c r="AT421" s="13">
        <f t="shared" si="98"/>
        <v>0</v>
      </c>
      <c r="AU421" s="13">
        <f>ROUNDUP(($AR421+$AT421)*VLOOKUP($AN421,Paraméterek!$P$38:$Q$38,2)/12,IF($D$4="Forint",0,2))</f>
        <v>0</v>
      </c>
      <c r="AV421" s="13"/>
      <c r="AW421" s="13"/>
      <c r="AX421" s="13">
        <f>ROUNDUP(IF(SUM($AV421:$AW421)=0,0,IF(IF(ISBLANK($AW421),$AV421,$AW421)*Paraméterek!$J$112&lt;IF($D$4="Forint",Paraméterek!$J$113,Paraméterek!$K$113),IF($D$4="Forint",Paraméterek!$J$113,Paraméterek!$K$113),IF(IF(ISBLANK($AW421),$AV421,$AW421)*Paraméterek!$J$112&gt;IF($D$4="Forint",Paraméterek!$J$114,Paraméterek!$K$114),IF($D$4="Forint",Paraméterek!$J$114,Paraméterek!$K$114),IF(ISBLANK($AW421),$AV421,$AW421)*Paraméterek!$J$112))),IF($D$4="Forint",0,2))</f>
        <v>0</v>
      </c>
      <c r="AY421" s="13">
        <f>$AR421+$AT421-$AU421-IF(ROUNDDOWN(IF(ISBLANK($AW421),$AV421,$AW421),IF($D$4="Forint",0,2))&gt;$AR421+$AT421-$AU421-IF($D$4="Forint",Paraméterek!$J$114,Paraméterek!$K$114),0,ROUNDDOWN(IF(ISBLANK($AW421),$AV421,$AW421),IF($D$4="Forint",0,2))-$AX421)</f>
        <v>0</v>
      </c>
      <c r="AZ421" s="13">
        <f t="shared" si="99"/>
        <v>0</v>
      </c>
    </row>
    <row r="422" spans="1:52" x14ac:dyDescent="0.2">
      <c r="A422" s="32">
        <v>403</v>
      </c>
      <c r="B422" s="32">
        <v>34</v>
      </c>
      <c r="C422" s="32">
        <v>7</v>
      </c>
      <c r="D422" s="13">
        <f t="shared" si="90"/>
        <v>0</v>
      </c>
      <c r="E422" s="13"/>
      <c r="F422" s="13"/>
      <c r="G422" s="13"/>
      <c r="H422" s="13">
        <f t="shared" si="91"/>
        <v>0</v>
      </c>
      <c r="I422" s="13">
        <f t="shared" si="92"/>
        <v>0</v>
      </c>
      <c r="J422" s="13">
        <f t="shared" si="93"/>
        <v>0</v>
      </c>
      <c r="K422" s="13">
        <f>ROUNDUP(IF($D$2="Egyszeri",$D422,IF($D$2="Havi",SUM($D$20:$D$31),IF(MOD($C422,$M$1)-1=0,SUM($D$20:$D$31),0))/12*$M$1)*VLOOKUP($B422,Paraméterek!$B$27:$D$30,IF($D$2="Egyszeri",3,2)),IF($D$4="Forint",0,2))</f>
        <v>0</v>
      </c>
      <c r="L422" s="13">
        <f t="shared" si="94"/>
        <v>0</v>
      </c>
      <c r="M422" s="13">
        <f t="shared" ca="1" si="100"/>
        <v>-260650</v>
      </c>
      <c r="N422" s="13">
        <f ca="1">IF($V421&gt;=VLOOKUP($M$4-1+$B422,Paraméterek!$B$121:$D$122,IF($D$4="Forint",2,3)),0,VLOOKUP($M$4-1+$B422,Paraméterek!$B$121:$D$122,IF($D$4="Forint",2,3))-$V421)</f>
        <v>270650</v>
      </c>
      <c r="O422" s="13">
        <f ca="1">ROUNDUP($N422*Paraméterek!$C$58/Paraméterek!$C$56,IF($D$4="Forint",0,2))</f>
        <v>44</v>
      </c>
      <c r="P422" s="13">
        <f t="shared" si="95"/>
        <v>1459</v>
      </c>
      <c r="Q422" s="33"/>
      <c r="R422" s="13">
        <f t="shared" ca="1" si="96"/>
        <v>0</v>
      </c>
      <c r="S422" s="13">
        <f ca="1">ROUNDUP(($M422-$O422-$P422+$R422)*VLOOKUP($B422,Paraméterek!$B$38:$D$39,IF($D$2="Egyszeri",3,2))/12,IF($D$4="Forint",0,2))</f>
        <v>-641</v>
      </c>
      <c r="T422" s="13"/>
      <c r="U422" s="13"/>
      <c r="V422" s="13">
        <f ca="1">$M422-$O422-$P422+$R422-$S422-IF(ROUNDUP(IF(ISBLANK($U422),$T422,$U422)/IF(AND($B422=1,$D$2&lt;&gt;"Egyszeri"),1,VLOOKUP($B422+IF($C422=12,1,0),Paraméterek!$B$257:$D$267,IF($D$2="Egyszeri",3,2))),IF($D$4="Forint",0,2))&gt;$M422-$O422-$P422+$R422-$S422-IF($D$4="Forint",Paraméterek!$C$216,Paraméterek!$D$216),0,ROUNDUP(IF(ISBLANK($U422),$T422,$U422)/IF(AND($B422=1,$D$2&lt;&gt;"Egyszeri"),1,VLOOKUP($B422+IF($C422=12,1,0),Paraméterek!$B$257:$D$267,IF($D$2="Egyszeri",3,2))),IF($D$4="Forint",0,2)))</f>
        <v>-261512</v>
      </c>
      <c r="W422" s="13">
        <f ca="1">ROUNDDOWN($V422*VLOOKUP($B422+IF($C422=12,1,0),Paraméterek!$B$257:$D$267,IF($D$2="Egyszeri",3,2)),IF($D$4="Forint",0,2))</f>
        <v>-261512</v>
      </c>
      <c r="Y422" s="32">
        <v>403</v>
      </c>
      <c r="Z422" s="32">
        <v>34</v>
      </c>
      <c r="AA422" s="32">
        <v>7</v>
      </c>
      <c r="AB422" s="13">
        <f t="shared" si="101"/>
        <v>0</v>
      </c>
      <c r="AC422" s="33"/>
      <c r="AD422" s="13">
        <f t="shared" si="97"/>
        <v>0</v>
      </c>
      <c r="AE422" s="13">
        <f>ROUNDUP(($AB422+$AD422)*VLOOKUP($Z422,Paraméterek!$P$38:$Q$38,2)/12,IF($D$4="Forint",0,2))</f>
        <v>0</v>
      </c>
      <c r="AF422" s="13">
        <f>IF($D$2="Egyszeri",IF($D$7&gt;=IF($D$4="Forint",Paraméterek!$P$223,Paraméterek!$P$224),$D$7-IF($D$4="Forint",Paraméterek!$F$223,Paraméterek!$F$224),0),MIN(IF($AA422=12,AVERAGE($D$20:$D422)*12,0),SUM($D$20:$D$31)))</f>
        <v>0</v>
      </c>
      <c r="AG422" s="13">
        <f>IF(AND($Z422&gt;=10,MOD($Z422,5)=0),$AF422*IF($AA422=12,VLOOKUP($Z422,Paraméterek!$B$225:$F$240,IF($AF422&lt;IF($D$4="Forint",Paraméterek!$C$223,Paraméterek!$C$224),2,IF($AF422&lt;IF($D$4="Forint",Paraméterek!$D$223,Paraméterek!$D$224),3,4))),0),0)</f>
        <v>0</v>
      </c>
      <c r="AH422" s="13">
        <f>IF(AND($Z422&gt;=5,MOD($Z422,5)=0),IF($AA422=12,VLOOKUP($Z422,Paraméterek!$B$225:$F$240,5),0),IF(OR($Z422=3,$Z422=4),IF($AA422=12,VLOOKUP($Z422,Paraméterek!$B$225:$F$240,5,0),0),0))*$AF422</f>
        <v>0</v>
      </c>
      <c r="AI422" s="13">
        <f>ROUNDDOWN(IF(SUM($T$20:$U422)=0,IF($D$2="Egyszeri",$AH422,$AG422),0),IF($D$4="Forint",0,2))</f>
        <v>0</v>
      </c>
      <c r="AJ422" s="13">
        <f t="shared" si="102"/>
        <v>0</v>
      </c>
      <c r="AK422" s="13">
        <f t="shared" si="103"/>
        <v>0</v>
      </c>
      <c r="AM422" s="32">
        <v>403</v>
      </c>
      <c r="AN422" s="32">
        <v>34</v>
      </c>
      <c r="AO422" s="32">
        <v>7</v>
      </c>
      <c r="AP422" s="13"/>
      <c r="AQ422" s="32"/>
      <c r="AR422" s="13">
        <f t="shared" si="104"/>
        <v>0</v>
      </c>
      <c r="AS422" s="33"/>
      <c r="AT422" s="13">
        <f t="shared" si="98"/>
        <v>0</v>
      </c>
      <c r="AU422" s="13">
        <f>ROUNDUP(($AR422+$AT422)*VLOOKUP($AN422,Paraméterek!$P$38:$Q$38,2)/12,IF($D$4="Forint",0,2))</f>
        <v>0</v>
      </c>
      <c r="AV422" s="13"/>
      <c r="AW422" s="13"/>
      <c r="AX422" s="13">
        <f>ROUNDUP(IF(SUM($AV422:$AW422)=0,0,IF(IF(ISBLANK($AW422),$AV422,$AW422)*Paraméterek!$J$112&lt;IF($D$4="Forint",Paraméterek!$J$113,Paraméterek!$K$113),IF($D$4="Forint",Paraméterek!$J$113,Paraméterek!$K$113),IF(IF(ISBLANK($AW422),$AV422,$AW422)*Paraméterek!$J$112&gt;IF($D$4="Forint",Paraméterek!$J$114,Paraméterek!$K$114),IF($D$4="Forint",Paraméterek!$J$114,Paraméterek!$K$114),IF(ISBLANK($AW422),$AV422,$AW422)*Paraméterek!$J$112))),IF($D$4="Forint",0,2))</f>
        <v>0</v>
      </c>
      <c r="AY422" s="13">
        <f>$AR422+$AT422-$AU422-IF(ROUNDDOWN(IF(ISBLANK($AW422),$AV422,$AW422),IF($D$4="Forint",0,2))&gt;$AR422+$AT422-$AU422-IF($D$4="Forint",Paraméterek!$J$114,Paraméterek!$K$114),0,ROUNDDOWN(IF(ISBLANK($AW422),$AV422,$AW422),IF($D$4="Forint",0,2))-$AX422)</f>
        <v>0</v>
      </c>
      <c r="AZ422" s="13">
        <f t="shared" si="99"/>
        <v>0</v>
      </c>
    </row>
    <row r="423" spans="1:52" x14ac:dyDescent="0.2">
      <c r="A423" s="32">
        <v>404</v>
      </c>
      <c r="B423" s="32">
        <v>34</v>
      </c>
      <c r="C423" s="32">
        <v>8</v>
      </c>
      <c r="D423" s="13">
        <f t="shared" si="90"/>
        <v>0</v>
      </c>
      <c r="E423" s="13"/>
      <c r="F423" s="13"/>
      <c r="G423" s="13"/>
      <c r="H423" s="13">
        <f t="shared" si="91"/>
        <v>0</v>
      </c>
      <c r="I423" s="13">
        <f t="shared" si="92"/>
        <v>0</v>
      </c>
      <c r="J423" s="13">
        <f t="shared" si="93"/>
        <v>0</v>
      </c>
      <c r="K423" s="13">
        <f>ROUNDUP(IF($D$2="Egyszeri",$D423,IF($D$2="Havi",SUM($D$20:$D$31),IF(MOD($C423,$M$1)-1=0,SUM($D$20:$D$31),0))/12*$M$1)*VLOOKUP($B423,Paraméterek!$B$27:$D$30,IF($D$2="Egyszeri",3,2)),IF($D$4="Forint",0,2))</f>
        <v>0</v>
      </c>
      <c r="L423" s="13">
        <f t="shared" si="94"/>
        <v>0</v>
      </c>
      <c r="M423" s="13">
        <f t="shared" ca="1" si="100"/>
        <v>-261512</v>
      </c>
      <c r="N423" s="13">
        <f ca="1">IF($V422&gt;=VLOOKUP($M$4-1+$B423,Paraméterek!$B$121:$D$122,IF($D$4="Forint",2,3)),0,VLOOKUP($M$4-1+$B423,Paraméterek!$B$121:$D$122,IF($D$4="Forint",2,3))-$V422)</f>
        <v>271512</v>
      </c>
      <c r="O423" s="13">
        <f ca="1">ROUNDUP($N423*Paraméterek!$C$58/Paraméterek!$C$56,IF($D$4="Forint",0,2))</f>
        <v>44</v>
      </c>
      <c r="P423" s="13">
        <f t="shared" si="95"/>
        <v>1459</v>
      </c>
      <c r="Q423" s="33"/>
      <c r="R423" s="13">
        <f t="shared" ca="1" si="96"/>
        <v>0</v>
      </c>
      <c r="S423" s="13">
        <f ca="1">ROUNDUP(($M423-$O423-$P423+$R423)*VLOOKUP($B423,Paraméterek!$B$38:$D$39,IF($D$2="Egyszeri",3,2))/12,IF($D$4="Forint",0,2))</f>
        <v>-643</v>
      </c>
      <c r="T423" s="13"/>
      <c r="U423" s="13"/>
      <c r="V423" s="13">
        <f ca="1">$M423-$O423-$P423+$R423-$S423-IF(ROUNDUP(IF(ISBLANK($U423),$T423,$U423)/IF(AND($B423=1,$D$2&lt;&gt;"Egyszeri"),1,VLOOKUP($B423+IF($C423=12,1,0),Paraméterek!$B$257:$D$267,IF($D$2="Egyszeri",3,2))),IF($D$4="Forint",0,2))&gt;$M423-$O423-$P423+$R423-$S423-IF($D$4="Forint",Paraméterek!$C$216,Paraméterek!$D$216),0,ROUNDUP(IF(ISBLANK($U423),$T423,$U423)/IF(AND($B423=1,$D$2&lt;&gt;"Egyszeri"),1,VLOOKUP($B423+IF($C423=12,1,0),Paraméterek!$B$257:$D$267,IF($D$2="Egyszeri",3,2))),IF($D$4="Forint",0,2)))</f>
        <v>-262372</v>
      </c>
      <c r="W423" s="13">
        <f ca="1">ROUNDDOWN($V423*VLOOKUP($B423+IF($C423=12,1,0),Paraméterek!$B$257:$D$267,IF($D$2="Egyszeri",3,2)),IF($D$4="Forint",0,2))</f>
        <v>-262372</v>
      </c>
      <c r="Y423" s="32">
        <v>404</v>
      </c>
      <c r="Z423" s="32">
        <v>34</v>
      </c>
      <c r="AA423" s="32">
        <v>8</v>
      </c>
      <c r="AB423" s="13">
        <f t="shared" si="101"/>
        <v>0</v>
      </c>
      <c r="AC423" s="33"/>
      <c r="AD423" s="13">
        <f t="shared" si="97"/>
        <v>0</v>
      </c>
      <c r="AE423" s="13">
        <f>ROUNDUP(($AB423+$AD423)*VLOOKUP($Z423,Paraméterek!$P$38:$Q$38,2)/12,IF($D$4="Forint",0,2))</f>
        <v>0</v>
      </c>
      <c r="AF423" s="13">
        <f>IF($D$2="Egyszeri",IF($D$7&gt;=IF($D$4="Forint",Paraméterek!$P$223,Paraméterek!$P$224),$D$7-IF($D$4="Forint",Paraméterek!$F$223,Paraméterek!$F$224),0),MIN(IF($AA423=12,AVERAGE($D$20:$D423)*12,0),SUM($D$20:$D$31)))</f>
        <v>0</v>
      </c>
      <c r="AG423" s="13">
        <f>IF(AND($Z423&gt;=10,MOD($Z423,5)=0),$AF423*IF($AA423=12,VLOOKUP($Z423,Paraméterek!$B$225:$F$240,IF($AF423&lt;IF($D$4="Forint",Paraméterek!$C$223,Paraméterek!$C$224),2,IF($AF423&lt;IF($D$4="Forint",Paraméterek!$D$223,Paraméterek!$D$224),3,4))),0),0)</f>
        <v>0</v>
      </c>
      <c r="AH423" s="13">
        <f>IF(AND($Z423&gt;=5,MOD($Z423,5)=0),IF($AA423=12,VLOOKUP($Z423,Paraméterek!$B$225:$F$240,5),0),IF(OR($Z423=3,$Z423=4),IF($AA423=12,VLOOKUP($Z423,Paraméterek!$B$225:$F$240,5,0),0),0))*$AF423</f>
        <v>0</v>
      </c>
      <c r="AI423" s="13">
        <f>ROUNDDOWN(IF(SUM($T$20:$U423)=0,IF($D$2="Egyszeri",$AH423,$AG423),0),IF($D$4="Forint",0,2))</f>
        <v>0</v>
      </c>
      <c r="AJ423" s="13">
        <f t="shared" si="102"/>
        <v>0</v>
      </c>
      <c r="AK423" s="13">
        <f t="shared" si="103"/>
        <v>0</v>
      </c>
      <c r="AM423" s="32">
        <v>404</v>
      </c>
      <c r="AN423" s="32">
        <v>34</v>
      </c>
      <c r="AO423" s="32">
        <v>8</v>
      </c>
      <c r="AP423" s="13"/>
      <c r="AQ423" s="32"/>
      <c r="AR423" s="13">
        <f t="shared" si="104"/>
        <v>0</v>
      </c>
      <c r="AS423" s="33"/>
      <c r="AT423" s="13">
        <f t="shared" si="98"/>
        <v>0</v>
      </c>
      <c r="AU423" s="13">
        <f>ROUNDUP(($AR423+$AT423)*VLOOKUP($AN423,Paraméterek!$P$38:$Q$38,2)/12,IF($D$4="Forint",0,2))</f>
        <v>0</v>
      </c>
      <c r="AV423" s="13"/>
      <c r="AW423" s="13"/>
      <c r="AX423" s="13">
        <f>ROUNDUP(IF(SUM($AV423:$AW423)=0,0,IF(IF(ISBLANK($AW423),$AV423,$AW423)*Paraméterek!$J$112&lt;IF($D$4="Forint",Paraméterek!$J$113,Paraméterek!$K$113),IF($D$4="Forint",Paraméterek!$J$113,Paraméterek!$K$113),IF(IF(ISBLANK($AW423),$AV423,$AW423)*Paraméterek!$J$112&gt;IF($D$4="Forint",Paraméterek!$J$114,Paraméterek!$K$114),IF($D$4="Forint",Paraméterek!$J$114,Paraméterek!$K$114),IF(ISBLANK($AW423),$AV423,$AW423)*Paraméterek!$J$112))),IF($D$4="Forint",0,2))</f>
        <v>0</v>
      </c>
      <c r="AY423" s="13">
        <f>$AR423+$AT423-$AU423-IF(ROUNDDOWN(IF(ISBLANK($AW423),$AV423,$AW423),IF($D$4="Forint",0,2))&gt;$AR423+$AT423-$AU423-IF($D$4="Forint",Paraméterek!$J$114,Paraméterek!$K$114),0,ROUNDDOWN(IF(ISBLANK($AW423),$AV423,$AW423),IF($D$4="Forint",0,2))-$AX423)</f>
        <v>0</v>
      </c>
      <c r="AZ423" s="13">
        <f t="shared" si="99"/>
        <v>0</v>
      </c>
    </row>
    <row r="424" spans="1:52" x14ac:dyDescent="0.2">
      <c r="A424" s="32">
        <v>405</v>
      </c>
      <c r="B424" s="32">
        <v>34</v>
      </c>
      <c r="C424" s="32">
        <v>9</v>
      </c>
      <c r="D424" s="13">
        <f t="shared" si="90"/>
        <v>0</v>
      </c>
      <c r="E424" s="13"/>
      <c r="F424" s="13"/>
      <c r="G424" s="13"/>
      <c r="H424" s="13">
        <f t="shared" si="91"/>
        <v>0</v>
      </c>
      <c r="I424" s="13">
        <f t="shared" si="92"/>
        <v>0</v>
      </c>
      <c r="J424" s="13">
        <f t="shared" si="93"/>
        <v>0</v>
      </c>
      <c r="K424" s="13">
        <f>ROUNDUP(IF($D$2="Egyszeri",$D424,IF($D$2="Havi",SUM($D$20:$D$31),IF(MOD($C424,$M$1)-1=0,SUM($D$20:$D$31),0))/12*$M$1)*VLOOKUP($B424,Paraméterek!$B$27:$D$30,IF($D$2="Egyszeri",3,2)),IF($D$4="Forint",0,2))</f>
        <v>0</v>
      </c>
      <c r="L424" s="13">
        <f t="shared" si="94"/>
        <v>0</v>
      </c>
      <c r="M424" s="13">
        <f t="shared" ca="1" si="100"/>
        <v>-262372</v>
      </c>
      <c r="N424" s="13">
        <f ca="1">IF($V423&gt;=VLOOKUP($M$4-1+$B424,Paraméterek!$B$121:$D$122,IF($D$4="Forint",2,3)),0,VLOOKUP($M$4-1+$B424,Paraméterek!$B$121:$D$122,IF($D$4="Forint",2,3))-$V423)</f>
        <v>272372</v>
      </c>
      <c r="O424" s="13">
        <f ca="1">ROUNDUP($N424*Paraméterek!$C$58/Paraméterek!$C$56,IF($D$4="Forint",0,2))</f>
        <v>44</v>
      </c>
      <c r="P424" s="13">
        <f t="shared" si="95"/>
        <v>1459</v>
      </c>
      <c r="Q424" s="33"/>
      <c r="R424" s="13">
        <f t="shared" ca="1" si="96"/>
        <v>0</v>
      </c>
      <c r="S424" s="13">
        <f ca="1">ROUNDUP(($M424-$O424-$P424+$R424)*VLOOKUP($B424,Paraméterek!$B$38:$D$39,IF($D$2="Egyszeri",3,2))/12,IF($D$4="Forint",0,2))</f>
        <v>-645</v>
      </c>
      <c r="T424" s="13"/>
      <c r="U424" s="13"/>
      <c r="V424" s="13">
        <f ca="1">$M424-$O424-$P424+$R424-$S424-IF(ROUNDUP(IF(ISBLANK($U424),$T424,$U424)/IF(AND($B424=1,$D$2&lt;&gt;"Egyszeri"),1,VLOOKUP($B424+IF($C424=12,1,0),Paraméterek!$B$257:$D$267,IF($D$2="Egyszeri",3,2))),IF($D$4="Forint",0,2))&gt;$M424-$O424-$P424+$R424-$S424-IF($D$4="Forint",Paraméterek!$C$216,Paraméterek!$D$216),0,ROUNDUP(IF(ISBLANK($U424),$T424,$U424)/IF(AND($B424=1,$D$2&lt;&gt;"Egyszeri"),1,VLOOKUP($B424+IF($C424=12,1,0),Paraméterek!$B$257:$D$267,IF($D$2="Egyszeri",3,2))),IF($D$4="Forint",0,2)))</f>
        <v>-263230</v>
      </c>
      <c r="W424" s="13">
        <f ca="1">ROUNDDOWN($V424*VLOOKUP($B424+IF($C424=12,1,0),Paraméterek!$B$257:$D$267,IF($D$2="Egyszeri",3,2)),IF($D$4="Forint",0,2))</f>
        <v>-263230</v>
      </c>
      <c r="Y424" s="32">
        <v>405</v>
      </c>
      <c r="Z424" s="32">
        <v>34</v>
      </c>
      <c r="AA424" s="32">
        <v>9</v>
      </c>
      <c r="AB424" s="13">
        <f t="shared" si="101"/>
        <v>0</v>
      </c>
      <c r="AC424" s="33"/>
      <c r="AD424" s="13">
        <f t="shared" si="97"/>
        <v>0</v>
      </c>
      <c r="AE424" s="13">
        <f>ROUNDUP(($AB424+$AD424)*VLOOKUP($Z424,Paraméterek!$P$38:$Q$38,2)/12,IF($D$4="Forint",0,2))</f>
        <v>0</v>
      </c>
      <c r="AF424" s="13">
        <f>IF($D$2="Egyszeri",IF($D$7&gt;=IF($D$4="Forint",Paraméterek!$P$223,Paraméterek!$P$224),$D$7-IF($D$4="Forint",Paraméterek!$F$223,Paraméterek!$F$224),0),MIN(IF($AA424=12,AVERAGE($D$20:$D424)*12,0),SUM($D$20:$D$31)))</f>
        <v>0</v>
      </c>
      <c r="AG424" s="13">
        <f>IF(AND($Z424&gt;=10,MOD($Z424,5)=0),$AF424*IF($AA424=12,VLOOKUP($Z424,Paraméterek!$B$225:$F$240,IF($AF424&lt;IF($D$4="Forint",Paraméterek!$C$223,Paraméterek!$C$224),2,IF($AF424&lt;IF($D$4="Forint",Paraméterek!$D$223,Paraméterek!$D$224),3,4))),0),0)</f>
        <v>0</v>
      </c>
      <c r="AH424" s="13">
        <f>IF(AND($Z424&gt;=5,MOD($Z424,5)=0),IF($AA424=12,VLOOKUP($Z424,Paraméterek!$B$225:$F$240,5),0),IF(OR($Z424=3,$Z424=4),IF($AA424=12,VLOOKUP($Z424,Paraméterek!$B$225:$F$240,5,0),0),0))*$AF424</f>
        <v>0</v>
      </c>
      <c r="AI424" s="13">
        <f>ROUNDDOWN(IF(SUM($T$20:$U424)=0,IF($D$2="Egyszeri",$AH424,$AG424),0),IF($D$4="Forint",0,2))</f>
        <v>0</v>
      </c>
      <c r="AJ424" s="13">
        <f t="shared" si="102"/>
        <v>0</v>
      </c>
      <c r="AK424" s="13">
        <f t="shared" si="103"/>
        <v>0</v>
      </c>
      <c r="AM424" s="32">
        <v>405</v>
      </c>
      <c r="AN424" s="32">
        <v>34</v>
      </c>
      <c r="AO424" s="32">
        <v>9</v>
      </c>
      <c r="AP424" s="13"/>
      <c r="AQ424" s="32"/>
      <c r="AR424" s="13">
        <f t="shared" si="104"/>
        <v>0</v>
      </c>
      <c r="AS424" s="33"/>
      <c r="AT424" s="13">
        <f t="shared" si="98"/>
        <v>0</v>
      </c>
      <c r="AU424" s="13">
        <f>ROUNDUP(($AR424+$AT424)*VLOOKUP($AN424,Paraméterek!$P$38:$Q$38,2)/12,IF($D$4="Forint",0,2))</f>
        <v>0</v>
      </c>
      <c r="AV424" s="13"/>
      <c r="AW424" s="13"/>
      <c r="AX424" s="13">
        <f>ROUNDUP(IF(SUM($AV424:$AW424)=0,0,IF(IF(ISBLANK($AW424),$AV424,$AW424)*Paraméterek!$J$112&lt;IF($D$4="Forint",Paraméterek!$J$113,Paraméterek!$K$113),IF($D$4="Forint",Paraméterek!$J$113,Paraméterek!$K$113),IF(IF(ISBLANK($AW424),$AV424,$AW424)*Paraméterek!$J$112&gt;IF($D$4="Forint",Paraméterek!$J$114,Paraméterek!$K$114),IF($D$4="Forint",Paraméterek!$J$114,Paraméterek!$K$114),IF(ISBLANK($AW424),$AV424,$AW424)*Paraméterek!$J$112))),IF($D$4="Forint",0,2))</f>
        <v>0</v>
      </c>
      <c r="AY424" s="13">
        <f>$AR424+$AT424-$AU424-IF(ROUNDDOWN(IF(ISBLANK($AW424),$AV424,$AW424),IF($D$4="Forint",0,2))&gt;$AR424+$AT424-$AU424-IF($D$4="Forint",Paraméterek!$J$114,Paraméterek!$K$114),0,ROUNDDOWN(IF(ISBLANK($AW424),$AV424,$AW424),IF($D$4="Forint",0,2))-$AX424)</f>
        <v>0</v>
      </c>
      <c r="AZ424" s="13">
        <f t="shared" si="99"/>
        <v>0</v>
      </c>
    </row>
    <row r="425" spans="1:52" x14ac:dyDescent="0.2">
      <c r="A425" s="32">
        <v>406</v>
      </c>
      <c r="B425" s="32">
        <v>34</v>
      </c>
      <c r="C425" s="32">
        <v>10</v>
      </c>
      <c r="D425" s="13">
        <f t="shared" si="90"/>
        <v>0</v>
      </c>
      <c r="E425" s="13"/>
      <c r="F425" s="13"/>
      <c r="G425" s="13"/>
      <c r="H425" s="13">
        <f t="shared" si="91"/>
        <v>0</v>
      </c>
      <c r="I425" s="13">
        <f t="shared" si="92"/>
        <v>0</v>
      </c>
      <c r="J425" s="13">
        <f t="shared" si="93"/>
        <v>0</v>
      </c>
      <c r="K425" s="13">
        <f>ROUNDUP(IF($D$2="Egyszeri",$D425,IF($D$2="Havi",SUM($D$20:$D$31),IF(MOD($C425,$M$1)-1=0,SUM($D$20:$D$31),0))/12*$M$1)*VLOOKUP($B425,Paraméterek!$B$27:$D$30,IF($D$2="Egyszeri",3,2)),IF($D$4="Forint",0,2))</f>
        <v>0</v>
      </c>
      <c r="L425" s="13">
        <f t="shared" si="94"/>
        <v>0</v>
      </c>
      <c r="M425" s="13">
        <f t="shared" ca="1" si="100"/>
        <v>-263230</v>
      </c>
      <c r="N425" s="13">
        <f ca="1">IF($V424&gt;=VLOOKUP($M$4-1+$B425,Paraméterek!$B$121:$D$122,IF($D$4="Forint",2,3)),0,VLOOKUP($M$4-1+$B425,Paraméterek!$B$121:$D$122,IF($D$4="Forint",2,3))-$V424)</f>
        <v>273230</v>
      </c>
      <c r="O425" s="13">
        <f ca="1">ROUNDUP($N425*Paraméterek!$C$58/Paraméterek!$C$56,IF($D$4="Forint",0,2))</f>
        <v>44</v>
      </c>
      <c r="P425" s="13">
        <f t="shared" si="95"/>
        <v>1459</v>
      </c>
      <c r="Q425" s="33"/>
      <c r="R425" s="13">
        <f t="shared" ca="1" si="96"/>
        <v>0</v>
      </c>
      <c r="S425" s="13">
        <f ca="1">ROUNDUP(($M425-$O425-$P425+$R425)*VLOOKUP($B425,Paraméterek!$B$38:$D$39,IF($D$2="Egyszeri",3,2))/12,IF($D$4="Forint",0,2))</f>
        <v>-647</v>
      </c>
      <c r="T425" s="13"/>
      <c r="U425" s="13"/>
      <c r="V425" s="13">
        <f ca="1">$M425-$O425-$P425+$R425-$S425-IF(ROUNDUP(IF(ISBLANK($U425),$T425,$U425)/IF(AND($B425=1,$D$2&lt;&gt;"Egyszeri"),1,VLOOKUP($B425+IF($C425=12,1,0),Paraméterek!$B$257:$D$267,IF($D$2="Egyszeri",3,2))),IF($D$4="Forint",0,2))&gt;$M425-$O425-$P425+$R425-$S425-IF($D$4="Forint",Paraméterek!$C$216,Paraméterek!$D$216),0,ROUNDUP(IF(ISBLANK($U425),$T425,$U425)/IF(AND($B425=1,$D$2&lt;&gt;"Egyszeri"),1,VLOOKUP($B425+IF($C425=12,1,0),Paraméterek!$B$257:$D$267,IF($D$2="Egyszeri",3,2))),IF($D$4="Forint",0,2)))</f>
        <v>-264086</v>
      </c>
      <c r="W425" s="13">
        <f ca="1">ROUNDDOWN($V425*VLOOKUP($B425+IF($C425=12,1,0),Paraméterek!$B$257:$D$267,IF($D$2="Egyszeri",3,2)),IF($D$4="Forint",0,2))</f>
        <v>-264086</v>
      </c>
      <c r="Y425" s="32">
        <v>406</v>
      </c>
      <c r="Z425" s="32">
        <v>34</v>
      </c>
      <c r="AA425" s="32">
        <v>10</v>
      </c>
      <c r="AB425" s="13">
        <f t="shared" si="101"/>
        <v>0</v>
      </c>
      <c r="AC425" s="33"/>
      <c r="AD425" s="13">
        <f t="shared" si="97"/>
        <v>0</v>
      </c>
      <c r="AE425" s="13">
        <f>ROUNDUP(($AB425+$AD425)*VLOOKUP($Z425,Paraméterek!$P$38:$Q$38,2)/12,IF($D$4="Forint",0,2))</f>
        <v>0</v>
      </c>
      <c r="AF425" s="13">
        <f>IF($D$2="Egyszeri",IF($D$7&gt;=IF($D$4="Forint",Paraméterek!$P$223,Paraméterek!$P$224),$D$7-IF($D$4="Forint",Paraméterek!$F$223,Paraméterek!$F$224),0),MIN(IF($AA425=12,AVERAGE($D$20:$D425)*12,0),SUM($D$20:$D$31)))</f>
        <v>0</v>
      </c>
      <c r="AG425" s="13">
        <f>IF(AND($Z425&gt;=10,MOD($Z425,5)=0),$AF425*IF($AA425=12,VLOOKUP($Z425,Paraméterek!$B$225:$F$240,IF($AF425&lt;IF($D$4="Forint",Paraméterek!$C$223,Paraméterek!$C$224),2,IF($AF425&lt;IF($D$4="Forint",Paraméterek!$D$223,Paraméterek!$D$224),3,4))),0),0)</f>
        <v>0</v>
      </c>
      <c r="AH425" s="13">
        <f>IF(AND($Z425&gt;=5,MOD($Z425,5)=0),IF($AA425=12,VLOOKUP($Z425,Paraméterek!$B$225:$F$240,5),0),IF(OR($Z425=3,$Z425=4),IF($AA425=12,VLOOKUP($Z425,Paraméterek!$B$225:$F$240,5,0),0),0))*$AF425</f>
        <v>0</v>
      </c>
      <c r="AI425" s="13">
        <f>ROUNDDOWN(IF(SUM($T$20:$U425)=0,IF($D$2="Egyszeri",$AH425,$AG425),0),IF($D$4="Forint",0,2))</f>
        <v>0</v>
      </c>
      <c r="AJ425" s="13">
        <f t="shared" si="102"/>
        <v>0</v>
      </c>
      <c r="AK425" s="13">
        <f t="shared" si="103"/>
        <v>0</v>
      </c>
      <c r="AM425" s="32">
        <v>406</v>
      </c>
      <c r="AN425" s="32">
        <v>34</v>
      </c>
      <c r="AO425" s="32">
        <v>10</v>
      </c>
      <c r="AP425" s="13"/>
      <c r="AQ425" s="32"/>
      <c r="AR425" s="13">
        <f t="shared" si="104"/>
        <v>0</v>
      </c>
      <c r="AS425" s="33"/>
      <c r="AT425" s="13">
        <f t="shared" si="98"/>
        <v>0</v>
      </c>
      <c r="AU425" s="13">
        <f>ROUNDUP(($AR425+$AT425)*VLOOKUP($AN425,Paraméterek!$P$38:$Q$38,2)/12,IF($D$4="Forint",0,2))</f>
        <v>0</v>
      </c>
      <c r="AV425" s="13"/>
      <c r="AW425" s="13"/>
      <c r="AX425" s="13">
        <f>ROUNDUP(IF(SUM($AV425:$AW425)=0,0,IF(IF(ISBLANK($AW425),$AV425,$AW425)*Paraméterek!$J$112&lt;IF($D$4="Forint",Paraméterek!$J$113,Paraméterek!$K$113),IF($D$4="Forint",Paraméterek!$J$113,Paraméterek!$K$113),IF(IF(ISBLANK($AW425),$AV425,$AW425)*Paraméterek!$J$112&gt;IF($D$4="Forint",Paraméterek!$J$114,Paraméterek!$K$114),IF($D$4="Forint",Paraméterek!$J$114,Paraméterek!$K$114),IF(ISBLANK($AW425),$AV425,$AW425)*Paraméterek!$J$112))),IF($D$4="Forint",0,2))</f>
        <v>0</v>
      </c>
      <c r="AY425" s="13">
        <f>$AR425+$AT425-$AU425-IF(ROUNDDOWN(IF(ISBLANK($AW425),$AV425,$AW425),IF($D$4="Forint",0,2))&gt;$AR425+$AT425-$AU425-IF($D$4="Forint",Paraméterek!$J$114,Paraméterek!$K$114),0,ROUNDDOWN(IF(ISBLANK($AW425),$AV425,$AW425),IF($D$4="Forint",0,2))-$AX425)</f>
        <v>0</v>
      </c>
      <c r="AZ425" s="13">
        <f t="shared" si="99"/>
        <v>0</v>
      </c>
    </row>
    <row r="426" spans="1:52" x14ac:dyDescent="0.2">
      <c r="A426" s="32">
        <v>407</v>
      </c>
      <c r="B426" s="32">
        <v>34</v>
      </c>
      <c r="C426" s="32">
        <v>11</v>
      </c>
      <c r="D426" s="13">
        <f t="shared" si="90"/>
        <v>0</v>
      </c>
      <c r="E426" s="13"/>
      <c r="F426" s="13"/>
      <c r="G426" s="13"/>
      <c r="H426" s="13">
        <f t="shared" si="91"/>
        <v>0</v>
      </c>
      <c r="I426" s="13">
        <f t="shared" si="92"/>
        <v>0</v>
      </c>
      <c r="J426" s="13">
        <f t="shared" si="93"/>
        <v>0</v>
      </c>
      <c r="K426" s="13">
        <f>ROUNDUP(IF($D$2="Egyszeri",$D426,IF($D$2="Havi",SUM($D$20:$D$31),IF(MOD($C426,$M$1)-1=0,SUM($D$20:$D$31),0))/12*$M$1)*VLOOKUP($B426,Paraméterek!$B$27:$D$30,IF($D$2="Egyszeri",3,2)),IF($D$4="Forint",0,2))</f>
        <v>0</v>
      </c>
      <c r="L426" s="13">
        <f t="shared" si="94"/>
        <v>0</v>
      </c>
      <c r="M426" s="13">
        <f t="shared" ca="1" si="100"/>
        <v>-264086</v>
      </c>
      <c r="N426" s="13">
        <f ca="1">IF($V425&gt;=VLOOKUP($M$4-1+$B426,Paraméterek!$B$121:$D$122,IF($D$4="Forint",2,3)),0,VLOOKUP($M$4-1+$B426,Paraméterek!$B$121:$D$122,IF($D$4="Forint",2,3))-$V425)</f>
        <v>274086</v>
      </c>
      <c r="O426" s="13">
        <f ca="1">ROUNDUP($N426*Paraméterek!$C$58/Paraméterek!$C$56,IF($D$4="Forint",0,2))</f>
        <v>44</v>
      </c>
      <c r="P426" s="13">
        <f t="shared" si="95"/>
        <v>1459</v>
      </c>
      <c r="Q426" s="33"/>
      <c r="R426" s="13">
        <f t="shared" ca="1" si="96"/>
        <v>0</v>
      </c>
      <c r="S426" s="13">
        <f ca="1">ROUNDUP(($M426-$O426-$P426+$R426)*VLOOKUP($B426,Paraméterek!$B$38:$D$39,IF($D$2="Egyszeri",3,2))/12,IF($D$4="Forint",0,2))</f>
        <v>-649</v>
      </c>
      <c r="T426" s="13"/>
      <c r="U426" s="13"/>
      <c r="V426" s="13">
        <f ca="1">$M426-$O426-$P426+$R426-$S426-IF(ROUNDUP(IF(ISBLANK($U426),$T426,$U426)/IF(AND($B426=1,$D$2&lt;&gt;"Egyszeri"),1,VLOOKUP($B426+IF($C426=12,1,0),Paraméterek!$B$257:$D$267,IF($D$2="Egyszeri",3,2))),IF($D$4="Forint",0,2))&gt;$M426-$O426-$P426+$R426-$S426-IF($D$4="Forint",Paraméterek!$C$216,Paraméterek!$D$216),0,ROUNDUP(IF(ISBLANK($U426),$T426,$U426)/IF(AND($B426=1,$D$2&lt;&gt;"Egyszeri"),1,VLOOKUP($B426+IF($C426=12,1,0),Paraméterek!$B$257:$D$267,IF($D$2="Egyszeri",3,2))),IF($D$4="Forint",0,2)))</f>
        <v>-264940</v>
      </c>
      <c r="W426" s="13">
        <f ca="1">ROUNDDOWN($V426*VLOOKUP($B426+IF($C426=12,1,0),Paraméterek!$B$257:$D$267,IF($D$2="Egyszeri",3,2)),IF($D$4="Forint",0,2))</f>
        <v>-264940</v>
      </c>
      <c r="Y426" s="32">
        <v>407</v>
      </c>
      <c r="Z426" s="32">
        <v>34</v>
      </c>
      <c r="AA426" s="32">
        <v>11</v>
      </c>
      <c r="AB426" s="13">
        <f t="shared" si="101"/>
        <v>0</v>
      </c>
      <c r="AC426" s="33"/>
      <c r="AD426" s="13">
        <f t="shared" si="97"/>
        <v>0</v>
      </c>
      <c r="AE426" s="13">
        <f>ROUNDUP(($AB426+$AD426)*VLOOKUP($Z426,Paraméterek!$P$38:$Q$38,2)/12,IF($D$4="Forint",0,2))</f>
        <v>0</v>
      </c>
      <c r="AF426" s="13">
        <f>IF($D$2="Egyszeri",IF($D$7&gt;=IF($D$4="Forint",Paraméterek!$P$223,Paraméterek!$P$224),$D$7-IF($D$4="Forint",Paraméterek!$F$223,Paraméterek!$F$224),0),MIN(IF($AA426=12,AVERAGE($D$20:$D426)*12,0),SUM($D$20:$D$31)))</f>
        <v>0</v>
      </c>
      <c r="AG426" s="13">
        <f>IF(AND($Z426&gt;=10,MOD($Z426,5)=0),$AF426*IF($AA426=12,VLOOKUP($Z426,Paraméterek!$B$225:$F$240,IF($AF426&lt;IF($D$4="Forint",Paraméterek!$C$223,Paraméterek!$C$224),2,IF($AF426&lt;IF($D$4="Forint",Paraméterek!$D$223,Paraméterek!$D$224),3,4))),0),0)</f>
        <v>0</v>
      </c>
      <c r="AH426" s="13">
        <f>IF(AND($Z426&gt;=5,MOD($Z426,5)=0),IF($AA426=12,VLOOKUP($Z426,Paraméterek!$B$225:$F$240,5),0),IF(OR($Z426=3,$Z426=4),IF($AA426=12,VLOOKUP($Z426,Paraméterek!$B$225:$F$240,5,0),0),0))*$AF426</f>
        <v>0</v>
      </c>
      <c r="AI426" s="13">
        <f>ROUNDDOWN(IF(SUM($T$20:$U426)=0,IF($D$2="Egyszeri",$AH426,$AG426),0),IF($D$4="Forint",0,2))</f>
        <v>0</v>
      </c>
      <c r="AJ426" s="13">
        <f t="shared" si="102"/>
        <v>0</v>
      </c>
      <c r="AK426" s="13">
        <f t="shared" si="103"/>
        <v>0</v>
      </c>
      <c r="AM426" s="32">
        <v>407</v>
      </c>
      <c r="AN426" s="32">
        <v>34</v>
      </c>
      <c r="AO426" s="32">
        <v>11</v>
      </c>
      <c r="AP426" s="13"/>
      <c r="AQ426" s="32"/>
      <c r="AR426" s="13">
        <f t="shared" si="104"/>
        <v>0</v>
      </c>
      <c r="AS426" s="33"/>
      <c r="AT426" s="13">
        <f t="shared" si="98"/>
        <v>0</v>
      </c>
      <c r="AU426" s="13">
        <f>ROUNDUP(($AR426+$AT426)*VLOOKUP($AN426,Paraméterek!$P$38:$Q$38,2)/12,IF($D$4="Forint",0,2))</f>
        <v>0</v>
      </c>
      <c r="AV426" s="13"/>
      <c r="AW426" s="13"/>
      <c r="AX426" s="13">
        <f>ROUNDUP(IF(SUM($AV426:$AW426)=0,0,IF(IF(ISBLANK($AW426),$AV426,$AW426)*Paraméterek!$J$112&lt;IF($D$4="Forint",Paraméterek!$J$113,Paraméterek!$K$113),IF($D$4="Forint",Paraméterek!$J$113,Paraméterek!$K$113),IF(IF(ISBLANK($AW426),$AV426,$AW426)*Paraméterek!$J$112&gt;IF($D$4="Forint",Paraméterek!$J$114,Paraméterek!$K$114),IF($D$4="Forint",Paraméterek!$J$114,Paraméterek!$K$114),IF(ISBLANK($AW426),$AV426,$AW426)*Paraméterek!$J$112))),IF($D$4="Forint",0,2))</f>
        <v>0</v>
      </c>
      <c r="AY426" s="13">
        <f>$AR426+$AT426-$AU426-IF(ROUNDDOWN(IF(ISBLANK($AW426),$AV426,$AW426),IF($D$4="Forint",0,2))&gt;$AR426+$AT426-$AU426-IF($D$4="Forint",Paraméterek!$J$114,Paraméterek!$K$114),0,ROUNDDOWN(IF(ISBLANK($AW426),$AV426,$AW426),IF($D$4="Forint",0,2))-$AX426)</f>
        <v>0</v>
      </c>
      <c r="AZ426" s="13">
        <f t="shared" si="99"/>
        <v>0</v>
      </c>
    </row>
    <row r="427" spans="1:52" x14ac:dyDescent="0.2">
      <c r="A427" s="32">
        <v>408</v>
      </c>
      <c r="B427" s="32">
        <v>34</v>
      </c>
      <c r="C427" s="32">
        <v>12</v>
      </c>
      <c r="D427" s="13">
        <f t="shared" si="90"/>
        <v>0</v>
      </c>
      <c r="E427" s="13"/>
      <c r="F427" s="13"/>
      <c r="G427" s="13"/>
      <c r="H427" s="13">
        <f t="shared" si="91"/>
        <v>0</v>
      </c>
      <c r="I427" s="13">
        <f t="shared" si="92"/>
        <v>0</v>
      </c>
      <c r="J427" s="13">
        <f t="shared" si="93"/>
        <v>0</v>
      </c>
      <c r="K427" s="13">
        <f>ROUNDUP(IF($D$2="Egyszeri",$D427,IF($D$2="Havi",SUM($D$20:$D$31),IF(MOD($C427,$M$1)-1=0,SUM($D$20:$D$31),0))/12*$M$1)*VLOOKUP($B427,Paraméterek!$B$27:$D$30,IF($D$2="Egyszeri",3,2)),IF($D$4="Forint",0,2))</f>
        <v>0</v>
      </c>
      <c r="L427" s="13">
        <f t="shared" si="94"/>
        <v>0</v>
      </c>
      <c r="M427" s="13">
        <f t="shared" ca="1" si="100"/>
        <v>-264940</v>
      </c>
      <c r="N427" s="13">
        <f ca="1">IF($V426&gt;=VLOOKUP($M$4-1+$B427,Paraméterek!$B$121:$D$122,IF($D$4="Forint",2,3)),0,VLOOKUP($M$4-1+$B427,Paraméterek!$B$121:$D$122,IF($D$4="Forint",2,3))-$V426)</f>
        <v>274940</v>
      </c>
      <c r="O427" s="13">
        <f ca="1">ROUNDUP($N427*Paraméterek!$C$58/Paraméterek!$C$56,IF($D$4="Forint",0,2))</f>
        <v>44</v>
      </c>
      <c r="P427" s="13">
        <f t="shared" si="95"/>
        <v>1459</v>
      </c>
      <c r="Q427" s="33"/>
      <c r="R427" s="13">
        <f t="shared" ca="1" si="96"/>
        <v>0</v>
      </c>
      <c r="S427" s="13">
        <f ca="1">ROUNDUP(($M427-$O427-$P427+$R427)*VLOOKUP($B427,Paraméterek!$B$38:$D$39,IF($D$2="Egyszeri",3,2))/12,IF($D$4="Forint",0,2))</f>
        <v>-651</v>
      </c>
      <c r="T427" s="13">
        <f>Tranzakciók!$F$65</f>
        <v>0</v>
      </c>
      <c r="U427" s="13"/>
      <c r="V427" s="13">
        <f ca="1">$M427-$O427-$P427+$R427-$S427-IF(ROUNDUP(IF(ISBLANK($U427),$T427,$U427)/IF(AND($B427=1,$D$2&lt;&gt;"Egyszeri"),1,VLOOKUP($B427+IF($C427=12,1,0),Paraméterek!$B$257:$D$267,IF($D$2="Egyszeri",3,2))),IF($D$4="Forint",0,2))&gt;$M427-$O427-$P427+$R427-$S427-IF($D$4="Forint",Paraméterek!$C$216,Paraméterek!$D$216),0,ROUNDUP(IF(ISBLANK($U427),$T427,$U427)/IF(AND($B427=1,$D$2&lt;&gt;"Egyszeri"),1,VLOOKUP($B427+IF($C427=12,1,0),Paraméterek!$B$257:$D$267,IF($D$2="Egyszeri",3,2))),IF($D$4="Forint",0,2)))</f>
        <v>-265792</v>
      </c>
      <c r="W427" s="13">
        <f ca="1">ROUNDDOWN($V427*VLOOKUP($B427+IF($C427=12,1,0),Paraméterek!$B$257:$D$267,IF($D$2="Egyszeri",3,2)),IF($D$4="Forint",0,2))</f>
        <v>-265792</v>
      </c>
      <c r="Y427" s="32">
        <v>408</v>
      </c>
      <c r="Z427" s="32">
        <v>34</v>
      </c>
      <c r="AA427" s="32">
        <v>12</v>
      </c>
      <c r="AB427" s="13">
        <f t="shared" si="101"/>
        <v>0</v>
      </c>
      <c r="AC427" s="33"/>
      <c r="AD427" s="13">
        <f t="shared" si="97"/>
        <v>0</v>
      </c>
      <c r="AE427" s="13">
        <f>ROUNDUP(($AB427+$AD427)*VLOOKUP($Z427,Paraméterek!$P$38:$Q$38,2)/12,IF($D$4="Forint",0,2))</f>
        <v>0</v>
      </c>
      <c r="AF427" s="13">
        <f>IF($D$2="Egyszeri",IF($D$7&gt;=IF($D$4="Forint",Paraméterek!$P$223,Paraméterek!$P$224),$D$7-IF($D$4="Forint",Paraméterek!$F$223,Paraméterek!$F$224),0),MIN(IF($AA427=12,AVERAGE($D$20:$D427)*12,0),SUM($D$20:$D$31)))</f>
        <v>0</v>
      </c>
      <c r="AG427" s="13">
        <f>IF(AND($Z427&gt;=10,MOD($Z427,5)=0),$AF427*IF($AA427=12,VLOOKUP($Z427,Paraméterek!$B$225:$F$240,IF($AF427&lt;IF($D$4="Forint",Paraméterek!$C$223,Paraméterek!$C$224),2,IF($AF427&lt;IF($D$4="Forint",Paraméterek!$D$223,Paraméterek!$D$224),3,4))),0),0)</f>
        <v>0</v>
      </c>
      <c r="AH427" s="13">
        <f>IF(AND($Z427&gt;=5,MOD($Z427,5)=0),IF($AA427=12,VLOOKUP($Z427,Paraméterek!$B$225:$F$240,5),0),IF(OR($Z427=3,$Z427=4),IF($AA427=12,VLOOKUP($Z427,Paraméterek!$B$225:$F$240,5,0),0),0))*$AF427</f>
        <v>0</v>
      </c>
      <c r="AI427" s="13">
        <f>ROUNDDOWN(IF(SUM($T$20:$U427)=0,IF($D$2="Egyszeri",$AH427,$AG427),0),IF($D$4="Forint",0,2))</f>
        <v>0</v>
      </c>
      <c r="AJ427" s="13">
        <f t="shared" si="102"/>
        <v>0</v>
      </c>
      <c r="AK427" s="13">
        <f t="shared" si="103"/>
        <v>0</v>
      </c>
      <c r="AM427" s="32">
        <v>408</v>
      </c>
      <c r="AN427" s="32">
        <v>34</v>
      </c>
      <c r="AO427" s="32">
        <v>12</v>
      </c>
      <c r="AP427" s="13"/>
      <c r="AQ427" s="32"/>
      <c r="AR427" s="13">
        <f t="shared" si="104"/>
        <v>0</v>
      </c>
      <c r="AS427" s="33"/>
      <c r="AT427" s="13">
        <f t="shared" si="98"/>
        <v>0</v>
      </c>
      <c r="AU427" s="13">
        <f>ROUNDUP(($AR427+$AT427)*VLOOKUP($AN427,Paraméterek!$P$38:$Q$38,2)/12,IF($D$4="Forint",0,2))</f>
        <v>0</v>
      </c>
      <c r="AV427" s="13">
        <f>Tranzakciók!$M$65</f>
        <v>0</v>
      </c>
      <c r="AW427" s="13"/>
      <c r="AX427" s="13">
        <f>ROUNDUP(IF(SUM($AV427:$AW427)=0,0,IF(IF(ISBLANK($AW427),$AV427,$AW427)*Paraméterek!$J$112&lt;IF($D$4="Forint",Paraméterek!$J$113,Paraméterek!$K$113),IF($D$4="Forint",Paraméterek!$J$113,Paraméterek!$K$113),IF(IF(ISBLANK($AW427),$AV427,$AW427)*Paraméterek!$J$112&gt;IF($D$4="Forint",Paraméterek!$J$114,Paraméterek!$K$114),IF($D$4="Forint",Paraméterek!$J$114,Paraméterek!$K$114),IF(ISBLANK($AW427),$AV427,$AW427)*Paraméterek!$J$112))),IF($D$4="Forint",0,2))</f>
        <v>0</v>
      </c>
      <c r="AY427" s="13">
        <f>$AR427+$AT427-$AU427-IF(ROUNDDOWN(IF(ISBLANK($AW427),$AV427,$AW427),IF($D$4="Forint",0,2))&gt;$AR427+$AT427-$AU427-IF($D$4="Forint",Paraméterek!$J$114,Paraméterek!$K$114),0,ROUNDDOWN(IF(ISBLANK($AW427),$AV427,$AW427),IF($D$4="Forint",0,2))-$AX427)</f>
        <v>0</v>
      </c>
      <c r="AZ427" s="13">
        <f t="shared" si="99"/>
        <v>0</v>
      </c>
    </row>
    <row r="428" spans="1:52" x14ac:dyDescent="0.2">
      <c r="A428" s="32">
        <v>409</v>
      </c>
      <c r="B428" s="32">
        <v>35</v>
      </c>
      <c r="C428" s="32">
        <v>1</v>
      </c>
      <c r="D428" s="13">
        <f t="shared" si="90"/>
        <v>0</v>
      </c>
      <c r="E428" s="13"/>
      <c r="F428" s="13">
        <f>Tranzakciók!$D$66</f>
        <v>0</v>
      </c>
      <c r="G428" s="13"/>
      <c r="H428" s="13">
        <f t="shared" si="91"/>
        <v>0</v>
      </c>
      <c r="I428" s="13">
        <f t="shared" si="92"/>
        <v>274</v>
      </c>
      <c r="J428" s="13">
        <f t="shared" si="93"/>
        <v>274</v>
      </c>
      <c r="K428" s="13">
        <f>ROUNDUP(IF($D$2="Egyszeri",$D428,IF($D$2="Havi",SUM($D$20:$D$31),IF(MOD($C428,$M$1)-1=0,SUM($D$20:$D$31),0))/12*$M$1)*VLOOKUP($B428,Paraméterek!$B$27:$D$30,IF($D$2="Egyszeri",3,2)),IF($D$4="Forint",0,2))</f>
        <v>0</v>
      </c>
      <c r="L428" s="13">
        <f t="shared" si="94"/>
        <v>0</v>
      </c>
      <c r="M428" s="13">
        <f t="shared" ca="1" si="100"/>
        <v>-265792</v>
      </c>
      <c r="N428" s="13">
        <f ca="1">IF($V427&gt;=VLOOKUP($M$4-1+$B428,Paraméterek!$B$121:$D$122,IF($D$4="Forint",2,3)),0,VLOOKUP($M$4-1+$B428,Paraméterek!$B$121:$D$122,IF($D$4="Forint",2,3))-$V427)</f>
        <v>275792</v>
      </c>
      <c r="O428" s="13">
        <f ca="1">ROUNDUP($N428*Paraméterek!$C$58/Paraméterek!$C$56,IF($D$4="Forint",0,2))</f>
        <v>44</v>
      </c>
      <c r="P428" s="13">
        <f t="shared" si="95"/>
        <v>1503</v>
      </c>
      <c r="Q428" s="33"/>
      <c r="R428" s="13">
        <f t="shared" ca="1" si="96"/>
        <v>0</v>
      </c>
      <c r="S428" s="13">
        <f ca="1">ROUNDUP(($M428-$O428-$P428+$R428)*VLOOKUP($B428,Paraméterek!$B$38:$D$39,IF($D$2="Egyszeri",3,2))/12,IF($D$4="Forint",0,2))</f>
        <v>-653</v>
      </c>
      <c r="T428" s="13"/>
      <c r="U428" s="13"/>
      <c r="V428" s="13">
        <f ca="1">$M428-$O428-$P428+$R428-$S428-IF(ROUNDUP(IF(ISBLANK($U428),$T428,$U428)/IF(AND($B428=1,$D$2&lt;&gt;"Egyszeri"),1,VLOOKUP($B428+IF($C428=12,1,0),Paraméterek!$B$257:$D$267,IF($D$2="Egyszeri",3,2))),IF($D$4="Forint",0,2))&gt;$M428-$O428-$P428+$R428-$S428-IF($D$4="Forint",Paraméterek!$C$216,Paraméterek!$D$216),0,ROUNDUP(IF(ISBLANK($U428),$T428,$U428)/IF(AND($B428=1,$D$2&lt;&gt;"Egyszeri"),1,VLOOKUP($B428+IF($C428=12,1,0),Paraméterek!$B$257:$D$267,IF($D$2="Egyszeri",3,2))),IF($D$4="Forint",0,2)))</f>
        <v>-266686</v>
      </c>
      <c r="W428" s="13">
        <f ca="1">ROUNDDOWN($V428*VLOOKUP($B428+IF($C428=12,1,0),Paraméterek!$B$257:$D$267,IF($D$2="Egyszeri",3,2)),IF($D$4="Forint",0,2))</f>
        <v>-266686</v>
      </c>
      <c r="Y428" s="32">
        <v>409</v>
      </c>
      <c r="Z428" s="32">
        <v>35</v>
      </c>
      <c r="AA428" s="32">
        <v>1</v>
      </c>
      <c r="AB428" s="13">
        <f t="shared" si="101"/>
        <v>0</v>
      </c>
      <c r="AC428" s="33"/>
      <c r="AD428" s="13">
        <f t="shared" si="97"/>
        <v>0</v>
      </c>
      <c r="AE428" s="13">
        <f>ROUNDUP(($AB428+$AD428)*VLOOKUP($Z428,Paraméterek!$P$38:$Q$38,2)/12,IF($D$4="Forint",0,2))</f>
        <v>0</v>
      </c>
      <c r="AF428" s="13">
        <f>IF($D$2="Egyszeri",IF($D$7&gt;=IF($D$4="Forint",Paraméterek!$P$223,Paraméterek!$P$224),$D$7-IF($D$4="Forint",Paraméterek!$F$223,Paraméterek!$F$224),0),MIN(IF($AA428=12,AVERAGE($D$20:$D428)*12,0),SUM($D$20:$D$31)))</f>
        <v>0</v>
      </c>
      <c r="AG428" s="13">
        <f>IF(AND($Z428&gt;=10,MOD($Z428,5)=0),$AF428*IF($AA428=12,VLOOKUP($Z428,Paraméterek!$B$225:$F$240,IF($AF428&lt;IF($D$4="Forint",Paraméterek!$C$223,Paraméterek!$C$224),2,IF($AF428&lt;IF($D$4="Forint",Paraméterek!$D$223,Paraméterek!$D$224),3,4))),0),0)</f>
        <v>0</v>
      </c>
      <c r="AH428" s="13">
        <f>IF(AND($Z428&gt;=5,MOD($Z428,5)=0),IF($AA428=12,VLOOKUP($Z428,Paraméterek!$B$225:$F$240,5),0),IF(OR($Z428=3,$Z428=4),IF($AA428=12,VLOOKUP($Z428,Paraméterek!$B$225:$F$240,5,0),0),0))*$AF428</f>
        <v>0</v>
      </c>
      <c r="AI428" s="13">
        <f>ROUNDDOWN(IF(SUM($T$20:$U428)=0,IF($D$2="Egyszeri",$AH428,$AG428),0),IF($D$4="Forint",0,2))</f>
        <v>0</v>
      </c>
      <c r="AJ428" s="13">
        <f t="shared" si="102"/>
        <v>0</v>
      </c>
      <c r="AK428" s="13">
        <f t="shared" si="103"/>
        <v>0</v>
      </c>
      <c r="AM428" s="32">
        <v>409</v>
      </c>
      <c r="AN428" s="32">
        <v>35</v>
      </c>
      <c r="AO428" s="32">
        <v>1</v>
      </c>
      <c r="AP428" s="13">
        <f>Tranzakciók!$K$66</f>
        <v>0</v>
      </c>
      <c r="AQ428" s="32"/>
      <c r="AR428" s="13">
        <f t="shared" si="104"/>
        <v>0</v>
      </c>
      <c r="AS428" s="33"/>
      <c r="AT428" s="13">
        <f t="shared" si="98"/>
        <v>0</v>
      </c>
      <c r="AU428" s="13">
        <f>ROUNDUP(($AR428+$AT428)*VLOOKUP($AN428,Paraméterek!$P$38:$Q$38,2)/12,IF($D$4="Forint",0,2))</f>
        <v>0</v>
      </c>
      <c r="AV428" s="13"/>
      <c r="AW428" s="13"/>
      <c r="AX428" s="13">
        <f>ROUNDUP(IF(SUM($AV428:$AW428)=0,0,IF(IF(ISBLANK($AW428),$AV428,$AW428)*Paraméterek!$J$112&lt;IF($D$4="Forint",Paraméterek!$J$113,Paraméterek!$K$113),IF($D$4="Forint",Paraméterek!$J$113,Paraméterek!$K$113),IF(IF(ISBLANK($AW428),$AV428,$AW428)*Paraméterek!$J$112&gt;IF($D$4="Forint",Paraméterek!$J$114,Paraméterek!$K$114),IF($D$4="Forint",Paraméterek!$J$114,Paraméterek!$K$114),IF(ISBLANK($AW428),$AV428,$AW428)*Paraméterek!$J$112))),IF($D$4="Forint",0,2))</f>
        <v>0</v>
      </c>
      <c r="AY428" s="13">
        <f>$AR428+$AT428-$AU428-IF(ROUNDDOWN(IF(ISBLANK($AW428),$AV428,$AW428),IF($D$4="Forint",0,2))&gt;$AR428+$AT428-$AU428-IF($D$4="Forint",Paraméterek!$J$114,Paraméterek!$K$114),0,ROUNDDOWN(IF(ISBLANK($AW428),$AV428,$AW428),IF($D$4="Forint",0,2))-$AX428)</f>
        <v>0</v>
      </c>
      <c r="AZ428" s="13">
        <f t="shared" si="99"/>
        <v>0</v>
      </c>
    </row>
    <row r="429" spans="1:52" x14ac:dyDescent="0.2">
      <c r="A429" s="32">
        <v>410</v>
      </c>
      <c r="B429" s="32">
        <v>35</v>
      </c>
      <c r="C429" s="32">
        <v>2</v>
      </c>
      <c r="D429" s="13">
        <f t="shared" si="90"/>
        <v>0</v>
      </c>
      <c r="E429" s="13"/>
      <c r="F429" s="13"/>
      <c r="G429" s="13"/>
      <c r="H429" s="13">
        <f t="shared" si="91"/>
        <v>0</v>
      </c>
      <c r="I429" s="13">
        <f t="shared" si="92"/>
        <v>0</v>
      </c>
      <c r="J429" s="13">
        <f t="shared" si="93"/>
        <v>0</v>
      </c>
      <c r="K429" s="13">
        <f>ROUNDUP(IF($D$2="Egyszeri",$D429,IF($D$2="Havi",SUM($D$20:$D$31),IF(MOD($C429,$M$1)-1=0,SUM($D$20:$D$31),0))/12*$M$1)*VLOOKUP($B429,Paraméterek!$B$27:$D$30,IF($D$2="Egyszeri",3,2)),IF($D$4="Forint",0,2))</f>
        <v>0</v>
      </c>
      <c r="L429" s="13">
        <f t="shared" si="94"/>
        <v>0</v>
      </c>
      <c r="M429" s="13">
        <f t="shared" ca="1" si="100"/>
        <v>-266686</v>
      </c>
      <c r="N429" s="13">
        <f ca="1">IF($V428&gt;=VLOOKUP($M$4-1+$B429,Paraméterek!$B$121:$D$122,IF($D$4="Forint",2,3)),0,VLOOKUP($M$4-1+$B429,Paraméterek!$B$121:$D$122,IF($D$4="Forint",2,3))-$V428)</f>
        <v>276686</v>
      </c>
      <c r="O429" s="13">
        <f ca="1">ROUNDUP($N429*Paraméterek!$C$58/Paraméterek!$C$56,IF($D$4="Forint",0,2))</f>
        <v>45</v>
      </c>
      <c r="P429" s="13">
        <f t="shared" si="95"/>
        <v>1503</v>
      </c>
      <c r="Q429" s="33"/>
      <c r="R429" s="13">
        <f t="shared" ca="1" si="96"/>
        <v>0</v>
      </c>
      <c r="S429" s="13">
        <f ca="1">ROUNDUP(($M429-$O429-$P429+$R429)*VLOOKUP($B429,Paraméterek!$B$38:$D$39,IF($D$2="Egyszeri",3,2))/12,IF($D$4="Forint",0,2))</f>
        <v>-655</v>
      </c>
      <c r="T429" s="13"/>
      <c r="U429" s="13"/>
      <c r="V429" s="13">
        <f ca="1">$M429-$O429-$P429+$R429-$S429-IF(ROUNDUP(IF(ISBLANK($U429),$T429,$U429)/IF(AND($B429=1,$D$2&lt;&gt;"Egyszeri"),1,VLOOKUP($B429+IF($C429=12,1,0),Paraméterek!$B$257:$D$267,IF($D$2="Egyszeri",3,2))),IF($D$4="Forint",0,2))&gt;$M429-$O429-$P429+$R429-$S429-IF($D$4="Forint",Paraméterek!$C$216,Paraméterek!$D$216),0,ROUNDUP(IF(ISBLANK($U429),$T429,$U429)/IF(AND($B429=1,$D$2&lt;&gt;"Egyszeri"),1,VLOOKUP($B429+IF($C429=12,1,0),Paraméterek!$B$257:$D$267,IF($D$2="Egyszeri",3,2))),IF($D$4="Forint",0,2)))</f>
        <v>-267579</v>
      </c>
      <c r="W429" s="13">
        <f ca="1">ROUNDDOWN($V429*VLOOKUP($B429+IF($C429=12,1,0),Paraméterek!$B$257:$D$267,IF($D$2="Egyszeri",3,2)),IF($D$4="Forint",0,2))</f>
        <v>-267579</v>
      </c>
      <c r="Y429" s="32">
        <v>410</v>
      </c>
      <c r="Z429" s="32">
        <v>35</v>
      </c>
      <c r="AA429" s="32">
        <v>2</v>
      </c>
      <c r="AB429" s="13">
        <f t="shared" si="101"/>
        <v>0</v>
      </c>
      <c r="AC429" s="33"/>
      <c r="AD429" s="13">
        <f t="shared" si="97"/>
        <v>0</v>
      </c>
      <c r="AE429" s="13">
        <f>ROUNDUP(($AB429+$AD429)*VLOOKUP($Z429,Paraméterek!$P$38:$Q$38,2)/12,IF($D$4="Forint",0,2))</f>
        <v>0</v>
      </c>
      <c r="AF429" s="13">
        <f>IF($D$2="Egyszeri",IF($D$7&gt;=IF($D$4="Forint",Paraméterek!$P$223,Paraméterek!$P$224),$D$7-IF($D$4="Forint",Paraméterek!$F$223,Paraméterek!$F$224),0),MIN(IF($AA429=12,AVERAGE($D$20:$D429)*12,0),SUM($D$20:$D$31)))</f>
        <v>0</v>
      </c>
      <c r="AG429" s="13">
        <f>IF(AND($Z429&gt;=10,MOD($Z429,5)=0),$AF429*IF($AA429=12,VLOOKUP($Z429,Paraméterek!$B$225:$F$240,IF($AF429&lt;IF($D$4="Forint",Paraméterek!$C$223,Paraméterek!$C$224),2,IF($AF429&lt;IF($D$4="Forint",Paraméterek!$D$223,Paraméterek!$D$224),3,4))),0),0)</f>
        <v>0</v>
      </c>
      <c r="AH429" s="13">
        <f>IF(AND($Z429&gt;=5,MOD($Z429,5)=0),IF($AA429=12,VLOOKUP($Z429,Paraméterek!$B$225:$F$240,5),0),IF(OR($Z429=3,$Z429=4),IF($AA429=12,VLOOKUP($Z429,Paraméterek!$B$225:$F$240,5,0),0),0))*$AF429</f>
        <v>0</v>
      </c>
      <c r="AI429" s="13">
        <f>ROUNDDOWN(IF(SUM($T$20:$U429)=0,IF($D$2="Egyszeri",$AH429,$AG429),0),IF($D$4="Forint",0,2))</f>
        <v>0</v>
      </c>
      <c r="AJ429" s="13">
        <f t="shared" si="102"/>
        <v>0</v>
      </c>
      <c r="AK429" s="13">
        <f t="shared" si="103"/>
        <v>0</v>
      </c>
      <c r="AM429" s="32">
        <v>410</v>
      </c>
      <c r="AN429" s="32">
        <v>35</v>
      </c>
      <c r="AO429" s="32">
        <v>2</v>
      </c>
      <c r="AP429" s="13"/>
      <c r="AQ429" s="32"/>
      <c r="AR429" s="13">
        <f t="shared" si="104"/>
        <v>0</v>
      </c>
      <c r="AS429" s="33"/>
      <c r="AT429" s="13">
        <f t="shared" si="98"/>
        <v>0</v>
      </c>
      <c r="AU429" s="13">
        <f>ROUNDUP(($AR429+$AT429)*VLOOKUP($AN429,Paraméterek!$P$38:$Q$38,2)/12,IF($D$4="Forint",0,2))</f>
        <v>0</v>
      </c>
      <c r="AV429" s="13"/>
      <c r="AW429" s="13"/>
      <c r="AX429" s="13">
        <f>ROUNDUP(IF(SUM($AV429:$AW429)=0,0,IF(IF(ISBLANK($AW429),$AV429,$AW429)*Paraméterek!$J$112&lt;IF($D$4="Forint",Paraméterek!$J$113,Paraméterek!$K$113),IF($D$4="Forint",Paraméterek!$J$113,Paraméterek!$K$113),IF(IF(ISBLANK($AW429),$AV429,$AW429)*Paraméterek!$J$112&gt;IF($D$4="Forint",Paraméterek!$J$114,Paraméterek!$K$114),IF($D$4="Forint",Paraméterek!$J$114,Paraméterek!$K$114),IF(ISBLANK($AW429),$AV429,$AW429)*Paraméterek!$J$112))),IF($D$4="Forint",0,2))</f>
        <v>0</v>
      </c>
      <c r="AY429" s="13">
        <f>$AR429+$AT429-$AU429-IF(ROUNDDOWN(IF(ISBLANK($AW429),$AV429,$AW429),IF($D$4="Forint",0,2))&gt;$AR429+$AT429-$AU429-IF($D$4="Forint",Paraméterek!$J$114,Paraméterek!$K$114),0,ROUNDDOWN(IF(ISBLANK($AW429),$AV429,$AW429),IF($D$4="Forint",0,2))-$AX429)</f>
        <v>0</v>
      </c>
      <c r="AZ429" s="13">
        <f t="shared" si="99"/>
        <v>0</v>
      </c>
    </row>
    <row r="430" spans="1:52" x14ac:dyDescent="0.2">
      <c r="A430" s="32">
        <v>411</v>
      </c>
      <c r="B430" s="32">
        <v>35</v>
      </c>
      <c r="C430" s="32">
        <v>3</v>
      </c>
      <c r="D430" s="13">
        <f t="shared" si="90"/>
        <v>0</v>
      </c>
      <c r="E430" s="13"/>
      <c r="F430" s="13"/>
      <c r="G430" s="13"/>
      <c r="H430" s="13">
        <f t="shared" si="91"/>
        <v>0</v>
      </c>
      <c r="I430" s="13">
        <f t="shared" si="92"/>
        <v>0</v>
      </c>
      <c r="J430" s="13">
        <f t="shared" si="93"/>
        <v>0</v>
      </c>
      <c r="K430" s="13">
        <f>ROUNDUP(IF($D$2="Egyszeri",$D430,IF($D$2="Havi",SUM($D$20:$D$31),IF(MOD($C430,$M$1)-1=0,SUM($D$20:$D$31),0))/12*$M$1)*VLOOKUP($B430,Paraméterek!$B$27:$D$30,IF($D$2="Egyszeri",3,2)),IF($D$4="Forint",0,2))</f>
        <v>0</v>
      </c>
      <c r="L430" s="13">
        <f t="shared" si="94"/>
        <v>0</v>
      </c>
      <c r="M430" s="13">
        <f t="shared" ca="1" si="100"/>
        <v>-267579</v>
      </c>
      <c r="N430" s="13">
        <f ca="1">IF($V429&gt;=VLOOKUP($M$4-1+$B430,Paraméterek!$B$121:$D$122,IF($D$4="Forint",2,3)),0,VLOOKUP($M$4-1+$B430,Paraméterek!$B$121:$D$122,IF($D$4="Forint",2,3))-$V429)</f>
        <v>277579</v>
      </c>
      <c r="O430" s="13">
        <f ca="1">ROUNDUP($N430*Paraméterek!$C$58/Paraméterek!$C$56,IF($D$4="Forint",0,2))</f>
        <v>45</v>
      </c>
      <c r="P430" s="13">
        <f t="shared" si="95"/>
        <v>1503</v>
      </c>
      <c r="Q430" s="33"/>
      <c r="R430" s="13">
        <f t="shared" ca="1" si="96"/>
        <v>0</v>
      </c>
      <c r="S430" s="13">
        <f ca="1">ROUNDUP(($M430-$O430-$P430+$R430)*VLOOKUP($B430,Paraméterek!$B$38:$D$39,IF($D$2="Egyszeri",3,2))/12,IF($D$4="Forint",0,2))</f>
        <v>-658</v>
      </c>
      <c r="T430" s="13"/>
      <c r="U430" s="13"/>
      <c r="V430" s="13">
        <f ca="1">$M430-$O430-$P430+$R430-$S430-IF(ROUNDUP(IF(ISBLANK($U430),$T430,$U430)/IF(AND($B430=1,$D$2&lt;&gt;"Egyszeri"),1,VLOOKUP($B430+IF($C430=12,1,0),Paraméterek!$B$257:$D$267,IF($D$2="Egyszeri",3,2))),IF($D$4="Forint",0,2))&gt;$M430-$O430-$P430+$R430-$S430-IF($D$4="Forint",Paraméterek!$C$216,Paraméterek!$D$216),0,ROUNDUP(IF(ISBLANK($U430),$T430,$U430)/IF(AND($B430=1,$D$2&lt;&gt;"Egyszeri"),1,VLOOKUP($B430+IF($C430=12,1,0),Paraméterek!$B$257:$D$267,IF($D$2="Egyszeri",3,2))),IF($D$4="Forint",0,2)))</f>
        <v>-268469</v>
      </c>
      <c r="W430" s="13">
        <f ca="1">ROUNDDOWN($V430*VLOOKUP($B430+IF($C430=12,1,0),Paraméterek!$B$257:$D$267,IF($D$2="Egyszeri",3,2)),IF($D$4="Forint",0,2))</f>
        <v>-268469</v>
      </c>
      <c r="Y430" s="32">
        <v>411</v>
      </c>
      <c r="Z430" s="32">
        <v>35</v>
      </c>
      <c r="AA430" s="32">
        <v>3</v>
      </c>
      <c r="AB430" s="13">
        <f t="shared" si="101"/>
        <v>0</v>
      </c>
      <c r="AC430" s="33"/>
      <c r="AD430" s="13">
        <f t="shared" si="97"/>
        <v>0</v>
      </c>
      <c r="AE430" s="13">
        <f>ROUNDUP(($AB430+$AD430)*VLOOKUP($Z430,Paraméterek!$P$38:$Q$38,2)/12,IF($D$4="Forint",0,2))</f>
        <v>0</v>
      </c>
      <c r="AF430" s="13">
        <f>IF($D$2="Egyszeri",IF($D$7&gt;=IF($D$4="Forint",Paraméterek!$P$223,Paraméterek!$P$224),$D$7-IF($D$4="Forint",Paraméterek!$F$223,Paraméterek!$F$224),0),MIN(IF($AA430=12,AVERAGE($D$20:$D430)*12,0),SUM($D$20:$D$31)))</f>
        <v>0</v>
      </c>
      <c r="AG430" s="13">
        <f>IF(AND($Z430&gt;=10,MOD($Z430,5)=0),$AF430*IF($AA430=12,VLOOKUP($Z430,Paraméterek!$B$225:$F$240,IF($AF430&lt;IF($D$4="Forint",Paraméterek!$C$223,Paraméterek!$C$224),2,IF($AF430&lt;IF($D$4="Forint",Paraméterek!$D$223,Paraméterek!$D$224),3,4))),0),0)</f>
        <v>0</v>
      </c>
      <c r="AH430" s="13">
        <f>IF(AND($Z430&gt;=5,MOD($Z430,5)=0),IF($AA430=12,VLOOKUP($Z430,Paraméterek!$B$225:$F$240,5),0),IF(OR($Z430=3,$Z430=4),IF($AA430=12,VLOOKUP($Z430,Paraméterek!$B$225:$F$240,5,0),0),0))*$AF430</f>
        <v>0</v>
      </c>
      <c r="AI430" s="13">
        <f>ROUNDDOWN(IF(SUM($T$20:$U430)=0,IF($D$2="Egyszeri",$AH430,$AG430),0),IF($D$4="Forint",0,2))</f>
        <v>0</v>
      </c>
      <c r="AJ430" s="13">
        <f t="shared" si="102"/>
        <v>0</v>
      </c>
      <c r="AK430" s="13">
        <f t="shared" si="103"/>
        <v>0</v>
      </c>
      <c r="AM430" s="32">
        <v>411</v>
      </c>
      <c r="AN430" s="32">
        <v>35</v>
      </c>
      <c r="AO430" s="32">
        <v>3</v>
      </c>
      <c r="AP430" s="13"/>
      <c r="AQ430" s="32"/>
      <c r="AR430" s="13">
        <f t="shared" si="104"/>
        <v>0</v>
      </c>
      <c r="AS430" s="33"/>
      <c r="AT430" s="13">
        <f t="shared" si="98"/>
        <v>0</v>
      </c>
      <c r="AU430" s="13">
        <f>ROUNDUP(($AR430+$AT430)*VLOOKUP($AN430,Paraméterek!$P$38:$Q$38,2)/12,IF($D$4="Forint",0,2))</f>
        <v>0</v>
      </c>
      <c r="AV430" s="13"/>
      <c r="AW430" s="13"/>
      <c r="AX430" s="13">
        <f>ROUNDUP(IF(SUM($AV430:$AW430)=0,0,IF(IF(ISBLANK($AW430),$AV430,$AW430)*Paraméterek!$J$112&lt;IF($D$4="Forint",Paraméterek!$J$113,Paraméterek!$K$113),IF($D$4="Forint",Paraméterek!$J$113,Paraméterek!$K$113),IF(IF(ISBLANK($AW430),$AV430,$AW430)*Paraméterek!$J$112&gt;IF($D$4="Forint",Paraméterek!$J$114,Paraméterek!$K$114),IF($D$4="Forint",Paraméterek!$J$114,Paraméterek!$K$114),IF(ISBLANK($AW430),$AV430,$AW430)*Paraméterek!$J$112))),IF($D$4="Forint",0,2))</f>
        <v>0</v>
      </c>
      <c r="AY430" s="13">
        <f>$AR430+$AT430-$AU430-IF(ROUNDDOWN(IF(ISBLANK($AW430),$AV430,$AW430),IF($D$4="Forint",0,2))&gt;$AR430+$AT430-$AU430-IF($D$4="Forint",Paraméterek!$J$114,Paraméterek!$K$114),0,ROUNDDOWN(IF(ISBLANK($AW430),$AV430,$AW430),IF($D$4="Forint",0,2))-$AX430)</f>
        <v>0</v>
      </c>
      <c r="AZ430" s="13">
        <f t="shared" si="99"/>
        <v>0</v>
      </c>
    </row>
    <row r="431" spans="1:52" x14ac:dyDescent="0.2">
      <c r="A431" s="32">
        <v>412</v>
      </c>
      <c r="B431" s="32">
        <v>35</v>
      </c>
      <c r="C431" s="32">
        <v>4</v>
      </c>
      <c r="D431" s="13">
        <f t="shared" si="90"/>
        <v>0</v>
      </c>
      <c r="E431" s="13"/>
      <c r="F431" s="13"/>
      <c r="G431" s="13"/>
      <c r="H431" s="13">
        <f t="shared" si="91"/>
        <v>0</v>
      </c>
      <c r="I431" s="13">
        <f t="shared" si="92"/>
        <v>0</v>
      </c>
      <c r="J431" s="13">
        <f t="shared" si="93"/>
        <v>0</v>
      </c>
      <c r="K431" s="13">
        <f>ROUNDUP(IF($D$2="Egyszeri",$D431,IF($D$2="Havi",SUM($D$20:$D$31),IF(MOD($C431,$M$1)-1=0,SUM($D$20:$D$31),0))/12*$M$1)*VLOOKUP($B431,Paraméterek!$B$27:$D$30,IF($D$2="Egyszeri",3,2)),IF($D$4="Forint",0,2))</f>
        <v>0</v>
      </c>
      <c r="L431" s="13">
        <f t="shared" si="94"/>
        <v>0</v>
      </c>
      <c r="M431" s="13">
        <f t="shared" ca="1" si="100"/>
        <v>-268469</v>
      </c>
      <c r="N431" s="13">
        <f ca="1">IF($V430&gt;=VLOOKUP($M$4-1+$B431,Paraméterek!$B$121:$D$122,IF($D$4="Forint",2,3)),0,VLOOKUP($M$4-1+$B431,Paraméterek!$B$121:$D$122,IF($D$4="Forint",2,3))-$V430)</f>
        <v>278469</v>
      </c>
      <c r="O431" s="13">
        <f ca="1">ROUNDUP($N431*Paraméterek!$C$58/Paraméterek!$C$56,IF($D$4="Forint",0,2))</f>
        <v>45</v>
      </c>
      <c r="P431" s="13">
        <f t="shared" si="95"/>
        <v>1503</v>
      </c>
      <c r="Q431" s="33"/>
      <c r="R431" s="13">
        <f t="shared" ca="1" si="96"/>
        <v>0</v>
      </c>
      <c r="S431" s="13">
        <f ca="1">ROUNDUP(($M431-$O431-$P431+$R431)*VLOOKUP($B431,Paraméterek!$B$38:$D$39,IF($D$2="Egyszeri",3,2))/12,IF($D$4="Forint",0,2))</f>
        <v>-660</v>
      </c>
      <c r="T431" s="13"/>
      <c r="U431" s="13"/>
      <c r="V431" s="13">
        <f ca="1">$M431-$O431-$P431+$R431-$S431-IF(ROUNDUP(IF(ISBLANK($U431),$T431,$U431)/IF(AND($B431=1,$D$2&lt;&gt;"Egyszeri"),1,VLOOKUP($B431+IF($C431=12,1,0),Paraméterek!$B$257:$D$267,IF($D$2="Egyszeri",3,2))),IF($D$4="Forint",0,2))&gt;$M431-$O431-$P431+$R431-$S431-IF($D$4="Forint",Paraméterek!$C$216,Paraméterek!$D$216),0,ROUNDUP(IF(ISBLANK($U431),$T431,$U431)/IF(AND($B431=1,$D$2&lt;&gt;"Egyszeri"),1,VLOOKUP($B431+IF($C431=12,1,0),Paraméterek!$B$257:$D$267,IF($D$2="Egyszeri",3,2))),IF($D$4="Forint",0,2)))</f>
        <v>-269357</v>
      </c>
      <c r="W431" s="13">
        <f ca="1">ROUNDDOWN($V431*VLOOKUP($B431+IF($C431=12,1,0),Paraméterek!$B$257:$D$267,IF($D$2="Egyszeri",3,2)),IF($D$4="Forint",0,2))</f>
        <v>-269357</v>
      </c>
      <c r="Y431" s="32">
        <v>412</v>
      </c>
      <c r="Z431" s="32">
        <v>35</v>
      </c>
      <c r="AA431" s="32">
        <v>4</v>
      </c>
      <c r="AB431" s="13">
        <f t="shared" si="101"/>
        <v>0</v>
      </c>
      <c r="AC431" s="33"/>
      <c r="AD431" s="13">
        <f t="shared" si="97"/>
        <v>0</v>
      </c>
      <c r="AE431" s="13">
        <f>ROUNDUP(($AB431+$AD431)*VLOOKUP($Z431,Paraméterek!$P$38:$Q$38,2)/12,IF($D$4="Forint",0,2))</f>
        <v>0</v>
      </c>
      <c r="AF431" s="13">
        <f>IF($D$2="Egyszeri",IF($D$7&gt;=IF($D$4="Forint",Paraméterek!$P$223,Paraméterek!$P$224),$D$7-IF($D$4="Forint",Paraméterek!$F$223,Paraméterek!$F$224),0),MIN(IF($AA431=12,AVERAGE($D$20:$D431)*12,0),SUM($D$20:$D$31)))</f>
        <v>0</v>
      </c>
      <c r="AG431" s="13">
        <f>IF(AND($Z431&gt;=10,MOD($Z431,5)=0),$AF431*IF($AA431=12,VLOOKUP($Z431,Paraméterek!$B$225:$F$240,IF($AF431&lt;IF($D$4="Forint",Paraméterek!$C$223,Paraméterek!$C$224),2,IF($AF431&lt;IF($D$4="Forint",Paraméterek!$D$223,Paraméterek!$D$224),3,4))),0),0)</f>
        <v>0</v>
      </c>
      <c r="AH431" s="13">
        <f>IF(AND($Z431&gt;=5,MOD($Z431,5)=0),IF($AA431=12,VLOOKUP($Z431,Paraméterek!$B$225:$F$240,5),0),IF(OR($Z431=3,$Z431=4),IF($AA431=12,VLOOKUP($Z431,Paraméterek!$B$225:$F$240,5,0),0),0))*$AF431</f>
        <v>0</v>
      </c>
      <c r="AI431" s="13">
        <f>ROUNDDOWN(IF(SUM($T$20:$U431)=0,IF($D$2="Egyszeri",$AH431,$AG431),0),IF($D$4="Forint",0,2))</f>
        <v>0</v>
      </c>
      <c r="AJ431" s="13">
        <f t="shared" si="102"/>
        <v>0</v>
      </c>
      <c r="AK431" s="13">
        <f t="shared" si="103"/>
        <v>0</v>
      </c>
      <c r="AM431" s="32">
        <v>412</v>
      </c>
      <c r="AN431" s="32">
        <v>35</v>
      </c>
      <c r="AO431" s="32">
        <v>4</v>
      </c>
      <c r="AP431" s="13"/>
      <c r="AQ431" s="32"/>
      <c r="AR431" s="13">
        <f t="shared" si="104"/>
        <v>0</v>
      </c>
      <c r="AS431" s="33"/>
      <c r="AT431" s="13">
        <f t="shared" si="98"/>
        <v>0</v>
      </c>
      <c r="AU431" s="13">
        <f>ROUNDUP(($AR431+$AT431)*VLOOKUP($AN431,Paraméterek!$P$38:$Q$38,2)/12,IF($D$4="Forint",0,2))</f>
        <v>0</v>
      </c>
      <c r="AV431" s="13"/>
      <c r="AW431" s="13"/>
      <c r="AX431" s="13">
        <f>ROUNDUP(IF(SUM($AV431:$AW431)=0,0,IF(IF(ISBLANK($AW431),$AV431,$AW431)*Paraméterek!$J$112&lt;IF($D$4="Forint",Paraméterek!$J$113,Paraméterek!$K$113),IF($D$4="Forint",Paraméterek!$J$113,Paraméterek!$K$113),IF(IF(ISBLANK($AW431),$AV431,$AW431)*Paraméterek!$J$112&gt;IF($D$4="Forint",Paraméterek!$J$114,Paraméterek!$K$114),IF($D$4="Forint",Paraméterek!$J$114,Paraméterek!$K$114),IF(ISBLANK($AW431),$AV431,$AW431)*Paraméterek!$J$112))),IF($D$4="Forint",0,2))</f>
        <v>0</v>
      </c>
      <c r="AY431" s="13">
        <f>$AR431+$AT431-$AU431-IF(ROUNDDOWN(IF(ISBLANK($AW431),$AV431,$AW431),IF($D$4="Forint",0,2))&gt;$AR431+$AT431-$AU431-IF($D$4="Forint",Paraméterek!$J$114,Paraméterek!$K$114),0,ROUNDDOWN(IF(ISBLANK($AW431),$AV431,$AW431),IF($D$4="Forint",0,2))-$AX431)</f>
        <v>0</v>
      </c>
      <c r="AZ431" s="13">
        <f t="shared" si="99"/>
        <v>0</v>
      </c>
    </row>
    <row r="432" spans="1:52" x14ac:dyDescent="0.2">
      <c r="A432" s="32">
        <v>413</v>
      </c>
      <c r="B432" s="32">
        <v>35</v>
      </c>
      <c r="C432" s="32">
        <v>5</v>
      </c>
      <c r="D432" s="13">
        <f t="shared" si="90"/>
        <v>0</v>
      </c>
      <c r="E432" s="13"/>
      <c r="F432" s="13"/>
      <c r="G432" s="13"/>
      <c r="H432" s="13">
        <f t="shared" si="91"/>
        <v>0</v>
      </c>
      <c r="I432" s="13">
        <f t="shared" si="92"/>
        <v>0</v>
      </c>
      <c r="J432" s="13">
        <f t="shared" si="93"/>
        <v>0</v>
      </c>
      <c r="K432" s="13">
        <f>ROUNDUP(IF($D$2="Egyszeri",$D432,IF($D$2="Havi",SUM($D$20:$D$31),IF(MOD($C432,$M$1)-1=0,SUM($D$20:$D$31),0))/12*$M$1)*VLOOKUP($B432,Paraméterek!$B$27:$D$30,IF($D$2="Egyszeri",3,2)),IF($D$4="Forint",0,2))</f>
        <v>0</v>
      </c>
      <c r="L432" s="13">
        <f t="shared" si="94"/>
        <v>0</v>
      </c>
      <c r="M432" s="13">
        <f t="shared" ca="1" si="100"/>
        <v>-269357</v>
      </c>
      <c r="N432" s="13">
        <f ca="1">IF($V431&gt;=VLOOKUP($M$4-1+$B432,Paraméterek!$B$121:$D$122,IF($D$4="Forint",2,3)),0,VLOOKUP($M$4-1+$B432,Paraméterek!$B$121:$D$122,IF($D$4="Forint",2,3))-$V431)</f>
        <v>279357</v>
      </c>
      <c r="O432" s="13">
        <f ca="1">ROUNDUP($N432*Paraméterek!$C$58/Paraméterek!$C$56,IF($D$4="Forint",0,2))</f>
        <v>45</v>
      </c>
      <c r="P432" s="13">
        <f t="shared" si="95"/>
        <v>1503</v>
      </c>
      <c r="Q432" s="33"/>
      <c r="R432" s="13">
        <f t="shared" ca="1" si="96"/>
        <v>0</v>
      </c>
      <c r="S432" s="13">
        <f ca="1">ROUNDUP(($M432-$O432-$P432+$R432)*VLOOKUP($B432,Paraméterek!$B$38:$D$39,IF($D$2="Egyszeri",3,2))/12,IF($D$4="Forint",0,2))</f>
        <v>-662</v>
      </c>
      <c r="T432" s="13"/>
      <c r="U432" s="13"/>
      <c r="V432" s="13">
        <f ca="1">$M432-$O432-$P432+$R432-$S432-IF(ROUNDUP(IF(ISBLANK($U432),$T432,$U432)/IF(AND($B432=1,$D$2&lt;&gt;"Egyszeri"),1,VLOOKUP($B432+IF($C432=12,1,0),Paraméterek!$B$257:$D$267,IF($D$2="Egyszeri",3,2))),IF($D$4="Forint",0,2))&gt;$M432-$O432-$P432+$R432-$S432-IF($D$4="Forint",Paraméterek!$C$216,Paraméterek!$D$216),0,ROUNDUP(IF(ISBLANK($U432),$T432,$U432)/IF(AND($B432=1,$D$2&lt;&gt;"Egyszeri"),1,VLOOKUP($B432+IF($C432=12,1,0),Paraméterek!$B$257:$D$267,IF($D$2="Egyszeri",3,2))),IF($D$4="Forint",0,2)))</f>
        <v>-270243</v>
      </c>
      <c r="W432" s="13">
        <f ca="1">ROUNDDOWN($V432*VLOOKUP($B432+IF($C432=12,1,0),Paraméterek!$B$257:$D$267,IF($D$2="Egyszeri",3,2)),IF($D$4="Forint",0,2))</f>
        <v>-270243</v>
      </c>
      <c r="Y432" s="32">
        <v>413</v>
      </c>
      <c r="Z432" s="32">
        <v>35</v>
      </c>
      <c r="AA432" s="32">
        <v>5</v>
      </c>
      <c r="AB432" s="13">
        <f t="shared" si="101"/>
        <v>0</v>
      </c>
      <c r="AC432" s="33"/>
      <c r="AD432" s="13">
        <f t="shared" si="97"/>
        <v>0</v>
      </c>
      <c r="AE432" s="13">
        <f>ROUNDUP(($AB432+$AD432)*VLOOKUP($Z432,Paraméterek!$P$38:$Q$38,2)/12,IF($D$4="Forint",0,2))</f>
        <v>0</v>
      </c>
      <c r="AF432" s="13">
        <f>IF($D$2="Egyszeri",IF($D$7&gt;=IF($D$4="Forint",Paraméterek!$P$223,Paraméterek!$P$224),$D$7-IF($D$4="Forint",Paraméterek!$F$223,Paraméterek!$F$224),0),MIN(IF($AA432=12,AVERAGE($D$20:$D432)*12,0),SUM($D$20:$D$31)))</f>
        <v>0</v>
      </c>
      <c r="AG432" s="13">
        <f>IF(AND($Z432&gt;=10,MOD($Z432,5)=0),$AF432*IF($AA432=12,VLOOKUP($Z432,Paraméterek!$B$225:$F$240,IF($AF432&lt;IF($D$4="Forint",Paraméterek!$C$223,Paraméterek!$C$224),2,IF($AF432&lt;IF($D$4="Forint",Paraméterek!$D$223,Paraméterek!$D$224),3,4))),0),0)</f>
        <v>0</v>
      </c>
      <c r="AH432" s="13">
        <f>IF(AND($Z432&gt;=5,MOD($Z432,5)=0),IF($AA432=12,VLOOKUP($Z432,Paraméterek!$B$225:$F$240,5),0),IF(OR($Z432=3,$Z432=4),IF($AA432=12,VLOOKUP($Z432,Paraméterek!$B$225:$F$240,5,0),0),0))*$AF432</f>
        <v>0</v>
      </c>
      <c r="AI432" s="13">
        <f>ROUNDDOWN(IF(SUM($T$20:$U432)=0,IF($D$2="Egyszeri",$AH432,$AG432),0),IF($D$4="Forint",0,2))</f>
        <v>0</v>
      </c>
      <c r="AJ432" s="13">
        <f t="shared" si="102"/>
        <v>0</v>
      </c>
      <c r="AK432" s="13">
        <f t="shared" si="103"/>
        <v>0</v>
      </c>
      <c r="AM432" s="32">
        <v>413</v>
      </c>
      <c r="AN432" s="32">
        <v>35</v>
      </c>
      <c r="AO432" s="32">
        <v>5</v>
      </c>
      <c r="AP432" s="13"/>
      <c r="AQ432" s="32"/>
      <c r="AR432" s="13">
        <f t="shared" si="104"/>
        <v>0</v>
      </c>
      <c r="AS432" s="33"/>
      <c r="AT432" s="13">
        <f t="shared" si="98"/>
        <v>0</v>
      </c>
      <c r="AU432" s="13">
        <f>ROUNDUP(($AR432+$AT432)*VLOOKUP($AN432,Paraméterek!$P$38:$Q$38,2)/12,IF($D$4="Forint",0,2))</f>
        <v>0</v>
      </c>
      <c r="AV432" s="13"/>
      <c r="AW432" s="13"/>
      <c r="AX432" s="13">
        <f>ROUNDUP(IF(SUM($AV432:$AW432)=0,0,IF(IF(ISBLANK($AW432),$AV432,$AW432)*Paraméterek!$J$112&lt;IF($D$4="Forint",Paraméterek!$J$113,Paraméterek!$K$113),IF($D$4="Forint",Paraméterek!$J$113,Paraméterek!$K$113),IF(IF(ISBLANK($AW432),$AV432,$AW432)*Paraméterek!$J$112&gt;IF($D$4="Forint",Paraméterek!$J$114,Paraméterek!$K$114),IF($D$4="Forint",Paraméterek!$J$114,Paraméterek!$K$114),IF(ISBLANK($AW432),$AV432,$AW432)*Paraméterek!$J$112))),IF($D$4="Forint",0,2))</f>
        <v>0</v>
      </c>
      <c r="AY432" s="13">
        <f>$AR432+$AT432-$AU432-IF(ROUNDDOWN(IF(ISBLANK($AW432),$AV432,$AW432),IF($D$4="Forint",0,2))&gt;$AR432+$AT432-$AU432-IF($D$4="Forint",Paraméterek!$J$114,Paraméterek!$K$114),0,ROUNDDOWN(IF(ISBLANK($AW432),$AV432,$AW432),IF($D$4="Forint",0,2))-$AX432)</f>
        <v>0</v>
      </c>
      <c r="AZ432" s="13">
        <f t="shared" si="99"/>
        <v>0</v>
      </c>
    </row>
    <row r="433" spans="1:52" x14ac:dyDescent="0.2">
      <c r="A433" s="32">
        <v>414</v>
      </c>
      <c r="B433" s="32">
        <v>35</v>
      </c>
      <c r="C433" s="32">
        <v>6</v>
      </c>
      <c r="D433" s="13">
        <f t="shared" si="90"/>
        <v>0</v>
      </c>
      <c r="E433" s="13"/>
      <c r="F433" s="13"/>
      <c r="G433" s="13"/>
      <c r="H433" s="13">
        <f t="shared" si="91"/>
        <v>0</v>
      </c>
      <c r="I433" s="13">
        <f t="shared" si="92"/>
        <v>0</v>
      </c>
      <c r="J433" s="13">
        <f t="shared" si="93"/>
        <v>0</v>
      </c>
      <c r="K433" s="13">
        <f>ROUNDUP(IF($D$2="Egyszeri",$D433,IF($D$2="Havi",SUM($D$20:$D$31),IF(MOD($C433,$M$1)-1=0,SUM($D$20:$D$31),0))/12*$M$1)*VLOOKUP($B433,Paraméterek!$B$27:$D$30,IF($D$2="Egyszeri",3,2)),IF($D$4="Forint",0,2))</f>
        <v>0</v>
      </c>
      <c r="L433" s="13">
        <f t="shared" si="94"/>
        <v>0</v>
      </c>
      <c r="M433" s="13">
        <f t="shared" ca="1" si="100"/>
        <v>-270243</v>
      </c>
      <c r="N433" s="13">
        <f ca="1">IF($V432&gt;=VLOOKUP($M$4-1+$B433,Paraméterek!$B$121:$D$122,IF($D$4="Forint",2,3)),0,VLOOKUP($M$4-1+$B433,Paraméterek!$B$121:$D$122,IF($D$4="Forint",2,3))-$V432)</f>
        <v>280243</v>
      </c>
      <c r="O433" s="13">
        <f ca="1">ROUNDUP($N433*Paraméterek!$C$58/Paraméterek!$C$56,IF($D$4="Forint",0,2))</f>
        <v>45</v>
      </c>
      <c r="P433" s="13">
        <f t="shared" si="95"/>
        <v>1503</v>
      </c>
      <c r="Q433" s="33"/>
      <c r="R433" s="13">
        <f t="shared" ca="1" si="96"/>
        <v>0</v>
      </c>
      <c r="S433" s="13">
        <f ca="1">ROUNDUP(($M433-$O433-$P433+$R433)*VLOOKUP($B433,Paraméterek!$B$38:$D$39,IF($D$2="Egyszeri",3,2))/12,IF($D$4="Forint",0,2))</f>
        <v>-664</v>
      </c>
      <c r="T433" s="13"/>
      <c r="U433" s="13"/>
      <c r="V433" s="13">
        <f ca="1">$M433-$O433-$P433+$R433-$S433-IF(ROUNDUP(IF(ISBLANK($U433),$T433,$U433)/IF(AND($B433=1,$D$2&lt;&gt;"Egyszeri"),1,VLOOKUP($B433+IF($C433=12,1,0),Paraméterek!$B$257:$D$267,IF($D$2="Egyszeri",3,2))),IF($D$4="Forint",0,2))&gt;$M433-$O433-$P433+$R433-$S433-IF($D$4="Forint",Paraméterek!$C$216,Paraméterek!$D$216),0,ROUNDUP(IF(ISBLANK($U433),$T433,$U433)/IF(AND($B433=1,$D$2&lt;&gt;"Egyszeri"),1,VLOOKUP($B433+IF($C433=12,1,0),Paraméterek!$B$257:$D$267,IF($D$2="Egyszeri",3,2))),IF($D$4="Forint",0,2)))</f>
        <v>-271127</v>
      </c>
      <c r="W433" s="13">
        <f ca="1">ROUNDDOWN($V433*VLOOKUP($B433+IF($C433=12,1,0),Paraméterek!$B$257:$D$267,IF($D$2="Egyszeri",3,2)),IF($D$4="Forint",0,2))</f>
        <v>-271127</v>
      </c>
      <c r="Y433" s="32">
        <v>414</v>
      </c>
      <c r="Z433" s="32">
        <v>35</v>
      </c>
      <c r="AA433" s="32">
        <v>6</v>
      </c>
      <c r="AB433" s="13">
        <f t="shared" si="101"/>
        <v>0</v>
      </c>
      <c r="AC433" s="33"/>
      <c r="AD433" s="13">
        <f t="shared" si="97"/>
        <v>0</v>
      </c>
      <c r="AE433" s="13">
        <f>ROUNDUP(($AB433+$AD433)*VLOOKUP($Z433,Paraméterek!$P$38:$Q$38,2)/12,IF($D$4="Forint",0,2))</f>
        <v>0</v>
      </c>
      <c r="AF433" s="13">
        <f>IF($D$2="Egyszeri",IF($D$7&gt;=IF($D$4="Forint",Paraméterek!$P$223,Paraméterek!$P$224),$D$7-IF($D$4="Forint",Paraméterek!$F$223,Paraméterek!$F$224),0),MIN(IF($AA433=12,AVERAGE($D$20:$D433)*12,0),SUM($D$20:$D$31)))</f>
        <v>0</v>
      </c>
      <c r="AG433" s="13">
        <f>IF(AND($Z433&gt;=10,MOD($Z433,5)=0),$AF433*IF($AA433=12,VLOOKUP($Z433,Paraméterek!$B$225:$F$240,IF($AF433&lt;IF($D$4="Forint",Paraméterek!$C$223,Paraméterek!$C$224),2,IF($AF433&lt;IF($D$4="Forint",Paraméterek!$D$223,Paraméterek!$D$224),3,4))),0),0)</f>
        <v>0</v>
      </c>
      <c r="AH433" s="13">
        <f>IF(AND($Z433&gt;=5,MOD($Z433,5)=0),IF($AA433=12,VLOOKUP($Z433,Paraméterek!$B$225:$F$240,5),0),IF(OR($Z433=3,$Z433=4),IF($AA433=12,VLOOKUP($Z433,Paraméterek!$B$225:$F$240,5,0),0),0))*$AF433</f>
        <v>0</v>
      </c>
      <c r="AI433" s="13">
        <f>ROUNDDOWN(IF(SUM($T$20:$U433)=0,IF($D$2="Egyszeri",$AH433,$AG433),0),IF($D$4="Forint",0,2))</f>
        <v>0</v>
      </c>
      <c r="AJ433" s="13">
        <f t="shared" si="102"/>
        <v>0</v>
      </c>
      <c r="AK433" s="13">
        <f t="shared" si="103"/>
        <v>0</v>
      </c>
      <c r="AM433" s="32">
        <v>414</v>
      </c>
      <c r="AN433" s="32">
        <v>35</v>
      </c>
      <c r="AO433" s="32">
        <v>6</v>
      </c>
      <c r="AP433" s="13"/>
      <c r="AQ433" s="32"/>
      <c r="AR433" s="13">
        <f t="shared" si="104"/>
        <v>0</v>
      </c>
      <c r="AS433" s="33"/>
      <c r="AT433" s="13">
        <f t="shared" si="98"/>
        <v>0</v>
      </c>
      <c r="AU433" s="13">
        <f>ROUNDUP(($AR433+$AT433)*VLOOKUP($AN433,Paraméterek!$P$38:$Q$38,2)/12,IF($D$4="Forint",0,2))</f>
        <v>0</v>
      </c>
      <c r="AV433" s="13"/>
      <c r="AW433" s="13"/>
      <c r="AX433" s="13">
        <f>ROUNDUP(IF(SUM($AV433:$AW433)=0,0,IF(IF(ISBLANK($AW433),$AV433,$AW433)*Paraméterek!$J$112&lt;IF($D$4="Forint",Paraméterek!$J$113,Paraméterek!$K$113),IF($D$4="Forint",Paraméterek!$J$113,Paraméterek!$K$113),IF(IF(ISBLANK($AW433),$AV433,$AW433)*Paraméterek!$J$112&gt;IF($D$4="Forint",Paraméterek!$J$114,Paraméterek!$K$114),IF($D$4="Forint",Paraméterek!$J$114,Paraméterek!$K$114),IF(ISBLANK($AW433),$AV433,$AW433)*Paraméterek!$J$112))),IF($D$4="Forint",0,2))</f>
        <v>0</v>
      </c>
      <c r="AY433" s="13">
        <f>$AR433+$AT433-$AU433-IF(ROUNDDOWN(IF(ISBLANK($AW433),$AV433,$AW433),IF($D$4="Forint",0,2))&gt;$AR433+$AT433-$AU433-IF($D$4="Forint",Paraméterek!$J$114,Paraméterek!$K$114),0,ROUNDDOWN(IF(ISBLANK($AW433),$AV433,$AW433),IF($D$4="Forint",0,2))-$AX433)</f>
        <v>0</v>
      </c>
      <c r="AZ433" s="13">
        <f t="shared" si="99"/>
        <v>0</v>
      </c>
    </row>
    <row r="434" spans="1:52" x14ac:dyDescent="0.2">
      <c r="A434" s="32">
        <v>415</v>
      </c>
      <c r="B434" s="32">
        <v>35</v>
      </c>
      <c r="C434" s="32">
        <v>7</v>
      </c>
      <c r="D434" s="13">
        <f t="shared" si="90"/>
        <v>0</v>
      </c>
      <c r="E434" s="13"/>
      <c r="F434" s="13"/>
      <c r="G434" s="13"/>
      <c r="H434" s="13">
        <f t="shared" si="91"/>
        <v>0</v>
      </c>
      <c r="I434" s="13">
        <f t="shared" si="92"/>
        <v>0</v>
      </c>
      <c r="J434" s="13">
        <f t="shared" si="93"/>
        <v>0</v>
      </c>
      <c r="K434" s="13">
        <f>ROUNDUP(IF($D$2="Egyszeri",$D434,IF($D$2="Havi",SUM($D$20:$D$31),IF(MOD($C434,$M$1)-1=0,SUM($D$20:$D$31),0))/12*$M$1)*VLOOKUP($B434,Paraméterek!$B$27:$D$30,IF($D$2="Egyszeri",3,2)),IF($D$4="Forint",0,2))</f>
        <v>0</v>
      </c>
      <c r="L434" s="13">
        <f t="shared" si="94"/>
        <v>0</v>
      </c>
      <c r="M434" s="13">
        <f t="shared" ca="1" si="100"/>
        <v>-271127</v>
      </c>
      <c r="N434" s="13">
        <f ca="1">IF($V433&gt;=VLOOKUP($M$4-1+$B434,Paraméterek!$B$121:$D$122,IF($D$4="Forint",2,3)),0,VLOOKUP($M$4-1+$B434,Paraméterek!$B$121:$D$122,IF($D$4="Forint",2,3))-$V433)</f>
        <v>281127</v>
      </c>
      <c r="O434" s="13">
        <f ca="1">ROUNDUP($N434*Paraméterek!$C$58/Paraméterek!$C$56,IF($D$4="Forint",0,2))</f>
        <v>45</v>
      </c>
      <c r="P434" s="13">
        <f t="shared" si="95"/>
        <v>1503</v>
      </c>
      <c r="Q434" s="33"/>
      <c r="R434" s="13">
        <f t="shared" ca="1" si="96"/>
        <v>0</v>
      </c>
      <c r="S434" s="13">
        <f ca="1">ROUNDUP(($M434-$O434-$P434+$R434)*VLOOKUP($B434,Paraméterek!$B$38:$D$39,IF($D$2="Egyszeri",3,2))/12,IF($D$4="Forint",0,2))</f>
        <v>-666</v>
      </c>
      <c r="T434" s="13"/>
      <c r="U434" s="13"/>
      <c r="V434" s="13">
        <f ca="1">$M434-$O434-$P434+$R434-$S434-IF(ROUNDUP(IF(ISBLANK($U434),$T434,$U434)/IF(AND($B434=1,$D$2&lt;&gt;"Egyszeri"),1,VLOOKUP($B434+IF($C434=12,1,0),Paraméterek!$B$257:$D$267,IF($D$2="Egyszeri",3,2))),IF($D$4="Forint",0,2))&gt;$M434-$O434-$P434+$R434-$S434-IF($D$4="Forint",Paraméterek!$C$216,Paraméterek!$D$216),0,ROUNDUP(IF(ISBLANK($U434),$T434,$U434)/IF(AND($B434=1,$D$2&lt;&gt;"Egyszeri"),1,VLOOKUP($B434+IF($C434=12,1,0),Paraméterek!$B$257:$D$267,IF($D$2="Egyszeri",3,2))),IF($D$4="Forint",0,2)))</f>
        <v>-272009</v>
      </c>
      <c r="W434" s="13">
        <f ca="1">ROUNDDOWN($V434*VLOOKUP($B434+IF($C434=12,1,0),Paraméterek!$B$257:$D$267,IF($D$2="Egyszeri",3,2)),IF($D$4="Forint",0,2))</f>
        <v>-272009</v>
      </c>
      <c r="Y434" s="32">
        <v>415</v>
      </c>
      <c r="Z434" s="32">
        <v>35</v>
      </c>
      <c r="AA434" s="32">
        <v>7</v>
      </c>
      <c r="AB434" s="13">
        <f t="shared" si="101"/>
        <v>0</v>
      </c>
      <c r="AC434" s="33"/>
      <c r="AD434" s="13">
        <f t="shared" si="97"/>
        <v>0</v>
      </c>
      <c r="AE434" s="13">
        <f>ROUNDUP(($AB434+$AD434)*VLOOKUP($Z434,Paraméterek!$P$38:$Q$38,2)/12,IF($D$4="Forint",0,2))</f>
        <v>0</v>
      </c>
      <c r="AF434" s="13">
        <f>IF($D$2="Egyszeri",IF($D$7&gt;=IF($D$4="Forint",Paraméterek!$P$223,Paraméterek!$P$224),$D$7-IF($D$4="Forint",Paraméterek!$F$223,Paraméterek!$F$224),0),MIN(IF($AA434=12,AVERAGE($D$20:$D434)*12,0),SUM($D$20:$D$31)))</f>
        <v>0</v>
      </c>
      <c r="AG434" s="13">
        <f>IF(AND($Z434&gt;=10,MOD($Z434,5)=0),$AF434*IF($AA434=12,VLOOKUP($Z434,Paraméterek!$B$225:$F$240,IF($AF434&lt;IF($D$4="Forint",Paraméterek!$C$223,Paraméterek!$C$224),2,IF($AF434&lt;IF($D$4="Forint",Paraméterek!$D$223,Paraméterek!$D$224),3,4))),0),0)</f>
        <v>0</v>
      </c>
      <c r="AH434" s="13">
        <f>IF(AND($Z434&gt;=5,MOD($Z434,5)=0),IF($AA434=12,VLOOKUP($Z434,Paraméterek!$B$225:$F$240,5),0),IF(OR($Z434=3,$Z434=4),IF($AA434=12,VLOOKUP($Z434,Paraméterek!$B$225:$F$240,5,0),0),0))*$AF434</f>
        <v>0</v>
      </c>
      <c r="AI434" s="13">
        <f>ROUNDDOWN(IF(SUM($T$20:$U434)=0,IF($D$2="Egyszeri",$AH434,$AG434),0),IF($D$4="Forint",0,2))</f>
        <v>0</v>
      </c>
      <c r="AJ434" s="13">
        <f t="shared" si="102"/>
        <v>0</v>
      </c>
      <c r="AK434" s="13">
        <f t="shared" si="103"/>
        <v>0</v>
      </c>
      <c r="AM434" s="32">
        <v>415</v>
      </c>
      <c r="AN434" s="32">
        <v>35</v>
      </c>
      <c r="AO434" s="32">
        <v>7</v>
      </c>
      <c r="AP434" s="13"/>
      <c r="AQ434" s="32"/>
      <c r="AR434" s="13">
        <f t="shared" si="104"/>
        <v>0</v>
      </c>
      <c r="AS434" s="33"/>
      <c r="AT434" s="13">
        <f t="shared" si="98"/>
        <v>0</v>
      </c>
      <c r="AU434" s="13">
        <f>ROUNDUP(($AR434+$AT434)*VLOOKUP($AN434,Paraméterek!$P$38:$Q$38,2)/12,IF($D$4="Forint",0,2))</f>
        <v>0</v>
      </c>
      <c r="AV434" s="13"/>
      <c r="AW434" s="13"/>
      <c r="AX434" s="13">
        <f>ROUNDUP(IF(SUM($AV434:$AW434)=0,0,IF(IF(ISBLANK($AW434),$AV434,$AW434)*Paraméterek!$J$112&lt;IF($D$4="Forint",Paraméterek!$J$113,Paraméterek!$K$113),IF($D$4="Forint",Paraméterek!$J$113,Paraméterek!$K$113),IF(IF(ISBLANK($AW434),$AV434,$AW434)*Paraméterek!$J$112&gt;IF($D$4="Forint",Paraméterek!$J$114,Paraméterek!$K$114),IF($D$4="Forint",Paraméterek!$J$114,Paraméterek!$K$114),IF(ISBLANK($AW434),$AV434,$AW434)*Paraméterek!$J$112))),IF($D$4="Forint",0,2))</f>
        <v>0</v>
      </c>
      <c r="AY434" s="13">
        <f>$AR434+$AT434-$AU434-IF(ROUNDDOWN(IF(ISBLANK($AW434),$AV434,$AW434),IF($D$4="Forint",0,2))&gt;$AR434+$AT434-$AU434-IF($D$4="Forint",Paraméterek!$J$114,Paraméterek!$K$114),0,ROUNDDOWN(IF(ISBLANK($AW434),$AV434,$AW434),IF($D$4="Forint",0,2))-$AX434)</f>
        <v>0</v>
      </c>
      <c r="AZ434" s="13">
        <f t="shared" si="99"/>
        <v>0</v>
      </c>
    </row>
    <row r="435" spans="1:52" x14ac:dyDescent="0.2">
      <c r="A435" s="32">
        <v>416</v>
      </c>
      <c r="B435" s="32">
        <v>35</v>
      </c>
      <c r="C435" s="32">
        <v>8</v>
      </c>
      <c r="D435" s="13">
        <f t="shared" si="90"/>
        <v>0</v>
      </c>
      <c r="E435" s="13"/>
      <c r="F435" s="13"/>
      <c r="G435" s="13"/>
      <c r="H435" s="13">
        <f t="shared" si="91"/>
        <v>0</v>
      </c>
      <c r="I435" s="13">
        <f t="shared" si="92"/>
        <v>0</v>
      </c>
      <c r="J435" s="13">
        <f t="shared" si="93"/>
        <v>0</v>
      </c>
      <c r="K435" s="13">
        <f>ROUNDUP(IF($D$2="Egyszeri",$D435,IF($D$2="Havi",SUM($D$20:$D$31),IF(MOD($C435,$M$1)-1=0,SUM($D$20:$D$31),0))/12*$M$1)*VLOOKUP($B435,Paraméterek!$B$27:$D$30,IF($D$2="Egyszeri",3,2)),IF($D$4="Forint",0,2))</f>
        <v>0</v>
      </c>
      <c r="L435" s="13">
        <f t="shared" si="94"/>
        <v>0</v>
      </c>
      <c r="M435" s="13">
        <f t="shared" ca="1" si="100"/>
        <v>-272009</v>
      </c>
      <c r="N435" s="13">
        <f ca="1">IF($V434&gt;=VLOOKUP($M$4-1+$B435,Paraméterek!$B$121:$D$122,IF($D$4="Forint",2,3)),0,VLOOKUP($M$4-1+$B435,Paraméterek!$B$121:$D$122,IF($D$4="Forint",2,3))-$V434)</f>
        <v>282009</v>
      </c>
      <c r="O435" s="13">
        <f ca="1">ROUNDUP($N435*Paraméterek!$C$58/Paraméterek!$C$56,IF($D$4="Forint",0,2))</f>
        <v>45</v>
      </c>
      <c r="P435" s="13">
        <f t="shared" si="95"/>
        <v>1503</v>
      </c>
      <c r="Q435" s="33"/>
      <c r="R435" s="13">
        <f t="shared" ca="1" si="96"/>
        <v>0</v>
      </c>
      <c r="S435" s="13">
        <f ca="1">ROUNDUP(($M435-$O435-$P435+$R435)*VLOOKUP($B435,Paraméterek!$B$38:$D$39,IF($D$2="Egyszeri",3,2))/12,IF($D$4="Forint",0,2))</f>
        <v>-668</v>
      </c>
      <c r="T435" s="13"/>
      <c r="U435" s="13"/>
      <c r="V435" s="13">
        <f ca="1">$M435-$O435-$P435+$R435-$S435-IF(ROUNDUP(IF(ISBLANK($U435),$T435,$U435)/IF(AND($B435=1,$D$2&lt;&gt;"Egyszeri"),1,VLOOKUP($B435+IF($C435=12,1,0),Paraméterek!$B$257:$D$267,IF($D$2="Egyszeri",3,2))),IF($D$4="Forint",0,2))&gt;$M435-$O435-$P435+$R435-$S435-IF($D$4="Forint",Paraméterek!$C$216,Paraméterek!$D$216),0,ROUNDUP(IF(ISBLANK($U435),$T435,$U435)/IF(AND($B435=1,$D$2&lt;&gt;"Egyszeri"),1,VLOOKUP($B435+IF($C435=12,1,0),Paraméterek!$B$257:$D$267,IF($D$2="Egyszeri",3,2))),IF($D$4="Forint",0,2)))</f>
        <v>-272889</v>
      </c>
      <c r="W435" s="13">
        <f ca="1">ROUNDDOWN($V435*VLOOKUP($B435+IF($C435=12,1,0),Paraméterek!$B$257:$D$267,IF($D$2="Egyszeri",3,2)),IF($D$4="Forint",0,2))</f>
        <v>-272889</v>
      </c>
      <c r="Y435" s="32">
        <v>416</v>
      </c>
      <c r="Z435" s="32">
        <v>35</v>
      </c>
      <c r="AA435" s="32">
        <v>8</v>
      </c>
      <c r="AB435" s="13">
        <f t="shared" si="101"/>
        <v>0</v>
      </c>
      <c r="AC435" s="33"/>
      <c r="AD435" s="13">
        <f t="shared" si="97"/>
        <v>0</v>
      </c>
      <c r="AE435" s="13">
        <f>ROUNDUP(($AB435+$AD435)*VLOOKUP($Z435,Paraméterek!$P$38:$Q$38,2)/12,IF($D$4="Forint",0,2))</f>
        <v>0</v>
      </c>
      <c r="AF435" s="13">
        <f>IF($D$2="Egyszeri",IF($D$7&gt;=IF($D$4="Forint",Paraméterek!$P$223,Paraméterek!$P$224),$D$7-IF($D$4="Forint",Paraméterek!$F$223,Paraméterek!$F$224),0),MIN(IF($AA435=12,AVERAGE($D$20:$D435)*12,0),SUM($D$20:$D$31)))</f>
        <v>0</v>
      </c>
      <c r="AG435" s="13">
        <f>IF(AND($Z435&gt;=10,MOD($Z435,5)=0),$AF435*IF($AA435=12,VLOOKUP($Z435,Paraméterek!$B$225:$F$240,IF($AF435&lt;IF($D$4="Forint",Paraméterek!$C$223,Paraméterek!$C$224),2,IF($AF435&lt;IF($D$4="Forint",Paraméterek!$D$223,Paraméterek!$D$224),3,4))),0),0)</f>
        <v>0</v>
      </c>
      <c r="AH435" s="13">
        <f>IF(AND($Z435&gt;=5,MOD($Z435,5)=0),IF($AA435=12,VLOOKUP($Z435,Paraméterek!$B$225:$F$240,5),0),IF(OR($Z435=3,$Z435=4),IF($AA435=12,VLOOKUP($Z435,Paraméterek!$B$225:$F$240,5,0),0),0))*$AF435</f>
        <v>0</v>
      </c>
      <c r="AI435" s="13">
        <f>ROUNDDOWN(IF(SUM($T$20:$U435)=0,IF($D$2="Egyszeri",$AH435,$AG435),0),IF($D$4="Forint",0,2))</f>
        <v>0</v>
      </c>
      <c r="AJ435" s="13">
        <f t="shared" si="102"/>
        <v>0</v>
      </c>
      <c r="AK435" s="13">
        <f t="shared" si="103"/>
        <v>0</v>
      </c>
      <c r="AM435" s="32">
        <v>416</v>
      </c>
      <c r="AN435" s="32">
        <v>35</v>
      </c>
      <c r="AO435" s="32">
        <v>8</v>
      </c>
      <c r="AP435" s="13"/>
      <c r="AQ435" s="32"/>
      <c r="AR435" s="13">
        <f t="shared" si="104"/>
        <v>0</v>
      </c>
      <c r="AS435" s="33"/>
      <c r="AT435" s="13">
        <f t="shared" si="98"/>
        <v>0</v>
      </c>
      <c r="AU435" s="13">
        <f>ROUNDUP(($AR435+$AT435)*VLOOKUP($AN435,Paraméterek!$P$38:$Q$38,2)/12,IF($D$4="Forint",0,2))</f>
        <v>0</v>
      </c>
      <c r="AV435" s="13"/>
      <c r="AW435" s="13"/>
      <c r="AX435" s="13">
        <f>ROUNDUP(IF(SUM($AV435:$AW435)=0,0,IF(IF(ISBLANK($AW435),$AV435,$AW435)*Paraméterek!$J$112&lt;IF($D$4="Forint",Paraméterek!$J$113,Paraméterek!$K$113),IF($D$4="Forint",Paraméterek!$J$113,Paraméterek!$K$113),IF(IF(ISBLANK($AW435),$AV435,$AW435)*Paraméterek!$J$112&gt;IF($D$4="Forint",Paraméterek!$J$114,Paraméterek!$K$114),IF($D$4="Forint",Paraméterek!$J$114,Paraméterek!$K$114),IF(ISBLANK($AW435),$AV435,$AW435)*Paraméterek!$J$112))),IF($D$4="Forint",0,2))</f>
        <v>0</v>
      </c>
      <c r="AY435" s="13">
        <f>$AR435+$AT435-$AU435-IF(ROUNDDOWN(IF(ISBLANK($AW435),$AV435,$AW435),IF($D$4="Forint",0,2))&gt;$AR435+$AT435-$AU435-IF($D$4="Forint",Paraméterek!$J$114,Paraméterek!$K$114),0,ROUNDDOWN(IF(ISBLANK($AW435),$AV435,$AW435),IF($D$4="Forint",0,2))-$AX435)</f>
        <v>0</v>
      </c>
      <c r="AZ435" s="13">
        <f t="shared" si="99"/>
        <v>0</v>
      </c>
    </row>
    <row r="436" spans="1:52" x14ac:dyDescent="0.2">
      <c r="A436" s="32">
        <v>417</v>
      </c>
      <c r="B436" s="32">
        <v>35</v>
      </c>
      <c r="C436" s="32">
        <v>9</v>
      </c>
      <c r="D436" s="13">
        <f t="shared" si="90"/>
        <v>0</v>
      </c>
      <c r="E436" s="13"/>
      <c r="F436" s="13"/>
      <c r="G436" s="13"/>
      <c r="H436" s="13">
        <f t="shared" si="91"/>
        <v>0</v>
      </c>
      <c r="I436" s="13">
        <f t="shared" si="92"/>
        <v>0</v>
      </c>
      <c r="J436" s="13">
        <f t="shared" si="93"/>
        <v>0</v>
      </c>
      <c r="K436" s="13">
        <f>ROUNDUP(IF($D$2="Egyszeri",$D436,IF($D$2="Havi",SUM($D$20:$D$31),IF(MOD($C436,$M$1)-1=0,SUM($D$20:$D$31),0))/12*$M$1)*VLOOKUP($B436,Paraméterek!$B$27:$D$30,IF($D$2="Egyszeri",3,2)),IF($D$4="Forint",0,2))</f>
        <v>0</v>
      </c>
      <c r="L436" s="13">
        <f t="shared" si="94"/>
        <v>0</v>
      </c>
      <c r="M436" s="13">
        <f t="shared" ca="1" si="100"/>
        <v>-272889</v>
      </c>
      <c r="N436" s="13">
        <f ca="1">IF($V435&gt;=VLOOKUP($M$4-1+$B436,Paraméterek!$B$121:$D$122,IF($D$4="Forint",2,3)),0,VLOOKUP($M$4-1+$B436,Paraméterek!$B$121:$D$122,IF($D$4="Forint",2,3))-$V435)</f>
        <v>282889</v>
      </c>
      <c r="O436" s="13">
        <f ca="1">ROUNDUP($N436*Paraméterek!$C$58/Paraméterek!$C$56,IF($D$4="Forint",0,2))</f>
        <v>46</v>
      </c>
      <c r="P436" s="13">
        <f t="shared" si="95"/>
        <v>1503</v>
      </c>
      <c r="Q436" s="33"/>
      <c r="R436" s="13">
        <f t="shared" ca="1" si="96"/>
        <v>0</v>
      </c>
      <c r="S436" s="13">
        <f ca="1">ROUNDUP(($M436-$O436-$P436+$R436)*VLOOKUP($B436,Paraméterek!$B$38:$D$39,IF($D$2="Egyszeri",3,2))/12,IF($D$4="Forint",0,2))</f>
        <v>-671</v>
      </c>
      <c r="T436" s="13"/>
      <c r="U436" s="13"/>
      <c r="V436" s="13">
        <f ca="1">$M436-$O436-$P436+$R436-$S436-IF(ROUNDUP(IF(ISBLANK($U436),$T436,$U436)/IF(AND($B436=1,$D$2&lt;&gt;"Egyszeri"),1,VLOOKUP($B436+IF($C436=12,1,0),Paraméterek!$B$257:$D$267,IF($D$2="Egyszeri",3,2))),IF($D$4="Forint",0,2))&gt;$M436-$O436-$P436+$R436-$S436-IF($D$4="Forint",Paraméterek!$C$216,Paraméterek!$D$216),0,ROUNDUP(IF(ISBLANK($U436),$T436,$U436)/IF(AND($B436=1,$D$2&lt;&gt;"Egyszeri"),1,VLOOKUP($B436+IF($C436=12,1,0),Paraméterek!$B$257:$D$267,IF($D$2="Egyszeri",3,2))),IF($D$4="Forint",0,2)))</f>
        <v>-273767</v>
      </c>
      <c r="W436" s="13">
        <f ca="1">ROUNDDOWN($V436*VLOOKUP($B436+IF($C436=12,1,0),Paraméterek!$B$257:$D$267,IF($D$2="Egyszeri",3,2)),IF($D$4="Forint",0,2))</f>
        <v>-273767</v>
      </c>
      <c r="Y436" s="32">
        <v>417</v>
      </c>
      <c r="Z436" s="32">
        <v>35</v>
      </c>
      <c r="AA436" s="32">
        <v>9</v>
      </c>
      <c r="AB436" s="13">
        <f t="shared" si="101"/>
        <v>0</v>
      </c>
      <c r="AC436" s="33"/>
      <c r="AD436" s="13">
        <f t="shared" si="97"/>
        <v>0</v>
      </c>
      <c r="AE436" s="13">
        <f>ROUNDUP(($AB436+$AD436)*VLOOKUP($Z436,Paraméterek!$P$38:$Q$38,2)/12,IF($D$4="Forint",0,2))</f>
        <v>0</v>
      </c>
      <c r="AF436" s="13">
        <f>IF($D$2="Egyszeri",IF($D$7&gt;=IF($D$4="Forint",Paraméterek!$P$223,Paraméterek!$P$224),$D$7-IF($D$4="Forint",Paraméterek!$F$223,Paraméterek!$F$224),0),MIN(IF($AA436=12,AVERAGE($D$20:$D436)*12,0),SUM($D$20:$D$31)))</f>
        <v>0</v>
      </c>
      <c r="AG436" s="13">
        <f>IF(AND($Z436&gt;=10,MOD($Z436,5)=0),$AF436*IF($AA436=12,VLOOKUP($Z436,Paraméterek!$B$225:$F$240,IF($AF436&lt;IF($D$4="Forint",Paraméterek!$C$223,Paraméterek!$C$224),2,IF($AF436&lt;IF($D$4="Forint",Paraméterek!$D$223,Paraméterek!$D$224),3,4))),0),0)</f>
        <v>0</v>
      </c>
      <c r="AH436" s="13">
        <f>IF(AND($Z436&gt;=5,MOD($Z436,5)=0),IF($AA436=12,VLOOKUP($Z436,Paraméterek!$B$225:$F$240,5),0),IF(OR($Z436=3,$Z436=4),IF($AA436=12,VLOOKUP($Z436,Paraméterek!$B$225:$F$240,5,0),0),0))*$AF436</f>
        <v>0</v>
      </c>
      <c r="AI436" s="13">
        <f>ROUNDDOWN(IF(SUM($T$20:$U436)=0,IF($D$2="Egyszeri",$AH436,$AG436),0),IF($D$4="Forint",0,2))</f>
        <v>0</v>
      </c>
      <c r="AJ436" s="13">
        <f t="shared" si="102"/>
        <v>0</v>
      </c>
      <c r="AK436" s="13">
        <f t="shared" si="103"/>
        <v>0</v>
      </c>
      <c r="AM436" s="32">
        <v>417</v>
      </c>
      <c r="AN436" s="32">
        <v>35</v>
      </c>
      <c r="AO436" s="32">
        <v>9</v>
      </c>
      <c r="AP436" s="13"/>
      <c r="AQ436" s="32"/>
      <c r="AR436" s="13">
        <f t="shared" si="104"/>
        <v>0</v>
      </c>
      <c r="AS436" s="33"/>
      <c r="AT436" s="13">
        <f t="shared" si="98"/>
        <v>0</v>
      </c>
      <c r="AU436" s="13">
        <f>ROUNDUP(($AR436+$AT436)*VLOOKUP($AN436,Paraméterek!$P$38:$Q$38,2)/12,IF($D$4="Forint",0,2))</f>
        <v>0</v>
      </c>
      <c r="AV436" s="13"/>
      <c r="AW436" s="13"/>
      <c r="AX436" s="13">
        <f>ROUNDUP(IF(SUM($AV436:$AW436)=0,0,IF(IF(ISBLANK($AW436),$AV436,$AW436)*Paraméterek!$J$112&lt;IF($D$4="Forint",Paraméterek!$J$113,Paraméterek!$K$113),IF($D$4="Forint",Paraméterek!$J$113,Paraméterek!$K$113),IF(IF(ISBLANK($AW436),$AV436,$AW436)*Paraméterek!$J$112&gt;IF($D$4="Forint",Paraméterek!$J$114,Paraméterek!$K$114),IF($D$4="Forint",Paraméterek!$J$114,Paraméterek!$K$114),IF(ISBLANK($AW436),$AV436,$AW436)*Paraméterek!$J$112))),IF($D$4="Forint",0,2))</f>
        <v>0</v>
      </c>
      <c r="AY436" s="13">
        <f>$AR436+$AT436-$AU436-IF(ROUNDDOWN(IF(ISBLANK($AW436),$AV436,$AW436),IF($D$4="Forint",0,2))&gt;$AR436+$AT436-$AU436-IF($D$4="Forint",Paraméterek!$J$114,Paraméterek!$K$114),0,ROUNDDOWN(IF(ISBLANK($AW436),$AV436,$AW436),IF($D$4="Forint",0,2))-$AX436)</f>
        <v>0</v>
      </c>
      <c r="AZ436" s="13">
        <f t="shared" si="99"/>
        <v>0</v>
      </c>
    </row>
    <row r="437" spans="1:52" x14ac:dyDescent="0.2">
      <c r="A437" s="32">
        <v>418</v>
      </c>
      <c r="B437" s="32">
        <v>35</v>
      </c>
      <c r="C437" s="32">
        <v>10</v>
      </c>
      <c r="D437" s="13">
        <f t="shared" si="90"/>
        <v>0</v>
      </c>
      <c r="E437" s="13"/>
      <c r="F437" s="13"/>
      <c r="G437" s="13"/>
      <c r="H437" s="13">
        <f t="shared" si="91"/>
        <v>0</v>
      </c>
      <c r="I437" s="13">
        <f t="shared" si="92"/>
        <v>0</v>
      </c>
      <c r="J437" s="13">
        <f t="shared" si="93"/>
        <v>0</v>
      </c>
      <c r="K437" s="13">
        <f>ROUNDUP(IF($D$2="Egyszeri",$D437,IF($D$2="Havi",SUM($D$20:$D$31),IF(MOD($C437,$M$1)-1=0,SUM($D$20:$D$31),0))/12*$M$1)*VLOOKUP($B437,Paraméterek!$B$27:$D$30,IF($D$2="Egyszeri",3,2)),IF($D$4="Forint",0,2))</f>
        <v>0</v>
      </c>
      <c r="L437" s="13">
        <f t="shared" si="94"/>
        <v>0</v>
      </c>
      <c r="M437" s="13">
        <f t="shared" ca="1" si="100"/>
        <v>-273767</v>
      </c>
      <c r="N437" s="13">
        <f ca="1">IF($V436&gt;=VLOOKUP($M$4-1+$B437,Paraméterek!$B$121:$D$122,IF($D$4="Forint",2,3)),0,VLOOKUP($M$4-1+$B437,Paraméterek!$B$121:$D$122,IF($D$4="Forint",2,3))-$V436)</f>
        <v>283767</v>
      </c>
      <c r="O437" s="13">
        <f ca="1">ROUNDUP($N437*Paraméterek!$C$58/Paraméterek!$C$56,IF($D$4="Forint",0,2))</f>
        <v>46</v>
      </c>
      <c r="P437" s="13">
        <f t="shared" si="95"/>
        <v>1503</v>
      </c>
      <c r="Q437" s="33"/>
      <c r="R437" s="13">
        <f t="shared" ca="1" si="96"/>
        <v>0</v>
      </c>
      <c r="S437" s="13">
        <f ca="1">ROUNDUP(($M437-$O437-$P437+$R437)*VLOOKUP($B437,Paraméterek!$B$38:$D$39,IF($D$2="Egyszeri",3,2))/12,IF($D$4="Forint",0,2))</f>
        <v>-673</v>
      </c>
      <c r="T437" s="13"/>
      <c r="U437" s="13"/>
      <c r="V437" s="13">
        <f ca="1">$M437-$O437-$P437+$R437-$S437-IF(ROUNDUP(IF(ISBLANK($U437),$T437,$U437)/IF(AND($B437=1,$D$2&lt;&gt;"Egyszeri"),1,VLOOKUP($B437+IF($C437=12,1,0),Paraméterek!$B$257:$D$267,IF($D$2="Egyszeri",3,2))),IF($D$4="Forint",0,2))&gt;$M437-$O437-$P437+$R437-$S437-IF($D$4="Forint",Paraméterek!$C$216,Paraméterek!$D$216),0,ROUNDUP(IF(ISBLANK($U437),$T437,$U437)/IF(AND($B437=1,$D$2&lt;&gt;"Egyszeri"),1,VLOOKUP($B437+IF($C437=12,1,0),Paraméterek!$B$257:$D$267,IF($D$2="Egyszeri",3,2))),IF($D$4="Forint",0,2)))</f>
        <v>-274643</v>
      </c>
      <c r="W437" s="13">
        <f ca="1">ROUNDDOWN($V437*VLOOKUP($B437+IF($C437=12,1,0),Paraméterek!$B$257:$D$267,IF($D$2="Egyszeri",3,2)),IF($D$4="Forint",0,2))</f>
        <v>-274643</v>
      </c>
      <c r="Y437" s="32">
        <v>418</v>
      </c>
      <c r="Z437" s="32">
        <v>35</v>
      </c>
      <c r="AA437" s="32">
        <v>10</v>
      </c>
      <c r="AB437" s="13">
        <f t="shared" si="101"/>
        <v>0</v>
      </c>
      <c r="AC437" s="33"/>
      <c r="AD437" s="13">
        <f t="shared" si="97"/>
        <v>0</v>
      </c>
      <c r="AE437" s="13">
        <f>ROUNDUP(($AB437+$AD437)*VLOOKUP($Z437,Paraméterek!$P$38:$Q$38,2)/12,IF($D$4="Forint",0,2))</f>
        <v>0</v>
      </c>
      <c r="AF437" s="13">
        <f>IF($D$2="Egyszeri",IF($D$7&gt;=IF($D$4="Forint",Paraméterek!$P$223,Paraméterek!$P$224),$D$7-IF($D$4="Forint",Paraméterek!$F$223,Paraméterek!$F$224),0),MIN(IF($AA437=12,AVERAGE($D$20:$D437)*12,0),SUM($D$20:$D$31)))</f>
        <v>0</v>
      </c>
      <c r="AG437" s="13">
        <f>IF(AND($Z437&gt;=10,MOD($Z437,5)=0),$AF437*IF($AA437=12,VLOOKUP($Z437,Paraméterek!$B$225:$F$240,IF($AF437&lt;IF($D$4="Forint",Paraméterek!$C$223,Paraméterek!$C$224),2,IF($AF437&lt;IF($D$4="Forint",Paraméterek!$D$223,Paraméterek!$D$224),3,4))),0),0)</f>
        <v>0</v>
      </c>
      <c r="AH437" s="13">
        <f>IF(AND($Z437&gt;=5,MOD($Z437,5)=0),IF($AA437=12,VLOOKUP($Z437,Paraméterek!$B$225:$F$240,5),0),IF(OR($Z437=3,$Z437=4),IF($AA437=12,VLOOKUP($Z437,Paraméterek!$B$225:$F$240,5,0),0),0))*$AF437</f>
        <v>0</v>
      </c>
      <c r="AI437" s="13">
        <f>ROUNDDOWN(IF(SUM($T$20:$U437)=0,IF($D$2="Egyszeri",$AH437,$AG437),0),IF($D$4="Forint",0,2))</f>
        <v>0</v>
      </c>
      <c r="AJ437" s="13">
        <f t="shared" si="102"/>
        <v>0</v>
      </c>
      <c r="AK437" s="13">
        <f t="shared" si="103"/>
        <v>0</v>
      </c>
      <c r="AM437" s="32">
        <v>418</v>
      </c>
      <c r="AN437" s="32">
        <v>35</v>
      </c>
      <c r="AO437" s="32">
        <v>10</v>
      </c>
      <c r="AP437" s="13"/>
      <c r="AQ437" s="32"/>
      <c r="AR437" s="13">
        <f t="shared" si="104"/>
        <v>0</v>
      </c>
      <c r="AS437" s="33"/>
      <c r="AT437" s="13">
        <f t="shared" si="98"/>
        <v>0</v>
      </c>
      <c r="AU437" s="13">
        <f>ROUNDUP(($AR437+$AT437)*VLOOKUP($AN437,Paraméterek!$P$38:$Q$38,2)/12,IF($D$4="Forint",0,2))</f>
        <v>0</v>
      </c>
      <c r="AV437" s="13"/>
      <c r="AW437" s="13"/>
      <c r="AX437" s="13">
        <f>ROUNDUP(IF(SUM($AV437:$AW437)=0,0,IF(IF(ISBLANK($AW437),$AV437,$AW437)*Paraméterek!$J$112&lt;IF($D$4="Forint",Paraméterek!$J$113,Paraméterek!$K$113),IF($D$4="Forint",Paraméterek!$J$113,Paraméterek!$K$113),IF(IF(ISBLANK($AW437),$AV437,$AW437)*Paraméterek!$J$112&gt;IF($D$4="Forint",Paraméterek!$J$114,Paraméterek!$K$114),IF($D$4="Forint",Paraméterek!$J$114,Paraméterek!$K$114),IF(ISBLANK($AW437),$AV437,$AW437)*Paraméterek!$J$112))),IF($D$4="Forint",0,2))</f>
        <v>0</v>
      </c>
      <c r="AY437" s="13">
        <f>$AR437+$AT437-$AU437-IF(ROUNDDOWN(IF(ISBLANK($AW437),$AV437,$AW437),IF($D$4="Forint",0,2))&gt;$AR437+$AT437-$AU437-IF($D$4="Forint",Paraméterek!$J$114,Paraméterek!$K$114),0,ROUNDDOWN(IF(ISBLANK($AW437),$AV437,$AW437),IF($D$4="Forint",0,2))-$AX437)</f>
        <v>0</v>
      </c>
      <c r="AZ437" s="13">
        <f t="shared" si="99"/>
        <v>0</v>
      </c>
    </row>
    <row r="438" spans="1:52" x14ac:dyDescent="0.2">
      <c r="A438" s="32">
        <v>419</v>
      </c>
      <c r="B438" s="32">
        <v>35</v>
      </c>
      <c r="C438" s="32">
        <v>11</v>
      </c>
      <c r="D438" s="13">
        <f t="shared" si="90"/>
        <v>0</v>
      </c>
      <c r="E438" s="13"/>
      <c r="F438" s="13"/>
      <c r="G438" s="13"/>
      <c r="H438" s="13">
        <f t="shared" si="91"/>
        <v>0</v>
      </c>
      <c r="I438" s="13">
        <f t="shared" si="92"/>
        <v>0</v>
      </c>
      <c r="J438" s="13">
        <f t="shared" si="93"/>
        <v>0</v>
      </c>
      <c r="K438" s="13">
        <f>ROUNDUP(IF($D$2="Egyszeri",$D438,IF($D$2="Havi",SUM($D$20:$D$31),IF(MOD($C438,$M$1)-1=0,SUM($D$20:$D$31),0))/12*$M$1)*VLOOKUP($B438,Paraméterek!$B$27:$D$30,IF($D$2="Egyszeri",3,2)),IF($D$4="Forint",0,2))</f>
        <v>0</v>
      </c>
      <c r="L438" s="13">
        <f t="shared" si="94"/>
        <v>0</v>
      </c>
      <c r="M438" s="13">
        <f t="shared" ca="1" si="100"/>
        <v>-274643</v>
      </c>
      <c r="N438" s="13">
        <f ca="1">IF($V437&gt;=VLOOKUP($M$4-1+$B438,Paraméterek!$B$121:$D$122,IF($D$4="Forint",2,3)),0,VLOOKUP($M$4-1+$B438,Paraméterek!$B$121:$D$122,IF($D$4="Forint",2,3))-$V437)</f>
        <v>284643</v>
      </c>
      <c r="O438" s="13">
        <f ca="1">ROUNDUP($N438*Paraméterek!$C$58/Paraméterek!$C$56,IF($D$4="Forint",0,2))</f>
        <v>46</v>
      </c>
      <c r="P438" s="13">
        <f t="shared" si="95"/>
        <v>1503</v>
      </c>
      <c r="Q438" s="33"/>
      <c r="R438" s="13">
        <f t="shared" ca="1" si="96"/>
        <v>0</v>
      </c>
      <c r="S438" s="13">
        <f ca="1">ROUNDUP(($M438-$O438-$P438+$R438)*VLOOKUP($B438,Paraméterek!$B$38:$D$39,IF($D$2="Egyszeri",3,2))/12,IF($D$4="Forint",0,2))</f>
        <v>-675</v>
      </c>
      <c r="T438" s="13"/>
      <c r="U438" s="13"/>
      <c r="V438" s="13">
        <f ca="1">$M438-$O438-$P438+$R438-$S438-IF(ROUNDUP(IF(ISBLANK($U438),$T438,$U438)/IF(AND($B438=1,$D$2&lt;&gt;"Egyszeri"),1,VLOOKUP($B438+IF($C438=12,1,0),Paraméterek!$B$257:$D$267,IF($D$2="Egyszeri",3,2))),IF($D$4="Forint",0,2))&gt;$M438-$O438-$P438+$R438-$S438-IF($D$4="Forint",Paraméterek!$C$216,Paraméterek!$D$216),0,ROUNDUP(IF(ISBLANK($U438),$T438,$U438)/IF(AND($B438=1,$D$2&lt;&gt;"Egyszeri"),1,VLOOKUP($B438+IF($C438=12,1,0),Paraméterek!$B$257:$D$267,IF($D$2="Egyszeri",3,2))),IF($D$4="Forint",0,2)))</f>
        <v>-275517</v>
      </c>
      <c r="W438" s="13">
        <f ca="1">ROUNDDOWN($V438*VLOOKUP($B438+IF($C438=12,1,0),Paraméterek!$B$257:$D$267,IF($D$2="Egyszeri",3,2)),IF($D$4="Forint",0,2))</f>
        <v>-275517</v>
      </c>
      <c r="Y438" s="32">
        <v>419</v>
      </c>
      <c r="Z438" s="32">
        <v>35</v>
      </c>
      <c r="AA438" s="32">
        <v>11</v>
      </c>
      <c r="AB438" s="13">
        <f t="shared" si="101"/>
        <v>0</v>
      </c>
      <c r="AC438" s="33"/>
      <c r="AD438" s="13">
        <f t="shared" si="97"/>
        <v>0</v>
      </c>
      <c r="AE438" s="13">
        <f>ROUNDUP(($AB438+$AD438)*VLOOKUP($Z438,Paraméterek!$P$38:$Q$38,2)/12,IF($D$4="Forint",0,2))</f>
        <v>0</v>
      </c>
      <c r="AF438" s="13">
        <f>IF($D$2="Egyszeri",IF($D$7&gt;=IF($D$4="Forint",Paraméterek!$P$223,Paraméterek!$P$224),$D$7-IF($D$4="Forint",Paraméterek!$F$223,Paraméterek!$F$224),0),MIN(IF($AA438=12,AVERAGE($D$20:$D438)*12,0),SUM($D$20:$D$31)))</f>
        <v>0</v>
      </c>
      <c r="AG438" s="13">
        <f>IF(AND($Z438&gt;=10,MOD($Z438,5)=0),$AF438*IF($AA438=12,VLOOKUP($Z438,Paraméterek!$B$225:$F$240,IF($AF438&lt;IF($D$4="Forint",Paraméterek!$C$223,Paraméterek!$C$224),2,IF($AF438&lt;IF($D$4="Forint",Paraméterek!$D$223,Paraméterek!$D$224),3,4))),0),0)</f>
        <v>0</v>
      </c>
      <c r="AH438" s="13">
        <f>IF(AND($Z438&gt;=5,MOD($Z438,5)=0),IF($AA438=12,VLOOKUP($Z438,Paraméterek!$B$225:$F$240,5),0),IF(OR($Z438=3,$Z438=4),IF($AA438=12,VLOOKUP($Z438,Paraméterek!$B$225:$F$240,5,0),0),0))*$AF438</f>
        <v>0</v>
      </c>
      <c r="AI438" s="13">
        <f>ROUNDDOWN(IF(SUM($T$20:$U438)=0,IF($D$2="Egyszeri",$AH438,$AG438),0),IF($D$4="Forint",0,2))</f>
        <v>0</v>
      </c>
      <c r="AJ438" s="13">
        <f t="shared" si="102"/>
        <v>0</v>
      </c>
      <c r="AK438" s="13">
        <f t="shared" si="103"/>
        <v>0</v>
      </c>
      <c r="AM438" s="32">
        <v>419</v>
      </c>
      <c r="AN438" s="32">
        <v>35</v>
      </c>
      <c r="AO438" s="32">
        <v>11</v>
      </c>
      <c r="AP438" s="13"/>
      <c r="AQ438" s="32"/>
      <c r="AR438" s="13">
        <f t="shared" si="104"/>
        <v>0</v>
      </c>
      <c r="AS438" s="33"/>
      <c r="AT438" s="13">
        <f t="shared" si="98"/>
        <v>0</v>
      </c>
      <c r="AU438" s="13">
        <f>ROUNDUP(($AR438+$AT438)*VLOOKUP($AN438,Paraméterek!$P$38:$Q$38,2)/12,IF($D$4="Forint",0,2))</f>
        <v>0</v>
      </c>
      <c r="AV438" s="13"/>
      <c r="AW438" s="13"/>
      <c r="AX438" s="13">
        <f>ROUNDUP(IF(SUM($AV438:$AW438)=0,0,IF(IF(ISBLANK($AW438),$AV438,$AW438)*Paraméterek!$J$112&lt;IF($D$4="Forint",Paraméterek!$J$113,Paraméterek!$K$113),IF($D$4="Forint",Paraméterek!$J$113,Paraméterek!$K$113),IF(IF(ISBLANK($AW438),$AV438,$AW438)*Paraméterek!$J$112&gt;IF($D$4="Forint",Paraméterek!$J$114,Paraméterek!$K$114),IF($D$4="Forint",Paraméterek!$J$114,Paraméterek!$K$114),IF(ISBLANK($AW438),$AV438,$AW438)*Paraméterek!$J$112))),IF($D$4="Forint",0,2))</f>
        <v>0</v>
      </c>
      <c r="AY438" s="13">
        <f>$AR438+$AT438-$AU438-IF(ROUNDDOWN(IF(ISBLANK($AW438),$AV438,$AW438),IF($D$4="Forint",0,2))&gt;$AR438+$AT438-$AU438-IF($D$4="Forint",Paraméterek!$J$114,Paraméterek!$K$114),0,ROUNDDOWN(IF(ISBLANK($AW438),$AV438,$AW438),IF($D$4="Forint",0,2))-$AX438)</f>
        <v>0</v>
      </c>
      <c r="AZ438" s="13">
        <f t="shared" si="99"/>
        <v>0</v>
      </c>
    </row>
    <row r="439" spans="1:52" x14ac:dyDescent="0.2">
      <c r="A439" s="32">
        <v>420</v>
      </c>
      <c r="B439" s="32">
        <v>35</v>
      </c>
      <c r="C439" s="32">
        <v>12</v>
      </c>
      <c r="D439" s="13">
        <f t="shared" si="90"/>
        <v>0</v>
      </c>
      <c r="E439" s="13"/>
      <c r="F439" s="13"/>
      <c r="G439" s="13"/>
      <c r="H439" s="13">
        <f t="shared" si="91"/>
        <v>0</v>
      </c>
      <c r="I439" s="13">
        <f t="shared" si="92"/>
        <v>0</v>
      </c>
      <c r="J439" s="13">
        <f t="shared" si="93"/>
        <v>0</v>
      </c>
      <c r="K439" s="13">
        <f>ROUNDUP(IF($D$2="Egyszeri",$D439,IF($D$2="Havi",SUM($D$20:$D$31),IF(MOD($C439,$M$1)-1=0,SUM($D$20:$D$31),0))/12*$M$1)*VLOOKUP($B439,Paraméterek!$B$27:$D$30,IF($D$2="Egyszeri",3,2)),IF($D$4="Forint",0,2))</f>
        <v>0</v>
      </c>
      <c r="L439" s="13">
        <f t="shared" si="94"/>
        <v>0</v>
      </c>
      <c r="M439" s="13">
        <f t="shared" ca="1" si="100"/>
        <v>-275517</v>
      </c>
      <c r="N439" s="13">
        <f ca="1">IF($V438&gt;=VLOOKUP($M$4-1+$B439,Paraméterek!$B$121:$D$122,IF($D$4="Forint",2,3)),0,VLOOKUP($M$4-1+$B439,Paraméterek!$B$121:$D$122,IF($D$4="Forint",2,3))-$V438)</f>
        <v>285517</v>
      </c>
      <c r="O439" s="13">
        <f ca="1">ROUNDUP($N439*Paraméterek!$C$58/Paraméterek!$C$56,IF($D$4="Forint",0,2))</f>
        <v>46</v>
      </c>
      <c r="P439" s="13">
        <f t="shared" si="95"/>
        <v>1503</v>
      </c>
      <c r="Q439" s="33"/>
      <c r="R439" s="13">
        <f t="shared" ca="1" si="96"/>
        <v>0</v>
      </c>
      <c r="S439" s="13">
        <f ca="1">ROUNDUP(($M439-$O439-$P439+$R439)*VLOOKUP($B439,Paraméterek!$B$38:$D$39,IF($D$2="Egyszeri",3,2))/12,IF($D$4="Forint",0,2))</f>
        <v>-677</v>
      </c>
      <c r="T439" s="13">
        <f>Tranzakciók!$F$66</f>
        <v>0</v>
      </c>
      <c r="U439" s="13"/>
      <c r="V439" s="13">
        <f ca="1">$M439-$O439-$P439+$R439-$S439-IF(ROUNDUP(IF(ISBLANK($U439),$T439,$U439)/IF(AND($B439=1,$D$2&lt;&gt;"Egyszeri"),1,VLOOKUP($B439+IF($C439=12,1,0),Paraméterek!$B$257:$D$267,IF($D$2="Egyszeri",3,2))),IF($D$4="Forint",0,2))&gt;$M439-$O439-$P439+$R439-$S439-IF($D$4="Forint",Paraméterek!$C$216,Paraméterek!$D$216),0,ROUNDUP(IF(ISBLANK($U439),$T439,$U439)/IF(AND($B439=1,$D$2&lt;&gt;"Egyszeri"),1,VLOOKUP($B439+IF($C439=12,1,0),Paraméterek!$B$257:$D$267,IF($D$2="Egyszeri",3,2))),IF($D$4="Forint",0,2)))</f>
        <v>-276389</v>
      </c>
      <c r="W439" s="13">
        <f ca="1">ROUNDDOWN($V439*VLOOKUP($B439+IF($C439=12,1,0),Paraméterek!$B$257:$D$267,IF($D$2="Egyszeri",3,2)),IF($D$4="Forint",0,2))</f>
        <v>-276389</v>
      </c>
      <c r="Y439" s="32">
        <v>420</v>
      </c>
      <c r="Z439" s="32">
        <v>35</v>
      </c>
      <c r="AA439" s="32">
        <v>12</v>
      </c>
      <c r="AB439" s="13">
        <f t="shared" si="101"/>
        <v>0</v>
      </c>
      <c r="AC439" s="33"/>
      <c r="AD439" s="13">
        <f t="shared" si="97"/>
        <v>0</v>
      </c>
      <c r="AE439" s="13">
        <f>ROUNDUP(($AB439+$AD439)*VLOOKUP($Z439,Paraméterek!$P$38:$Q$38,2)/12,IF($D$4="Forint",0,2))</f>
        <v>0</v>
      </c>
      <c r="AF439" s="13">
        <f>IF($D$2="Egyszeri",IF($D$7&gt;=IF($D$4="Forint",Paraméterek!$P$223,Paraméterek!$P$224),$D$7-IF($D$4="Forint",Paraméterek!$F$223,Paraméterek!$F$224),0),MIN(IF($AA439=12,AVERAGE($D$20:$D439)*12,0),SUM($D$20:$D$31)))</f>
        <v>0</v>
      </c>
      <c r="AG439" s="13">
        <f>IF(AND($Z439&gt;=10,MOD($Z439,5)=0),$AF439*IF($AA439=12,VLOOKUP($Z439,Paraméterek!$B$225:$F$240,IF($AF439&lt;IF($D$4="Forint",Paraméterek!$C$223,Paraméterek!$C$224),2,IF($AF439&lt;IF($D$4="Forint",Paraméterek!$D$223,Paraméterek!$D$224),3,4))),0),0)</f>
        <v>0</v>
      </c>
      <c r="AH439" s="13">
        <f>IF(AND($Z439&gt;=5,MOD($Z439,5)=0),IF($AA439=12,VLOOKUP($Z439,Paraméterek!$B$225:$F$240,5),0),IF(OR($Z439=3,$Z439=4),IF($AA439=12,VLOOKUP($Z439,Paraméterek!$B$225:$F$240,5,0),0),0))*$AF439</f>
        <v>0</v>
      </c>
      <c r="AI439" s="13">
        <f>ROUNDDOWN(IF(SUM($T$20:$U439)=0,IF($D$2="Egyszeri",$AH439,$AG439),0),IF($D$4="Forint",0,2))</f>
        <v>0</v>
      </c>
      <c r="AJ439" s="13">
        <f t="shared" si="102"/>
        <v>0</v>
      </c>
      <c r="AK439" s="13">
        <f t="shared" si="103"/>
        <v>0</v>
      </c>
      <c r="AM439" s="32">
        <v>420</v>
      </c>
      <c r="AN439" s="32">
        <v>35</v>
      </c>
      <c r="AO439" s="32">
        <v>12</v>
      </c>
      <c r="AP439" s="13"/>
      <c r="AQ439" s="32"/>
      <c r="AR439" s="13">
        <f t="shared" si="104"/>
        <v>0</v>
      </c>
      <c r="AS439" s="33"/>
      <c r="AT439" s="13">
        <f t="shared" si="98"/>
        <v>0</v>
      </c>
      <c r="AU439" s="13">
        <f>ROUNDUP(($AR439+$AT439)*VLOOKUP($AN439,Paraméterek!$P$38:$Q$38,2)/12,IF($D$4="Forint",0,2))</f>
        <v>0</v>
      </c>
      <c r="AV439" s="13">
        <f>Tranzakciók!$M$66</f>
        <v>0</v>
      </c>
      <c r="AW439" s="13"/>
      <c r="AX439" s="13">
        <f>ROUNDUP(IF(SUM($AV439:$AW439)=0,0,IF(IF(ISBLANK($AW439),$AV439,$AW439)*Paraméterek!$J$112&lt;IF($D$4="Forint",Paraméterek!$J$113,Paraméterek!$K$113),IF($D$4="Forint",Paraméterek!$J$113,Paraméterek!$K$113),IF(IF(ISBLANK($AW439),$AV439,$AW439)*Paraméterek!$J$112&gt;IF($D$4="Forint",Paraméterek!$J$114,Paraméterek!$K$114),IF($D$4="Forint",Paraméterek!$J$114,Paraméterek!$K$114),IF(ISBLANK($AW439),$AV439,$AW439)*Paraméterek!$J$112))),IF($D$4="Forint",0,2))</f>
        <v>0</v>
      </c>
      <c r="AY439" s="13">
        <f>$AR439+$AT439-$AU439-IF(ROUNDDOWN(IF(ISBLANK($AW439),$AV439,$AW439),IF($D$4="Forint",0,2))&gt;$AR439+$AT439-$AU439-IF($D$4="Forint",Paraméterek!$J$114,Paraméterek!$K$114),0,ROUNDDOWN(IF(ISBLANK($AW439),$AV439,$AW439),IF($D$4="Forint",0,2))-$AX439)</f>
        <v>0</v>
      </c>
      <c r="AZ439" s="13">
        <f t="shared" si="99"/>
        <v>0</v>
      </c>
    </row>
    <row r="440" spans="1:52" x14ac:dyDescent="0.2">
      <c r="A440" s="32">
        <v>421</v>
      </c>
      <c r="B440" s="32">
        <v>36</v>
      </c>
      <c r="C440" s="32">
        <v>1</v>
      </c>
      <c r="D440" s="13">
        <f t="shared" si="90"/>
        <v>0</v>
      </c>
      <c r="E440" s="13"/>
      <c r="F440" s="13">
        <f>Tranzakciók!$D$67</f>
        <v>0</v>
      </c>
      <c r="G440" s="13"/>
      <c r="H440" s="13">
        <f t="shared" si="91"/>
        <v>0</v>
      </c>
      <c r="I440" s="13">
        <f t="shared" si="92"/>
        <v>282</v>
      </c>
      <c r="J440" s="13">
        <f t="shared" si="93"/>
        <v>282</v>
      </c>
      <c r="K440" s="13">
        <f>ROUNDUP(IF($D$2="Egyszeri",$D440,IF($D$2="Havi",SUM($D$20:$D$31),IF(MOD($C440,$M$1)-1=0,SUM($D$20:$D$31),0))/12*$M$1)*VLOOKUP($B440,Paraméterek!$B$27:$D$30,IF($D$2="Egyszeri",3,2)),IF($D$4="Forint",0,2))</f>
        <v>0</v>
      </c>
      <c r="L440" s="13">
        <f t="shared" si="94"/>
        <v>0</v>
      </c>
      <c r="M440" s="13">
        <f t="shared" ca="1" si="100"/>
        <v>-276389</v>
      </c>
      <c r="N440" s="13">
        <f ca="1">IF($V439&gt;=VLOOKUP($M$4-1+$B440,Paraméterek!$B$121:$D$122,IF($D$4="Forint",2,3)),0,VLOOKUP($M$4-1+$B440,Paraméterek!$B$121:$D$122,IF($D$4="Forint",2,3))-$V439)</f>
        <v>286389</v>
      </c>
      <c r="O440" s="13">
        <f ca="1">ROUNDUP($N440*Paraméterek!$C$58/Paraméterek!$C$56,IF($D$4="Forint",0,2))</f>
        <v>46</v>
      </c>
      <c r="P440" s="13">
        <f t="shared" si="95"/>
        <v>1548</v>
      </c>
      <c r="Q440" s="33"/>
      <c r="R440" s="13">
        <f t="shared" ca="1" si="96"/>
        <v>0</v>
      </c>
      <c r="S440" s="13">
        <f ca="1">ROUNDUP(($M440-$O440-$P440+$R440)*VLOOKUP($B440,Paraméterek!$B$38:$D$39,IF($D$2="Egyszeri",3,2))/12,IF($D$4="Forint",0,2))</f>
        <v>-679</v>
      </c>
      <c r="T440" s="13"/>
      <c r="U440" s="13"/>
      <c r="V440" s="13">
        <f ca="1">$M440-$O440-$P440+$R440-$S440-IF(ROUNDUP(IF(ISBLANK($U440),$T440,$U440)/IF(AND($B440=1,$D$2&lt;&gt;"Egyszeri"),1,VLOOKUP($B440+IF($C440=12,1,0),Paraméterek!$B$257:$D$267,IF($D$2="Egyszeri",3,2))),IF($D$4="Forint",0,2))&gt;$M440-$O440-$P440+$R440-$S440-IF($D$4="Forint",Paraméterek!$C$216,Paraméterek!$D$216),0,ROUNDUP(IF(ISBLANK($U440),$T440,$U440)/IF(AND($B440=1,$D$2&lt;&gt;"Egyszeri"),1,VLOOKUP($B440+IF($C440=12,1,0),Paraméterek!$B$257:$D$267,IF($D$2="Egyszeri",3,2))),IF($D$4="Forint",0,2)))</f>
        <v>-277304</v>
      </c>
      <c r="W440" s="13">
        <f ca="1">ROUNDDOWN($V440*VLOOKUP($B440+IF($C440=12,1,0),Paraméterek!$B$257:$D$267,IF($D$2="Egyszeri",3,2)),IF($D$4="Forint",0,2))</f>
        <v>-277304</v>
      </c>
      <c r="Y440" s="32">
        <v>421</v>
      </c>
      <c r="Z440" s="32">
        <v>36</v>
      </c>
      <c r="AA440" s="32">
        <v>1</v>
      </c>
      <c r="AB440" s="13">
        <f t="shared" si="101"/>
        <v>0</v>
      </c>
      <c r="AC440" s="33"/>
      <c r="AD440" s="13">
        <f t="shared" si="97"/>
        <v>0</v>
      </c>
      <c r="AE440" s="13">
        <f>ROUNDUP(($AB440+$AD440)*VLOOKUP($Z440,Paraméterek!$P$38:$Q$38,2)/12,IF($D$4="Forint",0,2))</f>
        <v>0</v>
      </c>
      <c r="AF440" s="13">
        <f>IF($D$2="Egyszeri",IF($D$7&gt;=IF($D$4="Forint",Paraméterek!$P$223,Paraméterek!$P$224),$D$7-IF($D$4="Forint",Paraméterek!$F$223,Paraméterek!$F$224),0),MIN(IF($AA440=12,AVERAGE($D$20:$D440)*12,0),SUM($D$20:$D$31)))</f>
        <v>0</v>
      </c>
      <c r="AG440" s="13">
        <f>IF(AND($Z440&gt;=10,MOD($Z440,5)=0),$AF440*IF($AA440=12,VLOOKUP($Z440,Paraméterek!$B$225:$F$240,IF($AF440&lt;IF($D$4="Forint",Paraméterek!$C$223,Paraméterek!$C$224),2,IF($AF440&lt;IF($D$4="Forint",Paraméterek!$D$223,Paraméterek!$D$224),3,4))),0),0)</f>
        <v>0</v>
      </c>
      <c r="AH440" s="13">
        <f>IF(AND($Z440&gt;=5,MOD($Z440,5)=0),IF($AA440=12,VLOOKUP($Z440,Paraméterek!$B$225:$F$240,5),0),IF(OR($Z440=3,$Z440=4),IF($AA440=12,VLOOKUP($Z440,Paraméterek!$B$225:$F$240,5,0),0),0))*$AF440</f>
        <v>0</v>
      </c>
      <c r="AI440" s="13">
        <f>ROUNDDOWN(IF(SUM($T$20:$U440)=0,IF($D$2="Egyszeri",$AH440,$AG440),0),IF($D$4="Forint",0,2))</f>
        <v>0</v>
      </c>
      <c r="AJ440" s="13">
        <f t="shared" si="102"/>
        <v>0</v>
      </c>
      <c r="AK440" s="13">
        <f t="shared" si="103"/>
        <v>0</v>
      </c>
      <c r="AM440" s="32">
        <v>421</v>
      </c>
      <c r="AN440" s="32">
        <v>36</v>
      </c>
      <c r="AO440" s="32">
        <v>1</v>
      </c>
      <c r="AP440" s="13">
        <f>Tranzakciók!$K$67</f>
        <v>0</v>
      </c>
      <c r="AQ440" s="32"/>
      <c r="AR440" s="13">
        <f t="shared" si="104"/>
        <v>0</v>
      </c>
      <c r="AS440" s="33"/>
      <c r="AT440" s="13">
        <f t="shared" si="98"/>
        <v>0</v>
      </c>
      <c r="AU440" s="13">
        <f>ROUNDUP(($AR440+$AT440)*VLOOKUP($AN440,Paraméterek!$P$38:$Q$38,2)/12,IF($D$4="Forint",0,2))</f>
        <v>0</v>
      </c>
      <c r="AV440" s="13"/>
      <c r="AW440" s="13"/>
      <c r="AX440" s="13">
        <f>ROUNDUP(IF(SUM($AV440:$AW440)=0,0,IF(IF(ISBLANK($AW440),$AV440,$AW440)*Paraméterek!$J$112&lt;IF($D$4="Forint",Paraméterek!$J$113,Paraméterek!$K$113),IF($D$4="Forint",Paraméterek!$J$113,Paraméterek!$K$113),IF(IF(ISBLANK($AW440),$AV440,$AW440)*Paraméterek!$J$112&gt;IF($D$4="Forint",Paraméterek!$J$114,Paraméterek!$K$114),IF($D$4="Forint",Paraméterek!$J$114,Paraméterek!$K$114),IF(ISBLANK($AW440),$AV440,$AW440)*Paraméterek!$J$112))),IF($D$4="Forint",0,2))</f>
        <v>0</v>
      </c>
      <c r="AY440" s="13">
        <f>$AR440+$AT440-$AU440-IF(ROUNDDOWN(IF(ISBLANK($AW440),$AV440,$AW440),IF($D$4="Forint",0,2))&gt;$AR440+$AT440-$AU440-IF($D$4="Forint",Paraméterek!$J$114,Paraméterek!$K$114),0,ROUNDDOWN(IF(ISBLANK($AW440),$AV440,$AW440),IF($D$4="Forint",0,2))-$AX440)</f>
        <v>0</v>
      </c>
      <c r="AZ440" s="13">
        <f t="shared" si="99"/>
        <v>0</v>
      </c>
    </row>
    <row r="441" spans="1:52" x14ac:dyDescent="0.2">
      <c r="A441" s="32">
        <v>422</v>
      </c>
      <c r="B441" s="32">
        <v>36</v>
      </c>
      <c r="C441" s="32">
        <v>2</v>
      </c>
      <c r="D441" s="13">
        <f t="shared" si="90"/>
        <v>0</v>
      </c>
      <c r="E441" s="13"/>
      <c r="F441" s="13"/>
      <c r="G441" s="13"/>
      <c r="H441" s="13">
        <f t="shared" si="91"/>
        <v>0</v>
      </c>
      <c r="I441" s="13">
        <f t="shared" si="92"/>
        <v>0</v>
      </c>
      <c r="J441" s="13">
        <f t="shared" si="93"/>
        <v>0</v>
      </c>
      <c r="K441" s="13">
        <f>ROUNDUP(IF($D$2="Egyszeri",$D441,IF($D$2="Havi",SUM($D$20:$D$31),IF(MOD($C441,$M$1)-1=0,SUM($D$20:$D$31),0))/12*$M$1)*VLOOKUP($B441,Paraméterek!$B$27:$D$30,IF($D$2="Egyszeri",3,2)),IF($D$4="Forint",0,2))</f>
        <v>0</v>
      </c>
      <c r="L441" s="13">
        <f t="shared" si="94"/>
        <v>0</v>
      </c>
      <c r="M441" s="13">
        <f t="shared" ca="1" si="100"/>
        <v>-277304</v>
      </c>
      <c r="N441" s="13">
        <f ca="1">IF($V440&gt;=VLOOKUP($M$4-1+$B441,Paraméterek!$B$121:$D$122,IF($D$4="Forint",2,3)),0,VLOOKUP($M$4-1+$B441,Paraméterek!$B$121:$D$122,IF($D$4="Forint",2,3))-$V440)</f>
        <v>287304</v>
      </c>
      <c r="O441" s="13">
        <f ca="1">ROUNDUP($N441*Paraméterek!$C$58/Paraméterek!$C$56,IF($D$4="Forint",0,2))</f>
        <v>46</v>
      </c>
      <c r="P441" s="13">
        <f t="shared" si="95"/>
        <v>1548</v>
      </c>
      <c r="Q441" s="33"/>
      <c r="R441" s="13">
        <f t="shared" ca="1" si="96"/>
        <v>0</v>
      </c>
      <c r="S441" s="13">
        <f ca="1">ROUNDUP(($M441-$O441-$P441+$R441)*VLOOKUP($B441,Paraméterek!$B$38:$D$39,IF($D$2="Egyszeri",3,2))/12,IF($D$4="Forint",0,2))</f>
        <v>-681</v>
      </c>
      <c r="T441" s="13"/>
      <c r="U441" s="13"/>
      <c r="V441" s="13">
        <f ca="1">$M441-$O441-$P441+$R441-$S441-IF(ROUNDUP(IF(ISBLANK($U441),$T441,$U441)/IF(AND($B441=1,$D$2&lt;&gt;"Egyszeri"),1,VLOOKUP($B441+IF($C441=12,1,0),Paraméterek!$B$257:$D$267,IF($D$2="Egyszeri",3,2))),IF($D$4="Forint",0,2))&gt;$M441-$O441-$P441+$R441-$S441-IF($D$4="Forint",Paraméterek!$C$216,Paraméterek!$D$216),0,ROUNDUP(IF(ISBLANK($U441),$T441,$U441)/IF(AND($B441=1,$D$2&lt;&gt;"Egyszeri"),1,VLOOKUP($B441+IF($C441=12,1,0),Paraméterek!$B$257:$D$267,IF($D$2="Egyszeri",3,2))),IF($D$4="Forint",0,2)))</f>
        <v>-278217</v>
      </c>
      <c r="W441" s="13">
        <f ca="1">ROUNDDOWN($V441*VLOOKUP($B441+IF($C441=12,1,0),Paraméterek!$B$257:$D$267,IF($D$2="Egyszeri",3,2)),IF($D$4="Forint",0,2))</f>
        <v>-278217</v>
      </c>
      <c r="Y441" s="32">
        <v>422</v>
      </c>
      <c r="Z441" s="32">
        <v>36</v>
      </c>
      <c r="AA441" s="32">
        <v>2</v>
      </c>
      <c r="AB441" s="13">
        <f t="shared" si="101"/>
        <v>0</v>
      </c>
      <c r="AC441" s="33"/>
      <c r="AD441" s="13">
        <f t="shared" si="97"/>
        <v>0</v>
      </c>
      <c r="AE441" s="13">
        <f>ROUNDUP(($AB441+$AD441)*VLOOKUP($Z441,Paraméterek!$P$38:$Q$38,2)/12,IF($D$4="Forint",0,2))</f>
        <v>0</v>
      </c>
      <c r="AF441" s="13">
        <f>IF($D$2="Egyszeri",IF($D$7&gt;=IF($D$4="Forint",Paraméterek!$P$223,Paraméterek!$P$224),$D$7-IF($D$4="Forint",Paraméterek!$F$223,Paraméterek!$F$224),0),MIN(IF($AA441=12,AVERAGE($D$20:$D441)*12,0),SUM($D$20:$D$31)))</f>
        <v>0</v>
      </c>
      <c r="AG441" s="13">
        <f>IF(AND($Z441&gt;=10,MOD($Z441,5)=0),$AF441*IF($AA441=12,VLOOKUP($Z441,Paraméterek!$B$225:$F$240,IF($AF441&lt;IF($D$4="Forint",Paraméterek!$C$223,Paraméterek!$C$224),2,IF($AF441&lt;IF($D$4="Forint",Paraméterek!$D$223,Paraméterek!$D$224),3,4))),0),0)</f>
        <v>0</v>
      </c>
      <c r="AH441" s="13">
        <f>IF(AND($Z441&gt;=5,MOD($Z441,5)=0),IF($AA441=12,VLOOKUP($Z441,Paraméterek!$B$225:$F$240,5),0),IF(OR($Z441=3,$Z441=4),IF($AA441=12,VLOOKUP($Z441,Paraméterek!$B$225:$F$240,5,0),0),0))*$AF441</f>
        <v>0</v>
      </c>
      <c r="AI441" s="13">
        <f>ROUNDDOWN(IF(SUM($T$20:$U441)=0,IF($D$2="Egyszeri",$AH441,$AG441),0),IF($D$4="Forint",0,2))</f>
        <v>0</v>
      </c>
      <c r="AJ441" s="13">
        <f t="shared" si="102"/>
        <v>0</v>
      </c>
      <c r="AK441" s="13">
        <f t="shared" si="103"/>
        <v>0</v>
      </c>
      <c r="AM441" s="32">
        <v>422</v>
      </c>
      <c r="AN441" s="32">
        <v>36</v>
      </c>
      <c r="AO441" s="32">
        <v>2</v>
      </c>
      <c r="AP441" s="13"/>
      <c r="AQ441" s="32"/>
      <c r="AR441" s="13">
        <f t="shared" si="104"/>
        <v>0</v>
      </c>
      <c r="AS441" s="33"/>
      <c r="AT441" s="13">
        <f t="shared" si="98"/>
        <v>0</v>
      </c>
      <c r="AU441" s="13">
        <f>ROUNDUP(($AR441+$AT441)*VLOOKUP($AN441,Paraméterek!$P$38:$Q$38,2)/12,IF($D$4="Forint",0,2))</f>
        <v>0</v>
      </c>
      <c r="AV441" s="13"/>
      <c r="AW441" s="13"/>
      <c r="AX441" s="13">
        <f>ROUNDUP(IF(SUM($AV441:$AW441)=0,0,IF(IF(ISBLANK($AW441),$AV441,$AW441)*Paraméterek!$J$112&lt;IF($D$4="Forint",Paraméterek!$J$113,Paraméterek!$K$113),IF($D$4="Forint",Paraméterek!$J$113,Paraméterek!$K$113),IF(IF(ISBLANK($AW441),$AV441,$AW441)*Paraméterek!$J$112&gt;IF($D$4="Forint",Paraméterek!$J$114,Paraméterek!$K$114),IF($D$4="Forint",Paraméterek!$J$114,Paraméterek!$K$114),IF(ISBLANK($AW441),$AV441,$AW441)*Paraméterek!$J$112))),IF($D$4="Forint",0,2))</f>
        <v>0</v>
      </c>
      <c r="AY441" s="13">
        <f>$AR441+$AT441-$AU441-IF(ROUNDDOWN(IF(ISBLANK($AW441),$AV441,$AW441),IF($D$4="Forint",0,2))&gt;$AR441+$AT441-$AU441-IF($D$4="Forint",Paraméterek!$J$114,Paraméterek!$K$114),0,ROUNDDOWN(IF(ISBLANK($AW441),$AV441,$AW441),IF($D$4="Forint",0,2))-$AX441)</f>
        <v>0</v>
      </c>
      <c r="AZ441" s="13">
        <f t="shared" si="99"/>
        <v>0</v>
      </c>
    </row>
    <row r="442" spans="1:52" x14ac:dyDescent="0.2">
      <c r="A442" s="32">
        <v>423</v>
      </c>
      <c r="B442" s="32">
        <v>36</v>
      </c>
      <c r="C442" s="32">
        <v>3</v>
      </c>
      <c r="D442" s="13">
        <f t="shared" si="90"/>
        <v>0</v>
      </c>
      <c r="E442" s="13"/>
      <c r="F442" s="13"/>
      <c r="G442" s="13"/>
      <c r="H442" s="13">
        <f t="shared" si="91"/>
        <v>0</v>
      </c>
      <c r="I442" s="13">
        <f t="shared" si="92"/>
        <v>0</v>
      </c>
      <c r="J442" s="13">
        <f t="shared" si="93"/>
        <v>0</v>
      </c>
      <c r="K442" s="13">
        <f>ROUNDUP(IF($D$2="Egyszeri",$D442,IF($D$2="Havi",SUM($D$20:$D$31),IF(MOD($C442,$M$1)-1=0,SUM($D$20:$D$31),0))/12*$M$1)*VLOOKUP($B442,Paraméterek!$B$27:$D$30,IF($D$2="Egyszeri",3,2)),IF($D$4="Forint",0,2))</f>
        <v>0</v>
      </c>
      <c r="L442" s="13">
        <f t="shared" si="94"/>
        <v>0</v>
      </c>
      <c r="M442" s="13">
        <f t="shared" ca="1" si="100"/>
        <v>-278217</v>
      </c>
      <c r="N442" s="13">
        <f ca="1">IF($V441&gt;=VLOOKUP($M$4-1+$B442,Paraméterek!$B$121:$D$122,IF($D$4="Forint",2,3)),0,VLOOKUP($M$4-1+$B442,Paraméterek!$B$121:$D$122,IF($D$4="Forint",2,3))-$V441)</f>
        <v>288217</v>
      </c>
      <c r="O442" s="13">
        <f ca="1">ROUNDUP($N442*Paraméterek!$C$58/Paraméterek!$C$56,IF($D$4="Forint",0,2))</f>
        <v>46</v>
      </c>
      <c r="P442" s="13">
        <f t="shared" si="95"/>
        <v>1548</v>
      </c>
      <c r="Q442" s="33"/>
      <c r="R442" s="13">
        <f t="shared" ca="1" si="96"/>
        <v>0</v>
      </c>
      <c r="S442" s="13">
        <f ca="1">ROUNDUP(($M442-$O442-$P442+$R442)*VLOOKUP($B442,Paraméterek!$B$38:$D$39,IF($D$2="Egyszeri",3,2))/12,IF($D$4="Forint",0,2))</f>
        <v>-684</v>
      </c>
      <c r="T442" s="13"/>
      <c r="U442" s="13"/>
      <c r="V442" s="13">
        <f ca="1">$M442-$O442-$P442+$R442-$S442-IF(ROUNDUP(IF(ISBLANK($U442),$T442,$U442)/IF(AND($B442=1,$D$2&lt;&gt;"Egyszeri"),1,VLOOKUP($B442+IF($C442=12,1,0),Paraméterek!$B$257:$D$267,IF($D$2="Egyszeri",3,2))),IF($D$4="Forint",0,2))&gt;$M442-$O442-$P442+$R442-$S442-IF($D$4="Forint",Paraméterek!$C$216,Paraméterek!$D$216),0,ROUNDUP(IF(ISBLANK($U442),$T442,$U442)/IF(AND($B442=1,$D$2&lt;&gt;"Egyszeri"),1,VLOOKUP($B442+IF($C442=12,1,0),Paraméterek!$B$257:$D$267,IF($D$2="Egyszeri",3,2))),IF($D$4="Forint",0,2)))</f>
        <v>-279127</v>
      </c>
      <c r="W442" s="13">
        <f ca="1">ROUNDDOWN($V442*VLOOKUP($B442+IF($C442=12,1,0),Paraméterek!$B$257:$D$267,IF($D$2="Egyszeri",3,2)),IF($D$4="Forint",0,2))</f>
        <v>-279127</v>
      </c>
      <c r="Y442" s="32">
        <v>423</v>
      </c>
      <c r="Z442" s="32">
        <v>36</v>
      </c>
      <c r="AA442" s="32">
        <v>3</v>
      </c>
      <c r="AB442" s="13">
        <f t="shared" si="101"/>
        <v>0</v>
      </c>
      <c r="AC442" s="33"/>
      <c r="AD442" s="13">
        <f t="shared" si="97"/>
        <v>0</v>
      </c>
      <c r="AE442" s="13">
        <f>ROUNDUP(($AB442+$AD442)*VLOOKUP($Z442,Paraméterek!$P$38:$Q$38,2)/12,IF($D$4="Forint",0,2))</f>
        <v>0</v>
      </c>
      <c r="AF442" s="13">
        <f>IF($D$2="Egyszeri",IF($D$7&gt;=IF($D$4="Forint",Paraméterek!$P$223,Paraméterek!$P$224),$D$7-IF($D$4="Forint",Paraméterek!$F$223,Paraméterek!$F$224),0),MIN(IF($AA442=12,AVERAGE($D$20:$D442)*12,0),SUM($D$20:$D$31)))</f>
        <v>0</v>
      </c>
      <c r="AG442" s="13">
        <f>IF(AND($Z442&gt;=10,MOD($Z442,5)=0),$AF442*IF($AA442=12,VLOOKUP($Z442,Paraméterek!$B$225:$F$240,IF($AF442&lt;IF($D$4="Forint",Paraméterek!$C$223,Paraméterek!$C$224),2,IF($AF442&lt;IF($D$4="Forint",Paraméterek!$D$223,Paraméterek!$D$224),3,4))),0),0)</f>
        <v>0</v>
      </c>
      <c r="AH442" s="13">
        <f>IF(AND($Z442&gt;=5,MOD($Z442,5)=0),IF($AA442=12,VLOOKUP($Z442,Paraméterek!$B$225:$F$240,5),0),IF(OR($Z442=3,$Z442=4),IF($AA442=12,VLOOKUP($Z442,Paraméterek!$B$225:$F$240,5,0),0),0))*$AF442</f>
        <v>0</v>
      </c>
      <c r="AI442" s="13">
        <f>ROUNDDOWN(IF(SUM($T$20:$U442)=0,IF($D$2="Egyszeri",$AH442,$AG442),0),IF($D$4="Forint",0,2))</f>
        <v>0</v>
      </c>
      <c r="AJ442" s="13">
        <f t="shared" si="102"/>
        <v>0</v>
      </c>
      <c r="AK442" s="13">
        <f t="shared" si="103"/>
        <v>0</v>
      </c>
      <c r="AM442" s="32">
        <v>423</v>
      </c>
      <c r="AN442" s="32">
        <v>36</v>
      </c>
      <c r="AO442" s="32">
        <v>3</v>
      </c>
      <c r="AP442" s="13"/>
      <c r="AQ442" s="32"/>
      <c r="AR442" s="13">
        <f t="shared" si="104"/>
        <v>0</v>
      </c>
      <c r="AS442" s="33"/>
      <c r="AT442" s="13">
        <f t="shared" si="98"/>
        <v>0</v>
      </c>
      <c r="AU442" s="13">
        <f>ROUNDUP(($AR442+$AT442)*VLOOKUP($AN442,Paraméterek!$P$38:$Q$38,2)/12,IF($D$4="Forint",0,2))</f>
        <v>0</v>
      </c>
      <c r="AV442" s="13"/>
      <c r="AW442" s="13"/>
      <c r="AX442" s="13">
        <f>ROUNDUP(IF(SUM($AV442:$AW442)=0,0,IF(IF(ISBLANK($AW442),$AV442,$AW442)*Paraméterek!$J$112&lt;IF($D$4="Forint",Paraméterek!$J$113,Paraméterek!$K$113),IF($D$4="Forint",Paraméterek!$J$113,Paraméterek!$K$113),IF(IF(ISBLANK($AW442),$AV442,$AW442)*Paraméterek!$J$112&gt;IF($D$4="Forint",Paraméterek!$J$114,Paraméterek!$K$114),IF($D$4="Forint",Paraméterek!$J$114,Paraméterek!$K$114),IF(ISBLANK($AW442),$AV442,$AW442)*Paraméterek!$J$112))),IF($D$4="Forint",0,2))</f>
        <v>0</v>
      </c>
      <c r="AY442" s="13">
        <f>$AR442+$AT442-$AU442-IF(ROUNDDOWN(IF(ISBLANK($AW442),$AV442,$AW442),IF($D$4="Forint",0,2))&gt;$AR442+$AT442-$AU442-IF($D$4="Forint",Paraméterek!$J$114,Paraméterek!$K$114),0,ROUNDDOWN(IF(ISBLANK($AW442),$AV442,$AW442),IF($D$4="Forint",0,2))-$AX442)</f>
        <v>0</v>
      </c>
      <c r="AZ442" s="13">
        <f t="shared" si="99"/>
        <v>0</v>
      </c>
    </row>
    <row r="443" spans="1:52" x14ac:dyDescent="0.2">
      <c r="A443" s="32">
        <v>424</v>
      </c>
      <c r="B443" s="32">
        <v>36</v>
      </c>
      <c r="C443" s="32">
        <v>4</v>
      </c>
      <c r="D443" s="13">
        <f t="shared" si="90"/>
        <v>0</v>
      </c>
      <c r="E443" s="13"/>
      <c r="F443" s="13"/>
      <c r="G443" s="13"/>
      <c r="H443" s="13">
        <f t="shared" si="91"/>
        <v>0</v>
      </c>
      <c r="I443" s="13">
        <f t="shared" si="92"/>
        <v>0</v>
      </c>
      <c r="J443" s="13">
        <f t="shared" si="93"/>
        <v>0</v>
      </c>
      <c r="K443" s="13">
        <f>ROUNDUP(IF($D$2="Egyszeri",$D443,IF($D$2="Havi",SUM($D$20:$D$31),IF(MOD($C443,$M$1)-1=0,SUM($D$20:$D$31),0))/12*$M$1)*VLOOKUP($B443,Paraméterek!$B$27:$D$30,IF($D$2="Egyszeri",3,2)),IF($D$4="Forint",0,2))</f>
        <v>0</v>
      </c>
      <c r="L443" s="13">
        <f t="shared" si="94"/>
        <v>0</v>
      </c>
      <c r="M443" s="13">
        <f t="shared" ca="1" si="100"/>
        <v>-279127</v>
      </c>
      <c r="N443" s="13">
        <f ca="1">IF($V442&gt;=VLOOKUP($M$4-1+$B443,Paraméterek!$B$121:$D$122,IF($D$4="Forint",2,3)),0,VLOOKUP($M$4-1+$B443,Paraméterek!$B$121:$D$122,IF($D$4="Forint",2,3))-$V442)</f>
        <v>289127</v>
      </c>
      <c r="O443" s="13">
        <f ca="1">ROUNDUP($N443*Paraméterek!$C$58/Paraméterek!$C$56,IF($D$4="Forint",0,2))</f>
        <v>47</v>
      </c>
      <c r="P443" s="13">
        <f t="shared" si="95"/>
        <v>1548</v>
      </c>
      <c r="Q443" s="33"/>
      <c r="R443" s="13">
        <f t="shared" ca="1" si="96"/>
        <v>0</v>
      </c>
      <c r="S443" s="13">
        <f ca="1">ROUNDUP(($M443-$O443-$P443+$R443)*VLOOKUP($B443,Paraméterek!$B$38:$D$39,IF($D$2="Egyszeri",3,2))/12,IF($D$4="Forint",0,2))</f>
        <v>-686</v>
      </c>
      <c r="T443" s="13"/>
      <c r="U443" s="13"/>
      <c r="V443" s="13">
        <f ca="1">$M443-$O443-$P443+$R443-$S443-IF(ROUNDUP(IF(ISBLANK($U443),$T443,$U443)/IF(AND($B443=1,$D$2&lt;&gt;"Egyszeri"),1,VLOOKUP($B443+IF($C443=12,1,0),Paraméterek!$B$257:$D$267,IF($D$2="Egyszeri",3,2))),IF($D$4="Forint",0,2))&gt;$M443-$O443-$P443+$R443-$S443-IF($D$4="Forint",Paraméterek!$C$216,Paraméterek!$D$216),0,ROUNDUP(IF(ISBLANK($U443),$T443,$U443)/IF(AND($B443=1,$D$2&lt;&gt;"Egyszeri"),1,VLOOKUP($B443+IF($C443=12,1,0),Paraméterek!$B$257:$D$267,IF($D$2="Egyszeri",3,2))),IF($D$4="Forint",0,2)))</f>
        <v>-280036</v>
      </c>
      <c r="W443" s="13">
        <f ca="1">ROUNDDOWN($V443*VLOOKUP($B443+IF($C443=12,1,0),Paraméterek!$B$257:$D$267,IF($D$2="Egyszeri",3,2)),IF($D$4="Forint",0,2))</f>
        <v>-280036</v>
      </c>
      <c r="Y443" s="32">
        <v>424</v>
      </c>
      <c r="Z443" s="32">
        <v>36</v>
      </c>
      <c r="AA443" s="32">
        <v>4</v>
      </c>
      <c r="AB443" s="13">
        <f t="shared" si="101"/>
        <v>0</v>
      </c>
      <c r="AC443" s="33"/>
      <c r="AD443" s="13">
        <f t="shared" si="97"/>
        <v>0</v>
      </c>
      <c r="AE443" s="13">
        <f>ROUNDUP(($AB443+$AD443)*VLOOKUP($Z443,Paraméterek!$P$38:$Q$38,2)/12,IF($D$4="Forint",0,2))</f>
        <v>0</v>
      </c>
      <c r="AF443" s="13">
        <f>IF($D$2="Egyszeri",IF($D$7&gt;=IF($D$4="Forint",Paraméterek!$P$223,Paraméterek!$P$224),$D$7-IF($D$4="Forint",Paraméterek!$F$223,Paraméterek!$F$224),0),MIN(IF($AA443=12,AVERAGE($D$20:$D443)*12,0),SUM($D$20:$D$31)))</f>
        <v>0</v>
      </c>
      <c r="AG443" s="13">
        <f>IF(AND($Z443&gt;=10,MOD($Z443,5)=0),$AF443*IF($AA443=12,VLOOKUP($Z443,Paraméterek!$B$225:$F$240,IF($AF443&lt;IF($D$4="Forint",Paraméterek!$C$223,Paraméterek!$C$224),2,IF($AF443&lt;IF($D$4="Forint",Paraméterek!$D$223,Paraméterek!$D$224),3,4))),0),0)</f>
        <v>0</v>
      </c>
      <c r="AH443" s="13">
        <f>IF(AND($Z443&gt;=5,MOD($Z443,5)=0),IF($AA443=12,VLOOKUP($Z443,Paraméterek!$B$225:$F$240,5),0),IF(OR($Z443=3,$Z443=4),IF($AA443=12,VLOOKUP($Z443,Paraméterek!$B$225:$F$240,5,0),0),0))*$AF443</f>
        <v>0</v>
      </c>
      <c r="AI443" s="13">
        <f>ROUNDDOWN(IF(SUM($T$20:$U443)=0,IF($D$2="Egyszeri",$AH443,$AG443),0),IF($D$4="Forint",0,2))</f>
        <v>0</v>
      </c>
      <c r="AJ443" s="13">
        <f t="shared" si="102"/>
        <v>0</v>
      </c>
      <c r="AK443" s="13">
        <f t="shared" si="103"/>
        <v>0</v>
      </c>
      <c r="AM443" s="32">
        <v>424</v>
      </c>
      <c r="AN443" s="32">
        <v>36</v>
      </c>
      <c r="AO443" s="32">
        <v>4</v>
      </c>
      <c r="AP443" s="13"/>
      <c r="AQ443" s="32"/>
      <c r="AR443" s="13">
        <f t="shared" si="104"/>
        <v>0</v>
      </c>
      <c r="AS443" s="33"/>
      <c r="AT443" s="13">
        <f t="shared" si="98"/>
        <v>0</v>
      </c>
      <c r="AU443" s="13">
        <f>ROUNDUP(($AR443+$AT443)*VLOOKUP($AN443,Paraméterek!$P$38:$Q$38,2)/12,IF($D$4="Forint",0,2))</f>
        <v>0</v>
      </c>
      <c r="AV443" s="13"/>
      <c r="AW443" s="13"/>
      <c r="AX443" s="13">
        <f>ROUNDUP(IF(SUM($AV443:$AW443)=0,0,IF(IF(ISBLANK($AW443),$AV443,$AW443)*Paraméterek!$J$112&lt;IF($D$4="Forint",Paraméterek!$J$113,Paraméterek!$K$113),IF($D$4="Forint",Paraméterek!$J$113,Paraméterek!$K$113),IF(IF(ISBLANK($AW443),$AV443,$AW443)*Paraméterek!$J$112&gt;IF($D$4="Forint",Paraméterek!$J$114,Paraméterek!$K$114),IF($D$4="Forint",Paraméterek!$J$114,Paraméterek!$K$114),IF(ISBLANK($AW443),$AV443,$AW443)*Paraméterek!$J$112))),IF($D$4="Forint",0,2))</f>
        <v>0</v>
      </c>
      <c r="AY443" s="13">
        <f>$AR443+$AT443-$AU443-IF(ROUNDDOWN(IF(ISBLANK($AW443),$AV443,$AW443),IF($D$4="Forint",0,2))&gt;$AR443+$AT443-$AU443-IF($D$4="Forint",Paraméterek!$J$114,Paraméterek!$K$114),0,ROUNDDOWN(IF(ISBLANK($AW443),$AV443,$AW443),IF($D$4="Forint",0,2))-$AX443)</f>
        <v>0</v>
      </c>
      <c r="AZ443" s="13">
        <f t="shared" si="99"/>
        <v>0</v>
      </c>
    </row>
    <row r="444" spans="1:52" x14ac:dyDescent="0.2">
      <c r="A444" s="32">
        <v>425</v>
      </c>
      <c r="B444" s="32">
        <v>36</v>
      </c>
      <c r="C444" s="32">
        <v>5</v>
      </c>
      <c r="D444" s="13">
        <f t="shared" si="90"/>
        <v>0</v>
      </c>
      <c r="E444" s="13"/>
      <c r="F444" s="13"/>
      <c r="G444" s="13"/>
      <c r="H444" s="13">
        <f t="shared" si="91"/>
        <v>0</v>
      </c>
      <c r="I444" s="13">
        <f t="shared" si="92"/>
        <v>0</v>
      </c>
      <c r="J444" s="13">
        <f t="shared" si="93"/>
        <v>0</v>
      </c>
      <c r="K444" s="13">
        <f>ROUNDUP(IF($D$2="Egyszeri",$D444,IF($D$2="Havi",SUM($D$20:$D$31),IF(MOD($C444,$M$1)-1=0,SUM($D$20:$D$31),0))/12*$M$1)*VLOOKUP($B444,Paraméterek!$B$27:$D$30,IF($D$2="Egyszeri",3,2)),IF($D$4="Forint",0,2))</f>
        <v>0</v>
      </c>
      <c r="L444" s="13">
        <f t="shared" si="94"/>
        <v>0</v>
      </c>
      <c r="M444" s="13">
        <f t="shared" ca="1" si="100"/>
        <v>-280036</v>
      </c>
      <c r="N444" s="13">
        <f ca="1">IF($V443&gt;=VLOOKUP($M$4-1+$B444,Paraméterek!$B$121:$D$122,IF($D$4="Forint",2,3)),0,VLOOKUP($M$4-1+$B444,Paraméterek!$B$121:$D$122,IF($D$4="Forint",2,3))-$V443)</f>
        <v>290036</v>
      </c>
      <c r="O444" s="13">
        <f ca="1">ROUNDUP($N444*Paraméterek!$C$58/Paraméterek!$C$56,IF($D$4="Forint",0,2))</f>
        <v>47</v>
      </c>
      <c r="P444" s="13">
        <f t="shared" si="95"/>
        <v>1548</v>
      </c>
      <c r="Q444" s="33"/>
      <c r="R444" s="13">
        <f t="shared" ca="1" si="96"/>
        <v>0</v>
      </c>
      <c r="S444" s="13">
        <f ca="1">ROUNDUP(($M444-$O444-$P444+$R444)*VLOOKUP($B444,Paraméterek!$B$38:$D$39,IF($D$2="Egyszeri",3,2))/12,IF($D$4="Forint",0,2))</f>
        <v>-688</v>
      </c>
      <c r="T444" s="13"/>
      <c r="U444" s="13"/>
      <c r="V444" s="13">
        <f ca="1">$M444-$O444-$P444+$R444-$S444-IF(ROUNDUP(IF(ISBLANK($U444),$T444,$U444)/IF(AND($B444=1,$D$2&lt;&gt;"Egyszeri"),1,VLOOKUP($B444+IF($C444=12,1,0),Paraméterek!$B$257:$D$267,IF($D$2="Egyszeri",3,2))),IF($D$4="Forint",0,2))&gt;$M444-$O444-$P444+$R444-$S444-IF($D$4="Forint",Paraméterek!$C$216,Paraméterek!$D$216),0,ROUNDUP(IF(ISBLANK($U444),$T444,$U444)/IF(AND($B444=1,$D$2&lt;&gt;"Egyszeri"),1,VLOOKUP($B444+IF($C444=12,1,0),Paraméterek!$B$257:$D$267,IF($D$2="Egyszeri",3,2))),IF($D$4="Forint",0,2)))</f>
        <v>-280943</v>
      </c>
      <c r="W444" s="13">
        <f ca="1">ROUNDDOWN($V444*VLOOKUP($B444+IF($C444=12,1,0),Paraméterek!$B$257:$D$267,IF($D$2="Egyszeri",3,2)),IF($D$4="Forint",0,2))</f>
        <v>-280943</v>
      </c>
      <c r="Y444" s="32">
        <v>425</v>
      </c>
      <c r="Z444" s="32">
        <v>36</v>
      </c>
      <c r="AA444" s="32">
        <v>5</v>
      </c>
      <c r="AB444" s="13">
        <f t="shared" si="101"/>
        <v>0</v>
      </c>
      <c r="AC444" s="33"/>
      <c r="AD444" s="13">
        <f t="shared" si="97"/>
        <v>0</v>
      </c>
      <c r="AE444" s="13">
        <f>ROUNDUP(($AB444+$AD444)*VLOOKUP($Z444,Paraméterek!$P$38:$Q$38,2)/12,IF($D$4="Forint",0,2))</f>
        <v>0</v>
      </c>
      <c r="AF444" s="13">
        <f>IF($D$2="Egyszeri",IF($D$7&gt;=IF($D$4="Forint",Paraméterek!$P$223,Paraméterek!$P$224),$D$7-IF($D$4="Forint",Paraméterek!$F$223,Paraméterek!$F$224),0),MIN(IF($AA444=12,AVERAGE($D$20:$D444)*12,0),SUM($D$20:$D$31)))</f>
        <v>0</v>
      </c>
      <c r="AG444" s="13">
        <f>IF(AND($Z444&gt;=10,MOD($Z444,5)=0),$AF444*IF($AA444=12,VLOOKUP($Z444,Paraméterek!$B$225:$F$240,IF($AF444&lt;IF($D$4="Forint",Paraméterek!$C$223,Paraméterek!$C$224),2,IF($AF444&lt;IF($D$4="Forint",Paraméterek!$D$223,Paraméterek!$D$224),3,4))),0),0)</f>
        <v>0</v>
      </c>
      <c r="AH444" s="13">
        <f>IF(AND($Z444&gt;=5,MOD($Z444,5)=0),IF($AA444=12,VLOOKUP($Z444,Paraméterek!$B$225:$F$240,5),0),IF(OR($Z444=3,$Z444=4),IF($AA444=12,VLOOKUP($Z444,Paraméterek!$B$225:$F$240,5,0),0),0))*$AF444</f>
        <v>0</v>
      </c>
      <c r="AI444" s="13">
        <f>ROUNDDOWN(IF(SUM($T$20:$U444)=0,IF($D$2="Egyszeri",$AH444,$AG444),0),IF($D$4="Forint",0,2))</f>
        <v>0</v>
      </c>
      <c r="AJ444" s="13">
        <f t="shared" si="102"/>
        <v>0</v>
      </c>
      <c r="AK444" s="13">
        <f t="shared" si="103"/>
        <v>0</v>
      </c>
      <c r="AM444" s="32">
        <v>425</v>
      </c>
      <c r="AN444" s="32">
        <v>36</v>
      </c>
      <c r="AO444" s="32">
        <v>5</v>
      </c>
      <c r="AP444" s="13"/>
      <c r="AQ444" s="32"/>
      <c r="AR444" s="13">
        <f t="shared" si="104"/>
        <v>0</v>
      </c>
      <c r="AS444" s="33"/>
      <c r="AT444" s="13">
        <f t="shared" si="98"/>
        <v>0</v>
      </c>
      <c r="AU444" s="13">
        <f>ROUNDUP(($AR444+$AT444)*VLOOKUP($AN444,Paraméterek!$P$38:$Q$38,2)/12,IF($D$4="Forint",0,2))</f>
        <v>0</v>
      </c>
      <c r="AV444" s="13"/>
      <c r="AW444" s="13"/>
      <c r="AX444" s="13">
        <f>ROUNDUP(IF(SUM($AV444:$AW444)=0,0,IF(IF(ISBLANK($AW444),$AV444,$AW444)*Paraméterek!$J$112&lt;IF($D$4="Forint",Paraméterek!$J$113,Paraméterek!$K$113),IF($D$4="Forint",Paraméterek!$J$113,Paraméterek!$K$113),IF(IF(ISBLANK($AW444),$AV444,$AW444)*Paraméterek!$J$112&gt;IF($D$4="Forint",Paraméterek!$J$114,Paraméterek!$K$114),IF($D$4="Forint",Paraméterek!$J$114,Paraméterek!$K$114),IF(ISBLANK($AW444),$AV444,$AW444)*Paraméterek!$J$112))),IF($D$4="Forint",0,2))</f>
        <v>0</v>
      </c>
      <c r="AY444" s="13">
        <f>$AR444+$AT444-$AU444-IF(ROUNDDOWN(IF(ISBLANK($AW444),$AV444,$AW444),IF($D$4="Forint",0,2))&gt;$AR444+$AT444-$AU444-IF($D$4="Forint",Paraméterek!$J$114,Paraméterek!$K$114),0,ROUNDDOWN(IF(ISBLANK($AW444),$AV444,$AW444),IF($D$4="Forint",0,2))-$AX444)</f>
        <v>0</v>
      </c>
      <c r="AZ444" s="13">
        <f t="shared" si="99"/>
        <v>0</v>
      </c>
    </row>
    <row r="445" spans="1:52" x14ac:dyDescent="0.2">
      <c r="A445" s="32">
        <v>426</v>
      </c>
      <c r="B445" s="32">
        <v>36</v>
      </c>
      <c r="C445" s="32">
        <v>6</v>
      </c>
      <c r="D445" s="13">
        <f t="shared" si="90"/>
        <v>0</v>
      </c>
      <c r="E445" s="13"/>
      <c r="F445" s="13"/>
      <c r="G445" s="13"/>
      <c r="H445" s="13">
        <f t="shared" si="91"/>
        <v>0</v>
      </c>
      <c r="I445" s="13">
        <f t="shared" si="92"/>
        <v>0</v>
      </c>
      <c r="J445" s="13">
        <f t="shared" si="93"/>
        <v>0</v>
      </c>
      <c r="K445" s="13">
        <f>ROUNDUP(IF($D$2="Egyszeri",$D445,IF($D$2="Havi",SUM($D$20:$D$31),IF(MOD($C445,$M$1)-1=0,SUM($D$20:$D$31),0))/12*$M$1)*VLOOKUP($B445,Paraméterek!$B$27:$D$30,IF($D$2="Egyszeri",3,2)),IF($D$4="Forint",0,2))</f>
        <v>0</v>
      </c>
      <c r="L445" s="13">
        <f t="shared" si="94"/>
        <v>0</v>
      </c>
      <c r="M445" s="13">
        <f t="shared" ca="1" si="100"/>
        <v>-280943</v>
      </c>
      <c r="N445" s="13">
        <f ca="1">IF($V444&gt;=VLOOKUP($M$4-1+$B445,Paraméterek!$B$121:$D$122,IF($D$4="Forint",2,3)),0,VLOOKUP($M$4-1+$B445,Paraméterek!$B$121:$D$122,IF($D$4="Forint",2,3))-$V444)</f>
        <v>290943</v>
      </c>
      <c r="O445" s="13">
        <f ca="1">ROUNDUP($N445*Paraméterek!$C$58/Paraméterek!$C$56,IF($D$4="Forint",0,2))</f>
        <v>47</v>
      </c>
      <c r="P445" s="13">
        <f t="shared" si="95"/>
        <v>1548</v>
      </c>
      <c r="Q445" s="33"/>
      <c r="R445" s="13">
        <f t="shared" ca="1" si="96"/>
        <v>0</v>
      </c>
      <c r="S445" s="13">
        <f ca="1">ROUNDUP(($M445-$O445-$P445+$R445)*VLOOKUP($B445,Paraméterek!$B$38:$D$39,IF($D$2="Egyszeri",3,2))/12,IF($D$4="Forint",0,2))</f>
        <v>-690</v>
      </c>
      <c r="T445" s="13"/>
      <c r="U445" s="13"/>
      <c r="V445" s="13">
        <f ca="1">$M445-$O445-$P445+$R445-$S445-IF(ROUNDUP(IF(ISBLANK($U445),$T445,$U445)/IF(AND($B445=1,$D$2&lt;&gt;"Egyszeri"),1,VLOOKUP($B445+IF($C445=12,1,0),Paraméterek!$B$257:$D$267,IF($D$2="Egyszeri",3,2))),IF($D$4="Forint",0,2))&gt;$M445-$O445-$P445+$R445-$S445-IF($D$4="Forint",Paraméterek!$C$216,Paraméterek!$D$216),0,ROUNDUP(IF(ISBLANK($U445),$T445,$U445)/IF(AND($B445=1,$D$2&lt;&gt;"Egyszeri"),1,VLOOKUP($B445+IF($C445=12,1,0),Paraméterek!$B$257:$D$267,IF($D$2="Egyszeri",3,2))),IF($D$4="Forint",0,2)))</f>
        <v>-281848</v>
      </c>
      <c r="W445" s="13">
        <f ca="1">ROUNDDOWN($V445*VLOOKUP($B445+IF($C445=12,1,0),Paraméterek!$B$257:$D$267,IF($D$2="Egyszeri",3,2)),IF($D$4="Forint",0,2))</f>
        <v>-281848</v>
      </c>
      <c r="Y445" s="32">
        <v>426</v>
      </c>
      <c r="Z445" s="32">
        <v>36</v>
      </c>
      <c r="AA445" s="32">
        <v>6</v>
      </c>
      <c r="AB445" s="13">
        <f t="shared" si="101"/>
        <v>0</v>
      </c>
      <c r="AC445" s="33"/>
      <c r="AD445" s="13">
        <f t="shared" si="97"/>
        <v>0</v>
      </c>
      <c r="AE445" s="13">
        <f>ROUNDUP(($AB445+$AD445)*VLOOKUP($Z445,Paraméterek!$P$38:$Q$38,2)/12,IF($D$4="Forint",0,2))</f>
        <v>0</v>
      </c>
      <c r="AF445" s="13">
        <f>IF($D$2="Egyszeri",IF($D$7&gt;=IF($D$4="Forint",Paraméterek!$P$223,Paraméterek!$P$224),$D$7-IF($D$4="Forint",Paraméterek!$F$223,Paraméterek!$F$224),0),MIN(IF($AA445=12,AVERAGE($D$20:$D445)*12,0),SUM($D$20:$D$31)))</f>
        <v>0</v>
      </c>
      <c r="AG445" s="13">
        <f>IF(AND($Z445&gt;=10,MOD($Z445,5)=0),$AF445*IF($AA445=12,VLOOKUP($Z445,Paraméterek!$B$225:$F$240,IF($AF445&lt;IF($D$4="Forint",Paraméterek!$C$223,Paraméterek!$C$224),2,IF($AF445&lt;IF($D$4="Forint",Paraméterek!$D$223,Paraméterek!$D$224),3,4))),0),0)</f>
        <v>0</v>
      </c>
      <c r="AH445" s="13">
        <f>IF(AND($Z445&gt;=5,MOD($Z445,5)=0),IF($AA445=12,VLOOKUP($Z445,Paraméterek!$B$225:$F$240,5),0),IF(OR($Z445=3,$Z445=4),IF($AA445=12,VLOOKUP($Z445,Paraméterek!$B$225:$F$240,5,0),0),0))*$AF445</f>
        <v>0</v>
      </c>
      <c r="AI445" s="13">
        <f>ROUNDDOWN(IF(SUM($T$20:$U445)=0,IF($D$2="Egyszeri",$AH445,$AG445),0),IF($D$4="Forint",0,2))</f>
        <v>0</v>
      </c>
      <c r="AJ445" s="13">
        <f t="shared" si="102"/>
        <v>0</v>
      </c>
      <c r="AK445" s="13">
        <f t="shared" si="103"/>
        <v>0</v>
      </c>
      <c r="AM445" s="32">
        <v>426</v>
      </c>
      <c r="AN445" s="32">
        <v>36</v>
      </c>
      <c r="AO445" s="32">
        <v>6</v>
      </c>
      <c r="AP445" s="13"/>
      <c r="AQ445" s="32"/>
      <c r="AR445" s="13">
        <f t="shared" si="104"/>
        <v>0</v>
      </c>
      <c r="AS445" s="33"/>
      <c r="AT445" s="13">
        <f t="shared" si="98"/>
        <v>0</v>
      </c>
      <c r="AU445" s="13">
        <f>ROUNDUP(($AR445+$AT445)*VLOOKUP($AN445,Paraméterek!$P$38:$Q$38,2)/12,IF($D$4="Forint",0,2))</f>
        <v>0</v>
      </c>
      <c r="AV445" s="13"/>
      <c r="AW445" s="13"/>
      <c r="AX445" s="13">
        <f>ROUNDUP(IF(SUM($AV445:$AW445)=0,0,IF(IF(ISBLANK($AW445),$AV445,$AW445)*Paraméterek!$J$112&lt;IF($D$4="Forint",Paraméterek!$J$113,Paraméterek!$K$113),IF($D$4="Forint",Paraméterek!$J$113,Paraméterek!$K$113),IF(IF(ISBLANK($AW445),$AV445,$AW445)*Paraméterek!$J$112&gt;IF($D$4="Forint",Paraméterek!$J$114,Paraméterek!$K$114),IF($D$4="Forint",Paraméterek!$J$114,Paraméterek!$K$114),IF(ISBLANK($AW445),$AV445,$AW445)*Paraméterek!$J$112))),IF($D$4="Forint",0,2))</f>
        <v>0</v>
      </c>
      <c r="AY445" s="13">
        <f>$AR445+$AT445-$AU445-IF(ROUNDDOWN(IF(ISBLANK($AW445),$AV445,$AW445),IF($D$4="Forint",0,2))&gt;$AR445+$AT445-$AU445-IF($D$4="Forint",Paraméterek!$J$114,Paraméterek!$K$114),0,ROUNDDOWN(IF(ISBLANK($AW445),$AV445,$AW445),IF($D$4="Forint",0,2))-$AX445)</f>
        <v>0</v>
      </c>
      <c r="AZ445" s="13">
        <f t="shared" si="99"/>
        <v>0</v>
      </c>
    </row>
    <row r="446" spans="1:52" x14ac:dyDescent="0.2">
      <c r="A446" s="32">
        <v>427</v>
      </c>
      <c r="B446" s="32">
        <v>36</v>
      </c>
      <c r="C446" s="32">
        <v>7</v>
      </c>
      <c r="D446" s="13">
        <f t="shared" si="90"/>
        <v>0</v>
      </c>
      <c r="E446" s="13"/>
      <c r="F446" s="13"/>
      <c r="G446" s="13"/>
      <c r="H446" s="13">
        <f t="shared" si="91"/>
        <v>0</v>
      </c>
      <c r="I446" s="13">
        <f t="shared" si="92"/>
        <v>0</v>
      </c>
      <c r="J446" s="13">
        <f t="shared" si="93"/>
        <v>0</v>
      </c>
      <c r="K446" s="13">
        <f>ROUNDUP(IF($D$2="Egyszeri",$D446,IF($D$2="Havi",SUM($D$20:$D$31),IF(MOD($C446,$M$1)-1=0,SUM($D$20:$D$31),0))/12*$M$1)*VLOOKUP($B446,Paraméterek!$B$27:$D$30,IF($D$2="Egyszeri",3,2)),IF($D$4="Forint",0,2))</f>
        <v>0</v>
      </c>
      <c r="L446" s="13">
        <f t="shared" si="94"/>
        <v>0</v>
      </c>
      <c r="M446" s="13">
        <f t="shared" ca="1" si="100"/>
        <v>-281848</v>
      </c>
      <c r="N446" s="13">
        <f ca="1">IF($V445&gt;=VLOOKUP($M$4-1+$B446,Paraméterek!$B$121:$D$122,IF($D$4="Forint",2,3)),0,VLOOKUP($M$4-1+$B446,Paraméterek!$B$121:$D$122,IF($D$4="Forint",2,3))-$V445)</f>
        <v>291848</v>
      </c>
      <c r="O446" s="13">
        <f ca="1">ROUNDUP($N446*Paraméterek!$C$58/Paraméterek!$C$56,IF($D$4="Forint",0,2))</f>
        <v>47</v>
      </c>
      <c r="P446" s="13">
        <f t="shared" si="95"/>
        <v>1548</v>
      </c>
      <c r="Q446" s="33"/>
      <c r="R446" s="13">
        <f t="shared" ca="1" si="96"/>
        <v>0</v>
      </c>
      <c r="S446" s="13">
        <f ca="1">ROUNDUP(($M446-$O446-$P446+$R446)*VLOOKUP($B446,Paraméterek!$B$38:$D$39,IF($D$2="Egyszeri",3,2))/12,IF($D$4="Forint",0,2))</f>
        <v>-693</v>
      </c>
      <c r="T446" s="13"/>
      <c r="U446" s="13"/>
      <c r="V446" s="13">
        <f ca="1">$M446-$O446-$P446+$R446-$S446-IF(ROUNDUP(IF(ISBLANK($U446),$T446,$U446)/IF(AND($B446=1,$D$2&lt;&gt;"Egyszeri"),1,VLOOKUP($B446+IF($C446=12,1,0),Paraméterek!$B$257:$D$267,IF($D$2="Egyszeri",3,2))),IF($D$4="Forint",0,2))&gt;$M446-$O446-$P446+$R446-$S446-IF($D$4="Forint",Paraméterek!$C$216,Paraméterek!$D$216),0,ROUNDUP(IF(ISBLANK($U446),$T446,$U446)/IF(AND($B446=1,$D$2&lt;&gt;"Egyszeri"),1,VLOOKUP($B446+IF($C446=12,1,0),Paraméterek!$B$257:$D$267,IF($D$2="Egyszeri",3,2))),IF($D$4="Forint",0,2)))</f>
        <v>-282750</v>
      </c>
      <c r="W446" s="13">
        <f ca="1">ROUNDDOWN($V446*VLOOKUP($B446+IF($C446=12,1,0),Paraméterek!$B$257:$D$267,IF($D$2="Egyszeri",3,2)),IF($D$4="Forint",0,2))</f>
        <v>-282750</v>
      </c>
      <c r="Y446" s="32">
        <v>427</v>
      </c>
      <c r="Z446" s="32">
        <v>36</v>
      </c>
      <c r="AA446" s="32">
        <v>7</v>
      </c>
      <c r="AB446" s="13">
        <f t="shared" si="101"/>
        <v>0</v>
      </c>
      <c r="AC446" s="33"/>
      <c r="AD446" s="13">
        <f t="shared" si="97"/>
        <v>0</v>
      </c>
      <c r="AE446" s="13">
        <f>ROUNDUP(($AB446+$AD446)*VLOOKUP($Z446,Paraméterek!$P$38:$Q$38,2)/12,IF($D$4="Forint",0,2))</f>
        <v>0</v>
      </c>
      <c r="AF446" s="13">
        <f>IF($D$2="Egyszeri",IF($D$7&gt;=IF($D$4="Forint",Paraméterek!$P$223,Paraméterek!$P$224),$D$7-IF($D$4="Forint",Paraméterek!$F$223,Paraméterek!$F$224),0),MIN(IF($AA446=12,AVERAGE($D$20:$D446)*12,0),SUM($D$20:$D$31)))</f>
        <v>0</v>
      </c>
      <c r="AG446" s="13">
        <f>IF(AND($Z446&gt;=10,MOD($Z446,5)=0),$AF446*IF($AA446=12,VLOOKUP($Z446,Paraméterek!$B$225:$F$240,IF($AF446&lt;IF($D$4="Forint",Paraméterek!$C$223,Paraméterek!$C$224),2,IF($AF446&lt;IF($D$4="Forint",Paraméterek!$D$223,Paraméterek!$D$224),3,4))),0),0)</f>
        <v>0</v>
      </c>
      <c r="AH446" s="13">
        <f>IF(AND($Z446&gt;=5,MOD($Z446,5)=0),IF($AA446=12,VLOOKUP($Z446,Paraméterek!$B$225:$F$240,5),0),IF(OR($Z446=3,$Z446=4),IF($AA446=12,VLOOKUP($Z446,Paraméterek!$B$225:$F$240,5,0),0),0))*$AF446</f>
        <v>0</v>
      </c>
      <c r="AI446" s="13">
        <f>ROUNDDOWN(IF(SUM($T$20:$U446)=0,IF($D$2="Egyszeri",$AH446,$AG446),0),IF($D$4="Forint",0,2))</f>
        <v>0</v>
      </c>
      <c r="AJ446" s="13">
        <f t="shared" si="102"/>
        <v>0</v>
      </c>
      <c r="AK446" s="13">
        <f t="shared" si="103"/>
        <v>0</v>
      </c>
      <c r="AM446" s="32">
        <v>427</v>
      </c>
      <c r="AN446" s="32">
        <v>36</v>
      </c>
      <c r="AO446" s="32">
        <v>7</v>
      </c>
      <c r="AP446" s="13"/>
      <c r="AQ446" s="32"/>
      <c r="AR446" s="13">
        <f t="shared" si="104"/>
        <v>0</v>
      </c>
      <c r="AS446" s="33"/>
      <c r="AT446" s="13">
        <f t="shared" si="98"/>
        <v>0</v>
      </c>
      <c r="AU446" s="13">
        <f>ROUNDUP(($AR446+$AT446)*VLOOKUP($AN446,Paraméterek!$P$38:$Q$38,2)/12,IF($D$4="Forint",0,2))</f>
        <v>0</v>
      </c>
      <c r="AV446" s="13"/>
      <c r="AW446" s="13"/>
      <c r="AX446" s="13">
        <f>ROUNDUP(IF(SUM($AV446:$AW446)=0,0,IF(IF(ISBLANK($AW446),$AV446,$AW446)*Paraméterek!$J$112&lt;IF($D$4="Forint",Paraméterek!$J$113,Paraméterek!$K$113),IF($D$4="Forint",Paraméterek!$J$113,Paraméterek!$K$113),IF(IF(ISBLANK($AW446),$AV446,$AW446)*Paraméterek!$J$112&gt;IF($D$4="Forint",Paraméterek!$J$114,Paraméterek!$K$114),IF($D$4="Forint",Paraméterek!$J$114,Paraméterek!$K$114),IF(ISBLANK($AW446),$AV446,$AW446)*Paraméterek!$J$112))),IF($D$4="Forint",0,2))</f>
        <v>0</v>
      </c>
      <c r="AY446" s="13">
        <f>$AR446+$AT446-$AU446-IF(ROUNDDOWN(IF(ISBLANK($AW446),$AV446,$AW446),IF($D$4="Forint",0,2))&gt;$AR446+$AT446-$AU446-IF($D$4="Forint",Paraméterek!$J$114,Paraméterek!$K$114),0,ROUNDDOWN(IF(ISBLANK($AW446),$AV446,$AW446),IF($D$4="Forint",0,2))-$AX446)</f>
        <v>0</v>
      </c>
      <c r="AZ446" s="13">
        <f t="shared" si="99"/>
        <v>0</v>
      </c>
    </row>
    <row r="447" spans="1:52" x14ac:dyDescent="0.2">
      <c r="A447" s="32">
        <v>428</v>
      </c>
      <c r="B447" s="32">
        <v>36</v>
      </c>
      <c r="C447" s="32">
        <v>8</v>
      </c>
      <c r="D447" s="13">
        <f t="shared" si="90"/>
        <v>0</v>
      </c>
      <c r="E447" s="13"/>
      <c r="F447" s="13"/>
      <c r="G447" s="13"/>
      <c r="H447" s="13">
        <f t="shared" si="91"/>
        <v>0</v>
      </c>
      <c r="I447" s="13">
        <f t="shared" si="92"/>
        <v>0</v>
      </c>
      <c r="J447" s="13">
        <f t="shared" si="93"/>
        <v>0</v>
      </c>
      <c r="K447" s="13">
        <f>ROUNDUP(IF($D$2="Egyszeri",$D447,IF($D$2="Havi",SUM($D$20:$D$31),IF(MOD($C447,$M$1)-1=0,SUM($D$20:$D$31),0))/12*$M$1)*VLOOKUP($B447,Paraméterek!$B$27:$D$30,IF($D$2="Egyszeri",3,2)),IF($D$4="Forint",0,2))</f>
        <v>0</v>
      </c>
      <c r="L447" s="13">
        <f t="shared" si="94"/>
        <v>0</v>
      </c>
      <c r="M447" s="13">
        <f t="shared" ca="1" si="100"/>
        <v>-282750</v>
      </c>
      <c r="N447" s="13">
        <f ca="1">IF($V446&gt;=VLOOKUP($M$4-1+$B447,Paraméterek!$B$121:$D$122,IF($D$4="Forint",2,3)),0,VLOOKUP($M$4-1+$B447,Paraméterek!$B$121:$D$122,IF($D$4="Forint",2,3))-$V446)</f>
        <v>292750</v>
      </c>
      <c r="O447" s="13">
        <f ca="1">ROUNDUP($N447*Paraméterek!$C$58/Paraméterek!$C$56,IF($D$4="Forint",0,2))</f>
        <v>47</v>
      </c>
      <c r="P447" s="13">
        <f t="shared" si="95"/>
        <v>1548</v>
      </c>
      <c r="Q447" s="33"/>
      <c r="R447" s="13">
        <f t="shared" ca="1" si="96"/>
        <v>0</v>
      </c>
      <c r="S447" s="13">
        <f ca="1">ROUNDUP(($M447-$O447-$P447+$R447)*VLOOKUP($B447,Paraméterek!$B$38:$D$39,IF($D$2="Egyszeri",3,2))/12,IF($D$4="Forint",0,2))</f>
        <v>-695</v>
      </c>
      <c r="T447" s="13"/>
      <c r="U447" s="13"/>
      <c r="V447" s="13">
        <f ca="1">$M447-$O447-$P447+$R447-$S447-IF(ROUNDUP(IF(ISBLANK($U447),$T447,$U447)/IF(AND($B447=1,$D$2&lt;&gt;"Egyszeri"),1,VLOOKUP($B447+IF($C447=12,1,0),Paraméterek!$B$257:$D$267,IF($D$2="Egyszeri",3,2))),IF($D$4="Forint",0,2))&gt;$M447-$O447-$P447+$R447-$S447-IF($D$4="Forint",Paraméterek!$C$216,Paraméterek!$D$216),0,ROUNDUP(IF(ISBLANK($U447),$T447,$U447)/IF(AND($B447=1,$D$2&lt;&gt;"Egyszeri"),1,VLOOKUP($B447+IF($C447=12,1,0),Paraméterek!$B$257:$D$267,IF($D$2="Egyszeri",3,2))),IF($D$4="Forint",0,2)))</f>
        <v>-283650</v>
      </c>
      <c r="W447" s="13">
        <f ca="1">ROUNDDOWN($V447*VLOOKUP($B447+IF($C447=12,1,0),Paraméterek!$B$257:$D$267,IF($D$2="Egyszeri",3,2)),IF($D$4="Forint",0,2))</f>
        <v>-283650</v>
      </c>
      <c r="Y447" s="32">
        <v>428</v>
      </c>
      <c r="Z447" s="32">
        <v>36</v>
      </c>
      <c r="AA447" s="32">
        <v>8</v>
      </c>
      <c r="AB447" s="13">
        <f t="shared" si="101"/>
        <v>0</v>
      </c>
      <c r="AC447" s="33"/>
      <c r="AD447" s="13">
        <f t="shared" si="97"/>
        <v>0</v>
      </c>
      <c r="AE447" s="13">
        <f>ROUNDUP(($AB447+$AD447)*VLOOKUP($Z447,Paraméterek!$P$38:$Q$38,2)/12,IF($D$4="Forint",0,2))</f>
        <v>0</v>
      </c>
      <c r="AF447" s="13">
        <f>IF($D$2="Egyszeri",IF($D$7&gt;=IF($D$4="Forint",Paraméterek!$P$223,Paraméterek!$P$224),$D$7-IF($D$4="Forint",Paraméterek!$F$223,Paraméterek!$F$224),0),MIN(IF($AA447=12,AVERAGE($D$20:$D447)*12,0),SUM($D$20:$D$31)))</f>
        <v>0</v>
      </c>
      <c r="AG447" s="13">
        <f>IF(AND($Z447&gt;=10,MOD($Z447,5)=0),$AF447*IF($AA447=12,VLOOKUP($Z447,Paraméterek!$B$225:$F$240,IF($AF447&lt;IF($D$4="Forint",Paraméterek!$C$223,Paraméterek!$C$224),2,IF($AF447&lt;IF($D$4="Forint",Paraméterek!$D$223,Paraméterek!$D$224),3,4))),0),0)</f>
        <v>0</v>
      </c>
      <c r="AH447" s="13">
        <f>IF(AND($Z447&gt;=5,MOD($Z447,5)=0),IF($AA447=12,VLOOKUP($Z447,Paraméterek!$B$225:$F$240,5),0),IF(OR($Z447=3,$Z447=4),IF($AA447=12,VLOOKUP($Z447,Paraméterek!$B$225:$F$240,5,0),0),0))*$AF447</f>
        <v>0</v>
      </c>
      <c r="AI447" s="13">
        <f>ROUNDDOWN(IF(SUM($T$20:$U447)=0,IF($D$2="Egyszeri",$AH447,$AG447),0),IF($D$4="Forint",0,2))</f>
        <v>0</v>
      </c>
      <c r="AJ447" s="13">
        <f t="shared" si="102"/>
        <v>0</v>
      </c>
      <c r="AK447" s="13">
        <f t="shared" si="103"/>
        <v>0</v>
      </c>
      <c r="AM447" s="32">
        <v>428</v>
      </c>
      <c r="AN447" s="32">
        <v>36</v>
      </c>
      <c r="AO447" s="32">
        <v>8</v>
      </c>
      <c r="AP447" s="13"/>
      <c r="AQ447" s="32"/>
      <c r="AR447" s="13">
        <f t="shared" si="104"/>
        <v>0</v>
      </c>
      <c r="AS447" s="33"/>
      <c r="AT447" s="13">
        <f t="shared" si="98"/>
        <v>0</v>
      </c>
      <c r="AU447" s="13">
        <f>ROUNDUP(($AR447+$AT447)*VLOOKUP($AN447,Paraméterek!$P$38:$Q$38,2)/12,IF($D$4="Forint",0,2))</f>
        <v>0</v>
      </c>
      <c r="AV447" s="13"/>
      <c r="AW447" s="13"/>
      <c r="AX447" s="13">
        <f>ROUNDUP(IF(SUM($AV447:$AW447)=0,0,IF(IF(ISBLANK($AW447),$AV447,$AW447)*Paraméterek!$J$112&lt;IF($D$4="Forint",Paraméterek!$J$113,Paraméterek!$K$113),IF($D$4="Forint",Paraméterek!$J$113,Paraméterek!$K$113),IF(IF(ISBLANK($AW447),$AV447,$AW447)*Paraméterek!$J$112&gt;IF($D$4="Forint",Paraméterek!$J$114,Paraméterek!$K$114),IF($D$4="Forint",Paraméterek!$J$114,Paraméterek!$K$114),IF(ISBLANK($AW447),$AV447,$AW447)*Paraméterek!$J$112))),IF($D$4="Forint",0,2))</f>
        <v>0</v>
      </c>
      <c r="AY447" s="13">
        <f>$AR447+$AT447-$AU447-IF(ROUNDDOWN(IF(ISBLANK($AW447),$AV447,$AW447),IF($D$4="Forint",0,2))&gt;$AR447+$AT447-$AU447-IF($D$4="Forint",Paraméterek!$J$114,Paraméterek!$K$114),0,ROUNDDOWN(IF(ISBLANK($AW447),$AV447,$AW447),IF($D$4="Forint",0,2))-$AX447)</f>
        <v>0</v>
      </c>
      <c r="AZ447" s="13">
        <f t="shared" si="99"/>
        <v>0</v>
      </c>
    </row>
    <row r="448" spans="1:52" x14ac:dyDescent="0.2">
      <c r="A448" s="32">
        <v>429</v>
      </c>
      <c r="B448" s="32">
        <v>36</v>
      </c>
      <c r="C448" s="32">
        <v>9</v>
      </c>
      <c r="D448" s="13">
        <f t="shared" si="90"/>
        <v>0</v>
      </c>
      <c r="E448" s="13"/>
      <c r="F448" s="13"/>
      <c r="G448" s="13"/>
      <c r="H448" s="13">
        <f t="shared" si="91"/>
        <v>0</v>
      </c>
      <c r="I448" s="13">
        <f t="shared" si="92"/>
        <v>0</v>
      </c>
      <c r="J448" s="13">
        <f t="shared" si="93"/>
        <v>0</v>
      </c>
      <c r="K448" s="13">
        <f>ROUNDUP(IF($D$2="Egyszeri",$D448,IF($D$2="Havi",SUM($D$20:$D$31),IF(MOD($C448,$M$1)-1=0,SUM($D$20:$D$31),0))/12*$M$1)*VLOOKUP($B448,Paraméterek!$B$27:$D$30,IF($D$2="Egyszeri",3,2)),IF($D$4="Forint",0,2))</f>
        <v>0</v>
      </c>
      <c r="L448" s="13">
        <f t="shared" si="94"/>
        <v>0</v>
      </c>
      <c r="M448" s="13">
        <f t="shared" ca="1" si="100"/>
        <v>-283650</v>
      </c>
      <c r="N448" s="13">
        <f ca="1">IF($V447&gt;=VLOOKUP($M$4-1+$B448,Paraméterek!$B$121:$D$122,IF($D$4="Forint",2,3)),0,VLOOKUP($M$4-1+$B448,Paraméterek!$B$121:$D$122,IF($D$4="Forint",2,3))-$V447)</f>
        <v>293650</v>
      </c>
      <c r="O448" s="13">
        <f ca="1">ROUNDUP($N448*Paraméterek!$C$58/Paraméterek!$C$56,IF($D$4="Forint",0,2))</f>
        <v>47</v>
      </c>
      <c r="P448" s="13">
        <f t="shared" si="95"/>
        <v>1548</v>
      </c>
      <c r="Q448" s="33"/>
      <c r="R448" s="13">
        <f t="shared" ca="1" si="96"/>
        <v>0</v>
      </c>
      <c r="S448" s="13">
        <f ca="1">ROUNDUP(($M448-$O448-$P448+$R448)*VLOOKUP($B448,Paraméterek!$B$38:$D$39,IF($D$2="Egyszeri",3,2))/12,IF($D$4="Forint",0,2))</f>
        <v>-697</v>
      </c>
      <c r="T448" s="13"/>
      <c r="U448" s="13"/>
      <c r="V448" s="13">
        <f ca="1">$M448-$O448-$P448+$R448-$S448-IF(ROUNDUP(IF(ISBLANK($U448),$T448,$U448)/IF(AND($B448=1,$D$2&lt;&gt;"Egyszeri"),1,VLOOKUP($B448+IF($C448=12,1,0),Paraméterek!$B$257:$D$267,IF($D$2="Egyszeri",3,2))),IF($D$4="Forint",0,2))&gt;$M448-$O448-$P448+$R448-$S448-IF($D$4="Forint",Paraméterek!$C$216,Paraméterek!$D$216),0,ROUNDUP(IF(ISBLANK($U448),$T448,$U448)/IF(AND($B448=1,$D$2&lt;&gt;"Egyszeri"),1,VLOOKUP($B448+IF($C448=12,1,0),Paraméterek!$B$257:$D$267,IF($D$2="Egyszeri",3,2))),IF($D$4="Forint",0,2)))</f>
        <v>-284548</v>
      </c>
      <c r="W448" s="13">
        <f ca="1">ROUNDDOWN($V448*VLOOKUP($B448+IF($C448=12,1,0),Paraméterek!$B$257:$D$267,IF($D$2="Egyszeri",3,2)),IF($D$4="Forint",0,2))</f>
        <v>-284548</v>
      </c>
      <c r="Y448" s="32">
        <v>429</v>
      </c>
      <c r="Z448" s="32">
        <v>36</v>
      </c>
      <c r="AA448" s="32">
        <v>9</v>
      </c>
      <c r="AB448" s="13">
        <f t="shared" si="101"/>
        <v>0</v>
      </c>
      <c r="AC448" s="33"/>
      <c r="AD448" s="13">
        <f t="shared" si="97"/>
        <v>0</v>
      </c>
      <c r="AE448" s="13">
        <f>ROUNDUP(($AB448+$AD448)*VLOOKUP($Z448,Paraméterek!$P$38:$Q$38,2)/12,IF($D$4="Forint",0,2))</f>
        <v>0</v>
      </c>
      <c r="AF448" s="13">
        <f>IF($D$2="Egyszeri",IF($D$7&gt;=IF($D$4="Forint",Paraméterek!$P$223,Paraméterek!$P$224),$D$7-IF($D$4="Forint",Paraméterek!$F$223,Paraméterek!$F$224),0),MIN(IF($AA448=12,AVERAGE($D$20:$D448)*12,0),SUM($D$20:$D$31)))</f>
        <v>0</v>
      </c>
      <c r="AG448" s="13">
        <f>IF(AND($Z448&gt;=10,MOD($Z448,5)=0),$AF448*IF($AA448=12,VLOOKUP($Z448,Paraméterek!$B$225:$F$240,IF($AF448&lt;IF($D$4="Forint",Paraméterek!$C$223,Paraméterek!$C$224),2,IF($AF448&lt;IF($D$4="Forint",Paraméterek!$D$223,Paraméterek!$D$224),3,4))),0),0)</f>
        <v>0</v>
      </c>
      <c r="AH448" s="13">
        <f>IF(AND($Z448&gt;=5,MOD($Z448,5)=0),IF($AA448=12,VLOOKUP($Z448,Paraméterek!$B$225:$F$240,5),0),IF(OR($Z448=3,$Z448=4),IF($AA448=12,VLOOKUP($Z448,Paraméterek!$B$225:$F$240,5,0),0),0))*$AF448</f>
        <v>0</v>
      </c>
      <c r="AI448" s="13">
        <f>ROUNDDOWN(IF(SUM($T$20:$U448)=0,IF($D$2="Egyszeri",$AH448,$AG448),0),IF($D$4="Forint",0,2))</f>
        <v>0</v>
      </c>
      <c r="AJ448" s="13">
        <f t="shared" si="102"/>
        <v>0</v>
      </c>
      <c r="AK448" s="13">
        <f t="shared" si="103"/>
        <v>0</v>
      </c>
      <c r="AM448" s="32">
        <v>429</v>
      </c>
      <c r="AN448" s="32">
        <v>36</v>
      </c>
      <c r="AO448" s="32">
        <v>9</v>
      </c>
      <c r="AP448" s="13"/>
      <c r="AQ448" s="32"/>
      <c r="AR448" s="13">
        <f t="shared" si="104"/>
        <v>0</v>
      </c>
      <c r="AS448" s="33"/>
      <c r="AT448" s="13">
        <f t="shared" si="98"/>
        <v>0</v>
      </c>
      <c r="AU448" s="13">
        <f>ROUNDUP(($AR448+$AT448)*VLOOKUP($AN448,Paraméterek!$P$38:$Q$38,2)/12,IF($D$4="Forint",0,2))</f>
        <v>0</v>
      </c>
      <c r="AV448" s="13"/>
      <c r="AW448" s="13"/>
      <c r="AX448" s="13">
        <f>ROUNDUP(IF(SUM($AV448:$AW448)=0,0,IF(IF(ISBLANK($AW448),$AV448,$AW448)*Paraméterek!$J$112&lt;IF($D$4="Forint",Paraméterek!$J$113,Paraméterek!$K$113),IF($D$4="Forint",Paraméterek!$J$113,Paraméterek!$K$113),IF(IF(ISBLANK($AW448),$AV448,$AW448)*Paraméterek!$J$112&gt;IF($D$4="Forint",Paraméterek!$J$114,Paraméterek!$K$114),IF($D$4="Forint",Paraméterek!$J$114,Paraméterek!$K$114),IF(ISBLANK($AW448),$AV448,$AW448)*Paraméterek!$J$112))),IF($D$4="Forint",0,2))</f>
        <v>0</v>
      </c>
      <c r="AY448" s="13">
        <f>$AR448+$AT448-$AU448-IF(ROUNDDOWN(IF(ISBLANK($AW448),$AV448,$AW448),IF($D$4="Forint",0,2))&gt;$AR448+$AT448-$AU448-IF($D$4="Forint",Paraméterek!$J$114,Paraméterek!$K$114),0,ROUNDDOWN(IF(ISBLANK($AW448),$AV448,$AW448),IF($D$4="Forint",0,2))-$AX448)</f>
        <v>0</v>
      </c>
      <c r="AZ448" s="13">
        <f t="shared" si="99"/>
        <v>0</v>
      </c>
    </row>
    <row r="449" spans="1:52" x14ac:dyDescent="0.2">
      <c r="A449" s="32">
        <v>430</v>
      </c>
      <c r="B449" s="32">
        <v>36</v>
      </c>
      <c r="C449" s="32">
        <v>10</v>
      </c>
      <c r="D449" s="13">
        <f t="shared" si="90"/>
        <v>0</v>
      </c>
      <c r="E449" s="13"/>
      <c r="F449" s="13"/>
      <c r="G449" s="13"/>
      <c r="H449" s="13">
        <f t="shared" si="91"/>
        <v>0</v>
      </c>
      <c r="I449" s="13">
        <f t="shared" si="92"/>
        <v>0</v>
      </c>
      <c r="J449" s="13">
        <f t="shared" si="93"/>
        <v>0</v>
      </c>
      <c r="K449" s="13">
        <f>ROUNDUP(IF($D$2="Egyszeri",$D449,IF($D$2="Havi",SUM($D$20:$D$31),IF(MOD($C449,$M$1)-1=0,SUM($D$20:$D$31),0))/12*$M$1)*VLOOKUP($B449,Paraméterek!$B$27:$D$30,IF($D$2="Egyszeri",3,2)),IF($D$4="Forint",0,2))</f>
        <v>0</v>
      </c>
      <c r="L449" s="13">
        <f t="shared" si="94"/>
        <v>0</v>
      </c>
      <c r="M449" s="13">
        <f t="shared" ca="1" si="100"/>
        <v>-284548</v>
      </c>
      <c r="N449" s="13">
        <f ca="1">IF($V448&gt;=VLOOKUP($M$4-1+$B449,Paraméterek!$B$121:$D$122,IF($D$4="Forint",2,3)),0,VLOOKUP($M$4-1+$B449,Paraméterek!$B$121:$D$122,IF($D$4="Forint",2,3))-$V448)</f>
        <v>294548</v>
      </c>
      <c r="O449" s="13">
        <f ca="1">ROUNDUP($N449*Paraméterek!$C$58/Paraméterek!$C$56,IF($D$4="Forint",0,2))</f>
        <v>47</v>
      </c>
      <c r="P449" s="13">
        <f t="shared" si="95"/>
        <v>1548</v>
      </c>
      <c r="Q449" s="33"/>
      <c r="R449" s="13">
        <f t="shared" ca="1" si="96"/>
        <v>0</v>
      </c>
      <c r="S449" s="13">
        <f ca="1">ROUNDUP(($M449-$O449-$P449+$R449)*VLOOKUP($B449,Paraméterek!$B$38:$D$39,IF($D$2="Egyszeri",3,2))/12,IF($D$4="Forint",0,2))</f>
        <v>-699</v>
      </c>
      <c r="T449" s="13"/>
      <c r="U449" s="13"/>
      <c r="V449" s="13">
        <f ca="1">$M449-$O449-$P449+$R449-$S449-IF(ROUNDUP(IF(ISBLANK($U449),$T449,$U449)/IF(AND($B449=1,$D$2&lt;&gt;"Egyszeri"),1,VLOOKUP($B449+IF($C449=12,1,0),Paraméterek!$B$257:$D$267,IF($D$2="Egyszeri",3,2))),IF($D$4="Forint",0,2))&gt;$M449-$O449-$P449+$R449-$S449-IF($D$4="Forint",Paraméterek!$C$216,Paraméterek!$D$216),0,ROUNDUP(IF(ISBLANK($U449),$T449,$U449)/IF(AND($B449=1,$D$2&lt;&gt;"Egyszeri"),1,VLOOKUP($B449+IF($C449=12,1,0),Paraméterek!$B$257:$D$267,IF($D$2="Egyszeri",3,2))),IF($D$4="Forint",0,2)))</f>
        <v>-285444</v>
      </c>
      <c r="W449" s="13">
        <f ca="1">ROUNDDOWN($V449*VLOOKUP($B449+IF($C449=12,1,0),Paraméterek!$B$257:$D$267,IF($D$2="Egyszeri",3,2)),IF($D$4="Forint",0,2))</f>
        <v>-285444</v>
      </c>
      <c r="Y449" s="32">
        <v>430</v>
      </c>
      <c r="Z449" s="32">
        <v>36</v>
      </c>
      <c r="AA449" s="32">
        <v>10</v>
      </c>
      <c r="AB449" s="13">
        <f t="shared" si="101"/>
        <v>0</v>
      </c>
      <c r="AC449" s="33"/>
      <c r="AD449" s="13">
        <f t="shared" si="97"/>
        <v>0</v>
      </c>
      <c r="AE449" s="13">
        <f>ROUNDUP(($AB449+$AD449)*VLOOKUP($Z449,Paraméterek!$P$38:$Q$38,2)/12,IF($D$4="Forint",0,2))</f>
        <v>0</v>
      </c>
      <c r="AF449" s="13">
        <f>IF($D$2="Egyszeri",IF($D$7&gt;=IF($D$4="Forint",Paraméterek!$P$223,Paraméterek!$P$224),$D$7-IF($D$4="Forint",Paraméterek!$F$223,Paraméterek!$F$224),0),MIN(IF($AA449=12,AVERAGE($D$20:$D449)*12,0),SUM($D$20:$D$31)))</f>
        <v>0</v>
      </c>
      <c r="AG449" s="13">
        <f>IF(AND($Z449&gt;=10,MOD($Z449,5)=0),$AF449*IF($AA449=12,VLOOKUP($Z449,Paraméterek!$B$225:$F$240,IF($AF449&lt;IF($D$4="Forint",Paraméterek!$C$223,Paraméterek!$C$224),2,IF($AF449&lt;IF($D$4="Forint",Paraméterek!$D$223,Paraméterek!$D$224),3,4))),0),0)</f>
        <v>0</v>
      </c>
      <c r="AH449" s="13">
        <f>IF(AND($Z449&gt;=5,MOD($Z449,5)=0),IF($AA449=12,VLOOKUP($Z449,Paraméterek!$B$225:$F$240,5),0),IF(OR($Z449=3,$Z449=4),IF($AA449=12,VLOOKUP($Z449,Paraméterek!$B$225:$F$240,5,0),0),0))*$AF449</f>
        <v>0</v>
      </c>
      <c r="AI449" s="13">
        <f>ROUNDDOWN(IF(SUM($T$20:$U449)=0,IF($D$2="Egyszeri",$AH449,$AG449),0),IF($D$4="Forint",0,2))</f>
        <v>0</v>
      </c>
      <c r="AJ449" s="13">
        <f t="shared" si="102"/>
        <v>0</v>
      </c>
      <c r="AK449" s="13">
        <f t="shared" si="103"/>
        <v>0</v>
      </c>
      <c r="AM449" s="32">
        <v>430</v>
      </c>
      <c r="AN449" s="32">
        <v>36</v>
      </c>
      <c r="AO449" s="32">
        <v>10</v>
      </c>
      <c r="AP449" s="13"/>
      <c r="AQ449" s="32"/>
      <c r="AR449" s="13">
        <f t="shared" si="104"/>
        <v>0</v>
      </c>
      <c r="AS449" s="33"/>
      <c r="AT449" s="13">
        <f t="shared" si="98"/>
        <v>0</v>
      </c>
      <c r="AU449" s="13">
        <f>ROUNDUP(($AR449+$AT449)*VLOOKUP($AN449,Paraméterek!$P$38:$Q$38,2)/12,IF($D$4="Forint",0,2))</f>
        <v>0</v>
      </c>
      <c r="AV449" s="13"/>
      <c r="AW449" s="13"/>
      <c r="AX449" s="13">
        <f>ROUNDUP(IF(SUM($AV449:$AW449)=0,0,IF(IF(ISBLANK($AW449),$AV449,$AW449)*Paraméterek!$J$112&lt;IF($D$4="Forint",Paraméterek!$J$113,Paraméterek!$K$113),IF($D$4="Forint",Paraméterek!$J$113,Paraméterek!$K$113),IF(IF(ISBLANK($AW449),$AV449,$AW449)*Paraméterek!$J$112&gt;IF($D$4="Forint",Paraméterek!$J$114,Paraméterek!$K$114),IF($D$4="Forint",Paraméterek!$J$114,Paraméterek!$K$114),IF(ISBLANK($AW449),$AV449,$AW449)*Paraméterek!$J$112))),IF($D$4="Forint",0,2))</f>
        <v>0</v>
      </c>
      <c r="AY449" s="13">
        <f>$AR449+$AT449-$AU449-IF(ROUNDDOWN(IF(ISBLANK($AW449),$AV449,$AW449),IF($D$4="Forint",0,2))&gt;$AR449+$AT449-$AU449-IF($D$4="Forint",Paraméterek!$J$114,Paraméterek!$K$114),0,ROUNDDOWN(IF(ISBLANK($AW449),$AV449,$AW449),IF($D$4="Forint",0,2))-$AX449)</f>
        <v>0</v>
      </c>
      <c r="AZ449" s="13">
        <f t="shared" si="99"/>
        <v>0</v>
      </c>
    </row>
    <row r="450" spans="1:52" x14ac:dyDescent="0.2">
      <c r="A450" s="32">
        <v>431</v>
      </c>
      <c r="B450" s="32">
        <v>36</v>
      </c>
      <c r="C450" s="32">
        <v>11</v>
      </c>
      <c r="D450" s="13">
        <f t="shared" si="90"/>
        <v>0</v>
      </c>
      <c r="E450" s="13"/>
      <c r="F450" s="13"/>
      <c r="G450" s="13"/>
      <c r="H450" s="13">
        <f t="shared" si="91"/>
        <v>0</v>
      </c>
      <c r="I450" s="13">
        <f t="shared" si="92"/>
        <v>0</v>
      </c>
      <c r="J450" s="13">
        <f t="shared" si="93"/>
        <v>0</v>
      </c>
      <c r="K450" s="13">
        <f>ROUNDUP(IF($D$2="Egyszeri",$D450,IF($D$2="Havi",SUM($D$20:$D$31),IF(MOD($C450,$M$1)-1=0,SUM($D$20:$D$31),0))/12*$M$1)*VLOOKUP($B450,Paraméterek!$B$27:$D$30,IF($D$2="Egyszeri",3,2)),IF($D$4="Forint",0,2))</f>
        <v>0</v>
      </c>
      <c r="L450" s="13">
        <f t="shared" si="94"/>
        <v>0</v>
      </c>
      <c r="M450" s="13">
        <f t="shared" ca="1" si="100"/>
        <v>-285444</v>
      </c>
      <c r="N450" s="13">
        <f ca="1">IF($V449&gt;=VLOOKUP($M$4-1+$B450,Paraméterek!$B$121:$D$122,IF($D$4="Forint",2,3)),0,VLOOKUP($M$4-1+$B450,Paraméterek!$B$121:$D$122,IF($D$4="Forint",2,3))-$V449)</f>
        <v>295444</v>
      </c>
      <c r="O450" s="13">
        <f ca="1">ROUNDUP($N450*Paraméterek!$C$58/Paraméterek!$C$56,IF($D$4="Forint",0,2))</f>
        <v>48</v>
      </c>
      <c r="P450" s="13">
        <f t="shared" si="95"/>
        <v>1548</v>
      </c>
      <c r="Q450" s="33"/>
      <c r="R450" s="13">
        <f t="shared" ca="1" si="96"/>
        <v>0</v>
      </c>
      <c r="S450" s="13">
        <f ca="1">ROUNDUP(($M450-$O450-$P450+$R450)*VLOOKUP($B450,Paraméterek!$B$38:$D$39,IF($D$2="Egyszeri",3,2))/12,IF($D$4="Forint",0,2))</f>
        <v>-701</v>
      </c>
      <c r="T450" s="13"/>
      <c r="U450" s="13"/>
      <c r="V450" s="13">
        <f ca="1">$M450-$O450-$P450+$R450-$S450-IF(ROUNDUP(IF(ISBLANK($U450),$T450,$U450)/IF(AND($B450=1,$D$2&lt;&gt;"Egyszeri"),1,VLOOKUP($B450+IF($C450=12,1,0),Paraméterek!$B$257:$D$267,IF($D$2="Egyszeri",3,2))),IF($D$4="Forint",0,2))&gt;$M450-$O450-$P450+$R450-$S450-IF($D$4="Forint",Paraméterek!$C$216,Paraméterek!$D$216),0,ROUNDUP(IF(ISBLANK($U450),$T450,$U450)/IF(AND($B450=1,$D$2&lt;&gt;"Egyszeri"),1,VLOOKUP($B450+IF($C450=12,1,0),Paraméterek!$B$257:$D$267,IF($D$2="Egyszeri",3,2))),IF($D$4="Forint",0,2)))</f>
        <v>-286339</v>
      </c>
      <c r="W450" s="13">
        <f ca="1">ROUNDDOWN($V450*VLOOKUP($B450+IF($C450=12,1,0),Paraméterek!$B$257:$D$267,IF($D$2="Egyszeri",3,2)),IF($D$4="Forint",0,2))</f>
        <v>-286339</v>
      </c>
      <c r="Y450" s="32">
        <v>431</v>
      </c>
      <c r="Z450" s="32">
        <v>36</v>
      </c>
      <c r="AA450" s="32">
        <v>11</v>
      </c>
      <c r="AB450" s="13">
        <f t="shared" si="101"/>
        <v>0</v>
      </c>
      <c r="AC450" s="33"/>
      <c r="AD450" s="13">
        <f t="shared" si="97"/>
        <v>0</v>
      </c>
      <c r="AE450" s="13">
        <f>ROUNDUP(($AB450+$AD450)*VLOOKUP($Z450,Paraméterek!$P$38:$Q$38,2)/12,IF($D$4="Forint",0,2))</f>
        <v>0</v>
      </c>
      <c r="AF450" s="13">
        <f>IF($D$2="Egyszeri",IF($D$7&gt;=IF($D$4="Forint",Paraméterek!$P$223,Paraméterek!$P$224),$D$7-IF($D$4="Forint",Paraméterek!$F$223,Paraméterek!$F$224),0),MIN(IF($AA450=12,AVERAGE($D$20:$D450)*12,0),SUM($D$20:$D$31)))</f>
        <v>0</v>
      </c>
      <c r="AG450" s="13">
        <f>IF(AND($Z450&gt;=10,MOD($Z450,5)=0),$AF450*IF($AA450=12,VLOOKUP($Z450,Paraméterek!$B$225:$F$240,IF($AF450&lt;IF($D$4="Forint",Paraméterek!$C$223,Paraméterek!$C$224),2,IF($AF450&lt;IF($D$4="Forint",Paraméterek!$D$223,Paraméterek!$D$224),3,4))),0),0)</f>
        <v>0</v>
      </c>
      <c r="AH450" s="13">
        <f>IF(AND($Z450&gt;=5,MOD($Z450,5)=0),IF($AA450=12,VLOOKUP($Z450,Paraméterek!$B$225:$F$240,5),0),IF(OR($Z450=3,$Z450=4),IF($AA450=12,VLOOKUP($Z450,Paraméterek!$B$225:$F$240,5,0),0),0))*$AF450</f>
        <v>0</v>
      </c>
      <c r="AI450" s="13">
        <f>ROUNDDOWN(IF(SUM($T$20:$U450)=0,IF($D$2="Egyszeri",$AH450,$AG450),0),IF($D$4="Forint",0,2))</f>
        <v>0</v>
      </c>
      <c r="AJ450" s="13">
        <f t="shared" si="102"/>
        <v>0</v>
      </c>
      <c r="AK450" s="13">
        <f t="shared" si="103"/>
        <v>0</v>
      </c>
      <c r="AM450" s="32">
        <v>431</v>
      </c>
      <c r="AN450" s="32">
        <v>36</v>
      </c>
      <c r="AO450" s="32">
        <v>11</v>
      </c>
      <c r="AP450" s="13"/>
      <c r="AQ450" s="32"/>
      <c r="AR450" s="13">
        <f t="shared" si="104"/>
        <v>0</v>
      </c>
      <c r="AS450" s="33"/>
      <c r="AT450" s="13">
        <f t="shared" si="98"/>
        <v>0</v>
      </c>
      <c r="AU450" s="13">
        <f>ROUNDUP(($AR450+$AT450)*VLOOKUP($AN450,Paraméterek!$P$38:$Q$38,2)/12,IF($D$4="Forint",0,2))</f>
        <v>0</v>
      </c>
      <c r="AV450" s="13"/>
      <c r="AW450" s="13"/>
      <c r="AX450" s="13">
        <f>ROUNDUP(IF(SUM($AV450:$AW450)=0,0,IF(IF(ISBLANK($AW450),$AV450,$AW450)*Paraméterek!$J$112&lt;IF($D$4="Forint",Paraméterek!$J$113,Paraméterek!$K$113),IF($D$4="Forint",Paraméterek!$J$113,Paraméterek!$K$113),IF(IF(ISBLANK($AW450),$AV450,$AW450)*Paraméterek!$J$112&gt;IF($D$4="Forint",Paraméterek!$J$114,Paraméterek!$K$114),IF($D$4="Forint",Paraméterek!$J$114,Paraméterek!$K$114),IF(ISBLANK($AW450),$AV450,$AW450)*Paraméterek!$J$112))),IF($D$4="Forint",0,2))</f>
        <v>0</v>
      </c>
      <c r="AY450" s="13">
        <f>$AR450+$AT450-$AU450-IF(ROUNDDOWN(IF(ISBLANK($AW450),$AV450,$AW450),IF($D$4="Forint",0,2))&gt;$AR450+$AT450-$AU450-IF($D$4="Forint",Paraméterek!$J$114,Paraméterek!$K$114),0,ROUNDDOWN(IF(ISBLANK($AW450),$AV450,$AW450),IF($D$4="Forint",0,2))-$AX450)</f>
        <v>0</v>
      </c>
      <c r="AZ450" s="13">
        <f t="shared" si="99"/>
        <v>0</v>
      </c>
    </row>
    <row r="451" spans="1:52" x14ac:dyDescent="0.2">
      <c r="A451" s="32">
        <v>432</v>
      </c>
      <c r="B451" s="32">
        <v>36</v>
      </c>
      <c r="C451" s="32">
        <v>12</v>
      </c>
      <c r="D451" s="13">
        <f t="shared" si="90"/>
        <v>0</v>
      </c>
      <c r="E451" s="13"/>
      <c r="F451" s="13"/>
      <c r="G451" s="13"/>
      <c r="H451" s="13">
        <f t="shared" si="91"/>
        <v>0</v>
      </c>
      <c r="I451" s="13">
        <f t="shared" si="92"/>
        <v>0</v>
      </c>
      <c r="J451" s="13">
        <f t="shared" si="93"/>
        <v>0</v>
      </c>
      <c r="K451" s="13">
        <f>ROUNDUP(IF($D$2="Egyszeri",$D451,IF($D$2="Havi",SUM($D$20:$D$31),IF(MOD($C451,$M$1)-1=0,SUM($D$20:$D$31),0))/12*$M$1)*VLOOKUP($B451,Paraméterek!$B$27:$D$30,IF($D$2="Egyszeri",3,2)),IF($D$4="Forint",0,2))</f>
        <v>0</v>
      </c>
      <c r="L451" s="13">
        <f t="shared" si="94"/>
        <v>0</v>
      </c>
      <c r="M451" s="13">
        <f t="shared" ca="1" si="100"/>
        <v>-286339</v>
      </c>
      <c r="N451" s="13">
        <f ca="1">IF($V450&gt;=VLOOKUP($M$4-1+$B451,Paraméterek!$B$121:$D$122,IF($D$4="Forint",2,3)),0,VLOOKUP($M$4-1+$B451,Paraméterek!$B$121:$D$122,IF($D$4="Forint",2,3))-$V450)</f>
        <v>296339</v>
      </c>
      <c r="O451" s="13">
        <f ca="1">ROUNDUP($N451*Paraméterek!$C$58/Paraméterek!$C$56,IF($D$4="Forint",0,2))</f>
        <v>48</v>
      </c>
      <c r="P451" s="13">
        <f t="shared" si="95"/>
        <v>1548</v>
      </c>
      <c r="Q451" s="33"/>
      <c r="R451" s="13">
        <f t="shared" ca="1" si="96"/>
        <v>0</v>
      </c>
      <c r="S451" s="13">
        <f ca="1">ROUNDUP(($M451-$O451-$P451+$R451)*VLOOKUP($B451,Paraméterek!$B$38:$D$39,IF($D$2="Egyszeri",3,2))/12,IF($D$4="Forint",0,2))</f>
        <v>-704</v>
      </c>
      <c r="T451" s="13">
        <f>Tranzakciók!$F$67</f>
        <v>0</v>
      </c>
      <c r="U451" s="13"/>
      <c r="V451" s="13">
        <f ca="1">$M451-$O451-$P451+$R451-$S451-IF(ROUNDUP(IF(ISBLANK($U451),$T451,$U451)/IF(AND($B451=1,$D$2&lt;&gt;"Egyszeri"),1,VLOOKUP($B451+IF($C451=12,1,0),Paraméterek!$B$257:$D$267,IF($D$2="Egyszeri",3,2))),IF($D$4="Forint",0,2))&gt;$M451-$O451-$P451+$R451-$S451-IF($D$4="Forint",Paraméterek!$C$216,Paraméterek!$D$216),0,ROUNDUP(IF(ISBLANK($U451),$T451,$U451)/IF(AND($B451=1,$D$2&lt;&gt;"Egyszeri"),1,VLOOKUP($B451+IF($C451=12,1,0),Paraméterek!$B$257:$D$267,IF($D$2="Egyszeri",3,2))),IF($D$4="Forint",0,2)))</f>
        <v>-287231</v>
      </c>
      <c r="W451" s="13">
        <f ca="1">ROUNDDOWN($V451*VLOOKUP($B451+IF($C451=12,1,0),Paraméterek!$B$257:$D$267,IF($D$2="Egyszeri",3,2)),IF($D$4="Forint",0,2))</f>
        <v>-287231</v>
      </c>
      <c r="Y451" s="32">
        <v>432</v>
      </c>
      <c r="Z451" s="32">
        <v>36</v>
      </c>
      <c r="AA451" s="32">
        <v>12</v>
      </c>
      <c r="AB451" s="13">
        <f t="shared" si="101"/>
        <v>0</v>
      </c>
      <c r="AC451" s="33"/>
      <c r="AD451" s="13">
        <f t="shared" si="97"/>
        <v>0</v>
      </c>
      <c r="AE451" s="13">
        <f>ROUNDUP(($AB451+$AD451)*VLOOKUP($Z451,Paraméterek!$P$38:$Q$38,2)/12,IF($D$4="Forint",0,2))</f>
        <v>0</v>
      </c>
      <c r="AF451" s="13">
        <f>IF($D$2="Egyszeri",IF($D$7&gt;=IF($D$4="Forint",Paraméterek!$P$223,Paraméterek!$P$224),$D$7-IF($D$4="Forint",Paraméterek!$F$223,Paraméterek!$F$224),0),MIN(IF($AA451=12,AVERAGE($D$20:$D451)*12,0),SUM($D$20:$D$31)))</f>
        <v>0</v>
      </c>
      <c r="AG451" s="13">
        <f>IF(AND($Z451&gt;=10,MOD($Z451,5)=0),$AF451*IF($AA451=12,VLOOKUP($Z451,Paraméterek!$B$225:$F$240,IF($AF451&lt;IF($D$4="Forint",Paraméterek!$C$223,Paraméterek!$C$224),2,IF($AF451&lt;IF($D$4="Forint",Paraméterek!$D$223,Paraméterek!$D$224),3,4))),0),0)</f>
        <v>0</v>
      </c>
      <c r="AH451" s="13">
        <f>IF(AND($Z451&gt;=5,MOD($Z451,5)=0),IF($AA451=12,VLOOKUP($Z451,Paraméterek!$B$225:$F$240,5),0),IF(OR($Z451=3,$Z451=4),IF($AA451=12,VLOOKUP($Z451,Paraméterek!$B$225:$F$240,5,0),0),0))*$AF451</f>
        <v>0</v>
      </c>
      <c r="AI451" s="13">
        <f>ROUNDDOWN(IF(SUM($T$20:$U451)=0,IF($D$2="Egyszeri",$AH451,$AG451),0),IF($D$4="Forint",0,2))</f>
        <v>0</v>
      </c>
      <c r="AJ451" s="13">
        <f t="shared" si="102"/>
        <v>0</v>
      </c>
      <c r="AK451" s="13">
        <f t="shared" si="103"/>
        <v>0</v>
      </c>
      <c r="AM451" s="32">
        <v>432</v>
      </c>
      <c r="AN451" s="32">
        <v>36</v>
      </c>
      <c r="AO451" s="32">
        <v>12</v>
      </c>
      <c r="AP451" s="13"/>
      <c r="AQ451" s="32"/>
      <c r="AR451" s="13">
        <f t="shared" si="104"/>
        <v>0</v>
      </c>
      <c r="AS451" s="33"/>
      <c r="AT451" s="13">
        <f t="shared" si="98"/>
        <v>0</v>
      </c>
      <c r="AU451" s="13">
        <f>ROUNDUP(($AR451+$AT451)*VLOOKUP($AN451,Paraméterek!$P$38:$Q$38,2)/12,IF($D$4="Forint",0,2))</f>
        <v>0</v>
      </c>
      <c r="AV451" s="13">
        <f>Tranzakciók!$M$67</f>
        <v>0</v>
      </c>
      <c r="AW451" s="13"/>
      <c r="AX451" s="13">
        <f>ROUNDUP(IF(SUM($AV451:$AW451)=0,0,IF(IF(ISBLANK($AW451),$AV451,$AW451)*Paraméterek!$J$112&lt;IF($D$4="Forint",Paraméterek!$J$113,Paraméterek!$K$113),IF($D$4="Forint",Paraméterek!$J$113,Paraméterek!$K$113),IF(IF(ISBLANK($AW451),$AV451,$AW451)*Paraméterek!$J$112&gt;IF($D$4="Forint",Paraméterek!$J$114,Paraméterek!$K$114),IF($D$4="Forint",Paraméterek!$J$114,Paraméterek!$K$114),IF(ISBLANK($AW451),$AV451,$AW451)*Paraméterek!$J$112))),IF($D$4="Forint",0,2))</f>
        <v>0</v>
      </c>
      <c r="AY451" s="13">
        <f>$AR451+$AT451-$AU451-IF(ROUNDDOWN(IF(ISBLANK($AW451),$AV451,$AW451),IF($D$4="Forint",0,2))&gt;$AR451+$AT451-$AU451-IF($D$4="Forint",Paraméterek!$J$114,Paraméterek!$K$114),0,ROUNDDOWN(IF(ISBLANK($AW451),$AV451,$AW451),IF($D$4="Forint",0,2))-$AX451)</f>
        <v>0</v>
      </c>
      <c r="AZ451" s="13">
        <f t="shared" si="99"/>
        <v>0</v>
      </c>
    </row>
    <row r="452" spans="1:52" x14ac:dyDescent="0.2">
      <c r="A452" s="32">
        <v>433</v>
      </c>
      <c r="B452" s="32">
        <v>37</v>
      </c>
      <c r="C452" s="32">
        <v>1</v>
      </c>
      <c r="D452" s="13">
        <f t="shared" si="90"/>
        <v>0</v>
      </c>
      <c r="E452" s="13"/>
      <c r="F452" s="13">
        <f>Tranzakciók!$D$68</f>
        <v>0</v>
      </c>
      <c r="G452" s="13"/>
      <c r="H452" s="13">
        <f t="shared" si="91"/>
        <v>0</v>
      </c>
      <c r="I452" s="13">
        <f t="shared" si="92"/>
        <v>290</v>
      </c>
      <c r="J452" s="13">
        <f t="shared" si="93"/>
        <v>290</v>
      </c>
      <c r="K452" s="13">
        <f>ROUNDUP(IF($D$2="Egyszeri",$D452,IF($D$2="Havi",SUM($D$20:$D$31),IF(MOD($C452,$M$1)-1=0,SUM($D$20:$D$31),0))/12*$M$1)*VLOOKUP($B452,Paraméterek!$B$27:$D$30,IF($D$2="Egyszeri",3,2)),IF($D$4="Forint",0,2))</f>
        <v>0</v>
      </c>
      <c r="L452" s="13">
        <f t="shared" si="94"/>
        <v>0</v>
      </c>
      <c r="M452" s="13">
        <f t="shared" ca="1" si="100"/>
        <v>-287231</v>
      </c>
      <c r="N452" s="13">
        <f ca="1">IF($V451&gt;=VLOOKUP($M$4-1+$B452,Paraméterek!$B$121:$D$122,IF($D$4="Forint",2,3)),0,VLOOKUP($M$4-1+$B452,Paraméterek!$B$121:$D$122,IF($D$4="Forint",2,3))-$V451)</f>
        <v>297231</v>
      </c>
      <c r="O452" s="13">
        <f ca="1">ROUNDUP($N452*Paraméterek!$C$58/Paraméterek!$C$56,IF($D$4="Forint",0,2))</f>
        <v>48</v>
      </c>
      <c r="P452" s="13">
        <f t="shared" si="95"/>
        <v>1595</v>
      </c>
      <c r="Q452" s="33"/>
      <c r="R452" s="13">
        <f t="shared" ca="1" si="96"/>
        <v>0</v>
      </c>
      <c r="S452" s="13">
        <f ca="1">ROUNDUP(($M452-$O452-$P452+$R452)*VLOOKUP($B452,Paraméterek!$B$38:$D$39,IF($D$2="Egyszeri",3,2))/12,IF($D$4="Forint",0,2))</f>
        <v>-706</v>
      </c>
      <c r="T452" s="13"/>
      <c r="U452" s="13"/>
      <c r="V452" s="13">
        <f ca="1">$M452-$O452-$P452+$R452-$S452-IF(ROUNDUP(IF(ISBLANK($U452),$T452,$U452)/IF(AND($B452=1,$D$2&lt;&gt;"Egyszeri"),1,VLOOKUP($B452+IF($C452=12,1,0),Paraméterek!$B$257:$D$267,IF($D$2="Egyszeri",3,2))),IF($D$4="Forint",0,2))&gt;$M452-$O452-$P452+$R452-$S452-IF($D$4="Forint",Paraméterek!$C$216,Paraméterek!$D$216),0,ROUNDUP(IF(ISBLANK($U452),$T452,$U452)/IF(AND($B452=1,$D$2&lt;&gt;"Egyszeri"),1,VLOOKUP($B452+IF($C452=12,1,0),Paraméterek!$B$257:$D$267,IF($D$2="Egyszeri",3,2))),IF($D$4="Forint",0,2)))</f>
        <v>-288168</v>
      </c>
      <c r="W452" s="13">
        <f ca="1">ROUNDDOWN($V452*VLOOKUP($B452+IF($C452=12,1,0),Paraméterek!$B$257:$D$267,IF($D$2="Egyszeri",3,2)),IF($D$4="Forint",0,2))</f>
        <v>-288168</v>
      </c>
      <c r="Y452" s="32">
        <v>433</v>
      </c>
      <c r="Z452" s="32">
        <v>37</v>
      </c>
      <c r="AA452" s="32">
        <v>1</v>
      </c>
      <c r="AB452" s="13">
        <f t="shared" si="101"/>
        <v>0</v>
      </c>
      <c r="AC452" s="33"/>
      <c r="AD452" s="13">
        <f t="shared" si="97"/>
        <v>0</v>
      </c>
      <c r="AE452" s="13">
        <f>ROUNDUP(($AB452+$AD452)*VLOOKUP($Z452,Paraméterek!$P$38:$Q$38,2)/12,IF($D$4="Forint",0,2))</f>
        <v>0</v>
      </c>
      <c r="AF452" s="13">
        <f>IF($D$2="Egyszeri",IF($D$7&gt;=IF($D$4="Forint",Paraméterek!$P$223,Paraméterek!$P$224),$D$7-IF($D$4="Forint",Paraméterek!$F$223,Paraméterek!$F$224),0),MIN(IF($AA452=12,AVERAGE($D$20:$D452)*12,0),SUM($D$20:$D$31)))</f>
        <v>0</v>
      </c>
      <c r="AG452" s="13">
        <f>IF(AND($Z452&gt;=10,MOD($Z452,5)=0),$AF452*IF($AA452=12,VLOOKUP($Z452,Paraméterek!$B$225:$F$240,IF($AF452&lt;IF($D$4="Forint",Paraméterek!$C$223,Paraméterek!$C$224),2,IF($AF452&lt;IF($D$4="Forint",Paraméterek!$D$223,Paraméterek!$D$224),3,4))),0),0)</f>
        <v>0</v>
      </c>
      <c r="AH452" s="13">
        <f>IF(AND($Z452&gt;=5,MOD($Z452,5)=0),IF($AA452=12,VLOOKUP($Z452,Paraméterek!$B$225:$F$240,5),0),IF(OR($Z452=3,$Z452=4),IF($AA452=12,VLOOKUP($Z452,Paraméterek!$B$225:$F$240,5,0),0),0))*$AF452</f>
        <v>0</v>
      </c>
      <c r="AI452" s="13">
        <f>ROUNDDOWN(IF(SUM($T$20:$U452)=0,IF($D$2="Egyszeri",$AH452,$AG452),0),IF($D$4="Forint",0,2))</f>
        <v>0</v>
      </c>
      <c r="AJ452" s="13">
        <f t="shared" si="102"/>
        <v>0</v>
      </c>
      <c r="AK452" s="13">
        <f t="shared" si="103"/>
        <v>0</v>
      </c>
      <c r="AM452" s="32">
        <v>433</v>
      </c>
      <c r="AN452" s="32">
        <v>37</v>
      </c>
      <c r="AO452" s="32">
        <v>1</v>
      </c>
      <c r="AP452" s="13">
        <f>Tranzakciók!$K$68</f>
        <v>0</v>
      </c>
      <c r="AQ452" s="32"/>
      <c r="AR452" s="13">
        <f t="shared" si="104"/>
        <v>0</v>
      </c>
      <c r="AS452" s="33"/>
      <c r="AT452" s="13">
        <f t="shared" si="98"/>
        <v>0</v>
      </c>
      <c r="AU452" s="13">
        <f>ROUNDUP(($AR452+$AT452)*VLOOKUP($AN452,Paraméterek!$P$38:$Q$38,2)/12,IF($D$4="Forint",0,2))</f>
        <v>0</v>
      </c>
      <c r="AV452" s="13"/>
      <c r="AW452" s="13"/>
      <c r="AX452" s="13">
        <f>ROUNDUP(IF(SUM($AV452:$AW452)=0,0,IF(IF(ISBLANK($AW452),$AV452,$AW452)*Paraméterek!$J$112&lt;IF($D$4="Forint",Paraméterek!$J$113,Paraméterek!$K$113),IF($D$4="Forint",Paraméterek!$J$113,Paraméterek!$K$113),IF(IF(ISBLANK($AW452),$AV452,$AW452)*Paraméterek!$J$112&gt;IF($D$4="Forint",Paraméterek!$J$114,Paraméterek!$K$114),IF($D$4="Forint",Paraméterek!$J$114,Paraméterek!$K$114),IF(ISBLANK($AW452),$AV452,$AW452)*Paraméterek!$J$112))),IF($D$4="Forint",0,2))</f>
        <v>0</v>
      </c>
      <c r="AY452" s="13">
        <f>$AR452+$AT452-$AU452-IF(ROUNDDOWN(IF(ISBLANK($AW452),$AV452,$AW452),IF($D$4="Forint",0,2))&gt;$AR452+$AT452-$AU452-IF($D$4="Forint",Paraméterek!$J$114,Paraméterek!$K$114),0,ROUNDDOWN(IF(ISBLANK($AW452),$AV452,$AW452),IF($D$4="Forint",0,2))-$AX452)</f>
        <v>0</v>
      </c>
      <c r="AZ452" s="13">
        <f t="shared" si="99"/>
        <v>0</v>
      </c>
    </row>
    <row r="453" spans="1:52" x14ac:dyDescent="0.2">
      <c r="A453" s="32">
        <v>434</v>
      </c>
      <c r="B453" s="32">
        <v>37</v>
      </c>
      <c r="C453" s="32">
        <v>2</v>
      </c>
      <c r="D453" s="13">
        <f t="shared" si="90"/>
        <v>0</v>
      </c>
      <c r="E453" s="13"/>
      <c r="F453" s="13"/>
      <c r="G453" s="13"/>
      <c r="H453" s="13">
        <f t="shared" si="91"/>
        <v>0</v>
      </c>
      <c r="I453" s="13">
        <f t="shared" si="92"/>
        <v>0</v>
      </c>
      <c r="J453" s="13">
        <f t="shared" si="93"/>
        <v>0</v>
      </c>
      <c r="K453" s="13">
        <f>ROUNDUP(IF($D$2="Egyszeri",$D453,IF($D$2="Havi",SUM($D$20:$D$31),IF(MOD($C453,$M$1)-1=0,SUM($D$20:$D$31),0))/12*$M$1)*VLOOKUP($B453,Paraméterek!$B$27:$D$30,IF($D$2="Egyszeri",3,2)),IF($D$4="Forint",0,2))</f>
        <v>0</v>
      </c>
      <c r="L453" s="13">
        <f t="shared" si="94"/>
        <v>0</v>
      </c>
      <c r="M453" s="13">
        <f t="shared" ca="1" si="100"/>
        <v>-288168</v>
      </c>
      <c r="N453" s="13">
        <f ca="1">IF($V452&gt;=VLOOKUP($M$4-1+$B453,Paraméterek!$B$121:$D$122,IF($D$4="Forint",2,3)),0,VLOOKUP($M$4-1+$B453,Paraméterek!$B$121:$D$122,IF($D$4="Forint",2,3))-$V452)</f>
        <v>298168</v>
      </c>
      <c r="O453" s="13">
        <f ca="1">ROUNDUP($N453*Paraméterek!$C$58/Paraméterek!$C$56,IF($D$4="Forint",0,2))</f>
        <v>48</v>
      </c>
      <c r="P453" s="13">
        <f t="shared" si="95"/>
        <v>1595</v>
      </c>
      <c r="Q453" s="33"/>
      <c r="R453" s="13">
        <f t="shared" ca="1" si="96"/>
        <v>0</v>
      </c>
      <c r="S453" s="13">
        <f ca="1">ROUNDUP(($M453-$O453-$P453+$R453)*VLOOKUP($B453,Paraméterek!$B$38:$D$39,IF($D$2="Egyszeri",3,2))/12,IF($D$4="Forint",0,2))</f>
        <v>-708</v>
      </c>
      <c r="T453" s="13"/>
      <c r="U453" s="13"/>
      <c r="V453" s="13">
        <f ca="1">$M453-$O453-$P453+$R453-$S453-IF(ROUNDUP(IF(ISBLANK($U453),$T453,$U453)/IF(AND($B453=1,$D$2&lt;&gt;"Egyszeri"),1,VLOOKUP($B453+IF($C453=12,1,0),Paraméterek!$B$257:$D$267,IF($D$2="Egyszeri",3,2))),IF($D$4="Forint",0,2))&gt;$M453-$O453-$P453+$R453-$S453-IF($D$4="Forint",Paraméterek!$C$216,Paraméterek!$D$216),0,ROUNDUP(IF(ISBLANK($U453),$T453,$U453)/IF(AND($B453=1,$D$2&lt;&gt;"Egyszeri"),1,VLOOKUP($B453+IF($C453=12,1,0),Paraméterek!$B$257:$D$267,IF($D$2="Egyszeri",3,2))),IF($D$4="Forint",0,2)))</f>
        <v>-289103</v>
      </c>
      <c r="W453" s="13">
        <f ca="1">ROUNDDOWN($V453*VLOOKUP($B453+IF($C453=12,1,0),Paraméterek!$B$257:$D$267,IF($D$2="Egyszeri",3,2)),IF($D$4="Forint",0,2))</f>
        <v>-289103</v>
      </c>
      <c r="Y453" s="32">
        <v>434</v>
      </c>
      <c r="Z453" s="32">
        <v>37</v>
      </c>
      <c r="AA453" s="32">
        <v>2</v>
      </c>
      <c r="AB453" s="13">
        <f t="shared" si="101"/>
        <v>0</v>
      </c>
      <c r="AC453" s="33"/>
      <c r="AD453" s="13">
        <f t="shared" si="97"/>
        <v>0</v>
      </c>
      <c r="AE453" s="13">
        <f>ROUNDUP(($AB453+$AD453)*VLOOKUP($Z453,Paraméterek!$P$38:$Q$38,2)/12,IF($D$4="Forint",0,2))</f>
        <v>0</v>
      </c>
      <c r="AF453" s="13">
        <f>IF($D$2="Egyszeri",IF($D$7&gt;=IF($D$4="Forint",Paraméterek!$P$223,Paraméterek!$P$224),$D$7-IF($D$4="Forint",Paraméterek!$F$223,Paraméterek!$F$224),0),MIN(IF($AA453=12,AVERAGE($D$20:$D453)*12,0),SUM($D$20:$D$31)))</f>
        <v>0</v>
      </c>
      <c r="AG453" s="13">
        <f>IF(AND($Z453&gt;=10,MOD($Z453,5)=0),$AF453*IF($AA453=12,VLOOKUP($Z453,Paraméterek!$B$225:$F$240,IF($AF453&lt;IF($D$4="Forint",Paraméterek!$C$223,Paraméterek!$C$224),2,IF($AF453&lt;IF($D$4="Forint",Paraméterek!$D$223,Paraméterek!$D$224),3,4))),0),0)</f>
        <v>0</v>
      </c>
      <c r="AH453" s="13">
        <f>IF(AND($Z453&gt;=5,MOD($Z453,5)=0),IF($AA453=12,VLOOKUP($Z453,Paraméterek!$B$225:$F$240,5),0),IF(OR($Z453=3,$Z453=4),IF($AA453=12,VLOOKUP($Z453,Paraméterek!$B$225:$F$240,5,0),0),0))*$AF453</f>
        <v>0</v>
      </c>
      <c r="AI453" s="13">
        <f>ROUNDDOWN(IF(SUM($T$20:$U453)=0,IF($D$2="Egyszeri",$AH453,$AG453),0),IF($D$4="Forint",0,2))</f>
        <v>0</v>
      </c>
      <c r="AJ453" s="13">
        <f t="shared" si="102"/>
        <v>0</v>
      </c>
      <c r="AK453" s="13">
        <f t="shared" si="103"/>
        <v>0</v>
      </c>
      <c r="AM453" s="32">
        <v>434</v>
      </c>
      <c r="AN453" s="32">
        <v>37</v>
      </c>
      <c r="AO453" s="32">
        <v>2</v>
      </c>
      <c r="AP453" s="13"/>
      <c r="AQ453" s="32"/>
      <c r="AR453" s="13">
        <f t="shared" si="104"/>
        <v>0</v>
      </c>
      <c r="AS453" s="33"/>
      <c r="AT453" s="13">
        <f t="shared" si="98"/>
        <v>0</v>
      </c>
      <c r="AU453" s="13">
        <f>ROUNDUP(($AR453+$AT453)*VLOOKUP($AN453,Paraméterek!$P$38:$Q$38,2)/12,IF($D$4="Forint",0,2))</f>
        <v>0</v>
      </c>
      <c r="AV453" s="13"/>
      <c r="AW453" s="13"/>
      <c r="AX453" s="13">
        <f>ROUNDUP(IF(SUM($AV453:$AW453)=0,0,IF(IF(ISBLANK($AW453),$AV453,$AW453)*Paraméterek!$J$112&lt;IF($D$4="Forint",Paraméterek!$J$113,Paraméterek!$K$113),IF($D$4="Forint",Paraméterek!$J$113,Paraméterek!$K$113),IF(IF(ISBLANK($AW453),$AV453,$AW453)*Paraméterek!$J$112&gt;IF($D$4="Forint",Paraméterek!$J$114,Paraméterek!$K$114),IF($D$4="Forint",Paraméterek!$J$114,Paraméterek!$K$114),IF(ISBLANK($AW453),$AV453,$AW453)*Paraméterek!$J$112))),IF($D$4="Forint",0,2))</f>
        <v>0</v>
      </c>
      <c r="AY453" s="13">
        <f>$AR453+$AT453-$AU453-IF(ROUNDDOWN(IF(ISBLANK($AW453),$AV453,$AW453),IF($D$4="Forint",0,2))&gt;$AR453+$AT453-$AU453-IF($D$4="Forint",Paraméterek!$J$114,Paraméterek!$K$114),0,ROUNDDOWN(IF(ISBLANK($AW453),$AV453,$AW453),IF($D$4="Forint",0,2))-$AX453)</f>
        <v>0</v>
      </c>
      <c r="AZ453" s="13">
        <f t="shared" si="99"/>
        <v>0</v>
      </c>
    </row>
    <row r="454" spans="1:52" x14ac:dyDescent="0.2">
      <c r="A454" s="32">
        <v>435</v>
      </c>
      <c r="B454" s="32">
        <v>37</v>
      </c>
      <c r="C454" s="32">
        <v>3</v>
      </c>
      <c r="D454" s="13">
        <f t="shared" si="90"/>
        <v>0</v>
      </c>
      <c r="E454" s="13"/>
      <c r="F454" s="13"/>
      <c r="G454" s="13"/>
      <c r="H454" s="13">
        <f t="shared" si="91"/>
        <v>0</v>
      </c>
      <c r="I454" s="13">
        <f t="shared" si="92"/>
        <v>0</v>
      </c>
      <c r="J454" s="13">
        <f t="shared" si="93"/>
        <v>0</v>
      </c>
      <c r="K454" s="13">
        <f>ROUNDUP(IF($D$2="Egyszeri",$D454,IF($D$2="Havi",SUM($D$20:$D$31),IF(MOD($C454,$M$1)-1=0,SUM($D$20:$D$31),0))/12*$M$1)*VLOOKUP($B454,Paraméterek!$B$27:$D$30,IF($D$2="Egyszeri",3,2)),IF($D$4="Forint",0,2))</f>
        <v>0</v>
      </c>
      <c r="L454" s="13">
        <f t="shared" si="94"/>
        <v>0</v>
      </c>
      <c r="M454" s="13">
        <f t="shared" ca="1" si="100"/>
        <v>-289103</v>
      </c>
      <c r="N454" s="13">
        <f ca="1">IF($V453&gt;=VLOOKUP($M$4-1+$B454,Paraméterek!$B$121:$D$122,IF($D$4="Forint",2,3)),0,VLOOKUP($M$4-1+$B454,Paraméterek!$B$121:$D$122,IF($D$4="Forint",2,3))-$V453)</f>
        <v>299103</v>
      </c>
      <c r="O454" s="13">
        <f ca="1">ROUNDUP($N454*Paraméterek!$C$58/Paraméterek!$C$56,IF($D$4="Forint",0,2))</f>
        <v>48</v>
      </c>
      <c r="P454" s="13">
        <f t="shared" si="95"/>
        <v>1595</v>
      </c>
      <c r="Q454" s="33"/>
      <c r="R454" s="13">
        <f t="shared" ca="1" si="96"/>
        <v>0</v>
      </c>
      <c r="S454" s="13">
        <f ca="1">ROUNDUP(($M454-$O454-$P454+$R454)*VLOOKUP($B454,Paraméterek!$B$38:$D$39,IF($D$2="Egyszeri",3,2))/12,IF($D$4="Forint",0,2))</f>
        <v>-710</v>
      </c>
      <c r="T454" s="13"/>
      <c r="U454" s="13"/>
      <c r="V454" s="13">
        <f ca="1">$M454-$O454-$P454+$R454-$S454-IF(ROUNDUP(IF(ISBLANK($U454),$T454,$U454)/IF(AND($B454=1,$D$2&lt;&gt;"Egyszeri"),1,VLOOKUP($B454+IF($C454=12,1,0),Paraméterek!$B$257:$D$267,IF($D$2="Egyszeri",3,2))),IF($D$4="Forint",0,2))&gt;$M454-$O454-$P454+$R454-$S454-IF($D$4="Forint",Paraméterek!$C$216,Paraméterek!$D$216),0,ROUNDUP(IF(ISBLANK($U454),$T454,$U454)/IF(AND($B454=1,$D$2&lt;&gt;"Egyszeri"),1,VLOOKUP($B454+IF($C454=12,1,0),Paraméterek!$B$257:$D$267,IF($D$2="Egyszeri",3,2))),IF($D$4="Forint",0,2)))</f>
        <v>-290036</v>
      </c>
      <c r="W454" s="13">
        <f ca="1">ROUNDDOWN($V454*VLOOKUP($B454+IF($C454=12,1,0),Paraméterek!$B$257:$D$267,IF($D$2="Egyszeri",3,2)),IF($D$4="Forint",0,2))</f>
        <v>-290036</v>
      </c>
      <c r="Y454" s="32">
        <v>435</v>
      </c>
      <c r="Z454" s="32">
        <v>37</v>
      </c>
      <c r="AA454" s="32">
        <v>3</v>
      </c>
      <c r="AB454" s="13">
        <f t="shared" si="101"/>
        <v>0</v>
      </c>
      <c r="AC454" s="33"/>
      <c r="AD454" s="13">
        <f t="shared" si="97"/>
        <v>0</v>
      </c>
      <c r="AE454" s="13">
        <f>ROUNDUP(($AB454+$AD454)*VLOOKUP($Z454,Paraméterek!$P$38:$Q$38,2)/12,IF($D$4="Forint",0,2))</f>
        <v>0</v>
      </c>
      <c r="AF454" s="13">
        <f>IF($D$2="Egyszeri",IF($D$7&gt;=IF($D$4="Forint",Paraméterek!$P$223,Paraméterek!$P$224),$D$7-IF($D$4="Forint",Paraméterek!$F$223,Paraméterek!$F$224),0),MIN(IF($AA454=12,AVERAGE($D$20:$D454)*12,0),SUM($D$20:$D$31)))</f>
        <v>0</v>
      </c>
      <c r="AG454" s="13">
        <f>IF(AND($Z454&gt;=10,MOD($Z454,5)=0),$AF454*IF($AA454=12,VLOOKUP($Z454,Paraméterek!$B$225:$F$240,IF($AF454&lt;IF($D$4="Forint",Paraméterek!$C$223,Paraméterek!$C$224),2,IF($AF454&lt;IF($D$4="Forint",Paraméterek!$D$223,Paraméterek!$D$224),3,4))),0),0)</f>
        <v>0</v>
      </c>
      <c r="AH454" s="13">
        <f>IF(AND($Z454&gt;=5,MOD($Z454,5)=0),IF($AA454=12,VLOOKUP($Z454,Paraméterek!$B$225:$F$240,5),0),IF(OR($Z454=3,$Z454=4),IF($AA454=12,VLOOKUP($Z454,Paraméterek!$B$225:$F$240,5,0),0),0))*$AF454</f>
        <v>0</v>
      </c>
      <c r="AI454" s="13">
        <f>ROUNDDOWN(IF(SUM($T$20:$U454)=0,IF($D$2="Egyszeri",$AH454,$AG454),0),IF($D$4="Forint",0,2))</f>
        <v>0</v>
      </c>
      <c r="AJ454" s="13">
        <f t="shared" si="102"/>
        <v>0</v>
      </c>
      <c r="AK454" s="13">
        <f t="shared" si="103"/>
        <v>0</v>
      </c>
      <c r="AM454" s="32">
        <v>435</v>
      </c>
      <c r="AN454" s="32">
        <v>37</v>
      </c>
      <c r="AO454" s="32">
        <v>3</v>
      </c>
      <c r="AP454" s="13"/>
      <c r="AQ454" s="32"/>
      <c r="AR454" s="13">
        <f t="shared" si="104"/>
        <v>0</v>
      </c>
      <c r="AS454" s="33"/>
      <c r="AT454" s="13">
        <f t="shared" si="98"/>
        <v>0</v>
      </c>
      <c r="AU454" s="13">
        <f>ROUNDUP(($AR454+$AT454)*VLOOKUP($AN454,Paraméterek!$P$38:$Q$38,2)/12,IF($D$4="Forint",0,2))</f>
        <v>0</v>
      </c>
      <c r="AV454" s="13"/>
      <c r="AW454" s="13"/>
      <c r="AX454" s="13">
        <f>ROUNDUP(IF(SUM($AV454:$AW454)=0,0,IF(IF(ISBLANK($AW454),$AV454,$AW454)*Paraméterek!$J$112&lt;IF($D$4="Forint",Paraméterek!$J$113,Paraméterek!$K$113),IF($D$4="Forint",Paraméterek!$J$113,Paraméterek!$K$113),IF(IF(ISBLANK($AW454),$AV454,$AW454)*Paraméterek!$J$112&gt;IF($D$4="Forint",Paraméterek!$J$114,Paraméterek!$K$114),IF($D$4="Forint",Paraméterek!$J$114,Paraméterek!$K$114),IF(ISBLANK($AW454),$AV454,$AW454)*Paraméterek!$J$112))),IF($D$4="Forint",0,2))</f>
        <v>0</v>
      </c>
      <c r="AY454" s="13">
        <f>$AR454+$AT454-$AU454-IF(ROUNDDOWN(IF(ISBLANK($AW454),$AV454,$AW454),IF($D$4="Forint",0,2))&gt;$AR454+$AT454-$AU454-IF($D$4="Forint",Paraméterek!$J$114,Paraméterek!$K$114),0,ROUNDDOWN(IF(ISBLANK($AW454),$AV454,$AW454),IF($D$4="Forint",0,2))-$AX454)</f>
        <v>0</v>
      </c>
      <c r="AZ454" s="13">
        <f t="shared" si="99"/>
        <v>0</v>
      </c>
    </row>
    <row r="455" spans="1:52" x14ac:dyDescent="0.2">
      <c r="A455" s="32">
        <v>436</v>
      </c>
      <c r="B455" s="32">
        <v>37</v>
      </c>
      <c r="C455" s="32">
        <v>4</v>
      </c>
      <c r="D455" s="13">
        <f t="shared" si="90"/>
        <v>0</v>
      </c>
      <c r="E455" s="13"/>
      <c r="F455" s="13"/>
      <c r="G455" s="13"/>
      <c r="H455" s="13">
        <f t="shared" si="91"/>
        <v>0</v>
      </c>
      <c r="I455" s="13">
        <f t="shared" si="92"/>
        <v>0</v>
      </c>
      <c r="J455" s="13">
        <f t="shared" si="93"/>
        <v>0</v>
      </c>
      <c r="K455" s="13">
        <f>ROUNDUP(IF($D$2="Egyszeri",$D455,IF($D$2="Havi",SUM($D$20:$D$31),IF(MOD($C455,$M$1)-1=0,SUM($D$20:$D$31),0))/12*$M$1)*VLOOKUP($B455,Paraméterek!$B$27:$D$30,IF($D$2="Egyszeri",3,2)),IF($D$4="Forint",0,2))</f>
        <v>0</v>
      </c>
      <c r="L455" s="13">
        <f t="shared" si="94"/>
        <v>0</v>
      </c>
      <c r="M455" s="13">
        <f t="shared" ca="1" si="100"/>
        <v>-290036</v>
      </c>
      <c r="N455" s="13">
        <f ca="1">IF($V454&gt;=VLOOKUP($M$4-1+$B455,Paraméterek!$B$121:$D$122,IF($D$4="Forint",2,3)),0,VLOOKUP($M$4-1+$B455,Paraméterek!$B$121:$D$122,IF($D$4="Forint",2,3))-$V454)</f>
        <v>300036</v>
      </c>
      <c r="O455" s="13">
        <f ca="1">ROUNDUP($N455*Paraméterek!$C$58/Paraméterek!$C$56,IF($D$4="Forint",0,2))</f>
        <v>48</v>
      </c>
      <c r="P455" s="13">
        <f t="shared" si="95"/>
        <v>1595</v>
      </c>
      <c r="Q455" s="33"/>
      <c r="R455" s="13">
        <f t="shared" ca="1" si="96"/>
        <v>0</v>
      </c>
      <c r="S455" s="13">
        <f ca="1">ROUNDUP(($M455-$O455-$P455+$R455)*VLOOKUP($B455,Paraméterek!$B$38:$D$39,IF($D$2="Egyszeri",3,2))/12,IF($D$4="Forint",0,2))</f>
        <v>-713</v>
      </c>
      <c r="T455" s="13"/>
      <c r="U455" s="13"/>
      <c r="V455" s="13">
        <f ca="1">$M455-$O455-$P455+$R455-$S455-IF(ROUNDUP(IF(ISBLANK($U455),$T455,$U455)/IF(AND($B455=1,$D$2&lt;&gt;"Egyszeri"),1,VLOOKUP($B455+IF($C455=12,1,0),Paraméterek!$B$257:$D$267,IF($D$2="Egyszeri",3,2))),IF($D$4="Forint",0,2))&gt;$M455-$O455-$P455+$R455-$S455-IF($D$4="Forint",Paraméterek!$C$216,Paraméterek!$D$216),0,ROUNDUP(IF(ISBLANK($U455),$T455,$U455)/IF(AND($B455=1,$D$2&lt;&gt;"Egyszeri"),1,VLOOKUP($B455+IF($C455=12,1,0),Paraméterek!$B$257:$D$267,IF($D$2="Egyszeri",3,2))),IF($D$4="Forint",0,2)))</f>
        <v>-290966</v>
      </c>
      <c r="W455" s="13">
        <f ca="1">ROUNDDOWN($V455*VLOOKUP($B455+IF($C455=12,1,0),Paraméterek!$B$257:$D$267,IF($D$2="Egyszeri",3,2)),IF($D$4="Forint",0,2))</f>
        <v>-290966</v>
      </c>
      <c r="Y455" s="32">
        <v>436</v>
      </c>
      <c r="Z455" s="32">
        <v>37</v>
      </c>
      <c r="AA455" s="32">
        <v>4</v>
      </c>
      <c r="AB455" s="13">
        <f t="shared" si="101"/>
        <v>0</v>
      </c>
      <c r="AC455" s="33"/>
      <c r="AD455" s="13">
        <f t="shared" si="97"/>
        <v>0</v>
      </c>
      <c r="AE455" s="13">
        <f>ROUNDUP(($AB455+$AD455)*VLOOKUP($Z455,Paraméterek!$P$38:$Q$38,2)/12,IF($D$4="Forint",0,2))</f>
        <v>0</v>
      </c>
      <c r="AF455" s="13">
        <f>IF($D$2="Egyszeri",IF($D$7&gt;=IF($D$4="Forint",Paraméterek!$P$223,Paraméterek!$P$224),$D$7-IF($D$4="Forint",Paraméterek!$F$223,Paraméterek!$F$224),0),MIN(IF($AA455=12,AVERAGE($D$20:$D455)*12,0),SUM($D$20:$D$31)))</f>
        <v>0</v>
      </c>
      <c r="AG455" s="13">
        <f>IF(AND($Z455&gt;=10,MOD($Z455,5)=0),$AF455*IF($AA455=12,VLOOKUP($Z455,Paraméterek!$B$225:$F$240,IF($AF455&lt;IF($D$4="Forint",Paraméterek!$C$223,Paraméterek!$C$224),2,IF($AF455&lt;IF($D$4="Forint",Paraméterek!$D$223,Paraméterek!$D$224),3,4))),0),0)</f>
        <v>0</v>
      </c>
      <c r="AH455" s="13">
        <f>IF(AND($Z455&gt;=5,MOD($Z455,5)=0),IF($AA455=12,VLOOKUP($Z455,Paraméterek!$B$225:$F$240,5),0),IF(OR($Z455=3,$Z455=4),IF($AA455=12,VLOOKUP($Z455,Paraméterek!$B$225:$F$240,5,0),0),0))*$AF455</f>
        <v>0</v>
      </c>
      <c r="AI455" s="13">
        <f>ROUNDDOWN(IF(SUM($T$20:$U455)=0,IF($D$2="Egyszeri",$AH455,$AG455),0),IF($D$4="Forint",0,2))</f>
        <v>0</v>
      </c>
      <c r="AJ455" s="13">
        <f t="shared" si="102"/>
        <v>0</v>
      </c>
      <c r="AK455" s="13">
        <f t="shared" si="103"/>
        <v>0</v>
      </c>
      <c r="AM455" s="32">
        <v>436</v>
      </c>
      <c r="AN455" s="32">
        <v>37</v>
      </c>
      <c r="AO455" s="32">
        <v>4</v>
      </c>
      <c r="AP455" s="13"/>
      <c r="AQ455" s="32"/>
      <c r="AR455" s="13">
        <f t="shared" si="104"/>
        <v>0</v>
      </c>
      <c r="AS455" s="33"/>
      <c r="AT455" s="13">
        <f t="shared" si="98"/>
        <v>0</v>
      </c>
      <c r="AU455" s="13">
        <f>ROUNDUP(($AR455+$AT455)*VLOOKUP($AN455,Paraméterek!$P$38:$Q$38,2)/12,IF($D$4="Forint",0,2))</f>
        <v>0</v>
      </c>
      <c r="AV455" s="13"/>
      <c r="AW455" s="13"/>
      <c r="AX455" s="13">
        <f>ROUNDUP(IF(SUM($AV455:$AW455)=0,0,IF(IF(ISBLANK($AW455),$AV455,$AW455)*Paraméterek!$J$112&lt;IF($D$4="Forint",Paraméterek!$J$113,Paraméterek!$K$113),IF($D$4="Forint",Paraméterek!$J$113,Paraméterek!$K$113),IF(IF(ISBLANK($AW455),$AV455,$AW455)*Paraméterek!$J$112&gt;IF($D$4="Forint",Paraméterek!$J$114,Paraméterek!$K$114),IF($D$4="Forint",Paraméterek!$J$114,Paraméterek!$K$114),IF(ISBLANK($AW455),$AV455,$AW455)*Paraméterek!$J$112))),IF($D$4="Forint",0,2))</f>
        <v>0</v>
      </c>
      <c r="AY455" s="13">
        <f>$AR455+$AT455-$AU455-IF(ROUNDDOWN(IF(ISBLANK($AW455),$AV455,$AW455),IF($D$4="Forint",0,2))&gt;$AR455+$AT455-$AU455-IF($D$4="Forint",Paraméterek!$J$114,Paraméterek!$K$114),0,ROUNDDOWN(IF(ISBLANK($AW455),$AV455,$AW455),IF($D$4="Forint",0,2))-$AX455)</f>
        <v>0</v>
      </c>
      <c r="AZ455" s="13">
        <f t="shared" si="99"/>
        <v>0</v>
      </c>
    </row>
    <row r="456" spans="1:52" x14ac:dyDescent="0.2">
      <c r="A456" s="32">
        <v>437</v>
      </c>
      <c r="B456" s="32">
        <v>37</v>
      </c>
      <c r="C456" s="32">
        <v>5</v>
      </c>
      <c r="D456" s="13">
        <f t="shared" si="90"/>
        <v>0</v>
      </c>
      <c r="E456" s="13"/>
      <c r="F456" s="13"/>
      <c r="G456" s="13"/>
      <c r="H456" s="13">
        <f t="shared" si="91"/>
        <v>0</v>
      </c>
      <c r="I456" s="13">
        <f t="shared" si="92"/>
        <v>0</v>
      </c>
      <c r="J456" s="13">
        <f t="shared" si="93"/>
        <v>0</v>
      </c>
      <c r="K456" s="13">
        <f>ROUNDUP(IF($D$2="Egyszeri",$D456,IF($D$2="Havi",SUM($D$20:$D$31),IF(MOD($C456,$M$1)-1=0,SUM($D$20:$D$31),0))/12*$M$1)*VLOOKUP($B456,Paraméterek!$B$27:$D$30,IF($D$2="Egyszeri",3,2)),IF($D$4="Forint",0,2))</f>
        <v>0</v>
      </c>
      <c r="L456" s="13">
        <f t="shared" si="94"/>
        <v>0</v>
      </c>
      <c r="M456" s="13">
        <f t="shared" ca="1" si="100"/>
        <v>-290966</v>
      </c>
      <c r="N456" s="13">
        <f ca="1">IF($V455&gt;=VLOOKUP($M$4-1+$B456,Paraméterek!$B$121:$D$122,IF($D$4="Forint",2,3)),0,VLOOKUP($M$4-1+$B456,Paraméterek!$B$121:$D$122,IF($D$4="Forint",2,3))-$V455)</f>
        <v>300966</v>
      </c>
      <c r="O456" s="13">
        <f ca="1">ROUNDUP($N456*Paraméterek!$C$58/Paraméterek!$C$56,IF($D$4="Forint",0,2))</f>
        <v>48</v>
      </c>
      <c r="P456" s="13">
        <f t="shared" si="95"/>
        <v>1595</v>
      </c>
      <c r="Q456" s="33"/>
      <c r="R456" s="13">
        <f t="shared" ca="1" si="96"/>
        <v>0</v>
      </c>
      <c r="S456" s="13">
        <f ca="1">ROUNDUP(($M456-$O456-$P456+$R456)*VLOOKUP($B456,Paraméterek!$B$38:$D$39,IF($D$2="Egyszeri",3,2))/12,IF($D$4="Forint",0,2))</f>
        <v>-715</v>
      </c>
      <c r="T456" s="13"/>
      <c r="U456" s="13"/>
      <c r="V456" s="13">
        <f ca="1">$M456-$O456-$P456+$R456-$S456-IF(ROUNDUP(IF(ISBLANK($U456),$T456,$U456)/IF(AND($B456=1,$D$2&lt;&gt;"Egyszeri"),1,VLOOKUP($B456+IF($C456=12,1,0),Paraméterek!$B$257:$D$267,IF($D$2="Egyszeri",3,2))),IF($D$4="Forint",0,2))&gt;$M456-$O456-$P456+$R456-$S456-IF($D$4="Forint",Paraméterek!$C$216,Paraméterek!$D$216),0,ROUNDUP(IF(ISBLANK($U456),$T456,$U456)/IF(AND($B456=1,$D$2&lt;&gt;"Egyszeri"),1,VLOOKUP($B456+IF($C456=12,1,0),Paraméterek!$B$257:$D$267,IF($D$2="Egyszeri",3,2))),IF($D$4="Forint",0,2)))</f>
        <v>-291894</v>
      </c>
      <c r="W456" s="13">
        <f ca="1">ROUNDDOWN($V456*VLOOKUP($B456+IF($C456=12,1,0),Paraméterek!$B$257:$D$267,IF($D$2="Egyszeri",3,2)),IF($D$4="Forint",0,2))</f>
        <v>-291894</v>
      </c>
      <c r="Y456" s="32">
        <v>437</v>
      </c>
      <c r="Z456" s="32">
        <v>37</v>
      </c>
      <c r="AA456" s="32">
        <v>5</v>
      </c>
      <c r="AB456" s="13">
        <f t="shared" si="101"/>
        <v>0</v>
      </c>
      <c r="AC456" s="33"/>
      <c r="AD456" s="13">
        <f t="shared" si="97"/>
        <v>0</v>
      </c>
      <c r="AE456" s="13">
        <f>ROUNDUP(($AB456+$AD456)*VLOOKUP($Z456,Paraméterek!$P$38:$Q$38,2)/12,IF($D$4="Forint",0,2))</f>
        <v>0</v>
      </c>
      <c r="AF456" s="13">
        <f>IF($D$2="Egyszeri",IF($D$7&gt;=IF($D$4="Forint",Paraméterek!$P$223,Paraméterek!$P$224),$D$7-IF($D$4="Forint",Paraméterek!$F$223,Paraméterek!$F$224),0),MIN(IF($AA456=12,AVERAGE($D$20:$D456)*12,0),SUM($D$20:$D$31)))</f>
        <v>0</v>
      </c>
      <c r="AG456" s="13">
        <f>IF(AND($Z456&gt;=10,MOD($Z456,5)=0),$AF456*IF($AA456=12,VLOOKUP($Z456,Paraméterek!$B$225:$F$240,IF($AF456&lt;IF($D$4="Forint",Paraméterek!$C$223,Paraméterek!$C$224),2,IF($AF456&lt;IF($D$4="Forint",Paraméterek!$D$223,Paraméterek!$D$224),3,4))),0),0)</f>
        <v>0</v>
      </c>
      <c r="AH456" s="13">
        <f>IF(AND($Z456&gt;=5,MOD($Z456,5)=0),IF($AA456=12,VLOOKUP($Z456,Paraméterek!$B$225:$F$240,5),0),IF(OR($Z456=3,$Z456=4),IF($AA456=12,VLOOKUP($Z456,Paraméterek!$B$225:$F$240,5,0),0),0))*$AF456</f>
        <v>0</v>
      </c>
      <c r="AI456" s="13">
        <f>ROUNDDOWN(IF(SUM($T$20:$U456)=0,IF($D$2="Egyszeri",$AH456,$AG456),0),IF($D$4="Forint",0,2))</f>
        <v>0</v>
      </c>
      <c r="AJ456" s="13">
        <f t="shared" si="102"/>
        <v>0</v>
      </c>
      <c r="AK456" s="13">
        <f t="shared" si="103"/>
        <v>0</v>
      </c>
      <c r="AM456" s="32">
        <v>437</v>
      </c>
      <c r="AN456" s="32">
        <v>37</v>
      </c>
      <c r="AO456" s="32">
        <v>5</v>
      </c>
      <c r="AP456" s="13"/>
      <c r="AQ456" s="32"/>
      <c r="AR456" s="13">
        <f t="shared" si="104"/>
        <v>0</v>
      </c>
      <c r="AS456" s="33"/>
      <c r="AT456" s="13">
        <f t="shared" si="98"/>
        <v>0</v>
      </c>
      <c r="AU456" s="13">
        <f>ROUNDUP(($AR456+$AT456)*VLOOKUP($AN456,Paraméterek!$P$38:$Q$38,2)/12,IF($D$4="Forint",0,2))</f>
        <v>0</v>
      </c>
      <c r="AV456" s="13"/>
      <c r="AW456" s="13"/>
      <c r="AX456" s="13">
        <f>ROUNDUP(IF(SUM($AV456:$AW456)=0,0,IF(IF(ISBLANK($AW456),$AV456,$AW456)*Paraméterek!$J$112&lt;IF($D$4="Forint",Paraméterek!$J$113,Paraméterek!$K$113),IF($D$4="Forint",Paraméterek!$J$113,Paraméterek!$K$113),IF(IF(ISBLANK($AW456),$AV456,$AW456)*Paraméterek!$J$112&gt;IF($D$4="Forint",Paraméterek!$J$114,Paraméterek!$K$114),IF($D$4="Forint",Paraméterek!$J$114,Paraméterek!$K$114),IF(ISBLANK($AW456),$AV456,$AW456)*Paraméterek!$J$112))),IF($D$4="Forint",0,2))</f>
        <v>0</v>
      </c>
      <c r="AY456" s="13">
        <f>$AR456+$AT456-$AU456-IF(ROUNDDOWN(IF(ISBLANK($AW456),$AV456,$AW456),IF($D$4="Forint",0,2))&gt;$AR456+$AT456-$AU456-IF($D$4="Forint",Paraméterek!$J$114,Paraméterek!$K$114),0,ROUNDDOWN(IF(ISBLANK($AW456),$AV456,$AW456),IF($D$4="Forint",0,2))-$AX456)</f>
        <v>0</v>
      </c>
      <c r="AZ456" s="13">
        <f t="shared" si="99"/>
        <v>0</v>
      </c>
    </row>
    <row r="457" spans="1:52" x14ac:dyDescent="0.2">
      <c r="A457" s="32">
        <v>438</v>
      </c>
      <c r="B457" s="32">
        <v>37</v>
      </c>
      <c r="C457" s="32">
        <v>6</v>
      </c>
      <c r="D457" s="13">
        <f t="shared" si="90"/>
        <v>0</v>
      </c>
      <c r="E457" s="13"/>
      <c r="F457" s="13"/>
      <c r="G457" s="13"/>
      <c r="H457" s="13">
        <f t="shared" si="91"/>
        <v>0</v>
      </c>
      <c r="I457" s="13">
        <f t="shared" si="92"/>
        <v>0</v>
      </c>
      <c r="J457" s="13">
        <f t="shared" si="93"/>
        <v>0</v>
      </c>
      <c r="K457" s="13">
        <f>ROUNDUP(IF($D$2="Egyszeri",$D457,IF($D$2="Havi",SUM($D$20:$D$31),IF(MOD($C457,$M$1)-1=0,SUM($D$20:$D$31),0))/12*$M$1)*VLOOKUP($B457,Paraméterek!$B$27:$D$30,IF($D$2="Egyszeri",3,2)),IF($D$4="Forint",0,2))</f>
        <v>0</v>
      </c>
      <c r="L457" s="13">
        <f t="shared" si="94"/>
        <v>0</v>
      </c>
      <c r="M457" s="13">
        <f t="shared" ca="1" si="100"/>
        <v>-291894</v>
      </c>
      <c r="N457" s="13">
        <f ca="1">IF($V456&gt;=VLOOKUP($M$4-1+$B457,Paraméterek!$B$121:$D$122,IF($D$4="Forint",2,3)),0,VLOOKUP($M$4-1+$B457,Paraméterek!$B$121:$D$122,IF($D$4="Forint",2,3))-$V456)</f>
        <v>301894</v>
      </c>
      <c r="O457" s="13">
        <f ca="1">ROUNDUP($N457*Paraméterek!$C$58/Paraméterek!$C$56,IF($D$4="Forint",0,2))</f>
        <v>49</v>
      </c>
      <c r="P457" s="13">
        <f t="shared" si="95"/>
        <v>1595</v>
      </c>
      <c r="Q457" s="33"/>
      <c r="R457" s="13">
        <f t="shared" ca="1" si="96"/>
        <v>0</v>
      </c>
      <c r="S457" s="13">
        <f ca="1">ROUNDUP(($M457-$O457-$P457+$R457)*VLOOKUP($B457,Paraméterek!$B$38:$D$39,IF($D$2="Egyszeri",3,2))/12,IF($D$4="Forint",0,2))</f>
        <v>-717</v>
      </c>
      <c r="T457" s="13"/>
      <c r="U457" s="13"/>
      <c r="V457" s="13">
        <f ca="1">$M457-$O457-$P457+$R457-$S457-IF(ROUNDUP(IF(ISBLANK($U457),$T457,$U457)/IF(AND($B457=1,$D$2&lt;&gt;"Egyszeri"),1,VLOOKUP($B457+IF($C457=12,1,0),Paraméterek!$B$257:$D$267,IF($D$2="Egyszeri",3,2))),IF($D$4="Forint",0,2))&gt;$M457-$O457-$P457+$R457-$S457-IF($D$4="Forint",Paraméterek!$C$216,Paraméterek!$D$216),0,ROUNDUP(IF(ISBLANK($U457),$T457,$U457)/IF(AND($B457=1,$D$2&lt;&gt;"Egyszeri"),1,VLOOKUP($B457+IF($C457=12,1,0),Paraméterek!$B$257:$D$267,IF($D$2="Egyszeri",3,2))),IF($D$4="Forint",0,2)))</f>
        <v>-292821</v>
      </c>
      <c r="W457" s="13">
        <f ca="1">ROUNDDOWN($V457*VLOOKUP($B457+IF($C457=12,1,0),Paraméterek!$B$257:$D$267,IF($D$2="Egyszeri",3,2)),IF($D$4="Forint",0,2))</f>
        <v>-292821</v>
      </c>
      <c r="Y457" s="32">
        <v>438</v>
      </c>
      <c r="Z457" s="32">
        <v>37</v>
      </c>
      <c r="AA457" s="32">
        <v>6</v>
      </c>
      <c r="AB457" s="13">
        <f t="shared" si="101"/>
        <v>0</v>
      </c>
      <c r="AC457" s="33"/>
      <c r="AD457" s="13">
        <f t="shared" si="97"/>
        <v>0</v>
      </c>
      <c r="AE457" s="13">
        <f>ROUNDUP(($AB457+$AD457)*VLOOKUP($Z457,Paraméterek!$P$38:$Q$38,2)/12,IF($D$4="Forint",0,2))</f>
        <v>0</v>
      </c>
      <c r="AF457" s="13">
        <f>IF($D$2="Egyszeri",IF($D$7&gt;=IF($D$4="Forint",Paraméterek!$P$223,Paraméterek!$P$224),$D$7-IF($D$4="Forint",Paraméterek!$F$223,Paraméterek!$F$224),0),MIN(IF($AA457=12,AVERAGE($D$20:$D457)*12,0),SUM($D$20:$D$31)))</f>
        <v>0</v>
      </c>
      <c r="AG457" s="13">
        <f>IF(AND($Z457&gt;=10,MOD($Z457,5)=0),$AF457*IF($AA457=12,VLOOKUP($Z457,Paraméterek!$B$225:$F$240,IF($AF457&lt;IF($D$4="Forint",Paraméterek!$C$223,Paraméterek!$C$224),2,IF($AF457&lt;IF($D$4="Forint",Paraméterek!$D$223,Paraméterek!$D$224),3,4))),0),0)</f>
        <v>0</v>
      </c>
      <c r="AH457" s="13">
        <f>IF(AND($Z457&gt;=5,MOD($Z457,5)=0),IF($AA457=12,VLOOKUP($Z457,Paraméterek!$B$225:$F$240,5),0),IF(OR($Z457=3,$Z457=4),IF($AA457=12,VLOOKUP($Z457,Paraméterek!$B$225:$F$240,5,0),0),0))*$AF457</f>
        <v>0</v>
      </c>
      <c r="AI457" s="13">
        <f>ROUNDDOWN(IF(SUM($T$20:$U457)=0,IF($D$2="Egyszeri",$AH457,$AG457),0),IF($D$4="Forint",0,2))</f>
        <v>0</v>
      </c>
      <c r="AJ457" s="13">
        <f t="shared" si="102"/>
        <v>0</v>
      </c>
      <c r="AK457" s="13">
        <f t="shared" si="103"/>
        <v>0</v>
      </c>
      <c r="AM457" s="32">
        <v>438</v>
      </c>
      <c r="AN457" s="32">
        <v>37</v>
      </c>
      <c r="AO457" s="32">
        <v>6</v>
      </c>
      <c r="AP457" s="13"/>
      <c r="AQ457" s="32"/>
      <c r="AR457" s="13">
        <f t="shared" si="104"/>
        <v>0</v>
      </c>
      <c r="AS457" s="33"/>
      <c r="AT457" s="13">
        <f t="shared" si="98"/>
        <v>0</v>
      </c>
      <c r="AU457" s="13">
        <f>ROUNDUP(($AR457+$AT457)*VLOOKUP($AN457,Paraméterek!$P$38:$Q$38,2)/12,IF($D$4="Forint",0,2))</f>
        <v>0</v>
      </c>
      <c r="AV457" s="13"/>
      <c r="AW457" s="13"/>
      <c r="AX457" s="13">
        <f>ROUNDUP(IF(SUM($AV457:$AW457)=0,0,IF(IF(ISBLANK($AW457),$AV457,$AW457)*Paraméterek!$J$112&lt;IF($D$4="Forint",Paraméterek!$J$113,Paraméterek!$K$113),IF($D$4="Forint",Paraméterek!$J$113,Paraméterek!$K$113),IF(IF(ISBLANK($AW457),$AV457,$AW457)*Paraméterek!$J$112&gt;IF($D$4="Forint",Paraméterek!$J$114,Paraméterek!$K$114),IF($D$4="Forint",Paraméterek!$J$114,Paraméterek!$K$114),IF(ISBLANK($AW457),$AV457,$AW457)*Paraméterek!$J$112))),IF($D$4="Forint",0,2))</f>
        <v>0</v>
      </c>
      <c r="AY457" s="13">
        <f>$AR457+$AT457-$AU457-IF(ROUNDDOWN(IF(ISBLANK($AW457),$AV457,$AW457),IF($D$4="Forint",0,2))&gt;$AR457+$AT457-$AU457-IF($D$4="Forint",Paraméterek!$J$114,Paraméterek!$K$114),0,ROUNDDOWN(IF(ISBLANK($AW457),$AV457,$AW457),IF($D$4="Forint",0,2))-$AX457)</f>
        <v>0</v>
      </c>
      <c r="AZ457" s="13">
        <f t="shared" si="99"/>
        <v>0</v>
      </c>
    </row>
    <row r="458" spans="1:52" x14ac:dyDescent="0.2">
      <c r="A458" s="32">
        <v>439</v>
      </c>
      <c r="B458" s="32">
        <v>37</v>
      </c>
      <c r="C458" s="32">
        <v>7</v>
      </c>
      <c r="D458" s="13">
        <f t="shared" si="90"/>
        <v>0</v>
      </c>
      <c r="E458" s="13"/>
      <c r="F458" s="13"/>
      <c r="G458" s="13"/>
      <c r="H458" s="13">
        <f t="shared" si="91"/>
        <v>0</v>
      </c>
      <c r="I458" s="13">
        <f t="shared" si="92"/>
        <v>0</v>
      </c>
      <c r="J458" s="13">
        <f t="shared" si="93"/>
        <v>0</v>
      </c>
      <c r="K458" s="13">
        <f>ROUNDUP(IF($D$2="Egyszeri",$D458,IF($D$2="Havi",SUM($D$20:$D$31),IF(MOD($C458,$M$1)-1=0,SUM($D$20:$D$31),0))/12*$M$1)*VLOOKUP($B458,Paraméterek!$B$27:$D$30,IF($D$2="Egyszeri",3,2)),IF($D$4="Forint",0,2))</f>
        <v>0</v>
      </c>
      <c r="L458" s="13">
        <f t="shared" si="94"/>
        <v>0</v>
      </c>
      <c r="M458" s="13">
        <f t="shared" ca="1" si="100"/>
        <v>-292821</v>
      </c>
      <c r="N458" s="13">
        <f ca="1">IF($V457&gt;=VLOOKUP($M$4-1+$B458,Paraméterek!$B$121:$D$122,IF($D$4="Forint",2,3)),0,VLOOKUP($M$4-1+$B458,Paraméterek!$B$121:$D$122,IF($D$4="Forint",2,3))-$V457)</f>
        <v>302821</v>
      </c>
      <c r="O458" s="13">
        <f ca="1">ROUNDUP($N458*Paraméterek!$C$58/Paraméterek!$C$56,IF($D$4="Forint",0,2))</f>
        <v>49</v>
      </c>
      <c r="P458" s="13">
        <f t="shared" si="95"/>
        <v>1595</v>
      </c>
      <c r="Q458" s="33"/>
      <c r="R458" s="13">
        <f t="shared" ca="1" si="96"/>
        <v>0</v>
      </c>
      <c r="S458" s="13">
        <f ca="1">ROUNDUP(($M458-$O458-$P458+$R458)*VLOOKUP($B458,Paraméterek!$B$38:$D$39,IF($D$2="Egyszeri",3,2))/12,IF($D$4="Forint",0,2))</f>
        <v>-719</v>
      </c>
      <c r="T458" s="13"/>
      <c r="U458" s="13"/>
      <c r="V458" s="13">
        <f ca="1">$M458-$O458-$P458+$R458-$S458-IF(ROUNDUP(IF(ISBLANK($U458),$T458,$U458)/IF(AND($B458=1,$D$2&lt;&gt;"Egyszeri"),1,VLOOKUP($B458+IF($C458=12,1,0),Paraméterek!$B$257:$D$267,IF($D$2="Egyszeri",3,2))),IF($D$4="Forint",0,2))&gt;$M458-$O458-$P458+$R458-$S458-IF($D$4="Forint",Paraméterek!$C$216,Paraméterek!$D$216),0,ROUNDUP(IF(ISBLANK($U458),$T458,$U458)/IF(AND($B458=1,$D$2&lt;&gt;"Egyszeri"),1,VLOOKUP($B458+IF($C458=12,1,0),Paraméterek!$B$257:$D$267,IF($D$2="Egyszeri",3,2))),IF($D$4="Forint",0,2)))</f>
        <v>-293746</v>
      </c>
      <c r="W458" s="13">
        <f ca="1">ROUNDDOWN($V458*VLOOKUP($B458+IF($C458=12,1,0),Paraméterek!$B$257:$D$267,IF($D$2="Egyszeri",3,2)),IF($D$4="Forint",0,2))</f>
        <v>-293746</v>
      </c>
      <c r="Y458" s="32">
        <v>439</v>
      </c>
      <c r="Z458" s="32">
        <v>37</v>
      </c>
      <c r="AA458" s="32">
        <v>7</v>
      </c>
      <c r="AB458" s="13">
        <f t="shared" si="101"/>
        <v>0</v>
      </c>
      <c r="AC458" s="33"/>
      <c r="AD458" s="13">
        <f t="shared" si="97"/>
        <v>0</v>
      </c>
      <c r="AE458" s="13">
        <f>ROUNDUP(($AB458+$AD458)*VLOOKUP($Z458,Paraméterek!$P$38:$Q$38,2)/12,IF($D$4="Forint",0,2))</f>
        <v>0</v>
      </c>
      <c r="AF458" s="13">
        <f>IF($D$2="Egyszeri",IF($D$7&gt;=IF($D$4="Forint",Paraméterek!$P$223,Paraméterek!$P$224),$D$7-IF($D$4="Forint",Paraméterek!$F$223,Paraméterek!$F$224),0),MIN(IF($AA458=12,AVERAGE($D$20:$D458)*12,0),SUM($D$20:$D$31)))</f>
        <v>0</v>
      </c>
      <c r="AG458" s="13">
        <f>IF(AND($Z458&gt;=10,MOD($Z458,5)=0),$AF458*IF($AA458=12,VLOOKUP($Z458,Paraméterek!$B$225:$F$240,IF($AF458&lt;IF($D$4="Forint",Paraméterek!$C$223,Paraméterek!$C$224),2,IF($AF458&lt;IF($D$4="Forint",Paraméterek!$D$223,Paraméterek!$D$224),3,4))),0),0)</f>
        <v>0</v>
      </c>
      <c r="AH458" s="13">
        <f>IF(AND($Z458&gt;=5,MOD($Z458,5)=0),IF($AA458=12,VLOOKUP($Z458,Paraméterek!$B$225:$F$240,5),0),IF(OR($Z458=3,$Z458=4),IF($AA458=12,VLOOKUP($Z458,Paraméterek!$B$225:$F$240,5,0),0),0))*$AF458</f>
        <v>0</v>
      </c>
      <c r="AI458" s="13">
        <f>ROUNDDOWN(IF(SUM($T$20:$U458)=0,IF($D$2="Egyszeri",$AH458,$AG458),0),IF($D$4="Forint",0,2))</f>
        <v>0</v>
      </c>
      <c r="AJ458" s="13">
        <f t="shared" si="102"/>
        <v>0</v>
      </c>
      <c r="AK458" s="13">
        <f t="shared" si="103"/>
        <v>0</v>
      </c>
      <c r="AM458" s="32">
        <v>439</v>
      </c>
      <c r="AN458" s="32">
        <v>37</v>
      </c>
      <c r="AO458" s="32">
        <v>7</v>
      </c>
      <c r="AP458" s="13"/>
      <c r="AQ458" s="32"/>
      <c r="AR458" s="13">
        <f t="shared" si="104"/>
        <v>0</v>
      </c>
      <c r="AS458" s="33"/>
      <c r="AT458" s="13">
        <f t="shared" si="98"/>
        <v>0</v>
      </c>
      <c r="AU458" s="13">
        <f>ROUNDUP(($AR458+$AT458)*VLOOKUP($AN458,Paraméterek!$P$38:$Q$38,2)/12,IF($D$4="Forint",0,2))</f>
        <v>0</v>
      </c>
      <c r="AV458" s="13"/>
      <c r="AW458" s="13"/>
      <c r="AX458" s="13">
        <f>ROUNDUP(IF(SUM($AV458:$AW458)=0,0,IF(IF(ISBLANK($AW458),$AV458,$AW458)*Paraméterek!$J$112&lt;IF($D$4="Forint",Paraméterek!$J$113,Paraméterek!$K$113),IF($D$4="Forint",Paraméterek!$J$113,Paraméterek!$K$113),IF(IF(ISBLANK($AW458),$AV458,$AW458)*Paraméterek!$J$112&gt;IF($D$4="Forint",Paraméterek!$J$114,Paraméterek!$K$114),IF($D$4="Forint",Paraméterek!$J$114,Paraméterek!$K$114),IF(ISBLANK($AW458),$AV458,$AW458)*Paraméterek!$J$112))),IF($D$4="Forint",0,2))</f>
        <v>0</v>
      </c>
      <c r="AY458" s="13">
        <f>$AR458+$AT458-$AU458-IF(ROUNDDOWN(IF(ISBLANK($AW458),$AV458,$AW458),IF($D$4="Forint",0,2))&gt;$AR458+$AT458-$AU458-IF($D$4="Forint",Paraméterek!$J$114,Paraméterek!$K$114),0,ROUNDDOWN(IF(ISBLANK($AW458),$AV458,$AW458),IF($D$4="Forint",0,2))-$AX458)</f>
        <v>0</v>
      </c>
      <c r="AZ458" s="13">
        <f t="shared" si="99"/>
        <v>0</v>
      </c>
    </row>
    <row r="459" spans="1:52" x14ac:dyDescent="0.2">
      <c r="A459" s="32">
        <v>440</v>
      </c>
      <c r="B459" s="32">
        <v>37</v>
      </c>
      <c r="C459" s="32">
        <v>8</v>
      </c>
      <c r="D459" s="13">
        <f t="shared" si="90"/>
        <v>0</v>
      </c>
      <c r="E459" s="13"/>
      <c r="F459" s="13"/>
      <c r="G459" s="13"/>
      <c r="H459" s="13">
        <f t="shared" si="91"/>
        <v>0</v>
      </c>
      <c r="I459" s="13">
        <f t="shared" si="92"/>
        <v>0</v>
      </c>
      <c r="J459" s="13">
        <f t="shared" si="93"/>
        <v>0</v>
      </c>
      <c r="K459" s="13">
        <f>ROUNDUP(IF($D$2="Egyszeri",$D459,IF($D$2="Havi",SUM($D$20:$D$31),IF(MOD($C459,$M$1)-1=0,SUM($D$20:$D$31),0))/12*$M$1)*VLOOKUP($B459,Paraméterek!$B$27:$D$30,IF($D$2="Egyszeri",3,2)),IF($D$4="Forint",0,2))</f>
        <v>0</v>
      </c>
      <c r="L459" s="13">
        <f t="shared" si="94"/>
        <v>0</v>
      </c>
      <c r="M459" s="13">
        <f t="shared" ca="1" si="100"/>
        <v>-293746</v>
      </c>
      <c r="N459" s="13">
        <f ca="1">IF($V458&gt;=VLOOKUP($M$4-1+$B459,Paraméterek!$B$121:$D$122,IF($D$4="Forint",2,3)),0,VLOOKUP($M$4-1+$B459,Paraméterek!$B$121:$D$122,IF($D$4="Forint",2,3))-$V458)</f>
        <v>303746</v>
      </c>
      <c r="O459" s="13">
        <f ca="1">ROUNDUP($N459*Paraméterek!$C$58/Paraméterek!$C$56,IF($D$4="Forint",0,2))</f>
        <v>49</v>
      </c>
      <c r="P459" s="13">
        <f t="shared" si="95"/>
        <v>1595</v>
      </c>
      <c r="Q459" s="33"/>
      <c r="R459" s="13">
        <f t="shared" ca="1" si="96"/>
        <v>0</v>
      </c>
      <c r="S459" s="13">
        <f ca="1">ROUNDUP(($M459-$O459-$P459+$R459)*VLOOKUP($B459,Paraméterek!$B$38:$D$39,IF($D$2="Egyszeri",3,2))/12,IF($D$4="Forint",0,2))</f>
        <v>-722</v>
      </c>
      <c r="T459" s="13"/>
      <c r="U459" s="13"/>
      <c r="V459" s="13">
        <f ca="1">$M459-$O459-$P459+$R459-$S459-IF(ROUNDUP(IF(ISBLANK($U459),$T459,$U459)/IF(AND($B459=1,$D$2&lt;&gt;"Egyszeri"),1,VLOOKUP($B459+IF($C459=12,1,0),Paraméterek!$B$257:$D$267,IF($D$2="Egyszeri",3,2))),IF($D$4="Forint",0,2))&gt;$M459-$O459-$P459+$R459-$S459-IF($D$4="Forint",Paraméterek!$C$216,Paraméterek!$D$216),0,ROUNDUP(IF(ISBLANK($U459),$T459,$U459)/IF(AND($B459=1,$D$2&lt;&gt;"Egyszeri"),1,VLOOKUP($B459+IF($C459=12,1,0),Paraméterek!$B$257:$D$267,IF($D$2="Egyszeri",3,2))),IF($D$4="Forint",0,2)))</f>
        <v>-294668</v>
      </c>
      <c r="W459" s="13">
        <f ca="1">ROUNDDOWN($V459*VLOOKUP($B459+IF($C459=12,1,0),Paraméterek!$B$257:$D$267,IF($D$2="Egyszeri",3,2)),IF($D$4="Forint",0,2))</f>
        <v>-294668</v>
      </c>
      <c r="Y459" s="32">
        <v>440</v>
      </c>
      <c r="Z459" s="32">
        <v>37</v>
      </c>
      <c r="AA459" s="32">
        <v>8</v>
      </c>
      <c r="AB459" s="13">
        <f t="shared" si="101"/>
        <v>0</v>
      </c>
      <c r="AC459" s="33"/>
      <c r="AD459" s="13">
        <f t="shared" si="97"/>
        <v>0</v>
      </c>
      <c r="AE459" s="13">
        <f>ROUNDUP(($AB459+$AD459)*VLOOKUP($Z459,Paraméterek!$P$38:$Q$38,2)/12,IF($D$4="Forint",0,2))</f>
        <v>0</v>
      </c>
      <c r="AF459" s="13">
        <f>IF($D$2="Egyszeri",IF($D$7&gt;=IF($D$4="Forint",Paraméterek!$P$223,Paraméterek!$P$224),$D$7-IF($D$4="Forint",Paraméterek!$F$223,Paraméterek!$F$224),0),MIN(IF($AA459=12,AVERAGE($D$20:$D459)*12,0),SUM($D$20:$D$31)))</f>
        <v>0</v>
      </c>
      <c r="AG459" s="13">
        <f>IF(AND($Z459&gt;=10,MOD($Z459,5)=0),$AF459*IF($AA459=12,VLOOKUP($Z459,Paraméterek!$B$225:$F$240,IF($AF459&lt;IF($D$4="Forint",Paraméterek!$C$223,Paraméterek!$C$224),2,IF($AF459&lt;IF($D$4="Forint",Paraméterek!$D$223,Paraméterek!$D$224),3,4))),0),0)</f>
        <v>0</v>
      </c>
      <c r="AH459" s="13">
        <f>IF(AND($Z459&gt;=5,MOD($Z459,5)=0),IF($AA459=12,VLOOKUP($Z459,Paraméterek!$B$225:$F$240,5),0),IF(OR($Z459=3,$Z459=4),IF($AA459=12,VLOOKUP($Z459,Paraméterek!$B$225:$F$240,5,0),0),0))*$AF459</f>
        <v>0</v>
      </c>
      <c r="AI459" s="13">
        <f>ROUNDDOWN(IF(SUM($T$20:$U459)=0,IF($D$2="Egyszeri",$AH459,$AG459),0),IF($D$4="Forint",0,2))</f>
        <v>0</v>
      </c>
      <c r="AJ459" s="13">
        <f t="shared" si="102"/>
        <v>0</v>
      </c>
      <c r="AK459" s="13">
        <f t="shared" si="103"/>
        <v>0</v>
      </c>
      <c r="AM459" s="32">
        <v>440</v>
      </c>
      <c r="AN459" s="32">
        <v>37</v>
      </c>
      <c r="AO459" s="32">
        <v>8</v>
      </c>
      <c r="AP459" s="13"/>
      <c r="AQ459" s="32"/>
      <c r="AR459" s="13">
        <f t="shared" si="104"/>
        <v>0</v>
      </c>
      <c r="AS459" s="33"/>
      <c r="AT459" s="13">
        <f t="shared" si="98"/>
        <v>0</v>
      </c>
      <c r="AU459" s="13">
        <f>ROUNDUP(($AR459+$AT459)*VLOOKUP($AN459,Paraméterek!$P$38:$Q$38,2)/12,IF($D$4="Forint",0,2))</f>
        <v>0</v>
      </c>
      <c r="AV459" s="13"/>
      <c r="AW459" s="13"/>
      <c r="AX459" s="13">
        <f>ROUNDUP(IF(SUM($AV459:$AW459)=0,0,IF(IF(ISBLANK($AW459),$AV459,$AW459)*Paraméterek!$J$112&lt;IF($D$4="Forint",Paraméterek!$J$113,Paraméterek!$K$113),IF($D$4="Forint",Paraméterek!$J$113,Paraméterek!$K$113),IF(IF(ISBLANK($AW459),$AV459,$AW459)*Paraméterek!$J$112&gt;IF($D$4="Forint",Paraméterek!$J$114,Paraméterek!$K$114),IF($D$4="Forint",Paraméterek!$J$114,Paraméterek!$K$114),IF(ISBLANK($AW459),$AV459,$AW459)*Paraméterek!$J$112))),IF($D$4="Forint",0,2))</f>
        <v>0</v>
      </c>
      <c r="AY459" s="13">
        <f>$AR459+$AT459-$AU459-IF(ROUNDDOWN(IF(ISBLANK($AW459),$AV459,$AW459),IF($D$4="Forint",0,2))&gt;$AR459+$AT459-$AU459-IF($D$4="Forint",Paraméterek!$J$114,Paraméterek!$K$114),0,ROUNDDOWN(IF(ISBLANK($AW459),$AV459,$AW459),IF($D$4="Forint",0,2))-$AX459)</f>
        <v>0</v>
      </c>
      <c r="AZ459" s="13">
        <f t="shared" si="99"/>
        <v>0</v>
      </c>
    </row>
    <row r="460" spans="1:52" x14ac:dyDescent="0.2">
      <c r="A460" s="32">
        <v>441</v>
      </c>
      <c r="B460" s="32">
        <v>37</v>
      </c>
      <c r="C460" s="32">
        <v>9</v>
      </c>
      <c r="D460" s="13">
        <f t="shared" si="90"/>
        <v>0</v>
      </c>
      <c r="E460" s="13"/>
      <c r="F460" s="13"/>
      <c r="G460" s="13"/>
      <c r="H460" s="13">
        <f t="shared" si="91"/>
        <v>0</v>
      </c>
      <c r="I460" s="13">
        <f t="shared" si="92"/>
        <v>0</v>
      </c>
      <c r="J460" s="13">
        <f t="shared" si="93"/>
        <v>0</v>
      </c>
      <c r="K460" s="13">
        <f>ROUNDUP(IF($D$2="Egyszeri",$D460,IF($D$2="Havi",SUM($D$20:$D$31),IF(MOD($C460,$M$1)-1=0,SUM($D$20:$D$31),0))/12*$M$1)*VLOOKUP($B460,Paraméterek!$B$27:$D$30,IF($D$2="Egyszeri",3,2)),IF($D$4="Forint",0,2))</f>
        <v>0</v>
      </c>
      <c r="L460" s="13">
        <f t="shared" si="94"/>
        <v>0</v>
      </c>
      <c r="M460" s="13">
        <f t="shared" ca="1" si="100"/>
        <v>-294668</v>
      </c>
      <c r="N460" s="13">
        <f ca="1">IF($V459&gt;=VLOOKUP($M$4-1+$B460,Paraméterek!$B$121:$D$122,IF($D$4="Forint",2,3)),0,VLOOKUP($M$4-1+$B460,Paraméterek!$B$121:$D$122,IF($D$4="Forint",2,3))-$V459)</f>
        <v>304668</v>
      </c>
      <c r="O460" s="13">
        <f ca="1">ROUNDUP($N460*Paraméterek!$C$58/Paraméterek!$C$56,IF($D$4="Forint",0,2))</f>
        <v>49</v>
      </c>
      <c r="P460" s="13">
        <f t="shared" si="95"/>
        <v>1595</v>
      </c>
      <c r="Q460" s="33"/>
      <c r="R460" s="13">
        <f t="shared" ca="1" si="96"/>
        <v>0</v>
      </c>
      <c r="S460" s="13">
        <f ca="1">ROUNDUP(($M460-$O460-$P460+$R460)*VLOOKUP($B460,Paraméterek!$B$38:$D$39,IF($D$2="Egyszeri",3,2))/12,IF($D$4="Forint",0,2))</f>
        <v>-724</v>
      </c>
      <c r="T460" s="13"/>
      <c r="U460" s="13"/>
      <c r="V460" s="13">
        <f ca="1">$M460-$O460-$P460+$R460-$S460-IF(ROUNDUP(IF(ISBLANK($U460),$T460,$U460)/IF(AND($B460=1,$D$2&lt;&gt;"Egyszeri"),1,VLOOKUP($B460+IF($C460=12,1,0),Paraméterek!$B$257:$D$267,IF($D$2="Egyszeri",3,2))),IF($D$4="Forint",0,2))&gt;$M460-$O460-$P460+$R460-$S460-IF($D$4="Forint",Paraméterek!$C$216,Paraméterek!$D$216),0,ROUNDUP(IF(ISBLANK($U460),$T460,$U460)/IF(AND($B460=1,$D$2&lt;&gt;"Egyszeri"),1,VLOOKUP($B460+IF($C460=12,1,0),Paraméterek!$B$257:$D$267,IF($D$2="Egyszeri",3,2))),IF($D$4="Forint",0,2)))</f>
        <v>-295588</v>
      </c>
      <c r="W460" s="13">
        <f ca="1">ROUNDDOWN($V460*VLOOKUP($B460+IF($C460=12,1,0),Paraméterek!$B$257:$D$267,IF($D$2="Egyszeri",3,2)),IF($D$4="Forint",0,2))</f>
        <v>-295588</v>
      </c>
      <c r="Y460" s="32">
        <v>441</v>
      </c>
      <c r="Z460" s="32">
        <v>37</v>
      </c>
      <c r="AA460" s="32">
        <v>9</v>
      </c>
      <c r="AB460" s="13">
        <f t="shared" si="101"/>
        <v>0</v>
      </c>
      <c r="AC460" s="33"/>
      <c r="AD460" s="13">
        <f t="shared" si="97"/>
        <v>0</v>
      </c>
      <c r="AE460" s="13">
        <f>ROUNDUP(($AB460+$AD460)*VLOOKUP($Z460,Paraméterek!$P$38:$Q$38,2)/12,IF($D$4="Forint",0,2))</f>
        <v>0</v>
      </c>
      <c r="AF460" s="13">
        <f>IF($D$2="Egyszeri",IF($D$7&gt;=IF($D$4="Forint",Paraméterek!$P$223,Paraméterek!$P$224),$D$7-IF($D$4="Forint",Paraméterek!$F$223,Paraméterek!$F$224),0),MIN(IF($AA460=12,AVERAGE($D$20:$D460)*12,0),SUM($D$20:$D$31)))</f>
        <v>0</v>
      </c>
      <c r="AG460" s="13">
        <f>IF(AND($Z460&gt;=10,MOD($Z460,5)=0),$AF460*IF($AA460=12,VLOOKUP($Z460,Paraméterek!$B$225:$F$240,IF($AF460&lt;IF($D$4="Forint",Paraméterek!$C$223,Paraméterek!$C$224),2,IF($AF460&lt;IF($D$4="Forint",Paraméterek!$D$223,Paraméterek!$D$224),3,4))),0),0)</f>
        <v>0</v>
      </c>
      <c r="AH460" s="13">
        <f>IF(AND($Z460&gt;=5,MOD($Z460,5)=0),IF($AA460=12,VLOOKUP($Z460,Paraméterek!$B$225:$F$240,5),0),IF(OR($Z460=3,$Z460=4),IF($AA460=12,VLOOKUP($Z460,Paraméterek!$B$225:$F$240,5,0),0),0))*$AF460</f>
        <v>0</v>
      </c>
      <c r="AI460" s="13">
        <f>ROUNDDOWN(IF(SUM($T$20:$U460)=0,IF($D$2="Egyszeri",$AH460,$AG460),0),IF($D$4="Forint",0,2))</f>
        <v>0</v>
      </c>
      <c r="AJ460" s="13">
        <f t="shared" si="102"/>
        <v>0</v>
      </c>
      <c r="AK460" s="13">
        <f t="shared" si="103"/>
        <v>0</v>
      </c>
      <c r="AM460" s="32">
        <v>441</v>
      </c>
      <c r="AN460" s="32">
        <v>37</v>
      </c>
      <c r="AO460" s="32">
        <v>9</v>
      </c>
      <c r="AP460" s="13"/>
      <c r="AQ460" s="32"/>
      <c r="AR460" s="13">
        <f t="shared" si="104"/>
        <v>0</v>
      </c>
      <c r="AS460" s="33"/>
      <c r="AT460" s="13">
        <f t="shared" si="98"/>
        <v>0</v>
      </c>
      <c r="AU460" s="13">
        <f>ROUNDUP(($AR460+$AT460)*VLOOKUP($AN460,Paraméterek!$P$38:$Q$38,2)/12,IF($D$4="Forint",0,2))</f>
        <v>0</v>
      </c>
      <c r="AV460" s="13"/>
      <c r="AW460" s="13"/>
      <c r="AX460" s="13">
        <f>ROUNDUP(IF(SUM($AV460:$AW460)=0,0,IF(IF(ISBLANK($AW460),$AV460,$AW460)*Paraméterek!$J$112&lt;IF($D$4="Forint",Paraméterek!$J$113,Paraméterek!$K$113),IF($D$4="Forint",Paraméterek!$J$113,Paraméterek!$K$113),IF(IF(ISBLANK($AW460),$AV460,$AW460)*Paraméterek!$J$112&gt;IF($D$4="Forint",Paraméterek!$J$114,Paraméterek!$K$114),IF($D$4="Forint",Paraméterek!$J$114,Paraméterek!$K$114),IF(ISBLANK($AW460),$AV460,$AW460)*Paraméterek!$J$112))),IF($D$4="Forint",0,2))</f>
        <v>0</v>
      </c>
      <c r="AY460" s="13">
        <f>$AR460+$AT460-$AU460-IF(ROUNDDOWN(IF(ISBLANK($AW460),$AV460,$AW460),IF($D$4="Forint",0,2))&gt;$AR460+$AT460-$AU460-IF($D$4="Forint",Paraméterek!$J$114,Paraméterek!$K$114),0,ROUNDDOWN(IF(ISBLANK($AW460),$AV460,$AW460),IF($D$4="Forint",0,2))-$AX460)</f>
        <v>0</v>
      </c>
      <c r="AZ460" s="13">
        <f t="shared" si="99"/>
        <v>0</v>
      </c>
    </row>
    <row r="461" spans="1:52" x14ac:dyDescent="0.2">
      <c r="A461" s="32">
        <v>442</v>
      </c>
      <c r="B461" s="32">
        <v>37</v>
      </c>
      <c r="C461" s="32">
        <v>10</v>
      </c>
      <c r="D461" s="13">
        <f t="shared" si="90"/>
        <v>0</v>
      </c>
      <c r="E461" s="13"/>
      <c r="F461" s="13"/>
      <c r="G461" s="13"/>
      <c r="H461" s="13">
        <f t="shared" si="91"/>
        <v>0</v>
      </c>
      <c r="I461" s="13">
        <f t="shared" si="92"/>
        <v>0</v>
      </c>
      <c r="J461" s="13">
        <f t="shared" si="93"/>
        <v>0</v>
      </c>
      <c r="K461" s="13">
        <f>ROUNDUP(IF($D$2="Egyszeri",$D461,IF($D$2="Havi",SUM($D$20:$D$31),IF(MOD($C461,$M$1)-1=0,SUM($D$20:$D$31),0))/12*$M$1)*VLOOKUP($B461,Paraméterek!$B$27:$D$30,IF($D$2="Egyszeri",3,2)),IF($D$4="Forint",0,2))</f>
        <v>0</v>
      </c>
      <c r="L461" s="13">
        <f t="shared" si="94"/>
        <v>0</v>
      </c>
      <c r="M461" s="13">
        <f t="shared" ca="1" si="100"/>
        <v>-295588</v>
      </c>
      <c r="N461" s="13">
        <f ca="1">IF($V460&gt;=VLOOKUP($M$4-1+$B461,Paraméterek!$B$121:$D$122,IF($D$4="Forint",2,3)),0,VLOOKUP($M$4-1+$B461,Paraméterek!$B$121:$D$122,IF($D$4="Forint",2,3))-$V460)</f>
        <v>305588</v>
      </c>
      <c r="O461" s="13">
        <f ca="1">ROUNDUP($N461*Paraméterek!$C$58/Paraméterek!$C$56,IF($D$4="Forint",0,2))</f>
        <v>49</v>
      </c>
      <c r="P461" s="13">
        <f t="shared" si="95"/>
        <v>1595</v>
      </c>
      <c r="Q461" s="33"/>
      <c r="R461" s="13">
        <f t="shared" ca="1" si="96"/>
        <v>0</v>
      </c>
      <c r="S461" s="13">
        <f ca="1">ROUNDUP(($M461-$O461-$P461+$R461)*VLOOKUP($B461,Paraméterek!$B$38:$D$39,IF($D$2="Egyszeri",3,2))/12,IF($D$4="Forint",0,2))</f>
        <v>-726</v>
      </c>
      <c r="T461" s="13"/>
      <c r="U461" s="13"/>
      <c r="V461" s="13">
        <f ca="1">$M461-$O461-$P461+$R461-$S461-IF(ROUNDUP(IF(ISBLANK($U461),$T461,$U461)/IF(AND($B461=1,$D$2&lt;&gt;"Egyszeri"),1,VLOOKUP($B461+IF($C461=12,1,0),Paraméterek!$B$257:$D$267,IF($D$2="Egyszeri",3,2))),IF($D$4="Forint",0,2))&gt;$M461-$O461-$P461+$R461-$S461-IF($D$4="Forint",Paraméterek!$C$216,Paraméterek!$D$216),0,ROUNDUP(IF(ISBLANK($U461),$T461,$U461)/IF(AND($B461=1,$D$2&lt;&gt;"Egyszeri"),1,VLOOKUP($B461+IF($C461=12,1,0),Paraméterek!$B$257:$D$267,IF($D$2="Egyszeri",3,2))),IF($D$4="Forint",0,2)))</f>
        <v>-296506</v>
      </c>
      <c r="W461" s="13">
        <f ca="1">ROUNDDOWN($V461*VLOOKUP($B461+IF($C461=12,1,0),Paraméterek!$B$257:$D$267,IF($D$2="Egyszeri",3,2)),IF($D$4="Forint",0,2))</f>
        <v>-296506</v>
      </c>
      <c r="Y461" s="32">
        <v>442</v>
      </c>
      <c r="Z461" s="32">
        <v>37</v>
      </c>
      <c r="AA461" s="32">
        <v>10</v>
      </c>
      <c r="AB461" s="13">
        <f t="shared" si="101"/>
        <v>0</v>
      </c>
      <c r="AC461" s="33"/>
      <c r="AD461" s="13">
        <f t="shared" si="97"/>
        <v>0</v>
      </c>
      <c r="AE461" s="13">
        <f>ROUNDUP(($AB461+$AD461)*VLOOKUP($Z461,Paraméterek!$P$38:$Q$38,2)/12,IF($D$4="Forint",0,2))</f>
        <v>0</v>
      </c>
      <c r="AF461" s="13">
        <f>IF($D$2="Egyszeri",IF($D$7&gt;=IF($D$4="Forint",Paraméterek!$P$223,Paraméterek!$P$224),$D$7-IF($D$4="Forint",Paraméterek!$F$223,Paraméterek!$F$224),0),MIN(IF($AA461=12,AVERAGE($D$20:$D461)*12,0),SUM($D$20:$D$31)))</f>
        <v>0</v>
      </c>
      <c r="AG461" s="13">
        <f>IF(AND($Z461&gt;=10,MOD($Z461,5)=0),$AF461*IF($AA461=12,VLOOKUP($Z461,Paraméterek!$B$225:$F$240,IF($AF461&lt;IF($D$4="Forint",Paraméterek!$C$223,Paraméterek!$C$224),2,IF($AF461&lt;IF($D$4="Forint",Paraméterek!$D$223,Paraméterek!$D$224),3,4))),0),0)</f>
        <v>0</v>
      </c>
      <c r="AH461" s="13">
        <f>IF(AND($Z461&gt;=5,MOD($Z461,5)=0),IF($AA461=12,VLOOKUP($Z461,Paraméterek!$B$225:$F$240,5),0),IF(OR($Z461=3,$Z461=4),IF($AA461=12,VLOOKUP($Z461,Paraméterek!$B$225:$F$240,5,0),0),0))*$AF461</f>
        <v>0</v>
      </c>
      <c r="AI461" s="13">
        <f>ROUNDDOWN(IF(SUM($T$20:$U461)=0,IF($D$2="Egyszeri",$AH461,$AG461),0),IF($D$4="Forint",0,2))</f>
        <v>0</v>
      </c>
      <c r="AJ461" s="13">
        <f t="shared" si="102"/>
        <v>0</v>
      </c>
      <c r="AK461" s="13">
        <f t="shared" si="103"/>
        <v>0</v>
      </c>
      <c r="AM461" s="32">
        <v>442</v>
      </c>
      <c r="AN461" s="32">
        <v>37</v>
      </c>
      <c r="AO461" s="32">
        <v>10</v>
      </c>
      <c r="AP461" s="13"/>
      <c r="AQ461" s="32"/>
      <c r="AR461" s="13">
        <f t="shared" si="104"/>
        <v>0</v>
      </c>
      <c r="AS461" s="33"/>
      <c r="AT461" s="13">
        <f t="shared" si="98"/>
        <v>0</v>
      </c>
      <c r="AU461" s="13">
        <f>ROUNDUP(($AR461+$AT461)*VLOOKUP($AN461,Paraméterek!$P$38:$Q$38,2)/12,IF($D$4="Forint",0,2))</f>
        <v>0</v>
      </c>
      <c r="AV461" s="13"/>
      <c r="AW461" s="13"/>
      <c r="AX461" s="13">
        <f>ROUNDUP(IF(SUM($AV461:$AW461)=0,0,IF(IF(ISBLANK($AW461),$AV461,$AW461)*Paraméterek!$J$112&lt;IF($D$4="Forint",Paraméterek!$J$113,Paraméterek!$K$113),IF($D$4="Forint",Paraméterek!$J$113,Paraméterek!$K$113),IF(IF(ISBLANK($AW461),$AV461,$AW461)*Paraméterek!$J$112&gt;IF($D$4="Forint",Paraméterek!$J$114,Paraméterek!$K$114),IF($D$4="Forint",Paraméterek!$J$114,Paraméterek!$K$114),IF(ISBLANK($AW461),$AV461,$AW461)*Paraméterek!$J$112))),IF($D$4="Forint",0,2))</f>
        <v>0</v>
      </c>
      <c r="AY461" s="13">
        <f>$AR461+$AT461-$AU461-IF(ROUNDDOWN(IF(ISBLANK($AW461),$AV461,$AW461),IF($D$4="Forint",0,2))&gt;$AR461+$AT461-$AU461-IF($D$4="Forint",Paraméterek!$J$114,Paraméterek!$K$114),0,ROUNDDOWN(IF(ISBLANK($AW461),$AV461,$AW461),IF($D$4="Forint",0,2))-$AX461)</f>
        <v>0</v>
      </c>
      <c r="AZ461" s="13">
        <f t="shared" si="99"/>
        <v>0</v>
      </c>
    </row>
    <row r="462" spans="1:52" x14ac:dyDescent="0.2">
      <c r="A462" s="32">
        <v>443</v>
      </c>
      <c r="B462" s="32">
        <v>37</v>
      </c>
      <c r="C462" s="32">
        <v>11</v>
      </c>
      <c r="D462" s="13">
        <f t="shared" si="90"/>
        <v>0</v>
      </c>
      <c r="E462" s="13"/>
      <c r="F462" s="13"/>
      <c r="G462" s="13"/>
      <c r="H462" s="13">
        <f t="shared" si="91"/>
        <v>0</v>
      </c>
      <c r="I462" s="13">
        <f t="shared" si="92"/>
        <v>0</v>
      </c>
      <c r="J462" s="13">
        <f t="shared" si="93"/>
        <v>0</v>
      </c>
      <c r="K462" s="13">
        <f>ROUNDUP(IF($D$2="Egyszeri",$D462,IF($D$2="Havi",SUM($D$20:$D$31),IF(MOD($C462,$M$1)-1=0,SUM($D$20:$D$31),0))/12*$M$1)*VLOOKUP($B462,Paraméterek!$B$27:$D$30,IF($D$2="Egyszeri",3,2)),IF($D$4="Forint",0,2))</f>
        <v>0</v>
      </c>
      <c r="L462" s="13">
        <f t="shared" si="94"/>
        <v>0</v>
      </c>
      <c r="M462" s="13">
        <f t="shared" ca="1" si="100"/>
        <v>-296506</v>
      </c>
      <c r="N462" s="13">
        <f ca="1">IF($V461&gt;=VLOOKUP($M$4-1+$B462,Paraméterek!$B$121:$D$122,IF($D$4="Forint",2,3)),0,VLOOKUP($M$4-1+$B462,Paraméterek!$B$121:$D$122,IF($D$4="Forint",2,3))-$V461)</f>
        <v>306506</v>
      </c>
      <c r="O462" s="13">
        <f ca="1">ROUNDUP($N462*Paraméterek!$C$58/Paraméterek!$C$56,IF($D$4="Forint",0,2))</f>
        <v>49</v>
      </c>
      <c r="P462" s="13">
        <f t="shared" si="95"/>
        <v>1595</v>
      </c>
      <c r="Q462" s="33"/>
      <c r="R462" s="13">
        <f t="shared" ca="1" si="96"/>
        <v>0</v>
      </c>
      <c r="S462" s="13">
        <f ca="1">ROUNDUP(($M462-$O462-$P462+$R462)*VLOOKUP($B462,Paraméterek!$B$38:$D$39,IF($D$2="Egyszeri",3,2))/12,IF($D$4="Forint",0,2))</f>
        <v>-728</v>
      </c>
      <c r="T462" s="13"/>
      <c r="U462" s="13"/>
      <c r="V462" s="13">
        <f ca="1">$M462-$O462-$P462+$R462-$S462-IF(ROUNDUP(IF(ISBLANK($U462),$T462,$U462)/IF(AND($B462=1,$D$2&lt;&gt;"Egyszeri"),1,VLOOKUP($B462+IF($C462=12,1,0),Paraméterek!$B$257:$D$267,IF($D$2="Egyszeri",3,2))),IF($D$4="Forint",0,2))&gt;$M462-$O462-$P462+$R462-$S462-IF($D$4="Forint",Paraméterek!$C$216,Paraméterek!$D$216),0,ROUNDUP(IF(ISBLANK($U462),$T462,$U462)/IF(AND($B462=1,$D$2&lt;&gt;"Egyszeri"),1,VLOOKUP($B462+IF($C462=12,1,0),Paraméterek!$B$257:$D$267,IF($D$2="Egyszeri",3,2))),IF($D$4="Forint",0,2)))</f>
        <v>-297422</v>
      </c>
      <c r="W462" s="13">
        <f ca="1">ROUNDDOWN($V462*VLOOKUP($B462+IF($C462=12,1,0),Paraméterek!$B$257:$D$267,IF($D$2="Egyszeri",3,2)),IF($D$4="Forint",0,2))</f>
        <v>-297422</v>
      </c>
      <c r="Y462" s="32">
        <v>443</v>
      </c>
      <c r="Z462" s="32">
        <v>37</v>
      </c>
      <c r="AA462" s="32">
        <v>11</v>
      </c>
      <c r="AB462" s="13">
        <f t="shared" si="101"/>
        <v>0</v>
      </c>
      <c r="AC462" s="33"/>
      <c r="AD462" s="13">
        <f t="shared" si="97"/>
        <v>0</v>
      </c>
      <c r="AE462" s="13">
        <f>ROUNDUP(($AB462+$AD462)*VLOOKUP($Z462,Paraméterek!$P$38:$Q$38,2)/12,IF($D$4="Forint",0,2))</f>
        <v>0</v>
      </c>
      <c r="AF462" s="13">
        <f>IF($D$2="Egyszeri",IF($D$7&gt;=IF($D$4="Forint",Paraméterek!$P$223,Paraméterek!$P$224),$D$7-IF($D$4="Forint",Paraméterek!$F$223,Paraméterek!$F$224),0),MIN(IF($AA462=12,AVERAGE($D$20:$D462)*12,0),SUM($D$20:$D$31)))</f>
        <v>0</v>
      </c>
      <c r="AG462" s="13">
        <f>IF(AND($Z462&gt;=10,MOD($Z462,5)=0),$AF462*IF($AA462=12,VLOOKUP($Z462,Paraméterek!$B$225:$F$240,IF($AF462&lt;IF($D$4="Forint",Paraméterek!$C$223,Paraméterek!$C$224),2,IF($AF462&lt;IF($D$4="Forint",Paraméterek!$D$223,Paraméterek!$D$224),3,4))),0),0)</f>
        <v>0</v>
      </c>
      <c r="AH462" s="13">
        <f>IF(AND($Z462&gt;=5,MOD($Z462,5)=0),IF($AA462=12,VLOOKUP($Z462,Paraméterek!$B$225:$F$240,5),0),IF(OR($Z462=3,$Z462=4),IF($AA462=12,VLOOKUP($Z462,Paraméterek!$B$225:$F$240,5,0),0),0))*$AF462</f>
        <v>0</v>
      </c>
      <c r="AI462" s="13">
        <f>ROUNDDOWN(IF(SUM($T$20:$U462)=0,IF($D$2="Egyszeri",$AH462,$AG462),0),IF($D$4="Forint",0,2))</f>
        <v>0</v>
      </c>
      <c r="AJ462" s="13">
        <f t="shared" si="102"/>
        <v>0</v>
      </c>
      <c r="AK462" s="13">
        <f t="shared" si="103"/>
        <v>0</v>
      </c>
      <c r="AM462" s="32">
        <v>443</v>
      </c>
      <c r="AN462" s="32">
        <v>37</v>
      </c>
      <c r="AO462" s="32">
        <v>11</v>
      </c>
      <c r="AP462" s="13"/>
      <c r="AQ462" s="32"/>
      <c r="AR462" s="13">
        <f t="shared" si="104"/>
        <v>0</v>
      </c>
      <c r="AS462" s="33"/>
      <c r="AT462" s="13">
        <f t="shared" si="98"/>
        <v>0</v>
      </c>
      <c r="AU462" s="13">
        <f>ROUNDUP(($AR462+$AT462)*VLOOKUP($AN462,Paraméterek!$P$38:$Q$38,2)/12,IF($D$4="Forint",0,2))</f>
        <v>0</v>
      </c>
      <c r="AV462" s="13"/>
      <c r="AW462" s="13"/>
      <c r="AX462" s="13">
        <f>ROUNDUP(IF(SUM($AV462:$AW462)=0,0,IF(IF(ISBLANK($AW462),$AV462,$AW462)*Paraméterek!$J$112&lt;IF($D$4="Forint",Paraméterek!$J$113,Paraméterek!$K$113),IF($D$4="Forint",Paraméterek!$J$113,Paraméterek!$K$113),IF(IF(ISBLANK($AW462),$AV462,$AW462)*Paraméterek!$J$112&gt;IF($D$4="Forint",Paraméterek!$J$114,Paraméterek!$K$114),IF($D$4="Forint",Paraméterek!$J$114,Paraméterek!$K$114),IF(ISBLANK($AW462),$AV462,$AW462)*Paraméterek!$J$112))),IF($D$4="Forint",0,2))</f>
        <v>0</v>
      </c>
      <c r="AY462" s="13">
        <f>$AR462+$AT462-$AU462-IF(ROUNDDOWN(IF(ISBLANK($AW462),$AV462,$AW462),IF($D$4="Forint",0,2))&gt;$AR462+$AT462-$AU462-IF($D$4="Forint",Paraméterek!$J$114,Paraméterek!$K$114),0,ROUNDDOWN(IF(ISBLANK($AW462),$AV462,$AW462),IF($D$4="Forint",0,2))-$AX462)</f>
        <v>0</v>
      </c>
      <c r="AZ462" s="13">
        <f t="shared" si="99"/>
        <v>0</v>
      </c>
    </row>
    <row r="463" spans="1:52" x14ac:dyDescent="0.2">
      <c r="A463" s="32">
        <v>444</v>
      </c>
      <c r="B463" s="32">
        <v>37</v>
      </c>
      <c r="C463" s="32">
        <v>12</v>
      </c>
      <c r="D463" s="13">
        <f t="shared" si="90"/>
        <v>0</v>
      </c>
      <c r="E463" s="13"/>
      <c r="F463" s="13"/>
      <c r="G463" s="13"/>
      <c r="H463" s="13">
        <f t="shared" si="91"/>
        <v>0</v>
      </c>
      <c r="I463" s="13">
        <f t="shared" si="92"/>
        <v>0</v>
      </c>
      <c r="J463" s="13">
        <f t="shared" si="93"/>
        <v>0</v>
      </c>
      <c r="K463" s="13">
        <f>ROUNDUP(IF($D$2="Egyszeri",$D463,IF($D$2="Havi",SUM($D$20:$D$31),IF(MOD($C463,$M$1)-1=0,SUM($D$20:$D$31),0))/12*$M$1)*VLOOKUP($B463,Paraméterek!$B$27:$D$30,IF($D$2="Egyszeri",3,2)),IF($D$4="Forint",0,2))</f>
        <v>0</v>
      </c>
      <c r="L463" s="13">
        <f t="shared" si="94"/>
        <v>0</v>
      </c>
      <c r="M463" s="13">
        <f t="shared" ca="1" si="100"/>
        <v>-297422</v>
      </c>
      <c r="N463" s="13">
        <f ca="1">IF($V462&gt;=VLOOKUP($M$4-1+$B463,Paraméterek!$B$121:$D$122,IF($D$4="Forint",2,3)),0,VLOOKUP($M$4-1+$B463,Paraméterek!$B$121:$D$122,IF($D$4="Forint",2,3))-$V462)</f>
        <v>307422</v>
      </c>
      <c r="O463" s="13">
        <f ca="1">ROUNDUP($N463*Paraméterek!$C$58/Paraméterek!$C$56,IF($D$4="Forint",0,2))</f>
        <v>49</v>
      </c>
      <c r="P463" s="13">
        <f t="shared" si="95"/>
        <v>1595</v>
      </c>
      <c r="Q463" s="33"/>
      <c r="R463" s="13">
        <f t="shared" ca="1" si="96"/>
        <v>0</v>
      </c>
      <c r="S463" s="13">
        <f ca="1">ROUNDUP(($M463-$O463-$P463+$R463)*VLOOKUP($B463,Paraméterek!$B$38:$D$39,IF($D$2="Egyszeri",3,2))/12,IF($D$4="Forint",0,2))</f>
        <v>-731</v>
      </c>
      <c r="T463" s="13">
        <f>Tranzakciók!$F$68</f>
        <v>0</v>
      </c>
      <c r="U463" s="13"/>
      <c r="V463" s="13">
        <f ca="1">$M463-$O463-$P463+$R463-$S463-IF(ROUNDUP(IF(ISBLANK($U463),$T463,$U463)/IF(AND($B463=1,$D$2&lt;&gt;"Egyszeri"),1,VLOOKUP($B463+IF($C463=12,1,0),Paraméterek!$B$257:$D$267,IF($D$2="Egyszeri",3,2))),IF($D$4="Forint",0,2))&gt;$M463-$O463-$P463+$R463-$S463-IF($D$4="Forint",Paraméterek!$C$216,Paraméterek!$D$216),0,ROUNDUP(IF(ISBLANK($U463),$T463,$U463)/IF(AND($B463=1,$D$2&lt;&gt;"Egyszeri"),1,VLOOKUP($B463+IF($C463=12,1,0),Paraméterek!$B$257:$D$267,IF($D$2="Egyszeri",3,2))),IF($D$4="Forint",0,2)))</f>
        <v>-298335</v>
      </c>
      <c r="W463" s="13">
        <f ca="1">ROUNDDOWN($V463*VLOOKUP($B463+IF($C463=12,1,0),Paraméterek!$B$257:$D$267,IF($D$2="Egyszeri",3,2)),IF($D$4="Forint",0,2))</f>
        <v>-298335</v>
      </c>
      <c r="Y463" s="32">
        <v>444</v>
      </c>
      <c r="Z463" s="32">
        <v>37</v>
      </c>
      <c r="AA463" s="32">
        <v>12</v>
      </c>
      <c r="AB463" s="13">
        <f t="shared" si="101"/>
        <v>0</v>
      </c>
      <c r="AC463" s="33"/>
      <c r="AD463" s="13">
        <f t="shared" si="97"/>
        <v>0</v>
      </c>
      <c r="AE463" s="13">
        <f>ROUNDUP(($AB463+$AD463)*VLOOKUP($Z463,Paraméterek!$P$38:$Q$38,2)/12,IF($D$4="Forint",0,2))</f>
        <v>0</v>
      </c>
      <c r="AF463" s="13">
        <f>IF($D$2="Egyszeri",IF($D$7&gt;=IF($D$4="Forint",Paraméterek!$P$223,Paraméterek!$P$224),$D$7-IF($D$4="Forint",Paraméterek!$F$223,Paraméterek!$F$224),0),MIN(IF($AA463=12,AVERAGE($D$20:$D463)*12,0),SUM($D$20:$D$31)))</f>
        <v>0</v>
      </c>
      <c r="AG463" s="13">
        <f>IF(AND($Z463&gt;=10,MOD($Z463,5)=0),$AF463*IF($AA463=12,VLOOKUP($Z463,Paraméterek!$B$225:$F$240,IF($AF463&lt;IF($D$4="Forint",Paraméterek!$C$223,Paraméterek!$C$224),2,IF($AF463&lt;IF($D$4="Forint",Paraméterek!$D$223,Paraméterek!$D$224),3,4))),0),0)</f>
        <v>0</v>
      </c>
      <c r="AH463" s="13">
        <f>IF(AND($Z463&gt;=5,MOD($Z463,5)=0),IF($AA463=12,VLOOKUP($Z463,Paraméterek!$B$225:$F$240,5),0),IF(OR($Z463=3,$Z463=4),IF($AA463=12,VLOOKUP($Z463,Paraméterek!$B$225:$F$240,5,0),0),0))*$AF463</f>
        <v>0</v>
      </c>
      <c r="AI463" s="13">
        <f>ROUNDDOWN(IF(SUM($T$20:$U463)=0,IF($D$2="Egyszeri",$AH463,$AG463),0),IF($D$4="Forint",0,2))</f>
        <v>0</v>
      </c>
      <c r="AJ463" s="13">
        <f t="shared" si="102"/>
        <v>0</v>
      </c>
      <c r="AK463" s="13">
        <f t="shared" si="103"/>
        <v>0</v>
      </c>
      <c r="AM463" s="32">
        <v>444</v>
      </c>
      <c r="AN463" s="32">
        <v>37</v>
      </c>
      <c r="AO463" s="32">
        <v>12</v>
      </c>
      <c r="AP463" s="13"/>
      <c r="AQ463" s="32"/>
      <c r="AR463" s="13">
        <f t="shared" si="104"/>
        <v>0</v>
      </c>
      <c r="AS463" s="33"/>
      <c r="AT463" s="13">
        <f t="shared" si="98"/>
        <v>0</v>
      </c>
      <c r="AU463" s="13">
        <f>ROUNDUP(($AR463+$AT463)*VLOOKUP($AN463,Paraméterek!$P$38:$Q$38,2)/12,IF($D$4="Forint",0,2))</f>
        <v>0</v>
      </c>
      <c r="AV463" s="13">
        <f>Tranzakciók!$M$68</f>
        <v>0</v>
      </c>
      <c r="AW463" s="13"/>
      <c r="AX463" s="13">
        <f>ROUNDUP(IF(SUM($AV463:$AW463)=0,0,IF(IF(ISBLANK($AW463),$AV463,$AW463)*Paraméterek!$J$112&lt;IF($D$4="Forint",Paraméterek!$J$113,Paraméterek!$K$113),IF($D$4="Forint",Paraméterek!$J$113,Paraméterek!$K$113),IF(IF(ISBLANK($AW463),$AV463,$AW463)*Paraméterek!$J$112&gt;IF($D$4="Forint",Paraméterek!$J$114,Paraméterek!$K$114),IF($D$4="Forint",Paraméterek!$J$114,Paraméterek!$K$114),IF(ISBLANK($AW463),$AV463,$AW463)*Paraméterek!$J$112))),IF($D$4="Forint",0,2))</f>
        <v>0</v>
      </c>
      <c r="AY463" s="13">
        <f>$AR463+$AT463-$AU463-IF(ROUNDDOWN(IF(ISBLANK($AW463),$AV463,$AW463),IF($D$4="Forint",0,2))&gt;$AR463+$AT463-$AU463-IF($D$4="Forint",Paraméterek!$J$114,Paraméterek!$K$114),0,ROUNDDOWN(IF(ISBLANK($AW463),$AV463,$AW463),IF($D$4="Forint",0,2))-$AX463)</f>
        <v>0</v>
      </c>
      <c r="AZ463" s="13">
        <f t="shared" si="99"/>
        <v>0</v>
      </c>
    </row>
    <row r="464" spans="1:52" x14ac:dyDescent="0.2">
      <c r="A464" s="32">
        <v>445</v>
      </c>
      <c r="B464" s="32">
        <v>38</v>
      </c>
      <c r="C464" s="32">
        <v>1</v>
      </c>
      <c r="D464" s="13">
        <f t="shared" si="90"/>
        <v>0</v>
      </c>
      <c r="E464" s="13"/>
      <c r="F464" s="13">
        <f>Tranzakciók!$D$69</f>
        <v>0</v>
      </c>
      <c r="G464" s="13"/>
      <c r="H464" s="13">
        <f t="shared" si="91"/>
        <v>0</v>
      </c>
      <c r="I464" s="13">
        <f t="shared" si="92"/>
        <v>299</v>
      </c>
      <c r="J464" s="13">
        <f t="shared" si="93"/>
        <v>299</v>
      </c>
      <c r="K464" s="13">
        <f>ROUNDUP(IF($D$2="Egyszeri",$D464,IF($D$2="Havi",SUM($D$20:$D$31),IF(MOD($C464,$M$1)-1=0,SUM($D$20:$D$31),0))/12*$M$1)*VLOOKUP($B464,Paraméterek!$B$27:$D$30,IF($D$2="Egyszeri",3,2)),IF($D$4="Forint",0,2))</f>
        <v>0</v>
      </c>
      <c r="L464" s="13">
        <f t="shared" si="94"/>
        <v>0</v>
      </c>
      <c r="M464" s="13">
        <f t="shared" ca="1" si="100"/>
        <v>-298335</v>
      </c>
      <c r="N464" s="13">
        <f ca="1">IF($V463&gt;=VLOOKUP($M$4-1+$B464,Paraméterek!$B$121:$D$122,IF($D$4="Forint",2,3)),0,VLOOKUP($M$4-1+$B464,Paraméterek!$B$121:$D$122,IF($D$4="Forint",2,3))-$V463)</f>
        <v>308335</v>
      </c>
      <c r="O464" s="13">
        <f ca="1">ROUNDUP($N464*Paraméterek!$C$58/Paraméterek!$C$56,IF($D$4="Forint",0,2))</f>
        <v>50</v>
      </c>
      <c r="P464" s="13">
        <f t="shared" si="95"/>
        <v>1642</v>
      </c>
      <c r="Q464" s="33"/>
      <c r="R464" s="13">
        <f t="shared" ca="1" si="96"/>
        <v>0</v>
      </c>
      <c r="S464" s="13">
        <f ca="1">ROUNDUP(($M464-$O464-$P464+$R464)*VLOOKUP($B464,Paraméterek!$B$38:$D$39,IF($D$2="Egyszeri",3,2))/12,IF($D$4="Forint",0,2))</f>
        <v>-733</v>
      </c>
      <c r="T464" s="13"/>
      <c r="U464" s="13"/>
      <c r="V464" s="13">
        <f ca="1">$M464-$O464-$P464+$R464-$S464-IF(ROUNDUP(IF(ISBLANK($U464),$T464,$U464)/IF(AND($B464=1,$D$2&lt;&gt;"Egyszeri"),1,VLOOKUP($B464+IF($C464=12,1,0),Paraméterek!$B$257:$D$267,IF($D$2="Egyszeri",3,2))),IF($D$4="Forint",0,2))&gt;$M464-$O464-$P464+$R464-$S464-IF($D$4="Forint",Paraméterek!$C$216,Paraméterek!$D$216),0,ROUNDUP(IF(ISBLANK($U464),$T464,$U464)/IF(AND($B464=1,$D$2&lt;&gt;"Egyszeri"),1,VLOOKUP($B464+IF($C464=12,1,0),Paraméterek!$B$257:$D$267,IF($D$2="Egyszeri",3,2))),IF($D$4="Forint",0,2)))</f>
        <v>-299294</v>
      </c>
      <c r="W464" s="13">
        <f ca="1">ROUNDDOWN($V464*VLOOKUP($B464+IF($C464=12,1,0),Paraméterek!$B$257:$D$267,IF($D$2="Egyszeri",3,2)),IF($D$4="Forint",0,2))</f>
        <v>-299294</v>
      </c>
      <c r="Y464" s="32">
        <v>445</v>
      </c>
      <c r="Z464" s="32">
        <v>38</v>
      </c>
      <c r="AA464" s="32">
        <v>1</v>
      </c>
      <c r="AB464" s="13">
        <f t="shared" si="101"/>
        <v>0</v>
      </c>
      <c r="AC464" s="33"/>
      <c r="AD464" s="13">
        <f t="shared" si="97"/>
        <v>0</v>
      </c>
      <c r="AE464" s="13">
        <f>ROUNDUP(($AB464+$AD464)*VLOOKUP($Z464,Paraméterek!$P$38:$Q$38,2)/12,IF($D$4="Forint",0,2))</f>
        <v>0</v>
      </c>
      <c r="AF464" s="13">
        <f>IF($D$2="Egyszeri",IF($D$7&gt;=IF($D$4="Forint",Paraméterek!$P$223,Paraméterek!$P$224),$D$7-IF($D$4="Forint",Paraméterek!$F$223,Paraméterek!$F$224),0),MIN(IF($AA464=12,AVERAGE($D$20:$D464)*12,0),SUM($D$20:$D$31)))</f>
        <v>0</v>
      </c>
      <c r="AG464" s="13">
        <f>IF(AND($Z464&gt;=10,MOD($Z464,5)=0),$AF464*IF($AA464=12,VLOOKUP($Z464,Paraméterek!$B$225:$F$240,IF($AF464&lt;IF($D$4="Forint",Paraméterek!$C$223,Paraméterek!$C$224),2,IF($AF464&lt;IF($D$4="Forint",Paraméterek!$D$223,Paraméterek!$D$224),3,4))),0),0)</f>
        <v>0</v>
      </c>
      <c r="AH464" s="13">
        <f>IF(AND($Z464&gt;=5,MOD($Z464,5)=0),IF($AA464=12,VLOOKUP($Z464,Paraméterek!$B$225:$F$240,5),0),IF(OR($Z464=3,$Z464=4),IF($AA464=12,VLOOKUP($Z464,Paraméterek!$B$225:$F$240,5,0),0),0))*$AF464</f>
        <v>0</v>
      </c>
      <c r="AI464" s="13">
        <f>ROUNDDOWN(IF(SUM($T$20:$U464)=0,IF($D$2="Egyszeri",$AH464,$AG464),0),IF($D$4="Forint",0,2))</f>
        <v>0</v>
      </c>
      <c r="AJ464" s="13">
        <f t="shared" si="102"/>
        <v>0</v>
      </c>
      <c r="AK464" s="13">
        <f t="shared" si="103"/>
        <v>0</v>
      </c>
      <c r="AM464" s="32">
        <v>445</v>
      </c>
      <c r="AN464" s="32">
        <v>38</v>
      </c>
      <c r="AO464" s="32">
        <v>1</v>
      </c>
      <c r="AP464" s="13">
        <f>Tranzakciók!$K$69</f>
        <v>0</v>
      </c>
      <c r="AQ464" s="32"/>
      <c r="AR464" s="13">
        <f t="shared" si="104"/>
        <v>0</v>
      </c>
      <c r="AS464" s="33"/>
      <c r="AT464" s="13">
        <f t="shared" si="98"/>
        <v>0</v>
      </c>
      <c r="AU464" s="13">
        <f>ROUNDUP(($AR464+$AT464)*VLOOKUP($AN464,Paraméterek!$P$38:$Q$38,2)/12,IF($D$4="Forint",0,2))</f>
        <v>0</v>
      </c>
      <c r="AV464" s="13"/>
      <c r="AW464" s="13"/>
      <c r="AX464" s="13">
        <f>ROUNDUP(IF(SUM($AV464:$AW464)=0,0,IF(IF(ISBLANK($AW464),$AV464,$AW464)*Paraméterek!$J$112&lt;IF($D$4="Forint",Paraméterek!$J$113,Paraméterek!$K$113),IF($D$4="Forint",Paraméterek!$J$113,Paraméterek!$K$113),IF(IF(ISBLANK($AW464),$AV464,$AW464)*Paraméterek!$J$112&gt;IF($D$4="Forint",Paraméterek!$J$114,Paraméterek!$K$114),IF($D$4="Forint",Paraméterek!$J$114,Paraméterek!$K$114),IF(ISBLANK($AW464),$AV464,$AW464)*Paraméterek!$J$112))),IF($D$4="Forint",0,2))</f>
        <v>0</v>
      </c>
      <c r="AY464" s="13">
        <f>$AR464+$AT464-$AU464-IF(ROUNDDOWN(IF(ISBLANK($AW464),$AV464,$AW464),IF($D$4="Forint",0,2))&gt;$AR464+$AT464-$AU464-IF($D$4="Forint",Paraméterek!$J$114,Paraméterek!$K$114),0,ROUNDDOWN(IF(ISBLANK($AW464),$AV464,$AW464),IF($D$4="Forint",0,2))-$AX464)</f>
        <v>0</v>
      </c>
      <c r="AZ464" s="13">
        <f t="shared" si="99"/>
        <v>0</v>
      </c>
    </row>
    <row r="465" spans="1:52" x14ac:dyDescent="0.2">
      <c r="A465" s="32">
        <v>446</v>
      </c>
      <c r="B465" s="32">
        <v>38</v>
      </c>
      <c r="C465" s="32">
        <v>2</v>
      </c>
      <c r="D465" s="13">
        <f t="shared" si="90"/>
        <v>0</v>
      </c>
      <c r="E465" s="13"/>
      <c r="F465" s="13"/>
      <c r="G465" s="13"/>
      <c r="H465" s="13">
        <f t="shared" si="91"/>
        <v>0</v>
      </c>
      <c r="I465" s="13">
        <f t="shared" si="92"/>
        <v>0</v>
      </c>
      <c r="J465" s="13">
        <f t="shared" si="93"/>
        <v>0</v>
      </c>
      <c r="K465" s="13">
        <f>ROUNDUP(IF($D$2="Egyszeri",$D465,IF($D$2="Havi",SUM($D$20:$D$31),IF(MOD($C465,$M$1)-1=0,SUM($D$20:$D$31),0))/12*$M$1)*VLOOKUP($B465,Paraméterek!$B$27:$D$30,IF($D$2="Egyszeri",3,2)),IF($D$4="Forint",0,2))</f>
        <v>0</v>
      </c>
      <c r="L465" s="13">
        <f t="shared" si="94"/>
        <v>0</v>
      </c>
      <c r="M465" s="13">
        <f t="shared" ca="1" si="100"/>
        <v>-299294</v>
      </c>
      <c r="N465" s="13">
        <f ca="1">IF($V464&gt;=VLOOKUP($M$4-1+$B465,Paraméterek!$B$121:$D$122,IF($D$4="Forint",2,3)),0,VLOOKUP($M$4-1+$B465,Paraméterek!$B$121:$D$122,IF($D$4="Forint",2,3))-$V464)</f>
        <v>309294</v>
      </c>
      <c r="O465" s="13">
        <f ca="1">ROUNDUP($N465*Paraméterek!$C$58/Paraméterek!$C$56,IF($D$4="Forint",0,2))</f>
        <v>50</v>
      </c>
      <c r="P465" s="13">
        <f t="shared" si="95"/>
        <v>1642</v>
      </c>
      <c r="Q465" s="33"/>
      <c r="R465" s="13">
        <f t="shared" ca="1" si="96"/>
        <v>0</v>
      </c>
      <c r="S465" s="13">
        <f ca="1">ROUNDUP(($M465-$O465-$P465+$R465)*VLOOKUP($B465,Paraméterek!$B$38:$D$39,IF($D$2="Egyszeri",3,2))/12,IF($D$4="Forint",0,2))</f>
        <v>-735</v>
      </c>
      <c r="T465" s="13"/>
      <c r="U465" s="13"/>
      <c r="V465" s="13">
        <f ca="1">$M465-$O465-$P465+$R465-$S465-IF(ROUNDUP(IF(ISBLANK($U465),$T465,$U465)/IF(AND($B465=1,$D$2&lt;&gt;"Egyszeri"),1,VLOOKUP($B465+IF($C465=12,1,0),Paraméterek!$B$257:$D$267,IF($D$2="Egyszeri",3,2))),IF($D$4="Forint",0,2))&gt;$M465-$O465-$P465+$R465-$S465-IF($D$4="Forint",Paraméterek!$C$216,Paraméterek!$D$216),0,ROUNDUP(IF(ISBLANK($U465),$T465,$U465)/IF(AND($B465=1,$D$2&lt;&gt;"Egyszeri"),1,VLOOKUP($B465+IF($C465=12,1,0),Paraméterek!$B$257:$D$267,IF($D$2="Egyszeri",3,2))),IF($D$4="Forint",0,2)))</f>
        <v>-300251</v>
      </c>
      <c r="W465" s="13">
        <f ca="1">ROUNDDOWN($V465*VLOOKUP($B465+IF($C465=12,1,0),Paraméterek!$B$257:$D$267,IF($D$2="Egyszeri",3,2)),IF($D$4="Forint",0,2))</f>
        <v>-300251</v>
      </c>
      <c r="Y465" s="32">
        <v>446</v>
      </c>
      <c r="Z465" s="32">
        <v>38</v>
      </c>
      <c r="AA465" s="32">
        <v>2</v>
      </c>
      <c r="AB465" s="13">
        <f t="shared" si="101"/>
        <v>0</v>
      </c>
      <c r="AC465" s="33"/>
      <c r="AD465" s="13">
        <f t="shared" si="97"/>
        <v>0</v>
      </c>
      <c r="AE465" s="13">
        <f>ROUNDUP(($AB465+$AD465)*VLOOKUP($Z465,Paraméterek!$P$38:$Q$38,2)/12,IF($D$4="Forint",0,2))</f>
        <v>0</v>
      </c>
      <c r="AF465" s="13">
        <f>IF($D$2="Egyszeri",IF($D$7&gt;=IF($D$4="Forint",Paraméterek!$P$223,Paraméterek!$P$224),$D$7-IF($D$4="Forint",Paraméterek!$F$223,Paraméterek!$F$224),0),MIN(IF($AA465=12,AVERAGE($D$20:$D465)*12,0),SUM($D$20:$D$31)))</f>
        <v>0</v>
      </c>
      <c r="AG465" s="13">
        <f>IF(AND($Z465&gt;=10,MOD($Z465,5)=0),$AF465*IF($AA465=12,VLOOKUP($Z465,Paraméterek!$B$225:$F$240,IF($AF465&lt;IF($D$4="Forint",Paraméterek!$C$223,Paraméterek!$C$224),2,IF($AF465&lt;IF($D$4="Forint",Paraméterek!$D$223,Paraméterek!$D$224),3,4))),0),0)</f>
        <v>0</v>
      </c>
      <c r="AH465" s="13">
        <f>IF(AND($Z465&gt;=5,MOD($Z465,5)=0),IF($AA465=12,VLOOKUP($Z465,Paraméterek!$B$225:$F$240,5),0),IF(OR($Z465=3,$Z465=4),IF($AA465=12,VLOOKUP($Z465,Paraméterek!$B$225:$F$240,5,0),0),0))*$AF465</f>
        <v>0</v>
      </c>
      <c r="AI465" s="13">
        <f>ROUNDDOWN(IF(SUM($T$20:$U465)=0,IF($D$2="Egyszeri",$AH465,$AG465),0),IF($D$4="Forint",0,2))</f>
        <v>0</v>
      </c>
      <c r="AJ465" s="13">
        <f t="shared" si="102"/>
        <v>0</v>
      </c>
      <c r="AK465" s="13">
        <f t="shared" si="103"/>
        <v>0</v>
      </c>
      <c r="AM465" s="32">
        <v>446</v>
      </c>
      <c r="AN465" s="32">
        <v>38</v>
      </c>
      <c r="AO465" s="32">
        <v>2</v>
      </c>
      <c r="AP465" s="13"/>
      <c r="AQ465" s="32"/>
      <c r="AR465" s="13">
        <f t="shared" si="104"/>
        <v>0</v>
      </c>
      <c r="AS465" s="33"/>
      <c r="AT465" s="13">
        <f t="shared" si="98"/>
        <v>0</v>
      </c>
      <c r="AU465" s="13">
        <f>ROUNDUP(($AR465+$AT465)*VLOOKUP($AN465,Paraméterek!$P$38:$Q$38,2)/12,IF($D$4="Forint",0,2))</f>
        <v>0</v>
      </c>
      <c r="AV465" s="13"/>
      <c r="AW465" s="13"/>
      <c r="AX465" s="13">
        <f>ROUNDUP(IF(SUM($AV465:$AW465)=0,0,IF(IF(ISBLANK($AW465),$AV465,$AW465)*Paraméterek!$J$112&lt;IF($D$4="Forint",Paraméterek!$J$113,Paraméterek!$K$113),IF($D$4="Forint",Paraméterek!$J$113,Paraméterek!$K$113),IF(IF(ISBLANK($AW465),$AV465,$AW465)*Paraméterek!$J$112&gt;IF($D$4="Forint",Paraméterek!$J$114,Paraméterek!$K$114),IF($D$4="Forint",Paraméterek!$J$114,Paraméterek!$K$114),IF(ISBLANK($AW465),$AV465,$AW465)*Paraméterek!$J$112))),IF($D$4="Forint",0,2))</f>
        <v>0</v>
      </c>
      <c r="AY465" s="13">
        <f>$AR465+$AT465-$AU465-IF(ROUNDDOWN(IF(ISBLANK($AW465),$AV465,$AW465),IF($D$4="Forint",0,2))&gt;$AR465+$AT465-$AU465-IF($D$4="Forint",Paraméterek!$J$114,Paraméterek!$K$114),0,ROUNDDOWN(IF(ISBLANK($AW465),$AV465,$AW465),IF($D$4="Forint",0,2))-$AX465)</f>
        <v>0</v>
      </c>
      <c r="AZ465" s="13">
        <f t="shared" si="99"/>
        <v>0</v>
      </c>
    </row>
    <row r="466" spans="1:52" x14ac:dyDescent="0.2">
      <c r="A466" s="32">
        <v>447</v>
      </c>
      <c r="B466" s="32">
        <v>38</v>
      </c>
      <c r="C466" s="32">
        <v>3</v>
      </c>
      <c r="D466" s="13">
        <f t="shared" si="90"/>
        <v>0</v>
      </c>
      <c r="E466" s="13"/>
      <c r="F466" s="13"/>
      <c r="G466" s="13"/>
      <c r="H466" s="13">
        <f t="shared" si="91"/>
        <v>0</v>
      </c>
      <c r="I466" s="13">
        <f t="shared" si="92"/>
        <v>0</v>
      </c>
      <c r="J466" s="13">
        <f t="shared" si="93"/>
        <v>0</v>
      </c>
      <c r="K466" s="13">
        <f>ROUNDUP(IF($D$2="Egyszeri",$D466,IF($D$2="Havi",SUM($D$20:$D$31),IF(MOD($C466,$M$1)-1=0,SUM($D$20:$D$31),0))/12*$M$1)*VLOOKUP($B466,Paraméterek!$B$27:$D$30,IF($D$2="Egyszeri",3,2)),IF($D$4="Forint",0,2))</f>
        <v>0</v>
      </c>
      <c r="L466" s="13">
        <f t="shared" si="94"/>
        <v>0</v>
      </c>
      <c r="M466" s="13">
        <f t="shared" ca="1" si="100"/>
        <v>-300251</v>
      </c>
      <c r="N466" s="13">
        <f ca="1">IF($V465&gt;=VLOOKUP($M$4-1+$B466,Paraméterek!$B$121:$D$122,IF($D$4="Forint",2,3)),0,VLOOKUP($M$4-1+$B466,Paraméterek!$B$121:$D$122,IF($D$4="Forint",2,3))-$V465)</f>
        <v>310251</v>
      </c>
      <c r="O466" s="13">
        <f ca="1">ROUNDUP($N466*Paraméterek!$C$58/Paraméterek!$C$56,IF($D$4="Forint",0,2))</f>
        <v>50</v>
      </c>
      <c r="P466" s="13">
        <f t="shared" si="95"/>
        <v>1642</v>
      </c>
      <c r="Q466" s="33"/>
      <c r="R466" s="13">
        <f t="shared" ca="1" si="96"/>
        <v>0</v>
      </c>
      <c r="S466" s="13">
        <f ca="1">ROUNDUP(($M466-$O466-$P466+$R466)*VLOOKUP($B466,Paraméterek!$B$38:$D$39,IF($D$2="Egyszeri",3,2))/12,IF($D$4="Forint",0,2))</f>
        <v>-738</v>
      </c>
      <c r="T466" s="13"/>
      <c r="U466" s="13"/>
      <c r="V466" s="13">
        <f ca="1">$M466-$O466-$P466+$R466-$S466-IF(ROUNDUP(IF(ISBLANK($U466),$T466,$U466)/IF(AND($B466=1,$D$2&lt;&gt;"Egyszeri"),1,VLOOKUP($B466+IF($C466=12,1,0),Paraméterek!$B$257:$D$267,IF($D$2="Egyszeri",3,2))),IF($D$4="Forint",0,2))&gt;$M466-$O466-$P466+$R466-$S466-IF($D$4="Forint",Paraméterek!$C$216,Paraméterek!$D$216),0,ROUNDUP(IF(ISBLANK($U466),$T466,$U466)/IF(AND($B466=1,$D$2&lt;&gt;"Egyszeri"),1,VLOOKUP($B466+IF($C466=12,1,0),Paraméterek!$B$257:$D$267,IF($D$2="Egyszeri",3,2))),IF($D$4="Forint",0,2)))</f>
        <v>-301205</v>
      </c>
      <c r="W466" s="13">
        <f ca="1">ROUNDDOWN($V466*VLOOKUP($B466+IF($C466=12,1,0),Paraméterek!$B$257:$D$267,IF($D$2="Egyszeri",3,2)),IF($D$4="Forint",0,2))</f>
        <v>-301205</v>
      </c>
      <c r="Y466" s="32">
        <v>447</v>
      </c>
      <c r="Z466" s="32">
        <v>38</v>
      </c>
      <c r="AA466" s="32">
        <v>3</v>
      </c>
      <c r="AB466" s="13">
        <f t="shared" si="101"/>
        <v>0</v>
      </c>
      <c r="AC466" s="33"/>
      <c r="AD466" s="13">
        <f t="shared" si="97"/>
        <v>0</v>
      </c>
      <c r="AE466" s="13">
        <f>ROUNDUP(($AB466+$AD466)*VLOOKUP($Z466,Paraméterek!$P$38:$Q$38,2)/12,IF($D$4="Forint",0,2))</f>
        <v>0</v>
      </c>
      <c r="AF466" s="13">
        <f>IF($D$2="Egyszeri",IF($D$7&gt;=IF($D$4="Forint",Paraméterek!$P$223,Paraméterek!$P$224),$D$7-IF($D$4="Forint",Paraméterek!$F$223,Paraméterek!$F$224),0),MIN(IF($AA466=12,AVERAGE($D$20:$D466)*12,0),SUM($D$20:$D$31)))</f>
        <v>0</v>
      </c>
      <c r="AG466" s="13">
        <f>IF(AND($Z466&gt;=10,MOD($Z466,5)=0),$AF466*IF($AA466=12,VLOOKUP($Z466,Paraméterek!$B$225:$F$240,IF($AF466&lt;IF($D$4="Forint",Paraméterek!$C$223,Paraméterek!$C$224),2,IF($AF466&lt;IF($D$4="Forint",Paraméterek!$D$223,Paraméterek!$D$224),3,4))),0),0)</f>
        <v>0</v>
      </c>
      <c r="AH466" s="13">
        <f>IF(AND($Z466&gt;=5,MOD($Z466,5)=0),IF($AA466=12,VLOOKUP($Z466,Paraméterek!$B$225:$F$240,5),0),IF(OR($Z466=3,$Z466=4),IF($AA466=12,VLOOKUP($Z466,Paraméterek!$B$225:$F$240,5,0),0),0))*$AF466</f>
        <v>0</v>
      </c>
      <c r="AI466" s="13">
        <f>ROUNDDOWN(IF(SUM($T$20:$U466)=0,IF($D$2="Egyszeri",$AH466,$AG466),0),IF($D$4="Forint",0,2))</f>
        <v>0</v>
      </c>
      <c r="AJ466" s="13">
        <f t="shared" si="102"/>
        <v>0</v>
      </c>
      <c r="AK466" s="13">
        <f t="shared" si="103"/>
        <v>0</v>
      </c>
      <c r="AM466" s="32">
        <v>447</v>
      </c>
      <c r="AN466" s="32">
        <v>38</v>
      </c>
      <c r="AO466" s="32">
        <v>3</v>
      </c>
      <c r="AP466" s="13"/>
      <c r="AQ466" s="32"/>
      <c r="AR466" s="13">
        <f t="shared" si="104"/>
        <v>0</v>
      </c>
      <c r="AS466" s="33"/>
      <c r="AT466" s="13">
        <f t="shared" si="98"/>
        <v>0</v>
      </c>
      <c r="AU466" s="13">
        <f>ROUNDUP(($AR466+$AT466)*VLOOKUP($AN466,Paraméterek!$P$38:$Q$38,2)/12,IF($D$4="Forint",0,2))</f>
        <v>0</v>
      </c>
      <c r="AV466" s="13"/>
      <c r="AW466" s="13"/>
      <c r="AX466" s="13">
        <f>ROUNDUP(IF(SUM($AV466:$AW466)=0,0,IF(IF(ISBLANK($AW466),$AV466,$AW466)*Paraméterek!$J$112&lt;IF($D$4="Forint",Paraméterek!$J$113,Paraméterek!$K$113),IF($D$4="Forint",Paraméterek!$J$113,Paraméterek!$K$113),IF(IF(ISBLANK($AW466),$AV466,$AW466)*Paraméterek!$J$112&gt;IF($D$4="Forint",Paraméterek!$J$114,Paraméterek!$K$114),IF($D$4="Forint",Paraméterek!$J$114,Paraméterek!$K$114),IF(ISBLANK($AW466),$AV466,$AW466)*Paraméterek!$J$112))),IF($D$4="Forint",0,2))</f>
        <v>0</v>
      </c>
      <c r="AY466" s="13">
        <f>$AR466+$AT466-$AU466-IF(ROUNDDOWN(IF(ISBLANK($AW466),$AV466,$AW466),IF($D$4="Forint",0,2))&gt;$AR466+$AT466-$AU466-IF($D$4="Forint",Paraméterek!$J$114,Paraméterek!$K$114),0,ROUNDDOWN(IF(ISBLANK($AW466),$AV466,$AW466),IF($D$4="Forint",0,2))-$AX466)</f>
        <v>0</v>
      </c>
      <c r="AZ466" s="13">
        <f t="shared" si="99"/>
        <v>0</v>
      </c>
    </row>
    <row r="467" spans="1:52" x14ac:dyDescent="0.2">
      <c r="A467" s="32">
        <v>448</v>
      </c>
      <c r="B467" s="32">
        <v>38</v>
      </c>
      <c r="C467" s="32">
        <v>4</v>
      </c>
      <c r="D467" s="13">
        <f t="shared" si="90"/>
        <v>0</v>
      </c>
      <c r="E467" s="13"/>
      <c r="F467" s="13"/>
      <c r="G467" s="13"/>
      <c r="H467" s="13">
        <f t="shared" si="91"/>
        <v>0</v>
      </c>
      <c r="I467" s="13">
        <f t="shared" si="92"/>
        <v>0</v>
      </c>
      <c r="J467" s="13">
        <f t="shared" si="93"/>
        <v>0</v>
      </c>
      <c r="K467" s="13">
        <f>ROUNDUP(IF($D$2="Egyszeri",$D467,IF($D$2="Havi",SUM($D$20:$D$31),IF(MOD($C467,$M$1)-1=0,SUM($D$20:$D$31),0))/12*$M$1)*VLOOKUP($B467,Paraméterek!$B$27:$D$30,IF($D$2="Egyszeri",3,2)),IF($D$4="Forint",0,2))</f>
        <v>0</v>
      </c>
      <c r="L467" s="13">
        <f t="shared" si="94"/>
        <v>0</v>
      </c>
      <c r="M467" s="13">
        <f t="shared" ca="1" si="100"/>
        <v>-301205</v>
      </c>
      <c r="N467" s="13">
        <f ca="1">IF($V466&gt;=VLOOKUP($M$4-1+$B467,Paraméterek!$B$121:$D$122,IF($D$4="Forint",2,3)),0,VLOOKUP($M$4-1+$B467,Paraméterek!$B$121:$D$122,IF($D$4="Forint",2,3))-$V466)</f>
        <v>311205</v>
      </c>
      <c r="O467" s="13">
        <f ca="1">ROUNDUP($N467*Paraméterek!$C$58/Paraméterek!$C$56,IF($D$4="Forint",0,2))</f>
        <v>50</v>
      </c>
      <c r="P467" s="13">
        <f t="shared" si="95"/>
        <v>1642</v>
      </c>
      <c r="Q467" s="33"/>
      <c r="R467" s="13">
        <f t="shared" ca="1" si="96"/>
        <v>0</v>
      </c>
      <c r="S467" s="13">
        <f ca="1">ROUNDUP(($M467-$O467-$P467+$R467)*VLOOKUP($B467,Paraméterek!$B$38:$D$39,IF($D$2="Egyszeri",3,2))/12,IF($D$4="Forint",0,2))</f>
        <v>-740</v>
      </c>
      <c r="T467" s="13"/>
      <c r="U467" s="13"/>
      <c r="V467" s="13">
        <f ca="1">$M467-$O467-$P467+$R467-$S467-IF(ROUNDUP(IF(ISBLANK($U467),$T467,$U467)/IF(AND($B467=1,$D$2&lt;&gt;"Egyszeri"),1,VLOOKUP($B467+IF($C467=12,1,0),Paraméterek!$B$257:$D$267,IF($D$2="Egyszeri",3,2))),IF($D$4="Forint",0,2))&gt;$M467-$O467-$P467+$R467-$S467-IF($D$4="Forint",Paraméterek!$C$216,Paraméterek!$D$216),0,ROUNDUP(IF(ISBLANK($U467),$T467,$U467)/IF(AND($B467=1,$D$2&lt;&gt;"Egyszeri"),1,VLOOKUP($B467+IF($C467=12,1,0),Paraméterek!$B$257:$D$267,IF($D$2="Egyszeri",3,2))),IF($D$4="Forint",0,2)))</f>
        <v>-302157</v>
      </c>
      <c r="W467" s="13">
        <f ca="1">ROUNDDOWN($V467*VLOOKUP($B467+IF($C467=12,1,0),Paraméterek!$B$257:$D$267,IF($D$2="Egyszeri",3,2)),IF($D$4="Forint",0,2))</f>
        <v>-302157</v>
      </c>
      <c r="Y467" s="32">
        <v>448</v>
      </c>
      <c r="Z467" s="32">
        <v>38</v>
      </c>
      <c r="AA467" s="32">
        <v>4</v>
      </c>
      <c r="AB467" s="13">
        <f t="shared" si="101"/>
        <v>0</v>
      </c>
      <c r="AC467" s="33"/>
      <c r="AD467" s="13">
        <f t="shared" si="97"/>
        <v>0</v>
      </c>
      <c r="AE467" s="13">
        <f>ROUNDUP(($AB467+$AD467)*VLOOKUP($Z467,Paraméterek!$P$38:$Q$38,2)/12,IF($D$4="Forint",0,2))</f>
        <v>0</v>
      </c>
      <c r="AF467" s="13">
        <f>IF($D$2="Egyszeri",IF($D$7&gt;=IF($D$4="Forint",Paraméterek!$P$223,Paraméterek!$P$224),$D$7-IF($D$4="Forint",Paraméterek!$F$223,Paraméterek!$F$224),0),MIN(IF($AA467=12,AVERAGE($D$20:$D467)*12,0),SUM($D$20:$D$31)))</f>
        <v>0</v>
      </c>
      <c r="AG467" s="13">
        <f>IF(AND($Z467&gt;=10,MOD($Z467,5)=0),$AF467*IF($AA467=12,VLOOKUP($Z467,Paraméterek!$B$225:$F$240,IF($AF467&lt;IF($D$4="Forint",Paraméterek!$C$223,Paraméterek!$C$224),2,IF($AF467&lt;IF($D$4="Forint",Paraméterek!$D$223,Paraméterek!$D$224),3,4))),0),0)</f>
        <v>0</v>
      </c>
      <c r="AH467" s="13">
        <f>IF(AND($Z467&gt;=5,MOD($Z467,5)=0),IF($AA467=12,VLOOKUP($Z467,Paraméterek!$B$225:$F$240,5),0),IF(OR($Z467=3,$Z467=4),IF($AA467=12,VLOOKUP($Z467,Paraméterek!$B$225:$F$240,5,0),0),0))*$AF467</f>
        <v>0</v>
      </c>
      <c r="AI467" s="13">
        <f>ROUNDDOWN(IF(SUM($T$20:$U467)=0,IF($D$2="Egyszeri",$AH467,$AG467),0),IF($D$4="Forint",0,2))</f>
        <v>0</v>
      </c>
      <c r="AJ467" s="13">
        <f t="shared" si="102"/>
        <v>0</v>
      </c>
      <c r="AK467" s="13">
        <f t="shared" si="103"/>
        <v>0</v>
      </c>
      <c r="AM467" s="32">
        <v>448</v>
      </c>
      <c r="AN467" s="32">
        <v>38</v>
      </c>
      <c r="AO467" s="32">
        <v>4</v>
      </c>
      <c r="AP467" s="13"/>
      <c r="AQ467" s="32"/>
      <c r="AR467" s="13">
        <f t="shared" si="104"/>
        <v>0</v>
      </c>
      <c r="AS467" s="33"/>
      <c r="AT467" s="13">
        <f t="shared" si="98"/>
        <v>0</v>
      </c>
      <c r="AU467" s="13">
        <f>ROUNDUP(($AR467+$AT467)*VLOOKUP($AN467,Paraméterek!$P$38:$Q$38,2)/12,IF($D$4="Forint",0,2))</f>
        <v>0</v>
      </c>
      <c r="AV467" s="13"/>
      <c r="AW467" s="13"/>
      <c r="AX467" s="13">
        <f>ROUNDUP(IF(SUM($AV467:$AW467)=0,0,IF(IF(ISBLANK($AW467),$AV467,$AW467)*Paraméterek!$J$112&lt;IF($D$4="Forint",Paraméterek!$J$113,Paraméterek!$K$113),IF($D$4="Forint",Paraméterek!$J$113,Paraméterek!$K$113),IF(IF(ISBLANK($AW467),$AV467,$AW467)*Paraméterek!$J$112&gt;IF($D$4="Forint",Paraméterek!$J$114,Paraméterek!$K$114),IF($D$4="Forint",Paraméterek!$J$114,Paraméterek!$K$114),IF(ISBLANK($AW467),$AV467,$AW467)*Paraméterek!$J$112))),IF($D$4="Forint",0,2))</f>
        <v>0</v>
      </c>
      <c r="AY467" s="13">
        <f>$AR467+$AT467-$AU467-IF(ROUNDDOWN(IF(ISBLANK($AW467),$AV467,$AW467),IF($D$4="Forint",0,2))&gt;$AR467+$AT467-$AU467-IF($D$4="Forint",Paraméterek!$J$114,Paraméterek!$K$114),0,ROUNDDOWN(IF(ISBLANK($AW467),$AV467,$AW467),IF($D$4="Forint",0,2))-$AX467)</f>
        <v>0</v>
      </c>
      <c r="AZ467" s="13">
        <f t="shared" si="99"/>
        <v>0</v>
      </c>
    </row>
    <row r="468" spans="1:52" x14ac:dyDescent="0.2">
      <c r="A468" s="32">
        <v>449</v>
      </c>
      <c r="B468" s="32">
        <v>38</v>
      </c>
      <c r="C468" s="32">
        <v>5</v>
      </c>
      <c r="D468" s="13">
        <f t="shared" si="90"/>
        <v>0</v>
      </c>
      <c r="E468" s="13"/>
      <c r="F468" s="13"/>
      <c r="G468" s="13"/>
      <c r="H468" s="13">
        <f t="shared" si="91"/>
        <v>0</v>
      </c>
      <c r="I468" s="13">
        <f t="shared" si="92"/>
        <v>0</v>
      </c>
      <c r="J468" s="13">
        <f t="shared" si="93"/>
        <v>0</v>
      </c>
      <c r="K468" s="13">
        <f>ROUNDUP(IF($D$2="Egyszeri",$D468,IF($D$2="Havi",SUM($D$20:$D$31),IF(MOD($C468,$M$1)-1=0,SUM($D$20:$D$31),0))/12*$M$1)*VLOOKUP($B468,Paraméterek!$B$27:$D$30,IF($D$2="Egyszeri",3,2)),IF($D$4="Forint",0,2))</f>
        <v>0</v>
      </c>
      <c r="L468" s="13">
        <f t="shared" si="94"/>
        <v>0</v>
      </c>
      <c r="M468" s="13">
        <f t="shared" ca="1" si="100"/>
        <v>-302157</v>
      </c>
      <c r="N468" s="13">
        <f ca="1">IF($V467&gt;=VLOOKUP($M$4-1+$B468,Paraméterek!$B$121:$D$122,IF($D$4="Forint",2,3)),0,VLOOKUP($M$4-1+$B468,Paraméterek!$B$121:$D$122,IF($D$4="Forint",2,3))-$V467)</f>
        <v>312157</v>
      </c>
      <c r="O468" s="13">
        <f ca="1">ROUNDUP($N468*Paraméterek!$C$58/Paraméterek!$C$56,IF($D$4="Forint",0,2))</f>
        <v>50</v>
      </c>
      <c r="P468" s="13">
        <f t="shared" si="95"/>
        <v>1642</v>
      </c>
      <c r="Q468" s="33"/>
      <c r="R468" s="13">
        <f t="shared" ca="1" si="96"/>
        <v>0</v>
      </c>
      <c r="S468" s="13">
        <f ca="1">ROUNDUP(($M468-$O468-$P468+$R468)*VLOOKUP($B468,Paraméterek!$B$38:$D$39,IF($D$2="Egyszeri",3,2))/12,IF($D$4="Forint",0,2))</f>
        <v>-742</v>
      </c>
      <c r="T468" s="13"/>
      <c r="U468" s="13"/>
      <c r="V468" s="13">
        <f ca="1">$M468-$O468-$P468+$R468-$S468-IF(ROUNDUP(IF(ISBLANK($U468),$T468,$U468)/IF(AND($B468=1,$D$2&lt;&gt;"Egyszeri"),1,VLOOKUP($B468+IF($C468=12,1,0),Paraméterek!$B$257:$D$267,IF($D$2="Egyszeri",3,2))),IF($D$4="Forint",0,2))&gt;$M468-$O468-$P468+$R468-$S468-IF($D$4="Forint",Paraméterek!$C$216,Paraméterek!$D$216),0,ROUNDUP(IF(ISBLANK($U468),$T468,$U468)/IF(AND($B468=1,$D$2&lt;&gt;"Egyszeri"),1,VLOOKUP($B468+IF($C468=12,1,0),Paraméterek!$B$257:$D$267,IF($D$2="Egyszeri",3,2))),IF($D$4="Forint",0,2)))</f>
        <v>-303107</v>
      </c>
      <c r="W468" s="13">
        <f ca="1">ROUNDDOWN($V468*VLOOKUP($B468+IF($C468=12,1,0),Paraméterek!$B$257:$D$267,IF($D$2="Egyszeri",3,2)),IF($D$4="Forint",0,2))</f>
        <v>-303107</v>
      </c>
      <c r="Y468" s="32">
        <v>449</v>
      </c>
      <c r="Z468" s="32">
        <v>38</v>
      </c>
      <c r="AA468" s="32">
        <v>5</v>
      </c>
      <c r="AB468" s="13">
        <f t="shared" si="101"/>
        <v>0</v>
      </c>
      <c r="AC468" s="33"/>
      <c r="AD468" s="13">
        <f t="shared" si="97"/>
        <v>0</v>
      </c>
      <c r="AE468" s="13">
        <f>ROUNDUP(($AB468+$AD468)*VLOOKUP($Z468,Paraméterek!$P$38:$Q$38,2)/12,IF($D$4="Forint",0,2))</f>
        <v>0</v>
      </c>
      <c r="AF468" s="13">
        <f>IF($D$2="Egyszeri",IF($D$7&gt;=IF($D$4="Forint",Paraméterek!$P$223,Paraméterek!$P$224),$D$7-IF($D$4="Forint",Paraméterek!$F$223,Paraméterek!$F$224),0),MIN(IF($AA468=12,AVERAGE($D$20:$D468)*12,0),SUM($D$20:$D$31)))</f>
        <v>0</v>
      </c>
      <c r="AG468" s="13">
        <f>IF(AND($Z468&gt;=10,MOD($Z468,5)=0),$AF468*IF($AA468=12,VLOOKUP($Z468,Paraméterek!$B$225:$F$240,IF($AF468&lt;IF($D$4="Forint",Paraméterek!$C$223,Paraméterek!$C$224),2,IF($AF468&lt;IF($D$4="Forint",Paraméterek!$D$223,Paraméterek!$D$224),3,4))),0),0)</f>
        <v>0</v>
      </c>
      <c r="AH468" s="13">
        <f>IF(AND($Z468&gt;=5,MOD($Z468,5)=0),IF($AA468=12,VLOOKUP($Z468,Paraméterek!$B$225:$F$240,5),0),IF(OR($Z468=3,$Z468=4),IF($AA468=12,VLOOKUP($Z468,Paraméterek!$B$225:$F$240,5,0),0),0))*$AF468</f>
        <v>0</v>
      </c>
      <c r="AI468" s="13">
        <f>ROUNDDOWN(IF(SUM($T$20:$U468)=0,IF($D$2="Egyszeri",$AH468,$AG468),0),IF($D$4="Forint",0,2))</f>
        <v>0</v>
      </c>
      <c r="AJ468" s="13">
        <f t="shared" si="102"/>
        <v>0</v>
      </c>
      <c r="AK468" s="13">
        <f t="shared" si="103"/>
        <v>0</v>
      </c>
      <c r="AM468" s="32">
        <v>449</v>
      </c>
      <c r="AN468" s="32">
        <v>38</v>
      </c>
      <c r="AO468" s="32">
        <v>5</v>
      </c>
      <c r="AP468" s="13"/>
      <c r="AQ468" s="32"/>
      <c r="AR468" s="13">
        <f t="shared" si="104"/>
        <v>0</v>
      </c>
      <c r="AS468" s="33"/>
      <c r="AT468" s="13">
        <f t="shared" si="98"/>
        <v>0</v>
      </c>
      <c r="AU468" s="13">
        <f>ROUNDUP(($AR468+$AT468)*VLOOKUP($AN468,Paraméterek!$P$38:$Q$38,2)/12,IF($D$4="Forint",0,2))</f>
        <v>0</v>
      </c>
      <c r="AV468" s="13"/>
      <c r="AW468" s="13"/>
      <c r="AX468" s="13">
        <f>ROUNDUP(IF(SUM($AV468:$AW468)=0,0,IF(IF(ISBLANK($AW468),$AV468,$AW468)*Paraméterek!$J$112&lt;IF($D$4="Forint",Paraméterek!$J$113,Paraméterek!$K$113),IF($D$4="Forint",Paraméterek!$J$113,Paraméterek!$K$113),IF(IF(ISBLANK($AW468),$AV468,$AW468)*Paraméterek!$J$112&gt;IF($D$4="Forint",Paraméterek!$J$114,Paraméterek!$K$114),IF($D$4="Forint",Paraméterek!$J$114,Paraméterek!$K$114),IF(ISBLANK($AW468),$AV468,$AW468)*Paraméterek!$J$112))),IF($D$4="Forint",0,2))</f>
        <v>0</v>
      </c>
      <c r="AY468" s="13">
        <f>$AR468+$AT468-$AU468-IF(ROUNDDOWN(IF(ISBLANK($AW468),$AV468,$AW468),IF($D$4="Forint",0,2))&gt;$AR468+$AT468-$AU468-IF($D$4="Forint",Paraméterek!$J$114,Paraméterek!$K$114),0,ROUNDDOWN(IF(ISBLANK($AW468),$AV468,$AW468),IF($D$4="Forint",0,2))-$AX468)</f>
        <v>0</v>
      </c>
      <c r="AZ468" s="13">
        <f t="shared" si="99"/>
        <v>0</v>
      </c>
    </row>
    <row r="469" spans="1:52" x14ac:dyDescent="0.2">
      <c r="A469" s="32">
        <v>450</v>
      </c>
      <c r="B469" s="32">
        <v>38</v>
      </c>
      <c r="C469" s="32">
        <v>6</v>
      </c>
      <c r="D469" s="13">
        <f t="shared" ref="D469:D532" si="105">IF($D$2="Egyszeri",IF($A469=1,$D$7,0),ROUNDUP(IF($D$2="Havi",$D$7,IF(MOD($C469,$M$1)-1=0,$D$7,0))*(1+$D$6)^($B469-1),IF($D$4="Forint",0,2)))</f>
        <v>0</v>
      </c>
      <c r="E469" s="13"/>
      <c r="F469" s="13"/>
      <c r="G469" s="13"/>
      <c r="H469" s="13">
        <f t="shared" ref="H469:H532" si="106">ROUNDUP(IF(AND($D$8="Nincs",$D$2&lt;&gt;"Egyszeri"),$D469*10%,0),IF($D$4="Forint",0,2))</f>
        <v>0</v>
      </c>
      <c r="I469" s="13">
        <f t="shared" ref="I469:I532" si="107">IF($D$2="Egyszeri",IF($A469=1,$M$3,0),ROUNDUP(IF($D$2="Havi",$M$3,IF(MOD($C469,$M$1)-1=0,$M$3,0))*(1+$M$2)^($B469-1),IF($D$4="Forint",0,2)))</f>
        <v>0</v>
      </c>
      <c r="J469" s="13">
        <f t="shared" ref="J469:J532" si="108">IF(ISBLANK($E469),$D469,$E469)+IF(ISBLANK($G469),$F469,$G469)+$H469+$I469</f>
        <v>0</v>
      </c>
      <c r="K469" s="13">
        <f>ROUNDUP(IF($D$2="Egyszeri",$D469,IF($D$2="Havi",SUM($D$20:$D$31),IF(MOD($C469,$M$1)-1=0,SUM($D$20:$D$31),0))/12*$M$1)*VLOOKUP($B469,Paraméterek!$B$27:$D$30,IF($D$2="Egyszeri",3,2)),IF($D$4="Forint",0,2))</f>
        <v>0</v>
      </c>
      <c r="L469" s="13">
        <f t="shared" ref="L469:L532" si="109">$D469-$K469+IF(ISBLANK($G469),$F469,$G469)</f>
        <v>0</v>
      </c>
      <c r="M469" s="13">
        <f t="shared" ca="1" si="100"/>
        <v>-303107</v>
      </c>
      <c r="N469" s="13">
        <f ca="1">IF($V468&gt;=VLOOKUP($M$4-1+$B469,Paraméterek!$B$121:$D$122,IF($D$4="Forint",2,3)),0,VLOOKUP($M$4-1+$B469,Paraméterek!$B$121:$D$122,IF($D$4="Forint",2,3))-$V468)</f>
        <v>313107</v>
      </c>
      <c r="O469" s="13">
        <f ca="1">ROUNDUP($N469*Paraméterek!$C$58/Paraméterek!$C$56,IF($D$4="Forint",0,2))</f>
        <v>50</v>
      </c>
      <c r="P469" s="13">
        <f t="shared" ref="P469:P532" si="110">ROUNDUP($M$5*(1+$M$2)^($B469-1),IF($D$4="Forint",0,2))</f>
        <v>1642</v>
      </c>
      <c r="Q469" s="33"/>
      <c r="R469" s="13">
        <f t="shared" ref="R469:R532" ca="1" si="111">ROUNDDOWN(($M469-$O469-$P469)*IF(ISBLANK($Q469),$M$6,$Q469),IF($D$4="Forint",0,2))</f>
        <v>0</v>
      </c>
      <c r="S469" s="13">
        <f ca="1">ROUNDUP(($M469-$O469-$P469+$R469)*VLOOKUP($B469,Paraméterek!$B$38:$D$39,IF($D$2="Egyszeri",3,2))/12,IF($D$4="Forint",0,2))</f>
        <v>-745</v>
      </c>
      <c r="T469" s="13"/>
      <c r="U469" s="13"/>
      <c r="V469" s="13">
        <f ca="1">$M469-$O469-$P469+$R469-$S469-IF(ROUNDUP(IF(ISBLANK($U469),$T469,$U469)/IF(AND($B469=1,$D$2&lt;&gt;"Egyszeri"),1,VLOOKUP($B469+IF($C469=12,1,0),Paraméterek!$B$257:$D$267,IF($D$2="Egyszeri",3,2))),IF($D$4="Forint",0,2))&gt;$M469-$O469-$P469+$R469-$S469-IF($D$4="Forint",Paraméterek!$C$216,Paraméterek!$D$216),0,ROUNDUP(IF(ISBLANK($U469),$T469,$U469)/IF(AND($B469=1,$D$2&lt;&gt;"Egyszeri"),1,VLOOKUP($B469+IF($C469=12,1,0),Paraméterek!$B$257:$D$267,IF($D$2="Egyszeri",3,2))),IF($D$4="Forint",0,2)))</f>
        <v>-304054</v>
      </c>
      <c r="W469" s="13">
        <f ca="1">ROUNDDOWN($V469*VLOOKUP($B469+IF($C469=12,1,0),Paraméterek!$B$257:$D$267,IF($D$2="Egyszeri",3,2)),IF($D$4="Forint",0,2))</f>
        <v>-304054</v>
      </c>
      <c r="Y469" s="32">
        <v>450</v>
      </c>
      <c r="Z469" s="32">
        <v>38</v>
      </c>
      <c r="AA469" s="32">
        <v>6</v>
      </c>
      <c r="AB469" s="13">
        <f t="shared" si="101"/>
        <v>0</v>
      </c>
      <c r="AC469" s="33"/>
      <c r="AD469" s="13">
        <f t="shared" ref="AD469:AD532" si="112">ROUNDDOWN($AB469*IF(ISBLANK($AC469),$M$8,$AC469),IF($D$4="Forint",0,2))</f>
        <v>0</v>
      </c>
      <c r="AE469" s="13">
        <f>ROUNDUP(($AB469+$AD469)*VLOOKUP($Z469,Paraméterek!$P$38:$Q$38,2)/12,IF($D$4="Forint",0,2))</f>
        <v>0</v>
      </c>
      <c r="AF469" s="13">
        <f>IF($D$2="Egyszeri",IF($D$7&gt;=IF($D$4="Forint",Paraméterek!$P$223,Paraméterek!$P$224),$D$7-IF($D$4="Forint",Paraméterek!$F$223,Paraméterek!$F$224),0),MIN(IF($AA469=12,AVERAGE($D$20:$D469)*12,0),SUM($D$20:$D$31)))</f>
        <v>0</v>
      </c>
      <c r="AG469" s="13">
        <f>IF(AND($Z469&gt;=10,MOD($Z469,5)=0),$AF469*IF($AA469=12,VLOOKUP($Z469,Paraméterek!$B$225:$F$240,IF($AF469&lt;IF($D$4="Forint",Paraméterek!$C$223,Paraméterek!$C$224),2,IF($AF469&lt;IF($D$4="Forint",Paraméterek!$D$223,Paraméterek!$D$224),3,4))),0),0)</f>
        <v>0</v>
      </c>
      <c r="AH469" s="13">
        <f>IF(AND($Z469&gt;=5,MOD($Z469,5)=0),IF($AA469=12,VLOOKUP($Z469,Paraméterek!$B$225:$F$240,5),0),IF(OR($Z469=3,$Z469=4),IF($AA469=12,VLOOKUP($Z469,Paraméterek!$B$225:$F$240,5,0),0),0))*$AF469</f>
        <v>0</v>
      </c>
      <c r="AI469" s="13">
        <f>ROUNDDOWN(IF(SUM($T$20:$U469)=0,IF($D$2="Egyszeri",$AH469,$AG469),0),IF($D$4="Forint",0,2))</f>
        <v>0</v>
      </c>
      <c r="AJ469" s="13">
        <f t="shared" si="102"/>
        <v>0</v>
      </c>
      <c r="AK469" s="13">
        <f t="shared" si="103"/>
        <v>0</v>
      </c>
      <c r="AM469" s="32">
        <v>450</v>
      </c>
      <c r="AN469" s="32">
        <v>38</v>
      </c>
      <c r="AO469" s="32">
        <v>6</v>
      </c>
      <c r="AP469" s="13"/>
      <c r="AQ469" s="32"/>
      <c r="AR469" s="13">
        <f t="shared" si="104"/>
        <v>0</v>
      </c>
      <c r="AS469" s="33"/>
      <c r="AT469" s="13">
        <f t="shared" ref="AT469:AT532" si="113">ROUNDDOWN($AR469*IF(ISBLANK($AS469),$M$7,$AS469),IF($D$4="Forint",0,2))</f>
        <v>0</v>
      </c>
      <c r="AU469" s="13">
        <f>ROUNDUP(($AR469+$AT469)*VLOOKUP($AN469,Paraméterek!$P$38:$Q$38,2)/12,IF($D$4="Forint",0,2))</f>
        <v>0</v>
      </c>
      <c r="AV469" s="13"/>
      <c r="AW469" s="13"/>
      <c r="AX469" s="13">
        <f>ROUNDUP(IF(SUM($AV469:$AW469)=0,0,IF(IF(ISBLANK($AW469),$AV469,$AW469)*Paraméterek!$J$112&lt;IF($D$4="Forint",Paraméterek!$J$113,Paraméterek!$K$113),IF($D$4="Forint",Paraméterek!$J$113,Paraméterek!$K$113),IF(IF(ISBLANK($AW469),$AV469,$AW469)*Paraméterek!$J$112&gt;IF($D$4="Forint",Paraméterek!$J$114,Paraméterek!$K$114),IF($D$4="Forint",Paraméterek!$J$114,Paraméterek!$K$114),IF(ISBLANK($AW469),$AV469,$AW469)*Paraméterek!$J$112))),IF($D$4="Forint",0,2))</f>
        <v>0</v>
      </c>
      <c r="AY469" s="13">
        <f>$AR469+$AT469-$AU469-IF(ROUNDDOWN(IF(ISBLANK($AW469),$AV469,$AW469),IF($D$4="Forint",0,2))&gt;$AR469+$AT469-$AU469-IF($D$4="Forint",Paraméterek!$J$114,Paraméterek!$K$114),0,ROUNDDOWN(IF(ISBLANK($AW469),$AV469,$AW469),IF($D$4="Forint",0,2))-$AX469)</f>
        <v>0</v>
      </c>
      <c r="AZ469" s="13">
        <f t="shared" ref="AZ469:AZ532" si="114">$AY469</f>
        <v>0</v>
      </c>
    </row>
    <row r="470" spans="1:52" x14ac:dyDescent="0.2">
      <c r="A470" s="32">
        <v>451</v>
      </c>
      <c r="B470" s="32">
        <v>38</v>
      </c>
      <c r="C470" s="32">
        <v>7</v>
      </c>
      <c r="D470" s="13">
        <f t="shared" si="105"/>
        <v>0</v>
      </c>
      <c r="E470" s="13"/>
      <c r="F470" s="13"/>
      <c r="G470" s="13"/>
      <c r="H470" s="13">
        <f t="shared" si="106"/>
        <v>0</v>
      </c>
      <c r="I470" s="13">
        <f t="shared" si="107"/>
        <v>0</v>
      </c>
      <c r="J470" s="13">
        <f t="shared" si="108"/>
        <v>0</v>
      </c>
      <c r="K470" s="13">
        <f>ROUNDUP(IF($D$2="Egyszeri",$D470,IF($D$2="Havi",SUM($D$20:$D$31),IF(MOD($C470,$M$1)-1=0,SUM($D$20:$D$31),0))/12*$M$1)*VLOOKUP($B470,Paraméterek!$B$27:$D$30,IF($D$2="Egyszeri",3,2)),IF($D$4="Forint",0,2))</f>
        <v>0</v>
      </c>
      <c r="L470" s="13">
        <f t="shared" si="109"/>
        <v>0</v>
      </c>
      <c r="M470" s="13">
        <f t="shared" ref="M470:M533" ca="1" si="115">$L470+$V469</f>
        <v>-304054</v>
      </c>
      <c r="N470" s="13">
        <f ca="1">IF($V469&gt;=VLOOKUP($M$4-1+$B470,Paraméterek!$B$121:$D$122,IF($D$4="Forint",2,3)),0,VLOOKUP($M$4-1+$B470,Paraméterek!$B$121:$D$122,IF($D$4="Forint",2,3))-$V469)</f>
        <v>314054</v>
      </c>
      <c r="O470" s="13">
        <f ca="1">ROUNDUP($N470*Paraméterek!$C$58/Paraméterek!$C$56,IF($D$4="Forint",0,2))</f>
        <v>50</v>
      </c>
      <c r="P470" s="13">
        <f t="shared" si="110"/>
        <v>1642</v>
      </c>
      <c r="Q470" s="33"/>
      <c r="R470" s="13">
        <f t="shared" ca="1" si="111"/>
        <v>0</v>
      </c>
      <c r="S470" s="13">
        <f ca="1">ROUNDUP(($M470-$O470-$P470+$R470)*VLOOKUP($B470,Paraméterek!$B$38:$D$39,IF($D$2="Egyszeri",3,2))/12,IF($D$4="Forint",0,2))</f>
        <v>-747</v>
      </c>
      <c r="T470" s="13"/>
      <c r="U470" s="13"/>
      <c r="V470" s="13">
        <f ca="1">$M470-$O470-$P470+$R470-$S470-IF(ROUNDUP(IF(ISBLANK($U470),$T470,$U470)/IF(AND($B470=1,$D$2&lt;&gt;"Egyszeri"),1,VLOOKUP($B470+IF($C470=12,1,0),Paraméterek!$B$257:$D$267,IF($D$2="Egyszeri",3,2))),IF($D$4="Forint",0,2))&gt;$M470-$O470-$P470+$R470-$S470-IF($D$4="Forint",Paraméterek!$C$216,Paraméterek!$D$216),0,ROUNDUP(IF(ISBLANK($U470),$T470,$U470)/IF(AND($B470=1,$D$2&lt;&gt;"Egyszeri"),1,VLOOKUP($B470+IF($C470=12,1,0),Paraméterek!$B$257:$D$267,IF($D$2="Egyszeri",3,2))),IF($D$4="Forint",0,2)))</f>
        <v>-304999</v>
      </c>
      <c r="W470" s="13">
        <f ca="1">ROUNDDOWN($V470*VLOOKUP($B470+IF($C470=12,1,0),Paraméterek!$B$257:$D$267,IF($D$2="Egyszeri",3,2)),IF($D$4="Forint",0,2))</f>
        <v>-304999</v>
      </c>
      <c r="Y470" s="32">
        <v>451</v>
      </c>
      <c r="Z470" s="32">
        <v>38</v>
      </c>
      <c r="AA470" s="32">
        <v>7</v>
      </c>
      <c r="AB470" s="13">
        <f t="shared" ref="AB470:AB533" si="116">$AJ469</f>
        <v>0</v>
      </c>
      <c r="AC470" s="33"/>
      <c r="AD470" s="13">
        <f t="shared" si="112"/>
        <v>0</v>
      </c>
      <c r="AE470" s="13">
        <f>ROUNDUP(($AB470+$AD470)*VLOOKUP($Z470,Paraméterek!$P$38:$Q$38,2)/12,IF($D$4="Forint",0,2))</f>
        <v>0</v>
      </c>
      <c r="AF470" s="13">
        <f>IF($D$2="Egyszeri",IF($D$7&gt;=IF($D$4="Forint",Paraméterek!$P$223,Paraméterek!$P$224),$D$7-IF($D$4="Forint",Paraméterek!$F$223,Paraméterek!$F$224),0),MIN(IF($AA470=12,AVERAGE($D$20:$D470)*12,0),SUM($D$20:$D$31)))</f>
        <v>0</v>
      </c>
      <c r="AG470" s="13">
        <f>IF(AND($Z470&gt;=10,MOD($Z470,5)=0),$AF470*IF($AA470=12,VLOOKUP($Z470,Paraméterek!$B$225:$F$240,IF($AF470&lt;IF($D$4="Forint",Paraméterek!$C$223,Paraméterek!$C$224),2,IF($AF470&lt;IF($D$4="Forint",Paraméterek!$D$223,Paraméterek!$D$224),3,4))),0),0)</f>
        <v>0</v>
      </c>
      <c r="AH470" s="13">
        <f>IF(AND($Z470&gt;=5,MOD($Z470,5)=0),IF($AA470=12,VLOOKUP($Z470,Paraméterek!$B$225:$F$240,5),0),IF(OR($Z470=3,$Z470=4),IF($AA470=12,VLOOKUP($Z470,Paraméterek!$B$225:$F$240,5,0),0),0))*$AF470</f>
        <v>0</v>
      </c>
      <c r="AI470" s="13">
        <f>ROUNDDOWN(IF(SUM($T$20:$U470)=0,IF($D$2="Egyszeri",$AH470,$AG470),0),IF($D$4="Forint",0,2))</f>
        <v>0</v>
      </c>
      <c r="AJ470" s="13">
        <f t="shared" ref="AJ470:AJ533" si="117">$AB470+$AD470-$AE470+$AI470</f>
        <v>0</v>
      </c>
      <c r="AK470" s="13">
        <f t="shared" ref="AK470:AK533" si="118">$AJ470</f>
        <v>0</v>
      </c>
      <c r="AM470" s="32">
        <v>451</v>
      </c>
      <c r="AN470" s="32">
        <v>38</v>
      </c>
      <c r="AO470" s="32">
        <v>7</v>
      </c>
      <c r="AP470" s="13"/>
      <c r="AQ470" s="32"/>
      <c r="AR470" s="13">
        <f t="shared" ref="AR470:AR533" si="119">IF(ISBLANK($AQ470),$AP470,$AQ470)+$AY469</f>
        <v>0</v>
      </c>
      <c r="AS470" s="33"/>
      <c r="AT470" s="13">
        <f t="shared" si="113"/>
        <v>0</v>
      </c>
      <c r="AU470" s="13">
        <f>ROUNDUP(($AR470+$AT470)*VLOOKUP($AN470,Paraméterek!$P$38:$Q$38,2)/12,IF($D$4="Forint",0,2))</f>
        <v>0</v>
      </c>
      <c r="AV470" s="13"/>
      <c r="AW470" s="13"/>
      <c r="AX470" s="13">
        <f>ROUNDUP(IF(SUM($AV470:$AW470)=0,0,IF(IF(ISBLANK($AW470),$AV470,$AW470)*Paraméterek!$J$112&lt;IF($D$4="Forint",Paraméterek!$J$113,Paraméterek!$K$113),IF($D$4="Forint",Paraméterek!$J$113,Paraméterek!$K$113),IF(IF(ISBLANK($AW470),$AV470,$AW470)*Paraméterek!$J$112&gt;IF($D$4="Forint",Paraméterek!$J$114,Paraméterek!$K$114),IF($D$4="Forint",Paraméterek!$J$114,Paraméterek!$K$114),IF(ISBLANK($AW470),$AV470,$AW470)*Paraméterek!$J$112))),IF($D$4="Forint",0,2))</f>
        <v>0</v>
      </c>
      <c r="AY470" s="13">
        <f>$AR470+$AT470-$AU470-IF(ROUNDDOWN(IF(ISBLANK($AW470),$AV470,$AW470),IF($D$4="Forint",0,2))&gt;$AR470+$AT470-$AU470-IF($D$4="Forint",Paraméterek!$J$114,Paraméterek!$K$114),0,ROUNDDOWN(IF(ISBLANK($AW470),$AV470,$AW470),IF($D$4="Forint",0,2))-$AX470)</f>
        <v>0</v>
      </c>
      <c r="AZ470" s="13">
        <f t="shared" si="114"/>
        <v>0</v>
      </c>
    </row>
    <row r="471" spans="1:52" x14ac:dyDescent="0.2">
      <c r="A471" s="32">
        <v>452</v>
      </c>
      <c r="B471" s="32">
        <v>38</v>
      </c>
      <c r="C471" s="32">
        <v>8</v>
      </c>
      <c r="D471" s="13">
        <f t="shared" si="105"/>
        <v>0</v>
      </c>
      <c r="E471" s="13"/>
      <c r="F471" s="13"/>
      <c r="G471" s="13"/>
      <c r="H471" s="13">
        <f t="shared" si="106"/>
        <v>0</v>
      </c>
      <c r="I471" s="13">
        <f t="shared" si="107"/>
        <v>0</v>
      </c>
      <c r="J471" s="13">
        <f t="shared" si="108"/>
        <v>0</v>
      </c>
      <c r="K471" s="13">
        <f>ROUNDUP(IF($D$2="Egyszeri",$D471,IF($D$2="Havi",SUM($D$20:$D$31),IF(MOD($C471,$M$1)-1=0,SUM($D$20:$D$31),0))/12*$M$1)*VLOOKUP($B471,Paraméterek!$B$27:$D$30,IF($D$2="Egyszeri",3,2)),IF($D$4="Forint",0,2))</f>
        <v>0</v>
      </c>
      <c r="L471" s="13">
        <f t="shared" si="109"/>
        <v>0</v>
      </c>
      <c r="M471" s="13">
        <f t="shared" ca="1" si="115"/>
        <v>-304999</v>
      </c>
      <c r="N471" s="13">
        <f ca="1">IF($V470&gt;=VLOOKUP($M$4-1+$B471,Paraméterek!$B$121:$D$122,IF($D$4="Forint",2,3)),0,VLOOKUP($M$4-1+$B471,Paraméterek!$B$121:$D$122,IF($D$4="Forint",2,3))-$V470)</f>
        <v>314999</v>
      </c>
      <c r="O471" s="13">
        <f ca="1">ROUNDUP($N471*Paraméterek!$C$58/Paraméterek!$C$56,IF($D$4="Forint",0,2))</f>
        <v>51</v>
      </c>
      <c r="P471" s="13">
        <f t="shared" si="110"/>
        <v>1642</v>
      </c>
      <c r="Q471" s="33"/>
      <c r="R471" s="13">
        <f t="shared" ca="1" si="111"/>
        <v>0</v>
      </c>
      <c r="S471" s="13">
        <f ca="1">ROUNDUP(($M471-$O471-$P471+$R471)*VLOOKUP($B471,Paraméterek!$B$38:$D$39,IF($D$2="Egyszeri",3,2))/12,IF($D$4="Forint",0,2))</f>
        <v>-749</v>
      </c>
      <c r="T471" s="13"/>
      <c r="U471" s="13"/>
      <c r="V471" s="13">
        <f ca="1">$M471-$O471-$P471+$R471-$S471-IF(ROUNDUP(IF(ISBLANK($U471),$T471,$U471)/IF(AND($B471=1,$D$2&lt;&gt;"Egyszeri"),1,VLOOKUP($B471+IF($C471=12,1,0),Paraméterek!$B$257:$D$267,IF($D$2="Egyszeri",3,2))),IF($D$4="Forint",0,2))&gt;$M471-$O471-$P471+$R471-$S471-IF($D$4="Forint",Paraméterek!$C$216,Paraméterek!$D$216),0,ROUNDUP(IF(ISBLANK($U471),$T471,$U471)/IF(AND($B471=1,$D$2&lt;&gt;"Egyszeri"),1,VLOOKUP($B471+IF($C471=12,1,0),Paraméterek!$B$257:$D$267,IF($D$2="Egyszeri",3,2))),IF($D$4="Forint",0,2)))</f>
        <v>-305943</v>
      </c>
      <c r="W471" s="13">
        <f ca="1">ROUNDDOWN($V471*VLOOKUP($B471+IF($C471=12,1,0),Paraméterek!$B$257:$D$267,IF($D$2="Egyszeri",3,2)),IF($D$4="Forint",0,2))</f>
        <v>-305943</v>
      </c>
      <c r="Y471" s="32">
        <v>452</v>
      </c>
      <c r="Z471" s="32">
        <v>38</v>
      </c>
      <c r="AA471" s="32">
        <v>8</v>
      </c>
      <c r="AB471" s="13">
        <f t="shared" si="116"/>
        <v>0</v>
      </c>
      <c r="AC471" s="33"/>
      <c r="AD471" s="13">
        <f t="shared" si="112"/>
        <v>0</v>
      </c>
      <c r="AE471" s="13">
        <f>ROUNDUP(($AB471+$AD471)*VLOOKUP($Z471,Paraméterek!$P$38:$Q$38,2)/12,IF($D$4="Forint",0,2))</f>
        <v>0</v>
      </c>
      <c r="AF471" s="13">
        <f>IF($D$2="Egyszeri",IF($D$7&gt;=IF($D$4="Forint",Paraméterek!$P$223,Paraméterek!$P$224),$D$7-IF($D$4="Forint",Paraméterek!$F$223,Paraméterek!$F$224),0),MIN(IF($AA471=12,AVERAGE($D$20:$D471)*12,0),SUM($D$20:$D$31)))</f>
        <v>0</v>
      </c>
      <c r="AG471" s="13">
        <f>IF(AND($Z471&gt;=10,MOD($Z471,5)=0),$AF471*IF($AA471=12,VLOOKUP($Z471,Paraméterek!$B$225:$F$240,IF($AF471&lt;IF($D$4="Forint",Paraméterek!$C$223,Paraméterek!$C$224),2,IF($AF471&lt;IF($D$4="Forint",Paraméterek!$D$223,Paraméterek!$D$224),3,4))),0),0)</f>
        <v>0</v>
      </c>
      <c r="AH471" s="13">
        <f>IF(AND($Z471&gt;=5,MOD($Z471,5)=0),IF($AA471=12,VLOOKUP($Z471,Paraméterek!$B$225:$F$240,5),0),IF(OR($Z471=3,$Z471=4),IF($AA471=12,VLOOKUP($Z471,Paraméterek!$B$225:$F$240,5,0),0),0))*$AF471</f>
        <v>0</v>
      </c>
      <c r="AI471" s="13">
        <f>ROUNDDOWN(IF(SUM($T$20:$U471)=0,IF($D$2="Egyszeri",$AH471,$AG471),0),IF($D$4="Forint",0,2))</f>
        <v>0</v>
      </c>
      <c r="AJ471" s="13">
        <f t="shared" si="117"/>
        <v>0</v>
      </c>
      <c r="AK471" s="13">
        <f t="shared" si="118"/>
        <v>0</v>
      </c>
      <c r="AM471" s="32">
        <v>452</v>
      </c>
      <c r="AN471" s="32">
        <v>38</v>
      </c>
      <c r="AO471" s="32">
        <v>8</v>
      </c>
      <c r="AP471" s="13"/>
      <c r="AQ471" s="32"/>
      <c r="AR471" s="13">
        <f t="shared" si="119"/>
        <v>0</v>
      </c>
      <c r="AS471" s="33"/>
      <c r="AT471" s="13">
        <f t="shared" si="113"/>
        <v>0</v>
      </c>
      <c r="AU471" s="13">
        <f>ROUNDUP(($AR471+$AT471)*VLOOKUP($AN471,Paraméterek!$P$38:$Q$38,2)/12,IF($D$4="Forint",0,2))</f>
        <v>0</v>
      </c>
      <c r="AV471" s="13"/>
      <c r="AW471" s="13"/>
      <c r="AX471" s="13">
        <f>ROUNDUP(IF(SUM($AV471:$AW471)=0,0,IF(IF(ISBLANK($AW471),$AV471,$AW471)*Paraméterek!$J$112&lt;IF($D$4="Forint",Paraméterek!$J$113,Paraméterek!$K$113),IF($D$4="Forint",Paraméterek!$J$113,Paraméterek!$K$113),IF(IF(ISBLANK($AW471),$AV471,$AW471)*Paraméterek!$J$112&gt;IF($D$4="Forint",Paraméterek!$J$114,Paraméterek!$K$114),IF($D$4="Forint",Paraméterek!$J$114,Paraméterek!$K$114),IF(ISBLANK($AW471),$AV471,$AW471)*Paraméterek!$J$112))),IF($D$4="Forint",0,2))</f>
        <v>0</v>
      </c>
      <c r="AY471" s="13">
        <f>$AR471+$AT471-$AU471-IF(ROUNDDOWN(IF(ISBLANK($AW471),$AV471,$AW471),IF($D$4="Forint",0,2))&gt;$AR471+$AT471-$AU471-IF($D$4="Forint",Paraméterek!$J$114,Paraméterek!$K$114),0,ROUNDDOWN(IF(ISBLANK($AW471),$AV471,$AW471),IF($D$4="Forint",0,2))-$AX471)</f>
        <v>0</v>
      </c>
      <c r="AZ471" s="13">
        <f t="shared" si="114"/>
        <v>0</v>
      </c>
    </row>
    <row r="472" spans="1:52" x14ac:dyDescent="0.2">
      <c r="A472" s="32">
        <v>453</v>
      </c>
      <c r="B472" s="32">
        <v>38</v>
      </c>
      <c r="C472" s="32">
        <v>9</v>
      </c>
      <c r="D472" s="13">
        <f t="shared" si="105"/>
        <v>0</v>
      </c>
      <c r="E472" s="13"/>
      <c r="F472" s="13"/>
      <c r="G472" s="13"/>
      <c r="H472" s="13">
        <f t="shared" si="106"/>
        <v>0</v>
      </c>
      <c r="I472" s="13">
        <f t="shared" si="107"/>
        <v>0</v>
      </c>
      <c r="J472" s="13">
        <f t="shared" si="108"/>
        <v>0</v>
      </c>
      <c r="K472" s="13">
        <f>ROUNDUP(IF($D$2="Egyszeri",$D472,IF($D$2="Havi",SUM($D$20:$D$31),IF(MOD($C472,$M$1)-1=0,SUM($D$20:$D$31),0))/12*$M$1)*VLOOKUP($B472,Paraméterek!$B$27:$D$30,IF($D$2="Egyszeri",3,2)),IF($D$4="Forint",0,2))</f>
        <v>0</v>
      </c>
      <c r="L472" s="13">
        <f t="shared" si="109"/>
        <v>0</v>
      </c>
      <c r="M472" s="13">
        <f t="shared" ca="1" si="115"/>
        <v>-305943</v>
      </c>
      <c r="N472" s="13">
        <f ca="1">IF($V471&gt;=VLOOKUP($M$4-1+$B472,Paraméterek!$B$121:$D$122,IF($D$4="Forint",2,3)),0,VLOOKUP($M$4-1+$B472,Paraméterek!$B$121:$D$122,IF($D$4="Forint",2,3))-$V471)</f>
        <v>315943</v>
      </c>
      <c r="O472" s="13">
        <f ca="1">ROUNDUP($N472*Paraméterek!$C$58/Paraméterek!$C$56,IF($D$4="Forint",0,2))</f>
        <v>51</v>
      </c>
      <c r="P472" s="13">
        <f t="shared" si="110"/>
        <v>1642</v>
      </c>
      <c r="Q472" s="33"/>
      <c r="R472" s="13">
        <f t="shared" ca="1" si="111"/>
        <v>0</v>
      </c>
      <c r="S472" s="13">
        <f ca="1">ROUNDUP(($M472-$O472-$P472+$R472)*VLOOKUP($B472,Paraméterek!$B$38:$D$39,IF($D$2="Egyszeri",3,2))/12,IF($D$4="Forint",0,2))</f>
        <v>-752</v>
      </c>
      <c r="T472" s="13"/>
      <c r="U472" s="13"/>
      <c r="V472" s="13">
        <f ca="1">$M472-$O472-$P472+$R472-$S472-IF(ROUNDUP(IF(ISBLANK($U472),$T472,$U472)/IF(AND($B472=1,$D$2&lt;&gt;"Egyszeri"),1,VLOOKUP($B472+IF($C472=12,1,0),Paraméterek!$B$257:$D$267,IF($D$2="Egyszeri",3,2))),IF($D$4="Forint",0,2))&gt;$M472-$O472-$P472+$R472-$S472-IF($D$4="Forint",Paraméterek!$C$216,Paraméterek!$D$216),0,ROUNDUP(IF(ISBLANK($U472),$T472,$U472)/IF(AND($B472=1,$D$2&lt;&gt;"Egyszeri"),1,VLOOKUP($B472+IF($C472=12,1,0),Paraméterek!$B$257:$D$267,IF($D$2="Egyszeri",3,2))),IF($D$4="Forint",0,2)))</f>
        <v>-306884</v>
      </c>
      <c r="W472" s="13">
        <f ca="1">ROUNDDOWN($V472*VLOOKUP($B472+IF($C472=12,1,0),Paraméterek!$B$257:$D$267,IF($D$2="Egyszeri",3,2)),IF($D$4="Forint",0,2))</f>
        <v>-306884</v>
      </c>
      <c r="Y472" s="32">
        <v>453</v>
      </c>
      <c r="Z472" s="32">
        <v>38</v>
      </c>
      <c r="AA472" s="32">
        <v>9</v>
      </c>
      <c r="AB472" s="13">
        <f t="shared" si="116"/>
        <v>0</v>
      </c>
      <c r="AC472" s="33"/>
      <c r="AD472" s="13">
        <f t="shared" si="112"/>
        <v>0</v>
      </c>
      <c r="AE472" s="13">
        <f>ROUNDUP(($AB472+$AD472)*VLOOKUP($Z472,Paraméterek!$P$38:$Q$38,2)/12,IF($D$4="Forint",0,2))</f>
        <v>0</v>
      </c>
      <c r="AF472" s="13">
        <f>IF($D$2="Egyszeri",IF($D$7&gt;=IF($D$4="Forint",Paraméterek!$P$223,Paraméterek!$P$224),$D$7-IF($D$4="Forint",Paraméterek!$F$223,Paraméterek!$F$224),0),MIN(IF($AA472=12,AVERAGE($D$20:$D472)*12,0),SUM($D$20:$D$31)))</f>
        <v>0</v>
      </c>
      <c r="AG472" s="13">
        <f>IF(AND($Z472&gt;=10,MOD($Z472,5)=0),$AF472*IF($AA472=12,VLOOKUP($Z472,Paraméterek!$B$225:$F$240,IF($AF472&lt;IF($D$4="Forint",Paraméterek!$C$223,Paraméterek!$C$224),2,IF($AF472&lt;IF($D$4="Forint",Paraméterek!$D$223,Paraméterek!$D$224),3,4))),0),0)</f>
        <v>0</v>
      </c>
      <c r="AH472" s="13">
        <f>IF(AND($Z472&gt;=5,MOD($Z472,5)=0),IF($AA472=12,VLOOKUP($Z472,Paraméterek!$B$225:$F$240,5),0),IF(OR($Z472=3,$Z472=4),IF($AA472=12,VLOOKUP($Z472,Paraméterek!$B$225:$F$240,5,0),0),0))*$AF472</f>
        <v>0</v>
      </c>
      <c r="AI472" s="13">
        <f>ROUNDDOWN(IF(SUM($T$20:$U472)=0,IF($D$2="Egyszeri",$AH472,$AG472),0),IF($D$4="Forint",0,2))</f>
        <v>0</v>
      </c>
      <c r="AJ472" s="13">
        <f t="shared" si="117"/>
        <v>0</v>
      </c>
      <c r="AK472" s="13">
        <f t="shared" si="118"/>
        <v>0</v>
      </c>
      <c r="AM472" s="32">
        <v>453</v>
      </c>
      <c r="AN472" s="32">
        <v>38</v>
      </c>
      <c r="AO472" s="32">
        <v>9</v>
      </c>
      <c r="AP472" s="13"/>
      <c r="AQ472" s="32"/>
      <c r="AR472" s="13">
        <f t="shared" si="119"/>
        <v>0</v>
      </c>
      <c r="AS472" s="33"/>
      <c r="AT472" s="13">
        <f t="shared" si="113"/>
        <v>0</v>
      </c>
      <c r="AU472" s="13">
        <f>ROUNDUP(($AR472+$AT472)*VLOOKUP($AN472,Paraméterek!$P$38:$Q$38,2)/12,IF($D$4="Forint",0,2))</f>
        <v>0</v>
      </c>
      <c r="AV472" s="13"/>
      <c r="AW472" s="13"/>
      <c r="AX472" s="13">
        <f>ROUNDUP(IF(SUM($AV472:$AW472)=0,0,IF(IF(ISBLANK($AW472),$AV472,$AW472)*Paraméterek!$J$112&lt;IF($D$4="Forint",Paraméterek!$J$113,Paraméterek!$K$113),IF($D$4="Forint",Paraméterek!$J$113,Paraméterek!$K$113),IF(IF(ISBLANK($AW472),$AV472,$AW472)*Paraméterek!$J$112&gt;IF($D$4="Forint",Paraméterek!$J$114,Paraméterek!$K$114),IF($D$4="Forint",Paraméterek!$J$114,Paraméterek!$K$114),IF(ISBLANK($AW472),$AV472,$AW472)*Paraméterek!$J$112))),IF($D$4="Forint",0,2))</f>
        <v>0</v>
      </c>
      <c r="AY472" s="13">
        <f>$AR472+$AT472-$AU472-IF(ROUNDDOWN(IF(ISBLANK($AW472),$AV472,$AW472),IF($D$4="Forint",0,2))&gt;$AR472+$AT472-$AU472-IF($D$4="Forint",Paraméterek!$J$114,Paraméterek!$K$114),0,ROUNDDOWN(IF(ISBLANK($AW472),$AV472,$AW472),IF($D$4="Forint",0,2))-$AX472)</f>
        <v>0</v>
      </c>
      <c r="AZ472" s="13">
        <f t="shared" si="114"/>
        <v>0</v>
      </c>
    </row>
    <row r="473" spans="1:52" x14ac:dyDescent="0.2">
      <c r="A473" s="32">
        <v>454</v>
      </c>
      <c r="B473" s="32">
        <v>38</v>
      </c>
      <c r="C473" s="32">
        <v>10</v>
      </c>
      <c r="D473" s="13">
        <f t="shared" si="105"/>
        <v>0</v>
      </c>
      <c r="E473" s="13"/>
      <c r="F473" s="13"/>
      <c r="G473" s="13"/>
      <c r="H473" s="13">
        <f t="shared" si="106"/>
        <v>0</v>
      </c>
      <c r="I473" s="13">
        <f t="shared" si="107"/>
        <v>0</v>
      </c>
      <c r="J473" s="13">
        <f t="shared" si="108"/>
        <v>0</v>
      </c>
      <c r="K473" s="13">
        <f>ROUNDUP(IF($D$2="Egyszeri",$D473,IF($D$2="Havi",SUM($D$20:$D$31),IF(MOD($C473,$M$1)-1=0,SUM($D$20:$D$31),0))/12*$M$1)*VLOOKUP($B473,Paraméterek!$B$27:$D$30,IF($D$2="Egyszeri",3,2)),IF($D$4="Forint",0,2))</f>
        <v>0</v>
      </c>
      <c r="L473" s="13">
        <f t="shared" si="109"/>
        <v>0</v>
      </c>
      <c r="M473" s="13">
        <f t="shared" ca="1" si="115"/>
        <v>-306884</v>
      </c>
      <c r="N473" s="13">
        <f ca="1">IF($V472&gt;=VLOOKUP($M$4-1+$B473,Paraméterek!$B$121:$D$122,IF($D$4="Forint",2,3)),0,VLOOKUP($M$4-1+$B473,Paraméterek!$B$121:$D$122,IF($D$4="Forint",2,3))-$V472)</f>
        <v>316884</v>
      </c>
      <c r="O473" s="13">
        <f ca="1">ROUNDUP($N473*Paraméterek!$C$58/Paraméterek!$C$56,IF($D$4="Forint",0,2))</f>
        <v>51</v>
      </c>
      <c r="P473" s="13">
        <f t="shared" si="110"/>
        <v>1642</v>
      </c>
      <c r="Q473" s="33"/>
      <c r="R473" s="13">
        <f t="shared" ca="1" si="111"/>
        <v>0</v>
      </c>
      <c r="S473" s="13">
        <f ca="1">ROUNDUP(($M473-$O473-$P473+$R473)*VLOOKUP($B473,Paraméterek!$B$38:$D$39,IF($D$2="Egyszeri",3,2))/12,IF($D$4="Forint",0,2))</f>
        <v>-754</v>
      </c>
      <c r="T473" s="13"/>
      <c r="U473" s="13"/>
      <c r="V473" s="13">
        <f ca="1">$M473-$O473-$P473+$R473-$S473-IF(ROUNDUP(IF(ISBLANK($U473),$T473,$U473)/IF(AND($B473=1,$D$2&lt;&gt;"Egyszeri"),1,VLOOKUP($B473+IF($C473=12,1,0),Paraméterek!$B$257:$D$267,IF($D$2="Egyszeri",3,2))),IF($D$4="Forint",0,2))&gt;$M473-$O473-$P473+$R473-$S473-IF($D$4="Forint",Paraméterek!$C$216,Paraméterek!$D$216),0,ROUNDUP(IF(ISBLANK($U473),$T473,$U473)/IF(AND($B473=1,$D$2&lt;&gt;"Egyszeri"),1,VLOOKUP($B473+IF($C473=12,1,0),Paraméterek!$B$257:$D$267,IF($D$2="Egyszeri",3,2))),IF($D$4="Forint",0,2)))</f>
        <v>-307823</v>
      </c>
      <c r="W473" s="13">
        <f ca="1">ROUNDDOWN($V473*VLOOKUP($B473+IF($C473=12,1,0),Paraméterek!$B$257:$D$267,IF($D$2="Egyszeri",3,2)),IF($D$4="Forint",0,2))</f>
        <v>-307823</v>
      </c>
      <c r="Y473" s="32">
        <v>454</v>
      </c>
      <c r="Z473" s="32">
        <v>38</v>
      </c>
      <c r="AA473" s="32">
        <v>10</v>
      </c>
      <c r="AB473" s="13">
        <f t="shared" si="116"/>
        <v>0</v>
      </c>
      <c r="AC473" s="33"/>
      <c r="AD473" s="13">
        <f t="shared" si="112"/>
        <v>0</v>
      </c>
      <c r="AE473" s="13">
        <f>ROUNDUP(($AB473+$AD473)*VLOOKUP($Z473,Paraméterek!$P$38:$Q$38,2)/12,IF($D$4="Forint",0,2))</f>
        <v>0</v>
      </c>
      <c r="AF473" s="13">
        <f>IF($D$2="Egyszeri",IF($D$7&gt;=IF($D$4="Forint",Paraméterek!$P$223,Paraméterek!$P$224),$D$7-IF($D$4="Forint",Paraméterek!$F$223,Paraméterek!$F$224),0),MIN(IF($AA473=12,AVERAGE($D$20:$D473)*12,0),SUM($D$20:$D$31)))</f>
        <v>0</v>
      </c>
      <c r="AG473" s="13">
        <f>IF(AND($Z473&gt;=10,MOD($Z473,5)=0),$AF473*IF($AA473=12,VLOOKUP($Z473,Paraméterek!$B$225:$F$240,IF($AF473&lt;IF($D$4="Forint",Paraméterek!$C$223,Paraméterek!$C$224),2,IF($AF473&lt;IF($D$4="Forint",Paraméterek!$D$223,Paraméterek!$D$224),3,4))),0),0)</f>
        <v>0</v>
      </c>
      <c r="AH473" s="13">
        <f>IF(AND($Z473&gt;=5,MOD($Z473,5)=0),IF($AA473=12,VLOOKUP($Z473,Paraméterek!$B$225:$F$240,5),0),IF(OR($Z473=3,$Z473=4),IF($AA473=12,VLOOKUP($Z473,Paraméterek!$B$225:$F$240,5,0),0),0))*$AF473</f>
        <v>0</v>
      </c>
      <c r="AI473" s="13">
        <f>ROUNDDOWN(IF(SUM($T$20:$U473)=0,IF($D$2="Egyszeri",$AH473,$AG473),0),IF($D$4="Forint",0,2))</f>
        <v>0</v>
      </c>
      <c r="AJ473" s="13">
        <f t="shared" si="117"/>
        <v>0</v>
      </c>
      <c r="AK473" s="13">
        <f t="shared" si="118"/>
        <v>0</v>
      </c>
      <c r="AM473" s="32">
        <v>454</v>
      </c>
      <c r="AN473" s="32">
        <v>38</v>
      </c>
      <c r="AO473" s="32">
        <v>10</v>
      </c>
      <c r="AP473" s="13"/>
      <c r="AQ473" s="32"/>
      <c r="AR473" s="13">
        <f t="shared" si="119"/>
        <v>0</v>
      </c>
      <c r="AS473" s="33"/>
      <c r="AT473" s="13">
        <f t="shared" si="113"/>
        <v>0</v>
      </c>
      <c r="AU473" s="13">
        <f>ROUNDUP(($AR473+$AT473)*VLOOKUP($AN473,Paraméterek!$P$38:$Q$38,2)/12,IF($D$4="Forint",0,2))</f>
        <v>0</v>
      </c>
      <c r="AV473" s="13"/>
      <c r="AW473" s="13"/>
      <c r="AX473" s="13">
        <f>ROUNDUP(IF(SUM($AV473:$AW473)=0,0,IF(IF(ISBLANK($AW473),$AV473,$AW473)*Paraméterek!$J$112&lt;IF($D$4="Forint",Paraméterek!$J$113,Paraméterek!$K$113),IF($D$4="Forint",Paraméterek!$J$113,Paraméterek!$K$113),IF(IF(ISBLANK($AW473),$AV473,$AW473)*Paraméterek!$J$112&gt;IF($D$4="Forint",Paraméterek!$J$114,Paraméterek!$K$114),IF($D$4="Forint",Paraméterek!$J$114,Paraméterek!$K$114),IF(ISBLANK($AW473),$AV473,$AW473)*Paraméterek!$J$112))),IF($D$4="Forint",0,2))</f>
        <v>0</v>
      </c>
      <c r="AY473" s="13">
        <f>$AR473+$AT473-$AU473-IF(ROUNDDOWN(IF(ISBLANK($AW473),$AV473,$AW473),IF($D$4="Forint",0,2))&gt;$AR473+$AT473-$AU473-IF($D$4="Forint",Paraméterek!$J$114,Paraméterek!$K$114),0,ROUNDDOWN(IF(ISBLANK($AW473),$AV473,$AW473),IF($D$4="Forint",0,2))-$AX473)</f>
        <v>0</v>
      </c>
      <c r="AZ473" s="13">
        <f t="shared" si="114"/>
        <v>0</v>
      </c>
    </row>
    <row r="474" spans="1:52" x14ac:dyDescent="0.2">
      <c r="A474" s="32">
        <v>455</v>
      </c>
      <c r="B474" s="32">
        <v>38</v>
      </c>
      <c r="C474" s="32">
        <v>11</v>
      </c>
      <c r="D474" s="13">
        <f t="shared" si="105"/>
        <v>0</v>
      </c>
      <c r="E474" s="13"/>
      <c r="F474" s="13"/>
      <c r="G474" s="13"/>
      <c r="H474" s="13">
        <f t="shared" si="106"/>
        <v>0</v>
      </c>
      <c r="I474" s="13">
        <f t="shared" si="107"/>
        <v>0</v>
      </c>
      <c r="J474" s="13">
        <f t="shared" si="108"/>
        <v>0</v>
      </c>
      <c r="K474" s="13">
        <f>ROUNDUP(IF($D$2="Egyszeri",$D474,IF($D$2="Havi",SUM($D$20:$D$31),IF(MOD($C474,$M$1)-1=0,SUM($D$20:$D$31),0))/12*$M$1)*VLOOKUP($B474,Paraméterek!$B$27:$D$30,IF($D$2="Egyszeri",3,2)),IF($D$4="Forint",0,2))</f>
        <v>0</v>
      </c>
      <c r="L474" s="13">
        <f t="shared" si="109"/>
        <v>0</v>
      </c>
      <c r="M474" s="13">
        <f t="shared" ca="1" si="115"/>
        <v>-307823</v>
      </c>
      <c r="N474" s="13">
        <f ca="1">IF($V473&gt;=VLOOKUP($M$4-1+$B474,Paraméterek!$B$121:$D$122,IF($D$4="Forint",2,3)),0,VLOOKUP($M$4-1+$B474,Paraméterek!$B$121:$D$122,IF($D$4="Forint",2,3))-$V473)</f>
        <v>317823</v>
      </c>
      <c r="O474" s="13">
        <f ca="1">ROUNDUP($N474*Paraméterek!$C$58/Paraméterek!$C$56,IF($D$4="Forint",0,2))</f>
        <v>51</v>
      </c>
      <c r="P474" s="13">
        <f t="shared" si="110"/>
        <v>1642</v>
      </c>
      <c r="Q474" s="33"/>
      <c r="R474" s="13">
        <f t="shared" ca="1" si="111"/>
        <v>0</v>
      </c>
      <c r="S474" s="13">
        <f ca="1">ROUNDUP(($M474-$O474-$P474+$R474)*VLOOKUP($B474,Paraméterek!$B$38:$D$39,IF($D$2="Egyszeri",3,2))/12,IF($D$4="Forint",0,2))</f>
        <v>-756</v>
      </c>
      <c r="T474" s="13"/>
      <c r="U474" s="13"/>
      <c r="V474" s="13">
        <f ca="1">$M474-$O474-$P474+$R474-$S474-IF(ROUNDUP(IF(ISBLANK($U474),$T474,$U474)/IF(AND($B474=1,$D$2&lt;&gt;"Egyszeri"),1,VLOOKUP($B474+IF($C474=12,1,0),Paraméterek!$B$257:$D$267,IF($D$2="Egyszeri",3,2))),IF($D$4="Forint",0,2))&gt;$M474-$O474-$P474+$R474-$S474-IF($D$4="Forint",Paraméterek!$C$216,Paraméterek!$D$216),0,ROUNDUP(IF(ISBLANK($U474),$T474,$U474)/IF(AND($B474=1,$D$2&lt;&gt;"Egyszeri"),1,VLOOKUP($B474+IF($C474=12,1,0),Paraméterek!$B$257:$D$267,IF($D$2="Egyszeri",3,2))),IF($D$4="Forint",0,2)))</f>
        <v>-308760</v>
      </c>
      <c r="W474" s="13">
        <f ca="1">ROUNDDOWN($V474*VLOOKUP($B474+IF($C474=12,1,0),Paraméterek!$B$257:$D$267,IF($D$2="Egyszeri",3,2)),IF($D$4="Forint",0,2))</f>
        <v>-308760</v>
      </c>
      <c r="Y474" s="32">
        <v>455</v>
      </c>
      <c r="Z474" s="32">
        <v>38</v>
      </c>
      <c r="AA474" s="32">
        <v>11</v>
      </c>
      <c r="AB474" s="13">
        <f t="shared" si="116"/>
        <v>0</v>
      </c>
      <c r="AC474" s="33"/>
      <c r="AD474" s="13">
        <f t="shared" si="112"/>
        <v>0</v>
      </c>
      <c r="AE474" s="13">
        <f>ROUNDUP(($AB474+$AD474)*VLOOKUP($Z474,Paraméterek!$P$38:$Q$38,2)/12,IF($D$4="Forint",0,2))</f>
        <v>0</v>
      </c>
      <c r="AF474" s="13">
        <f>IF($D$2="Egyszeri",IF($D$7&gt;=IF($D$4="Forint",Paraméterek!$P$223,Paraméterek!$P$224),$D$7-IF($D$4="Forint",Paraméterek!$F$223,Paraméterek!$F$224),0),MIN(IF($AA474=12,AVERAGE($D$20:$D474)*12,0),SUM($D$20:$D$31)))</f>
        <v>0</v>
      </c>
      <c r="AG474" s="13">
        <f>IF(AND($Z474&gt;=10,MOD($Z474,5)=0),$AF474*IF($AA474=12,VLOOKUP($Z474,Paraméterek!$B$225:$F$240,IF($AF474&lt;IF($D$4="Forint",Paraméterek!$C$223,Paraméterek!$C$224),2,IF($AF474&lt;IF($D$4="Forint",Paraméterek!$D$223,Paraméterek!$D$224),3,4))),0),0)</f>
        <v>0</v>
      </c>
      <c r="AH474" s="13">
        <f>IF(AND($Z474&gt;=5,MOD($Z474,5)=0),IF($AA474=12,VLOOKUP($Z474,Paraméterek!$B$225:$F$240,5),0),IF(OR($Z474=3,$Z474=4),IF($AA474=12,VLOOKUP($Z474,Paraméterek!$B$225:$F$240,5,0),0),0))*$AF474</f>
        <v>0</v>
      </c>
      <c r="AI474" s="13">
        <f>ROUNDDOWN(IF(SUM($T$20:$U474)=0,IF($D$2="Egyszeri",$AH474,$AG474),0),IF($D$4="Forint",0,2))</f>
        <v>0</v>
      </c>
      <c r="AJ474" s="13">
        <f t="shared" si="117"/>
        <v>0</v>
      </c>
      <c r="AK474" s="13">
        <f t="shared" si="118"/>
        <v>0</v>
      </c>
      <c r="AM474" s="32">
        <v>455</v>
      </c>
      <c r="AN474" s="32">
        <v>38</v>
      </c>
      <c r="AO474" s="32">
        <v>11</v>
      </c>
      <c r="AP474" s="13"/>
      <c r="AQ474" s="32"/>
      <c r="AR474" s="13">
        <f t="shared" si="119"/>
        <v>0</v>
      </c>
      <c r="AS474" s="33"/>
      <c r="AT474" s="13">
        <f t="shared" si="113"/>
        <v>0</v>
      </c>
      <c r="AU474" s="13">
        <f>ROUNDUP(($AR474+$AT474)*VLOOKUP($AN474,Paraméterek!$P$38:$Q$38,2)/12,IF($D$4="Forint",0,2))</f>
        <v>0</v>
      </c>
      <c r="AV474" s="13"/>
      <c r="AW474" s="13"/>
      <c r="AX474" s="13">
        <f>ROUNDUP(IF(SUM($AV474:$AW474)=0,0,IF(IF(ISBLANK($AW474),$AV474,$AW474)*Paraméterek!$J$112&lt;IF($D$4="Forint",Paraméterek!$J$113,Paraméterek!$K$113),IF($D$4="Forint",Paraméterek!$J$113,Paraméterek!$K$113),IF(IF(ISBLANK($AW474),$AV474,$AW474)*Paraméterek!$J$112&gt;IF($D$4="Forint",Paraméterek!$J$114,Paraméterek!$K$114),IF($D$4="Forint",Paraméterek!$J$114,Paraméterek!$K$114),IF(ISBLANK($AW474),$AV474,$AW474)*Paraméterek!$J$112))),IF($D$4="Forint",0,2))</f>
        <v>0</v>
      </c>
      <c r="AY474" s="13">
        <f>$AR474+$AT474-$AU474-IF(ROUNDDOWN(IF(ISBLANK($AW474),$AV474,$AW474),IF($D$4="Forint",0,2))&gt;$AR474+$AT474-$AU474-IF($D$4="Forint",Paraméterek!$J$114,Paraméterek!$K$114),0,ROUNDDOWN(IF(ISBLANK($AW474),$AV474,$AW474),IF($D$4="Forint",0,2))-$AX474)</f>
        <v>0</v>
      </c>
      <c r="AZ474" s="13">
        <f t="shared" si="114"/>
        <v>0</v>
      </c>
    </row>
    <row r="475" spans="1:52" x14ac:dyDescent="0.2">
      <c r="A475" s="32">
        <v>456</v>
      </c>
      <c r="B475" s="32">
        <v>38</v>
      </c>
      <c r="C475" s="32">
        <v>12</v>
      </c>
      <c r="D475" s="13">
        <f t="shared" si="105"/>
        <v>0</v>
      </c>
      <c r="E475" s="13"/>
      <c r="F475" s="13"/>
      <c r="G475" s="13"/>
      <c r="H475" s="13">
        <f t="shared" si="106"/>
        <v>0</v>
      </c>
      <c r="I475" s="13">
        <f t="shared" si="107"/>
        <v>0</v>
      </c>
      <c r="J475" s="13">
        <f t="shared" si="108"/>
        <v>0</v>
      </c>
      <c r="K475" s="13">
        <f>ROUNDUP(IF($D$2="Egyszeri",$D475,IF($D$2="Havi",SUM($D$20:$D$31),IF(MOD($C475,$M$1)-1=0,SUM($D$20:$D$31),0))/12*$M$1)*VLOOKUP($B475,Paraméterek!$B$27:$D$30,IF($D$2="Egyszeri",3,2)),IF($D$4="Forint",0,2))</f>
        <v>0</v>
      </c>
      <c r="L475" s="13">
        <f t="shared" si="109"/>
        <v>0</v>
      </c>
      <c r="M475" s="13">
        <f t="shared" ca="1" si="115"/>
        <v>-308760</v>
      </c>
      <c r="N475" s="13">
        <f ca="1">IF($V474&gt;=VLOOKUP($M$4-1+$B475,Paraméterek!$B$121:$D$122,IF($D$4="Forint",2,3)),0,VLOOKUP($M$4-1+$B475,Paraméterek!$B$121:$D$122,IF($D$4="Forint",2,3))-$V474)</f>
        <v>318760</v>
      </c>
      <c r="O475" s="13">
        <f ca="1">ROUNDUP($N475*Paraméterek!$C$58/Paraméterek!$C$56,IF($D$4="Forint",0,2))</f>
        <v>51</v>
      </c>
      <c r="P475" s="13">
        <f t="shared" si="110"/>
        <v>1642</v>
      </c>
      <c r="Q475" s="33"/>
      <c r="R475" s="13">
        <f t="shared" ca="1" si="111"/>
        <v>0</v>
      </c>
      <c r="S475" s="13">
        <f ca="1">ROUNDUP(($M475-$O475-$P475+$R475)*VLOOKUP($B475,Paraméterek!$B$38:$D$39,IF($D$2="Egyszeri",3,2))/12,IF($D$4="Forint",0,2))</f>
        <v>-759</v>
      </c>
      <c r="T475" s="13">
        <f>Tranzakciók!$F$69</f>
        <v>0</v>
      </c>
      <c r="U475" s="13"/>
      <c r="V475" s="13">
        <f ca="1">$M475-$O475-$P475+$R475-$S475-IF(ROUNDUP(IF(ISBLANK($U475),$T475,$U475)/IF(AND($B475=1,$D$2&lt;&gt;"Egyszeri"),1,VLOOKUP($B475+IF($C475=12,1,0),Paraméterek!$B$257:$D$267,IF($D$2="Egyszeri",3,2))),IF($D$4="Forint",0,2))&gt;$M475-$O475-$P475+$R475-$S475-IF($D$4="Forint",Paraméterek!$C$216,Paraméterek!$D$216),0,ROUNDUP(IF(ISBLANK($U475),$T475,$U475)/IF(AND($B475=1,$D$2&lt;&gt;"Egyszeri"),1,VLOOKUP($B475+IF($C475=12,1,0),Paraméterek!$B$257:$D$267,IF($D$2="Egyszeri",3,2))),IF($D$4="Forint",0,2)))</f>
        <v>-309694</v>
      </c>
      <c r="W475" s="13">
        <f ca="1">ROUNDDOWN($V475*VLOOKUP($B475+IF($C475=12,1,0),Paraméterek!$B$257:$D$267,IF($D$2="Egyszeri",3,2)),IF($D$4="Forint",0,2))</f>
        <v>-309694</v>
      </c>
      <c r="Y475" s="32">
        <v>456</v>
      </c>
      <c r="Z475" s="32">
        <v>38</v>
      </c>
      <c r="AA475" s="32">
        <v>12</v>
      </c>
      <c r="AB475" s="13">
        <f t="shared" si="116"/>
        <v>0</v>
      </c>
      <c r="AC475" s="33"/>
      <c r="AD475" s="13">
        <f t="shared" si="112"/>
        <v>0</v>
      </c>
      <c r="AE475" s="13">
        <f>ROUNDUP(($AB475+$AD475)*VLOOKUP($Z475,Paraméterek!$P$38:$Q$38,2)/12,IF($D$4="Forint",0,2))</f>
        <v>0</v>
      </c>
      <c r="AF475" s="13">
        <f>IF($D$2="Egyszeri",IF($D$7&gt;=IF($D$4="Forint",Paraméterek!$P$223,Paraméterek!$P$224),$D$7-IF($D$4="Forint",Paraméterek!$F$223,Paraméterek!$F$224),0),MIN(IF($AA475=12,AVERAGE($D$20:$D475)*12,0),SUM($D$20:$D$31)))</f>
        <v>0</v>
      </c>
      <c r="AG475" s="13">
        <f>IF(AND($Z475&gt;=10,MOD($Z475,5)=0),$AF475*IF($AA475=12,VLOOKUP($Z475,Paraméterek!$B$225:$F$240,IF($AF475&lt;IF($D$4="Forint",Paraméterek!$C$223,Paraméterek!$C$224),2,IF($AF475&lt;IF($D$4="Forint",Paraméterek!$D$223,Paraméterek!$D$224),3,4))),0),0)</f>
        <v>0</v>
      </c>
      <c r="AH475" s="13">
        <f>IF(AND($Z475&gt;=5,MOD($Z475,5)=0),IF($AA475=12,VLOOKUP($Z475,Paraméterek!$B$225:$F$240,5),0),IF(OR($Z475=3,$Z475=4),IF($AA475=12,VLOOKUP($Z475,Paraméterek!$B$225:$F$240,5,0),0),0))*$AF475</f>
        <v>0</v>
      </c>
      <c r="AI475" s="13">
        <f>ROUNDDOWN(IF(SUM($T$20:$U475)=0,IF($D$2="Egyszeri",$AH475,$AG475),0),IF($D$4="Forint",0,2))</f>
        <v>0</v>
      </c>
      <c r="AJ475" s="13">
        <f t="shared" si="117"/>
        <v>0</v>
      </c>
      <c r="AK475" s="13">
        <f t="shared" si="118"/>
        <v>0</v>
      </c>
      <c r="AM475" s="32">
        <v>456</v>
      </c>
      <c r="AN475" s="32">
        <v>38</v>
      </c>
      <c r="AO475" s="32">
        <v>12</v>
      </c>
      <c r="AP475" s="13"/>
      <c r="AQ475" s="32"/>
      <c r="AR475" s="13">
        <f t="shared" si="119"/>
        <v>0</v>
      </c>
      <c r="AS475" s="33"/>
      <c r="AT475" s="13">
        <f t="shared" si="113"/>
        <v>0</v>
      </c>
      <c r="AU475" s="13">
        <f>ROUNDUP(($AR475+$AT475)*VLOOKUP($AN475,Paraméterek!$P$38:$Q$38,2)/12,IF($D$4="Forint",0,2))</f>
        <v>0</v>
      </c>
      <c r="AV475" s="13">
        <f>Tranzakciók!$M$69</f>
        <v>0</v>
      </c>
      <c r="AW475" s="13"/>
      <c r="AX475" s="13">
        <f>ROUNDUP(IF(SUM($AV475:$AW475)=0,0,IF(IF(ISBLANK($AW475),$AV475,$AW475)*Paraméterek!$J$112&lt;IF($D$4="Forint",Paraméterek!$J$113,Paraméterek!$K$113),IF($D$4="Forint",Paraméterek!$J$113,Paraméterek!$K$113),IF(IF(ISBLANK($AW475),$AV475,$AW475)*Paraméterek!$J$112&gt;IF($D$4="Forint",Paraméterek!$J$114,Paraméterek!$K$114),IF($D$4="Forint",Paraméterek!$J$114,Paraméterek!$K$114),IF(ISBLANK($AW475),$AV475,$AW475)*Paraméterek!$J$112))),IF($D$4="Forint",0,2))</f>
        <v>0</v>
      </c>
      <c r="AY475" s="13">
        <f>$AR475+$AT475-$AU475-IF(ROUNDDOWN(IF(ISBLANK($AW475),$AV475,$AW475),IF($D$4="Forint",0,2))&gt;$AR475+$AT475-$AU475-IF($D$4="Forint",Paraméterek!$J$114,Paraméterek!$K$114),0,ROUNDDOWN(IF(ISBLANK($AW475),$AV475,$AW475),IF($D$4="Forint",0,2))-$AX475)</f>
        <v>0</v>
      </c>
      <c r="AZ475" s="13">
        <f t="shared" si="114"/>
        <v>0</v>
      </c>
    </row>
    <row r="476" spans="1:52" x14ac:dyDescent="0.2">
      <c r="A476" s="32">
        <v>457</v>
      </c>
      <c r="B476" s="32">
        <v>39</v>
      </c>
      <c r="C476" s="32">
        <v>1</v>
      </c>
      <c r="D476" s="13">
        <f t="shared" si="105"/>
        <v>0</v>
      </c>
      <c r="E476" s="13"/>
      <c r="F476" s="13">
        <f>Tranzakciók!$D$70</f>
        <v>0</v>
      </c>
      <c r="G476" s="13"/>
      <c r="H476" s="13">
        <f t="shared" si="106"/>
        <v>0</v>
      </c>
      <c r="I476" s="13">
        <f t="shared" si="107"/>
        <v>308</v>
      </c>
      <c r="J476" s="13">
        <f t="shared" si="108"/>
        <v>308</v>
      </c>
      <c r="K476" s="13">
        <f>ROUNDUP(IF($D$2="Egyszeri",$D476,IF($D$2="Havi",SUM($D$20:$D$31),IF(MOD($C476,$M$1)-1=0,SUM($D$20:$D$31),0))/12*$M$1)*VLOOKUP($B476,Paraméterek!$B$27:$D$30,IF($D$2="Egyszeri",3,2)),IF($D$4="Forint",0,2))</f>
        <v>0</v>
      </c>
      <c r="L476" s="13">
        <f t="shared" si="109"/>
        <v>0</v>
      </c>
      <c r="M476" s="13">
        <f t="shared" ca="1" si="115"/>
        <v>-309694</v>
      </c>
      <c r="N476" s="13">
        <f ca="1">IF($V475&gt;=VLOOKUP($M$4-1+$B476,Paraméterek!$B$121:$D$122,IF($D$4="Forint",2,3)),0,VLOOKUP($M$4-1+$B476,Paraméterek!$B$121:$D$122,IF($D$4="Forint",2,3))-$V475)</f>
        <v>319694</v>
      </c>
      <c r="O476" s="13">
        <f ca="1">ROUNDUP($N476*Paraméterek!$C$58/Paraméterek!$C$56,IF($D$4="Forint",0,2))</f>
        <v>51</v>
      </c>
      <c r="P476" s="13">
        <f t="shared" si="110"/>
        <v>1692</v>
      </c>
      <c r="Q476" s="33"/>
      <c r="R476" s="13">
        <f t="shared" ca="1" si="111"/>
        <v>0</v>
      </c>
      <c r="S476" s="13">
        <f ca="1">ROUNDUP(($M476-$O476-$P476+$R476)*VLOOKUP($B476,Paraméterek!$B$38:$D$39,IF($D$2="Egyszeri",3,2))/12,IF($D$4="Forint",0,2))</f>
        <v>-761</v>
      </c>
      <c r="T476" s="13"/>
      <c r="U476" s="13"/>
      <c r="V476" s="13">
        <f ca="1">$M476-$O476-$P476+$R476-$S476-IF(ROUNDUP(IF(ISBLANK($U476),$T476,$U476)/IF(AND($B476=1,$D$2&lt;&gt;"Egyszeri"),1,VLOOKUP($B476+IF($C476=12,1,0),Paraméterek!$B$257:$D$267,IF($D$2="Egyszeri",3,2))),IF($D$4="Forint",0,2))&gt;$M476-$O476-$P476+$R476-$S476-IF($D$4="Forint",Paraméterek!$C$216,Paraméterek!$D$216),0,ROUNDUP(IF(ISBLANK($U476),$T476,$U476)/IF(AND($B476=1,$D$2&lt;&gt;"Egyszeri"),1,VLOOKUP($B476+IF($C476=12,1,0),Paraméterek!$B$257:$D$267,IF($D$2="Egyszeri",3,2))),IF($D$4="Forint",0,2)))</f>
        <v>-310676</v>
      </c>
      <c r="W476" s="13">
        <f ca="1">ROUNDDOWN($V476*VLOOKUP($B476+IF($C476=12,1,0),Paraméterek!$B$257:$D$267,IF($D$2="Egyszeri",3,2)),IF($D$4="Forint",0,2))</f>
        <v>-310676</v>
      </c>
      <c r="Y476" s="32">
        <v>457</v>
      </c>
      <c r="Z476" s="32">
        <v>39</v>
      </c>
      <c r="AA476" s="32">
        <v>1</v>
      </c>
      <c r="AB476" s="13">
        <f t="shared" si="116"/>
        <v>0</v>
      </c>
      <c r="AC476" s="33"/>
      <c r="AD476" s="13">
        <f t="shared" si="112"/>
        <v>0</v>
      </c>
      <c r="AE476" s="13">
        <f>ROUNDUP(($AB476+$AD476)*VLOOKUP($Z476,Paraméterek!$P$38:$Q$38,2)/12,IF($D$4="Forint",0,2))</f>
        <v>0</v>
      </c>
      <c r="AF476" s="13">
        <f>IF($D$2="Egyszeri",IF($D$7&gt;=IF($D$4="Forint",Paraméterek!$P$223,Paraméterek!$P$224),$D$7-IF($D$4="Forint",Paraméterek!$F$223,Paraméterek!$F$224),0),MIN(IF($AA476=12,AVERAGE($D$20:$D476)*12,0),SUM($D$20:$D$31)))</f>
        <v>0</v>
      </c>
      <c r="AG476" s="13">
        <f>IF(AND($Z476&gt;=10,MOD($Z476,5)=0),$AF476*IF($AA476=12,VLOOKUP($Z476,Paraméterek!$B$225:$F$240,IF($AF476&lt;IF($D$4="Forint",Paraméterek!$C$223,Paraméterek!$C$224),2,IF($AF476&lt;IF($D$4="Forint",Paraméterek!$D$223,Paraméterek!$D$224),3,4))),0),0)</f>
        <v>0</v>
      </c>
      <c r="AH476" s="13">
        <f>IF(AND($Z476&gt;=5,MOD($Z476,5)=0),IF($AA476=12,VLOOKUP($Z476,Paraméterek!$B$225:$F$240,5),0),IF(OR($Z476=3,$Z476=4),IF($AA476=12,VLOOKUP($Z476,Paraméterek!$B$225:$F$240,5,0),0),0))*$AF476</f>
        <v>0</v>
      </c>
      <c r="AI476" s="13">
        <f>ROUNDDOWN(IF(SUM($T$20:$U476)=0,IF($D$2="Egyszeri",$AH476,$AG476),0),IF($D$4="Forint",0,2))</f>
        <v>0</v>
      </c>
      <c r="AJ476" s="13">
        <f t="shared" si="117"/>
        <v>0</v>
      </c>
      <c r="AK476" s="13">
        <f t="shared" si="118"/>
        <v>0</v>
      </c>
      <c r="AM476" s="32">
        <v>457</v>
      </c>
      <c r="AN476" s="32">
        <v>39</v>
      </c>
      <c r="AO476" s="32">
        <v>1</v>
      </c>
      <c r="AP476" s="13">
        <f>Tranzakciók!$K$70</f>
        <v>0</v>
      </c>
      <c r="AQ476" s="32"/>
      <c r="AR476" s="13">
        <f t="shared" si="119"/>
        <v>0</v>
      </c>
      <c r="AS476" s="33"/>
      <c r="AT476" s="13">
        <f t="shared" si="113"/>
        <v>0</v>
      </c>
      <c r="AU476" s="13">
        <f>ROUNDUP(($AR476+$AT476)*VLOOKUP($AN476,Paraméterek!$P$38:$Q$38,2)/12,IF($D$4="Forint",0,2))</f>
        <v>0</v>
      </c>
      <c r="AV476" s="13"/>
      <c r="AW476" s="13"/>
      <c r="AX476" s="13">
        <f>ROUNDUP(IF(SUM($AV476:$AW476)=0,0,IF(IF(ISBLANK($AW476),$AV476,$AW476)*Paraméterek!$J$112&lt;IF($D$4="Forint",Paraméterek!$J$113,Paraméterek!$K$113),IF($D$4="Forint",Paraméterek!$J$113,Paraméterek!$K$113),IF(IF(ISBLANK($AW476),$AV476,$AW476)*Paraméterek!$J$112&gt;IF($D$4="Forint",Paraméterek!$J$114,Paraméterek!$K$114),IF($D$4="Forint",Paraméterek!$J$114,Paraméterek!$K$114),IF(ISBLANK($AW476),$AV476,$AW476)*Paraméterek!$J$112))),IF($D$4="Forint",0,2))</f>
        <v>0</v>
      </c>
      <c r="AY476" s="13">
        <f>$AR476+$AT476-$AU476-IF(ROUNDDOWN(IF(ISBLANK($AW476),$AV476,$AW476),IF($D$4="Forint",0,2))&gt;$AR476+$AT476-$AU476-IF($D$4="Forint",Paraméterek!$J$114,Paraméterek!$K$114),0,ROUNDDOWN(IF(ISBLANK($AW476),$AV476,$AW476),IF($D$4="Forint",0,2))-$AX476)</f>
        <v>0</v>
      </c>
      <c r="AZ476" s="13">
        <f t="shared" si="114"/>
        <v>0</v>
      </c>
    </row>
    <row r="477" spans="1:52" x14ac:dyDescent="0.2">
      <c r="A477" s="32">
        <v>458</v>
      </c>
      <c r="B477" s="32">
        <v>39</v>
      </c>
      <c r="C477" s="32">
        <v>2</v>
      </c>
      <c r="D477" s="13">
        <f t="shared" si="105"/>
        <v>0</v>
      </c>
      <c r="E477" s="13"/>
      <c r="F477" s="13"/>
      <c r="G477" s="13"/>
      <c r="H477" s="13">
        <f t="shared" si="106"/>
        <v>0</v>
      </c>
      <c r="I477" s="13">
        <f t="shared" si="107"/>
        <v>0</v>
      </c>
      <c r="J477" s="13">
        <f t="shared" si="108"/>
        <v>0</v>
      </c>
      <c r="K477" s="13">
        <f>ROUNDUP(IF($D$2="Egyszeri",$D477,IF($D$2="Havi",SUM($D$20:$D$31),IF(MOD($C477,$M$1)-1=0,SUM($D$20:$D$31),0))/12*$M$1)*VLOOKUP($B477,Paraméterek!$B$27:$D$30,IF($D$2="Egyszeri",3,2)),IF($D$4="Forint",0,2))</f>
        <v>0</v>
      </c>
      <c r="L477" s="13">
        <f t="shared" si="109"/>
        <v>0</v>
      </c>
      <c r="M477" s="13">
        <f t="shared" ca="1" si="115"/>
        <v>-310676</v>
      </c>
      <c r="N477" s="13">
        <f ca="1">IF($V476&gt;=VLOOKUP($M$4-1+$B477,Paraméterek!$B$121:$D$122,IF($D$4="Forint",2,3)),0,VLOOKUP($M$4-1+$B477,Paraméterek!$B$121:$D$122,IF($D$4="Forint",2,3))-$V476)</f>
        <v>320676</v>
      </c>
      <c r="O477" s="13">
        <f ca="1">ROUNDUP($N477*Paraméterek!$C$58/Paraméterek!$C$56,IF($D$4="Forint",0,2))</f>
        <v>52</v>
      </c>
      <c r="P477" s="13">
        <f t="shared" si="110"/>
        <v>1692</v>
      </c>
      <c r="Q477" s="33"/>
      <c r="R477" s="13">
        <f t="shared" ca="1" si="111"/>
        <v>0</v>
      </c>
      <c r="S477" s="13">
        <f ca="1">ROUNDUP(($M477-$O477-$P477+$R477)*VLOOKUP($B477,Paraméterek!$B$38:$D$39,IF($D$2="Egyszeri",3,2))/12,IF($D$4="Forint",0,2))</f>
        <v>-763</v>
      </c>
      <c r="T477" s="13"/>
      <c r="U477" s="13"/>
      <c r="V477" s="13">
        <f ca="1">$M477-$O477-$P477+$R477-$S477-IF(ROUNDUP(IF(ISBLANK($U477),$T477,$U477)/IF(AND($B477=1,$D$2&lt;&gt;"Egyszeri"),1,VLOOKUP($B477+IF($C477=12,1,0),Paraméterek!$B$257:$D$267,IF($D$2="Egyszeri",3,2))),IF($D$4="Forint",0,2))&gt;$M477-$O477-$P477+$R477-$S477-IF($D$4="Forint",Paraméterek!$C$216,Paraméterek!$D$216),0,ROUNDUP(IF(ISBLANK($U477),$T477,$U477)/IF(AND($B477=1,$D$2&lt;&gt;"Egyszeri"),1,VLOOKUP($B477+IF($C477=12,1,0),Paraméterek!$B$257:$D$267,IF($D$2="Egyszeri",3,2))),IF($D$4="Forint",0,2)))</f>
        <v>-311657</v>
      </c>
      <c r="W477" s="13">
        <f ca="1">ROUNDDOWN($V477*VLOOKUP($B477+IF($C477=12,1,0),Paraméterek!$B$257:$D$267,IF($D$2="Egyszeri",3,2)),IF($D$4="Forint",0,2))</f>
        <v>-311657</v>
      </c>
      <c r="Y477" s="32">
        <v>458</v>
      </c>
      <c r="Z477" s="32">
        <v>39</v>
      </c>
      <c r="AA477" s="32">
        <v>2</v>
      </c>
      <c r="AB477" s="13">
        <f t="shared" si="116"/>
        <v>0</v>
      </c>
      <c r="AC477" s="33"/>
      <c r="AD477" s="13">
        <f t="shared" si="112"/>
        <v>0</v>
      </c>
      <c r="AE477" s="13">
        <f>ROUNDUP(($AB477+$AD477)*VLOOKUP($Z477,Paraméterek!$P$38:$Q$38,2)/12,IF($D$4="Forint",0,2))</f>
        <v>0</v>
      </c>
      <c r="AF477" s="13">
        <f>IF($D$2="Egyszeri",IF($D$7&gt;=IF($D$4="Forint",Paraméterek!$P$223,Paraméterek!$P$224),$D$7-IF($D$4="Forint",Paraméterek!$F$223,Paraméterek!$F$224),0),MIN(IF($AA477=12,AVERAGE($D$20:$D477)*12,0),SUM($D$20:$D$31)))</f>
        <v>0</v>
      </c>
      <c r="AG477" s="13">
        <f>IF(AND($Z477&gt;=10,MOD($Z477,5)=0),$AF477*IF($AA477=12,VLOOKUP($Z477,Paraméterek!$B$225:$F$240,IF($AF477&lt;IF($D$4="Forint",Paraméterek!$C$223,Paraméterek!$C$224),2,IF($AF477&lt;IF($D$4="Forint",Paraméterek!$D$223,Paraméterek!$D$224),3,4))),0),0)</f>
        <v>0</v>
      </c>
      <c r="AH477" s="13">
        <f>IF(AND($Z477&gt;=5,MOD($Z477,5)=0),IF($AA477=12,VLOOKUP($Z477,Paraméterek!$B$225:$F$240,5),0),IF(OR($Z477=3,$Z477=4),IF($AA477=12,VLOOKUP($Z477,Paraméterek!$B$225:$F$240,5,0),0),0))*$AF477</f>
        <v>0</v>
      </c>
      <c r="AI477" s="13">
        <f>ROUNDDOWN(IF(SUM($T$20:$U477)=0,IF($D$2="Egyszeri",$AH477,$AG477),0),IF($D$4="Forint",0,2))</f>
        <v>0</v>
      </c>
      <c r="AJ477" s="13">
        <f t="shared" si="117"/>
        <v>0</v>
      </c>
      <c r="AK477" s="13">
        <f t="shared" si="118"/>
        <v>0</v>
      </c>
      <c r="AM477" s="32">
        <v>458</v>
      </c>
      <c r="AN477" s="32">
        <v>39</v>
      </c>
      <c r="AO477" s="32">
        <v>2</v>
      </c>
      <c r="AP477" s="13"/>
      <c r="AQ477" s="32"/>
      <c r="AR477" s="13">
        <f t="shared" si="119"/>
        <v>0</v>
      </c>
      <c r="AS477" s="33"/>
      <c r="AT477" s="13">
        <f t="shared" si="113"/>
        <v>0</v>
      </c>
      <c r="AU477" s="13">
        <f>ROUNDUP(($AR477+$AT477)*VLOOKUP($AN477,Paraméterek!$P$38:$Q$38,2)/12,IF($D$4="Forint",0,2))</f>
        <v>0</v>
      </c>
      <c r="AV477" s="13"/>
      <c r="AW477" s="13"/>
      <c r="AX477" s="13">
        <f>ROUNDUP(IF(SUM($AV477:$AW477)=0,0,IF(IF(ISBLANK($AW477),$AV477,$AW477)*Paraméterek!$J$112&lt;IF($D$4="Forint",Paraméterek!$J$113,Paraméterek!$K$113),IF($D$4="Forint",Paraméterek!$J$113,Paraméterek!$K$113),IF(IF(ISBLANK($AW477),$AV477,$AW477)*Paraméterek!$J$112&gt;IF($D$4="Forint",Paraméterek!$J$114,Paraméterek!$K$114),IF($D$4="Forint",Paraméterek!$J$114,Paraméterek!$K$114),IF(ISBLANK($AW477),$AV477,$AW477)*Paraméterek!$J$112))),IF($D$4="Forint",0,2))</f>
        <v>0</v>
      </c>
      <c r="AY477" s="13">
        <f>$AR477+$AT477-$AU477-IF(ROUNDDOWN(IF(ISBLANK($AW477),$AV477,$AW477),IF($D$4="Forint",0,2))&gt;$AR477+$AT477-$AU477-IF($D$4="Forint",Paraméterek!$J$114,Paraméterek!$K$114),0,ROUNDDOWN(IF(ISBLANK($AW477),$AV477,$AW477),IF($D$4="Forint",0,2))-$AX477)</f>
        <v>0</v>
      </c>
      <c r="AZ477" s="13">
        <f t="shared" si="114"/>
        <v>0</v>
      </c>
    </row>
    <row r="478" spans="1:52" x14ac:dyDescent="0.2">
      <c r="A478" s="32">
        <v>459</v>
      </c>
      <c r="B478" s="32">
        <v>39</v>
      </c>
      <c r="C478" s="32">
        <v>3</v>
      </c>
      <c r="D478" s="13">
        <f t="shared" si="105"/>
        <v>0</v>
      </c>
      <c r="E478" s="13"/>
      <c r="F478" s="13"/>
      <c r="G478" s="13"/>
      <c r="H478" s="13">
        <f t="shared" si="106"/>
        <v>0</v>
      </c>
      <c r="I478" s="13">
        <f t="shared" si="107"/>
        <v>0</v>
      </c>
      <c r="J478" s="13">
        <f t="shared" si="108"/>
        <v>0</v>
      </c>
      <c r="K478" s="13">
        <f>ROUNDUP(IF($D$2="Egyszeri",$D478,IF($D$2="Havi",SUM($D$20:$D$31),IF(MOD($C478,$M$1)-1=0,SUM($D$20:$D$31),0))/12*$M$1)*VLOOKUP($B478,Paraméterek!$B$27:$D$30,IF($D$2="Egyszeri",3,2)),IF($D$4="Forint",0,2))</f>
        <v>0</v>
      </c>
      <c r="L478" s="13">
        <f t="shared" si="109"/>
        <v>0</v>
      </c>
      <c r="M478" s="13">
        <f t="shared" ca="1" si="115"/>
        <v>-311657</v>
      </c>
      <c r="N478" s="13">
        <f ca="1">IF($V477&gt;=VLOOKUP($M$4-1+$B478,Paraméterek!$B$121:$D$122,IF($D$4="Forint",2,3)),0,VLOOKUP($M$4-1+$B478,Paraméterek!$B$121:$D$122,IF($D$4="Forint",2,3))-$V477)</f>
        <v>321657</v>
      </c>
      <c r="O478" s="13">
        <f ca="1">ROUNDUP($N478*Paraméterek!$C$58/Paraméterek!$C$56,IF($D$4="Forint",0,2))</f>
        <v>52</v>
      </c>
      <c r="P478" s="13">
        <f t="shared" si="110"/>
        <v>1692</v>
      </c>
      <c r="Q478" s="33"/>
      <c r="R478" s="13">
        <f t="shared" ca="1" si="111"/>
        <v>0</v>
      </c>
      <c r="S478" s="13">
        <f ca="1">ROUNDUP(($M478-$O478-$P478+$R478)*VLOOKUP($B478,Paraméterek!$B$38:$D$39,IF($D$2="Egyszeri",3,2))/12,IF($D$4="Forint",0,2))</f>
        <v>-766</v>
      </c>
      <c r="T478" s="13"/>
      <c r="U478" s="13"/>
      <c r="V478" s="13">
        <f ca="1">$M478-$O478-$P478+$R478-$S478-IF(ROUNDUP(IF(ISBLANK($U478),$T478,$U478)/IF(AND($B478=1,$D$2&lt;&gt;"Egyszeri"),1,VLOOKUP($B478+IF($C478=12,1,0),Paraméterek!$B$257:$D$267,IF($D$2="Egyszeri",3,2))),IF($D$4="Forint",0,2))&gt;$M478-$O478-$P478+$R478-$S478-IF($D$4="Forint",Paraméterek!$C$216,Paraméterek!$D$216),0,ROUNDUP(IF(ISBLANK($U478),$T478,$U478)/IF(AND($B478=1,$D$2&lt;&gt;"Egyszeri"),1,VLOOKUP($B478+IF($C478=12,1,0),Paraméterek!$B$257:$D$267,IF($D$2="Egyszeri",3,2))),IF($D$4="Forint",0,2)))</f>
        <v>-312635</v>
      </c>
      <c r="W478" s="13">
        <f ca="1">ROUNDDOWN($V478*VLOOKUP($B478+IF($C478=12,1,0),Paraméterek!$B$257:$D$267,IF($D$2="Egyszeri",3,2)),IF($D$4="Forint",0,2))</f>
        <v>-312635</v>
      </c>
      <c r="Y478" s="32">
        <v>459</v>
      </c>
      <c r="Z478" s="32">
        <v>39</v>
      </c>
      <c r="AA478" s="32">
        <v>3</v>
      </c>
      <c r="AB478" s="13">
        <f t="shared" si="116"/>
        <v>0</v>
      </c>
      <c r="AC478" s="33"/>
      <c r="AD478" s="13">
        <f t="shared" si="112"/>
        <v>0</v>
      </c>
      <c r="AE478" s="13">
        <f>ROUNDUP(($AB478+$AD478)*VLOOKUP($Z478,Paraméterek!$P$38:$Q$38,2)/12,IF($D$4="Forint",0,2))</f>
        <v>0</v>
      </c>
      <c r="AF478" s="13">
        <f>IF($D$2="Egyszeri",IF($D$7&gt;=IF($D$4="Forint",Paraméterek!$P$223,Paraméterek!$P$224),$D$7-IF($D$4="Forint",Paraméterek!$F$223,Paraméterek!$F$224),0),MIN(IF($AA478=12,AVERAGE($D$20:$D478)*12,0),SUM($D$20:$D$31)))</f>
        <v>0</v>
      </c>
      <c r="AG478" s="13">
        <f>IF(AND($Z478&gt;=10,MOD($Z478,5)=0),$AF478*IF($AA478=12,VLOOKUP($Z478,Paraméterek!$B$225:$F$240,IF($AF478&lt;IF($D$4="Forint",Paraméterek!$C$223,Paraméterek!$C$224),2,IF($AF478&lt;IF($D$4="Forint",Paraméterek!$D$223,Paraméterek!$D$224),3,4))),0),0)</f>
        <v>0</v>
      </c>
      <c r="AH478" s="13">
        <f>IF(AND($Z478&gt;=5,MOD($Z478,5)=0),IF($AA478=12,VLOOKUP($Z478,Paraméterek!$B$225:$F$240,5),0),IF(OR($Z478=3,$Z478=4),IF($AA478=12,VLOOKUP($Z478,Paraméterek!$B$225:$F$240,5,0),0),0))*$AF478</f>
        <v>0</v>
      </c>
      <c r="AI478" s="13">
        <f>ROUNDDOWN(IF(SUM($T$20:$U478)=0,IF($D$2="Egyszeri",$AH478,$AG478),0),IF($D$4="Forint",0,2))</f>
        <v>0</v>
      </c>
      <c r="AJ478" s="13">
        <f t="shared" si="117"/>
        <v>0</v>
      </c>
      <c r="AK478" s="13">
        <f t="shared" si="118"/>
        <v>0</v>
      </c>
      <c r="AM478" s="32">
        <v>459</v>
      </c>
      <c r="AN478" s="32">
        <v>39</v>
      </c>
      <c r="AO478" s="32">
        <v>3</v>
      </c>
      <c r="AP478" s="13"/>
      <c r="AQ478" s="32"/>
      <c r="AR478" s="13">
        <f t="shared" si="119"/>
        <v>0</v>
      </c>
      <c r="AS478" s="33"/>
      <c r="AT478" s="13">
        <f t="shared" si="113"/>
        <v>0</v>
      </c>
      <c r="AU478" s="13">
        <f>ROUNDUP(($AR478+$AT478)*VLOOKUP($AN478,Paraméterek!$P$38:$Q$38,2)/12,IF($D$4="Forint",0,2))</f>
        <v>0</v>
      </c>
      <c r="AV478" s="13"/>
      <c r="AW478" s="13"/>
      <c r="AX478" s="13">
        <f>ROUNDUP(IF(SUM($AV478:$AW478)=0,0,IF(IF(ISBLANK($AW478),$AV478,$AW478)*Paraméterek!$J$112&lt;IF($D$4="Forint",Paraméterek!$J$113,Paraméterek!$K$113),IF($D$4="Forint",Paraméterek!$J$113,Paraméterek!$K$113),IF(IF(ISBLANK($AW478),$AV478,$AW478)*Paraméterek!$J$112&gt;IF($D$4="Forint",Paraméterek!$J$114,Paraméterek!$K$114),IF($D$4="Forint",Paraméterek!$J$114,Paraméterek!$K$114),IF(ISBLANK($AW478),$AV478,$AW478)*Paraméterek!$J$112))),IF($D$4="Forint",0,2))</f>
        <v>0</v>
      </c>
      <c r="AY478" s="13">
        <f>$AR478+$AT478-$AU478-IF(ROUNDDOWN(IF(ISBLANK($AW478),$AV478,$AW478),IF($D$4="Forint",0,2))&gt;$AR478+$AT478-$AU478-IF($D$4="Forint",Paraméterek!$J$114,Paraméterek!$K$114),0,ROUNDDOWN(IF(ISBLANK($AW478),$AV478,$AW478),IF($D$4="Forint",0,2))-$AX478)</f>
        <v>0</v>
      </c>
      <c r="AZ478" s="13">
        <f t="shared" si="114"/>
        <v>0</v>
      </c>
    </row>
    <row r="479" spans="1:52" x14ac:dyDescent="0.2">
      <c r="A479" s="32">
        <v>460</v>
      </c>
      <c r="B479" s="32">
        <v>39</v>
      </c>
      <c r="C479" s="32">
        <v>4</v>
      </c>
      <c r="D479" s="13">
        <f t="shared" si="105"/>
        <v>0</v>
      </c>
      <c r="E479" s="13"/>
      <c r="F479" s="13"/>
      <c r="G479" s="13"/>
      <c r="H479" s="13">
        <f t="shared" si="106"/>
        <v>0</v>
      </c>
      <c r="I479" s="13">
        <f t="shared" si="107"/>
        <v>0</v>
      </c>
      <c r="J479" s="13">
        <f t="shared" si="108"/>
        <v>0</v>
      </c>
      <c r="K479" s="13">
        <f>ROUNDUP(IF($D$2="Egyszeri",$D479,IF($D$2="Havi",SUM($D$20:$D$31),IF(MOD($C479,$M$1)-1=0,SUM($D$20:$D$31),0))/12*$M$1)*VLOOKUP($B479,Paraméterek!$B$27:$D$30,IF($D$2="Egyszeri",3,2)),IF($D$4="Forint",0,2))</f>
        <v>0</v>
      </c>
      <c r="L479" s="13">
        <f t="shared" si="109"/>
        <v>0</v>
      </c>
      <c r="M479" s="13">
        <f t="shared" ca="1" si="115"/>
        <v>-312635</v>
      </c>
      <c r="N479" s="13">
        <f ca="1">IF($V478&gt;=VLOOKUP($M$4-1+$B479,Paraméterek!$B$121:$D$122,IF($D$4="Forint",2,3)),0,VLOOKUP($M$4-1+$B479,Paraméterek!$B$121:$D$122,IF($D$4="Forint",2,3))-$V478)</f>
        <v>322635</v>
      </c>
      <c r="O479" s="13">
        <f ca="1">ROUNDUP($N479*Paraméterek!$C$58/Paraméterek!$C$56,IF($D$4="Forint",0,2))</f>
        <v>52</v>
      </c>
      <c r="P479" s="13">
        <f t="shared" si="110"/>
        <v>1692</v>
      </c>
      <c r="Q479" s="33"/>
      <c r="R479" s="13">
        <f t="shared" ca="1" si="111"/>
        <v>0</v>
      </c>
      <c r="S479" s="13">
        <f ca="1">ROUNDUP(($M479-$O479-$P479+$R479)*VLOOKUP($B479,Paraméterek!$B$38:$D$39,IF($D$2="Egyszeri",3,2))/12,IF($D$4="Forint",0,2))</f>
        <v>-768</v>
      </c>
      <c r="T479" s="13"/>
      <c r="U479" s="13"/>
      <c r="V479" s="13">
        <f ca="1">$M479-$O479-$P479+$R479-$S479-IF(ROUNDUP(IF(ISBLANK($U479),$T479,$U479)/IF(AND($B479=1,$D$2&lt;&gt;"Egyszeri"),1,VLOOKUP($B479+IF($C479=12,1,0),Paraméterek!$B$257:$D$267,IF($D$2="Egyszeri",3,2))),IF($D$4="Forint",0,2))&gt;$M479-$O479-$P479+$R479-$S479-IF($D$4="Forint",Paraméterek!$C$216,Paraméterek!$D$216),0,ROUNDUP(IF(ISBLANK($U479),$T479,$U479)/IF(AND($B479=1,$D$2&lt;&gt;"Egyszeri"),1,VLOOKUP($B479+IF($C479=12,1,0),Paraméterek!$B$257:$D$267,IF($D$2="Egyszeri",3,2))),IF($D$4="Forint",0,2)))</f>
        <v>-313611</v>
      </c>
      <c r="W479" s="13">
        <f ca="1">ROUNDDOWN($V479*VLOOKUP($B479+IF($C479=12,1,0),Paraméterek!$B$257:$D$267,IF($D$2="Egyszeri",3,2)),IF($D$4="Forint",0,2))</f>
        <v>-313611</v>
      </c>
      <c r="Y479" s="32">
        <v>460</v>
      </c>
      <c r="Z479" s="32">
        <v>39</v>
      </c>
      <c r="AA479" s="32">
        <v>4</v>
      </c>
      <c r="AB479" s="13">
        <f t="shared" si="116"/>
        <v>0</v>
      </c>
      <c r="AC479" s="33"/>
      <c r="AD479" s="13">
        <f t="shared" si="112"/>
        <v>0</v>
      </c>
      <c r="AE479" s="13">
        <f>ROUNDUP(($AB479+$AD479)*VLOOKUP($Z479,Paraméterek!$P$38:$Q$38,2)/12,IF($D$4="Forint",0,2))</f>
        <v>0</v>
      </c>
      <c r="AF479" s="13">
        <f>IF($D$2="Egyszeri",IF($D$7&gt;=IF($D$4="Forint",Paraméterek!$P$223,Paraméterek!$P$224),$D$7-IF($D$4="Forint",Paraméterek!$F$223,Paraméterek!$F$224),0),MIN(IF($AA479=12,AVERAGE($D$20:$D479)*12,0),SUM($D$20:$D$31)))</f>
        <v>0</v>
      </c>
      <c r="AG479" s="13">
        <f>IF(AND($Z479&gt;=10,MOD($Z479,5)=0),$AF479*IF($AA479=12,VLOOKUP($Z479,Paraméterek!$B$225:$F$240,IF($AF479&lt;IF($D$4="Forint",Paraméterek!$C$223,Paraméterek!$C$224),2,IF($AF479&lt;IF($D$4="Forint",Paraméterek!$D$223,Paraméterek!$D$224),3,4))),0),0)</f>
        <v>0</v>
      </c>
      <c r="AH479" s="13">
        <f>IF(AND($Z479&gt;=5,MOD($Z479,5)=0),IF($AA479=12,VLOOKUP($Z479,Paraméterek!$B$225:$F$240,5),0),IF(OR($Z479=3,$Z479=4),IF($AA479=12,VLOOKUP($Z479,Paraméterek!$B$225:$F$240,5,0),0),0))*$AF479</f>
        <v>0</v>
      </c>
      <c r="AI479" s="13">
        <f>ROUNDDOWN(IF(SUM($T$20:$U479)=0,IF($D$2="Egyszeri",$AH479,$AG479),0),IF($D$4="Forint",0,2))</f>
        <v>0</v>
      </c>
      <c r="AJ479" s="13">
        <f t="shared" si="117"/>
        <v>0</v>
      </c>
      <c r="AK479" s="13">
        <f t="shared" si="118"/>
        <v>0</v>
      </c>
      <c r="AM479" s="32">
        <v>460</v>
      </c>
      <c r="AN479" s="32">
        <v>39</v>
      </c>
      <c r="AO479" s="32">
        <v>4</v>
      </c>
      <c r="AP479" s="13"/>
      <c r="AQ479" s="32"/>
      <c r="AR479" s="13">
        <f t="shared" si="119"/>
        <v>0</v>
      </c>
      <c r="AS479" s="33"/>
      <c r="AT479" s="13">
        <f t="shared" si="113"/>
        <v>0</v>
      </c>
      <c r="AU479" s="13">
        <f>ROUNDUP(($AR479+$AT479)*VLOOKUP($AN479,Paraméterek!$P$38:$Q$38,2)/12,IF($D$4="Forint",0,2))</f>
        <v>0</v>
      </c>
      <c r="AV479" s="13"/>
      <c r="AW479" s="13"/>
      <c r="AX479" s="13">
        <f>ROUNDUP(IF(SUM($AV479:$AW479)=0,0,IF(IF(ISBLANK($AW479),$AV479,$AW479)*Paraméterek!$J$112&lt;IF($D$4="Forint",Paraméterek!$J$113,Paraméterek!$K$113),IF($D$4="Forint",Paraméterek!$J$113,Paraméterek!$K$113),IF(IF(ISBLANK($AW479),$AV479,$AW479)*Paraméterek!$J$112&gt;IF($D$4="Forint",Paraméterek!$J$114,Paraméterek!$K$114),IF($D$4="Forint",Paraméterek!$J$114,Paraméterek!$K$114),IF(ISBLANK($AW479),$AV479,$AW479)*Paraméterek!$J$112))),IF($D$4="Forint",0,2))</f>
        <v>0</v>
      </c>
      <c r="AY479" s="13">
        <f>$AR479+$AT479-$AU479-IF(ROUNDDOWN(IF(ISBLANK($AW479),$AV479,$AW479),IF($D$4="Forint",0,2))&gt;$AR479+$AT479-$AU479-IF($D$4="Forint",Paraméterek!$J$114,Paraméterek!$K$114),0,ROUNDDOWN(IF(ISBLANK($AW479),$AV479,$AW479),IF($D$4="Forint",0,2))-$AX479)</f>
        <v>0</v>
      </c>
      <c r="AZ479" s="13">
        <f t="shared" si="114"/>
        <v>0</v>
      </c>
    </row>
    <row r="480" spans="1:52" x14ac:dyDescent="0.2">
      <c r="A480" s="32">
        <v>461</v>
      </c>
      <c r="B480" s="32">
        <v>39</v>
      </c>
      <c r="C480" s="32">
        <v>5</v>
      </c>
      <c r="D480" s="13">
        <f t="shared" si="105"/>
        <v>0</v>
      </c>
      <c r="E480" s="13"/>
      <c r="F480" s="13"/>
      <c r="G480" s="13"/>
      <c r="H480" s="13">
        <f t="shared" si="106"/>
        <v>0</v>
      </c>
      <c r="I480" s="13">
        <f t="shared" si="107"/>
        <v>0</v>
      </c>
      <c r="J480" s="13">
        <f t="shared" si="108"/>
        <v>0</v>
      </c>
      <c r="K480" s="13">
        <f>ROUNDUP(IF($D$2="Egyszeri",$D480,IF($D$2="Havi",SUM($D$20:$D$31),IF(MOD($C480,$M$1)-1=0,SUM($D$20:$D$31),0))/12*$M$1)*VLOOKUP($B480,Paraméterek!$B$27:$D$30,IF($D$2="Egyszeri",3,2)),IF($D$4="Forint",0,2))</f>
        <v>0</v>
      </c>
      <c r="L480" s="13">
        <f t="shared" si="109"/>
        <v>0</v>
      </c>
      <c r="M480" s="13">
        <f t="shared" ca="1" si="115"/>
        <v>-313611</v>
      </c>
      <c r="N480" s="13">
        <f ca="1">IF($V479&gt;=VLOOKUP($M$4-1+$B480,Paraméterek!$B$121:$D$122,IF($D$4="Forint",2,3)),0,VLOOKUP($M$4-1+$B480,Paraméterek!$B$121:$D$122,IF($D$4="Forint",2,3))-$V479)</f>
        <v>323611</v>
      </c>
      <c r="O480" s="13">
        <f ca="1">ROUNDUP($N480*Paraméterek!$C$58/Paraméterek!$C$56,IF($D$4="Forint",0,2))</f>
        <v>52</v>
      </c>
      <c r="P480" s="13">
        <f t="shared" si="110"/>
        <v>1692</v>
      </c>
      <c r="Q480" s="33"/>
      <c r="R480" s="13">
        <f t="shared" ca="1" si="111"/>
        <v>0</v>
      </c>
      <c r="S480" s="13">
        <f ca="1">ROUNDUP(($M480-$O480-$P480+$R480)*VLOOKUP($B480,Paraméterek!$B$38:$D$39,IF($D$2="Egyszeri",3,2))/12,IF($D$4="Forint",0,2))</f>
        <v>-770</v>
      </c>
      <c r="T480" s="13"/>
      <c r="U480" s="13"/>
      <c r="V480" s="13">
        <f ca="1">$M480-$O480-$P480+$R480-$S480-IF(ROUNDUP(IF(ISBLANK($U480),$T480,$U480)/IF(AND($B480=1,$D$2&lt;&gt;"Egyszeri"),1,VLOOKUP($B480+IF($C480=12,1,0),Paraméterek!$B$257:$D$267,IF($D$2="Egyszeri",3,2))),IF($D$4="Forint",0,2))&gt;$M480-$O480-$P480+$R480-$S480-IF($D$4="Forint",Paraméterek!$C$216,Paraméterek!$D$216),0,ROUNDUP(IF(ISBLANK($U480),$T480,$U480)/IF(AND($B480=1,$D$2&lt;&gt;"Egyszeri"),1,VLOOKUP($B480+IF($C480=12,1,0),Paraméterek!$B$257:$D$267,IF($D$2="Egyszeri",3,2))),IF($D$4="Forint",0,2)))</f>
        <v>-314585</v>
      </c>
      <c r="W480" s="13">
        <f ca="1">ROUNDDOWN($V480*VLOOKUP($B480+IF($C480=12,1,0),Paraméterek!$B$257:$D$267,IF($D$2="Egyszeri",3,2)),IF($D$4="Forint",0,2))</f>
        <v>-314585</v>
      </c>
      <c r="Y480" s="32">
        <v>461</v>
      </c>
      <c r="Z480" s="32">
        <v>39</v>
      </c>
      <c r="AA480" s="32">
        <v>5</v>
      </c>
      <c r="AB480" s="13">
        <f t="shared" si="116"/>
        <v>0</v>
      </c>
      <c r="AC480" s="33"/>
      <c r="AD480" s="13">
        <f t="shared" si="112"/>
        <v>0</v>
      </c>
      <c r="AE480" s="13">
        <f>ROUNDUP(($AB480+$AD480)*VLOOKUP($Z480,Paraméterek!$P$38:$Q$38,2)/12,IF($D$4="Forint",0,2))</f>
        <v>0</v>
      </c>
      <c r="AF480" s="13">
        <f>IF($D$2="Egyszeri",IF($D$7&gt;=IF($D$4="Forint",Paraméterek!$P$223,Paraméterek!$P$224),$D$7-IF($D$4="Forint",Paraméterek!$F$223,Paraméterek!$F$224),0),MIN(IF($AA480=12,AVERAGE($D$20:$D480)*12,0),SUM($D$20:$D$31)))</f>
        <v>0</v>
      </c>
      <c r="AG480" s="13">
        <f>IF(AND($Z480&gt;=10,MOD($Z480,5)=0),$AF480*IF($AA480=12,VLOOKUP($Z480,Paraméterek!$B$225:$F$240,IF($AF480&lt;IF($D$4="Forint",Paraméterek!$C$223,Paraméterek!$C$224),2,IF($AF480&lt;IF($D$4="Forint",Paraméterek!$D$223,Paraméterek!$D$224),3,4))),0),0)</f>
        <v>0</v>
      </c>
      <c r="AH480" s="13">
        <f>IF(AND($Z480&gt;=5,MOD($Z480,5)=0),IF($AA480=12,VLOOKUP($Z480,Paraméterek!$B$225:$F$240,5),0),IF(OR($Z480=3,$Z480=4),IF($AA480=12,VLOOKUP($Z480,Paraméterek!$B$225:$F$240,5,0),0),0))*$AF480</f>
        <v>0</v>
      </c>
      <c r="AI480" s="13">
        <f>ROUNDDOWN(IF(SUM($T$20:$U480)=0,IF($D$2="Egyszeri",$AH480,$AG480),0),IF($D$4="Forint",0,2))</f>
        <v>0</v>
      </c>
      <c r="AJ480" s="13">
        <f t="shared" si="117"/>
        <v>0</v>
      </c>
      <c r="AK480" s="13">
        <f t="shared" si="118"/>
        <v>0</v>
      </c>
      <c r="AM480" s="32">
        <v>461</v>
      </c>
      <c r="AN480" s="32">
        <v>39</v>
      </c>
      <c r="AO480" s="32">
        <v>5</v>
      </c>
      <c r="AP480" s="13"/>
      <c r="AQ480" s="32"/>
      <c r="AR480" s="13">
        <f t="shared" si="119"/>
        <v>0</v>
      </c>
      <c r="AS480" s="33"/>
      <c r="AT480" s="13">
        <f t="shared" si="113"/>
        <v>0</v>
      </c>
      <c r="AU480" s="13">
        <f>ROUNDUP(($AR480+$AT480)*VLOOKUP($AN480,Paraméterek!$P$38:$Q$38,2)/12,IF($D$4="Forint",0,2))</f>
        <v>0</v>
      </c>
      <c r="AV480" s="13"/>
      <c r="AW480" s="13"/>
      <c r="AX480" s="13">
        <f>ROUNDUP(IF(SUM($AV480:$AW480)=0,0,IF(IF(ISBLANK($AW480),$AV480,$AW480)*Paraméterek!$J$112&lt;IF($D$4="Forint",Paraméterek!$J$113,Paraméterek!$K$113),IF($D$4="Forint",Paraméterek!$J$113,Paraméterek!$K$113),IF(IF(ISBLANK($AW480),$AV480,$AW480)*Paraméterek!$J$112&gt;IF($D$4="Forint",Paraméterek!$J$114,Paraméterek!$K$114),IF($D$4="Forint",Paraméterek!$J$114,Paraméterek!$K$114),IF(ISBLANK($AW480),$AV480,$AW480)*Paraméterek!$J$112))),IF($D$4="Forint",0,2))</f>
        <v>0</v>
      </c>
      <c r="AY480" s="13">
        <f>$AR480+$AT480-$AU480-IF(ROUNDDOWN(IF(ISBLANK($AW480),$AV480,$AW480),IF($D$4="Forint",0,2))&gt;$AR480+$AT480-$AU480-IF($D$4="Forint",Paraméterek!$J$114,Paraméterek!$K$114),0,ROUNDDOWN(IF(ISBLANK($AW480),$AV480,$AW480),IF($D$4="Forint",0,2))-$AX480)</f>
        <v>0</v>
      </c>
      <c r="AZ480" s="13">
        <f t="shared" si="114"/>
        <v>0</v>
      </c>
    </row>
    <row r="481" spans="1:52" x14ac:dyDescent="0.2">
      <c r="A481" s="32">
        <v>462</v>
      </c>
      <c r="B481" s="32">
        <v>39</v>
      </c>
      <c r="C481" s="32">
        <v>6</v>
      </c>
      <c r="D481" s="13">
        <f t="shared" si="105"/>
        <v>0</v>
      </c>
      <c r="E481" s="13"/>
      <c r="F481" s="13"/>
      <c r="G481" s="13"/>
      <c r="H481" s="13">
        <f t="shared" si="106"/>
        <v>0</v>
      </c>
      <c r="I481" s="13">
        <f t="shared" si="107"/>
        <v>0</v>
      </c>
      <c r="J481" s="13">
        <f t="shared" si="108"/>
        <v>0</v>
      </c>
      <c r="K481" s="13">
        <f>ROUNDUP(IF($D$2="Egyszeri",$D481,IF($D$2="Havi",SUM($D$20:$D$31),IF(MOD($C481,$M$1)-1=0,SUM($D$20:$D$31),0))/12*$M$1)*VLOOKUP($B481,Paraméterek!$B$27:$D$30,IF($D$2="Egyszeri",3,2)),IF($D$4="Forint",0,2))</f>
        <v>0</v>
      </c>
      <c r="L481" s="13">
        <f t="shared" si="109"/>
        <v>0</v>
      </c>
      <c r="M481" s="13">
        <f t="shared" ca="1" si="115"/>
        <v>-314585</v>
      </c>
      <c r="N481" s="13">
        <f ca="1">IF($V480&gt;=VLOOKUP($M$4-1+$B481,Paraméterek!$B$121:$D$122,IF($D$4="Forint",2,3)),0,VLOOKUP($M$4-1+$B481,Paraméterek!$B$121:$D$122,IF($D$4="Forint",2,3))-$V480)</f>
        <v>324585</v>
      </c>
      <c r="O481" s="13">
        <f ca="1">ROUNDUP($N481*Paraméterek!$C$58/Paraméterek!$C$56,IF($D$4="Forint",0,2))</f>
        <v>52</v>
      </c>
      <c r="P481" s="13">
        <f t="shared" si="110"/>
        <v>1692</v>
      </c>
      <c r="Q481" s="33"/>
      <c r="R481" s="13">
        <f t="shared" ca="1" si="111"/>
        <v>0</v>
      </c>
      <c r="S481" s="13">
        <f ca="1">ROUNDUP(($M481-$O481-$P481+$R481)*VLOOKUP($B481,Paraméterek!$B$38:$D$39,IF($D$2="Egyszeri",3,2))/12,IF($D$4="Forint",0,2))</f>
        <v>-773</v>
      </c>
      <c r="T481" s="13"/>
      <c r="U481" s="13"/>
      <c r="V481" s="13">
        <f ca="1">$M481-$O481-$P481+$R481-$S481-IF(ROUNDUP(IF(ISBLANK($U481),$T481,$U481)/IF(AND($B481=1,$D$2&lt;&gt;"Egyszeri"),1,VLOOKUP($B481+IF($C481=12,1,0),Paraméterek!$B$257:$D$267,IF($D$2="Egyszeri",3,2))),IF($D$4="Forint",0,2))&gt;$M481-$O481-$P481+$R481-$S481-IF($D$4="Forint",Paraméterek!$C$216,Paraméterek!$D$216),0,ROUNDUP(IF(ISBLANK($U481),$T481,$U481)/IF(AND($B481=1,$D$2&lt;&gt;"Egyszeri"),1,VLOOKUP($B481+IF($C481=12,1,0),Paraméterek!$B$257:$D$267,IF($D$2="Egyszeri",3,2))),IF($D$4="Forint",0,2)))</f>
        <v>-315556</v>
      </c>
      <c r="W481" s="13">
        <f ca="1">ROUNDDOWN($V481*VLOOKUP($B481+IF($C481=12,1,0),Paraméterek!$B$257:$D$267,IF($D$2="Egyszeri",3,2)),IF($D$4="Forint",0,2))</f>
        <v>-315556</v>
      </c>
      <c r="Y481" s="32">
        <v>462</v>
      </c>
      <c r="Z481" s="32">
        <v>39</v>
      </c>
      <c r="AA481" s="32">
        <v>6</v>
      </c>
      <c r="AB481" s="13">
        <f t="shared" si="116"/>
        <v>0</v>
      </c>
      <c r="AC481" s="33"/>
      <c r="AD481" s="13">
        <f t="shared" si="112"/>
        <v>0</v>
      </c>
      <c r="AE481" s="13">
        <f>ROUNDUP(($AB481+$AD481)*VLOOKUP($Z481,Paraméterek!$P$38:$Q$38,2)/12,IF($D$4="Forint",0,2))</f>
        <v>0</v>
      </c>
      <c r="AF481" s="13">
        <f>IF($D$2="Egyszeri",IF($D$7&gt;=IF($D$4="Forint",Paraméterek!$P$223,Paraméterek!$P$224),$D$7-IF($D$4="Forint",Paraméterek!$F$223,Paraméterek!$F$224),0),MIN(IF($AA481=12,AVERAGE($D$20:$D481)*12,0),SUM($D$20:$D$31)))</f>
        <v>0</v>
      </c>
      <c r="AG481" s="13">
        <f>IF(AND($Z481&gt;=10,MOD($Z481,5)=0),$AF481*IF($AA481=12,VLOOKUP($Z481,Paraméterek!$B$225:$F$240,IF($AF481&lt;IF($D$4="Forint",Paraméterek!$C$223,Paraméterek!$C$224),2,IF($AF481&lt;IF($D$4="Forint",Paraméterek!$D$223,Paraméterek!$D$224),3,4))),0),0)</f>
        <v>0</v>
      </c>
      <c r="AH481" s="13">
        <f>IF(AND($Z481&gt;=5,MOD($Z481,5)=0),IF($AA481=12,VLOOKUP($Z481,Paraméterek!$B$225:$F$240,5),0),IF(OR($Z481=3,$Z481=4),IF($AA481=12,VLOOKUP($Z481,Paraméterek!$B$225:$F$240,5,0),0),0))*$AF481</f>
        <v>0</v>
      </c>
      <c r="AI481" s="13">
        <f>ROUNDDOWN(IF(SUM($T$20:$U481)=0,IF($D$2="Egyszeri",$AH481,$AG481),0),IF($D$4="Forint",0,2))</f>
        <v>0</v>
      </c>
      <c r="AJ481" s="13">
        <f t="shared" si="117"/>
        <v>0</v>
      </c>
      <c r="AK481" s="13">
        <f t="shared" si="118"/>
        <v>0</v>
      </c>
      <c r="AM481" s="32">
        <v>462</v>
      </c>
      <c r="AN481" s="32">
        <v>39</v>
      </c>
      <c r="AO481" s="32">
        <v>6</v>
      </c>
      <c r="AP481" s="13"/>
      <c r="AQ481" s="32"/>
      <c r="AR481" s="13">
        <f t="shared" si="119"/>
        <v>0</v>
      </c>
      <c r="AS481" s="33"/>
      <c r="AT481" s="13">
        <f t="shared" si="113"/>
        <v>0</v>
      </c>
      <c r="AU481" s="13">
        <f>ROUNDUP(($AR481+$AT481)*VLOOKUP($AN481,Paraméterek!$P$38:$Q$38,2)/12,IF($D$4="Forint",0,2))</f>
        <v>0</v>
      </c>
      <c r="AV481" s="13"/>
      <c r="AW481" s="13"/>
      <c r="AX481" s="13">
        <f>ROUNDUP(IF(SUM($AV481:$AW481)=0,0,IF(IF(ISBLANK($AW481),$AV481,$AW481)*Paraméterek!$J$112&lt;IF($D$4="Forint",Paraméterek!$J$113,Paraméterek!$K$113),IF($D$4="Forint",Paraméterek!$J$113,Paraméterek!$K$113),IF(IF(ISBLANK($AW481),$AV481,$AW481)*Paraméterek!$J$112&gt;IF($D$4="Forint",Paraméterek!$J$114,Paraméterek!$K$114),IF($D$4="Forint",Paraméterek!$J$114,Paraméterek!$K$114),IF(ISBLANK($AW481),$AV481,$AW481)*Paraméterek!$J$112))),IF($D$4="Forint",0,2))</f>
        <v>0</v>
      </c>
      <c r="AY481" s="13">
        <f>$AR481+$AT481-$AU481-IF(ROUNDDOWN(IF(ISBLANK($AW481),$AV481,$AW481),IF($D$4="Forint",0,2))&gt;$AR481+$AT481-$AU481-IF($D$4="Forint",Paraméterek!$J$114,Paraméterek!$K$114),0,ROUNDDOWN(IF(ISBLANK($AW481),$AV481,$AW481),IF($D$4="Forint",0,2))-$AX481)</f>
        <v>0</v>
      </c>
      <c r="AZ481" s="13">
        <f t="shared" si="114"/>
        <v>0</v>
      </c>
    </row>
    <row r="482" spans="1:52" x14ac:dyDescent="0.2">
      <c r="A482" s="32">
        <v>463</v>
      </c>
      <c r="B482" s="32">
        <v>39</v>
      </c>
      <c r="C482" s="32">
        <v>7</v>
      </c>
      <c r="D482" s="13">
        <f t="shared" si="105"/>
        <v>0</v>
      </c>
      <c r="E482" s="13"/>
      <c r="F482" s="13"/>
      <c r="G482" s="13"/>
      <c r="H482" s="13">
        <f t="shared" si="106"/>
        <v>0</v>
      </c>
      <c r="I482" s="13">
        <f t="shared" si="107"/>
        <v>0</v>
      </c>
      <c r="J482" s="13">
        <f t="shared" si="108"/>
        <v>0</v>
      </c>
      <c r="K482" s="13">
        <f>ROUNDUP(IF($D$2="Egyszeri",$D482,IF($D$2="Havi",SUM($D$20:$D$31),IF(MOD($C482,$M$1)-1=0,SUM($D$20:$D$31),0))/12*$M$1)*VLOOKUP($B482,Paraméterek!$B$27:$D$30,IF($D$2="Egyszeri",3,2)),IF($D$4="Forint",0,2))</f>
        <v>0</v>
      </c>
      <c r="L482" s="13">
        <f t="shared" si="109"/>
        <v>0</v>
      </c>
      <c r="M482" s="13">
        <f t="shared" ca="1" si="115"/>
        <v>-315556</v>
      </c>
      <c r="N482" s="13">
        <f ca="1">IF($V481&gt;=VLOOKUP($M$4-1+$B482,Paraméterek!$B$121:$D$122,IF($D$4="Forint",2,3)),0,VLOOKUP($M$4-1+$B482,Paraméterek!$B$121:$D$122,IF($D$4="Forint",2,3))-$V481)</f>
        <v>325556</v>
      </c>
      <c r="O482" s="13">
        <f ca="1">ROUNDUP($N482*Paraméterek!$C$58/Paraméterek!$C$56,IF($D$4="Forint",0,2))</f>
        <v>52</v>
      </c>
      <c r="P482" s="13">
        <f t="shared" si="110"/>
        <v>1692</v>
      </c>
      <c r="Q482" s="33"/>
      <c r="R482" s="13">
        <f t="shared" ca="1" si="111"/>
        <v>0</v>
      </c>
      <c r="S482" s="13">
        <f ca="1">ROUNDUP(($M482-$O482-$P482+$R482)*VLOOKUP($B482,Paraméterek!$B$38:$D$39,IF($D$2="Egyszeri",3,2))/12,IF($D$4="Forint",0,2))</f>
        <v>-775</v>
      </c>
      <c r="T482" s="13"/>
      <c r="U482" s="13"/>
      <c r="V482" s="13">
        <f ca="1">$M482-$O482-$P482+$R482-$S482-IF(ROUNDUP(IF(ISBLANK($U482),$T482,$U482)/IF(AND($B482=1,$D$2&lt;&gt;"Egyszeri"),1,VLOOKUP($B482+IF($C482=12,1,0),Paraméterek!$B$257:$D$267,IF($D$2="Egyszeri",3,2))),IF($D$4="Forint",0,2))&gt;$M482-$O482-$P482+$R482-$S482-IF($D$4="Forint",Paraméterek!$C$216,Paraméterek!$D$216),0,ROUNDUP(IF(ISBLANK($U482),$T482,$U482)/IF(AND($B482=1,$D$2&lt;&gt;"Egyszeri"),1,VLOOKUP($B482+IF($C482=12,1,0),Paraméterek!$B$257:$D$267,IF($D$2="Egyszeri",3,2))),IF($D$4="Forint",0,2)))</f>
        <v>-316525</v>
      </c>
      <c r="W482" s="13">
        <f ca="1">ROUNDDOWN($V482*VLOOKUP($B482+IF($C482=12,1,0),Paraméterek!$B$257:$D$267,IF($D$2="Egyszeri",3,2)),IF($D$4="Forint",0,2))</f>
        <v>-316525</v>
      </c>
      <c r="Y482" s="32">
        <v>463</v>
      </c>
      <c r="Z482" s="32">
        <v>39</v>
      </c>
      <c r="AA482" s="32">
        <v>7</v>
      </c>
      <c r="AB482" s="13">
        <f t="shared" si="116"/>
        <v>0</v>
      </c>
      <c r="AC482" s="33"/>
      <c r="AD482" s="13">
        <f t="shared" si="112"/>
        <v>0</v>
      </c>
      <c r="AE482" s="13">
        <f>ROUNDUP(($AB482+$AD482)*VLOOKUP($Z482,Paraméterek!$P$38:$Q$38,2)/12,IF($D$4="Forint",0,2))</f>
        <v>0</v>
      </c>
      <c r="AF482" s="13">
        <f>IF($D$2="Egyszeri",IF($D$7&gt;=IF($D$4="Forint",Paraméterek!$P$223,Paraméterek!$P$224),$D$7-IF($D$4="Forint",Paraméterek!$F$223,Paraméterek!$F$224),0),MIN(IF($AA482=12,AVERAGE($D$20:$D482)*12,0),SUM($D$20:$D$31)))</f>
        <v>0</v>
      </c>
      <c r="AG482" s="13">
        <f>IF(AND($Z482&gt;=10,MOD($Z482,5)=0),$AF482*IF($AA482=12,VLOOKUP($Z482,Paraméterek!$B$225:$F$240,IF($AF482&lt;IF($D$4="Forint",Paraméterek!$C$223,Paraméterek!$C$224),2,IF($AF482&lt;IF($D$4="Forint",Paraméterek!$D$223,Paraméterek!$D$224),3,4))),0),0)</f>
        <v>0</v>
      </c>
      <c r="AH482" s="13">
        <f>IF(AND($Z482&gt;=5,MOD($Z482,5)=0),IF($AA482=12,VLOOKUP($Z482,Paraméterek!$B$225:$F$240,5),0),IF(OR($Z482=3,$Z482=4),IF($AA482=12,VLOOKUP($Z482,Paraméterek!$B$225:$F$240,5,0),0),0))*$AF482</f>
        <v>0</v>
      </c>
      <c r="AI482" s="13">
        <f>ROUNDDOWN(IF(SUM($T$20:$U482)=0,IF($D$2="Egyszeri",$AH482,$AG482),0),IF($D$4="Forint",0,2))</f>
        <v>0</v>
      </c>
      <c r="AJ482" s="13">
        <f t="shared" si="117"/>
        <v>0</v>
      </c>
      <c r="AK482" s="13">
        <f t="shared" si="118"/>
        <v>0</v>
      </c>
      <c r="AM482" s="32">
        <v>463</v>
      </c>
      <c r="AN482" s="32">
        <v>39</v>
      </c>
      <c r="AO482" s="32">
        <v>7</v>
      </c>
      <c r="AP482" s="13"/>
      <c r="AQ482" s="32"/>
      <c r="AR482" s="13">
        <f t="shared" si="119"/>
        <v>0</v>
      </c>
      <c r="AS482" s="33"/>
      <c r="AT482" s="13">
        <f t="shared" si="113"/>
        <v>0</v>
      </c>
      <c r="AU482" s="13">
        <f>ROUNDUP(($AR482+$AT482)*VLOOKUP($AN482,Paraméterek!$P$38:$Q$38,2)/12,IF($D$4="Forint",0,2))</f>
        <v>0</v>
      </c>
      <c r="AV482" s="13"/>
      <c r="AW482" s="13"/>
      <c r="AX482" s="13">
        <f>ROUNDUP(IF(SUM($AV482:$AW482)=0,0,IF(IF(ISBLANK($AW482),$AV482,$AW482)*Paraméterek!$J$112&lt;IF($D$4="Forint",Paraméterek!$J$113,Paraméterek!$K$113),IF($D$4="Forint",Paraméterek!$J$113,Paraméterek!$K$113),IF(IF(ISBLANK($AW482),$AV482,$AW482)*Paraméterek!$J$112&gt;IF($D$4="Forint",Paraméterek!$J$114,Paraméterek!$K$114),IF($D$4="Forint",Paraméterek!$J$114,Paraméterek!$K$114),IF(ISBLANK($AW482),$AV482,$AW482)*Paraméterek!$J$112))),IF($D$4="Forint",0,2))</f>
        <v>0</v>
      </c>
      <c r="AY482" s="13">
        <f>$AR482+$AT482-$AU482-IF(ROUNDDOWN(IF(ISBLANK($AW482),$AV482,$AW482),IF($D$4="Forint",0,2))&gt;$AR482+$AT482-$AU482-IF($D$4="Forint",Paraméterek!$J$114,Paraméterek!$K$114),0,ROUNDDOWN(IF(ISBLANK($AW482),$AV482,$AW482),IF($D$4="Forint",0,2))-$AX482)</f>
        <v>0</v>
      </c>
      <c r="AZ482" s="13">
        <f t="shared" si="114"/>
        <v>0</v>
      </c>
    </row>
    <row r="483" spans="1:52" x14ac:dyDescent="0.2">
      <c r="A483" s="32">
        <v>464</v>
      </c>
      <c r="B483" s="32">
        <v>39</v>
      </c>
      <c r="C483" s="32">
        <v>8</v>
      </c>
      <c r="D483" s="13">
        <f t="shared" si="105"/>
        <v>0</v>
      </c>
      <c r="E483" s="13"/>
      <c r="F483" s="13"/>
      <c r="G483" s="13"/>
      <c r="H483" s="13">
        <f t="shared" si="106"/>
        <v>0</v>
      </c>
      <c r="I483" s="13">
        <f t="shared" si="107"/>
        <v>0</v>
      </c>
      <c r="J483" s="13">
        <f t="shared" si="108"/>
        <v>0</v>
      </c>
      <c r="K483" s="13">
        <f>ROUNDUP(IF($D$2="Egyszeri",$D483,IF($D$2="Havi",SUM($D$20:$D$31),IF(MOD($C483,$M$1)-1=0,SUM($D$20:$D$31),0))/12*$M$1)*VLOOKUP($B483,Paraméterek!$B$27:$D$30,IF($D$2="Egyszeri",3,2)),IF($D$4="Forint",0,2))</f>
        <v>0</v>
      </c>
      <c r="L483" s="13">
        <f t="shared" si="109"/>
        <v>0</v>
      </c>
      <c r="M483" s="13">
        <f t="shared" ca="1" si="115"/>
        <v>-316525</v>
      </c>
      <c r="N483" s="13">
        <f ca="1">IF($V482&gt;=VLOOKUP($M$4-1+$B483,Paraméterek!$B$121:$D$122,IF($D$4="Forint",2,3)),0,VLOOKUP($M$4-1+$B483,Paraméterek!$B$121:$D$122,IF($D$4="Forint",2,3))-$V482)</f>
        <v>326525</v>
      </c>
      <c r="O483" s="13">
        <f ca="1">ROUNDUP($N483*Paraméterek!$C$58/Paraméterek!$C$56,IF($D$4="Forint",0,2))</f>
        <v>52</v>
      </c>
      <c r="P483" s="13">
        <f t="shared" si="110"/>
        <v>1692</v>
      </c>
      <c r="Q483" s="33"/>
      <c r="R483" s="13">
        <f t="shared" ca="1" si="111"/>
        <v>0</v>
      </c>
      <c r="S483" s="13">
        <f ca="1">ROUNDUP(($M483-$O483-$P483+$R483)*VLOOKUP($B483,Paraméterek!$B$38:$D$39,IF($D$2="Egyszeri",3,2))/12,IF($D$4="Forint",0,2))</f>
        <v>-778</v>
      </c>
      <c r="T483" s="13"/>
      <c r="U483" s="13"/>
      <c r="V483" s="13">
        <f ca="1">$M483-$O483-$P483+$R483-$S483-IF(ROUNDUP(IF(ISBLANK($U483),$T483,$U483)/IF(AND($B483=1,$D$2&lt;&gt;"Egyszeri"),1,VLOOKUP($B483+IF($C483=12,1,0),Paraméterek!$B$257:$D$267,IF($D$2="Egyszeri",3,2))),IF($D$4="Forint",0,2))&gt;$M483-$O483-$P483+$R483-$S483-IF($D$4="Forint",Paraméterek!$C$216,Paraméterek!$D$216),0,ROUNDUP(IF(ISBLANK($U483),$T483,$U483)/IF(AND($B483=1,$D$2&lt;&gt;"Egyszeri"),1,VLOOKUP($B483+IF($C483=12,1,0),Paraméterek!$B$257:$D$267,IF($D$2="Egyszeri",3,2))),IF($D$4="Forint",0,2)))</f>
        <v>-317491</v>
      </c>
      <c r="W483" s="13">
        <f ca="1">ROUNDDOWN($V483*VLOOKUP($B483+IF($C483=12,1,0),Paraméterek!$B$257:$D$267,IF($D$2="Egyszeri",3,2)),IF($D$4="Forint",0,2))</f>
        <v>-317491</v>
      </c>
      <c r="Y483" s="32">
        <v>464</v>
      </c>
      <c r="Z483" s="32">
        <v>39</v>
      </c>
      <c r="AA483" s="32">
        <v>8</v>
      </c>
      <c r="AB483" s="13">
        <f t="shared" si="116"/>
        <v>0</v>
      </c>
      <c r="AC483" s="33"/>
      <c r="AD483" s="13">
        <f t="shared" si="112"/>
        <v>0</v>
      </c>
      <c r="AE483" s="13">
        <f>ROUNDUP(($AB483+$AD483)*VLOOKUP($Z483,Paraméterek!$P$38:$Q$38,2)/12,IF($D$4="Forint",0,2))</f>
        <v>0</v>
      </c>
      <c r="AF483" s="13">
        <f>IF($D$2="Egyszeri",IF($D$7&gt;=IF($D$4="Forint",Paraméterek!$P$223,Paraméterek!$P$224),$D$7-IF($D$4="Forint",Paraméterek!$F$223,Paraméterek!$F$224),0),MIN(IF($AA483=12,AVERAGE($D$20:$D483)*12,0),SUM($D$20:$D$31)))</f>
        <v>0</v>
      </c>
      <c r="AG483" s="13">
        <f>IF(AND($Z483&gt;=10,MOD($Z483,5)=0),$AF483*IF($AA483=12,VLOOKUP($Z483,Paraméterek!$B$225:$F$240,IF($AF483&lt;IF($D$4="Forint",Paraméterek!$C$223,Paraméterek!$C$224),2,IF($AF483&lt;IF($D$4="Forint",Paraméterek!$D$223,Paraméterek!$D$224),3,4))),0),0)</f>
        <v>0</v>
      </c>
      <c r="AH483" s="13">
        <f>IF(AND($Z483&gt;=5,MOD($Z483,5)=0),IF($AA483=12,VLOOKUP($Z483,Paraméterek!$B$225:$F$240,5),0),IF(OR($Z483=3,$Z483=4),IF($AA483=12,VLOOKUP($Z483,Paraméterek!$B$225:$F$240,5,0),0),0))*$AF483</f>
        <v>0</v>
      </c>
      <c r="AI483" s="13">
        <f>ROUNDDOWN(IF(SUM($T$20:$U483)=0,IF($D$2="Egyszeri",$AH483,$AG483),0),IF($D$4="Forint",0,2))</f>
        <v>0</v>
      </c>
      <c r="AJ483" s="13">
        <f t="shared" si="117"/>
        <v>0</v>
      </c>
      <c r="AK483" s="13">
        <f t="shared" si="118"/>
        <v>0</v>
      </c>
      <c r="AM483" s="32">
        <v>464</v>
      </c>
      <c r="AN483" s="32">
        <v>39</v>
      </c>
      <c r="AO483" s="32">
        <v>8</v>
      </c>
      <c r="AP483" s="13"/>
      <c r="AQ483" s="32"/>
      <c r="AR483" s="13">
        <f t="shared" si="119"/>
        <v>0</v>
      </c>
      <c r="AS483" s="33"/>
      <c r="AT483" s="13">
        <f t="shared" si="113"/>
        <v>0</v>
      </c>
      <c r="AU483" s="13">
        <f>ROUNDUP(($AR483+$AT483)*VLOOKUP($AN483,Paraméterek!$P$38:$Q$38,2)/12,IF($D$4="Forint",0,2))</f>
        <v>0</v>
      </c>
      <c r="AV483" s="13"/>
      <c r="AW483" s="13"/>
      <c r="AX483" s="13">
        <f>ROUNDUP(IF(SUM($AV483:$AW483)=0,0,IF(IF(ISBLANK($AW483),$AV483,$AW483)*Paraméterek!$J$112&lt;IF($D$4="Forint",Paraméterek!$J$113,Paraméterek!$K$113),IF($D$4="Forint",Paraméterek!$J$113,Paraméterek!$K$113),IF(IF(ISBLANK($AW483),$AV483,$AW483)*Paraméterek!$J$112&gt;IF($D$4="Forint",Paraméterek!$J$114,Paraméterek!$K$114),IF($D$4="Forint",Paraméterek!$J$114,Paraméterek!$K$114),IF(ISBLANK($AW483),$AV483,$AW483)*Paraméterek!$J$112))),IF($D$4="Forint",0,2))</f>
        <v>0</v>
      </c>
      <c r="AY483" s="13">
        <f>$AR483+$AT483-$AU483-IF(ROUNDDOWN(IF(ISBLANK($AW483),$AV483,$AW483),IF($D$4="Forint",0,2))&gt;$AR483+$AT483-$AU483-IF($D$4="Forint",Paraméterek!$J$114,Paraméterek!$K$114),0,ROUNDDOWN(IF(ISBLANK($AW483),$AV483,$AW483),IF($D$4="Forint",0,2))-$AX483)</f>
        <v>0</v>
      </c>
      <c r="AZ483" s="13">
        <f t="shared" si="114"/>
        <v>0</v>
      </c>
    </row>
    <row r="484" spans="1:52" x14ac:dyDescent="0.2">
      <c r="A484" s="32">
        <v>465</v>
      </c>
      <c r="B484" s="32">
        <v>39</v>
      </c>
      <c r="C484" s="32">
        <v>9</v>
      </c>
      <c r="D484" s="13">
        <f t="shared" si="105"/>
        <v>0</v>
      </c>
      <c r="E484" s="13"/>
      <c r="F484" s="13"/>
      <c r="G484" s="13"/>
      <c r="H484" s="13">
        <f t="shared" si="106"/>
        <v>0</v>
      </c>
      <c r="I484" s="13">
        <f t="shared" si="107"/>
        <v>0</v>
      </c>
      <c r="J484" s="13">
        <f t="shared" si="108"/>
        <v>0</v>
      </c>
      <c r="K484" s="13">
        <f>ROUNDUP(IF($D$2="Egyszeri",$D484,IF($D$2="Havi",SUM($D$20:$D$31),IF(MOD($C484,$M$1)-1=0,SUM($D$20:$D$31),0))/12*$M$1)*VLOOKUP($B484,Paraméterek!$B$27:$D$30,IF($D$2="Egyszeri",3,2)),IF($D$4="Forint",0,2))</f>
        <v>0</v>
      </c>
      <c r="L484" s="13">
        <f t="shared" si="109"/>
        <v>0</v>
      </c>
      <c r="M484" s="13">
        <f t="shared" ca="1" si="115"/>
        <v>-317491</v>
      </c>
      <c r="N484" s="13">
        <f ca="1">IF($V483&gt;=VLOOKUP($M$4-1+$B484,Paraméterek!$B$121:$D$122,IF($D$4="Forint",2,3)),0,VLOOKUP($M$4-1+$B484,Paraméterek!$B$121:$D$122,IF($D$4="Forint",2,3))-$V483)</f>
        <v>327491</v>
      </c>
      <c r="O484" s="13">
        <f ca="1">ROUNDUP($N484*Paraméterek!$C$58/Paraméterek!$C$56,IF($D$4="Forint",0,2))</f>
        <v>53</v>
      </c>
      <c r="P484" s="13">
        <f t="shared" si="110"/>
        <v>1692</v>
      </c>
      <c r="Q484" s="33"/>
      <c r="R484" s="13">
        <f t="shared" ca="1" si="111"/>
        <v>0</v>
      </c>
      <c r="S484" s="13">
        <f ca="1">ROUNDUP(($M484-$O484-$P484+$R484)*VLOOKUP($B484,Paraméterek!$B$38:$D$39,IF($D$2="Egyszeri",3,2))/12,IF($D$4="Forint",0,2))</f>
        <v>-780</v>
      </c>
      <c r="T484" s="13"/>
      <c r="U484" s="13"/>
      <c r="V484" s="13">
        <f ca="1">$M484-$O484-$P484+$R484-$S484-IF(ROUNDUP(IF(ISBLANK($U484),$T484,$U484)/IF(AND($B484=1,$D$2&lt;&gt;"Egyszeri"),1,VLOOKUP($B484+IF($C484=12,1,0),Paraméterek!$B$257:$D$267,IF($D$2="Egyszeri",3,2))),IF($D$4="Forint",0,2))&gt;$M484-$O484-$P484+$R484-$S484-IF($D$4="Forint",Paraméterek!$C$216,Paraméterek!$D$216),0,ROUNDUP(IF(ISBLANK($U484),$T484,$U484)/IF(AND($B484=1,$D$2&lt;&gt;"Egyszeri"),1,VLOOKUP($B484+IF($C484=12,1,0),Paraméterek!$B$257:$D$267,IF($D$2="Egyszeri",3,2))),IF($D$4="Forint",0,2)))</f>
        <v>-318456</v>
      </c>
      <c r="W484" s="13">
        <f ca="1">ROUNDDOWN($V484*VLOOKUP($B484+IF($C484=12,1,0),Paraméterek!$B$257:$D$267,IF($D$2="Egyszeri",3,2)),IF($D$4="Forint",0,2))</f>
        <v>-318456</v>
      </c>
      <c r="Y484" s="32">
        <v>465</v>
      </c>
      <c r="Z484" s="32">
        <v>39</v>
      </c>
      <c r="AA484" s="32">
        <v>9</v>
      </c>
      <c r="AB484" s="13">
        <f t="shared" si="116"/>
        <v>0</v>
      </c>
      <c r="AC484" s="33"/>
      <c r="AD484" s="13">
        <f t="shared" si="112"/>
        <v>0</v>
      </c>
      <c r="AE484" s="13">
        <f>ROUNDUP(($AB484+$AD484)*VLOOKUP($Z484,Paraméterek!$P$38:$Q$38,2)/12,IF($D$4="Forint",0,2))</f>
        <v>0</v>
      </c>
      <c r="AF484" s="13">
        <f>IF($D$2="Egyszeri",IF($D$7&gt;=IF($D$4="Forint",Paraméterek!$P$223,Paraméterek!$P$224),$D$7-IF($D$4="Forint",Paraméterek!$F$223,Paraméterek!$F$224),0),MIN(IF($AA484=12,AVERAGE($D$20:$D484)*12,0),SUM($D$20:$D$31)))</f>
        <v>0</v>
      </c>
      <c r="AG484" s="13">
        <f>IF(AND($Z484&gt;=10,MOD($Z484,5)=0),$AF484*IF($AA484=12,VLOOKUP($Z484,Paraméterek!$B$225:$F$240,IF($AF484&lt;IF($D$4="Forint",Paraméterek!$C$223,Paraméterek!$C$224),2,IF($AF484&lt;IF($D$4="Forint",Paraméterek!$D$223,Paraméterek!$D$224),3,4))),0),0)</f>
        <v>0</v>
      </c>
      <c r="AH484" s="13">
        <f>IF(AND($Z484&gt;=5,MOD($Z484,5)=0),IF($AA484=12,VLOOKUP($Z484,Paraméterek!$B$225:$F$240,5),0),IF(OR($Z484=3,$Z484=4),IF($AA484=12,VLOOKUP($Z484,Paraméterek!$B$225:$F$240,5,0),0),0))*$AF484</f>
        <v>0</v>
      </c>
      <c r="AI484" s="13">
        <f>ROUNDDOWN(IF(SUM($T$20:$U484)=0,IF($D$2="Egyszeri",$AH484,$AG484),0),IF($D$4="Forint",0,2))</f>
        <v>0</v>
      </c>
      <c r="AJ484" s="13">
        <f t="shared" si="117"/>
        <v>0</v>
      </c>
      <c r="AK484" s="13">
        <f t="shared" si="118"/>
        <v>0</v>
      </c>
      <c r="AM484" s="32">
        <v>465</v>
      </c>
      <c r="AN484" s="32">
        <v>39</v>
      </c>
      <c r="AO484" s="32">
        <v>9</v>
      </c>
      <c r="AP484" s="13"/>
      <c r="AQ484" s="32"/>
      <c r="AR484" s="13">
        <f t="shared" si="119"/>
        <v>0</v>
      </c>
      <c r="AS484" s="33"/>
      <c r="AT484" s="13">
        <f t="shared" si="113"/>
        <v>0</v>
      </c>
      <c r="AU484" s="13">
        <f>ROUNDUP(($AR484+$AT484)*VLOOKUP($AN484,Paraméterek!$P$38:$Q$38,2)/12,IF($D$4="Forint",0,2))</f>
        <v>0</v>
      </c>
      <c r="AV484" s="13"/>
      <c r="AW484" s="13"/>
      <c r="AX484" s="13">
        <f>ROUNDUP(IF(SUM($AV484:$AW484)=0,0,IF(IF(ISBLANK($AW484),$AV484,$AW484)*Paraméterek!$J$112&lt;IF($D$4="Forint",Paraméterek!$J$113,Paraméterek!$K$113),IF($D$4="Forint",Paraméterek!$J$113,Paraméterek!$K$113),IF(IF(ISBLANK($AW484),$AV484,$AW484)*Paraméterek!$J$112&gt;IF($D$4="Forint",Paraméterek!$J$114,Paraméterek!$K$114),IF($D$4="Forint",Paraméterek!$J$114,Paraméterek!$K$114),IF(ISBLANK($AW484),$AV484,$AW484)*Paraméterek!$J$112))),IF($D$4="Forint",0,2))</f>
        <v>0</v>
      </c>
      <c r="AY484" s="13">
        <f>$AR484+$AT484-$AU484-IF(ROUNDDOWN(IF(ISBLANK($AW484),$AV484,$AW484),IF($D$4="Forint",0,2))&gt;$AR484+$AT484-$AU484-IF($D$4="Forint",Paraméterek!$J$114,Paraméterek!$K$114),0,ROUNDDOWN(IF(ISBLANK($AW484),$AV484,$AW484),IF($D$4="Forint",0,2))-$AX484)</f>
        <v>0</v>
      </c>
      <c r="AZ484" s="13">
        <f t="shared" si="114"/>
        <v>0</v>
      </c>
    </row>
    <row r="485" spans="1:52" x14ac:dyDescent="0.2">
      <c r="A485" s="32">
        <v>466</v>
      </c>
      <c r="B485" s="32">
        <v>39</v>
      </c>
      <c r="C485" s="32">
        <v>10</v>
      </c>
      <c r="D485" s="13">
        <f t="shared" si="105"/>
        <v>0</v>
      </c>
      <c r="E485" s="13"/>
      <c r="F485" s="13"/>
      <c r="G485" s="13"/>
      <c r="H485" s="13">
        <f t="shared" si="106"/>
        <v>0</v>
      </c>
      <c r="I485" s="13">
        <f t="shared" si="107"/>
        <v>0</v>
      </c>
      <c r="J485" s="13">
        <f t="shared" si="108"/>
        <v>0</v>
      </c>
      <c r="K485" s="13">
        <f>ROUNDUP(IF($D$2="Egyszeri",$D485,IF($D$2="Havi",SUM($D$20:$D$31),IF(MOD($C485,$M$1)-1=0,SUM($D$20:$D$31),0))/12*$M$1)*VLOOKUP($B485,Paraméterek!$B$27:$D$30,IF($D$2="Egyszeri",3,2)),IF($D$4="Forint",0,2))</f>
        <v>0</v>
      </c>
      <c r="L485" s="13">
        <f t="shared" si="109"/>
        <v>0</v>
      </c>
      <c r="M485" s="13">
        <f t="shared" ca="1" si="115"/>
        <v>-318456</v>
      </c>
      <c r="N485" s="13">
        <f ca="1">IF($V484&gt;=VLOOKUP($M$4-1+$B485,Paraméterek!$B$121:$D$122,IF($D$4="Forint",2,3)),0,VLOOKUP($M$4-1+$B485,Paraméterek!$B$121:$D$122,IF($D$4="Forint",2,3))-$V484)</f>
        <v>328456</v>
      </c>
      <c r="O485" s="13">
        <f ca="1">ROUNDUP($N485*Paraméterek!$C$58/Paraméterek!$C$56,IF($D$4="Forint",0,2))</f>
        <v>53</v>
      </c>
      <c r="P485" s="13">
        <f t="shared" si="110"/>
        <v>1692</v>
      </c>
      <c r="Q485" s="33"/>
      <c r="R485" s="13">
        <f t="shared" ca="1" si="111"/>
        <v>0</v>
      </c>
      <c r="S485" s="13">
        <f ca="1">ROUNDUP(($M485-$O485-$P485+$R485)*VLOOKUP($B485,Paraméterek!$B$38:$D$39,IF($D$2="Egyszeri",3,2))/12,IF($D$4="Forint",0,2))</f>
        <v>-782</v>
      </c>
      <c r="T485" s="13"/>
      <c r="U485" s="13"/>
      <c r="V485" s="13">
        <f ca="1">$M485-$O485-$P485+$R485-$S485-IF(ROUNDUP(IF(ISBLANK($U485),$T485,$U485)/IF(AND($B485=1,$D$2&lt;&gt;"Egyszeri"),1,VLOOKUP($B485+IF($C485=12,1,0),Paraméterek!$B$257:$D$267,IF($D$2="Egyszeri",3,2))),IF($D$4="Forint",0,2))&gt;$M485-$O485-$P485+$R485-$S485-IF($D$4="Forint",Paraméterek!$C$216,Paraméterek!$D$216),0,ROUNDUP(IF(ISBLANK($U485),$T485,$U485)/IF(AND($B485=1,$D$2&lt;&gt;"Egyszeri"),1,VLOOKUP($B485+IF($C485=12,1,0),Paraméterek!$B$257:$D$267,IF($D$2="Egyszeri",3,2))),IF($D$4="Forint",0,2)))</f>
        <v>-319419</v>
      </c>
      <c r="W485" s="13">
        <f ca="1">ROUNDDOWN($V485*VLOOKUP($B485+IF($C485=12,1,0),Paraméterek!$B$257:$D$267,IF($D$2="Egyszeri",3,2)),IF($D$4="Forint",0,2))</f>
        <v>-319419</v>
      </c>
      <c r="Y485" s="32">
        <v>466</v>
      </c>
      <c r="Z485" s="32">
        <v>39</v>
      </c>
      <c r="AA485" s="32">
        <v>10</v>
      </c>
      <c r="AB485" s="13">
        <f t="shared" si="116"/>
        <v>0</v>
      </c>
      <c r="AC485" s="33"/>
      <c r="AD485" s="13">
        <f t="shared" si="112"/>
        <v>0</v>
      </c>
      <c r="AE485" s="13">
        <f>ROUNDUP(($AB485+$AD485)*VLOOKUP($Z485,Paraméterek!$P$38:$Q$38,2)/12,IF($D$4="Forint",0,2))</f>
        <v>0</v>
      </c>
      <c r="AF485" s="13">
        <f>IF($D$2="Egyszeri",IF($D$7&gt;=IF($D$4="Forint",Paraméterek!$P$223,Paraméterek!$P$224),$D$7-IF($D$4="Forint",Paraméterek!$F$223,Paraméterek!$F$224),0),MIN(IF($AA485=12,AVERAGE($D$20:$D485)*12,0),SUM($D$20:$D$31)))</f>
        <v>0</v>
      </c>
      <c r="AG485" s="13">
        <f>IF(AND($Z485&gt;=10,MOD($Z485,5)=0),$AF485*IF($AA485=12,VLOOKUP($Z485,Paraméterek!$B$225:$F$240,IF($AF485&lt;IF($D$4="Forint",Paraméterek!$C$223,Paraméterek!$C$224),2,IF($AF485&lt;IF($D$4="Forint",Paraméterek!$D$223,Paraméterek!$D$224),3,4))),0),0)</f>
        <v>0</v>
      </c>
      <c r="AH485" s="13">
        <f>IF(AND($Z485&gt;=5,MOD($Z485,5)=0),IF($AA485=12,VLOOKUP($Z485,Paraméterek!$B$225:$F$240,5),0),IF(OR($Z485=3,$Z485=4),IF($AA485=12,VLOOKUP($Z485,Paraméterek!$B$225:$F$240,5,0),0),0))*$AF485</f>
        <v>0</v>
      </c>
      <c r="AI485" s="13">
        <f>ROUNDDOWN(IF(SUM($T$20:$U485)=0,IF($D$2="Egyszeri",$AH485,$AG485),0),IF($D$4="Forint",0,2))</f>
        <v>0</v>
      </c>
      <c r="AJ485" s="13">
        <f t="shared" si="117"/>
        <v>0</v>
      </c>
      <c r="AK485" s="13">
        <f t="shared" si="118"/>
        <v>0</v>
      </c>
      <c r="AM485" s="32">
        <v>466</v>
      </c>
      <c r="AN485" s="32">
        <v>39</v>
      </c>
      <c r="AO485" s="32">
        <v>10</v>
      </c>
      <c r="AP485" s="13"/>
      <c r="AQ485" s="32"/>
      <c r="AR485" s="13">
        <f t="shared" si="119"/>
        <v>0</v>
      </c>
      <c r="AS485" s="33"/>
      <c r="AT485" s="13">
        <f t="shared" si="113"/>
        <v>0</v>
      </c>
      <c r="AU485" s="13">
        <f>ROUNDUP(($AR485+$AT485)*VLOOKUP($AN485,Paraméterek!$P$38:$Q$38,2)/12,IF($D$4="Forint",0,2))</f>
        <v>0</v>
      </c>
      <c r="AV485" s="13"/>
      <c r="AW485" s="13"/>
      <c r="AX485" s="13">
        <f>ROUNDUP(IF(SUM($AV485:$AW485)=0,0,IF(IF(ISBLANK($AW485),$AV485,$AW485)*Paraméterek!$J$112&lt;IF($D$4="Forint",Paraméterek!$J$113,Paraméterek!$K$113),IF($D$4="Forint",Paraméterek!$J$113,Paraméterek!$K$113),IF(IF(ISBLANK($AW485),$AV485,$AW485)*Paraméterek!$J$112&gt;IF($D$4="Forint",Paraméterek!$J$114,Paraméterek!$K$114),IF($D$4="Forint",Paraméterek!$J$114,Paraméterek!$K$114),IF(ISBLANK($AW485),$AV485,$AW485)*Paraméterek!$J$112))),IF($D$4="Forint",0,2))</f>
        <v>0</v>
      </c>
      <c r="AY485" s="13">
        <f>$AR485+$AT485-$AU485-IF(ROUNDDOWN(IF(ISBLANK($AW485),$AV485,$AW485),IF($D$4="Forint",0,2))&gt;$AR485+$AT485-$AU485-IF($D$4="Forint",Paraméterek!$J$114,Paraméterek!$K$114),0,ROUNDDOWN(IF(ISBLANK($AW485),$AV485,$AW485),IF($D$4="Forint",0,2))-$AX485)</f>
        <v>0</v>
      </c>
      <c r="AZ485" s="13">
        <f t="shared" si="114"/>
        <v>0</v>
      </c>
    </row>
    <row r="486" spans="1:52" x14ac:dyDescent="0.2">
      <c r="A486" s="32">
        <v>467</v>
      </c>
      <c r="B486" s="32">
        <v>39</v>
      </c>
      <c r="C486" s="32">
        <v>11</v>
      </c>
      <c r="D486" s="13">
        <f t="shared" si="105"/>
        <v>0</v>
      </c>
      <c r="E486" s="13"/>
      <c r="F486" s="13"/>
      <c r="G486" s="13"/>
      <c r="H486" s="13">
        <f t="shared" si="106"/>
        <v>0</v>
      </c>
      <c r="I486" s="13">
        <f t="shared" si="107"/>
        <v>0</v>
      </c>
      <c r="J486" s="13">
        <f t="shared" si="108"/>
        <v>0</v>
      </c>
      <c r="K486" s="13">
        <f>ROUNDUP(IF($D$2="Egyszeri",$D486,IF($D$2="Havi",SUM($D$20:$D$31),IF(MOD($C486,$M$1)-1=0,SUM($D$20:$D$31),0))/12*$M$1)*VLOOKUP($B486,Paraméterek!$B$27:$D$30,IF($D$2="Egyszeri",3,2)),IF($D$4="Forint",0,2))</f>
        <v>0</v>
      </c>
      <c r="L486" s="13">
        <f t="shared" si="109"/>
        <v>0</v>
      </c>
      <c r="M486" s="13">
        <f t="shared" ca="1" si="115"/>
        <v>-319419</v>
      </c>
      <c r="N486" s="13">
        <f ca="1">IF($V485&gt;=VLOOKUP($M$4-1+$B486,Paraméterek!$B$121:$D$122,IF($D$4="Forint",2,3)),0,VLOOKUP($M$4-1+$B486,Paraméterek!$B$121:$D$122,IF($D$4="Forint",2,3))-$V485)</f>
        <v>329419</v>
      </c>
      <c r="O486" s="13">
        <f ca="1">ROUNDUP($N486*Paraméterek!$C$58/Paraméterek!$C$56,IF($D$4="Forint",0,2))</f>
        <v>53</v>
      </c>
      <c r="P486" s="13">
        <f t="shared" si="110"/>
        <v>1692</v>
      </c>
      <c r="Q486" s="33"/>
      <c r="R486" s="13">
        <f t="shared" ca="1" si="111"/>
        <v>0</v>
      </c>
      <c r="S486" s="13">
        <f ca="1">ROUNDUP(($M486-$O486-$P486+$R486)*VLOOKUP($B486,Paraméterek!$B$38:$D$39,IF($D$2="Egyszeri",3,2))/12,IF($D$4="Forint",0,2))</f>
        <v>-785</v>
      </c>
      <c r="T486" s="13"/>
      <c r="U486" s="13"/>
      <c r="V486" s="13">
        <f ca="1">$M486-$O486-$P486+$R486-$S486-IF(ROUNDUP(IF(ISBLANK($U486),$T486,$U486)/IF(AND($B486=1,$D$2&lt;&gt;"Egyszeri"),1,VLOOKUP($B486+IF($C486=12,1,0),Paraméterek!$B$257:$D$267,IF($D$2="Egyszeri",3,2))),IF($D$4="Forint",0,2))&gt;$M486-$O486-$P486+$R486-$S486-IF($D$4="Forint",Paraméterek!$C$216,Paraméterek!$D$216),0,ROUNDUP(IF(ISBLANK($U486),$T486,$U486)/IF(AND($B486=1,$D$2&lt;&gt;"Egyszeri"),1,VLOOKUP($B486+IF($C486=12,1,0),Paraméterek!$B$257:$D$267,IF($D$2="Egyszeri",3,2))),IF($D$4="Forint",0,2)))</f>
        <v>-320379</v>
      </c>
      <c r="W486" s="13">
        <f ca="1">ROUNDDOWN($V486*VLOOKUP($B486+IF($C486=12,1,0),Paraméterek!$B$257:$D$267,IF($D$2="Egyszeri",3,2)),IF($D$4="Forint",0,2))</f>
        <v>-320379</v>
      </c>
      <c r="Y486" s="32">
        <v>467</v>
      </c>
      <c r="Z486" s="32">
        <v>39</v>
      </c>
      <c r="AA486" s="32">
        <v>11</v>
      </c>
      <c r="AB486" s="13">
        <f t="shared" si="116"/>
        <v>0</v>
      </c>
      <c r="AC486" s="33"/>
      <c r="AD486" s="13">
        <f t="shared" si="112"/>
        <v>0</v>
      </c>
      <c r="AE486" s="13">
        <f>ROUNDUP(($AB486+$AD486)*VLOOKUP($Z486,Paraméterek!$P$38:$Q$38,2)/12,IF($D$4="Forint",0,2))</f>
        <v>0</v>
      </c>
      <c r="AF486" s="13">
        <f>IF($D$2="Egyszeri",IF($D$7&gt;=IF($D$4="Forint",Paraméterek!$P$223,Paraméterek!$P$224),$D$7-IF($D$4="Forint",Paraméterek!$F$223,Paraméterek!$F$224),0),MIN(IF($AA486=12,AVERAGE($D$20:$D486)*12,0),SUM($D$20:$D$31)))</f>
        <v>0</v>
      </c>
      <c r="AG486" s="13">
        <f>IF(AND($Z486&gt;=10,MOD($Z486,5)=0),$AF486*IF($AA486=12,VLOOKUP($Z486,Paraméterek!$B$225:$F$240,IF($AF486&lt;IF($D$4="Forint",Paraméterek!$C$223,Paraméterek!$C$224),2,IF($AF486&lt;IF($D$4="Forint",Paraméterek!$D$223,Paraméterek!$D$224),3,4))),0),0)</f>
        <v>0</v>
      </c>
      <c r="AH486" s="13">
        <f>IF(AND($Z486&gt;=5,MOD($Z486,5)=0),IF($AA486=12,VLOOKUP($Z486,Paraméterek!$B$225:$F$240,5),0),IF(OR($Z486=3,$Z486=4),IF($AA486=12,VLOOKUP($Z486,Paraméterek!$B$225:$F$240,5,0),0),0))*$AF486</f>
        <v>0</v>
      </c>
      <c r="AI486" s="13">
        <f>ROUNDDOWN(IF(SUM($T$20:$U486)=0,IF($D$2="Egyszeri",$AH486,$AG486),0),IF($D$4="Forint",0,2))</f>
        <v>0</v>
      </c>
      <c r="AJ486" s="13">
        <f t="shared" si="117"/>
        <v>0</v>
      </c>
      <c r="AK486" s="13">
        <f t="shared" si="118"/>
        <v>0</v>
      </c>
      <c r="AM486" s="32">
        <v>467</v>
      </c>
      <c r="AN486" s="32">
        <v>39</v>
      </c>
      <c r="AO486" s="32">
        <v>11</v>
      </c>
      <c r="AP486" s="13"/>
      <c r="AQ486" s="32"/>
      <c r="AR486" s="13">
        <f t="shared" si="119"/>
        <v>0</v>
      </c>
      <c r="AS486" s="33"/>
      <c r="AT486" s="13">
        <f t="shared" si="113"/>
        <v>0</v>
      </c>
      <c r="AU486" s="13">
        <f>ROUNDUP(($AR486+$AT486)*VLOOKUP($AN486,Paraméterek!$P$38:$Q$38,2)/12,IF($D$4="Forint",0,2))</f>
        <v>0</v>
      </c>
      <c r="AV486" s="13"/>
      <c r="AW486" s="13"/>
      <c r="AX486" s="13">
        <f>ROUNDUP(IF(SUM($AV486:$AW486)=0,0,IF(IF(ISBLANK($AW486),$AV486,$AW486)*Paraméterek!$J$112&lt;IF($D$4="Forint",Paraméterek!$J$113,Paraméterek!$K$113),IF($D$4="Forint",Paraméterek!$J$113,Paraméterek!$K$113),IF(IF(ISBLANK($AW486),$AV486,$AW486)*Paraméterek!$J$112&gt;IF($D$4="Forint",Paraméterek!$J$114,Paraméterek!$K$114),IF($D$4="Forint",Paraméterek!$J$114,Paraméterek!$K$114),IF(ISBLANK($AW486),$AV486,$AW486)*Paraméterek!$J$112))),IF($D$4="Forint",0,2))</f>
        <v>0</v>
      </c>
      <c r="AY486" s="13">
        <f>$AR486+$AT486-$AU486-IF(ROUNDDOWN(IF(ISBLANK($AW486),$AV486,$AW486),IF($D$4="Forint",0,2))&gt;$AR486+$AT486-$AU486-IF($D$4="Forint",Paraméterek!$J$114,Paraméterek!$K$114),0,ROUNDDOWN(IF(ISBLANK($AW486),$AV486,$AW486),IF($D$4="Forint",0,2))-$AX486)</f>
        <v>0</v>
      </c>
      <c r="AZ486" s="13">
        <f t="shared" si="114"/>
        <v>0</v>
      </c>
    </row>
    <row r="487" spans="1:52" x14ac:dyDescent="0.2">
      <c r="A487" s="32">
        <v>468</v>
      </c>
      <c r="B487" s="32">
        <v>39</v>
      </c>
      <c r="C487" s="32">
        <v>12</v>
      </c>
      <c r="D487" s="13">
        <f t="shared" si="105"/>
        <v>0</v>
      </c>
      <c r="E487" s="13"/>
      <c r="F487" s="13"/>
      <c r="G487" s="13"/>
      <c r="H487" s="13">
        <f t="shared" si="106"/>
        <v>0</v>
      </c>
      <c r="I487" s="13">
        <f t="shared" si="107"/>
        <v>0</v>
      </c>
      <c r="J487" s="13">
        <f t="shared" si="108"/>
        <v>0</v>
      </c>
      <c r="K487" s="13">
        <f>ROUNDUP(IF($D$2="Egyszeri",$D487,IF($D$2="Havi",SUM($D$20:$D$31),IF(MOD($C487,$M$1)-1=0,SUM($D$20:$D$31),0))/12*$M$1)*VLOOKUP($B487,Paraméterek!$B$27:$D$30,IF($D$2="Egyszeri",3,2)),IF($D$4="Forint",0,2))</f>
        <v>0</v>
      </c>
      <c r="L487" s="13">
        <f t="shared" si="109"/>
        <v>0</v>
      </c>
      <c r="M487" s="13">
        <f t="shared" ca="1" si="115"/>
        <v>-320379</v>
      </c>
      <c r="N487" s="13">
        <f ca="1">IF($V486&gt;=VLOOKUP($M$4-1+$B487,Paraméterek!$B$121:$D$122,IF($D$4="Forint",2,3)),0,VLOOKUP($M$4-1+$B487,Paraméterek!$B$121:$D$122,IF($D$4="Forint",2,3))-$V486)</f>
        <v>330379</v>
      </c>
      <c r="O487" s="13">
        <f ca="1">ROUNDUP($N487*Paraméterek!$C$58/Paraméterek!$C$56,IF($D$4="Forint",0,2))</f>
        <v>53</v>
      </c>
      <c r="P487" s="13">
        <f t="shared" si="110"/>
        <v>1692</v>
      </c>
      <c r="Q487" s="33"/>
      <c r="R487" s="13">
        <f t="shared" ca="1" si="111"/>
        <v>0</v>
      </c>
      <c r="S487" s="13">
        <f ca="1">ROUNDUP(($M487-$O487-$P487+$R487)*VLOOKUP($B487,Paraméterek!$B$38:$D$39,IF($D$2="Egyszeri",3,2))/12,IF($D$4="Forint",0,2))</f>
        <v>-787</v>
      </c>
      <c r="T487" s="13">
        <f>Tranzakciók!$F$70</f>
        <v>0</v>
      </c>
      <c r="U487" s="13"/>
      <c r="V487" s="13">
        <f ca="1">$M487-$O487-$P487+$R487-$S487-IF(ROUNDUP(IF(ISBLANK($U487),$T487,$U487)/IF(AND($B487=1,$D$2&lt;&gt;"Egyszeri"),1,VLOOKUP($B487+IF($C487=12,1,0),Paraméterek!$B$257:$D$267,IF($D$2="Egyszeri",3,2))),IF($D$4="Forint",0,2))&gt;$M487-$O487-$P487+$R487-$S487-IF($D$4="Forint",Paraméterek!$C$216,Paraméterek!$D$216),0,ROUNDUP(IF(ISBLANK($U487),$T487,$U487)/IF(AND($B487=1,$D$2&lt;&gt;"Egyszeri"),1,VLOOKUP($B487+IF($C487=12,1,0),Paraméterek!$B$257:$D$267,IF($D$2="Egyszeri",3,2))),IF($D$4="Forint",0,2)))</f>
        <v>-321337</v>
      </c>
      <c r="W487" s="13">
        <f ca="1">ROUNDDOWN($V487*VLOOKUP($B487+IF($C487=12,1,0),Paraméterek!$B$257:$D$267,IF($D$2="Egyszeri",3,2)),IF($D$4="Forint",0,2))</f>
        <v>-321337</v>
      </c>
      <c r="Y487" s="32">
        <v>468</v>
      </c>
      <c r="Z487" s="32">
        <v>39</v>
      </c>
      <c r="AA487" s="32">
        <v>12</v>
      </c>
      <c r="AB487" s="13">
        <f t="shared" si="116"/>
        <v>0</v>
      </c>
      <c r="AC487" s="33"/>
      <c r="AD487" s="13">
        <f t="shared" si="112"/>
        <v>0</v>
      </c>
      <c r="AE487" s="13">
        <f>ROUNDUP(($AB487+$AD487)*VLOOKUP($Z487,Paraméterek!$P$38:$Q$38,2)/12,IF($D$4="Forint",0,2))</f>
        <v>0</v>
      </c>
      <c r="AF487" s="13">
        <f>IF($D$2="Egyszeri",IF($D$7&gt;=IF($D$4="Forint",Paraméterek!$P$223,Paraméterek!$P$224),$D$7-IF($D$4="Forint",Paraméterek!$F$223,Paraméterek!$F$224),0),MIN(IF($AA487=12,AVERAGE($D$20:$D487)*12,0),SUM($D$20:$D$31)))</f>
        <v>0</v>
      </c>
      <c r="AG487" s="13">
        <f>IF(AND($Z487&gt;=10,MOD($Z487,5)=0),$AF487*IF($AA487=12,VLOOKUP($Z487,Paraméterek!$B$225:$F$240,IF($AF487&lt;IF($D$4="Forint",Paraméterek!$C$223,Paraméterek!$C$224),2,IF($AF487&lt;IF($D$4="Forint",Paraméterek!$D$223,Paraméterek!$D$224),3,4))),0),0)</f>
        <v>0</v>
      </c>
      <c r="AH487" s="13">
        <f>IF(AND($Z487&gt;=5,MOD($Z487,5)=0),IF($AA487=12,VLOOKUP($Z487,Paraméterek!$B$225:$F$240,5),0),IF(OR($Z487=3,$Z487=4),IF($AA487=12,VLOOKUP($Z487,Paraméterek!$B$225:$F$240,5,0),0),0))*$AF487</f>
        <v>0</v>
      </c>
      <c r="AI487" s="13">
        <f>ROUNDDOWN(IF(SUM($T$20:$U487)=0,IF($D$2="Egyszeri",$AH487,$AG487),0),IF($D$4="Forint",0,2))</f>
        <v>0</v>
      </c>
      <c r="AJ487" s="13">
        <f t="shared" si="117"/>
        <v>0</v>
      </c>
      <c r="AK487" s="13">
        <f t="shared" si="118"/>
        <v>0</v>
      </c>
      <c r="AM487" s="32">
        <v>468</v>
      </c>
      <c r="AN487" s="32">
        <v>39</v>
      </c>
      <c r="AO487" s="32">
        <v>12</v>
      </c>
      <c r="AP487" s="13"/>
      <c r="AQ487" s="32"/>
      <c r="AR487" s="13">
        <f t="shared" si="119"/>
        <v>0</v>
      </c>
      <c r="AS487" s="33"/>
      <c r="AT487" s="13">
        <f t="shared" si="113"/>
        <v>0</v>
      </c>
      <c r="AU487" s="13">
        <f>ROUNDUP(($AR487+$AT487)*VLOOKUP($AN487,Paraméterek!$P$38:$Q$38,2)/12,IF($D$4="Forint",0,2))</f>
        <v>0</v>
      </c>
      <c r="AV487" s="13">
        <f>Tranzakciók!$M$70</f>
        <v>0</v>
      </c>
      <c r="AW487" s="13"/>
      <c r="AX487" s="13">
        <f>ROUNDUP(IF(SUM($AV487:$AW487)=0,0,IF(IF(ISBLANK($AW487),$AV487,$AW487)*Paraméterek!$J$112&lt;IF($D$4="Forint",Paraméterek!$J$113,Paraméterek!$K$113),IF($D$4="Forint",Paraméterek!$J$113,Paraméterek!$K$113),IF(IF(ISBLANK($AW487),$AV487,$AW487)*Paraméterek!$J$112&gt;IF($D$4="Forint",Paraméterek!$J$114,Paraméterek!$K$114),IF($D$4="Forint",Paraméterek!$J$114,Paraméterek!$K$114),IF(ISBLANK($AW487),$AV487,$AW487)*Paraméterek!$J$112))),IF($D$4="Forint",0,2))</f>
        <v>0</v>
      </c>
      <c r="AY487" s="13">
        <f>$AR487+$AT487-$AU487-IF(ROUNDDOWN(IF(ISBLANK($AW487),$AV487,$AW487),IF($D$4="Forint",0,2))&gt;$AR487+$AT487-$AU487-IF($D$4="Forint",Paraméterek!$J$114,Paraméterek!$K$114),0,ROUNDDOWN(IF(ISBLANK($AW487),$AV487,$AW487),IF($D$4="Forint",0,2))-$AX487)</f>
        <v>0</v>
      </c>
      <c r="AZ487" s="13">
        <f t="shared" si="114"/>
        <v>0</v>
      </c>
    </row>
    <row r="488" spans="1:52" x14ac:dyDescent="0.2">
      <c r="A488" s="32">
        <v>469</v>
      </c>
      <c r="B488" s="32">
        <v>40</v>
      </c>
      <c r="C488" s="32">
        <v>1</v>
      </c>
      <c r="D488" s="13">
        <f t="shared" si="105"/>
        <v>0</v>
      </c>
      <c r="E488" s="13"/>
      <c r="F488" s="13">
        <f>Tranzakciók!$D$71</f>
        <v>0</v>
      </c>
      <c r="G488" s="13"/>
      <c r="H488" s="13">
        <f t="shared" si="106"/>
        <v>0</v>
      </c>
      <c r="I488" s="13">
        <f t="shared" si="107"/>
        <v>317</v>
      </c>
      <c r="J488" s="13">
        <f t="shared" si="108"/>
        <v>317</v>
      </c>
      <c r="K488" s="13">
        <f>ROUNDUP(IF($D$2="Egyszeri",$D488,IF($D$2="Havi",SUM($D$20:$D$31),IF(MOD($C488,$M$1)-1=0,SUM($D$20:$D$31),0))/12*$M$1)*VLOOKUP($B488,Paraméterek!$B$27:$D$30,IF($D$2="Egyszeri",3,2)),IF($D$4="Forint",0,2))</f>
        <v>0</v>
      </c>
      <c r="L488" s="13">
        <f t="shared" si="109"/>
        <v>0</v>
      </c>
      <c r="M488" s="13">
        <f t="shared" ca="1" si="115"/>
        <v>-321337</v>
      </c>
      <c r="N488" s="13">
        <f ca="1">IF($V487&gt;=VLOOKUP($M$4-1+$B488,Paraméterek!$B$121:$D$122,IF($D$4="Forint",2,3)),0,VLOOKUP($M$4-1+$B488,Paraméterek!$B$121:$D$122,IF($D$4="Forint",2,3))-$V487)</f>
        <v>331337</v>
      </c>
      <c r="O488" s="13">
        <f ca="1">ROUNDUP($N488*Paraméterek!$C$58/Paraméterek!$C$56,IF($D$4="Forint",0,2))</f>
        <v>53</v>
      </c>
      <c r="P488" s="13">
        <f t="shared" si="110"/>
        <v>1742</v>
      </c>
      <c r="Q488" s="33"/>
      <c r="R488" s="13">
        <f t="shared" ca="1" si="111"/>
        <v>0</v>
      </c>
      <c r="S488" s="13">
        <f ca="1">ROUNDUP(($M488-$O488-$P488+$R488)*VLOOKUP($B488,Paraméterek!$B$38:$D$39,IF($D$2="Egyszeri",3,2))/12,IF($D$4="Forint",0,2))</f>
        <v>-789</v>
      </c>
      <c r="T488" s="13"/>
      <c r="U488" s="13"/>
      <c r="V488" s="13">
        <f ca="1">$M488-$O488-$P488+$R488-$S488-IF(ROUNDUP(IF(ISBLANK($U488),$T488,$U488)/IF(AND($B488=1,$D$2&lt;&gt;"Egyszeri"),1,VLOOKUP($B488+IF($C488=12,1,0),Paraméterek!$B$257:$D$267,IF($D$2="Egyszeri",3,2))),IF($D$4="Forint",0,2))&gt;$M488-$O488-$P488+$R488-$S488-IF($D$4="Forint",Paraméterek!$C$216,Paraméterek!$D$216),0,ROUNDUP(IF(ISBLANK($U488),$T488,$U488)/IF(AND($B488=1,$D$2&lt;&gt;"Egyszeri"),1,VLOOKUP($B488+IF($C488=12,1,0),Paraméterek!$B$257:$D$267,IF($D$2="Egyszeri",3,2))),IF($D$4="Forint",0,2)))</f>
        <v>-322343</v>
      </c>
      <c r="W488" s="13">
        <f ca="1">ROUNDDOWN($V488*VLOOKUP($B488+IF($C488=12,1,0),Paraméterek!$B$257:$D$267,IF($D$2="Egyszeri",3,2)),IF($D$4="Forint",0,2))</f>
        <v>-322343</v>
      </c>
      <c r="Y488" s="32">
        <v>469</v>
      </c>
      <c r="Z488" s="32">
        <v>40</v>
      </c>
      <c r="AA488" s="32">
        <v>1</v>
      </c>
      <c r="AB488" s="13">
        <f t="shared" si="116"/>
        <v>0</v>
      </c>
      <c r="AC488" s="33"/>
      <c r="AD488" s="13">
        <f t="shared" si="112"/>
        <v>0</v>
      </c>
      <c r="AE488" s="13">
        <f>ROUNDUP(($AB488+$AD488)*VLOOKUP($Z488,Paraméterek!$P$38:$Q$38,2)/12,IF($D$4="Forint",0,2))</f>
        <v>0</v>
      </c>
      <c r="AF488" s="13">
        <f>IF($D$2="Egyszeri",IF($D$7&gt;=IF($D$4="Forint",Paraméterek!$P$223,Paraméterek!$P$224),$D$7-IF($D$4="Forint",Paraméterek!$F$223,Paraméterek!$F$224),0),MIN(IF($AA488=12,AVERAGE($D$20:$D488)*12,0),SUM($D$20:$D$31)))</f>
        <v>0</v>
      </c>
      <c r="AG488" s="13">
        <f>IF(AND($Z488&gt;=10,MOD($Z488,5)=0),$AF488*IF($AA488=12,VLOOKUP($Z488,Paraméterek!$B$225:$F$240,IF($AF488&lt;IF($D$4="Forint",Paraméterek!$C$223,Paraméterek!$C$224),2,IF($AF488&lt;IF($D$4="Forint",Paraméterek!$D$223,Paraméterek!$D$224),3,4))),0),0)</f>
        <v>0</v>
      </c>
      <c r="AH488" s="13">
        <f>IF(AND($Z488&gt;=5,MOD($Z488,5)=0),IF($AA488=12,VLOOKUP($Z488,Paraméterek!$B$225:$F$240,5),0),IF(OR($Z488=3,$Z488=4),IF($AA488=12,VLOOKUP($Z488,Paraméterek!$B$225:$F$240,5,0),0),0))*$AF488</f>
        <v>0</v>
      </c>
      <c r="AI488" s="13">
        <f>ROUNDDOWN(IF(SUM($T$20:$U488)=0,IF($D$2="Egyszeri",$AH488,$AG488),0),IF($D$4="Forint",0,2))</f>
        <v>0</v>
      </c>
      <c r="AJ488" s="13">
        <f t="shared" si="117"/>
        <v>0</v>
      </c>
      <c r="AK488" s="13">
        <f t="shared" si="118"/>
        <v>0</v>
      </c>
      <c r="AM488" s="32">
        <v>469</v>
      </c>
      <c r="AN488" s="32">
        <v>40</v>
      </c>
      <c r="AO488" s="32">
        <v>1</v>
      </c>
      <c r="AP488" s="13">
        <f>Tranzakciók!$K$71</f>
        <v>0</v>
      </c>
      <c r="AQ488" s="32"/>
      <c r="AR488" s="13">
        <f t="shared" si="119"/>
        <v>0</v>
      </c>
      <c r="AS488" s="33"/>
      <c r="AT488" s="13">
        <f t="shared" si="113"/>
        <v>0</v>
      </c>
      <c r="AU488" s="13">
        <f>ROUNDUP(($AR488+$AT488)*VLOOKUP($AN488,Paraméterek!$P$38:$Q$38,2)/12,IF($D$4="Forint",0,2))</f>
        <v>0</v>
      </c>
      <c r="AV488" s="13"/>
      <c r="AW488" s="13"/>
      <c r="AX488" s="13">
        <f>ROUNDUP(IF(SUM($AV488:$AW488)=0,0,IF(IF(ISBLANK($AW488),$AV488,$AW488)*Paraméterek!$J$112&lt;IF($D$4="Forint",Paraméterek!$J$113,Paraméterek!$K$113),IF($D$4="Forint",Paraméterek!$J$113,Paraméterek!$K$113),IF(IF(ISBLANK($AW488),$AV488,$AW488)*Paraméterek!$J$112&gt;IF($D$4="Forint",Paraméterek!$J$114,Paraméterek!$K$114),IF($D$4="Forint",Paraméterek!$J$114,Paraméterek!$K$114),IF(ISBLANK($AW488),$AV488,$AW488)*Paraméterek!$J$112))),IF($D$4="Forint",0,2))</f>
        <v>0</v>
      </c>
      <c r="AY488" s="13">
        <f>$AR488+$AT488-$AU488-IF(ROUNDDOWN(IF(ISBLANK($AW488),$AV488,$AW488),IF($D$4="Forint",0,2))&gt;$AR488+$AT488-$AU488-IF($D$4="Forint",Paraméterek!$J$114,Paraméterek!$K$114),0,ROUNDDOWN(IF(ISBLANK($AW488),$AV488,$AW488),IF($D$4="Forint",0,2))-$AX488)</f>
        <v>0</v>
      </c>
      <c r="AZ488" s="13">
        <f t="shared" si="114"/>
        <v>0</v>
      </c>
    </row>
    <row r="489" spans="1:52" x14ac:dyDescent="0.2">
      <c r="A489" s="32">
        <v>470</v>
      </c>
      <c r="B489" s="32">
        <v>40</v>
      </c>
      <c r="C489" s="32">
        <v>2</v>
      </c>
      <c r="D489" s="13">
        <f t="shared" si="105"/>
        <v>0</v>
      </c>
      <c r="E489" s="13"/>
      <c r="F489" s="13"/>
      <c r="G489" s="13"/>
      <c r="H489" s="13">
        <f t="shared" si="106"/>
        <v>0</v>
      </c>
      <c r="I489" s="13">
        <f t="shared" si="107"/>
        <v>0</v>
      </c>
      <c r="J489" s="13">
        <f t="shared" si="108"/>
        <v>0</v>
      </c>
      <c r="K489" s="13">
        <f>ROUNDUP(IF($D$2="Egyszeri",$D489,IF($D$2="Havi",SUM($D$20:$D$31),IF(MOD($C489,$M$1)-1=0,SUM($D$20:$D$31),0))/12*$M$1)*VLOOKUP($B489,Paraméterek!$B$27:$D$30,IF($D$2="Egyszeri",3,2)),IF($D$4="Forint",0,2))</f>
        <v>0</v>
      </c>
      <c r="L489" s="13">
        <f t="shared" si="109"/>
        <v>0</v>
      </c>
      <c r="M489" s="13">
        <f t="shared" ca="1" si="115"/>
        <v>-322343</v>
      </c>
      <c r="N489" s="13">
        <f ca="1">IF($V488&gt;=VLOOKUP($M$4-1+$B489,Paraméterek!$B$121:$D$122,IF($D$4="Forint",2,3)),0,VLOOKUP($M$4-1+$B489,Paraméterek!$B$121:$D$122,IF($D$4="Forint",2,3))-$V488)</f>
        <v>332343</v>
      </c>
      <c r="O489" s="13">
        <f ca="1">ROUNDUP($N489*Paraméterek!$C$58/Paraméterek!$C$56,IF($D$4="Forint",0,2))</f>
        <v>53</v>
      </c>
      <c r="P489" s="13">
        <f t="shared" si="110"/>
        <v>1742</v>
      </c>
      <c r="Q489" s="33"/>
      <c r="R489" s="13">
        <f t="shared" ca="1" si="111"/>
        <v>0</v>
      </c>
      <c r="S489" s="13">
        <f ca="1">ROUNDUP(($M489-$O489-$P489+$R489)*VLOOKUP($B489,Paraméterek!$B$38:$D$39,IF($D$2="Egyszeri",3,2))/12,IF($D$4="Forint",0,2))</f>
        <v>-792</v>
      </c>
      <c r="T489" s="13"/>
      <c r="U489" s="13"/>
      <c r="V489" s="13">
        <f ca="1">$M489-$O489-$P489+$R489-$S489-IF(ROUNDUP(IF(ISBLANK($U489),$T489,$U489)/IF(AND($B489=1,$D$2&lt;&gt;"Egyszeri"),1,VLOOKUP($B489+IF($C489=12,1,0),Paraméterek!$B$257:$D$267,IF($D$2="Egyszeri",3,2))),IF($D$4="Forint",0,2))&gt;$M489-$O489-$P489+$R489-$S489-IF($D$4="Forint",Paraméterek!$C$216,Paraméterek!$D$216),0,ROUNDUP(IF(ISBLANK($U489),$T489,$U489)/IF(AND($B489=1,$D$2&lt;&gt;"Egyszeri"),1,VLOOKUP($B489+IF($C489=12,1,0),Paraméterek!$B$257:$D$267,IF($D$2="Egyszeri",3,2))),IF($D$4="Forint",0,2)))</f>
        <v>-323346</v>
      </c>
      <c r="W489" s="13">
        <f ca="1">ROUNDDOWN($V489*VLOOKUP($B489+IF($C489=12,1,0),Paraméterek!$B$257:$D$267,IF($D$2="Egyszeri",3,2)),IF($D$4="Forint",0,2))</f>
        <v>-323346</v>
      </c>
      <c r="Y489" s="32">
        <v>470</v>
      </c>
      <c r="Z489" s="32">
        <v>40</v>
      </c>
      <c r="AA489" s="32">
        <v>2</v>
      </c>
      <c r="AB489" s="13">
        <f t="shared" si="116"/>
        <v>0</v>
      </c>
      <c r="AC489" s="33"/>
      <c r="AD489" s="13">
        <f t="shared" si="112"/>
        <v>0</v>
      </c>
      <c r="AE489" s="13">
        <f>ROUNDUP(($AB489+$AD489)*VLOOKUP($Z489,Paraméterek!$P$38:$Q$38,2)/12,IF($D$4="Forint",0,2))</f>
        <v>0</v>
      </c>
      <c r="AF489" s="13">
        <f>IF($D$2="Egyszeri",IF($D$7&gt;=IF($D$4="Forint",Paraméterek!$P$223,Paraméterek!$P$224),$D$7-IF($D$4="Forint",Paraméterek!$F$223,Paraméterek!$F$224),0),MIN(IF($AA489=12,AVERAGE($D$20:$D489)*12,0),SUM($D$20:$D$31)))</f>
        <v>0</v>
      </c>
      <c r="AG489" s="13">
        <f>IF(AND($Z489&gt;=10,MOD($Z489,5)=0),$AF489*IF($AA489=12,VLOOKUP($Z489,Paraméterek!$B$225:$F$240,IF($AF489&lt;IF($D$4="Forint",Paraméterek!$C$223,Paraméterek!$C$224),2,IF($AF489&lt;IF($D$4="Forint",Paraméterek!$D$223,Paraméterek!$D$224),3,4))),0),0)</f>
        <v>0</v>
      </c>
      <c r="AH489" s="13">
        <f>IF(AND($Z489&gt;=5,MOD($Z489,5)=0),IF($AA489=12,VLOOKUP($Z489,Paraméterek!$B$225:$F$240,5),0),IF(OR($Z489=3,$Z489=4),IF($AA489=12,VLOOKUP($Z489,Paraméterek!$B$225:$F$240,5,0),0),0))*$AF489</f>
        <v>0</v>
      </c>
      <c r="AI489" s="13">
        <f>ROUNDDOWN(IF(SUM($T$20:$U489)=0,IF($D$2="Egyszeri",$AH489,$AG489),0),IF($D$4="Forint",0,2))</f>
        <v>0</v>
      </c>
      <c r="AJ489" s="13">
        <f t="shared" si="117"/>
        <v>0</v>
      </c>
      <c r="AK489" s="13">
        <f t="shared" si="118"/>
        <v>0</v>
      </c>
      <c r="AM489" s="32">
        <v>470</v>
      </c>
      <c r="AN489" s="32">
        <v>40</v>
      </c>
      <c r="AO489" s="32">
        <v>2</v>
      </c>
      <c r="AP489" s="13"/>
      <c r="AQ489" s="32"/>
      <c r="AR489" s="13">
        <f t="shared" si="119"/>
        <v>0</v>
      </c>
      <c r="AS489" s="33"/>
      <c r="AT489" s="13">
        <f t="shared" si="113"/>
        <v>0</v>
      </c>
      <c r="AU489" s="13">
        <f>ROUNDUP(($AR489+$AT489)*VLOOKUP($AN489,Paraméterek!$P$38:$Q$38,2)/12,IF($D$4="Forint",0,2))</f>
        <v>0</v>
      </c>
      <c r="AV489" s="13"/>
      <c r="AW489" s="13"/>
      <c r="AX489" s="13">
        <f>ROUNDUP(IF(SUM($AV489:$AW489)=0,0,IF(IF(ISBLANK($AW489),$AV489,$AW489)*Paraméterek!$J$112&lt;IF($D$4="Forint",Paraméterek!$J$113,Paraméterek!$K$113),IF($D$4="Forint",Paraméterek!$J$113,Paraméterek!$K$113),IF(IF(ISBLANK($AW489),$AV489,$AW489)*Paraméterek!$J$112&gt;IF($D$4="Forint",Paraméterek!$J$114,Paraméterek!$K$114),IF($D$4="Forint",Paraméterek!$J$114,Paraméterek!$K$114),IF(ISBLANK($AW489),$AV489,$AW489)*Paraméterek!$J$112))),IF($D$4="Forint",0,2))</f>
        <v>0</v>
      </c>
      <c r="AY489" s="13">
        <f>$AR489+$AT489-$AU489-IF(ROUNDDOWN(IF(ISBLANK($AW489),$AV489,$AW489),IF($D$4="Forint",0,2))&gt;$AR489+$AT489-$AU489-IF($D$4="Forint",Paraméterek!$J$114,Paraméterek!$K$114),0,ROUNDDOWN(IF(ISBLANK($AW489),$AV489,$AW489),IF($D$4="Forint",0,2))-$AX489)</f>
        <v>0</v>
      </c>
      <c r="AZ489" s="13">
        <f t="shared" si="114"/>
        <v>0</v>
      </c>
    </row>
    <row r="490" spans="1:52" x14ac:dyDescent="0.2">
      <c r="A490" s="32">
        <v>471</v>
      </c>
      <c r="B490" s="32">
        <v>40</v>
      </c>
      <c r="C490" s="32">
        <v>3</v>
      </c>
      <c r="D490" s="13">
        <f t="shared" si="105"/>
        <v>0</v>
      </c>
      <c r="E490" s="13"/>
      <c r="F490" s="13"/>
      <c r="G490" s="13"/>
      <c r="H490" s="13">
        <f t="shared" si="106"/>
        <v>0</v>
      </c>
      <c r="I490" s="13">
        <f t="shared" si="107"/>
        <v>0</v>
      </c>
      <c r="J490" s="13">
        <f t="shared" si="108"/>
        <v>0</v>
      </c>
      <c r="K490" s="13">
        <f>ROUNDUP(IF($D$2="Egyszeri",$D490,IF($D$2="Havi",SUM($D$20:$D$31),IF(MOD($C490,$M$1)-1=0,SUM($D$20:$D$31),0))/12*$M$1)*VLOOKUP($B490,Paraméterek!$B$27:$D$30,IF($D$2="Egyszeri",3,2)),IF($D$4="Forint",0,2))</f>
        <v>0</v>
      </c>
      <c r="L490" s="13">
        <f t="shared" si="109"/>
        <v>0</v>
      </c>
      <c r="M490" s="13">
        <f t="shared" ca="1" si="115"/>
        <v>-323346</v>
      </c>
      <c r="N490" s="13">
        <f ca="1">IF($V489&gt;=VLOOKUP($M$4-1+$B490,Paraméterek!$B$121:$D$122,IF($D$4="Forint",2,3)),0,VLOOKUP($M$4-1+$B490,Paraméterek!$B$121:$D$122,IF($D$4="Forint",2,3))-$V489)</f>
        <v>333346</v>
      </c>
      <c r="O490" s="13">
        <f ca="1">ROUNDUP($N490*Paraméterek!$C$58/Paraméterek!$C$56,IF($D$4="Forint",0,2))</f>
        <v>54</v>
      </c>
      <c r="P490" s="13">
        <f t="shared" si="110"/>
        <v>1742</v>
      </c>
      <c r="Q490" s="33"/>
      <c r="R490" s="13">
        <f t="shared" ca="1" si="111"/>
        <v>0</v>
      </c>
      <c r="S490" s="13">
        <f ca="1">ROUNDUP(($M490-$O490-$P490+$R490)*VLOOKUP($B490,Paraméterek!$B$38:$D$39,IF($D$2="Egyszeri",3,2))/12,IF($D$4="Forint",0,2))</f>
        <v>-794</v>
      </c>
      <c r="T490" s="13"/>
      <c r="U490" s="13"/>
      <c r="V490" s="13">
        <f ca="1">$M490-$O490-$P490+$R490-$S490-IF(ROUNDUP(IF(ISBLANK($U490),$T490,$U490)/IF(AND($B490=1,$D$2&lt;&gt;"Egyszeri"),1,VLOOKUP($B490+IF($C490=12,1,0),Paraméterek!$B$257:$D$267,IF($D$2="Egyszeri",3,2))),IF($D$4="Forint",0,2))&gt;$M490-$O490-$P490+$R490-$S490-IF($D$4="Forint",Paraméterek!$C$216,Paraméterek!$D$216),0,ROUNDUP(IF(ISBLANK($U490),$T490,$U490)/IF(AND($B490=1,$D$2&lt;&gt;"Egyszeri"),1,VLOOKUP($B490+IF($C490=12,1,0),Paraméterek!$B$257:$D$267,IF($D$2="Egyszeri",3,2))),IF($D$4="Forint",0,2)))</f>
        <v>-324348</v>
      </c>
      <c r="W490" s="13">
        <f ca="1">ROUNDDOWN($V490*VLOOKUP($B490+IF($C490=12,1,0),Paraméterek!$B$257:$D$267,IF($D$2="Egyszeri",3,2)),IF($D$4="Forint",0,2))</f>
        <v>-324348</v>
      </c>
      <c r="Y490" s="32">
        <v>471</v>
      </c>
      <c r="Z490" s="32">
        <v>40</v>
      </c>
      <c r="AA490" s="32">
        <v>3</v>
      </c>
      <c r="AB490" s="13">
        <f t="shared" si="116"/>
        <v>0</v>
      </c>
      <c r="AC490" s="33"/>
      <c r="AD490" s="13">
        <f t="shared" si="112"/>
        <v>0</v>
      </c>
      <c r="AE490" s="13">
        <f>ROUNDUP(($AB490+$AD490)*VLOOKUP($Z490,Paraméterek!$P$38:$Q$38,2)/12,IF($D$4="Forint",0,2))</f>
        <v>0</v>
      </c>
      <c r="AF490" s="13">
        <f>IF($D$2="Egyszeri",IF($D$7&gt;=IF($D$4="Forint",Paraméterek!$P$223,Paraméterek!$P$224),$D$7-IF($D$4="Forint",Paraméterek!$F$223,Paraméterek!$F$224),0),MIN(IF($AA490=12,AVERAGE($D$20:$D490)*12,0),SUM($D$20:$D$31)))</f>
        <v>0</v>
      </c>
      <c r="AG490" s="13">
        <f>IF(AND($Z490&gt;=10,MOD($Z490,5)=0),$AF490*IF($AA490=12,VLOOKUP($Z490,Paraméterek!$B$225:$F$240,IF($AF490&lt;IF($D$4="Forint",Paraméterek!$C$223,Paraméterek!$C$224),2,IF($AF490&lt;IF($D$4="Forint",Paraméterek!$D$223,Paraméterek!$D$224),3,4))),0),0)</f>
        <v>0</v>
      </c>
      <c r="AH490" s="13">
        <f>IF(AND($Z490&gt;=5,MOD($Z490,5)=0),IF($AA490=12,VLOOKUP($Z490,Paraméterek!$B$225:$F$240,5),0),IF(OR($Z490=3,$Z490=4),IF($AA490=12,VLOOKUP($Z490,Paraméterek!$B$225:$F$240,5,0),0),0))*$AF490</f>
        <v>0</v>
      </c>
      <c r="AI490" s="13">
        <f>ROUNDDOWN(IF(SUM($T$20:$U490)=0,IF($D$2="Egyszeri",$AH490,$AG490),0),IF($D$4="Forint",0,2))</f>
        <v>0</v>
      </c>
      <c r="AJ490" s="13">
        <f t="shared" si="117"/>
        <v>0</v>
      </c>
      <c r="AK490" s="13">
        <f t="shared" si="118"/>
        <v>0</v>
      </c>
      <c r="AM490" s="32">
        <v>471</v>
      </c>
      <c r="AN490" s="32">
        <v>40</v>
      </c>
      <c r="AO490" s="32">
        <v>3</v>
      </c>
      <c r="AP490" s="13"/>
      <c r="AQ490" s="32"/>
      <c r="AR490" s="13">
        <f t="shared" si="119"/>
        <v>0</v>
      </c>
      <c r="AS490" s="33"/>
      <c r="AT490" s="13">
        <f t="shared" si="113"/>
        <v>0</v>
      </c>
      <c r="AU490" s="13">
        <f>ROUNDUP(($AR490+$AT490)*VLOOKUP($AN490,Paraméterek!$P$38:$Q$38,2)/12,IF($D$4="Forint",0,2))</f>
        <v>0</v>
      </c>
      <c r="AV490" s="13"/>
      <c r="AW490" s="13"/>
      <c r="AX490" s="13">
        <f>ROUNDUP(IF(SUM($AV490:$AW490)=0,0,IF(IF(ISBLANK($AW490),$AV490,$AW490)*Paraméterek!$J$112&lt;IF($D$4="Forint",Paraméterek!$J$113,Paraméterek!$K$113),IF($D$4="Forint",Paraméterek!$J$113,Paraméterek!$K$113),IF(IF(ISBLANK($AW490),$AV490,$AW490)*Paraméterek!$J$112&gt;IF($D$4="Forint",Paraméterek!$J$114,Paraméterek!$K$114),IF($D$4="Forint",Paraméterek!$J$114,Paraméterek!$K$114),IF(ISBLANK($AW490),$AV490,$AW490)*Paraméterek!$J$112))),IF($D$4="Forint",0,2))</f>
        <v>0</v>
      </c>
      <c r="AY490" s="13">
        <f>$AR490+$AT490-$AU490-IF(ROUNDDOWN(IF(ISBLANK($AW490),$AV490,$AW490),IF($D$4="Forint",0,2))&gt;$AR490+$AT490-$AU490-IF($D$4="Forint",Paraméterek!$J$114,Paraméterek!$K$114),0,ROUNDDOWN(IF(ISBLANK($AW490),$AV490,$AW490),IF($D$4="Forint",0,2))-$AX490)</f>
        <v>0</v>
      </c>
      <c r="AZ490" s="13">
        <f t="shared" si="114"/>
        <v>0</v>
      </c>
    </row>
    <row r="491" spans="1:52" x14ac:dyDescent="0.2">
      <c r="A491" s="32">
        <v>472</v>
      </c>
      <c r="B491" s="32">
        <v>40</v>
      </c>
      <c r="C491" s="32">
        <v>4</v>
      </c>
      <c r="D491" s="13">
        <f t="shared" si="105"/>
        <v>0</v>
      </c>
      <c r="E491" s="13"/>
      <c r="F491" s="13"/>
      <c r="G491" s="13"/>
      <c r="H491" s="13">
        <f t="shared" si="106"/>
        <v>0</v>
      </c>
      <c r="I491" s="13">
        <f t="shared" si="107"/>
        <v>0</v>
      </c>
      <c r="J491" s="13">
        <f t="shared" si="108"/>
        <v>0</v>
      </c>
      <c r="K491" s="13">
        <f>ROUNDUP(IF($D$2="Egyszeri",$D491,IF($D$2="Havi",SUM($D$20:$D$31),IF(MOD($C491,$M$1)-1=0,SUM($D$20:$D$31),0))/12*$M$1)*VLOOKUP($B491,Paraméterek!$B$27:$D$30,IF($D$2="Egyszeri",3,2)),IF($D$4="Forint",0,2))</f>
        <v>0</v>
      </c>
      <c r="L491" s="13">
        <f t="shared" si="109"/>
        <v>0</v>
      </c>
      <c r="M491" s="13">
        <f t="shared" ca="1" si="115"/>
        <v>-324348</v>
      </c>
      <c r="N491" s="13">
        <f ca="1">IF($V490&gt;=VLOOKUP($M$4-1+$B491,Paraméterek!$B$121:$D$122,IF($D$4="Forint",2,3)),0,VLOOKUP($M$4-1+$B491,Paraméterek!$B$121:$D$122,IF($D$4="Forint",2,3))-$V490)</f>
        <v>334348</v>
      </c>
      <c r="O491" s="13">
        <f ca="1">ROUNDUP($N491*Paraméterek!$C$58/Paraméterek!$C$56,IF($D$4="Forint",0,2))</f>
        <v>54</v>
      </c>
      <c r="P491" s="13">
        <f t="shared" si="110"/>
        <v>1742</v>
      </c>
      <c r="Q491" s="33"/>
      <c r="R491" s="13">
        <f t="shared" ca="1" si="111"/>
        <v>0</v>
      </c>
      <c r="S491" s="13">
        <f ca="1">ROUNDUP(($M491-$O491-$P491+$R491)*VLOOKUP($B491,Paraméterek!$B$38:$D$39,IF($D$2="Egyszeri",3,2))/12,IF($D$4="Forint",0,2))</f>
        <v>-797</v>
      </c>
      <c r="T491" s="13"/>
      <c r="U491" s="13"/>
      <c r="V491" s="13">
        <f ca="1">$M491-$O491-$P491+$R491-$S491-IF(ROUNDUP(IF(ISBLANK($U491),$T491,$U491)/IF(AND($B491=1,$D$2&lt;&gt;"Egyszeri"),1,VLOOKUP($B491+IF($C491=12,1,0),Paraméterek!$B$257:$D$267,IF($D$2="Egyszeri",3,2))),IF($D$4="Forint",0,2))&gt;$M491-$O491-$P491+$R491-$S491-IF($D$4="Forint",Paraméterek!$C$216,Paraméterek!$D$216),0,ROUNDUP(IF(ISBLANK($U491),$T491,$U491)/IF(AND($B491=1,$D$2&lt;&gt;"Egyszeri"),1,VLOOKUP($B491+IF($C491=12,1,0),Paraméterek!$B$257:$D$267,IF($D$2="Egyszeri",3,2))),IF($D$4="Forint",0,2)))</f>
        <v>-325347</v>
      </c>
      <c r="W491" s="13">
        <f ca="1">ROUNDDOWN($V491*VLOOKUP($B491+IF($C491=12,1,0),Paraméterek!$B$257:$D$267,IF($D$2="Egyszeri",3,2)),IF($D$4="Forint",0,2))</f>
        <v>-325347</v>
      </c>
      <c r="Y491" s="32">
        <v>472</v>
      </c>
      <c r="Z491" s="32">
        <v>40</v>
      </c>
      <c r="AA491" s="32">
        <v>4</v>
      </c>
      <c r="AB491" s="13">
        <f t="shared" si="116"/>
        <v>0</v>
      </c>
      <c r="AC491" s="33"/>
      <c r="AD491" s="13">
        <f t="shared" si="112"/>
        <v>0</v>
      </c>
      <c r="AE491" s="13">
        <f>ROUNDUP(($AB491+$AD491)*VLOOKUP($Z491,Paraméterek!$P$38:$Q$38,2)/12,IF($D$4="Forint",0,2))</f>
        <v>0</v>
      </c>
      <c r="AF491" s="13">
        <f>IF($D$2="Egyszeri",IF($D$7&gt;=IF($D$4="Forint",Paraméterek!$P$223,Paraméterek!$P$224),$D$7-IF($D$4="Forint",Paraméterek!$F$223,Paraméterek!$F$224),0),MIN(IF($AA491=12,AVERAGE($D$20:$D491)*12,0),SUM($D$20:$D$31)))</f>
        <v>0</v>
      </c>
      <c r="AG491" s="13">
        <f>IF(AND($Z491&gt;=10,MOD($Z491,5)=0),$AF491*IF($AA491=12,VLOOKUP($Z491,Paraméterek!$B$225:$F$240,IF($AF491&lt;IF($D$4="Forint",Paraméterek!$C$223,Paraméterek!$C$224),2,IF($AF491&lt;IF($D$4="Forint",Paraméterek!$D$223,Paraméterek!$D$224),3,4))),0),0)</f>
        <v>0</v>
      </c>
      <c r="AH491" s="13">
        <f>IF(AND($Z491&gt;=5,MOD($Z491,5)=0),IF($AA491=12,VLOOKUP($Z491,Paraméterek!$B$225:$F$240,5),0),IF(OR($Z491=3,$Z491=4),IF($AA491=12,VLOOKUP($Z491,Paraméterek!$B$225:$F$240,5,0),0),0))*$AF491</f>
        <v>0</v>
      </c>
      <c r="AI491" s="13">
        <f>ROUNDDOWN(IF(SUM($T$20:$U491)=0,IF($D$2="Egyszeri",$AH491,$AG491),0),IF($D$4="Forint",0,2))</f>
        <v>0</v>
      </c>
      <c r="AJ491" s="13">
        <f t="shared" si="117"/>
        <v>0</v>
      </c>
      <c r="AK491" s="13">
        <f t="shared" si="118"/>
        <v>0</v>
      </c>
      <c r="AM491" s="32">
        <v>472</v>
      </c>
      <c r="AN491" s="32">
        <v>40</v>
      </c>
      <c r="AO491" s="32">
        <v>4</v>
      </c>
      <c r="AP491" s="13"/>
      <c r="AQ491" s="32"/>
      <c r="AR491" s="13">
        <f t="shared" si="119"/>
        <v>0</v>
      </c>
      <c r="AS491" s="33"/>
      <c r="AT491" s="13">
        <f t="shared" si="113"/>
        <v>0</v>
      </c>
      <c r="AU491" s="13">
        <f>ROUNDUP(($AR491+$AT491)*VLOOKUP($AN491,Paraméterek!$P$38:$Q$38,2)/12,IF($D$4="Forint",0,2))</f>
        <v>0</v>
      </c>
      <c r="AV491" s="13"/>
      <c r="AW491" s="13"/>
      <c r="AX491" s="13">
        <f>ROUNDUP(IF(SUM($AV491:$AW491)=0,0,IF(IF(ISBLANK($AW491),$AV491,$AW491)*Paraméterek!$J$112&lt;IF($D$4="Forint",Paraméterek!$J$113,Paraméterek!$K$113),IF($D$4="Forint",Paraméterek!$J$113,Paraméterek!$K$113),IF(IF(ISBLANK($AW491),$AV491,$AW491)*Paraméterek!$J$112&gt;IF($D$4="Forint",Paraméterek!$J$114,Paraméterek!$K$114),IF($D$4="Forint",Paraméterek!$J$114,Paraméterek!$K$114),IF(ISBLANK($AW491),$AV491,$AW491)*Paraméterek!$J$112))),IF($D$4="Forint",0,2))</f>
        <v>0</v>
      </c>
      <c r="AY491" s="13">
        <f>$AR491+$AT491-$AU491-IF(ROUNDDOWN(IF(ISBLANK($AW491),$AV491,$AW491),IF($D$4="Forint",0,2))&gt;$AR491+$AT491-$AU491-IF($D$4="Forint",Paraméterek!$J$114,Paraméterek!$K$114),0,ROUNDDOWN(IF(ISBLANK($AW491),$AV491,$AW491),IF($D$4="Forint",0,2))-$AX491)</f>
        <v>0</v>
      </c>
      <c r="AZ491" s="13">
        <f t="shared" si="114"/>
        <v>0</v>
      </c>
    </row>
    <row r="492" spans="1:52" x14ac:dyDescent="0.2">
      <c r="A492" s="32">
        <v>473</v>
      </c>
      <c r="B492" s="32">
        <v>40</v>
      </c>
      <c r="C492" s="32">
        <v>5</v>
      </c>
      <c r="D492" s="13">
        <f t="shared" si="105"/>
        <v>0</v>
      </c>
      <c r="E492" s="13"/>
      <c r="F492" s="13"/>
      <c r="G492" s="13"/>
      <c r="H492" s="13">
        <f t="shared" si="106"/>
        <v>0</v>
      </c>
      <c r="I492" s="13">
        <f t="shared" si="107"/>
        <v>0</v>
      </c>
      <c r="J492" s="13">
        <f t="shared" si="108"/>
        <v>0</v>
      </c>
      <c r="K492" s="13">
        <f>ROUNDUP(IF($D$2="Egyszeri",$D492,IF($D$2="Havi",SUM($D$20:$D$31),IF(MOD($C492,$M$1)-1=0,SUM($D$20:$D$31),0))/12*$M$1)*VLOOKUP($B492,Paraméterek!$B$27:$D$30,IF($D$2="Egyszeri",3,2)),IF($D$4="Forint",0,2))</f>
        <v>0</v>
      </c>
      <c r="L492" s="13">
        <f t="shared" si="109"/>
        <v>0</v>
      </c>
      <c r="M492" s="13">
        <f t="shared" ca="1" si="115"/>
        <v>-325347</v>
      </c>
      <c r="N492" s="13">
        <f ca="1">IF($V491&gt;=VLOOKUP($M$4-1+$B492,Paraméterek!$B$121:$D$122,IF($D$4="Forint",2,3)),0,VLOOKUP($M$4-1+$B492,Paraméterek!$B$121:$D$122,IF($D$4="Forint",2,3))-$V491)</f>
        <v>335347</v>
      </c>
      <c r="O492" s="13">
        <f ca="1">ROUNDUP($N492*Paraméterek!$C$58/Paraméterek!$C$56,IF($D$4="Forint",0,2))</f>
        <v>54</v>
      </c>
      <c r="P492" s="13">
        <f t="shared" si="110"/>
        <v>1742</v>
      </c>
      <c r="Q492" s="33"/>
      <c r="R492" s="13">
        <f t="shared" ca="1" si="111"/>
        <v>0</v>
      </c>
      <c r="S492" s="13">
        <f ca="1">ROUNDUP(($M492-$O492-$P492+$R492)*VLOOKUP($B492,Paraméterek!$B$38:$D$39,IF($D$2="Egyszeri",3,2))/12,IF($D$4="Forint",0,2))</f>
        <v>-799</v>
      </c>
      <c r="T492" s="13"/>
      <c r="U492" s="13"/>
      <c r="V492" s="13">
        <f ca="1">$M492-$O492-$P492+$R492-$S492-IF(ROUNDUP(IF(ISBLANK($U492),$T492,$U492)/IF(AND($B492=1,$D$2&lt;&gt;"Egyszeri"),1,VLOOKUP($B492+IF($C492=12,1,0),Paraméterek!$B$257:$D$267,IF($D$2="Egyszeri",3,2))),IF($D$4="Forint",0,2))&gt;$M492-$O492-$P492+$R492-$S492-IF($D$4="Forint",Paraméterek!$C$216,Paraméterek!$D$216),0,ROUNDUP(IF(ISBLANK($U492),$T492,$U492)/IF(AND($B492=1,$D$2&lt;&gt;"Egyszeri"),1,VLOOKUP($B492+IF($C492=12,1,0),Paraméterek!$B$257:$D$267,IF($D$2="Egyszeri",3,2))),IF($D$4="Forint",0,2)))</f>
        <v>-326344</v>
      </c>
      <c r="W492" s="13">
        <f ca="1">ROUNDDOWN($V492*VLOOKUP($B492+IF($C492=12,1,0),Paraméterek!$B$257:$D$267,IF($D$2="Egyszeri",3,2)),IF($D$4="Forint",0,2))</f>
        <v>-326344</v>
      </c>
      <c r="Y492" s="32">
        <v>473</v>
      </c>
      <c r="Z492" s="32">
        <v>40</v>
      </c>
      <c r="AA492" s="32">
        <v>5</v>
      </c>
      <c r="AB492" s="13">
        <f t="shared" si="116"/>
        <v>0</v>
      </c>
      <c r="AC492" s="33"/>
      <c r="AD492" s="13">
        <f t="shared" si="112"/>
        <v>0</v>
      </c>
      <c r="AE492" s="13">
        <f>ROUNDUP(($AB492+$AD492)*VLOOKUP($Z492,Paraméterek!$P$38:$Q$38,2)/12,IF($D$4="Forint",0,2))</f>
        <v>0</v>
      </c>
      <c r="AF492" s="13">
        <f>IF($D$2="Egyszeri",IF($D$7&gt;=IF($D$4="Forint",Paraméterek!$P$223,Paraméterek!$P$224),$D$7-IF($D$4="Forint",Paraméterek!$F$223,Paraméterek!$F$224),0),MIN(IF($AA492=12,AVERAGE($D$20:$D492)*12,0),SUM($D$20:$D$31)))</f>
        <v>0</v>
      </c>
      <c r="AG492" s="13">
        <f>IF(AND($Z492&gt;=10,MOD($Z492,5)=0),$AF492*IF($AA492=12,VLOOKUP($Z492,Paraméterek!$B$225:$F$240,IF($AF492&lt;IF($D$4="Forint",Paraméterek!$C$223,Paraméterek!$C$224),2,IF($AF492&lt;IF($D$4="Forint",Paraméterek!$D$223,Paraméterek!$D$224),3,4))),0),0)</f>
        <v>0</v>
      </c>
      <c r="AH492" s="13">
        <f>IF(AND($Z492&gt;=5,MOD($Z492,5)=0),IF($AA492=12,VLOOKUP($Z492,Paraméterek!$B$225:$F$240,5),0),IF(OR($Z492=3,$Z492=4),IF($AA492=12,VLOOKUP($Z492,Paraméterek!$B$225:$F$240,5,0),0),0))*$AF492</f>
        <v>0</v>
      </c>
      <c r="AI492" s="13">
        <f>ROUNDDOWN(IF(SUM($T$20:$U492)=0,IF($D$2="Egyszeri",$AH492,$AG492),0),IF($D$4="Forint",0,2))</f>
        <v>0</v>
      </c>
      <c r="AJ492" s="13">
        <f t="shared" si="117"/>
        <v>0</v>
      </c>
      <c r="AK492" s="13">
        <f t="shared" si="118"/>
        <v>0</v>
      </c>
      <c r="AM492" s="32">
        <v>473</v>
      </c>
      <c r="AN492" s="32">
        <v>40</v>
      </c>
      <c r="AO492" s="32">
        <v>5</v>
      </c>
      <c r="AP492" s="13"/>
      <c r="AQ492" s="32"/>
      <c r="AR492" s="13">
        <f t="shared" si="119"/>
        <v>0</v>
      </c>
      <c r="AS492" s="33"/>
      <c r="AT492" s="13">
        <f t="shared" si="113"/>
        <v>0</v>
      </c>
      <c r="AU492" s="13">
        <f>ROUNDUP(($AR492+$AT492)*VLOOKUP($AN492,Paraméterek!$P$38:$Q$38,2)/12,IF($D$4="Forint",0,2))</f>
        <v>0</v>
      </c>
      <c r="AV492" s="13"/>
      <c r="AW492" s="13"/>
      <c r="AX492" s="13">
        <f>ROUNDUP(IF(SUM($AV492:$AW492)=0,0,IF(IF(ISBLANK($AW492),$AV492,$AW492)*Paraméterek!$J$112&lt;IF($D$4="Forint",Paraméterek!$J$113,Paraméterek!$K$113),IF($D$4="Forint",Paraméterek!$J$113,Paraméterek!$K$113),IF(IF(ISBLANK($AW492),$AV492,$AW492)*Paraméterek!$J$112&gt;IF($D$4="Forint",Paraméterek!$J$114,Paraméterek!$K$114),IF($D$4="Forint",Paraméterek!$J$114,Paraméterek!$K$114),IF(ISBLANK($AW492),$AV492,$AW492)*Paraméterek!$J$112))),IF($D$4="Forint",0,2))</f>
        <v>0</v>
      </c>
      <c r="AY492" s="13">
        <f>$AR492+$AT492-$AU492-IF(ROUNDDOWN(IF(ISBLANK($AW492),$AV492,$AW492),IF($D$4="Forint",0,2))&gt;$AR492+$AT492-$AU492-IF($D$4="Forint",Paraméterek!$J$114,Paraméterek!$K$114),0,ROUNDDOWN(IF(ISBLANK($AW492),$AV492,$AW492),IF($D$4="Forint",0,2))-$AX492)</f>
        <v>0</v>
      </c>
      <c r="AZ492" s="13">
        <f t="shared" si="114"/>
        <v>0</v>
      </c>
    </row>
    <row r="493" spans="1:52" x14ac:dyDescent="0.2">
      <c r="A493" s="32">
        <v>474</v>
      </c>
      <c r="B493" s="32">
        <v>40</v>
      </c>
      <c r="C493" s="32">
        <v>6</v>
      </c>
      <c r="D493" s="13">
        <f t="shared" si="105"/>
        <v>0</v>
      </c>
      <c r="E493" s="13"/>
      <c r="F493" s="13"/>
      <c r="G493" s="13"/>
      <c r="H493" s="13">
        <f t="shared" si="106"/>
        <v>0</v>
      </c>
      <c r="I493" s="13">
        <f t="shared" si="107"/>
        <v>0</v>
      </c>
      <c r="J493" s="13">
        <f t="shared" si="108"/>
        <v>0</v>
      </c>
      <c r="K493" s="13">
        <f>ROUNDUP(IF($D$2="Egyszeri",$D493,IF($D$2="Havi",SUM($D$20:$D$31),IF(MOD($C493,$M$1)-1=0,SUM($D$20:$D$31),0))/12*$M$1)*VLOOKUP($B493,Paraméterek!$B$27:$D$30,IF($D$2="Egyszeri",3,2)),IF($D$4="Forint",0,2))</f>
        <v>0</v>
      </c>
      <c r="L493" s="13">
        <f t="shared" si="109"/>
        <v>0</v>
      </c>
      <c r="M493" s="13">
        <f t="shared" ca="1" si="115"/>
        <v>-326344</v>
      </c>
      <c r="N493" s="13">
        <f ca="1">IF($V492&gt;=VLOOKUP($M$4-1+$B493,Paraméterek!$B$121:$D$122,IF($D$4="Forint",2,3)),0,VLOOKUP($M$4-1+$B493,Paraméterek!$B$121:$D$122,IF($D$4="Forint",2,3))-$V492)</f>
        <v>336344</v>
      </c>
      <c r="O493" s="13">
        <f ca="1">ROUNDUP($N493*Paraméterek!$C$58/Paraméterek!$C$56,IF($D$4="Forint",0,2))</f>
        <v>54</v>
      </c>
      <c r="P493" s="13">
        <f t="shared" si="110"/>
        <v>1742</v>
      </c>
      <c r="Q493" s="33"/>
      <c r="R493" s="13">
        <f t="shared" ca="1" si="111"/>
        <v>0</v>
      </c>
      <c r="S493" s="13">
        <f ca="1">ROUNDUP(($M493-$O493-$P493+$R493)*VLOOKUP($B493,Paraméterek!$B$38:$D$39,IF($D$2="Egyszeri",3,2))/12,IF($D$4="Forint",0,2))</f>
        <v>-802</v>
      </c>
      <c r="T493" s="13"/>
      <c r="U493" s="13"/>
      <c r="V493" s="13">
        <f ca="1">$M493-$O493-$P493+$R493-$S493-IF(ROUNDUP(IF(ISBLANK($U493),$T493,$U493)/IF(AND($B493=1,$D$2&lt;&gt;"Egyszeri"),1,VLOOKUP($B493+IF($C493=12,1,0),Paraméterek!$B$257:$D$267,IF($D$2="Egyszeri",3,2))),IF($D$4="Forint",0,2))&gt;$M493-$O493-$P493+$R493-$S493-IF($D$4="Forint",Paraméterek!$C$216,Paraméterek!$D$216),0,ROUNDUP(IF(ISBLANK($U493),$T493,$U493)/IF(AND($B493=1,$D$2&lt;&gt;"Egyszeri"),1,VLOOKUP($B493+IF($C493=12,1,0),Paraméterek!$B$257:$D$267,IF($D$2="Egyszeri",3,2))),IF($D$4="Forint",0,2)))</f>
        <v>-327338</v>
      </c>
      <c r="W493" s="13">
        <f ca="1">ROUNDDOWN($V493*VLOOKUP($B493+IF($C493=12,1,0),Paraméterek!$B$257:$D$267,IF($D$2="Egyszeri",3,2)),IF($D$4="Forint",0,2))</f>
        <v>-327338</v>
      </c>
      <c r="Y493" s="32">
        <v>474</v>
      </c>
      <c r="Z493" s="32">
        <v>40</v>
      </c>
      <c r="AA493" s="32">
        <v>6</v>
      </c>
      <c r="AB493" s="13">
        <f t="shared" si="116"/>
        <v>0</v>
      </c>
      <c r="AC493" s="33"/>
      <c r="AD493" s="13">
        <f t="shared" si="112"/>
        <v>0</v>
      </c>
      <c r="AE493" s="13">
        <f>ROUNDUP(($AB493+$AD493)*VLOOKUP($Z493,Paraméterek!$P$38:$Q$38,2)/12,IF($D$4="Forint",0,2))</f>
        <v>0</v>
      </c>
      <c r="AF493" s="13">
        <f>IF($D$2="Egyszeri",IF($D$7&gt;=IF($D$4="Forint",Paraméterek!$P$223,Paraméterek!$P$224),$D$7-IF($D$4="Forint",Paraméterek!$F$223,Paraméterek!$F$224),0),MIN(IF($AA493=12,AVERAGE($D$20:$D493)*12,0),SUM($D$20:$D$31)))</f>
        <v>0</v>
      </c>
      <c r="AG493" s="13">
        <f>IF(AND($Z493&gt;=10,MOD($Z493,5)=0),$AF493*IF($AA493=12,VLOOKUP($Z493,Paraméterek!$B$225:$F$240,IF($AF493&lt;IF($D$4="Forint",Paraméterek!$C$223,Paraméterek!$C$224),2,IF($AF493&lt;IF($D$4="Forint",Paraméterek!$D$223,Paraméterek!$D$224),3,4))),0),0)</f>
        <v>0</v>
      </c>
      <c r="AH493" s="13">
        <f>IF(AND($Z493&gt;=5,MOD($Z493,5)=0),IF($AA493=12,VLOOKUP($Z493,Paraméterek!$B$225:$F$240,5),0),IF(OR($Z493=3,$Z493=4),IF($AA493=12,VLOOKUP($Z493,Paraméterek!$B$225:$F$240,5,0),0),0))*$AF493</f>
        <v>0</v>
      </c>
      <c r="AI493" s="13">
        <f>ROUNDDOWN(IF(SUM($T$20:$U493)=0,IF($D$2="Egyszeri",$AH493,$AG493),0),IF($D$4="Forint",0,2))</f>
        <v>0</v>
      </c>
      <c r="AJ493" s="13">
        <f t="shared" si="117"/>
        <v>0</v>
      </c>
      <c r="AK493" s="13">
        <f t="shared" si="118"/>
        <v>0</v>
      </c>
      <c r="AM493" s="32">
        <v>474</v>
      </c>
      <c r="AN493" s="32">
        <v>40</v>
      </c>
      <c r="AO493" s="32">
        <v>6</v>
      </c>
      <c r="AP493" s="13"/>
      <c r="AQ493" s="32"/>
      <c r="AR493" s="13">
        <f t="shared" si="119"/>
        <v>0</v>
      </c>
      <c r="AS493" s="33"/>
      <c r="AT493" s="13">
        <f t="shared" si="113"/>
        <v>0</v>
      </c>
      <c r="AU493" s="13">
        <f>ROUNDUP(($AR493+$AT493)*VLOOKUP($AN493,Paraméterek!$P$38:$Q$38,2)/12,IF($D$4="Forint",0,2))</f>
        <v>0</v>
      </c>
      <c r="AV493" s="13"/>
      <c r="AW493" s="13"/>
      <c r="AX493" s="13">
        <f>ROUNDUP(IF(SUM($AV493:$AW493)=0,0,IF(IF(ISBLANK($AW493),$AV493,$AW493)*Paraméterek!$J$112&lt;IF($D$4="Forint",Paraméterek!$J$113,Paraméterek!$K$113),IF($D$4="Forint",Paraméterek!$J$113,Paraméterek!$K$113),IF(IF(ISBLANK($AW493),$AV493,$AW493)*Paraméterek!$J$112&gt;IF($D$4="Forint",Paraméterek!$J$114,Paraméterek!$K$114),IF($D$4="Forint",Paraméterek!$J$114,Paraméterek!$K$114),IF(ISBLANK($AW493),$AV493,$AW493)*Paraméterek!$J$112))),IF($D$4="Forint",0,2))</f>
        <v>0</v>
      </c>
      <c r="AY493" s="13">
        <f>$AR493+$AT493-$AU493-IF(ROUNDDOWN(IF(ISBLANK($AW493),$AV493,$AW493),IF($D$4="Forint",0,2))&gt;$AR493+$AT493-$AU493-IF($D$4="Forint",Paraméterek!$J$114,Paraméterek!$K$114),0,ROUNDDOWN(IF(ISBLANK($AW493),$AV493,$AW493),IF($D$4="Forint",0,2))-$AX493)</f>
        <v>0</v>
      </c>
      <c r="AZ493" s="13">
        <f t="shared" si="114"/>
        <v>0</v>
      </c>
    </row>
    <row r="494" spans="1:52" x14ac:dyDescent="0.2">
      <c r="A494" s="32">
        <v>475</v>
      </c>
      <c r="B494" s="32">
        <v>40</v>
      </c>
      <c r="C494" s="32">
        <v>7</v>
      </c>
      <c r="D494" s="13">
        <f t="shared" si="105"/>
        <v>0</v>
      </c>
      <c r="E494" s="13"/>
      <c r="F494" s="13"/>
      <c r="G494" s="13"/>
      <c r="H494" s="13">
        <f t="shared" si="106"/>
        <v>0</v>
      </c>
      <c r="I494" s="13">
        <f t="shared" si="107"/>
        <v>0</v>
      </c>
      <c r="J494" s="13">
        <f t="shared" si="108"/>
        <v>0</v>
      </c>
      <c r="K494" s="13">
        <f>ROUNDUP(IF($D$2="Egyszeri",$D494,IF($D$2="Havi",SUM($D$20:$D$31),IF(MOD($C494,$M$1)-1=0,SUM($D$20:$D$31),0))/12*$M$1)*VLOOKUP($B494,Paraméterek!$B$27:$D$30,IF($D$2="Egyszeri",3,2)),IF($D$4="Forint",0,2))</f>
        <v>0</v>
      </c>
      <c r="L494" s="13">
        <f t="shared" si="109"/>
        <v>0</v>
      </c>
      <c r="M494" s="13">
        <f t="shared" ca="1" si="115"/>
        <v>-327338</v>
      </c>
      <c r="N494" s="13">
        <f ca="1">IF($V493&gt;=VLOOKUP($M$4-1+$B494,Paraméterek!$B$121:$D$122,IF($D$4="Forint",2,3)),0,VLOOKUP($M$4-1+$B494,Paraméterek!$B$121:$D$122,IF($D$4="Forint",2,3))-$V493)</f>
        <v>337338</v>
      </c>
      <c r="O494" s="13">
        <f ca="1">ROUNDUP($N494*Paraméterek!$C$58/Paraméterek!$C$56,IF($D$4="Forint",0,2))</f>
        <v>54</v>
      </c>
      <c r="P494" s="13">
        <f t="shared" si="110"/>
        <v>1742</v>
      </c>
      <c r="Q494" s="33"/>
      <c r="R494" s="13">
        <f t="shared" ca="1" si="111"/>
        <v>0</v>
      </c>
      <c r="S494" s="13">
        <f ca="1">ROUNDUP(($M494-$O494-$P494+$R494)*VLOOKUP($B494,Paraméterek!$B$38:$D$39,IF($D$2="Egyszeri",3,2))/12,IF($D$4="Forint",0,2))</f>
        <v>-804</v>
      </c>
      <c r="T494" s="13"/>
      <c r="U494" s="13"/>
      <c r="V494" s="13">
        <f ca="1">$M494-$O494-$P494+$R494-$S494-IF(ROUNDUP(IF(ISBLANK($U494),$T494,$U494)/IF(AND($B494=1,$D$2&lt;&gt;"Egyszeri"),1,VLOOKUP($B494+IF($C494=12,1,0),Paraméterek!$B$257:$D$267,IF($D$2="Egyszeri",3,2))),IF($D$4="Forint",0,2))&gt;$M494-$O494-$P494+$R494-$S494-IF($D$4="Forint",Paraméterek!$C$216,Paraméterek!$D$216),0,ROUNDUP(IF(ISBLANK($U494),$T494,$U494)/IF(AND($B494=1,$D$2&lt;&gt;"Egyszeri"),1,VLOOKUP($B494+IF($C494=12,1,0),Paraméterek!$B$257:$D$267,IF($D$2="Egyszeri",3,2))),IF($D$4="Forint",0,2)))</f>
        <v>-328330</v>
      </c>
      <c r="W494" s="13">
        <f ca="1">ROUNDDOWN($V494*VLOOKUP($B494+IF($C494=12,1,0),Paraméterek!$B$257:$D$267,IF($D$2="Egyszeri",3,2)),IF($D$4="Forint",0,2))</f>
        <v>-328330</v>
      </c>
      <c r="Y494" s="32">
        <v>475</v>
      </c>
      <c r="Z494" s="32">
        <v>40</v>
      </c>
      <c r="AA494" s="32">
        <v>7</v>
      </c>
      <c r="AB494" s="13">
        <f t="shared" si="116"/>
        <v>0</v>
      </c>
      <c r="AC494" s="33"/>
      <c r="AD494" s="13">
        <f t="shared" si="112"/>
        <v>0</v>
      </c>
      <c r="AE494" s="13">
        <f>ROUNDUP(($AB494+$AD494)*VLOOKUP($Z494,Paraméterek!$P$38:$Q$38,2)/12,IF($D$4="Forint",0,2))</f>
        <v>0</v>
      </c>
      <c r="AF494" s="13">
        <f>IF($D$2="Egyszeri",IF($D$7&gt;=IF($D$4="Forint",Paraméterek!$P$223,Paraméterek!$P$224),$D$7-IF($D$4="Forint",Paraméterek!$F$223,Paraméterek!$F$224),0),MIN(IF($AA494=12,AVERAGE($D$20:$D494)*12,0),SUM($D$20:$D$31)))</f>
        <v>0</v>
      </c>
      <c r="AG494" s="13">
        <f>IF(AND($Z494&gt;=10,MOD($Z494,5)=0),$AF494*IF($AA494=12,VLOOKUP($Z494,Paraméterek!$B$225:$F$240,IF($AF494&lt;IF($D$4="Forint",Paraméterek!$C$223,Paraméterek!$C$224),2,IF($AF494&lt;IF($D$4="Forint",Paraméterek!$D$223,Paraméterek!$D$224),3,4))),0),0)</f>
        <v>0</v>
      </c>
      <c r="AH494" s="13">
        <f>IF(AND($Z494&gt;=5,MOD($Z494,5)=0),IF($AA494=12,VLOOKUP($Z494,Paraméterek!$B$225:$F$240,5),0),IF(OR($Z494=3,$Z494=4),IF($AA494=12,VLOOKUP($Z494,Paraméterek!$B$225:$F$240,5,0),0),0))*$AF494</f>
        <v>0</v>
      </c>
      <c r="AI494" s="13">
        <f>ROUNDDOWN(IF(SUM($T$20:$U494)=0,IF($D$2="Egyszeri",$AH494,$AG494),0),IF($D$4="Forint",0,2))</f>
        <v>0</v>
      </c>
      <c r="AJ494" s="13">
        <f t="shared" si="117"/>
        <v>0</v>
      </c>
      <c r="AK494" s="13">
        <f t="shared" si="118"/>
        <v>0</v>
      </c>
      <c r="AM494" s="32">
        <v>475</v>
      </c>
      <c r="AN494" s="32">
        <v>40</v>
      </c>
      <c r="AO494" s="32">
        <v>7</v>
      </c>
      <c r="AP494" s="13"/>
      <c r="AQ494" s="32"/>
      <c r="AR494" s="13">
        <f t="shared" si="119"/>
        <v>0</v>
      </c>
      <c r="AS494" s="33"/>
      <c r="AT494" s="13">
        <f t="shared" si="113"/>
        <v>0</v>
      </c>
      <c r="AU494" s="13">
        <f>ROUNDUP(($AR494+$AT494)*VLOOKUP($AN494,Paraméterek!$P$38:$Q$38,2)/12,IF($D$4="Forint",0,2))</f>
        <v>0</v>
      </c>
      <c r="AV494" s="13"/>
      <c r="AW494" s="13"/>
      <c r="AX494" s="13">
        <f>ROUNDUP(IF(SUM($AV494:$AW494)=0,0,IF(IF(ISBLANK($AW494),$AV494,$AW494)*Paraméterek!$J$112&lt;IF($D$4="Forint",Paraméterek!$J$113,Paraméterek!$K$113),IF($D$4="Forint",Paraméterek!$J$113,Paraméterek!$K$113),IF(IF(ISBLANK($AW494),$AV494,$AW494)*Paraméterek!$J$112&gt;IF($D$4="Forint",Paraméterek!$J$114,Paraméterek!$K$114),IF($D$4="Forint",Paraméterek!$J$114,Paraméterek!$K$114),IF(ISBLANK($AW494),$AV494,$AW494)*Paraméterek!$J$112))),IF($D$4="Forint",0,2))</f>
        <v>0</v>
      </c>
      <c r="AY494" s="13">
        <f>$AR494+$AT494-$AU494-IF(ROUNDDOWN(IF(ISBLANK($AW494),$AV494,$AW494),IF($D$4="Forint",0,2))&gt;$AR494+$AT494-$AU494-IF($D$4="Forint",Paraméterek!$J$114,Paraméterek!$K$114),0,ROUNDDOWN(IF(ISBLANK($AW494),$AV494,$AW494),IF($D$4="Forint",0,2))-$AX494)</f>
        <v>0</v>
      </c>
      <c r="AZ494" s="13">
        <f t="shared" si="114"/>
        <v>0</v>
      </c>
    </row>
    <row r="495" spans="1:52" x14ac:dyDescent="0.2">
      <c r="A495" s="32">
        <v>476</v>
      </c>
      <c r="B495" s="32">
        <v>40</v>
      </c>
      <c r="C495" s="32">
        <v>8</v>
      </c>
      <c r="D495" s="13">
        <f t="shared" si="105"/>
        <v>0</v>
      </c>
      <c r="E495" s="13"/>
      <c r="F495" s="13"/>
      <c r="G495" s="13"/>
      <c r="H495" s="13">
        <f t="shared" si="106"/>
        <v>0</v>
      </c>
      <c r="I495" s="13">
        <f t="shared" si="107"/>
        <v>0</v>
      </c>
      <c r="J495" s="13">
        <f t="shared" si="108"/>
        <v>0</v>
      </c>
      <c r="K495" s="13">
        <f>ROUNDUP(IF($D$2="Egyszeri",$D495,IF($D$2="Havi",SUM($D$20:$D$31),IF(MOD($C495,$M$1)-1=0,SUM($D$20:$D$31),0))/12*$M$1)*VLOOKUP($B495,Paraméterek!$B$27:$D$30,IF($D$2="Egyszeri",3,2)),IF($D$4="Forint",0,2))</f>
        <v>0</v>
      </c>
      <c r="L495" s="13">
        <f t="shared" si="109"/>
        <v>0</v>
      </c>
      <c r="M495" s="13">
        <f t="shared" ca="1" si="115"/>
        <v>-328330</v>
      </c>
      <c r="N495" s="13">
        <f ca="1">IF($V494&gt;=VLOOKUP($M$4-1+$B495,Paraméterek!$B$121:$D$122,IF($D$4="Forint",2,3)),0,VLOOKUP($M$4-1+$B495,Paraméterek!$B$121:$D$122,IF($D$4="Forint",2,3))-$V494)</f>
        <v>338330</v>
      </c>
      <c r="O495" s="13">
        <f ca="1">ROUNDUP($N495*Paraméterek!$C$58/Paraméterek!$C$56,IF($D$4="Forint",0,2))</f>
        <v>54</v>
      </c>
      <c r="P495" s="13">
        <f t="shared" si="110"/>
        <v>1742</v>
      </c>
      <c r="Q495" s="33"/>
      <c r="R495" s="13">
        <f t="shared" ca="1" si="111"/>
        <v>0</v>
      </c>
      <c r="S495" s="13">
        <f ca="1">ROUNDUP(($M495-$O495-$P495+$R495)*VLOOKUP($B495,Paraméterek!$B$38:$D$39,IF($D$2="Egyszeri",3,2))/12,IF($D$4="Forint",0,2))</f>
        <v>-807</v>
      </c>
      <c r="T495" s="13"/>
      <c r="U495" s="13"/>
      <c r="V495" s="13">
        <f ca="1">$M495-$O495-$P495+$R495-$S495-IF(ROUNDUP(IF(ISBLANK($U495),$T495,$U495)/IF(AND($B495=1,$D$2&lt;&gt;"Egyszeri"),1,VLOOKUP($B495+IF($C495=12,1,0),Paraméterek!$B$257:$D$267,IF($D$2="Egyszeri",3,2))),IF($D$4="Forint",0,2))&gt;$M495-$O495-$P495+$R495-$S495-IF($D$4="Forint",Paraméterek!$C$216,Paraméterek!$D$216),0,ROUNDUP(IF(ISBLANK($U495),$T495,$U495)/IF(AND($B495=1,$D$2&lt;&gt;"Egyszeri"),1,VLOOKUP($B495+IF($C495=12,1,0),Paraméterek!$B$257:$D$267,IF($D$2="Egyszeri",3,2))),IF($D$4="Forint",0,2)))</f>
        <v>-329319</v>
      </c>
      <c r="W495" s="13">
        <f ca="1">ROUNDDOWN($V495*VLOOKUP($B495+IF($C495=12,1,0),Paraméterek!$B$257:$D$267,IF($D$2="Egyszeri",3,2)),IF($D$4="Forint",0,2))</f>
        <v>-329319</v>
      </c>
      <c r="Y495" s="32">
        <v>476</v>
      </c>
      <c r="Z495" s="32">
        <v>40</v>
      </c>
      <c r="AA495" s="32">
        <v>8</v>
      </c>
      <c r="AB495" s="13">
        <f t="shared" si="116"/>
        <v>0</v>
      </c>
      <c r="AC495" s="33"/>
      <c r="AD495" s="13">
        <f t="shared" si="112"/>
        <v>0</v>
      </c>
      <c r="AE495" s="13">
        <f>ROUNDUP(($AB495+$AD495)*VLOOKUP($Z495,Paraméterek!$P$38:$Q$38,2)/12,IF($D$4="Forint",0,2))</f>
        <v>0</v>
      </c>
      <c r="AF495" s="13">
        <f>IF($D$2="Egyszeri",IF($D$7&gt;=IF($D$4="Forint",Paraméterek!$P$223,Paraméterek!$P$224),$D$7-IF($D$4="Forint",Paraméterek!$F$223,Paraméterek!$F$224),0),MIN(IF($AA495=12,AVERAGE($D$20:$D495)*12,0),SUM($D$20:$D$31)))</f>
        <v>0</v>
      </c>
      <c r="AG495" s="13">
        <f>IF(AND($Z495&gt;=10,MOD($Z495,5)=0),$AF495*IF($AA495=12,VLOOKUP($Z495,Paraméterek!$B$225:$F$240,IF($AF495&lt;IF($D$4="Forint",Paraméterek!$C$223,Paraméterek!$C$224),2,IF($AF495&lt;IF($D$4="Forint",Paraméterek!$D$223,Paraméterek!$D$224),3,4))),0),0)</f>
        <v>0</v>
      </c>
      <c r="AH495" s="13">
        <f>IF(AND($Z495&gt;=5,MOD($Z495,5)=0),IF($AA495=12,VLOOKUP($Z495,Paraméterek!$B$225:$F$240,5),0),IF(OR($Z495=3,$Z495=4),IF($AA495=12,VLOOKUP($Z495,Paraméterek!$B$225:$F$240,5,0),0),0))*$AF495</f>
        <v>0</v>
      </c>
      <c r="AI495" s="13">
        <f>ROUNDDOWN(IF(SUM($T$20:$U495)=0,IF($D$2="Egyszeri",$AH495,$AG495),0),IF($D$4="Forint",0,2))</f>
        <v>0</v>
      </c>
      <c r="AJ495" s="13">
        <f t="shared" si="117"/>
        <v>0</v>
      </c>
      <c r="AK495" s="13">
        <f t="shared" si="118"/>
        <v>0</v>
      </c>
      <c r="AM495" s="32">
        <v>476</v>
      </c>
      <c r="AN495" s="32">
        <v>40</v>
      </c>
      <c r="AO495" s="32">
        <v>8</v>
      </c>
      <c r="AP495" s="13"/>
      <c r="AQ495" s="32"/>
      <c r="AR495" s="13">
        <f t="shared" si="119"/>
        <v>0</v>
      </c>
      <c r="AS495" s="33"/>
      <c r="AT495" s="13">
        <f t="shared" si="113"/>
        <v>0</v>
      </c>
      <c r="AU495" s="13">
        <f>ROUNDUP(($AR495+$AT495)*VLOOKUP($AN495,Paraméterek!$P$38:$Q$38,2)/12,IF($D$4="Forint",0,2))</f>
        <v>0</v>
      </c>
      <c r="AV495" s="13"/>
      <c r="AW495" s="13"/>
      <c r="AX495" s="13">
        <f>ROUNDUP(IF(SUM($AV495:$AW495)=0,0,IF(IF(ISBLANK($AW495),$AV495,$AW495)*Paraméterek!$J$112&lt;IF($D$4="Forint",Paraméterek!$J$113,Paraméterek!$K$113),IF($D$4="Forint",Paraméterek!$J$113,Paraméterek!$K$113),IF(IF(ISBLANK($AW495),$AV495,$AW495)*Paraméterek!$J$112&gt;IF($D$4="Forint",Paraméterek!$J$114,Paraméterek!$K$114),IF($D$4="Forint",Paraméterek!$J$114,Paraméterek!$K$114),IF(ISBLANK($AW495),$AV495,$AW495)*Paraméterek!$J$112))),IF($D$4="Forint",0,2))</f>
        <v>0</v>
      </c>
      <c r="AY495" s="13">
        <f>$AR495+$AT495-$AU495-IF(ROUNDDOWN(IF(ISBLANK($AW495),$AV495,$AW495),IF($D$4="Forint",0,2))&gt;$AR495+$AT495-$AU495-IF($D$4="Forint",Paraméterek!$J$114,Paraméterek!$K$114),0,ROUNDDOWN(IF(ISBLANK($AW495),$AV495,$AW495),IF($D$4="Forint",0,2))-$AX495)</f>
        <v>0</v>
      </c>
      <c r="AZ495" s="13">
        <f t="shared" si="114"/>
        <v>0</v>
      </c>
    </row>
    <row r="496" spans="1:52" x14ac:dyDescent="0.2">
      <c r="A496" s="32">
        <v>477</v>
      </c>
      <c r="B496" s="32">
        <v>40</v>
      </c>
      <c r="C496" s="32">
        <v>9</v>
      </c>
      <c r="D496" s="13">
        <f t="shared" si="105"/>
        <v>0</v>
      </c>
      <c r="E496" s="13"/>
      <c r="F496" s="13"/>
      <c r="G496" s="13"/>
      <c r="H496" s="13">
        <f t="shared" si="106"/>
        <v>0</v>
      </c>
      <c r="I496" s="13">
        <f t="shared" si="107"/>
        <v>0</v>
      </c>
      <c r="J496" s="13">
        <f t="shared" si="108"/>
        <v>0</v>
      </c>
      <c r="K496" s="13">
        <f>ROUNDUP(IF($D$2="Egyszeri",$D496,IF($D$2="Havi",SUM($D$20:$D$31),IF(MOD($C496,$M$1)-1=0,SUM($D$20:$D$31),0))/12*$M$1)*VLOOKUP($B496,Paraméterek!$B$27:$D$30,IF($D$2="Egyszeri",3,2)),IF($D$4="Forint",0,2))</f>
        <v>0</v>
      </c>
      <c r="L496" s="13">
        <f t="shared" si="109"/>
        <v>0</v>
      </c>
      <c r="M496" s="13">
        <f t="shared" ca="1" si="115"/>
        <v>-329319</v>
      </c>
      <c r="N496" s="13">
        <f ca="1">IF($V495&gt;=VLOOKUP($M$4-1+$B496,Paraméterek!$B$121:$D$122,IF($D$4="Forint",2,3)),0,VLOOKUP($M$4-1+$B496,Paraméterek!$B$121:$D$122,IF($D$4="Forint",2,3))-$V495)</f>
        <v>339319</v>
      </c>
      <c r="O496" s="13">
        <f ca="1">ROUNDUP($N496*Paraméterek!$C$58/Paraméterek!$C$56,IF($D$4="Forint",0,2))</f>
        <v>55</v>
      </c>
      <c r="P496" s="13">
        <f t="shared" si="110"/>
        <v>1742</v>
      </c>
      <c r="Q496" s="33"/>
      <c r="R496" s="13">
        <f t="shared" ca="1" si="111"/>
        <v>0</v>
      </c>
      <c r="S496" s="13">
        <f ca="1">ROUNDUP(($M496-$O496-$P496+$R496)*VLOOKUP($B496,Paraméterek!$B$38:$D$39,IF($D$2="Egyszeri",3,2))/12,IF($D$4="Forint",0,2))</f>
        <v>-809</v>
      </c>
      <c r="T496" s="13"/>
      <c r="U496" s="13"/>
      <c r="V496" s="13">
        <f ca="1">$M496-$O496-$P496+$R496-$S496-IF(ROUNDUP(IF(ISBLANK($U496),$T496,$U496)/IF(AND($B496=1,$D$2&lt;&gt;"Egyszeri"),1,VLOOKUP($B496+IF($C496=12,1,0),Paraméterek!$B$257:$D$267,IF($D$2="Egyszeri",3,2))),IF($D$4="Forint",0,2))&gt;$M496-$O496-$P496+$R496-$S496-IF($D$4="Forint",Paraméterek!$C$216,Paraméterek!$D$216),0,ROUNDUP(IF(ISBLANK($U496),$T496,$U496)/IF(AND($B496=1,$D$2&lt;&gt;"Egyszeri"),1,VLOOKUP($B496+IF($C496=12,1,0),Paraméterek!$B$257:$D$267,IF($D$2="Egyszeri",3,2))),IF($D$4="Forint",0,2)))</f>
        <v>-330307</v>
      </c>
      <c r="W496" s="13">
        <f ca="1">ROUNDDOWN($V496*VLOOKUP($B496+IF($C496=12,1,0),Paraméterek!$B$257:$D$267,IF($D$2="Egyszeri",3,2)),IF($D$4="Forint",0,2))</f>
        <v>-330307</v>
      </c>
      <c r="Y496" s="32">
        <v>477</v>
      </c>
      <c r="Z496" s="32">
        <v>40</v>
      </c>
      <c r="AA496" s="32">
        <v>9</v>
      </c>
      <c r="AB496" s="13">
        <f t="shared" si="116"/>
        <v>0</v>
      </c>
      <c r="AC496" s="33"/>
      <c r="AD496" s="13">
        <f t="shared" si="112"/>
        <v>0</v>
      </c>
      <c r="AE496" s="13">
        <f>ROUNDUP(($AB496+$AD496)*VLOOKUP($Z496,Paraméterek!$P$38:$Q$38,2)/12,IF($D$4="Forint",0,2))</f>
        <v>0</v>
      </c>
      <c r="AF496" s="13">
        <f>IF($D$2="Egyszeri",IF($D$7&gt;=IF($D$4="Forint",Paraméterek!$P$223,Paraméterek!$P$224),$D$7-IF($D$4="Forint",Paraméterek!$F$223,Paraméterek!$F$224),0),MIN(IF($AA496=12,AVERAGE($D$20:$D496)*12,0),SUM($D$20:$D$31)))</f>
        <v>0</v>
      </c>
      <c r="AG496" s="13">
        <f>IF(AND($Z496&gt;=10,MOD($Z496,5)=0),$AF496*IF($AA496=12,VLOOKUP($Z496,Paraméterek!$B$225:$F$240,IF($AF496&lt;IF($D$4="Forint",Paraméterek!$C$223,Paraméterek!$C$224),2,IF($AF496&lt;IF($D$4="Forint",Paraméterek!$D$223,Paraméterek!$D$224),3,4))),0),0)</f>
        <v>0</v>
      </c>
      <c r="AH496" s="13">
        <f>IF(AND($Z496&gt;=5,MOD($Z496,5)=0),IF($AA496=12,VLOOKUP($Z496,Paraméterek!$B$225:$F$240,5),0),IF(OR($Z496=3,$Z496=4),IF($AA496=12,VLOOKUP($Z496,Paraméterek!$B$225:$F$240,5,0),0),0))*$AF496</f>
        <v>0</v>
      </c>
      <c r="AI496" s="13">
        <f>ROUNDDOWN(IF(SUM($T$20:$U496)=0,IF($D$2="Egyszeri",$AH496,$AG496),0),IF($D$4="Forint",0,2))</f>
        <v>0</v>
      </c>
      <c r="AJ496" s="13">
        <f t="shared" si="117"/>
        <v>0</v>
      </c>
      <c r="AK496" s="13">
        <f t="shared" si="118"/>
        <v>0</v>
      </c>
      <c r="AM496" s="32">
        <v>477</v>
      </c>
      <c r="AN496" s="32">
        <v>40</v>
      </c>
      <c r="AO496" s="32">
        <v>9</v>
      </c>
      <c r="AP496" s="13"/>
      <c r="AQ496" s="32"/>
      <c r="AR496" s="13">
        <f t="shared" si="119"/>
        <v>0</v>
      </c>
      <c r="AS496" s="33"/>
      <c r="AT496" s="13">
        <f t="shared" si="113"/>
        <v>0</v>
      </c>
      <c r="AU496" s="13">
        <f>ROUNDUP(($AR496+$AT496)*VLOOKUP($AN496,Paraméterek!$P$38:$Q$38,2)/12,IF($D$4="Forint",0,2))</f>
        <v>0</v>
      </c>
      <c r="AV496" s="13"/>
      <c r="AW496" s="13"/>
      <c r="AX496" s="13">
        <f>ROUNDUP(IF(SUM($AV496:$AW496)=0,0,IF(IF(ISBLANK($AW496),$AV496,$AW496)*Paraméterek!$J$112&lt;IF($D$4="Forint",Paraméterek!$J$113,Paraméterek!$K$113),IF($D$4="Forint",Paraméterek!$J$113,Paraméterek!$K$113),IF(IF(ISBLANK($AW496),$AV496,$AW496)*Paraméterek!$J$112&gt;IF($D$4="Forint",Paraméterek!$J$114,Paraméterek!$K$114),IF($D$4="Forint",Paraméterek!$J$114,Paraméterek!$K$114),IF(ISBLANK($AW496),$AV496,$AW496)*Paraméterek!$J$112))),IF($D$4="Forint",0,2))</f>
        <v>0</v>
      </c>
      <c r="AY496" s="13">
        <f>$AR496+$AT496-$AU496-IF(ROUNDDOWN(IF(ISBLANK($AW496),$AV496,$AW496),IF($D$4="Forint",0,2))&gt;$AR496+$AT496-$AU496-IF($D$4="Forint",Paraméterek!$J$114,Paraméterek!$K$114),0,ROUNDDOWN(IF(ISBLANK($AW496),$AV496,$AW496),IF($D$4="Forint",0,2))-$AX496)</f>
        <v>0</v>
      </c>
      <c r="AZ496" s="13">
        <f t="shared" si="114"/>
        <v>0</v>
      </c>
    </row>
    <row r="497" spans="1:52" x14ac:dyDescent="0.2">
      <c r="A497" s="32">
        <v>478</v>
      </c>
      <c r="B497" s="32">
        <v>40</v>
      </c>
      <c r="C497" s="32">
        <v>10</v>
      </c>
      <c r="D497" s="13">
        <f t="shared" si="105"/>
        <v>0</v>
      </c>
      <c r="E497" s="13"/>
      <c r="F497" s="13"/>
      <c r="G497" s="13"/>
      <c r="H497" s="13">
        <f t="shared" si="106"/>
        <v>0</v>
      </c>
      <c r="I497" s="13">
        <f t="shared" si="107"/>
        <v>0</v>
      </c>
      <c r="J497" s="13">
        <f t="shared" si="108"/>
        <v>0</v>
      </c>
      <c r="K497" s="13">
        <f>ROUNDUP(IF($D$2="Egyszeri",$D497,IF($D$2="Havi",SUM($D$20:$D$31),IF(MOD($C497,$M$1)-1=0,SUM($D$20:$D$31),0))/12*$M$1)*VLOOKUP($B497,Paraméterek!$B$27:$D$30,IF($D$2="Egyszeri",3,2)),IF($D$4="Forint",0,2))</f>
        <v>0</v>
      </c>
      <c r="L497" s="13">
        <f t="shared" si="109"/>
        <v>0</v>
      </c>
      <c r="M497" s="13">
        <f t="shared" ca="1" si="115"/>
        <v>-330307</v>
      </c>
      <c r="N497" s="13">
        <f ca="1">IF($V496&gt;=VLOOKUP($M$4-1+$B497,Paraméterek!$B$121:$D$122,IF($D$4="Forint",2,3)),0,VLOOKUP($M$4-1+$B497,Paraméterek!$B$121:$D$122,IF($D$4="Forint",2,3))-$V496)</f>
        <v>340307</v>
      </c>
      <c r="O497" s="13">
        <f ca="1">ROUNDUP($N497*Paraméterek!$C$58/Paraméterek!$C$56,IF($D$4="Forint",0,2))</f>
        <v>55</v>
      </c>
      <c r="P497" s="13">
        <f t="shared" si="110"/>
        <v>1742</v>
      </c>
      <c r="Q497" s="33"/>
      <c r="R497" s="13">
        <f t="shared" ca="1" si="111"/>
        <v>0</v>
      </c>
      <c r="S497" s="13">
        <f ca="1">ROUNDUP(($M497-$O497-$P497+$R497)*VLOOKUP($B497,Paraméterek!$B$38:$D$39,IF($D$2="Egyszeri",3,2))/12,IF($D$4="Forint",0,2))</f>
        <v>-811</v>
      </c>
      <c r="T497" s="13"/>
      <c r="U497" s="13"/>
      <c r="V497" s="13">
        <f ca="1">$M497-$O497-$P497+$R497-$S497-IF(ROUNDUP(IF(ISBLANK($U497),$T497,$U497)/IF(AND($B497=1,$D$2&lt;&gt;"Egyszeri"),1,VLOOKUP($B497+IF($C497=12,1,0),Paraméterek!$B$257:$D$267,IF($D$2="Egyszeri",3,2))),IF($D$4="Forint",0,2))&gt;$M497-$O497-$P497+$R497-$S497-IF($D$4="Forint",Paraméterek!$C$216,Paraméterek!$D$216),0,ROUNDUP(IF(ISBLANK($U497),$T497,$U497)/IF(AND($B497=1,$D$2&lt;&gt;"Egyszeri"),1,VLOOKUP($B497+IF($C497=12,1,0),Paraméterek!$B$257:$D$267,IF($D$2="Egyszeri",3,2))),IF($D$4="Forint",0,2)))</f>
        <v>-331293</v>
      </c>
      <c r="W497" s="13">
        <f ca="1">ROUNDDOWN($V497*VLOOKUP($B497+IF($C497=12,1,0),Paraméterek!$B$257:$D$267,IF($D$2="Egyszeri",3,2)),IF($D$4="Forint",0,2))</f>
        <v>-331293</v>
      </c>
      <c r="Y497" s="32">
        <v>478</v>
      </c>
      <c r="Z497" s="32">
        <v>40</v>
      </c>
      <c r="AA497" s="32">
        <v>10</v>
      </c>
      <c r="AB497" s="13">
        <f t="shared" si="116"/>
        <v>0</v>
      </c>
      <c r="AC497" s="33"/>
      <c r="AD497" s="13">
        <f t="shared" si="112"/>
        <v>0</v>
      </c>
      <c r="AE497" s="13">
        <f>ROUNDUP(($AB497+$AD497)*VLOOKUP($Z497,Paraméterek!$P$38:$Q$38,2)/12,IF($D$4="Forint",0,2))</f>
        <v>0</v>
      </c>
      <c r="AF497" s="13">
        <f>IF($D$2="Egyszeri",IF($D$7&gt;=IF($D$4="Forint",Paraméterek!$P$223,Paraméterek!$P$224),$D$7-IF($D$4="Forint",Paraméterek!$F$223,Paraméterek!$F$224),0),MIN(IF($AA497=12,AVERAGE($D$20:$D497)*12,0),SUM($D$20:$D$31)))</f>
        <v>0</v>
      </c>
      <c r="AG497" s="13">
        <f>IF(AND($Z497&gt;=10,MOD($Z497,5)=0),$AF497*IF($AA497=12,VLOOKUP($Z497,Paraméterek!$B$225:$F$240,IF($AF497&lt;IF($D$4="Forint",Paraméterek!$C$223,Paraméterek!$C$224),2,IF($AF497&lt;IF($D$4="Forint",Paraméterek!$D$223,Paraméterek!$D$224),3,4))),0),0)</f>
        <v>0</v>
      </c>
      <c r="AH497" s="13">
        <f>IF(AND($Z497&gt;=5,MOD($Z497,5)=0),IF($AA497=12,VLOOKUP($Z497,Paraméterek!$B$225:$F$240,5),0),IF(OR($Z497=3,$Z497=4),IF($AA497=12,VLOOKUP($Z497,Paraméterek!$B$225:$F$240,5,0),0),0))*$AF497</f>
        <v>0</v>
      </c>
      <c r="AI497" s="13">
        <f>ROUNDDOWN(IF(SUM($T$20:$U497)=0,IF($D$2="Egyszeri",$AH497,$AG497),0),IF($D$4="Forint",0,2))</f>
        <v>0</v>
      </c>
      <c r="AJ497" s="13">
        <f t="shared" si="117"/>
        <v>0</v>
      </c>
      <c r="AK497" s="13">
        <f t="shared" si="118"/>
        <v>0</v>
      </c>
      <c r="AM497" s="32">
        <v>478</v>
      </c>
      <c r="AN497" s="32">
        <v>40</v>
      </c>
      <c r="AO497" s="32">
        <v>10</v>
      </c>
      <c r="AP497" s="13"/>
      <c r="AQ497" s="32"/>
      <c r="AR497" s="13">
        <f t="shared" si="119"/>
        <v>0</v>
      </c>
      <c r="AS497" s="33"/>
      <c r="AT497" s="13">
        <f t="shared" si="113"/>
        <v>0</v>
      </c>
      <c r="AU497" s="13">
        <f>ROUNDUP(($AR497+$AT497)*VLOOKUP($AN497,Paraméterek!$P$38:$Q$38,2)/12,IF($D$4="Forint",0,2))</f>
        <v>0</v>
      </c>
      <c r="AV497" s="13"/>
      <c r="AW497" s="13"/>
      <c r="AX497" s="13">
        <f>ROUNDUP(IF(SUM($AV497:$AW497)=0,0,IF(IF(ISBLANK($AW497),$AV497,$AW497)*Paraméterek!$J$112&lt;IF($D$4="Forint",Paraméterek!$J$113,Paraméterek!$K$113),IF($D$4="Forint",Paraméterek!$J$113,Paraméterek!$K$113),IF(IF(ISBLANK($AW497),$AV497,$AW497)*Paraméterek!$J$112&gt;IF($D$4="Forint",Paraméterek!$J$114,Paraméterek!$K$114),IF($D$4="Forint",Paraméterek!$J$114,Paraméterek!$K$114),IF(ISBLANK($AW497),$AV497,$AW497)*Paraméterek!$J$112))),IF($D$4="Forint",0,2))</f>
        <v>0</v>
      </c>
      <c r="AY497" s="13">
        <f>$AR497+$AT497-$AU497-IF(ROUNDDOWN(IF(ISBLANK($AW497),$AV497,$AW497),IF($D$4="Forint",0,2))&gt;$AR497+$AT497-$AU497-IF($D$4="Forint",Paraméterek!$J$114,Paraméterek!$K$114),0,ROUNDDOWN(IF(ISBLANK($AW497),$AV497,$AW497),IF($D$4="Forint",0,2))-$AX497)</f>
        <v>0</v>
      </c>
      <c r="AZ497" s="13">
        <f t="shared" si="114"/>
        <v>0</v>
      </c>
    </row>
    <row r="498" spans="1:52" x14ac:dyDescent="0.2">
      <c r="A498" s="32">
        <v>479</v>
      </c>
      <c r="B498" s="32">
        <v>40</v>
      </c>
      <c r="C498" s="32">
        <v>11</v>
      </c>
      <c r="D498" s="13">
        <f t="shared" si="105"/>
        <v>0</v>
      </c>
      <c r="E498" s="13"/>
      <c r="F498" s="13"/>
      <c r="G498" s="13"/>
      <c r="H498" s="13">
        <f t="shared" si="106"/>
        <v>0</v>
      </c>
      <c r="I498" s="13">
        <f t="shared" si="107"/>
        <v>0</v>
      </c>
      <c r="J498" s="13">
        <f t="shared" si="108"/>
        <v>0</v>
      </c>
      <c r="K498" s="13">
        <f>ROUNDUP(IF($D$2="Egyszeri",$D498,IF($D$2="Havi",SUM($D$20:$D$31),IF(MOD($C498,$M$1)-1=0,SUM($D$20:$D$31),0))/12*$M$1)*VLOOKUP($B498,Paraméterek!$B$27:$D$30,IF($D$2="Egyszeri",3,2)),IF($D$4="Forint",0,2))</f>
        <v>0</v>
      </c>
      <c r="L498" s="13">
        <f t="shared" si="109"/>
        <v>0</v>
      </c>
      <c r="M498" s="13">
        <f t="shared" ca="1" si="115"/>
        <v>-331293</v>
      </c>
      <c r="N498" s="13">
        <f ca="1">IF($V497&gt;=VLOOKUP($M$4-1+$B498,Paraméterek!$B$121:$D$122,IF($D$4="Forint",2,3)),0,VLOOKUP($M$4-1+$B498,Paraméterek!$B$121:$D$122,IF($D$4="Forint",2,3))-$V497)</f>
        <v>341293</v>
      </c>
      <c r="O498" s="13">
        <f ca="1">ROUNDUP($N498*Paraméterek!$C$58/Paraméterek!$C$56,IF($D$4="Forint",0,2))</f>
        <v>55</v>
      </c>
      <c r="P498" s="13">
        <f t="shared" si="110"/>
        <v>1742</v>
      </c>
      <c r="Q498" s="33"/>
      <c r="R498" s="13">
        <f t="shared" ca="1" si="111"/>
        <v>0</v>
      </c>
      <c r="S498" s="13">
        <f ca="1">ROUNDUP(($M498-$O498-$P498+$R498)*VLOOKUP($B498,Paraméterek!$B$38:$D$39,IF($D$2="Egyszeri",3,2))/12,IF($D$4="Forint",0,2))</f>
        <v>-814</v>
      </c>
      <c r="T498" s="13"/>
      <c r="U498" s="13"/>
      <c r="V498" s="13">
        <f ca="1">$M498-$O498-$P498+$R498-$S498-IF(ROUNDUP(IF(ISBLANK($U498),$T498,$U498)/IF(AND($B498=1,$D$2&lt;&gt;"Egyszeri"),1,VLOOKUP($B498+IF($C498=12,1,0),Paraméterek!$B$257:$D$267,IF($D$2="Egyszeri",3,2))),IF($D$4="Forint",0,2))&gt;$M498-$O498-$P498+$R498-$S498-IF($D$4="Forint",Paraméterek!$C$216,Paraméterek!$D$216),0,ROUNDUP(IF(ISBLANK($U498),$T498,$U498)/IF(AND($B498=1,$D$2&lt;&gt;"Egyszeri"),1,VLOOKUP($B498+IF($C498=12,1,0),Paraméterek!$B$257:$D$267,IF($D$2="Egyszeri",3,2))),IF($D$4="Forint",0,2)))</f>
        <v>-332276</v>
      </c>
      <c r="W498" s="13">
        <f ca="1">ROUNDDOWN($V498*VLOOKUP($B498+IF($C498=12,1,0),Paraméterek!$B$257:$D$267,IF($D$2="Egyszeri",3,2)),IF($D$4="Forint",0,2))</f>
        <v>-332276</v>
      </c>
      <c r="Y498" s="32">
        <v>479</v>
      </c>
      <c r="Z498" s="32">
        <v>40</v>
      </c>
      <c r="AA498" s="32">
        <v>11</v>
      </c>
      <c r="AB498" s="13">
        <f t="shared" si="116"/>
        <v>0</v>
      </c>
      <c r="AC498" s="33"/>
      <c r="AD498" s="13">
        <f t="shared" si="112"/>
        <v>0</v>
      </c>
      <c r="AE498" s="13">
        <f>ROUNDUP(($AB498+$AD498)*VLOOKUP($Z498,Paraméterek!$P$38:$Q$38,2)/12,IF($D$4="Forint",0,2))</f>
        <v>0</v>
      </c>
      <c r="AF498" s="13">
        <f>IF($D$2="Egyszeri",IF($D$7&gt;=IF($D$4="Forint",Paraméterek!$P$223,Paraméterek!$P$224),$D$7-IF($D$4="Forint",Paraméterek!$F$223,Paraméterek!$F$224),0),MIN(IF($AA498=12,AVERAGE($D$20:$D498)*12,0),SUM($D$20:$D$31)))</f>
        <v>0</v>
      </c>
      <c r="AG498" s="13">
        <f>IF(AND($Z498&gt;=10,MOD($Z498,5)=0),$AF498*IF($AA498=12,VLOOKUP($Z498,Paraméterek!$B$225:$F$240,IF($AF498&lt;IF($D$4="Forint",Paraméterek!$C$223,Paraméterek!$C$224),2,IF($AF498&lt;IF($D$4="Forint",Paraméterek!$D$223,Paraméterek!$D$224),3,4))),0),0)</f>
        <v>0</v>
      </c>
      <c r="AH498" s="13">
        <f>IF(AND($Z498&gt;=5,MOD($Z498,5)=0),IF($AA498=12,VLOOKUP($Z498,Paraméterek!$B$225:$F$240,5),0),IF(OR($Z498=3,$Z498=4),IF($AA498=12,VLOOKUP($Z498,Paraméterek!$B$225:$F$240,5,0),0),0))*$AF498</f>
        <v>0</v>
      </c>
      <c r="AI498" s="13">
        <f>ROUNDDOWN(IF(SUM($T$20:$U498)=0,IF($D$2="Egyszeri",$AH498,$AG498),0),IF($D$4="Forint",0,2))</f>
        <v>0</v>
      </c>
      <c r="AJ498" s="13">
        <f t="shared" si="117"/>
        <v>0</v>
      </c>
      <c r="AK498" s="13">
        <f t="shared" si="118"/>
        <v>0</v>
      </c>
      <c r="AM498" s="32">
        <v>479</v>
      </c>
      <c r="AN498" s="32">
        <v>40</v>
      </c>
      <c r="AO498" s="32">
        <v>11</v>
      </c>
      <c r="AP498" s="13"/>
      <c r="AQ498" s="32"/>
      <c r="AR498" s="13">
        <f t="shared" si="119"/>
        <v>0</v>
      </c>
      <c r="AS498" s="33"/>
      <c r="AT498" s="13">
        <f t="shared" si="113"/>
        <v>0</v>
      </c>
      <c r="AU498" s="13">
        <f>ROUNDUP(($AR498+$AT498)*VLOOKUP($AN498,Paraméterek!$P$38:$Q$38,2)/12,IF($D$4="Forint",0,2))</f>
        <v>0</v>
      </c>
      <c r="AV498" s="13"/>
      <c r="AW498" s="13"/>
      <c r="AX498" s="13">
        <f>ROUNDUP(IF(SUM($AV498:$AW498)=0,0,IF(IF(ISBLANK($AW498),$AV498,$AW498)*Paraméterek!$J$112&lt;IF($D$4="Forint",Paraméterek!$J$113,Paraméterek!$K$113),IF($D$4="Forint",Paraméterek!$J$113,Paraméterek!$K$113),IF(IF(ISBLANK($AW498),$AV498,$AW498)*Paraméterek!$J$112&gt;IF($D$4="Forint",Paraméterek!$J$114,Paraméterek!$K$114),IF($D$4="Forint",Paraméterek!$J$114,Paraméterek!$K$114),IF(ISBLANK($AW498),$AV498,$AW498)*Paraméterek!$J$112))),IF($D$4="Forint",0,2))</f>
        <v>0</v>
      </c>
      <c r="AY498" s="13">
        <f>$AR498+$AT498-$AU498-IF(ROUNDDOWN(IF(ISBLANK($AW498),$AV498,$AW498),IF($D$4="Forint",0,2))&gt;$AR498+$AT498-$AU498-IF($D$4="Forint",Paraméterek!$J$114,Paraméterek!$K$114),0,ROUNDDOWN(IF(ISBLANK($AW498),$AV498,$AW498),IF($D$4="Forint",0,2))-$AX498)</f>
        <v>0</v>
      </c>
      <c r="AZ498" s="13">
        <f t="shared" si="114"/>
        <v>0</v>
      </c>
    </row>
    <row r="499" spans="1:52" x14ac:dyDescent="0.2">
      <c r="A499" s="32">
        <v>480</v>
      </c>
      <c r="B499" s="32">
        <v>40</v>
      </c>
      <c r="C499" s="32">
        <v>12</v>
      </c>
      <c r="D499" s="13">
        <f t="shared" si="105"/>
        <v>0</v>
      </c>
      <c r="E499" s="13"/>
      <c r="F499" s="13"/>
      <c r="G499" s="13"/>
      <c r="H499" s="13">
        <f t="shared" si="106"/>
        <v>0</v>
      </c>
      <c r="I499" s="13">
        <f t="shared" si="107"/>
        <v>0</v>
      </c>
      <c r="J499" s="13">
        <f t="shared" si="108"/>
        <v>0</v>
      </c>
      <c r="K499" s="13">
        <f>ROUNDUP(IF($D$2="Egyszeri",$D499,IF($D$2="Havi",SUM($D$20:$D$31),IF(MOD($C499,$M$1)-1=0,SUM($D$20:$D$31),0))/12*$M$1)*VLOOKUP($B499,Paraméterek!$B$27:$D$30,IF($D$2="Egyszeri",3,2)),IF($D$4="Forint",0,2))</f>
        <v>0</v>
      </c>
      <c r="L499" s="13">
        <f t="shared" si="109"/>
        <v>0</v>
      </c>
      <c r="M499" s="13">
        <f t="shared" ca="1" si="115"/>
        <v>-332276</v>
      </c>
      <c r="N499" s="13">
        <f ca="1">IF($V498&gt;=VLOOKUP($M$4-1+$B499,Paraméterek!$B$121:$D$122,IF($D$4="Forint",2,3)),0,VLOOKUP($M$4-1+$B499,Paraméterek!$B$121:$D$122,IF($D$4="Forint",2,3))-$V498)</f>
        <v>342276</v>
      </c>
      <c r="O499" s="13">
        <f ca="1">ROUNDUP($N499*Paraméterek!$C$58/Paraméterek!$C$56,IF($D$4="Forint",0,2))</f>
        <v>55</v>
      </c>
      <c r="P499" s="13">
        <f t="shared" si="110"/>
        <v>1742</v>
      </c>
      <c r="Q499" s="33"/>
      <c r="R499" s="13">
        <f t="shared" ca="1" si="111"/>
        <v>0</v>
      </c>
      <c r="S499" s="13">
        <f ca="1">ROUNDUP(($M499-$O499-$P499+$R499)*VLOOKUP($B499,Paraméterek!$B$38:$D$39,IF($D$2="Egyszeri",3,2))/12,IF($D$4="Forint",0,2))</f>
        <v>-816</v>
      </c>
      <c r="T499" s="13">
        <f>Tranzakciók!$F$71</f>
        <v>0</v>
      </c>
      <c r="U499" s="13"/>
      <c r="V499" s="13">
        <f ca="1">$M499-$O499-$P499+$R499-$S499-IF(ROUNDUP(IF(ISBLANK($U499),$T499,$U499)/IF(AND($B499=1,$D$2&lt;&gt;"Egyszeri"),1,VLOOKUP($B499+IF($C499=12,1,0),Paraméterek!$B$257:$D$267,IF($D$2="Egyszeri",3,2))),IF($D$4="Forint",0,2))&gt;$M499-$O499-$P499+$R499-$S499-IF($D$4="Forint",Paraméterek!$C$216,Paraméterek!$D$216),0,ROUNDUP(IF(ISBLANK($U499),$T499,$U499)/IF(AND($B499=1,$D$2&lt;&gt;"Egyszeri"),1,VLOOKUP($B499+IF($C499=12,1,0),Paraméterek!$B$257:$D$267,IF($D$2="Egyszeri",3,2))),IF($D$4="Forint",0,2)))</f>
        <v>-333257</v>
      </c>
      <c r="W499" s="13">
        <f ca="1">ROUNDDOWN($V499*VLOOKUP($B499+IF($C499=12,1,0),Paraméterek!$B$257:$D$267,IF($D$2="Egyszeri",3,2)),IF($D$4="Forint",0,2))</f>
        <v>-333257</v>
      </c>
      <c r="Y499" s="32">
        <v>480</v>
      </c>
      <c r="Z499" s="32">
        <v>40</v>
      </c>
      <c r="AA499" s="32">
        <v>12</v>
      </c>
      <c r="AB499" s="13">
        <f t="shared" si="116"/>
        <v>0</v>
      </c>
      <c r="AC499" s="33"/>
      <c r="AD499" s="13">
        <f t="shared" si="112"/>
        <v>0</v>
      </c>
      <c r="AE499" s="13">
        <f>ROUNDUP(($AB499+$AD499)*VLOOKUP($Z499,Paraméterek!$P$38:$Q$38,2)/12,IF($D$4="Forint",0,2))</f>
        <v>0</v>
      </c>
      <c r="AF499" s="13">
        <f>IF($D$2="Egyszeri",IF($D$7&gt;=IF($D$4="Forint",Paraméterek!$P$223,Paraméterek!$P$224),$D$7-IF($D$4="Forint",Paraméterek!$F$223,Paraméterek!$F$224),0),MIN(IF($AA499=12,AVERAGE($D$20:$D499)*12,0),SUM($D$20:$D$31)))</f>
        <v>0</v>
      </c>
      <c r="AG499" s="13">
        <f>IF(AND($Z499&gt;=10,MOD($Z499,5)=0),$AF499*IF($AA499=12,VLOOKUP($Z499,Paraméterek!$B$225:$F$240,IF($AF499&lt;IF($D$4="Forint",Paraméterek!$C$223,Paraméterek!$C$224),2,IF($AF499&lt;IF($D$4="Forint",Paraméterek!$D$223,Paraméterek!$D$224),3,4))),0),0)</f>
        <v>0</v>
      </c>
      <c r="AH499" s="13">
        <f>IF(AND($Z499&gt;=5,MOD($Z499,5)=0),IF($AA499=12,VLOOKUP($Z499,Paraméterek!$B$225:$F$240,5),0),IF(OR($Z499=3,$Z499=4),IF($AA499=12,VLOOKUP($Z499,Paraméterek!$B$225:$F$240,5,0),0),0))*$AF499</f>
        <v>0</v>
      </c>
      <c r="AI499" s="13">
        <f>ROUNDDOWN(IF(SUM($T$20:$U499)=0,IF($D$2="Egyszeri",$AH499,$AG499),0),IF($D$4="Forint",0,2))</f>
        <v>0</v>
      </c>
      <c r="AJ499" s="13">
        <f t="shared" si="117"/>
        <v>0</v>
      </c>
      <c r="AK499" s="13">
        <f t="shared" si="118"/>
        <v>0</v>
      </c>
      <c r="AM499" s="32">
        <v>480</v>
      </c>
      <c r="AN499" s="32">
        <v>40</v>
      </c>
      <c r="AO499" s="32">
        <v>12</v>
      </c>
      <c r="AP499" s="13"/>
      <c r="AQ499" s="32"/>
      <c r="AR499" s="13">
        <f t="shared" si="119"/>
        <v>0</v>
      </c>
      <c r="AS499" s="33"/>
      <c r="AT499" s="13">
        <f t="shared" si="113"/>
        <v>0</v>
      </c>
      <c r="AU499" s="13">
        <f>ROUNDUP(($AR499+$AT499)*VLOOKUP($AN499,Paraméterek!$P$38:$Q$38,2)/12,IF($D$4="Forint",0,2))</f>
        <v>0</v>
      </c>
      <c r="AV499" s="13">
        <f>Tranzakciók!$M$71</f>
        <v>0</v>
      </c>
      <c r="AW499" s="13"/>
      <c r="AX499" s="13">
        <f>ROUNDUP(IF(SUM($AV499:$AW499)=0,0,IF(IF(ISBLANK($AW499),$AV499,$AW499)*Paraméterek!$J$112&lt;IF($D$4="Forint",Paraméterek!$J$113,Paraméterek!$K$113),IF($D$4="Forint",Paraméterek!$J$113,Paraméterek!$K$113),IF(IF(ISBLANK($AW499),$AV499,$AW499)*Paraméterek!$J$112&gt;IF($D$4="Forint",Paraméterek!$J$114,Paraméterek!$K$114),IF($D$4="Forint",Paraméterek!$J$114,Paraméterek!$K$114),IF(ISBLANK($AW499),$AV499,$AW499)*Paraméterek!$J$112))),IF($D$4="Forint",0,2))</f>
        <v>0</v>
      </c>
      <c r="AY499" s="13">
        <f>$AR499+$AT499-$AU499-IF(ROUNDDOWN(IF(ISBLANK($AW499),$AV499,$AW499),IF($D$4="Forint",0,2))&gt;$AR499+$AT499-$AU499-IF($D$4="Forint",Paraméterek!$J$114,Paraméterek!$K$114),0,ROUNDDOWN(IF(ISBLANK($AW499),$AV499,$AW499),IF($D$4="Forint",0,2))-$AX499)</f>
        <v>0</v>
      </c>
      <c r="AZ499" s="13">
        <f t="shared" si="114"/>
        <v>0</v>
      </c>
    </row>
    <row r="500" spans="1:52" x14ac:dyDescent="0.2">
      <c r="A500" s="32">
        <v>481</v>
      </c>
      <c r="B500" s="32">
        <v>41</v>
      </c>
      <c r="C500" s="32">
        <v>1</v>
      </c>
      <c r="D500" s="13">
        <f t="shared" si="105"/>
        <v>0</v>
      </c>
      <c r="E500" s="13"/>
      <c r="F500" s="13">
        <f>Tranzakciók!$D$72</f>
        <v>0</v>
      </c>
      <c r="G500" s="13"/>
      <c r="H500" s="13">
        <f t="shared" si="106"/>
        <v>0</v>
      </c>
      <c r="I500" s="13">
        <f t="shared" si="107"/>
        <v>327</v>
      </c>
      <c r="J500" s="13">
        <f t="shared" si="108"/>
        <v>327</v>
      </c>
      <c r="K500" s="13">
        <f>ROUNDUP(IF($D$2="Egyszeri",$D500,IF($D$2="Havi",SUM($D$20:$D$31),IF(MOD($C500,$M$1)-1=0,SUM($D$20:$D$31),0))/12*$M$1)*VLOOKUP($B500,Paraméterek!$B$27:$D$30,IF($D$2="Egyszeri",3,2)),IF($D$4="Forint",0,2))</f>
        <v>0</v>
      </c>
      <c r="L500" s="13">
        <f t="shared" si="109"/>
        <v>0</v>
      </c>
      <c r="M500" s="13">
        <f t="shared" ca="1" si="115"/>
        <v>-333257</v>
      </c>
      <c r="N500" s="13">
        <f ca="1">IF($V499&gt;=VLOOKUP($M$4-1+$B500,Paraméterek!$B$121:$D$122,IF($D$4="Forint",2,3)),0,VLOOKUP($M$4-1+$B500,Paraméterek!$B$121:$D$122,IF($D$4="Forint",2,3))-$V499)</f>
        <v>343257</v>
      </c>
      <c r="O500" s="13">
        <f ca="1">ROUNDUP($N500*Paraméterek!$C$58/Paraméterek!$C$56,IF($D$4="Forint",0,2))</f>
        <v>55</v>
      </c>
      <c r="P500" s="13">
        <f t="shared" si="110"/>
        <v>1795</v>
      </c>
      <c r="Q500" s="33"/>
      <c r="R500" s="13">
        <f t="shared" ca="1" si="111"/>
        <v>0</v>
      </c>
      <c r="S500" s="13">
        <f ca="1">ROUNDUP(($M500-$O500-$P500+$R500)*VLOOKUP($B500,Paraméterek!$B$38:$D$39,IF($D$2="Egyszeri",3,2))/12,IF($D$4="Forint",0,2))</f>
        <v>-819</v>
      </c>
      <c r="T500" s="13"/>
      <c r="U500" s="13"/>
      <c r="V500" s="13">
        <f ca="1">$M500-$O500-$P500+$R500-$S500-IF(ROUNDUP(IF(ISBLANK($U500),$T500,$U500)/IF(AND($B500=1,$D$2&lt;&gt;"Egyszeri"),1,VLOOKUP($B500+IF($C500=12,1,0),Paraméterek!$B$257:$D$267,IF($D$2="Egyszeri",3,2))),IF($D$4="Forint",0,2))&gt;$M500-$O500-$P500+$R500-$S500-IF($D$4="Forint",Paraméterek!$C$216,Paraméterek!$D$216),0,ROUNDUP(IF(ISBLANK($U500),$T500,$U500)/IF(AND($B500=1,$D$2&lt;&gt;"Egyszeri"),1,VLOOKUP($B500+IF($C500=12,1,0),Paraméterek!$B$257:$D$267,IF($D$2="Egyszeri",3,2))),IF($D$4="Forint",0,2)))</f>
        <v>-334288</v>
      </c>
      <c r="W500" s="13">
        <f ca="1">ROUNDDOWN($V500*VLOOKUP($B500+IF($C500=12,1,0),Paraméterek!$B$257:$D$267,IF($D$2="Egyszeri",3,2)),IF($D$4="Forint",0,2))</f>
        <v>-334288</v>
      </c>
      <c r="Y500" s="32">
        <v>481</v>
      </c>
      <c r="Z500" s="32">
        <v>41</v>
      </c>
      <c r="AA500" s="32">
        <v>1</v>
      </c>
      <c r="AB500" s="13">
        <f t="shared" si="116"/>
        <v>0</v>
      </c>
      <c r="AC500" s="33"/>
      <c r="AD500" s="13">
        <f t="shared" si="112"/>
        <v>0</v>
      </c>
      <c r="AE500" s="13">
        <f>ROUNDUP(($AB500+$AD500)*VLOOKUP($Z500,Paraméterek!$P$38:$Q$38,2)/12,IF($D$4="Forint",0,2))</f>
        <v>0</v>
      </c>
      <c r="AF500" s="13">
        <f>IF($D$2="Egyszeri",IF($D$7&gt;=IF($D$4="Forint",Paraméterek!$P$223,Paraméterek!$P$224),$D$7-IF($D$4="Forint",Paraméterek!$F$223,Paraméterek!$F$224),0),MIN(IF($AA500=12,AVERAGE($D$20:$D500)*12,0),SUM($D$20:$D$31)))</f>
        <v>0</v>
      </c>
      <c r="AG500" s="13">
        <f>IF(AND($Z500&gt;=10,MOD($Z500,5)=0),$AF500*IF($AA500=12,VLOOKUP($Z500,Paraméterek!$B$225:$F$240,IF($AF500&lt;IF($D$4="Forint",Paraméterek!$C$223,Paraméterek!$C$224),2,IF($AF500&lt;IF($D$4="Forint",Paraméterek!$D$223,Paraméterek!$D$224),3,4))),0),0)</f>
        <v>0</v>
      </c>
      <c r="AH500" s="13">
        <f>IF(AND($Z500&gt;=5,MOD($Z500,5)=0),IF($AA500=12,VLOOKUP($Z500,Paraméterek!$B$225:$F$240,5),0),IF(OR($Z500=3,$Z500=4),IF($AA500=12,VLOOKUP($Z500,Paraméterek!$B$225:$F$240,5,0),0),0))*$AF500</f>
        <v>0</v>
      </c>
      <c r="AI500" s="13">
        <f>ROUNDDOWN(IF(SUM($T$20:$U500)=0,IF($D$2="Egyszeri",$AH500,$AG500),0),IF($D$4="Forint",0,2))</f>
        <v>0</v>
      </c>
      <c r="AJ500" s="13">
        <f t="shared" si="117"/>
        <v>0</v>
      </c>
      <c r="AK500" s="13">
        <f t="shared" si="118"/>
        <v>0</v>
      </c>
      <c r="AM500" s="32">
        <v>481</v>
      </c>
      <c r="AN500" s="32">
        <v>41</v>
      </c>
      <c r="AO500" s="32">
        <v>1</v>
      </c>
      <c r="AP500" s="13">
        <f>Tranzakciók!$K$72</f>
        <v>0</v>
      </c>
      <c r="AQ500" s="32"/>
      <c r="AR500" s="13">
        <f t="shared" si="119"/>
        <v>0</v>
      </c>
      <c r="AS500" s="33"/>
      <c r="AT500" s="13">
        <f t="shared" si="113"/>
        <v>0</v>
      </c>
      <c r="AU500" s="13">
        <f>ROUNDUP(($AR500+$AT500)*VLOOKUP($AN500,Paraméterek!$P$38:$Q$38,2)/12,IF($D$4="Forint",0,2))</f>
        <v>0</v>
      </c>
      <c r="AV500" s="13"/>
      <c r="AW500" s="13"/>
      <c r="AX500" s="13">
        <f>ROUNDUP(IF(SUM($AV500:$AW500)=0,0,IF(IF(ISBLANK($AW500),$AV500,$AW500)*Paraméterek!$J$112&lt;IF($D$4="Forint",Paraméterek!$J$113,Paraméterek!$K$113),IF($D$4="Forint",Paraméterek!$J$113,Paraméterek!$K$113),IF(IF(ISBLANK($AW500),$AV500,$AW500)*Paraméterek!$J$112&gt;IF($D$4="Forint",Paraméterek!$J$114,Paraméterek!$K$114),IF($D$4="Forint",Paraméterek!$J$114,Paraméterek!$K$114),IF(ISBLANK($AW500),$AV500,$AW500)*Paraméterek!$J$112))),IF($D$4="Forint",0,2))</f>
        <v>0</v>
      </c>
      <c r="AY500" s="13">
        <f>$AR500+$AT500-$AU500-IF(ROUNDDOWN(IF(ISBLANK($AW500),$AV500,$AW500),IF($D$4="Forint",0,2))&gt;$AR500+$AT500-$AU500-IF($D$4="Forint",Paraméterek!$J$114,Paraméterek!$K$114),0,ROUNDDOWN(IF(ISBLANK($AW500),$AV500,$AW500),IF($D$4="Forint",0,2))-$AX500)</f>
        <v>0</v>
      </c>
      <c r="AZ500" s="13">
        <f t="shared" si="114"/>
        <v>0</v>
      </c>
    </row>
    <row r="501" spans="1:52" x14ac:dyDescent="0.2">
      <c r="A501" s="32">
        <v>482</v>
      </c>
      <c r="B501" s="32">
        <v>41</v>
      </c>
      <c r="C501" s="32">
        <v>2</v>
      </c>
      <c r="D501" s="13">
        <f t="shared" si="105"/>
        <v>0</v>
      </c>
      <c r="E501" s="13"/>
      <c r="F501" s="13"/>
      <c r="G501" s="13"/>
      <c r="H501" s="13">
        <f t="shared" si="106"/>
        <v>0</v>
      </c>
      <c r="I501" s="13">
        <f t="shared" si="107"/>
        <v>0</v>
      </c>
      <c r="J501" s="13">
        <f t="shared" si="108"/>
        <v>0</v>
      </c>
      <c r="K501" s="13">
        <f>ROUNDUP(IF($D$2="Egyszeri",$D501,IF($D$2="Havi",SUM($D$20:$D$31),IF(MOD($C501,$M$1)-1=0,SUM($D$20:$D$31),0))/12*$M$1)*VLOOKUP($B501,Paraméterek!$B$27:$D$30,IF($D$2="Egyszeri",3,2)),IF($D$4="Forint",0,2))</f>
        <v>0</v>
      </c>
      <c r="L501" s="13">
        <f t="shared" si="109"/>
        <v>0</v>
      </c>
      <c r="M501" s="13">
        <f t="shared" ca="1" si="115"/>
        <v>-334288</v>
      </c>
      <c r="N501" s="13">
        <f ca="1">IF($V500&gt;=VLOOKUP($M$4-1+$B501,Paraméterek!$B$121:$D$122,IF($D$4="Forint",2,3)),0,VLOOKUP($M$4-1+$B501,Paraméterek!$B$121:$D$122,IF($D$4="Forint",2,3))-$V500)</f>
        <v>344288</v>
      </c>
      <c r="O501" s="13">
        <f ca="1">ROUNDUP($N501*Paraméterek!$C$58/Paraméterek!$C$56,IF($D$4="Forint",0,2))</f>
        <v>55</v>
      </c>
      <c r="P501" s="13">
        <f t="shared" si="110"/>
        <v>1795</v>
      </c>
      <c r="Q501" s="33"/>
      <c r="R501" s="13">
        <f t="shared" ca="1" si="111"/>
        <v>0</v>
      </c>
      <c r="S501" s="13">
        <f ca="1">ROUNDUP(($M501-$O501-$P501+$R501)*VLOOKUP($B501,Paraméterek!$B$38:$D$39,IF($D$2="Egyszeri",3,2))/12,IF($D$4="Forint",0,2))</f>
        <v>-821</v>
      </c>
      <c r="T501" s="13"/>
      <c r="U501" s="13"/>
      <c r="V501" s="13">
        <f ca="1">$M501-$O501-$P501+$R501-$S501-IF(ROUNDUP(IF(ISBLANK($U501),$T501,$U501)/IF(AND($B501=1,$D$2&lt;&gt;"Egyszeri"),1,VLOOKUP($B501+IF($C501=12,1,0),Paraméterek!$B$257:$D$267,IF($D$2="Egyszeri",3,2))),IF($D$4="Forint",0,2))&gt;$M501-$O501-$P501+$R501-$S501-IF($D$4="Forint",Paraméterek!$C$216,Paraméterek!$D$216),0,ROUNDUP(IF(ISBLANK($U501),$T501,$U501)/IF(AND($B501=1,$D$2&lt;&gt;"Egyszeri"),1,VLOOKUP($B501+IF($C501=12,1,0),Paraméterek!$B$257:$D$267,IF($D$2="Egyszeri",3,2))),IF($D$4="Forint",0,2)))</f>
        <v>-335317</v>
      </c>
      <c r="W501" s="13">
        <f ca="1">ROUNDDOWN($V501*VLOOKUP($B501+IF($C501=12,1,0),Paraméterek!$B$257:$D$267,IF($D$2="Egyszeri",3,2)),IF($D$4="Forint",0,2))</f>
        <v>-335317</v>
      </c>
      <c r="Y501" s="32">
        <v>482</v>
      </c>
      <c r="Z501" s="32">
        <v>41</v>
      </c>
      <c r="AA501" s="32">
        <v>2</v>
      </c>
      <c r="AB501" s="13">
        <f t="shared" si="116"/>
        <v>0</v>
      </c>
      <c r="AC501" s="33"/>
      <c r="AD501" s="13">
        <f t="shared" si="112"/>
        <v>0</v>
      </c>
      <c r="AE501" s="13">
        <f>ROUNDUP(($AB501+$AD501)*VLOOKUP($Z501,Paraméterek!$P$38:$Q$38,2)/12,IF($D$4="Forint",0,2))</f>
        <v>0</v>
      </c>
      <c r="AF501" s="13">
        <f>IF($D$2="Egyszeri",IF($D$7&gt;=IF($D$4="Forint",Paraméterek!$P$223,Paraméterek!$P$224),$D$7-IF($D$4="Forint",Paraméterek!$F$223,Paraméterek!$F$224),0),MIN(IF($AA501=12,AVERAGE($D$20:$D501)*12,0),SUM($D$20:$D$31)))</f>
        <v>0</v>
      </c>
      <c r="AG501" s="13">
        <f>IF(AND($Z501&gt;=10,MOD($Z501,5)=0),$AF501*IF($AA501=12,VLOOKUP($Z501,Paraméterek!$B$225:$F$240,IF($AF501&lt;IF($D$4="Forint",Paraméterek!$C$223,Paraméterek!$C$224),2,IF($AF501&lt;IF($D$4="Forint",Paraméterek!$D$223,Paraméterek!$D$224),3,4))),0),0)</f>
        <v>0</v>
      </c>
      <c r="AH501" s="13">
        <f>IF(AND($Z501&gt;=5,MOD($Z501,5)=0),IF($AA501=12,VLOOKUP($Z501,Paraméterek!$B$225:$F$240,5),0),IF(OR($Z501=3,$Z501=4),IF($AA501=12,VLOOKUP($Z501,Paraméterek!$B$225:$F$240,5,0),0),0))*$AF501</f>
        <v>0</v>
      </c>
      <c r="AI501" s="13">
        <f>ROUNDDOWN(IF(SUM($T$20:$U501)=0,IF($D$2="Egyszeri",$AH501,$AG501),0),IF($D$4="Forint",0,2))</f>
        <v>0</v>
      </c>
      <c r="AJ501" s="13">
        <f t="shared" si="117"/>
        <v>0</v>
      </c>
      <c r="AK501" s="13">
        <f t="shared" si="118"/>
        <v>0</v>
      </c>
      <c r="AM501" s="32">
        <v>482</v>
      </c>
      <c r="AN501" s="32">
        <v>41</v>
      </c>
      <c r="AO501" s="32">
        <v>2</v>
      </c>
      <c r="AP501" s="13"/>
      <c r="AQ501" s="32"/>
      <c r="AR501" s="13">
        <f t="shared" si="119"/>
        <v>0</v>
      </c>
      <c r="AS501" s="33"/>
      <c r="AT501" s="13">
        <f t="shared" si="113"/>
        <v>0</v>
      </c>
      <c r="AU501" s="13">
        <f>ROUNDUP(($AR501+$AT501)*VLOOKUP($AN501,Paraméterek!$P$38:$Q$38,2)/12,IF($D$4="Forint",0,2))</f>
        <v>0</v>
      </c>
      <c r="AV501" s="13"/>
      <c r="AW501" s="13"/>
      <c r="AX501" s="13">
        <f>ROUNDUP(IF(SUM($AV501:$AW501)=0,0,IF(IF(ISBLANK($AW501),$AV501,$AW501)*Paraméterek!$J$112&lt;IF($D$4="Forint",Paraméterek!$J$113,Paraméterek!$K$113),IF($D$4="Forint",Paraméterek!$J$113,Paraméterek!$K$113),IF(IF(ISBLANK($AW501),$AV501,$AW501)*Paraméterek!$J$112&gt;IF($D$4="Forint",Paraméterek!$J$114,Paraméterek!$K$114),IF($D$4="Forint",Paraméterek!$J$114,Paraméterek!$K$114),IF(ISBLANK($AW501),$AV501,$AW501)*Paraméterek!$J$112))),IF($D$4="Forint",0,2))</f>
        <v>0</v>
      </c>
      <c r="AY501" s="13">
        <f>$AR501+$AT501-$AU501-IF(ROUNDDOWN(IF(ISBLANK($AW501),$AV501,$AW501),IF($D$4="Forint",0,2))&gt;$AR501+$AT501-$AU501-IF($D$4="Forint",Paraméterek!$J$114,Paraméterek!$K$114),0,ROUNDDOWN(IF(ISBLANK($AW501),$AV501,$AW501),IF($D$4="Forint",0,2))-$AX501)</f>
        <v>0</v>
      </c>
      <c r="AZ501" s="13">
        <f t="shared" si="114"/>
        <v>0</v>
      </c>
    </row>
    <row r="502" spans="1:52" x14ac:dyDescent="0.2">
      <c r="A502" s="32">
        <v>483</v>
      </c>
      <c r="B502" s="32">
        <v>41</v>
      </c>
      <c r="C502" s="32">
        <v>3</v>
      </c>
      <c r="D502" s="13">
        <f t="shared" si="105"/>
        <v>0</v>
      </c>
      <c r="E502" s="13"/>
      <c r="F502" s="13"/>
      <c r="G502" s="13"/>
      <c r="H502" s="13">
        <f t="shared" si="106"/>
        <v>0</v>
      </c>
      <c r="I502" s="13">
        <f t="shared" si="107"/>
        <v>0</v>
      </c>
      <c r="J502" s="13">
        <f t="shared" si="108"/>
        <v>0</v>
      </c>
      <c r="K502" s="13">
        <f>ROUNDUP(IF($D$2="Egyszeri",$D502,IF($D$2="Havi",SUM($D$20:$D$31),IF(MOD($C502,$M$1)-1=0,SUM($D$20:$D$31),0))/12*$M$1)*VLOOKUP($B502,Paraméterek!$B$27:$D$30,IF($D$2="Egyszeri",3,2)),IF($D$4="Forint",0,2))</f>
        <v>0</v>
      </c>
      <c r="L502" s="13">
        <f t="shared" si="109"/>
        <v>0</v>
      </c>
      <c r="M502" s="13">
        <f t="shared" ca="1" si="115"/>
        <v>-335317</v>
      </c>
      <c r="N502" s="13">
        <f ca="1">IF($V501&gt;=VLOOKUP($M$4-1+$B502,Paraméterek!$B$121:$D$122,IF($D$4="Forint",2,3)),0,VLOOKUP($M$4-1+$B502,Paraméterek!$B$121:$D$122,IF($D$4="Forint",2,3))-$V501)</f>
        <v>345317</v>
      </c>
      <c r="O502" s="13">
        <f ca="1">ROUNDUP($N502*Paraméterek!$C$58/Paraméterek!$C$56,IF($D$4="Forint",0,2))</f>
        <v>55</v>
      </c>
      <c r="P502" s="13">
        <f t="shared" si="110"/>
        <v>1795</v>
      </c>
      <c r="Q502" s="33"/>
      <c r="R502" s="13">
        <f t="shared" ca="1" si="111"/>
        <v>0</v>
      </c>
      <c r="S502" s="13">
        <f ca="1">ROUNDUP(($M502-$O502-$P502+$R502)*VLOOKUP($B502,Paraméterek!$B$38:$D$39,IF($D$2="Egyszeri",3,2))/12,IF($D$4="Forint",0,2))</f>
        <v>-824</v>
      </c>
      <c r="T502" s="13"/>
      <c r="U502" s="13"/>
      <c r="V502" s="13">
        <f ca="1">$M502-$O502-$P502+$R502-$S502-IF(ROUNDUP(IF(ISBLANK($U502),$T502,$U502)/IF(AND($B502=1,$D$2&lt;&gt;"Egyszeri"),1,VLOOKUP($B502+IF($C502=12,1,0),Paraméterek!$B$257:$D$267,IF($D$2="Egyszeri",3,2))),IF($D$4="Forint",0,2))&gt;$M502-$O502-$P502+$R502-$S502-IF($D$4="Forint",Paraméterek!$C$216,Paraméterek!$D$216),0,ROUNDUP(IF(ISBLANK($U502),$T502,$U502)/IF(AND($B502=1,$D$2&lt;&gt;"Egyszeri"),1,VLOOKUP($B502+IF($C502=12,1,0),Paraméterek!$B$257:$D$267,IF($D$2="Egyszeri",3,2))),IF($D$4="Forint",0,2)))</f>
        <v>-336343</v>
      </c>
      <c r="W502" s="13">
        <f ca="1">ROUNDDOWN($V502*VLOOKUP($B502+IF($C502=12,1,0),Paraméterek!$B$257:$D$267,IF($D$2="Egyszeri",3,2)),IF($D$4="Forint",0,2))</f>
        <v>-336343</v>
      </c>
      <c r="Y502" s="32">
        <v>483</v>
      </c>
      <c r="Z502" s="32">
        <v>41</v>
      </c>
      <c r="AA502" s="32">
        <v>3</v>
      </c>
      <c r="AB502" s="13">
        <f t="shared" si="116"/>
        <v>0</v>
      </c>
      <c r="AC502" s="33"/>
      <c r="AD502" s="13">
        <f t="shared" si="112"/>
        <v>0</v>
      </c>
      <c r="AE502" s="13">
        <f>ROUNDUP(($AB502+$AD502)*VLOOKUP($Z502,Paraméterek!$P$38:$Q$38,2)/12,IF($D$4="Forint",0,2))</f>
        <v>0</v>
      </c>
      <c r="AF502" s="13">
        <f>IF($D$2="Egyszeri",IF($D$7&gt;=IF($D$4="Forint",Paraméterek!$P$223,Paraméterek!$P$224),$D$7-IF($D$4="Forint",Paraméterek!$F$223,Paraméterek!$F$224),0),MIN(IF($AA502=12,AVERAGE($D$20:$D502)*12,0),SUM($D$20:$D$31)))</f>
        <v>0</v>
      </c>
      <c r="AG502" s="13">
        <f>IF(AND($Z502&gt;=10,MOD($Z502,5)=0),$AF502*IF($AA502=12,VLOOKUP($Z502,Paraméterek!$B$225:$F$240,IF($AF502&lt;IF($D$4="Forint",Paraméterek!$C$223,Paraméterek!$C$224),2,IF($AF502&lt;IF($D$4="Forint",Paraméterek!$D$223,Paraméterek!$D$224),3,4))),0),0)</f>
        <v>0</v>
      </c>
      <c r="AH502" s="13">
        <f>IF(AND($Z502&gt;=5,MOD($Z502,5)=0),IF($AA502=12,VLOOKUP($Z502,Paraméterek!$B$225:$F$240,5),0),IF(OR($Z502=3,$Z502=4),IF($AA502=12,VLOOKUP($Z502,Paraméterek!$B$225:$F$240,5,0),0),0))*$AF502</f>
        <v>0</v>
      </c>
      <c r="AI502" s="13">
        <f>ROUNDDOWN(IF(SUM($T$20:$U502)=0,IF($D$2="Egyszeri",$AH502,$AG502),0),IF($D$4="Forint",0,2))</f>
        <v>0</v>
      </c>
      <c r="AJ502" s="13">
        <f t="shared" si="117"/>
        <v>0</v>
      </c>
      <c r="AK502" s="13">
        <f t="shared" si="118"/>
        <v>0</v>
      </c>
      <c r="AM502" s="32">
        <v>483</v>
      </c>
      <c r="AN502" s="32">
        <v>41</v>
      </c>
      <c r="AO502" s="32">
        <v>3</v>
      </c>
      <c r="AP502" s="13"/>
      <c r="AQ502" s="32"/>
      <c r="AR502" s="13">
        <f t="shared" si="119"/>
        <v>0</v>
      </c>
      <c r="AS502" s="33"/>
      <c r="AT502" s="13">
        <f t="shared" si="113"/>
        <v>0</v>
      </c>
      <c r="AU502" s="13">
        <f>ROUNDUP(($AR502+$AT502)*VLOOKUP($AN502,Paraméterek!$P$38:$Q$38,2)/12,IF($D$4="Forint",0,2))</f>
        <v>0</v>
      </c>
      <c r="AV502" s="13"/>
      <c r="AW502" s="13"/>
      <c r="AX502" s="13">
        <f>ROUNDUP(IF(SUM($AV502:$AW502)=0,0,IF(IF(ISBLANK($AW502),$AV502,$AW502)*Paraméterek!$J$112&lt;IF($D$4="Forint",Paraméterek!$J$113,Paraméterek!$K$113),IF($D$4="Forint",Paraméterek!$J$113,Paraméterek!$K$113),IF(IF(ISBLANK($AW502),$AV502,$AW502)*Paraméterek!$J$112&gt;IF($D$4="Forint",Paraméterek!$J$114,Paraméterek!$K$114),IF($D$4="Forint",Paraméterek!$J$114,Paraméterek!$K$114),IF(ISBLANK($AW502),$AV502,$AW502)*Paraméterek!$J$112))),IF($D$4="Forint",0,2))</f>
        <v>0</v>
      </c>
      <c r="AY502" s="13">
        <f>$AR502+$AT502-$AU502-IF(ROUNDDOWN(IF(ISBLANK($AW502),$AV502,$AW502),IF($D$4="Forint",0,2))&gt;$AR502+$AT502-$AU502-IF($D$4="Forint",Paraméterek!$J$114,Paraméterek!$K$114),0,ROUNDDOWN(IF(ISBLANK($AW502),$AV502,$AW502),IF($D$4="Forint",0,2))-$AX502)</f>
        <v>0</v>
      </c>
      <c r="AZ502" s="13">
        <f t="shared" si="114"/>
        <v>0</v>
      </c>
    </row>
    <row r="503" spans="1:52" x14ac:dyDescent="0.2">
      <c r="A503" s="32">
        <v>484</v>
      </c>
      <c r="B503" s="32">
        <v>41</v>
      </c>
      <c r="C503" s="32">
        <v>4</v>
      </c>
      <c r="D503" s="13">
        <f t="shared" si="105"/>
        <v>0</v>
      </c>
      <c r="E503" s="13"/>
      <c r="F503" s="13"/>
      <c r="G503" s="13"/>
      <c r="H503" s="13">
        <f t="shared" si="106"/>
        <v>0</v>
      </c>
      <c r="I503" s="13">
        <f t="shared" si="107"/>
        <v>0</v>
      </c>
      <c r="J503" s="13">
        <f t="shared" si="108"/>
        <v>0</v>
      </c>
      <c r="K503" s="13">
        <f>ROUNDUP(IF($D$2="Egyszeri",$D503,IF($D$2="Havi",SUM($D$20:$D$31),IF(MOD($C503,$M$1)-1=0,SUM($D$20:$D$31),0))/12*$M$1)*VLOOKUP($B503,Paraméterek!$B$27:$D$30,IF($D$2="Egyszeri",3,2)),IF($D$4="Forint",0,2))</f>
        <v>0</v>
      </c>
      <c r="L503" s="13">
        <f t="shared" si="109"/>
        <v>0</v>
      </c>
      <c r="M503" s="13">
        <f t="shared" ca="1" si="115"/>
        <v>-336343</v>
      </c>
      <c r="N503" s="13">
        <f ca="1">IF($V502&gt;=VLOOKUP($M$4-1+$B503,Paraméterek!$B$121:$D$122,IF($D$4="Forint",2,3)),0,VLOOKUP($M$4-1+$B503,Paraméterek!$B$121:$D$122,IF($D$4="Forint",2,3))-$V502)</f>
        <v>346343</v>
      </c>
      <c r="O503" s="13">
        <f ca="1">ROUNDUP($N503*Paraméterek!$C$58/Paraméterek!$C$56,IF($D$4="Forint",0,2))</f>
        <v>56</v>
      </c>
      <c r="P503" s="13">
        <f t="shared" si="110"/>
        <v>1795</v>
      </c>
      <c r="Q503" s="33"/>
      <c r="R503" s="13">
        <f t="shared" ca="1" si="111"/>
        <v>0</v>
      </c>
      <c r="S503" s="13">
        <f ca="1">ROUNDUP(($M503-$O503-$P503+$R503)*VLOOKUP($B503,Paraméterek!$B$38:$D$39,IF($D$2="Egyszeri",3,2))/12,IF($D$4="Forint",0,2))</f>
        <v>-826</v>
      </c>
      <c r="T503" s="13"/>
      <c r="U503" s="13"/>
      <c r="V503" s="13">
        <f ca="1">$M503-$O503-$P503+$R503-$S503-IF(ROUNDUP(IF(ISBLANK($U503),$T503,$U503)/IF(AND($B503=1,$D$2&lt;&gt;"Egyszeri"),1,VLOOKUP($B503+IF($C503=12,1,0),Paraméterek!$B$257:$D$267,IF($D$2="Egyszeri",3,2))),IF($D$4="Forint",0,2))&gt;$M503-$O503-$P503+$R503-$S503-IF($D$4="Forint",Paraméterek!$C$216,Paraméterek!$D$216),0,ROUNDUP(IF(ISBLANK($U503),$T503,$U503)/IF(AND($B503=1,$D$2&lt;&gt;"Egyszeri"),1,VLOOKUP($B503+IF($C503=12,1,0),Paraméterek!$B$257:$D$267,IF($D$2="Egyszeri",3,2))),IF($D$4="Forint",0,2)))</f>
        <v>-337368</v>
      </c>
      <c r="W503" s="13">
        <f ca="1">ROUNDDOWN($V503*VLOOKUP($B503+IF($C503=12,1,0),Paraméterek!$B$257:$D$267,IF($D$2="Egyszeri",3,2)),IF($D$4="Forint",0,2))</f>
        <v>-337368</v>
      </c>
      <c r="Y503" s="32">
        <v>484</v>
      </c>
      <c r="Z503" s="32">
        <v>41</v>
      </c>
      <c r="AA503" s="32">
        <v>4</v>
      </c>
      <c r="AB503" s="13">
        <f t="shared" si="116"/>
        <v>0</v>
      </c>
      <c r="AC503" s="33"/>
      <c r="AD503" s="13">
        <f t="shared" si="112"/>
        <v>0</v>
      </c>
      <c r="AE503" s="13">
        <f>ROUNDUP(($AB503+$AD503)*VLOOKUP($Z503,Paraméterek!$P$38:$Q$38,2)/12,IF($D$4="Forint",0,2))</f>
        <v>0</v>
      </c>
      <c r="AF503" s="13">
        <f>IF($D$2="Egyszeri",IF($D$7&gt;=IF($D$4="Forint",Paraméterek!$P$223,Paraméterek!$P$224),$D$7-IF($D$4="Forint",Paraméterek!$F$223,Paraméterek!$F$224),0),MIN(IF($AA503=12,AVERAGE($D$20:$D503)*12,0),SUM($D$20:$D$31)))</f>
        <v>0</v>
      </c>
      <c r="AG503" s="13">
        <f>IF(AND($Z503&gt;=10,MOD($Z503,5)=0),$AF503*IF($AA503=12,VLOOKUP($Z503,Paraméterek!$B$225:$F$240,IF($AF503&lt;IF($D$4="Forint",Paraméterek!$C$223,Paraméterek!$C$224),2,IF($AF503&lt;IF($D$4="Forint",Paraméterek!$D$223,Paraméterek!$D$224),3,4))),0),0)</f>
        <v>0</v>
      </c>
      <c r="AH503" s="13">
        <f>IF(AND($Z503&gt;=5,MOD($Z503,5)=0),IF($AA503=12,VLOOKUP($Z503,Paraméterek!$B$225:$F$240,5),0),IF(OR($Z503=3,$Z503=4),IF($AA503=12,VLOOKUP($Z503,Paraméterek!$B$225:$F$240,5,0),0),0))*$AF503</f>
        <v>0</v>
      </c>
      <c r="AI503" s="13">
        <f>ROUNDDOWN(IF(SUM($T$20:$U503)=0,IF($D$2="Egyszeri",$AH503,$AG503),0),IF($D$4="Forint",0,2))</f>
        <v>0</v>
      </c>
      <c r="AJ503" s="13">
        <f t="shared" si="117"/>
        <v>0</v>
      </c>
      <c r="AK503" s="13">
        <f t="shared" si="118"/>
        <v>0</v>
      </c>
      <c r="AM503" s="32">
        <v>484</v>
      </c>
      <c r="AN503" s="32">
        <v>41</v>
      </c>
      <c r="AO503" s="32">
        <v>4</v>
      </c>
      <c r="AP503" s="13"/>
      <c r="AQ503" s="32"/>
      <c r="AR503" s="13">
        <f t="shared" si="119"/>
        <v>0</v>
      </c>
      <c r="AS503" s="33"/>
      <c r="AT503" s="13">
        <f t="shared" si="113"/>
        <v>0</v>
      </c>
      <c r="AU503" s="13">
        <f>ROUNDUP(($AR503+$AT503)*VLOOKUP($AN503,Paraméterek!$P$38:$Q$38,2)/12,IF($D$4="Forint",0,2))</f>
        <v>0</v>
      </c>
      <c r="AV503" s="13"/>
      <c r="AW503" s="13"/>
      <c r="AX503" s="13">
        <f>ROUNDUP(IF(SUM($AV503:$AW503)=0,0,IF(IF(ISBLANK($AW503),$AV503,$AW503)*Paraméterek!$J$112&lt;IF($D$4="Forint",Paraméterek!$J$113,Paraméterek!$K$113),IF($D$4="Forint",Paraméterek!$J$113,Paraméterek!$K$113),IF(IF(ISBLANK($AW503),$AV503,$AW503)*Paraméterek!$J$112&gt;IF($D$4="Forint",Paraméterek!$J$114,Paraméterek!$K$114),IF($D$4="Forint",Paraméterek!$J$114,Paraméterek!$K$114),IF(ISBLANK($AW503),$AV503,$AW503)*Paraméterek!$J$112))),IF($D$4="Forint",0,2))</f>
        <v>0</v>
      </c>
      <c r="AY503" s="13">
        <f>$AR503+$AT503-$AU503-IF(ROUNDDOWN(IF(ISBLANK($AW503),$AV503,$AW503),IF($D$4="Forint",0,2))&gt;$AR503+$AT503-$AU503-IF($D$4="Forint",Paraméterek!$J$114,Paraméterek!$K$114),0,ROUNDDOWN(IF(ISBLANK($AW503),$AV503,$AW503),IF($D$4="Forint",0,2))-$AX503)</f>
        <v>0</v>
      </c>
      <c r="AZ503" s="13">
        <f t="shared" si="114"/>
        <v>0</v>
      </c>
    </row>
    <row r="504" spans="1:52" x14ac:dyDescent="0.2">
      <c r="A504" s="32">
        <v>485</v>
      </c>
      <c r="B504" s="32">
        <v>41</v>
      </c>
      <c r="C504" s="32">
        <v>5</v>
      </c>
      <c r="D504" s="13">
        <f t="shared" si="105"/>
        <v>0</v>
      </c>
      <c r="E504" s="13"/>
      <c r="F504" s="13"/>
      <c r="G504" s="13"/>
      <c r="H504" s="13">
        <f t="shared" si="106"/>
        <v>0</v>
      </c>
      <c r="I504" s="13">
        <f t="shared" si="107"/>
        <v>0</v>
      </c>
      <c r="J504" s="13">
        <f t="shared" si="108"/>
        <v>0</v>
      </c>
      <c r="K504" s="13">
        <f>ROUNDUP(IF($D$2="Egyszeri",$D504,IF($D$2="Havi",SUM($D$20:$D$31),IF(MOD($C504,$M$1)-1=0,SUM($D$20:$D$31),0))/12*$M$1)*VLOOKUP($B504,Paraméterek!$B$27:$D$30,IF($D$2="Egyszeri",3,2)),IF($D$4="Forint",0,2))</f>
        <v>0</v>
      </c>
      <c r="L504" s="13">
        <f t="shared" si="109"/>
        <v>0</v>
      </c>
      <c r="M504" s="13">
        <f t="shared" ca="1" si="115"/>
        <v>-337368</v>
      </c>
      <c r="N504" s="13">
        <f ca="1">IF($V503&gt;=VLOOKUP($M$4-1+$B504,Paraméterek!$B$121:$D$122,IF($D$4="Forint",2,3)),0,VLOOKUP($M$4-1+$B504,Paraméterek!$B$121:$D$122,IF($D$4="Forint",2,3))-$V503)</f>
        <v>347368</v>
      </c>
      <c r="O504" s="13">
        <f ca="1">ROUNDUP($N504*Paraméterek!$C$58/Paraméterek!$C$56,IF($D$4="Forint",0,2))</f>
        <v>56</v>
      </c>
      <c r="P504" s="13">
        <f t="shared" si="110"/>
        <v>1795</v>
      </c>
      <c r="Q504" s="33"/>
      <c r="R504" s="13">
        <f t="shared" ca="1" si="111"/>
        <v>0</v>
      </c>
      <c r="S504" s="13">
        <f ca="1">ROUNDUP(($M504-$O504-$P504+$R504)*VLOOKUP($B504,Paraméterek!$B$38:$D$39,IF($D$2="Egyszeri",3,2))/12,IF($D$4="Forint",0,2))</f>
        <v>-829</v>
      </c>
      <c r="T504" s="13"/>
      <c r="U504" s="13"/>
      <c r="V504" s="13">
        <f ca="1">$M504-$O504-$P504+$R504-$S504-IF(ROUNDUP(IF(ISBLANK($U504),$T504,$U504)/IF(AND($B504=1,$D$2&lt;&gt;"Egyszeri"),1,VLOOKUP($B504+IF($C504=12,1,0),Paraméterek!$B$257:$D$267,IF($D$2="Egyszeri",3,2))),IF($D$4="Forint",0,2))&gt;$M504-$O504-$P504+$R504-$S504-IF($D$4="Forint",Paraméterek!$C$216,Paraméterek!$D$216),0,ROUNDUP(IF(ISBLANK($U504),$T504,$U504)/IF(AND($B504=1,$D$2&lt;&gt;"Egyszeri"),1,VLOOKUP($B504+IF($C504=12,1,0),Paraméterek!$B$257:$D$267,IF($D$2="Egyszeri",3,2))),IF($D$4="Forint",0,2)))</f>
        <v>-338390</v>
      </c>
      <c r="W504" s="13">
        <f ca="1">ROUNDDOWN($V504*VLOOKUP($B504+IF($C504=12,1,0),Paraméterek!$B$257:$D$267,IF($D$2="Egyszeri",3,2)),IF($D$4="Forint",0,2))</f>
        <v>-338390</v>
      </c>
      <c r="Y504" s="32">
        <v>485</v>
      </c>
      <c r="Z504" s="32">
        <v>41</v>
      </c>
      <c r="AA504" s="32">
        <v>5</v>
      </c>
      <c r="AB504" s="13">
        <f t="shared" si="116"/>
        <v>0</v>
      </c>
      <c r="AC504" s="33"/>
      <c r="AD504" s="13">
        <f t="shared" si="112"/>
        <v>0</v>
      </c>
      <c r="AE504" s="13">
        <f>ROUNDUP(($AB504+$AD504)*VLOOKUP($Z504,Paraméterek!$P$38:$Q$38,2)/12,IF($D$4="Forint",0,2))</f>
        <v>0</v>
      </c>
      <c r="AF504" s="13">
        <f>IF($D$2="Egyszeri",IF($D$7&gt;=IF($D$4="Forint",Paraméterek!$P$223,Paraméterek!$P$224),$D$7-IF($D$4="Forint",Paraméterek!$F$223,Paraméterek!$F$224),0),MIN(IF($AA504=12,AVERAGE($D$20:$D504)*12,0),SUM($D$20:$D$31)))</f>
        <v>0</v>
      </c>
      <c r="AG504" s="13">
        <f>IF(AND($Z504&gt;=10,MOD($Z504,5)=0),$AF504*IF($AA504=12,VLOOKUP($Z504,Paraméterek!$B$225:$F$240,IF($AF504&lt;IF($D$4="Forint",Paraméterek!$C$223,Paraméterek!$C$224),2,IF($AF504&lt;IF($D$4="Forint",Paraméterek!$D$223,Paraméterek!$D$224),3,4))),0),0)</f>
        <v>0</v>
      </c>
      <c r="AH504" s="13">
        <f>IF(AND($Z504&gt;=5,MOD($Z504,5)=0),IF($AA504=12,VLOOKUP($Z504,Paraméterek!$B$225:$F$240,5),0),IF(OR($Z504=3,$Z504=4),IF($AA504=12,VLOOKUP($Z504,Paraméterek!$B$225:$F$240,5,0),0),0))*$AF504</f>
        <v>0</v>
      </c>
      <c r="AI504" s="13">
        <f>ROUNDDOWN(IF(SUM($T$20:$U504)=0,IF($D$2="Egyszeri",$AH504,$AG504),0),IF($D$4="Forint",0,2))</f>
        <v>0</v>
      </c>
      <c r="AJ504" s="13">
        <f t="shared" si="117"/>
        <v>0</v>
      </c>
      <c r="AK504" s="13">
        <f t="shared" si="118"/>
        <v>0</v>
      </c>
      <c r="AM504" s="32">
        <v>485</v>
      </c>
      <c r="AN504" s="32">
        <v>41</v>
      </c>
      <c r="AO504" s="32">
        <v>5</v>
      </c>
      <c r="AP504" s="13"/>
      <c r="AQ504" s="32"/>
      <c r="AR504" s="13">
        <f t="shared" si="119"/>
        <v>0</v>
      </c>
      <c r="AS504" s="33"/>
      <c r="AT504" s="13">
        <f t="shared" si="113"/>
        <v>0</v>
      </c>
      <c r="AU504" s="13">
        <f>ROUNDUP(($AR504+$AT504)*VLOOKUP($AN504,Paraméterek!$P$38:$Q$38,2)/12,IF($D$4="Forint",0,2))</f>
        <v>0</v>
      </c>
      <c r="AV504" s="13"/>
      <c r="AW504" s="13"/>
      <c r="AX504" s="13">
        <f>ROUNDUP(IF(SUM($AV504:$AW504)=0,0,IF(IF(ISBLANK($AW504),$AV504,$AW504)*Paraméterek!$J$112&lt;IF($D$4="Forint",Paraméterek!$J$113,Paraméterek!$K$113),IF($D$4="Forint",Paraméterek!$J$113,Paraméterek!$K$113),IF(IF(ISBLANK($AW504),$AV504,$AW504)*Paraméterek!$J$112&gt;IF($D$4="Forint",Paraméterek!$J$114,Paraméterek!$K$114),IF($D$4="Forint",Paraméterek!$J$114,Paraméterek!$K$114),IF(ISBLANK($AW504),$AV504,$AW504)*Paraméterek!$J$112))),IF($D$4="Forint",0,2))</f>
        <v>0</v>
      </c>
      <c r="AY504" s="13">
        <f>$AR504+$AT504-$AU504-IF(ROUNDDOWN(IF(ISBLANK($AW504),$AV504,$AW504),IF($D$4="Forint",0,2))&gt;$AR504+$AT504-$AU504-IF($D$4="Forint",Paraméterek!$J$114,Paraméterek!$K$114),0,ROUNDDOWN(IF(ISBLANK($AW504),$AV504,$AW504),IF($D$4="Forint",0,2))-$AX504)</f>
        <v>0</v>
      </c>
      <c r="AZ504" s="13">
        <f t="shared" si="114"/>
        <v>0</v>
      </c>
    </row>
    <row r="505" spans="1:52" x14ac:dyDescent="0.2">
      <c r="A505" s="32">
        <v>486</v>
      </c>
      <c r="B505" s="32">
        <v>41</v>
      </c>
      <c r="C505" s="32">
        <v>6</v>
      </c>
      <c r="D505" s="13">
        <f t="shared" si="105"/>
        <v>0</v>
      </c>
      <c r="E505" s="13"/>
      <c r="F505" s="13"/>
      <c r="G505" s="13"/>
      <c r="H505" s="13">
        <f t="shared" si="106"/>
        <v>0</v>
      </c>
      <c r="I505" s="13">
        <f t="shared" si="107"/>
        <v>0</v>
      </c>
      <c r="J505" s="13">
        <f t="shared" si="108"/>
        <v>0</v>
      </c>
      <c r="K505" s="13">
        <f>ROUNDUP(IF($D$2="Egyszeri",$D505,IF($D$2="Havi",SUM($D$20:$D$31),IF(MOD($C505,$M$1)-1=0,SUM($D$20:$D$31),0))/12*$M$1)*VLOOKUP($B505,Paraméterek!$B$27:$D$30,IF($D$2="Egyszeri",3,2)),IF($D$4="Forint",0,2))</f>
        <v>0</v>
      </c>
      <c r="L505" s="13">
        <f t="shared" si="109"/>
        <v>0</v>
      </c>
      <c r="M505" s="13">
        <f t="shared" ca="1" si="115"/>
        <v>-338390</v>
      </c>
      <c r="N505" s="13">
        <f ca="1">IF($V504&gt;=VLOOKUP($M$4-1+$B505,Paraméterek!$B$121:$D$122,IF($D$4="Forint",2,3)),0,VLOOKUP($M$4-1+$B505,Paraméterek!$B$121:$D$122,IF($D$4="Forint",2,3))-$V504)</f>
        <v>348390</v>
      </c>
      <c r="O505" s="13">
        <f ca="1">ROUNDUP($N505*Paraméterek!$C$58/Paraméterek!$C$56,IF($D$4="Forint",0,2))</f>
        <v>56</v>
      </c>
      <c r="P505" s="13">
        <f t="shared" si="110"/>
        <v>1795</v>
      </c>
      <c r="Q505" s="33"/>
      <c r="R505" s="13">
        <f t="shared" ca="1" si="111"/>
        <v>0</v>
      </c>
      <c r="S505" s="13">
        <f ca="1">ROUNDUP(($M505-$O505-$P505+$R505)*VLOOKUP($B505,Paraméterek!$B$38:$D$39,IF($D$2="Egyszeri",3,2))/12,IF($D$4="Forint",0,2))</f>
        <v>-831</v>
      </c>
      <c r="T505" s="13"/>
      <c r="U505" s="13"/>
      <c r="V505" s="13">
        <f ca="1">$M505-$O505-$P505+$R505-$S505-IF(ROUNDUP(IF(ISBLANK($U505),$T505,$U505)/IF(AND($B505=1,$D$2&lt;&gt;"Egyszeri"),1,VLOOKUP($B505+IF($C505=12,1,0),Paraméterek!$B$257:$D$267,IF($D$2="Egyszeri",3,2))),IF($D$4="Forint",0,2))&gt;$M505-$O505-$P505+$R505-$S505-IF($D$4="Forint",Paraméterek!$C$216,Paraméterek!$D$216),0,ROUNDUP(IF(ISBLANK($U505),$T505,$U505)/IF(AND($B505=1,$D$2&lt;&gt;"Egyszeri"),1,VLOOKUP($B505+IF($C505=12,1,0),Paraméterek!$B$257:$D$267,IF($D$2="Egyszeri",3,2))),IF($D$4="Forint",0,2)))</f>
        <v>-339410</v>
      </c>
      <c r="W505" s="13">
        <f ca="1">ROUNDDOWN($V505*VLOOKUP($B505+IF($C505=12,1,0),Paraméterek!$B$257:$D$267,IF($D$2="Egyszeri",3,2)),IF($D$4="Forint",0,2))</f>
        <v>-339410</v>
      </c>
      <c r="Y505" s="32">
        <v>486</v>
      </c>
      <c r="Z505" s="32">
        <v>41</v>
      </c>
      <c r="AA505" s="32">
        <v>6</v>
      </c>
      <c r="AB505" s="13">
        <f t="shared" si="116"/>
        <v>0</v>
      </c>
      <c r="AC505" s="33"/>
      <c r="AD505" s="13">
        <f t="shared" si="112"/>
        <v>0</v>
      </c>
      <c r="AE505" s="13">
        <f>ROUNDUP(($AB505+$AD505)*VLOOKUP($Z505,Paraméterek!$P$38:$Q$38,2)/12,IF($D$4="Forint",0,2))</f>
        <v>0</v>
      </c>
      <c r="AF505" s="13">
        <f>IF($D$2="Egyszeri",IF($D$7&gt;=IF($D$4="Forint",Paraméterek!$P$223,Paraméterek!$P$224),$D$7-IF($D$4="Forint",Paraméterek!$F$223,Paraméterek!$F$224),0),MIN(IF($AA505=12,AVERAGE($D$20:$D505)*12,0),SUM($D$20:$D$31)))</f>
        <v>0</v>
      </c>
      <c r="AG505" s="13">
        <f>IF(AND($Z505&gt;=10,MOD($Z505,5)=0),$AF505*IF($AA505=12,VLOOKUP($Z505,Paraméterek!$B$225:$F$240,IF($AF505&lt;IF($D$4="Forint",Paraméterek!$C$223,Paraméterek!$C$224),2,IF($AF505&lt;IF($D$4="Forint",Paraméterek!$D$223,Paraméterek!$D$224),3,4))),0),0)</f>
        <v>0</v>
      </c>
      <c r="AH505" s="13">
        <f>IF(AND($Z505&gt;=5,MOD($Z505,5)=0),IF($AA505=12,VLOOKUP($Z505,Paraméterek!$B$225:$F$240,5),0),IF(OR($Z505=3,$Z505=4),IF($AA505=12,VLOOKUP($Z505,Paraméterek!$B$225:$F$240,5,0),0),0))*$AF505</f>
        <v>0</v>
      </c>
      <c r="AI505" s="13">
        <f>ROUNDDOWN(IF(SUM($T$20:$U505)=0,IF($D$2="Egyszeri",$AH505,$AG505),0),IF($D$4="Forint",0,2))</f>
        <v>0</v>
      </c>
      <c r="AJ505" s="13">
        <f t="shared" si="117"/>
        <v>0</v>
      </c>
      <c r="AK505" s="13">
        <f t="shared" si="118"/>
        <v>0</v>
      </c>
      <c r="AM505" s="32">
        <v>486</v>
      </c>
      <c r="AN505" s="32">
        <v>41</v>
      </c>
      <c r="AO505" s="32">
        <v>6</v>
      </c>
      <c r="AP505" s="13"/>
      <c r="AQ505" s="32"/>
      <c r="AR505" s="13">
        <f t="shared" si="119"/>
        <v>0</v>
      </c>
      <c r="AS505" s="33"/>
      <c r="AT505" s="13">
        <f t="shared" si="113"/>
        <v>0</v>
      </c>
      <c r="AU505" s="13">
        <f>ROUNDUP(($AR505+$AT505)*VLOOKUP($AN505,Paraméterek!$P$38:$Q$38,2)/12,IF($D$4="Forint",0,2))</f>
        <v>0</v>
      </c>
      <c r="AV505" s="13"/>
      <c r="AW505" s="13"/>
      <c r="AX505" s="13">
        <f>ROUNDUP(IF(SUM($AV505:$AW505)=0,0,IF(IF(ISBLANK($AW505),$AV505,$AW505)*Paraméterek!$J$112&lt;IF($D$4="Forint",Paraméterek!$J$113,Paraméterek!$K$113),IF($D$4="Forint",Paraméterek!$J$113,Paraméterek!$K$113),IF(IF(ISBLANK($AW505),$AV505,$AW505)*Paraméterek!$J$112&gt;IF($D$4="Forint",Paraméterek!$J$114,Paraméterek!$K$114),IF($D$4="Forint",Paraméterek!$J$114,Paraméterek!$K$114),IF(ISBLANK($AW505),$AV505,$AW505)*Paraméterek!$J$112))),IF($D$4="Forint",0,2))</f>
        <v>0</v>
      </c>
      <c r="AY505" s="13">
        <f>$AR505+$AT505-$AU505-IF(ROUNDDOWN(IF(ISBLANK($AW505),$AV505,$AW505),IF($D$4="Forint",0,2))&gt;$AR505+$AT505-$AU505-IF($D$4="Forint",Paraméterek!$J$114,Paraméterek!$K$114),0,ROUNDDOWN(IF(ISBLANK($AW505),$AV505,$AW505),IF($D$4="Forint",0,2))-$AX505)</f>
        <v>0</v>
      </c>
      <c r="AZ505" s="13">
        <f t="shared" si="114"/>
        <v>0</v>
      </c>
    </row>
    <row r="506" spans="1:52" x14ac:dyDescent="0.2">
      <c r="A506" s="32">
        <v>487</v>
      </c>
      <c r="B506" s="32">
        <v>41</v>
      </c>
      <c r="C506" s="32">
        <v>7</v>
      </c>
      <c r="D506" s="13">
        <f t="shared" si="105"/>
        <v>0</v>
      </c>
      <c r="E506" s="13"/>
      <c r="F506" s="13"/>
      <c r="G506" s="13"/>
      <c r="H506" s="13">
        <f t="shared" si="106"/>
        <v>0</v>
      </c>
      <c r="I506" s="13">
        <f t="shared" si="107"/>
        <v>0</v>
      </c>
      <c r="J506" s="13">
        <f t="shared" si="108"/>
        <v>0</v>
      </c>
      <c r="K506" s="13">
        <f>ROUNDUP(IF($D$2="Egyszeri",$D506,IF($D$2="Havi",SUM($D$20:$D$31),IF(MOD($C506,$M$1)-1=0,SUM($D$20:$D$31),0))/12*$M$1)*VLOOKUP($B506,Paraméterek!$B$27:$D$30,IF($D$2="Egyszeri",3,2)),IF($D$4="Forint",0,2))</f>
        <v>0</v>
      </c>
      <c r="L506" s="13">
        <f t="shared" si="109"/>
        <v>0</v>
      </c>
      <c r="M506" s="13">
        <f t="shared" ca="1" si="115"/>
        <v>-339410</v>
      </c>
      <c r="N506" s="13">
        <f ca="1">IF($V505&gt;=VLOOKUP($M$4-1+$B506,Paraméterek!$B$121:$D$122,IF($D$4="Forint",2,3)),0,VLOOKUP($M$4-1+$B506,Paraméterek!$B$121:$D$122,IF($D$4="Forint",2,3))-$V505)</f>
        <v>349410</v>
      </c>
      <c r="O506" s="13">
        <f ca="1">ROUNDUP($N506*Paraméterek!$C$58/Paraméterek!$C$56,IF($D$4="Forint",0,2))</f>
        <v>56</v>
      </c>
      <c r="P506" s="13">
        <f t="shared" si="110"/>
        <v>1795</v>
      </c>
      <c r="Q506" s="33"/>
      <c r="R506" s="13">
        <f t="shared" ca="1" si="111"/>
        <v>0</v>
      </c>
      <c r="S506" s="13">
        <f ca="1">ROUNDUP(($M506-$O506-$P506+$R506)*VLOOKUP($B506,Paraméterek!$B$38:$D$39,IF($D$2="Egyszeri",3,2))/12,IF($D$4="Forint",0,2))</f>
        <v>-834</v>
      </c>
      <c r="T506" s="13"/>
      <c r="U506" s="13"/>
      <c r="V506" s="13">
        <f ca="1">$M506-$O506-$P506+$R506-$S506-IF(ROUNDUP(IF(ISBLANK($U506),$T506,$U506)/IF(AND($B506=1,$D$2&lt;&gt;"Egyszeri"),1,VLOOKUP($B506+IF($C506=12,1,0),Paraméterek!$B$257:$D$267,IF($D$2="Egyszeri",3,2))),IF($D$4="Forint",0,2))&gt;$M506-$O506-$P506+$R506-$S506-IF($D$4="Forint",Paraméterek!$C$216,Paraméterek!$D$216),0,ROUNDUP(IF(ISBLANK($U506),$T506,$U506)/IF(AND($B506=1,$D$2&lt;&gt;"Egyszeri"),1,VLOOKUP($B506+IF($C506=12,1,0),Paraméterek!$B$257:$D$267,IF($D$2="Egyszeri",3,2))),IF($D$4="Forint",0,2)))</f>
        <v>-340427</v>
      </c>
      <c r="W506" s="13">
        <f ca="1">ROUNDDOWN($V506*VLOOKUP($B506+IF($C506=12,1,0),Paraméterek!$B$257:$D$267,IF($D$2="Egyszeri",3,2)),IF($D$4="Forint",0,2))</f>
        <v>-340427</v>
      </c>
      <c r="Y506" s="32">
        <v>487</v>
      </c>
      <c r="Z506" s="32">
        <v>41</v>
      </c>
      <c r="AA506" s="32">
        <v>7</v>
      </c>
      <c r="AB506" s="13">
        <f t="shared" si="116"/>
        <v>0</v>
      </c>
      <c r="AC506" s="33"/>
      <c r="AD506" s="13">
        <f t="shared" si="112"/>
        <v>0</v>
      </c>
      <c r="AE506" s="13">
        <f>ROUNDUP(($AB506+$AD506)*VLOOKUP($Z506,Paraméterek!$P$38:$Q$38,2)/12,IF($D$4="Forint",0,2))</f>
        <v>0</v>
      </c>
      <c r="AF506" s="13">
        <f>IF($D$2="Egyszeri",IF($D$7&gt;=IF($D$4="Forint",Paraméterek!$P$223,Paraméterek!$P$224),$D$7-IF($D$4="Forint",Paraméterek!$F$223,Paraméterek!$F$224),0),MIN(IF($AA506=12,AVERAGE($D$20:$D506)*12,0),SUM($D$20:$D$31)))</f>
        <v>0</v>
      </c>
      <c r="AG506" s="13">
        <f>IF(AND($Z506&gt;=10,MOD($Z506,5)=0),$AF506*IF($AA506=12,VLOOKUP($Z506,Paraméterek!$B$225:$F$240,IF($AF506&lt;IF($D$4="Forint",Paraméterek!$C$223,Paraméterek!$C$224),2,IF($AF506&lt;IF($D$4="Forint",Paraméterek!$D$223,Paraméterek!$D$224),3,4))),0),0)</f>
        <v>0</v>
      </c>
      <c r="AH506" s="13">
        <f>IF(AND($Z506&gt;=5,MOD($Z506,5)=0),IF($AA506=12,VLOOKUP($Z506,Paraméterek!$B$225:$F$240,5),0),IF(OR($Z506=3,$Z506=4),IF($AA506=12,VLOOKUP($Z506,Paraméterek!$B$225:$F$240,5,0),0),0))*$AF506</f>
        <v>0</v>
      </c>
      <c r="AI506" s="13">
        <f>ROUNDDOWN(IF(SUM($T$20:$U506)=0,IF($D$2="Egyszeri",$AH506,$AG506),0),IF($D$4="Forint",0,2))</f>
        <v>0</v>
      </c>
      <c r="AJ506" s="13">
        <f t="shared" si="117"/>
        <v>0</v>
      </c>
      <c r="AK506" s="13">
        <f t="shared" si="118"/>
        <v>0</v>
      </c>
      <c r="AM506" s="32">
        <v>487</v>
      </c>
      <c r="AN506" s="32">
        <v>41</v>
      </c>
      <c r="AO506" s="32">
        <v>7</v>
      </c>
      <c r="AP506" s="13"/>
      <c r="AQ506" s="32"/>
      <c r="AR506" s="13">
        <f t="shared" si="119"/>
        <v>0</v>
      </c>
      <c r="AS506" s="33"/>
      <c r="AT506" s="13">
        <f t="shared" si="113"/>
        <v>0</v>
      </c>
      <c r="AU506" s="13">
        <f>ROUNDUP(($AR506+$AT506)*VLOOKUP($AN506,Paraméterek!$P$38:$Q$38,2)/12,IF($D$4="Forint",0,2))</f>
        <v>0</v>
      </c>
      <c r="AV506" s="13"/>
      <c r="AW506" s="13"/>
      <c r="AX506" s="13">
        <f>ROUNDUP(IF(SUM($AV506:$AW506)=0,0,IF(IF(ISBLANK($AW506),$AV506,$AW506)*Paraméterek!$J$112&lt;IF($D$4="Forint",Paraméterek!$J$113,Paraméterek!$K$113),IF($D$4="Forint",Paraméterek!$J$113,Paraméterek!$K$113),IF(IF(ISBLANK($AW506),$AV506,$AW506)*Paraméterek!$J$112&gt;IF($D$4="Forint",Paraméterek!$J$114,Paraméterek!$K$114),IF($D$4="Forint",Paraméterek!$J$114,Paraméterek!$K$114),IF(ISBLANK($AW506),$AV506,$AW506)*Paraméterek!$J$112))),IF($D$4="Forint",0,2))</f>
        <v>0</v>
      </c>
      <c r="AY506" s="13">
        <f>$AR506+$AT506-$AU506-IF(ROUNDDOWN(IF(ISBLANK($AW506),$AV506,$AW506),IF($D$4="Forint",0,2))&gt;$AR506+$AT506-$AU506-IF($D$4="Forint",Paraméterek!$J$114,Paraméterek!$K$114),0,ROUNDDOWN(IF(ISBLANK($AW506),$AV506,$AW506),IF($D$4="Forint",0,2))-$AX506)</f>
        <v>0</v>
      </c>
      <c r="AZ506" s="13">
        <f t="shared" si="114"/>
        <v>0</v>
      </c>
    </row>
    <row r="507" spans="1:52" x14ac:dyDescent="0.2">
      <c r="A507" s="32">
        <v>488</v>
      </c>
      <c r="B507" s="32">
        <v>41</v>
      </c>
      <c r="C507" s="32">
        <v>8</v>
      </c>
      <c r="D507" s="13">
        <f t="shared" si="105"/>
        <v>0</v>
      </c>
      <c r="E507" s="13"/>
      <c r="F507" s="13"/>
      <c r="G507" s="13"/>
      <c r="H507" s="13">
        <f t="shared" si="106"/>
        <v>0</v>
      </c>
      <c r="I507" s="13">
        <f t="shared" si="107"/>
        <v>0</v>
      </c>
      <c r="J507" s="13">
        <f t="shared" si="108"/>
        <v>0</v>
      </c>
      <c r="K507" s="13">
        <f>ROUNDUP(IF($D$2="Egyszeri",$D507,IF($D$2="Havi",SUM($D$20:$D$31),IF(MOD($C507,$M$1)-1=0,SUM($D$20:$D$31),0))/12*$M$1)*VLOOKUP($B507,Paraméterek!$B$27:$D$30,IF($D$2="Egyszeri",3,2)),IF($D$4="Forint",0,2))</f>
        <v>0</v>
      </c>
      <c r="L507" s="13">
        <f t="shared" si="109"/>
        <v>0</v>
      </c>
      <c r="M507" s="13">
        <f t="shared" ca="1" si="115"/>
        <v>-340427</v>
      </c>
      <c r="N507" s="13">
        <f ca="1">IF($V506&gt;=VLOOKUP($M$4-1+$B507,Paraméterek!$B$121:$D$122,IF($D$4="Forint",2,3)),0,VLOOKUP($M$4-1+$B507,Paraméterek!$B$121:$D$122,IF($D$4="Forint",2,3))-$V506)</f>
        <v>350427</v>
      </c>
      <c r="O507" s="13">
        <f ca="1">ROUNDUP($N507*Paraméterek!$C$58/Paraméterek!$C$56,IF($D$4="Forint",0,2))</f>
        <v>56</v>
      </c>
      <c r="P507" s="13">
        <f t="shared" si="110"/>
        <v>1795</v>
      </c>
      <c r="Q507" s="33"/>
      <c r="R507" s="13">
        <f t="shared" ca="1" si="111"/>
        <v>0</v>
      </c>
      <c r="S507" s="13">
        <f ca="1">ROUNDUP(($M507-$O507-$P507+$R507)*VLOOKUP($B507,Paraméterek!$B$38:$D$39,IF($D$2="Egyszeri",3,2))/12,IF($D$4="Forint",0,2))</f>
        <v>-836</v>
      </c>
      <c r="T507" s="13"/>
      <c r="U507" s="13"/>
      <c r="V507" s="13">
        <f ca="1">$M507-$O507-$P507+$R507-$S507-IF(ROUNDUP(IF(ISBLANK($U507),$T507,$U507)/IF(AND($B507=1,$D$2&lt;&gt;"Egyszeri"),1,VLOOKUP($B507+IF($C507=12,1,0),Paraméterek!$B$257:$D$267,IF($D$2="Egyszeri",3,2))),IF($D$4="Forint",0,2))&gt;$M507-$O507-$P507+$R507-$S507-IF($D$4="Forint",Paraméterek!$C$216,Paraméterek!$D$216),0,ROUNDUP(IF(ISBLANK($U507),$T507,$U507)/IF(AND($B507=1,$D$2&lt;&gt;"Egyszeri"),1,VLOOKUP($B507+IF($C507=12,1,0),Paraméterek!$B$257:$D$267,IF($D$2="Egyszeri",3,2))),IF($D$4="Forint",0,2)))</f>
        <v>-341442</v>
      </c>
      <c r="W507" s="13">
        <f ca="1">ROUNDDOWN($V507*VLOOKUP($B507+IF($C507=12,1,0),Paraméterek!$B$257:$D$267,IF($D$2="Egyszeri",3,2)),IF($D$4="Forint",0,2))</f>
        <v>-341442</v>
      </c>
      <c r="Y507" s="32">
        <v>488</v>
      </c>
      <c r="Z507" s="32">
        <v>41</v>
      </c>
      <c r="AA507" s="32">
        <v>8</v>
      </c>
      <c r="AB507" s="13">
        <f t="shared" si="116"/>
        <v>0</v>
      </c>
      <c r="AC507" s="33"/>
      <c r="AD507" s="13">
        <f t="shared" si="112"/>
        <v>0</v>
      </c>
      <c r="AE507" s="13">
        <f>ROUNDUP(($AB507+$AD507)*VLOOKUP($Z507,Paraméterek!$P$38:$Q$38,2)/12,IF($D$4="Forint",0,2))</f>
        <v>0</v>
      </c>
      <c r="AF507" s="13">
        <f>IF($D$2="Egyszeri",IF($D$7&gt;=IF($D$4="Forint",Paraméterek!$P$223,Paraméterek!$P$224),$D$7-IF($D$4="Forint",Paraméterek!$F$223,Paraméterek!$F$224),0),MIN(IF($AA507=12,AVERAGE($D$20:$D507)*12,0),SUM($D$20:$D$31)))</f>
        <v>0</v>
      </c>
      <c r="AG507" s="13">
        <f>IF(AND($Z507&gt;=10,MOD($Z507,5)=0),$AF507*IF($AA507=12,VLOOKUP($Z507,Paraméterek!$B$225:$F$240,IF($AF507&lt;IF($D$4="Forint",Paraméterek!$C$223,Paraméterek!$C$224),2,IF($AF507&lt;IF($D$4="Forint",Paraméterek!$D$223,Paraméterek!$D$224),3,4))),0),0)</f>
        <v>0</v>
      </c>
      <c r="AH507" s="13">
        <f>IF(AND($Z507&gt;=5,MOD($Z507,5)=0),IF($AA507=12,VLOOKUP($Z507,Paraméterek!$B$225:$F$240,5),0),IF(OR($Z507=3,$Z507=4),IF($AA507=12,VLOOKUP($Z507,Paraméterek!$B$225:$F$240,5,0),0),0))*$AF507</f>
        <v>0</v>
      </c>
      <c r="AI507" s="13">
        <f>ROUNDDOWN(IF(SUM($T$20:$U507)=0,IF($D$2="Egyszeri",$AH507,$AG507),0),IF($D$4="Forint",0,2))</f>
        <v>0</v>
      </c>
      <c r="AJ507" s="13">
        <f t="shared" si="117"/>
        <v>0</v>
      </c>
      <c r="AK507" s="13">
        <f t="shared" si="118"/>
        <v>0</v>
      </c>
      <c r="AM507" s="32">
        <v>488</v>
      </c>
      <c r="AN507" s="32">
        <v>41</v>
      </c>
      <c r="AO507" s="32">
        <v>8</v>
      </c>
      <c r="AP507" s="13"/>
      <c r="AQ507" s="32"/>
      <c r="AR507" s="13">
        <f t="shared" si="119"/>
        <v>0</v>
      </c>
      <c r="AS507" s="33"/>
      <c r="AT507" s="13">
        <f t="shared" si="113"/>
        <v>0</v>
      </c>
      <c r="AU507" s="13">
        <f>ROUNDUP(($AR507+$AT507)*VLOOKUP($AN507,Paraméterek!$P$38:$Q$38,2)/12,IF($D$4="Forint",0,2))</f>
        <v>0</v>
      </c>
      <c r="AV507" s="13"/>
      <c r="AW507" s="13"/>
      <c r="AX507" s="13">
        <f>ROUNDUP(IF(SUM($AV507:$AW507)=0,0,IF(IF(ISBLANK($AW507),$AV507,$AW507)*Paraméterek!$J$112&lt;IF($D$4="Forint",Paraméterek!$J$113,Paraméterek!$K$113),IF($D$4="Forint",Paraméterek!$J$113,Paraméterek!$K$113),IF(IF(ISBLANK($AW507),$AV507,$AW507)*Paraméterek!$J$112&gt;IF($D$4="Forint",Paraméterek!$J$114,Paraméterek!$K$114),IF($D$4="Forint",Paraméterek!$J$114,Paraméterek!$K$114),IF(ISBLANK($AW507),$AV507,$AW507)*Paraméterek!$J$112))),IF($D$4="Forint",0,2))</f>
        <v>0</v>
      </c>
      <c r="AY507" s="13">
        <f>$AR507+$AT507-$AU507-IF(ROUNDDOWN(IF(ISBLANK($AW507),$AV507,$AW507),IF($D$4="Forint",0,2))&gt;$AR507+$AT507-$AU507-IF($D$4="Forint",Paraméterek!$J$114,Paraméterek!$K$114),0,ROUNDDOWN(IF(ISBLANK($AW507),$AV507,$AW507),IF($D$4="Forint",0,2))-$AX507)</f>
        <v>0</v>
      </c>
      <c r="AZ507" s="13">
        <f t="shared" si="114"/>
        <v>0</v>
      </c>
    </row>
    <row r="508" spans="1:52" x14ac:dyDescent="0.2">
      <c r="A508" s="32">
        <v>489</v>
      </c>
      <c r="B508" s="32">
        <v>41</v>
      </c>
      <c r="C508" s="32">
        <v>9</v>
      </c>
      <c r="D508" s="13">
        <f t="shared" si="105"/>
        <v>0</v>
      </c>
      <c r="E508" s="13"/>
      <c r="F508" s="13"/>
      <c r="G508" s="13"/>
      <c r="H508" s="13">
        <f t="shared" si="106"/>
        <v>0</v>
      </c>
      <c r="I508" s="13">
        <f t="shared" si="107"/>
        <v>0</v>
      </c>
      <c r="J508" s="13">
        <f t="shared" si="108"/>
        <v>0</v>
      </c>
      <c r="K508" s="13">
        <f>ROUNDUP(IF($D$2="Egyszeri",$D508,IF($D$2="Havi",SUM($D$20:$D$31),IF(MOD($C508,$M$1)-1=0,SUM($D$20:$D$31),0))/12*$M$1)*VLOOKUP($B508,Paraméterek!$B$27:$D$30,IF($D$2="Egyszeri",3,2)),IF($D$4="Forint",0,2))</f>
        <v>0</v>
      </c>
      <c r="L508" s="13">
        <f t="shared" si="109"/>
        <v>0</v>
      </c>
      <c r="M508" s="13">
        <f t="shared" ca="1" si="115"/>
        <v>-341442</v>
      </c>
      <c r="N508" s="13">
        <f ca="1">IF($V507&gt;=VLOOKUP($M$4-1+$B508,Paraméterek!$B$121:$D$122,IF($D$4="Forint",2,3)),0,VLOOKUP($M$4-1+$B508,Paraméterek!$B$121:$D$122,IF($D$4="Forint",2,3))-$V507)</f>
        <v>351442</v>
      </c>
      <c r="O508" s="13">
        <f ca="1">ROUNDUP($N508*Paraméterek!$C$58/Paraméterek!$C$56,IF($D$4="Forint",0,2))</f>
        <v>56</v>
      </c>
      <c r="P508" s="13">
        <f t="shared" si="110"/>
        <v>1795</v>
      </c>
      <c r="Q508" s="33"/>
      <c r="R508" s="13">
        <f t="shared" ca="1" si="111"/>
        <v>0</v>
      </c>
      <c r="S508" s="13">
        <f ca="1">ROUNDUP(($M508-$O508-$P508+$R508)*VLOOKUP($B508,Paraméterek!$B$38:$D$39,IF($D$2="Egyszeri",3,2))/12,IF($D$4="Forint",0,2))</f>
        <v>-839</v>
      </c>
      <c r="T508" s="13"/>
      <c r="U508" s="13"/>
      <c r="V508" s="13">
        <f ca="1">$M508-$O508-$P508+$R508-$S508-IF(ROUNDUP(IF(ISBLANK($U508),$T508,$U508)/IF(AND($B508=1,$D$2&lt;&gt;"Egyszeri"),1,VLOOKUP($B508+IF($C508=12,1,0),Paraméterek!$B$257:$D$267,IF($D$2="Egyszeri",3,2))),IF($D$4="Forint",0,2))&gt;$M508-$O508-$P508+$R508-$S508-IF($D$4="Forint",Paraméterek!$C$216,Paraméterek!$D$216),0,ROUNDUP(IF(ISBLANK($U508),$T508,$U508)/IF(AND($B508=1,$D$2&lt;&gt;"Egyszeri"),1,VLOOKUP($B508+IF($C508=12,1,0),Paraméterek!$B$257:$D$267,IF($D$2="Egyszeri",3,2))),IF($D$4="Forint",0,2)))</f>
        <v>-342454</v>
      </c>
      <c r="W508" s="13">
        <f ca="1">ROUNDDOWN($V508*VLOOKUP($B508+IF($C508=12,1,0),Paraméterek!$B$257:$D$267,IF($D$2="Egyszeri",3,2)),IF($D$4="Forint",0,2))</f>
        <v>-342454</v>
      </c>
      <c r="Y508" s="32">
        <v>489</v>
      </c>
      <c r="Z508" s="32">
        <v>41</v>
      </c>
      <c r="AA508" s="32">
        <v>9</v>
      </c>
      <c r="AB508" s="13">
        <f t="shared" si="116"/>
        <v>0</v>
      </c>
      <c r="AC508" s="33"/>
      <c r="AD508" s="13">
        <f t="shared" si="112"/>
        <v>0</v>
      </c>
      <c r="AE508" s="13">
        <f>ROUNDUP(($AB508+$AD508)*VLOOKUP($Z508,Paraméterek!$P$38:$Q$38,2)/12,IF($D$4="Forint",0,2))</f>
        <v>0</v>
      </c>
      <c r="AF508" s="13">
        <f>IF($D$2="Egyszeri",IF($D$7&gt;=IF($D$4="Forint",Paraméterek!$P$223,Paraméterek!$P$224),$D$7-IF($D$4="Forint",Paraméterek!$F$223,Paraméterek!$F$224),0),MIN(IF($AA508=12,AVERAGE($D$20:$D508)*12,0),SUM($D$20:$D$31)))</f>
        <v>0</v>
      </c>
      <c r="AG508" s="13">
        <f>IF(AND($Z508&gt;=10,MOD($Z508,5)=0),$AF508*IF($AA508=12,VLOOKUP($Z508,Paraméterek!$B$225:$F$240,IF($AF508&lt;IF($D$4="Forint",Paraméterek!$C$223,Paraméterek!$C$224),2,IF($AF508&lt;IF($D$4="Forint",Paraméterek!$D$223,Paraméterek!$D$224),3,4))),0),0)</f>
        <v>0</v>
      </c>
      <c r="AH508" s="13">
        <f>IF(AND($Z508&gt;=5,MOD($Z508,5)=0),IF($AA508=12,VLOOKUP($Z508,Paraméterek!$B$225:$F$240,5),0),IF(OR($Z508=3,$Z508=4),IF($AA508=12,VLOOKUP($Z508,Paraméterek!$B$225:$F$240,5,0),0),0))*$AF508</f>
        <v>0</v>
      </c>
      <c r="AI508" s="13">
        <f>ROUNDDOWN(IF(SUM($T$20:$U508)=0,IF($D$2="Egyszeri",$AH508,$AG508),0),IF($D$4="Forint",0,2))</f>
        <v>0</v>
      </c>
      <c r="AJ508" s="13">
        <f t="shared" si="117"/>
        <v>0</v>
      </c>
      <c r="AK508" s="13">
        <f t="shared" si="118"/>
        <v>0</v>
      </c>
      <c r="AM508" s="32">
        <v>489</v>
      </c>
      <c r="AN508" s="32">
        <v>41</v>
      </c>
      <c r="AO508" s="32">
        <v>9</v>
      </c>
      <c r="AP508" s="13"/>
      <c r="AQ508" s="32"/>
      <c r="AR508" s="13">
        <f t="shared" si="119"/>
        <v>0</v>
      </c>
      <c r="AS508" s="33"/>
      <c r="AT508" s="13">
        <f t="shared" si="113"/>
        <v>0</v>
      </c>
      <c r="AU508" s="13">
        <f>ROUNDUP(($AR508+$AT508)*VLOOKUP($AN508,Paraméterek!$P$38:$Q$38,2)/12,IF($D$4="Forint",0,2))</f>
        <v>0</v>
      </c>
      <c r="AV508" s="13"/>
      <c r="AW508" s="13"/>
      <c r="AX508" s="13">
        <f>ROUNDUP(IF(SUM($AV508:$AW508)=0,0,IF(IF(ISBLANK($AW508),$AV508,$AW508)*Paraméterek!$J$112&lt;IF($D$4="Forint",Paraméterek!$J$113,Paraméterek!$K$113),IF($D$4="Forint",Paraméterek!$J$113,Paraméterek!$K$113),IF(IF(ISBLANK($AW508),$AV508,$AW508)*Paraméterek!$J$112&gt;IF($D$4="Forint",Paraméterek!$J$114,Paraméterek!$K$114),IF($D$4="Forint",Paraméterek!$J$114,Paraméterek!$K$114),IF(ISBLANK($AW508),$AV508,$AW508)*Paraméterek!$J$112))),IF($D$4="Forint",0,2))</f>
        <v>0</v>
      </c>
      <c r="AY508" s="13">
        <f>$AR508+$AT508-$AU508-IF(ROUNDDOWN(IF(ISBLANK($AW508),$AV508,$AW508),IF($D$4="Forint",0,2))&gt;$AR508+$AT508-$AU508-IF($D$4="Forint",Paraméterek!$J$114,Paraméterek!$K$114),0,ROUNDDOWN(IF(ISBLANK($AW508),$AV508,$AW508),IF($D$4="Forint",0,2))-$AX508)</f>
        <v>0</v>
      </c>
      <c r="AZ508" s="13">
        <f t="shared" si="114"/>
        <v>0</v>
      </c>
    </row>
    <row r="509" spans="1:52" x14ac:dyDescent="0.2">
      <c r="A509" s="32">
        <v>490</v>
      </c>
      <c r="B509" s="32">
        <v>41</v>
      </c>
      <c r="C509" s="32">
        <v>10</v>
      </c>
      <c r="D509" s="13">
        <f t="shared" si="105"/>
        <v>0</v>
      </c>
      <c r="E509" s="13"/>
      <c r="F509" s="13"/>
      <c r="G509" s="13"/>
      <c r="H509" s="13">
        <f t="shared" si="106"/>
        <v>0</v>
      </c>
      <c r="I509" s="13">
        <f t="shared" si="107"/>
        <v>0</v>
      </c>
      <c r="J509" s="13">
        <f t="shared" si="108"/>
        <v>0</v>
      </c>
      <c r="K509" s="13">
        <f>ROUNDUP(IF($D$2="Egyszeri",$D509,IF($D$2="Havi",SUM($D$20:$D$31),IF(MOD($C509,$M$1)-1=0,SUM($D$20:$D$31),0))/12*$M$1)*VLOOKUP($B509,Paraméterek!$B$27:$D$30,IF($D$2="Egyszeri",3,2)),IF($D$4="Forint",0,2))</f>
        <v>0</v>
      </c>
      <c r="L509" s="13">
        <f t="shared" si="109"/>
        <v>0</v>
      </c>
      <c r="M509" s="13">
        <f t="shared" ca="1" si="115"/>
        <v>-342454</v>
      </c>
      <c r="N509" s="13">
        <f ca="1">IF($V508&gt;=VLOOKUP($M$4-1+$B509,Paraméterek!$B$121:$D$122,IF($D$4="Forint",2,3)),0,VLOOKUP($M$4-1+$B509,Paraméterek!$B$121:$D$122,IF($D$4="Forint",2,3))-$V508)</f>
        <v>352454</v>
      </c>
      <c r="O509" s="13">
        <f ca="1">ROUNDUP($N509*Paraméterek!$C$58/Paraméterek!$C$56,IF($D$4="Forint",0,2))</f>
        <v>57</v>
      </c>
      <c r="P509" s="13">
        <f t="shared" si="110"/>
        <v>1795</v>
      </c>
      <c r="Q509" s="33"/>
      <c r="R509" s="13">
        <f t="shared" ca="1" si="111"/>
        <v>0</v>
      </c>
      <c r="S509" s="13">
        <f ca="1">ROUNDUP(($M509-$O509-$P509+$R509)*VLOOKUP($B509,Paraméterek!$B$38:$D$39,IF($D$2="Egyszeri",3,2))/12,IF($D$4="Forint",0,2))</f>
        <v>-841</v>
      </c>
      <c r="T509" s="13"/>
      <c r="U509" s="13"/>
      <c r="V509" s="13">
        <f ca="1">$M509-$O509-$P509+$R509-$S509-IF(ROUNDUP(IF(ISBLANK($U509),$T509,$U509)/IF(AND($B509=1,$D$2&lt;&gt;"Egyszeri"),1,VLOOKUP($B509+IF($C509=12,1,0),Paraméterek!$B$257:$D$267,IF($D$2="Egyszeri",3,2))),IF($D$4="Forint",0,2))&gt;$M509-$O509-$P509+$R509-$S509-IF($D$4="Forint",Paraméterek!$C$216,Paraméterek!$D$216),0,ROUNDUP(IF(ISBLANK($U509),$T509,$U509)/IF(AND($B509=1,$D$2&lt;&gt;"Egyszeri"),1,VLOOKUP($B509+IF($C509=12,1,0),Paraméterek!$B$257:$D$267,IF($D$2="Egyszeri",3,2))),IF($D$4="Forint",0,2)))</f>
        <v>-343465</v>
      </c>
      <c r="W509" s="13">
        <f ca="1">ROUNDDOWN($V509*VLOOKUP($B509+IF($C509=12,1,0),Paraméterek!$B$257:$D$267,IF($D$2="Egyszeri",3,2)),IF($D$4="Forint",0,2))</f>
        <v>-343465</v>
      </c>
      <c r="Y509" s="32">
        <v>490</v>
      </c>
      <c r="Z509" s="32">
        <v>41</v>
      </c>
      <c r="AA509" s="32">
        <v>10</v>
      </c>
      <c r="AB509" s="13">
        <f t="shared" si="116"/>
        <v>0</v>
      </c>
      <c r="AC509" s="33"/>
      <c r="AD509" s="13">
        <f t="shared" si="112"/>
        <v>0</v>
      </c>
      <c r="AE509" s="13">
        <f>ROUNDUP(($AB509+$AD509)*VLOOKUP($Z509,Paraméterek!$P$38:$Q$38,2)/12,IF($D$4="Forint",0,2))</f>
        <v>0</v>
      </c>
      <c r="AF509" s="13">
        <f>IF($D$2="Egyszeri",IF($D$7&gt;=IF($D$4="Forint",Paraméterek!$P$223,Paraméterek!$P$224),$D$7-IF($D$4="Forint",Paraméterek!$F$223,Paraméterek!$F$224),0),MIN(IF($AA509=12,AVERAGE($D$20:$D509)*12,0),SUM($D$20:$D$31)))</f>
        <v>0</v>
      </c>
      <c r="AG509" s="13">
        <f>IF(AND($Z509&gt;=10,MOD($Z509,5)=0),$AF509*IF($AA509=12,VLOOKUP($Z509,Paraméterek!$B$225:$F$240,IF($AF509&lt;IF($D$4="Forint",Paraméterek!$C$223,Paraméterek!$C$224),2,IF($AF509&lt;IF($D$4="Forint",Paraméterek!$D$223,Paraméterek!$D$224),3,4))),0),0)</f>
        <v>0</v>
      </c>
      <c r="AH509" s="13">
        <f>IF(AND($Z509&gt;=5,MOD($Z509,5)=0),IF($AA509=12,VLOOKUP($Z509,Paraméterek!$B$225:$F$240,5),0),IF(OR($Z509=3,$Z509=4),IF($AA509=12,VLOOKUP($Z509,Paraméterek!$B$225:$F$240,5,0),0),0))*$AF509</f>
        <v>0</v>
      </c>
      <c r="AI509" s="13">
        <f>ROUNDDOWN(IF(SUM($T$20:$U509)=0,IF($D$2="Egyszeri",$AH509,$AG509),0),IF($D$4="Forint",0,2))</f>
        <v>0</v>
      </c>
      <c r="AJ509" s="13">
        <f t="shared" si="117"/>
        <v>0</v>
      </c>
      <c r="AK509" s="13">
        <f t="shared" si="118"/>
        <v>0</v>
      </c>
      <c r="AM509" s="32">
        <v>490</v>
      </c>
      <c r="AN509" s="32">
        <v>41</v>
      </c>
      <c r="AO509" s="32">
        <v>10</v>
      </c>
      <c r="AP509" s="13"/>
      <c r="AQ509" s="32"/>
      <c r="AR509" s="13">
        <f t="shared" si="119"/>
        <v>0</v>
      </c>
      <c r="AS509" s="33"/>
      <c r="AT509" s="13">
        <f t="shared" si="113"/>
        <v>0</v>
      </c>
      <c r="AU509" s="13">
        <f>ROUNDUP(($AR509+$AT509)*VLOOKUP($AN509,Paraméterek!$P$38:$Q$38,2)/12,IF($D$4="Forint",0,2))</f>
        <v>0</v>
      </c>
      <c r="AV509" s="13"/>
      <c r="AW509" s="13"/>
      <c r="AX509" s="13">
        <f>ROUNDUP(IF(SUM($AV509:$AW509)=0,0,IF(IF(ISBLANK($AW509),$AV509,$AW509)*Paraméterek!$J$112&lt;IF($D$4="Forint",Paraméterek!$J$113,Paraméterek!$K$113),IF($D$4="Forint",Paraméterek!$J$113,Paraméterek!$K$113),IF(IF(ISBLANK($AW509),$AV509,$AW509)*Paraméterek!$J$112&gt;IF($D$4="Forint",Paraméterek!$J$114,Paraméterek!$K$114),IF($D$4="Forint",Paraméterek!$J$114,Paraméterek!$K$114),IF(ISBLANK($AW509),$AV509,$AW509)*Paraméterek!$J$112))),IF($D$4="Forint",0,2))</f>
        <v>0</v>
      </c>
      <c r="AY509" s="13">
        <f>$AR509+$AT509-$AU509-IF(ROUNDDOWN(IF(ISBLANK($AW509),$AV509,$AW509),IF($D$4="Forint",0,2))&gt;$AR509+$AT509-$AU509-IF($D$4="Forint",Paraméterek!$J$114,Paraméterek!$K$114),0,ROUNDDOWN(IF(ISBLANK($AW509),$AV509,$AW509),IF($D$4="Forint",0,2))-$AX509)</f>
        <v>0</v>
      </c>
      <c r="AZ509" s="13">
        <f t="shared" si="114"/>
        <v>0</v>
      </c>
    </row>
    <row r="510" spans="1:52" x14ac:dyDescent="0.2">
      <c r="A510" s="32">
        <v>491</v>
      </c>
      <c r="B510" s="32">
        <v>41</v>
      </c>
      <c r="C510" s="32">
        <v>11</v>
      </c>
      <c r="D510" s="13">
        <f t="shared" si="105"/>
        <v>0</v>
      </c>
      <c r="E510" s="13"/>
      <c r="F510" s="13"/>
      <c r="G510" s="13"/>
      <c r="H510" s="13">
        <f t="shared" si="106"/>
        <v>0</v>
      </c>
      <c r="I510" s="13">
        <f t="shared" si="107"/>
        <v>0</v>
      </c>
      <c r="J510" s="13">
        <f t="shared" si="108"/>
        <v>0</v>
      </c>
      <c r="K510" s="13">
        <f>ROUNDUP(IF($D$2="Egyszeri",$D510,IF($D$2="Havi",SUM($D$20:$D$31),IF(MOD($C510,$M$1)-1=0,SUM($D$20:$D$31),0))/12*$M$1)*VLOOKUP($B510,Paraméterek!$B$27:$D$30,IF($D$2="Egyszeri",3,2)),IF($D$4="Forint",0,2))</f>
        <v>0</v>
      </c>
      <c r="L510" s="13">
        <f t="shared" si="109"/>
        <v>0</v>
      </c>
      <c r="M510" s="13">
        <f t="shared" ca="1" si="115"/>
        <v>-343465</v>
      </c>
      <c r="N510" s="13">
        <f ca="1">IF($V509&gt;=VLOOKUP($M$4-1+$B510,Paraméterek!$B$121:$D$122,IF($D$4="Forint",2,3)),0,VLOOKUP($M$4-1+$B510,Paraméterek!$B$121:$D$122,IF($D$4="Forint",2,3))-$V509)</f>
        <v>353465</v>
      </c>
      <c r="O510" s="13">
        <f ca="1">ROUNDUP($N510*Paraméterek!$C$58/Paraméterek!$C$56,IF($D$4="Forint",0,2))</f>
        <v>57</v>
      </c>
      <c r="P510" s="13">
        <f t="shared" si="110"/>
        <v>1795</v>
      </c>
      <c r="Q510" s="33"/>
      <c r="R510" s="13">
        <f t="shared" ca="1" si="111"/>
        <v>0</v>
      </c>
      <c r="S510" s="13">
        <f ca="1">ROUNDUP(($M510-$O510-$P510+$R510)*VLOOKUP($B510,Paraméterek!$B$38:$D$39,IF($D$2="Egyszeri",3,2))/12,IF($D$4="Forint",0,2))</f>
        <v>-844</v>
      </c>
      <c r="T510" s="13"/>
      <c r="U510" s="13"/>
      <c r="V510" s="13">
        <f ca="1">$M510-$O510-$P510+$R510-$S510-IF(ROUNDUP(IF(ISBLANK($U510),$T510,$U510)/IF(AND($B510=1,$D$2&lt;&gt;"Egyszeri"),1,VLOOKUP($B510+IF($C510=12,1,0),Paraméterek!$B$257:$D$267,IF($D$2="Egyszeri",3,2))),IF($D$4="Forint",0,2))&gt;$M510-$O510-$P510+$R510-$S510-IF($D$4="Forint",Paraméterek!$C$216,Paraméterek!$D$216),0,ROUNDUP(IF(ISBLANK($U510),$T510,$U510)/IF(AND($B510=1,$D$2&lt;&gt;"Egyszeri"),1,VLOOKUP($B510+IF($C510=12,1,0),Paraméterek!$B$257:$D$267,IF($D$2="Egyszeri",3,2))),IF($D$4="Forint",0,2)))</f>
        <v>-344473</v>
      </c>
      <c r="W510" s="13">
        <f ca="1">ROUNDDOWN($V510*VLOOKUP($B510+IF($C510=12,1,0),Paraméterek!$B$257:$D$267,IF($D$2="Egyszeri",3,2)),IF($D$4="Forint",0,2))</f>
        <v>-344473</v>
      </c>
      <c r="Y510" s="32">
        <v>491</v>
      </c>
      <c r="Z510" s="32">
        <v>41</v>
      </c>
      <c r="AA510" s="32">
        <v>11</v>
      </c>
      <c r="AB510" s="13">
        <f t="shared" si="116"/>
        <v>0</v>
      </c>
      <c r="AC510" s="33"/>
      <c r="AD510" s="13">
        <f t="shared" si="112"/>
        <v>0</v>
      </c>
      <c r="AE510" s="13">
        <f>ROUNDUP(($AB510+$AD510)*VLOOKUP($Z510,Paraméterek!$P$38:$Q$38,2)/12,IF($D$4="Forint",0,2))</f>
        <v>0</v>
      </c>
      <c r="AF510" s="13">
        <f>IF($D$2="Egyszeri",IF($D$7&gt;=IF($D$4="Forint",Paraméterek!$P$223,Paraméterek!$P$224),$D$7-IF($D$4="Forint",Paraméterek!$F$223,Paraméterek!$F$224),0),MIN(IF($AA510=12,AVERAGE($D$20:$D510)*12,0),SUM($D$20:$D$31)))</f>
        <v>0</v>
      </c>
      <c r="AG510" s="13">
        <f>IF(AND($Z510&gt;=10,MOD($Z510,5)=0),$AF510*IF($AA510=12,VLOOKUP($Z510,Paraméterek!$B$225:$F$240,IF($AF510&lt;IF($D$4="Forint",Paraméterek!$C$223,Paraméterek!$C$224),2,IF($AF510&lt;IF($D$4="Forint",Paraméterek!$D$223,Paraméterek!$D$224),3,4))),0),0)</f>
        <v>0</v>
      </c>
      <c r="AH510" s="13">
        <f>IF(AND($Z510&gt;=5,MOD($Z510,5)=0),IF($AA510=12,VLOOKUP($Z510,Paraméterek!$B$225:$F$240,5),0),IF(OR($Z510=3,$Z510=4),IF($AA510=12,VLOOKUP($Z510,Paraméterek!$B$225:$F$240,5,0),0),0))*$AF510</f>
        <v>0</v>
      </c>
      <c r="AI510" s="13">
        <f>ROUNDDOWN(IF(SUM($T$20:$U510)=0,IF($D$2="Egyszeri",$AH510,$AG510),0),IF($D$4="Forint",0,2))</f>
        <v>0</v>
      </c>
      <c r="AJ510" s="13">
        <f t="shared" si="117"/>
        <v>0</v>
      </c>
      <c r="AK510" s="13">
        <f t="shared" si="118"/>
        <v>0</v>
      </c>
      <c r="AM510" s="32">
        <v>491</v>
      </c>
      <c r="AN510" s="32">
        <v>41</v>
      </c>
      <c r="AO510" s="32">
        <v>11</v>
      </c>
      <c r="AP510" s="13"/>
      <c r="AQ510" s="32"/>
      <c r="AR510" s="13">
        <f t="shared" si="119"/>
        <v>0</v>
      </c>
      <c r="AS510" s="33"/>
      <c r="AT510" s="13">
        <f t="shared" si="113"/>
        <v>0</v>
      </c>
      <c r="AU510" s="13">
        <f>ROUNDUP(($AR510+$AT510)*VLOOKUP($AN510,Paraméterek!$P$38:$Q$38,2)/12,IF($D$4="Forint",0,2))</f>
        <v>0</v>
      </c>
      <c r="AV510" s="13"/>
      <c r="AW510" s="13"/>
      <c r="AX510" s="13">
        <f>ROUNDUP(IF(SUM($AV510:$AW510)=0,0,IF(IF(ISBLANK($AW510),$AV510,$AW510)*Paraméterek!$J$112&lt;IF($D$4="Forint",Paraméterek!$J$113,Paraméterek!$K$113),IF($D$4="Forint",Paraméterek!$J$113,Paraméterek!$K$113),IF(IF(ISBLANK($AW510),$AV510,$AW510)*Paraméterek!$J$112&gt;IF($D$4="Forint",Paraméterek!$J$114,Paraméterek!$K$114),IF($D$4="Forint",Paraméterek!$J$114,Paraméterek!$K$114),IF(ISBLANK($AW510),$AV510,$AW510)*Paraméterek!$J$112))),IF($D$4="Forint",0,2))</f>
        <v>0</v>
      </c>
      <c r="AY510" s="13">
        <f>$AR510+$AT510-$AU510-IF(ROUNDDOWN(IF(ISBLANK($AW510),$AV510,$AW510),IF($D$4="Forint",0,2))&gt;$AR510+$AT510-$AU510-IF($D$4="Forint",Paraméterek!$J$114,Paraméterek!$K$114),0,ROUNDDOWN(IF(ISBLANK($AW510),$AV510,$AW510),IF($D$4="Forint",0,2))-$AX510)</f>
        <v>0</v>
      </c>
      <c r="AZ510" s="13">
        <f t="shared" si="114"/>
        <v>0</v>
      </c>
    </row>
    <row r="511" spans="1:52" x14ac:dyDescent="0.2">
      <c r="A511" s="32">
        <v>492</v>
      </c>
      <c r="B511" s="32">
        <v>41</v>
      </c>
      <c r="C511" s="32">
        <v>12</v>
      </c>
      <c r="D511" s="13">
        <f t="shared" si="105"/>
        <v>0</v>
      </c>
      <c r="E511" s="13"/>
      <c r="F511" s="13"/>
      <c r="G511" s="13"/>
      <c r="H511" s="13">
        <f t="shared" si="106"/>
        <v>0</v>
      </c>
      <c r="I511" s="13">
        <f t="shared" si="107"/>
        <v>0</v>
      </c>
      <c r="J511" s="13">
        <f t="shared" si="108"/>
        <v>0</v>
      </c>
      <c r="K511" s="13">
        <f>ROUNDUP(IF($D$2="Egyszeri",$D511,IF($D$2="Havi",SUM($D$20:$D$31),IF(MOD($C511,$M$1)-1=0,SUM($D$20:$D$31),0))/12*$M$1)*VLOOKUP($B511,Paraméterek!$B$27:$D$30,IF($D$2="Egyszeri",3,2)),IF($D$4="Forint",0,2))</f>
        <v>0</v>
      </c>
      <c r="L511" s="13">
        <f t="shared" si="109"/>
        <v>0</v>
      </c>
      <c r="M511" s="13">
        <f t="shared" ca="1" si="115"/>
        <v>-344473</v>
      </c>
      <c r="N511" s="13">
        <f ca="1">IF($V510&gt;=VLOOKUP($M$4-1+$B511,Paraméterek!$B$121:$D$122,IF($D$4="Forint",2,3)),0,VLOOKUP($M$4-1+$B511,Paraméterek!$B$121:$D$122,IF($D$4="Forint",2,3))-$V510)</f>
        <v>354473</v>
      </c>
      <c r="O511" s="13">
        <f ca="1">ROUNDUP($N511*Paraméterek!$C$58/Paraméterek!$C$56,IF($D$4="Forint",0,2))</f>
        <v>57</v>
      </c>
      <c r="P511" s="13">
        <f t="shared" si="110"/>
        <v>1795</v>
      </c>
      <c r="Q511" s="33"/>
      <c r="R511" s="13">
        <f t="shared" ca="1" si="111"/>
        <v>0</v>
      </c>
      <c r="S511" s="13">
        <f ca="1">ROUNDUP(($M511-$O511-$P511+$R511)*VLOOKUP($B511,Paraméterek!$B$38:$D$39,IF($D$2="Egyszeri",3,2))/12,IF($D$4="Forint",0,2))</f>
        <v>-846</v>
      </c>
      <c r="T511" s="13">
        <f>Tranzakciók!$F$72</f>
        <v>0</v>
      </c>
      <c r="U511" s="13"/>
      <c r="V511" s="13">
        <f ca="1">$M511-$O511-$P511+$R511-$S511-IF(ROUNDUP(IF(ISBLANK($U511),$T511,$U511)/IF(AND($B511=1,$D$2&lt;&gt;"Egyszeri"),1,VLOOKUP($B511+IF($C511=12,1,0),Paraméterek!$B$257:$D$267,IF($D$2="Egyszeri",3,2))),IF($D$4="Forint",0,2))&gt;$M511-$O511-$P511+$R511-$S511-IF($D$4="Forint",Paraméterek!$C$216,Paraméterek!$D$216),0,ROUNDUP(IF(ISBLANK($U511),$T511,$U511)/IF(AND($B511=1,$D$2&lt;&gt;"Egyszeri"),1,VLOOKUP($B511+IF($C511=12,1,0),Paraméterek!$B$257:$D$267,IF($D$2="Egyszeri",3,2))),IF($D$4="Forint",0,2)))</f>
        <v>-345479</v>
      </c>
      <c r="W511" s="13">
        <f ca="1">ROUNDDOWN($V511*VLOOKUP($B511+IF($C511=12,1,0),Paraméterek!$B$257:$D$267,IF($D$2="Egyszeri",3,2)),IF($D$4="Forint",0,2))</f>
        <v>-345479</v>
      </c>
      <c r="Y511" s="32">
        <v>492</v>
      </c>
      <c r="Z511" s="32">
        <v>41</v>
      </c>
      <c r="AA511" s="32">
        <v>12</v>
      </c>
      <c r="AB511" s="13">
        <f t="shared" si="116"/>
        <v>0</v>
      </c>
      <c r="AC511" s="33"/>
      <c r="AD511" s="13">
        <f t="shared" si="112"/>
        <v>0</v>
      </c>
      <c r="AE511" s="13">
        <f>ROUNDUP(($AB511+$AD511)*VLOOKUP($Z511,Paraméterek!$P$38:$Q$38,2)/12,IF($D$4="Forint",0,2))</f>
        <v>0</v>
      </c>
      <c r="AF511" s="13">
        <f>IF($D$2="Egyszeri",IF($D$7&gt;=IF($D$4="Forint",Paraméterek!$P$223,Paraméterek!$P$224),$D$7-IF($D$4="Forint",Paraméterek!$F$223,Paraméterek!$F$224),0),MIN(IF($AA511=12,AVERAGE($D$20:$D511)*12,0),SUM($D$20:$D$31)))</f>
        <v>0</v>
      </c>
      <c r="AG511" s="13">
        <f>IF(AND($Z511&gt;=10,MOD($Z511,5)=0),$AF511*IF($AA511=12,VLOOKUP($Z511,Paraméterek!$B$225:$F$240,IF($AF511&lt;IF($D$4="Forint",Paraméterek!$C$223,Paraméterek!$C$224),2,IF($AF511&lt;IF($D$4="Forint",Paraméterek!$D$223,Paraméterek!$D$224),3,4))),0),0)</f>
        <v>0</v>
      </c>
      <c r="AH511" s="13">
        <f>IF(AND($Z511&gt;=5,MOD($Z511,5)=0),IF($AA511=12,VLOOKUP($Z511,Paraméterek!$B$225:$F$240,5),0),IF(OR($Z511=3,$Z511=4),IF($AA511=12,VLOOKUP($Z511,Paraméterek!$B$225:$F$240,5,0),0),0))*$AF511</f>
        <v>0</v>
      </c>
      <c r="AI511" s="13">
        <f>ROUNDDOWN(IF(SUM($T$20:$U511)=0,IF($D$2="Egyszeri",$AH511,$AG511),0),IF($D$4="Forint",0,2))</f>
        <v>0</v>
      </c>
      <c r="AJ511" s="13">
        <f t="shared" si="117"/>
        <v>0</v>
      </c>
      <c r="AK511" s="13">
        <f t="shared" si="118"/>
        <v>0</v>
      </c>
      <c r="AM511" s="32">
        <v>492</v>
      </c>
      <c r="AN511" s="32">
        <v>41</v>
      </c>
      <c r="AO511" s="32">
        <v>12</v>
      </c>
      <c r="AP511" s="13"/>
      <c r="AQ511" s="32"/>
      <c r="AR511" s="13">
        <f t="shared" si="119"/>
        <v>0</v>
      </c>
      <c r="AS511" s="33"/>
      <c r="AT511" s="13">
        <f t="shared" si="113"/>
        <v>0</v>
      </c>
      <c r="AU511" s="13">
        <f>ROUNDUP(($AR511+$AT511)*VLOOKUP($AN511,Paraméterek!$P$38:$Q$38,2)/12,IF($D$4="Forint",0,2))</f>
        <v>0</v>
      </c>
      <c r="AV511" s="13">
        <f>Tranzakciók!$M$72</f>
        <v>0</v>
      </c>
      <c r="AW511" s="13"/>
      <c r="AX511" s="13">
        <f>ROUNDUP(IF(SUM($AV511:$AW511)=0,0,IF(IF(ISBLANK($AW511),$AV511,$AW511)*Paraméterek!$J$112&lt;IF($D$4="Forint",Paraméterek!$J$113,Paraméterek!$K$113),IF($D$4="Forint",Paraméterek!$J$113,Paraméterek!$K$113),IF(IF(ISBLANK($AW511),$AV511,$AW511)*Paraméterek!$J$112&gt;IF($D$4="Forint",Paraméterek!$J$114,Paraméterek!$K$114),IF($D$4="Forint",Paraméterek!$J$114,Paraméterek!$K$114),IF(ISBLANK($AW511),$AV511,$AW511)*Paraméterek!$J$112))),IF($D$4="Forint",0,2))</f>
        <v>0</v>
      </c>
      <c r="AY511" s="13">
        <f>$AR511+$AT511-$AU511-IF(ROUNDDOWN(IF(ISBLANK($AW511),$AV511,$AW511),IF($D$4="Forint",0,2))&gt;$AR511+$AT511-$AU511-IF($D$4="Forint",Paraméterek!$J$114,Paraméterek!$K$114),0,ROUNDDOWN(IF(ISBLANK($AW511),$AV511,$AW511),IF($D$4="Forint",0,2))-$AX511)</f>
        <v>0</v>
      </c>
      <c r="AZ511" s="13">
        <f t="shared" si="114"/>
        <v>0</v>
      </c>
    </row>
    <row r="512" spans="1:52" x14ac:dyDescent="0.2">
      <c r="A512" s="32">
        <v>493</v>
      </c>
      <c r="B512" s="32">
        <v>42</v>
      </c>
      <c r="C512" s="32">
        <v>1</v>
      </c>
      <c r="D512" s="13">
        <f t="shared" si="105"/>
        <v>0</v>
      </c>
      <c r="E512" s="13"/>
      <c r="F512" s="13">
        <f>Tranzakciók!$D$73</f>
        <v>0</v>
      </c>
      <c r="G512" s="13"/>
      <c r="H512" s="13">
        <f t="shared" si="106"/>
        <v>0</v>
      </c>
      <c r="I512" s="13">
        <f t="shared" si="107"/>
        <v>336</v>
      </c>
      <c r="J512" s="13">
        <f t="shared" si="108"/>
        <v>336</v>
      </c>
      <c r="K512" s="13">
        <f>ROUNDUP(IF($D$2="Egyszeri",$D512,IF($D$2="Havi",SUM($D$20:$D$31),IF(MOD($C512,$M$1)-1=0,SUM($D$20:$D$31),0))/12*$M$1)*VLOOKUP($B512,Paraméterek!$B$27:$D$30,IF($D$2="Egyszeri",3,2)),IF($D$4="Forint",0,2))</f>
        <v>0</v>
      </c>
      <c r="L512" s="13">
        <f t="shared" si="109"/>
        <v>0</v>
      </c>
      <c r="M512" s="13">
        <f t="shared" ca="1" si="115"/>
        <v>-345479</v>
      </c>
      <c r="N512" s="13">
        <f ca="1">IF($V511&gt;=VLOOKUP($M$4-1+$B512,Paraméterek!$B$121:$D$122,IF($D$4="Forint",2,3)),0,VLOOKUP($M$4-1+$B512,Paraméterek!$B$121:$D$122,IF($D$4="Forint",2,3))-$V511)</f>
        <v>355479</v>
      </c>
      <c r="O512" s="13">
        <f ca="1">ROUNDUP($N512*Paraméterek!$C$58/Paraméterek!$C$56,IF($D$4="Forint",0,2))</f>
        <v>57</v>
      </c>
      <c r="P512" s="13">
        <f t="shared" si="110"/>
        <v>1848</v>
      </c>
      <c r="Q512" s="33"/>
      <c r="R512" s="13">
        <f t="shared" ca="1" si="111"/>
        <v>0</v>
      </c>
      <c r="S512" s="13">
        <f ca="1">ROUNDUP(($M512-$O512-$P512+$R512)*VLOOKUP($B512,Paraméterek!$B$38:$D$39,IF($D$2="Egyszeri",3,2))/12,IF($D$4="Forint",0,2))</f>
        <v>-849</v>
      </c>
      <c r="T512" s="13"/>
      <c r="U512" s="13"/>
      <c r="V512" s="13">
        <f ca="1">$M512-$O512-$P512+$R512-$S512-IF(ROUNDUP(IF(ISBLANK($U512),$T512,$U512)/IF(AND($B512=1,$D$2&lt;&gt;"Egyszeri"),1,VLOOKUP($B512+IF($C512=12,1,0),Paraméterek!$B$257:$D$267,IF($D$2="Egyszeri",3,2))),IF($D$4="Forint",0,2))&gt;$M512-$O512-$P512+$R512-$S512-IF($D$4="Forint",Paraméterek!$C$216,Paraméterek!$D$216),0,ROUNDUP(IF(ISBLANK($U512),$T512,$U512)/IF(AND($B512=1,$D$2&lt;&gt;"Egyszeri"),1,VLOOKUP($B512+IF($C512=12,1,0),Paraméterek!$B$257:$D$267,IF($D$2="Egyszeri",3,2))),IF($D$4="Forint",0,2)))</f>
        <v>-346535</v>
      </c>
      <c r="W512" s="13">
        <f ca="1">ROUNDDOWN($V512*VLOOKUP($B512+IF($C512=12,1,0),Paraméterek!$B$257:$D$267,IF($D$2="Egyszeri",3,2)),IF($D$4="Forint",0,2))</f>
        <v>-346535</v>
      </c>
      <c r="Y512" s="32">
        <v>493</v>
      </c>
      <c r="Z512" s="32">
        <v>42</v>
      </c>
      <c r="AA512" s="32">
        <v>1</v>
      </c>
      <c r="AB512" s="13">
        <f t="shared" si="116"/>
        <v>0</v>
      </c>
      <c r="AC512" s="33"/>
      <c r="AD512" s="13">
        <f t="shared" si="112"/>
        <v>0</v>
      </c>
      <c r="AE512" s="13">
        <f>ROUNDUP(($AB512+$AD512)*VLOOKUP($Z512,Paraméterek!$P$38:$Q$38,2)/12,IF($D$4="Forint",0,2))</f>
        <v>0</v>
      </c>
      <c r="AF512" s="13">
        <f>IF($D$2="Egyszeri",IF($D$7&gt;=IF($D$4="Forint",Paraméterek!$P$223,Paraméterek!$P$224),$D$7-IF($D$4="Forint",Paraméterek!$F$223,Paraméterek!$F$224),0),MIN(IF($AA512=12,AVERAGE($D$20:$D512)*12,0),SUM($D$20:$D$31)))</f>
        <v>0</v>
      </c>
      <c r="AG512" s="13">
        <f>IF(AND($Z512&gt;=10,MOD($Z512,5)=0),$AF512*IF($AA512=12,VLOOKUP($Z512,Paraméterek!$B$225:$F$240,IF($AF512&lt;IF($D$4="Forint",Paraméterek!$C$223,Paraméterek!$C$224),2,IF($AF512&lt;IF($D$4="Forint",Paraméterek!$D$223,Paraméterek!$D$224),3,4))),0),0)</f>
        <v>0</v>
      </c>
      <c r="AH512" s="13">
        <f>IF(AND($Z512&gt;=5,MOD($Z512,5)=0),IF($AA512=12,VLOOKUP($Z512,Paraméterek!$B$225:$F$240,5),0),IF(OR($Z512=3,$Z512=4),IF($AA512=12,VLOOKUP($Z512,Paraméterek!$B$225:$F$240,5,0),0),0))*$AF512</f>
        <v>0</v>
      </c>
      <c r="AI512" s="13">
        <f>ROUNDDOWN(IF(SUM($T$20:$U512)=0,IF($D$2="Egyszeri",$AH512,$AG512),0),IF($D$4="Forint",0,2))</f>
        <v>0</v>
      </c>
      <c r="AJ512" s="13">
        <f t="shared" si="117"/>
        <v>0</v>
      </c>
      <c r="AK512" s="13">
        <f t="shared" si="118"/>
        <v>0</v>
      </c>
      <c r="AM512" s="32">
        <v>493</v>
      </c>
      <c r="AN512" s="32">
        <v>42</v>
      </c>
      <c r="AO512" s="32">
        <v>1</v>
      </c>
      <c r="AP512" s="13">
        <f>Tranzakciók!$K$73</f>
        <v>0</v>
      </c>
      <c r="AQ512" s="32"/>
      <c r="AR512" s="13">
        <f t="shared" si="119"/>
        <v>0</v>
      </c>
      <c r="AS512" s="33"/>
      <c r="AT512" s="13">
        <f t="shared" si="113"/>
        <v>0</v>
      </c>
      <c r="AU512" s="13">
        <f>ROUNDUP(($AR512+$AT512)*VLOOKUP($AN512,Paraméterek!$P$38:$Q$38,2)/12,IF($D$4="Forint",0,2))</f>
        <v>0</v>
      </c>
      <c r="AV512" s="13"/>
      <c r="AW512" s="13"/>
      <c r="AX512" s="13">
        <f>ROUNDUP(IF(SUM($AV512:$AW512)=0,0,IF(IF(ISBLANK($AW512),$AV512,$AW512)*Paraméterek!$J$112&lt;IF($D$4="Forint",Paraméterek!$J$113,Paraméterek!$K$113),IF($D$4="Forint",Paraméterek!$J$113,Paraméterek!$K$113),IF(IF(ISBLANK($AW512),$AV512,$AW512)*Paraméterek!$J$112&gt;IF($D$4="Forint",Paraméterek!$J$114,Paraméterek!$K$114),IF($D$4="Forint",Paraméterek!$J$114,Paraméterek!$K$114),IF(ISBLANK($AW512),$AV512,$AW512)*Paraméterek!$J$112))),IF($D$4="Forint",0,2))</f>
        <v>0</v>
      </c>
      <c r="AY512" s="13">
        <f>$AR512+$AT512-$AU512-IF(ROUNDDOWN(IF(ISBLANK($AW512),$AV512,$AW512),IF($D$4="Forint",0,2))&gt;$AR512+$AT512-$AU512-IF($D$4="Forint",Paraméterek!$J$114,Paraméterek!$K$114),0,ROUNDDOWN(IF(ISBLANK($AW512),$AV512,$AW512),IF($D$4="Forint",0,2))-$AX512)</f>
        <v>0</v>
      </c>
      <c r="AZ512" s="13">
        <f t="shared" si="114"/>
        <v>0</v>
      </c>
    </row>
    <row r="513" spans="1:52" x14ac:dyDescent="0.2">
      <c r="A513" s="32">
        <v>494</v>
      </c>
      <c r="B513" s="32">
        <v>42</v>
      </c>
      <c r="C513" s="32">
        <v>2</v>
      </c>
      <c r="D513" s="13">
        <f t="shared" si="105"/>
        <v>0</v>
      </c>
      <c r="E513" s="13"/>
      <c r="F513" s="13"/>
      <c r="G513" s="13"/>
      <c r="H513" s="13">
        <f t="shared" si="106"/>
        <v>0</v>
      </c>
      <c r="I513" s="13">
        <f t="shared" si="107"/>
        <v>0</v>
      </c>
      <c r="J513" s="13">
        <f t="shared" si="108"/>
        <v>0</v>
      </c>
      <c r="K513" s="13">
        <f>ROUNDUP(IF($D$2="Egyszeri",$D513,IF($D$2="Havi",SUM($D$20:$D$31),IF(MOD($C513,$M$1)-1=0,SUM($D$20:$D$31),0))/12*$M$1)*VLOOKUP($B513,Paraméterek!$B$27:$D$30,IF($D$2="Egyszeri",3,2)),IF($D$4="Forint",0,2))</f>
        <v>0</v>
      </c>
      <c r="L513" s="13">
        <f t="shared" si="109"/>
        <v>0</v>
      </c>
      <c r="M513" s="13">
        <f t="shared" ca="1" si="115"/>
        <v>-346535</v>
      </c>
      <c r="N513" s="13">
        <f ca="1">IF($V512&gt;=VLOOKUP($M$4-1+$B513,Paraméterek!$B$121:$D$122,IF($D$4="Forint",2,3)),0,VLOOKUP($M$4-1+$B513,Paraméterek!$B$121:$D$122,IF($D$4="Forint",2,3))-$V512)</f>
        <v>356535</v>
      </c>
      <c r="O513" s="13">
        <f ca="1">ROUNDUP($N513*Paraméterek!$C$58/Paraméterek!$C$56,IF($D$4="Forint",0,2))</f>
        <v>57</v>
      </c>
      <c r="P513" s="13">
        <f t="shared" si="110"/>
        <v>1848</v>
      </c>
      <c r="Q513" s="33"/>
      <c r="R513" s="13">
        <f t="shared" ca="1" si="111"/>
        <v>0</v>
      </c>
      <c r="S513" s="13">
        <f ca="1">ROUNDUP(($M513-$O513-$P513+$R513)*VLOOKUP($B513,Paraméterek!$B$38:$D$39,IF($D$2="Egyszeri",3,2))/12,IF($D$4="Forint",0,2))</f>
        <v>-851</v>
      </c>
      <c r="T513" s="13"/>
      <c r="U513" s="13"/>
      <c r="V513" s="13">
        <f ca="1">$M513-$O513-$P513+$R513-$S513-IF(ROUNDUP(IF(ISBLANK($U513),$T513,$U513)/IF(AND($B513=1,$D$2&lt;&gt;"Egyszeri"),1,VLOOKUP($B513+IF($C513=12,1,0),Paraméterek!$B$257:$D$267,IF($D$2="Egyszeri",3,2))),IF($D$4="Forint",0,2))&gt;$M513-$O513-$P513+$R513-$S513-IF($D$4="Forint",Paraméterek!$C$216,Paraméterek!$D$216),0,ROUNDUP(IF(ISBLANK($U513),$T513,$U513)/IF(AND($B513=1,$D$2&lt;&gt;"Egyszeri"),1,VLOOKUP($B513+IF($C513=12,1,0),Paraméterek!$B$257:$D$267,IF($D$2="Egyszeri",3,2))),IF($D$4="Forint",0,2)))</f>
        <v>-347589</v>
      </c>
      <c r="W513" s="13">
        <f ca="1">ROUNDDOWN($V513*VLOOKUP($B513+IF($C513=12,1,0),Paraméterek!$B$257:$D$267,IF($D$2="Egyszeri",3,2)),IF($D$4="Forint",0,2))</f>
        <v>-347589</v>
      </c>
      <c r="Y513" s="32">
        <v>494</v>
      </c>
      <c r="Z513" s="32">
        <v>42</v>
      </c>
      <c r="AA513" s="32">
        <v>2</v>
      </c>
      <c r="AB513" s="13">
        <f t="shared" si="116"/>
        <v>0</v>
      </c>
      <c r="AC513" s="33"/>
      <c r="AD513" s="13">
        <f t="shared" si="112"/>
        <v>0</v>
      </c>
      <c r="AE513" s="13">
        <f>ROUNDUP(($AB513+$AD513)*VLOOKUP($Z513,Paraméterek!$P$38:$Q$38,2)/12,IF($D$4="Forint",0,2))</f>
        <v>0</v>
      </c>
      <c r="AF513" s="13">
        <f>IF($D$2="Egyszeri",IF($D$7&gt;=IF($D$4="Forint",Paraméterek!$P$223,Paraméterek!$P$224),$D$7-IF($D$4="Forint",Paraméterek!$F$223,Paraméterek!$F$224),0),MIN(IF($AA513=12,AVERAGE($D$20:$D513)*12,0),SUM($D$20:$D$31)))</f>
        <v>0</v>
      </c>
      <c r="AG513" s="13">
        <f>IF(AND($Z513&gt;=10,MOD($Z513,5)=0),$AF513*IF($AA513=12,VLOOKUP($Z513,Paraméterek!$B$225:$F$240,IF($AF513&lt;IF($D$4="Forint",Paraméterek!$C$223,Paraméterek!$C$224),2,IF($AF513&lt;IF($D$4="Forint",Paraméterek!$D$223,Paraméterek!$D$224),3,4))),0),0)</f>
        <v>0</v>
      </c>
      <c r="AH513" s="13">
        <f>IF(AND($Z513&gt;=5,MOD($Z513,5)=0),IF($AA513=12,VLOOKUP($Z513,Paraméterek!$B$225:$F$240,5),0),IF(OR($Z513=3,$Z513=4),IF($AA513=12,VLOOKUP($Z513,Paraméterek!$B$225:$F$240,5,0),0),0))*$AF513</f>
        <v>0</v>
      </c>
      <c r="AI513" s="13">
        <f>ROUNDDOWN(IF(SUM($T$20:$U513)=0,IF($D$2="Egyszeri",$AH513,$AG513),0),IF($D$4="Forint",0,2))</f>
        <v>0</v>
      </c>
      <c r="AJ513" s="13">
        <f t="shared" si="117"/>
        <v>0</v>
      </c>
      <c r="AK513" s="13">
        <f t="shared" si="118"/>
        <v>0</v>
      </c>
      <c r="AM513" s="32">
        <v>494</v>
      </c>
      <c r="AN513" s="32">
        <v>42</v>
      </c>
      <c r="AO513" s="32">
        <v>2</v>
      </c>
      <c r="AP513" s="13"/>
      <c r="AQ513" s="32"/>
      <c r="AR513" s="13">
        <f t="shared" si="119"/>
        <v>0</v>
      </c>
      <c r="AS513" s="33"/>
      <c r="AT513" s="13">
        <f t="shared" si="113"/>
        <v>0</v>
      </c>
      <c r="AU513" s="13">
        <f>ROUNDUP(($AR513+$AT513)*VLOOKUP($AN513,Paraméterek!$P$38:$Q$38,2)/12,IF($D$4="Forint",0,2))</f>
        <v>0</v>
      </c>
      <c r="AV513" s="13"/>
      <c r="AW513" s="13"/>
      <c r="AX513" s="13">
        <f>ROUNDUP(IF(SUM($AV513:$AW513)=0,0,IF(IF(ISBLANK($AW513),$AV513,$AW513)*Paraméterek!$J$112&lt;IF($D$4="Forint",Paraméterek!$J$113,Paraméterek!$K$113),IF($D$4="Forint",Paraméterek!$J$113,Paraméterek!$K$113),IF(IF(ISBLANK($AW513),$AV513,$AW513)*Paraméterek!$J$112&gt;IF($D$4="Forint",Paraméterek!$J$114,Paraméterek!$K$114),IF($D$4="Forint",Paraméterek!$J$114,Paraméterek!$K$114),IF(ISBLANK($AW513),$AV513,$AW513)*Paraméterek!$J$112))),IF($D$4="Forint",0,2))</f>
        <v>0</v>
      </c>
      <c r="AY513" s="13">
        <f>$AR513+$AT513-$AU513-IF(ROUNDDOWN(IF(ISBLANK($AW513),$AV513,$AW513),IF($D$4="Forint",0,2))&gt;$AR513+$AT513-$AU513-IF($D$4="Forint",Paraméterek!$J$114,Paraméterek!$K$114),0,ROUNDDOWN(IF(ISBLANK($AW513),$AV513,$AW513),IF($D$4="Forint",0,2))-$AX513)</f>
        <v>0</v>
      </c>
      <c r="AZ513" s="13">
        <f t="shared" si="114"/>
        <v>0</v>
      </c>
    </row>
    <row r="514" spans="1:52" x14ac:dyDescent="0.2">
      <c r="A514" s="32">
        <v>495</v>
      </c>
      <c r="B514" s="32">
        <v>42</v>
      </c>
      <c r="C514" s="32">
        <v>3</v>
      </c>
      <c r="D514" s="13">
        <f t="shared" si="105"/>
        <v>0</v>
      </c>
      <c r="E514" s="13"/>
      <c r="F514" s="13"/>
      <c r="G514" s="13"/>
      <c r="H514" s="13">
        <f t="shared" si="106"/>
        <v>0</v>
      </c>
      <c r="I514" s="13">
        <f t="shared" si="107"/>
        <v>0</v>
      </c>
      <c r="J514" s="13">
        <f t="shared" si="108"/>
        <v>0</v>
      </c>
      <c r="K514" s="13">
        <f>ROUNDUP(IF($D$2="Egyszeri",$D514,IF($D$2="Havi",SUM($D$20:$D$31),IF(MOD($C514,$M$1)-1=0,SUM($D$20:$D$31),0))/12*$M$1)*VLOOKUP($B514,Paraméterek!$B$27:$D$30,IF($D$2="Egyszeri",3,2)),IF($D$4="Forint",0,2))</f>
        <v>0</v>
      </c>
      <c r="L514" s="13">
        <f t="shared" si="109"/>
        <v>0</v>
      </c>
      <c r="M514" s="13">
        <f t="shared" ca="1" si="115"/>
        <v>-347589</v>
      </c>
      <c r="N514" s="13">
        <f ca="1">IF($V513&gt;=VLOOKUP($M$4-1+$B514,Paraméterek!$B$121:$D$122,IF($D$4="Forint",2,3)),0,VLOOKUP($M$4-1+$B514,Paraméterek!$B$121:$D$122,IF($D$4="Forint",2,3))-$V513)</f>
        <v>357589</v>
      </c>
      <c r="O514" s="13">
        <f ca="1">ROUNDUP($N514*Paraméterek!$C$58/Paraméterek!$C$56,IF($D$4="Forint",0,2))</f>
        <v>57</v>
      </c>
      <c r="P514" s="13">
        <f t="shared" si="110"/>
        <v>1848</v>
      </c>
      <c r="Q514" s="33"/>
      <c r="R514" s="13">
        <f t="shared" ca="1" si="111"/>
        <v>0</v>
      </c>
      <c r="S514" s="13">
        <f ca="1">ROUNDUP(($M514-$O514-$P514+$R514)*VLOOKUP($B514,Paraméterek!$B$38:$D$39,IF($D$2="Egyszeri",3,2))/12,IF($D$4="Forint",0,2))</f>
        <v>-854</v>
      </c>
      <c r="T514" s="13"/>
      <c r="U514" s="13"/>
      <c r="V514" s="13">
        <f ca="1">$M514-$O514-$P514+$R514-$S514-IF(ROUNDUP(IF(ISBLANK($U514),$T514,$U514)/IF(AND($B514=1,$D$2&lt;&gt;"Egyszeri"),1,VLOOKUP($B514+IF($C514=12,1,0),Paraméterek!$B$257:$D$267,IF($D$2="Egyszeri",3,2))),IF($D$4="Forint",0,2))&gt;$M514-$O514-$P514+$R514-$S514-IF($D$4="Forint",Paraméterek!$C$216,Paraméterek!$D$216),0,ROUNDUP(IF(ISBLANK($U514),$T514,$U514)/IF(AND($B514=1,$D$2&lt;&gt;"Egyszeri"),1,VLOOKUP($B514+IF($C514=12,1,0),Paraméterek!$B$257:$D$267,IF($D$2="Egyszeri",3,2))),IF($D$4="Forint",0,2)))</f>
        <v>-348640</v>
      </c>
      <c r="W514" s="13">
        <f ca="1">ROUNDDOWN($V514*VLOOKUP($B514+IF($C514=12,1,0),Paraméterek!$B$257:$D$267,IF($D$2="Egyszeri",3,2)),IF($D$4="Forint",0,2))</f>
        <v>-348640</v>
      </c>
      <c r="Y514" s="32">
        <v>495</v>
      </c>
      <c r="Z514" s="32">
        <v>42</v>
      </c>
      <c r="AA514" s="32">
        <v>3</v>
      </c>
      <c r="AB514" s="13">
        <f t="shared" si="116"/>
        <v>0</v>
      </c>
      <c r="AC514" s="33"/>
      <c r="AD514" s="13">
        <f t="shared" si="112"/>
        <v>0</v>
      </c>
      <c r="AE514" s="13">
        <f>ROUNDUP(($AB514+$AD514)*VLOOKUP($Z514,Paraméterek!$P$38:$Q$38,2)/12,IF($D$4="Forint",0,2))</f>
        <v>0</v>
      </c>
      <c r="AF514" s="13">
        <f>IF($D$2="Egyszeri",IF($D$7&gt;=IF($D$4="Forint",Paraméterek!$P$223,Paraméterek!$P$224),$D$7-IF($D$4="Forint",Paraméterek!$F$223,Paraméterek!$F$224),0),MIN(IF($AA514=12,AVERAGE($D$20:$D514)*12,0),SUM($D$20:$D$31)))</f>
        <v>0</v>
      </c>
      <c r="AG514" s="13">
        <f>IF(AND($Z514&gt;=10,MOD($Z514,5)=0),$AF514*IF($AA514=12,VLOOKUP($Z514,Paraméterek!$B$225:$F$240,IF($AF514&lt;IF($D$4="Forint",Paraméterek!$C$223,Paraméterek!$C$224),2,IF($AF514&lt;IF($D$4="Forint",Paraméterek!$D$223,Paraméterek!$D$224),3,4))),0),0)</f>
        <v>0</v>
      </c>
      <c r="AH514" s="13">
        <f>IF(AND($Z514&gt;=5,MOD($Z514,5)=0),IF($AA514=12,VLOOKUP($Z514,Paraméterek!$B$225:$F$240,5),0),IF(OR($Z514=3,$Z514=4),IF($AA514=12,VLOOKUP($Z514,Paraméterek!$B$225:$F$240,5,0),0),0))*$AF514</f>
        <v>0</v>
      </c>
      <c r="AI514" s="13">
        <f>ROUNDDOWN(IF(SUM($T$20:$U514)=0,IF($D$2="Egyszeri",$AH514,$AG514),0),IF($D$4="Forint",0,2))</f>
        <v>0</v>
      </c>
      <c r="AJ514" s="13">
        <f t="shared" si="117"/>
        <v>0</v>
      </c>
      <c r="AK514" s="13">
        <f t="shared" si="118"/>
        <v>0</v>
      </c>
      <c r="AM514" s="32">
        <v>495</v>
      </c>
      <c r="AN514" s="32">
        <v>42</v>
      </c>
      <c r="AO514" s="32">
        <v>3</v>
      </c>
      <c r="AP514" s="13"/>
      <c r="AQ514" s="32"/>
      <c r="AR514" s="13">
        <f t="shared" si="119"/>
        <v>0</v>
      </c>
      <c r="AS514" s="33"/>
      <c r="AT514" s="13">
        <f t="shared" si="113"/>
        <v>0</v>
      </c>
      <c r="AU514" s="13">
        <f>ROUNDUP(($AR514+$AT514)*VLOOKUP($AN514,Paraméterek!$P$38:$Q$38,2)/12,IF($D$4="Forint",0,2))</f>
        <v>0</v>
      </c>
      <c r="AV514" s="13"/>
      <c r="AW514" s="13"/>
      <c r="AX514" s="13">
        <f>ROUNDUP(IF(SUM($AV514:$AW514)=0,0,IF(IF(ISBLANK($AW514),$AV514,$AW514)*Paraméterek!$J$112&lt;IF($D$4="Forint",Paraméterek!$J$113,Paraméterek!$K$113),IF($D$4="Forint",Paraméterek!$J$113,Paraméterek!$K$113),IF(IF(ISBLANK($AW514),$AV514,$AW514)*Paraméterek!$J$112&gt;IF($D$4="Forint",Paraméterek!$J$114,Paraméterek!$K$114),IF($D$4="Forint",Paraméterek!$J$114,Paraméterek!$K$114),IF(ISBLANK($AW514),$AV514,$AW514)*Paraméterek!$J$112))),IF($D$4="Forint",0,2))</f>
        <v>0</v>
      </c>
      <c r="AY514" s="13">
        <f>$AR514+$AT514-$AU514-IF(ROUNDDOWN(IF(ISBLANK($AW514),$AV514,$AW514),IF($D$4="Forint",0,2))&gt;$AR514+$AT514-$AU514-IF($D$4="Forint",Paraméterek!$J$114,Paraméterek!$K$114),0,ROUNDDOWN(IF(ISBLANK($AW514),$AV514,$AW514),IF($D$4="Forint",0,2))-$AX514)</f>
        <v>0</v>
      </c>
      <c r="AZ514" s="13">
        <f t="shared" si="114"/>
        <v>0</v>
      </c>
    </row>
    <row r="515" spans="1:52" x14ac:dyDescent="0.2">
      <c r="A515" s="32">
        <v>496</v>
      </c>
      <c r="B515" s="32">
        <v>42</v>
      </c>
      <c r="C515" s="32">
        <v>4</v>
      </c>
      <c r="D515" s="13">
        <f t="shared" si="105"/>
        <v>0</v>
      </c>
      <c r="E515" s="13"/>
      <c r="F515" s="13"/>
      <c r="G515" s="13"/>
      <c r="H515" s="13">
        <f t="shared" si="106"/>
        <v>0</v>
      </c>
      <c r="I515" s="13">
        <f t="shared" si="107"/>
        <v>0</v>
      </c>
      <c r="J515" s="13">
        <f t="shared" si="108"/>
        <v>0</v>
      </c>
      <c r="K515" s="13">
        <f>ROUNDUP(IF($D$2="Egyszeri",$D515,IF($D$2="Havi",SUM($D$20:$D$31),IF(MOD($C515,$M$1)-1=0,SUM($D$20:$D$31),0))/12*$M$1)*VLOOKUP($B515,Paraméterek!$B$27:$D$30,IF($D$2="Egyszeri",3,2)),IF($D$4="Forint",0,2))</f>
        <v>0</v>
      </c>
      <c r="L515" s="13">
        <f t="shared" si="109"/>
        <v>0</v>
      </c>
      <c r="M515" s="13">
        <f t="shared" ca="1" si="115"/>
        <v>-348640</v>
      </c>
      <c r="N515" s="13">
        <f ca="1">IF($V514&gt;=VLOOKUP($M$4-1+$B515,Paraméterek!$B$121:$D$122,IF($D$4="Forint",2,3)),0,VLOOKUP($M$4-1+$B515,Paraméterek!$B$121:$D$122,IF($D$4="Forint",2,3))-$V514)</f>
        <v>358640</v>
      </c>
      <c r="O515" s="13">
        <f ca="1">ROUNDUP($N515*Paraméterek!$C$58/Paraméterek!$C$56,IF($D$4="Forint",0,2))</f>
        <v>58</v>
      </c>
      <c r="P515" s="13">
        <f t="shared" si="110"/>
        <v>1848</v>
      </c>
      <c r="Q515" s="33"/>
      <c r="R515" s="13">
        <f t="shared" ca="1" si="111"/>
        <v>0</v>
      </c>
      <c r="S515" s="13">
        <f ca="1">ROUNDUP(($M515-$O515-$P515+$R515)*VLOOKUP($B515,Paraméterek!$B$38:$D$39,IF($D$2="Egyszeri",3,2))/12,IF($D$4="Forint",0,2))</f>
        <v>-856</v>
      </c>
      <c r="T515" s="13"/>
      <c r="U515" s="13"/>
      <c r="V515" s="13">
        <f ca="1">$M515-$O515-$P515+$R515-$S515-IF(ROUNDUP(IF(ISBLANK($U515),$T515,$U515)/IF(AND($B515=1,$D$2&lt;&gt;"Egyszeri"),1,VLOOKUP($B515+IF($C515=12,1,0),Paraméterek!$B$257:$D$267,IF($D$2="Egyszeri",3,2))),IF($D$4="Forint",0,2))&gt;$M515-$O515-$P515+$R515-$S515-IF($D$4="Forint",Paraméterek!$C$216,Paraméterek!$D$216),0,ROUNDUP(IF(ISBLANK($U515),$T515,$U515)/IF(AND($B515=1,$D$2&lt;&gt;"Egyszeri"),1,VLOOKUP($B515+IF($C515=12,1,0),Paraméterek!$B$257:$D$267,IF($D$2="Egyszeri",3,2))),IF($D$4="Forint",0,2)))</f>
        <v>-349690</v>
      </c>
      <c r="W515" s="13">
        <f ca="1">ROUNDDOWN($V515*VLOOKUP($B515+IF($C515=12,1,0),Paraméterek!$B$257:$D$267,IF($D$2="Egyszeri",3,2)),IF($D$4="Forint",0,2))</f>
        <v>-349690</v>
      </c>
      <c r="Y515" s="32">
        <v>496</v>
      </c>
      <c r="Z515" s="32">
        <v>42</v>
      </c>
      <c r="AA515" s="32">
        <v>4</v>
      </c>
      <c r="AB515" s="13">
        <f t="shared" si="116"/>
        <v>0</v>
      </c>
      <c r="AC515" s="33"/>
      <c r="AD515" s="13">
        <f t="shared" si="112"/>
        <v>0</v>
      </c>
      <c r="AE515" s="13">
        <f>ROUNDUP(($AB515+$AD515)*VLOOKUP($Z515,Paraméterek!$P$38:$Q$38,2)/12,IF($D$4="Forint",0,2))</f>
        <v>0</v>
      </c>
      <c r="AF515" s="13">
        <f>IF($D$2="Egyszeri",IF($D$7&gt;=IF($D$4="Forint",Paraméterek!$P$223,Paraméterek!$P$224),$D$7-IF($D$4="Forint",Paraméterek!$F$223,Paraméterek!$F$224),0),MIN(IF($AA515=12,AVERAGE($D$20:$D515)*12,0),SUM($D$20:$D$31)))</f>
        <v>0</v>
      </c>
      <c r="AG515" s="13">
        <f>IF(AND($Z515&gt;=10,MOD($Z515,5)=0),$AF515*IF($AA515=12,VLOOKUP($Z515,Paraméterek!$B$225:$F$240,IF($AF515&lt;IF($D$4="Forint",Paraméterek!$C$223,Paraméterek!$C$224),2,IF($AF515&lt;IF($D$4="Forint",Paraméterek!$D$223,Paraméterek!$D$224),3,4))),0),0)</f>
        <v>0</v>
      </c>
      <c r="AH515" s="13">
        <f>IF(AND($Z515&gt;=5,MOD($Z515,5)=0),IF($AA515=12,VLOOKUP($Z515,Paraméterek!$B$225:$F$240,5),0),IF(OR($Z515=3,$Z515=4),IF($AA515=12,VLOOKUP($Z515,Paraméterek!$B$225:$F$240,5,0),0),0))*$AF515</f>
        <v>0</v>
      </c>
      <c r="AI515" s="13">
        <f>ROUNDDOWN(IF(SUM($T$20:$U515)=0,IF($D$2="Egyszeri",$AH515,$AG515),0),IF($D$4="Forint",0,2))</f>
        <v>0</v>
      </c>
      <c r="AJ515" s="13">
        <f t="shared" si="117"/>
        <v>0</v>
      </c>
      <c r="AK515" s="13">
        <f t="shared" si="118"/>
        <v>0</v>
      </c>
      <c r="AM515" s="32">
        <v>496</v>
      </c>
      <c r="AN515" s="32">
        <v>42</v>
      </c>
      <c r="AO515" s="32">
        <v>4</v>
      </c>
      <c r="AP515" s="13"/>
      <c r="AQ515" s="32"/>
      <c r="AR515" s="13">
        <f t="shared" si="119"/>
        <v>0</v>
      </c>
      <c r="AS515" s="33"/>
      <c r="AT515" s="13">
        <f t="shared" si="113"/>
        <v>0</v>
      </c>
      <c r="AU515" s="13">
        <f>ROUNDUP(($AR515+$AT515)*VLOOKUP($AN515,Paraméterek!$P$38:$Q$38,2)/12,IF($D$4="Forint",0,2))</f>
        <v>0</v>
      </c>
      <c r="AV515" s="13"/>
      <c r="AW515" s="13"/>
      <c r="AX515" s="13">
        <f>ROUNDUP(IF(SUM($AV515:$AW515)=0,0,IF(IF(ISBLANK($AW515),$AV515,$AW515)*Paraméterek!$J$112&lt;IF($D$4="Forint",Paraméterek!$J$113,Paraméterek!$K$113),IF($D$4="Forint",Paraméterek!$J$113,Paraméterek!$K$113),IF(IF(ISBLANK($AW515),$AV515,$AW515)*Paraméterek!$J$112&gt;IF($D$4="Forint",Paraméterek!$J$114,Paraméterek!$K$114),IF($D$4="Forint",Paraméterek!$J$114,Paraméterek!$K$114),IF(ISBLANK($AW515),$AV515,$AW515)*Paraméterek!$J$112))),IF($D$4="Forint",0,2))</f>
        <v>0</v>
      </c>
      <c r="AY515" s="13">
        <f>$AR515+$AT515-$AU515-IF(ROUNDDOWN(IF(ISBLANK($AW515),$AV515,$AW515),IF($D$4="Forint",0,2))&gt;$AR515+$AT515-$AU515-IF($D$4="Forint",Paraméterek!$J$114,Paraméterek!$K$114),0,ROUNDDOWN(IF(ISBLANK($AW515),$AV515,$AW515),IF($D$4="Forint",0,2))-$AX515)</f>
        <v>0</v>
      </c>
      <c r="AZ515" s="13">
        <f t="shared" si="114"/>
        <v>0</v>
      </c>
    </row>
    <row r="516" spans="1:52" x14ac:dyDescent="0.2">
      <c r="A516" s="32">
        <v>497</v>
      </c>
      <c r="B516" s="32">
        <v>42</v>
      </c>
      <c r="C516" s="32">
        <v>5</v>
      </c>
      <c r="D516" s="13">
        <f t="shared" si="105"/>
        <v>0</v>
      </c>
      <c r="E516" s="13"/>
      <c r="F516" s="13"/>
      <c r="G516" s="13"/>
      <c r="H516" s="13">
        <f t="shared" si="106"/>
        <v>0</v>
      </c>
      <c r="I516" s="13">
        <f t="shared" si="107"/>
        <v>0</v>
      </c>
      <c r="J516" s="13">
        <f t="shared" si="108"/>
        <v>0</v>
      </c>
      <c r="K516" s="13">
        <f>ROUNDUP(IF($D$2="Egyszeri",$D516,IF($D$2="Havi",SUM($D$20:$D$31),IF(MOD($C516,$M$1)-1=0,SUM($D$20:$D$31),0))/12*$M$1)*VLOOKUP($B516,Paraméterek!$B$27:$D$30,IF($D$2="Egyszeri",3,2)),IF($D$4="Forint",0,2))</f>
        <v>0</v>
      </c>
      <c r="L516" s="13">
        <f t="shared" si="109"/>
        <v>0</v>
      </c>
      <c r="M516" s="13">
        <f t="shared" ca="1" si="115"/>
        <v>-349690</v>
      </c>
      <c r="N516" s="13">
        <f ca="1">IF($V515&gt;=VLOOKUP($M$4-1+$B516,Paraméterek!$B$121:$D$122,IF($D$4="Forint",2,3)),0,VLOOKUP($M$4-1+$B516,Paraméterek!$B$121:$D$122,IF($D$4="Forint",2,3))-$V515)</f>
        <v>359690</v>
      </c>
      <c r="O516" s="13">
        <f ca="1">ROUNDUP($N516*Paraméterek!$C$58/Paraméterek!$C$56,IF($D$4="Forint",0,2))</f>
        <v>58</v>
      </c>
      <c r="P516" s="13">
        <f t="shared" si="110"/>
        <v>1848</v>
      </c>
      <c r="Q516" s="33"/>
      <c r="R516" s="13">
        <f t="shared" ca="1" si="111"/>
        <v>0</v>
      </c>
      <c r="S516" s="13">
        <f ca="1">ROUNDUP(($M516-$O516-$P516+$R516)*VLOOKUP($B516,Paraméterek!$B$38:$D$39,IF($D$2="Egyszeri",3,2))/12,IF($D$4="Forint",0,2))</f>
        <v>-859</v>
      </c>
      <c r="T516" s="13"/>
      <c r="U516" s="13"/>
      <c r="V516" s="13">
        <f ca="1">$M516-$O516-$P516+$R516-$S516-IF(ROUNDUP(IF(ISBLANK($U516),$T516,$U516)/IF(AND($B516=1,$D$2&lt;&gt;"Egyszeri"),1,VLOOKUP($B516+IF($C516=12,1,0),Paraméterek!$B$257:$D$267,IF($D$2="Egyszeri",3,2))),IF($D$4="Forint",0,2))&gt;$M516-$O516-$P516+$R516-$S516-IF($D$4="Forint",Paraméterek!$C$216,Paraméterek!$D$216),0,ROUNDUP(IF(ISBLANK($U516),$T516,$U516)/IF(AND($B516=1,$D$2&lt;&gt;"Egyszeri"),1,VLOOKUP($B516+IF($C516=12,1,0),Paraméterek!$B$257:$D$267,IF($D$2="Egyszeri",3,2))),IF($D$4="Forint",0,2)))</f>
        <v>-350737</v>
      </c>
      <c r="W516" s="13">
        <f ca="1">ROUNDDOWN($V516*VLOOKUP($B516+IF($C516=12,1,0),Paraméterek!$B$257:$D$267,IF($D$2="Egyszeri",3,2)),IF($D$4="Forint",0,2))</f>
        <v>-350737</v>
      </c>
      <c r="Y516" s="32">
        <v>497</v>
      </c>
      <c r="Z516" s="32">
        <v>42</v>
      </c>
      <c r="AA516" s="32">
        <v>5</v>
      </c>
      <c r="AB516" s="13">
        <f t="shared" si="116"/>
        <v>0</v>
      </c>
      <c r="AC516" s="33"/>
      <c r="AD516" s="13">
        <f t="shared" si="112"/>
        <v>0</v>
      </c>
      <c r="AE516" s="13">
        <f>ROUNDUP(($AB516+$AD516)*VLOOKUP($Z516,Paraméterek!$P$38:$Q$38,2)/12,IF($D$4="Forint",0,2))</f>
        <v>0</v>
      </c>
      <c r="AF516" s="13">
        <f>IF($D$2="Egyszeri",IF($D$7&gt;=IF($D$4="Forint",Paraméterek!$P$223,Paraméterek!$P$224),$D$7-IF($D$4="Forint",Paraméterek!$F$223,Paraméterek!$F$224),0),MIN(IF($AA516=12,AVERAGE($D$20:$D516)*12,0),SUM($D$20:$D$31)))</f>
        <v>0</v>
      </c>
      <c r="AG516" s="13">
        <f>IF(AND($Z516&gt;=10,MOD($Z516,5)=0),$AF516*IF($AA516=12,VLOOKUP($Z516,Paraméterek!$B$225:$F$240,IF($AF516&lt;IF($D$4="Forint",Paraméterek!$C$223,Paraméterek!$C$224),2,IF($AF516&lt;IF($D$4="Forint",Paraméterek!$D$223,Paraméterek!$D$224),3,4))),0),0)</f>
        <v>0</v>
      </c>
      <c r="AH516" s="13">
        <f>IF(AND($Z516&gt;=5,MOD($Z516,5)=0),IF($AA516=12,VLOOKUP($Z516,Paraméterek!$B$225:$F$240,5),0),IF(OR($Z516=3,$Z516=4),IF($AA516=12,VLOOKUP($Z516,Paraméterek!$B$225:$F$240,5,0),0),0))*$AF516</f>
        <v>0</v>
      </c>
      <c r="AI516" s="13">
        <f>ROUNDDOWN(IF(SUM($T$20:$U516)=0,IF($D$2="Egyszeri",$AH516,$AG516),0),IF($D$4="Forint",0,2))</f>
        <v>0</v>
      </c>
      <c r="AJ516" s="13">
        <f t="shared" si="117"/>
        <v>0</v>
      </c>
      <c r="AK516" s="13">
        <f t="shared" si="118"/>
        <v>0</v>
      </c>
      <c r="AM516" s="32">
        <v>497</v>
      </c>
      <c r="AN516" s="32">
        <v>42</v>
      </c>
      <c r="AO516" s="32">
        <v>5</v>
      </c>
      <c r="AP516" s="13"/>
      <c r="AQ516" s="32"/>
      <c r="AR516" s="13">
        <f t="shared" si="119"/>
        <v>0</v>
      </c>
      <c r="AS516" s="33"/>
      <c r="AT516" s="13">
        <f t="shared" si="113"/>
        <v>0</v>
      </c>
      <c r="AU516" s="13">
        <f>ROUNDUP(($AR516+$AT516)*VLOOKUP($AN516,Paraméterek!$P$38:$Q$38,2)/12,IF($D$4="Forint",0,2))</f>
        <v>0</v>
      </c>
      <c r="AV516" s="13"/>
      <c r="AW516" s="13"/>
      <c r="AX516" s="13">
        <f>ROUNDUP(IF(SUM($AV516:$AW516)=0,0,IF(IF(ISBLANK($AW516),$AV516,$AW516)*Paraméterek!$J$112&lt;IF($D$4="Forint",Paraméterek!$J$113,Paraméterek!$K$113),IF($D$4="Forint",Paraméterek!$J$113,Paraméterek!$K$113),IF(IF(ISBLANK($AW516),$AV516,$AW516)*Paraméterek!$J$112&gt;IF($D$4="Forint",Paraméterek!$J$114,Paraméterek!$K$114),IF($D$4="Forint",Paraméterek!$J$114,Paraméterek!$K$114),IF(ISBLANK($AW516),$AV516,$AW516)*Paraméterek!$J$112))),IF($D$4="Forint",0,2))</f>
        <v>0</v>
      </c>
      <c r="AY516" s="13">
        <f>$AR516+$AT516-$AU516-IF(ROUNDDOWN(IF(ISBLANK($AW516),$AV516,$AW516),IF($D$4="Forint",0,2))&gt;$AR516+$AT516-$AU516-IF($D$4="Forint",Paraméterek!$J$114,Paraméterek!$K$114),0,ROUNDDOWN(IF(ISBLANK($AW516),$AV516,$AW516),IF($D$4="Forint",0,2))-$AX516)</f>
        <v>0</v>
      </c>
      <c r="AZ516" s="13">
        <f t="shared" si="114"/>
        <v>0</v>
      </c>
    </row>
    <row r="517" spans="1:52" x14ac:dyDescent="0.2">
      <c r="A517" s="32">
        <v>498</v>
      </c>
      <c r="B517" s="32">
        <v>42</v>
      </c>
      <c r="C517" s="32">
        <v>6</v>
      </c>
      <c r="D517" s="13">
        <f t="shared" si="105"/>
        <v>0</v>
      </c>
      <c r="E517" s="13"/>
      <c r="F517" s="13"/>
      <c r="G517" s="13"/>
      <c r="H517" s="13">
        <f t="shared" si="106"/>
        <v>0</v>
      </c>
      <c r="I517" s="13">
        <f t="shared" si="107"/>
        <v>0</v>
      </c>
      <c r="J517" s="13">
        <f t="shared" si="108"/>
        <v>0</v>
      </c>
      <c r="K517" s="13">
        <f>ROUNDUP(IF($D$2="Egyszeri",$D517,IF($D$2="Havi",SUM($D$20:$D$31),IF(MOD($C517,$M$1)-1=0,SUM($D$20:$D$31),0))/12*$M$1)*VLOOKUP($B517,Paraméterek!$B$27:$D$30,IF($D$2="Egyszeri",3,2)),IF($D$4="Forint",0,2))</f>
        <v>0</v>
      </c>
      <c r="L517" s="13">
        <f t="shared" si="109"/>
        <v>0</v>
      </c>
      <c r="M517" s="13">
        <f t="shared" ca="1" si="115"/>
        <v>-350737</v>
      </c>
      <c r="N517" s="13">
        <f ca="1">IF($V516&gt;=VLOOKUP($M$4-1+$B517,Paraméterek!$B$121:$D$122,IF($D$4="Forint",2,3)),0,VLOOKUP($M$4-1+$B517,Paraméterek!$B$121:$D$122,IF($D$4="Forint",2,3))-$V516)</f>
        <v>360737</v>
      </c>
      <c r="O517" s="13">
        <f ca="1">ROUNDUP($N517*Paraméterek!$C$58/Paraméterek!$C$56,IF($D$4="Forint",0,2))</f>
        <v>58</v>
      </c>
      <c r="P517" s="13">
        <f t="shared" si="110"/>
        <v>1848</v>
      </c>
      <c r="Q517" s="33"/>
      <c r="R517" s="13">
        <f t="shared" ca="1" si="111"/>
        <v>0</v>
      </c>
      <c r="S517" s="13">
        <f ca="1">ROUNDUP(($M517-$O517-$P517+$R517)*VLOOKUP($B517,Paraméterek!$B$38:$D$39,IF($D$2="Egyszeri",3,2))/12,IF($D$4="Forint",0,2))</f>
        <v>-862</v>
      </c>
      <c r="T517" s="13"/>
      <c r="U517" s="13"/>
      <c r="V517" s="13">
        <f ca="1">$M517-$O517-$P517+$R517-$S517-IF(ROUNDUP(IF(ISBLANK($U517),$T517,$U517)/IF(AND($B517=1,$D$2&lt;&gt;"Egyszeri"),1,VLOOKUP($B517+IF($C517=12,1,0),Paraméterek!$B$257:$D$267,IF($D$2="Egyszeri",3,2))),IF($D$4="Forint",0,2))&gt;$M517-$O517-$P517+$R517-$S517-IF($D$4="Forint",Paraméterek!$C$216,Paraméterek!$D$216),0,ROUNDUP(IF(ISBLANK($U517),$T517,$U517)/IF(AND($B517=1,$D$2&lt;&gt;"Egyszeri"),1,VLOOKUP($B517+IF($C517=12,1,0),Paraméterek!$B$257:$D$267,IF($D$2="Egyszeri",3,2))),IF($D$4="Forint",0,2)))</f>
        <v>-351781</v>
      </c>
      <c r="W517" s="13">
        <f ca="1">ROUNDDOWN($V517*VLOOKUP($B517+IF($C517=12,1,0),Paraméterek!$B$257:$D$267,IF($D$2="Egyszeri",3,2)),IF($D$4="Forint",0,2))</f>
        <v>-351781</v>
      </c>
      <c r="Y517" s="32">
        <v>498</v>
      </c>
      <c r="Z517" s="32">
        <v>42</v>
      </c>
      <c r="AA517" s="32">
        <v>6</v>
      </c>
      <c r="AB517" s="13">
        <f t="shared" si="116"/>
        <v>0</v>
      </c>
      <c r="AC517" s="33"/>
      <c r="AD517" s="13">
        <f t="shared" si="112"/>
        <v>0</v>
      </c>
      <c r="AE517" s="13">
        <f>ROUNDUP(($AB517+$AD517)*VLOOKUP($Z517,Paraméterek!$P$38:$Q$38,2)/12,IF($D$4="Forint",0,2))</f>
        <v>0</v>
      </c>
      <c r="AF517" s="13">
        <f>IF($D$2="Egyszeri",IF($D$7&gt;=IF($D$4="Forint",Paraméterek!$P$223,Paraméterek!$P$224),$D$7-IF($D$4="Forint",Paraméterek!$F$223,Paraméterek!$F$224),0),MIN(IF($AA517=12,AVERAGE($D$20:$D517)*12,0),SUM($D$20:$D$31)))</f>
        <v>0</v>
      </c>
      <c r="AG517" s="13">
        <f>IF(AND($Z517&gt;=10,MOD($Z517,5)=0),$AF517*IF($AA517=12,VLOOKUP($Z517,Paraméterek!$B$225:$F$240,IF($AF517&lt;IF($D$4="Forint",Paraméterek!$C$223,Paraméterek!$C$224),2,IF($AF517&lt;IF($D$4="Forint",Paraméterek!$D$223,Paraméterek!$D$224),3,4))),0),0)</f>
        <v>0</v>
      </c>
      <c r="AH517" s="13">
        <f>IF(AND($Z517&gt;=5,MOD($Z517,5)=0),IF($AA517=12,VLOOKUP($Z517,Paraméterek!$B$225:$F$240,5),0),IF(OR($Z517=3,$Z517=4),IF($AA517=12,VLOOKUP($Z517,Paraméterek!$B$225:$F$240,5,0),0),0))*$AF517</f>
        <v>0</v>
      </c>
      <c r="AI517" s="13">
        <f>ROUNDDOWN(IF(SUM($T$20:$U517)=0,IF($D$2="Egyszeri",$AH517,$AG517),0),IF($D$4="Forint",0,2))</f>
        <v>0</v>
      </c>
      <c r="AJ517" s="13">
        <f t="shared" si="117"/>
        <v>0</v>
      </c>
      <c r="AK517" s="13">
        <f t="shared" si="118"/>
        <v>0</v>
      </c>
      <c r="AM517" s="32">
        <v>498</v>
      </c>
      <c r="AN517" s="32">
        <v>42</v>
      </c>
      <c r="AO517" s="32">
        <v>6</v>
      </c>
      <c r="AP517" s="13"/>
      <c r="AQ517" s="32"/>
      <c r="AR517" s="13">
        <f t="shared" si="119"/>
        <v>0</v>
      </c>
      <c r="AS517" s="33"/>
      <c r="AT517" s="13">
        <f t="shared" si="113"/>
        <v>0</v>
      </c>
      <c r="AU517" s="13">
        <f>ROUNDUP(($AR517+$AT517)*VLOOKUP($AN517,Paraméterek!$P$38:$Q$38,2)/12,IF($D$4="Forint",0,2))</f>
        <v>0</v>
      </c>
      <c r="AV517" s="13"/>
      <c r="AW517" s="13"/>
      <c r="AX517" s="13">
        <f>ROUNDUP(IF(SUM($AV517:$AW517)=0,0,IF(IF(ISBLANK($AW517),$AV517,$AW517)*Paraméterek!$J$112&lt;IF($D$4="Forint",Paraméterek!$J$113,Paraméterek!$K$113),IF($D$4="Forint",Paraméterek!$J$113,Paraméterek!$K$113),IF(IF(ISBLANK($AW517),$AV517,$AW517)*Paraméterek!$J$112&gt;IF($D$4="Forint",Paraméterek!$J$114,Paraméterek!$K$114),IF($D$4="Forint",Paraméterek!$J$114,Paraméterek!$K$114),IF(ISBLANK($AW517),$AV517,$AW517)*Paraméterek!$J$112))),IF($D$4="Forint",0,2))</f>
        <v>0</v>
      </c>
      <c r="AY517" s="13">
        <f>$AR517+$AT517-$AU517-IF(ROUNDDOWN(IF(ISBLANK($AW517),$AV517,$AW517),IF($D$4="Forint",0,2))&gt;$AR517+$AT517-$AU517-IF($D$4="Forint",Paraméterek!$J$114,Paraméterek!$K$114),0,ROUNDDOWN(IF(ISBLANK($AW517),$AV517,$AW517),IF($D$4="Forint",0,2))-$AX517)</f>
        <v>0</v>
      </c>
      <c r="AZ517" s="13">
        <f t="shared" si="114"/>
        <v>0</v>
      </c>
    </row>
    <row r="518" spans="1:52" x14ac:dyDescent="0.2">
      <c r="A518" s="32">
        <v>499</v>
      </c>
      <c r="B518" s="32">
        <v>42</v>
      </c>
      <c r="C518" s="32">
        <v>7</v>
      </c>
      <c r="D518" s="13">
        <f t="shared" si="105"/>
        <v>0</v>
      </c>
      <c r="E518" s="13"/>
      <c r="F518" s="13"/>
      <c r="G518" s="13"/>
      <c r="H518" s="13">
        <f t="shared" si="106"/>
        <v>0</v>
      </c>
      <c r="I518" s="13">
        <f t="shared" si="107"/>
        <v>0</v>
      </c>
      <c r="J518" s="13">
        <f t="shared" si="108"/>
        <v>0</v>
      </c>
      <c r="K518" s="13">
        <f>ROUNDUP(IF($D$2="Egyszeri",$D518,IF($D$2="Havi",SUM($D$20:$D$31),IF(MOD($C518,$M$1)-1=0,SUM($D$20:$D$31),0))/12*$M$1)*VLOOKUP($B518,Paraméterek!$B$27:$D$30,IF($D$2="Egyszeri",3,2)),IF($D$4="Forint",0,2))</f>
        <v>0</v>
      </c>
      <c r="L518" s="13">
        <f t="shared" si="109"/>
        <v>0</v>
      </c>
      <c r="M518" s="13">
        <f t="shared" ca="1" si="115"/>
        <v>-351781</v>
      </c>
      <c r="N518" s="13">
        <f ca="1">IF($V517&gt;=VLOOKUP($M$4-1+$B518,Paraméterek!$B$121:$D$122,IF($D$4="Forint",2,3)),0,VLOOKUP($M$4-1+$B518,Paraméterek!$B$121:$D$122,IF($D$4="Forint",2,3))-$V517)</f>
        <v>361781</v>
      </c>
      <c r="O518" s="13">
        <f ca="1">ROUNDUP($N518*Paraméterek!$C$58/Paraméterek!$C$56,IF($D$4="Forint",0,2))</f>
        <v>58</v>
      </c>
      <c r="P518" s="13">
        <f t="shared" si="110"/>
        <v>1848</v>
      </c>
      <c r="Q518" s="33"/>
      <c r="R518" s="13">
        <f t="shared" ca="1" si="111"/>
        <v>0</v>
      </c>
      <c r="S518" s="13">
        <f ca="1">ROUNDUP(($M518-$O518-$P518+$R518)*VLOOKUP($B518,Paraméterek!$B$38:$D$39,IF($D$2="Egyszeri",3,2))/12,IF($D$4="Forint",0,2))</f>
        <v>-864</v>
      </c>
      <c r="T518" s="13"/>
      <c r="U518" s="13"/>
      <c r="V518" s="13">
        <f ca="1">$M518-$O518-$P518+$R518-$S518-IF(ROUNDUP(IF(ISBLANK($U518),$T518,$U518)/IF(AND($B518=1,$D$2&lt;&gt;"Egyszeri"),1,VLOOKUP($B518+IF($C518=12,1,0),Paraméterek!$B$257:$D$267,IF($D$2="Egyszeri",3,2))),IF($D$4="Forint",0,2))&gt;$M518-$O518-$P518+$R518-$S518-IF($D$4="Forint",Paraméterek!$C$216,Paraméterek!$D$216),0,ROUNDUP(IF(ISBLANK($U518),$T518,$U518)/IF(AND($B518=1,$D$2&lt;&gt;"Egyszeri"),1,VLOOKUP($B518+IF($C518=12,1,0),Paraméterek!$B$257:$D$267,IF($D$2="Egyszeri",3,2))),IF($D$4="Forint",0,2)))</f>
        <v>-352823</v>
      </c>
      <c r="W518" s="13">
        <f ca="1">ROUNDDOWN($V518*VLOOKUP($B518+IF($C518=12,1,0),Paraméterek!$B$257:$D$267,IF($D$2="Egyszeri",3,2)),IF($D$4="Forint",0,2))</f>
        <v>-352823</v>
      </c>
      <c r="Y518" s="32">
        <v>499</v>
      </c>
      <c r="Z518" s="32">
        <v>42</v>
      </c>
      <c r="AA518" s="32">
        <v>7</v>
      </c>
      <c r="AB518" s="13">
        <f t="shared" si="116"/>
        <v>0</v>
      </c>
      <c r="AC518" s="33"/>
      <c r="AD518" s="13">
        <f t="shared" si="112"/>
        <v>0</v>
      </c>
      <c r="AE518" s="13">
        <f>ROUNDUP(($AB518+$AD518)*VLOOKUP($Z518,Paraméterek!$P$38:$Q$38,2)/12,IF($D$4="Forint",0,2))</f>
        <v>0</v>
      </c>
      <c r="AF518" s="13">
        <f>IF($D$2="Egyszeri",IF($D$7&gt;=IF($D$4="Forint",Paraméterek!$P$223,Paraméterek!$P$224),$D$7-IF($D$4="Forint",Paraméterek!$F$223,Paraméterek!$F$224),0),MIN(IF($AA518=12,AVERAGE($D$20:$D518)*12,0),SUM($D$20:$D$31)))</f>
        <v>0</v>
      </c>
      <c r="AG518" s="13">
        <f>IF(AND($Z518&gt;=10,MOD($Z518,5)=0),$AF518*IF($AA518=12,VLOOKUP($Z518,Paraméterek!$B$225:$F$240,IF($AF518&lt;IF($D$4="Forint",Paraméterek!$C$223,Paraméterek!$C$224),2,IF($AF518&lt;IF($D$4="Forint",Paraméterek!$D$223,Paraméterek!$D$224),3,4))),0),0)</f>
        <v>0</v>
      </c>
      <c r="AH518" s="13">
        <f>IF(AND($Z518&gt;=5,MOD($Z518,5)=0),IF($AA518=12,VLOOKUP($Z518,Paraméterek!$B$225:$F$240,5),0),IF(OR($Z518=3,$Z518=4),IF($AA518=12,VLOOKUP($Z518,Paraméterek!$B$225:$F$240,5,0),0),0))*$AF518</f>
        <v>0</v>
      </c>
      <c r="AI518" s="13">
        <f>ROUNDDOWN(IF(SUM($T$20:$U518)=0,IF($D$2="Egyszeri",$AH518,$AG518),0),IF($D$4="Forint",0,2))</f>
        <v>0</v>
      </c>
      <c r="AJ518" s="13">
        <f t="shared" si="117"/>
        <v>0</v>
      </c>
      <c r="AK518" s="13">
        <f t="shared" si="118"/>
        <v>0</v>
      </c>
      <c r="AM518" s="32">
        <v>499</v>
      </c>
      <c r="AN518" s="32">
        <v>42</v>
      </c>
      <c r="AO518" s="32">
        <v>7</v>
      </c>
      <c r="AP518" s="13"/>
      <c r="AQ518" s="32"/>
      <c r="AR518" s="13">
        <f t="shared" si="119"/>
        <v>0</v>
      </c>
      <c r="AS518" s="33"/>
      <c r="AT518" s="13">
        <f t="shared" si="113"/>
        <v>0</v>
      </c>
      <c r="AU518" s="13">
        <f>ROUNDUP(($AR518+$AT518)*VLOOKUP($AN518,Paraméterek!$P$38:$Q$38,2)/12,IF($D$4="Forint",0,2))</f>
        <v>0</v>
      </c>
      <c r="AV518" s="13"/>
      <c r="AW518" s="13"/>
      <c r="AX518" s="13">
        <f>ROUNDUP(IF(SUM($AV518:$AW518)=0,0,IF(IF(ISBLANK($AW518),$AV518,$AW518)*Paraméterek!$J$112&lt;IF($D$4="Forint",Paraméterek!$J$113,Paraméterek!$K$113),IF($D$4="Forint",Paraméterek!$J$113,Paraméterek!$K$113),IF(IF(ISBLANK($AW518),$AV518,$AW518)*Paraméterek!$J$112&gt;IF($D$4="Forint",Paraméterek!$J$114,Paraméterek!$K$114),IF($D$4="Forint",Paraméterek!$J$114,Paraméterek!$K$114),IF(ISBLANK($AW518),$AV518,$AW518)*Paraméterek!$J$112))),IF($D$4="Forint",0,2))</f>
        <v>0</v>
      </c>
      <c r="AY518" s="13">
        <f>$AR518+$AT518-$AU518-IF(ROUNDDOWN(IF(ISBLANK($AW518),$AV518,$AW518),IF($D$4="Forint",0,2))&gt;$AR518+$AT518-$AU518-IF($D$4="Forint",Paraméterek!$J$114,Paraméterek!$K$114),0,ROUNDDOWN(IF(ISBLANK($AW518),$AV518,$AW518),IF($D$4="Forint",0,2))-$AX518)</f>
        <v>0</v>
      </c>
      <c r="AZ518" s="13">
        <f t="shared" si="114"/>
        <v>0</v>
      </c>
    </row>
    <row r="519" spans="1:52" x14ac:dyDescent="0.2">
      <c r="A519" s="32">
        <v>500</v>
      </c>
      <c r="B519" s="32">
        <v>42</v>
      </c>
      <c r="C519" s="32">
        <v>8</v>
      </c>
      <c r="D519" s="13">
        <f t="shared" si="105"/>
        <v>0</v>
      </c>
      <c r="E519" s="13"/>
      <c r="F519" s="13"/>
      <c r="G519" s="13"/>
      <c r="H519" s="13">
        <f t="shared" si="106"/>
        <v>0</v>
      </c>
      <c r="I519" s="13">
        <f t="shared" si="107"/>
        <v>0</v>
      </c>
      <c r="J519" s="13">
        <f t="shared" si="108"/>
        <v>0</v>
      </c>
      <c r="K519" s="13">
        <f>ROUNDUP(IF($D$2="Egyszeri",$D519,IF($D$2="Havi",SUM($D$20:$D$31),IF(MOD($C519,$M$1)-1=0,SUM($D$20:$D$31),0))/12*$M$1)*VLOOKUP($B519,Paraméterek!$B$27:$D$30,IF($D$2="Egyszeri",3,2)),IF($D$4="Forint",0,2))</f>
        <v>0</v>
      </c>
      <c r="L519" s="13">
        <f t="shared" si="109"/>
        <v>0</v>
      </c>
      <c r="M519" s="13">
        <f t="shared" ca="1" si="115"/>
        <v>-352823</v>
      </c>
      <c r="N519" s="13">
        <f ca="1">IF($V518&gt;=VLOOKUP($M$4-1+$B519,Paraméterek!$B$121:$D$122,IF($D$4="Forint",2,3)),0,VLOOKUP($M$4-1+$B519,Paraméterek!$B$121:$D$122,IF($D$4="Forint",2,3))-$V518)</f>
        <v>362823</v>
      </c>
      <c r="O519" s="13">
        <f ca="1">ROUNDUP($N519*Paraméterek!$C$58/Paraméterek!$C$56,IF($D$4="Forint",0,2))</f>
        <v>58</v>
      </c>
      <c r="P519" s="13">
        <f t="shared" si="110"/>
        <v>1848</v>
      </c>
      <c r="Q519" s="33"/>
      <c r="R519" s="13">
        <f t="shared" ca="1" si="111"/>
        <v>0</v>
      </c>
      <c r="S519" s="13">
        <f ca="1">ROUNDUP(($M519-$O519-$P519+$R519)*VLOOKUP($B519,Paraméterek!$B$38:$D$39,IF($D$2="Egyszeri",3,2))/12,IF($D$4="Forint",0,2))</f>
        <v>-867</v>
      </c>
      <c r="T519" s="13"/>
      <c r="U519" s="13"/>
      <c r="V519" s="13">
        <f ca="1">$M519-$O519-$P519+$R519-$S519-IF(ROUNDUP(IF(ISBLANK($U519),$T519,$U519)/IF(AND($B519=1,$D$2&lt;&gt;"Egyszeri"),1,VLOOKUP($B519+IF($C519=12,1,0),Paraméterek!$B$257:$D$267,IF($D$2="Egyszeri",3,2))),IF($D$4="Forint",0,2))&gt;$M519-$O519-$P519+$R519-$S519-IF($D$4="Forint",Paraméterek!$C$216,Paraméterek!$D$216),0,ROUNDUP(IF(ISBLANK($U519),$T519,$U519)/IF(AND($B519=1,$D$2&lt;&gt;"Egyszeri"),1,VLOOKUP($B519+IF($C519=12,1,0),Paraméterek!$B$257:$D$267,IF($D$2="Egyszeri",3,2))),IF($D$4="Forint",0,2)))</f>
        <v>-353862</v>
      </c>
      <c r="W519" s="13">
        <f ca="1">ROUNDDOWN($V519*VLOOKUP($B519+IF($C519=12,1,0),Paraméterek!$B$257:$D$267,IF($D$2="Egyszeri",3,2)),IF($D$4="Forint",0,2))</f>
        <v>-353862</v>
      </c>
      <c r="Y519" s="32">
        <v>500</v>
      </c>
      <c r="Z519" s="32">
        <v>42</v>
      </c>
      <c r="AA519" s="32">
        <v>8</v>
      </c>
      <c r="AB519" s="13">
        <f t="shared" si="116"/>
        <v>0</v>
      </c>
      <c r="AC519" s="33"/>
      <c r="AD519" s="13">
        <f t="shared" si="112"/>
        <v>0</v>
      </c>
      <c r="AE519" s="13">
        <f>ROUNDUP(($AB519+$AD519)*VLOOKUP($Z519,Paraméterek!$P$38:$Q$38,2)/12,IF($D$4="Forint",0,2))</f>
        <v>0</v>
      </c>
      <c r="AF519" s="13">
        <f>IF($D$2="Egyszeri",IF($D$7&gt;=IF($D$4="Forint",Paraméterek!$P$223,Paraméterek!$P$224),$D$7-IF($D$4="Forint",Paraméterek!$F$223,Paraméterek!$F$224),0),MIN(IF($AA519=12,AVERAGE($D$20:$D519)*12,0),SUM($D$20:$D$31)))</f>
        <v>0</v>
      </c>
      <c r="AG519" s="13">
        <f>IF(AND($Z519&gt;=10,MOD($Z519,5)=0),$AF519*IF($AA519=12,VLOOKUP($Z519,Paraméterek!$B$225:$F$240,IF($AF519&lt;IF($D$4="Forint",Paraméterek!$C$223,Paraméterek!$C$224),2,IF($AF519&lt;IF($D$4="Forint",Paraméterek!$D$223,Paraméterek!$D$224),3,4))),0),0)</f>
        <v>0</v>
      </c>
      <c r="AH519" s="13">
        <f>IF(AND($Z519&gt;=5,MOD($Z519,5)=0),IF($AA519=12,VLOOKUP($Z519,Paraméterek!$B$225:$F$240,5),0),IF(OR($Z519=3,$Z519=4),IF($AA519=12,VLOOKUP($Z519,Paraméterek!$B$225:$F$240,5,0),0),0))*$AF519</f>
        <v>0</v>
      </c>
      <c r="AI519" s="13">
        <f>ROUNDDOWN(IF(SUM($T$20:$U519)=0,IF($D$2="Egyszeri",$AH519,$AG519),0),IF($D$4="Forint",0,2))</f>
        <v>0</v>
      </c>
      <c r="AJ519" s="13">
        <f t="shared" si="117"/>
        <v>0</v>
      </c>
      <c r="AK519" s="13">
        <f t="shared" si="118"/>
        <v>0</v>
      </c>
      <c r="AM519" s="32">
        <v>500</v>
      </c>
      <c r="AN519" s="32">
        <v>42</v>
      </c>
      <c r="AO519" s="32">
        <v>8</v>
      </c>
      <c r="AP519" s="13"/>
      <c r="AQ519" s="32"/>
      <c r="AR519" s="13">
        <f t="shared" si="119"/>
        <v>0</v>
      </c>
      <c r="AS519" s="33"/>
      <c r="AT519" s="13">
        <f t="shared" si="113"/>
        <v>0</v>
      </c>
      <c r="AU519" s="13">
        <f>ROUNDUP(($AR519+$AT519)*VLOOKUP($AN519,Paraméterek!$P$38:$Q$38,2)/12,IF($D$4="Forint",0,2))</f>
        <v>0</v>
      </c>
      <c r="AV519" s="13"/>
      <c r="AW519" s="13"/>
      <c r="AX519" s="13">
        <f>ROUNDUP(IF(SUM($AV519:$AW519)=0,0,IF(IF(ISBLANK($AW519),$AV519,$AW519)*Paraméterek!$J$112&lt;IF($D$4="Forint",Paraméterek!$J$113,Paraméterek!$K$113),IF($D$4="Forint",Paraméterek!$J$113,Paraméterek!$K$113),IF(IF(ISBLANK($AW519),$AV519,$AW519)*Paraméterek!$J$112&gt;IF($D$4="Forint",Paraméterek!$J$114,Paraméterek!$K$114),IF($D$4="Forint",Paraméterek!$J$114,Paraméterek!$K$114),IF(ISBLANK($AW519),$AV519,$AW519)*Paraméterek!$J$112))),IF($D$4="Forint",0,2))</f>
        <v>0</v>
      </c>
      <c r="AY519" s="13">
        <f>$AR519+$AT519-$AU519-IF(ROUNDDOWN(IF(ISBLANK($AW519),$AV519,$AW519),IF($D$4="Forint",0,2))&gt;$AR519+$AT519-$AU519-IF($D$4="Forint",Paraméterek!$J$114,Paraméterek!$K$114),0,ROUNDDOWN(IF(ISBLANK($AW519),$AV519,$AW519),IF($D$4="Forint",0,2))-$AX519)</f>
        <v>0</v>
      </c>
      <c r="AZ519" s="13">
        <f t="shared" si="114"/>
        <v>0</v>
      </c>
    </row>
    <row r="520" spans="1:52" x14ac:dyDescent="0.2">
      <c r="A520" s="32">
        <v>501</v>
      </c>
      <c r="B520" s="32">
        <v>42</v>
      </c>
      <c r="C520" s="32">
        <v>9</v>
      </c>
      <c r="D520" s="13">
        <f t="shared" si="105"/>
        <v>0</v>
      </c>
      <c r="E520" s="13"/>
      <c r="F520" s="13"/>
      <c r="G520" s="13"/>
      <c r="H520" s="13">
        <f t="shared" si="106"/>
        <v>0</v>
      </c>
      <c r="I520" s="13">
        <f t="shared" si="107"/>
        <v>0</v>
      </c>
      <c r="J520" s="13">
        <f t="shared" si="108"/>
        <v>0</v>
      </c>
      <c r="K520" s="13">
        <f>ROUNDUP(IF($D$2="Egyszeri",$D520,IF($D$2="Havi",SUM($D$20:$D$31),IF(MOD($C520,$M$1)-1=0,SUM($D$20:$D$31),0))/12*$M$1)*VLOOKUP($B520,Paraméterek!$B$27:$D$30,IF($D$2="Egyszeri",3,2)),IF($D$4="Forint",0,2))</f>
        <v>0</v>
      </c>
      <c r="L520" s="13">
        <f t="shared" si="109"/>
        <v>0</v>
      </c>
      <c r="M520" s="13">
        <f t="shared" ca="1" si="115"/>
        <v>-353862</v>
      </c>
      <c r="N520" s="13">
        <f ca="1">IF($V519&gt;=VLOOKUP($M$4-1+$B520,Paraméterek!$B$121:$D$122,IF($D$4="Forint",2,3)),0,VLOOKUP($M$4-1+$B520,Paraméterek!$B$121:$D$122,IF($D$4="Forint",2,3))-$V519)</f>
        <v>363862</v>
      </c>
      <c r="O520" s="13">
        <f ca="1">ROUNDUP($N520*Paraméterek!$C$58/Paraméterek!$C$56,IF($D$4="Forint",0,2))</f>
        <v>58</v>
      </c>
      <c r="P520" s="13">
        <f t="shared" si="110"/>
        <v>1848</v>
      </c>
      <c r="Q520" s="33"/>
      <c r="R520" s="13">
        <f t="shared" ca="1" si="111"/>
        <v>0</v>
      </c>
      <c r="S520" s="13">
        <f ca="1">ROUNDUP(($M520-$O520-$P520+$R520)*VLOOKUP($B520,Paraméterek!$B$38:$D$39,IF($D$2="Egyszeri",3,2))/12,IF($D$4="Forint",0,2))</f>
        <v>-869</v>
      </c>
      <c r="T520" s="13"/>
      <c r="U520" s="13"/>
      <c r="V520" s="13">
        <f ca="1">$M520-$O520-$P520+$R520-$S520-IF(ROUNDUP(IF(ISBLANK($U520),$T520,$U520)/IF(AND($B520=1,$D$2&lt;&gt;"Egyszeri"),1,VLOOKUP($B520+IF($C520=12,1,0),Paraméterek!$B$257:$D$267,IF($D$2="Egyszeri",3,2))),IF($D$4="Forint",0,2))&gt;$M520-$O520-$P520+$R520-$S520-IF($D$4="Forint",Paraméterek!$C$216,Paraméterek!$D$216),0,ROUNDUP(IF(ISBLANK($U520),$T520,$U520)/IF(AND($B520=1,$D$2&lt;&gt;"Egyszeri"),1,VLOOKUP($B520+IF($C520=12,1,0),Paraméterek!$B$257:$D$267,IF($D$2="Egyszeri",3,2))),IF($D$4="Forint",0,2)))</f>
        <v>-354899</v>
      </c>
      <c r="W520" s="13">
        <f ca="1">ROUNDDOWN($V520*VLOOKUP($B520+IF($C520=12,1,0),Paraméterek!$B$257:$D$267,IF($D$2="Egyszeri",3,2)),IF($D$4="Forint",0,2))</f>
        <v>-354899</v>
      </c>
      <c r="Y520" s="32">
        <v>501</v>
      </c>
      <c r="Z520" s="32">
        <v>42</v>
      </c>
      <c r="AA520" s="32">
        <v>9</v>
      </c>
      <c r="AB520" s="13">
        <f t="shared" si="116"/>
        <v>0</v>
      </c>
      <c r="AC520" s="33"/>
      <c r="AD520" s="13">
        <f t="shared" si="112"/>
        <v>0</v>
      </c>
      <c r="AE520" s="13">
        <f>ROUNDUP(($AB520+$AD520)*VLOOKUP($Z520,Paraméterek!$P$38:$Q$38,2)/12,IF($D$4="Forint",0,2))</f>
        <v>0</v>
      </c>
      <c r="AF520" s="13">
        <f>IF($D$2="Egyszeri",IF($D$7&gt;=IF($D$4="Forint",Paraméterek!$P$223,Paraméterek!$P$224),$D$7-IF($D$4="Forint",Paraméterek!$F$223,Paraméterek!$F$224),0),MIN(IF($AA520=12,AVERAGE($D$20:$D520)*12,0),SUM($D$20:$D$31)))</f>
        <v>0</v>
      </c>
      <c r="AG520" s="13">
        <f>IF(AND($Z520&gt;=10,MOD($Z520,5)=0),$AF520*IF($AA520=12,VLOOKUP($Z520,Paraméterek!$B$225:$F$240,IF($AF520&lt;IF($D$4="Forint",Paraméterek!$C$223,Paraméterek!$C$224),2,IF($AF520&lt;IF($D$4="Forint",Paraméterek!$D$223,Paraméterek!$D$224),3,4))),0),0)</f>
        <v>0</v>
      </c>
      <c r="AH520" s="13">
        <f>IF(AND($Z520&gt;=5,MOD($Z520,5)=0),IF($AA520=12,VLOOKUP($Z520,Paraméterek!$B$225:$F$240,5),0),IF(OR($Z520=3,$Z520=4),IF($AA520=12,VLOOKUP($Z520,Paraméterek!$B$225:$F$240,5,0),0),0))*$AF520</f>
        <v>0</v>
      </c>
      <c r="AI520" s="13">
        <f>ROUNDDOWN(IF(SUM($T$20:$U520)=0,IF($D$2="Egyszeri",$AH520,$AG520),0),IF($D$4="Forint",0,2))</f>
        <v>0</v>
      </c>
      <c r="AJ520" s="13">
        <f t="shared" si="117"/>
        <v>0</v>
      </c>
      <c r="AK520" s="13">
        <f t="shared" si="118"/>
        <v>0</v>
      </c>
      <c r="AM520" s="32">
        <v>501</v>
      </c>
      <c r="AN520" s="32">
        <v>42</v>
      </c>
      <c r="AO520" s="32">
        <v>9</v>
      </c>
      <c r="AP520" s="13"/>
      <c r="AQ520" s="32"/>
      <c r="AR520" s="13">
        <f t="shared" si="119"/>
        <v>0</v>
      </c>
      <c r="AS520" s="33"/>
      <c r="AT520" s="13">
        <f t="shared" si="113"/>
        <v>0</v>
      </c>
      <c r="AU520" s="13">
        <f>ROUNDUP(($AR520+$AT520)*VLOOKUP($AN520,Paraméterek!$P$38:$Q$38,2)/12,IF($D$4="Forint",0,2))</f>
        <v>0</v>
      </c>
      <c r="AV520" s="13"/>
      <c r="AW520" s="13"/>
      <c r="AX520" s="13">
        <f>ROUNDUP(IF(SUM($AV520:$AW520)=0,0,IF(IF(ISBLANK($AW520),$AV520,$AW520)*Paraméterek!$J$112&lt;IF($D$4="Forint",Paraméterek!$J$113,Paraméterek!$K$113),IF($D$4="Forint",Paraméterek!$J$113,Paraméterek!$K$113),IF(IF(ISBLANK($AW520),$AV520,$AW520)*Paraméterek!$J$112&gt;IF($D$4="Forint",Paraméterek!$J$114,Paraméterek!$K$114),IF($D$4="Forint",Paraméterek!$J$114,Paraméterek!$K$114),IF(ISBLANK($AW520),$AV520,$AW520)*Paraméterek!$J$112))),IF($D$4="Forint",0,2))</f>
        <v>0</v>
      </c>
      <c r="AY520" s="13">
        <f>$AR520+$AT520-$AU520-IF(ROUNDDOWN(IF(ISBLANK($AW520),$AV520,$AW520),IF($D$4="Forint",0,2))&gt;$AR520+$AT520-$AU520-IF($D$4="Forint",Paraméterek!$J$114,Paraméterek!$K$114),0,ROUNDDOWN(IF(ISBLANK($AW520),$AV520,$AW520),IF($D$4="Forint",0,2))-$AX520)</f>
        <v>0</v>
      </c>
      <c r="AZ520" s="13">
        <f t="shared" si="114"/>
        <v>0</v>
      </c>
    </row>
    <row r="521" spans="1:52" x14ac:dyDescent="0.2">
      <c r="A521" s="32">
        <v>502</v>
      </c>
      <c r="B521" s="32">
        <v>42</v>
      </c>
      <c r="C521" s="32">
        <v>10</v>
      </c>
      <c r="D521" s="13">
        <f t="shared" si="105"/>
        <v>0</v>
      </c>
      <c r="E521" s="13"/>
      <c r="F521" s="13"/>
      <c r="G521" s="13"/>
      <c r="H521" s="13">
        <f t="shared" si="106"/>
        <v>0</v>
      </c>
      <c r="I521" s="13">
        <f t="shared" si="107"/>
        <v>0</v>
      </c>
      <c r="J521" s="13">
        <f t="shared" si="108"/>
        <v>0</v>
      </c>
      <c r="K521" s="13">
        <f>ROUNDUP(IF($D$2="Egyszeri",$D521,IF($D$2="Havi",SUM($D$20:$D$31),IF(MOD($C521,$M$1)-1=0,SUM($D$20:$D$31),0))/12*$M$1)*VLOOKUP($B521,Paraméterek!$B$27:$D$30,IF($D$2="Egyszeri",3,2)),IF($D$4="Forint",0,2))</f>
        <v>0</v>
      </c>
      <c r="L521" s="13">
        <f t="shared" si="109"/>
        <v>0</v>
      </c>
      <c r="M521" s="13">
        <f t="shared" ca="1" si="115"/>
        <v>-354899</v>
      </c>
      <c r="N521" s="13">
        <f ca="1">IF($V520&gt;=VLOOKUP($M$4-1+$B521,Paraméterek!$B$121:$D$122,IF($D$4="Forint",2,3)),0,VLOOKUP($M$4-1+$B521,Paraméterek!$B$121:$D$122,IF($D$4="Forint",2,3))-$V520)</f>
        <v>364899</v>
      </c>
      <c r="O521" s="13">
        <f ca="1">ROUNDUP($N521*Paraméterek!$C$58/Paraméterek!$C$56,IF($D$4="Forint",0,2))</f>
        <v>59</v>
      </c>
      <c r="P521" s="13">
        <f t="shared" si="110"/>
        <v>1848</v>
      </c>
      <c r="Q521" s="33"/>
      <c r="R521" s="13">
        <f t="shared" ca="1" si="111"/>
        <v>0</v>
      </c>
      <c r="S521" s="13">
        <f ca="1">ROUNDUP(($M521-$O521-$P521+$R521)*VLOOKUP($B521,Paraméterek!$B$38:$D$39,IF($D$2="Egyszeri",3,2))/12,IF($D$4="Forint",0,2))</f>
        <v>-872</v>
      </c>
      <c r="T521" s="13"/>
      <c r="U521" s="13"/>
      <c r="V521" s="13">
        <f ca="1">$M521-$O521-$P521+$R521-$S521-IF(ROUNDUP(IF(ISBLANK($U521),$T521,$U521)/IF(AND($B521=1,$D$2&lt;&gt;"Egyszeri"),1,VLOOKUP($B521+IF($C521=12,1,0),Paraméterek!$B$257:$D$267,IF($D$2="Egyszeri",3,2))),IF($D$4="Forint",0,2))&gt;$M521-$O521-$P521+$R521-$S521-IF($D$4="Forint",Paraméterek!$C$216,Paraméterek!$D$216),0,ROUNDUP(IF(ISBLANK($U521),$T521,$U521)/IF(AND($B521=1,$D$2&lt;&gt;"Egyszeri"),1,VLOOKUP($B521+IF($C521=12,1,0),Paraméterek!$B$257:$D$267,IF($D$2="Egyszeri",3,2))),IF($D$4="Forint",0,2)))</f>
        <v>-355934</v>
      </c>
      <c r="W521" s="13">
        <f ca="1">ROUNDDOWN($V521*VLOOKUP($B521+IF($C521=12,1,0),Paraméterek!$B$257:$D$267,IF($D$2="Egyszeri",3,2)),IF($D$4="Forint",0,2))</f>
        <v>-355934</v>
      </c>
      <c r="Y521" s="32">
        <v>502</v>
      </c>
      <c r="Z521" s="32">
        <v>42</v>
      </c>
      <c r="AA521" s="32">
        <v>10</v>
      </c>
      <c r="AB521" s="13">
        <f t="shared" si="116"/>
        <v>0</v>
      </c>
      <c r="AC521" s="33"/>
      <c r="AD521" s="13">
        <f t="shared" si="112"/>
        <v>0</v>
      </c>
      <c r="AE521" s="13">
        <f>ROUNDUP(($AB521+$AD521)*VLOOKUP($Z521,Paraméterek!$P$38:$Q$38,2)/12,IF($D$4="Forint",0,2))</f>
        <v>0</v>
      </c>
      <c r="AF521" s="13">
        <f>IF($D$2="Egyszeri",IF($D$7&gt;=IF($D$4="Forint",Paraméterek!$P$223,Paraméterek!$P$224),$D$7-IF($D$4="Forint",Paraméterek!$F$223,Paraméterek!$F$224),0),MIN(IF($AA521=12,AVERAGE($D$20:$D521)*12,0),SUM($D$20:$D$31)))</f>
        <v>0</v>
      </c>
      <c r="AG521" s="13">
        <f>IF(AND($Z521&gt;=10,MOD($Z521,5)=0),$AF521*IF($AA521=12,VLOOKUP($Z521,Paraméterek!$B$225:$F$240,IF($AF521&lt;IF($D$4="Forint",Paraméterek!$C$223,Paraméterek!$C$224),2,IF($AF521&lt;IF($D$4="Forint",Paraméterek!$D$223,Paraméterek!$D$224),3,4))),0),0)</f>
        <v>0</v>
      </c>
      <c r="AH521" s="13">
        <f>IF(AND($Z521&gt;=5,MOD($Z521,5)=0),IF($AA521=12,VLOOKUP($Z521,Paraméterek!$B$225:$F$240,5),0),IF(OR($Z521=3,$Z521=4),IF($AA521=12,VLOOKUP($Z521,Paraméterek!$B$225:$F$240,5,0),0),0))*$AF521</f>
        <v>0</v>
      </c>
      <c r="AI521" s="13">
        <f>ROUNDDOWN(IF(SUM($T$20:$U521)=0,IF($D$2="Egyszeri",$AH521,$AG521),0),IF($D$4="Forint",0,2))</f>
        <v>0</v>
      </c>
      <c r="AJ521" s="13">
        <f t="shared" si="117"/>
        <v>0</v>
      </c>
      <c r="AK521" s="13">
        <f t="shared" si="118"/>
        <v>0</v>
      </c>
      <c r="AM521" s="32">
        <v>502</v>
      </c>
      <c r="AN521" s="32">
        <v>42</v>
      </c>
      <c r="AO521" s="32">
        <v>10</v>
      </c>
      <c r="AP521" s="13"/>
      <c r="AQ521" s="32"/>
      <c r="AR521" s="13">
        <f t="shared" si="119"/>
        <v>0</v>
      </c>
      <c r="AS521" s="33"/>
      <c r="AT521" s="13">
        <f t="shared" si="113"/>
        <v>0</v>
      </c>
      <c r="AU521" s="13">
        <f>ROUNDUP(($AR521+$AT521)*VLOOKUP($AN521,Paraméterek!$P$38:$Q$38,2)/12,IF($D$4="Forint",0,2))</f>
        <v>0</v>
      </c>
      <c r="AV521" s="13"/>
      <c r="AW521" s="13"/>
      <c r="AX521" s="13">
        <f>ROUNDUP(IF(SUM($AV521:$AW521)=0,0,IF(IF(ISBLANK($AW521),$AV521,$AW521)*Paraméterek!$J$112&lt;IF($D$4="Forint",Paraméterek!$J$113,Paraméterek!$K$113),IF($D$4="Forint",Paraméterek!$J$113,Paraméterek!$K$113),IF(IF(ISBLANK($AW521),$AV521,$AW521)*Paraméterek!$J$112&gt;IF($D$4="Forint",Paraméterek!$J$114,Paraméterek!$K$114),IF($D$4="Forint",Paraméterek!$J$114,Paraméterek!$K$114),IF(ISBLANK($AW521),$AV521,$AW521)*Paraméterek!$J$112))),IF($D$4="Forint",0,2))</f>
        <v>0</v>
      </c>
      <c r="AY521" s="13">
        <f>$AR521+$AT521-$AU521-IF(ROUNDDOWN(IF(ISBLANK($AW521),$AV521,$AW521),IF($D$4="Forint",0,2))&gt;$AR521+$AT521-$AU521-IF($D$4="Forint",Paraméterek!$J$114,Paraméterek!$K$114),0,ROUNDDOWN(IF(ISBLANK($AW521),$AV521,$AW521),IF($D$4="Forint",0,2))-$AX521)</f>
        <v>0</v>
      </c>
      <c r="AZ521" s="13">
        <f t="shared" si="114"/>
        <v>0</v>
      </c>
    </row>
    <row r="522" spans="1:52" x14ac:dyDescent="0.2">
      <c r="A522" s="32">
        <v>503</v>
      </c>
      <c r="B522" s="32">
        <v>42</v>
      </c>
      <c r="C522" s="32">
        <v>11</v>
      </c>
      <c r="D522" s="13">
        <f t="shared" si="105"/>
        <v>0</v>
      </c>
      <c r="E522" s="13"/>
      <c r="F522" s="13"/>
      <c r="G522" s="13"/>
      <c r="H522" s="13">
        <f t="shared" si="106"/>
        <v>0</v>
      </c>
      <c r="I522" s="13">
        <f t="shared" si="107"/>
        <v>0</v>
      </c>
      <c r="J522" s="13">
        <f t="shared" si="108"/>
        <v>0</v>
      </c>
      <c r="K522" s="13">
        <f>ROUNDUP(IF($D$2="Egyszeri",$D522,IF($D$2="Havi",SUM($D$20:$D$31),IF(MOD($C522,$M$1)-1=0,SUM($D$20:$D$31),0))/12*$M$1)*VLOOKUP($B522,Paraméterek!$B$27:$D$30,IF($D$2="Egyszeri",3,2)),IF($D$4="Forint",0,2))</f>
        <v>0</v>
      </c>
      <c r="L522" s="13">
        <f t="shared" si="109"/>
        <v>0</v>
      </c>
      <c r="M522" s="13">
        <f t="shared" ca="1" si="115"/>
        <v>-355934</v>
      </c>
      <c r="N522" s="13">
        <f ca="1">IF($V521&gt;=VLOOKUP($M$4-1+$B522,Paraméterek!$B$121:$D$122,IF($D$4="Forint",2,3)),0,VLOOKUP($M$4-1+$B522,Paraméterek!$B$121:$D$122,IF($D$4="Forint",2,3))-$V521)</f>
        <v>365934</v>
      </c>
      <c r="O522" s="13">
        <f ca="1">ROUNDUP($N522*Paraméterek!$C$58/Paraméterek!$C$56,IF($D$4="Forint",0,2))</f>
        <v>59</v>
      </c>
      <c r="P522" s="13">
        <f t="shared" si="110"/>
        <v>1848</v>
      </c>
      <c r="Q522" s="33"/>
      <c r="R522" s="13">
        <f t="shared" ca="1" si="111"/>
        <v>0</v>
      </c>
      <c r="S522" s="13">
        <f ca="1">ROUNDUP(($M522-$O522-$P522+$R522)*VLOOKUP($B522,Paraméterek!$B$38:$D$39,IF($D$2="Egyszeri",3,2))/12,IF($D$4="Forint",0,2))</f>
        <v>-874</v>
      </c>
      <c r="T522" s="13"/>
      <c r="U522" s="13"/>
      <c r="V522" s="13">
        <f ca="1">$M522-$O522-$P522+$R522-$S522-IF(ROUNDUP(IF(ISBLANK($U522),$T522,$U522)/IF(AND($B522=1,$D$2&lt;&gt;"Egyszeri"),1,VLOOKUP($B522+IF($C522=12,1,0),Paraméterek!$B$257:$D$267,IF($D$2="Egyszeri",3,2))),IF($D$4="Forint",0,2))&gt;$M522-$O522-$P522+$R522-$S522-IF($D$4="Forint",Paraméterek!$C$216,Paraméterek!$D$216),0,ROUNDUP(IF(ISBLANK($U522),$T522,$U522)/IF(AND($B522=1,$D$2&lt;&gt;"Egyszeri"),1,VLOOKUP($B522+IF($C522=12,1,0),Paraméterek!$B$257:$D$267,IF($D$2="Egyszeri",3,2))),IF($D$4="Forint",0,2)))</f>
        <v>-356967</v>
      </c>
      <c r="W522" s="13">
        <f ca="1">ROUNDDOWN($V522*VLOOKUP($B522+IF($C522=12,1,0),Paraméterek!$B$257:$D$267,IF($D$2="Egyszeri",3,2)),IF($D$4="Forint",0,2))</f>
        <v>-356967</v>
      </c>
      <c r="Y522" s="32">
        <v>503</v>
      </c>
      <c r="Z522" s="32">
        <v>42</v>
      </c>
      <c r="AA522" s="32">
        <v>11</v>
      </c>
      <c r="AB522" s="13">
        <f t="shared" si="116"/>
        <v>0</v>
      </c>
      <c r="AC522" s="33"/>
      <c r="AD522" s="13">
        <f t="shared" si="112"/>
        <v>0</v>
      </c>
      <c r="AE522" s="13">
        <f>ROUNDUP(($AB522+$AD522)*VLOOKUP($Z522,Paraméterek!$P$38:$Q$38,2)/12,IF($D$4="Forint",0,2))</f>
        <v>0</v>
      </c>
      <c r="AF522" s="13">
        <f>IF($D$2="Egyszeri",IF($D$7&gt;=IF($D$4="Forint",Paraméterek!$P$223,Paraméterek!$P$224),$D$7-IF($D$4="Forint",Paraméterek!$F$223,Paraméterek!$F$224),0),MIN(IF($AA522=12,AVERAGE($D$20:$D522)*12,0),SUM($D$20:$D$31)))</f>
        <v>0</v>
      </c>
      <c r="AG522" s="13">
        <f>IF(AND($Z522&gt;=10,MOD($Z522,5)=0),$AF522*IF($AA522=12,VLOOKUP($Z522,Paraméterek!$B$225:$F$240,IF($AF522&lt;IF($D$4="Forint",Paraméterek!$C$223,Paraméterek!$C$224),2,IF($AF522&lt;IF($D$4="Forint",Paraméterek!$D$223,Paraméterek!$D$224),3,4))),0),0)</f>
        <v>0</v>
      </c>
      <c r="AH522" s="13">
        <f>IF(AND($Z522&gt;=5,MOD($Z522,5)=0),IF($AA522=12,VLOOKUP($Z522,Paraméterek!$B$225:$F$240,5),0),IF(OR($Z522=3,$Z522=4),IF($AA522=12,VLOOKUP($Z522,Paraméterek!$B$225:$F$240,5,0),0),0))*$AF522</f>
        <v>0</v>
      </c>
      <c r="AI522" s="13">
        <f>ROUNDDOWN(IF(SUM($T$20:$U522)=0,IF($D$2="Egyszeri",$AH522,$AG522),0),IF($D$4="Forint",0,2))</f>
        <v>0</v>
      </c>
      <c r="AJ522" s="13">
        <f t="shared" si="117"/>
        <v>0</v>
      </c>
      <c r="AK522" s="13">
        <f t="shared" si="118"/>
        <v>0</v>
      </c>
      <c r="AM522" s="32">
        <v>503</v>
      </c>
      <c r="AN522" s="32">
        <v>42</v>
      </c>
      <c r="AO522" s="32">
        <v>11</v>
      </c>
      <c r="AP522" s="13"/>
      <c r="AQ522" s="32"/>
      <c r="AR522" s="13">
        <f t="shared" si="119"/>
        <v>0</v>
      </c>
      <c r="AS522" s="33"/>
      <c r="AT522" s="13">
        <f t="shared" si="113"/>
        <v>0</v>
      </c>
      <c r="AU522" s="13">
        <f>ROUNDUP(($AR522+$AT522)*VLOOKUP($AN522,Paraméterek!$P$38:$Q$38,2)/12,IF($D$4="Forint",0,2))</f>
        <v>0</v>
      </c>
      <c r="AV522" s="13"/>
      <c r="AW522" s="13"/>
      <c r="AX522" s="13">
        <f>ROUNDUP(IF(SUM($AV522:$AW522)=0,0,IF(IF(ISBLANK($AW522),$AV522,$AW522)*Paraméterek!$J$112&lt;IF($D$4="Forint",Paraméterek!$J$113,Paraméterek!$K$113),IF($D$4="Forint",Paraméterek!$J$113,Paraméterek!$K$113),IF(IF(ISBLANK($AW522),$AV522,$AW522)*Paraméterek!$J$112&gt;IF($D$4="Forint",Paraméterek!$J$114,Paraméterek!$K$114),IF($D$4="Forint",Paraméterek!$J$114,Paraméterek!$K$114),IF(ISBLANK($AW522),$AV522,$AW522)*Paraméterek!$J$112))),IF($D$4="Forint",0,2))</f>
        <v>0</v>
      </c>
      <c r="AY522" s="13">
        <f>$AR522+$AT522-$AU522-IF(ROUNDDOWN(IF(ISBLANK($AW522),$AV522,$AW522),IF($D$4="Forint",0,2))&gt;$AR522+$AT522-$AU522-IF($D$4="Forint",Paraméterek!$J$114,Paraméterek!$K$114),0,ROUNDDOWN(IF(ISBLANK($AW522),$AV522,$AW522),IF($D$4="Forint",0,2))-$AX522)</f>
        <v>0</v>
      </c>
      <c r="AZ522" s="13">
        <f t="shared" si="114"/>
        <v>0</v>
      </c>
    </row>
    <row r="523" spans="1:52" x14ac:dyDescent="0.2">
      <c r="A523" s="32">
        <v>504</v>
      </c>
      <c r="B523" s="32">
        <v>42</v>
      </c>
      <c r="C523" s="32">
        <v>12</v>
      </c>
      <c r="D523" s="13">
        <f t="shared" si="105"/>
        <v>0</v>
      </c>
      <c r="E523" s="13"/>
      <c r="F523" s="13"/>
      <c r="G523" s="13"/>
      <c r="H523" s="13">
        <f t="shared" si="106"/>
        <v>0</v>
      </c>
      <c r="I523" s="13">
        <f t="shared" si="107"/>
        <v>0</v>
      </c>
      <c r="J523" s="13">
        <f t="shared" si="108"/>
        <v>0</v>
      </c>
      <c r="K523" s="13">
        <f>ROUNDUP(IF($D$2="Egyszeri",$D523,IF($D$2="Havi",SUM($D$20:$D$31),IF(MOD($C523,$M$1)-1=0,SUM($D$20:$D$31),0))/12*$M$1)*VLOOKUP($B523,Paraméterek!$B$27:$D$30,IF($D$2="Egyszeri",3,2)),IF($D$4="Forint",0,2))</f>
        <v>0</v>
      </c>
      <c r="L523" s="13">
        <f t="shared" si="109"/>
        <v>0</v>
      </c>
      <c r="M523" s="13">
        <f t="shared" ca="1" si="115"/>
        <v>-356967</v>
      </c>
      <c r="N523" s="13">
        <f ca="1">IF($V522&gt;=VLOOKUP($M$4-1+$B523,Paraméterek!$B$121:$D$122,IF($D$4="Forint",2,3)),0,VLOOKUP($M$4-1+$B523,Paraméterek!$B$121:$D$122,IF($D$4="Forint",2,3))-$V522)</f>
        <v>366967</v>
      </c>
      <c r="O523" s="13">
        <f ca="1">ROUNDUP($N523*Paraméterek!$C$58/Paraméterek!$C$56,IF($D$4="Forint",0,2))</f>
        <v>59</v>
      </c>
      <c r="P523" s="13">
        <f t="shared" si="110"/>
        <v>1848</v>
      </c>
      <c r="Q523" s="33"/>
      <c r="R523" s="13">
        <f t="shared" ca="1" si="111"/>
        <v>0</v>
      </c>
      <c r="S523" s="13">
        <f ca="1">ROUNDUP(($M523-$O523-$P523+$R523)*VLOOKUP($B523,Paraméterek!$B$38:$D$39,IF($D$2="Egyszeri",3,2))/12,IF($D$4="Forint",0,2))</f>
        <v>-877</v>
      </c>
      <c r="T523" s="13">
        <f>Tranzakciók!$F$73</f>
        <v>0</v>
      </c>
      <c r="U523" s="13"/>
      <c r="V523" s="13">
        <f ca="1">$M523-$O523-$P523+$R523-$S523-IF(ROUNDUP(IF(ISBLANK($U523),$T523,$U523)/IF(AND($B523=1,$D$2&lt;&gt;"Egyszeri"),1,VLOOKUP($B523+IF($C523=12,1,0),Paraméterek!$B$257:$D$267,IF($D$2="Egyszeri",3,2))),IF($D$4="Forint",0,2))&gt;$M523-$O523-$P523+$R523-$S523-IF($D$4="Forint",Paraméterek!$C$216,Paraméterek!$D$216),0,ROUNDUP(IF(ISBLANK($U523),$T523,$U523)/IF(AND($B523=1,$D$2&lt;&gt;"Egyszeri"),1,VLOOKUP($B523+IF($C523=12,1,0),Paraméterek!$B$257:$D$267,IF($D$2="Egyszeri",3,2))),IF($D$4="Forint",0,2)))</f>
        <v>-357997</v>
      </c>
      <c r="W523" s="13">
        <f ca="1">ROUNDDOWN($V523*VLOOKUP($B523+IF($C523=12,1,0),Paraméterek!$B$257:$D$267,IF($D$2="Egyszeri",3,2)),IF($D$4="Forint",0,2))</f>
        <v>-357997</v>
      </c>
      <c r="Y523" s="32">
        <v>504</v>
      </c>
      <c r="Z523" s="32">
        <v>42</v>
      </c>
      <c r="AA523" s="32">
        <v>12</v>
      </c>
      <c r="AB523" s="13">
        <f t="shared" si="116"/>
        <v>0</v>
      </c>
      <c r="AC523" s="33"/>
      <c r="AD523" s="13">
        <f t="shared" si="112"/>
        <v>0</v>
      </c>
      <c r="AE523" s="13">
        <f>ROUNDUP(($AB523+$AD523)*VLOOKUP($Z523,Paraméterek!$P$38:$Q$38,2)/12,IF($D$4="Forint",0,2))</f>
        <v>0</v>
      </c>
      <c r="AF523" s="13">
        <f>IF($D$2="Egyszeri",IF($D$7&gt;=IF($D$4="Forint",Paraméterek!$P$223,Paraméterek!$P$224),$D$7-IF($D$4="Forint",Paraméterek!$F$223,Paraméterek!$F$224),0),MIN(IF($AA523=12,AVERAGE($D$20:$D523)*12,0),SUM($D$20:$D$31)))</f>
        <v>0</v>
      </c>
      <c r="AG523" s="13">
        <f>IF(AND($Z523&gt;=10,MOD($Z523,5)=0),$AF523*IF($AA523=12,VLOOKUP($Z523,Paraméterek!$B$225:$F$240,IF($AF523&lt;IF($D$4="Forint",Paraméterek!$C$223,Paraméterek!$C$224),2,IF($AF523&lt;IF($D$4="Forint",Paraméterek!$D$223,Paraméterek!$D$224),3,4))),0),0)</f>
        <v>0</v>
      </c>
      <c r="AH523" s="13">
        <f>IF(AND($Z523&gt;=5,MOD($Z523,5)=0),IF($AA523=12,VLOOKUP($Z523,Paraméterek!$B$225:$F$240,5),0),IF(OR($Z523=3,$Z523=4),IF($AA523=12,VLOOKUP($Z523,Paraméterek!$B$225:$F$240,5,0),0),0))*$AF523</f>
        <v>0</v>
      </c>
      <c r="AI523" s="13">
        <f>ROUNDDOWN(IF(SUM($T$20:$U523)=0,IF($D$2="Egyszeri",$AH523,$AG523),0),IF($D$4="Forint",0,2))</f>
        <v>0</v>
      </c>
      <c r="AJ523" s="13">
        <f t="shared" si="117"/>
        <v>0</v>
      </c>
      <c r="AK523" s="13">
        <f t="shared" si="118"/>
        <v>0</v>
      </c>
      <c r="AM523" s="32">
        <v>504</v>
      </c>
      <c r="AN523" s="32">
        <v>42</v>
      </c>
      <c r="AO523" s="32">
        <v>12</v>
      </c>
      <c r="AP523" s="13"/>
      <c r="AQ523" s="32"/>
      <c r="AR523" s="13">
        <f t="shared" si="119"/>
        <v>0</v>
      </c>
      <c r="AS523" s="33"/>
      <c r="AT523" s="13">
        <f t="shared" si="113"/>
        <v>0</v>
      </c>
      <c r="AU523" s="13">
        <f>ROUNDUP(($AR523+$AT523)*VLOOKUP($AN523,Paraméterek!$P$38:$Q$38,2)/12,IF($D$4="Forint",0,2))</f>
        <v>0</v>
      </c>
      <c r="AV523" s="13">
        <f>Tranzakciók!$M$73</f>
        <v>0</v>
      </c>
      <c r="AW523" s="13"/>
      <c r="AX523" s="13">
        <f>ROUNDUP(IF(SUM($AV523:$AW523)=0,0,IF(IF(ISBLANK($AW523),$AV523,$AW523)*Paraméterek!$J$112&lt;IF($D$4="Forint",Paraméterek!$J$113,Paraméterek!$K$113),IF($D$4="Forint",Paraméterek!$J$113,Paraméterek!$K$113),IF(IF(ISBLANK($AW523),$AV523,$AW523)*Paraméterek!$J$112&gt;IF($D$4="Forint",Paraméterek!$J$114,Paraméterek!$K$114),IF($D$4="Forint",Paraméterek!$J$114,Paraméterek!$K$114),IF(ISBLANK($AW523),$AV523,$AW523)*Paraméterek!$J$112))),IF($D$4="Forint",0,2))</f>
        <v>0</v>
      </c>
      <c r="AY523" s="13">
        <f>$AR523+$AT523-$AU523-IF(ROUNDDOWN(IF(ISBLANK($AW523),$AV523,$AW523),IF($D$4="Forint",0,2))&gt;$AR523+$AT523-$AU523-IF($D$4="Forint",Paraméterek!$J$114,Paraméterek!$K$114),0,ROUNDDOWN(IF(ISBLANK($AW523),$AV523,$AW523),IF($D$4="Forint",0,2))-$AX523)</f>
        <v>0</v>
      </c>
      <c r="AZ523" s="13">
        <f t="shared" si="114"/>
        <v>0</v>
      </c>
    </row>
    <row r="524" spans="1:52" x14ac:dyDescent="0.2">
      <c r="A524" s="32">
        <v>505</v>
      </c>
      <c r="B524" s="32">
        <v>43</v>
      </c>
      <c r="C524" s="32">
        <v>1</v>
      </c>
      <c r="D524" s="13">
        <f t="shared" si="105"/>
        <v>0</v>
      </c>
      <c r="E524" s="13"/>
      <c r="F524" s="13">
        <f>Tranzakciók!$D$74</f>
        <v>0</v>
      </c>
      <c r="G524" s="13"/>
      <c r="H524" s="13">
        <f t="shared" si="106"/>
        <v>0</v>
      </c>
      <c r="I524" s="13">
        <f t="shared" si="107"/>
        <v>347</v>
      </c>
      <c r="J524" s="13">
        <f t="shared" si="108"/>
        <v>347</v>
      </c>
      <c r="K524" s="13">
        <f>ROUNDUP(IF($D$2="Egyszeri",$D524,IF($D$2="Havi",SUM($D$20:$D$31),IF(MOD($C524,$M$1)-1=0,SUM($D$20:$D$31),0))/12*$M$1)*VLOOKUP($B524,Paraméterek!$B$27:$D$30,IF($D$2="Egyszeri",3,2)),IF($D$4="Forint",0,2))</f>
        <v>0</v>
      </c>
      <c r="L524" s="13">
        <f t="shared" si="109"/>
        <v>0</v>
      </c>
      <c r="M524" s="13">
        <f t="shared" ca="1" si="115"/>
        <v>-357997</v>
      </c>
      <c r="N524" s="13">
        <f ca="1">IF($V523&gt;=VLOOKUP($M$4-1+$B524,Paraméterek!$B$121:$D$122,IF($D$4="Forint",2,3)),0,VLOOKUP($M$4-1+$B524,Paraméterek!$B$121:$D$122,IF($D$4="Forint",2,3))-$V523)</f>
        <v>367997</v>
      </c>
      <c r="O524" s="13">
        <f ca="1">ROUNDUP($N524*Paraméterek!$C$58/Paraméterek!$C$56,IF($D$4="Forint",0,2))</f>
        <v>59</v>
      </c>
      <c r="P524" s="13">
        <f t="shared" si="110"/>
        <v>1904</v>
      </c>
      <c r="Q524" s="33"/>
      <c r="R524" s="13">
        <f t="shared" ca="1" si="111"/>
        <v>0</v>
      </c>
      <c r="S524" s="13">
        <f ca="1">ROUNDUP(($M524-$O524-$P524+$R524)*VLOOKUP($B524,Paraméterek!$B$38:$D$39,IF($D$2="Egyszeri",3,2))/12,IF($D$4="Forint",0,2))</f>
        <v>-879</v>
      </c>
      <c r="T524" s="13"/>
      <c r="U524" s="13"/>
      <c r="V524" s="13">
        <f ca="1">$M524-$O524-$P524+$R524-$S524-IF(ROUNDUP(IF(ISBLANK($U524),$T524,$U524)/IF(AND($B524=1,$D$2&lt;&gt;"Egyszeri"),1,VLOOKUP($B524+IF($C524=12,1,0),Paraméterek!$B$257:$D$267,IF($D$2="Egyszeri",3,2))),IF($D$4="Forint",0,2))&gt;$M524-$O524-$P524+$R524-$S524-IF($D$4="Forint",Paraméterek!$C$216,Paraméterek!$D$216),0,ROUNDUP(IF(ISBLANK($U524),$T524,$U524)/IF(AND($B524=1,$D$2&lt;&gt;"Egyszeri"),1,VLOOKUP($B524+IF($C524=12,1,0),Paraméterek!$B$257:$D$267,IF($D$2="Egyszeri",3,2))),IF($D$4="Forint",0,2)))</f>
        <v>-359081</v>
      </c>
      <c r="W524" s="13">
        <f ca="1">ROUNDDOWN($V524*VLOOKUP($B524+IF($C524=12,1,0),Paraméterek!$B$257:$D$267,IF($D$2="Egyszeri",3,2)),IF($D$4="Forint",0,2))</f>
        <v>-359081</v>
      </c>
      <c r="Y524" s="32">
        <v>505</v>
      </c>
      <c r="Z524" s="32">
        <v>43</v>
      </c>
      <c r="AA524" s="32">
        <v>1</v>
      </c>
      <c r="AB524" s="13">
        <f t="shared" si="116"/>
        <v>0</v>
      </c>
      <c r="AC524" s="33"/>
      <c r="AD524" s="13">
        <f t="shared" si="112"/>
        <v>0</v>
      </c>
      <c r="AE524" s="13">
        <f>ROUNDUP(($AB524+$AD524)*VLOOKUP($Z524,Paraméterek!$P$38:$Q$38,2)/12,IF($D$4="Forint",0,2))</f>
        <v>0</v>
      </c>
      <c r="AF524" s="13">
        <f>IF($D$2="Egyszeri",IF($D$7&gt;=IF($D$4="Forint",Paraméterek!$P$223,Paraméterek!$P$224),$D$7-IF($D$4="Forint",Paraméterek!$F$223,Paraméterek!$F$224),0),MIN(IF($AA524=12,AVERAGE($D$20:$D524)*12,0),SUM($D$20:$D$31)))</f>
        <v>0</v>
      </c>
      <c r="AG524" s="13">
        <f>IF(AND($Z524&gt;=10,MOD($Z524,5)=0),$AF524*IF($AA524=12,VLOOKUP($Z524,Paraméterek!$B$225:$F$240,IF($AF524&lt;IF($D$4="Forint",Paraméterek!$C$223,Paraméterek!$C$224),2,IF($AF524&lt;IF($D$4="Forint",Paraméterek!$D$223,Paraméterek!$D$224),3,4))),0),0)</f>
        <v>0</v>
      </c>
      <c r="AH524" s="13">
        <f>IF(AND($Z524&gt;=5,MOD($Z524,5)=0),IF($AA524=12,VLOOKUP($Z524,Paraméterek!$B$225:$F$240,5),0),IF(OR($Z524=3,$Z524=4),IF($AA524=12,VLOOKUP($Z524,Paraméterek!$B$225:$F$240,5,0),0),0))*$AF524</f>
        <v>0</v>
      </c>
      <c r="AI524" s="13">
        <f>ROUNDDOWN(IF(SUM($T$20:$U524)=0,IF($D$2="Egyszeri",$AH524,$AG524),0),IF($D$4="Forint",0,2))</f>
        <v>0</v>
      </c>
      <c r="AJ524" s="13">
        <f t="shared" si="117"/>
        <v>0</v>
      </c>
      <c r="AK524" s="13">
        <f t="shared" si="118"/>
        <v>0</v>
      </c>
      <c r="AM524" s="32">
        <v>505</v>
      </c>
      <c r="AN524" s="32">
        <v>43</v>
      </c>
      <c r="AO524" s="32">
        <v>1</v>
      </c>
      <c r="AP524" s="13">
        <f>Tranzakciók!$K$74</f>
        <v>0</v>
      </c>
      <c r="AQ524" s="32"/>
      <c r="AR524" s="13">
        <f t="shared" si="119"/>
        <v>0</v>
      </c>
      <c r="AS524" s="33"/>
      <c r="AT524" s="13">
        <f t="shared" si="113"/>
        <v>0</v>
      </c>
      <c r="AU524" s="13">
        <f>ROUNDUP(($AR524+$AT524)*VLOOKUP($AN524,Paraméterek!$P$38:$Q$38,2)/12,IF($D$4="Forint",0,2))</f>
        <v>0</v>
      </c>
      <c r="AV524" s="13"/>
      <c r="AW524" s="13"/>
      <c r="AX524" s="13">
        <f>ROUNDUP(IF(SUM($AV524:$AW524)=0,0,IF(IF(ISBLANK($AW524),$AV524,$AW524)*Paraméterek!$J$112&lt;IF($D$4="Forint",Paraméterek!$J$113,Paraméterek!$K$113),IF($D$4="Forint",Paraméterek!$J$113,Paraméterek!$K$113),IF(IF(ISBLANK($AW524),$AV524,$AW524)*Paraméterek!$J$112&gt;IF($D$4="Forint",Paraméterek!$J$114,Paraméterek!$K$114),IF($D$4="Forint",Paraméterek!$J$114,Paraméterek!$K$114),IF(ISBLANK($AW524),$AV524,$AW524)*Paraméterek!$J$112))),IF($D$4="Forint",0,2))</f>
        <v>0</v>
      </c>
      <c r="AY524" s="13">
        <f>$AR524+$AT524-$AU524-IF(ROUNDDOWN(IF(ISBLANK($AW524),$AV524,$AW524),IF($D$4="Forint",0,2))&gt;$AR524+$AT524-$AU524-IF($D$4="Forint",Paraméterek!$J$114,Paraméterek!$K$114),0,ROUNDDOWN(IF(ISBLANK($AW524),$AV524,$AW524),IF($D$4="Forint",0,2))-$AX524)</f>
        <v>0</v>
      </c>
      <c r="AZ524" s="13">
        <f t="shared" si="114"/>
        <v>0</v>
      </c>
    </row>
    <row r="525" spans="1:52" x14ac:dyDescent="0.2">
      <c r="A525" s="32">
        <v>506</v>
      </c>
      <c r="B525" s="32">
        <v>43</v>
      </c>
      <c r="C525" s="32">
        <v>2</v>
      </c>
      <c r="D525" s="13">
        <f t="shared" si="105"/>
        <v>0</v>
      </c>
      <c r="E525" s="13"/>
      <c r="F525" s="13"/>
      <c r="G525" s="13"/>
      <c r="H525" s="13">
        <f t="shared" si="106"/>
        <v>0</v>
      </c>
      <c r="I525" s="13">
        <f t="shared" si="107"/>
        <v>0</v>
      </c>
      <c r="J525" s="13">
        <f t="shared" si="108"/>
        <v>0</v>
      </c>
      <c r="K525" s="13">
        <f>ROUNDUP(IF($D$2="Egyszeri",$D525,IF($D$2="Havi",SUM($D$20:$D$31),IF(MOD($C525,$M$1)-1=0,SUM($D$20:$D$31),0))/12*$M$1)*VLOOKUP($B525,Paraméterek!$B$27:$D$30,IF($D$2="Egyszeri",3,2)),IF($D$4="Forint",0,2))</f>
        <v>0</v>
      </c>
      <c r="L525" s="13">
        <f t="shared" si="109"/>
        <v>0</v>
      </c>
      <c r="M525" s="13">
        <f t="shared" ca="1" si="115"/>
        <v>-359081</v>
      </c>
      <c r="N525" s="13">
        <f ca="1">IF($V524&gt;=VLOOKUP($M$4-1+$B525,Paraméterek!$B$121:$D$122,IF($D$4="Forint",2,3)),0,VLOOKUP($M$4-1+$B525,Paraméterek!$B$121:$D$122,IF($D$4="Forint",2,3))-$V524)</f>
        <v>369081</v>
      </c>
      <c r="O525" s="13">
        <f ca="1">ROUNDUP($N525*Paraméterek!$C$58/Paraméterek!$C$56,IF($D$4="Forint",0,2))</f>
        <v>59</v>
      </c>
      <c r="P525" s="13">
        <f t="shared" si="110"/>
        <v>1904</v>
      </c>
      <c r="Q525" s="33"/>
      <c r="R525" s="13">
        <f t="shared" ca="1" si="111"/>
        <v>0</v>
      </c>
      <c r="S525" s="13">
        <f ca="1">ROUNDUP(($M525-$O525-$P525+$R525)*VLOOKUP($B525,Paraméterek!$B$38:$D$39,IF($D$2="Egyszeri",3,2))/12,IF($D$4="Forint",0,2))</f>
        <v>-882</v>
      </c>
      <c r="T525" s="13"/>
      <c r="U525" s="13"/>
      <c r="V525" s="13">
        <f ca="1">$M525-$O525-$P525+$R525-$S525-IF(ROUNDUP(IF(ISBLANK($U525),$T525,$U525)/IF(AND($B525=1,$D$2&lt;&gt;"Egyszeri"),1,VLOOKUP($B525+IF($C525=12,1,0),Paraméterek!$B$257:$D$267,IF($D$2="Egyszeri",3,2))),IF($D$4="Forint",0,2))&gt;$M525-$O525-$P525+$R525-$S525-IF($D$4="Forint",Paraméterek!$C$216,Paraméterek!$D$216),0,ROUNDUP(IF(ISBLANK($U525),$T525,$U525)/IF(AND($B525=1,$D$2&lt;&gt;"Egyszeri"),1,VLOOKUP($B525+IF($C525=12,1,0),Paraméterek!$B$257:$D$267,IF($D$2="Egyszeri",3,2))),IF($D$4="Forint",0,2)))</f>
        <v>-360162</v>
      </c>
      <c r="W525" s="13">
        <f ca="1">ROUNDDOWN($V525*VLOOKUP($B525+IF($C525=12,1,0),Paraméterek!$B$257:$D$267,IF($D$2="Egyszeri",3,2)),IF($D$4="Forint",0,2))</f>
        <v>-360162</v>
      </c>
      <c r="Y525" s="32">
        <v>506</v>
      </c>
      <c r="Z525" s="32">
        <v>43</v>
      </c>
      <c r="AA525" s="32">
        <v>2</v>
      </c>
      <c r="AB525" s="13">
        <f t="shared" si="116"/>
        <v>0</v>
      </c>
      <c r="AC525" s="33"/>
      <c r="AD525" s="13">
        <f t="shared" si="112"/>
        <v>0</v>
      </c>
      <c r="AE525" s="13">
        <f>ROUNDUP(($AB525+$AD525)*VLOOKUP($Z525,Paraméterek!$P$38:$Q$38,2)/12,IF($D$4="Forint",0,2))</f>
        <v>0</v>
      </c>
      <c r="AF525" s="13">
        <f>IF($D$2="Egyszeri",IF($D$7&gt;=IF($D$4="Forint",Paraméterek!$P$223,Paraméterek!$P$224),$D$7-IF($D$4="Forint",Paraméterek!$F$223,Paraméterek!$F$224),0),MIN(IF($AA525=12,AVERAGE($D$20:$D525)*12,0),SUM($D$20:$D$31)))</f>
        <v>0</v>
      </c>
      <c r="AG525" s="13">
        <f>IF(AND($Z525&gt;=10,MOD($Z525,5)=0),$AF525*IF($AA525=12,VLOOKUP($Z525,Paraméterek!$B$225:$F$240,IF($AF525&lt;IF($D$4="Forint",Paraméterek!$C$223,Paraméterek!$C$224),2,IF($AF525&lt;IF($D$4="Forint",Paraméterek!$D$223,Paraméterek!$D$224),3,4))),0),0)</f>
        <v>0</v>
      </c>
      <c r="AH525" s="13">
        <f>IF(AND($Z525&gt;=5,MOD($Z525,5)=0),IF($AA525=12,VLOOKUP($Z525,Paraméterek!$B$225:$F$240,5),0),IF(OR($Z525=3,$Z525=4),IF($AA525=12,VLOOKUP($Z525,Paraméterek!$B$225:$F$240,5,0),0),0))*$AF525</f>
        <v>0</v>
      </c>
      <c r="AI525" s="13">
        <f>ROUNDDOWN(IF(SUM($T$20:$U525)=0,IF($D$2="Egyszeri",$AH525,$AG525),0),IF($D$4="Forint",0,2))</f>
        <v>0</v>
      </c>
      <c r="AJ525" s="13">
        <f t="shared" si="117"/>
        <v>0</v>
      </c>
      <c r="AK525" s="13">
        <f t="shared" si="118"/>
        <v>0</v>
      </c>
      <c r="AM525" s="32">
        <v>506</v>
      </c>
      <c r="AN525" s="32">
        <v>43</v>
      </c>
      <c r="AO525" s="32">
        <v>2</v>
      </c>
      <c r="AP525" s="13"/>
      <c r="AQ525" s="32"/>
      <c r="AR525" s="13">
        <f t="shared" si="119"/>
        <v>0</v>
      </c>
      <c r="AS525" s="33"/>
      <c r="AT525" s="13">
        <f t="shared" si="113"/>
        <v>0</v>
      </c>
      <c r="AU525" s="13">
        <f>ROUNDUP(($AR525+$AT525)*VLOOKUP($AN525,Paraméterek!$P$38:$Q$38,2)/12,IF($D$4="Forint",0,2))</f>
        <v>0</v>
      </c>
      <c r="AV525" s="13"/>
      <c r="AW525" s="13"/>
      <c r="AX525" s="13">
        <f>ROUNDUP(IF(SUM($AV525:$AW525)=0,0,IF(IF(ISBLANK($AW525),$AV525,$AW525)*Paraméterek!$J$112&lt;IF($D$4="Forint",Paraméterek!$J$113,Paraméterek!$K$113),IF($D$4="Forint",Paraméterek!$J$113,Paraméterek!$K$113),IF(IF(ISBLANK($AW525),$AV525,$AW525)*Paraméterek!$J$112&gt;IF($D$4="Forint",Paraméterek!$J$114,Paraméterek!$K$114),IF($D$4="Forint",Paraméterek!$J$114,Paraméterek!$K$114),IF(ISBLANK($AW525),$AV525,$AW525)*Paraméterek!$J$112))),IF($D$4="Forint",0,2))</f>
        <v>0</v>
      </c>
      <c r="AY525" s="13">
        <f>$AR525+$AT525-$AU525-IF(ROUNDDOWN(IF(ISBLANK($AW525),$AV525,$AW525),IF($D$4="Forint",0,2))&gt;$AR525+$AT525-$AU525-IF($D$4="Forint",Paraméterek!$J$114,Paraméterek!$K$114),0,ROUNDDOWN(IF(ISBLANK($AW525),$AV525,$AW525),IF($D$4="Forint",0,2))-$AX525)</f>
        <v>0</v>
      </c>
      <c r="AZ525" s="13">
        <f t="shared" si="114"/>
        <v>0</v>
      </c>
    </row>
    <row r="526" spans="1:52" x14ac:dyDescent="0.2">
      <c r="A526" s="32">
        <v>507</v>
      </c>
      <c r="B526" s="32">
        <v>43</v>
      </c>
      <c r="C526" s="32">
        <v>3</v>
      </c>
      <c r="D526" s="13">
        <f t="shared" si="105"/>
        <v>0</v>
      </c>
      <c r="E526" s="13"/>
      <c r="F526" s="13"/>
      <c r="G526" s="13"/>
      <c r="H526" s="13">
        <f t="shared" si="106"/>
        <v>0</v>
      </c>
      <c r="I526" s="13">
        <f t="shared" si="107"/>
        <v>0</v>
      </c>
      <c r="J526" s="13">
        <f t="shared" si="108"/>
        <v>0</v>
      </c>
      <c r="K526" s="13">
        <f>ROUNDUP(IF($D$2="Egyszeri",$D526,IF($D$2="Havi",SUM($D$20:$D$31),IF(MOD($C526,$M$1)-1=0,SUM($D$20:$D$31),0))/12*$M$1)*VLOOKUP($B526,Paraméterek!$B$27:$D$30,IF($D$2="Egyszeri",3,2)),IF($D$4="Forint",0,2))</f>
        <v>0</v>
      </c>
      <c r="L526" s="13">
        <f t="shared" si="109"/>
        <v>0</v>
      </c>
      <c r="M526" s="13">
        <f t="shared" ca="1" si="115"/>
        <v>-360162</v>
      </c>
      <c r="N526" s="13">
        <f ca="1">IF($V525&gt;=VLOOKUP($M$4-1+$B526,Paraméterek!$B$121:$D$122,IF($D$4="Forint",2,3)),0,VLOOKUP($M$4-1+$B526,Paraméterek!$B$121:$D$122,IF($D$4="Forint",2,3))-$V525)</f>
        <v>370162</v>
      </c>
      <c r="O526" s="13">
        <f ca="1">ROUNDUP($N526*Paraméterek!$C$58/Paraméterek!$C$56,IF($D$4="Forint",0,2))</f>
        <v>59</v>
      </c>
      <c r="P526" s="13">
        <f t="shared" si="110"/>
        <v>1904</v>
      </c>
      <c r="Q526" s="33"/>
      <c r="R526" s="13">
        <f t="shared" ca="1" si="111"/>
        <v>0</v>
      </c>
      <c r="S526" s="13">
        <f ca="1">ROUNDUP(($M526-$O526-$P526+$R526)*VLOOKUP($B526,Paraméterek!$B$38:$D$39,IF($D$2="Egyszeri",3,2))/12,IF($D$4="Forint",0,2))</f>
        <v>-885</v>
      </c>
      <c r="T526" s="13"/>
      <c r="U526" s="13"/>
      <c r="V526" s="13">
        <f ca="1">$M526-$O526-$P526+$R526-$S526-IF(ROUNDUP(IF(ISBLANK($U526),$T526,$U526)/IF(AND($B526=1,$D$2&lt;&gt;"Egyszeri"),1,VLOOKUP($B526+IF($C526=12,1,0),Paraméterek!$B$257:$D$267,IF($D$2="Egyszeri",3,2))),IF($D$4="Forint",0,2))&gt;$M526-$O526-$P526+$R526-$S526-IF($D$4="Forint",Paraméterek!$C$216,Paraméterek!$D$216),0,ROUNDUP(IF(ISBLANK($U526),$T526,$U526)/IF(AND($B526=1,$D$2&lt;&gt;"Egyszeri"),1,VLOOKUP($B526+IF($C526=12,1,0),Paraméterek!$B$257:$D$267,IF($D$2="Egyszeri",3,2))),IF($D$4="Forint",0,2)))</f>
        <v>-361240</v>
      </c>
      <c r="W526" s="13">
        <f ca="1">ROUNDDOWN($V526*VLOOKUP($B526+IF($C526=12,1,0),Paraméterek!$B$257:$D$267,IF($D$2="Egyszeri",3,2)),IF($D$4="Forint",0,2))</f>
        <v>-361240</v>
      </c>
      <c r="Y526" s="32">
        <v>507</v>
      </c>
      <c r="Z526" s="32">
        <v>43</v>
      </c>
      <c r="AA526" s="32">
        <v>3</v>
      </c>
      <c r="AB526" s="13">
        <f t="shared" si="116"/>
        <v>0</v>
      </c>
      <c r="AC526" s="33"/>
      <c r="AD526" s="13">
        <f t="shared" si="112"/>
        <v>0</v>
      </c>
      <c r="AE526" s="13">
        <f>ROUNDUP(($AB526+$AD526)*VLOOKUP($Z526,Paraméterek!$P$38:$Q$38,2)/12,IF($D$4="Forint",0,2))</f>
        <v>0</v>
      </c>
      <c r="AF526" s="13">
        <f>IF($D$2="Egyszeri",IF($D$7&gt;=IF($D$4="Forint",Paraméterek!$P$223,Paraméterek!$P$224),$D$7-IF($D$4="Forint",Paraméterek!$F$223,Paraméterek!$F$224),0),MIN(IF($AA526=12,AVERAGE($D$20:$D526)*12,0),SUM($D$20:$D$31)))</f>
        <v>0</v>
      </c>
      <c r="AG526" s="13">
        <f>IF(AND($Z526&gt;=10,MOD($Z526,5)=0),$AF526*IF($AA526=12,VLOOKUP($Z526,Paraméterek!$B$225:$F$240,IF($AF526&lt;IF($D$4="Forint",Paraméterek!$C$223,Paraméterek!$C$224),2,IF($AF526&lt;IF($D$4="Forint",Paraméterek!$D$223,Paraméterek!$D$224),3,4))),0),0)</f>
        <v>0</v>
      </c>
      <c r="AH526" s="13">
        <f>IF(AND($Z526&gt;=5,MOD($Z526,5)=0),IF($AA526=12,VLOOKUP($Z526,Paraméterek!$B$225:$F$240,5),0),IF(OR($Z526=3,$Z526=4),IF($AA526=12,VLOOKUP($Z526,Paraméterek!$B$225:$F$240,5,0),0),0))*$AF526</f>
        <v>0</v>
      </c>
      <c r="AI526" s="13">
        <f>ROUNDDOWN(IF(SUM($T$20:$U526)=0,IF($D$2="Egyszeri",$AH526,$AG526),0),IF($D$4="Forint",0,2))</f>
        <v>0</v>
      </c>
      <c r="AJ526" s="13">
        <f t="shared" si="117"/>
        <v>0</v>
      </c>
      <c r="AK526" s="13">
        <f t="shared" si="118"/>
        <v>0</v>
      </c>
      <c r="AM526" s="32">
        <v>507</v>
      </c>
      <c r="AN526" s="32">
        <v>43</v>
      </c>
      <c r="AO526" s="32">
        <v>3</v>
      </c>
      <c r="AP526" s="13"/>
      <c r="AQ526" s="32"/>
      <c r="AR526" s="13">
        <f t="shared" si="119"/>
        <v>0</v>
      </c>
      <c r="AS526" s="33"/>
      <c r="AT526" s="13">
        <f t="shared" si="113"/>
        <v>0</v>
      </c>
      <c r="AU526" s="13">
        <f>ROUNDUP(($AR526+$AT526)*VLOOKUP($AN526,Paraméterek!$P$38:$Q$38,2)/12,IF($D$4="Forint",0,2))</f>
        <v>0</v>
      </c>
      <c r="AV526" s="13"/>
      <c r="AW526" s="13"/>
      <c r="AX526" s="13">
        <f>ROUNDUP(IF(SUM($AV526:$AW526)=0,0,IF(IF(ISBLANK($AW526),$AV526,$AW526)*Paraméterek!$J$112&lt;IF($D$4="Forint",Paraméterek!$J$113,Paraméterek!$K$113),IF($D$4="Forint",Paraméterek!$J$113,Paraméterek!$K$113),IF(IF(ISBLANK($AW526),$AV526,$AW526)*Paraméterek!$J$112&gt;IF($D$4="Forint",Paraméterek!$J$114,Paraméterek!$K$114),IF($D$4="Forint",Paraméterek!$J$114,Paraméterek!$K$114),IF(ISBLANK($AW526),$AV526,$AW526)*Paraméterek!$J$112))),IF($D$4="Forint",0,2))</f>
        <v>0</v>
      </c>
      <c r="AY526" s="13">
        <f>$AR526+$AT526-$AU526-IF(ROUNDDOWN(IF(ISBLANK($AW526),$AV526,$AW526),IF($D$4="Forint",0,2))&gt;$AR526+$AT526-$AU526-IF($D$4="Forint",Paraméterek!$J$114,Paraméterek!$K$114),0,ROUNDDOWN(IF(ISBLANK($AW526),$AV526,$AW526),IF($D$4="Forint",0,2))-$AX526)</f>
        <v>0</v>
      </c>
      <c r="AZ526" s="13">
        <f t="shared" si="114"/>
        <v>0</v>
      </c>
    </row>
    <row r="527" spans="1:52" x14ac:dyDescent="0.2">
      <c r="A527" s="32">
        <v>508</v>
      </c>
      <c r="B527" s="32">
        <v>43</v>
      </c>
      <c r="C527" s="32">
        <v>4</v>
      </c>
      <c r="D527" s="13">
        <f t="shared" si="105"/>
        <v>0</v>
      </c>
      <c r="E527" s="13"/>
      <c r="F527" s="13"/>
      <c r="G527" s="13"/>
      <c r="H527" s="13">
        <f t="shared" si="106"/>
        <v>0</v>
      </c>
      <c r="I527" s="13">
        <f t="shared" si="107"/>
        <v>0</v>
      </c>
      <c r="J527" s="13">
        <f t="shared" si="108"/>
        <v>0</v>
      </c>
      <c r="K527" s="13">
        <f>ROUNDUP(IF($D$2="Egyszeri",$D527,IF($D$2="Havi",SUM($D$20:$D$31),IF(MOD($C527,$M$1)-1=0,SUM($D$20:$D$31),0))/12*$M$1)*VLOOKUP($B527,Paraméterek!$B$27:$D$30,IF($D$2="Egyszeri",3,2)),IF($D$4="Forint",0,2))</f>
        <v>0</v>
      </c>
      <c r="L527" s="13">
        <f t="shared" si="109"/>
        <v>0</v>
      </c>
      <c r="M527" s="13">
        <f t="shared" ca="1" si="115"/>
        <v>-361240</v>
      </c>
      <c r="N527" s="13">
        <f ca="1">IF($V526&gt;=VLOOKUP($M$4-1+$B527,Paraméterek!$B$121:$D$122,IF($D$4="Forint",2,3)),0,VLOOKUP($M$4-1+$B527,Paraméterek!$B$121:$D$122,IF($D$4="Forint",2,3))-$V526)</f>
        <v>371240</v>
      </c>
      <c r="O527" s="13">
        <f ca="1">ROUNDUP($N527*Paraméterek!$C$58/Paraméterek!$C$56,IF($D$4="Forint",0,2))</f>
        <v>60</v>
      </c>
      <c r="P527" s="13">
        <f t="shared" si="110"/>
        <v>1904</v>
      </c>
      <c r="Q527" s="33"/>
      <c r="R527" s="13">
        <f t="shared" ca="1" si="111"/>
        <v>0</v>
      </c>
      <c r="S527" s="13">
        <f ca="1">ROUNDUP(($M527-$O527-$P527+$R527)*VLOOKUP($B527,Paraméterek!$B$38:$D$39,IF($D$2="Egyszeri",3,2))/12,IF($D$4="Forint",0,2))</f>
        <v>-887</v>
      </c>
      <c r="T527" s="13"/>
      <c r="U527" s="13"/>
      <c r="V527" s="13">
        <f ca="1">$M527-$O527-$P527+$R527-$S527-IF(ROUNDUP(IF(ISBLANK($U527),$T527,$U527)/IF(AND($B527=1,$D$2&lt;&gt;"Egyszeri"),1,VLOOKUP($B527+IF($C527=12,1,0),Paraméterek!$B$257:$D$267,IF($D$2="Egyszeri",3,2))),IF($D$4="Forint",0,2))&gt;$M527-$O527-$P527+$R527-$S527-IF($D$4="Forint",Paraméterek!$C$216,Paraméterek!$D$216),0,ROUNDUP(IF(ISBLANK($U527),$T527,$U527)/IF(AND($B527=1,$D$2&lt;&gt;"Egyszeri"),1,VLOOKUP($B527+IF($C527=12,1,0),Paraméterek!$B$257:$D$267,IF($D$2="Egyszeri",3,2))),IF($D$4="Forint",0,2)))</f>
        <v>-362317</v>
      </c>
      <c r="W527" s="13">
        <f ca="1">ROUNDDOWN($V527*VLOOKUP($B527+IF($C527=12,1,0),Paraméterek!$B$257:$D$267,IF($D$2="Egyszeri",3,2)),IF($D$4="Forint",0,2))</f>
        <v>-362317</v>
      </c>
      <c r="Y527" s="32">
        <v>508</v>
      </c>
      <c r="Z527" s="32">
        <v>43</v>
      </c>
      <c r="AA527" s="32">
        <v>4</v>
      </c>
      <c r="AB527" s="13">
        <f t="shared" si="116"/>
        <v>0</v>
      </c>
      <c r="AC527" s="33"/>
      <c r="AD527" s="13">
        <f t="shared" si="112"/>
        <v>0</v>
      </c>
      <c r="AE527" s="13">
        <f>ROUNDUP(($AB527+$AD527)*VLOOKUP($Z527,Paraméterek!$P$38:$Q$38,2)/12,IF($D$4="Forint",0,2))</f>
        <v>0</v>
      </c>
      <c r="AF527" s="13">
        <f>IF($D$2="Egyszeri",IF($D$7&gt;=IF($D$4="Forint",Paraméterek!$P$223,Paraméterek!$P$224),$D$7-IF($D$4="Forint",Paraméterek!$F$223,Paraméterek!$F$224),0),MIN(IF($AA527=12,AVERAGE($D$20:$D527)*12,0),SUM($D$20:$D$31)))</f>
        <v>0</v>
      </c>
      <c r="AG527" s="13">
        <f>IF(AND($Z527&gt;=10,MOD($Z527,5)=0),$AF527*IF($AA527=12,VLOOKUP($Z527,Paraméterek!$B$225:$F$240,IF($AF527&lt;IF($D$4="Forint",Paraméterek!$C$223,Paraméterek!$C$224),2,IF($AF527&lt;IF($D$4="Forint",Paraméterek!$D$223,Paraméterek!$D$224),3,4))),0),0)</f>
        <v>0</v>
      </c>
      <c r="AH527" s="13">
        <f>IF(AND($Z527&gt;=5,MOD($Z527,5)=0),IF($AA527=12,VLOOKUP($Z527,Paraméterek!$B$225:$F$240,5),0),IF(OR($Z527=3,$Z527=4),IF($AA527=12,VLOOKUP($Z527,Paraméterek!$B$225:$F$240,5,0),0),0))*$AF527</f>
        <v>0</v>
      </c>
      <c r="AI527" s="13">
        <f>ROUNDDOWN(IF(SUM($T$20:$U527)=0,IF($D$2="Egyszeri",$AH527,$AG527),0),IF($D$4="Forint",0,2))</f>
        <v>0</v>
      </c>
      <c r="AJ527" s="13">
        <f t="shared" si="117"/>
        <v>0</v>
      </c>
      <c r="AK527" s="13">
        <f t="shared" si="118"/>
        <v>0</v>
      </c>
      <c r="AM527" s="32">
        <v>508</v>
      </c>
      <c r="AN527" s="32">
        <v>43</v>
      </c>
      <c r="AO527" s="32">
        <v>4</v>
      </c>
      <c r="AP527" s="13"/>
      <c r="AQ527" s="32"/>
      <c r="AR527" s="13">
        <f t="shared" si="119"/>
        <v>0</v>
      </c>
      <c r="AS527" s="33"/>
      <c r="AT527" s="13">
        <f t="shared" si="113"/>
        <v>0</v>
      </c>
      <c r="AU527" s="13">
        <f>ROUNDUP(($AR527+$AT527)*VLOOKUP($AN527,Paraméterek!$P$38:$Q$38,2)/12,IF($D$4="Forint",0,2))</f>
        <v>0</v>
      </c>
      <c r="AV527" s="13"/>
      <c r="AW527" s="13"/>
      <c r="AX527" s="13">
        <f>ROUNDUP(IF(SUM($AV527:$AW527)=0,0,IF(IF(ISBLANK($AW527),$AV527,$AW527)*Paraméterek!$J$112&lt;IF($D$4="Forint",Paraméterek!$J$113,Paraméterek!$K$113),IF($D$4="Forint",Paraméterek!$J$113,Paraméterek!$K$113),IF(IF(ISBLANK($AW527),$AV527,$AW527)*Paraméterek!$J$112&gt;IF($D$4="Forint",Paraméterek!$J$114,Paraméterek!$K$114),IF($D$4="Forint",Paraméterek!$J$114,Paraméterek!$K$114),IF(ISBLANK($AW527),$AV527,$AW527)*Paraméterek!$J$112))),IF($D$4="Forint",0,2))</f>
        <v>0</v>
      </c>
      <c r="AY527" s="13">
        <f>$AR527+$AT527-$AU527-IF(ROUNDDOWN(IF(ISBLANK($AW527),$AV527,$AW527),IF($D$4="Forint",0,2))&gt;$AR527+$AT527-$AU527-IF($D$4="Forint",Paraméterek!$J$114,Paraméterek!$K$114),0,ROUNDDOWN(IF(ISBLANK($AW527),$AV527,$AW527),IF($D$4="Forint",0,2))-$AX527)</f>
        <v>0</v>
      </c>
      <c r="AZ527" s="13">
        <f t="shared" si="114"/>
        <v>0</v>
      </c>
    </row>
    <row r="528" spans="1:52" x14ac:dyDescent="0.2">
      <c r="A528" s="32">
        <v>509</v>
      </c>
      <c r="B528" s="32">
        <v>43</v>
      </c>
      <c r="C528" s="32">
        <v>5</v>
      </c>
      <c r="D528" s="13">
        <f t="shared" si="105"/>
        <v>0</v>
      </c>
      <c r="E528" s="13"/>
      <c r="F528" s="13"/>
      <c r="G528" s="13"/>
      <c r="H528" s="13">
        <f t="shared" si="106"/>
        <v>0</v>
      </c>
      <c r="I528" s="13">
        <f t="shared" si="107"/>
        <v>0</v>
      </c>
      <c r="J528" s="13">
        <f t="shared" si="108"/>
        <v>0</v>
      </c>
      <c r="K528" s="13">
        <f>ROUNDUP(IF($D$2="Egyszeri",$D528,IF($D$2="Havi",SUM($D$20:$D$31),IF(MOD($C528,$M$1)-1=0,SUM($D$20:$D$31),0))/12*$M$1)*VLOOKUP($B528,Paraméterek!$B$27:$D$30,IF($D$2="Egyszeri",3,2)),IF($D$4="Forint",0,2))</f>
        <v>0</v>
      </c>
      <c r="L528" s="13">
        <f t="shared" si="109"/>
        <v>0</v>
      </c>
      <c r="M528" s="13">
        <f t="shared" ca="1" si="115"/>
        <v>-362317</v>
      </c>
      <c r="N528" s="13">
        <f ca="1">IF($V527&gt;=VLOOKUP($M$4-1+$B528,Paraméterek!$B$121:$D$122,IF($D$4="Forint",2,3)),0,VLOOKUP($M$4-1+$B528,Paraméterek!$B$121:$D$122,IF($D$4="Forint",2,3))-$V527)</f>
        <v>372317</v>
      </c>
      <c r="O528" s="13">
        <f ca="1">ROUNDUP($N528*Paraméterek!$C$58/Paraméterek!$C$56,IF($D$4="Forint",0,2))</f>
        <v>60</v>
      </c>
      <c r="P528" s="13">
        <f t="shared" si="110"/>
        <v>1904</v>
      </c>
      <c r="Q528" s="33"/>
      <c r="R528" s="13">
        <f t="shared" ca="1" si="111"/>
        <v>0</v>
      </c>
      <c r="S528" s="13">
        <f ca="1">ROUNDUP(($M528-$O528-$P528+$R528)*VLOOKUP($B528,Paraméterek!$B$38:$D$39,IF($D$2="Egyszeri",3,2))/12,IF($D$4="Forint",0,2))</f>
        <v>-890</v>
      </c>
      <c r="T528" s="13"/>
      <c r="U528" s="13"/>
      <c r="V528" s="13">
        <f ca="1">$M528-$O528-$P528+$R528-$S528-IF(ROUNDUP(IF(ISBLANK($U528),$T528,$U528)/IF(AND($B528=1,$D$2&lt;&gt;"Egyszeri"),1,VLOOKUP($B528+IF($C528=12,1,0),Paraméterek!$B$257:$D$267,IF($D$2="Egyszeri",3,2))),IF($D$4="Forint",0,2))&gt;$M528-$O528-$P528+$R528-$S528-IF($D$4="Forint",Paraméterek!$C$216,Paraméterek!$D$216),0,ROUNDUP(IF(ISBLANK($U528),$T528,$U528)/IF(AND($B528=1,$D$2&lt;&gt;"Egyszeri"),1,VLOOKUP($B528+IF($C528=12,1,0),Paraméterek!$B$257:$D$267,IF($D$2="Egyszeri",3,2))),IF($D$4="Forint",0,2)))</f>
        <v>-363391</v>
      </c>
      <c r="W528" s="13">
        <f ca="1">ROUNDDOWN($V528*VLOOKUP($B528+IF($C528=12,1,0),Paraméterek!$B$257:$D$267,IF($D$2="Egyszeri",3,2)),IF($D$4="Forint",0,2))</f>
        <v>-363391</v>
      </c>
      <c r="Y528" s="32">
        <v>509</v>
      </c>
      <c r="Z528" s="32">
        <v>43</v>
      </c>
      <c r="AA528" s="32">
        <v>5</v>
      </c>
      <c r="AB528" s="13">
        <f t="shared" si="116"/>
        <v>0</v>
      </c>
      <c r="AC528" s="33"/>
      <c r="AD528" s="13">
        <f t="shared" si="112"/>
        <v>0</v>
      </c>
      <c r="AE528" s="13">
        <f>ROUNDUP(($AB528+$AD528)*VLOOKUP($Z528,Paraméterek!$P$38:$Q$38,2)/12,IF($D$4="Forint",0,2))</f>
        <v>0</v>
      </c>
      <c r="AF528" s="13">
        <f>IF($D$2="Egyszeri",IF($D$7&gt;=IF($D$4="Forint",Paraméterek!$P$223,Paraméterek!$P$224),$D$7-IF($D$4="Forint",Paraméterek!$F$223,Paraméterek!$F$224),0),MIN(IF($AA528=12,AVERAGE($D$20:$D528)*12,0),SUM($D$20:$D$31)))</f>
        <v>0</v>
      </c>
      <c r="AG528" s="13">
        <f>IF(AND($Z528&gt;=10,MOD($Z528,5)=0),$AF528*IF($AA528=12,VLOOKUP($Z528,Paraméterek!$B$225:$F$240,IF($AF528&lt;IF($D$4="Forint",Paraméterek!$C$223,Paraméterek!$C$224),2,IF($AF528&lt;IF($D$4="Forint",Paraméterek!$D$223,Paraméterek!$D$224),3,4))),0),0)</f>
        <v>0</v>
      </c>
      <c r="AH528" s="13">
        <f>IF(AND($Z528&gt;=5,MOD($Z528,5)=0),IF($AA528=12,VLOOKUP($Z528,Paraméterek!$B$225:$F$240,5),0),IF(OR($Z528=3,$Z528=4),IF($AA528=12,VLOOKUP($Z528,Paraméterek!$B$225:$F$240,5,0),0),0))*$AF528</f>
        <v>0</v>
      </c>
      <c r="AI528" s="13">
        <f>ROUNDDOWN(IF(SUM($T$20:$U528)=0,IF($D$2="Egyszeri",$AH528,$AG528),0),IF($D$4="Forint",0,2))</f>
        <v>0</v>
      </c>
      <c r="AJ528" s="13">
        <f t="shared" si="117"/>
        <v>0</v>
      </c>
      <c r="AK528" s="13">
        <f t="shared" si="118"/>
        <v>0</v>
      </c>
      <c r="AM528" s="32">
        <v>509</v>
      </c>
      <c r="AN528" s="32">
        <v>43</v>
      </c>
      <c r="AO528" s="32">
        <v>5</v>
      </c>
      <c r="AP528" s="13"/>
      <c r="AQ528" s="32"/>
      <c r="AR528" s="13">
        <f t="shared" si="119"/>
        <v>0</v>
      </c>
      <c r="AS528" s="33"/>
      <c r="AT528" s="13">
        <f t="shared" si="113"/>
        <v>0</v>
      </c>
      <c r="AU528" s="13">
        <f>ROUNDUP(($AR528+$AT528)*VLOOKUP($AN528,Paraméterek!$P$38:$Q$38,2)/12,IF($D$4="Forint",0,2))</f>
        <v>0</v>
      </c>
      <c r="AV528" s="13"/>
      <c r="AW528" s="13"/>
      <c r="AX528" s="13">
        <f>ROUNDUP(IF(SUM($AV528:$AW528)=0,0,IF(IF(ISBLANK($AW528),$AV528,$AW528)*Paraméterek!$J$112&lt;IF($D$4="Forint",Paraméterek!$J$113,Paraméterek!$K$113),IF($D$4="Forint",Paraméterek!$J$113,Paraméterek!$K$113),IF(IF(ISBLANK($AW528),$AV528,$AW528)*Paraméterek!$J$112&gt;IF($D$4="Forint",Paraméterek!$J$114,Paraméterek!$K$114),IF($D$4="Forint",Paraméterek!$J$114,Paraméterek!$K$114),IF(ISBLANK($AW528),$AV528,$AW528)*Paraméterek!$J$112))),IF($D$4="Forint",0,2))</f>
        <v>0</v>
      </c>
      <c r="AY528" s="13">
        <f>$AR528+$AT528-$AU528-IF(ROUNDDOWN(IF(ISBLANK($AW528),$AV528,$AW528),IF($D$4="Forint",0,2))&gt;$AR528+$AT528-$AU528-IF($D$4="Forint",Paraméterek!$J$114,Paraméterek!$K$114),0,ROUNDDOWN(IF(ISBLANK($AW528),$AV528,$AW528),IF($D$4="Forint",0,2))-$AX528)</f>
        <v>0</v>
      </c>
      <c r="AZ528" s="13">
        <f t="shared" si="114"/>
        <v>0</v>
      </c>
    </row>
    <row r="529" spans="1:52" x14ac:dyDescent="0.2">
      <c r="A529" s="32">
        <v>510</v>
      </c>
      <c r="B529" s="32">
        <v>43</v>
      </c>
      <c r="C529" s="32">
        <v>6</v>
      </c>
      <c r="D529" s="13">
        <f t="shared" si="105"/>
        <v>0</v>
      </c>
      <c r="E529" s="13"/>
      <c r="F529" s="13"/>
      <c r="G529" s="13"/>
      <c r="H529" s="13">
        <f t="shared" si="106"/>
        <v>0</v>
      </c>
      <c r="I529" s="13">
        <f t="shared" si="107"/>
        <v>0</v>
      </c>
      <c r="J529" s="13">
        <f t="shared" si="108"/>
        <v>0</v>
      </c>
      <c r="K529" s="13">
        <f>ROUNDUP(IF($D$2="Egyszeri",$D529,IF($D$2="Havi",SUM($D$20:$D$31),IF(MOD($C529,$M$1)-1=0,SUM($D$20:$D$31),0))/12*$M$1)*VLOOKUP($B529,Paraméterek!$B$27:$D$30,IF($D$2="Egyszeri",3,2)),IF($D$4="Forint",0,2))</f>
        <v>0</v>
      </c>
      <c r="L529" s="13">
        <f t="shared" si="109"/>
        <v>0</v>
      </c>
      <c r="M529" s="13">
        <f t="shared" ca="1" si="115"/>
        <v>-363391</v>
      </c>
      <c r="N529" s="13">
        <f ca="1">IF($V528&gt;=VLOOKUP($M$4-1+$B529,Paraméterek!$B$121:$D$122,IF($D$4="Forint",2,3)),0,VLOOKUP($M$4-1+$B529,Paraméterek!$B$121:$D$122,IF($D$4="Forint",2,3))-$V528)</f>
        <v>373391</v>
      </c>
      <c r="O529" s="13">
        <f ca="1">ROUNDUP($N529*Paraméterek!$C$58/Paraméterek!$C$56,IF($D$4="Forint",0,2))</f>
        <v>60</v>
      </c>
      <c r="P529" s="13">
        <f t="shared" si="110"/>
        <v>1904</v>
      </c>
      <c r="Q529" s="33"/>
      <c r="R529" s="13">
        <f t="shared" ca="1" si="111"/>
        <v>0</v>
      </c>
      <c r="S529" s="13">
        <f ca="1">ROUNDUP(($M529-$O529-$P529+$R529)*VLOOKUP($B529,Paraméterek!$B$38:$D$39,IF($D$2="Egyszeri",3,2))/12,IF($D$4="Forint",0,2))</f>
        <v>-893</v>
      </c>
      <c r="T529" s="13"/>
      <c r="U529" s="13"/>
      <c r="V529" s="13">
        <f ca="1">$M529-$O529-$P529+$R529-$S529-IF(ROUNDUP(IF(ISBLANK($U529),$T529,$U529)/IF(AND($B529=1,$D$2&lt;&gt;"Egyszeri"),1,VLOOKUP($B529+IF($C529=12,1,0),Paraméterek!$B$257:$D$267,IF($D$2="Egyszeri",3,2))),IF($D$4="Forint",0,2))&gt;$M529-$O529-$P529+$R529-$S529-IF($D$4="Forint",Paraméterek!$C$216,Paraméterek!$D$216),0,ROUNDUP(IF(ISBLANK($U529),$T529,$U529)/IF(AND($B529=1,$D$2&lt;&gt;"Egyszeri"),1,VLOOKUP($B529+IF($C529=12,1,0),Paraméterek!$B$257:$D$267,IF($D$2="Egyszeri",3,2))),IF($D$4="Forint",0,2)))</f>
        <v>-364462</v>
      </c>
      <c r="W529" s="13">
        <f ca="1">ROUNDDOWN($V529*VLOOKUP($B529+IF($C529=12,1,0),Paraméterek!$B$257:$D$267,IF($D$2="Egyszeri",3,2)),IF($D$4="Forint",0,2))</f>
        <v>-364462</v>
      </c>
      <c r="Y529" s="32">
        <v>510</v>
      </c>
      <c r="Z529" s="32">
        <v>43</v>
      </c>
      <c r="AA529" s="32">
        <v>6</v>
      </c>
      <c r="AB529" s="13">
        <f t="shared" si="116"/>
        <v>0</v>
      </c>
      <c r="AC529" s="33"/>
      <c r="AD529" s="13">
        <f t="shared" si="112"/>
        <v>0</v>
      </c>
      <c r="AE529" s="13">
        <f>ROUNDUP(($AB529+$AD529)*VLOOKUP($Z529,Paraméterek!$P$38:$Q$38,2)/12,IF($D$4="Forint",0,2))</f>
        <v>0</v>
      </c>
      <c r="AF529" s="13">
        <f>IF($D$2="Egyszeri",IF($D$7&gt;=IF($D$4="Forint",Paraméterek!$P$223,Paraméterek!$P$224),$D$7-IF($D$4="Forint",Paraméterek!$F$223,Paraméterek!$F$224),0),MIN(IF($AA529=12,AVERAGE($D$20:$D529)*12,0),SUM($D$20:$D$31)))</f>
        <v>0</v>
      </c>
      <c r="AG529" s="13">
        <f>IF(AND($Z529&gt;=10,MOD($Z529,5)=0),$AF529*IF($AA529=12,VLOOKUP($Z529,Paraméterek!$B$225:$F$240,IF($AF529&lt;IF($D$4="Forint",Paraméterek!$C$223,Paraméterek!$C$224),2,IF($AF529&lt;IF($D$4="Forint",Paraméterek!$D$223,Paraméterek!$D$224),3,4))),0),0)</f>
        <v>0</v>
      </c>
      <c r="AH529" s="13">
        <f>IF(AND($Z529&gt;=5,MOD($Z529,5)=0),IF($AA529=12,VLOOKUP($Z529,Paraméterek!$B$225:$F$240,5),0),IF(OR($Z529=3,$Z529=4),IF($AA529=12,VLOOKUP($Z529,Paraméterek!$B$225:$F$240,5,0),0),0))*$AF529</f>
        <v>0</v>
      </c>
      <c r="AI529" s="13">
        <f>ROUNDDOWN(IF(SUM($T$20:$U529)=0,IF($D$2="Egyszeri",$AH529,$AG529),0),IF($D$4="Forint",0,2))</f>
        <v>0</v>
      </c>
      <c r="AJ529" s="13">
        <f t="shared" si="117"/>
        <v>0</v>
      </c>
      <c r="AK529" s="13">
        <f t="shared" si="118"/>
        <v>0</v>
      </c>
      <c r="AM529" s="32">
        <v>510</v>
      </c>
      <c r="AN529" s="32">
        <v>43</v>
      </c>
      <c r="AO529" s="32">
        <v>6</v>
      </c>
      <c r="AP529" s="13"/>
      <c r="AQ529" s="32"/>
      <c r="AR529" s="13">
        <f t="shared" si="119"/>
        <v>0</v>
      </c>
      <c r="AS529" s="33"/>
      <c r="AT529" s="13">
        <f t="shared" si="113"/>
        <v>0</v>
      </c>
      <c r="AU529" s="13">
        <f>ROUNDUP(($AR529+$AT529)*VLOOKUP($AN529,Paraméterek!$P$38:$Q$38,2)/12,IF($D$4="Forint",0,2))</f>
        <v>0</v>
      </c>
      <c r="AV529" s="13"/>
      <c r="AW529" s="13"/>
      <c r="AX529" s="13">
        <f>ROUNDUP(IF(SUM($AV529:$AW529)=0,0,IF(IF(ISBLANK($AW529),$AV529,$AW529)*Paraméterek!$J$112&lt;IF($D$4="Forint",Paraméterek!$J$113,Paraméterek!$K$113),IF($D$4="Forint",Paraméterek!$J$113,Paraméterek!$K$113),IF(IF(ISBLANK($AW529),$AV529,$AW529)*Paraméterek!$J$112&gt;IF($D$4="Forint",Paraméterek!$J$114,Paraméterek!$K$114),IF($D$4="Forint",Paraméterek!$J$114,Paraméterek!$K$114),IF(ISBLANK($AW529),$AV529,$AW529)*Paraméterek!$J$112))),IF($D$4="Forint",0,2))</f>
        <v>0</v>
      </c>
      <c r="AY529" s="13">
        <f>$AR529+$AT529-$AU529-IF(ROUNDDOWN(IF(ISBLANK($AW529),$AV529,$AW529),IF($D$4="Forint",0,2))&gt;$AR529+$AT529-$AU529-IF($D$4="Forint",Paraméterek!$J$114,Paraméterek!$K$114),0,ROUNDDOWN(IF(ISBLANK($AW529),$AV529,$AW529),IF($D$4="Forint",0,2))-$AX529)</f>
        <v>0</v>
      </c>
      <c r="AZ529" s="13">
        <f t="shared" si="114"/>
        <v>0</v>
      </c>
    </row>
    <row r="530" spans="1:52" x14ac:dyDescent="0.2">
      <c r="A530" s="32">
        <v>511</v>
      </c>
      <c r="B530" s="32">
        <v>43</v>
      </c>
      <c r="C530" s="32">
        <v>7</v>
      </c>
      <c r="D530" s="13">
        <f t="shared" si="105"/>
        <v>0</v>
      </c>
      <c r="E530" s="13"/>
      <c r="F530" s="13"/>
      <c r="G530" s="13"/>
      <c r="H530" s="13">
        <f t="shared" si="106"/>
        <v>0</v>
      </c>
      <c r="I530" s="13">
        <f t="shared" si="107"/>
        <v>0</v>
      </c>
      <c r="J530" s="13">
        <f t="shared" si="108"/>
        <v>0</v>
      </c>
      <c r="K530" s="13">
        <f>ROUNDUP(IF($D$2="Egyszeri",$D530,IF($D$2="Havi",SUM($D$20:$D$31),IF(MOD($C530,$M$1)-1=0,SUM($D$20:$D$31),0))/12*$M$1)*VLOOKUP($B530,Paraméterek!$B$27:$D$30,IF($D$2="Egyszeri",3,2)),IF($D$4="Forint",0,2))</f>
        <v>0</v>
      </c>
      <c r="L530" s="13">
        <f t="shared" si="109"/>
        <v>0</v>
      </c>
      <c r="M530" s="13">
        <f t="shared" ca="1" si="115"/>
        <v>-364462</v>
      </c>
      <c r="N530" s="13">
        <f ca="1">IF($V529&gt;=VLOOKUP($M$4-1+$B530,Paraméterek!$B$121:$D$122,IF($D$4="Forint",2,3)),0,VLOOKUP($M$4-1+$B530,Paraméterek!$B$121:$D$122,IF($D$4="Forint",2,3))-$V529)</f>
        <v>374462</v>
      </c>
      <c r="O530" s="13">
        <f ca="1">ROUNDUP($N530*Paraméterek!$C$58/Paraméterek!$C$56,IF($D$4="Forint",0,2))</f>
        <v>60</v>
      </c>
      <c r="P530" s="13">
        <f t="shared" si="110"/>
        <v>1904</v>
      </c>
      <c r="Q530" s="33"/>
      <c r="R530" s="13">
        <f t="shared" ca="1" si="111"/>
        <v>0</v>
      </c>
      <c r="S530" s="13">
        <f ca="1">ROUNDUP(($M530-$O530-$P530+$R530)*VLOOKUP($B530,Paraméterek!$B$38:$D$39,IF($D$2="Egyszeri",3,2))/12,IF($D$4="Forint",0,2))</f>
        <v>-895</v>
      </c>
      <c r="T530" s="13"/>
      <c r="U530" s="13"/>
      <c r="V530" s="13">
        <f ca="1">$M530-$O530-$P530+$R530-$S530-IF(ROUNDUP(IF(ISBLANK($U530),$T530,$U530)/IF(AND($B530=1,$D$2&lt;&gt;"Egyszeri"),1,VLOOKUP($B530+IF($C530=12,1,0),Paraméterek!$B$257:$D$267,IF($D$2="Egyszeri",3,2))),IF($D$4="Forint",0,2))&gt;$M530-$O530-$P530+$R530-$S530-IF($D$4="Forint",Paraméterek!$C$216,Paraméterek!$D$216),0,ROUNDUP(IF(ISBLANK($U530),$T530,$U530)/IF(AND($B530=1,$D$2&lt;&gt;"Egyszeri"),1,VLOOKUP($B530+IF($C530=12,1,0),Paraméterek!$B$257:$D$267,IF($D$2="Egyszeri",3,2))),IF($D$4="Forint",0,2)))</f>
        <v>-365531</v>
      </c>
      <c r="W530" s="13">
        <f ca="1">ROUNDDOWN($V530*VLOOKUP($B530+IF($C530=12,1,0),Paraméterek!$B$257:$D$267,IF($D$2="Egyszeri",3,2)),IF($D$4="Forint",0,2))</f>
        <v>-365531</v>
      </c>
      <c r="Y530" s="32">
        <v>511</v>
      </c>
      <c r="Z530" s="32">
        <v>43</v>
      </c>
      <c r="AA530" s="32">
        <v>7</v>
      </c>
      <c r="AB530" s="13">
        <f t="shared" si="116"/>
        <v>0</v>
      </c>
      <c r="AC530" s="33"/>
      <c r="AD530" s="13">
        <f t="shared" si="112"/>
        <v>0</v>
      </c>
      <c r="AE530" s="13">
        <f>ROUNDUP(($AB530+$AD530)*VLOOKUP($Z530,Paraméterek!$P$38:$Q$38,2)/12,IF($D$4="Forint",0,2))</f>
        <v>0</v>
      </c>
      <c r="AF530" s="13">
        <f>IF($D$2="Egyszeri",IF($D$7&gt;=IF($D$4="Forint",Paraméterek!$P$223,Paraméterek!$P$224),$D$7-IF($D$4="Forint",Paraméterek!$F$223,Paraméterek!$F$224),0),MIN(IF($AA530=12,AVERAGE($D$20:$D530)*12,0),SUM($D$20:$D$31)))</f>
        <v>0</v>
      </c>
      <c r="AG530" s="13">
        <f>IF(AND($Z530&gt;=10,MOD($Z530,5)=0),$AF530*IF($AA530=12,VLOOKUP($Z530,Paraméterek!$B$225:$F$240,IF($AF530&lt;IF($D$4="Forint",Paraméterek!$C$223,Paraméterek!$C$224),2,IF($AF530&lt;IF($D$4="Forint",Paraméterek!$D$223,Paraméterek!$D$224),3,4))),0),0)</f>
        <v>0</v>
      </c>
      <c r="AH530" s="13">
        <f>IF(AND($Z530&gt;=5,MOD($Z530,5)=0),IF($AA530=12,VLOOKUP($Z530,Paraméterek!$B$225:$F$240,5),0),IF(OR($Z530=3,$Z530=4),IF($AA530=12,VLOOKUP($Z530,Paraméterek!$B$225:$F$240,5,0),0),0))*$AF530</f>
        <v>0</v>
      </c>
      <c r="AI530" s="13">
        <f>ROUNDDOWN(IF(SUM($T$20:$U530)=0,IF($D$2="Egyszeri",$AH530,$AG530),0),IF($D$4="Forint",0,2))</f>
        <v>0</v>
      </c>
      <c r="AJ530" s="13">
        <f t="shared" si="117"/>
        <v>0</v>
      </c>
      <c r="AK530" s="13">
        <f t="shared" si="118"/>
        <v>0</v>
      </c>
      <c r="AM530" s="32">
        <v>511</v>
      </c>
      <c r="AN530" s="32">
        <v>43</v>
      </c>
      <c r="AO530" s="32">
        <v>7</v>
      </c>
      <c r="AP530" s="13"/>
      <c r="AQ530" s="32"/>
      <c r="AR530" s="13">
        <f t="shared" si="119"/>
        <v>0</v>
      </c>
      <c r="AS530" s="33"/>
      <c r="AT530" s="13">
        <f t="shared" si="113"/>
        <v>0</v>
      </c>
      <c r="AU530" s="13">
        <f>ROUNDUP(($AR530+$AT530)*VLOOKUP($AN530,Paraméterek!$P$38:$Q$38,2)/12,IF($D$4="Forint",0,2))</f>
        <v>0</v>
      </c>
      <c r="AV530" s="13"/>
      <c r="AW530" s="13"/>
      <c r="AX530" s="13">
        <f>ROUNDUP(IF(SUM($AV530:$AW530)=0,0,IF(IF(ISBLANK($AW530),$AV530,$AW530)*Paraméterek!$J$112&lt;IF($D$4="Forint",Paraméterek!$J$113,Paraméterek!$K$113),IF($D$4="Forint",Paraméterek!$J$113,Paraméterek!$K$113),IF(IF(ISBLANK($AW530),$AV530,$AW530)*Paraméterek!$J$112&gt;IF($D$4="Forint",Paraméterek!$J$114,Paraméterek!$K$114),IF($D$4="Forint",Paraméterek!$J$114,Paraméterek!$K$114),IF(ISBLANK($AW530),$AV530,$AW530)*Paraméterek!$J$112))),IF($D$4="Forint",0,2))</f>
        <v>0</v>
      </c>
      <c r="AY530" s="13">
        <f>$AR530+$AT530-$AU530-IF(ROUNDDOWN(IF(ISBLANK($AW530),$AV530,$AW530),IF($D$4="Forint",0,2))&gt;$AR530+$AT530-$AU530-IF($D$4="Forint",Paraméterek!$J$114,Paraméterek!$K$114),0,ROUNDDOWN(IF(ISBLANK($AW530),$AV530,$AW530),IF($D$4="Forint",0,2))-$AX530)</f>
        <v>0</v>
      </c>
      <c r="AZ530" s="13">
        <f t="shared" si="114"/>
        <v>0</v>
      </c>
    </row>
    <row r="531" spans="1:52" x14ac:dyDescent="0.2">
      <c r="A531" s="32">
        <v>512</v>
      </c>
      <c r="B531" s="32">
        <v>43</v>
      </c>
      <c r="C531" s="32">
        <v>8</v>
      </c>
      <c r="D531" s="13">
        <f t="shared" si="105"/>
        <v>0</v>
      </c>
      <c r="E531" s="13"/>
      <c r="F531" s="13"/>
      <c r="G531" s="13"/>
      <c r="H531" s="13">
        <f t="shared" si="106"/>
        <v>0</v>
      </c>
      <c r="I531" s="13">
        <f t="shared" si="107"/>
        <v>0</v>
      </c>
      <c r="J531" s="13">
        <f t="shared" si="108"/>
        <v>0</v>
      </c>
      <c r="K531" s="13">
        <f>ROUNDUP(IF($D$2="Egyszeri",$D531,IF($D$2="Havi",SUM($D$20:$D$31),IF(MOD($C531,$M$1)-1=0,SUM($D$20:$D$31),0))/12*$M$1)*VLOOKUP($B531,Paraméterek!$B$27:$D$30,IF($D$2="Egyszeri",3,2)),IF($D$4="Forint",0,2))</f>
        <v>0</v>
      </c>
      <c r="L531" s="13">
        <f t="shared" si="109"/>
        <v>0</v>
      </c>
      <c r="M531" s="13">
        <f t="shared" ca="1" si="115"/>
        <v>-365531</v>
      </c>
      <c r="N531" s="13">
        <f ca="1">IF($V530&gt;=VLOOKUP($M$4-1+$B531,Paraméterek!$B$121:$D$122,IF($D$4="Forint",2,3)),0,VLOOKUP($M$4-1+$B531,Paraméterek!$B$121:$D$122,IF($D$4="Forint",2,3))-$V530)</f>
        <v>375531</v>
      </c>
      <c r="O531" s="13">
        <f ca="1">ROUNDUP($N531*Paraméterek!$C$58/Paraméterek!$C$56,IF($D$4="Forint",0,2))</f>
        <v>60</v>
      </c>
      <c r="P531" s="13">
        <f t="shared" si="110"/>
        <v>1904</v>
      </c>
      <c r="Q531" s="33"/>
      <c r="R531" s="13">
        <f t="shared" ca="1" si="111"/>
        <v>0</v>
      </c>
      <c r="S531" s="13">
        <f ca="1">ROUNDUP(($M531-$O531-$P531+$R531)*VLOOKUP($B531,Paraméterek!$B$38:$D$39,IF($D$2="Egyszeri",3,2))/12,IF($D$4="Forint",0,2))</f>
        <v>-898</v>
      </c>
      <c r="T531" s="13"/>
      <c r="U531" s="13"/>
      <c r="V531" s="13">
        <f ca="1">$M531-$O531-$P531+$R531-$S531-IF(ROUNDUP(IF(ISBLANK($U531),$T531,$U531)/IF(AND($B531=1,$D$2&lt;&gt;"Egyszeri"),1,VLOOKUP($B531+IF($C531=12,1,0),Paraméterek!$B$257:$D$267,IF($D$2="Egyszeri",3,2))),IF($D$4="Forint",0,2))&gt;$M531-$O531-$P531+$R531-$S531-IF($D$4="Forint",Paraméterek!$C$216,Paraméterek!$D$216),0,ROUNDUP(IF(ISBLANK($U531),$T531,$U531)/IF(AND($B531=1,$D$2&lt;&gt;"Egyszeri"),1,VLOOKUP($B531+IF($C531=12,1,0),Paraméterek!$B$257:$D$267,IF($D$2="Egyszeri",3,2))),IF($D$4="Forint",0,2)))</f>
        <v>-366597</v>
      </c>
      <c r="W531" s="13">
        <f ca="1">ROUNDDOWN($V531*VLOOKUP($B531+IF($C531=12,1,0),Paraméterek!$B$257:$D$267,IF($D$2="Egyszeri",3,2)),IF($D$4="Forint",0,2))</f>
        <v>-366597</v>
      </c>
      <c r="Y531" s="32">
        <v>512</v>
      </c>
      <c r="Z531" s="32">
        <v>43</v>
      </c>
      <c r="AA531" s="32">
        <v>8</v>
      </c>
      <c r="AB531" s="13">
        <f t="shared" si="116"/>
        <v>0</v>
      </c>
      <c r="AC531" s="33"/>
      <c r="AD531" s="13">
        <f t="shared" si="112"/>
        <v>0</v>
      </c>
      <c r="AE531" s="13">
        <f>ROUNDUP(($AB531+$AD531)*VLOOKUP($Z531,Paraméterek!$P$38:$Q$38,2)/12,IF($D$4="Forint",0,2))</f>
        <v>0</v>
      </c>
      <c r="AF531" s="13">
        <f>IF($D$2="Egyszeri",IF($D$7&gt;=IF($D$4="Forint",Paraméterek!$P$223,Paraméterek!$P$224),$D$7-IF($D$4="Forint",Paraméterek!$F$223,Paraméterek!$F$224),0),MIN(IF($AA531=12,AVERAGE($D$20:$D531)*12,0),SUM($D$20:$D$31)))</f>
        <v>0</v>
      </c>
      <c r="AG531" s="13">
        <f>IF(AND($Z531&gt;=10,MOD($Z531,5)=0),$AF531*IF($AA531=12,VLOOKUP($Z531,Paraméterek!$B$225:$F$240,IF($AF531&lt;IF($D$4="Forint",Paraméterek!$C$223,Paraméterek!$C$224),2,IF($AF531&lt;IF($D$4="Forint",Paraméterek!$D$223,Paraméterek!$D$224),3,4))),0),0)</f>
        <v>0</v>
      </c>
      <c r="AH531" s="13">
        <f>IF(AND($Z531&gt;=5,MOD($Z531,5)=0),IF($AA531=12,VLOOKUP($Z531,Paraméterek!$B$225:$F$240,5),0),IF(OR($Z531=3,$Z531=4),IF($AA531=12,VLOOKUP($Z531,Paraméterek!$B$225:$F$240,5,0),0),0))*$AF531</f>
        <v>0</v>
      </c>
      <c r="AI531" s="13">
        <f>ROUNDDOWN(IF(SUM($T$20:$U531)=0,IF($D$2="Egyszeri",$AH531,$AG531),0),IF($D$4="Forint",0,2))</f>
        <v>0</v>
      </c>
      <c r="AJ531" s="13">
        <f t="shared" si="117"/>
        <v>0</v>
      </c>
      <c r="AK531" s="13">
        <f t="shared" si="118"/>
        <v>0</v>
      </c>
      <c r="AM531" s="32">
        <v>512</v>
      </c>
      <c r="AN531" s="32">
        <v>43</v>
      </c>
      <c r="AO531" s="32">
        <v>8</v>
      </c>
      <c r="AP531" s="13"/>
      <c r="AQ531" s="32"/>
      <c r="AR531" s="13">
        <f t="shared" si="119"/>
        <v>0</v>
      </c>
      <c r="AS531" s="33"/>
      <c r="AT531" s="13">
        <f t="shared" si="113"/>
        <v>0</v>
      </c>
      <c r="AU531" s="13">
        <f>ROUNDUP(($AR531+$AT531)*VLOOKUP($AN531,Paraméterek!$P$38:$Q$38,2)/12,IF($D$4="Forint",0,2))</f>
        <v>0</v>
      </c>
      <c r="AV531" s="13"/>
      <c r="AW531" s="13"/>
      <c r="AX531" s="13">
        <f>ROUNDUP(IF(SUM($AV531:$AW531)=0,0,IF(IF(ISBLANK($AW531),$AV531,$AW531)*Paraméterek!$J$112&lt;IF($D$4="Forint",Paraméterek!$J$113,Paraméterek!$K$113),IF($D$4="Forint",Paraméterek!$J$113,Paraméterek!$K$113),IF(IF(ISBLANK($AW531),$AV531,$AW531)*Paraméterek!$J$112&gt;IF($D$4="Forint",Paraméterek!$J$114,Paraméterek!$K$114),IF($D$4="Forint",Paraméterek!$J$114,Paraméterek!$K$114),IF(ISBLANK($AW531),$AV531,$AW531)*Paraméterek!$J$112))),IF($D$4="Forint",0,2))</f>
        <v>0</v>
      </c>
      <c r="AY531" s="13">
        <f>$AR531+$AT531-$AU531-IF(ROUNDDOWN(IF(ISBLANK($AW531),$AV531,$AW531),IF($D$4="Forint",0,2))&gt;$AR531+$AT531-$AU531-IF($D$4="Forint",Paraméterek!$J$114,Paraméterek!$K$114),0,ROUNDDOWN(IF(ISBLANK($AW531),$AV531,$AW531),IF($D$4="Forint",0,2))-$AX531)</f>
        <v>0</v>
      </c>
      <c r="AZ531" s="13">
        <f t="shared" si="114"/>
        <v>0</v>
      </c>
    </row>
    <row r="532" spans="1:52" x14ac:dyDescent="0.2">
      <c r="A532" s="32">
        <v>513</v>
      </c>
      <c r="B532" s="32">
        <v>43</v>
      </c>
      <c r="C532" s="32">
        <v>9</v>
      </c>
      <c r="D532" s="13">
        <f t="shared" si="105"/>
        <v>0</v>
      </c>
      <c r="E532" s="13"/>
      <c r="F532" s="13"/>
      <c r="G532" s="13"/>
      <c r="H532" s="13">
        <f t="shared" si="106"/>
        <v>0</v>
      </c>
      <c r="I532" s="13">
        <f t="shared" si="107"/>
        <v>0</v>
      </c>
      <c r="J532" s="13">
        <f t="shared" si="108"/>
        <v>0</v>
      </c>
      <c r="K532" s="13">
        <f>ROUNDUP(IF($D$2="Egyszeri",$D532,IF($D$2="Havi",SUM($D$20:$D$31),IF(MOD($C532,$M$1)-1=0,SUM($D$20:$D$31),0))/12*$M$1)*VLOOKUP($B532,Paraméterek!$B$27:$D$30,IF($D$2="Egyszeri",3,2)),IF($D$4="Forint",0,2))</f>
        <v>0</v>
      </c>
      <c r="L532" s="13">
        <f t="shared" si="109"/>
        <v>0</v>
      </c>
      <c r="M532" s="13">
        <f t="shared" ca="1" si="115"/>
        <v>-366597</v>
      </c>
      <c r="N532" s="13">
        <f ca="1">IF($V531&gt;=VLOOKUP($M$4-1+$B532,Paraméterek!$B$121:$D$122,IF($D$4="Forint",2,3)),0,VLOOKUP($M$4-1+$B532,Paraméterek!$B$121:$D$122,IF($D$4="Forint",2,3))-$V531)</f>
        <v>376597</v>
      </c>
      <c r="O532" s="13">
        <f ca="1">ROUNDUP($N532*Paraméterek!$C$58/Paraméterek!$C$56,IF($D$4="Forint",0,2))</f>
        <v>60</v>
      </c>
      <c r="P532" s="13">
        <f t="shared" si="110"/>
        <v>1904</v>
      </c>
      <c r="Q532" s="33"/>
      <c r="R532" s="13">
        <f t="shared" ca="1" si="111"/>
        <v>0</v>
      </c>
      <c r="S532" s="13">
        <f ca="1">ROUNDUP(($M532-$O532-$P532+$R532)*VLOOKUP($B532,Paraméterek!$B$38:$D$39,IF($D$2="Egyszeri",3,2))/12,IF($D$4="Forint",0,2))</f>
        <v>-900</v>
      </c>
      <c r="T532" s="13"/>
      <c r="U532" s="13"/>
      <c r="V532" s="13">
        <f ca="1">$M532-$O532-$P532+$R532-$S532-IF(ROUNDUP(IF(ISBLANK($U532),$T532,$U532)/IF(AND($B532=1,$D$2&lt;&gt;"Egyszeri"),1,VLOOKUP($B532+IF($C532=12,1,0),Paraméterek!$B$257:$D$267,IF($D$2="Egyszeri",3,2))),IF($D$4="Forint",0,2))&gt;$M532-$O532-$P532+$R532-$S532-IF($D$4="Forint",Paraméterek!$C$216,Paraméterek!$D$216),0,ROUNDUP(IF(ISBLANK($U532),$T532,$U532)/IF(AND($B532=1,$D$2&lt;&gt;"Egyszeri"),1,VLOOKUP($B532+IF($C532=12,1,0),Paraméterek!$B$257:$D$267,IF($D$2="Egyszeri",3,2))),IF($D$4="Forint",0,2)))</f>
        <v>-367661</v>
      </c>
      <c r="W532" s="13">
        <f ca="1">ROUNDDOWN($V532*VLOOKUP($B532+IF($C532=12,1,0),Paraméterek!$B$257:$D$267,IF($D$2="Egyszeri",3,2)),IF($D$4="Forint",0,2))</f>
        <v>-367661</v>
      </c>
      <c r="Y532" s="32">
        <v>513</v>
      </c>
      <c r="Z532" s="32">
        <v>43</v>
      </c>
      <c r="AA532" s="32">
        <v>9</v>
      </c>
      <c r="AB532" s="13">
        <f t="shared" si="116"/>
        <v>0</v>
      </c>
      <c r="AC532" s="33"/>
      <c r="AD532" s="13">
        <f t="shared" si="112"/>
        <v>0</v>
      </c>
      <c r="AE532" s="13">
        <f>ROUNDUP(($AB532+$AD532)*VLOOKUP($Z532,Paraméterek!$P$38:$Q$38,2)/12,IF($D$4="Forint",0,2))</f>
        <v>0</v>
      </c>
      <c r="AF532" s="13">
        <f>IF($D$2="Egyszeri",IF($D$7&gt;=IF($D$4="Forint",Paraméterek!$P$223,Paraméterek!$P$224),$D$7-IF($D$4="Forint",Paraméterek!$F$223,Paraméterek!$F$224),0),MIN(IF($AA532=12,AVERAGE($D$20:$D532)*12,0),SUM($D$20:$D$31)))</f>
        <v>0</v>
      </c>
      <c r="AG532" s="13">
        <f>IF(AND($Z532&gt;=10,MOD($Z532,5)=0),$AF532*IF($AA532=12,VLOOKUP($Z532,Paraméterek!$B$225:$F$240,IF($AF532&lt;IF($D$4="Forint",Paraméterek!$C$223,Paraméterek!$C$224),2,IF($AF532&lt;IF($D$4="Forint",Paraméterek!$D$223,Paraméterek!$D$224),3,4))),0),0)</f>
        <v>0</v>
      </c>
      <c r="AH532" s="13">
        <f>IF(AND($Z532&gt;=5,MOD($Z532,5)=0),IF($AA532=12,VLOOKUP($Z532,Paraméterek!$B$225:$F$240,5),0),IF(OR($Z532=3,$Z532=4),IF($AA532=12,VLOOKUP($Z532,Paraméterek!$B$225:$F$240,5,0),0),0))*$AF532</f>
        <v>0</v>
      </c>
      <c r="AI532" s="13">
        <f>ROUNDDOWN(IF(SUM($T$20:$U532)=0,IF($D$2="Egyszeri",$AH532,$AG532),0),IF($D$4="Forint",0,2))</f>
        <v>0</v>
      </c>
      <c r="AJ532" s="13">
        <f t="shared" si="117"/>
        <v>0</v>
      </c>
      <c r="AK532" s="13">
        <f t="shared" si="118"/>
        <v>0</v>
      </c>
      <c r="AM532" s="32">
        <v>513</v>
      </c>
      <c r="AN532" s="32">
        <v>43</v>
      </c>
      <c r="AO532" s="32">
        <v>9</v>
      </c>
      <c r="AP532" s="13"/>
      <c r="AQ532" s="32"/>
      <c r="AR532" s="13">
        <f t="shared" si="119"/>
        <v>0</v>
      </c>
      <c r="AS532" s="33"/>
      <c r="AT532" s="13">
        <f t="shared" si="113"/>
        <v>0</v>
      </c>
      <c r="AU532" s="13">
        <f>ROUNDUP(($AR532+$AT532)*VLOOKUP($AN532,Paraméterek!$P$38:$Q$38,2)/12,IF($D$4="Forint",0,2))</f>
        <v>0</v>
      </c>
      <c r="AV532" s="13"/>
      <c r="AW532" s="13"/>
      <c r="AX532" s="13">
        <f>ROUNDUP(IF(SUM($AV532:$AW532)=0,0,IF(IF(ISBLANK($AW532),$AV532,$AW532)*Paraméterek!$J$112&lt;IF($D$4="Forint",Paraméterek!$J$113,Paraméterek!$K$113),IF($D$4="Forint",Paraméterek!$J$113,Paraméterek!$K$113),IF(IF(ISBLANK($AW532),$AV532,$AW532)*Paraméterek!$J$112&gt;IF($D$4="Forint",Paraméterek!$J$114,Paraméterek!$K$114),IF($D$4="Forint",Paraméterek!$J$114,Paraméterek!$K$114),IF(ISBLANK($AW532),$AV532,$AW532)*Paraméterek!$J$112))),IF($D$4="Forint",0,2))</f>
        <v>0</v>
      </c>
      <c r="AY532" s="13">
        <f>$AR532+$AT532-$AU532-IF(ROUNDDOWN(IF(ISBLANK($AW532),$AV532,$AW532),IF($D$4="Forint",0,2))&gt;$AR532+$AT532-$AU532-IF($D$4="Forint",Paraméterek!$J$114,Paraméterek!$K$114),0,ROUNDDOWN(IF(ISBLANK($AW532),$AV532,$AW532),IF($D$4="Forint",0,2))-$AX532)</f>
        <v>0</v>
      </c>
      <c r="AZ532" s="13">
        <f t="shared" si="114"/>
        <v>0</v>
      </c>
    </row>
    <row r="533" spans="1:52" x14ac:dyDescent="0.2">
      <c r="A533" s="32">
        <v>514</v>
      </c>
      <c r="B533" s="32">
        <v>43</v>
      </c>
      <c r="C533" s="32">
        <v>10</v>
      </c>
      <c r="D533" s="13">
        <f t="shared" ref="D533:D596" si="120">IF($D$2="Egyszeri",IF($A533=1,$D$7,0),ROUNDUP(IF($D$2="Havi",$D$7,IF(MOD($C533,$M$1)-1=0,$D$7,0))*(1+$D$6)^($B533-1),IF($D$4="Forint",0,2)))</f>
        <v>0</v>
      </c>
      <c r="E533" s="13"/>
      <c r="F533" s="13"/>
      <c r="G533" s="13"/>
      <c r="H533" s="13">
        <f t="shared" ref="H533:H596" si="121">ROUNDUP(IF(AND($D$8="Nincs",$D$2&lt;&gt;"Egyszeri"),$D533*10%,0),IF($D$4="Forint",0,2))</f>
        <v>0</v>
      </c>
      <c r="I533" s="13">
        <f t="shared" ref="I533:I596" si="122">IF($D$2="Egyszeri",IF($A533=1,$M$3,0),ROUNDUP(IF($D$2="Havi",$M$3,IF(MOD($C533,$M$1)-1=0,$M$3,0))*(1+$M$2)^($B533-1),IF($D$4="Forint",0,2)))</f>
        <v>0</v>
      </c>
      <c r="J533" s="13">
        <f t="shared" ref="J533:J596" si="123">IF(ISBLANK($E533),$D533,$E533)+IF(ISBLANK($G533),$F533,$G533)+$H533+$I533</f>
        <v>0</v>
      </c>
      <c r="K533" s="13">
        <f>ROUNDUP(IF($D$2="Egyszeri",$D533,IF($D$2="Havi",SUM($D$20:$D$31),IF(MOD($C533,$M$1)-1=0,SUM($D$20:$D$31),0))/12*$M$1)*VLOOKUP($B533,Paraméterek!$B$27:$D$30,IF($D$2="Egyszeri",3,2)),IF($D$4="Forint",0,2))</f>
        <v>0</v>
      </c>
      <c r="L533" s="13">
        <f t="shared" ref="L533:L596" si="124">$D533-$K533+IF(ISBLANK($G533),$F533,$G533)</f>
        <v>0</v>
      </c>
      <c r="M533" s="13">
        <f t="shared" ca="1" si="115"/>
        <v>-367661</v>
      </c>
      <c r="N533" s="13">
        <f ca="1">IF($V532&gt;=VLOOKUP($M$4-1+$B533,Paraméterek!$B$121:$D$122,IF($D$4="Forint",2,3)),0,VLOOKUP($M$4-1+$B533,Paraméterek!$B$121:$D$122,IF($D$4="Forint",2,3))-$V532)</f>
        <v>377661</v>
      </c>
      <c r="O533" s="13">
        <f ca="1">ROUNDUP($N533*Paraméterek!$C$58/Paraméterek!$C$56,IF($D$4="Forint",0,2))</f>
        <v>61</v>
      </c>
      <c r="P533" s="13">
        <f t="shared" ref="P533:P596" si="125">ROUNDUP($M$5*(1+$M$2)^($B533-1),IF($D$4="Forint",0,2))</f>
        <v>1904</v>
      </c>
      <c r="Q533" s="33"/>
      <c r="R533" s="13">
        <f t="shared" ref="R533:R596" ca="1" si="126">ROUNDDOWN(($M533-$O533-$P533)*IF(ISBLANK($Q533),$M$6,$Q533),IF($D$4="Forint",0,2))</f>
        <v>0</v>
      </c>
      <c r="S533" s="13">
        <f ca="1">ROUNDUP(($M533-$O533-$P533+$R533)*VLOOKUP($B533,Paraméterek!$B$38:$D$39,IF($D$2="Egyszeri",3,2))/12,IF($D$4="Forint",0,2))</f>
        <v>-903</v>
      </c>
      <c r="T533" s="13"/>
      <c r="U533" s="13"/>
      <c r="V533" s="13">
        <f ca="1">$M533-$O533-$P533+$R533-$S533-IF(ROUNDUP(IF(ISBLANK($U533),$T533,$U533)/IF(AND($B533=1,$D$2&lt;&gt;"Egyszeri"),1,VLOOKUP($B533+IF($C533=12,1,0),Paraméterek!$B$257:$D$267,IF($D$2="Egyszeri",3,2))),IF($D$4="Forint",0,2))&gt;$M533-$O533-$P533+$R533-$S533-IF($D$4="Forint",Paraméterek!$C$216,Paraméterek!$D$216),0,ROUNDUP(IF(ISBLANK($U533),$T533,$U533)/IF(AND($B533=1,$D$2&lt;&gt;"Egyszeri"),1,VLOOKUP($B533+IF($C533=12,1,0),Paraméterek!$B$257:$D$267,IF($D$2="Egyszeri",3,2))),IF($D$4="Forint",0,2)))</f>
        <v>-368723</v>
      </c>
      <c r="W533" s="13">
        <f ca="1">ROUNDDOWN($V533*VLOOKUP($B533+IF($C533=12,1,0),Paraméterek!$B$257:$D$267,IF($D$2="Egyszeri",3,2)),IF($D$4="Forint",0,2))</f>
        <v>-368723</v>
      </c>
      <c r="Y533" s="32">
        <v>514</v>
      </c>
      <c r="Z533" s="32">
        <v>43</v>
      </c>
      <c r="AA533" s="32">
        <v>10</v>
      </c>
      <c r="AB533" s="13">
        <f t="shared" si="116"/>
        <v>0</v>
      </c>
      <c r="AC533" s="33"/>
      <c r="AD533" s="13">
        <f t="shared" ref="AD533:AD596" si="127">ROUNDDOWN($AB533*IF(ISBLANK($AC533),$M$8,$AC533),IF($D$4="Forint",0,2))</f>
        <v>0</v>
      </c>
      <c r="AE533" s="13">
        <f>ROUNDUP(($AB533+$AD533)*VLOOKUP($Z533,Paraméterek!$P$38:$Q$38,2)/12,IF($D$4="Forint",0,2))</f>
        <v>0</v>
      </c>
      <c r="AF533" s="13">
        <f>IF($D$2="Egyszeri",IF($D$7&gt;=IF($D$4="Forint",Paraméterek!$P$223,Paraméterek!$P$224),$D$7-IF($D$4="Forint",Paraméterek!$F$223,Paraméterek!$F$224),0),MIN(IF($AA533=12,AVERAGE($D$20:$D533)*12,0),SUM($D$20:$D$31)))</f>
        <v>0</v>
      </c>
      <c r="AG533" s="13">
        <f>IF(AND($Z533&gt;=10,MOD($Z533,5)=0),$AF533*IF($AA533=12,VLOOKUP($Z533,Paraméterek!$B$225:$F$240,IF($AF533&lt;IF($D$4="Forint",Paraméterek!$C$223,Paraméterek!$C$224),2,IF($AF533&lt;IF($D$4="Forint",Paraméterek!$D$223,Paraméterek!$D$224),3,4))),0),0)</f>
        <v>0</v>
      </c>
      <c r="AH533" s="13">
        <f>IF(AND($Z533&gt;=5,MOD($Z533,5)=0),IF($AA533=12,VLOOKUP($Z533,Paraméterek!$B$225:$F$240,5),0),IF(OR($Z533=3,$Z533=4),IF($AA533=12,VLOOKUP($Z533,Paraméterek!$B$225:$F$240,5,0),0),0))*$AF533</f>
        <v>0</v>
      </c>
      <c r="AI533" s="13">
        <f>ROUNDDOWN(IF(SUM($T$20:$U533)=0,IF($D$2="Egyszeri",$AH533,$AG533),0),IF($D$4="Forint",0,2))</f>
        <v>0</v>
      </c>
      <c r="AJ533" s="13">
        <f t="shared" si="117"/>
        <v>0</v>
      </c>
      <c r="AK533" s="13">
        <f t="shared" si="118"/>
        <v>0</v>
      </c>
      <c r="AM533" s="32">
        <v>514</v>
      </c>
      <c r="AN533" s="32">
        <v>43</v>
      </c>
      <c r="AO533" s="32">
        <v>10</v>
      </c>
      <c r="AP533" s="13"/>
      <c r="AQ533" s="32"/>
      <c r="AR533" s="13">
        <f t="shared" si="119"/>
        <v>0</v>
      </c>
      <c r="AS533" s="33"/>
      <c r="AT533" s="13">
        <f t="shared" ref="AT533:AT596" si="128">ROUNDDOWN($AR533*IF(ISBLANK($AS533),$M$7,$AS533),IF($D$4="Forint",0,2))</f>
        <v>0</v>
      </c>
      <c r="AU533" s="13">
        <f>ROUNDUP(($AR533+$AT533)*VLOOKUP($AN533,Paraméterek!$P$38:$Q$38,2)/12,IF($D$4="Forint",0,2))</f>
        <v>0</v>
      </c>
      <c r="AV533" s="13"/>
      <c r="AW533" s="13"/>
      <c r="AX533" s="13">
        <f>ROUNDUP(IF(SUM($AV533:$AW533)=0,0,IF(IF(ISBLANK($AW533),$AV533,$AW533)*Paraméterek!$J$112&lt;IF($D$4="Forint",Paraméterek!$J$113,Paraméterek!$K$113),IF($D$4="Forint",Paraméterek!$J$113,Paraméterek!$K$113),IF(IF(ISBLANK($AW533),$AV533,$AW533)*Paraméterek!$J$112&gt;IF($D$4="Forint",Paraméterek!$J$114,Paraméterek!$K$114),IF($D$4="Forint",Paraméterek!$J$114,Paraméterek!$K$114),IF(ISBLANK($AW533),$AV533,$AW533)*Paraméterek!$J$112))),IF($D$4="Forint",0,2))</f>
        <v>0</v>
      </c>
      <c r="AY533" s="13">
        <f>$AR533+$AT533-$AU533-IF(ROUNDDOWN(IF(ISBLANK($AW533),$AV533,$AW533),IF($D$4="Forint",0,2))&gt;$AR533+$AT533-$AU533-IF($D$4="Forint",Paraméterek!$J$114,Paraméterek!$K$114),0,ROUNDDOWN(IF(ISBLANK($AW533),$AV533,$AW533),IF($D$4="Forint",0,2))-$AX533)</f>
        <v>0</v>
      </c>
      <c r="AZ533" s="13">
        <f t="shared" ref="AZ533:AZ596" si="129">$AY533</f>
        <v>0</v>
      </c>
    </row>
    <row r="534" spans="1:52" x14ac:dyDescent="0.2">
      <c r="A534" s="32">
        <v>515</v>
      </c>
      <c r="B534" s="32">
        <v>43</v>
      </c>
      <c r="C534" s="32">
        <v>11</v>
      </c>
      <c r="D534" s="13">
        <f t="shared" si="120"/>
        <v>0</v>
      </c>
      <c r="E534" s="13"/>
      <c r="F534" s="13"/>
      <c r="G534" s="13"/>
      <c r="H534" s="13">
        <f t="shared" si="121"/>
        <v>0</v>
      </c>
      <c r="I534" s="13">
        <f t="shared" si="122"/>
        <v>0</v>
      </c>
      <c r="J534" s="13">
        <f t="shared" si="123"/>
        <v>0</v>
      </c>
      <c r="K534" s="13">
        <f>ROUNDUP(IF($D$2="Egyszeri",$D534,IF($D$2="Havi",SUM($D$20:$D$31),IF(MOD($C534,$M$1)-1=0,SUM($D$20:$D$31),0))/12*$M$1)*VLOOKUP($B534,Paraméterek!$B$27:$D$30,IF($D$2="Egyszeri",3,2)),IF($D$4="Forint",0,2))</f>
        <v>0</v>
      </c>
      <c r="L534" s="13">
        <f t="shared" si="124"/>
        <v>0</v>
      </c>
      <c r="M534" s="13">
        <f t="shared" ref="M534:M597" ca="1" si="130">$L534+$V533</f>
        <v>-368723</v>
      </c>
      <c r="N534" s="13">
        <f ca="1">IF($V533&gt;=VLOOKUP($M$4-1+$B534,Paraméterek!$B$121:$D$122,IF($D$4="Forint",2,3)),0,VLOOKUP($M$4-1+$B534,Paraméterek!$B$121:$D$122,IF($D$4="Forint",2,3))-$V533)</f>
        <v>378723</v>
      </c>
      <c r="O534" s="13">
        <f ca="1">ROUNDUP($N534*Paraméterek!$C$58/Paraméterek!$C$56,IF($D$4="Forint",0,2))</f>
        <v>61</v>
      </c>
      <c r="P534" s="13">
        <f t="shared" si="125"/>
        <v>1904</v>
      </c>
      <c r="Q534" s="33"/>
      <c r="R534" s="13">
        <f t="shared" ca="1" si="126"/>
        <v>0</v>
      </c>
      <c r="S534" s="13">
        <f ca="1">ROUNDUP(($M534-$O534-$P534+$R534)*VLOOKUP($B534,Paraméterek!$B$38:$D$39,IF($D$2="Egyszeri",3,2))/12,IF($D$4="Forint",0,2))</f>
        <v>-906</v>
      </c>
      <c r="T534" s="13"/>
      <c r="U534" s="13"/>
      <c r="V534" s="13">
        <f ca="1">$M534-$O534-$P534+$R534-$S534-IF(ROUNDUP(IF(ISBLANK($U534),$T534,$U534)/IF(AND($B534=1,$D$2&lt;&gt;"Egyszeri"),1,VLOOKUP($B534+IF($C534=12,1,0),Paraméterek!$B$257:$D$267,IF($D$2="Egyszeri",3,2))),IF($D$4="Forint",0,2))&gt;$M534-$O534-$P534+$R534-$S534-IF($D$4="Forint",Paraméterek!$C$216,Paraméterek!$D$216),0,ROUNDUP(IF(ISBLANK($U534),$T534,$U534)/IF(AND($B534=1,$D$2&lt;&gt;"Egyszeri"),1,VLOOKUP($B534+IF($C534=12,1,0),Paraméterek!$B$257:$D$267,IF($D$2="Egyszeri",3,2))),IF($D$4="Forint",0,2)))</f>
        <v>-369782</v>
      </c>
      <c r="W534" s="13">
        <f ca="1">ROUNDDOWN($V534*VLOOKUP($B534+IF($C534=12,1,0),Paraméterek!$B$257:$D$267,IF($D$2="Egyszeri",3,2)),IF($D$4="Forint",0,2))</f>
        <v>-369782</v>
      </c>
      <c r="Y534" s="32">
        <v>515</v>
      </c>
      <c r="Z534" s="32">
        <v>43</v>
      </c>
      <c r="AA534" s="32">
        <v>11</v>
      </c>
      <c r="AB534" s="13">
        <f t="shared" ref="AB534:AB597" si="131">$AJ533</f>
        <v>0</v>
      </c>
      <c r="AC534" s="33"/>
      <c r="AD534" s="13">
        <f t="shared" si="127"/>
        <v>0</v>
      </c>
      <c r="AE534" s="13">
        <f>ROUNDUP(($AB534+$AD534)*VLOOKUP($Z534,Paraméterek!$P$38:$Q$38,2)/12,IF($D$4="Forint",0,2))</f>
        <v>0</v>
      </c>
      <c r="AF534" s="13">
        <f>IF($D$2="Egyszeri",IF($D$7&gt;=IF($D$4="Forint",Paraméterek!$P$223,Paraméterek!$P$224),$D$7-IF($D$4="Forint",Paraméterek!$F$223,Paraméterek!$F$224),0),MIN(IF($AA534=12,AVERAGE($D$20:$D534)*12,0),SUM($D$20:$D$31)))</f>
        <v>0</v>
      </c>
      <c r="AG534" s="13">
        <f>IF(AND($Z534&gt;=10,MOD($Z534,5)=0),$AF534*IF($AA534=12,VLOOKUP($Z534,Paraméterek!$B$225:$F$240,IF($AF534&lt;IF($D$4="Forint",Paraméterek!$C$223,Paraméterek!$C$224),2,IF($AF534&lt;IF($D$4="Forint",Paraméterek!$D$223,Paraméterek!$D$224),3,4))),0),0)</f>
        <v>0</v>
      </c>
      <c r="AH534" s="13">
        <f>IF(AND($Z534&gt;=5,MOD($Z534,5)=0),IF($AA534=12,VLOOKUP($Z534,Paraméterek!$B$225:$F$240,5),0),IF(OR($Z534=3,$Z534=4),IF($AA534=12,VLOOKUP($Z534,Paraméterek!$B$225:$F$240,5,0),0),0))*$AF534</f>
        <v>0</v>
      </c>
      <c r="AI534" s="13">
        <f>ROUNDDOWN(IF(SUM($T$20:$U534)=0,IF($D$2="Egyszeri",$AH534,$AG534),0),IF($D$4="Forint",0,2))</f>
        <v>0</v>
      </c>
      <c r="AJ534" s="13">
        <f t="shared" ref="AJ534:AJ597" si="132">$AB534+$AD534-$AE534+$AI534</f>
        <v>0</v>
      </c>
      <c r="AK534" s="13">
        <f t="shared" ref="AK534:AK597" si="133">$AJ534</f>
        <v>0</v>
      </c>
      <c r="AM534" s="32">
        <v>515</v>
      </c>
      <c r="AN534" s="32">
        <v>43</v>
      </c>
      <c r="AO534" s="32">
        <v>11</v>
      </c>
      <c r="AP534" s="13"/>
      <c r="AQ534" s="32"/>
      <c r="AR534" s="13">
        <f t="shared" ref="AR534:AR597" si="134">IF(ISBLANK($AQ534),$AP534,$AQ534)+$AY533</f>
        <v>0</v>
      </c>
      <c r="AS534" s="33"/>
      <c r="AT534" s="13">
        <f t="shared" si="128"/>
        <v>0</v>
      </c>
      <c r="AU534" s="13">
        <f>ROUNDUP(($AR534+$AT534)*VLOOKUP($AN534,Paraméterek!$P$38:$Q$38,2)/12,IF($D$4="Forint",0,2))</f>
        <v>0</v>
      </c>
      <c r="AV534" s="13"/>
      <c r="AW534" s="13"/>
      <c r="AX534" s="13">
        <f>ROUNDUP(IF(SUM($AV534:$AW534)=0,0,IF(IF(ISBLANK($AW534),$AV534,$AW534)*Paraméterek!$J$112&lt;IF($D$4="Forint",Paraméterek!$J$113,Paraméterek!$K$113),IF($D$4="Forint",Paraméterek!$J$113,Paraméterek!$K$113),IF(IF(ISBLANK($AW534),$AV534,$AW534)*Paraméterek!$J$112&gt;IF($D$4="Forint",Paraméterek!$J$114,Paraméterek!$K$114),IF($D$4="Forint",Paraméterek!$J$114,Paraméterek!$K$114),IF(ISBLANK($AW534),$AV534,$AW534)*Paraméterek!$J$112))),IF($D$4="Forint",0,2))</f>
        <v>0</v>
      </c>
      <c r="AY534" s="13">
        <f>$AR534+$AT534-$AU534-IF(ROUNDDOWN(IF(ISBLANK($AW534),$AV534,$AW534),IF($D$4="Forint",0,2))&gt;$AR534+$AT534-$AU534-IF($D$4="Forint",Paraméterek!$J$114,Paraméterek!$K$114),0,ROUNDDOWN(IF(ISBLANK($AW534),$AV534,$AW534),IF($D$4="Forint",0,2))-$AX534)</f>
        <v>0</v>
      </c>
      <c r="AZ534" s="13">
        <f t="shared" si="129"/>
        <v>0</v>
      </c>
    </row>
    <row r="535" spans="1:52" x14ac:dyDescent="0.2">
      <c r="A535" s="32">
        <v>516</v>
      </c>
      <c r="B535" s="32">
        <v>43</v>
      </c>
      <c r="C535" s="32">
        <v>12</v>
      </c>
      <c r="D535" s="13">
        <f t="shared" si="120"/>
        <v>0</v>
      </c>
      <c r="E535" s="13"/>
      <c r="F535" s="13"/>
      <c r="G535" s="13"/>
      <c r="H535" s="13">
        <f t="shared" si="121"/>
        <v>0</v>
      </c>
      <c r="I535" s="13">
        <f t="shared" si="122"/>
        <v>0</v>
      </c>
      <c r="J535" s="13">
        <f t="shared" si="123"/>
        <v>0</v>
      </c>
      <c r="K535" s="13">
        <f>ROUNDUP(IF($D$2="Egyszeri",$D535,IF($D$2="Havi",SUM($D$20:$D$31),IF(MOD($C535,$M$1)-1=0,SUM($D$20:$D$31),0))/12*$M$1)*VLOOKUP($B535,Paraméterek!$B$27:$D$30,IF($D$2="Egyszeri",3,2)),IF($D$4="Forint",0,2))</f>
        <v>0</v>
      </c>
      <c r="L535" s="13">
        <f t="shared" si="124"/>
        <v>0</v>
      </c>
      <c r="M535" s="13">
        <f t="shared" ca="1" si="130"/>
        <v>-369782</v>
      </c>
      <c r="N535" s="13">
        <f ca="1">IF($V534&gt;=VLOOKUP($M$4-1+$B535,Paraméterek!$B$121:$D$122,IF($D$4="Forint",2,3)),0,VLOOKUP($M$4-1+$B535,Paraméterek!$B$121:$D$122,IF($D$4="Forint",2,3))-$V534)</f>
        <v>379782</v>
      </c>
      <c r="O535" s="13">
        <f ca="1">ROUNDUP($N535*Paraméterek!$C$58/Paraméterek!$C$56,IF($D$4="Forint",0,2))</f>
        <v>61</v>
      </c>
      <c r="P535" s="13">
        <f t="shared" si="125"/>
        <v>1904</v>
      </c>
      <c r="Q535" s="33"/>
      <c r="R535" s="13">
        <f t="shared" ca="1" si="126"/>
        <v>0</v>
      </c>
      <c r="S535" s="13">
        <f ca="1">ROUNDUP(($M535-$O535-$P535+$R535)*VLOOKUP($B535,Paraméterek!$B$38:$D$39,IF($D$2="Egyszeri",3,2))/12,IF($D$4="Forint",0,2))</f>
        <v>-908</v>
      </c>
      <c r="T535" s="13">
        <f>Tranzakciók!$F$74</f>
        <v>0</v>
      </c>
      <c r="U535" s="13"/>
      <c r="V535" s="13">
        <f ca="1">$M535-$O535-$P535+$R535-$S535-IF(ROUNDUP(IF(ISBLANK($U535),$T535,$U535)/IF(AND($B535=1,$D$2&lt;&gt;"Egyszeri"),1,VLOOKUP($B535+IF($C535=12,1,0),Paraméterek!$B$257:$D$267,IF($D$2="Egyszeri",3,2))),IF($D$4="Forint",0,2))&gt;$M535-$O535-$P535+$R535-$S535-IF($D$4="Forint",Paraméterek!$C$216,Paraméterek!$D$216),0,ROUNDUP(IF(ISBLANK($U535),$T535,$U535)/IF(AND($B535=1,$D$2&lt;&gt;"Egyszeri"),1,VLOOKUP($B535+IF($C535=12,1,0),Paraméterek!$B$257:$D$267,IF($D$2="Egyszeri",3,2))),IF($D$4="Forint",0,2)))</f>
        <v>-370839</v>
      </c>
      <c r="W535" s="13">
        <f ca="1">ROUNDDOWN($V535*VLOOKUP($B535+IF($C535=12,1,0),Paraméterek!$B$257:$D$267,IF($D$2="Egyszeri",3,2)),IF($D$4="Forint",0,2))</f>
        <v>-370839</v>
      </c>
      <c r="Y535" s="32">
        <v>516</v>
      </c>
      <c r="Z535" s="32">
        <v>43</v>
      </c>
      <c r="AA535" s="32">
        <v>12</v>
      </c>
      <c r="AB535" s="13">
        <f t="shared" si="131"/>
        <v>0</v>
      </c>
      <c r="AC535" s="33"/>
      <c r="AD535" s="13">
        <f t="shared" si="127"/>
        <v>0</v>
      </c>
      <c r="AE535" s="13">
        <f>ROUNDUP(($AB535+$AD535)*VLOOKUP($Z535,Paraméterek!$P$38:$Q$38,2)/12,IF($D$4="Forint",0,2))</f>
        <v>0</v>
      </c>
      <c r="AF535" s="13">
        <f>IF($D$2="Egyszeri",IF($D$7&gt;=IF($D$4="Forint",Paraméterek!$P$223,Paraméterek!$P$224),$D$7-IF($D$4="Forint",Paraméterek!$F$223,Paraméterek!$F$224),0),MIN(IF($AA535=12,AVERAGE($D$20:$D535)*12,0),SUM($D$20:$D$31)))</f>
        <v>0</v>
      </c>
      <c r="AG535" s="13">
        <f>IF(AND($Z535&gt;=10,MOD($Z535,5)=0),$AF535*IF($AA535=12,VLOOKUP($Z535,Paraméterek!$B$225:$F$240,IF($AF535&lt;IF($D$4="Forint",Paraméterek!$C$223,Paraméterek!$C$224),2,IF($AF535&lt;IF($D$4="Forint",Paraméterek!$D$223,Paraméterek!$D$224),3,4))),0),0)</f>
        <v>0</v>
      </c>
      <c r="AH535" s="13">
        <f>IF(AND($Z535&gt;=5,MOD($Z535,5)=0),IF($AA535=12,VLOOKUP($Z535,Paraméterek!$B$225:$F$240,5),0),IF(OR($Z535=3,$Z535=4),IF($AA535=12,VLOOKUP($Z535,Paraméterek!$B$225:$F$240,5,0),0),0))*$AF535</f>
        <v>0</v>
      </c>
      <c r="AI535" s="13">
        <f>ROUNDDOWN(IF(SUM($T$20:$U535)=0,IF($D$2="Egyszeri",$AH535,$AG535),0),IF($D$4="Forint",0,2))</f>
        <v>0</v>
      </c>
      <c r="AJ535" s="13">
        <f t="shared" si="132"/>
        <v>0</v>
      </c>
      <c r="AK535" s="13">
        <f t="shared" si="133"/>
        <v>0</v>
      </c>
      <c r="AM535" s="32">
        <v>516</v>
      </c>
      <c r="AN535" s="32">
        <v>43</v>
      </c>
      <c r="AO535" s="32">
        <v>12</v>
      </c>
      <c r="AP535" s="13"/>
      <c r="AQ535" s="32"/>
      <c r="AR535" s="13">
        <f t="shared" si="134"/>
        <v>0</v>
      </c>
      <c r="AS535" s="33"/>
      <c r="AT535" s="13">
        <f t="shared" si="128"/>
        <v>0</v>
      </c>
      <c r="AU535" s="13">
        <f>ROUNDUP(($AR535+$AT535)*VLOOKUP($AN535,Paraméterek!$P$38:$Q$38,2)/12,IF($D$4="Forint",0,2))</f>
        <v>0</v>
      </c>
      <c r="AV535" s="13">
        <f>Tranzakciók!$M$74</f>
        <v>0</v>
      </c>
      <c r="AW535" s="13"/>
      <c r="AX535" s="13">
        <f>ROUNDUP(IF(SUM($AV535:$AW535)=0,0,IF(IF(ISBLANK($AW535),$AV535,$AW535)*Paraméterek!$J$112&lt;IF($D$4="Forint",Paraméterek!$J$113,Paraméterek!$K$113),IF($D$4="Forint",Paraméterek!$J$113,Paraméterek!$K$113),IF(IF(ISBLANK($AW535),$AV535,$AW535)*Paraméterek!$J$112&gt;IF($D$4="Forint",Paraméterek!$J$114,Paraméterek!$K$114),IF($D$4="Forint",Paraméterek!$J$114,Paraméterek!$K$114),IF(ISBLANK($AW535),$AV535,$AW535)*Paraméterek!$J$112))),IF($D$4="Forint",0,2))</f>
        <v>0</v>
      </c>
      <c r="AY535" s="13">
        <f>$AR535+$AT535-$AU535-IF(ROUNDDOWN(IF(ISBLANK($AW535),$AV535,$AW535),IF($D$4="Forint",0,2))&gt;$AR535+$AT535-$AU535-IF($D$4="Forint",Paraméterek!$J$114,Paraméterek!$K$114),0,ROUNDDOWN(IF(ISBLANK($AW535),$AV535,$AW535),IF($D$4="Forint",0,2))-$AX535)</f>
        <v>0</v>
      </c>
      <c r="AZ535" s="13">
        <f t="shared" si="129"/>
        <v>0</v>
      </c>
    </row>
    <row r="536" spans="1:52" x14ac:dyDescent="0.2">
      <c r="A536" s="32">
        <v>517</v>
      </c>
      <c r="B536" s="32">
        <v>44</v>
      </c>
      <c r="C536" s="32">
        <v>1</v>
      </c>
      <c r="D536" s="13">
        <f t="shared" si="120"/>
        <v>0</v>
      </c>
      <c r="E536" s="13"/>
      <c r="F536" s="13">
        <f>Tranzakciók!$D$75</f>
        <v>0</v>
      </c>
      <c r="G536" s="13"/>
      <c r="H536" s="13">
        <f t="shared" si="121"/>
        <v>0</v>
      </c>
      <c r="I536" s="13">
        <f t="shared" si="122"/>
        <v>357</v>
      </c>
      <c r="J536" s="13">
        <f t="shared" si="123"/>
        <v>357</v>
      </c>
      <c r="K536" s="13">
        <f>ROUNDUP(IF($D$2="Egyszeri",$D536,IF($D$2="Havi",SUM($D$20:$D$31),IF(MOD($C536,$M$1)-1=0,SUM($D$20:$D$31),0))/12*$M$1)*VLOOKUP($B536,Paraméterek!$B$27:$D$30,IF($D$2="Egyszeri",3,2)),IF($D$4="Forint",0,2))</f>
        <v>0</v>
      </c>
      <c r="L536" s="13">
        <f t="shared" si="124"/>
        <v>0</v>
      </c>
      <c r="M536" s="13">
        <f t="shared" ca="1" si="130"/>
        <v>-370839</v>
      </c>
      <c r="N536" s="13">
        <f ca="1">IF($V535&gt;=VLOOKUP($M$4-1+$B536,Paraméterek!$B$121:$D$122,IF($D$4="Forint",2,3)),0,VLOOKUP($M$4-1+$B536,Paraméterek!$B$121:$D$122,IF($D$4="Forint",2,3))-$V535)</f>
        <v>380839</v>
      </c>
      <c r="O536" s="13">
        <f ca="1">ROUNDUP($N536*Paraméterek!$C$58/Paraméterek!$C$56,IF($D$4="Forint",0,2))</f>
        <v>61</v>
      </c>
      <c r="P536" s="13">
        <f t="shared" si="125"/>
        <v>1961</v>
      </c>
      <c r="Q536" s="33"/>
      <c r="R536" s="13">
        <f t="shared" ca="1" si="126"/>
        <v>0</v>
      </c>
      <c r="S536" s="13">
        <f ca="1">ROUNDUP(($M536-$O536-$P536+$R536)*VLOOKUP($B536,Paraméterek!$B$38:$D$39,IF($D$2="Egyszeri",3,2))/12,IF($D$4="Forint",0,2))</f>
        <v>-911</v>
      </c>
      <c r="T536" s="13"/>
      <c r="U536" s="13"/>
      <c r="V536" s="13">
        <f ca="1">$M536-$O536-$P536+$R536-$S536-IF(ROUNDUP(IF(ISBLANK($U536),$T536,$U536)/IF(AND($B536=1,$D$2&lt;&gt;"Egyszeri"),1,VLOOKUP($B536+IF($C536=12,1,0),Paraméterek!$B$257:$D$267,IF($D$2="Egyszeri",3,2))),IF($D$4="Forint",0,2))&gt;$M536-$O536-$P536+$R536-$S536-IF($D$4="Forint",Paraméterek!$C$216,Paraméterek!$D$216),0,ROUNDUP(IF(ISBLANK($U536),$T536,$U536)/IF(AND($B536=1,$D$2&lt;&gt;"Egyszeri"),1,VLOOKUP($B536+IF($C536=12,1,0),Paraméterek!$B$257:$D$267,IF($D$2="Egyszeri",3,2))),IF($D$4="Forint",0,2)))</f>
        <v>-371950</v>
      </c>
      <c r="W536" s="13">
        <f ca="1">ROUNDDOWN($V536*VLOOKUP($B536+IF($C536=12,1,0),Paraméterek!$B$257:$D$267,IF($D$2="Egyszeri",3,2)),IF($D$4="Forint",0,2))</f>
        <v>-371950</v>
      </c>
      <c r="Y536" s="32">
        <v>517</v>
      </c>
      <c r="Z536" s="32">
        <v>44</v>
      </c>
      <c r="AA536" s="32">
        <v>1</v>
      </c>
      <c r="AB536" s="13">
        <f t="shared" si="131"/>
        <v>0</v>
      </c>
      <c r="AC536" s="33"/>
      <c r="AD536" s="13">
        <f t="shared" si="127"/>
        <v>0</v>
      </c>
      <c r="AE536" s="13">
        <f>ROUNDUP(($AB536+$AD536)*VLOOKUP($Z536,Paraméterek!$P$38:$Q$38,2)/12,IF($D$4="Forint",0,2))</f>
        <v>0</v>
      </c>
      <c r="AF536" s="13">
        <f>IF($D$2="Egyszeri",IF($D$7&gt;=IF($D$4="Forint",Paraméterek!$P$223,Paraméterek!$P$224),$D$7-IF($D$4="Forint",Paraméterek!$F$223,Paraméterek!$F$224),0),MIN(IF($AA536=12,AVERAGE($D$20:$D536)*12,0),SUM($D$20:$D$31)))</f>
        <v>0</v>
      </c>
      <c r="AG536" s="13">
        <f>IF(AND($Z536&gt;=10,MOD($Z536,5)=0),$AF536*IF($AA536=12,VLOOKUP($Z536,Paraméterek!$B$225:$F$240,IF($AF536&lt;IF($D$4="Forint",Paraméterek!$C$223,Paraméterek!$C$224),2,IF($AF536&lt;IF($D$4="Forint",Paraméterek!$D$223,Paraméterek!$D$224),3,4))),0),0)</f>
        <v>0</v>
      </c>
      <c r="AH536" s="13">
        <f>IF(AND($Z536&gt;=5,MOD($Z536,5)=0),IF($AA536=12,VLOOKUP($Z536,Paraméterek!$B$225:$F$240,5),0),IF(OR($Z536=3,$Z536=4),IF($AA536=12,VLOOKUP($Z536,Paraméterek!$B$225:$F$240,5,0),0),0))*$AF536</f>
        <v>0</v>
      </c>
      <c r="AI536" s="13">
        <f>ROUNDDOWN(IF(SUM($T$20:$U536)=0,IF($D$2="Egyszeri",$AH536,$AG536),0),IF($D$4="Forint",0,2))</f>
        <v>0</v>
      </c>
      <c r="AJ536" s="13">
        <f t="shared" si="132"/>
        <v>0</v>
      </c>
      <c r="AK536" s="13">
        <f t="shared" si="133"/>
        <v>0</v>
      </c>
      <c r="AM536" s="32">
        <v>517</v>
      </c>
      <c r="AN536" s="32">
        <v>44</v>
      </c>
      <c r="AO536" s="32">
        <v>1</v>
      </c>
      <c r="AP536" s="13">
        <f>Tranzakciók!$K$75</f>
        <v>0</v>
      </c>
      <c r="AQ536" s="32"/>
      <c r="AR536" s="13">
        <f t="shared" si="134"/>
        <v>0</v>
      </c>
      <c r="AS536" s="33"/>
      <c r="AT536" s="13">
        <f t="shared" si="128"/>
        <v>0</v>
      </c>
      <c r="AU536" s="13">
        <f>ROUNDUP(($AR536+$AT536)*VLOOKUP($AN536,Paraméterek!$P$38:$Q$38,2)/12,IF($D$4="Forint",0,2))</f>
        <v>0</v>
      </c>
      <c r="AV536" s="13"/>
      <c r="AW536" s="13"/>
      <c r="AX536" s="13">
        <f>ROUNDUP(IF(SUM($AV536:$AW536)=0,0,IF(IF(ISBLANK($AW536),$AV536,$AW536)*Paraméterek!$J$112&lt;IF($D$4="Forint",Paraméterek!$J$113,Paraméterek!$K$113),IF($D$4="Forint",Paraméterek!$J$113,Paraméterek!$K$113),IF(IF(ISBLANK($AW536),$AV536,$AW536)*Paraméterek!$J$112&gt;IF($D$4="Forint",Paraméterek!$J$114,Paraméterek!$K$114),IF($D$4="Forint",Paraméterek!$J$114,Paraméterek!$K$114),IF(ISBLANK($AW536),$AV536,$AW536)*Paraméterek!$J$112))),IF($D$4="Forint",0,2))</f>
        <v>0</v>
      </c>
      <c r="AY536" s="13">
        <f>$AR536+$AT536-$AU536-IF(ROUNDDOWN(IF(ISBLANK($AW536),$AV536,$AW536),IF($D$4="Forint",0,2))&gt;$AR536+$AT536-$AU536-IF($D$4="Forint",Paraméterek!$J$114,Paraméterek!$K$114),0,ROUNDDOWN(IF(ISBLANK($AW536),$AV536,$AW536),IF($D$4="Forint",0,2))-$AX536)</f>
        <v>0</v>
      </c>
      <c r="AZ536" s="13">
        <f t="shared" si="129"/>
        <v>0</v>
      </c>
    </row>
    <row r="537" spans="1:52" x14ac:dyDescent="0.2">
      <c r="A537" s="32">
        <v>518</v>
      </c>
      <c r="B537" s="32">
        <v>44</v>
      </c>
      <c r="C537" s="32">
        <v>2</v>
      </c>
      <c r="D537" s="13">
        <f t="shared" si="120"/>
        <v>0</v>
      </c>
      <c r="E537" s="13"/>
      <c r="F537" s="13"/>
      <c r="G537" s="13"/>
      <c r="H537" s="13">
        <f t="shared" si="121"/>
        <v>0</v>
      </c>
      <c r="I537" s="13">
        <f t="shared" si="122"/>
        <v>0</v>
      </c>
      <c r="J537" s="13">
        <f t="shared" si="123"/>
        <v>0</v>
      </c>
      <c r="K537" s="13">
        <f>ROUNDUP(IF($D$2="Egyszeri",$D537,IF($D$2="Havi",SUM($D$20:$D$31),IF(MOD($C537,$M$1)-1=0,SUM($D$20:$D$31),0))/12*$M$1)*VLOOKUP($B537,Paraméterek!$B$27:$D$30,IF($D$2="Egyszeri",3,2)),IF($D$4="Forint",0,2))</f>
        <v>0</v>
      </c>
      <c r="L537" s="13">
        <f t="shared" si="124"/>
        <v>0</v>
      </c>
      <c r="M537" s="13">
        <f t="shared" ca="1" si="130"/>
        <v>-371950</v>
      </c>
      <c r="N537" s="13">
        <f ca="1">IF($V536&gt;=VLOOKUP($M$4-1+$B537,Paraméterek!$B$121:$D$122,IF($D$4="Forint",2,3)),0,VLOOKUP($M$4-1+$B537,Paraméterek!$B$121:$D$122,IF($D$4="Forint",2,3))-$V536)</f>
        <v>381950</v>
      </c>
      <c r="O537" s="13">
        <f ca="1">ROUNDUP($N537*Paraméterek!$C$58/Paraméterek!$C$56,IF($D$4="Forint",0,2))</f>
        <v>61</v>
      </c>
      <c r="P537" s="13">
        <f t="shared" si="125"/>
        <v>1961</v>
      </c>
      <c r="Q537" s="33"/>
      <c r="R537" s="13">
        <f t="shared" ca="1" si="126"/>
        <v>0</v>
      </c>
      <c r="S537" s="13">
        <f ca="1">ROUNDUP(($M537-$O537-$P537+$R537)*VLOOKUP($B537,Paraméterek!$B$38:$D$39,IF($D$2="Egyszeri",3,2))/12,IF($D$4="Forint",0,2))</f>
        <v>-914</v>
      </c>
      <c r="T537" s="13"/>
      <c r="U537" s="13"/>
      <c r="V537" s="13">
        <f ca="1">$M537-$O537-$P537+$R537-$S537-IF(ROUNDUP(IF(ISBLANK($U537),$T537,$U537)/IF(AND($B537=1,$D$2&lt;&gt;"Egyszeri"),1,VLOOKUP($B537+IF($C537=12,1,0),Paraméterek!$B$257:$D$267,IF($D$2="Egyszeri",3,2))),IF($D$4="Forint",0,2))&gt;$M537-$O537-$P537+$R537-$S537-IF($D$4="Forint",Paraméterek!$C$216,Paraméterek!$D$216),0,ROUNDUP(IF(ISBLANK($U537),$T537,$U537)/IF(AND($B537=1,$D$2&lt;&gt;"Egyszeri"),1,VLOOKUP($B537+IF($C537=12,1,0),Paraméterek!$B$257:$D$267,IF($D$2="Egyszeri",3,2))),IF($D$4="Forint",0,2)))</f>
        <v>-373058</v>
      </c>
      <c r="W537" s="13">
        <f ca="1">ROUNDDOWN($V537*VLOOKUP($B537+IF($C537=12,1,0),Paraméterek!$B$257:$D$267,IF($D$2="Egyszeri",3,2)),IF($D$4="Forint",0,2))</f>
        <v>-373058</v>
      </c>
      <c r="Y537" s="32">
        <v>518</v>
      </c>
      <c r="Z537" s="32">
        <v>44</v>
      </c>
      <c r="AA537" s="32">
        <v>2</v>
      </c>
      <c r="AB537" s="13">
        <f t="shared" si="131"/>
        <v>0</v>
      </c>
      <c r="AC537" s="33"/>
      <c r="AD537" s="13">
        <f t="shared" si="127"/>
        <v>0</v>
      </c>
      <c r="AE537" s="13">
        <f>ROUNDUP(($AB537+$AD537)*VLOOKUP($Z537,Paraméterek!$P$38:$Q$38,2)/12,IF($D$4="Forint",0,2))</f>
        <v>0</v>
      </c>
      <c r="AF537" s="13">
        <f>IF($D$2="Egyszeri",IF($D$7&gt;=IF($D$4="Forint",Paraméterek!$P$223,Paraméterek!$P$224),$D$7-IF($D$4="Forint",Paraméterek!$F$223,Paraméterek!$F$224),0),MIN(IF($AA537=12,AVERAGE($D$20:$D537)*12,0),SUM($D$20:$D$31)))</f>
        <v>0</v>
      </c>
      <c r="AG537" s="13">
        <f>IF(AND($Z537&gt;=10,MOD($Z537,5)=0),$AF537*IF($AA537=12,VLOOKUP($Z537,Paraméterek!$B$225:$F$240,IF($AF537&lt;IF($D$4="Forint",Paraméterek!$C$223,Paraméterek!$C$224),2,IF($AF537&lt;IF($D$4="Forint",Paraméterek!$D$223,Paraméterek!$D$224),3,4))),0),0)</f>
        <v>0</v>
      </c>
      <c r="AH537" s="13">
        <f>IF(AND($Z537&gt;=5,MOD($Z537,5)=0),IF($AA537=12,VLOOKUP($Z537,Paraméterek!$B$225:$F$240,5),0),IF(OR($Z537=3,$Z537=4),IF($AA537=12,VLOOKUP($Z537,Paraméterek!$B$225:$F$240,5,0),0),0))*$AF537</f>
        <v>0</v>
      </c>
      <c r="AI537" s="13">
        <f>ROUNDDOWN(IF(SUM($T$20:$U537)=0,IF($D$2="Egyszeri",$AH537,$AG537),0),IF($D$4="Forint",0,2))</f>
        <v>0</v>
      </c>
      <c r="AJ537" s="13">
        <f t="shared" si="132"/>
        <v>0</v>
      </c>
      <c r="AK537" s="13">
        <f t="shared" si="133"/>
        <v>0</v>
      </c>
      <c r="AM537" s="32">
        <v>518</v>
      </c>
      <c r="AN537" s="32">
        <v>44</v>
      </c>
      <c r="AO537" s="32">
        <v>2</v>
      </c>
      <c r="AP537" s="13"/>
      <c r="AQ537" s="32"/>
      <c r="AR537" s="13">
        <f t="shared" si="134"/>
        <v>0</v>
      </c>
      <c r="AS537" s="33"/>
      <c r="AT537" s="13">
        <f t="shared" si="128"/>
        <v>0</v>
      </c>
      <c r="AU537" s="13">
        <f>ROUNDUP(($AR537+$AT537)*VLOOKUP($AN537,Paraméterek!$P$38:$Q$38,2)/12,IF($D$4="Forint",0,2))</f>
        <v>0</v>
      </c>
      <c r="AV537" s="13"/>
      <c r="AW537" s="13"/>
      <c r="AX537" s="13">
        <f>ROUNDUP(IF(SUM($AV537:$AW537)=0,0,IF(IF(ISBLANK($AW537),$AV537,$AW537)*Paraméterek!$J$112&lt;IF($D$4="Forint",Paraméterek!$J$113,Paraméterek!$K$113),IF($D$4="Forint",Paraméterek!$J$113,Paraméterek!$K$113),IF(IF(ISBLANK($AW537),$AV537,$AW537)*Paraméterek!$J$112&gt;IF($D$4="Forint",Paraméterek!$J$114,Paraméterek!$K$114),IF($D$4="Forint",Paraméterek!$J$114,Paraméterek!$K$114),IF(ISBLANK($AW537),$AV537,$AW537)*Paraméterek!$J$112))),IF($D$4="Forint",0,2))</f>
        <v>0</v>
      </c>
      <c r="AY537" s="13">
        <f>$AR537+$AT537-$AU537-IF(ROUNDDOWN(IF(ISBLANK($AW537),$AV537,$AW537),IF($D$4="Forint",0,2))&gt;$AR537+$AT537-$AU537-IF($D$4="Forint",Paraméterek!$J$114,Paraméterek!$K$114),0,ROUNDDOWN(IF(ISBLANK($AW537),$AV537,$AW537),IF($D$4="Forint",0,2))-$AX537)</f>
        <v>0</v>
      </c>
      <c r="AZ537" s="13">
        <f t="shared" si="129"/>
        <v>0</v>
      </c>
    </row>
    <row r="538" spans="1:52" x14ac:dyDescent="0.2">
      <c r="A538" s="32">
        <v>519</v>
      </c>
      <c r="B538" s="32">
        <v>44</v>
      </c>
      <c r="C538" s="32">
        <v>3</v>
      </c>
      <c r="D538" s="13">
        <f t="shared" si="120"/>
        <v>0</v>
      </c>
      <c r="E538" s="13"/>
      <c r="F538" s="13"/>
      <c r="G538" s="13"/>
      <c r="H538" s="13">
        <f t="shared" si="121"/>
        <v>0</v>
      </c>
      <c r="I538" s="13">
        <f t="shared" si="122"/>
        <v>0</v>
      </c>
      <c r="J538" s="13">
        <f t="shared" si="123"/>
        <v>0</v>
      </c>
      <c r="K538" s="13">
        <f>ROUNDUP(IF($D$2="Egyszeri",$D538,IF($D$2="Havi",SUM($D$20:$D$31),IF(MOD($C538,$M$1)-1=0,SUM($D$20:$D$31),0))/12*$M$1)*VLOOKUP($B538,Paraméterek!$B$27:$D$30,IF($D$2="Egyszeri",3,2)),IF($D$4="Forint",0,2))</f>
        <v>0</v>
      </c>
      <c r="L538" s="13">
        <f t="shared" si="124"/>
        <v>0</v>
      </c>
      <c r="M538" s="13">
        <f t="shared" ca="1" si="130"/>
        <v>-373058</v>
      </c>
      <c r="N538" s="13">
        <f ca="1">IF($V537&gt;=VLOOKUP($M$4-1+$B538,Paraméterek!$B$121:$D$122,IF($D$4="Forint",2,3)),0,VLOOKUP($M$4-1+$B538,Paraméterek!$B$121:$D$122,IF($D$4="Forint",2,3))-$V537)</f>
        <v>383058</v>
      </c>
      <c r="O538" s="13">
        <f ca="1">ROUNDUP($N538*Paraméterek!$C$58/Paraméterek!$C$56,IF($D$4="Forint",0,2))</f>
        <v>61</v>
      </c>
      <c r="P538" s="13">
        <f t="shared" si="125"/>
        <v>1961</v>
      </c>
      <c r="Q538" s="33"/>
      <c r="R538" s="13">
        <f t="shared" ca="1" si="126"/>
        <v>0</v>
      </c>
      <c r="S538" s="13">
        <f ca="1">ROUNDUP(($M538-$O538-$P538+$R538)*VLOOKUP($B538,Paraméterek!$B$38:$D$39,IF($D$2="Egyszeri",3,2))/12,IF($D$4="Forint",0,2))</f>
        <v>-916</v>
      </c>
      <c r="T538" s="13"/>
      <c r="U538" s="13"/>
      <c r="V538" s="13">
        <f ca="1">$M538-$O538-$P538+$R538-$S538-IF(ROUNDUP(IF(ISBLANK($U538),$T538,$U538)/IF(AND($B538=1,$D$2&lt;&gt;"Egyszeri"),1,VLOOKUP($B538+IF($C538=12,1,0),Paraméterek!$B$257:$D$267,IF($D$2="Egyszeri",3,2))),IF($D$4="Forint",0,2))&gt;$M538-$O538-$P538+$R538-$S538-IF($D$4="Forint",Paraméterek!$C$216,Paraméterek!$D$216),0,ROUNDUP(IF(ISBLANK($U538),$T538,$U538)/IF(AND($B538=1,$D$2&lt;&gt;"Egyszeri"),1,VLOOKUP($B538+IF($C538=12,1,0),Paraméterek!$B$257:$D$267,IF($D$2="Egyszeri",3,2))),IF($D$4="Forint",0,2)))</f>
        <v>-374164</v>
      </c>
      <c r="W538" s="13">
        <f ca="1">ROUNDDOWN($V538*VLOOKUP($B538+IF($C538=12,1,0),Paraméterek!$B$257:$D$267,IF($D$2="Egyszeri",3,2)),IF($D$4="Forint",0,2))</f>
        <v>-374164</v>
      </c>
      <c r="Y538" s="32">
        <v>519</v>
      </c>
      <c r="Z538" s="32">
        <v>44</v>
      </c>
      <c r="AA538" s="32">
        <v>3</v>
      </c>
      <c r="AB538" s="13">
        <f t="shared" si="131"/>
        <v>0</v>
      </c>
      <c r="AC538" s="33"/>
      <c r="AD538" s="13">
        <f t="shared" si="127"/>
        <v>0</v>
      </c>
      <c r="AE538" s="13">
        <f>ROUNDUP(($AB538+$AD538)*VLOOKUP($Z538,Paraméterek!$P$38:$Q$38,2)/12,IF($D$4="Forint",0,2))</f>
        <v>0</v>
      </c>
      <c r="AF538" s="13">
        <f>IF($D$2="Egyszeri",IF($D$7&gt;=IF($D$4="Forint",Paraméterek!$P$223,Paraméterek!$P$224),$D$7-IF($D$4="Forint",Paraméterek!$F$223,Paraméterek!$F$224),0),MIN(IF($AA538=12,AVERAGE($D$20:$D538)*12,0),SUM($D$20:$D$31)))</f>
        <v>0</v>
      </c>
      <c r="AG538" s="13">
        <f>IF(AND($Z538&gt;=10,MOD($Z538,5)=0),$AF538*IF($AA538=12,VLOOKUP($Z538,Paraméterek!$B$225:$F$240,IF($AF538&lt;IF($D$4="Forint",Paraméterek!$C$223,Paraméterek!$C$224),2,IF($AF538&lt;IF($D$4="Forint",Paraméterek!$D$223,Paraméterek!$D$224),3,4))),0),0)</f>
        <v>0</v>
      </c>
      <c r="AH538" s="13">
        <f>IF(AND($Z538&gt;=5,MOD($Z538,5)=0),IF($AA538=12,VLOOKUP($Z538,Paraméterek!$B$225:$F$240,5),0),IF(OR($Z538=3,$Z538=4),IF($AA538=12,VLOOKUP($Z538,Paraméterek!$B$225:$F$240,5,0),0),0))*$AF538</f>
        <v>0</v>
      </c>
      <c r="AI538" s="13">
        <f>ROUNDDOWN(IF(SUM($T$20:$U538)=0,IF($D$2="Egyszeri",$AH538,$AG538),0),IF($D$4="Forint",0,2))</f>
        <v>0</v>
      </c>
      <c r="AJ538" s="13">
        <f t="shared" si="132"/>
        <v>0</v>
      </c>
      <c r="AK538" s="13">
        <f t="shared" si="133"/>
        <v>0</v>
      </c>
      <c r="AM538" s="32">
        <v>519</v>
      </c>
      <c r="AN538" s="32">
        <v>44</v>
      </c>
      <c r="AO538" s="32">
        <v>3</v>
      </c>
      <c r="AP538" s="13"/>
      <c r="AQ538" s="32"/>
      <c r="AR538" s="13">
        <f t="shared" si="134"/>
        <v>0</v>
      </c>
      <c r="AS538" s="33"/>
      <c r="AT538" s="13">
        <f t="shared" si="128"/>
        <v>0</v>
      </c>
      <c r="AU538" s="13">
        <f>ROUNDUP(($AR538+$AT538)*VLOOKUP($AN538,Paraméterek!$P$38:$Q$38,2)/12,IF($D$4="Forint",0,2))</f>
        <v>0</v>
      </c>
      <c r="AV538" s="13"/>
      <c r="AW538" s="13"/>
      <c r="AX538" s="13">
        <f>ROUNDUP(IF(SUM($AV538:$AW538)=0,0,IF(IF(ISBLANK($AW538),$AV538,$AW538)*Paraméterek!$J$112&lt;IF($D$4="Forint",Paraméterek!$J$113,Paraméterek!$K$113),IF($D$4="Forint",Paraméterek!$J$113,Paraméterek!$K$113),IF(IF(ISBLANK($AW538),$AV538,$AW538)*Paraméterek!$J$112&gt;IF($D$4="Forint",Paraméterek!$J$114,Paraméterek!$K$114),IF($D$4="Forint",Paraméterek!$J$114,Paraméterek!$K$114),IF(ISBLANK($AW538),$AV538,$AW538)*Paraméterek!$J$112))),IF($D$4="Forint",0,2))</f>
        <v>0</v>
      </c>
      <c r="AY538" s="13">
        <f>$AR538+$AT538-$AU538-IF(ROUNDDOWN(IF(ISBLANK($AW538),$AV538,$AW538),IF($D$4="Forint",0,2))&gt;$AR538+$AT538-$AU538-IF($D$4="Forint",Paraméterek!$J$114,Paraméterek!$K$114),0,ROUNDDOWN(IF(ISBLANK($AW538),$AV538,$AW538),IF($D$4="Forint",0,2))-$AX538)</f>
        <v>0</v>
      </c>
      <c r="AZ538" s="13">
        <f t="shared" si="129"/>
        <v>0</v>
      </c>
    </row>
    <row r="539" spans="1:52" x14ac:dyDescent="0.2">
      <c r="A539" s="32">
        <v>520</v>
      </c>
      <c r="B539" s="32">
        <v>44</v>
      </c>
      <c r="C539" s="32">
        <v>4</v>
      </c>
      <c r="D539" s="13">
        <f t="shared" si="120"/>
        <v>0</v>
      </c>
      <c r="E539" s="13"/>
      <c r="F539" s="13"/>
      <c r="G539" s="13"/>
      <c r="H539" s="13">
        <f t="shared" si="121"/>
        <v>0</v>
      </c>
      <c r="I539" s="13">
        <f t="shared" si="122"/>
        <v>0</v>
      </c>
      <c r="J539" s="13">
        <f t="shared" si="123"/>
        <v>0</v>
      </c>
      <c r="K539" s="13">
        <f>ROUNDUP(IF($D$2="Egyszeri",$D539,IF($D$2="Havi",SUM($D$20:$D$31),IF(MOD($C539,$M$1)-1=0,SUM($D$20:$D$31),0))/12*$M$1)*VLOOKUP($B539,Paraméterek!$B$27:$D$30,IF($D$2="Egyszeri",3,2)),IF($D$4="Forint",0,2))</f>
        <v>0</v>
      </c>
      <c r="L539" s="13">
        <f t="shared" si="124"/>
        <v>0</v>
      </c>
      <c r="M539" s="13">
        <f t="shared" ca="1" si="130"/>
        <v>-374164</v>
      </c>
      <c r="N539" s="13">
        <f ca="1">IF($V538&gt;=VLOOKUP($M$4-1+$B539,Paraméterek!$B$121:$D$122,IF($D$4="Forint",2,3)),0,VLOOKUP($M$4-1+$B539,Paraméterek!$B$121:$D$122,IF($D$4="Forint",2,3))-$V538)</f>
        <v>384164</v>
      </c>
      <c r="O539" s="13">
        <f ca="1">ROUNDUP($N539*Paraméterek!$C$58/Paraméterek!$C$56,IF($D$4="Forint",0,2))</f>
        <v>62</v>
      </c>
      <c r="P539" s="13">
        <f t="shared" si="125"/>
        <v>1961</v>
      </c>
      <c r="Q539" s="33"/>
      <c r="R539" s="13">
        <f t="shared" ca="1" si="126"/>
        <v>0</v>
      </c>
      <c r="S539" s="13">
        <f ca="1">ROUNDUP(($M539-$O539-$P539+$R539)*VLOOKUP($B539,Paraméterek!$B$38:$D$39,IF($D$2="Egyszeri",3,2))/12,IF($D$4="Forint",0,2))</f>
        <v>-919</v>
      </c>
      <c r="T539" s="13"/>
      <c r="U539" s="13"/>
      <c r="V539" s="13">
        <f ca="1">$M539-$O539-$P539+$R539-$S539-IF(ROUNDUP(IF(ISBLANK($U539),$T539,$U539)/IF(AND($B539=1,$D$2&lt;&gt;"Egyszeri"),1,VLOOKUP($B539+IF($C539=12,1,0),Paraméterek!$B$257:$D$267,IF($D$2="Egyszeri",3,2))),IF($D$4="Forint",0,2))&gt;$M539-$O539-$P539+$R539-$S539-IF($D$4="Forint",Paraméterek!$C$216,Paraméterek!$D$216),0,ROUNDUP(IF(ISBLANK($U539),$T539,$U539)/IF(AND($B539=1,$D$2&lt;&gt;"Egyszeri"),1,VLOOKUP($B539+IF($C539=12,1,0),Paraméterek!$B$257:$D$267,IF($D$2="Egyszeri",3,2))),IF($D$4="Forint",0,2)))</f>
        <v>-375268</v>
      </c>
      <c r="W539" s="13">
        <f ca="1">ROUNDDOWN($V539*VLOOKUP($B539+IF($C539=12,1,0),Paraméterek!$B$257:$D$267,IF($D$2="Egyszeri",3,2)),IF($D$4="Forint",0,2))</f>
        <v>-375268</v>
      </c>
      <c r="Y539" s="32">
        <v>520</v>
      </c>
      <c r="Z539" s="32">
        <v>44</v>
      </c>
      <c r="AA539" s="32">
        <v>4</v>
      </c>
      <c r="AB539" s="13">
        <f t="shared" si="131"/>
        <v>0</v>
      </c>
      <c r="AC539" s="33"/>
      <c r="AD539" s="13">
        <f t="shared" si="127"/>
        <v>0</v>
      </c>
      <c r="AE539" s="13">
        <f>ROUNDUP(($AB539+$AD539)*VLOOKUP($Z539,Paraméterek!$P$38:$Q$38,2)/12,IF($D$4="Forint",0,2))</f>
        <v>0</v>
      </c>
      <c r="AF539" s="13">
        <f>IF($D$2="Egyszeri",IF($D$7&gt;=IF($D$4="Forint",Paraméterek!$P$223,Paraméterek!$P$224),$D$7-IF($D$4="Forint",Paraméterek!$F$223,Paraméterek!$F$224),0),MIN(IF($AA539=12,AVERAGE($D$20:$D539)*12,0),SUM($D$20:$D$31)))</f>
        <v>0</v>
      </c>
      <c r="AG539" s="13">
        <f>IF(AND($Z539&gt;=10,MOD($Z539,5)=0),$AF539*IF($AA539=12,VLOOKUP($Z539,Paraméterek!$B$225:$F$240,IF($AF539&lt;IF($D$4="Forint",Paraméterek!$C$223,Paraméterek!$C$224),2,IF($AF539&lt;IF($D$4="Forint",Paraméterek!$D$223,Paraméterek!$D$224),3,4))),0),0)</f>
        <v>0</v>
      </c>
      <c r="AH539" s="13">
        <f>IF(AND($Z539&gt;=5,MOD($Z539,5)=0),IF($AA539=12,VLOOKUP($Z539,Paraméterek!$B$225:$F$240,5),0),IF(OR($Z539=3,$Z539=4),IF($AA539=12,VLOOKUP($Z539,Paraméterek!$B$225:$F$240,5,0),0),0))*$AF539</f>
        <v>0</v>
      </c>
      <c r="AI539" s="13">
        <f>ROUNDDOWN(IF(SUM($T$20:$U539)=0,IF($D$2="Egyszeri",$AH539,$AG539),0),IF($D$4="Forint",0,2))</f>
        <v>0</v>
      </c>
      <c r="AJ539" s="13">
        <f t="shared" si="132"/>
        <v>0</v>
      </c>
      <c r="AK539" s="13">
        <f t="shared" si="133"/>
        <v>0</v>
      </c>
      <c r="AM539" s="32">
        <v>520</v>
      </c>
      <c r="AN539" s="32">
        <v>44</v>
      </c>
      <c r="AO539" s="32">
        <v>4</v>
      </c>
      <c r="AP539" s="13"/>
      <c r="AQ539" s="32"/>
      <c r="AR539" s="13">
        <f t="shared" si="134"/>
        <v>0</v>
      </c>
      <c r="AS539" s="33"/>
      <c r="AT539" s="13">
        <f t="shared" si="128"/>
        <v>0</v>
      </c>
      <c r="AU539" s="13">
        <f>ROUNDUP(($AR539+$AT539)*VLOOKUP($AN539,Paraméterek!$P$38:$Q$38,2)/12,IF($D$4="Forint",0,2))</f>
        <v>0</v>
      </c>
      <c r="AV539" s="13"/>
      <c r="AW539" s="13"/>
      <c r="AX539" s="13">
        <f>ROUNDUP(IF(SUM($AV539:$AW539)=0,0,IF(IF(ISBLANK($AW539),$AV539,$AW539)*Paraméterek!$J$112&lt;IF($D$4="Forint",Paraméterek!$J$113,Paraméterek!$K$113),IF($D$4="Forint",Paraméterek!$J$113,Paraméterek!$K$113),IF(IF(ISBLANK($AW539),$AV539,$AW539)*Paraméterek!$J$112&gt;IF($D$4="Forint",Paraméterek!$J$114,Paraméterek!$K$114),IF($D$4="Forint",Paraméterek!$J$114,Paraméterek!$K$114),IF(ISBLANK($AW539),$AV539,$AW539)*Paraméterek!$J$112))),IF($D$4="Forint",0,2))</f>
        <v>0</v>
      </c>
      <c r="AY539" s="13">
        <f>$AR539+$AT539-$AU539-IF(ROUNDDOWN(IF(ISBLANK($AW539),$AV539,$AW539),IF($D$4="Forint",0,2))&gt;$AR539+$AT539-$AU539-IF($D$4="Forint",Paraméterek!$J$114,Paraméterek!$K$114),0,ROUNDDOWN(IF(ISBLANK($AW539),$AV539,$AW539),IF($D$4="Forint",0,2))-$AX539)</f>
        <v>0</v>
      </c>
      <c r="AZ539" s="13">
        <f t="shared" si="129"/>
        <v>0</v>
      </c>
    </row>
    <row r="540" spans="1:52" x14ac:dyDescent="0.2">
      <c r="A540" s="32">
        <v>521</v>
      </c>
      <c r="B540" s="32">
        <v>44</v>
      </c>
      <c r="C540" s="32">
        <v>5</v>
      </c>
      <c r="D540" s="13">
        <f t="shared" si="120"/>
        <v>0</v>
      </c>
      <c r="E540" s="13"/>
      <c r="F540" s="13"/>
      <c r="G540" s="13"/>
      <c r="H540" s="13">
        <f t="shared" si="121"/>
        <v>0</v>
      </c>
      <c r="I540" s="13">
        <f t="shared" si="122"/>
        <v>0</v>
      </c>
      <c r="J540" s="13">
        <f t="shared" si="123"/>
        <v>0</v>
      </c>
      <c r="K540" s="13">
        <f>ROUNDUP(IF($D$2="Egyszeri",$D540,IF($D$2="Havi",SUM($D$20:$D$31),IF(MOD($C540,$M$1)-1=0,SUM($D$20:$D$31),0))/12*$M$1)*VLOOKUP($B540,Paraméterek!$B$27:$D$30,IF($D$2="Egyszeri",3,2)),IF($D$4="Forint",0,2))</f>
        <v>0</v>
      </c>
      <c r="L540" s="13">
        <f t="shared" si="124"/>
        <v>0</v>
      </c>
      <c r="M540" s="13">
        <f t="shared" ca="1" si="130"/>
        <v>-375268</v>
      </c>
      <c r="N540" s="13">
        <f ca="1">IF($V539&gt;=VLOOKUP($M$4-1+$B540,Paraméterek!$B$121:$D$122,IF($D$4="Forint",2,3)),0,VLOOKUP($M$4-1+$B540,Paraméterek!$B$121:$D$122,IF($D$4="Forint",2,3))-$V539)</f>
        <v>385268</v>
      </c>
      <c r="O540" s="13">
        <f ca="1">ROUNDUP($N540*Paraméterek!$C$58/Paraméterek!$C$56,IF($D$4="Forint",0,2))</f>
        <v>62</v>
      </c>
      <c r="P540" s="13">
        <f t="shared" si="125"/>
        <v>1961</v>
      </c>
      <c r="Q540" s="33"/>
      <c r="R540" s="13">
        <f t="shared" ca="1" si="126"/>
        <v>0</v>
      </c>
      <c r="S540" s="13">
        <f ca="1">ROUNDUP(($M540-$O540-$P540+$R540)*VLOOKUP($B540,Paraméterek!$B$38:$D$39,IF($D$2="Egyszeri",3,2))/12,IF($D$4="Forint",0,2))</f>
        <v>-922</v>
      </c>
      <c r="T540" s="13"/>
      <c r="U540" s="13"/>
      <c r="V540" s="13">
        <f ca="1">$M540-$O540-$P540+$R540-$S540-IF(ROUNDUP(IF(ISBLANK($U540),$T540,$U540)/IF(AND($B540=1,$D$2&lt;&gt;"Egyszeri"),1,VLOOKUP($B540+IF($C540=12,1,0),Paraméterek!$B$257:$D$267,IF($D$2="Egyszeri",3,2))),IF($D$4="Forint",0,2))&gt;$M540-$O540-$P540+$R540-$S540-IF($D$4="Forint",Paraméterek!$C$216,Paraméterek!$D$216),0,ROUNDUP(IF(ISBLANK($U540),$T540,$U540)/IF(AND($B540=1,$D$2&lt;&gt;"Egyszeri"),1,VLOOKUP($B540+IF($C540=12,1,0),Paraméterek!$B$257:$D$267,IF($D$2="Egyszeri",3,2))),IF($D$4="Forint",0,2)))</f>
        <v>-376369</v>
      </c>
      <c r="W540" s="13">
        <f ca="1">ROUNDDOWN($V540*VLOOKUP($B540+IF($C540=12,1,0),Paraméterek!$B$257:$D$267,IF($D$2="Egyszeri",3,2)),IF($D$4="Forint",0,2))</f>
        <v>-376369</v>
      </c>
      <c r="Y540" s="32">
        <v>521</v>
      </c>
      <c r="Z540" s="32">
        <v>44</v>
      </c>
      <c r="AA540" s="32">
        <v>5</v>
      </c>
      <c r="AB540" s="13">
        <f t="shared" si="131"/>
        <v>0</v>
      </c>
      <c r="AC540" s="33"/>
      <c r="AD540" s="13">
        <f t="shared" si="127"/>
        <v>0</v>
      </c>
      <c r="AE540" s="13">
        <f>ROUNDUP(($AB540+$AD540)*VLOOKUP($Z540,Paraméterek!$P$38:$Q$38,2)/12,IF($D$4="Forint",0,2))</f>
        <v>0</v>
      </c>
      <c r="AF540" s="13">
        <f>IF($D$2="Egyszeri",IF($D$7&gt;=IF($D$4="Forint",Paraméterek!$P$223,Paraméterek!$P$224),$D$7-IF($D$4="Forint",Paraméterek!$F$223,Paraméterek!$F$224),0),MIN(IF($AA540=12,AVERAGE($D$20:$D540)*12,0),SUM($D$20:$D$31)))</f>
        <v>0</v>
      </c>
      <c r="AG540" s="13">
        <f>IF(AND($Z540&gt;=10,MOD($Z540,5)=0),$AF540*IF($AA540=12,VLOOKUP($Z540,Paraméterek!$B$225:$F$240,IF($AF540&lt;IF($D$4="Forint",Paraméterek!$C$223,Paraméterek!$C$224),2,IF($AF540&lt;IF($D$4="Forint",Paraméterek!$D$223,Paraméterek!$D$224),3,4))),0),0)</f>
        <v>0</v>
      </c>
      <c r="AH540" s="13">
        <f>IF(AND($Z540&gt;=5,MOD($Z540,5)=0),IF($AA540=12,VLOOKUP($Z540,Paraméterek!$B$225:$F$240,5),0),IF(OR($Z540=3,$Z540=4),IF($AA540=12,VLOOKUP($Z540,Paraméterek!$B$225:$F$240,5,0),0),0))*$AF540</f>
        <v>0</v>
      </c>
      <c r="AI540" s="13">
        <f>ROUNDDOWN(IF(SUM($T$20:$U540)=0,IF($D$2="Egyszeri",$AH540,$AG540),0),IF($D$4="Forint",0,2))</f>
        <v>0</v>
      </c>
      <c r="AJ540" s="13">
        <f t="shared" si="132"/>
        <v>0</v>
      </c>
      <c r="AK540" s="13">
        <f t="shared" si="133"/>
        <v>0</v>
      </c>
      <c r="AM540" s="32">
        <v>521</v>
      </c>
      <c r="AN540" s="32">
        <v>44</v>
      </c>
      <c r="AO540" s="32">
        <v>5</v>
      </c>
      <c r="AP540" s="13"/>
      <c r="AQ540" s="32"/>
      <c r="AR540" s="13">
        <f t="shared" si="134"/>
        <v>0</v>
      </c>
      <c r="AS540" s="33"/>
      <c r="AT540" s="13">
        <f t="shared" si="128"/>
        <v>0</v>
      </c>
      <c r="AU540" s="13">
        <f>ROUNDUP(($AR540+$AT540)*VLOOKUP($AN540,Paraméterek!$P$38:$Q$38,2)/12,IF($D$4="Forint",0,2))</f>
        <v>0</v>
      </c>
      <c r="AV540" s="13"/>
      <c r="AW540" s="13"/>
      <c r="AX540" s="13">
        <f>ROUNDUP(IF(SUM($AV540:$AW540)=0,0,IF(IF(ISBLANK($AW540),$AV540,$AW540)*Paraméterek!$J$112&lt;IF($D$4="Forint",Paraméterek!$J$113,Paraméterek!$K$113),IF($D$4="Forint",Paraméterek!$J$113,Paraméterek!$K$113),IF(IF(ISBLANK($AW540),$AV540,$AW540)*Paraméterek!$J$112&gt;IF($D$4="Forint",Paraméterek!$J$114,Paraméterek!$K$114),IF($D$4="Forint",Paraméterek!$J$114,Paraméterek!$K$114),IF(ISBLANK($AW540),$AV540,$AW540)*Paraméterek!$J$112))),IF($D$4="Forint",0,2))</f>
        <v>0</v>
      </c>
      <c r="AY540" s="13">
        <f>$AR540+$AT540-$AU540-IF(ROUNDDOWN(IF(ISBLANK($AW540),$AV540,$AW540),IF($D$4="Forint",0,2))&gt;$AR540+$AT540-$AU540-IF($D$4="Forint",Paraméterek!$J$114,Paraméterek!$K$114),0,ROUNDDOWN(IF(ISBLANK($AW540),$AV540,$AW540),IF($D$4="Forint",0,2))-$AX540)</f>
        <v>0</v>
      </c>
      <c r="AZ540" s="13">
        <f t="shared" si="129"/>
        <v>0</v>
      </c>
    </row>
    <row r="541" spans="1:52" x14ac:dyDescent="0.2">
      <c r="A541" s="32">
        <v>522</v>
      </c>
      <c r="B541" s="32">
        <v>44</v>
      </c>
      <c r="C541" s="32">
        <v>6</v>
      </c>
      <c r="D541" s="13">
        <f t="shared" si="120"/>
        <v>0</v>
      </c>
      <c r="E541" s="13"/>
      <c r="F541" s="13"/>
      <c r="G541" s="13"/>
      <c r="H541" s="13">
        <f t="shared" si="121"/>
        <v>0</v>
      </c>
      <c r="I541" s="13">
        <f t="shared" si="122"/>
        <v>0</v>
      </c>
      <c r="J541" s="13">
        <f t="shared" si="123"/>
        <v>0</v>
      </c>
      <c r="K541" s="13">
        <f>ROUNDUP(IF($D$2="Egyszeri",$D541,IF($D$2="Havi",SUM($D$20:$D$31),IF(MOD($C541,$M$1)-1=0,SUM($D$20:$D$31),0))/12*$M$1)*VLOOKUP($B541,Paraméterek!$B$27:$D$30,IF($D$2="Egyszeri",3,2)),IF($D$4="Forint",0,2))</f>
        <v>0</v>
      </c>
      <c r="L541" s="13">
        <f t="shared" si="124"/>
        <v>0</v>
      </c>
      <c r="M541" s="13">
        <f t="shared" ca="1" si="130"/>
        <v>-376369</v>
      </c>
      <c r="N541" s="13">
        <f ca="1">IF($V540&gt;=VLOOKUP($M$4-1+$B541,Paraméterek!$B$121:$D$122,IF($D$4="Forint",2,3)),0,VLOOKUP($M$4-1+$B541,Paraméterek!$B$121:$D$122,IF($D$4="Forint",2,3))-$V540)</f>
        <v>386369</v>
      </c>
      <c r="O541" s="13">
        <f ca="1">ROUNDUP($N541*Paraméterek!$C$58/Paraméterek!$C$56,IF($D$4="Forint",0,2))</f>
        <v>62</v>
      </c>
      <c r="P541" s="13">
        <f t="shared" si="125"/>
        <v>1961</v>
      </c>
      <c r="Q541" s="33"/>
      <c r="R541" s="13">
        <f t="shared" ca="1" si="126"/>
        <v>0</v>
      </c>
      <c r="S541" s="13">
        <f ca="1">ROUNDUP(($M541-$O541-$P541+$R541)*VLOOKUP($B541,Paraméterek!$B$38:$D$39,IF($D$2="Egyszeri",3,2))/12,IF($D$4="Forint",0,2))</f>
        <v>-924</v>
      </c>
      <c r="T541" s="13"/>
      <c r="U541" s="13"/>
      <c r="V541" s="13">
        <f ca="1">$M541-$O541-$P541+$R541-$S541-IF(ROUNDUP(IF(ISBLANK($U541),$T541,$U541)/IF(AND($B541=1,$D$2&lt;&gt;"Egyszeri"),1,VLOOKUP($B541+IF($C541=12,1,0),Paraméterek!$B$257:$D$267,IF($D$2="Egyszeri",3,2))),IF($D$4="Forint",0,2))&gt;$M541-$O541-$P541+$R541-$S541-IF($D$4="Forint",Paraméterek!$C$216,Paraméterek!$D$216),0,ROUNDUP(IF(ISBLANK($U541),$T541,$U541)/IF(AND($B541=1,$D$2&lt;&gt;"Egyszeri"),1,VLOOKUP($B541+IF($C541=12,1,0),Paraméterek!$B$257:$D$267,IF($D$2="Egyszeri",3,2))),IF($D$4="Forint",0,2)))</f>
        <v>-377468</v>
      </c>
      <c r="W541" s="13">
        <f ca="1">ROUNDDOWN($V541*VLOOKUP($B541+IF($C541=12,1,0),Paraméterek!$B$257:$D$267,IF($D$2="Egyszeri",3,2)),IF($D$4="Forint",0,2))</f>
        <v>-377468</v>
      </c>
      <c r="Y541" s="32">
        <v>522</v>
      </c>
      <c r="Z541" s="32">
        <v>44</v>
      </c>
      <c r="AA541" s="32">
        <v>6</v>
      </c>
      <c r="AB541" s="13">
        <f t="shared" si="131"/>
        <v>0</v>
      </c>
      <c r="AC541" s="33"/>
      <c r="AD541" s="13">
        <f t="shared" si="127"/>
        <v>0</v>
      </c>
      <c r="AE541" s="13">
        <f>ROUNDUP(($AB541+$AD541)*VLOOKUP($Z541,Paraméterek!$P$38:$Q$38,2)/12,IF($D$4="Forint",0,2))</f>
        <v>0</v>
      </c>
      <c r="AF541" s="13">
        <f>IF($D$2="Egyszeri",IF($D$7&gt;=IF($D$4="Forint",Paraméterek!$P$223,Paraméterek!$P$224),$D$7-IF($D$4="Forint",Paraméterek!$F$223,Paraméterek!$F$224),0),MIN(IF($AA541=12,AVERAGE($D$20:$D541)*12,0),SUM($D$20:$D$31)))</f>
        <v>0</v>
      </c>
      <c r="AG541" s="13">
        <f>IF(AND($Z541&gt;=10,MOD($Z541,5)=0),$AF541*IF($AA541=12,VLOOKUP($Z541,Paraméterek!$B$225:$F$240,IF($AF541&lt;IF($D$4="Forint",Paraméterek!$C$223,Paraméterek!$C$224),2,IF($AF541&lt;IF($D$4="Forint",Paraméterek!$D$223,Paraméterek!$D$224),3,4))),0),0)</f>
        <v>0</v>
      </c>
      <c r="AH541" s="13">
        <f>IF(AND($Z541&gt;=5,MOD($Z541,5)=0),IF($AA541=12,VLOOKUP($Z541,Paraméterek!$B$225:$F$240,5),0),IF(OR($Z541=3,$Z541=4),IF($AA541=12,VLOOKUP($Z541,Paraméterek!$B$225:$F$240,5,0),0),0))*$AF541</f>
        <v>0</v>
      </c>
      <c r="AI541" s="13">
        <f>ROUNDDOWN(IF(SUM($T$20:$U541)=0,IF($D$2="Egyszeri",$AH541,$AG541),0),IF($D$4="Forint",0,2))</f>
        <v>0</v>
      </c>
      <c r="AJ541" s="13">
        <f t="shared" si="132"/>
        <v>0</v>
      </c>
      <c r="AK541" s="13">
        <f t="shared" si="133"/>
        <v>0</v>
      </c>
      <c r="AM541" s="32">
        <v>522</v>
      </c>
      <c r="AN541" s="32">
        <v>44</v>
      </c>
      <c r="AO541" s="32">
        <v>6</v>
      </c>
      <c r="AP541" s="13"/>
      <c r="AQ541" s="32"/>
      <c r="AR541" s="13">
        <f t="shared" si="134"/>
        <v>0</v>
      </c>
      <c r="AS541" s="33"/>
      <c r="AT541" s="13">
        <f t="shared" si="128"/>
        <v>0</v>
      </c>
      <c r="AU541" s="13">
        <f>ROUNDUP(($AR541+$AT541)*VLOOKUP($AN541,Paraméterek!$P$38:$Q$38,2)/12,IF($D$4="Forint",0,2))</f>
        <v>0</v>
      </c>
      <c r="AV541" s="13"/>
      <c r="AW541" s="13"/>
      <c r="AX541" s="13">
        <f>ROUNDUP(IF(SUM($AV541:$AW541)=0,0,IF(IF(ISBLANK($AW541),$AV541,$AW541)*Paraméterek!$J$112&lt;IF($D$4="Forint",Paraméterek!$J$113,Paraméterek!$K$113),IF($D$4="Forint",Paraméterek!$J$113,Paraméterek!$K$113),IF(IF(ISBLANK($AW541),$AV541,$AW541)*Paraméterek!$J$112&gt;IF($D$4="Forint",Paraméterek!$J$114,Paraméterek!$K$114),IF($D$4="Forint",Paraméterek!$J$114,Paraméterek!$K$114),IF(ISBLANK($AW541),$AV541,$AW541)*Paraméterek!$J$112))),IF($D$4="Forint",0,2))</f>
        <v>0</v>
      </c>
      <c r="AY541" s="13">
        <f>$AR541+$AT541-$AU541-IF(ROUNDDOWN(IF(ISBLANK($AW541),$AV541,$AW541),IF($D$4="Forint",0,2))&gt;$AR541+$AT541-$AU541-IF($D$4="Forint",Paraméterek!$J$114,Paraméterek!$K$114),0,ROUNDDOWN(IF(ISBLANK($AW541),$AV541,$AW541),IF($D$4="Forint",0,2))-$AX541)</f>
        <v>0</v>
      </c>
      <c r="AZ541" s="13">
        <f t="shared" si="129"/>
        <v>0</v>
      </c>
    </row>
    <row r="542" spans="1:52" x14ac:dyDescent="0.2">
      <c r="A542" s="32">
        <v>523</v>
      </c>
      <c r="B542" s="32">
        <v>44</v>
      </c>
      <c r="C542" s="32">
        <v>7</v>
      </c>
      <c r="D542" s="13">
        <f t="shared" si="120"/>
        <v>0</v>
      </c>
      <c r="E542" s="13"/>
      <c r="F542" s="13"/>
      <c r="G542" s="13"/>
      <c r="H542" s="13">
        <f t="shared" si="121"/>
        <v>0</v>
      </c>
      <c r="I542" s="13">
        <f t="shared" si="122"/>
        <v>0</v>
      </c>
      <c r="J542" s="13">
        <f t="shared" si="123"/>
        <v>0</v>
      </c>
      <c r="K542" s="13">
        <f>ROUNDUP(IF($D$2="Egyszeri",$D542,IF($D$2="Havi",SUM($D$20:$D$31),IF(MOD($C542,$M$1)-1=0,SUM($D$20:$D$31),0))/12*$M$1)*VLOOKUP($B542,Paraméterek!$B$27:$D$30,IF($D$2="Egyszeri",3,2)),IF($D$4="Forint",0,2))</f>
        <v>0</v>
      </c>
      <c r="L542" s="13">
        <f t="shared" si="124"/>
        <v>0</v>
      </c>
      <c r="M542" s="13">
        <f t="shared" ca="1" si="130"/>
        <v>-377468</v>
      </c>
      <c r="N542" s="13">
        <f ca="1">IF($V541&gt;=VLOOKUP($M$4-1+$B542,Paraméterek!$B$121:$D$122,IF($D$4="Forint",2,3)),0,VLOOKUP($M$4-1+$B542,Paraméterek!$B$121:$D$122,IF($D$4="Forint",2,3))-$V541)</f>
        <v>387468</v>
      </c>
      <c r="O542" s="13">
        <f ca="1">ROUNDUP($N542*Paraméterek!$C$58/Paraméterek!$C$56,IF($D$4="Forint",0,2))</f>
        <v>62</v>
      </c>
      <c r="P542" s="13">
        <f t="shared" si="125"/>
        <v>1961</v>
      </c>
      <c r="Q542" s="33"/>
      <c r="R542" s="13">
        <f t="shared" ca="1" si="126"/>
        <v>0</v>
      </c>
      <c r="S542" s="13">
        <f ca="1">ROUNDUP(($M542-$O542-$P542+$R542)*VLOOKUP($B542,Paraméterek!$B$38:$D$39,IF($D$2="Egyszeri",3,2))/12,IF($D$4="Forint",0,2))</f>
        <v>-927</v>
      </c>
      <c r="T542" s="13"/>
      <c r="U542" s="13"/>
      <c r="V542" s="13">
        <f ca="1">$M542-$O542-$P542+$R542-$S542-IF(ROUNDUP(IF(ISBLANK($U542),$T542,$U542)/IF(AND($B542=1,$D$2&lt;&gt;"Egyszeri"),1,VLOOKUP($B542+IF($C542=12,1,0),Paraméterek!$B$257:$D$267,IF($D$2="Egyszeri",3,2))),IF($D$4="Forint",0,2))&gt;$M542-$O542-$P542+$R542-$S542-IF($D$4="Forint",Paraméterek!$C$216,Paraméterek!$D$216),0,ROUNDUP(IF(ISBLANK($U542),$T542,$U542)/IF(AND($B542=1,$D$2&lt;&gt;"Egyszeri"),1,VLOOKUP($B542+IF($C542=12,1,0),Paraméterek!$B$257:$D$267,IF($D$2="Egyszeri",3,2))),IF($D$4="Forint",0,2)))</f>
        <v>-378564</v>
      </c>
      <c r="W542" s="13">
        <f ca="1">ROUNDDOWN($V542*VLOOKUP($B542+IF($C542=12,1,0),Paraméterek!$B$257:$D$267,IF($D$2="Egyszeri",3,2)),IF($D$4="Forint",0,2))</f>
        <v>-378564</v>
      </c>
      <c r="Y542" s="32">
        <v>523</v>
      </c>
      <c r="Z542" s="32">
        <v>44</v>
      </c>
      <c r="AA542" s="32">
        <v>7</v>
      </c>
      <c r="AB542" s="13">
        <f t="shared" si="131"/>
        <v>0</v>
      </c>
      <c r="AC542" s="33"/>
      <c r="AD542" s="13">
        <f t="shared" si="127"/>
        <v>0</v>
      </c>
      <c r="AE542" s="13">
        <f>ROUNDUP(($AB542+$AD542)*VLOOKUP($Z542,Paraméterek!$P$38:$Q$38,2)/12,IF($D$4="Forint",0,2))</f>
        <v>0</v>
      </c>
      <c r="AF542" s="13">
        <f>IF($D$2="Egyszeri",IF($D$7&gt;=IF($D$4="Forint",Paraméterek!$P$223,Paraméterek!$P$224),$D$7-IF($D$4="Forint",Paraméterek!$F$223,Paraméterek!$F$224),0),MIN(IF($AA542=12,AVERAGE($D$20:$D542)*12,0),SUM($D$20:$D$31)))</f>
        <v>0</v>
      </c>
      <c r="AG542" s="13">
        <f>IF(AND($Z542&gt;=10,MOD($Z542,5)=0),$AF542*IF($AA542=12,VLOOKUP($Z542,Paraméterek!$B$225:$F$240,IF($AF542&lt;IF($D$4="Forint",Paraméterek!$C$223,Paraméterek!$C$224),2,IF($AF542&lt;IF($D$4="Forint",Paraméterek!$D$223,Paraméterek!$D$224),3,4))),0),0)</f>
        <v>0</v>
      </c>
      <c r="AH542" s="13">
        <f>IF(AND($Z542&gt;=5,MOD($Z542,5)=0),IF($AA542=12,VLOOKUP($Z542,Paraméterek!$B$225:$F$240,5),0),IF(OR($Z542=3,$Z542=4),IF($AA542=12,VLOOKUP($Z542,Paraméterek!$B$225:$F$240,5,0),0),0))*$AF542</f>
        <v>0</v>
      </c>
      <c r="AI542" s="13">
        <f>ROUNDDOWN(IF(SUM($T$20:$U542)=0,IF($D$2="Egyszeri",$AH542,$AG542),0),IF($D$4="Forint",0,2))</f>
        <v>0</v>
      </c>
      <c r="AJ542" s="13">
        <f t="shared" si="132"/>
        <v>0</v>
      </c>
      <c r="AK542" s="13">
        <f t="shared" si="133"/>
        <v>0</v>
      </c>
      <c r="AM542" s="32">
        <v>523</v>
      </c>
      <c r="AN542" s="32">
        <v>44</v>
      </c>
      <c r="AO542" s="32">
        <v>7</v>
      </c>
      <c r="AP542" s="13"/>
      <c r="AQ542" s="32"/>
      <c r="AR542" s="13">
        <f t="shared" si="134"/>
        <v>0</v>
      </c>
      <c r="AS542" s="33"/>
      <c r="AT542" s="13">
        <f t="shared" si="128"/>
        <v>0</v>
      </c>
      <c r="AU542" s="13">
        <f>ROUNDUP(($AR542+$AT542)*VLOOKUP($AN542,Paraméterek!$P$38:$Q$38,2)/12,IF($D$4="Forint",0,2))</f>
        <v>0</v>
      </c>
      <c r="AV542" s="13"/>
      <c r="AW542" s="13"/>
      <c r="AX542" s="13">
        <f>ROUNDUP(IF(SUM($AV542:$AW542)=0,0,IF(IF(ISBLANK($AW542),$AV542,$AW542)*Paraméterek!$J$112&lt;IF($D$4="Forint",Paraméterek!$J$113,Paraméterek!$K$113),IF($D$4="Forint",Paraméterek!$J$113,Paraméterek!$K$113),IF(IF(ISBLANK($AW542),$AV542,$AW542)*Paraméterek!$J$112&gt;IF($D$4="Forint",Paraméterek!$J$114,Paraméterek!$K$114),IF($D$4="Forint",Paraméterek!$J$114,Paraméterek!$K$114),IF(ISBLANK($AW542),$AV542,$AW542)*Paraméterek!$J$112))),IF($D$4="Forint",0,2))</f>
        <v>0</v>
      </c>
      <c r="AY542" s="13">
        <f>$AR542+$AT542-$AU542-IF(ROUNDDOWN(IF(ISBLANK($AW542),$AV542,$AW542),IF($D$4="Forint",0,2))&gt;$AR542+$AT542-$AU542-IF($D$4="Forint",Paraméterek!$J$114,Paraméterek!$K$114),0,ROUNDDOWN(IF(ISBLANK($AW542),$AV542,$AW542),IF($D$4="Forint",0,2))-$AX542)</f>
        <v>0</v>
      </c>
      <c r="AZ542" s="13">
        <f t="shared" si="129"/>
        <v>0</v>
      </c>
    </row>
    <row r="543" spans="1:52" x14ac:dyDescent="0.2">
      <c r="A543" s="32">
        <v>524</v>
      </c>
      <c r="B543" s="32">
        <v>44</v>
      </c>
      <c r="C543" s="32">
        <v>8</v>
      </c>
      <c r="D543" s="13">
        <f t="shared" si="120"/>
        <v>0</v>
      </c>
      <c r="E543" s="13"/>
      <c r="F543" s="13"/>
      <c r="G543" s="13"/>
      <c r="H543" s="13">
        <f t="shared" si="121"/>
        <v>0</v>
      </c>
      <c r="I543" s="13">
        <f t="shared" si="122"/>
        <v>0</v>
      </c>
      <c r="J543" s="13">
        <f t="shared" si="123"/>
        <v>0</v>
      </c>
      <c r="K543" s="13">
        <f>ROUNDUP(IF($D$2="Egyszeri",$D543,IF($D$2="Havi",SUM($D$20:$D$31),IF(MOD($C543,$M$1)-1=0,SUM($D$20:$D$31),0))/12*$M$1)*VLOOKUP($B543,Paraméterek!$B$27:$D$30,IF($D$2="Egyszeri",3,2)),IF($D$4="Forint",0,2))</f>
        <v>0</v>
      </c>
      <c r="L543" s="13">
        <f t="shared" si="124"/>
        <v>0</v>
      </c>
      <c r="M543" s="13">
        <f t="shared" ca="1" si="130"/>
        <v>-378564</v>
      </c>
      <c r="N543" s="13">
        <f ca="1">IF($V542&gt;=VLOOKUP($M$4-1+$B543,Paraméterek!$B$121:$D$122,IF($D$4="Forint",2,3)),0,VLOOKUP($M$4-1+$B543,Paraméterek!$B$121:$D$122,IF($D$4="Forint",2,3))-$V542)</f>
        <v>388564</v>
      </c>
      <c r="O543" s="13">
        <f ca="1">ROUNDUP($N543*Paraméterek!$C$58/Paraméterek!$C$56,IF($D$4="Forint",0,2))</f>
        <v>62</v>
      </c>
      <c r="P543" s="13">
        <f t="shared" si="125"/>
        <v>1961</v>
      </c>
      <c r="Q543" s="33"/>
      <c r="R543" s="13">
        <f t="shared" ca="1" si="126"/>
        <v>0</v>
      </c>
      <c r="S543" s="13">
        <f ca="1">ROUNDUP(($M543-$O543-$P543+$R543)*VLOOKUP($B543,Paraméterek!$B$38:$D$39,IF($D$2="Egyszeri",3,2))/12,IF($D$4="Forint",0,2))</f>
        <v>-930</v>
      </c>
      <c r="T543" s="13"/>
      <c r="U543" s="13"/>
      <c r="V543" s="13">
        <f ca="1">$M543-$O543-$P543+$R543-$S543-IF(ROUNDUP(IF(ISBLANK($U543),$T543,$U543)/IF(AND($B543=1,$D$2&lt;&gt;"Egyszeri"),1,VLOOKUP($B543+IF($C543=12,1,0),Paraméterek!$B$257:$D$267,IF($D$2="Egyszeri",3,2))),IF($D$4="Forint",0,2))&gt;$M543-$O543-$P543+$R543-$S543-IF($D$4="Forint",Paraméterek!$C$216,Paraméterek!$D$216),0,ROUNDUP(IF(ISBLANK($U543),$T543,$U543)/IF(AND($B543=1,$D$2&lt;&gt;"Egyszeri"),1,VLOOKUP($B543+IF($C543=12,1,0),Paraméterek!$B$257:$D$267,IF($D$2="Egyszeri",3,2))),IF($D$4="Forint",0,2)))</f>
        <v>-379657</v>
      </c>
      <c r="W543" s="13">
        <f ca="1">ROUNDDOWN($V543*VLOOKUP($B543+IF($C543=12,1,0),Paraméterek!$B$257:$D$267,IF($D$2="Egyszeri",3,2)),IF($D$4="Forint",0,2))</f>
        <v>-379657</v>
      </c>
      <c r="Y543" s="32">
        <v>524</v>
      </c>
      <c r="Z543" s="32">
        <v>44</v>
      </c>
      <c r="AA543" s="32">
        <v>8</v>
      </c>
      <c r="AB543" s="13">
        <f t="shared" si="131"/>
        <v>0</v>
      </c>
      <c r="AC543" s="33"/>
      <c r="AD543" s="13">
        <f t="shared" si="127"/>
        <v>0</v>
      </c>
      <c r="AE543" s="13">
        <f>ROUNDUP(($AB543+$AD543)*VLOOKUP($Z543,Paraméterek!$P$38:$Q$38,2)/12,IF($D$4="Forint",0,2))</f>
        <v>0</v>
      </c>
      <c r="AF543" s="13">
        <f>IF($D$2="Egyszeri",IF($D$7&gt;=IF($D$4="Forint",Paraméterek!$P$223,Paraméterek!$P$224),$D$7-IF($D$4="Forint",Paraméterek!$F$223,Paraméterek!$F$224),0),MIN(IF($AA543=12,AVERAGE($D$20:$D543)*12,0),SUM($D$20:$D$31)))</f>
        <v>0</v>
      </c>
      <c r="AG543" s="13">
        <f>IF(AND($Z543&gt;=10,MOD($Z543,5)=0),$AF543*IF($AA543=12,VLOOKUP($Z543,Paraméterek!$B$225:$F$240,IF($AF543&lt;IF($D$4="Forint",Paraméterek!$C$223,Paraméterek!$C$224),2,IF($AF543&lt;IF($D$4="Forint",Paraméterek!$D$223,Paraméterek!$D$224),3,4))),0),0)</f>
        <v>0</v>
      </c>
      <c r="AH543" s="13">
        <f>IF(AND($Z543&gt;=5,MOD($Z543,5)=0),IF($AA543=12,VLOOKUP($Z543,Paraméterek!$B$225:$F$240,5),0),IF(OR($Z543=3,$Z543=4),IF($AA543=12,VLOOKUP($Z543,Paraméterek!$B$225:$F$240,5,0),0),0))*$AF543</f>
        <v>0</v>
      </c>
      <c r="AI543" s="13">
        <f>ROUNDDOWN(IF(SUM($T$20:$U543)=0,IF($D$2="Egyszeri",$AH543,$AG543),0),IF($D$4="Forint",0,2))</f>
        <v>0</v>
      </c>
      <c r="AJ543" s="13">
        <f t="shared" si="132"/>
        <v>0</v>
      </c>
      <c r="AK543" s="13">
        <f t="shared" si="133"/>
        <v>0</v>
      </c>
      <c r="AM543" s="32">
        <v>524</v>
      </c>
      <c r="AN543" s="32">
        <v>44</v>
      </c>
      <c r="AO543" s="32">
        <v>8</v>
      </c>
      <c r="AP543" s="13"/>
      <c r="AQ543" s="32"/>
      <c r="AR543" s="13">
        <f t="shared" si="134"/>
        <v>0</v>
      </c>
      <c r="AS543" s="33"/>
      <c r="AT543" s="13">
        <f t="shared" si="128"/>
        <v>0</v>
      </c>
      <c r="AU543" s="13">
        <f>ROUNDUP(($AR543+$AT543)*VLOOKUP($AN543,Paraméterek!$P$38:$Q$38,2)/12,IF($D$4="Forint",0,2))</f>
        <v>0</v>
      </c>
      <c r="AV543" s="13"/>
      <c r="AW543" s="13"/>
      <c r="AX543" s="13">
        <f>ROUNDUP(IF(SUM($AV543:$AW543)=0,0,IF(IF(ISBLANK($AW543),$AV543,$AW543)*Paraméterek!$J$112&lt;IF($D$4="Forint",Paraméterek!$J$113,Paraméterek!$K$113),IF($D$4="Forint",Paraméterek!$J$113,Paraméterek!$K$113),IF(IF(ISBLANK($AW543),$AV543,$AW543)*Paraméterek!$J$112&gt;IF($D$4="Forint",Paraméterek!$J$114,Paraméterek!$K$114),IF($D$4="Forint",Paraméterek!$J$114,Paraméterek!$K$114),IF(ISBLANK($AW543),$AV543,$AW543)*Paraméterek!$J$112))),IF($D$4="Forint",0,2))</f>
        <v>0</v>
      </c>
      <c r="AY543" s="13">
        <f>$AR543+$AT543-$AU543-IF(ROUNDDOWN(IF(ISBLANK($AW543),$AV543,$AW543),IF($D$4="Forint",0,2))&gt;$AR543+$AT543-$AU543-IF($D$4="Forint",Paraméterek!$J$114,Paraméterek!$K$114),0,ROUNDDOWN(IF(ISBLANK($AW543),$AV543,$AW543),IF($D$4="Forint",0,2))-$AX543)</f>
        <v>0</v>
      </c>
      <c r="AZ543" s="13">
        <f t="shared" si="129"/>
        <v>0</v>
      </c>
    </row>
    <row r="544" spans="1:52" x14ac:dyDescent="0.2">
      <c r="A544" s="32">
        <v>525</v>
      </c>
      <c r="B544" s="32">
        <v>44</v>
      </c>
      <c r="C544" s="32">
        <v>9</v>
      </c>
      <c r="D544" s="13">
        <f t="shared" si="120"/>
        <v>0</v>
      </c>
      <c r="E544" s="13"/>
      <c r="F544" s="13"/>
      <c r="G544" s="13"/>
      <c r="H544" s="13">
        <f t="shared" si="121"/>
        <v>0</v>
      </c>
      <c r="I544" s="13">
        <f t="shared" si="122"/>
        <v>0</v>
      </c>
      <c r="J544" s="13">
        <f t="shared" si="123"/>
        <v>0</v>
      </c>
      <c r="K544" s="13">
        <f>ROUNDUP(IF($D$2="Egyszeri",$D544,IF($D$2="Havi",SUM($D$20:$D$31),IF(MOD($C544,$M$1)-1=0,SUM($D$20:$D$31),0))/12*$M$1)*VLOOKUP($B544,Paraméterek!$B$27:$D$30,IF($D$2="Egyszeri",3,2)),IF($D$4="Forint",0,2))</f>
        <v>0</v>
      </c>
      <c r="L544" s="13">
        <f t="shared" si="124"/>
        <v>0</v>
      </c>
      <c r="M544" s="13">
        <f t="shared" ca="1" si="130"/>
        <v>-379657</v>
      </c>
      <c r="N544" s="13">
        <f ca="1">IF($V543&gt;=VLOOKUP($M$4-1+$B544,Paraméterek!$B$121:$D$122,IF($D$4="Forint",2,3)),0,VLOOKUP($M$4-1+$B544,Paraméterek!$B$121:$D$122,IF($D$4="Forint",2,3))-$V543)</f>
        <v>389657</v>
      </c>
      <c r="O544" s="13">
        <f ca="1">ROUNDUP($N544*Paraméterek!$C$58/Paraméterek!$C$56,IF($D$4="Forint",0,2))</f>
        <v>63</v>
      </c>
      <c r="P544" s="13">
        <f t="shared" si="125"/>
        <v>1961</v>
      </c>
      <c r="Q544" s="33"/>
      <c r="R544" s="13">
        <f t="shared" ca="1" si="126"/>
        <v>0</v>
      </c>
      <c r="S544" s="13">
        <f ca="1">ROUNDUP(($M544-$O544-$P544+$R544)*VLOOKUP($B544,Paraméterek!$B$38:$D$39,IF($D$2="Egyszeri",3,2))/12,IF($D$4="Forint",0,2))</f>
        <v>-932</v>
      </c>
      <c r="T544" s="13"/>
      <c r="U544" s="13"/>
      <c r="V544" s="13">
        <f ca="1">$M544-$O544-$P544+$R544-$S544-IF(ROUNDUP(IF(ISBLANK($U544),$T544,$U544)/IF(AND($B544=1,$D$2&lt;&gt;"Egyszeri"),1,VLOOKUP($B544+IF($C544=12,1,0),Paraméterek!$B$257:$D$267,IF($D$2="Egyszeri",3,2))),IF($D$4="Forint",0,2))&gt;$M544-$O544-$P544+$R544-$S544-IF($D$4="Forint",Paraméterek!$C$216,Paraméterek!$D$216),0,ROUNDUP(IF(ISBLANK($U544),$T544,$U544)/IF(AND($B544=1,$D$2&lt;&gt;"Egyszeri"),1,VLOOKUP($B544+IF($C544=12,1,0),Paraméterek!$B$257:$D$267,IF($D$2="Egyszeri",3,2))),IF($D$4="Forint",0,2)))</f>
        <v>-380749</v>
      </c>
      <c r="W544" s="13">
        <f ca="1">ROUNDDOWN($V544*VLOOKUP($B544+IF($C544=12,1,0),Paraméterek!$B$257:$D$267,IF($D$2="Egyszeri",3,2)),IF($D$4="Forint",0,2))</f>
        <v>-380749</v>
      </c>
      <c r="Y544" s="32">
        <v>525</v>
      </c>
      <c r="Z544" s="32">
        <v>44</v>
      </c>
      <c r="AA544" s="32">
        <v>9</v>
      </c>
      <c r="AB544" s="13">
        <f t="shared" si="131"/>
        <v>0</v>
      </c>
      <c r="AC544" s="33"/>
      <c r="AD544" s="13">
        <f t="shared" si="127"/>
        <v>0</v>
      </c>
      <c r="AE544" s="13">
        <f>ROUNDUP(($AB544+$AD544)*VLOOKUP($Z544,Paraméterek!$P$38:$Q$38,2)/12,IF($D$4="Forint",0,2))</f>
        <v>0</v>
      </c>
      <c r="AF544" s="13">
        <f>IF($D$2="Egyszeri",IF($D$7&gt;=IF($D$4="Forint",Paraméterek!$P$223,Paraméterek!$P$224),$D$7-IF($D$4="Forint",Paraméterek!$F$223,Paraméterek!$F$224),0),MIN(IF($AA544=12,AVERAGE($D$20:$D544)*12,0),SUM($D$20:$D$31)))</f>
        <v>0</v>
      </c>
      <c r="AG544" s="13">
        <f>IF(AND($Z544&gt;=10,MOD($Z544,5)=0),$AF544*IF($AA544=12,VLOOKUP($Z544,Paraméterek!$B$225:$F$240,IF($AF544&lt;IF($D$4="Forint",Paraméterek!$C$223,Paraméterek!$C$224),2,IF($AF544&lt;IF($D$4="Forint",Paraméterek!$D$223,Paraméterek!$D$224),3,4))),0),0)</f>
        <v>0</v>
      </c>
      <c r="AH544" s="13">
        <f>IF(AND($Z544&gt;=5,MOD($Z544,5)=0),IF($AA544=12,VLOOKUP($Z544,Paraméterek!$B$225:$F$240,5),0),IF(OR($Z544=3,$Z544=4),IF($AA544=12,VLOOKUP($Z544,Paraméterek!$B$225:$F$240,5,0),0),0))*$AF544</f>
        <v>0</v>
      </c>
      <c r="AI544" s="13">
        <f>ROUNDDOWN(IF(SUM($T$20:$U544)=0,IF($D$2="Egyszeri",$AH544,$AG544),0),IF($D$4="Forint",0,2))</f>
        <v>0</v>
      </c>
      <c r="AJ544" s="13">
        <f t="shared" si="132"/>
        <v>0</v>
      </c>
      <c r="AK544" s="13">
        <f t="shared" si="133"/>
        <v>0</v>
      </c>
      <c r="AM544" s="32">
        <v>525</v>
      </c>
      <c r="AN544" s="32">
        <v>44</v>
      </c>
      <c r="AO544" s="32">
        <v>9</v>
      </c>
      <c r="AP544" s="13"/>
      <c r="AQ544" s="32"/>
      <c r="AR544" s="13">
        <f t="shared" si="134"/>
        <v>0</v>
      </c>
      <c r="AS544" s="33"/>
      <c r="AT544" s="13">
        <f t="shared" si="128"/>
        <v>0</v>
      </c>
      <c r="AU544" s="13">
        <f>ROUNDUP(($AR544+$AT544)*VLOOKUP($AN544,Paraméterek!$P$38:$Q$38,2)/12,IF($D$4="Forint",0,2))</f>
        <v>0</v>
      </c>
      <c r="AV544" s="13"/>
      <c r="AW544" s="13"/>
      <c r="AX544" s="13">
        <f>ROUNDUP(IF(SUM($AV544:$AW544)=0,0,IF(IF(ISBLANK($AW544),$AV544,$AW544)*Paraméterek!$J$112&lt;IF($D$4="Forint",Paraméterek!$J$113,Paraméterek!$K$113),IF($D$4="Forint",Paraméterek!$J$113,Paraméterek!$K$113),IF(IF(ISBLANK($AW544),$AV544,$AW544)*Paraméterek!$J$112&gt;IF($D$4="Forint",Paraméterek!$J$114,Paraméterek!$K$114),IF($D$4="Forint",Paraméterek!$J$114,Paraméterek!$K$114),IF(ISBLANK($AW544),$AV544,$AW544)*Paraméterek!$J$112))),IF($D$4="Forint",0,2))</f>
        <v>0</v>
      </c>
      <c r="AY544" s="13">
        <f>$AR544+$AT544-$AU544-IF(ROUNDDOWN(IF(ISBLANK($AW544),$AV544,$AW544),IF($D$4="Forint",0,2))&gt;$AR544+$AT544-$AU544-IF($D$4="Forint",Paraméterek!$J$114,Paraméterek!$K$114),0,ROUNDDOWN(IF(ISBLANK($AW544),$AV544,$AW544),IF($D$4="Forint",0,2))-$AX544)</f>
        <v>0</v>
      </c>
      <c r="AZ544" s="13">
        <f t="shared" si="129"/>
        <v>0</v>
      </c>
    </row>
    <row r="545" spans="1:52" x14ac:dyDescent="0.2">
      <c r="A545" s="32">
        <v>526</v>
      </c>
      <c r="B545" s="32">
        <v>44</v>
      </c>
      <c r="C545" s="32">
        <v>10</v>
      </c>
      <c r="D545" s="13">
        <f t="shared" si="120"/>
        <v>0</v>
      </c>
      <c r="E545" s="13"/>
      <c r="F545" s="13"/>
      <c r="G545" s="13"/>
      <c r="H545" s="13">
        <f t="shared" si="121"/>
        <v>0</v>
      </c>
      <c r="I545" s="13">
        <f t="shared" si="122"/>
        <v>0</v>
      </c>
      <c r="J545" s="13">
        <f t="shared" si="123"/>
        <v>0</v>
      </c>
      <c r="K545" s="13">
        <f>ROUNDUP(IF($D$2="Egyszeri",$D545,IF($D$2="Havi",SUM($D$20:$D$31),IF(MOD($C545,$M$1)-1=0,SUM($D$20:$D$31),0))/12*$M$1)*VLOOKUP($B545,Paraméterek!$B$27:$D$30,IF($D$2="Egyszeri",3,2)),IF($D$4="Forint",0,2))</f>
        <v>0</v>
      </c>
      <c r="L545" s="13">
        <f t="shared" si="124"/>
        <v>0</v>
      </c>
      <c r="M545" s="13">
        <f t="shared" ca="1" si="130"/>
        <v>-380749</v>
      </c>
      <c r="N545" s="13">
        <f ca="1">IF($V544&gt;=VLOOKUP($M$4-1+$B545,Paraméterek!$B$121:$D$122,IF($D$4="Forint",2,3)),0,VLOOKUP($M$4-1+$B545,Paraméterek!$B$121:$D$122,IF($D$4="Forint",2,3))-$V544)</f>
        <v>390749</v>
      </c>
      <c r="O545" s="13">
        <f ca="1">ROUNDUP($N545*Paraméterek!$C$58/Paraméterek!$C$56,IF($D$4="Forint",0,2))</f>
        <v>63</v>
      </c>
      <c r="P545" s="13">
        <f t="shared" si="125"/>
        <v>1961</v>
      </c>
      <c r="Q545" s="33"/>
      <c r="R545" s="13">
        <f t="shared" ca="1" si="126"/>
        <v>0</v>
      </c>
      <c r="S545" s="13">
        <f ca="1">ROUNDUP(($M545-$O545-$P545+$R545)*VLOOKUP($B545,Paraméterek!$B$38:$D$39,IF($D$2="Egyszeri",3,2))/12,IF($D$4="Forint",0,2))</f>
        <v>-935</v>
      </c>
      <c r="T545" s="13"/>
      <c r="U545" s="13"/>
      <c r="V545" s="13">
        <f ca="1">$M545-$O545-$P545+$R545-$S545-IF(ROUNDUP(IF(ISBLANK($U545),$T545,$U545)/IF(AND($B545=1,$D$2&lt;&gt;"Egyszeri"),1,VLOOKUP($B545+IF($C545=12,1,0),Paraméterek!$B$257:$D$267,IF($D$2="Egyszeri",3,2))),IF($D$4="Forint",0,2))&gt;$M545-$O545-$P545+$R545-$S545-IF($D$4="Forint",Paraméterek!$C$216,Paraméterek!$D$216),0,ROUNDUP(IF(ISBLANK($U545),$T545,$U545)/IF(AND($B545=1,$D$2&lt;&gt;"Egyszeri"),1,VLOOKUP($B545+IF($C545=12,1,0),Paraméterek!$B$257:$D$267,IF($D$2="Egyszeri",3,2))),IF($D$4="Forint",0,2)))</f>
        <v>-381838</v>
      </c>
      <c r="W545" s="13">
        <f ca="1">ROUNDDOWN($V545*VLOOKUP($B545+IF($C545=12,1,0),Paraméterek!$B$257:$D$267,IF($D$2="Egyszeri",3,2)),IF($D$4="Forint",0,2))</f>
        <v>-381838</v>
      </c>
      <c r="Y545" s="32">
        <v>526</v>
      </c>
      <c r="Z545" s="32">
        <v>44</v>
      </c>
      <c r="AA545" s="32">
        <v>10</v>
      </c>
      <c r="AB545" s="13">
        <f t="shared" si="131"/>
        <v>0</v>
      </c>
      <c r="AC545" s="33"/>
      <c r="AD545" s="13">
        <f t="shared" si="127"/>
        <v>0</v>
      </c>
      <c r="AE545" s="13">
        <f>ROUNDUP(($AB545+$AD545)*VLOOKUP($Z545,Paraméterek!$P$38:$Q$38,2)/12,IF($D$4="Forint",0,2))</f>
        <v>0</v>
      </c>
      <c r="AF545" s="13">
        <f>IF($D$2="Egyszeri",IF($D$7&gt;=IF($D$4="Forint",Paraméterek!$P$223,Paraméterek!$P$224),$D$7-IF($D$4="Forint",Paraméterek!$F$223,Paraméterek!$F$224),0),MIN(IF($AA545=12,AVERAGE($D$20:$D545)*12,0),SUM($D$20:$D$31)))</f>
        <v>0</v>
      </c>
      <c r="AG545" s="13">
        <f>IF(AND($Z545&gt;=10,MOD($Z545,5)=0),$AF545*IF($AA545=12,VLOOKUP($Z545,Paraméterek!$B$225:$F$240,IF($AF545&lt;IF($D$4="Forint",Paraméterek!$C$223,Paraméterek!$C$224),2,IF($AF545&lt;IF($D$4="Forint",Paraméterek!$D$223,Paraméterek!$D$224),3,4))),0),0)</f>
        <v>0</v>
      </c>
      <c r="AH545" s="13">
        <f>IF(AND($Z545&gt;=5,MOD($Z545,5)=0),IF($AA545=12,VLOOKUP($Z545,Paraméterek!$B$225:$F$240,5),0),IF(OR($Z545=3,$Z545=4),IF($AA545=12,VLOOKUP($Z545,Paraméterek!$B$225:$F$240,5,0),0),0))*$AF545</f>
        <v>0</v>
      </c>
      <c r="AI545" s="13">
        <f>ROUNDDOWN(IF(SUM($T$20:$U545)=0,IF($D$2="Egyszeri",$AH545,$AG545),0),IF($D$4="Forint",0,2))</f>
        <v>0</v>
      </c>
      <c r="AJ545" s="13">
        <f t="shared" si="132"/>
        <v>0</v>
      </c>
      <c r="AK545" s="13">
        <f t="shared" si="133"/>
        <v>0</v>
      </c>
      <c r="AM545" s="32">
        <v>526</v>
      </c>
      <c r="AN545" s="32">
        <v>44</v>
      </c>
      <c r="AO545" s="32">
        <v>10</v>
      </c>
      <c r="AP545" s="13"/>
      <c r="AQ545" s="32"/>
      <c r="AR545" s="13">
        <f t="shared" si="134"/>
        <v>0</v>
      </c>
      <c r="AS545" s="33"/>
      <c r="AT545" s="13">
        <f t="shared" si="128"/>
        <v>0</v>
      </c>
      <c r="AU545" s="13">
        <f>ROUNDUP(($AR545+$AT545)*VLOOKUP($AN545,Paraméterek!$P$38:$Q$38,2)/12,IF($D$4="Forint",0,2))</f>
        <v>0</v>
      </c>
      <c r="AV545" s="13"/>
      <c r="AW545" s="13"/>
      <c r="AX545" s="13">
        <f>ROUNDUP(IF(SUM($AV545:$AW545)=0,0,IF(IF(ISBLANK($AW545),$AV545,$AW545)*Paraméterek!$J$112&lt;IF($D$4="Forint",Paraméterek!$J$113,Paraméterek!$K$113),IF($D$4="Forint",Paraméterek!$J$113,Paraméterek!$K$113),IF(IF(ISBLANK($AW545),$AV545,$AW545)*Paraméterek!$J$112&gt;IF($D$4="Forint",Paraméterek!$J$114,Paraméterek!$K$114),IF($D$4="Forint",Paraméterek!$J$114,Paraméterek!$K$114),IF(ISBLANK($AW545),$AV545,$AW545)*Paraméterek!$J$112))),IF($D$4="Forint",0,2))</f>
        <v>0</v>
      </c>
      <c r="AY545" s="13">
        <f>$AR545+$AT545-$AU545-IF(ROUNDDOWN(IF(ISBLANK($AW545),$AV545,$AW545),IF($D$4="Forint",0,2))&gt;$AR545+$AT545-$AU545-IF($D$4="Forint",Paraméterek!$J$114,Paraméterek!$K$114),0,ROUNDDOWN(IF(ISBLANK($AW545),$AV545,$AW545),IF($D$4="Forint",0,2))-$AX545)</f>
        <v>0</v>
      </c>
      <c r="AZ545" s="13">
        <f t="shared" si="129"/>
        <v>0</v>
      </c>
    </row>
    <row r="546" spans="1:52" x14ac:dyDescent="0.2">
      <c r="A546" s="32">
        <v>527</v>
      </c>
      <c r="B546" s="32">
        <v>44</v>
      </c>
      <c r="C546" s="32">
        <v>11</v>
      </c>
      <c r="D546" s="13">
        <f t="shared" si="120"/>
        <v>0</v>
      </c>
      <c r="E546" s="13"/>
      <c r="F546" s="13"/>
      <c r="G546" s="13"/>
      <c r="H546" s="13">
        <f t="shared" si="121"/>
        <v>0</v>
      </c>
      <c r="I546" s="13">
        <f t="shared" si="122"/>
        <v>0</v>
      </c>
      <c r="J546" s="13">
        <f t="shared" si="123"/>
        <v>0</v>
      </c>
      <c r="K546" s="13">
        <f>ROUNDUP(IF($D$2="Egyszeri",$D546,IF($D$2="Havi",SUM($D$20:$D$31),IF(MOD($C546,$M$1)-1=0,SUM($D$20:$D$31),0))/12*$M$1)*VLOOKUP($B546,Paraméterek!$B$27:$D$30,IF($D$2="Egyszeri",3,2)),IF($D$4="Forint",0,2))</f>
        <v>0</v>
      </c>
      <c r="L546" s="13">
        <f t="shared" si="124"/>
        <v>0</v>
      </c>
      <c r="M546" s="13">
        <f t="shared" ca="1" si="130"/>
        <v>-381838</v>
      </c>
      <c r="N546" s="13">
        <f ca="1">IF($V545&gt;=VLOOKUP($M$4-1+$B546,Paraméterek!$B$121:$D$122,IF($D$4="Forint",2,3)),0,VLOOKUP($M$4-1+$B546,Paraméterek!$B$121:$D$122,IF($D$4="Forint",2,3))-$V545)</f>
        <v>391838</v>
      </c>
      <c r="O546" s="13">
        <f ca="1">ROUNDUP($N546*Paraméterek!$C$58/Paraméterek!$C$56,IF($D$4="Forint",0,2))</f>
        <v>63</v>
      </c>
      <c r="P546" s="13">
        <f t="shared" si="125"/>
        <v>1961</v>
      </c>
      <c r="Q546" s="33"/>
      <c r="R546" s="13">
        <f t="shared" ca="1" si="126"/>
        <v>0</v>
      </c>
      <c r="S546" s="13">
        <f ca="1">ROUNDUP(($M546-$O546-$P546+$R546)*VLOOKUP($B546,Paraméterek!$B$38:$D$39,IF($D$2="Egyszeri",3,2))/12,IF($D$4="Forint",0,2))</f>
        <v>-938</v>
      </c>
      <c r="T546" s="13"/>
      <c r="U546" s="13"/>
      <c r="V546" s="13">
        <f ca="1">$M546-$O546-$P546+$R546-$S546-IF(ROUNDUP(IF(ISBLANK($U546),$T546,$U546)/IF(AND($B546=1,$D$2&lt;&gt;"Egyszeri"),1,VLOOKUP($B546+IF($C546=12,1,0),Paraméterek!$B$257:$D$267,IF($D$2="Egyszeri",3,2))),IF($D$4="Forint",0,2))&gt;$M546-$O546-$P546+$R546-$S546-IF($D$4="Forint",Paraméterek!$C$216,Paraméterek!$D$216),0,ROUNDUP(IF(ISBLANK($U546),$T546,$U546)/IF(AND($B546=1,$D$2&lt;&gt;"Egyszeri"),1,VLOOKUP($B546+IF($C546=12,1,0),Paraméterek!$B$257:$D$267,IF($D$2="Egyszeri",3,2))),IF($D$4="Forint",0,2)))</f>
        <v>-382924</v>
      </c>
      <c r="W546" s="13">
        <f ca="1">ROUNDDOWN($V546*VLOOKUP($B546+IF($C546=12,1,0),Paraméterek!$B$257:$D$267,IF($D$2="Egyszeri",3,2)),IF($D$4="Forint",0,2))</f>
        <v>-382924</v>
      </c>
      <c r="Y546" s="32">
        <v>527</v>
      </c>
      <c r="Z546" s="32">
        <v>44</v>
      </c>
      <c r="AA546" s="32">
        <v>11</v>
      </c>
      <c r="AB546" s="13">
        <f t="shared" si="131"/>
        <v>0</v>
      </c>
      <c r="AC546" s="33"/>
      <c r="AD546" s="13">
        <f t="shared" si="127"/>
        <v>0</v>
      </c>
      <c r="AE546" s="13">
        <f>ROUNDUP(($AB546+$AD546)*VLOOKUP($Z546,Paraméterek!$P$38:$Q$38,2)/12,IF($D$4="Forint",0,2))</f>
        <v>0</v>
      </c>
      <c r="AF546" s="13">
        <f>IF($D$2="Egyszeri",IF($D$7&gt;=IF($D$4="Forint",Paraméterek!$P$223,Paraméterek!$P$224),$D$7-IF($D$4="Forint",Paraméterek!$F$223,Paraméterek!$F$224),0),MIN(IF($AA546=12,AVERAGE($D$20:$D546)*12,0),SUM($D$20:$D$31)))</f>
        <v>0</v>
      </c>
      <c r="AG546" s="13">
        <f>IF(AND($Z546&gt;=10,MOD($Z546,5)=0),$AF546*IF($AA546=12,VLOOKUP($Z546,Paraméterek!$B$225:$F$240,IF($AF546&lt;IF($D$4="Forint",Paraméterek!$C$223,Paraméterek!$C$224),2,IF($AF546&lt;IF($D$4="Forint",Paraméterek!$D$223,Paraméterek!$D$224),3,4))),0),0)</f>
        <v>0</v>
      </c>
      <c r="AH546" s="13">
        <f>IF(AND($Z546&gt;=5,MOD($Z546,5)=0),IF($AA546=12,VLOOKUP($Z546,Paraméterek!$B$225:$F$240,5),0),IF(OR($Z546=3,$Z546=4),IF($AA546=12,VLOOKUP($Z546,Paraméterek!$B$225:$F$240,5,0),0),0))*$AF546</f>
        <v>0</v>
      </c>
      <c r="AI546" s="13">
        <f>ROUNDDOWN(IF(SUM($T$20:$U546)=0,IF($D$2="Egyszeri",$AH546,$AG546),0),IF($D$4="Forint",0,2))</f>
        <v>0</v>
      </c>
      <c r="AJ546" s="13">
        <f t="shared" si="132"/>
        <v>0</v>
      </c>
      <c r="AK546" s="13">
        <f t="shared" si="133"/>
        <v>0</v>
      </c>
      <c r="AM546" s="32">
        <v>527</v>
      </c>
      <c r="AN546" s="32">
        <v>44</v>
      </c>
      <c r="AO546" s="32">
        <v>11</v>
      </c>
      <c r="AP546" s="13"/>
      <c r="AQ546" s="32"/>
      <c r="AR546" s="13">
        <f t="shared" si="134"/>
        <v>0</v>
      </c>
      <c r="AS546" s="33"/>
      <c r="AT546" s="13">
        <f t="shared" si="128"/>
        <v>0</v>
      </c>
      <c r="AU546" s="13">
        <f>ROUNDUP(($AR546+$AT546)*VLOOKUP($AN546,Paraméterek!$P$38:$Q$38,2)/12,IF($D$4="Forint",0,2))</f>
        <v>0</v>
      </c>
      <c r="AV546" s="13"/>
      <c r="AW546" s="13"/>
      <c r="AX546" s="13">
        <f>ROUNDUP(IF(SUM($AV546:$AW546)=0,0,IF(IF(ISBLANK($AW546),$AV546,$AW546)*Paraméterek!$J$112&lt;IF($D$4="Forint",Paraméterek!$J$113,Paraméterek!$K$113),IF($D$4="Forint",Paraméterek!$J$113,Paraméterek!$K$113),IF(IF(ISBLANK($AW546),$AV546,$AW546)*Paraméterek!$J$112&gt;IF($D$4="Forint",Paraméterek!$J$114,Paraméterek!$K$114),IF($D$4="Forint",Paraméterek!$J$114,Paraméterek!$K$114),IF(ISBLANK($AW546),$AV546,$AW546)*Paraméterek!$J$112))),IF($D$4="Forint",0,2))</f>
        <v>0</v>
      </c>
      <c r="AY546" s="13">
        <f>$AR546+$AT546-$AU546-IF(ROUNDDOWN(IF(ISBLANK($AW546),$AV546,$AW546),IF($D$4="Forint",0,2))&gt;$AR546+$AT546-$AU546-IF($D$4="Forint",Paraméterek!$J$114,Paraméterek!$K$114),0,ROUNDDOWN(IF(ISBLANK($AW546),$AV546,$AW546),IF($D$4="Forint",0,2))-$AX546)</f>
        <v>0</v>
      </c>
      <c r="AZ546" s="13">
        <f t="shared" si="129"/>
        <v>0</v>
      </c>
    </row>
    <row r="547" spans="1:52" x14ac:dyDescent="0.2">
      <c r="A547" s="32">
        <v>528</v>
      </c>
      <c r="B547" s="32">
        <v>44</v>
      </c>
      <c r="C547" s="32">
        <v>12</v>
      </c>
      <c r="D547" s="13">
        <f t="shared" si="120"/>
        <v>0</v>
      </c>
      <c r="E547" s="13"/>
      <c r="F547" s="13"/>
      <c r="G547" s="13"/>
      <c r="H547" s="13">
        <f t="shared" si="121"/>
        <v>0</v>
      </c>
      <c r="I547" s="13">
        <f t="shared" si="122"/>
        <v>0</v>
      </c>
      <c r="J547" s="13">
        <f t="shared" si="123"/>
        <v>0</v>
      </c>
      <c r="K547" s="13">
        <f>ROUNDUP(IF($D$2="Egyszeri",$D547,IF($D$2="Havi",SUM($D$20:$D$31),IF(MOD($C547,$M$1)-1=0,SUM($D$20:$D$31),0))/12*$M$1)*VLOOKUP($B547,Paraméterek!$B$27:$D$30,IF($D$2="Egyszeri",3,2)),IF($D$4="Forint",0,2))</f>
        <v>0</v>
      </c>
      <c r="L547" s="13">
        <f t="shared" si="124"/>
        <v>0</v>
      </c>
      <c r="M547" s="13">
        <f t="shared" ca="1" si="130"/>
        <v>-382924</v>
      </c>
      <c r="N547" s="13">
        <f ca="1">IF($V546&gt;=VLOOKUP($M$4-1+$B547,Paraméterek!$B$121:$D$122,IF($D$4="Forint",2,3)),0,VLOOKUP($M$4-1+$B547,Paraméterek!$B$121:$D$122,IF($D$4="Forint",2,3))-$V546)</f>
        <v>392924</v>
      </c>
      <c r="O547" s="13">
        <f ca="1">ROUNDUP($N547*Paraméterek!$C$58/Paraméterek!$C$56,IF($D$4="Forint",0,2))</f>
        <v>63</v>
      </c>
      <c r="P547" s="13">
        <f t="shared" si="125"/>
        <v>1961</v>
      </c>
      <c r="Q547" s="33"/>
      <c r="R547" s="13">
        <f t="shared" ca="1" si="126"/>
        <v>0</v>
      </c>
      <c r="S547" s="13">
        <f ca="1">ROUNDUP(($M547-$O547-$P547+$R547)*VLOOKUP($B547,Paraméterek!$B$38:$D$39,IF($D$2="Egyszeri",3,2))/12,IF($D$4="Forint",0,2))</f>
        <v>-940</v>
      </c>
      <c r="T547" s="13">
        <f>Tranzakciók!$F$75</f>
        <v>0</v>
      </c>
      <c r="U547" s="13"/>
      <c r="V547" s="13">
        <f ca="1">$M547-$O547-$P547+$R547-$S547-IF(ROUNDUP(IF(ISBLANK($U547),$T547,$U547)/IF(AND($B547=1,$D$2&lt;&gt;"Egyszeri"),1,VLOOKUP($B547+IF($C547=12,1,0),Paraméterek!$B$257:$D$267,IF($D$2="Egyszeri",3,2))),IF($D$4="Forint",0,2))&gt;$M547-$O547-$P547+$R547-$S547-IF($D$4="Forint",Paraméterek!$C$216,Paraméterek!$D$216),0,ROUNDUP(IF(ISBLANK($U547),$T547,$U547)/IF(AND($B547=1,$D$2&lt;&gt;"Egyszeri"),1,VLOOKUP($B547+IF($C547=12,1,0),Paraméterek!$B$257:$D$267,IF($D$2="Egyszeri",3,2))),IF($D$4="Forint",0,2)))</f>
        <v>-384008</v>
      </c>
      <c r="W547" s="13">
        <f ca="1">ROUNDDOWN($V547*VLOOKUP($B547+IF($C547=12,1,0),Paraméterek!$B$257:$D$267,IF($D$2="Egyszeri",3,2)),IF($D$4="Forint",0,2))</f>
        <v>-384008</v>
      </c>
      <c r="Y547" s="32">
        <v>528</v>
      </c>
      <c r="Z547" s="32">
        <v>44</v>
      </c>
      <c r="AA547" s="32">
        <v>12</v>
      </c>
      <c r="AB547" s="13">
        <f t="shared" si="131"/>
        <v>0</v>
      </c>
      <c r="AC547" s="33"/>
      <c r="AD547" s="13">
        <f t="shared" si="127"/>
        <v>0</v>
      </c>
      <c r="AE547" s="13">
        <f>ROUNDUP(($AB547+$AD547)*VLOOKUP($Z547,Paraméterek!$P$38:$Q$38,2)/12,IF($D$4="Forint",0,2))</f>
        <v>0</v>
      </c>
      <c r="AF547" s="13">
        <f>IF($D$2="Egyszeri",IF($D$7&gt;=IF($D$4="Forint",Paraméterek!$P$223,Paraméterek!$P$224),$D$7-IF($D$4="Forint",Paraméterek!$F$223,Paraméterek!$F$224),0),MIN(IF($AA547=12,AVERAGE($D$20:$D547)*12,0),SUM($D$20:$D$31)))</f>
        <v>0</v>
      </c>
      <c r="AG547" s="13">
        <f>IF(AND($Z547&gt;=10,MOD($Z547,5)=0),$AF547*IF($AA547=12,VLOOKUP($Z547,Paraméterek!$B$225:$F$240,IF($AF547&lt;IF($D$4="Forint",Paraméterek!$C$223,Paraméterek!$C$224),2,IF($AF547&lt;IF($D$4="Forint",Paraméterek!$D$223,Paraméterek!$D$224),3,4))),0),0)</f>
        <v>0</v>
      </c>
      <c r="AH547" s="13">
        <f>IF(AND($Z547&gt;=5,MOD($Z547,5)=0),IF($AA547=12,VLOOKUP($Z547,Paraméterek!$B$225:$F$240,5),0),IF(OR($Z547=3,$Z547=4),IF($AA547=12,VLOOKUP($Z547,Paraméterek!$B$225:$F$240,5,0),0),0))*$AF547</f>
        <v>0</v>
      </c>
      <c r="AI547" s="13">
        <f>ROUNDDOWN(IF(SUM($T$20:$U547)=0,IF($D$2="Egyszeri",$AH547,$AG547),0),IF($D$4="Forint",0,2))</f>
        <v>0</v>
      </c>
      <c r="AJ547" s="13">
        <f t="shared" si="132"/>
        <v>0</v>
      </c>
      <c r="AK547" s="13">
        <f t="shared" si="133"/>
        <v>0</v>
      </c>
      <c r="AM547" s="32">
        <v>528</v>
      </c>
      <c r="AN547" s="32">
        <v>44</v>
      </c>
      <c r="AO547" s="32">
        <v>12</v>
      </c>
      <c r="AP547" s="13"/>
      <c r="AQ547" s="32"/>
      <c r="AR547" s="13">
        <f t="shared" si="134"/>
        <v>0</v>
      </c>
      <c r="AS547" s="33"/>
      <c r="AT547" s="13">
        <f t="shared" si="128"/>
        <v>0</v>
      </c>
      <c r="AU547" s="13">
        <f>ROUNDUP(($AR547+$AT547)*VLOOKUP($AN547,Paraméterek!$P$38:$Q$38,2)/12,IF($D$4="Forint",0,2))</f>
        <v>0</v>
      </c>
      <c r="AV547" s="13">
        <f>Tranzakciók!$M$75</f>
        <v>0</v>
      </c>
      <c r="AW547" s="13"/>
      <c r="AX547" s="13">
        <f>ROUNDUP(IF(SUM($AV547:$AW547)=0,0,IF(IF(ISBLANK($AW547),$AV547,$AW547)*Paraméterek!$J$112&lt;IF($D$4="Forint",Paraméterek!$J$113,Paraméterek!$K$113),IF($D$4="Forint",Paraméterek!$J$113,Paraméterek!$K$113),IF(IF(ISBLANK($AW547),$AV547,$AW547)*Paraméterek!$J$112&gt;IF($D$4="Forint",Paraméterek!$J$114,Paraméterek!$K$114),IF($D$4="Forint",Paraméterek!$J$114,Paraméterek!$K$114),IF(ISBLANK($AW547),$AV547,$AW547)*Paraméterek!$J$112))),IF($D$4="Forint",0,2))</f>
        <v>0</v>
      </c>
      <c r="AY547" s="13">
        <f>$AR547+$AT547-$AU547-IF(ROUNDDOWN(IF(ISBLANK($AW547),$AV547,$AW547),IF($D$4="Forint",0,2))&gt;$AR547+$AT547-$AU547-IF($D$4="Forint",Paraméterek!$J$114,Paraméterek!$K$114),0,ROUNDDOWN(IF(ISBLANK($AW547),$AV547,$AW547),IF($D$4="Forint",0,2))-$AX547)</f>
        <v>0</v>
      </c>
      <c r="AZ547" s="13">
        <f t="shared" si="129"/>
        <v>0</v>
      </c>
    </row>
    <row r="548" spans="1:52" x14ac:dyDescent="0.2">
      <c r="A548" s="32">
        <v>529</v>
      </c>
      <c r="B548" s="32">
        <v>45</v>
      </c>
      <c r="C548" s="32">
        <v>1</v>
      </c>
      <c r="D548" s="13">
        <f t="shared" si="120"/>
        <v>0</v>
      </c>
      <c r="E548" s="13"/>
      <c r="F548" s="13">
        <f>Tranzakciók!$D$76</f>
        <v>0</v>
      </c>
      <c r="G548" s="13"/>
      <c r="H548" s="13">
        <f t="shared" si="121"/>
        <v>0</v>
      </c>
      <c r="I548" s="13">
        <f t="shared" si="122"/>
        <v>368</v>
      </c>
      <c r="J548" s="13">
        <f t="shared" si="123"/>
        <v>368</v>
      </c>
      <c r="K548" s="13">
        <f>ROUNDUP(IF($D$2="Egyszeri",$D548,IF($D$2="Havi",SUM($D$20:$D$31),IF(MOD($C548,$M$1)-1=0,SUM($D$20:$D$31),0))/12*$M$1)*VLOOKUP($B548,Paraméterek!$B$27:$D$30,IF($D$2="Egyszeri",3,2)),IF($D$4="Forint",0,2))</f>
        <v>0</v>
      </c>
      <c r="L548" s="13">
        <f t="shared" si="124"/>
        <v>0</v>
      </c>
      <c r="M548" s="13">
        <f t="shared" ca="1" si="130"/>
        <v>-384008</v>
      </c>
      <c r="N548" s="13">
        <f ca="1">IF($V547&gt;=VLOOKUP($M$4-1+$B548,Paraméterek!$B$121:$D$122,IF($D$4="Forint",2,3)),0,VLOOKUP($M$4-1+$B548,Paraméterek!$B$121:$D$122,IF($D$4="Forint",2,3))-$V547)</f>
        <v>394008</v>
      </c>
      <c r="O548" s="13">
        <f ca="1">ROUNDUP($N548*Paraméterek!$C$58/Paraméterek!$C$56,IF($D$4="Forint",0,2))</f>
        <v>63</v>
      </c>
      <c r="P548" s="13">
        <f t="shared" si="125"/>
        <v>2020</v>
      </c>
      <c r="Q548" s="33"/>
      <c r="R548" s="13">
        <f t="shared" ca="1" si="126"/>
        <v>0</v>
      </c>
      <c r="S548" s="13">
        <f ca="1">ROUNDUP(($M548-$O548-$P548+$R548)*VLOOKUP($B548,Paraméterek!$B$38:$D$39,IF($D$2="Egyszeri",3,2))/12,IF($D$4="Forint",0,2))</f>
        <v>-943</v>
      </c>
      <c r="T548" s="13"/>
      <c r="U548" s="13"/>
      <c r="V548" s="13">
        <f ca="1">$M548-$O548-$P548+$R548-$S548-IF(ROUNDUP(IF(ISBLANK($U548),$T548,$U548)/IF(AND($B548=1,$D$2&lt;&gt;"Egyszeri"),1,VLOOKUP($B548+IF($C548=12,1,0),Paraméterek!$B$257:$D$267,IF($D$2="Egyszeri",3,2))),IF($D$4="Forint",0,2))&gt;$M548-$O548-$P548+$R548-$S548-IF($D$4="Forint",Paraméterek!$C$216,Paraméterek!$D$216),0,ROUNDUP(IF(ISBLANK($U548),$T548,$U548)/IF(AND($B548=1,$D$2&lt;&gt;"Egyszeri"),1,VLOOKUP($B548+IF($C548=12,1,0),Paraméterek!$B$257:$D$267,IF($D$2="Egyszeri",3,2))),IF($D$4="Forint",0,2)))</f>
        <v>-385148</v>
      </c>
      <c r="W548" s="13">
        <f ca="1">ROUNDDOWN($V548*VLOOKUP($B548+IF($C548=12,1,0),Paraméterek!$B$257:$D$267,IF($D$2="Egyszeri",3,2)),IF($D$4="Forint",0,2))</f>
        <v>-385148</v>
      </c>
      <c r="Y548" s="32">
        <v>529</v>
      </c>
      <c r="Z548" s="32">
        <v>45</v>
      </c>
      <c r="AA548" s="32">
        <v>1</v>
      </c>
      <c r="AB548" s="13">
        <f t="shared" si="131"/>
        <v>0</v>
      </c>
      <c r="AC548" s="33"/>
      <c r="AD548" s="13">
        <f t="shared" si="127"/>
        <v>0</v>
      </c>
      <c r="AE548" s="13">
        <f>ROUNDUP(($AB548+$AD548)*VLOOKUP($Z548,Paraméterek!$P$38:$Q$38,2)/12,IF($D$4="Forint",0,2))</f>
        <v>0</v>
      </c>
      <c r="AF548" s="13">
        <f>IF($D$2="Egyszeri",IF($D$7&gt;=IF($D$4="Forint",Paraméterek!$P$223,Paraméterek!$P$224),$D$7-IF($D$4="Forint",Paraméterek!$F$223,Paraméterek!$F$224),0),MIN(IF($AA548=12,AVERAGE($D$20:$D548)*12,0),SUM($D$20:$D$31)))</f>
        <v>0</v>
      </c>
      <c r="AG548" s="13">
        <f>IF(AND($Z548&gt;=10,MOD($Z548,5)=0),$AF548*IF($AA548=12,VLOOKUP($Z548,Paraméterek!$B$225:$F$240,IF($AF548&lt;IF($D$4="Forint",Paraméterek!$C$223,Paraméterek!$C$224),2,IF($AF548&lt;IF($D$4="Forint",Paraméterek!$D$223,Paraméterek!$D$224),3,4))),0),0)</f>
        <v>0</v>
      </c>
      <c r="AH548" s="13">
        <f>IF(AND($Z548&gt;=5,MOD($Z548,5)=0),IF($AA548=12,VLOOKUP($Z548,Paraméterek!$B$225:$F$240,5),0),IF(OR($Z548=3,$Z548=4),IF($AA548=12,VLOOKUP($Z548,Paraméterek!$B$225:$F$240,5,0),0),0))*$AF548</f>
        <v>0</v>
      </c>
      <c r="AI548" s="13">
        <f>ROUNDDOWN(IF(SUM($T$20:$U548)=0,IF($D$2="Egyszeri",$AH548,$AG548),0),IF($D$4="Forint",0,2))</f>
        <v>0</v>
      </c>
      <c r="AJ548" s="13">
        <f t="shared" si="132"/>
        <v>0</v>
      </c>
      <c r="AK548" s="13">
        <f t="shared" si="133"/>
        <v>0</v>
      </c>
      <c r="AM548" s="32">
        <v>529</v>
      </c>
      <c r="AN548" s="32">
        <v>45</v>
      </c>
      <c r="AO548" s="32">
        <v>1</v>
      </c>
      <c r="AP548" s="13">
        <f>Tranzakciók!$K$76</f>
        <v>0</v>
      </c>
      <c r="AQ548" s="32"/>
      <c r="AR548" s="13">
        <f t="shared" si="134"/>
        <v>0</v>
      </c>
      <c r="AS548" s="33"/>
      <c r="AT548" s="13">
        <f t="shared" si="128"/>
        <v>0</v>
      </c>
      <c r="AU548" s="13">
        <f>ROUNDUP(($AR548+$AT548)*VLOOKUP($AN548,Paraméterek!$P$38:$Q$38,2)/12,IF($D$4="Forint",0,2))</f>
        <v>0</v>
      </c>
      <c r="AV548" s="13"/>
      <c r="AW548" s="13"/>
      <c r="AX548" s="13">
        <f>ROUNDUP(IF(SUM($AV548:$AW548)=0,0,IF(IF(ISBLANK($AW548),$AV548,$AW548)*Paraméterek!$J$112&lt;IF($D$4="Forint",Paraméterek!$J$113,Paraméterek!$K$113),IF($D$4="Forint",Paraméterek!$J$113,Paraméterek!$K$113),IF(IF(ISBLANK($AW548),$AV548,$AW548)*Paraméterek!$J$112&gt;IF($D$4="Forint",Paraméterek!$J$114,Paraméterek!$K$114),IF($D$4="Forint",Paraméterek!$J$114,Paraméterek!$K$114),IF(ISBLANK($AW548),$AV548,$AW548)*Paraméterek!$J$112))),IF($D$4="Forint",0,2))</f>
        <v>0</v>
      </c>
      <c r="AY548" s="13">
        <f>$AR548+$AT548-$AU548-IF(ROUNDDOWN(IF(ISBLANK($AW548),$AV548,$AW548),IF($D$4="Forint",0,2))&gt;$AR548+$AT548-$AU548-IF($D$4="Forint",Paraméterek!$J$114,Paraméterek!$K$114),0,ROUNDDOWN(IF(ISBLANK($AW548),$AV548,$AW548),IF($D$4="Forint",0,2))-$AX548)</f>
        <v>0</v>
      </c>
      <c r="AZ548" s="13">
        <f t="shared" si="129"/>
        <v>0</v>
      </c>
    </row>
    <row r="549" spans="1:52" x14ac:dyDescent="0.2">
      <c r="A549" s="32">
        <v>530</v>
      </c>
      <c r="B549" s="32">
        <v>45</v>
      </c>
      <c r="C549" s="32">
        <v>2</v>
      </c>
      <c r="D549" s="13">
        <f t="shared" si="120"/>
        <v>0</v>
      </c>
      <c r="E549" s="13"/>
      <c r="F549" s="13"/>
      <c r="G549" s="13"/>
      <c r="H549" s="13">
        <f t="shared" si="121"/>
        <v>0</v>
      </c>
      <c r="I549" s="13">
        <f t="shared" si="122"/>
        <v>0</v>
      </c>
      <c r="J549" s="13">
        <f t="shared" si="123"/>
        <v>0</v>
      </c>
      <c r="K549" s="13">
        <f>ROUNDUP(IF($D$2="Egyszeri",$D549,IF($D$2="Havi",SUM($D$20:$D$31),IF(MOD($C549,$M$1)-1=0,SUM($D$20:$D$31),0))/12*$M$1)*VLOOKUP($B549,Paraméterek!$B$27:$D$30,IF($D$2="Egyszeri",3,2)),IF($D$4="Forint",0,2))</f>
        <v>0</v>
      </c>
      <c r="L549" s="13">
        <f t="shared" si="124"/>
        <v>0</v>
      </c>
      <c r="M549" s="13">
        <f t="shared" ca="1" si="130"/>
        <v>-385148</v>
      </c>
      <c r="N549" s="13">
        <f ca="1">IF($V548&gt;=VLOOKUP($M$4-1+$B549,Paraméterek!$B$121:$D$122,IF($D$4="Forint",2,3)),0,VLOOKUP($M$4-1+$B549,Paraméterek!$B$121:$D$122,IF($D$4="Forint",2,3))-$V548)</f>
        <v>395148</v>
      </c>
      <c r="O549" s="13">
        <f ca="1">ROUNDUP($N549*Paraméterek!$C$58/Paraméterek!$C$56,IF($D$4="Forint",0,2))</f>
        <v>63</v>
      </c>
      <c r="P549" s="13">
        <f t="shared" si="125"/>
        <v>2020</v>
      </c>
      <c r="Q549" s="33"/>
      <c r="R549" s="13">
        <f t="shared" ca="1" si="126"/>
        <v>0</v>
      </c>
      <c r="S549" s="13">
        <f ca="1">ROUNDUP(($M549-$O549-$P549+$R549)*VLOOKUP($B549,Paraméterek!$B$38:$D$39,IF($D$2="Egyszeri",3,2))/12,IF($D$4="Forint",0,2))</f>
        <v>-946</v>
      </c>
      <c r="T549" s="13"/>
      <c r="U549" s="13"/>
      <c r="V549" s="13">
        <f ca="1">$M549-$O549-$P549+$R549-$S549-IF(ROUNDUP(IF(ISBLANK($U549),$T549,$U549)/IF(AND($B549=1,$D$2&lt;&gt;"Egyszeri"),1,VLOOKUP($B549+IF($C549=12,1,0),Paraméterek!$B$257:$D$267,IF($D$2="Egyszeri",3,2))),IF($D$4="Forint",0,2))&gt;$M549-$O549-$P549+$R549-$S549-IF($D$4="Forint",Paraméterek!$C$216,Paraméterek!$D$216),0,ROUNDUP(IF(ISBLANK($U549),$T549,$U549)/IF(AND($B549=1,$D$2&lt;&gt;"Egyszeri"),1,VLOOKUP($B549+IF($C549=12,1,0),Paraméterek!$B$257:$D$267,IF($D$2="Egyszeri",3,2))),IF($D$4="Forint",0,2)))</f>
        <v>-386285</v>
      </c>
      <c r="W549" s="13">
        <f ca="1">ROUNDDOWN($V549*VLOOKUP($B549+IF($C549=12,1,0),Paraméterek!$B$257:$D$267,IF($D$2="Egyszeri",3,2)),IF($D$4="Forint",0,2))</f>
        <v>-386285</v>
      </c>
      <c r="Y549" s="32">
        <v>530</v>
      </c>
      <c r="Z549" s="32">
        <v>45</v>
      </c>
      <c r="AA549" s="32">
        <v>2</v>
      </c>
      <c r="AB549" s="13">
        <f t="shared" si="131"/>
        <v>0</v>
      </c>
      <c r="AC549" s="33"/>
      <c r="AD549" s="13">
        <f t="shared" si="127"/>
        <v>0</v>
      </c>
      <c r="AE549" s="13">
        <f>ROUNDUP(($AB549+$AD549)*VLOOKUP($Z549,Paraméterek!$P$38:$Q$38,2)/12,IF($D$4="Forint",0,2))</f>
        <v>0</v>
      </c>
      <c r="AF549" s="13">
        <f>IF($D$2="Egyszeri",IF($D$7&gt;=IF($D$4="Forint",Paraméterek!$P$223,Paraméterek!$P$224),$D$7-IF($D$4="Forint",Paraméterek!$F$223,Paraméterek!$F$224),0),MIN(IF($AA549=12,AVERAGE($D$20:$D549)*12,0),SUM($D$20:$D$31)))</f>
        <v>0</v>
      </c>
      <c r="AG549" s="13">
        <f>IF(AND($Z549&gt;=10,MOD($Z549,5)=0),$AF549*IF($AA549=12,VLOOKUP($Z549,Paraméterek!$B$225:$F$240,IF($AF549&lt;IF($D$4="Forint",Paraméterek!$C$223,Paraméterek!$C$224),2,IF($AF549&lt;IF($D$4="Forint",Paraméterek!$D$223,Paraméterek!$D$224),3,4))),0),0)</f>
        <v>0</v>
      </c>
      <c r="AH549" s="13">
        <f>IF(AND($Z549&gt;=5,MOD($Z549,5)=0),IF($AA549=12,VLOOKUP($Z549,Paraméterek!$B$225:$F$240,5),0),IF(OR($Z549=3,$Z549=4),IF($AA549=12,VLOOKUP($Z549,Paraméterek!$B$225:$F$240,5,0),0),0))*$AF549</f>
        <v>0</v>
      </c>
      <c r="AI549" s="13">
        <f>ROUNDDOWN(IF(SUM($T$20:$U549)=0,IF($D$2="Egyszeri",$AH549,$AG549),0),IF($D$4="Forint",0,2))</f>
        <v>0</v>
      </c>
      <c r="AJ549" s="13">
        <f t="shared" si="132"/>
        <v>0</v>
      </c>
      <c r="AK549" s="13">
        <f t="shared" si="133"/>
        <v>0</v>
      </c>
      <c r="AM549" s="32">
        <v>530</v>
      </c>
      <c r="AN549" s="32">
        <v>45</v>
      </c>
      <c r="AO549" s="32">
        <v>2</v>
      </c>
      <c r="AP549" s="13"/>
      <c r="AQ549" s="32"/>
      <c r="AR549" s="13">
        <f t="shared" si="134"/>
        <v>0</v>
      </c>
      <c r="AS549" s="33"/>
      <c r="AT549" s="13">
        <f t="shared" si="128"/>
        <v>0</v>
      </c>
      <c r="AU549" s="13">
        <f>ROUNDUP(($AR549+$AT549)*VLOOKUP($AN549,Paraméterek!$P$38:$Q$38,2)/12,IF($D$4="Forint",0,2))</f>
        <v>0</v>
      </c>
      <c r="AV549" s="13"/>
      <c r="AW549" s="13"/>
      <c r="AX549" s="13">
        <f>ROUNDUP(IF(SUM($AV549:$AW549)=0,0,IF(IF(ISBLANK($AW549),$AV549,$AW549)*Paraméterek!$J$112&lt;IF($D$4="Forint",Paraméterek!$J$113,Paraméterek!$K$113),IF($D$4="Forint",Paraméterek!$J$113,Paraméterek!$K$113),IF(IF(ISBLANK($AW549),$AV549,$AW549)*Paraméterek!$J$112&gt;IF($D$4="Forint",Paraméterek!$J$114,Paraméterek!$K$114),IF($D$4="Forint",Paraméterek!$J$114,Paraméterek!$K$114),IF(ISBLANK($AW549),$AV549,$AW549)*Paraméterek!$J$112))),IF($D$4="Forint",0,2))</f>
        <v>0</v>
      </c>
      <c r="AY549" s="13">
        <f>$AR549+$AT549-$AU549-IF(ROUNDDOWN(IF(ISBLANK($AW549),$AV549,$AW549),IF($D$4="Forint",0,2))&gt;$AR549+$AT549-$AU549-IF($D$4="Forint",Paraméterek!$J$114,Paraméterek!$K$114),0,ROUNDDOWN(IF(ISBLANK($AW549),$AV549,$AW549),IF($D$4="Forint",0,2))-$AX549)</f>
        <v>0</v>
      </c>
      <c r="AZ549" s="13">
        <f t="shared" si="129"/>
        <v>0</v>
      </c>
    </row>
    <row r="550" spans="1:52" x14ac:dyDescent="0.2">
      <c r="A550" s="32">
        <v>531</v>
      </c>
      <c r="B550" s="32">
        <v>45</v>
      </c>
      <c r="C550" s="32">
        <v>3</v>
      </c>
      <c r="D550" s="13">
        <f t="shared" si="120"/>
        <v>0</v>
      </c>
      <c r="E550" s="13"/>
      <c r="F550" s="13"/>
      <c r="G550" s="13"/>
      <c r="H550" s="13">
        <f t="shared" si="121"/>
        <v>0</v>
      </c>
      <c r="I550" s="13">
        <f t="shared" si="122"/>
        <v>0</v>
      </c>
      <c r="J550" s="13">
        <f t="shared" si="123"/>
        <v>0</v>
      </c>
      <c r="K550" s="13">
        <f>ROUNDUP(IF($D$2="Egyszeri",$D550,IF($D$2="Havi",SUM($D$20:$D$31),IF(MOD($C550,$M$1)-1=0,SUM($D$20:$D$31),0))/12*$M$1)*VLOOKUP($B550,Paraméterek!$B$27:$D$30,IF($D$2="Egyszeri",3,2)),IF($D$4="Forint",0,2))</f>
        <v>0</v>
      </c>
      <c r="L550" s="13">
        <f t="shared" si="124"/>
        <v>0</v>
      </c>
      <c r="M550" s="13">
        <f t="shared" ca="1" si="130"/>
        <v>-386285</v>
      </c>
      <c r="N550" s="13">
        <f ca="1">IF($V549&gt;=VLOOKUP($M$4-1+$B550,Paraméterek!$B$121:$D$122,IF($D$4="Forint",2,3)),0,VLOOKUP($M$4-1+$B550,Paraméterek!$B$121:$D$122,IF($D$4="Forint",2,3))-$V549)</f>
        <v>396285</v>
      </c>
      <c r="O550" s="13">
        <f ca="1">ROUNDUP($N550*Paraméterek!$C$58/Paraméterek!$C$56,IF($D$4="Forint",0,2))</f>
        <v>64</v>
      </c>
      <c r="P550" s="13">
        <f t="shared" si="125"/>
        <v>2020</v>
      </c>
      <c r="Q550" s="33"/>
      <c r="R550" s="13">
        <f t="shared" ca="1" si="126"/>
        <v>0</v>
      </c>
      <c r="S550" s="13">
        <f ca="1">ROUNDUP(($M550-$O550-$P550+$R550)*VLOOKUP($B550,Paraméterek!$B$38:$D$39,IF($D$2="Egyszeri",3,2))/12,IF($D$4="Forint",0,2))</f>
        <v>-949</v>
      </c>
      <c r="T550" s="13"/>
      <c r="U550" s="13"/>
      <c r="V550" s="13">
        <f ca="1">$M550-$O550-$P550+$R550-$S550-IF(ROUNDUP(IF(ISBLANK($U550),$T550,$U550)/IF(AND($B550=1,$D$2&lt;&gt;"Egyszeri"),1,VLOOKUP($B550+IF($C550=12,1,0),Paraméterek!$B$257:$D$267,IF($D$2="Egyszeri",3,2))),IF($D$4="Forint",0,2))&gt;$M550-$O550-$P550+$R550-$S550-IF($D$4="Forint",Paraméterek!$C$216,Paraméterek!$D$216),0,ROUNDUP(IF(ISBLANK($U550),$T550,$U550)/IF(AND($B550=1,$D$2&lt;&gt;"Egyszeri"),1,VLOOKUP($B550+IF($C550=12,1,0),Paraméterek!$B$257:$D$267,IF($D$2="Egyszeri",3,2))),IF($D$4="Forint",0,2)))</f>
        <v>-387420</v>
      </c>
      <c r="W550" s="13">
        <f ca="1">ROUNDDOWN($V550*VLOOKUP($B550+IF($C550=12,1,0),Paraméterek!$B$257:$D$267,IF($D$2="Egyszeri",3,2)),IF($D$4="Forint",0,2))</f>
        <v>-387420</v>
      </c>
      <c r="Y550" s="32">
        <v>531</v>
      </c>
      <c r="Z550" s="32">
        <v>45</v>
      </c>
      <c r="AA550" s="32">
        <v>3</v>
      </c>
      <c r="AB550" s="13">
        <f t="shared" si="131"/>
        <v>0</v>
      </c>
      <c r="AC550" s="33"/>
      <c r="AD550" s="13">
        <f t="shared" si="127"/>
        <v>0</v>
      </c>
      <c r="AE550" s="13">
        <f>ROUNDUP(($AB550+$AD550)*VLOOKUP($Z550,Paraméterek!$P$38:$Q$38,2)/12,IF($D$4="Forint",0,2))</f>
        <v>0</v>
      </c>
      <c r="AF550" s="13">
        <f>IF($D$2="Egyszeri",IF($D$7&gt;=IF($D$4="Forint",Paraméterek!$P$223,Paraméterek!$P$224),$D$7-IF($D$4="Forint",Paraméterek!$F$223,Paraméterek!$F$224),0),MIN(IF($AA550=12,AVERAGE($D$20:$D550)*12,0),SUM($D$20:$D$31)))</f>
        <v>0</v>
      </c>
      <c r="AG550" s="13">
        <f>IF(AND($Z550&gt;=10,MOD($Z550,5)=0),$AF550*IF($AA550=12,VLOOKUP($Z550,Paraméterek!$B$225:$F$240,IF($AF550&lt;IF($D$4="Forint",Paraméterek!$C$223,Paraméterek!$C$224),2,IF($AF550&lt;IF($D$4="Forint",Paraméterek!$D$223,Paraméterek!$D$224),3,4))),0),0)</f>
        <v>0</v>
      </c>
      <c r="AH550" s="13">
        <f>IF(AND($Z550&gt;=5,MOD($Z550,5)=0),IF($AA550=12,VLOOKUP($Z550,Paraméterek!$B$225:$F$240,5),0),IF(OR($Z550=3,$Z550=4),IF($AA550=12,VLOOKUP($Z550,Paraméterek!$B$225:$F$240,5,0),0),0))*$AF550</f>
        <v>0</v>
      </c>
      <c r="AI550" s="13">
        <f>ROUNDDOWN(IF(SUM($T$20:$U550)=0,IF($D$2="Egyszeri",$AH550,$AG550),0),IF($D$4="Forint",0,2))</f>
        <v>0</v>
      </c>
      <c r="AJ550" s="13">
        <f t="shared" si="132"/>
        <v>0</v>
      </c>
      <c r="AK550" s="13">
        <f t="shared" si="133"/>
        <v>0</v>
      </c>
      <c r="AM550" s="32">
        <v>531</v>
      </c>
      <c r="AN550" s="32">
        <v>45</v>
      </c>
      <c r="AO550" s="32">
        <v>3</v>
      </c>
      <c r="AP550" s="13"/>
      <c r="AQ550" s="32"/>
      <c r="AR550" s="13">
        <f t="shared" si="134"/>
        <v>0</v>
      </c>
      <c r="AS550" s="33"/>
      <c r="AT550" s="13">
        <f t="shared" si="128"/>
        <v>0</v>
      </c>
      <c r="AU550" s="13">
        <f>ROUNDUP(($AR550+$AT550)*VLOOKUP($AN550,Paraméterek!$P$38:$Q$38,2)/12,IF($D$4="Forint",0,2))</f>
        <v>0</v>
      </c>
      <c r="AV550" s="13"/>
      <c r="AW550" s="13"/>
      <c r="AX550" s="13">
        <f>ROUNDUP(IF(SUM($AV550:$AW550)=0,0,IF(IF(ISBLANK($AW550),$AV550,$AW550)*Paraméterek!$J$112&lt;IF($D$4="Forint",Paraméterek!$J$113,Paraméterek!$K$113),IF($D$4="Forint",Paraméterek!$J$113,Paraméterek!$K$113),IF(IF(ISBLANK($AW550),$AV550,$AW550)*Paraméterek!$J$112&gt;IF($D$4="Forint",Paraméterek!$J$114,Paraméterek!$K$114),IF($D$4="Forint",Paraméterek!$J$114,Paraméterek!$K$114),IF(ISBLANK($AW550),$AV550,$AW550)*Paraméterek!$J$112))),IF($D$4="Forint",0,2))</f>
        <v>0</v>
      </c>
      <c r="AY550" s="13">
        <f>$AR550+$AT550-$AU550-IF(ROUNDDOWN(IF(ISBLANK($AW550),$AV550,$AW550),IF($D$4="Forint",0,2))&gt;$AR550+$AT550-$AU550-IF($D$4="Forint",Paraméterek!$J$114,Paraméterek!$K$114),0,ROUNDDOWN(IF(ISBLANK($AW550),$AV550,$AW550),IF($D$4="Forint",0,2))-$AX550)</f>
        <v>0</v>
      </c>
      <c r="AZ550" s="13">
        <f t="shared" si="129"/>
        <v>0</v>
      </c>
    </row>
    <row r="551" spans="1:52" x14ac:dyDescent="0.2">
      <c r="A551" s="32">
        <v>532</v>
      </c>
      <c r="B551" s="32">
        <v>45</v>
      </c>
      <c r="C551" s="32">
        <v>4</v>
      </c>
      <c r="D551" s="13">
        <f t="shared" si="120"/>
        <v>0</v>
      </c>
      <c r="E551" s="13"/>
      <c r="F551" s="13"/>
      <c r="G551" s="13"/>
      <c r="H551" s="13">
        <f t="shared" si="121"/>
        <v>0</v>
      </c>
      <c r="I551" s="13">
        <f t="shared" si="122"/>
        <v>0</v>
      </c>
      <c r="J551" s="13">
        <f t="shared" si="123"/>
        <v>0</v>
      </c>
      <c r="K551" s="13">
        <f>ROUNDUP(IF($D$2="Egyszeri",$D551,IF($D$2="Havi",SUM($D$20:$D$31),IF(MOD($C551,$M$1)-1=0,SUM($D$20:$D$31),0))/12*$M$1)*VLOOKUP($B551,Paraméterek!$B$27:$D$30,IF($D$2="Egyszeri",3,2)),IF($D$4="Forint",0,2))</f>
        <v>0</v>
      </c>
      <c r="L551" s="13">
        <f t="shared" si="124"/>
        <v>0</v>
      </c>
      <c r="M551" s="13">
        <f t="shared" ca="1" si="130"/>
        <v>-387420</v>
      </c>
      <c r="N551" s="13">
        <f ca="1">IF($V550&gt;=VLOOKUP($M$4-1+$B551,Paraméterek!$B$121:$D$122,IF($D$4="Forint",2,3)),0,VLOOKUP($M$4-1+$B551,Paraméterek!$B$121:$D$122,IF($D$4="Forint",2,3))-$V550)</f>
        <v>397420</v>
      </c>
      <c r="O551" s="13">
        <f ca="1">ROUNDUP($N551*Paraméterek!$C$58/Paraméterek!$C$56,IF($D$4="Forint",0,2))</f>
        <v>64</v>
      </c>
      <c r="P551" s="13">
        <f t="shared" si="125"/>
        <v>2020</v>
      </c>
      <c r="Q551" s="33"/>
      <c r="R551" s="13">
        <f t="shared" ca="1" si="126"/>
        <v>0</v>
      </c>
      <c r="S551" s="13">
        <f ca="1">ROUNDUP(($M551-$O551-$P551+$R551)*VLOOKUP($B551,Paraméterek!$B$38:$D$39,IF($D$2="Egyszeri",3,2))/12,IF($D$4="Forint",0,2))</f>
        <v>-952</v>
      </c>
      <c r="T551" s="13"/>
      <c r="U551" s="13"/>
      <c r="V551" s="13">
        <f ca="1">$M551-$O551-$P551+$R551-$S551-IF(ROUNDUP(IF(ISBLANK($U551),$T551,$U551)/IF(AND($B551=1,$D$2&lt;&gt;"Egyszeri"),1,VLOOKUP($B551+IF($C551=12,1,0),Paraméterek!$B$257:$D$267,IF($D$2="Egyszeri",3,2))),IF($D$4="Forint",0,2))&gt;$M551-$O551-$P551+$R551-$S551-IF($D$4="Forint",Paraméterek!$C$216,Paraméterek!$D$216),0,ROUNDUP(IF(ISBLANK($U551),$T551,$U551)/IF(AND($B551=1,$D$2&lt;&gt;"Egyszeri"),1,VLOOKUP($B551+IF($C551=12,1,0),Paraméterek!$B$257:$D$267,IF($D$2="Egyszeri",3,2))),IF($D$4="Forint",0,2)))</f>
        <v>-388552</v>
      </c>
      <c r="W551" s="13">
        <f ca="1">ROUNDDOWN($V551*VLOOKUP($B551+IF($C551=12,1,0),Paraméterek!$B$257:$D$267,IF($D$2="Egyszeri",3,2)),IF($D$4="Forint",0,2))</f>
        <v>-388552</v>
      </c>
      <c r="Y551" s="32">
        <v>532</v>
      </c>
      <c r="Z551" s="32">
        <v>45</v>
      </c>
      <c r="AA551" s="32">
        <v>4</v>
      </c>
      <c r="AB551" s="13">
        <f t="shared" si="131"/>
        <v>0</v>
      </c>
      <c r="AC551" s="33"/>
      <c r="AD551" s="13">
        <f t="shared" si="127"/>
        <v>0</v>
      </c>
      <c r="AE551" s="13">
        <f>ROUNDUP(($AB551+$AD551)*VLOOKUP($Z551,Paraméterek!$P$38:$Q$38,2)/12,IF($D$4="Forint",0,2))</f>
        <v>0</v>
      </c>
      <c r="AF551" s="13">
        <f>IF($D$2="Egyszeri",IF($D$7&gt;=IF($D$4="Forint",Paraméterek!$P$223,Paraméterek!$P$224),$D$7-IF($D$4="Forint",Paraméterek!$F$223,Paraméterek!$F$224),0),MIN(IF($AA551=12,AVERAGE($D$20:$D551)*12,0),SUM($D$20:$D$31)))</f>
        <v>0</v>
      </c>
      <c r="AG551" s="13">
        <f>IF(AND($Z551&gt;=10,MOD($Z551,5)=0),$AF551*IF($AA551=12,VLOOKUP($Z551,Paraméterek!$B$225:$F$240,IF($AF551&lt;IF($D$4="Forint",Paraméterek!$C$223,Paraméterek!$C$224),2,IF($AF551&lt;IF($D$4="Forint",Paraméterek!$D$223,Paraméterek!$D$224),3,4))),0),0)</f>
        <v>0</v>
      </c>
      <c r="AH551" s="13">
        <f>IF(AND($Z551&gt;=5,MOD($Z551,5)=0),IF($AA551=12,VLOOKUP($Z551,Paraméterek!$B$225:$F$240,5),0),IF(OR($Z551=3,$Z551=4),IF($AA551=12,VLOOKUP($Z551,Paraméterek!$B$225:$F$240,5,0),0),0))*$AF551</f>
        <v>0</v>
      </c>
      <c r="AI551" s="13">
        <f>ROUNDDOWN(IF(SUM($T$20:$U551)=0,IF($D$2="Egyszeri",$AH551,$AG551),0),IF($D$4="Forint",0,2))</f>
        <v>0</v>
      </c>
      <c r="AJ551" s="13">
        <f t="shared" si="132"/>
        <v>0</v>
      </c>
      <c r="AK551" s="13">
        <f t="shared" si="133"/>
        <v>0</v>
      </c>
      <c r="AM551" s="32">
        <v>532</v>
      </c>
      <c r="AN551" s="32">
        <v>45</v>
      </c>
      <c r="AO551" s="32">
        <v>4</v>
      </c>
      <c r="AP551" s="13"/>
      <c r="AQ551" s="32"/>
      <c r="AR551" s="13">
        <f t="shared" si="134"/>
        <v>0</v>
      </c>
      <c r="AS551" s="33"/>
      <c r="AT551" s="13">
        <f t="shared" si="128"/>
        <v>0</v>
      </c>
      <c r="AU551" s="13">
        <f>ROUNDUP(($AR551+$AT551)*VLOOKUP($AN551,Paraméterek!$P$38:$Q$38,2)/12,IF($D$4="Forint",0,2))</f>
        <v>0</v>
      </c>
      <c r="AV551" s="13"/>
      <c r="AW551" s="13"/>
      <c r="AX551" s="13">
        <f>ROUNDUP(IF(SUM($AV551:$AW551)=0,0,IF(IF(ISBLANK($AW551),$AV551,$AW551)*Paraméterek!$J$112&lt;IF($D$4="Forint",Paraméterek!$J$113,Paraméterek!$K$113),IF($D$4="Forint",Paraméterek!$J$113,Paraméterek!$K$113),IF(IF(ISBLANK($AW551),$AV551,$AW551)*Paraméterek!$J$112&gt;IF($D$4="Forint",Paraméterek!$J$114,Paraméterek!$K$114),IF($D$4="Forint",Paraméterek!$J$114,Paraméterek!$K$114),IF(ISBLANK($AW551),$AV551,$AW551)*Paraméterek!$J$112))),IF($D$4="Forint",0,2))</f>
        <v>0</v>
      </c>
      <c r="AY551" s="13">
        <f>$AR551+$AT551-$AU551-IF(ROUNDDOWN(IF(ISBLANK($AW551),$AV551,$AW551),IF($D$4="Forint",0,2))&gt;$AR551+$AT551-$AU551-IF($D$4="Forint",Paraméterek!$J$114,Paraméterek!$K$114),0,ROUNDDOWN(IF(ISBLANK($AW551),$AV551,$AW551),IF($D$4="Forint",0,2))-$AX551)</f>
        <v>0</v>
      </c>
      <c r="AZ551" s="13">
        <f t="shared" si="129"/>
        <v>0</v>
      </c>
    </row>
    <row r="552" spans="1:52" x14ac:dyDescent="0.2">
      <c r="A552" s="32">
        <v>533</v>
      </c>
      <c r="B552" s="32">
        <v>45</v>
      </c>
      <c r="C552" s="32">
        <v>5</v>
      </c>
      <c r="D552" s="13">
        <f t="shared" si="120"/>
        <v>0</v>
      </c>
      <c r="E552" s="13"/>
      <c r="F552" s="13"/>
      <c r="G552" s="13"/>
      <c r="H552" s="13">
        <f t="shared" si="121"/>
        <v>0</v>
      </c>
      <c r="I552" s="13">
        <f t="shared" si="122"/>
        <v>0</v>
      </c>
      <c r="J552" s="13">
        <f t="shared" si="123"/>
        <v>0</v>
      </c>
      <c r="K552" s="13">
        <f>ROUNDUP(IF($D$2="Egyszeri",$D552,IF($D$2="Havi",SUM($D$20:$D$31),IF(MOD($C552,$M$1)-1=0,SUM($D$20:$D$31),0))/12*$M$1)*VLOOKUP($B552,Paraméterek!$B$27:$D$30,IF($D$2="Egyszeri",3,2)),IF($D$4="Forint",0,2))</f>
        <v>0</v>
      </c>
      <c r="L552" s="13">
        <f t="shared" si="124"/>
        <v>0</v>
      </c>
      <c r="M552" s="13">
        <f t="shared" ca="1" si="130"/>
        <v>-388552</v>
      </c>
      <c r="N552" s="13">
        <f ca="1">IF($V551&gt;=VLOOKUP($M$4-1+$B552,Paraméterek!$B$121:$D$122,IF($D$4="Forint",2,3)),0,VLOOKUP($M$4-1+$B552,Paraméterek!$B$121:$D$122,IF($D$4="Forint",2,3))-$V551)</f>
        <v>398552</v>
      </c>
      <c r="O552" s="13">
        <f ca="1">ROUNDUP($N552*Paraméterek!$C$58/Paraméterek!$C$56,IF($D$4="Forint",0,2))</f>
        <v>64</v>
      </c>
      <c r="P552" s="13">
        <f t="shared" si="125"/>
        <v>2020</v>
      </c>
      <c r="Q552" s="33"/>
      <c r="R552" s="13">
        <f t="shared" ca="1" si="126"/>
        <v>0</v>
      </c>
      <c r="S552" s="13">
        <f ca="1">ROUNDUP(($M552-$O552-$P552+$R552)*VLOOKUP($B552,Paraméterek!$B$38:$D$39,IF($D$2="Egyszeri",3,2))/12,IF($D$4="Forint",0,2))</f>
        <v>-954</v>
      </c>
      <c r="T552" s="13"/>
      <c r="U552" s="13"/>
      <c r="V552" s="13">
        <f ca="1">$M552-$O552-$P552+$R552-$S552-IF(ROUNDUP(IF(ISBLANK($U552),$T552,$U552)/IF(AND($B552=1,$D$2&lt;&gt;"Egyszeri"),1,VLOOKUP($B552+IF($C552=12,1,0),Paraméterek!$B$257:$D$267,IF($D$2="Egyszeri",3,2))),IF($D$4="Forint",0,2))&gt;$M552-$O552-$P552+$R552-$S552-IF($D$4="Forint",Paraméterek!$C$216,Paraméterek!$D$216),0,ROUNDUP(IF(ISBLANK($U552),$T552,$U552)/IF(AND($B552=1,$D$2&lt;&gt;"Egyszeri"),1,VLOOKUP($B552+IF($C552=12,1,0),Paraméterek!$B$257:$D$267,IF($D$2="Egyszeri",3,2))),IF($D$4="Forint",0,2)))</f>
        <v>-389682</v>
      </c>
      <c r="W552" s="13">
        <f ca="1">ROUNDDOWN($V552*VLOOKUP($B552+IF($C552=12,1,0),Paraméterek!$B$257:$D$267,IF($D$2="Egyszeri",3,2)),IF($D$4="Forint",0,2))</f>
        <v>-389682</v>
      </c>
      <c r="Y552" s="32">
        <v>533</v>
      </c>
      <c r="Z552" s="32">
        <v>45</v>
      </c>
      <c r="AA552" s="32">
        <v>5</v>
      </c>
      <c r="AB552" s="13">
        <f t="shared" si="131"/>
        <v>0</v>
      </c>
      <c r="AC552" s="33"/>
      <c r="AD552" s="13">
        <f t="shared" si="127"/>
        <v>0</v>
      </c>
      <c r="AE552" s="13">
        <f>ROUNDUP(($AB552+$AD552)*VLOOKUP($Z552,Paraméterek!$P$38:$Q$38,2)/12,IF($D$4="Forint",0,2))</f>
        <v>0</v>
      </c>
      <c r="AF552" s="13">
        <f>IF($D$2="Egyszeri",IF($D$7&gt;=IF($D$4="Forint",Paraméterek!$P$223,Paraméterek!$P$224),$D$7-IF($D$4="Forint",Paraméterek!$F$223,Paraméterek!$F$224),0),MIN(IF($AA552=12,AVERAGE($D$20:$D552)*12,0),SUM($D$20:$D$31)))</f>
        <v>0</v>
      </c>
      <c r="AG552" s="13">
        <f>IF(AND($Z552&gt;=10,MOD($Z552,5)=0),$AF552*IF($AA552=12,VLOOKUP($Z552,Paraméterek!$B$225:$F$240,IF($AF552&lt;IF($D$4="Forint",Paraméterek!$C$223,Paraméterek!$C$224),2,IF($AF552&lt;IF($D$4="Forint",Paraméterek!$D$223,Paraméterek!$D$224),3,4))),0),0)</f>
        <v>0</v>
      </c>
      <c r="AH552" s="13">
        <f>IF(AND($Z552&gt;=5,MOD($Z552,5)=0),IF($AA552=12,VLOOKUP($Z552,Paraméterek!$B$225:$F$240,5),0),IF(OR($Z552=3,$Z552=4),IF($AA552=12,VLOOKUP($Z552,Paraméterek!$B$225:$F$240,5,0),0),0))*$AF552</f>
        <v>0</v>
      </c>
      <c r="AI552" s="13">
        <f>ROUNDDOWN(IF(SUM($T$20:$U552)=0,IF($D$2="Egyszeri",$AH552,$AG552),0),IF($D$4="Forint",0,2))</f>
        <v>0</v>
      </c>
      <c r="AJ552" s="13">
        <f t="shared" si="132"/>
        <v>0</v>
      </c>
      <c r="AK552" s="13">
        <f t="shared" si="133"/>
        <v>0</v>
      </c>
      <c r="AM552" s="32">
        <v>533</v>
      </c>
      <c r="AN552" s="32">
        <v>45</v>
      </c>
      <c r="AO552" s="32">
        <v>5</v>
      </c>
      <c r="AP552" s="13"/>
      <c r="AQ552" s="32"/>
      <c r="AR552" s="13">
        <f t="shared" si="134"/>
        <v>0</v>
      </c>
      <c r="AS552" s="33"/>
      <c r="AT552" s="13">
        <f t="shared" si="128"/>
        <v>0</v>
      </c>
      <c r="AU552" s="13">
        <f>ROUNDUP(($AR552+$AT552)*VLOOKUP($AN552,Paraméterek!$P$38:$Q$38,2)/12,IF($D$4="Forint",0,2))</f>
        <v>0</v>
      </c>
      <c r="AV552" s="13"/>
      <c r="AW552" s="13"/>
      <c r="AX552" s="13">
        <f>ROUNDUP(IF(SUM($AV552:$AW552)=0,0,IF(IF(ISBLANK($AW552),$AV552,$AW552)*Paraméterek!$J$112&lt;IF($D$4="Forint",Paraméterek!$J$113,Paraméterek!$K$113),IF($D$4="Forint",Paraméterek!$J$113,Paraméterek!$K$113),IF(IF(ISBLANK($AW552),$AV552,$AW552)*Paraméterek!$J$112&gt;IF($D$4="Forint",Paraméterek!$J$114,Paraméterek!$K$114),IF($D$4="Forint",Paraméterek!$J$114,Paraméterek!$K$114),IF(ISBLANK($AW552),$AV552,$AW552)*Paraméterek!$J$112))),IF($D$4="Forint",0,2))</f>
        <v>0</v>
      </c>
      <c r="AY552" s="13">
        <f>$AR552+$AT552-$AU552-IF(ROUNDDOWN(IF(ISBLANK($AW552),$AV552,$AW552),IF($D$4="Forint",0,2))&gt;$AR552+$AT552-$AU552-IF($D$4="Forint",Paraméterek!$J$114,Paraméterek!$K$114),0,ROUNDDOWN(IF(ISBLANK($AW552),$AV552,$AW552),IF($D$4="Forint",0,2))-$AX552)</f>
        <v>0</v>
      </c>
      <c r="AZ552" s="13">
        <f t="shared" si="129"/>
        <v>0</v>
      </c>
    </row>
    <row r="553" spans="1:52" x14ac:dyDescent="0.2">
      <c r="A553" s="32">
        <v>534</v>
      </c>
      <c r="B553" s="32">
        <v>45</v>
      </c>
      <c r="C553" s="32">
        <v>6</v>
      </c>
      <c r="D553" s="13">
        <f t="shared" si="120"/>
        <v>0</v>
      </c>
      <c r="E553" s="13"/>
      <c r="F553" s="13"/>
      <c r="G553" s="13"/>
      <c r="H553" s="13">
        <f t="shared" si="121"/>
        <v>0</v>
      </c>
      <c r="I553" s="13">
        <f t="shared" si="122"/>
        <v>0</v>
      </c>
      <c r="J553" s="13">
        <f t="shared" si="123"/>
        <v>0</v>
      </c>
      <c r="K553" s="13">
        <f>ROUNDUP(IF($D$2="Egyszeri",$D553,IF($D$2="Havi",SUM($D$20:$D$31),IF(MOD($C553,$M$1)-1=0,SUM($D$20:$D$31),0))/12*$M$1)*VLOOKUP($B553,Paraméterek!$B$27:$D$30,IF($D$2="Egyszeri",3,2)),IF($D$4="Forint",0,2))</f>
        <v>0</v>
      </c>
      <c r="L553" s="13">
        <f t="shared" si="124"/>
        <v>0</v>
      </c>
      <c r="M553" s="13">
        <f t="shared" ca="1" si="130"/>
        <v>-389682</v>
      </c>
      <c r="N553" s="13">
        <f ca="1">IF($V552&gt;=VLOOKUP($M$4-1+$B553,Paraméterek!$B$121:$D$122,IF($D$4="Forint",2,3)),0,VLOOKUP($M$4-1+$B553,Paraméterek!$B$121:$D$122,IF($D$4="Forint",2,3))-$V552)</f>
        <v>399682</v>
      </c>
      <c r="O553" s="13">
        <f ca="1">ROUNDUP($N553*Paraméterek!$C$58/Paraméterek!$C$56,IF($D$4="Forint",0,2))</f>
        <v>64</v>
      </c>
      <c r="P553" s="13">
        <f t="shared" si="125"/>
        <v>2020</v>
      </c>
      <c r="Q553" s="33"/>
      <c r="R553" s="13">
        <f t="shared" ca="1" si="126"/>
        <v>0</v>
      </c>
      <c r="S553" s="13">
        <f ca="1">ROUNDUP(($M553-$O553-$P553+$R553)*VLOOKUP($B553,Paraméterek!$B$38:$D$39,IF($D$2="Egyszeri",3,2))/12,IF($D$4="Forint",0,2))</f>
        <v>-957</v>
      </c>
      <c r="T553" s="13"/>
      <c r="U553" s="13"/>
      <c r="V553" s="13">
        <f ca="1">$M553-$O553-$P553+$R553-$S553-IF(ROUNDUP(IF(ISBLANK($U553),$T553,$U553)/IF(AND($B553=1,$D$2&lt;&gt;"Egyszeri"),1,VLOOKUP($B553+IF($C553=12,1,0),Paraméterek!$B$257:$D$267,IF($D$2="Egyszeri",3,2))),IF($D$4="Forint",0,2))&gt;$M553-$O553-$P553+$R553-$S553-IF($D$4="Forint",Paraméterek!$C$216,Paraméterek!$D$216),0,ROUNDUP(IF(ISBLANK($U553),$T553,$U553)/IF(AND($B553=1,$D$2&lt;&gt;"Egyszeri"),1,VLOOKUP($B553+IF($C553=12,1,0),Paraméterek!$B$257:$D$267,IF($D$2="Egyszeri",3,2))),IF($D$4="Forint",0,2)))</f>
        <v>-390809</v>
      </c>
      <c r="W553" s="13">
        <f ca="1">ROUNDDOWN($V553*VLOOKUP($B553+IF($C553=12,1,0),Paraméterek!$B$257:$D$267,IF($D$2="Egyszeri",3,2)),IF($D$4="Forint",0,2))</f>
        <v>-390809</v>
      </c>
      <c r="Y553" s="32">
        <v>534</v>
      </c>
      <c r="Z553" s="32">
        <v>45</v>
      </c>
      <c r="AA553" s="32">
        <v>6</v>
      </c>
      <c r="AB553" s="13">
        <f t="shared" si="131"/>
        <v>0</v>
      </c>
      <c r="AC553" s="33"/>
      <c r="AD553" s="13">
        <f t="shared" si="127"/>
        <v>0</v>
      </c>
      <c r="AE553" s="13">
        <f>ROUNDUP(($AB553+$AD553)*VLOOKUP($Z553,Paraméterek!$P$38:$Q$38,2)/12,IF($D$4="Forint",0,2))</f>
        <v>0</v>
      </c>
      <c r="AF553" s="13">
        <f>IF($D$2="Egyszeri",IF($D$7&gt;=IF($D$4="Forint",Paraméterek!$P$223,Paraméterek!$P$224),$D$7-IF($D$4="Forint",Paraméterek!$F$223,Paraméterek!$F$224),0),MIN(IF($AA553=12,AVERAGE($D$20:$D553)*12,0),SUM($D$20:$D$31)))</f>
        <v>0</v>
      </c>
      <c r="AG553" s="13">
        <f>IF(AND($Z553&gt;=10,MOD($Z553,5)=0),$AF553*IF($AA553=12,VLOOKUP($Z553,Paraméterek!$B$225:$F$240,IF($AF553&lt;IF($D$4="Forint",Paraméterek!$C$223,Paraméterek!$C$224),2,IF($AF553&lt;IF($D$4="Forint",Paraméterek!$D$223,Paraméterek!$D$224),3,4))),0),0)</f>
        <v>0</v>
      </c>
      <c r="AH553" s="13">
        <f>IF(AND($Z553&gt;=5,MOD($Z553,5)=0),IF($AA553=12,VLOOKUP($Z553,Paraméterek!$B$225:$F$240,5),0),IF(OR($Z553=3,$Z553=4),IF($AA553=12,VLOOKUP($Z553,Paraméterek!$B$225:$F$240,5,0),0),0))*$AF553</f>
        <v>0</v>
      </c>
      <c r="AI553" s="13">
        <f>ROUNDDOWN(IF(SUM($T$20:$U553)=0,IF($D$2="Egyszeri",$AH553,$AG553),0),IF($D$4="Forint",0,2))</f>
        <v>0</v>
      </c>
      <c r="AJ553" s="13">
        <f t="shared" si="132"/>
        <v>0</v>
      </c>
      <c r="AK553" s="13">
        <f t="shared" si="133"/>
        <v>0</v>
      </c>
      <c r="AM553" s="32">
        <v>534</v>
      </c>
      <c r="AN553" s="32">
        <v>45</v>
      </c>
      <c r="AO553" s="32">
        <v>6</v>
      </c>
      <c r="AP553" s="13"/>
      <c r="AQ553" s="32"/>
      <c r="AR553" s="13">
        <f t="shared" si="134"/>
        <v>0</v>
      </c>
      <c r="AS553" s="33"/>
      <c r="AT553" s="13">
        <f t="shared" si="128"/>
        <v>0</v>
      </c>
      <c r="AU553" s="13">
        <f>ROUNDUP(($AR553+$AT553)*VLOOKUP($AN553,Paraméterek!$P$38:$Q$38,2)/12,IF($D$4="Forint",0,2))</f>
        <v>0</v>
      </c>
      <c r="AV553" s="13"/>
      <c r="AW553" s="13"/>
      <c r="AX553" s="13">
        <f>ROUNDUP(IF(SUM($AV553:$AW553)=0,0,IF(IF(ISBLANK($AW553),$AV553,$AW553)*Paraméterek!$J$112&lt;IF($D$4="Forint",Paraméterek!$J$113,Paraméterek!$K$113),IF($D$4="Forint",Paraméterek!$J$113,Paraméterek!$K$113),IF(IF(ISBLANK($AW553),$AV553,$AW553)*Paraméterek!$J$112&gt;IF($D$4="Forint",Paraméterek!$J$114,Paraméterek!$K$114),IF($D$4="Forint",Paraméterek!$J$114,Paraméterek!$K$114),IF(ISBLANK($AW553),$AV553,$AW553)*Paraméterek!$J$112))),IF($D$4="Forint",0,2))</f>
        <v>0</v>
      </c>
      <c r="AY553" s="13">
        <f>$AR553+$AT553-$AU553-IF(ROUNDDOWN(IF(ISBLANK($AW553),$AV553,$AW553),IF($D$4="Forint",0,2))&gt;$AR553+$AT553-$AU553-IF($D$4="Forint",Paraméterek!$J$114,Paraméterek!$K$114),0,ROUNDDOWN(IF(ISBLANK($AW553),$AV553,$AW553),IF($D$4="Forint",0,2))-$AX553)</f>
        <v>0</v>
      </c>
      <c r="AZ553" s="13">
        <f t="shared" si="129"/>
        <v>0</v>
      </c>
    </row>
    <row r="554" spans="1:52" x14ac:dyDescent="0.2">
      <c r="A554" s="32">
        <v>535</v>
      </c>
      <c r="B554" s="32">
        <v>45</v>
      </c>
      <c r="C554" s="32">
        <v>7</v>
      </c>
      <c r="D554" s="13">
        <f t="shared" si="120"/>
        <v>0</v>
      </c>
      <c r="E554" s="13"/>
      <c r="F554" s="13"/>
      <c r="G554" s="13"/>
      <c r="H554" s="13">
        <f t="shared" si="121"/>
        <v>0</v>
      </c>
      <c r="I554" s="13">
        <f t="shared" si="122"/>
        <v>0</v>
      </c>
      <c r="J554" s="13">
        <f t="shared" si="123"/>
        <v>0</v>
      </c>
      <c r="K554" s="13">
        <f>ROUNDUP(IF($D$2="Egyszeri",$D554,IF($D$2="Havi",SUM($D$20:$D$31),IF(MOD($C554,$M$1)-1=0,SUM($D$20:$D$31),0))/12*$M$1)*VLOOKUP($B554,Paraméterek!$B$27:$D$30,IF($D$2="Egyszeri",3,2)),IF($D$4="Forint",0,2))</f>
        <v>0</v>
      </c>
      <c r="L554" s="13">
        <f t="shared" si="124"/>
        <v>0</v>
      </c>
      <c r="M554" s="13">
        <f t="shared" ca="1" si="130"/>
        <v>-390809</v>
      </c>
      <c r="N554" s="13">
        <f ca="1">IF($V553&gt;=VLOOKUP($M$4-1+$B554,Paraméterek!$B$121:$D$122,IF($D$4="Forint",2,3)),0,VLOOKUP($M$4-1+$B554,Paraméterek!$B$121:$D$122,IF($D$4="Forint",2,3))-$V553)</f>
        <v>400809</v>
      </c>
      <c r="O554" s="13">
        <f ca="1">ROUNDUP($N554*Paraméterek!$C$58/Paraméterek!$C$56,IF($D$4="Forint",0,2))</f>
        <v>64</v>
      </c>
      <c r="P554" s="13">
        <f t="shared" si="125"/>
        <v>2020</v>
      </c>
      <c r="Q554" s="33"/>
      <c r="R554" s="13">
        <f t="shared" ca="1" si="126"/>
        <v>0</v>
      </c>
      <c r="S554" s="13">
        <f ca="1">ROUNDUP(($M554-$O554-$P554+$R554)*VLOOKUP($B554,Paraméterek!$B$38:$D$39,IF($D$2="Egyszeri",3,2))/12,IF($D$4="Forint",0,2))</f>
        <v>-960</v>
      </c>
      <c r="T554" s="13"/>
      <c r="U554" s="13"/>
      <c r="V554" s="13">
        <f ca="1">$M554-$O554-$P554+$R554-$S554-IF(ROUNDUP(IF(ISBLANK($U554),$T554,$U554)/IF(AND($B554=1,$D$2&lt;&gt;"Egyszeri"),1,VLOOKUP($B554+IF($C554=12,1,0),Paraméterek!$B$257:$D$267,IF($D$2="Egyszeri",3,2))),IF($D$4="Forint",0,2))&gt;$M554-$O554-$P554+$R554-$S554-IF($D$4="Forint",Paraméterek!$C$216,Paraméterek!$D$216),0,ROUNDUP(IF(ISBLANK($U554),$T554,$U554)/IF(AND($B554=1,$D$2&lt;&gt;"Egyszeri"),1,VLOOKUP($B554+IF($C554=12,1,0),Paraméterek!$B$257:$D$267,IF($D$2="Egyszeri",3,2))),IF($D$4="Forint",0,2)))</f>
        <v>-391933</v>
      </c>
      <c r="W554" s="13">
        <f ca="1">ROUNDDOWN($V554*VLOOKUP($B554+IF($C554=12,1,0),Paraméterek!$B$257:$D$267,IF($D$2="Egyszeri",3,2)),IF($D$4="Forint",0,2))</f>
        <v>-391933</v>
      </c>
      <c r="Y554" s="32">
        <v>535</v>
      </c>
      <c r="Z554" s="32">
        <v>45</v>
      </c>
      <c r="AA554" s="32">
        <v>7</v>
      </c>
      <c r="AB554" s="13">
        <f t="shared" si="131"/>
        <v>0</v>
      </c>
      <c r="AC554" s="33"/>
      <c r="AD554" s="13">
        <f t="shared" si="127"/>
        <v>0</v>
      </c>
      <c r="AE554" s="13">
        <f>ROUNDUP(($AB554+$AD554)*VLOOKUP($Z554,Paraméterek!$P$38:$Q$38,2)/12,IF($D$4="Forint",0,2))</f>
        <v>0</v>
      </c>
      <c r="AF554" s="13">
        <f>IF($D$2="Egyszeri",IF($D$7&gt;=IF($D$4="Forint",Paraméterek!$P$223,Paraméterek!$P$224),$D$7-IF($D$4="Forint",Paraméterek!$F$223,Paraméterek!$F$224),0),MIN(IF($AA554=12,AVERAGE($D$20:$D554)*12,0),SUM($D$20:$D$31)))</f>
        <v>0</v>
      </c>
      <c r="AG554" s="13">
        <f>IF(AND($Z554&gt;=10,MOD($Z554,5)=0),$AF554*IF($AA554=12,VLOOKUP($Z554,Paraméterek!$B$225:$F$240,IF($AF554&lt;IF($D$4="Forint",Paraméterek!$C$223,Paraméterek!$C$224),2,IF($AF554&lt;IF($D$4="Forint",Paraméterek!$D$223,Paraméterek!$D$224),3,4))),0),0)</f>
        <v>0</v>
      </c>
      <c r="AH554" s="13">
        <f>IF(AND($Z554&gt;=5,MOD($Z554,5)=0),IF($AA554=12,VLOOKUP($Z554,Paraméterek!$B$225:$F$240,5),0),IF(OR($Z554=3,$Z554=4),IF($AA554=12,VLOOKUP($Z554,Paraméterek!$B$225:$F$240,5,0),0),0))*$AF554</f>
        <v>0</v>
      </c>
      <c r="AI554" s="13">
        <f>ROUNDDOWN(IF(SUM($T$20:$U554)=0,IF($D$2="Egyszeri",$AH554,$AG554),0),IF($D$4="Forint",0,2))</f>
        <v>0</v>
      </c>
      <c r="AJ554" s="13">
        <f t="shared" si="132"/>
        <v>0</v>
      </c>
      <c r="AK554" s="13">
        <f t="shared" si="133"/>
        <v>0</v>
      </c>
      <c r="AM554" s="32">
        <v>535</v>
      </c>
      <c r="AN554" s="32">
        <v>45</v>
      </c>
      <c r="AO554" s="32">
        <v>7</v>
      </c>
      <c r="AP554" s="13"/>
      <c r="AQ554" s="32"/>
      <c r="AR554" s="13">
        <f t="shared" si="134"/>
        <v>0</v>
      </c>
      <c r="AS554" s="33"/>
      <c r="AT554" s="13">
        <f t="shared" si="128"/>
        <v>0</v>
      </c>
      <c r="AU554" s="13">
        <f>ROUNDUP(($AR554+$AT554)*VLOOKUP($AN554,Paraméterek!$P$38:$Q$38,2)/12,IF($D$4="Forint",0,2))</f>
        <v>0</v>
      </c>
      <c r="AV554" s="13"/>
      <c r="AW554" s="13"/>
      <c r="AX554" s="13">
        <f>ROUNDUP(IF(SUM($AV554:$AW554)=0,0,IF(IF(ISBLANK($AW554),$AV554,$AW554)*Paraméterek!$J$112&lt;IF($D$4="Forint",Paraméterek!$J$113,Paraméterek!$K$113),IF($D$4="Forint",Paraméterek!$J$113,Paraméterek!$K$113),IF(IF(ISBLANK($AW554),$AV554,$AW554)*Paraméterek!$J$112&gt;IF($D$4="Forint",Paraméterek!$J$114,Paraméterek!$K$114),IF($D$4="Forint",Paraméterek!$J$114,Paraméterek!$K$114),IF(ISBLANK($AW554),$AV554,$AW554)*Paraméterek!$J$112))),IF($D$4="Forint",0,2))</f>
        <v>0</v>
      </c>
      <c r="AY554" s="13">
        <f>$AR554+$AT554-$AU554-IF(ROUNDDOWN(IF(ISBLANK($AW554),$AV554,$AW554),IF($D$4="Forint",0,2))&gt;$AR554+$AT554-$AU554-IF($D$4="Forint",Paraméterek!$J$114,Paraméterek!$K$114),0,ROUNDDOWN(IF(ISBLANK($AW554),$AV554,$AW554),IF($D$4="Forint",0,2))-$AX554)</f>
        <v>0</v>
      </c>
      <c r="AZ554" s="13">
        <f t="shared" si="129"/>
        <v>0</v>
      </c>
    </row>
    <row r="555" spans="1:52" x14ac:dyDescent="0.2">
      <c r="A555" s="32">
        <v>536</v>
      </c>
      <c r="B555" s="32">
        <v>45</v>
      </c>
      <c r="C555" s="32">
        <v>8</v>
      </c>
      <c r="D555" s="13">
        <f t="shared" si="120"/>
        <v>0</v>
      </c>
      <c r="E555" s="13"/>
      <c r="F555" s="13"/>
      <c r="G555" s="13"/>
      <c r="H555" s="13">
        <f t="shared" si="121"/>
        <v>0</v>
      </c>
      <c r="I555" s="13">
        <f t="shared" si="122"/>
        <v>0</v>
      </c>
      <c r="J555" s="13">
        <f t="shared" si="123"/>
        <v>0</v>
      </c>
      <c r="K555" s="13">
        <f>ROUNDUP(IF($D$2="Egyszeri",$D555,IF($D$2="Havi",SUM($D$20:$D$31),IF(MOD($C555,$M$1)-1=0,SUM($D$20:$D$31),0))/12*$M$1)*VLOOKUP($B555,Paraméterek!$B$27:$D$30,IF($D$2="Egyszeri",3,2)),IF($D$4="Forint",0,2))</f>
        <v>0</v>
      </c>
      <c r="L555" s="13">
        <f t="shared" si="124"/>
        <v>0</v>
      </c>
      <c r="M555" s="13">
        <f t="shared" ca="1" si="130"/>
        <v>-391933</v>
      </c>
      <c r="N555" s="13">
        <f ca="1">IF($V554&gt;=VLOOKUP($M$4-1+$B555,Paraméterek!$B$121:$D$122,IF($D$4="Forint",2,3)),0,VLOOKUP($M$4-1+$B555,Paraméterek!$B$121:$D$122,IF($D$4="Forint",2,3))-$V554)</f>
        <v>401933</v>
      </c>
      <c r="O555" s="13">
        <f ca="1">ROUNDUP($N555*Paraméterek!$C$58/Paraméterek!$C$56,IF($D$4="Forint",0,2))</f>
        <v>64</v>
      </c>
      <c r="P555" s="13">
        <f t="shared" si="125"/>
        <v>2020</v>
      </c>
      <c r="Q555" s="33"/>
      <c r="R555" s="13">
        <f t="shared" ca="1" si="126"/>
        <v>0</v>
      </c>
      <c r="S555" s="13">
        <f ca="1">ROUNDUP(($M555-$O555-$P555+$R555)*VLOOKUP($B555,Paraméterek!$B$38:$D$39,IF($D$2="Egyszeri",3,2))/12,IF($D$4="Forint",0,2))</f>
        <v>-963</v>
      </c>
      <c r="T555" s="13"/>
      <c r="U555" s="13"/>
      <c r="V555" s="13">
        <f ca="1">$M555-$O555-$P555+$R555-$S555-IF(ROUNDUP(IF(ISBLANK($U555),$T555,$U555)/IF(AND($B555=1,$D$2&lt;&gt;"Egyszeri"),1,VLOOKUP($B555+IF($C555=12,1,0),Paraméterek!$B$257:$D$267,IF($D$2="Egyszeri",3,2))),IF($D$4="Forint",0,2))&gt;$M555-$O555-$P555+$R555-$S555-IF($D$4="Forint",Paraméterek!$C$216,Paraméterek!$D$216),0,ROUNDUP(IF(ISBLANK($U555),$T555,$U555)/IF(AND($B555=1,$D$2&lt;&gt;"Egyszeri"),1,VLOOKUP($B555+IF($C555=12,1,0),Paraméterek!$B$257:$D$267,IF($D$2="Egyszeri",3,2))),IF($D$4="Forint",0,2)))</f>
        <v>-393054</v>
      </c>
      <c r="W555" s="13">
        <f ca="1">ROUNDDOWN($V555*VLOOKUP($B555+IF($C555=12,1,0),Paraméterek!$B$257:$D$267,IF($D$2="Egyszeri",3,2)),IF($D$4="Forint",0,2))</f>
        <v>-393054</v>
      </c>
      <c r="Y555" s="32">
        <v>536</v>
      </c>
      <c r="Z555" s="32">
        <v>45</v>
      </c>
      <c r="AA555" s="32">
        <v>8</v>
      </c>
      <c r="AB555" s="13">
        <f t="shared" si="131"/>
        <v>0</v>
      </c>
      <c r="AC555" s="33"/>
      <c r="AD555" s="13">
        <f t="shared" si="127"/>
        <v>0</v>
      </c>
      <c r="AE555" s="13">
        <f>ROUNDUP(($AB555+$AD555)*VLOOKUP($Z555,Paraméterek!$P$38:$Q$38,2)/12,IF($D$4="Forint",0,2))</f>
        <v>0</v>
      </c>
      <c r="AF555" s="13">
        <f>IF($D$2="Egyszeri",IF($D$7&gt;=IF($D$4="Forint",Paraméterek!$P$223,Paraméterek!$P$224),$D$7-IF($D$4="Forint",Paraméterek!$F$223,Paraméterek!$F$224),0),MIN(IF($AA555=12,AVERAGE($D$20:$D555)*12,0),SUM($D$20:$D$31)))</f>
        <v>0</v>
      </c>
      <c r="AG555" s="13">
        <f>IF(AND($Z555&gt;=10,MOD($Z555,5)=0),$AF555*IF($AA555=12,VLOOKUP($Z555,Paraméterek!$B$225:$F$240,IF($AF555&lt;IF($D$4="Forint",Paraméterek!$C$223,Paraméterek!$C$224),2,IF($AF555&lt;IF($D$4="Forint",Paraméterek!$D$223,Paraméterek!$D$224),3,4))),0),0)</f>
        <v>0</v>
      </c>
      <c r="AH555" s="13">
        <f>IF(AND($Z555&gt;=5,MOD($Z555,5)=0),IF($AA555=12,VLOOKUP($Z555,Paraméterek!$B$225:$F$240,5),0),IF(OR($Z555=3,$Z555=4),IF($AA555=12,VLOOKUP($Z555,Paraméterek!$B$225:$F$240,5,0),0),0))*$AF555</f>
        <v>0</v>
      </c>
      <c r="AI555" s="13">
        <f>ROUNDDOWN(IF(SUM($T$20:$U555)=0,IF($D$2="Egyszeri",$AH555,$AG555),0),IF($D$4="Forint",0,2))</f>
        <v>0</v>
      </c>
      <c r="AJ555" s="13">
        <f t="shared" si="132"/>
        <v>0</v>
      </c>
      <c r="AK555" s="13">
        <f t="shared" si="133"/>
        <v>0</v>
      </c>
      <c r="AM555" s="32">
        <v>536</v>
      </c>
      <c r="AN555" s="32">
        <v>45</v>
      </c>
      <c r="AO555" s="32">
        <v>8</v>
      </c>
      <c r="AP555" s="13"/>
      <c r="AQ555" s="32"/>
      <c r="AR555" s="13">
        <f t="shared" si="134"/>
        <v>0</v>
      </c>
      <c r="AS555" s="33"/>
      <c r="AT555" s="13">
        <f t="shared" si="128"/>
        <v>0</v>
      </c>
      <c r="AU555" s="13">
        <f>ROUNDUP(($AR555+$AT555)*VLOOKUP($AN555,Paraméterek!$P$38:$Q$38,2)/12,IF($D$4="Forint",0,2))</f>
        <v>0</v>
      </c>
      <c r="AV555" s="13"/>
      <c r="AW555" s="13"/>
      <c r="AX555" s="13">
        <f>ROUNDUP(IF(SUM($AV555:$AW555)=0,0,IF(IF(ISBLANK($AW555),$AV555,$AW555)*Paraméterek!$J$112&lt;IF($D$4="Forint",Paraméterek!$J$113,Paraméterek!$K$113),IF($D$4="Forint",Paraméterek!$J$113,Paraméterek!$K$113),IF(IF(ISBLANK($AW555),$AV555,$AW555)*Paraméterek!$J$112&gt;IF($D$4="Forint",Paraméterek!$J$114,Paraméterek!$K$114),IF($D$4="Forint",Paraméterek!$J$114,Paraméterek!$K$114),IF(ISBLANK($AW555),$AV555,$AW555)*Paraméterek!$J$112))),IF($D$4="Forint",0,2))</f>
        <v>0</v>
      </c>
      <c r="AY555" s="13">
        <f>$AR555+$AT555-$AU555-IF(ROUNDDOWN(IF(ISBLANK($AW555),$AV555,$AW555),IF($D$4="Forint",0,2))&gt;$AR555+$AT555-$AU555-IF($D$4="Forint",Paraméterek!$J$114,Paraméterek!$K$114),0,ROUNDDOWN(IF(ISBLANK($AW555),$AV555,$AW555),IF($D$4="Forint",0,2))-$AX555)</f>
        <v>0</v>
      </c>
      <c r="AZ555" s="13">
        <f t="shared" si="129"/>
        <v>0</v>
      </c>
    </row>
    <row r="556" spans="1:52" x14ac:dyDescent="0.2">
      <c r="A556" s="32">
        <v>537</v>
      </c>
      <c r="B556" s="32">
        <v>45</v>
      </c>
      <c r="C556" s="32">
        <v>9</v>
      </c>
      <c r="D556" s="13">
        <f t="shared" si="120"/>
        <v>0</v>
      </c>
      <c r="E556" s="13"/>
      <c r="F556" s="13"/>
      <c r="G556" s="13"/>
      <c r="H556" s="13">
        <f t="shared" si="121"/>
        <v>0</v>
      </c>
      <c r="I556" s="13">
        <f t="shared" si="122"/>
        <v>0</v>
      </c>
      <c r="J556" s="13">
        <f t="shared" si="123"/>
        <v>0</v>
      </c>
      <c r="K556" s="13">
        <f>ROUNDUP(IF($D$2="Egyszeri",$D556,IF($D$2="Havi",SUM($D$20:$D$31),IF(MOD($C556,$M$1)-1=0,SUM($D$20:$D$31),0))/12*$M$1)*VLOOKUP($B556,Paraméterek!$B$27:$D$30,IF($D$2="Egyszeri",3,2)),IF($D$4="Forint",0,2))</f>
        <v>0</v>
      </c>
      <c r="L556" s="13">
        <f t="shared" si="124"/>
        <v>0</v>
      </c>
      <c r="M556" s="13">
        <f t="shared" ca="1" si="130"/>
        <v>-393054</v>
      </c>
      <c r="N556" s="13">
        <f ca="1">IF($V555&gt;=VLOOKUP($M$4-1+$B556,Paraméterek!$B$121:$D$122,IF($D$4="Forint",2,3)),0,VLOOKUP($M$4-1+$B556,Paraméterek!$B$121:$D$122,IF($D$4="Forint",2,3))-$V555)</f>
        <v>403054</v>
      </c>
      <c r="O556" s="13">
        <f ca="1">ROUNDUP($N556*Paraméterek!$C$58/Paraméterek!$C$56,IF($D$4="Forint",0,2))</f>
        <v>65</v>
      </c>
      <c r="P556" s="13">
        <f t="shared" si="125"/>
        <v>2020</v>
      </c>
      <c r="Q556" s="33"/>
      <c r="R556" s="13">
        <f t="shared" ca="1" si="126"/>
        <v>0</v>
      </c>
      <c r="S556" s="13">
        <f ca="1">ROUNDUP(($M556-$O556-$P556+$R556)*VLOOKUP($B556,Paraméterek!$B$38:$D$39,IF($D$2="Egyszeri",3,2))/12,IF($D$4="Forint",0,2))</f>
        <v>-965</v>
      </c>
      <c r="T556" s="13"/>
      <c r="U556" s="13"/>
      <c r="V556" s="13">
        <f ca="1">$M556-$O556-$P556+$R556-$S556-IF(ROUNDUP(IF(ISBLANK($U556),$T556,$U556)/IF(AND($B556=1,$D$2&lt;&gt;"Egyszeri"),1,VLOOKUP($B556+IF($C556=12,1,0),Paraméterek!$B$257:$D$267,IF($D$2="Egyszeri",3,2))),IF($D$4="Forint",0,2))&gt;$M556-$O556-$P556+$R556-$S556-IF($D$4="Forint",Paraméterek!$C$216,Paraméterek!$D$216),0,ROUNDUP(IF(ISBLANK($U556),$T556,$U556)/IF(AND($B556=1,$D$2&lt;&gt;"Egyszeri"),1,VLOOKUP($B556+IF($C556=12,1,0),Paraméterek!$B$257:$D$267,IF($D$2="Egyszeri",3,2))),IF($D$4="Forint",0,2)))</f>
        <v>-394174</v>
      </c>
      <c r="W556" s="13">
        <f ca="1">ROUNDDOWN($V556*VLOOKUP($B556+IF($C556=12,1,0),Paraméterek!$B$257:$D$267,IF($D$2="Egyszeri",3,2)),IF($D$4="Forint",0,2))</f>
        <v>-394174</v>
      </c>
      <c r="Y556" s="32">
        <v>537</v>
      </c>
      <c r="Z556" s="32">
        <v>45</v>
      </c>
      <c r="AA556" s="32">
        <v>9</v>
      </c>
      <c r="AB556" s="13">
        <f t="shared" si="131"/>
        <v>0</v>
      </c>
      <c r="AC556" s="33"/>
      <c r="AD556" s="13">
        <f t="shared" si="127"/>
        <v>0</v>
      </c>
      <c r="AE556" s="13">
        <f>ROUNDUP(($AB556+$AD556)*VLOOKUP($Z556,Paraméterek!$P$38:$Q$38,2)/12,IF($D$4="Forint",0,2))</f>
        <v>0</v>
      </c>
      <c r="AF556" s="13">
        <f>IF($D$2="Egyszeri",IF($D$7&gt;=IF($D$4="Forint",Paraméterek!$P$223,Paraméterek!$P$224),$D$7-IF($D$4="Forint",Paraméterek!$F$223,Paraméterek!$F$224),0),MIN(IF($AA556=12,AVERAGE($D$20:$D556)*12,0),SUM($D$20:$D$31)))</f>
        <v>0</v>
      </c>
      <c r="AG556" s="13">
        <f>IF(AND($Z556&gt;=10,MOD($Z556,5)=0),$AF556*IF($AA556=12,VLOOKUP($Z556,Paraméterek!$B$225:$F$240,IF($AF556&lt;IF($D$4="Forint",Paraméterek!$C$223,Paraméterek!$C$224),2,IF($AF556&lt;IF($D$4="Forint",Paraméterek!$D$223,Paraméterek!$D$224),3,4))),0),0)</f>
        <v>0</v>
      </c>
      <c r="AH556" s="13">
        <f>IF(AND($Z556&gt;=5,MOD($Z556,5)=0),IF($AA556=12,VLOOKUP($Z556,Paraméterek!$B$225:$F$240,5),0),IF(OR($Z556=3,$Z556=4),IF($AA556=12,VLOOKUP($Z556,Paraméterek!$B$225:$F$240,5,0),0),0))*$AF556</f>
        <v>0</v>
      </c>
      <c r="AI556" s="13">
        <f>ROUNDDOWN(IF(SUM($T$20:$U556)=0,IF($D$2="Egyszeri",$AH556,$AG556),0),IF($D$4="Forint",0,2))</f>
        <v>0</v>
      </c>
      <c r="AJ556" s="13">
        <f t="shared" si="132"/>
        <v>0</v>
      </c>
      <c r="AK556" s="13">
        <f t="shared" si="133"/>
        <v>0</v>
      </c>
      <c r="AM556" s="32">
        <v>537</v>
      </c>
      <c r="AN556" s="32">
        <v>45</v>
      </c>
      <c r="AO556" s="32">
        <v>9</v>
      </c>
      <c r="AP556" s="13"/>
      <c r="AQ556" s="32"/>
      <c r="AR556" s="13">
        <f t="shared" si="134"/>
        <v>0</v>
      </c>
      <c r="AS556" s="33"/>
      <c r="AT556" s="13">
        <f t="shared" si="128"/>
        <v>0</v>
      </c>
      <c r="AU556" s="13">
        <f>ROUNDUP(($AR556+$AT556)*VLOOKUP($AN556,Paraméterek!$P$38:$Q$38,2)/12,IF($D$4="Forint",0,2))</f>
        <v>0</v>
      </c>
      <c r="AV556" s="13"/>
      <c r="AW556" s="13"/>
      <c r="AX556" s="13">
        <f>ROUNDUP(IF(SUM($AV556:$AW556)=0,0,IF(IF(ISBLANK($AW556),$AV556,$AW556)*Paraméterek!$J$112&lt;IF($D$4="Forint",Paraméterek!$J$113,Paraméterek!$K$113),IF($D$4="Forint",Paraméterek!$J$113,Paraméterek!$K$113),IF(IF(ISBLANK($AW556),$AV556,$AW556)*Paraméterek!$J$112&gt;IF($D$4="Forint",Paraméterek!$J$114,Paraméterek!$K$114),IF($D$4="Forint",Paraméterek!$J$114,Paraméterek!$K$114),IF(ISBLANK($AW556),$AV556,$AW556)*Paraméterek!$J$112))),IF($D$4="Forint",0,2))</f>
        <v>0</v>
      </c>
      <c r="AY556" s="13">
        <f>$AR556+$AT556-$AU556-IF(ROUNDDOWN(IF(ISBLANK($AW556),$AV556,$AW556),IF($D$4="Forint",0,2))&gt;$AR556+$AT556-$AU556-IF($D$4="Forint",Paraméterek!$J$114,Paraméterek!$K$114),0,ROUNDDOWN(IF(ISBLANK($AW556),$AV556,$AW556),IF($D$4="Forint",0,2))-$AX556)</f>
        <v>0</v>
      </c>
      <c r="AZ556" s="13">
        <f t="shared" si="129"/>
        <v>0</v>
      </c>
    </row>
    <row r="557" spans="1:52" x14ac:dyDescent="0.2">
      <c r="A557" s="32">
        <v>538</v>
      </c>
      <c r="B557" s="32">
        <v>45</v>
      </c>
      <c r="C557" s="32">
        <v>10</v>
      </c>
      <c r="D557" s="13">
        <f t="shared" si="120"/>
        <v>0</v>
      </c>
      <c r="E557" s="13"/>
      <c r="F557" s="13"/>
      <c r="G557" s="13"/>
      <c r="H557" s="13">
        <f t="shared" si="121"/>
        <v>0</v>
      </c>
      <c r="I557" s="13">
        <f t="shared" si="122"/>
        <v>0</v>
      </c>
      <c r="J557" s="13">
        <f t="shared" si="123"/>
        <v>0</v>
      </c>
      <c r="K557" s="13">
        <f>ROUNDUP(IF($D$2="Egyszeri",$D557,IF($D$2="Havi",SUM($D$20:$D$31),IF(MOD($C557,$M$1)-1=0,SUM($D$20:$D$31),0))/12*$M$1)*VLOOKUP($B557,Paraméterek!$B$27:$D$30,IF($D$2="Egyszeri",3,2)),IF($D$4="Forint",0,2))</f>
        <v>0</v>
      </c>
      <c r="L557" s="13">
        <f t="shared" si="124"/>
        <v>0</v>
      </c>
      <c r="M557" s="13">
        <f t="shared" ca="1" si="130"/>
        <v>-394174</v>
      </c>
      <c r="N557" s="13">
        <f ca="1">IF($V556&gt;=VLOOKUP($M$4-1+$B557,Paraméterek!$B$121:$D$122,IF($D$4="Forint",2,3)),0,VLOOKUP($M$4-1+$B557,Paraméterek!$B$121:$D$122,IF($D$4="Forint",2,3))-$V556)</f>
        <v>404174</v>
      </c>
      <c r="O557" s="13">
        <f ca="1">ROUNDUP($N557*Paraméterek!$C$58/Paraméterek!$C$56,IF($D$4="Forint",0,2))</f>
        <v>65</v>
      </c>
      <c r="P557" s="13">
        <f t="shared" si="125"/>
        <v>2020</v>
      </c>
      <c r="Q557" s="33"/>
      <c r="R557" s="13">
        <f t="shared" ca="1" si="126"/>
        <v>0</v>
      </c>
      <c r="S557" s="13">
        <f ca="1">ROUNDUP(($M557-$O557-$P557+$R557)*VLOOKUP($B557,Paraméterek!$B$38:$D$39,IF($D$2="Egyszeri",3,2))/12,IF($D$4="Forint",0,2))</f>
        <v>-968</v>
      </c>
      <c r="T557" s="13"/>
      <c r="U557" s="13"/>
      <c r="V557" s="13">
        <f ca="1">$M557-$O557-$P557+$R557-$S557-IF(ROUNDUP(IF(ISBLANK($U557),$T557,$U557)/IF(AND($B557=1,$D$2&lt;&gt;"Egyszeri"),1,VLOOKUP($B557+IF($C557=12,1,0),Paraméterek!$B$257:$D$267,IF($D$2="Egyszeri",3,2))),IF($D$4="Forint",0,2))&gt;$M557-$O557-$P557+$R557-$S557-IF($D$4="Forint",Paraméterek!$C$216,Paraméterek!$D$216),0,ROUNDUP(IF(ISBLANK($U557),$T557,$U557)/IF(AND($B557=1,$D$2&lt;&gt;"Egyszeri"),1,VLOOKUP($B557+IF($C557=12,1,0),Paraméterek!$B$257:$D$267,IF($D$2="Egyszeri",3,2))),IF($D$4="Forint",0,2)))</f>
        <v>-395291</v>
      </c>
      <c r="W557" s="13">
        <f ca="1">ROUNDDOWN($V557*VLOOKUP($B557+IF($C557=12,1,0),Paraméterek!$B$257:$D$267,IF($D$2="Egyszeri",3,2)),IF($D$4="Forint",0,2))</f>
        <v>-395291</v>
      </c>
      <c r="Y557" s="32">
        <v>538</v>
      </c>
      <c r="Z557" s="32">
        <v>45</v>
      </c>
      <c r="AA557" s="32">
        <v>10</v>
      </c>
      <c r="AB557" s="13">
        <f t="shared" si="131"/>
        <v>0</v>
      </c>
      <c r="AC557" s="33"/>
      <c r="AD557" s="13">
        <f t="shared" si="127"/>
        <v>0</v>
      </c>
      <c r="AE557" s="13">
        <f>ROUNDUP(($AB557+$AD557)*VLOOKUP($Z557,Paraméterek!$P$38:$Q$38,2)/12,IF($D$4="Forint",0,2))</f>
        <v>0</v>
      </c>
      <c r="AF557" s="13">
        <f>IF($D$2="Egyszeri",IF($D$7&gt;=IF($D$4="Forint",Paraméterek!$P$223,Paraméterek!$P$224),$D$7-IF($D$4="Forint",Paraméterek!$F$223,Paraméterek!$F$224),0),MIN(IF($AA557=12,AVERAGE($D$20:$D557)*12,0),SUM($D$20:$D$31)))</f>
        <v>0</v>
      </c>
      <c r="AG557" s="13">
        <f>IF(AND($Z557&gt;=10,MOD($Z557,5)=0),$AF557*IF($AA557=12,VLOOKUP($Z557,Paraméterek!$B$225:$F$240,IF($AF557&lt;IF($D$4="Forint",Paraméterek!$C$223,Paraméterek!$C$224),2,IF($AF557&lt;IF($D$4="Forint",Paraméterek!$D$223,Paraméterek!$D$224),3,4))),0),0)</f>
        <v>0</v>
      </c>
      <c r="AH557" s="13">
        <f>IF(AND($Z557&gt;=5,MOD($Z557,5)=0),IF($AA557=12,VLOOKUP($Z557,Paraméterek!$B$225:$F$240,5),0),IF(OR($Z557=3,$Z557=4),IF($AA557=12,VLOOKUP($Z557,Paraméterek!$B$225:$F$240,5,0),0),0))*$AF557</f>
        <v>0</v>
      </c>
      <c r="AI557" s="13">
        <f>ROUNDDOWN(IF(SUM($T$20:$U557)=0,IF($D$2="Egyszeri",$AH557,$AG557),0),IF($D$4="Forint",0,2))</f>
        <v>0</v>
      </c>
      <c r="AJ557" s="13">
        <f t="shared" si="132"/>
        <v>0</v>
      </c>
      <c r="AK557" s="13">
        <f t="shared" si="133"/>
        <v>0</v>
      </c>
      <c r="AM557" s="32">
        <v>538</v>
      </c>
      <c r="AN557" s="32">
        <v>45</v>
      </c>
      <c r="AO557" s="32">
        <v>10</v>
      </c>
      <c r="AP557" s="13"/>
      <c r="AQ557" s="32"/>
      <c r="AR557" s="13">
        <f t="shared" si="134"/>
        <v>0</v>
      </c>
      <c r="AS557" s="33"/>
      <c r="AT557" s="13">
        <f t="shared" si="128"/>
        <v>0</v>
      </c>
      <c r="AU557" s="13">
        <f>ROUNDUP(($AR557+$AT557)*VLOOKUP($AN557,Paraméterek!$P$38:$Q$38,2)/12,IF($D$4="Forint",0,2))</f>
        <v>0</v>
      </c>
      <c r="AV557" s="13"/>
      <c r="AW557" s="13"/>
      <c r="AX557" s="13">
        <f>ROUNDUP(IF(SUM($AV557:$AW557)=0,0,IF(IF(ISBLANK($AW557),$AV557,$AW557)*Paraméterek!$J$112&lt;IF($D$4="Forint",Paraméterek!$J$113,Paraméterek!$K$113),IF($D$4="Forint",Paraméterek!$J$113,Paraméterek!$K$113),IF(IF(ISBLANK($AW557),$AV557,$AW557)*Paraméterek!$J$112&gt;IF($D$4="Forint",Paraméterek!$J$114,Paraméterek!$K$114),IF($D$4="Forint",Paraméterek!$J$114,Paraméterek!$K$114),IF(ISBLANK($AW557),$AV557,$AW557)*Paraméterek!$J$112))),IF($D$4="Forint",0,2))</f>
        <v>0</v>
      </c>
      <c r="AY557" s="13">
        <f>$AR557+$AT557-$AU557-IF(ROUNDDOWN(IF(ISBLANK($AW557),$AV557,$AW557),IF($D$4="Forint",0,2))&gt;$AR557+$AT557-$AU557-IF($D$4="Forint",Paraméterek!$J$114,Paraméterek!$K$114),0,ROUNDDOWN(IF(ISBLANK($AW557),$AV557,$AW557),IF($D$4="Forint",0,2))-$AX557)</f>
        <v>0</v>
      </c>
      <c r="AZ557" s="13">
        <f t="shared" si="129"/>
        <v>0</v>
      </c>
    </row>
    <row r="558" spans="1:52" x14ac:dyDescent="0.2">
      <c r="A558" s="32">
        <v>539</v>
      </c>
      <c r="B558" s="32">
        <v>45</v>
      </c>
      <c r="C558" s="32">
        <v>11</v>
      </c>
      <c r="D558" s="13">
        <f t="shared" si="120"/>
        <v>0</v>
      </c>
      <c r="E558" s="13"/>
      <c r="F558" s="13"/>
      <c r="G558" s="13"/>
      <c r="H558" s="13">
        <f t="shared" si="121"/>
        <v>0</v>
      </c>
      <c r="I558" s="13">
        <f t="shared" si="122"/>
        <v>0</v>
      </c>
      <c r="J558" s="13">
        <f t="shared" si="123"/>
        <v>0</v>
      </c>
      <c r="K558" s="13">
        <f>ROUNDUP(IF($D$2="Egyszeri",$D558,IF($D$2="Havi",SUM($D$20:$D$31),IF(MOD($C558,$M$1)-1=0,SUM($D$20:$D$31),0))/12*$M$1)*VLOOKUP($B558,Paraméterek!$B$27:$D$30,IF($D$2="Egyszeri",3,2)),IF($D$4="Forint",0,2))</f>
        <v>0</v>
      </c>
      <c r="L558" s="13">
        <f t="shared" si="124"/>
        <v>0</v>
      </c>
      <c r="M558" s="13">
        <f t="shared" ca="1" si="130"/>
        <v>-395291</v>
      </c>
      <c r="N558" s="13">
        <f ca="1">IF($V557&gt;=VLOOKUP($M$4-1+$B558,Paraméterek!$B$121:$D$122,IF($D$4="Forint",2,3)),0,VLOOKUP($M$4-1+$B558,Paraméterek!$B$121:$D$122,IF($D$4="Forint",2,3))-$V557)</f>
        <v>405291</v>
      </c>
      <c r="O558" s="13">
        <f ca="1">ROUNDUP($N558*Paraméterek!$C$58/Paraméterek!$C$56,IF($D$4="Forint",0,2))</f>
        <v>65</v>
      </c>
      <c r="P558" s="13">
        <f t="shared" si="125"/>
        <v>2020</v>
      </c>
      <c r="Q558" s="33"/>
      <c r="R558" s="13">
        <f t="shared" ca="1" si="126"/>
        <v>0</v>
      </c>
      <c r="S558" s="13">
        <f ca="1">ROUNDUP(($M558-$O558-$P558+$R558)*VLOOKUP($B558,Paraméterek!$B$38:$D$39,IF($D$2="Egyszeri",3,2))/12,IF($D$4="Forint",0,2))</f>
        <v>-971</v>
      </c>
      <c r="T558" s="13"/>
      <c r="U558" s="13"/>
      <c r="V558" s="13">
        <f ca="1">$M558-$O558-$P558+$R558-$S558-IF(ROUNDUP(IF(ISBLANK($U558),$T558,$U558)/IF(AND($B558=1,$D$2&lt;&gt;"Egyszeri"),1,VLOOKUP($B558+IF($C558=12,1,0),Paraméterek!$B$257:$D$267,IF($D$2="Egyszeri",3,2))),IF($D$4="Forint",0,2))&gt;$M558-$O558-$P558+$R558-$S558-IF($D$4="Forint",Paraméterek!$C$216,Paraméterek!$D$216),0,ROUNDUP(IF(ISBLANK($U558),$T558,$U558)/IF(AND($B558=1,$D$2&lt;&gt;"Egyszeri"),1,VLOOKUP($B558+IF($C558=12,1,0),Paraméterek!$B$257:$D$267,IF($D$2="Egyszeri",3,2))),IF($D$4="Forint",0,2)))</f>
        <v>-396405</v>
      </c>
      <c r="W558" s="13">
        <f ca="1">ROUNDDOWN($V558*VLOOKUP($B558+IF($C558=12,1,0),Paraméterek!$B$257:$D$267,IF($D$2="Egyszeri",3,2)),IF($D$4="Forint",0,2))</f>
        <v>-396405</v>
      </c>
      <c r="Y558" s="32">
        <v>539</v>
      </c>
      <c r="Z558" s="32">
        <v>45</v>
      </c>
      <c r="AA558" s="32">
        <v>11</v>
      </c>
      <c r="AB558" s="13">
        <f t="shared" si="131"/>
        <v>0</v>
      </c>
      <c r="AC558" s="33"/>
      <c r="AD558" s="13">
        <f t="shared" si="127"/>
        <v>0</v>
      </c>
      <c r="AE558" s="13">
        <f>ROUNDUP(($AB558+$AD558)*VLOOKUP($Z558,Paraméterek!$P$38:$Q$38,2)/12,IF($D$4="Forint",0,2))</f>
        <v>0</v>
      </c>
      <c r="AF558" s="13">
        <f>IF($D$2="Egyszeri",IF($D$7&gt;=IF($D$4="Forint",Paraméterek!$P$223,Paraméterek!$P$224),$D$7-IF($D$4="Forint",Paraméterek!$F$223,Paraméterek!$F$224),0),MIN(IF($AA558=12,AVERAGE($D$20:$D558)*12,0),SUM($D$20:$D$31)))</f>
        <v>0</v>
      </c>
      <c r="AG558" s="13">
        <f>IF(AND($Z558&gt;=10,MOD($Z558,5)=0),$AF558*IF($AA558=12,VLOOKUP($Z558,Paraméterek!$B$225:$F$240,IF($AF558&lt;IF($D$4="Forint",Paraméterek!$C$223,Paraméterek!$C$224),2,IF($AF558&lt;IF($D$4="Forint",Paraméterek!$D$223,Paraméterek!$D$224),3,4))),0),0)</f>
        <v>0</v>
      </c>
      <c r="AH558" s="13">
        <f>IF(AND($Z558&gt;=5,MOD($Z558,5)=0),IF($AA558=12,VLOOKUP($Z558,Paraméterek!$B$225:$F$240,5),0),IF(OR($Z558=3,$Z558=4),IF($AA558=12,VLOOKUP($Z558,Paraméterek!$B$225:$F$240,5,0),0),0))*$AF558</f>
        <v>0</v>
      </c>
      <c r="AI558" s="13">
        <f>ROUNDDOWN(IF(SUM($T$20:$U558)=0,IF($D$2="Egyszeri",$AH558,$AG558),0),IF($D$4="Forint",0,2))</f>
        <v>0</v>
      </c>
      <c r="AJ558" s="13">
        <f t="shared" si="132"/>
        <v>0</v>
      </c>
      <c r="AK558" s="13">
        <f t="shared" si="133"/>
        <v>0</v>
      </c>
      <c r="AM558" s="32">
        <v>539</v>
      </c>
      <c r="AN558" s="32">
        <v>45</v>
      </c>
      <c r="AO558" s="32">
        <v>11</v>
      </c>
      <c r="AP558" s="13"/>
      <c r="AQ558" s="32"/>
      <c r="AR558" s="13">
        <f t="shared" si="134"/>
        <v>0</v>
      </c>
      <c r="AS558" s="33"/>
      <c r="AT558" s="13">
        <f t="shared" si="128"/>
        <v>0</v>
      </c>
      <c r="AU558" s="13">
        <f>ROUNDUP(($AR558+$AT558)*VLOOKUP($AN558,Paraméterek!$P$38:$Q$38,2)/12,IF($D$4="Forint",0,2))</f>
        <v>0</v>
      </c>
      <c r="AV558" s="13"/>
      <c r="AW558" s="13"/>
      <c r="AX558" s="13">
        <f>ROUNDUP(IF(SUM($AV558:$AW558)=0,0,IF(IF(ISBLANK($AW558),$AV558,$AW558)*Paraméterek!$J$112&lt;IF($D$4="Forint",Paraméterek!$J$113,Paraméterek!$K$113),IF($D$4="Forint",Paraméterek!$J$113,Paraméterek!$K$113),IF(IF(ISBLANK($AW558),$AV558,$AW558)*Paraméterek!$J$112&gt;IF($D$4="Forint",Paraméterek!$J$114,Paraméterek!$K$114),IF($D$4="Forint",Paraméterek!$J$114,Paraméterek!$K$114),IF(ISBLANK($AW558),$AV558,$AW558)*Paraméterek!$J$112))),IF($D$4="Forint",0,2))</f>
        <v>0</v>
      </c>
      <c r="AY558" s="13">
        <f>$AR558+$AT558-$AU558-IF(ROUNDDOWN(IF(ISBLANK($AW558),$AV558,$AW558),IF($D$4="Forint",0,2))&gt;$AR558+$AT558-$AU558-IF($D$4="Forint",Paraméterek!$J$114,Paraméterek!$K$114),0,ROUNDDOWN(IF(ISBLANK($AW558),$AV558,$AW558),IF($D$4="Forint",0,2))-$AX558)</f>
        <v>0</v>
      </c>
      <c r="AZ558" s="13">
        <f t="shared" si="129"/>
        <v>0</v>
      </c>
    </row>
    <row r="559" spans="1:52" x14ac:dyDescent="0.2">
      <c r="A559" s="32">
        <v>540</v>
      </c>
      <c r="B559" s="32">
        <v>45</v>
      </c>
      <c r="C559" s="32">
        <v>12</v>
      </c>
      <c r="D559" s="13">
        <f t="shared" si="120"/>
        <v>0</v>
      </c>
      <c r="E559" s="13"/>
      <c r="F559" s="13"/>
      <c r="G559" s="13"/>
      <c r="H559" s="13">
        <f t="shared" si="121"/>
        <v>0</v>
      </c>
      <c r="I559" s="13">
        <f t="shared" si="122"/>
        <v>0</v>
      </c>
      <c r="J559" s="13">
        <f t="shared" si="123"/>
        <v>0</v>
      </c>
      <c r="K559" s="13">
        <f>ROUNDUP(IF($D$2="Egyszeri",$D559,IF($D$2="Havi",SUM($D$20:$D$31),IF(MOD($C559,$M$1)-1=0,SUM($D$20:$D$31),0))/12*$M$1)*VLOOKUP($B559,Paraméterek!$B$27:$D$30,IF($D$2="Egyszeri",3,2)),IF($D$4="Forint",0,2))</f>
        <v>0</v>
      </c>
      <c r="L559" s="13">
        <f t="shared" si="124"/>
        <v>0</v>
      </c>
      <c r="M559" s="13">
        <f t="shared" ca="1" si="130"/>
        <v>-396405</v>
      </c>
      <c r="N559" s="13">
        <f ca="1">IF($V558&gt;=VLOOKUP($M$4-1+$B559,Paraméterek!$B$121:$D$122,IF($D$4="Forint",2,3)),0,VLOOKUP($M$4-1+$B559,Paraméterek!$B$121:$D$122,IF($D$4="Forint",2,3))-$V558)</f>
        <v>406405</v>
      </c>
      <c r="O559" s="13">
        <f ca="1">ROUNDUP($N559*Paraméterek!$C$58/Paraméterek!$C$56,IF($D$4="Forint",0,2))</f>
        <v>65</v>
      </c>
      <c r="P559" s="13">
        <f t="shared" si="125"/>
        <v>2020</v>
      </c>
      <c r="Q559" s="33"/>
      <c r="R559" s="13">
        <f t="shared" ca="1" si="126"/>
        <v>0</v>
      </c>
      <c r="S559" s="13">
        <f ca="1">ROUNDUP(($M559-$O559-$P559+$R559)*VLOOKUP($B559,Paraméterek!$B$38:$D$39,IF($D$2="Egyszeri",3,2))/12,IF($D$4="Forint",0,2))</f>
        <v>-973</v>
      </c>
      <c r="T559" s="13">
        <f>Tranzakciók!$F$76</f>
        <v>0</v>
      </c>
      <c r="U559" s="13"/>
      <c r="V559" s="13">
        <f ca="1">$M559-$O559-$P559+$R559-$S559-IF(ROUNDUP(IF(ISBLANK($U559),$T559,$U559)/IF(AND($B559=1,$D$2&lt;&gt;"Egyszeri"),1,VLOOKUP($B559+IF($C559=12,1,0),Paraméterek!$B$257:$D$267,IF($D$2="Egyszeri",3,2))),IF($D$4="Forint",0,2))&gt;$M559-$O559-$P559+$R559-$S559-IF($D$4="Forint",Paraméterek!$C$216,Paraméterek!$D$216),0,ROUNDUP(IF(ISBLANK($U559),$T559,$U559)/IF(AND($B559=1,$D$2&lt;&gt;"Egyszeri"),1,VLOOKUP($B559+IF($C559=12,1,0),Paraméterek!$B$257:$D$267,IF($D$2="Egyszeri",3,2))),IF($D$4="Forint",0,2)))</f>
        <v>-397517</v>
      </c>
      <c r="W559" s="13">
        <f ca="1">ROUNDDOWN($V559*VLOOKUP($B559+IF($C559=12,1,0),Paraméterek!$B$257:$D$267,IF($D$2="Egyszeri",3,2)),IF($D$4="Forint",0,2))</f>
        <v>-397517</v>
      </c>
      <c r="Y559" s="32">
        <v>540</v>
      </c>
      <c r="Z559" s="32">
        <v>45</v>
      </c>
      <c r="AA559" s="32">
        <v>12</v>
      </c>
      <c r="AB559" s="13">
        <f t="shared" si="131"/>
        <v>0</v>
      </c>
      <c r="AC559" s="33"/>
      <c r="AD559" s="13">
        <f t="shared" si="127"/>
        <v>0</v>
      </c>
      <c r="AE559" s="13">
        <f>ROUNDUP(($AB559+$AD559)*VLOOKUP($Z559,Paraméterek!$P$38:$Q$38,2)/12,IF($D$4="Forint",0,2))</f>
        <v>0</v>
      </c>
      <c r="AF559" s="13">
        <f>IF($D$2="Egyszeri",IF($D$7&gt;=IF($D$4="Forint",Paraméterek!$P$223,Paraméterek!$P$224),$D$7-IF($D$4="Forint",Paraméterek!$F$223,Paraméterek!$F$224),0),MIN(IF($AA559=12,AVERAGE($D$20:$D559)*12,0),SUM($D$20:$D$31)))</f>
        <v>0</v>
      </c>
      <c r="AG559" s="13">
        <f>IF(AND($Z559&gt;=10,MOD($Z559,5)=0),$AF559*IF($AA559=12,VLOOKUP($Z559,Paraméterek!$B$225:$F$240,IF($AF559&lt;IF($D$4="Forint",Paraméterek!$C$223,Paraméterek!$C$224),2,IF($AF559&lt;IF($D$4="Forint",Paraméterek!$D$223,Paraméterek!$D$224),3,4))),0),0)</f>
        <v>0</v>
      </c>
      <c r="AH559" s="13">
        <f>IF(AND($Z559&gt;=5,MOD($Z559,5)=0),IF($AA559=12,VLOOKUP($Z559,Paraméterek!$B$225:$F$240,5),0),IF(OR($Z559=3,$Z559=4),IF($AA559=12,VLOOKUP($Z559,Paraméterek!$B$225:$F$240,5,0),0),0))*$AF559</f>
        <v>0</v>
      </c>
      <c r="AI559" s="13">
        <f>ROUNDDOWN(IF(SUM($T$20:$U559)=0,IF($D$2="Egyszeri",$AH559,$AG559),0),IF($D$4="Forint",0,2))</f>
        <v>0</v>
      </c>
      <c r="AJ559" s="13">
        <f t="shared" si="132"/>
        <v>0</v>
      </c>
      <c r="AK559" s="13">
        <f t="shared" si="133"/>
        <v>0</v>
      </c>
      <c r="AM559" s="32">
        <v>540</v>
      </c>
      <c r="AN559" s="32">
        <v>45</v>
      </c>
      <c r="AO559" s="32">
        <v>12</v>
      </c>
      <c r="AP559" s="13"/>
      <c r="AQ559" s="32"/>
      <c r="AR559" s="13">
        <f t="shared" si="134"/>
        <v>0</v>
      </c>
      <c r="AS559" s="33"/>
      <c r="AT559" s="13">
        <f t="shared" si="128"/>
        <v>0</v>
      </c>
      <c r="AU559" s="13">
        <f>ROUNDUP(($AR559+$AT559)*VLOOKUP($AN559,Paraméterek!$P$38:$Q$38,2)/12,IF($D$4="Forint",0,2))</f>
        <v>0</v>
      </c>
      <c r="AV559" s="13">
        <f>Tranzakciók!$M$76</f>
        <v>0</v>
      </c>
      <c r="AW559" s="13"/>
      <c r="AX559" s="13">
        <f>ROUNDUP(IF(SUM($AV559:$AW559)=0,0,IF(IF(ISBLANK($AW559),$AV559,$AW559)*Paraméterek!$J$112&lt;IF($D$4="Forint",Paraméterek!$J$113,Paraméterek!$K$113),IF($D$4="Forint",Paraméterek!$J$113,Paraméterek!$K$113),IF(IF(ISBLANK($AW559),$AV559,$AW559)*Paraméterek!$J$112&gt;IF($D$4="Forint",Paraméterek!$J$114,Paraméterek!$K$114),IF($D$4="Forint",Paraméterek!$J$114,Paraméterek!$K$114),IF(ISBLANK($AW559),$AV559,$AW559)*Paraméterek!$J$112))),IF($D$4="Forint",0,2))</f>
        <v>0</v>
      </c>
      <c r="AY559" s="13">
        <f>$AR559+$AT559-$AU559-IF(ROUNDDOWN(IF(ISBLANK($AW559),$AV559,$AW559),IF($D$4="Forint",0,2))&gt;$AR559+$AT559-$AU559-IF($D$4="Forint",Paraméterek!$J$114,Paraméterek!$K$114),0,ROUNDDOWN(IF(ISBLANK($AW559),$AV559,$AW559),IF($D$4="Forint",0,2))-$AX559)</f>
        <v>0</v>
      </c>
      <c r="AZ559" s="13">
        <f t="shared" si="129"/>
        <v>0</v>
      </c>
    </row>
    <row r="560" spans="1:52" x14ac:dyDescent="0.2">
      <c r="A560" s="32">
        <v>541</v>
      </c>
      <c r="B560" s="32">
        <v>46</v>
      </c>
      <c r="C560" s="32">
        <v>1</v>
      </c>
      <c r="D560" s="13">
        <f t="shared" si="120"/>
        <v>0</v>
      </c>
      <c r="E560" s="13"/>
      <c r="F560" s="13">
        <f>Tranzakciók!$D$77</f>
        <v>0</v>
      </c>
      <c r="G560" s="13"/>
      <c r="H560" s="13">
        <f t="shared" si="121"/>
        <v>0</v>
      </c>
      <c r="I560" s="13">
        <f t="shared" si="122"/>
        <v>379</v>
      </c>
      <c r="J560" s="13">
        <f t="shared" si="123"/>
        <v>379</v>
      </c>
      <c r="K560" s="13">
        <f>ROUNDUP(IF($D$2="Egyszeri",$D560,IF($D$2="Havi",SUM($D$20:$D$31),IF(MOD($C560,$M$1)-1=0,SUM($D$20:$D$31),0))/12*$M$1)*VLOOKUP($B560,Paraméterek!$B$27:$D$30,IF($D$2="Egyszeri",3,2)),IF($D$4="Forint",0,2))</f>
        <v>0</v>
      </c>
      <c r="L560" s="13">
        <f t="shared" si="124"/>
        <v>0</v>
      </c>
      <c r="M560" s="13">
        <f t="shared" ca="1" si="130"/>
        <v>-397517</v>
      </c>
      <c r="N560" s="13">
        <f ca="1">IF($V559&gt;=VLOOKUP($M$4-1+$B560,Paraméterek!$B$121:$D$122,IF($D$4="Forint",2,3)),0,VLOOKUP($M$4-1+$B560,Paraméterek!$B$121:$D$122,IF($D$4="Forint",2,3))-$V559)</f>
        <v>407517</v>
      </c>
      <c r="O560" s="13">
        <f ca="1">ROUNDUP($N560*Paraméterek!$C$58/Paraméterek!$C$56,IF($D$4="Forint",0,2))</f>
        <v>65</v>
      </c>
      <c r="P560" s="13">
        <f t="shared" si="125"/>
        <v>2080</v>
      </c>
      <c r="Q560" s="33"/>
      <c r="R560" s="13">
        <f t="shared" ca="1" si="126"/>
        <v>0</v>
      </c>
      <c r="S560" s="13">
        <f ca="1">ROUNDUP(($M560-$O560-$P560+$R560)*VLOOKUP($B560,Paraméterek!$B$38:$D$39,IF($D$2="Egyszeri",3,2))/12,IF($D$4="Forint",0,2))</f>
        <v>-976</v>
      </c>
      <c r="T560" s="13"/>
      <c r="U560" s="13"/>
      <c r="V560" s="13">
        <f ca="1">$M560-$O560-$P560+$R560-$S560-IF(ROUNDUP(IF(ISBLANK($U560),$T560,$U560)/IF(AND($B560=1,$D$2&lt;&gt;"Egyszeri"),1,VLOOKUP($B560+IF($C560=12,1,0),Paraméterek!$B$257:$D$267,IF($D$2="Egyszeri",3,2))),IF($D$4="Forint",0,2))&gt;$M560-$O560-$P560+$R560-$S560-IF($D$4="Forint",Paraméterek!$C$216,Paraméterek!$D$216),0,ROUNDUP(IF(ISBLANK($U560),$T560,$U560)/IF(AND($B560=1,$D$2&lt;&gt;"Egyszeri"),1,VLOOKUP($B560+IF($C560=12,1,0),Paraméterek!$B$257:$D$267,IF($D$2="Egyszeri",3,2))),IF($D$4="Forint",0,2)))</f>
        <v>-398686</v>
      </c>
      <c r="W560" s="13">
        <f ca="1">ROUNDDOWN($V560*VLOOKUP($B560+IF($C560=12,1,0),Paraméterek!$B$257:$D$267,IF($D$2="Egyszeri",3,2)),IF($D$4="Forint",0,2))</f>
        <v>-398686</v>
      </c>
      <c r="Y560" s="32">
        <v>541</v>
      </c>
      <c r="Z560" s="32">
        <v>46</v>
      </c>
      <c r="AA560" s="32">
        <v>1</v>
      </c>
      <c r="AB560" s="13">
        <f t="shared" si="131"/>
        <v>0</v>
      </c>
      <c r="AC560" s="33"/>
      <c r="AD560" s="13">
        <f t="shared" si="127"/>
        <v>0</v>
      </c>
      <c r="AE560" s="13">
        <f>ROUNDUP(($AB560+$AD560)*VLOOKUP($Z560,Paraméterek!$P$38:$Q$38,2)/12,IF($D$4="Forint",0,2))</f>
        <v>0</v>
      </c>
      <c r="AF560" s="13">
        <f>IF($D$2="Egyszeri",IF($D$7&gt;=IF($D$4="Forint",Paraméterek!$P$223,Paraméterek!$P$224),$D$7-IF($D$4="Forint",Paraméterek!$F$223,Paraméterek!$F$224),0),MIN(IF($AA560=12,AVERAGE($D$20:$D560)*12,0),SUM($D$20:$D$31)))</f>
        <v>0</v>
      </c>
      <c r="AG560" s="13">
        <f>IF(AND($Z560&gt;=10,MOD($Z560,5)=0),$AF560*IF($AA560=12,VLOOKUP($Z560,Paraméterek!$B$225:$F$240,IF($AF560&lt;IF($D$4="Forint",Paraméterek!$C$223,Paraméterek!$C$224),2,IF($AF560&lt;IF($D$4="Forint",Paraméterek!$D$223,Paraméterek!$D$224),3,4))),0),0)</f>
        <v>0</v>
      </c>
      <c r="AH560" s="13">
        <f>IF(AND($Z560&gt;=5,MOD($Z560,5)=0),IF($AA560=12,VLOOKUP($Z560,Paraméterek!$B$225:$F$240,5),0),IF(OR($Z560=3,$Z560=4),IF($AA560=12,VLOOKUP($Z560,Paraméterek!$B$225:$F$240,5,0),0),0))*$AF560</f>
        <v>0</v>
      </c>
      <c r="AI560" s="13">
        <f>ROUNDDOWN(IF(SUM($T$20:$U560)=0,IF($D$2="Egyszeri",$AH560,$AG560),0),IF($D$4="Forint",0,2))</f>
        <v>0</v>
      </c>
      <c r="AJ560" s="13">
        <f t="shared" si="132"/>
        <v>0</v>
      </c>
      <c r="AK560" s="13">
        <f t="shared" si="133"/>
        <v>0</v>
      </c>
      <c r="AM560" s="32">
        <v>541</v>
      </c>
      <c r="AN560" s="32">
        <v>46</v>
      </c>
      <c r="AO560" s="32">
        <v>1</v>
      </c>
      <c r="AP560" s="13">
        <f>Tranzakciók!$K$77</f>
        <v>0</v>
      </c>
      <c r="AQ560" s="32"/>
      <c r="AR560" s="13">
        <f t="shared" si="134"/>
        <v>0</v>
      </c>
      <c r="AS560" s="33"/>
      <c r="AT560" s="13">
        <f t="shared" si="128"/>
        <v>0</v>
      </c>
      <c r="AU560" s="13">
        <f>ROUNDUP(($AR560+$AT560)*VLOOKUP($AN560,Paraméterek!$P$38:$Q$38,2)/12,IF($D$4="Forint",0,2))</f>
        <v>0</v>
      </c>
      <c r="AV560" s="13"/>
      <c r="AW560" s="13"/>
      <c r="AX560" s="13">
        <f>ROUNDUP(IF(SUM($AV560:$AW560)=0,0,IF(IF(ISBLANK($AW560),$AV560,$AW560)*Paraméterek!$J$112&lt;IF($D$4="Forint",Paraméterek!$J$113,Paraméterek!$K$113),IF($D$4="Forint",Paraméterek!$J$113,Paraméterek!$K$113),IF(IF(ISBLANK($AW560),$AV560,$AW560)*Paraméterek!$J$112&gt;IF($D$4="Forint",Paraméterek!$J$114,Paraméterek!$K$114),IF($D$4="Forint",Paraméterek!$J$114,Paraméterek!$K$114),IF(ISBLANK($AW560),$AV560,$AW560)*Paraméterek!$J$112))),IF($D$4="Forint",0,2))</f>
        <v>0</v>
      </c>
      <c r="AY560" s="13">
        <f>$AR560+$AT560-$AU560-IF(ROUNDDOWN(IF(ISBLANK($AW560),$AV560,$AW560),IF($D$4="Forint",0,2))&gt;$AR560+$AT560-$AU560-IF($D$4="Forint",Paraméterek!$J$114,Paraméterek!$K$114),0,ROUNDDOWN(IF(ISBLANK($AW560),$AV560,$AW560),IF($D$4="Forint",0,2))-$AX560)</f>
        <v>0</v>
      </c>
      <c r="AZ560" s="13">
        <f t="shared" si="129"/>
        <v>0</v>
      </c>
    </row>
    <row r="561" spans="1:52" x14ac:dyDescent="0.2">
      <c r="A561" s="32">
        <v>542</v>
      </c>
      <c r="B561" s="32">
        <v>46</v>
      </c>
      <c r="C561" s="32">
        <v>2</v>
      </c>
      <c r="D561" s="13">
        <f t="shared" si="120"/>
        <v>0</v>
      </c>
      <c r="E561" s="13"/>
      <c r="F561" s="13"/>
      <c r="G561" s="13"/>
      <c r="H561" s="13">
        <f t="shared" si="121"/>
        <v>0</v>
      </c>
      <c r="I561" s="13">
        <f t="shared" si="122"/>
        <v>0</v>
      </c>
      <c r="J561" s="13">
        <f t="shared" si="123"/>
        <v>0</v>
      </c>
      <c r="K561" s="13">
        <f>ROUNDUP(IF($D$2="Egyszeri",$D561,IF($D$2="Havi",SUM($D$20:$D$31),IF(MOD($C561,$M$1)-1=0,SUM($D$20:$D$31),0))/12*$M$1)*VLOOKUP($B561,Paraméterek!$B$27:$D$30,IF($D$2="Egyszeri",3,2)),IF($D$4="Forint",0,2))</f>
        <v>0</v>
      </c>
      <c r="L561" s="13">
        <f t="shared" si="124"/>
        <v>0</v>
      </c>
      <c r="M561" s="13">
        <f t="shared" ca="1" si="130"/>
        <v>-398686</v>
      </c>
      <c r="N561" s="13">
        <f ca="1">IF($V560&gt;=VLOOKUP($M$4-1+$B561,Paraméterek!$B$121:$D$122,IF($D$4="Forint",2,3)),0,VLOOKUP($M$4-1+$B561,Paraméterek!$B$121:$D$122,IF($D$4="Forint",2,3))-$V560)</f>
        <v>408686</v>
      </c>
      <c r="O561" s="13">
        <f ca="1">ROUNDUP($N561*Paraméterek!$C$58/Paraméterek!$C$56,IF($D$4="Forint",0,2))</f>
        <v>66</v>
      </c>
      <c r="P561" s="13">
        <f t="shared" si="125"/>
        <v>2080</v>
      </c>
      <c r="Q561" s="33"/>
      <c r="R561" s="13">
        <f t="shared" ca="1" si="126"/>
        <v>0</v>
      </c>
      <c r="S561" s="13">
        <f ca="1">ROUNDUP(($M561-$O561-$P561+$R561)*VLOOKUP($B561,Paraméterek!$B$38:$D$39,IF($D$2="Egyszeri",3,2))/12,IF($D$4="Forint",0,2))</f>
        <v>-979</v>
      </c>
      <c r="T561" s="13"/>
      <c r="U561" s="13"/>
      <c r="V561" s="13">
        <f ca="1">$M561-$O561-$P561+$R561-$S561-IF(ROUNDUP(IF(ISBLANK($U561),$T561,$U561)/IF(AND($B561=1,$D$2&lt;&gt;"Egyszeri"),1,VLOOKUP($B561+IF($C561=12,1,0),Paraméterek!$B$257:$D$267,IF($D$2="Egyszeri",3,2))),IF($D$4="Forint",0,2))&gt;$M561-$O561-$P561+$R561-$S561-IF($D$4="Forint",Paraméterek!$C$216,Paraméterek!$D$216),0,ROUNDUP(IF(ISBLANK($U561),$T561,$U561)/IF(AND($B561=1,$D$2&lt;&gt;"Egyszeri"),1,VLOOKUP($B561+IF($C561=12,1,0),Paraméterek!$B$257:$D$267,IF($D$2="Egyszeri",3,2))),IF($D$4="Forint",0,2)))</f>
        <v>-399853</v>
      </c>
      <c r="W561" s="13">
        <f ca="1">ROUNDDOWN($V561*VLOOKUP($B561+IF($C561=12,1,0),Paraméterek!$B$257:$D$267,IF($D$2="Egyszeri",3,2)),IF($D$4="Forint",0,2))</f>
        <v>-399853</v>
      </c>
      <c r="Y561" s="32">
        <v>542</v>
      </c>
      <c r="Z561" s="32">
        <v>46</v>
      </c>
      <c r="AA561" s="32">
        <v>2</v>
      </c>
      <c r="AB561" s="13">
        <f t="shared" si="131"/>
        <v>0</v>
      </c>
      <c r="AC561" s="33"/>
      <c r="AD561" s="13">
        <f t="shared" si="127"/>
        <v>0</v>
      </c>
      <c r="AE561" s="13">
        <f>ROUNDUP(($AB561+$AD561)*VLOOKUP($Z561,Paraméterek!$P$38:$Q$38,2)/12,IF($D$4="Forint",0,2))</f>
        <v>0</v>
      </c>
      <c r="AF561" s="13">
        <f>IF($D$2="Egyszeri",IF($D$7&gt;=IF($D$4="Forint",Paraméterek!$P$223,Paraméterek!$P$224),$D$7-IF($D$4="Forint",Paraméterek!$F$223,Paraméterek!$F$224),0),MIN(IF($AA561=12,AVERAGE($D$20:$D561)*12,0),SUM($D$20:$D$31)))</f>
        <v>0</v>
      </c>
      <c r="AG561" s="13">
        <f>IF(AND($Z561&gt;=10,MOD($Z561,5)=0),$AF561*IF($AA561=12,VLOOKUP($Z561,Paraméterek!$B$225:$F$240,IF($AF561&lt;IF($D$4="Forint",Paraméterek!$C$223,Paraméterek!$C$224),2,IF($AF561&lt;IF($D$4="Forint",Paraméterek!$D$223,Paraméterek!$D$224),3,4))),0),0)</f>
        <v>0</v>
      </c>
      <c r="AH561" s="13">
        <f>IF(AND($Z561&gt;=5,MOD($Z561,5)=0),IF($AA561=12,VLOOKUP($Z561,Paraméterek!$B$225:$F$240,5),0),IF(OR($Z561=3,$Z561=4),IF($AA561=12,VLOOKUP($Z561,Paraméterek!$B$225:$F$240,5,0),0),0))*$AF561</f>
        <v>0</v>
      </c>
      <c r="AI561" s="13">
        <f>ROUNDDOWN(IF(SUM($T$20:$U561)=0,IF($D$2="Egyszeri",$AH561,$AG561),0),IF($D$4="Forint",0,2))</f>
        <v>0</v>
      </c>
      <c r="AJ561" s="13">
        <f t="shared" si="132"/>
        <v>0</v>
      </c>
      <c r="AK561" s="13">
        <f t="shared" si="133"/>
        <v>0</v>
      </c>
      <c r="AM561" s="32">
        <v>542</v>
      </c>
      <c r="AN561" s="32">
        <v>46</v>
      </c>
      <c r="AO561" s="32">
        <v>2</v>
      </c>
      <c r="AP561" s="13"/>
      <c r="AQ561" s="32"/>
      <c r="AR561" s="13">
        <f t="shared" si="134"/>
        <v>0</v>
      </c>
      <c r="AS561" s="33"/>
      <c r="AT561" s="13">
        <f t="shared" si="128"/>
        <v>0</v>
      </c>
      <c r="AU561" s="13">
        <f>ROUNDUP(($AR561+$AT561)*VLOOKUP($AN561,Paraméterek!$P$38:$Q$38,2)/12,IF($D$4="Forint",0,2))</f>
        <v>0</v>
      </c>
      <c r="AV561" s="13"/>
      <c r="AW561" s="13"/>
      <c r="AX561" s="13">
        <f>ROUNDUP(IF(SUM($AV561:$AW561)=0,0,IF(IF(ISBLANK($AW561),$AV561,$AW561)*Paraméterek!$J$112&lt;IF($D$4="Forint",Paraméterek!$J$113,Paraméterek!$K$113),IF($D$4="Forint",Paraméterek!$J$113,Paraméterek!$K$113),IF(IF(ISBLANK($AW561),$AV561,$AW561)*Paraméterek!$J$112&gt;IF($D$4="Forint",Paraméterek!$J$114,Paraméterek!$K$114),IF($D$4="Forint",Paraméterek!$J$114,Paraméterek!$K$114),IF(ISBLANK($AW561),$AV561,$AW561)*Paraméterek!$J$112))),IF($D$4="Forint",0,2))</f>
        <v>0</v>
      </c>
      <c r="AY561" s="13">
        <f>$AR561+$AT561-$AU561-IF(ROUNDDOWN(IF(ISBLANK($AW561),$AV561,$AW561),IF($D$4="Forint",0,2))&gt;$AR561+$AT561-$AU561-IF($D$4="Forint",Paraméterek!$J$114,Paraméterek!$K$114),0,ROUNDDOWN(IF(ISBLANK($AW561),$AV561,$AW561),IF($D$4="Forint",0,2))-$AX561)</f>
        <v>0</v>
      </c>
      <c r="AZ561" s="13">
        <f t="shared" si="129"/>
        <v>0</v>
      </c>
    </row>
    <row r="562" spans="1:52" x14ac:dyDescent="0.2">
      <c r="A562" s="32">
        <v>543</v>
      </c>
      <c r="B562" s="32">
        <v>46</v>
      </c>
      <c r="C562" s="32">
        <v>3</v>
      </c>
      <c r="D562" s="13">
        <f t="shared" si="120"/>
        <v>0</v>
      </c>
      <c r="E562" s="13"/>
      <c r="F562" s="13"/>
      <c r="G562" s="13"/>
      <c r="H562" s="13">
        <f t="shared" si="121"/>
        <v>0</v>
      </c>
      <c r="I562" s="13">
        <f t="shared" si="122"/>
        <v>0</v>
      </c>
      <c r="J562" s="13">
        <f t="shared" si="123"/>
        <v>0</v>
      </c>
      <c r="K562" s="13">
        <f>ROUNDUP(IF($D$2="Egyszeri",$D562,IF($D$2="Havi",SUM($D$20:$D$31),IF(MOD($C562,$M$1)-1=0,SUM($D$20:$D$31),0))/12*$M$1)*VLOOKUP($B562,Paraméterek!$B$27:$D$30,IF($D$2="Egyszeri",3,2)),IF($D$4="Forint",0,2))</f>
        <v>0</v>
      </c>
      <c r="L562" s="13">
        <f t="shared" si="124"/>
        <v>0</v>
      </c>
      <c r="M562" s="13">
        <f t="shared" ca="1" si="130"/>
        <v>-399853</v>
      </c>
      <c r="N562" s="13">
        <f ca="1">IF($V561&gt;=VLOOKUP($M$4-1+$B562,Paraméterek!$B$121:$D$122,IF($D$4="Forint",2,3)),0,VLOOKUP($M$4-1+$B562,Paraméterek!$B$121:$D$122,IF($D$4="Forint",2,3))-$V561)</f>
        <v>409853</v>
      </c>
      <c r="O562" s="13">
        <f ca="1">ROUNDUP($N562*Paraméterek!$C$58/Paraméterek!$C$56,IF($D$4="Forint",0,2))</f>
        <v>66</v>
      </c>
      <c r="P562" s="13">
        <f t="shared" si="125"/>
        <v>2080</v>
      </c>
      <c r="Q562" s="33"/>
      <c r="R562" s="13">
        <f t="shared" ca="1" si="126"/>
        <v>0</v>
      </c>
      <c r="S562" s="13">
        <f ca="1">ROUNDUP(($M562-$O562-$P562+$R562)*VLOOKUP($B562,Paraméterek!$B$38:$D$39,IF($D$2="Egyszeri",3,2))/12,IF($D$4="Forint",0,2))</f>
        <v>-982</v>
      </c>
      <c r="T562" s="13"/>
      <c r="U562" s="13"/>
      <c r="V562" s="13">
        <f ca="1">$M562-$O562-$P562+$R562-$S562-IF(ROUNDUP(IF(ISBLANK($U562),$T562,$U562)/IF(AND($B562=1,$D$2&lt;&gt;"Egyszeri"),1,VLOOKUP($B562+IF($C562=12,1,0),Paraméterek!$B$257:$D$267,IF($D$2="Egyszeri",3,2))),IF($D$4="Forint",0,2))&gt;$M562-$O562-$P562+$R562-$S562-IF($D$4="Forint",Paraméterek!$C$216,Paraméterek!$D$216),0,ROUNDUP(IF(ISBLANK($U562),$T562,$U562)/IF(AND($B562=1,$D$2&lt;&gt;"Egyszeri"),1,VLOOKUP($B562+IF($C562=12,1,0),Paraméterek!$B$257:$D$267,IF($D$2="Egyszeri",3,2))),IF($D$4="Forint",0,2)))</f>
        <v>-401017</v>
      </c>
      <c r="W562" s="13">
        <f ca="1">ROUNDDOWN($V562*VLOOKUP($B562+IF($C562=12,1,0),Paraméterek!$B$257:$D$267,IF($D$2="Egyszeri",3,2)),IF($D$4="Forint",0,2))</f>
        <v>-401017</v>
      </c>
      <c r="Y562" s="32">
        <v>543</v>
      </c>
      <c r="Z562" s="32">
        <v>46</v>
      </c>
      <c r="AA562" s="32">
        <v>3</v>
      </c>
      <c r="AB562" s="13">
        <f t="shared" si="131"/>
        <v>0</v>
      </c>
      <c r="AC562" s="33"/>
      <c r="AD562" s="13">
        <f t="shared" si="127"/>
        <v>0</v>
      </c>
      <c r="AE562" s="13">
        <f>ROUNDUP(($AB562+$AD562)*VLOOKUP($Z562,Paraméterek!$P$38:$Q$38,2)/12,IF($D$4="Forint",0,2))</f>
        <v>0</v>
      </c>
      <c r="AF562" s="13">
        <f>IF($D$2="Egyszeri",IF($D$7&gt;=IF($D$4="Forint",Paraméterek!$P$223,Paraméterek!$P$224),$D$7-IF($D$4="Forint",Paraméterek!$F$223,Paraméterek!$F$224),0),MIN(IF($AA562=12,AVERAGE($D$20:$D562)*12,0),SUM($D$20:$D$31)))</f>
        <v>0</v>
      </c>
      <c r="AG562" s="13">
        <f>IF(AND($Z562&gt;=10,MOD($Z562,5)=0),$AF562*IF($AA562=12,VLOOKUP($Z562,Paraméterek!$B$225:$F$240,IF($AF562&lt;IF($D$4="Forint",Paraméterek!$C$223,Paraméterek!$C$224),2,IF($AF562&lt;IF($D$4="Forint",Paraméterek!$D$223,Paraméterek!$D$224),3,4))),0),0)</f>
        <v>0</v>
      </c>
      <c r="AH562" s="13">
        <f>IF(AND($Z562&gt;=5,MOD($Z562,5)=0),IF($AA562=12,VLOOKUP($Z562,Paraméterek!$B$225:$F$240,5),0),IF(OR($Z562=3,$Z562=4),IF($AA562=12,VLOOKUP($Z562,Paraméterek!$B$225:$F$240,5,0),0),0))*$AF562</f>
        <v>0</v>
      </c>
      <c r="AI562" s="13">
        <f>ROUNDDOWN(IF(SUM($T$20:$U562)=0,IF($D$2="Egyszeri",$AH562,$AG562),0),IF($D$4="Forint",0,2))</f>
        <v>0</v>
      </c>
      <c r="AJ562" s="13">
        <f t="shared" si="132"/>
        <v>0</v>
      </c>
      <c r="AK562" s="13">
        <f t="shared" si="133"/>
        <v>0</v>
      </c>
      <c r="AM562" s="32">
        <v>543</v>
      </c>
      <c r="AN562" s="32">
        <v>46</v>
      </c>
      <c r="AO562" s="32">
        <v>3</v>
      </c>
      <c r="AP562" s="13"/>
      <c r="AQ562" s="32"/>
      <c r="AR562" s="13">
        <f t="shared" si="134"/>
        <v>0</v>
      </c>
      <c r="AS562" s="33"/>
      <c r="AT562" s="13">
        <f t="shared" si="128"/>
        <v>0</v>
      </c>
      <c r="AU562" s="13">
        <f>ROUNDUP(($AR562+$AT562)*VLOOKUP($AN562,Paraméterek!$P$38:$Q$38,2)/12,IF($D$4="Forint",0,2))</f>
        <v>0</v>
      </c>
      <c r="AV562" s="13"/>
      <c r="AW562" s="13"/>
      <c r="AX562" s="13">
        <f>ROUNDUP(IF(SUM($AV562:$AW562)=0,0,IF(IF(ISBLANK($AW562),$AV562,$AW562)*Paraméterek!$J$112&lt;IF($D$4="Forint",Paraméterek!$J$113,Paraméterek!$K$113),IF($D$4="Forint",Paraméterek!$J$113,Paraméterek!$K$113),IF(IF(ISBLANK($AW562),$AV562,$AW562)*Paraméterek!$J$112&gt;IF($D$4="Forint",Paraméterek!$J$114,Paraméterek!$K$114),IF($D$4="Forint",Paraméterek!$J$114,Paraméterek!$K$114),IF(ISBLANK($AW562),$AV562,$AW562)*Paraméterek!$J$112))),IF($D$4="Forint",0,2))</f>
        <v>0</v>
      </c>
      <c r="AY562" s="13">
        <f>$AR562+$AT562-$AU562-IF(ROUNDDOWN(IF(ISBLANK($AW562),$AV562,$AW562),IF($D$4="Forint",0,2))&gt;$AR562+$AT562-$AU562-IF($D$4="Forint",Paraméterek!$J$114,Paraméterek!$K$114),0,ROUNDDOWN(IF(ISBLANK($AW562),$AV562,$AW562),IF($D$4="Forint",0,2))-$AX562)</f>
        <v>0</v>
      </c>
      <c r="AZ562" s="13">
        <f t="shared" si="129"/>
        <v>0</v>
      </c>
    </row>
    <row r="563" spans="1:52" x14ac:dyDescent="0.2">
      <c r="A563" s="32">
        <v>544</v>
      </c>
      <c r="B563" s="32">
        <v>46</v>
      </c>
      <c r="C563" s="32">
        <v>4</v>
      </c>
      <c r="D563" s="13">
        <f t="shared" si="120"/>
        <v>0</v>
      </c>
      <c r="E563" s="13"/>
      <c r="F563" s="13"/>
      <c r="G563" s="13"/>
      <c r="H563" s="13">
        <f t="shared" si="121"/>
        <v>0</v>
      </c>
      <c r="I563" s="13">
        <f t="shared" si="122"/>
        <v>0</v>
      </c>
      <c r="J563" s="13">
        <f t="shared" si="123"/>
        <v>0</v>
      </c>
      <c r="K563" s="13">
        <f>ROUNDUP(IF($D$2="Egyszeri",$D563,IF($D$2="Havi",SUM($D$20:$D$31),IF(MOD($C563,$M$1)-1=0,SUM($D$20:$D$31),0))/12*$M$1)*VLOOKUP($B563,Paraméterek!$B$27:$D$30,IF($D$2="Egyszeri",3,2)),IF($D$4="Forint",0,2))</f>
        <v>0</v>
      </c>
      <c r="L563" s="13">
        <f t="shared" si="124"/>
        <v>0</v>
      </c>
      <c r="M563" s="13">
        <f t="shared" ca="1" si="130"/>
        <v>-401017</v>
      </c>
      <c r="N563" s="13">
        <f ca="1">IF($V562&gt;=VLOOKUP($M$4-1+$B563,Paraméterek!$B$121:$D$122,IF($D$4="Forint",2,3)),0,VLOOKUP($M$4-1+$B563,Paraméterek!$B$121:$D$122,IF($D$4="Forint",2,3))-$V562)</f>
        <v>411017</v>
      </c>
      <c r="O563" s="13">
        <f ca="1">ROUNDUP($N563*Paraméterek!$C$58/Paraméterek!$C$56,IF($D$4="Forint",0,2))</f>
        <v>66</v>
      </c>
      <c r="P563" s="13">
        <f t="shared" si="125"/>
        <v>2080</v>
      </c>
      <c r="Q563" s="33"/>
      <c r="R563" s="13">
        <f t="shared" ca="1" si="126"/>
        <v>0</v>
      </c>
      <c r="S563" s="13">
        <f ca="1">ROUNDUP(($M563-$O563-$P563+$R563)*VLOOKUP($B563,Paraméterek!$B$38:$D$39,IF($D$2="Egyszeri",3,2))/12,IF($D$4="Forint",0,2))</f>
        <v>-985</v>
      </c>
      <c r="T563" s="13"/>
      <c r="U563" s="13"/>
      <c r="V563" s="13">
        <f ca="1">$M563-$O563-$P563+$R563-$S563-IF(ROUNDUP(IF(ISBLANK($U563),$T563,$U563)/IF(AND($B563=1,$D$2&lt;&gt;"Egyszeri"),1,VLOOKUP($B563+IF($C563=12,1,0),Paraméterek!$B$257:$D$267,IF($D$2="Egyszeri",3,2))),IF($D$4="Forint",0,2))&gt;$M563-$O563-$P563+$R563-$S563-IF($D$4="Forint",Paraméterek!$C$216,Paraméterek!$D$216),0,ROUNDUP(IF(ISBLANK($U563),$T563,$U563)/IF(AND($B563=1,$D$2&lt;&gt;"Egyszeri"),1,VLOOKUP($B563+IF($C563=12,1,0),Paraméterek!$B$257:$D$267,IF($D$2="Egyszeri",3,2))),IF($D$4="Forint",0,2)))</f>
        <v>-402178</v>
      </c>
      <c r="W563" s="13">
        <f ca="1">ROUNDDOWN($V563*VLOOKUP($B563+IF($C563=12,1,0),Paraméterek!$B$257:$D$267,IF($D$2="Egyszeri",3,2)),IF($D$4="Forint",0,2))</f>
        <v>-402178</v>
      </c>
      <c r="Y563" s="32">
        <v>544</v>
      </c>
      <c r="Z563" s="32">
        <v>46</v>
      </c>
      <c r="AA563" s="32">
        <v>4</v>
      </c>
      <c r="AB563" s="13">
        <f t="shared" si="131"/>
        <v>0</v>
      </c>
      <c r="AC563" s="33"/>
      <c r="AD563" s="13">
        <f t="shared" si="127"/>
        <v>0</v>
      </c>
      <c r="AE563" s="13">
        <f>ROUNDUP(($AB563+$AD563)*VLOOKUP($Z563,Paraméterek!$P$38:$Q$38,2)/12,IF($D$4="Forint",0,2))</f>
        <v>0</v>
      </c>
      <c r="AF563" s="13">
        <f>IF($D$2="Egyszeri",IF($D$7&gt;=IF($D$4="Forint",Paraméterek!$P$223,Paraméterek!$P$224),$D$7-IF($D$4="Forint",Paraméterek!$F$223,Paraméterek!$F$224),0),MIN(IF($AA563=12,AVERAGE($D$20:$D563)*12,0),SUM($D$20:$D$31)))</f>
        <v>0</v>
      </c>
      <c r="AG563" s="13">
        <f>IF(AND($Z563&gt;=10,MOD($Z563,5)=0),$AF563*IF($AA563=12,VLOOKUP($Z563,Paraméterek!$B$225:$F$240,IF($AF563&lt;IF($D$4="Forint",Paraméterek!$C$223,Paraméterek!$C$224),2,IF($AF563&lt;IF($D$4="Forint",Paraméterek!$D$223,Paraméterek!$D$224),3,4))),0),0)</f>
        <v>0</v>
      </c>
      <c r="AH563" s="13">
        <f>IF(AND($Z563&gt;=5,MOD($Z563,5)=0),IF($AA563=12,VLOOKUP($Z563,Paraméterek!$B$225:$F$240,5),0),IF(OR($Z563=3,$Z563=4),IF($AA563=12,VLOOKUP($Z563,Paraméterek!$B$225:$F$240,5,0),0),0))*$AF563</f>
        <v>0</v>
      </c>
      <c r="AI563" s="13">
        <f>ROUNDDOWN(IF(SUM($T$20:$U563)=0,IF($D$2="Egyszeri",$AH563,$AG563),0),IF($D$4="Forint",0,2))</f>
        <v>0</v>
      </c>
      <c r="AJ563" s="13">
        <f t="shared" si="132"/>
        <v>0</v>
      </c>
      <c r="AK563" s="13">
        <f t="shared" si="133"/>
        <v>0</v>
      </c>
      <c r="AM563" s="32">
        <v>544</v>
      </c>
      <c r="AN563" s="32">
        <v>46</v>
      </c>
      <c r="AO563" s="32">
        <v>4</v>
      </c>
      <c r="AP563" s="13"/>
      <c r="AQ563" s="32"/>
      <c r="AR563" s="13">
        <f t="shared" si="134"/>
        <v>0</v>
      </c>
      <c r="AS563" s="33"/>
      <c r="AT563" s="13">
        <f t="shared" si="128"/>
        <v>0</v>
      </c>
      <c r="AU563" s="13">
        <f>ROUNDUP(($AR563+$AT563)*VLOOKUP($AN563,Paraméterek!$P$38:$Q$38,2)/12,IF($D$4="Forint",0,2))</f>
        <v>0</v>
      </c>
      <c r="AV563" s="13"/>
      <c r="AW563" s="13"/>
      <c r="AX563" s="13">
        <f>ROUNDUP(IF(SUM($AV563:$AW563)=0,0,IF(IF(ISBLANK($AW563),$AV563,$AW563)*Paraméterek!$J$112&lt;IF($D$4="Forint",Paraméterek!$J$113,Paraméterek!$K$113),IF($D$4="Forint",Paraméterek!$J$113,Paraméterek!$K$113),IF(IF(ISBLANK($AW563),$AV563,$AW563)*Paraméterek!$J$112&gt;IF($D$4="Forint",Paraméterek!$J$114,Paraméterek!$K$114),IF($D$4="Forint",Paraméterek!$J$114,Paraméterek!$K$114),IF(ISBLANK($AW563),$AV563,$AW563)*Paraméterek!$J$112))),IF($D$4="Forint",0,2))</f>
        <v>0</v>
      </c>
      <c r="AY563" s="13">
        <f>$AR563+$AT563-$AU563-IF(ROUNDDOWN(IF(ISBLANK($AW563),$AV563,$AW563),IF($D$4="Forint",0,2))&gt;$AR563+$AT563-$AU563-IF($D$4="Forint",Paraméterek!$J$114,Paraméterek!$K$114),0,ROUNDDOWN(IF(ISBLANK($AW563),$AV563,$AW563),IF($D$4="Forint",0,2))-$AX563)</f>
        <v>0</v>
      </c>
      <c r="AZ563" s="13">
        <f t="shared" si="129"/>
        <v>0</v>
      </c>
    </row>
    <row r="564" spans="1:52" x14ac:dyDescent="0.2">
      <c r="A564" s="32">
        <v>545</v>
      </c>
      <c r="B564" s="32">
        <v>46</v>
      </c>
      <c r="C564" s="32">
        <v>5</v>
      </c>
      <c r="D564" s="13">
        <f t="shared" si="120"/>
        <v>0</v>
      </c>
      <c r="E564" s="13"/>
      <c r="F564" s="13"/>
      <c r="G564" s="13"/>
      <c r="H564" s="13">
        <f t="shared" si="121"/>
        <v>0</v>
      </c>
      <c r="I564" s="13">
        <f t="shared" si="122"/>
        <v>0</v>
      </c>
      <c r="J564" s="13">
        <f t="shared" si="123"/>
        <v>0</v>
      </c>
      <c r="K564" s="13">
        <f>ROUNDUP(IF($D$2="Egyszeri",$D564,IF($D$2="Havi",SUM($D$20:$D$31),IF(MOD($C564,$M$1)-1=0,SUM($D$20:$D$31),0))/12*$M$1)*VLOOKUP($B564,Paraméterek!$B$27:$D$30,IF($D$2="Egyszeri",3,2)),IF($D$4="Forint",0,2))</f>
        <v>0</v>
      </c>
      <c r="L564" s="13">
        <f t="shared" si="124"/>
        <v>0</v>
      </c>
      <c r="M564" s="13">
        <f t="shared" ca="1" si="130"/>
        <v>-402178</v>
      </c>
      <c r="N564" s="13">
        <f ca="1">IF($V563&gt;=VLOOKUP($M$4-1+$B564,Paraméterek!$B$121:$D$122,IF($D$4="Forint",2,3)),0,VLOOKUP($M$4-1+$B564,Paraméterek!$B$121:$D$122,IF($D$4="Forint",2,3))-$V563)</f>
        <v>412178</v>
      </c>
      <c r="O564" s="13">
        <f ca="1">ROUNDUP($N564*Paraméterek!$C$58/Paraméterek!$C$56,IF($D$4="Forint",0,2))</f>
        <v>66</v>
      </c>
      <c r="P564" s="13">
        <f t="shared" si="125"/>
        <v>2080</v>
      </c>
      <c r="Q564" s="33"/>
      <c r="R564" s="13">
        <f t="shared" ca="1" si="126"/>
        <v>0</v>
      </c>
      <c r="S564" s="13">
        <f ca="1">ROUNDUP(($M564-$O564-$P564+$R564)*VLOOKUP($B564,Paraméterek!$B$38:$D$39,IF($D$2="Egyszeri",3,2))/12,IF($D$4="Forint",0,2))</f>
        <v>-988</v>
      </c>
      <c r="T564" s="13"/>
      <c r="U564" s="13"/>
      <c r="V564" s="13">
        <f ca="1">$M564-$O564-$P564+$R564-$S564-IF(ROUNDUP(IF(ISBLANK($U564),$T564,$U564)/IF(AND($B564=1,$D$2&lt;&gt;"Egyszeri"),1,VLOOKUP($B564+IF($C564=12,1,0),Paraméterek!$B$257:$D$267,IF($D$2="Egyszeri",3,2))),IF($D$4="Forint",0,2))&gt;$M564-$O564-$P564+$R564-$S564-IF($D$4="Forint",Paraméterek!$C$216,Paraméterek!$D$216),0,ROUNDUP(IF(ISBLANK($U564),$T564,$U564)/IF(AND($B564=1,$D$2&lt;&gt;"Egyszeri"),1,VLOOKUP($B564+IF($C564=12,1,0),Paraméterek!$B$257:$D$267,IF($D$2="Egyszeri",3,2))),IF($D$4="Forint",0,2)))</f>
        <v>-403336</v>
      </c>
      <c r="W564" s="13">
        <f ca="1">ROUNDDOWN($V564*VLOOKUP($B564+IF($C564=12,1,0),Paraméterek!$B$257:$D$267,IF($D$2="Egyszeri",3,2)),IF($D$4="Forint",0,2))</f>
        <v>-403336</v>
      </c>
      <c r="Y564" s="32">
        <v>545</v>
      </c>
      <c r="Z564" s="32">
        <v>46</v>
      </c>
      <c r="AA564" s="32">
        <v>5</v>
      </c>
      <c r="AB564" s="13">
        <f t="shared" si="131"/>
        <v>0</v>
      </c>
      <c r="AC564" s="33"/>
      <c r="AD564" s="13">
        <f t="shared" si="127"/>
        <v>0</v>
      </c>
      <c r="AE564" s="13">
        <f>ROUNDUP(($AB564+$AD564)*VLOOKUP($Z564,Paraméterek!$P$38:$Q$38,2)/12,IF($D$4="Forint",0,2))</f>
        <v>0</v>
      </c>
      <c r="AF564" s="13">
        <f>IF($D$2="Egyszeri",IF($D$7&gt;=IF($D$4="Forint",Paraméterek!$P$223,Paraméterek!$P$224),$D$7-IF($D$4="Forint",Paraméterek!$F$223,Paraméterek!$F$224),0),MIN(IF($AA564=12,AVERAGE($D$20:$D564)*12,0),SUM($D$20:$D$31)))</f>
        <v>0</v>
      </c>
      <c r="AG564" s="13">
        <f>IF(AND($Z564&gt;=10,MOD($Z564,5)=0),$AF564*IF($AA564=12,VLOOKUP($Z564,Paraméterek!$B$225:$F$240,IF($AF564&lt;IF($D$4="Forint",Paraméterek!$C$223,Paraméterek!$C$224),2,IF($AF564&lt;IF($D$4="Forint",Paraméterek!$D$223,Paraméterek!$D$224),3,4))),0),0)</f>
        <v>0</v>
      </c>
      <c r="AH564" s="13">
        <f>IF(AND($Z564&gt;=5,MOD($Z564,5)=0),IF($AA564=12,VLOOKUP($Z564,Paraméterek!$B$225:$F$240,5),0),IF(OR($Z564=3,$Z564=4),IF($AA564=12,VLOOKUP($Z564,Paraméterek!$B$225:$F$240,5,0),0),0))*$AF564</f>
        <v>0</v>
      </c>
      <c r="AI564" s="13">
        <f>ROUNDDOWN(IF(SUM($T$20:$U564)=0,IF($D$2="Egyszeri",$AH564,$AG564),0),IF($D$4="Forint",0,2))</f>
        <v>0</v>
      </c>
      <c r="AJ564" s="13">
        <f t="shared" si="132"/>
        <v>0</v>
      </c>
      <c r="AK564" s="13">
        <f t="shared" si="133"/>
        <v>0</v>
      </c>
      <c r="AM564" s="32">
        <v>545</v>
      </c>
      <c r="AN564" s="32">
        <v>46</v>
      </c>
      <c r="AO564" s="32">
        <v>5</v>
      </c>
      <c r="AP564" s="13"/>
      <c r="AQ564" s="32"/>
      <c r="AR564" s="13">
        <f t="shared" si="134"/>
        <v>0</v>
      </c>
      <c r="AS564" s="33"/>
      <c r="AT564" s="13">
        <f t="shared" si="128"/>
        <v>0</v>
      </c>
      <c r="AU564" s="13">
        <f>ROUNDUP(($AR564+$AT564)*VLOOKUP($AN564,Paraméterek!$P$38:$Q$38,2)/12,IF($D$4="Forint",0,2))</f>
        <v>0</v>
      </c>
      <c r="AV564" s="13"/>
      <c r="AW564" s="13"/>
      <c r="AX564" s="13">
        <f>ROUNDUP(IF(SUM($AV564:$AW564)=0,0,IF(IF(ISBLANK($AW564),$AV564,$AW564)*Paraméterek!$J$112&lt;IF($D$4="Forint",Paraméterek!$J$113,Paraméterek!$K$113),IF($D$4="Forint",Paraméterek!$J$113,Paraméterek!$K$113),IF(IF(ISBLANK($AW564),$AV564,$AW564)*Paraméterek!$J$112&gt;IF($D$4="Forint",Paraméterek!$J$114,Paraméterek!$K$114),IF($D$4="Forint",Paraméterek!$J$114,Paraméterek!$K$114),IF(ISBLANK($AW564),$AV564,$AW564)*Paraméterek!$J$112))),IF($D$4="Forint",0,2))</f>
        <v>0</v>
      </c>
      <c r="AY564" s="13">
        <f>$AR564+$AT564-$AU564-IF(ROUNDDOWN(IF(ISBLANK($AW564),$AV564,$AW564),IF($D$4="Forint",0,2))&gt;$AR564+$AT564-$AU564-IF($D$4="Forint",Paraméterek!$J$114,Paraméterek!$K$114),0,ROUNDDOWN(IF(ISBLANK($AW564),$AV564,$AW564),IF($D$4="Forint",0,2))-$AX564)</f>
        <v>0</v>
      </c>
      <c r="AZ564" s="13">
        <f t="shared" si="129"/>
        <v>0</v>
      </c>
    </row>
    <row r="565" spans="1:52" x14ac:dyDescent="0.2">
      <c r="A565" s="32">
        <v>546</v>
      </c>
      <c r="B565" s="32">
        <v>46</v>
      </c>
      <c r="C565" s="32">
        <v>6</v>
      </c>
      <c r="D565" s="13">
        <f t="shared" si="120"/>
        <v>0</v>
      </c>
      <c r="E565" s="13"/>
      <c r="F565" s="13"/>
      <c r="G565" s="13"/>
      <c r="H565" s="13">
        <f t="shared" si="121"/>
        <v>0</v>
      </c>
      <c r="I565" s="13">
        <f t="shared" si="122"/>
        <v>0</v>
      </c>
      <c r="J565" s="13">
        <f t="shared" si="123"/>
        <v>0</v>
      </c>
      <c r="K565" s="13">
        <f>ROUNDUP(IF($D$2="Egyszeri",$D565,IF($D$2="Havi",SUM($D$20:$D$31),IF(MOD($C565,$M$1)-1=0,SUM($D$20:$D$31),0))/12*$M$1)*VLOOKUP($B565,Paraméterek!$B$27:$D$30,IF($D$2="Egyszeri",3,2)),IF($D$4="Forint",0,2))</f>
        <v>0</v>
      </c>
      <c r="L565" s="13">
        <f t="shared" si="124"/>
        <v>0</v>
      </c>
      <c r="M565" s="13">
        <f t="shared" ca="1" si="130"/>
        <v>-403336</v>
      </c>
      <c r="N565" s="13">
        <f ca="1">IF($V564&gt;=VLOOKUP($M$4-1+$B565,Paraméterek!$B$121:$D$122,IF($D$4="Forint",2,3)),0,VLOOKUP($M$4-1+$B565,Paraméterek!$B$121:$D$122,IF($D$4="Forint",2,3))-$V564)</f>
        <v>413336</v>
      </c>
      <c r="O565" s="13">
        <f ca="1">ROUNDUP($N565*Paraméterek!$C$58/Paraméterek!$C$56,IF($D$4="Forint",0,2))</f>
        <v>66</v>
      </c>
      <c r="P565" s="13">
        <f t="shared" si="125"/>
        <v>2080</v>
      </c>
      <c r="Q565" s="33"/>
      <c r="R565" s="13">
        <f t="shared" ca="1" si="126"/>
        <v>0</v>
      </c>
      <c r="S565" s="13">
        <f ca="1">ROUNDUP(($M565-$O565-$P565+$R565)*VLOOKUP($B565,Paraméterek!$B$38:$D$39,IF($D$2="Egyszeri",3,2))/12,IF($D$4="Forint",0,2))</f>
        <v>-991</v>
      </c>
      <c r="T565" s="13"/>
      <c r="U565" s="13"/>
      <c r="V565" s="13">
        <f ca="1">$M565-$O565-$P565+$R565-$S565-IF(ROUNDUP(IF(ISBLANK($U565),$T565,$U565)/IF(AND($B565=1,$D$2&lt;&gt;"Egyszeri"),1,VLOOKUP($B565+IF($C565=12,1,0),Paraméterek!$B$257:$D$267,IF($D$2="Egyszeri",3,2))),IF($D$4="Forint",0,2))&gt;$M565-$O565-$P565+$R565-$S565-IF($D$4="Forint",Paraméterek!$C$216,Paraméterek!$D$216),0,ROUNDUP(IF(ISBLANK($U565),$T565,$U565)/IF(AND($B565=1,$D$2&lt;&gt;"Egyszeri"),1,VLOOKUP($B565+IF($C565=12,1,0),Paraméterek!$B$257:$D$267,IF($D$2="Egyszeri",3,2))),IF($D$4="Forint",0,2)))</f>
        <v>-404491</v>
      </c>
      <c r="W565" s="13">
        <f ca="1">ROUNDDOWN($V565*VLOOKUP($B565+IF($C565=12,1,0),Paraméterek!$B$257:$D$267,IF($D$2="Egyszeri",3,2)),IF($D$4="Forint",0,2))</f>
        <v>-404491</v>
      </c>
      <c r="Y565" s="32">
        <v>546</v>
      </c>
      <c r="Z565" s="32">
        <v>46</v>
      </c>
      <c r="AA565" s="32">
        <v>6</v>
      </c>
      <c r="AB565" s="13">
        <f t="shared" si="131"/>
        <v>0</v>
      </c>
      <c r="AC565" s="33"/>
      <c r="AD565" s="13">
        <f t="shared" si="127"/>
        <v>0</v>
      </c>
      <c r="AE565" s="13">
        <f>ROUNDUP(($AB565+$AD565)*VLOOKUP($Z565,Paraméterek!$P$38:$Q$38,2)/12,IF($D$4="Forint",0,2))</f>
        <v>0</v>
      </c>
      <c r="AF565" s="13">
        <f>IF($D$2="Egyszeri",IF($D$7&gt;=IF($D$4="Forint",Paraméterek!$P$223,Paraméterek!$P$224),$D$7-IF($D$4="Forint",Paraméterek!$F$223,Paraméterek!$F$224),0),MIN(IF($AA565=12,AVERAGE($D$20:$D565)*12,0),SUM($D$20:$D$31)))</f>
        <v>0</v>
      </c>
      <c r="AG565" s="13">
        <f>IF(AND($Z565&gt;=10,MOD($Z565,5)=0),$AF565*IF($AA565=12,VLOOKUP($Z565,Paraméterek!$B$225:$F$240,IF($AF565&lt;IF($D$4="Forint",Paraméterek!$C$223,Paraméterek!$C$224),2,IF($AF565&lt;IF($D$4="Forint",Paraméterek!$D$223,Paraméterek!$D$224),3,4))),0),0)</f>
        <v>0</v>
      </c>
      <c r="AH565" s="13">
        <f>IF(AND($Z565&gt;=5,MOD($Z565,5)=0),IF($AA565=12,VLOOKUP($Z565,Paraméterek!$B$225:$F$240,5),0),IF(OR($Z565=3,$Z565=4),IF($AA565=12,VLOOKUP($Z565,Paraméterek!$B$225:$F$240,5,0),0),0))*$AF565</f>
        <v>0</v>
      </c>
      <c r="AI565" s="13">
        <f>ROUNDDOWN(IF(SUM($T$20:$U565)=0,IF($D$2="Egyszeri",$AH565,$AG565),0),IF($D$4="Forint",0,2))</f>
        <v>0</v>
      </c>
      <c r="AJ565" s="13">
        <f t="shared" si="132"/>
        <v>0</v>
      </c>
      <c r="AK565" s="13">
        <f t="shared" si="133"/>
        <v>0</v>
      </c>
      <c r="AM565" s="32">
        <v>546</v>
      </c>
      <c r="AN565" s="32">
        <v>46</v>
      </c>
      <c r="AO565" s="32">
        <v>6</v>
      </c>
      <c r="AP565" s="13"/>
      <c r="AQ565" s="32"/>
      <c r="AR565" s="13">
        <f t="shared" si="134"/>
        <v>0</v>
      </c>
      <c r="AS565" s="33"/>
      <c r="AT565" s="13">
        <f t="shared" si="128"/>
        <v>0</v>
      </c>
      <c r="AU565" s="13">
        <f>ROUNDUP(($AR565+$AT565)*VLOOKUP($AN565,Paraméterek!$P$38:$Q$38,2)/12,IF($D$4="Forint",0,2))</f>
        <v>0</v>
      </c>
      <c r="AV565" s="13"/>
      <c r="AW565" s="13"/>
      <c r="AX565" s="13">
        <f>ROUNDUP(IF(SUM($AV565:$AW565)=0,0,IF(IF(ISBLANK($AW565),$AV565,$AW565)*Paraméterek!$J$112&lt;IF($D$4="Forint",Paraméterek!$J$113,Paraméterek!$K$113),IF($D$4="Forint",Paraméterek!$J$113,Paraméterek!$K$113),IF(IF(ISBLANK($AW565),$AV565,$AW565)*Paraméterek!$J$112&gt;IF($D$4="Forint",Paraméterek!$J$114,Paraméterek!$K$114),IF($D$4="Forint",Paraméterek!$J$114,Paraméterek!$K$114),IF(ISBLANK($AW565),$AV565,$AW565)*Paraméterek!$J$112))),IF($D$4="Forint",0,2))</f>
        <v>0</v>
      </c>
      <c r="AY565" s="13">
        <f>$AR565+$AT565-$AU565-IF(ROUNDDOWN(IF(ISBLANK($AW565),$AV565,$AW565),IF($D$4="Forint",0,2))&gt;$AR565+$AT565-$AU565-IF($D$4="Forint",Paraméterek!$J$114,Paraméterek!$K$114),0,ROUNDDOWN(IF(ISBLANK($AW565),$AV565,$AW565),IF($D$4="Forint",0,2))-$AX565)</f>
        <v>0</v>
      </c>
      <c r="AZ565" s="13">
        <f t="shared" si="129"/>
        <v>0</v>
      </c>
    </row>
    <row r="566" spans="1:52" x14ac:dyDescent="0.2">
      <c r="A566" s="32">
        <v>547</v>
      </c>
      <c r="B566" s="32">
        <v>46</v>
      </c>
      <c r="C566" s="32">
        <v>7</v>
      </c>
      <c r="D566" s="13">
        <f t="shared" si="120"/>
        <v>0</v>
      </c>
      <c r="E566" s="13"/>
      <c r="F566" s="13"/>
      <c r="G566" s="13"/>
      <c r="H566" s="13">
        <f t="shared" si="121"/>
        <v>0</v>
      </c>
      <c r="I566" s="13">
        <f t="shared" si="122"/>
        <v>0</v>
      </c>
      <c r="J566" s="13">
        <f t="shared" si="123"/>
        <v>0</v>
      </c>
      <c r="K566" s="13">
        <f>ROUNDUP(IF($D$2="Egyszeri",$D566,IF($D$2="Havi",SUM($D$20:$D$31),IF(MOD($C566,$M$1)-1=0,SUM($D$20:$D$31),0))/12*$M$1)*VLOOKUP($B566,Paraméterek!$B$27:$D$30,IF($D$2="Egyszeri",3,2)),IF($D$4="Forint",0,2))</f>
        <v>0</v>
      </c>
      <c r="L566" s="13">
        <f t="shared" si="124"/>
        <v>0</v>
      </c>
      <c r="M566" s="13">
        <f t="shared" ca="1" si="130"/>
        <v>-404491</v>
      </c>
      <c r="N566" s="13">
        <f ca="1">IF($V565&gt;=VLOOKUP($M$4-1+$B566,Paraméterek!$B$121:$D$122,IF($D$4="Forint",2,3)),0,VLOOKUP($M$4-1+$B566,Paraméterek!$B$121:$D$122,IF($D$4="Forint",2,3))-$V565)</f>
        <v>414491</v>
      </c>
      <c r="O566" s="13">
        <f ca="1">ROUNDUP($N566*Paraméterek!$C$58/Paraméterek!$C$56,IF($D$4="Forint",0,2))</f>
        <v>66</v>
      </c>
      <c r="P566" s="13">
        <f t="shared" si="125"/>
        <v>2080</v>
      </c>
      <c r="Q566" s="33"/>
      <c r="R566" s="13">
        <f t="shared" ca="1" si="126"/>
        <v>0</v>
      </c>
      <c r="S566" s="13">
        <f ca="1">ROUNDUP(($M566-$O566-$P566+$R566)*VLOOKUP($B566,Paraméterek!$B$38:$D$39,IF($D$2="Egyszeri",3,2))/12,IF($D$4="Forint",0,2))</f>
        <v>-993</v>
      </c>
      <c r="T566" s="13"/>
      <c r="U566" s="13"/>
      <c r="V566" s="13">
        <f ca="1">$M566-$O566-$P566+$R566-$S566-IF(ROUNDUP(IF(ISBLANK($U566),$T566,$U566)/IF(AND($B566=1,$D$2&lt;&gt;"Egyszeri"),1,VLOOKUP($B566+IF($C566=12,1,0),Paraméterek!$B$257:$D$267,IF($D$2="Egyszeri",3,2))),IF($D$4="Forint",0,2))&gt;$M566-$O566-$P566+$R566-$S566-IF($D$4="Forint",Paraméterek!$C$216,Paraméterek!$D$216),0,ROUNDUP(IF(ISBLANK($U566),$T566,$U566)/IF(AND($B566=1,$D$2&lt;&gt;"Egyszeri"),1,VLOOKUP($B566+IF($C566=12,1,0),Paraméterek!$B$257:$D$267,IF($D$2="Egyszeri",3,2))),IF($D$4="Forint",0,2)))</f>
        <v>-405644</v>
      </c>
      <c r="W566" s="13">
        <f ca="1">ROUNDDOWN($V566*VLOOKUP($B566+IF($C566=12,1,0),Paraméterek!$B$257:$D$267,IF($D$2="Egyszeri",3,2)),IF($D$4="Forint",0,2))</f>
        <v>-405644</v>
      </c>
      <c r="Y566" s="32">
        <v>547</v>
      </c>
      <c r="Z566" s="32">
        <v>46</v>
      </c>
      <c r="AA566" s="32">
        <v>7</v>
      </c>
      <c r="AB566" s="13">
        <f t="shared" si="131"/>
        <v>0</v>
      </c>
      <c r="AC566" s="33"/>
      <c r="AD566" s="13">
        <f t="shared" si="127"/>
        <v>0</v>
      </c>
      <c r="AE566" s="13">
        <f>ROUNDUP(($AB566+$AD566)*VLOOKUP($Z566,Paraméterek!$P$38:$Q$38,2)/12,IF($D$4="Forint",0,2))</f>
        <v>0</v>
      </c>
      <c r="AF566" s="13">
        <f>IF($D$2="Egyszeri",IF($D$7&gt;=IF($D$4="Forint",Paraméterek!$P$223,Paraméterek!$P$224),$D$7-IF($D$4="Forint",Paraméterek!$F$223,Paraméterek!$F$224),0),MIN(IF($AA566=12,AVERAGE($D$20:$D566)*12,0),SUM($D$20:$D$31)))</f>
        <v>0</v>
      </c>
      <c r="AG566" s="13">
        <f>IF(AND($Z566&gt;=10,MOD($Z566,5)=0),$AF566*IF($AA566=12,VLOOKUP($Z566,Paraméterek!$B$225:$F$240,IF($AF566&lt;IF($D$4="Forint",Paraméterek!$C$223,Paraméterek!$C$224),2,IF($AF566&lt;IF($D$4="Forint",Paraméterek!$D$223,Paraméterek!$D$224),3,4))),0),0)</f>
        <v>0</v>
      </c>
      <c r="AH566" s="13">
        <f>IF(AND($Z566&gt;=5,MOD($Z566,5)=0),IF($AA566=12,VLOOKUP($Z566,Paraméterek!$B$225:$F$240,5),0),IF(OR($Z566=3,$Z566=4),IF($AA566=12,VLOOKUP($Z566,Paraméterek!$B$225:$F$240,5,0),0),0))*$AF566</f>
        <v>0</v>
      </c>
      <c r="AI566" s="13">
        <f>ROUNDDOWN(IF(SUM($T$20:$U566)=0,IF($D$2="Egyszeri",$AH566,$AG566),0),IF($D$4="Forint",0,2))</f>
        <v>0</v>
      </c>
      <c r="AJ566" s="13">
        <f t="shared" si="132"/>
        <v>0</v>
      </c>
      <c r="AK566" s="13">
        <f t="shared" si="133"/>
        <v>0</v>
      </c>
      <c r="AM566" s="32">
        <v>547</v>
      </c>
      <c r="AN566" s="32">
        <v>46</v>
      </c>
      <c r="AO566" s="32">
        <v>7</v>
      </c>
      <c r="AP566" s="13"/>
      <c r="AQ566" s="32"/>
      <c r="AR566" s="13">
        <f t="shared" si="134"/>
        <v>0</v>
      </c>
      <c r="AS566" s="33"/>
      <c r="AT566" s="13">
        <f t="shared" si="128"/>
        <v>0</v>
      </c>
      <c r="AU566" s="13">
        <f>ROUNDUP(($AR566+$AT566)*VLOOKUP($AN566,Paraméterek!$P$38:$Q$38,2)/12,IF($D$4="Forint",0,2))</f>
        <v>0</v>
      </c>
      <c r="AV566" s="13"/>
      <c r="AW566" s="13"/>
      <c r="AX566" s="13">
        <f>ROUNDUP(IF(SUM($AV566:$AW566)=0,0,IF(IF(ISBLANK($AW566),$AV566,$AW566)*Paraméterek!$J$112&lt;IF($D$4="Forint",Paraméterek!$J$113,Paraméterek!$K$113),IF($D$4="Forint",Paraméterek!$J$113,Paraméterek!$K$113),IF(IF(ISBLANK($AW566),$AV566,$AW566)*Paraméterek!$J$112&gt;IF($D$4="Forint",Paraméterek!$J$114,Paraméterek!$K$114),IF($D$4="Forint",Paraméterek!$J$114,Paraméterek!$K$114),IF(ISBLANK($AW566),$AV566,$AW566)*Paraméterek!$J$112))),IF($D$4="Forint",0,2))</f>
        <v>0</v>
      </c>
      <c r="AY566" s="13">
        <f>$AR566+$AT566-$AU566-IF(ROUNDDOWN(IF(ISBLANK($AW566),$AV566,$AW566),IF($D$4="Forint",0,2))&gt;$AR566+$AT566-$AU566-IF($D$4="Forint",Paraméterek!$J$114,Paraméterek!$K$114),0,ROUNDDOWN(IF(ISBLANK($AW566),$AV566,$AW566),IF($D$4="Forint",0,2))-$AX566)</f>
        <v>0</v>
      </c>
      <c r="AZ566" s="13">
        <f t="shared" si="129"/>
        <v>0</v>
      </c>
    </row>
    <row r="567" spans="1:52" x14ac:dyDescent="0.2">
      <c r="A567" s="32">
        <v>548</v>
      </c>
      <c r="B567" s="32">
        <v>46</v>
      </c>
      <c r="C567" s="32">
        <v>8</v>
      </c>
      <c r="D567" s="13">
        <f t="shared" si="120"/>
        <v>0</v>
      </c>
      <c r="E567" s="13"/>
      <c r="F567" s="13"/>
      <c r="G567" s="13"/>
      <c r="H567" s="13">
        <f t="shared" si="121"/>
        <v>0</v>
      </c>
      <c r="I567" s="13">
        <f t="shared" si="122"/>
        <v>0</v>
      </c>
      <c r="J567" s="13">
        <f t="shared" si="123"/>
        <v>0</v>
      </c>
      <c r="K567" s="13">
        <f>ROUNDUP(IF($D$2="Egyszeri",$D567,IF($D$2="Havi",SUM($D$20:$D$31),IF(MOD($C567,$M$1)-1=0,SUM($D$20:$D$31),0))/12*$M$1)*VLOOKUP($B567,Paraméterek!$B$27:$D$30,IF($D$2="Egyszeri",3,2)),IF($D$4="Forint",0,2))</f>
        <v>0</v>
      </c>
      <c r="L567" s="13">
        <f t="shared" si="124"/>
        <v>0</v>
      </c>
      <c r="M567" s="13">
        <f t="shared" ca="1" si="130"/>
        <v>-405644</v>
      </c>
      <c r="N567" s="13">
        <f ca="1">IF($V566&gt;=VLOOKUP($M$4-1+$B567,Paraméterek!$B$121:$D$122,IF($D$4="Forint",2,3)),0,VLOOKUP($M$4-1+$B567,Paraméterek!$B$121:$D$122,IF($D$4="Forint",2,3))-$V566)</f>
        <v>415644</v>
      </c>
      <c r="O567" s="13">
        <f ca="1">ROUNDUP($N567*Paraméterek!$C$58/Paraméterek!$C$56,IF($D$4="Forint",0,2))</f>
        <v>67</v>
      </c>
      <c r="P567" s="13">
        <f t="shared" si="125"/>
        <v>2080</v>
      </c>
      <c r="Q567" s="33"/>
      <c r="R567" s="13">
        <f t="shared" ca="1" si="126"/>
        <v>0</v>
      </c>
      <c r="S567" s="13">
        <f ca="1">ROUNDUP(($M567-$O567-$P567+$R567)*VLOOKUP($B567,Paraméterek!$B$38:$D$39,IF($D$2="Egyszeri",3,2))/12,IF($D$4="Forint",0,2))</f>
        <v>-996</v>
      </c>
      <c r="T567" s="13"/>
      <c r="U567" s="13"/>
      <c r="V567" s="13">
        <f ca="1">$M567-$O567-$P567+$R567-$S567-IF(ROUNDUP(IF(ISBLANK($U567),$T567,$U567)/IF(AND($B567=1,$D$2&lt;&gt;"Egyszeri"),1,VLOOKUP($B567+IF($C567=12,1,0),Paraméterek!$B$257:$D$267,IF($D$2="Egyszeri",3,2))),IF($D$4="Forint",0,2))&gt;$M567-$O567-$P567+$R567-$S567-IF($D$4="Forint",Paraméterek!$C$216,Paraméterek!$D$216),0,ROUNDUP(IF(ISBLANK($U567),$T567,$U567)/IF(AND($B567=1,$D$2&lt;&gt;"Egyszeri"),1,VLOOKUP($B567+IF($C567=12,1,0),Paraméterek!$B$257:$D$267,IF($D$2="Egyszeri",3,2))),IF($D$4="Forint",0,2)))</f>
        <v>-406795</v>
      </c>
      <c r="W567" s="13">
        <f ca="1">ROUNDDOWN($V567*VLOOKUP($B567+IF($C567=12,1,0),Paraméterek!$B$257:$D$267,IF($D$2="Egyszeri",3,2)),IF($D$4="Forint",0,2))</f>
        <v>-406795</v>
      </c>
      <c r="Y567" s="32">
        <v>548</v>
      </c>
      <c r="Z567" s="32">
        <v>46</v>
      </c>
      <c r="AA567" s="32">
        <v>8</v>
      </c>
      <c r="AB567" s="13">
        <f t="shared" si="131"/>
        <v>0</v>
      </c>
      <c r="AC567" s="33"/>
      <c r="AD567" s="13">
        <f t="shared" si="127"/>
        <v>0</v>
      </c>
      <c r="AE567" s="13">
        <f>ROUNDUP(($AB567+$AD567)*VLOOKUP($Z567,Paraméterek!$P$38:$Q$38,2)/12,IF($D$4="Forint",0,2))</f>
        <v>0</v>
      </c>
      <c r="AF567" s="13">
        <f>IF($D$2="Egyszeri",IF($D$7&gt;=IF($D$4="Forint",Paraméterek!$P$223,Paraméterek!$P$224),$D$7-IF($D$4="Forint",Paraméterek!$F$223,Paraméterek!$F$224),0),MIN(IF($AA567=12,AVERAGE($D$20:$D567)*12,0),SUM($D$20:$D$31)))</f>
        <v>0</v>
      </c>
      <c r="AG567" s="13">
        <f>IF(AND($Z567&gt;=10,MOD($Z567,5)=0),$AF567*IF($AA567=12,VLOOKUP($Z567,Paraméterek!$B$225:$F$240,IF($AF567&lt;IF($D$4="Forint",Paraméterek!$C$223,Paraméterek!$C$224),2,IF($AF567&lt;IF($D$4="Forint",Paraméterek!$D$223,Paraméterek!$D$224),3,4))),0),0)</f>
        <v>0</v>
      </c>
      <c r="AH567" s="13">
        <f>IF(AND($Z567&gt;=5,MOD($Z567,5)=0),IF($AA567=12,VLOOKUP($Z567,Paraméterek!$B$225:$F$240,5),0),IF(OR($Z567=3,$Z567=4),IF($AA567=12,VLOOKUP($Z567,Paraméterek!$B$225:$F$240,5,0),0),0))*$AF567</f>
        <v>0</v>
      </c>
      <c r="AI567" s="13">
        <f>ROUNDDOWN(IF(SUM($T$20:$U567)=0,IF($D$2="Egyszeri",$AH567,$AG567),0),IF($D$4="Forint",0,2))</f>
        <v>0</v>
      </c>
      <c r="AJ567" s="13">
        <f t="shared" si="132"/>
        <v>0</v>
      </c>
      <c r="AK567" s="13">
        <f t="shared" si="133"/>
        <v>0</v>
      </c>
      <c r="AM567" s="32">
        <v>548</v>
      </c>
      <c r="AN567" s="32">
        <v>46</v>
      </c>
      <c r="AO567" s="32">
        <v>8</v>
      </c>
      <c r="AP567" s="13"/>
      <c r="AQ567" s="32"/>
      <c r="AR567" s="13">
        <f t="shared" si="134"/>
        <v>0</v>
      </c>
      <c r="AS567" s="33"/>
      <c r="AT567" s="13">
        <f t="shared" si="128"/>
        <v>0</v>
      </c>
      <c r="AU567" s="13">
        <f>ROUNDUP(($AR567+$AT567)*VLOOKUP($AN567,Paraméterek!$P$38:$Q$38,2)/12,IF($D$4="Forint",0,2))</f>
        <v>0</v>
      </c>
      <c r="AV567" s="13"/>
      <c r="AW567" s="13"/>
      <c r="AX567" s="13">
        <f>ROUNDUP(IF(SUM($AV567:$AW567)=0,0,IF(IF(ISBLANK($AW567),$AV567,$AW567)*Paraméterek!$J$112&lt;IF($D$4="Forint",Paraméterek!$J$113,Paraméterek!$K$113),IF($D$4="Forint",Paraméterek!$J$113,Paraméterek!$K$113),IF(IF(ISBLANK($AW567),$AV567,$AW567)*Paraméterek!$J$112&gt;IF($D$4="Forint",Paraméterek!$J$114,Paraméterek!$K$114),IF($D$4="Forint",Paraméterek!$J$114,Paraméterek!$K$114),IF(ISBLANK($AW567),$AV567,$AW567)*Paraméterek!$J$112))),IF($D$4="Forint",0,2))</f>
        <v>0</v>
      </c>
      <c r="AY567" s="13">
        <f>$AR567+$AT567-$AU567-IF(ROUNDDOWN(IF(ISBLANK($AW567),$AV567,$AW567),IF($D$4="Forint",0,2))&gt;$AR567+$AT567-$AU567-IF($D$4="Forint",Paraméterek!$J$114,Paraméterek!$K$114),0,ROUNDDOWN(IF(ISBLANK($AW567),$AV567,$AW567),IF($D$4="Forint",0,2))-$AX567)</f>
        <v>0</v>
      </c>
      <c r="AZ567" s="13">
        <f t="shared" si="129"/>
        <v>0</v>
      </c>
    </row>
    <row r="568" spans="1:52" x14ac:dyDescent="0.2">
      <c r="A568" s="32">
        <v>549</v>
      </c>
      <c r="B568" s="32">
        <v>46</v>
      </c>
      <c r="C568" s="32">
        <v>9</v>
      </c>
      <c r="D568" s="13">
        <f t="shared" si="120"/>
        <v>0</v>
      </c>
      <c r="E568" s="13"/>
      <c r="F568" s="13"/>
      <c r="G568" s="13"/>
      <c r="H568" s="13">
        <f t="shared" si="121"/>
        <v>0</v>
      </c>
      <c r="I568" s="13">
        <f t="shared" si="122"/>
        <v>0</v>
      </c>
      <c r="J568" s="13">
        <f t="shared" si="123"/>
        <v>0</v>
      </c>
      <c r="K568" s="13">
        <f>ROUNDUP(IF($D$2="Egyszeri",$D568,IF($D$2="Havi",SUM($D$20:$D$31),IF(MOD($C568,$M$1)-1=0,SUM($D$20:$D$31),0))/12*$M$1)*VLOOKUP($B568,Paraméterek!$B$27:$D$30,IF($D$2="Egyszeri",3,2)),IF($D$4="Forint",0,2))</f>
        <v>0</v>
      </c>
      <c r="L568" s="13">
        <f t="shared" si="124"/>
        <v>0</v>
      </c>
      <c r="M568" s="13">
        <f t="shared" ca="1" si="130"/>
        <v>-406795</v>
      </c>
      <c r="N568" s="13">
        <f ca="1">IF($V567&gt;=VLOOKUP($M$4-1+$B568,Paraméterek!$B$121:$D$122,IF($D$4="Forint",2,3)),0,VLOOKUP($M$4-1+$B568,Paraméterek!$B$121:$D$122,IF($D$4="Forint",2,3))-$V567)</f>
        <v>416795</v>
      </c>
      <c r="O568" s="13">
        <f ca="1">ROUNDUP($N568*Paraméterek!$C$58/Paraméterek!$C$56,IF($D$4="Forint",0,2))</f>
        <v>67</v>
      </c>
      <c r="P568" s="13">
        <f t="shared" si="125"/>
        <v>2080</v>
      </c>
      <c r="Q568" s="33"/>
      <c r="R568" s="13">
        <f t="shared" ca="1" si="126"/>
        <v>0</v>
      </c>
      <c r="S568" s="13">
        <f ca="1">ROUNDUP(($M568-$O568-$P568+$R568)*VLOOKUP($B568,Paraméterek!$B$38:$D$39,IF($D$2="Egyszeri",3,2))/12,IF($D$4="Forint",0,2))</f>
        <v>-999</v>
      </c>
      <c r="T568" s="13"/>
      <c r="U568" s="13"/>
      <c r="V568" s="13">
        <f ca="1">$M568-$O568-$P568+$R568-$S568-IF(ROUNDUP(IF(ISBLANK($U568),$T568,$U568)/IF(AND($B568=1,$D$2&lt;&gt;"Egyszeri"),1,VLOOKUP($B568+IF($C568=12,1,0),Paraméterek!$B$257:$D$267,IF($D$2="Egyszeri",3,2))),IF($D$4="Forint",0,2))&gt;$M568-$O568-$P568+$R568-$S568-IF($D$4="Forint",Paraméterek!$C$216,Paraméterek!$D$216),0,ROUNDUP(IF(ISBLANK($U568),$T568,$U568)/IF(AND($B568=1,$D$2&lt;&gt;"Egyszeri"),1,VLOOKUP($B568+IF($C568=12,1,0),Paraméterek!$B$257:$D$267,IF($D$2="Egyszeri",3,2))),IF($D$4="Forint",0,2)))</f>
        <v>-407943</v>
      </c>
      <c r="W568" s="13">
        <f ca="1">ROUNDDOWN($V568*VLOOKUP($B568+IF($C568=12,1,0),Paraméterek!$B$257:$D$267,IF($D$2="Egyszeri",3,2)),IF($D$4="Forint",0,2))</f>
        <v>-407943</v>
      </c>
      <c r="Y568" s="32">
        <v>549</v>
      </c>
      <c r="Z568" s="32">
        <v>46</v>
      </c>
      <c r="AA568" s="32">
        <v>9</v>
      </c>
      <c r="AB568" s="13">
        <f t="shared" si="131"/>
        <v>0</v>
      </c>
      <c r="AC568" s="33"/>
      <c r="AD568" s="13">
        <f t="shared" si="127"/>
        <v>0</v>
      </c>
      <c r="AE568" s="13">
        <f>ROUNDUP(($AB568+$AD568)*VLOOKUP($Z568,Paraméterek!$P$38:$Q$38,2)/12,IF($D$4="Forint",0,2))</f>
        <v>0</v>
      </c>
      <c r="AF568" s="13">
        <f>IF($D$2="Egyszeri",IF($D$7&gt;=IF($D$4="Forint",Paraméterek!$P$223,Paraméterek!$P$224),$D$7-IF($D$4="Forint",Paraméterek!$F$223,Paraméterek!$F$224),0),MIN(IF($AA568=12,AVERAGE($D$20:$D568)*12,0),SUM($D$20:$D$31)))</f>
        <v>0</v>
      </c>
      <c r="AG568" s="13">
        <f>IF(AND($Z568&gt;=10,MOD($Z568,5)=0),$AF568*IF($AA568=12,VLOOKUP($Z568,Paraméterek!$B$225:$F$240,IF($AF568&lt;IF($D$4="Forint",Paraméterek!$C$223,Paraméterek!$C$224),2,IF($AF568&lt;IF($D$4="Forint",Paraméterek!$D$223,Paraméterek!$D$224),3,4))),0),0)</f>
        <v>0</v>
      </c>
      <c r="AH568" s="13">
        <f>IF(AND($Z568&gt;=5,MOD($Z568,5)=0),IF($AA568=12,VLOOKUP($Z568,Paraméterek!$B$225:$F$240,5),0),IF(OR($Z568=3,$Z568=4),IF($AA568=12,VLOOKUP($Z568,Paraméterek!$B$225:$F$240,5,0),0),0))*$AF568</f>
        <v>0</v>
      </c>
      <c r="AI568" s="13">
        <f>ROUNDDOWN(IF(SUM($T$20:$U568)=0,IF($D$2="Egyszeri",$AH568,$AG568),0),IF($D$4="Forint",0,2))</f>
        <v>0</v>
      </c>
      <c r="AJ568" s="13">
        <f t="shared" si="132"/>
        <v>0</v>
      </c>
      <c r="AK568" s="13">
        <f t="shared" si="133"/>
        <v>0</v>
      </c>
      <c r="AM568" s="32">
        <v>549</v>
      </c>
      <c r="AN568" s="32">
        <v>46</v>
      </c>
      <c r="AO568" s="32">
        <v>9</v>
      </c>
      <c r="AP568" s="13"/>
      <c r="AQ568" s="32"/>
      <c r="AR568" s="13">
        <f t="shared" si="134"/>
        <v>0</v>
      </c>
      <c r="AS568" s="33"/>
      <c r="AT568" s="13">
        <f t="shared" si="128"/>
        <v>0</v>
      </c>
      <c r="AU568" s="13">
        <f>ROUNDUP(($AR568+$AT568)*VLOOKUP($AN568,Paraméterek!$P$38:$Q$38,2)/12,IF($D$4="Forint",0,2))</f>
        <v>0</v>
      </c>
      <c r="AV568" s="13"/>
      <c r="AW568" s="13"/>
      <c r="AX568" s="13">
        <f>ROUNDUP(IF(SUM($AV568:$AW568)=0,0,IF(IF(ISBLANK($AW568),$AV568,$AW568)*Paraméterek!$J$112&lt;IF($D$4="Forint",Paraméterek!$J$113,Paraméterek!$K$113),IF($D$4="Forint",Paraméterek!$J$113,Paraméterek!$K$113),IF(IF(ISBLANK($AW568),$AV568,$AW568)*Paraméterek!$J$112&gt;IF($D$4="Forint",Paraméterek!$J$114,Paraméterek!$K$114),IF($D$4="Forint",Paraméterek!$J$114,Paraméterek!$K$114),IF(ISBLANK($AW568),$AV568,$AW568)*Paraméterek!$J$112))),IF($D$4="Forint",0,2))</f>
        <v>0</v>
      </c>
      <c r="AY568" s="13">
        <f>$AR568+$AT568-$AU568-IF(ROUNDDOWN(IF(ISBLANK($AW568),$AV568,$AW568),IF($D$4="Forint",0,2))&gt;$AR568+$AT568-$AU568-IF($D$4="Forint",Paraméterek!$J$114,Paraméterek!$K$114),0,ROUNDDOWN(IF(ISBLANK($AW568),$AV568,$AW568),IF($D$4="Forint",0,2))-$AX568)</f>
        <v>0</v>
      </c>
      <c r="AZ568" s="13">
        <f t="shared" si="129"/>
        <v>0</v>
      </c>
    </row>
    <row r="569" spans="1:52" x14ac:dyDescent="0.2">
      <c r="A569" s="32">
        <v>550</v>
      </c>
      <c r="B569" s="32">
        <v>46</v>
      </c>
      <c r="C569" s="32">
        <v>10</v>
      </c>
      <c r="D569" s="13">
        <f t="shared" si="120"/>
        <v>0</v>
      </c>
      <c r="E569" s="13"/>
      <c r="F569" s="13"/>
      <c r="G569" s="13"/>
      <c r="H569" s="13">
        <f t="shared" si="121"/>
        <v>0</v>
      </c>
      <c r="I569" s="13">
        <f t="shared" si="122"/>
        <v>0</v>
      </c>
      <c r="J569" s="13">
        <f t="shared" si="123"/>
        <v>0</v>
      </c>
      <c r="K569" s="13">
        <f>ROUNDUP(IF($D$2="Egyszeri",$D569,IF($D$2="Havi",SUM($D$20:$D$31),IF(MOD($C569,$M$1)-1=0,SUM($D$20:$D$31),0))/12*$M$1)*VLOOKUP($B569,Paraméterek!$B$27:$D$30,IF($D$2="Egyszeri",3,2)),IF($D$4="Forint",0,2))</f>
        <v>0</v>
      </c>
      <c r="L569" s="13">
        <f t="shared" si="124"/>
        <v>0</v>
      </c>
      <c r="M569" s="13">
        <f t="shared" ca="1" si="130"/>
        <v>-407943</v>
      </c>
      <c r="N569" s="13">
        <f ca="1">IF($V568&gt;=VLOOKUP($M$4-1+$B569,Paraméterek!$B$121:$D$122,IF($D$4="Forint",2,3)),0,VLOOKUP($M$4-1+$B569,Paraméterek!$B$121:$D$122,IF($D$4="Forint",2,3))-$V568)</f>
        <v>417943</v>
      </c>
      <c r="O569" s="13">
        <f ca="1">ROUNDUP($N569*Paraméterek!$C$58/Paraméterek!$C$56,IF($D$4="Forint",0,2))</f>
        <v>67</v>
      </c>
      <c r="P569" s="13">
        <f t="shared" si="125"/>
        <v>2080</v>
      </c>
      <c r="Q569" s="33"/>
      <c r="R569" s="13">
        <f t="shared" ca="1" si="126"/>
        <v>0</v>
      </c>
      <c r="S569" s="13">
        <f ca="1">ROUNDUP(($M569-$O569-$P569+$R569)*VLOOKUP($B569,Paraméterek!$B$38:$D$39,IF($D$2="Egyszeri",3,2))/12,IF($D$4="Forint",0,2))</f>
        <v>-1002</v>
      </c>
      <c r="T569" s="13"/>
      <c r="U569" s="13"/>
      <c r="V569" s="13">
        <f ca="1">$M569-$O569-$P569+$R569-$S569-IF(ROUNDUP(IF(ISBLANK($U569),$T569,$U569)/IF(AND($B569=1,$D$2&lt;&gt;"Egyszeri"),1,VLOOKUP($B569+IF($C569=12,1,0),Paraméterek!$B$257:$D$267,IF($D$2="Egyszeri",3,2))),IF($D$4="Forint",0,2))&gt;$M569-$O569-$P569+$R569-$S569-IF($D$4="Forint",Paraméterek!$C$216,Paraméterek!$D$216),0,ROUNDUP(IF(ISBLANK($U569),$T569,$U569)/IF(AND($B569=1,$D$2&lt;&gt;"Egyszeri"),1,VLOOKUP($B569+IF($C569=12,1,0),Paraméterek!$B$257:$D$267,IF($D$2="Egyszeri",3,2))),IF($D$4="Forint",0,2)))</f>
        <v>-409088</v>
      </c>
      <c r="W569" s="13">
        <f ca="1">ROUNDDOWN($V569*VLOOKUP($B569+IF($C569=12,1,0),Paraméterek!$B$257:$D$267,IF($D$2="Egyszeri",3,2)),IF($D$4="Forint",0,2))</f>
        <v>-409088</v>
      </c>
      <c r="Y569" s="32">
        <v>550</v>
      </c>
      <c r="Z569" s="32">
        <v>46</v>
      </c>
      <c r="AA569" s="32">
        <v>10</v>
      </c>
      <c r="AB569" s="13">
        <f t="shared" si="131"/>
        <v>0</v>
      </c>
      <c r="AC569" s="33"/>
      <c r="AD569" s="13">
        <f t="shared" si="127"/>
        <v>0</v>
      </c>
      <c r="AE569" s="13">
        <f>ROUNDUP(($AB569+$AD569)*VLOOKUP($Z569,Paraméterek!$P$38:$Q$38,2)/12,IF($D$4="Forint",0,2))</f>
        <v>0</v>
      </c>
      <c r="AF569" s="13">
        <f>IF($D$2="Egyszeri",IF($D$7&gt;=IF($D$4="Forint",Paraméterek!$P$223,Paraméterek!$P$224),$D$7-IF($D$4="Forint",Paraméterek!$F$223,Paraméterek!$F$224),0),MIN(IF($AA569=12,AVERAGE($D$20:$D569)*12,0),SUM($D$20:$D$31)))</f>
        <v>0</v>
      </c>
      <c r="AG569" s="13">
        <f>IF(AND($Z569&gt;=10,MOD($Z569,5)=0),$AF569*IF($AA569=12,VLOOKUP($Z569,Paraméterek!$B$225:$F$240,IF($AF569&lt;IF($D$4="Forint",Paraméterek!$C$223,Paraméterek!$C$224),2,IF($AF569&lt;IF($D$4="Forint",Paraméterek!$D$223,Paraméterek!$D$224),3,4))),0),0)</f>
        <v>0</v>
      </c>
      <c r="AH569" s="13">
        <f>IF(AND($Z569&gt;=5,MOD($Z569,5)=0),IF($AA569=12,VLOOKUP($Z569,Paraméterek!$B$225:$F$240,5),0),IF(OR($Z569=3,$Z569=4),IF($AA569=12,VLOOKUP($Z569,Paraméterek!$B$225:$F$240,5,0),0),0))*$AF569</f>
        <v>0</v>
      </c>
      <c r="AI569" s="13">
        <f>ROUNDDOWN(IF(SUM($T$20:$U569)=0,IF($D$2="Egyszeri",$AH569,$AG569),0),IF($D$4="Forint",0,2))</f>
        <v>0</v>
      </c>
      <c r="AJ569" s="13">
        <f t="shared" si="132"/>
        <v>0</v>
      </c>
      <c r="AK569" s="13">
        <f t="shared" si="133"/>
        <v>0</v>
      </c>
      <c r="AM569" s="32">
        <v>550</v>
      </c>
      <c r="AN569" s="32">
        <v>46</v>
      </c>
      <c r="AO569" s="32">
        <v>10</v>
      </c>
      <c r="AP569" s="13"/>
      <c r="AQ569" s="32"/>
      <c r="AR569" s="13">
        <f t="shared" si="134"/>
        <v>0</v>
      </c>
      <c r="AS569" s="33"/>
      <c r="AT569" s="13">
        <f t="shared" si="128"/>
        <v>0</v>
      </c>
      <c r="AU569" s="13">
        <f>ROUNDUP(($AR569+$AT569)*VLOOKUP($AN569,Paraméterek!$P$38:$Q$38,2)/12,IF($D$4="Forint",0,2))</f>
        <v>0</v>
      </c>
      <c r="AV569" s="13"/>
      <c r="AW569" s="13"/>
      <c r="AX569" s="13">
        <f>ROUNDUP(IF(SUM($AV569:$AW569)=0,0,IF(IF(ISBLANK($AW569),$AV569,$AW569)*Paraméterek!$J$112&lt;IF($D$4="Forint",Paraméterek!$J$113,Paraméterek!$K$113),IF($D$4="Forint",Paraméterek!$J$113,Paraméterek!$K$113),IF(IF(ISBLANK($AW569),$AV569,$AW569)*Paraméterek!$J$112&gt;IF($D$4="Forint",Paraméterek!$J$114,Paraméterek!$K$114),IF($D$4="Forint",Paraméterek!$J$114,Paraméterek!$K$114),IF(ISBLANK($AW569),$AV569,$AW569)*Paraméterek!$J$112))),IF($D$4="Forint",0,2))</f>
        <v>0</v>
      </c>
      <c r="AY569" s="13">
        <f>$AR569+$AT569-$AU569-IF(ROUNDDOWN(IF(ISBLANK($AW569),$AV569,$AW569),IF($D$4="Forint",0,2))&gt;$AR569+$AT569-$AU569-IF($D$4="Forint",Paraméterek!$J$114,Paraméterek!$K$114),0,ROUNDDOWN(IF(ISBLANK($AW569),$AV569,$AW569),IF($D$4="Forint",0,2))-$AX569)</f>
        <v>0</v>
      </c>
      <c r="AZ569" s="13">
        <f t="shared" si="129"/>
        <v>0</v>
      </c>
    </row>
    <row r="570" spans="1:52" x14ac:dyDescent="0.2">
      <c r="A570" s="32">
        <v>551</v>
      </c>
      <c r="B570" s="32">
        <v>46</v>
      </c>
      <c r="C570" s="32">
        <v>11</v>
      </c>
      <c r="D570" s="13">
        <f t="shared" si="120"/>
        <v>0</v>
      </c>
      <c r="E570" s="13"/>
      <c r="F570" s="13"/>
      <c r="G570" s="13"/>
      <c r="H570" s="13">
        <f t="shared" si="121"/>
        <v>0</v>
      </c>
      <c r="I570" s="13">
        <f t="shared" si="122"/>
        <v>0</v>
      </c>
      <c r="J570" s="13">
        <f t="shared" si="123"/>
        <v>0</v>
      </c>
      <c r="K570" s="13">
        <f>ROUNDUP(IF($D$2="Egyszeri",$D570,IF($D$2="Havi",SUM($D$20:$D$31),IF(MOD($C570,$M$1)-1=0,SUM($D$20:$D$31),0))/12*$M$1)*VLOOKUP($B570,Paraméterek!$B$27:$D$30,IF($D$2="Egyszeri",3,2)),IF($D$4="Forint",0,2))</f>
        <v>0</v>
      </c>
      <c r="L570" s="13">
        <f t="shared" si="124"/>
        <v>0</v>
      </c>
      <c r="M570" s="13">
        <f t="shared" ca="1" si="130"/>
        <v>-409088</v>
      </c>
      <c r="N570" s="13">
        <f ca="1">IF($V569&gt;=VLOOKUP($M$4-1+$B570,Paraméterek!$B$121:$D$122,IF($D$4="Forint",2,3)),0,VLOOKUP($M$4-1+$B570,Paraméterek!$B$121:$D$122,IF($D$4="Forint",2,3))-$V569)</f>
        <v>419088</v>
      </c>
      <c r="O570" s="13">
        <f ca="1">ROUNDUP($N570*Paraméterek!$C$58/Paraméterek!$C$56,IF($D$4="Forint",0,2))</f>
        <v>67</v>
      </c>
      <c r="P570" s="13">
        <f t="shared" si="125"/>
        <v>2080</v>
      </c>
      <c r="Q570" s="33"/>
      <c r="R570" s="13">
        <f t="shared" ca="1" si="126"/>
        <v>0</v>
      </c>
      <c r="S570" s="13">
        <f ca="1">ROUNDUP(($M570-$O570-$P570+$R570)*VLOOKUP($B570,Paraméterek!$B$38:$D$39,IF($D$2="Egyszeri",3,2))/12,IF($D$4="Forint",0,2))</f>
        <v>-1005</v>
      </c>
      <c r="T570" s="13"/>
      <c r="U570" s="13"/>
      <c r="V570" s="13">
        <f ca="1">$M570-$O570-$P570+$R570-$S570-IF(ROUNDUP(IF(ISBLANK($U570),$T570,$U570)/IF(AND($B570=1,$D$2&lt;&gt;"Egyszeri"),1,VLOOKUP($B570+IF($C570=12,1,0),Paraméterek!$B$257:$D$267,IF($D$2="Egyszeri",3,2))),IF($D$4="Forint",0,2))&gt;$M570-$O570-$P570+$R570-$S570-IF($D$4="Forint",Paraméterek!$C$216,Paraméterek!$D$216),0,ROUNDUP(IF(ISBLANK($U570),$T570,$U570)/IF(AND($B570=1,$D$2&lt;&gt;"Egyszeri"),1,VLOOKUP($B570+IF($C570=12,1,0),Paraméterek!$B$257:$D$267,IF($D$2="Egyszeri",3,2))),IF($D$4="Forint",0,2)))</f>
        <v>-410230</v>
      </c>
      <c r="W570" s="13">
        <f ca="1">ROUNDDOWN($V570*VLOOKUP($B570+IF($C570=12,1,0),Paraméterek!$B$257:$D$267,IF($D$2="Egyszeri",3,2)),IF($D$4="Forint",0,2))</f>
        <v>-410230</v>
      </c>
      <c r="Y570" s="32">
        <v>551</v>
      </c>
      <c r="Z570" s="32">
        <v>46</v>
      </c>
      <c r="AA570" s="32">
        <v>11</v>
      </c>
      <c r="AB570" s="13">
        <f t="shared" si="131"/>
        <v>0</v>
      </c>
      <c r="AC570" s="33"/>
      <c r="AD570" s="13">
        <f t="shared" si="127"/>
        <v>0</v>
      </c>
      <c r="AE570" s="13">
        <f>ROUNDUP(($AB570+$AD570)*VLOOKUP($Z570,Paraméterek!$P$38:$Q$38,2)/12,IF($D$4="Forint",0,2))</f>
        <v>0</v>
      </c>
      <c r="AF570" s="13">
        <f>IF($D$2="Egyszeri",IF($D$7&gt;=IF($D$4="Forint",Paraméterek!$P$223,Paraméterek!$P$224),$D$7-IF($D$4="Forint",Paraméterek!$F$223,Paraméterek!$F$224),0),MIN(IF($AA570=12,AVERAGE($D$20:$D570)*12,0),SUM($D$20:$D$31)))</f>
        <v>0</v>
      </c>
      <c r="AG570" s="13">
        <f>IF(AND($Z570&gt;=10,MOD($Z570,5)=0),$AF570*IF($AA570=12,VLOOKUP($Z570,Paraméterek!$B$225:$F$240,IF($AF570&lt;IF($D$4="Forint",Paraméterek!$C$223,Paraméterek!$C$224),2,IF($AF570&lt;IF($D$4="Forint",Paraméterek!$D$223,Paraméterek!$D$224),3,4))),0),0)</f>
        <v>0</v>
      </c>
      <c r="AH570" s="13">
        <f>IF(AND($Z570&gt;=5,MOD($Z570,5)=0),IF($AA570=12,VLOOKUP($Z570,Paraméterek!$B$225:$F$240,5),0),IF(OR($Z570=3,$Z570=4),IF($AA570=12,VLOOKUP($Z570,Paraméterek!$B$225:$F$240,5,0),0),0))*$AF570</f>
        <v>0</v>
      </c>
      <c r="AI570" s="13">
        <f>ROUNDDOWN(IF(SUM($T$20:$U570)=0,IF($D$2="Egyszeri",$AH570,$AG570),0),IF($D$4="Forint",0,2))</f>
        <v>0</v>
      </c>
      <c r="AJ570" s="13">
        <f t="shared" si="132"/>
        <v>0</v>
      </c>
      <c r="AK570" s="13">
        <f t="shared" si="133"/>
        <v>0</v>
      </c>
      <c r="AM570" s="32">
        <v>551</v>
      </c>
      <c r="AN570" s="32">
        <v>46</v>
      </c>
      <c r="AO570" s="32">
        <v>11</v>
      </c>
      <c r="AP570" s="13"/>
      <c r="AQ570" s="32"/>
      <c r="AR570" s="13">
        <f t="shared" si="134"/>
        <v>0</v>
      </c>
      <c r="AS570" s="33"/>
      <c r="AT570" s="13">
        <f t="shared" si="128"/>
        <v>0</v>
      </c>
      <c r="AU570" s="13">
        <f>ROUNDUP(($AR570+$AT570)*VLOOKUP($AN570,Paraméterek!$P$38:$Q$38,2)/12,IF($D$4="Forint",0,2))</f>
        <v>0</v>
      </c>
      <c r="AV570" s="13"/>
      <c r="AW570" s="13"/>
      <c r="AX570" s="13">
        <f>ROUNDUP(IF(SUM($AV570:$AW570)=0,0,IF(IF(ISBLANK($AW570),$AV570,$AW570)*Paraméterek!$J$112&lt;IF($D$4="Forint",Paraméterek!$J$113,Paraméterek!$K$113),IF($D$4="Forint",Paraméterek!$J$113,Paraméterek!$K$113),IF(IF(ISBLANK($AW570),$AV570,$AW570)*Paraméterek!$J$112&gt;IF($D$4="Forint",Paraméterek!$J$114,Paraméterek!$K$114),IF($D$4="Forint",Paraméterek!$J$114,Paraméterek!$K$114),IF(ISBLANK($AW570),$AV570,$AW570)*Paraméterek!$J$112))),IF($D$4="Forint",0,2))</f>
        <v>0</v>
      </c>
      <c r="AY570" s="13">
        <f>$AR570+$AT570-$AU570-IF(ROUNDDOWN(IF(ISBLANK($AW570),$AV570,$AW570),IF($D$4="Forint",0,2))&gt;$AR570+$AT570-$AU570-IF($D$4="Forint",Paraméterek!$J$114,Paraméterek!$K$114),0,ROUNDDOWN(IF(ISBLANK($AW570),$AV570,$AW570),IF($D$4="Forint",0,2))-$AX570)</f>
        <v>0</v>
      </c>
      <c r="AZ570" s="13">
        <f t="shared" si="129"/>
        <v>0</v>
      </c>
    </row>
    <row r="571" spans="1:52" x14ac:dyDescent="0.2">
      <c r="A571" s="32">
        <v>552</v>
      </c>
      <c r="B571" s="32">
        <v>46</v>
      </c>
      <c r="C571" s="32">
        <v>12</v>
      </c>
      <c r="D571" s="13">
        <f t="shared" si="120"/>
        <v>0</v>
      </c>
      <c r="E571" s="13"/>
      <c r="F571" s="13"/>
      <c r="G571" s="13"/>
      <c r="H571" s="13">
        <f t="shared" si="121"/>
        <v>0</v>
      </c>
      <c r="I571" s="13">
        <f t="shared" si="122"/>
        <v>0</v>
      </c>
      <c r="J571" s="13">
        <f t="shared" si="123"/>
        <v>0</v>
      </c>
      <c r="K571" s="13">
        <f>ROUNDUP(IF($D$2="Egyszeri",$D571,IF($D$2="Havi",SUM($D$20:$D$31),IF(MOD($C571,$M$1)-1=0,SUM($D$20:$D$31),0))/12*$M$1)*VLOOKUP($B571,Paraméterek!$B$27:$D$30,IF($D$2="Egyszeri",3,2)),IF($D$4="Forint",0,2))</f>
        <v>0</v>
      </c>
      <c r="L571" s="13">
        <f t="shared" si="124"/>
        <v>0</v>
      </c>
      <c r="M571" s="13">
        <f t="shared" ca="1" si="130"/>
        <v>-410230</v>
      </c>
      <c r="N571" s="13">
        <f ca="1">IF($V570&gt;=VLOOKUP($M$4-1+$B571,Paraméterek!$B$121:$D$122,IF($D$4="Forint",2,3)),0,VLOOKUP($M$4-1+$B571,Paraméterek!$B$121:$D$122,IF($D$4="Forint",2,3))-$V570)</f>
        <v>420230</v>
      </c>
      <c r="O571" s="13">
        <f ca="1">ROUNDUP($N571*Paraméterek!$C$58/Paraméterek!$C$56,IF($D$4="Forint",0,2))</f>
        <v>67</v>
      </c>
      <c r="P571" s="13">
        <f t="shared" si="125"/>
        <v>2080</v>
      </c>
      <c r="Q571" s="33"/>
      <c r="R571" s="13">
        <f t="shared" ca="1" si="126"/>
        <v>0</v>
      </c>
      <c r="S571" s="13">
        <f ca="1">ROUNDUP(($M571-$O571-$P571+$R571)*VLOOKUP($B571,Paraméterek!$B$38:$D$39,IF($D$2="Egyszeri",3,2))/12,IF($D$4="Forint",0,2))</f>
        <v>-1007</v>
      </c>
      <c r="T571" s="13">
        <f>Tranzakciók!$F$77</f>
        <v>0</v>
      </c>
      <c r="U571" s="13"/>
      <c r="V571" s="13">
        <f ca="1">$M571-$O571-$P571+$R571-$S571-IF(ROUNDUP(IF(ISBLANK($U571),$T571,$U571)/IF(AND($B571=1,$D$2&lt;&gt;"Egyszeri"),1,VLOOKUP($B571+IF($C571=12,1,0),Paraméterek!$B$257:$D$267,IF($D$2="Egyszeri",3,2))),IF($D$4="Forint",0,2))&gt;$M571-$O571-$P571+$R571-$S571-IF($D$4="Forint",Paraméterek!$C$216,Paraméterek!$D$216),0,ROUNDUP(IF(ISBLANK($U571),$T571,$U571)/IF(AND($B571=1,$D$2&lt;&gt;"Egyszeri"),1,VLOOKUP($B571+IF($C571=12,1,0),Paraméterek!$B$257:$D$267,IF($D$2="Egyszeri",3,2))),IF($D$4="Forint",0,2)))</f>
        <v>-411370</v>
      </c>
      <c r="W571" s="13">
        <f ca="1">ROUNDDOWN($V571*VLOOKUP($B571+IF($C571=12,1,0),Paraméterek!$B$257:$D$267,IF($D$2="Egyszeri",3,2)),IF($D$4="Forint",0,2))</f>
        <v>-411370</v>
      </c>
      <c r="Y571" s="32">
        <v>552</v>
      </c>
      <c r="Z571" s="32">
        <v>46</v>
      </c>
      <c r="AA571" s="32">
        <v>12</v>
      </c>
      <c r="AB571" s="13">
        <f t="shared" si="131"/>
        <v>0</v>
      </c>
      <c r="AC571" s="33"/>
      <c r="AD571" s="13">
        <f t="shared" si="127"/>
        <v>0</v>
      </c>
      <c r="AE571" s="13">
        <f>ROUNDUP(($AB571+$AD571)*VLOOKUP($Z571,Paraméterek!$P$38:$Q$38,2)/12,IF($D$4="Forint",0,2))</f>
        <v>0</v>
      </c>
      <c r="AF571" s="13">
        <f>IF($D$2="Egyszeri",IF($D$7&gt;=IF($D$4="Forint",Paraméterek!$P$223,Paraméterek!$P$224),$D$7-IF($D$4="Forint",Paraméterek!$F$223,Paraméterek!$F$224),0),MIN(IF($AA571=12,AVERAGE($D$20:$D571)*12,0),SUM($D$20:$D$31)))</f>
        <v>0</v>
      </c>
      <c r="AG571" s="13">
        <f>IF(AND($Z571&gt;=10,MOD($Z571,5)=0),$AF571*IF($AA571=12,VLOOKUP($Z571,Paraméterek!$B$225:$F$240,IF($AF571&lt;IF($D$4="Forint",Paraméterek!$C$223,Paraméterek!$C$224),2,IF($AF571&lt;IF($D$4="Forint",Paraméterek!$D$223,Paraméterek!$D$224),3,4))),0),0)</f>
        <v>0</v>
      </c>
      <c r="AH571" s="13">
        <f>IF(AND($Z571&gt;=5,MOD($Z571,5)=0),IF($AA571=12,VLOOKUP($Z571,Paraméterek!$B$225:$F$240,5),0),IF(OR($Z571=3,$Z571=4),IF($AA571=12,VLOOKUP($Z571,Paraméterek!$B$225:$F$240,5,0),0),0))*$AF571</f>
        <v>0</v>
      </c>
      <c r="AI571" s="13">
        <f>ROUNDDOWN(IF(SUM($T$20:$U571)=0,IF($D$2="Egyszeri",$AH571,$AG571),0),IF($D$4="Forint",0,2))</f>
        <v>0</v>
      </c>
      <c r="AJ571" s="13">
        <f t="shared" si="132"/>
        <v>0</v>
      </c>
      <c r="AK571" s="13">
        <f t="shared" si="133"/>
        <v>0</v>
      </c>
      <c r="AM571" s="32">
        <v>552</v>
      </c>
      <c r="AN571" s="32">
        <v>46</v>
      </c>
      <c r="AO571" s="32">
        <v>12</v>
      </c>
      <c r="AP571" s="13"/>
      <c r="AQ571" s="32"/>
      <c r="AR571" s="13">
        <f t="shared" si="134"/>
        <v>0</v>
      </c>
      <c r="AS571" s="33"/>
      <c r="AT571" s="13">
        <f t="shared" si="128"/>
        <v>0</v>
      </c>
      <c r="AU571" s="13">
        <f>ROUNDUP(($AR571+$AT571)*VLOOKUP($AN571,Paraméterek!$P$38:$Q$38,2)/12,IF($D$4="Forint",0,2))</f>
        <v>0</v>
      </c>
      <c r="AV571" s="13">
        <f>Tranzakciók!$M$77</f>
        <v>0</v>
      </c>
      <c r="AW571" s="13"/>
      <c r="AX571" s="13">
        <f>ROUNDUP(IF(SUM($AV571:$AW571)=0,0,IF(IF(ISBLANK($AW571),$AV571,$AW571)*Paraméterek!$J$112&lt;IF($D$4="Forint",Paraméterek!$J$113,Paraméterek!$K$113),IF($D$4="Forint",Paraméterek!$J$113,Paraméterek!$K$113),IF(IF(ISBLANK($AW571),$AV571,$AW571)*Paraméterek!$J$112&gt;IF($D$4="Forint",Paraméterek!$J$114,Paraméterek!$K$114),IF($D$4="Forint",Paraméterek!$J$114,Paraméterek!$K$114),IF(ISBLANK($AW571),$AV571,$AW571)*Paraméterek!$J$112))),IF($D$4="Forint",0,2))</f>
        <v>0</v>
      </c>
      <c r="AY571" s="13">
        <f>$AR571+$AT571-$AU571-IF(ROUNDDOWN(IF(ISBLANK($AW571),$AV571,$AW571),IF($D$4="Forint",0,2))&gt;$AR571+$AT571-$AU571-IF($D$4="Forint",Paraméterek!$J$114,Paraméterek!$K$114),0,ROUNDDOWN(IF(ISBLANK($AW571),$AV571,$AW571),IF($D$4="Forint",0,2))-$AX571)</f>
        <v>0</v>
      </c>
      <c r="AZ571" s="13">
        <f t="shared" si="129"/>
        <v>0</v>
      </c>
    </row>
    <row r="572" spans="1:52" x14ac:dyDescent="0.2">
      <c r="A572" s="32">
        <v>553</v>
      </c>
      <c r="B572" s="32">
        <v>47</v>
      </c>
      <c r="C572" s="32">
        <v>1</v>
      </c>
      <c r="D572" s="13">
        <f t="shared" si="120"/>
        <v>0</v>
      </c>
      <c r="E572" s="13"/>
      <c r="F572" s="13">
        <f>Tranzakciók!$D$78</f>
        <v>0</v>
      </c>
      <c r="G572" s="13"/>
      <c r="H572" s="13">
        <f t="shared" si="121"/>
        <v>0</v>
      </c>
      <c r="I572" s="13">
        <f t="shared" si="122"/>
        <v>390</v>
      </c>
      <c r="J572" s="13">
        <f t="shared" si="123"/>
        <v>390</v>
      </c>
      <c r="K572" s="13">
        <f>ROUNDUP(IF($D$2="Egyszeri",$D572,IF($D$2="Havi",SUM($D$20:$D$31),IF(MOD($C572,$M$1)-1=0,SUM($D$20:$D$31),0))/12*$M$1)*VLOOKUP($B572,Paraméterek!$B$27:$D$30,IF($D$2="Egyszeri",3,2)),IF($D$4="Forint",0,2))</f>
        <v>0</v>
      </c>
      <c r="L572" s="13">
        <f t="shared" si="124"/>
        <v>0</v>
      </c>
      <c r="M572" s="13">
        <f t="shared" ca="1" si="130"/>
        <v>-411370</v>
      </c>
      <c r="N572" s="13">
        <f ca="1">IF($V571&gt;=VLOOKUP($M$4-1+$B572,Paraméterek!$B$121:$D$122,IF($D$4="Forint",2,3)),0,VLOOKUP($M$4-1+$B572,Paraméterek!$B$121:$D$122,IF($D$4="Forint",2,3))-$V571)</f>
        <v>421370</v>
      </c>
      <c r="O572" s="13">
        <f ca="1">ROUNDUP($N572*Paraméterek!$C$58/Paraméterek!$C$56,IF($D$4="Forint",0,2))</f>
        <v>68</v>
      </c>
      <c r="P572" s="13">
        <f t="shared" si="125"/>
        <v>2143</v>
      </c>
      <c r="Q572" s="33"/>
      <c r="R572" s="13">
        <f t="shared" ca="1" si="126"/>
        <v>0</v>
      </c>
      <c r="S572" s="13">
        <f ca="1">ROUNDUP(($M572-$O572-$P572+$R572)*VLOOKUP($B572,Paraméterek!$B$38:$D$39,IF($D$2="Egyszeri",3,2))/12,IF($D$4="Forint",0,2))</f>
        <v>-1010</v>
      </c>
      <c r="T572" s="13"/>
      <c r="U572" s="13"/>
      <c r="V572" s="13">
        <f ca="1">$M572-$O572-$P572+$R572-$S572-IF(ROUNDUP(IF(ISBLANK($U572),$T572,$U572)/IF(AND($B572=1,$D$2&lt;&gt;"Egyszeri"),1,VLOOKUP($B572+IF($C572=12,1,0),Paraméterek!$B$257:$D$267,IF($D$2="Egyszeri",3,2))),IF($D$4="Forint",0,2))&gt;$M572-$O572-$P572+$R572-$S572-IF($D$4="Forint",Paraméterek!$C$216,Paraméterek!$D$216),0,ROUNDUP(IF(ISBLANK($U572),$T572,$U572)/IF(AND($B572=1,$D$2&lt;&gt;"Egyszeri"),1,VLOOKUP($B572+IF($C572=12,1,0),Paraméterek!$B$257:$D$267,IF($D$2="Egyszeri",3,2))),IF($D$4="Forint",0,2)))</f>
        <v>-412571</v>
      </c>
      <c r="W572" s="13">
        <f ca="1">ROUNDDOWN($V572*VLOOKUP($B572+IF($C572=12,1,0),Paraméterek!$B$257:$D$267,IF($D$2="Egyszeri",3,2)),IF($D$4="Forint",0,2))</f>
        <v>-412571</v>
      </c>
      <c r="Y572" s="32">
        <v>553</v>
      </c>
      <c r="Z572" s="32">
        <v>47</v>
      </c>
      <c r="AA572" s="32">
        <v>1</v>
      </c>
      <c r="AB572" s="13">
        <f t="shared" si="131"/>
        <v>0</v>
      </c>
      <c r="AC572" s="33"/>
      <c r="AD572" s="13">
        <f t="shared" si="127"/>
        <v>0</v>
      </c>
      <c r="AE572" s="13">
        <f>ROUNDUP(($AB572+$AD572)*VLOOKUP($Z572,Paraméterek!$P$38:$Q$38,2)/12,IF($D$4="Forint",0,2))</f>
        <v>0</v>
      </c>
      <c r="AF572" s="13">
        <f>IF($D$2="Egyszeri",IF($D$7&gt;=IF($D$4="Forint",Paraméterek!$P$223,Paraméterek!$P$224),$D$7-IF($D$4="Forint",Paraméterek!$F$223,Paraméterek!$F$224),0),MIN(IF($AA572=12,AVERAGE($D$20:$D572)*12,0),SUM($D$20:$D$31)))</f>
        <v>0</v>
      </c>
      <c r="AG572" s="13">
        <f>IF(AND($Z572&gt;=10,MOD($Z572,5)=0),$AF572*IF($AA572=12,VLOOKUP($Z572,Paraméterek!$B$225:$F$240,IF($AF572&lt;IF($D$4="Forint",Paraméterek!$C$223,Paraméterek!$C$224),2,IF($AF572&lt;IF($D$4="Forint",Paraméterek!$D$223,Paraméterek!$D$224),3,4))),0),0)</f>
        <v>0</v>
      </c>
      <c r="AH572" s="13">
        <f>IF(AND($Z572&gt;=5,MOD($Z572,5)=0),IF($AA572=12,VLOOKUP($Z572,Paraméterek!$B$225:$F$240,5),0),IF(OR($Z572=3,$Z572=4),IF($AA572=12,VLOOKUP($Z572,Paraméterek!$B$225:$F$240,5,0),0),0))*$AF572</f>
        <v>0</v>
      </c>
      <c r="AI572" s="13">
        <f>ROUNDDOWN(IF(SUM($T$20:$U572)=0,IF($D$2="Egyszeri",$AH572,$AG572),0),IF($D$4="Forint",0,2))</f>
        <v>0</v>
      </c>
      <c r="AJ572" s="13">
        <f t="shared" si="132"/>
        <v>0</v>
      </c>
      <c r="AK572" s="13">
        <f t="shared" si="133"/>
        <v>0</v>
      </c>
      <c r="AM572" s="32">
        <v>553</v>
      </c>
      <c r="AN572" s="32">
        <v>47</v>
      </c>
      <c r="AO572" s="32">
        <v>1</v>
      </c>
      <c r="AP572" s="13">
        <f>Tranzakciók!$K$78</f>
        <v>0</v>
      </c>
      <c r="AQ572" s="32"/>
      <c r="AR572" s="13">
        <f t="shared" si="134"/>
        <v>0</v>
      </c>
      <c r="AS572" s="33"/>
      <c r="AT572" s="13">
        <f t="shared" si="128"/>
        <v>0</v>
      </c>
      <c r="AU572" s="13">
        <f>ROUNDUP(($AR572+$AT572)*VLOOKUP($AN572,Paraméterek!$P$38:$Q$38,2)/12,IF($D$4="Forint",0,2))</f>
        <v>0</v>
      </c>
      <c r="AV572" s="13"/>
      <c r="AW572" s="13"/>
      <c r="AX572" s="13">
        <f>ROUNDUP(IF(SUM($AV572:$AW572)=0,0,IF(IF(ISBLANK($AW572),$AV572,$AW572)*Paraméterek!$J$112&lt;IF($D$4="Forint",Paraméterek!$J$113,Paraméterek!$K$113),IF($D$4="Forint",Paraméterek!$J$113,Paraméterek!$K$113),IF(IF(ISBLANK($AW572),$AV572,$AW572)*Paraméterek!$J$112&gt;IF($D$4="Forint",Paraméterek!$J$114,Paraméterek!$K$114),IF($D$4="Forint",Paraméterek!$J$114,Paraméterek!$K$114),IF(ISBLANK($AW572),$AV572,$AW572)*Paraméterek!$J$112))),IF($D$4="Forint",0,2))</f>
        <v>0</v>
      </c>
      <c r="AY572" s="13">
        <f>$AR572+$AT572-$AU572-IF(ROUNDDOWN(IF(ISBLANK($AW572),$AV572,$AW572),IF($D$4="Forint",0,2))&gt;$AR572+$AT572-$AU572-IF($D$4="Forint",Paraméterek!$J$114,Paraméterek!$K$114),0,ROUNDDOWN(IF(ISBLANK($AW572),$AV572,$AW572),IF($D$4="Forint",0,2))-$AX572)</f>
        <v>0</v>
      </c>
      <c r="AZ572" s="13">
        <f t="shared" si="129"/>
        <v>0</v>
      </c>
    </row>
    <row r="573" spans="1:52" x14ac:dyDescent="0.2">
      <c r="A573" s="32">
        <v>554</v>
      </c>
      <c r="B573" s="32">
        <v>47</v>
      </c>
      <c r="C573" s="32">
        <v>2</v>
      </c>
      <c r="D573" s="13">
        <f t="shared" si="120"/>
        <v>0</v>
      </c>
      <c r="E573" s="13"/>
      <c r="F573" s="13"/>
      <c r="G573" s="13"/>
      <c r="H573" s="13">
        <f t="shared" si="121"/>
        <v>0</v>
      </c>
      <c r="I573" s="13">
        <f t="shared" si="122"/>
        <v>0</v>
      </c>
      <c r="J573" s="13">
        <f t="shared" si="123"/>
        <v>0</v>
      </c>
      <c r="K573" s="13">
        <f>ROUNDUP(IF($D$2="Egyszeri",$D573,IF($D$2="Havi",SUM($D$20:$D$31),IF(MOD($C573,$M$1)-1=0,SUM($D$20:$D$31),0))/12*$M$1)*VLOOKUP($B573,Paraméterek!$B$27:$D$30,IF($D$2="Egyszeri",3,2)),IF($D$4="Forint",0,2))</f>
        <v>0</v>
      </c>
      <c r="L573" s="13">
        <f t="shared" si="124"/>
        <v>0</v>
      </c>
      <c r="M573" s="13">
        <f t="shared" ca="1" si="130"/>
        <v>-412571</v>
      </c>
      <c r="N573" s="13">
        <f ca="1">IF($V572&gt;=VLOOKUP($M$4-1+$B573,Paraméterek!$B$121:$D$122,IF($D$4="Forint",2,3)),0,VLOOKUP($M$4-1+$B573,Paraméterek!$B$121:$D$122,IF($D$4="Forint",2,3))-$V572)</f>
        <v>422571</v>
      </c>
      <c r="O573" s="13">
        <f ca="1">ROUNDUP($N573*Paraméterek!$C$58/Paraméterek!$C$56,IF($D$4="Forint",0,2))</f>
        <v>68</v>
      </c>
      <c r="P573" s="13">
        <f t="shared" si="125"/>
        <v>2143</v>
      </c>
      <c r="Q573" s="33"/>
      <c r="R573" s="13">
        <f t="shared" ca="1" si="126"/>
        <v>0</v>
      </c>
      <c r="S573" s="13">
        <f ca="1">ROUNDUP(($M573-$O573-$P573+$R573)*VLOOKUP($B573,Paraméterek!$B$38:$D$39,IF($D$2="Egyszeri",3,2))/12,IF($D$4="Forint",0,2))</f>
        <v>-1013</v>
      </c>
      <c r="T573" s="13"/>
      <c r="U573" s="13"/>
      <c r="V573" s="13">
        <f ca="1">$M573-$O573-$P573+$R573-$S573-IF(ROUNDUP(IF(ISBLANK($U573),$T573,$U573)/IF(AND($B573=1,$D$2&lt;&gt;"Egyszeri"),1,VLOOKUP($B573+IF($C573=12,1,0),Paraméterek!$B$257:$D$267,IF($D$2="Egyszeri",3,2))),IF($D$4="Forint",0,2))&gt;$M573-$O573-$P573+$R573-$S573-IF($D$4="Forint",Paraméterek!$C$216,Paraméterek!$D$216),0,ROUNDUP(IF(ISBLANK($U573),$T573,$U573)/IF(AND($B573=1,$D$2&lt;&gt;"Egyszeri"),1,VLOOKUP($B573+IF($C573=12,1,0),Paraméterek!$B$257:$D$267,IF($D$2="Egyszeri",3,2))),IF($D$4="Forint",0,2)))</f>
        <v>-413769</v>
      </c>
      <c r="W573" s="13">
        <f ca="1">ROUNDDOWN($V573*VLOOKUP($B573+IF($C573=12,1,0),Paraméterek!$B$257:$D$267,IF($D$2="Egyszeri",3,2)),IF($D$4="Forint",0,2))</f>
        <v>-413769</v>
      </c>
      <c r="Y573" s="32">
        <v>554</v>
      </c>
      <c r="Z573" s="32">
        <v>47</v>
      </c>
      <c r="AA573" s="32">
        <v>2</v>
      </c>
      <c r="AB573" s="13">
        <f t="shared" si="131"/>
        <v>0</v>
      </c>
      <c r="AC573" s="33"/>
      <c r="AD573" s="13">
        <f t="shared" si="127"/>
        <v>0</v>
      </c>
      <c r="AE573" s="13">
        <f>ROUNDUP(($AB573+$AD573)*VLOOKUP($Z573,Paraméterek!$P$38:$Q$38,2)/12,IF($D$4="Forint",0,2))</f>
        <v>0</v>
      </c>
      <c r="AF573" s="13">
        <f>IF($D$2="Egyszeri",IF($D$7&gt;=IF($D$4="Forint",Paraméterek!$P$223,Paraméterek!$P$224),$D$7-IF($D$4="Forint",Paraméterek!$F$223,Paraméterek!$F$224),0),MIN(IF($AA573=12,AVERAGE($D$20:$D573)*12,0),SUM($D$20:$D$31)))</f>
        <v>0</v>
      </c>
      <c r="AG573" s="13">
        <f>IF(AND($Z573&gt;=10,MOD($Z573,5)=0),$AF573*IF($AA573=12,VLOOKUP($Z573,Paraméterek!$B$225:$F$240,IF($AF573&lt;IF($D$4="Forint",Paraméterek!$C$223,Paraméterek!$C$224),2,IF($AF573&lt;IF($D$4="Forint",Paraméterek!$D$223,Paraméterek!$D$224),3,4))),0),0)</f>
        <v>0</v>
      </c>
      <c r="AH573" s="13">
        <f>IF(AND($Z573&gt;=5,MOD($Z573,5)=0),IF($AA573=12,VLOOKUP($Z573,Paraméterek!$B$225:$F$240,5),0),IF(OR($Z573=3,$Z573=4),IF($AA573=12,VLOOKUP($Z573,Paraméterek!$B$225:$F$240,5,0),0),0))*$AF573</f>
        <v>0</v>
      </c>
      <c r="AI573" s="13">
        <f>ROUNDDOWN(IF(SUM($T$20:$U573)=0,IF($D$2="Egyszeri",$AH573,$AG573),0),IF($D$4="Forint",0,2))</f>
        <v>0</v>
      </c>
      <c r="AJ573" s="13">
        <f t="shared" si="132"/>
        <v>0</v>
      </c>
      <c r="AK573" s="13">
        <f t="shared" si="133"/>
        <v>0</v>
      </c>
      <c r="AM573" s="32">
        <v>554</v>
      </c>
      <c r="AN573" s="32">
        <v>47</v>
      </c>
      <c r="AO573" s="32">
        <v>2</v>
      </c>
      <c r="AP573" s="13"/>
      <c r="AQ573" s="32"/>
      <c r="AR573" s="13">
        <f t="shared" si="134"/>
        <v>0</v>
      </c>
      <c r="AS573" s="33"/>
      <c r="AT573" s="13">
        <f t="shared" si="128"/>
        <v>0</v>
      </c>
      <c r="AU573" s="13">
        <f>ROUNDUP(($AR573+$AT573)*VLOOKUP($AN573,Paraméterek!$P$38:$Q$38,2)/12,IF($D$4="Forint",0,2))</f>
        <v>0</v>
      </c>
      <c r="AV573" s="13"/>
      <c r="AW573" s="13"/>
      <c r="AX573" s="13">
        <f>ROUNDUP(IF(SUM($AV573:$AW573)=0,0,IF(IF(ISBLANK($AW573),$AV573,$AW573)*Paraméterek!$J$112&lt;IF($D$4="Forint",Paraméterek!$J$113,Paraméterek!$K$113),IF($D$4="Forint",Paraméterek!$J$113,Paraméterek!$K$113),IF(IF(ISBLANK($AW573),$AV573,$AW573)*Paraméterek!$J$112&gt;IF($D$4="Forint",Paraméterek!$J$114,Paraméterek!$K$114),IF($D$4="Forint",Paraméterek!$J$114,Paraméterek!$K$114),IF(ISBLANK($AW573),$AV573,$AW573)*Paraméterek!$J$112))),IF($D$4="Forint",0,2))</f>
        <v>0</v>
      </c>
      <c r="AY573" s="13">
        <f>$AR573+$AT573-$AU573-IF(ROUNDDOWN(IF(ISBLANK($AW573),$AV573,$AW573),IF($D$4="Forint",0,2))&gt;$AR573+$AT573-$AU573-IF($D$4="Forint",Paraméterek!$J$114,Paraméterek!$K$114),0,ROUNDDOWN(IF(ISBLANK($AW573),$AV573,$AW573),IF($D$4="Forint",0,2))-$AX573)</f>
        <v>0</v>
      </c>
      <c r="AZ573" s="13">
        <f t="shared" si="129"/>
        <v>0</v>
      </c>
    </row>
    <row r="574" spans="1:52" x14ac:dyDescent="0.2">
      <c r="A574" s="32">
        <v>555</v>
      </c>
      <c r="B574" s="32">
        <v>47</v>
      </c>
      <c r="C574" s="32">
        <v>3</v>
      </c>
      <c r="D574" s="13">
        <f t="shared" si="120"/>
        <v>0</v>
      </c>
      <c r="E574" s="13"/>
      <c r="F574" s="13"/>
      <c r="G574" s="13"/>
      <c r="H574" s="13">
        <f t="shared" si="121"/>
        <v>0</v>
      </c>
      <c r="I574" s="13">
        <f t="shared" si="122"/>
        <v>0</v>
      </c>
      <c r="J574" s="13">
        <f t="shared" si="123"/>
        <v>0</v>
      </c>
      <c r="K574" s="13">
        <f>ROUNDUP(IF($D$2="Egyszeri",$D574,IF($D$2="Havi",SUM($D$20:$D$31),IF(MOD($C574,$M$1)-1=0,SUM($D$20:$D$31),0))/12*$M$1)*VLOOKUP($B574,Paraméterek!$B$27:$D$30,IF($D$2="Egyszeri",3,2)),IF($D$4="Forint",0,2))</f>
        <v>0</v>
      </c>
      <c r="L574" s="13">
        <f t="shared" si="124"/>
        <v>0</v>
      </c>
      <c r="M574" s="13">
        <f t="shared" ca="1" si="130"/>
        <v>-413769</v>
      </c>
      <c r="N574" s="13">
        <f ca="1">IF($V573&gt;=VLOOKUP($M$4-1+$B574,Paraméterek!$B$121:$D$122,IF($D$4="Forint",2,3)),0,VLOOKUP($M$4-1+$B574,Paraméterek!$B$121:$D$122,IF($D$4="Forint",2,3))-$V573)</f>
        <v>423769</v>
      </c>
      <c r="O574" s="13">
        <f ca="1">ROUNDUP($N574*Paraméterek!$C$58/Paraméterek!$C$56,IF($D$4="Forint",0,2))</f>
        <v>68</v>
      </c>
      <c r="P574" s="13">
        <f t="shared" si="125"/>
        <v>2143</v>
      </c>
      <c r="Q574" s="33"/>
      <c r="R574" s="13">
        <f t="shared" ca="1" si="126"/>
        <v>0</v>
      </c>
      <c r="S574" s="13">
        <f ca="1">ROUNDUP(($M574-$O574-$P574+$R574)*VLOOKUP($B574,Paraméterek!$B$38:$D$39,IF($D$2="Egyszeri",3,2))/12,IF($D$4="Forint",0,2))</f>
        <v>-1016</v>
      </c>
      <c r="T574" s="13"/>
      <c r="U574" s="13"/>
      <c r="V574" s="13">
        <f ca="1">$M574-$O574-$P574+$R574-$S574-IF(ROUNDUP(IF(ISBLANK($U574),$T574,$U574)/IF(AND($B574=1,$D$2&lt;&gt;"Egyszeri"),1,VLOOKUP($B574+IF($C574=12,1,0),Paraméterek!$B$257:$D$267,IF($D$2="Egyszeri",3,2))),IF($D$4="Forint",0,2))&gt;$M574-$O574-$P574+$R574-$S574-IF($D$4="Forint",Paraméterek!$C$216,Paraméterek!$D$216),0,ROUNDUP(IF(ISBLANK($U574),$T574,$U574)/IF(AND($B574=1,$D$2&lt;&gt;"Egyszeri"),1,VLOOKUP($B574+IF($C574=12,1,0),Paraméterek!$B$257:$D$267,IF($D$2="Egyszeri",3,2))),IF($D$4="Forint",0,2)))</f>
        <v>-414964</v>
      </c>
      <c r="W574" s="13">
        <f ca="1">ROUNDDOWN($V574*VLOOKUP($B574+IF($C574=12,1,0),Paraméterek!$B$257:$D$267,IF($D$2="Egyszeri",3,2)),IF($D$4="Forint",0,2))</f>
        <v>-414964</v>
      </c>
      <c r="Y574" s="32">
        <v>555</v>
      </c>
      <c r="Z574" s="32">
        <v>47</v>
      </c>
      <c r="AA574" s="32">
        <v>3</v>
      </c>
      <c r="AB574" s="13">
        <f t="shared" si="131"/>
        <v>0</v>
      </c>
      <c r="AC574" s="33"/>
      <c r="AD574" s="13">
        <f t="shared" si="127"/>
        <v>0</v>
      </c>
      <c r="AE574" s="13">
        <f>ROUNDUP(($AB574+$AD574)*VLOOKUP($Z574,Paraméterek!$P$38:$Q$38,2)/12,IF($D$4="Forint",0,2))</f>
        <v>0</v>
      </c>
      <c r="AF574" s="13">
        <f>IF($D$2="Egyszeri",IF($D$7&gt;=IF($D$4="Forint",Paraméterek!$P$223,Paraméterek!$P$224),$D$7-IF($D$4="Forint",Paraméterek!$F$223,Paraméterek!$F$224),0),MIN(IF($AA574=12,AVERAGE($D$20:$D574)*12,0),SUM($D$20:$D$31)))</f>
        <v>0</v>
      </c>
      <c r="AG574" s="13">
        <f>IF(AND($Z574&gt;=10,MOD($Z574,5)=0),$AF574*IF($AA574=12,VLOOKUP($Z574,Paraméterek!$B$225:$F$240,IF($AF574&lt;IF($D$4="Forint",Paraméterek!$C$223,Paraméterek!$C$224),2,IF($AF574&lt;IF($D$4="Forint",Paraméterek!$D$223,Paraméterek!$D$224),3,4))),0),0)</f>
        <v>0</v>
      </c>
      <c r="AH574" s="13">
        <f>IF(AND($Z574&gt;=5,MOD($Z574,5)=0),IF($AA574=12,VLOOKUP($Z574,Paraméterek!$B$225:$F$240,5),0),IF(OR($Z574=3,$Z574=4),IF($AA574=12,VLOOKUP($Z574,Paraméterek!$B$225:$F$240,5,0),0),0))*$AF574</f>
        <v>0</v>
      </c>
      <c r="AI574" s="13">
        <f>ROUNDDOWN(IF(SUM($T$20:$U574)=0,IF($D$2="Egyszeri",$AH574,$AG574),0),IF($D$4="Forint",0,2))</f>
        <v>0</v>
      </c>
      <c r="AJ574" s="13">
        <f t="shared" si="132"/>
        <v>0</v>
      </c>
      <c r="AK574" s="13">
        <f t="shared" si="133"/>
        <v>0</v>
      </c>
      <c r="AM574" s="32">
        <v>555</v>
      </c>
      <c r="AN574" s="32">
        <v>47</v>
      </c>
      <c r="AO574" s="32">
        <v>3</v>
      </c>
      <c r="AP574" s="13"/>
      <c r="AQ574" s="32"/>
      <c r="AR574" s="13">
        <f t="shared" si="134"/>
        <v>0</v>
      </c>
      <c r="AS574" s="33"/>
      <c r="AT574" s="13">
        <f t="shared" si="128"/>
        <v>0</v>
      </c>
      <c r="AU574" s="13">
        <f>ROUNDUP(($AR574+$AT574)*VLOOKUP($AN574,Paraméterek!$P$38:$Q$38,2)/12,IF($D$4="Forint",0,2))</f>
        <v>0</v>
      </c>
      <c r="AV574" s="13"/>
      <c r="AW574" s="13"/>
      <c r="AX574" s="13">
        <f>ROUNDUP(IF(SUM($AV574:$AW574)=0,0,IF(IF(ISBLANK($AW574),$AV574,$AW574)*Paraméterek!$J$112&lt;IF($D$4="Forint",Paraméterek!$J$113,Paraméterek!$K$113),IF($D$4="Forint",Paraméterek!$J$113,Paraméterek!$K$113),IF(IF(ISBLANK($AW574),$AV574,$AW574)*Paraméterek!$J$112&gt;IF($D$4="Forint",Paraméterek!$J$114,Paraméterek!$K$114),IF($D$4="Forint",Paraméterek!$J$114,Paraméterek!$K$114),IF(ISBLANK($AW574),$AV574,$AW574)*Paraméterek!$J$112))),IF($D$4="Forint",0,2))</f>
        <v>0</v>
      </c>
      <c r="AY574" s="13">
        <f>$AR574+$AT574-$AU574-IF(ROUNDDOWN(IF(ISBLANK($AW574),$AV574,$AW574),IF($D$4="Forint",0,2))&gt;$AR574+$AT574-$AU574-IF($D$4="Forint",Paraméterek!$J$114,Paraméterek!$K$114),0,ROUNDDOWN(IF(ISBLANK($AW574),$AV574,$AW574),IF($D$4="Forint",0,2))-$AX574)</f>
        <v>0</v>
      </c>
      <c r="AZ574" s="13">
        <f t="shared" si="129"/>
        <v>0</v>
      </c>
    </row>
    <row r="575" spans="1:52" x14ac:dyDescent="0.2">
      <c r="A575" s="32">
        <v>556</v>
      </c>
      <c r="B575" s="32">
        <v>47</v>
      </c>
      <c r="C575" s="32">
        <v>4</v>
      </c>
      <c r="D575" s="13">
        <f t="shared" si="120"/>
        <v>0</v>
      </c>
      <c r="E575" s="13"/>
      <c r="F575" s="13"/>
      <c r="G575" s="13"/>
      <c r="H575" s="13">
        <f t="shared" si="121"/>
        <v>0</v>
      </c>
      <c r="I575" s="13">
        <f t="shared" si="122"/>
        <v>0</v>
      </c>
      <c r="J575" s="13">
        <f t="shared" si="123"/>
        <v>0</v>
      </c>
      <c r="K575" s="13">
        <f>ROUNDUP(IF($D$2="Egyszeri",$D575,IF($D$2="Havi",SUM($D$20:$D$31),IF(MOD($C575,$M$1)-1=0,SUM($D$20:$D$31),0))/12*$M$1)*VLOOKUP($B575,Paraméterek!$B$27:$D$30,IF($D$2="Egyszeri",3,2)),IF($D$4="Forint",0,2))</f>
        <v>0</v>
      </c>
      <c r="L575" s="13">
        <f t="shared" si="124"/>
        <v>0</v>
      </c>
      <c r="M575" s="13">
        <f t="shared" ca="1" si="130"/>
        <v>-414964</v>
      </c>
      <c r="N575" s="13">
        <f ca="1">IF($V574&gt;=VLOOKUP($M$4-1+$B575,Paraméterek!$B$121:$D$122,IF($D$4="Forint",2,3)),0,VLOOKUP($M$4-1+$B575,Paraméterek!$B$121:$D$122,IF($D$4="Forint",2,3))-$V574)</f>
        <v>424964</v>
      </c>
      <c r="O575" s="13">
        <f ca="1">ROUNDUP($N575*Paraméterek!$C$58/Paraméterek!$C$56,IF($D$4="Forint",0,2))</f>
        <v>68</v>
      </c>
      <c r="P575" s="13">
        <f t="shared" si="125"/>
        <v>2143</v>
      </c>
      <c r="Q575" s="33"/>
      <c r="R575" s="13">
        <f t="shared" ca="1" si="126"/>
        <v>0</v>
      </c>
      <c r="S575" s="13">
        <f ca="1">ROUNDUP(($M575-$O575-$P575+$R575)*VLOOKUP($B575,Paraméterek!$B$38:$D$39,IF($D$2="Egyszeri",3,2))/12,IF($D$4="Forint",0,2))</f>
        <v>-1019</v>
      </c>
      <c r="T575" s="13"/>
      <c r="U575" s="13"/>
      <c r="V575" s="13">
        <f ca="1">$M575-$O575-$P575+$R575-$S575-IF(ROUNDUP(IF(ISBLANK($U575),$T575,$U575)/IF(AND($B575=1,$D$2&lt;&gt;"Egyszeri"),1,VLOOKUP($B575+IF($C575=12,1,0),Paraméterek!$B$257:$D$267,IF($D$2="Egyszeri",3,2))),IF($D$4="Forint",0,2))&gt;$M575-$O575-$P575+$R575-$S575-IF($D$4="Forint",Paraméterek!$C$216,Paraméterek!$D$216),0,ROUNDUP(IF(ISBLANK($U575),$T575,$U575)/IF(AND($B575=1,$D$2&lt;&gt;"Egyszeri"),1,VLOOKUP($B575+IF($C575=12,1,0),Paraméterek!$B$257:$D$267,IF($D$2="Egyszeri",3,2))),IF($D$4="Forint",0,2)))</f>
        <v>-416156</v>
      </c>
      <c r="W575" s="13">
        <f ca="1">ROUNDDOWN($V575*VLOOKUP($B575+IF($C575=12,1,0),Paraméterek!$B$257:$D$267,IF($D$2="Egyszeri",3,2)),IF($D$4="Forint",0,2))</f>
        <v>-416156</v>
      </c>
      <c r="Y575" s="32">
        <v>556</v>
      </c>
      <c r="Z575" s="32">
        <v>47</v>
      </c>
      <c r="AA575" s="32">
        <v>4</v>
      </c>
      <c r="AB575" s="13">
        <f t="shared" si="131"/>
        <v>0</v>
      </c>
      <c r="AC575" s="33"/>
      <c r="AD575" s="13">
        <f t="shared" si="127"/>
        <v>0</v>
      </c>
      <c r="AE575" s="13">
        <f>ROUNDUP(($AB575+$AD575)*VLOOKUP($Z575,Paraméterek!$P$38:$Q$38,2)/12,IF($D$4="Forint",0,2))</f>
        <v>0</v>
      </c>
      <c r="AF575" s="13">
        <f>IF($D$2="Egyszeri",IF($D$7&gt;=IF($D$4="Forint",Paraméterek!$P$223,Paraméterek!$P$224),$D$7-IF($D$4="Forint",Paraméterek!$F$223,Paraméterek!$F$224),0),MIN(IF($AA575=12,AVERAGE($D$20:$D575)*12,0),SUM($D$20:$D$31)))</f>
        <v>0</v>
      </c>
      <c r="AG575" s="13">
        <f>IF(AND($Z575&gt;=10,MOD($Z575,5)=0),$AF575*IF($AA575=12,VLOOKUP($Z575,Paraméterek!$B$225:$F$240,IF($AF575&lt;IF($D$4="Forint",Paraméterek!$C$223,Paraméterek!$C$224),2,IF($AF575&lt;IF($D$4="Forint",Paraméterek!$D$223,Paraméterek!$D$224),3,4))),0),0)</f>
        <v>0</v>
      </c>
      <c r="AH575" s="13">
        <f>IF(AND($Z575&gt;=5,MOD($Z575,5)=0),IF($AA575=12,VLOOKUP($Z575,Paraméterek!$B$225:$F$240,5),0),IF(OR($Z575=3,$Z575=4),IF($AA575=12,VLOOKUP($Z575,Paraméterek!$B$225:$F$240,5,0),0),0))*$AF575</f>
        <v>0</v>
      </c>
      <c r="AI575" s="13">
        <f>ROUNDDOWN(IF(SUM($T$20:$U575)=0,IF($D$2="Egyszeri",$AH575,$AG575),0),IF($D$4="Forint",0,2))</f>
        <v>0</v>
      </c>
      <c r="AJ575" s="13">
        <f t="shared" si="132"/>
        <v>0</v>
      </c>
      <c r="AK575" s="13">
        <f t="shared" si="133"/>
        <v>0</v>
      </c>
      <c r="AM575" s="32">
        <v>556</v>
      </c>
      <c r="AN575" s="32">
        <v>47</v>
      </c>
      <c r="AO575" s="32">
        <v>4</v>
      </c>
      <c r="AP575" s="13"/>
      <c r="AQ575" s="32"/>
      <c r="AR575" s="13">
        <f t="shared" si="134"/>
        <v>0</v>
      </c>
      <c r="AS575" s="33"/>
      <c r="AT575" s="13">
        <f t="shared" si="128"/>
        <v>0</v>
      </c>
      <c r="AU575" s="13">
        <f>ROUNDUP(($AR575+$AT575)*VLOOKUP($AN575,Paraméterek!$P$38:$Q$38,2)/12,IF($D$4="Forint",0,2))</f>
        <v>0</v>
      </c>
      <c r="AV575" s="13"/>
      <c r="AW575" s="13"/>
      <c r="AX575" s="13">
        <f>ROUNDUP(IF(SUM($AV575:$AW575)=0,0,IF(IF(ISBLANK($AW575),$AV575,$AW575)*Paraméterek!$J$112&lt;IF($D$4="Forint",Paraméterek!$J$113,Paraméterek!$K$113),IF($D$4="Forint",Paraméterek!$J$113,Paraméterek!$K$113),IF(IF(ISBLANK($AW575),$AV575,$AW575)*Paraméterek!$J$112&gt;IF($D$4="Forint",Paraméterek!$J$114,Paraméterek!$K$114),IF($D$4="Forint",Paraméterek!$J$114,Paraméterek!$K$114),IF(ISBLANK($AW575),$AV575,$AW575)*Paraméterek!$J$112))),IF($D$4="Forint",0,2))</f>
        <v>0</v>
      </c>
      <c r="AY575" s="13">
        <f>$AR575+$AT575-$AU575-IF(ROUNDDOWN(IF(ISBLANK($AW575),$AV575,$AW575),IF($D$4="Forint",0,2))&gt;$AR575+$AT575-$AU575-IF($D$4="Forint",Paraméterek!$J$114,Paraméterek!$K$114),0,ROUNDDOWN(IF(ISBLANK($AW575),$AV575,$AW575),IF($D$4="Forint",0,2))-$AX575)</f>
        <v>0</v>
      </c>
      <c r="AZ575" s="13">
        <f t="shared" si="129"/>
        <v>0</v>
      </c>
    </row>
    <row r="576" spans="1:52" x14ac:dyDescent="0.2">
      <c r="A576" s="32">
        <v>557</v>
      </c>
      <c r="B576" s="32">
        <v>47</v>
      </c>
      <c r="C576" s="32">
        <v>5</v>
      </c>
      <c r="D576" s="13">
        <f t="shared" si="120"/>
        <v>0</v>
      </c>
      <c r="E576" s="13"/>
      <c r="F576" s="13"/>
      <c r="G576" s="13"/>
      <c r="H576" s="13">
        <f t="shared" si="121"/>
        <v>0</v>
      </c>
      <c r="I576" s="13">
        <f t="shared" si="122"/>
        <v>0</v>
      </c>
      <c r="J576" s="13">
        <f t="shared" si="123"/>
        <v>0</v>
      </c>
      <c r="K576" s="13">
        <f>ROUNDUP(IF($D$2="Egyszeri",$D576,IF($D$2="Havi",SUM($D$20:$D$31),IF(MOD($C576,$M$1)-1=0,SUM($D$20:$D$31),0))/12*$M$1)*VLOOKUP($B576,Paraméterek!$B$27:$D$30,IF($D$2="Egyszeri",3,2)),IF($D$4="Forint",0,2))</f>
        <v>0</v>
      </c>
      <c r="L576" s="13">
        <f t="shared" si="124"/>
        <v>0</v>
      </c>
      <c r="M576" s="13">
        <f t="shared" ca="1" si="130"/>
        <v>-416156</v>
      </c>
      <c r="N576" s="13">
        <f ca="1">IF($V575&gt;=VLOOKUP($M$4-1+$B576,Paraméterek!$B$121:$D$122,IF($D$4="Forint",2,3)),0,VLOOKUP($M$4-1+$B576,Paraméterek!$B$121:$D$122,IF($D$4="Forint",2,3))-$V575)</f>
        <v>426156</v>
      </c>
      <c r="O576" s="13">
        <f ca="1">ROUNDUP($N576*Paraméterek!$C$58/Paraméterek!$C$56,IF($D$4="Forint",0,2))</f>
        <v>68</v>
      </c>
      <c r="P576" s="13">
        <f t="shared" si="125"/>
        <v>2143</v>
      </c>
      <c r="Q576" s="33"/>
      <c r="R576" s="13">
        <f t="shared" ca="1" si="126"/>
        <v>0</v>
      </c>
      <c r="S576" s="13">
        <f ca="1">ROUNDUP(($M576-$O576-$P576+$R576)*VLOOKUP($B576,Paraméterek!$B$38:$D$39,IF($D$2="Egyszeri",3,2))/12,IF($D$4="Forint",0,2))</f>
        <v>-1022</v>
      </c>
      <c r="T576" s="13"/>
      <c r="U576" s="13"/>
      <c r="V576" s="13">
        <f ca="1">$M576-$O576-$P576+$R576-$S576-IF(ROUNDUP(IF(ISBLANK($U576),$T576,$U576)/IF(AND($B576=1,$D$2&lt;&gt;"Egyszeri"),1,VLOOKUP($B576+IF($C576=12,1,0),Paraméterek!$B$257:$D$267,IF($D$2="Egyszeri",3,2))),IF($D$4="Forint",0,2))&gt;$M576-$O576-$P576+$R576-$S576-IF($D$4="Forint",Paraméterek!$C$216,Paraméterek!$D$216),0,ROUNDUP(IF(ISBLANK($U576),$T576,$U576)/IF(AND($B576=1,$D$2&lt;&gt;"Egyszeri"),1,VLOOKUP($B576+IF($C576=12,1,0),Paraméterek!$B$257:$D$267,IF($D$2="Egyszeri",3,2))),IF($D$4="Forint",0,2)))</f>
        <v>-417345</v>
      </c>
      <c r="W576" s="13">
        <f ca="1">ROUNDDOWN($V576*VLOOKUP($B576+IF($C576=12,1,0),Paraméterek!$B$257:$D$267,IF($D$2="Egyszeri",3,2)),IF($D$4="Forint",0,2))</f>
        <v>-417345</v>
      </c>
      <c r="Y576" s="32">
        <v>557</v>
      </c>
      <c r="Z576" s="32">
        <v>47</v>
      </c>
      <c r="AA576" s="32">
        <v>5</v>
      </c>
      <c r="AB576" s="13">
        <f t="shared" si="131"/>
        <v>0</v>
      </c>
      <c r="AC576" s="33"/>
      <c r="AD576" s="13">
        <f t="shared" si="127"/>
        <v>0</v>
      </c>
      <c r="AE576" s="13">
        <f>ROUNDUP(($AB576+$AD576)*VLOOKUP($Z576,Paraméterek!$P$38:$Q$38,2)/12,IF($D$4="Forint",0,2))</f>
        <v>0</v>
      </c>
      <c r="AF576" s="13">
        <f>IF($D$2="Egyszeri",IF($D$7&gt;=IF($D$4="Forint",Paraméterek!$P$223,Paraméterek!$P$224),$D$7-IF($D$4="Forint",Paraméterek!$F$223,Paraméterek!$F$224),0),MIN(IF($AA576=12,AVERAGE($D$20:$D576)*12,0),SUM($D$20:$D$31)))</f>
        <v>0</v>
      </c>
      <c r="AG576" s="13">
        <f>IF(AND($Z576&gt;=10,MOD($Z576,5)=0),$AF576*IF($AA576=12,VLOOKUP($Z576,Paraméterek!$B$225:$F$240,IF($AF576&lt;IF($D$4="Forint",Paraméterek!$C$223,Paraméterek!$C$224),2,IF($AF576&lt;IF($D$4="Forint",Paraméterek!$D$223,Paraméterek!$D$224),3,4))),0),0)</f>
        <v>0</v>
      </c>
      <c r="AH576" s="13">
        <f>IF(AND($Z576&gt;=5,MOD($Z576,5)=0),IF($AA576=12,VLOOKUP($Z576,Paraméterek!$B$225:$F$240,5),0),IF(OR($Z576=3,$Z576=4),IF($AA576=12,VLOOKUP($Z576,Paraméterek!$B$225:$F$240,5,0),0),0))*$AF576</f>
        <v>0</v>
      </c>
      <c r="AI576" s="13">
        <f>ROUNDDOWN(IF(SUM($T$20:$U576)=0,IF($D$2="Egyszeri",$AH576,$AG576),0),IF($D$4="Forint",0,2))</f>
        <v>0</v>
      </c>
      <c r="AJ576" s="13">
        <f t="shared" si="132"/>
        <v>0</v>
      </c>
      <c r="AK576" s="13">
        <f t="shared" si="133"/>
        <v>0</v>
      </c>
      <c r="AM576" s="32">
        <v>557</v>
      </c>
      <c r="AN576" s="32">
        <v>47</v>
      </c>
      <c r="AO576" s="32">
        <v>5</v>
      </c>
      <c r="AP576" s="13"/>
      <c r="AQ576" s="32"/>
      <c r="AR576" s="13">
        <f t="shared" si="134"/>
        <v>0</v>
      </c>
      <c r="AS576" s="33"/>
      <c r="AT576" s="13">
        <f t="shared" si="128"/>
        <v>0</v>
      </c>
      <c r="AU576" s="13">
        <f>ROUNDUP(($AR576+$AT576)*VLOOKUP($AN576,Paraméterek!$P$38:$Q$38,2)/12,IF($D$4="Forint",0,2))</f>
        <v>0</v>
      </c>
      <c r="AV576" s="13"/>
      <c r="AW576" s="13"/>
      <c r="AX576" s="13">
        <f>ROUNDUP(IF(SUM($AV576:$AW576)=0,0,IF(IF(ISBLANK($AW576),$AV576,$AW576)*Paraméterek!$J$112&lt;IF($D$4="Forint",Paraméterek!$J$113,Paraméterek!$K$113),IF($D$4="Forint",Paraméterek!$J$113,Paraméterek!$K$113),IF(IF(ISBLANK($AW576),$AV576,$AW576)*Paraméterek!$J$112&gt;IF($D$4="Forint",Paraméterek!$J$114,Paraméterek!$K$114),IF($D$4="Forint",Paraméterek!$J$114,Paraméterek!$K$114),IF(ISBLANK($AW576),$AV576,$AW576)*Paraméterek!$J$112))),IF($D$4="Forint",0,2))</f>
        <v>0</v>
      </c>
      <c r="AY576" s="13">
        <f>$AR576+$AT576-$AU576-IF(ROUNDDOWN(IF(ISBLANK($AW576),$AV576,$AW576),IF($D$4="Forint",0,2))&gt;$AR576+$AT576-$AU576-IF($D$4="Forint",Paraméterek!$J$114,Paraméterek!$K$114),0,ROUNDDOWN(IF(ISBLANK($AW576),$AV576,$AW576),IF($D$4="Forint",0,2))-$AX576)</f>
        <v>0</v>
      </c>
      <c r="AZ576" s="13">
        <f t="shared" si="129"/>
        <v>0</v>
      </c>
    </row>
    <row r="577" spans="1:52" x14ac:dyDescent="0.2">
      <c r="A577" s="32">
        <v>558</v>
      </c>
      <c r="B577" s="32">
        <v>47</v>
      </c>
      <c r="C577" s="32">
        <v>6</v>
      </c>
      <c r="D577" s="13">
        <f t="shared" si="120"/>
        <v>0</v>
      </c>
      <c r="E577" s="13"/>
      <c r="F577" s="13"/>
      <c r="G577" s="13"/>
      <c r="H577" s="13">
        <f t="shared" si="121"/>
        <v>0</v>
      </c>
      <c r="I577" s="13">
        <f t="shared" si="122"/>
        <v>0</v>
      </c>
      <c r="J577" s="13">
        <f t="shared" si="123"/>
        <v>0</v>
      </c>
      <c r="K577" s="13">
        <f>ROUNDUP(IF($D$2="Egyszeri",$D577,IF($D$2="Havi",SUM($D$20:$D$31),IF(MOD($C577,$M$1)-1=0,SUM($D$20:$D$31),0))/12*$M$1)*VLOOKUP($B577,Paraméterek!$B$27:$D$30,IF($D$2="Egyszeri",3,2)),IF($D$4="Forint",0,2))</f>
        <v>0</v>
      </c>
      <c r="L577" s="13">
        <f t="shared" si="124"/>
        <v>0</v>
      </c>
      <c r="M577" s="13">
        <f t="shared" ca="1" si="130"/>
        <v>-417345</v>
      </c>
      <c r="N577" s="13">
        <f ca="1">IF($V576&gt;=VLOOKUP($M$4-1+$B577,Paraméterek!$B$121:$D$122,IF($D$4="Forint",2,3)),0,VLOOKUP($M$4-1+$B577,Paraméterek!$B$121:$D$122,IF($D$4="Forint",2,3))-$V576)</f>
        <v>427345</v>
      </c>
      <c r="O577" s="13">
        <f ca="1">ROUNDUP($N577*Paraméterek!$C$58/Paraméterek!$C$56,IF($D$4="Forint",0,2))</f>
        <v>69</v>
      </c>
      <c r="P577" s="13">
        <f t="shared" si="125"/>
        <v>2143</v>
      </c>
      <c r="Q577" s="33"/>
      <c r="R577" s="13">
        <f t="shared" ca="1" si="126"/>
        <v>0</v>
      </c>
      <c r="S577" s="13">
        <f ca="1">ROUNDUP(($M577-$O577-$P577+$R577)*VLOOKUP($B577,Paraméterek!$B$38:$D$39,IF($D$2="Egyszeri",3,2))/12,IF($D$4="Forint",0,2))</f>
        <v>-1025</v>
      </c>
      <c r="T577" s="13"/>
      <c r="U577" s="13"/>
      <c r="V577" s="13">
        <f ca="1">$M577-$O577-$P577+$R577-$S577-IF(ROUNDUP(IF(ISBLANK($U577),$T577,$U577)/IF(AND($B577=1,$D$2&lt;&gt;"Egyszeri"),1,VLOOKUP($B577+IF($C577=12,1,0),Paraméterek!$B$257:$D$267,IF($D$2="Egyszeri",3,2))),IF($D$4="Forint",0,2))&gt;$M577-$O577-$P577+$R577-$S577-IF($D$4="Forint",Paraméterek!$C$216,Paraméterek!$D$216),0,ROUNDUP(IF(ISBLANK($U577),$T577,$U577)/IF(AND($B577=1,$D$2&lt;&gt;"Egyszeri"),1,VLOOKUP($B577+IF($C577=12,1,0),Paraméterek!$B$257:$D$267,IF($D$2="Egyszeri",3,2))),IF($D$4="Forint",0,2)))</f>
        <v>-418532</v>
      </c>
      <c r="W577" s="13">
        <f ca="1">ROUNDDOWN($V577*VLOOKUP($B577+IF($C577=12,1,0),Paraméterek!$B$257:$D$267,IF($D$2="Egyszeri",3,2)),IF($D$4="Forint",0,2))</f>
        <v>-418532</v>
      </c>
      <c r="Y577" s="32">
        <v>558</v>
      </c>
      <c r="Z577" s="32">
        <v>47</v>
      </c>
      <c r="AA577" s="32">
        <v>6</v>
      </c>
      <c r="AB577" s="13">
        <f t="shared" si="131"/>
        <v>0</v>
      </c>
      <c r="AC577" s="33"/>
      <c r="AD577" s="13">
        <f t="shared" si="127"/>
        <v>0</v>
      </c>
      <c r="AE577" s="13">
        <f>ROUNDUP(($AB577+$AD577)*VLOOKUP($Z577,Paraméterek!$P$38:$Q$38,2)/12,IF($D$4="Forint",0,2))</f>
        <v>0</v>
      </c>
      <c r="AF577" s="13">
        <f>IF($D$2="Egyszeri",IF($D$7&gt;=IF($D$4="Forint",Paraméterek!$P$223,Paraméterek!$P$224),$D$7-IF($D$4="Forint",Paraméterek!$F$223,Paraméterek!$F$224),0),MIN(IF($AA577=12,AVERAGE($D$20:$D577)*12,0),SUM($D$20:$D$31)))</f>
        <v>0</v>
      </c>
      <c r="AG577" s="13">
        <f>IF(AND($Z577&gt;=10,MOD($Z577,5)=0),$AF577*IF($AA577=12,VLOOKUP($Z577,Paraméterek!$B$225:$F$240,IF($AF577&lt;IF($D$4="Forint",Paraméterek!$C$223,Paraméterek!$C$224),2,IF($AF577&lt;IF($D$4="Forint",Paraméterek!$D$223,Paraméterek!$D$224),3,4))),0),0)</f>
        <v>0</v>
      </c>
      <c r="AH577" s="13">
        <f>IF(AND($Z577&gt;=5,MOD($Z577,5)=0),IF($AA577=12,VLOOKUP($Z577,Paraméterek!$B$225:$F$240,5),0),IF(OR($Z577=3,$Z577=4),IF($AA577=12,VLOOKUP($Z577,Paraméterek!$B$225:$F$240,5,0),0),0))*$AF577</f>
        <v>0</v>
      </c>
      <c r="AI577" s="13">
        <f>ROUNDDOWN(IF(SUM($T$20:$U577)=0,IF($D$2="Egyszeri",$AH577,$AG577),0),IF($D$4="Forint",0,2))</f>
        <v>0</v>
      </c>
      <c r="AJ577" s="13">
        <f t="shared" si="132"/>
        <v>0</v>
      </c>
      <c r="AK577" s="13">
        <f t="shared" si="133"/>
        <v>0</v>
      </c>
      <c r="AM577" s="32">
        <v>558</v>
      </c>
      <c r="AN577" s="32">
        <v>47</v>
      </c>
      <c r="AO577" s="32">
        <v>6</v>
      </c>
      <c r="AP577" s="13"/>
      <c r="AQ577" s="32"/>
      <c r="AR577" s="13">
        <f t="shared" si="134"/>
        <v>0</v>
      </c>
      <c r="AS577" s="33"/>
      <c r="AT577" s="13">
        <f t="shared" si="128"/>
        <v>0</v>
      </c>
      <c r="AU577" s="13">
        <f>ROUNDUP(($AR577+$AT577)*VLOOKUP($AN577,Paraméterek!$P$38:$Q$38,2)/12,IF($D$4="Forint",0,2))</f>
        <v>0</v>
      </c>
      <c r="AV577" s="13"/>
      <c r="AW577" s="13"/>
      <c r="AX577" s="13">
        <f>ROUNDUP(IF(SUM($AV577:$AW577)=0,0,IF(IF(ISBLANK($AW577),$AV577,$AW577)*Paraméterek!$J$112&lt;IF($D$4="Forint",Paraméterek!$J$113,Paraméterek!$K$113),IF($D$4="Forint",Paraméterek!$J$113,Paraméterek!$K$113),IF(IF(ISBLANK($AW577),$AV577,$AW577)*Paraméterek!$J$112&gt;IF($D$4="Forint",Paraméterek!$J$114,Paraméterek!$K$114),IF($D$4="Forint",Paraméterek!$J$114,Paraméterek!$K$114),IF(ISBLANK($AW577),$AV577,$AW577)*Paraméterek!$J$112))),IF($D$4="Forint",0,2))</f>
        <v>0</v>
      </c>
      <c r="AY577" s="13">
        <f>$AR577+$AT577-$AU577-IF(ROUNDDOWN(IF(ISBLANK($AW577),$AV577,$AW577),IF($D$4="Forint",0,2))&gt;$AR577+$AT577-$AU577-IF($D$4="Forint",Paraméterek!$J$114,Paraméterek!$K$114),0,ROUNDDOWN(IF(ISBLANK($AW577),$AV577,$AW577),IF($D$4="Forint",0,2))-$AX577)</f>
        <v>0</v>
      </c>
      <c r="AZ577" s="13">
        <f t="shared" si="129"/>
        <v>0</v>
      </c>
    </row>
    <row r="578" spans="1:52" x14ac:dyDescent="0.2">
      <c r="A578" s="32">
        <v>559</v>
      </c>
      <c r="B578" s="32">
        <v>47</v>
      </c>
      <c r="C578" s="32">
        <v>7</v>
      </c>
      <c r="D578" s="13">
        <f t="shared" si="120"/>
        <v>0</v>
      </c>
      <c r="E578" s="13"/>
      <c r="F578" s="13"/>
      <c r="G578" s="13"/>
      <c r="H578" s="13">
        <f t="shared" si="121"/>
        <v>0</v>
      </c>
      <c r="I578" s="13">
        <f t="shared" si="122"/>
        <v>0</v>
      </c>
      <c r="J578" s="13">
        <f t="shared" si="123"/>
        <v>0</v>
      </c>
      <c r="K578" s="13">
        <f>ROUNDUP(IF($D$2="Egyszeri",$D578,IF($D$2="Havi",SUM($D$20:$D$31),IF(MOD($C578,$M$1)-1=0,SUM($D$20:$D$31),0))/12*$M$1)*VLOOKUP($B578,Paraméterek!$B$27:$D$30,IF($D$2="Egyszeri",3,2)),IF($D$4="Forint",0,2))</f>
        <v>0</v>
      </c>
      <c r="L578" s="13">
        <f t="shared" si="124"/>
        <v>0</v>
      </c>
      <c r="M578" s="13">
        <f t="shared" ca="1" si="130"/>
        <v>-418532</v>
      </c>
      <c r="N578" s="13">
        <f ca="1">IF($V577&gt;=VLOOKUP($M$4-1+$B578,Paraméterek!$B$121:$D$122,IF($D$4="Forint",2,3)),0,VLOOKUP($M$4-1+$B578,Paraméterek!$B$121:$D$122,IF($D$4="Forint",2,3))-$V577)</f>
        <v>428532</v>
      </c>
      <c r="O578" s="13">
        <f ca="1">ROUNDUP($N578*Paraméterek!$C$58/Paraméterek!$C$56,IF($D$4="Forint",0,2))</f>
        <v>69</v>
      </c>
      <c r="P578" s="13">
        <f t="shared" si="125"/>
        <v>2143</v>
      </c>
      <c r="Q578" s="33"/>
      <c r="R578" s="13">
        <f t="shared" ca="1" si="126"/>
        <v>0</v>
      </c>
      <c r="S578" s="13">
        <f ca="1">ROUNDUP(($M578-$O578-$P578+$R578)*VLOOKUP($B578,Paraméterek!$B$38:$D$39,IF($D$2="Egyszeri",3,2))/12,IF($D$4="Forint",0,2))</f>
        <v>-1028</v>
      </c>
      <c r="T578" s="13"/>
      <c r="U578" s="13"/>
      <c r="V578" s="13">
        <f ca="1">$M578-$O578-$P578+$R578-$S578-IF(ROUNDUP(IF(ISBLANK($U578),$T578,$U578)/IF(AND($B578=1,$D$2&lt;&gt;"Egyszeri"),1,VLOOKUP($B578+IF($C578=12,1,0),Paraméterek!$B$257:$D$267,IF($D$2="Egyszeri",3,2))),IF($D$4="Forint",0,2))&gt;$M578-$O578-$P578+$R578-$S578-IF($D$4="Forint",Paraméterek!$C$216,Paraméterek!$D$216),0,ROUNDUP(IF(ISBLANK($U578),$T578,$U578)/IF(AND($B578=1,$D$2&lt;&gt;"Egyszeri"),1,VLOOKUP($B578+IF($C578=12,1,0),Paraméterek!$B$257:$D$267,IF($D$2="Egyszeri",3,2))),IF($D$4="Forint",0,2)))</f>
        <v>-419716</v>
      </c>
      <c r="W578" s="13">
        <f ca="1">ROUNDDOWN($V578*VLOOKUP($B578+IF($C578=12,1,0),Paraméterek!$B$257:$D$267,IF($D$2="Egyszeri",3,2)),IF($D$4="Forint",0,2))</f>
        <v>-419716</v>
      </c>
      <c r="Y578" s="32">
        <v>559</v>
      </c>
      <c r="Z578" s="32">
        <v>47</v>
      </c>
      <c r="AA578" s="32">
        <v>7</v>
      </c>
      <c r="AB578" s="13">
        <f t="shared" si="131"/>
        <v>0</v>
      </c>
      <c r="AC578" s="33"/>
      <c r="AD578" s="13">
        <f t="shared" si="127"/>
        <v>0</v>
      </c>
      <c r="AE578" s="13">
        <f>ROUNDUP(($AB578+$AD578)*VLOOKUP($Z578,Paraméterek!$P$38:$Q$38,2)/12,IF($D$4="Forint",0,2))</f>
        <v>0</v>
      </c>
      <c r="AF578" s="13">
        <f>IF($D$2="Egyszeri",IF($D$7&gt;=IF($D$4="Forint",Paraméterek!$P$223,Paraméterek!$P$224),$D$7-IF($D$4="Forint",Paraméterek!$F$223,Paraméterek!$F$224),0),MIN(IF($AA578=12,AVERAGE($D$20:$D578)*12,0),SUM($D$20:$D$31)))</f>
        <v>0</v>
      </c>
      <c r="AG578" s="13">
        <f>IF(AND($Z578&gt;=10,MOD($Z578,5)=0),$AF578*IF($AA578=12,VLOOKUP($Z578,Paraméterek!$B$225:$F$240,IF($AF578&lt;IF($D$4="Forint",Paraméterek!$C$223,Paraméterek!$C$224),2,IF($AF578&lt;IF($D$4="Forint",Paraméterek!$D$223,Paraméterek!$D$224),3,4))),0),0)</f>
        <v>0</v>
      </c>
      <c r="AH578" s="13">
        <f>IF(AND($Z578&gt;=5,MOD($Z578,5)=0),IF($AA578=12,VLOOKUP($Z578,Paraméterek!$B$225:$F$240,5),0),IF(OR($Z578=3,$Z578=4),IF($AA578=12,VLOOKUP($Z578,Paraméterek!$B$225:$F$240,5,0),0),0))*$AF578</f>
        <v>0</v>
      </c>
      <c r="AI578" s="13">
        <f>ROUNDDOWN(IF(SUM($T$20:$U578)=0,IF($D$2="Egyszeri",$AH578,$AG578),0),IF($D$4="Forint",0,2))</f>
        <v>0</v>
      </c>
      <c r="AJ578" s="13">
        <f t="shared" si="132"/>
        <v>0</v>
      </c>
      <c r="AK578" s="13">
        <f t="shared" si="133"/>
        <v>0</v>
      </c>
      <c r="AM578" s="32">
        <v>559</v>
      </c>
      <c r="AN578" s="32">
        <v>47</v>
      </c>
      <c r="AO578" s="32">
        <v>7</v>
      </c>
      <c r="AP578" s="13"/>
      <c r="AQ578" s="32"/>
      <c r="AR578" s="13">
        <f t="shared" si="134"/>
        <v>0</v>
      </c>
      <c r="AS578" s="33"/>
      <c r="AT578" s="13">
        <f t="shared" si="128"/>
        <v>0</v>
      </c>
      <c r="AU578" s="13">
        <f>ROUNDUP(($AR578+$AT578)*VLOOKUP($AN578,Paraméterek!$P$38:$Q$38,2)/12,IF($D$4="Forint",0,2))</f>
        <v>0</v>
      </c>
      <c r="AV578" s="13"/>
      <c r="AW578" s="13"/>
      <c r="AX578" s="13">
        <f>ROUNDUP(IF(SUM($AV578:$AW578)=0,0,IF(IF(ISBLANK($AW578),$AV578,$AW578)*Paraméterek!$J$112&lt;IF($D$4="Forint",Paraméterek!$J$113,Paraméterek!$K$113),IF($D$4="Forint",Paraméterek!$J$113,Paraméterek!$K$113),IF(IF(ISBLANK($AW578),$AV578,$AW578)*Paraméterek!$J$112&gt;IF($D$4="Forint",Paraméterek!$J$114,Paraméterek!$K$114),IF($D$4="Forint",Paraméterek!$J$114,Paraméterek!$K$114),IF(ISBLANK($AW578),$AV578,$AW578)*Paraméterek!$J$112))),IF($D$4="Forint",0,2))</f>
        <v>0</v>
      </c>
      <c r="AY578" s="13">
        <f>$AR578+$AT578-$AU578-IF(ROUNDDOWN(IF(ISBLANK($AW578),$AV578,$AW578),IF($D$4="Forint",0,2))&gt;$AR578+$AT578-$AU578-IF($D$4="Forint",Paraméterek!$J$114,Paraméterek!$K$114),0,ROUNDDOWN(IF(ISBLANK($AW578),$AV578,$AW578),IF($D$4="Forint",0,2))-$AX578)</f>
        <v>0</v>
      </c>
      <c r="AZ578" s="13">
        <f t="shared" si="129"/>
        <v>0</v>
      </c>
    </row>
    <row r="579" spans="1:52" x14ac:dyDescent="0.2">
      <c r="A579" s="32">
        <v>560</v>
      </c>
      <c r="B579" s="32">
        <v>47</v>
      </c>
      <c r="C579" s="32">
        <v>8</v>
      </c>
      <c r="D579" s="13">
        <f t="shared" si="120"/>
        <v>0</v>
      </c>
      <c r="E579" s="13"/>
      <c r="F579" s="13"/>
      <c r="G579" s="13"/>
      <c r="H579" s="13">
        <f t="shared" si="121"/>
        <v>0</v>
      </c>
      <c r="I579" s="13">
        <f t="shared" si="122"/>
        <v>0</v>
      </c>
      <c r="J579" s="13">
        <f t="shared" si="123"/>
        <v>0</v>
      </c>
      <c r="K579" s="13">
        <f>ROUNDUP(IF($D$2="Egyszeri",$D579,IF($D$2="Havi",SUM($D$20:$D$31),IF(MOD($C579,$M$1)-1=0,SUM($D$20:$D$31),0))/12*$M$1)*VLOOKUP($B579,Paraméterek!$B$27:$D$30,IF($D$2="Egyszeri",3,2)),IF($D$4="Forint",0,2))</f>
        <v>0</v>
      </c>
      <c r="L579" s="13">
        <f t="shared" si="124"/>
        <v>0</v>
      </c>
      <c r="M579" s="13">
        <f t="shared" ca="1" si="130"/>
        <v>-419716</v>
      </c>
      <c r="N579" s="13">
        <f ca="1">IF($V578&gt;=VLOOKUP($M$4-1+$B579,Paraméterek!$B$121:$D$122,IF($D$4="Forint",2,3)),0,VLOOKUP($M$4-1+$B579,Paraméterek!$B$121:$D$122,IF($D$4="Forint",2,3))-$V578)</f>
        <v>429716</v>
      </c>
      <c r="O579" s="13">
        <f ca="1">ROUNDUP($N579*Paraméterek!$C$58/Paraméterek!$C$56,IF($D$4="Forint",0,2))</f>
        <v>69</v>
      </c>
      <c r="P579" s="13">
        <f t="shared" si="125"/>
        <v>2143</v>
      </c>
      <c r="Q579" s="33"/>
      <c r="R579" s="13">
        <f t="shared" ca="1" si="126"/>
        <v>0</v>
      </c>
      <c r="S579" s="13">
        <f ca="1">ROUNDUP(($M579-$O579-$P579+$R579)*VLOOKUP($B579,Paraméterek!$B$38:$D$39,IF($D$2="Egyszeri",3,2))/12,IF($D$4="Forint",0,2))</f>
        <v>-1031</v>
      </c>
      <c r="T579" s="13"/>
      <c r="U579" s="13"/>
      <c r="V579" s="13">
        <f ca="1">$M579-$O579-$P579+$R579-$S579-IF(ROUNDUP(IF(ISBLANK($U579),$T579,$U579)/IF(AND($B579=1,$D$2&lt;&gt;"Egyszeri"),1,VLOOKUP($B579+IF($C579=12,1,0),Paraméterek!$B$257:$D$267,IF($D$2="Egyszeri",3,2))),IF($D$4="Forint",0,2))&gt;$M579-$O579-$P579+$R579-$S579-IF($D$4="Forint",Paraméterek!$C$216,Paraméterek!$D$216),0,ROUNDUP(IF(ISBLANK($U579),$T579,$U579)/IF(AND($B579=1,$D$2&lt;&gt;"Egyszeri"),1,VLOOKUP($B579+IF($C579=12,1,0),Paraméterek!$B$257:$D$267,IF($D$2="Egyszeri",3,2))),IF($D$4="Forint",0,2)))</f>
        <v>-420897</v>
      </c>
      <c r="W579" s="13">
        <f ca="1">ROUNDDOWN($V579*VLOOKUP($B579+IF($C579=12,1,0),Paraméterek!$B$257:$D$267,IF($D$2="Egyszeri",3,2)),IF($D$4="Forint",0,2))</f>
        <v>-420897</v>
      </c>
      <c r="Y579" s="32">
        <v>560</v>
      </c>
      <c r="Z579" s="32">
        <v>47</v>
      </c>
      <c r="AA579" s="32">
        <v>8</v>
      </c>
      <c r="AB579" s="13">
        <f t="shared" si="131"/>
        <v>0</v>
      </c>
      <c r="AC579" s="33"/>
      <c r="AD579" s="13">
        <f t="shared" si="127"/>
        <v>0</v>
      </c>
      <c r="AE579" s="13">
        <f>ROUNDUP(($AB579+$AD579)*VLOOKUP($Z579,Paraméterek!$P$38:$Q$38,2)/12,IF($D$4="Forint",0,2))</f>
        <v>0</v>
      </c>
      <c r="AF579" s="13">
        <f>IF($D$2="Egyszeri",IF($D$7&gt;=IF($D$4="Forint",Paraméterek!$P$223,Paraméterek!$P$224),$D$7-IF($D$4="Forint",Paraméterek!$F$223,Paraméterek!$F$224),0),MIN(IF($AA579=12,AVERAGE($D$20:$D579)*12,0),SUM($D$20:$D$31)))</f>
        <v>0</v>
      </c>
      <c r="AG579" s="13">
        <f>IF(AND($Z579&gt;=10,MOD($Z579,5)=0),$AF579*IF($AA579=12,VLOOKUP($Z579,Paraméterek!$B$225:$F$240,IF($AF579&lt;IF($D$4="Forint",Paraméterek!$C$223,Paraméterek!$C$224),2,IF($AF579&lt;IF($D$4="Forint",Paraméterek!$D$223,Paraméterek!$D$224),3,4))),0),0)</f>
        <v>0</v>
      </c>
      <c r="AH579" s="13">
        <f>IF(AND($Z579&gt;=5,MOD($Z579,5)=0),IF($AA579=12,VLOOKUP($Z579,Paraméterek!$B$225:$F$240,5),0),IF(OR($Z579=3,$Z579=4),IF($AA579=12,VLOOKUP($Z579,Paraméterek!$B$225:$F$240,5,0),0),0))*$AF579</f>
        <v>0</v>
      </c>
      <c r="AI579" s="13">
        <f>ROUNDDOWN(IF(SUM($T$20:$U579)=0,IF($D$2="Egyszeri",$AH579,$AG579),0),IF($D$4="Forint",0,2))</f>
        <v>0</v>
      </c>
      <c r="AJ579" s="13">
        <f t="shared" si="132"/>
        <v>0</v>
      </c>
      <c r="AK579" s="13">
        <f t="shared" si="133"/>
        <v>0</v>
      </c>
      <c r="AM579" s="32">
        <v>560</v>
      </c>
      <c r="AN579" s="32">
        <v>47</v>
      </c>
      <c r="AO579" s="32">
        <v>8</v>
      </c>
      <c r="AP579" s="13"/>
      <c r="AQ579" s="32"/>
      <c r="AR579" s="13">
        <f t="shared" si="134"/>
        <v>0</v>
      </c>
      <c r="AS579" s="33"/>
      <c r="AT579" s="13">
        <f t="shared" si="128"/>
        <v>0</v>
      </c>
      <c r="AU579" s="13">
        <f>ROUNDUP(($AR579+$AT579)*VLOOKUP($AN579,Paraméterek!$P$38:$Q$38,2)/12,IF($D$4="Forint",0,2))</f>
        <v>0</v>
      </c>
      <c r="AV579" s="13"/>
      <c r="AW579" s="13"/>
      <c r="AX579" s="13">
        <f>ROUNDUP(IF(SUM($AV579:$AW579)=0,0,IF(IF(ISBLANK($AW579),$AV579,$AW579)*Paraméterek!$J$112&lt;IF($D$4="Forint",Paraméterek!$J$113,Paraméterek!$K$113),IF($D$4="Forint",Paraméterek!$J$113,Paraméterek!$K$113),IF(IF(ISBLANK($AW579),$AV579,$AW579)*Paraméterek!$J$112&gt;IF($D$4="Forint",Paraméterek!$J$114,Paraméterek!$K$114),IF($D$4="Forint",Paraméterek!$J$114,Paraméterek!$K$114),IF(ISBLANK($AW579),$AV579,$AW579)*Paraméterek!$J$112))),IF($D$4="Forint",0,2))</f>
        <v>0</v>
      </c>
      <c r="AY579" s="13">
        <f>$AR579+$AT579-$AU579-IF(ROUNDDOWN(IF(ISBLANK($AW579),$AV579,$AW579),IF($D$4="Forint",0,2))&gt;$AR579+$AT579-$AU579-IF($D$4="Forint",Paraméterek!$J$114,Paraméterek!$K$114),0,ROUNDDOWN(IF(ISBLANK($AW579),$AV579,$AW579),IF($D$4="Forint",0,2))-$AX579)</f>
        <v>0</v>
      </c>
      <c r="AZ579" s="13">
        <f t="shared" si="129"/>
        <v>0</v>
      </c>
    </row>
    <row r="580" spans="1:52" x14ac:dyDescent="0.2">
      <c r="A580" s="32">
        <v>561</v>
      </c>
      <c r="B580" s="32">
        <v>47</v>
      </c>
      <c r="C580" s="32">
        <v>9</v>
      </c>
      <c r="D580" s="13">
        <f t="shared" si="120"/>
        <v>0</v>
      </c>
      <c r="E580" s="13"/>
      <c r="F580" s="13"/>
      <c r="G580" s="13"/>
      <c r="H580" s="13">
        <f t="shared" si="121"/>
        <v>0</v>
      </c>
      <c r="I580" s="13">
        <f t="shared" si="122"/>
        <v>0</v>
      </c>
      <c r="J580" s="13">
        <f t="shared" si="123"/>
        <v>0</v>
      </c>
      <c r="K580" s="13">
        <f>ROUNDUP(IF($D$2="Egyszeri",$D580,IF($D$2="Havi",SUM($D$20:$D$31),IF(MOD($C580,$M$1)-1=0,SUM($D$20:$D$31),0))/12*$M$1)*VLOOKUP($B580,Paraméterek!$B$27:$D$30,IF($D$2="Egyszeri",3,2)),IF($D$4="Forint",0,2))</f>
        <v>0</v>
      </c>
      <c r="L580" s="13">
        <f t="shared" si="124"/>
        <v>0</v>
      </c>
      <c r="M580" s="13">
        <f t="shared" ca="1" si="130"/>
        <v>-420897</v>
      </c>
      <c r="N580" s="13">
        <f ca="1">IF($V579&gt;=VLOOKUP($M$4-1+$B580,Paraméterek!$B$121:$D$122,IF($D$4="Forint",2,3)),0,VLOOKUP($M$4-1+$B580,Paraméterek!$B$121:$D$122,IF($D$4="Forint",2,3))-$V579)</f>
        <v>430897</v>
      </c>
      <c r="O580" s="13">
        <f ca="1">ROUNDUP($N580*Paraméterek!$C$58/Paraméterek!$C$56,IF($D$4="Forint",0,2))</f>
        <v>69</v>
      </c>
      <c r="P580" s="13">
        <f t="shared" si="125"/>
        <v>2143</v>
      </c>
      <c r="Q580" s="33"/>
      <c r="R580" s="13">
        <f t="shared" ca="1" si="126"/>
        <v>0</v>
      </c>
      <c r="S580" s="13">
        <f ca="1">ROUNDUP(($M580-$O580-$P580+$R580)*VLOOKUP($B580,Paraméterek!$B$38:$D$39,IF($D$2="Egyszeri",3,2))/12,IF($D$4="Forint",0,2))</f>
        <v>-1034</v>
      </c>
      <c r="T580" s="13"/>
      <c r="U580" s="13"/>
      <c r="V580" s="13">
        <f ca="1">$M580-$O580-$P580+$R580-$S580-IF(ROUNDUP(IF(ISBLANK($U580),$T580,$U580)/IF(AND($B580=1,$D$2&lt;&gt;"Egyszeri"),1,VLOOKUP($B580+IF($C580=12,1,0),Paraméterek!$B$257:$D$267,IF($D$2="Egyszeri",3,2))),IF($D$4="Forint",0,2))&gt;$M580-$O580-$P580+$R580-$S580-IF($D$4="Forint",Paraméterek!$C$216,Paraméterek!$D$216),0,ROUNDUP(IF(ISBLANK($U580),$T580,$U580)/IF(AND($B580=1,$D$2&lt;&gt;"Egyszeri"),1,VLOOKUP($B580+IF($C580=12,1,0),Paraméterek!$B$257:$D$267,IF($D$2="Egyszeri",3,2))),IF($D$4="Forint",0,2)))</f>
        <v>-422075</v>
      </c>
      <c r="W580" s="13">
        <f ca="1">ROUNDDOWN($V580*VLOOKUP($B580+IF($C580=12,1,0),Paraméterek!$B$257:$D$267,IF($D$2="Egyszeri",3,2)),IF($D$4="Forint",0,2))</f>
        <v>-422075</v>
      </c>
      <c r="Y580" s="32">
        <v>561</v>
      </c>
      <c r="Z580" s="32">
        <v>47</v>
      </c>
      <c r="AA580" s="32">
        <v>9</v>
      </c>
      <c r="AB580" s="13">
        <f t="shared" si="131"/>
        <v>0</v>
      </c>
      <c r="AC580" s="33"/>
      <c r="AD580" s="13">
        <f t="shared" si="127"/>
        <v>0</v>
      </c>
      <c r="AE580" s="13">
        <f>ROUNDUP(($AB580+$AD580)*VLOOKUP($Z580,Paraméterek!$P$38:$Q$38,2)/12,IF($D$4="Forint",0,2))</f>
        <v>0</v>
      </c>
      <c r="AF580" s="13">
        <f>IF($D$2="Egyszeri",IF($D$7&gt;=IF($D$4="Forint",Paraméterek!$P$223,Paraméterek!$P$224),$D$7-IF($D$4="Forint",Paraméterek!$F$223,Paraméterek!$F$224),0),MIN(IF($AA580=12,AVERAGE($D$20:$D580)*12,0),SUM($D$20:$D$31)))</f>
        <v>0</v>
      </c>
      <c r="AG580" s="13">
        <f>IF(AND($Z580&gt;=10,MOD($Z580,5)=0),$AF580*IF($AA580=12,VLOOKUP($Z580,Paraméterek!$B$225:$F$240,IF($AF580&lt;IF($D$4="Forint",Paraméterek!$C$223,Paraméterek!$C$224),2,IF($AF580&lt;IF($D$4="Forint",Paraméterek!$D$223,Paraméterek!$D$224),3,4))),0),0)</f>
        <v>0</v>
      </c>
      <c r="AH580" s="13">
        <f>IF(AND($Z580&gt;=5,MOD($Z580,5)=0),IF($AA580=12,VLOOKUP($Z580,Paraméterek!$B$225:$F$240,5),0),IF(OR($Z580=3,$Z580=4),IF($AA580=12,VLOOKUP($Z580,Paraméterek!$B$225:$F$240,5,0),0),0))*$AF580</f>
        <v>0</v>
      </c>
      <c r="AI580" s="13">
        <f>ROUNDDOWN(IF(SUM($T$20:$U580)=0,IF($D$2="Egyszeri",$AH580,$AG580),0),IF($D$4="Forint",0,2))</f>
        <v>0</v>
      </c>
      <c r="AJ580" s="13">
        <f t="shared" si="132"/>
        <v>0</v>
      </c>
      <c r="AK580" s="13">
        <f t="shared" si="133"/>
        <v>0</v>
      </c>
      <c r="AM580" s="32">
        <v>561</v>
      </c>
      <c r="AN580" s="32">
        <v>47</v>
      </c>
      <c r="AO580" s="32">
        <v>9</v>
      </c>
      <c r="AP580" s="13"/>
      <c r="AQ580" s="32"/>
      <c r="AR580" s="13">
        <f t="shared" si="134"/>
        <v>0</v>
      </c>
      <c r="AS580" s="33"/>
      <c r="AT580" s="13">
        <f t="shared" si="128"/>
        <v>0</v>
      </c>
      <c r="AU580" s="13">
        <f>ROUNDUP(($AR580+$AT580)*VLOOKUP($AN580,Paraméterek!$P$38:$Q$38,2)/12,IF($D$4="Forint",0,2))</f>
        <v>0</v>
      </c>
      <c r="AV580" s="13"/>
      <c r="AW580" s="13"/>
      <c r="AX580" s="13">
        <f>ROUNDUP(IF(SUM($AV580:$AW580)=0,0,IF(IF(ISBLANK($AW580),$AV580,$AW580)*Paraméterek!$J$112&lt;IF($D$4="Forint",Paraméterek!$J$113,Paraméterek!$K$113),IF($D$4="Forint",Paraméterek!$J$113,Paraméterek!$K$113),IF(IF(ISBLANK($AW580),$AV580,$AW580)*Paraméterek!$J$112&gt;IF($D$4="Forint",Paraméterek!$J$114,Paraméterek!$K$114),IF($D$4="Forint",Paraméterek!$J$114,Paraméterek!$K$114),IF(ISBLANK($AW580),$AV580,$AW580)*Paraméterek!$J$112))),IF($D$4="Forint",0,2))</f>
        <v>0</v>
      </c>
      <c r="AY580" s="13">
        <f>$AR580+$AT580-$AU580-IF(ROUNDDOWN(IF(ISBLANK($AW580),$AV580,$AW580),IF($D$4="Forint",0,2))&gt;$AR580+$AT580-$AU580-IF($D$4="Forint",Paraméterek!$J$114,Paraméterek!$K$114),0,ROUNDDOWN(IF(ISBLANK($AW580),$AV580,$AW580),IF($D$4="Forint",0,2))-$AX580)</f>
        <v>0</v>
      </c>
      <c r="AZ580" s="13">
        <f t="shared" si="129"/>
        <v>0</v>
      </c>
    </row>
    <row r="581" spans="1:52" x14ac:dyDescent="0.2">
      <c r="A581" s="32">
        <v>562</v>
      </c>
      <c r="B581" s="32">
        <v>47</v>
      </c>
      <c r="C581" s="32">
        <v>10</v>
      </c>
      <c r="D581" s="13">
        <f t="shared" si="120"/>
        <v>0</v>
      </c>
      <c r="E581" s="13"/>
      <c r="F581" s="13"/>
      <c r="G581" s="13"/>
      <c r="H581" s="13">
        <f t="shared" si="121"/>
        <v>0</v>
      </c>
      <c r="I581" s="13">
        <f t="shared" si="122"/>
        <v>0</v>
      </c>
      <c r="J581" s="13">
        <f t="shared" si="123"/>
        <v>0</v>
      </c>
      <c r="K581" s="13">
        <f>ROUNDUP(IF($D$2="Egyszeri",$D581,IF($D$2="Havi",SUM($D$20:$D$31),IF(MOD($C581,$M$1)-1=0,SUM($D$20:$D$31),0))/12*$M$1)*VLOOKUP($B581,Paraméterek!$B$27:$D$30,IF($D$2="Egyszeri",3,2)),IF($D$4="Forint",0,2))</f>
        <v>0</v>
      </c>
      <c r="L581" s="13">
        <f t="shared" si="124"/>
        <v>0</v>
      </c>
      <c r="M581" s="13">
        <f t="shared" ca="1" si="130"/>
        <v>-422075</v>
      </c>
      <c r="N581" s="13">
        <f ca="1">IF($V580&gt;=VLOOKUP($M$4-1+$B581,Paraméterek!$B$121:$D$122,IF($D$4="Forint",2,3)),0,VLOOKUP($M$4-1+$B581,Paraméterek!$B$121:$D$122,IF($D$4="Forint",2,3))-$V580)</f>
        <v>432075</v>
      </c>
      <c r="O581" s="13">
        <f ca="1">ROUNDUP($N581*Paraméterek!$C$58/Paraméterek!$C$56,IF($D$4="Forint",0,2))</f>
        <v>69</v>
      </c>
      <c r="P581" s="13">
        <f t="shared" si="125"/>
        <v>2143</v>
      </c>
      <c r="Q581" s="33"/>
      <c r="R581" s="13">
        <f t="shared" ca="1" si="126"/>
        <v>0</v>
      </c>
      <c r="S581" s="13">
        <f ca="1">ROUNDUP(($M581-$O581-$P581+$R581)*VLOOKUP($B581,Paraméterek!$B$38:$D$39,IF($D$2="Egyszeri",3,2))/12,IF($D$4="Forint",0,2))</f>
        <v>-1036</v>
      </c>
      <c r="T581" s="13"/>
      <c r="U581" s="13"/>
      <c r="V581" s="13">
        <f ca="1">$M581-$O581-$P581+$R581-$S581-IF(ROUNDUP(IF(ISBLANK($U581),$T581,$U581)/IF(AND($B581=1,$D$2&lt;&gt;"Egyszeri"),1,VLOOKUP($B581+IF($C581=12,1,0),Paraméterek!$B$257:$D$267,IF($D$2="Egyszeri",3,2))),IF($D$4="Forint",0,2))&gt;$M581-$O581-$P581+$R581-$S581-IF($D$4="Forint",Paraméterek!$C$216,Paraméterek!$D$216),0,ROUNDUP(IF(ISBLANK($U581),$T581,$U581)/IF(AND($B581=1,$D$2&lt;&gt;"Egyszeri"),1,VLOOKUP($B581+IF($C581=12,1,0),Paraméterek!$B$257:$D$267,IF($D$2="Egyszeri",3,2))),IF($D$4="Forint",0,2)))</f>
        <v>-423251</v>
      </c>
      <c r="W581" s="13">
        <f ca="1">ROUNDDOWN($V581*VLOOKUP($B581+IF($C581=12,1,0),Paraméterek!$B$257:$D$267,IF($D$2="Egyszeri",3,2)),IF($D$4="Forint",0,2))</f>
        <v>-423251</v>
      </c>
      <c r="Y581" s="32">
        <v>562</v>
      </c>
      <c r="Z581" s="32">
        <v>47</v>
      </c>
      <c r="AA581" s="32">
        <v>10</v>
      </c>
      <c r="AB581" s="13">
        <f t="shared" si="131"/>
        <v>0</v>
      </c>
      <c r="AC581" s="33"/>
      <c r="AD581" s="13">
        <f t="shared" si="127"/>
        <v>0</v>
      </c>
      <c r="AE581" s="13">
        <f>ROUNDUP(($AB581+$AD581)*VLOOKUP($Z581,Paraméterek!$P$38:$Q$38,2)/12,IF($D$4="Forint",0,2))</f>
        <v>0</v>
      </c>
      <c r="AF581" s="13">
        <f>IF($D$2="Egyszeri",IF($D$7&gt;=IF($D$4="Forint",Paraméterek!$P$223,Paraméterek!$P$224),$D$7-IF($D$4="Forint",Paraméterek!$F$223,Paraméterek!$F$224),0),MIN(IF($AA581=12,AVERAGE($D$20:$D581)*12,0),SUM($D$20:$D$31)))</f>
        <v>0</v>
      </c>
      <c r="AG581" s="13">
        <f>IF(AND($Z581&gt;=10,MOD($Z581,5)=0),$AF581*IF($AA581=12,VLOOKUP($Z581,Paraméterek!$B$225:$F$240,IF($AF581&lt;IF($D$4="Forint",Paraméterek!$C$223,Paraméterek!$C$224),2,IF($AF581&lt;IF($D$4="Forint",Paraméterek!$D$223,Paraméterek!$D$224),3,4))),0),0)</f>
        <v>0</v>
      </c>
      <c r="AH581" s="13">
        <f>IF(AND($Z581&gt;=5,MOD($Z581,5)=0),IF($AA581=12,VLOOKUP($Z581,Paraméterek!$B$225:$F$240,5),0),IF(OR($Z581=3,$Z581=4),IF($AA581=12,VLOOKUP($Z581,Paraméterek!$B$225:$F$240,5,0),0),0))*$AF581</f>
        <v>0</v>
      </c>
      <c r="AI581" s="13">
        <f>ROUNDDOWN(IF(SUM($T$20:$U581)=0,IF($D$2="Egyszeri",$AH581,$AG581),0),IF($D$4="Forint",0,2))</f>
        <v>0</v>
      </c>
      <c r="AJ581" s="13">
        <f t="shared" si="132"/>
        <v>0</v>
      </c>
      <c r="AK581" s="13">
        <f t="shared" si="133"/>
        <v>0</v>
      </c>
      <c r="AM581" s="32">
        <v>562</v>
      </c>
      <c r="AN581" s="32">
        <v>47</v>
      </c>
      <c r="AO581" s="32">
        <v>10</v>
      </c>
      <c r="AP581" s="13"/>
      <c r="AQ581" s="32"/>
      <c r="AR581" s="13">
        <f t="shared" si="134"/>
        <v>0</v>
      </c>
      <c r="AS581" s="33"/>
      <c r="AT581" s="13">
        <f t="shared" si="128"/>
        <v>0</v>
      </c>
      <c r="AU581" s="13">
        <f>ROUNDUP(($AR581+$AT581)*VLOOKUP($AN581,Paraméterek!$P$38:$Q$38,2)/12,IF($D$4="Forint",0,2))</f>
        <v>0</v>
      </c>
      <c r="AV581" s="13"/>
      <c r="AW581" s="13"/>
      <c r="AX581" s="13">
        <f>ROUNDUP(IF(SUM($AV581:$AW581)=0,0,IF(IF(ISBLANK($AW581),$AV581,$AW581)*Paraméterek!$J$112&lt;IF($D$4="Forint",Paraméterek!$J$113,Paraméterek!$K$113),IF($D$4="Forint",Paraméterek!$J$113,Paraméterek!$K$113),IF(IF(ISBLANK($AW581),$AV581,$AW581)*Paraméterek!$J$112&gt;IF($D$4="Forint",Paraméterek!$J$114,Paraméterek!$K$114),IF($D$4="Forint",Paraméterek!$J$114,Paraméterek!$K$114),IF(ISBLANK($AW581),$AV581,$AW581)*Paraméterek!$J$112))),IF($D$4="Forint",0,2))</f>
        <v>0</v>
      </c>
      <c r="AY581" s="13">
        <f>$AR581+$AT581-$AU581-IF(ROUNDDOWN(IF(ISBLANK($AW581),$AV581,$AW581),IF($D$4="Forint",0,2))&gt;$AR581+$AT581-$AU581-IF($D$4="Forint",Paraméterek!$J$114,Paraméterek!$K$114),0,ROUNDDOWN(IF(ISBLANK($AW581),$AV581,$AW581),IF($D$4="Forint",0,2))-$AX581)</f>
        <v>0</v>
      </c>
      <c r="AZ581" s="13">
        <f t="shared" si="129"/>
        <v>0</v>
      </c>
    </row>
    <row r="582" spans="1:52" x14ac:dyDescent="0.2">
      <c r="A582" s="32">
        <v>563</v>
      </c>
      <c r="B582" s="32">
        <v>47</v>
      </c>
      <c r="C582" s="32">
        <v>11</v>
      </c>
      <c r="D582" s="13">
        <f t="shared" si="120"/>
        <v>0</v>
      </c>
      <c r="E582" s="13"/>
      <c r="F582" s="13"/>
      <c r="G582" s="13"/>
      <c r="H582" s="13">
        <f t="shared" si="121"/>
        <v>0</v>
      </c>
      <c r="I582" s="13">
        <f t="shared" si="122"/>
        <v>0</v>
      </c>
      <c r="J582" s="13">
        <f t="shared" si="123"/>
        <v>0</v>
      </c>
      <c r="K582" s="13">
        <f>ROUNDUP(IF($D$2="Egyszeri",$D582,IF($D$2="Havi",SUM($D$20:$D$31),IF(MOD($C582,$M$1)-1=0,SUM($D$20:$D$31),0))/12*$M$1)*VLOOKUP($B582,Paraméterek!$B$27:$D$30,IF($D$2="Egyszeri",3,2)),IF($D$4="Forint",0,2))</f>
        <v>0</v>
      </c>
      <c r="L582" s="13">
        <f t="shared" si="124"/>
        <v>0</v>
      </c>
      <c r="M582" s="13">
        <f t="shared" ca="1" si="130"/>
        <v>-423251</v>
      </c>
      <c r="N582" s="13">
        <f ca="1">IF($V581&gt;=VLOOKUP($M$4-1+$B582,Paraméterek!$B$121:$D$122,IF($D$4="Forint",2,3)),0,VLOOKUP($M$4-1+$B582,Paraméterek!$B$121:$D$122,IF($D$4="Forint",2,3))-$V581)</f>
        <v>433251</v>
      </c>
      <c r="O582" s="13">
        <f ca="1">ROUNDUP($N582*Paraméterek!$C$58/Paraméterek!$C$56,IF($D$4="Forint",0,2))</f>
        <v>69</v>
      </c>
      <c r="P582" s="13">
        <f t="shared" si="125"/>
        <v>2143</v>
      </c>
      <c r="Q582" s="33"/>
      <c r="R582" s="13">
        <f t="shared" ca="1" si="126"/>
        <v>0</v>
      </c>
      <c r="S582" s="13">
        <f ca="1">ROUNDUP(($M582-$O582-$P582+$R582)*VLOOKUP($B582,Paraméterek!$B$38:$D$39,IF($D$2="Egyszeri",3,2))/12,IF($D$4="Forint",0,2))</f>
        <v>-1039</v>
      </c>
      <c r="T582" s="13"/>
      <c r="U582" s="13"/>
      <c r="V582" s="13">
        <f ca="1">$M582-$O582-$P582+$R582-$S582-IF(ROUNDUP(IF(ISBLANK($U582),$T582,$U582)/IF(AND($B582=1,$D$2&lt;&gt;"Egyszeri"),1,VLOOKUP($B582+IF($C582=12,1,0),Paraméterek!$B$257:$D$267,IF($D$2="Egyszeri",3,2))),IF($D$4="Forint",0,2))&gt;$M582-$O582-$P582+$R582-$S582-IF($D$4="Forint",Paraméterek!$C$216,Paraméterek!$D$216),0,ROUNDUP(IF(ISBLANK($U582),$T582,$U582)/IF(AND($B582=1,$D$2&lt;&gt;"Egyszeri"),1,VLOOKUP($B582+IF($C582=12,1,0),Paraméterek!$B$257:$D$267,IF($D$2="Egyszeri",3,2))),IF($D$4="Forint",0,2)))</f>
        <v>-424424</v>
      </c>
      <c r="W582" s="13">
        <f ca="1">ROUNDDOWN($V582*VLOOKUP($B582+IF($C582=12,1,0),Paraméterek!$B$257:$D$267,IF($D$2="Egyszeri",3,2)),IF($D$4="Forint",0,2))</f>
        <v>-424424</v>
      </c>
      <c r="Y582" s="32">
        <v>563</v>
      </c>
      <c r="Z582" s="32">
        <v>47</v>
      </c>
      <c r="AA582" s="32">
        <v>11</v>
      </c>
      <c r="AB582" s="13">
        <f t="shared" si="131"/>
        <v>0</v>
      </c>
      <c r="AC582" s="33"/>
      <c r="AD582" s="13">
        <f t="shared" si="127"/>
        <v>0</v>
      </c>
      <c r="AE582" s="13">
        <f>ROUNDUP(($AB582+$AD582)*VLOOKUP($Z582,Paraméterek!$P$38:$Q$38,2)/12,IF($D$4="Forint",0,2))</f>
        <v>0</v>
      </c>
      <c r="AF582" s="13">
        <f>IF($D$2="Egyszeri",IF($D$7&gt;=IF($D$4="Forint",Paraméterek!$P$223,Paraméterek!$P$224),$D$7-IF($D$4="Forint",Paraméterek!$F$223,Paraméterek!$F$224),0),MIN(IF($AA582=12,AVERAGE($D$20:$D582)*12,0),SUM($D$20:$D$31)))</f>
        <v>0</v>
      </c>
      <c r="AG582" s="13">
        <f>IF(AND($Z582&gt;=10,MOD($Z582,5)=0),$AF582*IF($AA582=12,VLOOKUP($Z582,Paraméterek!$B$225:$F$240,IF($AF582&lt;IF($D$4="Forint",Paraméterek!$C$223,Paraméterek!$C$224),2,IF($AF582&lt;IF($D$4="Forint",Paraméterek!$D$223,Paraméterek!$D$224),3,4))),0),0)</f>
        <v>0</v>
      </c>
      <c r="AH582" s="13">
        <f>IF(AND($Z582&gt;=5,MOD($Z582,5)=0),IF($AA582=12,VLOOKUP($Z582,Paraméterek!$B$225:$F$240,5),0),IF(OR($Z582=3,$Z582=4),IF($AA582=12,VLOOKUP($Z582,Paraméterek!$B$225:$F$240,5,0),0),0))*$AF582</f>
        <v>0</v>
      </c>
      <c r="AI582" s="13">
        <f>ROUNDDOWN(IF(SUM($T$20:$U582)=0,IF($D$2="Egyszeri",$AH582,$AG582),0),IF($D$4="Forint",0,2))</f>
        <v>0</v>
      </c>
      <c r="AJ582" s="13">
        <f t="shared" si="132"/>
        <v>0</v>
      </c>
      <c r="AK582" s="13">
        <f t="shared" si="133"/>
        <v>0</v>
      </c>
      <c r="AM582" s="32">
        <v>563</v>
      </c>
      <c r="AN582" s="32">
        <v>47</v>
      </c>
      <c r="AO582" s="32">
        <v>11</v>
      </c>
      <c r="AP582" s="13"/>
      <c r="AQ582" s="32"/>
      <c r="AR582" s="13">
        <f t="shared" si="134"/>
        <v>0</v>
      </c>
      <c r="AS582" s="33"/>
      <c r="AT582" s="13">
        <f t="shared" si="128"/>
        <v>0</v>
      </c>
      <c r="AU582" s="13">
        <f>ROUNDUP(($AR582+$AT582)*VLOOKUP($AN582,Paraméterek!$P$38:$Q$38,2)/12,IF($D$4="Forint",0,2))</f>
        <v>0</v>
      </c>
      <c r="AV582" s="13"/>
      <c r="AW582" s="13"/>
      <c r="AX582" s="13">
        <f>ROUNDUP(IF(SUM($AV582:$AW582)=0,0,IF(IF(ISBLANK($AW582),$AV582,$AW582)*Paraméterek!$J$112&lt;IF($D$4="Forint",Paraméterek!$J$113,Paraméterek!$K$113),IF($D$4="Forint",Paraméterek!$J$113,Paraméterek!$K$113),IF(IF(ISBLANK($AW582),$AV582,$AW582)*Paraméterek!$J$112&gt;IF($D$4="Forint",Paraméterek!$J$114,Paraméterek!$K$114),IF($D$4="Forint",Paraméterek!$J$114,Paraméterek!$K$114),IF(ISBLANK($AW582),$AV582,$AW582)*Paraméterek!$J$112))),IF($D$4="Forint",0,2))</f>
        <v>0</v>
      </c>
      <c r="AY582" s="13">
        <f>$AR582+$AT582-$AU582-IF(ROUNDDOWN(IF(ISBLANK($AW582),$AV582,$AW582),IF($D$4="Forint",0,2))&gt;$AR582+$AT582-$AU582-IF($D$4="Forint",Paraméterek!$J$114,Paraméterek!$K$114),0,ROUNDDOWN(IF(ISBLANK($AW582),$AV582,$AW582),IF($D$4="Forint",0,2))-$AX582)</f>
        <v>0</v>
      </c>
      <c r="AZ582" s="13">
        <f t="shared" si="129"/>
        <v>0</v>
      </c>
    </row>
    <row r="583" spans="1:52" x14ac:dyDescent="0.2">
      <c r="A583" s="32">
        <v>564</v>
      </c>
      <c r="B583" s="32">
        <v>47</v>
      </c>
      <c r="C583" s="32">
        <v>12</v>
      </c>
      <c r="D583" s="13">
        <f t="shared" si="120"/>
        <v>0</v>
      </c>
      <c r="E583" s="13"/>
      <c r="F583" s="13"/>
      <c r="G583" s="13"/>
      <c r="H583" s="13">
        <f t="shared" si="121"/>
        <v>0</v>
      </c>
      <c r="I583" s="13">
        <f t="shared" si="122"/>
        <v>0</v>
      </c>
      <c r="J583" s="13">
        <f t="shared" si="123"/>
        <v>0</v>
      </c>
      <c r="K583" s="13">
        <f>ROUNDUP(IF($D$2="Egyszeri",$D583,IF($D$2="Havi",SUM($D$20:$D$31),IF(MOD($C583,$M$1)-1=0,SUM($D$20:$D$31),0))/12*$M$1)*VLOOKUP($B583,Paraméterek!$B$27:$D$30,IF($D$2="Egyszeri",3,2)),IF($D$4="Forint",0,2))</f>
        <v>0</v>
      </c>
      <c r="L583" s="13">
        <f t="shared" si="124"/>
        <v>0</v>
      </c>
      <c r="M583" s="13">
        <f t="shared" ca="1" si="130"/>
        <v>-424424</v>
      </c>
      <c r="N583" s="13">
        <f ca="1">IF($V582&gt;=VLOOKUP($M$4-1+$B583,Paraméterek!$B$121:$D$122,IF($D$4="Forint",2,3)),0,VLOOKUP($M$4-1+$B583,Paraméterek!$B$121:$D$122,IF($D$4="Forint",2,3))-$V582)</f>
        <v>434424</v>
      </c>
      <c r="O583" s="13">
        <f ca="1">ROUNDUP($N583*Paraméterek!$C$58/Paraméterek!$C$56,IF($D$4="Forint",0,2))</f>
        <v>70</v>
      </c>
      <c r="P583" s="13">
        <f t="shared" si="125"/>
        <v>2143</v>
      </c>
      <c r="Q583" s="33"/>
      <c r="R583" s="13">
        <f t="shared" ca="1" si="126"/>
        <v>0</v>
      </c>
      <c r="S583" s="13">
        <f ca="1">ROUNDUP(($M583-$O583-$P583+$R583)*VLOOKUP($B583,Paraméterek!$B$38:$D$39,IF($D$2="Egyszeri",3,2))/12,IF($D$4="Forint",0,2))</f>
        <v>-1042</v>
      </c>
      <c r="T583" s="13">
        <f>Tranzakciók!$F$78</f>
        <v>0</v>
      </c>
      <c r="U583" s="13"/>
      <c r="V583" s="13">
        <f ca="1">$M583-$O583-$P583+$R583-$S583-IF(ROUNDUP(IF(ISBLANK($U583),$T583,$U583)/IF(AND($B583=1,$D$2&lt;&gt;"Egyszeri"),1,VLOOKUP($B583+IF($C583=12,1,0),Paraméterek!$B$257:$D$267,IF($D$2="Egyszeri",3,2))),IF($D$4="Forint",0,2))&gt;$M583-$O583-$P583+$R583-$S583-IF($D$4="Forint",Paraméterek!$C$216,Paraméterek!$D$216),0,ROUNDUP(IF(ISBLANK($U583),$T583,$U583)/IF(AND($B583=1,$D$2&lt;&gt;"Egyszeri"),1,VLOOKUP($B583+IF($C583=12,1,0),Paraméterek!$B$257:$D$267,IF($D$2="Egyszeri",3,2))),IF($D$4="Forint",0,2)))</f>
        <v>-425595</v>
      </c>
      <c r="W583" s="13">
        <f ca="1">ROUNDDOWN($V583*VLOOKUP($B583+IF($C583=12,1,0),Paraméterek!$B$257:$D$267,IF($D$2="Egyszeri",3,2)),IF($D$4="Forint",0,2))</f>
        <v>-425595</v>
      </c>
      <c r="Y583" s="32">
        <v>564</v>
      </c>
      <c r="Z583" s="32">
        <v>47</v>
      </c>
      <c r="AA583" s="32">
        <v>12</v>
      </c>
      <c r="AB583" s="13">
        <f t="shared" si="131"/>
        <v>0</v>
      </c>
      <c r="AC583" s="33"/>
      <c r="AD583" s="13">
        <f t="shared" si="127"/>
        <v>0</v>
      </c>
      <c r="AE583" s="13">
        <f>ROUNDUP(($AB583+$AD583)*VLOOKUP($Z583,Paraméterek!$P$38:$Q$38,2)/12,IF($D$4="Forint",0,2))</f>
        <v>0</v>
      </c>
      <c r="AF583" s="13">
        <f>IF($D$2="Egyszeri",IF($D$7&gt;=IF($D$4="Forint",Paraméterek!$P$223,Paraméterek!$P$224),$D$7-IF($D$4="Forint",Paraméterek!$F$223,Paraméterek!$F$224),0),MIN(IF($AA583=12,AVERAGE($D$20:$D583)*12,0),SUM($D$20:$D$31)))</f>
        <v>0</v>
      </c>
      <c r="AG583" s="13">
        <f>IF(AND($Z583&gt;=10,MOD($Z583,5)=0),$AF583*IF($AA583=12,VLOOKUP($Z583,Paraméterek!$B$225:$F$240,IF($AF583&lt;IF($D$4="Forint",Paraméterek!$C$223,Paraméterek!$C$224),2,IF($AF583&lt;IF($D$4="Forint",Paraméterek!$D$223,Paraméterek!$D$224),3,4))),0),0)</f>
        <v>0</v>
      </c>
      <c r="AH583" s="13">
        <f>IF(AND($Z583&gt;=5,MOD($Z583,5)=0),IF($AA583=12,VLOOKUP($Z583,Paraméterek!$B$225:$F$240,5),0),IF(OR($Z583=3,$Z583=4),IF($AA583=12,VLOOKUP($Z583,Paraméterek!$B$225:$F$240,5,0),0),0))*$AF583</f>
        <v>0</v>
      </c>
      <c r="AI583" s="13">
        <f>ROUNDDOWN(IF(SUM($T$20:$U583)=0,IF($D$2="Egyszeri",$AH583,$AG583),0),IF($D$4="Forint",0,2))</f>
        <v>0</v>
      </c>
      <c r="AJ583" s="13">
        <f t="shared" si="132"/>
        <v>0</v>
      </c>
      <c r="AK583" s="13">
        <f t="shared" si="133"/>
        <v>0</v>
      </c>
      <c r="AM583" s="32">
        <v>564</v>
      </c>
      <c r="AN583" s="32">
        <v>47</v>
      </c>
      <c r="AO583" s="32">
        <v>12</v>
      </c>
      <c r="AP583" s="13"/>
      <c r="AQ583" s="32"/>
      <c r="AR583" s="13">
        <f t="shared" si="134"/>
        <v>0</v>
      </c>
      <c r="AS583" s="33"/>
      <c r="AT583" s="13">
        <f t="shared" si="128"/>
        <v>0</v>
      </c>
      <c r="AU583" s="13">
        <f>ROUNDUP(($AR583+$AT583)*VLOOKUP($AN583,Paraméterek!$P$38:$Q$38,2)/12,IF($D$4="Forint",0,2))</f>
        <v>0</v>
      </c>
      <c r="AV583" s="13">
        <f>Tranzakciók!$M$78</f>
        <v>0</v>
      </c>
      <c r="AW583" s="13"/>
      <c r="AX583" s="13">
        <f>ROUNDUP(IF(SUM($AV583:$AW583)=0,0,IF(IF(ISBLANK($AW583),$AV583,$AW583)*Paraméterek!$J$112&lt;IF($D$4="Forint",Paraméterek!$J$113,Paraméterek!$K$113),IF($D$4="Forint",Paraméterek!$J$113,Paraméterek!$K$113),IF(IF(ISBLANK($AW583),$AV583,$AW583)*Paraméterek!$J$112&gt;IF($D$4="Forint",Paraméterek!$J$114,Paraméterek!$K$114),IF($D$4="Forint",Paraméterek!$J$114,Paraméterek!$K$114),IF(ISBLANK($AW583),$AV583,$AW583)*Paraméterek!$J$112))),IF($D$4="Forint",0,2))</f>
        <v>0</v>
      </c>
      <c r="AY583" s="13">
        <f>$AR583+$AT583-$AU583-IF(ROUNDDOWN(IF(ISBLANK($AW583),$AV583,$AW583),IF($D$4="Forint",0,2))&gt;$AR583+$AT583-$AU583-IF($D$4="Forint",Paraméterek!$J$114,Paraméterek!$K$114),0,ROUNDDOWN(IF(ISBLANK($AW583),$AV583,$AW583),IF($D$4="Forint",0,2))-$AX583)</f>
        <v>0</v>
      </c>
      <c r="AZ583" s="13">
        <f t="shared" si="129"/>
        <v>0</v>
      </c>
    </row>
    <row r="584" spans="1:52" x14ac:dyDescent="0.2">
      <c r="A584" s="32">
        <v>565</v>
      </c>
      <c r="B584" s="32">
        <v>48</v>
      </c>
      <c r="C584" s="32">
        <v>1</v>
      </c>
      <c r="D584" s="13">
        <f t="shared" si="120"/>
        <v>0</v>
      </c>
      <c r="E584" s="13"/>
      <c r="F584" s="13">
        <f>Tranzakciók!$D$79</f>
        <v>0</v>
      </c>
      <c r="G584" s="13"/>
      <c r="H584" s="13">
        <f t="shared" si="121"/>
        <v>0</v>
      </c>
      <c r="I584" s="13">
        <f t="shared" si="122"/>
        <v>402</v>
      </c>
      <c r="J584" s="13">
        <f t="shared" si="123"/>
        <v>402</v>
      </c>
      <c r="K584" s="13">
        <f>ROUNDUP(IF($D$2="Egyszeri",$D584,IF($D$2="Havi",SUM($D$20:$D$31),IF(MOD($C584,$M$1)-1=0,SUM($D$20:$D$31),0))/12*$M$1)*VLOOKUP($B584,Paraméterek!$B$27:$D$30,IF($D$2="Egyszeri",3,2)),IF($D$4="Forint",0,2))</f>
        <v>0</v>
      </c>
      <c r="L584" s="13">
        <f t="shared" si="124"/>
        <v>0</v>
      </c>
      <c r="M584" s="13">
        <f t="shared" ca="1" si="130"/>
        <v>-425595</v>
      </c>
      <c r="N584" s="13">
        <f ca="1">IF($V583&gt;=VLOOKUP($M$4-1+$B584,Paraméterek!$B$121:$D$122,IF($D$4="Forint",2,3)),0,VLOOKUP($M$4-1+$B584,Paraméterek!$B$121:$D$122,IF($D$4="Forint",2,3))-$V583)</f>
        <v>435595</v>
      </c>
      <c r="O584" s="13">
        <f ca="1">ROUNDUP($N584*Paraméterek!$C$58/Paraméterek!$C$56,IF($D$4="Forint",0,2))</f>
        <v>70</v>
      </c>
      <c r="P584" s="13">
        <f t="shared" si="125"/>
        <v>2207</v>
      </c>
      <c r="Q584" s="33"/>
      <c r="R584" s="13">
        <f t="shared" ca="1" si="126"/>
        <v>0</v>
      </c>
      <c r="S584" s="13">
        <f ca="1">ROUNDUP(($M584-$O584-$P584+$R584)*VLOOKUP($B584,Paraméterek!$B$38:$D$39,IF($D$2="Egyszeri",3,2))/12,IF($D$4="Forint",0,2))</f>
        <v>-1045</v>
      </c>
      <c r="T584" s="13"/>
      <c r="U584" s="13"/>
      <c r="V584" s="13">
        <f ca="1">$M584-$O584-$P584+$R584-$S584-IF(ROUNDUP(IF(ISBLANK($U584),$T584,$U584)/IF(AND($B584=1,$D$2&lt;&gt;"Egyszeri"),1,VLOOKUP($B584+IF($C584=12,1,0),Paraméterek!$B$257:$D$267,IF($D$2="Egyszeri",3,2))),IF($D$4="Forint",0,2))&gt;$M584-$O584-$P584+$R584-$S584-IF($D$4="Forint",Paraméterek!$C$216,Paraméterek!$D$216),0,ROUNDUP(IF(ISBLANK($U584),$T584,$U584)/IF(AND($B584=1,$D$2&lt;&gt;"Egyszeri"),1,VLOOKUP($B584+IF($C584=12,1,0),Paraméterek!$B$257:$D$267,IF($D$2="Egyszeri",3,2))),IF($D$4="Forint",0,2)))</f>
        <v>-426827</v>
      </c>
      <c r="W584" s="13">
        <f ca="1">ROUNDDOWN($V584*VLOOKUP($B584+IF($C584=12,1,0),Paraméterek!$B$257:$D$267,IF($D$2="Egyszeri",3,2)),IF($D$4="Forint",0,2))</f>
        <v>-426827</v>
      </c>
      <c r="Y584" s="32">
        <v>565</v>
      </c>
      <c r="Z584" s="32">
        <v>48</v>
      </c>
      <c r="AA584" s="32">
        <v>1</v>
      </c>
      <c r="AB584" s="13">
        <f t="shared" si="131"/>
        <v>0</v>
      </c>
      <c r="AC584" s="33"/>
      <c r="AD584" s="13">
        <f t="shared" si="127"/>
        <v>0</v>
      </c>
      <c r="AE584" s="13">
        <f>ROUNDUP(($AB584+$AD584)*VLOOKUP($Z584,Paraméterek!$P$38:$Q$38,2)/12,IF($D$4="Forint",0,2))</f>
        <v>0</v>
      </c>
      <c r="AF584" s="13">
        <f>IF($D$2="Egyszeri",IF($D$7&gt;=IF($D$4="Forint",Paraméterek!$P$223,Paraméterek!$P$224),$D$7-IF($D$4="Forint",Paraméterek!$F$223,Paraméterek!$F$224),0),MIN(IF($AA584=12,AVERAGE($D$20:$D584)*12,0),SUM($D$20:$D$31)))</f>
        <v>0</v>
      </c>
      <c r="AG584" s="13">
        <f>IF(AND($Z584&gt;=10,MOD($Z584,5)=0),$AF584*IF($AA584=12,VLOOKUP($Z584,Paraméterek!$B$225:$F$240,IF($AF584&lt;IF($D$4="Forint",Paraméterek!$C$223,Paraméterek!$C$224),2,IF($AF584&lt;IF($D$4="Forint",Paraméterek!$D$223,Paraméterek!$D$224),3,4))),0),0)</f>
        <v>0</v>
      </c>
      <c r="AH584" s="13">
        <f>IF(AND($Z584&gt;=5,MOD($Z584,5)=0),IF($AA584=12,VLOOKUP($Z584,Paraméterek!$B$225:$F$240,5),0),IF(OR($Z584=3,$Z584=4),IF($AA584=12,VLOOKUP($Z584,Paraméterek!$B$225:$F$240,5,0),0),0))*$AF584</f>
        <v>0</v>
      </c>
      <c r="AI584" s="13">
        <f>ROUNDDOWN(IF(SUM($T$20:$U584)=0,IF($D$2="Egyszeri",$AH584,$AG584),0),IF($D$4="Forint",0,2))</f>
        <v>0</v>
      </c>
      <c r="AJ584" s="13">
        <f t="shared" si="132"/>
        <v>0</v>
      </c>
      <c r="AK584" s="13">
        <f t="shared" si="133"/>
        <v>0</v>
      </c>
      <c r="AM584" s="32">
        <v>565</v>
      </c>
      <c r="AN584" s="32">
        <v>48</v>
      </c>
      <c r="AO584" s="32">
        <v>1</v>
      </c>
      <c r="AP584" s="13">
        <f>Tranzakciók!$K$79</f>
        <v>0</v>
      </c>
      <c r="AQ584" s="32"/>
      <c r="AR584" s="13">
        <f t="shared" si="134"/>
        <v>0</v>
      </c>
      <c r="AS584" s="33"/>
      <c r="AT584" s="13">
        <f t="shared" si="128"/>
        <v>0</v>
      </c>
      <c r="AU584" s="13">
        <f>ROUNDUP(($AR584+$AT584)*VLOOKUP($AN584,Paraméterek!$P$38:$Q$38,2)/12,IF($D$4="Forint",0,2))</f>
        <v>0</v>
      </c>
      <c r="AV584" s="13"/>
      <c r="AW584" s="13"/>
      <c r="AX584" s="13">
        <f>ROUNDUP(IF(SUM($AV584:$AW584)=0,0,IF(IF(ISBLANK($AW584),$AV584,$AW584)*Paraméterek!$J$112&lt;IF($D$4="Forint",Paraméterek!$J$113,Paraméterek!$K$113),IF($D$4="Forint",Paraméterek!$J$113,Paraméterek!$K$113),IF(IF(ISBLANK($AW584),$AV584,$AW584)*Paraméterek!$J$112&gt;IF($D$4="Forint",Paraméterek!$J$114,Paraméterek!$K$114),IF($D$4="Forint",Paraméterek!$J$114,Paraméterek!$K$114),IF(ISBLANK($AW584),$AV584,$AW584)*Paraméterek!$J$112))),IF($D$4="Forint",0,2))</f>
        <v>0</v>
      </c>
      <c r="AY584" s="13">
        <f>$AR584+$AT584-$AU584-IF(ROUNDDOWN(IF(ISBLANK($AW584),$AV584,$AW584),IF($D$4="Forint",0,2))&gt;$AR584+$AT584-$AU584-IF($D$4="Forint",Paraméterek!$J$114,Paraméterek!$K$114),0,ROUNDDOWN(IF(ISBLANK($AW584),$AV584,$AW584),IF($D$4="Forint",0,2))-$AX584)</f>
        <v>0</v>
      </c>
      <c r="AZ584" s="13">
        <f t="shared" si="129"/>
        <v>0</v>
      </c>
    </row>
    <row r="585" spans="1:52" x14ac:dyDescent="0.2">
      <c r="A585" s="32">
        <v>566</v>
      </c>
      <c r="B585" s="32">
        <v>48</v>
      </c>
      <c r="C585" s="32">
        <v>2</v>
      </c>
      <c r="D585" s="13">
        <f t="shared" si="120"/>
        <v>0</v>
      </c>
      <c r="E585" s="13"/>
      <c r="F585" s="13"/>
      <c r="G585" s="13"/>
      <c r="H585" s="13">
        <f t="shared" si="121"/>
        <v>0</v>
      </c>
      <c r="I585" s="13">
        <f t="shared" si="122"/>
        <v>0</v>
      </c>
      <c r="J585" s="13">
        <f t="shared" si="123"/>
        <v>0</v>
      </c>
      <c r="K585" s="13">
        <f>ROUNDUP(IF($D$2="Egyszeri",$D585,IF($D$2="Havi",SUM($D$20:$D$31),IF(MOD($C585,$M$1)-1=0,SUM($D$20:$D$31),0))/12*$M$1)*VLOOKUP($B585,Paraméterek!$B$27:$D$30,IF($D$2="Egyszeri",3,2)),IF($D$4="Forint",0,2))</f>
        <v>0</v>
      </c>
      <c r="L585" s="13">
        <f t="shared" si="124"/>
        <v>0</v>
      </c>
      <c r="M585" s="13">
        <f t="shared" ca="1" si="130"/>
        <v>-426827</v>
      </c>
      <c r="N585" s="13">
        <f ca="1">IF($V584&gt;=VLOOKUP($M$4-1+$B585,Paraméterek!$B$121:$D$122,IF($D$4="Forint",2,3)),0,VLOOKUP($M$4-1+$B585,Paraméterek!$B$121:$D$122,IF($D$4="Forint",2,3))-$V584)</f>
        <v>436827</v>
      </c>
      <c r="O585" s="13">
        <f ca="1">ROUNDUP($N585*Paraméterek!$C$58/Paraméterek!$C$56,IF($D$4="Forint",0,2))</f>
        <v>70</v>
      </c>
      <c r="P585" s="13">
        <f t="shared" si="125"/>
        <v>2207</v>
      </c>
      <c r="Q585" s="33"/>
      <c r="R585" s="13">
        <f t="shared" ca="1" si="126"/>
        <v>0</v>
      </c>
      <c r="S585" s="13">
        <f ca="1">ROUNDUP(($M585-$O585-$P585+$R585)*VLOOKUP($B585,Paraméterek!$B$38:$D$39,IF($D$2="Egyszeri",3,2))/12,IF($D$4="Forint",0,2))</f>
        <v>-1048</v>
      </c>
      <c r="T585" s="13"/>
      <c r="U585" s="13"/>
      <c r="V585" s="13">
        <f ca="1">$M585-$O585-$P585+$R585-$S585-IF(ROUNDUP(IF(ISBLANK($U585),$T585,$U585)/IF(AND($B585=1,$D$2&lt;&gt;"Egyszeri"),1,VLOOKUP($B585+IF($C585=12,1,0),Paraméterek!$B$257:$D$267,IF($D$2="Egyszeri",3,2))),IF($D$4="Forint",0,2))&gt;$M585-$O585-$P585+$R585-$S585-IF($D$4="Forint",Paraméterek!$C$216,Paraméterek!$D$216),0,ROUNDUP(IF(ISBLANK($U585),$T585,$U585)/IF(AND($B585=1,$D$2&lt;&gt;"Egyszeri"),1,VLOOKUP($B585+IF($C585=12,1,0),Paraméterek!$B$257:$D$267,IF($D$2="Egyszeri",3,2))),IF($D$4="Forint",0,2)))</f>
        <v>-428056</v>
      </c>
      <c r="W585" s="13">
        <f ca="1">ROUNDDOWN($V585*VLOOKUP($B585+IF($C585=12,1,0),Paraméterek!$B$257:$D$267,IF($D$2="Egyszeri",3,2)),IF($D$4="Forint",0,2))</f>
        <v>-428056</v>
      </c>
      <c r="Y585" s="32">
        <v>566</v>
      </c>
      <c r="Z585" s="32">
        <v>48</v>
      </c>
      <c r="AA585" s="32">
        <v>2</v>
      </c>
      <c r="AB585" s="13">
        <f t="shared" si="131"/>
        <v>0</v>
      </c>
      <c r="AC585" s="33"/>
      <c r="AD585" s="13">
        <f t="shared" si="127"/>
        <v>0</v>
      </c>
      <c r="AE585" s="13">
        <f>ROUNDUP(($AB585+$AD585)*VLOOKUP($Z585,Paraméterek!$P$38:$Q$38,2)/12,IF($D$4="Forint",0,2))</f>
        <v>0</v>
      </c>
      <c r="AF585" s="13">
        <f>IF($D$2="Egyszeri",IF($D$7&gt;=IF($D$4="Forint",Paraméterek!$P$223,Paraméterek!$P$224),$D$7-IF($D$4="Forint",Paraméterek!$F$223,Paraméterek!$F$224),0),MIN(IF($AA585=12,AVERAGE($D$20:$D585)*12,0),SUM($D$20:$D$31)))</f>
        <v>0</v>
      </c>
      <c r="AG585" s="13">
        <f>IF(AND($Z585&gt;=10,MOD($Z585,5)=0),$AF585*IF($AA585=12,VLOOKUP($Z585,Paraméterek!$B$225:$F$240,IF($AF585&lt;IF($D$4="Forint",Paraméterek!$C$223,Paraméterek!$C$224),2,IF($AF585&lt;IF($D$4="Forint",Paraméterek!$D$223,Paraméterek!$D$224),3,4))),0),0)</f>
        <v>0</v>
      </c>
      <c r="AH585" s="13">
        <f>IF(AND($Z585&gt;=5,MOD($Z585,5)=0),IF($AA585=12,VLOOKUP($Z585,Paraméterek!$B$225:$F$240,5),0),IF(OR($Z585=3,$Z585=4),IF($AA585=12,VLOOKUP($Z585,Paraméterek!$B$225:$F$240,5,0),0),0))*$AF585</f>
        <v>0</v>
      </c>
      <c r="AI585" s="13">
        <f>ROUNDDOWN(IF(SUM($T$20:$U585)=0,IF($D$2="Egyszeri",$AH585,$AG585),0),IF($D$4="Forint",0,2))</f>
        <v>0</v>
      </c>
      <c r="AJ585" s="13">
        <f t="shared" si="132"/>
        <v>0</v>
      </c>
      <c r="AK585" s="13">
        <f t="shared" si="133"/>
        <v>0</v>
      </c>
      <c r="AM585" s="32">
        <v>566</v>
      </c>
      <c r="AN585" s="32">
        <v>48</v>
      </c>
      <c r="AO585" s="32">
        <v>2</v>
      </c>
      <c r="AP585" s="13"/>
      <c r="AQ585" s="32"/>
      <c r="AR585" s="13">
        <f t="shared" si="134"/>
        <v>0</v>
      </c>
      <c r="AS585" s="33"/>
      <c r="AT585" s="13">
        <f t="shared" si="128"/>
        <v>0</v>
      </c>
      <c r="AU585" s="13">
        <f>ROUNDUP(($AR585+$AT585)*VLOOKUP($AN585,Paraméterek!$P$38:$Q$38,2)/12,IF($D$4="Forint",0,2))</f>
        <v>0</v>
      </c>
      <c r="AV585" s="13"/>
      <c r="AW585" s="13"/>
      <c r="AX585" s="13">
        <f>ROUNDUP(IF(SUM($AV585:$AW585)=0,0,IF(IF(ISBLANK($AW585),$AV585,$AW585)*Paraméterek!$J$112&lt;IF($D$4="Forint",Paraméterek!$J$113,Paraméterek!$K$113),IF($D$4="Forint",Paraméterek!$J$113,Paraméterek!$K$113),IF(IF(ISBLANK($AW585),$AV585,$AW585)*Paraméterek!$J$112&gt;IF($D$4="Forint",Paraméterek!$J$114,Paraméterek!$K$114),IF($D$4="Forint",Paraméterek!$J$114,Paraméterek!$K$114),IF(ISBLANK($AW585),$AV585,$AW585)*Paraméterek!$J$112))),IF($D$4="Forint",0,2))</f>
        <v>0</v>
      </c>
      <c r="AY585" s="13">
        <f>$AR585+$AT585-$AU585-IF(ROUNDDOWN(IF(ISBLANK($AW585),$AV585,$AW585),IF($D$4="Forint",0,2))&gt;$AR585+$AT585-$AU585-IF($D$4="Forint",Paraméterek!$J$114,Paraméterek!$K$114),0,ROUNDDOWN(IF(ISBLANK($AW585),$AV585,$AW585),IF($D$4="Forint",0,2))-$AX585)</f>
        <v>0</v>
      </c>
      <c r="AZ585" s="13">
        <f t="shared" si="129"/>
        <v>0</v>
      </c>
    </row>
    <row r="586" spans="1:52" x14ac:dyDescent="0.2">
      <c r="A586" s="32">
        <v>567</v>
      </c>
      <c r="B586" s="32">
        <v>48</v>
      </c>
      <c r="C586" s="32">
        <v>3</v>
      </c>
      <c r="D586" s="13">
        <f t="shared" si="120"/>
        <v>0</v>
      </c>
      <c r="E586" s="13"/>
      <c r="F586" s="13"/>
      <c r="G586" s="13"/>
      <c r="H586" s="13">
        <f t="shared" si="121"/>
        <v>0</v>
      </c>
      <c r="I586" s="13">
        <f t="shared" si="122"/>
        <v>0</v>
      </c>
      <c r="J586" s="13">
        <f t="shared" si="123"/>
        <v>0</v>
      </c>
      <c r="K586" s="13">
        <f>ROUNDUP(IF($D$2="Egyszeri",$D586,IF($D$2="Havi",SUM($D$20:$D$31),IF(MOD($C586,$M$1)-1=0,SUM($D$20:$D$31),0))/12*$M$1)*VLOOKUP($B586,Paraméterek!$B$27:$D$30,IF($D$2="Egyszeri",3,2)),IF($D$4="Forint",0,2))</f>
        <v>0</v>
      </c>
      <c r="L586" s="13">
        <f t="shared" si="124"/>
        <v>0</v>
      </c>
      <c r="M586" s="13">
        <f t="shared" ca="1" si="130"/>
        <v>-428056</v>
      </c>
      <c r="N586" s="13">
        <f ca="1">IF($V585&gt;=VLOOKUP($M$4-1+$B586,Paraméterek!$B$121:$D$122,IF($D$4="Forint",2,3)),0,VLOOKUP($M$4-1+$B586,Paraméterek!$B$121:$D$122,IF($D$4="Forint",2,3))-$V585)</f>
        <v>438056</v>
      </c>
      <c r="O586" s="13">
        <f ca="1">ROUNDUP($N586*Paraméterek!$C$58/Paraméterek!$C$56,IF($D$4="Forint",0,2))</f>
        <v>70</v>
      </c>
      <c r="P586" s="13">
        <f t="shared" si="125"/>
        <v>2207</v>
      </c>
      <c r="Q586" s="33"/>
      <c r="R586" s="13">
        <f t="shared" ca="1" si="126"/>
        <v>0</v>
      </c>
      <c r="S586" s="13">
        <f ca="1">ROUNDUP(($M586-$O586-$P586+$R586)*VLOOKUP($B586,Paraméterek!$B$38:$D$39,IF($D$2="Egyszeri",3,2))/12,IF($D$4="Forint",0,2))</f>
        <v>-1051</v>
      </c>
      <c r="T586" s="13"/>
      <c r="U586" s="13"/>
      <c r="V586" s="13">
        <f ca="1">$M586-$O586-$P586+$R586-$S586-IF(ROUNDUP(IF(ISBLANK($U586),$T586,$U586)/IF(AND($B586=1,$D$2&lt;&gt;"Egyszeri"),1,VLOOKUP($B586+IF($C586=12,1,0),Paraméterek!$B$257:$D$267,IF($D$2="Egyszeri",3,2))),IF($D$4="Forint",0,2))&gt;$M586-$O586-$P586+$R586-$S586-IF($D$4="Forint",Paraméterek!$C$216,Paraméterek!$D$216),0,ROUNDUP(IF(ISBLANK($U586),$T586,$U586)/IF(AND($B586=1,$D$2&lt;&gt;"Egyszeri"),1,VLOOKUP($B586+IF($C586=12,1,0),Paraméterek!$B$257:$D$267,IF($D$2="Egyszeri",3,2))),IF($D$4="Forint",0,2)))</f>
        <v>-429282</v>
      </c>
      <c r="W586" s="13">
        <f ca="1">ROUNDDOWN($V586*VLOOKUP($B586+IF($C586=12,1,0),Paraméterek!$B$257:$D$267,IF($D$2="Egyszeri",3,2)),IF($D$4="Forint",0,2))</f>
        <v>-429282</v>
      </c>
      <c r="Y586" s="32">
        <v>567</v>
      </c>
      <c r="Z586" s="32">
        <v>48</v>
      </c>
      <c r="AA586" s="32">
        <v>3</v>
      </c>
      <c r="AB586" s="13">
        <f t="shared" si="131"/>
        <v>0</v>
      </c>
      <c r="AC586" s="33"/>
      <c r="AD586" s="13">
        <f t="shared" si="127"/>
        <v>0</v>
      </c>
      <c r="AE586" s="13">
        <f>ROUNDUP(($AB586+$AD586)*VLOOKUP($Z586,Paraméterek!$P$38:$Q$38,2)/12,IF($D$4="Forint",0,2))</f>
        <v>0</v>
      </c>
      <c r="AF586" s="13">
        <f>IF($D$2="Egyszeri",IF($D$7&gt;=IF($D$4="Forint",Paraméterek!$P$223,Paraméterek!$P$224),$D$7-IF($D$4="Forint",Paraméterek!$F$223,Paraméterek!$F$224),0),MIN(IF($AA586=12,AVERAGE($D$20:$D586)*12,0),SUM($D$20:$D$31)))</f>
        <v>0</v>
      </c>
      <c r="AG586" s="13">
        <f>IF(AND($Z586&gt;=10,MOD($Z586,5)=0),$AF586*IF($AA586=12,VLOOKUP($Z586,Paraméterek!$B$225:$F$240,IF($AF586&lt;IF($D$4="Forint",Paraméterek!$C$223,Paraméterek!$C$224),2,IF($AF586&lt;IF($D$4="Forint",Paraméterek!$D$223,Paraméterek!$D$224),3,4))),0),0)</f>
        <v>0</v>
      </c>
      <c r="AH586" s="13">
        <f>IF(AND($Z586&gt;=5,MOD($Z586,5)=0),IF($AA586=12,VLOOKUP($Z586,Paraméterek!$B$225:$F$240,5),0),IF(OR($Z586=3,$Z586=4),IF($AA586=12,VLOOKUP($Z586,Paraméterek!$B$225:$F$240,5,0),0),0))*$AF586</f>
        <v>0</v>
      </c>
      <c r="AI586" s="13">
        <f>ROUNDDOWN(IF(SUM($T$20:$U586)=0,IF($D$2="Egyszeri",$AH586,$AG586),0),IF($D$4="Forint",0,2))</f>
        <v>0</v>
      </c>
      <c r="AJ586" s="13">
        <f t="shared" si="132"/>
        <v>0</v>
      </c>
      <c r="AK586" s="13">
        <f t="shared" si="133"/>
        <v>0</v>
      </c>
      <c r="AM586" s="32">
        <v>567</v>
      </c>
      <c r="AN586" s="32">
        <v>48</v>
      </c>
      <c r="AO586" s="32">
        <v>3</v>
      </c>
      <c r="AP586" s="13"/>
      <c r="AQ586" s="32"/>
      <c r="AR586" s="13">
        <f t="shared" si="134"/>
        <v>0</v>
      </c>
      <c r="AS586" s="33"/>
      <c r="AT586" s="13">
        <f t="shared" si="128"/>
        <v>0</v>
      </c>
      <c r="AU586" s="13">
        <f>ROUNDUP(($AR586+$AT586)*VLOOKUP($AN586,Paraméterek!$P$38:$Q$38,2)/12,IF($D$4="Forint",0,2))</f>
        <v>0</v>
      </c>
      <c r="AV586" s="13"/>
      <c r="AW586" s="13"/>
      <c r="AX586" s="13">
        <f>ROUNDUP(IF(SUM($AV586:$AW586)=0,0,IF(IF(ISBLANK($AW586),$AV586,$AW586)*Paraméterek!$J$112&lt;IF($D$4="Forint",Paraméterek!$J$113,Paraméterek!$K$113),IF($D$4="Forint",Paraméterek!$J$113,Paraméterek!$K$113),IF(IF(ISBLANK($AW586),$AV586,$AW586)*Paraméterek!$J$112&gt;IF($D$4="Forint",Paraméterek!$J$114,Paraméterek!$K$114),IF($D$4="Forint",Paraméterek!$J$114,Paraméterek!$K$114),IF(ISBLANK($AW586),$AV586,$AW586)*Paraméterek!$J$112))),IF($D$4="Forint",0,2))</f>
        <v>0</v>
      </c>
      <c r="AY586" s="13">
        <f>$AR586+$AT586-$AU586-IF(ROUNDDOWN(IF(ISBLANK($AW586),$AV586,$AW586),IF($D$4="Forint",0,2))&gt;$AR586+$AT586-$AU586-IF($D$4="Forint",Paraméterek!$J$114,Paraméterek!$K$114),0,ROUNDDOWN(IF(ISBLANK($AW586),$AV586,$AW586),IF($D$4="Forint",0,2))-$AX586)</f>
        <v>0</v>
      </c>
      <c r="AZ586" s="13">
        <f t="shared" si="129"/>
        <v>0</v>
      </c>
    </row>
    <row r="587" spans="1:52" x14ac:dyDescent="0.2">
      <c r="A587" s="32">
        <v>568</v>
      </c>
      <c r="B587" s="32">
        <v>48</v>
      </c>
      <c r="C587" s="32">
        <v>4</v>
      </c>
      <c r="D587" s="13">
        <f t="shared" si="120"/>
        <v>0</v>
      </c>
      <c r="E587" s="13"/>
      <c r="F587" s="13"/>
      <c r="G587" s="13"/>
      <c r="H587" s="13">
        <f t="shared" si="121"/>
        <v>0</v>
      </c>
      <c r="I587" s="13">
        <f t="shared" si="122"/>
        <v>0</v>
      </c>
      <c r="J587" s="13">
        <f t="shared" si="123"/>
        <v>0</v>
      </c>
      <c r="K587" s="13">
        <f>ROUNDUP(IF($D$2="Egyszeri",$D587,IF($D$2="Havi",SUM($D$20:$D$31),IF(MOD($C587,$M$1)-1=0,SUM($D$20:$D$31),0))/12*$M$1)*VLOOKUP($B587,Paraméterek!$B$27:$D$30,IF($D$2="Egyszeri",3,2)),IF($D$4="Forint",0,2))</f>
        <v>0</v>
      </c>
      <c r="L587" s="13">
        <f t="shared" si="124"/>
        <v>0</v>
      </c>
      <c r="M587" s="13">
        <f t="shared" ca="1" si="130"/>
        <v>-429282</v>
      </c>
      <c r="N587" s="13">
        <f ca="1">IF($V586&gt;=VLOOKUP($M$4-1+$B587,Paraméterek!$B$121:$D$122,IF($D$4="Forint",2,3)),0,VLOOKUP($M$4-1+$B587,Paraméterek!$B$121:$D$122,IF($D$4="Forint",2,3))-$V586)</f>
        <v>439282</v>
      </c>
      <c r="O587" s="13">
        <f ca="1">ROUNDUP($N587*Paraméterek!$C$58/Paraméterek!$C$56,IF($D$4="Forint",0,2))</f>
        <v>70</v>
      </c>
      <c r="P587" s="13">
        <f t="shared" si="125"/>
        <v>2207</v>
      </c>
      <c r="Q587" s="33"/>
      <c r="R587" s="13">
        <f t="shared" ca="1" si="126"/>
        <v>0</v>
      </c>
      <c r="S587" s="13">
        <f ca="1">ROUNDUP(($M587-$O587-$P587+$R587)*VLOOKUP($B587,Paraméterek!$B$38:$D$39,IF($D$2="Egyszeri",3,2))/12,IF($D$4="Forint",0,2))</f>
        <v>-1054</v>
      </c>
      <c r="T587" s="13"/>
      <c r="U587" s="13"/>
      <c r="V587" s="13">
        <f ca="1">$M587-$O587-$P587+$R587-$S587-IF(ROUNDUP(IF(ISBLANK($U587),$T587,$U587)/IF(AND($B587=1,$D$2&lt;&gt;"Egyszeri"),1,VLOOKUP($B587+IF($C587=12,1,0),Paraméterek!$B$257:$D$267,IF($D$2="Egyszeri",3,2))),IF($D$4="Forint",0,2))&gt;$M587-$O587-$P587+$R587-$S587-IF($D$4="Forint",Paraméterek!$C$216,Paraméterek!$D$216),0,ROUNDUP(IF(ISBLANK($U587),$T587,$U587)/IF(AND($B587=1,$D$2&lt;&gt;"Egyszeri"),1,VLOOKUP($B587+IF($C587=12,1,0),Paraméterek!$B$257:$D$267,IF($D$2="Egyszeri",3,2))),IF($D$4="Forint",0,2)))</f>
        <v>-430505</v>
      </c>
      <c r="W587" s="13">
        <f ca="1">ROUNDDOWN($V587*VLOOKUP($B587+IF($C587=12,1,0),Paraméterek!$B$257:$D$267,IF($D$2="Egyszeri",3,2)),IF($D$4="Forint",0,2))</f>
        <v>-430505</v>
      </c>
      <c r="Y587" s="32">
        <v>568</v>
      </c>
      <c r="Z587" s="32">
        <v>48</v>
      </c>
      <c r="AA587" s="32">
        <v>4</v>
      </c>
      <c r="AB587" s="13">
        <f t="shared" si="131"/>
        <v>0</v>
      </c>
      <c r="AC587" s="33"/>
      <c r="AD587" s="13">
        <f t="shared" si="127"/>
        <v>0</v>
      </c>
      <c r="AE587" s="13">
        <f>ROUNDUP(($AB587+$AD587)*VLOOKUP($Z587,Paraméterek!$P$38:$Q$38,2)/12,IF($D$4="Forint",0,2))</f>
        <v>0</v>
      </c>
      <c r="AF587" s="13">
        <f>IF($D$2="Egyszeri",IF($D$7&gt;=IF($D$4="Forint",Paraméterek!$P$223,Paraméterek!$P$224),$D$7-IF($D$4="Forint",Paraméterek!$F$223,Paraméterek!$F$224),0),MIN(IF($AA587=12,AVERAGE($D$20:$D587)*12,0),SUM($D$20:$D$31)))</f>
        <v>0</v>
      </c>
      <c r="AG587" s="13">
        <f>IF(AND($Z587&gt;=10,MOD($Z587,5)=0),$AF587*IF($AA587=12,VLOOKUP($Z587,Paraméterek!$B$225:$F$240,IF($AF587&lt;IF($D$4="Forint",Paraméterek!$C$223,Paraméterek!$C$224),2,IF($AF587&lt;IF($D$4="Forint",Paraméterek!$D$223,Paraméterek!$D$224),3,4))),0),0)</f>
        <v>0</v>
      </c>
      <c r="AH587" s="13">
        <f>IF(AND($Z587&gt;=5,MOD($Z587,5)=0),IF($AA587=12,VLOOKUP($Z587,Paraméterek!$B$225:$F$240,5),0),IF(OR($Z587=3,$Z587=4),IF($AA587=12,VLOOKUP($Z587,Paraméterek!$B$225:$F$240,5,0),0),0))*$AF587</f>
        <v>0</v>
      </c>
      <c r="AI587" s="13">
        <f>ROUNDDOWN(IF(SUM($T$20:$U587)=0,IF($D$2="Egyszeri",$AH587,$AG587),0),IF($D$4="Forint",0,2))</f>
        <v>0</v>
      </c>
      <c r="AJ587" s="13">
        <f t="shared" si="132"/>
        <v>0</v>
      </c>
      <c r="AK587" s="13">
        <f t="shared" si="133"/>
        <v>0</v>
      </c>
      <c r="AM587" s="32">
        <v>568</v>
      </c>
      <c r="AN587" s="32">
        <v>48</v>
      </c>
      <c r="AO587" s="32">
        <v>4</v>
      </c>
      <c r="AP587" s="13"/>
      <c r="AQ587" s="32"/>
      <c r="AR587" s="13">
        <f t="shared" si="134"/>
        <v>0</v>
      </c>
      <c r="AS587" s="33"/>
      <c r="AT587" s="13">
        <f t="shared" si="128"/>
        <v>0</v>
      </c>
      <c r="AU587" s="13">
        <f>ROUNDUP(($AR587+$AT587)*VLOOKUP($AN587,Paraméterek!$P$38:$Q$38,2)/12,IF($D$4="Forint",0,2))</f>
        <v>0</v>
      </c>
      <c r="AV587" s="13"/>
      <c r="AW587" s="13"/>
      <c r="AX587" s="13">
        <f>ROUNDUP(IF(SUM($AV587:$AW587)=0,0,IF(IF(ISBLANK($AW587),$AV587,$AW587)*Paraméterek!$J$112&lt;IF($D$4="Forint",Paraméterek!$J$113,Paraméterek!$K$113),IF($D$4="Forint",Paraméterek!$J$113,Paraméterek!$K$113),IF(IF(ISBLANK($AW587),$AV587,$AW587)*Paraméterek!$J$112&gt;IF($D$4="Forint",Paraméterek!$J$114,Paraméterek!$K$114),IF($D$4="Forint",Paraméterek!$J$114,Paraméterek!$K$114),IF(ISBLANK($AW587),$AV587,$AW587)*Paraméterek!$J$112))),IF($D$4="Forint",0,2))</f>
        <v>0</v>
      </c>
      <c r="AY587" s="13">
        <f>$AR587+$AT587-$AU587-IF(ROUNDDOWN(IF(ISBLANK($AW587),$AV587,$AW587),IF($D$4="Forint",0,2))&gt;$AR587+$AT587-$AU587-IF($D$4="Forint",Paraméterek!$J$114,Paraméterek!$K$114),0,ROUNDDOWN(IF(ISBLANK($AW587),$AV587,$AW587),IF($D$4="Forint",0,2))-$AX587)</f>
        <v>0</v>
      </c>
      <c r="AZ587" s="13">
        <f t="shared" si="129"/>
        <v>0</v>
      </c>
    </row>
    <row r="588" spans="1:52" x14ac:dyDescent="0.2">
      <c r="A588" s="32">
        <v>569</v>
      </c>
      <c r="B588" s="32">
        <v>48</v>
      </c>
      <c r="C588" s="32">
        <v>5</v>
      </c>
      <c r="D588" s="13">
        <f t="shared" si="120"/>
        <v>0</v>
      </c>
      <c r="E588" s="13"/>
      <c r="F588" s="13"/>
      <c r="G588" s="13"/>
      <c r="H588" s="13">
        <f t="shared" si="121"/>
        <v>0</v>
      </c>
      <c r="I588" s="13">
        <f t="shared" si="122"/>
        <v>0</v>
      </c>
      <c r="J588" s="13">
        <f t="shared" si="123"/>
        <v>0</v>
      </c>
      <c r="K588" s="13">
        <f>ROUNDUP(IF($D$2="Egyszeri",$D588,IF($D$2="Havi",SUM($D$20:$D$31),IF(MOD($C588,$M$1)-1=0,SUM($D$20:$D$31),0))/12*$M$1)*VLOOKUP($B588,Paraméterek!$B$27:$D$30,IF($D$2="Egyszeri",3,2)),IF($D$4="Forint",0,2))</f>
        <v>0</v>
      </c>
      <c r="L588" s="13">
        <f t="shared" si="124"/>
        <v>0</v>
      </c>
      <c r="M588" s="13">
        <f t="shared" ca="1" si="130"/>
        <v>-430505</v>
      </c>
      <c r="N588" s="13">
        <f ca="1">IF($V587&gt;=VLOOKUP($M$4-1+$B588,Paraméterek!$B$121:$D$122,IF($D$4="Forint",2,3)),0,VLOOKUP($M$4-1+$B588,Paraméterek!$B$121:$D$122,IF($D$4="Forint",2,3))-$V587)</f>
        <v>440505</v>
      </c>
      <c r="O588" s="13">
        <f ca="1">ROUNDUP($N588*Paraméterek!$C$58/Paraméterek!$C$56,IF($D$4="Forint",0,2))</f>
        <v>71</v>
      </c>
      <c r="P588" s="13">
        <f t="shared" si="125"/>
        <v>2207</v>
      </c>
      <c r="Q588" s="33"/>
      <c r="R588" s="13">
        <f t="shared" ca="1" si="126"/>
        <v>0</v>
      </c>
      <c r="S588" s="13">
        <f ca="1">ROUNDUP(($M588-$O588-$P588+$R588)*VLOOKUP($B588,Paraméterek!$B$38:$D$39,IF($D$2="Egyszeri",3,2))/12,IF($D$4="Forint",0,2))</f>
        <v>-1057</v>
      </c>
      <c r="T588" s="13"/>
      <c r="U588" s="13"/>
      <c r="V588" s="13">
        <f ca="1">$M588-$O588-$P588+$R588-$S588-IF(ROUNDUP(IF(ISBLANK($U588),$T588,$U588)/IF(AND($B588=1,$D$2&lt;&gt;"Egyszeri"),1,VLOOKUP($B588+IF($C588=12,1,0),Paraméterek!$B$257:$D$267,IF($D$2="Egyszeri",3,2))),IF($D$4="Forint",0,2))&gt;$M588-$O588-$P588+$R588-$S588-IF($D$4="Forint",Paraméterek!$C$216,Paraméterek!$D$216),0,ROUNDUP(IF(ISBLANK($U588),$T588,$U588)/IF(AND($B588=1,$D$2&lt;&gt;"Egyszeri"),1,VLOOKUP($B588+IF($C588=12,1,0),Paraméterek!$B$257:$D$267,IF($D$2="Egyszeri",3,2))),IF($D$4="Forint",0,2)))</f>
        <v>-431726</v>
      </c>
      <c r="W588" s="13">
        <f ca="1">ROUNDDOWN($V588*VLOOKUP($B588+IF($C588=12,1,0),Paraméterek!$B$257:$D$267,IF($D$2="Egyszeri",3,2)),IF($D$4="Forint",0,2))</f>
        <v>-431726</v>
      </c>
      <c r="Y588" s="32">
        <v>569</v>
      </c>
      <c r="Z588" s="32">
        <v>48</v>
      </c>
      <c r="AA588" s="32">
        <v>5</v>
      </c>
      <c r="AB588" s="13">
        <f t="shared" si="131"/>
        <v>0</v>
      </c>
      <c r="AC588" s="33"/>
      <c r="AD588" s="13">
        <f t="shared" si="127"/>
        <v>0</v>
      </c>
      <c r="AE588" s="13">
        <f>ROUNDUP(($AB588+$AD588)*VLOOKUP($Z588,Paraméterek!$P$38:$Q$38,2)/12,IF($D$4="Forint",0,2))</f>
        <v>0</v>
      </c>
      <c r="AF588" s="13">
        <f>IF($D$2="Egyszeri",IF($D$7&gt;=IF($D$4="Forint",Paraméterek!$P$223,Paraméterek!$P$224),$D$7-IF($D$4="Forint",Paraméterek!$F$223,Paraméterek!$F$224),0),MIN(IF($AA588=12,AVERAGE($D$20:$D588)*12,0),SUM($D$20:$D$31)))</f>
        <v>0</v>
      </c>
      <c r="AG588" s="13">
        <f>IF(AND($Z588&gt;=10,MOD($Z588,5)=0),$AF588*IF($AA588=12,VLOOKUP($Z588,Paraméterek!$B$225:$F$240,IF($AF588&lt;IF($D$4="Forint",Paraméterek!$C$223,Paraméterek!$C$224),2,IF($AF588&lt;IF($D$4="Forint",Paraméterek!$D$223,Paraméterek!$D$224),3,4))),0),0)</f>
        <v>0</v>
      </c>
      <c r="AH588" s="13">
        <f>IF(AND($Z588&gt;=5,MOD($Z588,5)=0),IF($AA588=12,VLOOKUP($Z588,Paraméterek!$B$225:$F$240,5),0),IF(OR($Z588=3,$Z588=4),IF($AA588=12,VLOOKUP($Z588,Paraméterek!$B$225:$F$240,5,0),0),0))*$AF588</f>
        <v>0</v>
      </c>
      <c r="AI588" s="13">
        <f>ROUNDDOWN(IF(SUM($T$20:$U588)=0,IF($D$2="Egyszeri",$AH588,$AG588),0),IF($D$4="Forint",0,2))</f>
        <v>0</v>
      </c>
      <c r="AJ588" s="13">
        <f t="shared" si="132"/>
        <v>0</v>
      </c>
      <c r="AK588" s="13">
        <f t="shared" si="133"/>
        <v>0</v>
      </c>
      <c r="AM588" s="32">
        <v>569</v>
      </c>
      <c r="AN588" s="32">
        <v>48</v>
      </c>
      <c r="AO588" s="32">
        <v>5</v>
      </c>
      <c r="AP588" s="13"/>
      <c r="AQ588" s="32"/>
      <c r="AR588" s="13">
        <f t="shared" si="134"/>
        <v>0</v>
      </c>
      <c r="AS588" s="33"/>
      <c r="AT588" s="13">
        <f t="shared" si="128"/>
        <v>0</v>
      </c>
      <c r="AU588" s="13">
        <f>ROUNDUP(($AR588+$AT588)*VLOOKUP($AN588,Paraméterek!$P$38:$Q$38,2)/12,IF($D$4="Forint",0,2))</f>
        <v>0</v>
      </c>
      <c r="AV588" s="13"/>
      <c r="AW588" s="13"/>
      <c r="AX588" s="13">
        <f>ROUNDUP(IF(SUM($AV588:$AW588)=0,0,IF(IF(ISBLANK($AW588),$AV588,$AW588)*Paraméterek!$J$112&lt;IF($D$4="Forint",Paraméterek!$J$113,Paraméterek!$K$113),IF($D$4="Forint",Paraméterek!$J$113,Paraméterek!$K$113),IF(IF(ISBLANK($AW588),$AV588,$AW588)*Paraméterek!$J$112&gt;IF($D$4="Forint",Paraméterek!$J$114,Paraméterek!$K$114),IF($D$4="Forint",Paraméterek!$J$114,Paraméterek!$K$114),IF(ISBLANK($AW588),$AV588,$AW588)*Paraméterek!$J$112))),IF($D$4="Forint",0,2))</f>
        <v>0</v>
      </c>
      <c r="AY588" s="13">
        <f>$AR588+$AT588-$AU588-IF(ROUNDDOWN(IF(ISBLANK($AW588),$AV588,$AW588),IF($D$4="Forint",0,2))&gt;$AR588+$AT588-$AU588-IF($D$4="Forint",Paraméterek!$J$114,Paraméterek!$K$114),0,ROUNDDOWN(IF(ISBLANK($AW588),$AV588,$AW588),IF($D$4="Forint",0,2))-$AX588)</f>
        <v>0</v>
      </c>
      <c r="AZ588" s="13">
        <f t="shared" si="129"/>
        <v>0</v>
      </c>
    </row>
    <row r="589" spans="1:52" x14ac:dyDescent="0.2">
      <c r="A589" s="32">
        <v>570</v>
      </c>
      <c r="B589" s="32">
        <v>48</v>
      </c>
      <c r="C589" s="32">
        <v>6</v>
      </c>
      <c r="D589" s="13">
        <f t="shared" si="120"/>
        <v>0</v>
      </c>
      <c r="E589" s="13"/>
      <c r="F589" s="13"/>
      <c r="G589" s="13"/>
      <c r="H589" s="13">
        <f t="shared" si="121"/>
        <v>0</v>
      </c>
      <c r="I589" s="13">
        <f t="shared" si="122"/>
        <v>0</v>
      </c>
      <c r="J589" s="13">
        <f t="shared" si="123"/>
        <v>0</v>
      </c>
      <c r="K589" s="13">
        <f>ROUNDUP(IF($D$2="Egyszeri",$D589,IF($D$2="Havi",SUM($D$20:$D$31),IF(MOD($C589,$M$1)-1=0,SUM($D$20:$D$31),0))/12*$M$1)*VLOOKUP($B589,Paraméterek!$B$27:$D$30,IF($D$2="Egyszeri",3,2)),IF($D$4="Forint",0,2))</f>
        <v>0</v>
      </c>
      <c r="L589" s="13">
        <f t="shared" si="124"/>
        <v>0</v>
      </c>
      <c r="M589" s="13">
        <f t="shared" ca="1" si="130"/>
        <v>-431726</v>
      </c>
      <c r="N589" s="13">
        <f ca="1">IF($V588&gt;=VLOOKUP($M$4-1+$B589,Paraméterek!$B$121:$D$122,IF($D$4="Forint",2,3)),0,VLOOKUP($M$4-1+$B589,Paraméterek!$B$121:$D$122,IF($D$4="Forint",2,3))-$V588)</f>
        <v>441726</v>
      </c>
      <c r="O589" s="13">
        <f ca="1">ROUNDUP($N589*Paraméterek!$C$58/Paraméterek!$C$56,IF($D$4="Forint",0,2))</f>
        <v>71</v>
      </c>
      <c r="P589" s="13">
        <f t="shared" si="125"/>
        <v>2207</v>
      </c>
      <c r="Q589" s="33"/>
      <c r="R589" s="13">
        <f t="shared" ca="1" si="126"/>
        <v>0</v>
      </c>
      <c r="S589" s="13">
        <f ca="1">ROUNDUP(($M589-$O589-$P589+$R589)*VLOOKUP($B589,Paraméterek!$B$38:$D$39,IF($D$2="Egyszeri",3,2))/12,IF($D$4="Forint",0,2))</f>
        <v>-1060</v>
      </c>
      <c r="T589" s="13"/>
      <c r="U589" s="13"/>
      <c r="V589" s="13">
        <f ca="1">$M589-$O589-$P589+$R589-$S589-IF(ROUNDUP(IF(ISBLANK($U589),$T589,$U589)/IF(AND($B589=1,$D$2&lt;&gt;"Egyszeri"),1,VLOOKUP($B589+IF($C589=12,1,0),Paraméterek!$B$257:$D$267,IF($D$2="Egyszeri",3,2))),IF($D$4="Forint",0,2))&gt;$M589-$O589-$P589+$R589-$S589-IF($D$4="Forint",Paraméterek!$C$216,Paraméterek!$D$216),0,ROUNDUP(IF(ISBLANK($U589),$T589,$U589)/IF(AND($B589=1,$D$2&lt;&gt;"Egyszeri"),1,VLOOKUP($B589+IF($C589=12,1,0),Paraméterek!$B$257:$D$267,IF($D$2="Egyszeri",3,2))),IF($D$4="Forint",0,2)))</f>
        <v>-432944</v>
      </c>
      <c r="W589" s="13">
        <f ca="1">ROUNDDOWN($V589*VLOOKUP($B589+IF($C589=12,1,0),Paraméterek!$B$257:$D$267,IF($D$2="Egyszeri",3,2)),IF($D$4="Forint",0,2))</f>
        <v>-432944</v>
      </c>
      <c r="Y589" s="32">
        <v>570</v>
      </c>
      <c r="Z589" s="32">
        <v>48</v>
      </c>
      <c r="AA589" s="32">
        <v>6</v>
      </c>
      <c r="AB589" s="13">
        <f t="shared" si="131"/>
        <v>0</v>
      </c>
      <c r="AC589" s="33"/>
      <c r="AD589" s="13">
        <f t="shared" si="127"/>
        <v>0</v>
      </c>
      <c r="AE589" s="13">
        <f>ROUNDUP(($AB589+$AD589)*VLOOKUP($Z589,Paraméterek!$P$38:$Q$38,2)/12,IF($D$4="Forint",0,2))</f>
        <v>0</v>
      </c>
      <c r="AF589" s="13">
        <f>IF($D$2="Egyszeri",IF($D$7&gt;=IF($D$4="Forint",Paraméterek!$P$223,Paraméterek!$P$224),$D$7-IF($D$4="Forint",Paraméterek!$F$223,Paraméterek!$F$224),0),MIN(IF($AA589=12,AVERAGE($D$20:$D589)*12,0),SUM($D$20:$D$31)))</f>
        <v>0</v>
      </c>
      <c r="AG589" s="13">
        <f>IF(AND($Z589&gt;=10,MOD($Z589,5)=0),$AF589*IF($AA589=12,VLOOKUP($Z589,Paraméterek!$B$225:$F$240,IF($AF589&lt;IF($D$4="Forint",Paraméterek!$C$223,Paraméterek!$C$224),2,IF($AF589&lt;IF($D$4="Forint",Paraméterek!$D$223,Paraméterek!$D$224),3,4))),0),0)</f>
        <v>0</v>
      </c>
      <c r="AH589" s="13">
        <f>IF(AND($Z589&gt;=5,MOD($Z589,5)=0),IF($AA589=12,VLOOKUP($Z589,Paraméterek!$B$225:$F$240,5),0),IF(OR($Z589=3,$Z589=4),IF($AA589=12,VLOOKUP($Z589,Paraméterek!$B$225:$F$240,5,0),0),0))*$AF589</f>
        <v>0</v>
      </c>
      <c r="AI589" s="13">
        <f>ROUNDDOWN(IF(SUM($T$20:$U589)=0,IF($D$2="Egyszeri",$AH589,$AG589),0),IF($D$4="Forint",0,2))</f>
        <v>0</v>
      </c>
      <c r="AJ589" s="13">
        <f t="shared" si="132"/>
        <v>0</v>
      </c>
      <c r="AK589" s="13">
        <f t="shared" si="133"/>
        <v>0</v>
      </c>
      <c r="AM589" s="32">
        <v>570</v>
      </c>
      <c r="AN589" s="32">
        <v>48</v>
      </c>
      <c r="AO589" s="32">
        <v>6</v>
      </c>
      <c r="AP589" s="13"/>
      <c r="AQ589" s="32"/>
      <c r="AR589" s="13">
        <f t="shared" si="134"/>
        <v>0</v>
      </c>
      <c r="AS589" s="33"/>
      <c r="AT589" s="13">
        <f t="shared" si="128"/>
        <v>0</v>
      </c>
      <c r="AU589" s="13">
        <f>ROUNDUP(($AR589+$AT589)*VLOOKUP($AN589,Paraméterek!$P$38:$Q$38,2)/12,IF($D$4="Forint",0,2))</f>
        <v>0</v>
      </c>
      <c r="AV589" s="13"/>
      <c r="AW589" s="13"/>
      <c r="AX589" s="13">
        <f>ROUNDUP(IF(SUM($AV589:$AW589)=0,0,IF(IF(ISBLANK($AW589),$AV589,$AW589)*Paraméterek!$J$112&lt;IF($D$4="Forint",Paraméterek!$J$113,Paraméterek!$K$113),IF($D$4="Forint",Paraméterek!$J$113,Paraméterek!$K$113),IF(IF(ISBLANK($AW589),$AV589,$AW589)*Paraméterek!$J$112&gt;IF($D$4="Forint",Paraméterek!$J$114,Paraméterek!$K$114),IF($D$4="Forint",Paraméterek!$J$114,Paraméterek!$K$114),IF(ISBLANK($AW589),$AV589,$AW589)*Paraméterek!$J$112))),IF($D$4="Forint",0,2))</f>
        <v>0</v>
      </c>
      <c r="AY589" s="13">
        <f>$AR589+$AT589-$AU589-IF(ROUNDDOWN(IF(ISBLANK($AW589),$AV589,$AW589),IF($D$4="Forint",0,2))&gt;$AR589+$AT589-$AU589-IF($D$4="Forint",Paraméterek!$J$114,Paraméterek!$K$114),0,ROUNDDOWN(IF(ISBLANK($AW589),$AV589,$AW589),IF($D$4="Forint",0,2))-$AX589)</f>
        <v>0</v>
      </c>
      <c r="AZ589" s="13">
        <f t="shared" si="129"/>
        <v>0</v>
      </c>
    </row>
    <row r="590" spans="1:52" x14ac:dyDescent="0.2">
      <c r="A590" s="32">
        <v>571</v>
      </c>
      <c r="B590" s="32">
        <v>48</v>
      </c>
      <c r="C590" s="32">
        <v>7</v>
      </c>
      <c r="D590" s="13">
        <f t="shared" si="120"/>
        <v>0</v>
      </c>
      <c r="E590" s="13"/>
      <c r="F590" s="13"/>
      <c r="G590" s="13"/>
      <c r="H590" s="13">
        <f t="shared" si="121"/>
        <v>0</v>
      </c>
      <c r="I590" s="13">
        <f t="shared" si="122"/>
        <v>0</v>
      </c>
      <c r="J590" s="13">
        <f t="shared" si="123"/>
        <v>0</v>
      </c>
      <c r="K590" s="13">
        <f>ROUNDUP(IF($D$2="Egyszeri",$D590,IF($D$2="Havi",SUM($D$20:$D$31),IF(MOD($C590,$M$1)-1=0,SUM($D$20:$D$31),0))/12*$M$1)*VLOOKUP($B590,Paraméterek!$B$27:$D$30,IF($D$2="Egyszeri",3,2)),IF($D$4="Forint",0,2))</f>
        <v>0</v>
      </c>
      <c r="L590" s="13">
        <f t="shared" si="124"/>
        <v>0</v>
      </c>
      <c r="M590" s="13">
        <f t="shared" ca="1" si="130"/>
        <v>-432944</v>
      </c>
      <c r="N590" s="13">
        <f ca="1">IF($V589&gt;=VLOOKUP($M$4-1+$B590,Paraméterek!$B$121:$D$122,IF($D$4="Forint",2,3)),0,VLOOKUP($M$4-1+$B590,Paraméterek!$B$121:$D$122,IF($D$4="Forint",2,3))-$V589)</f>
        <v>442944</v>
      </c>
      <c r="O590" s="13">
        <f ca="1">ROUNDUP($N590*Paraméterek!$C$58/Paraméterek!$C$56,IF($D$4="Forint",0,2))</f>
        <v>71</v>
      </c>
      <c r="P590" s="13">
        <f t="shared" si="125"/>
        <v>2207</v>
      </c>
      <c r="Q590" s="33"/>
      <c r="R590" s="13">
        <f t="shared" ca="1" si="126"/>
        <v>0</v>
      </c>
      <c r="S590" s="13">
        <f ca="1">ROUNDUP(($M590-$O590-$P590+$R590)*VLOOKUP($B590,Paraméterek!$B$38:$D$39,IF($D$2="Egyszeri",3,2))/12,IF($D$4="Forint",0,2))</f>
        <v>-1063</v>
      </c>
      <c r="T590" s="13"/>
      <c r="U590" s="13"/>
      <c r="V590" s="13">
        <f ca="1">$M590-$O590-$P590+$R590-$S590-IF(ROUNDUP(IF(ISBLANK($U590),$T590,$U590)/IF(AND($B590=1,$D$2&lt;&gt;"Egyszeri"),1,VLOOKUP($B590+IF($C590=12,1,0),Paraméterek!$B$257:$D$267,IF($D$2="Egyszeri",3,2))),IF($D$4="Forint",0,2))&gt;$M590-$O590-$P590+$R590-$S590-IF($D$4="Forint",Paraméterek!$C$216,Paraméterek!$D$216),0,ROUNDUP(IF(ISBLANK($U590),$T590,$U590)/IF(AND($B590=1,$D$2&lt;&gt;"Egyszeri"),1,VLOOKUP($B590+IF($C590=12,1,0),Paraméterek!$B$257:$D$267,IF($D$2="Egyszeri",3,2))),IF($D$4="Forint",0,2)))</f>
        <v>-434159</v>
      </c>
      <c r="W590" s="13">
        <f ca="1">ROUNDDOWN($V590*VLOOKUP($B590+IF($C590=12,1,0),Paraméterek!$B$257:$D$267,IF($D$2="Egyszeri",3,2)),IF($D$4="Forint",0,2))</f>
        <v>-434159</v>
      </c>
      <c r="Y590" s="32">
        <v>571</v>
      </c>
      <c r="Z590" s="32">
        <v>48</v>
      </c>
      <c r="AA590" s="32">
        <v>7</v>
      </c>
      <c r="AB590" s="13">
        <f t="shared" si="131"/>
        <v>0</v>
      </c>
      <c r="AC590" s="33"/>
      <c r="AD590" s="13">
        <f t="shared" si="127"/>
        <v>0</v>
      </c>
      <c r="AE590" s="13">
        <f>ROUNDUP(($AB590+$AD590)*VLOOKUP($Z590,Paraméterek!$P$38:$Q$38,2)/12,IF($D$4="Forint",0,2))</f>
        <v>0</v>
      </c>
      <c r="AF590" s="13">
        <f>IF($D$2="Egyszeri",IF($D$7&gt;=IF($D$4="Forint",Paraméterek!$P$223,Paraméterek!$P$224),$D$7-IF($D$4="Forint",Paraméterek!$F$223,Paraméterek!$F$224),0),MIN(IF($AA590=12,AVERAGE($D$20:$D590)*12,0),SUM($D$20:$D$31)))</f>
        <v>0</v>
      </c>
      <c r="AG590" s="13">
        <f>IF(AND($Z590&gt;=10,MOD($Z590,5)=0),$AF590*IF($AA590=12,VLOOKUP($Z590,Paraméterek!$B$225:$F$240,IF($AF590&lt;IF($D$4="Forint",Paraméterek!$C$223,Paraméterek!$C$224),2,IF($AF590&lt;IF($D$4="Forint",Paraméterek!$D$223,Paraméterek!$D$224),3,4))),0),0)</f>
        <v>0</v>
      </c>
      <c r="AH590" s="13">
        <f>IF(AND($Z590&gt;=5,MOD($Z590,5)=0),IF($AA590=12,VLOOKUP($Z590,Paraméterek!$B$225:$F$240,5),0),IF(OR($Z590=3,$Z590=4),IF($AA590=12,VLOOKUP($Z590,Paraméterek!$B$225:$F$240,5,0),0),0))*$AF590</f>
        <v>0</v>
      </c>
      <c r="AI590" s="13">
        <f>ROUNDDOWN(IF(SUM($T$20:$U590)=0,IF($D$2="Egyszeri",$AH590,$AG590),0),IF($D$4="Forint",0,2))</f>
        <v>0</v>
      </c>
      <c r="AJ590" s="13">
        <f t="shared" si="132"/>
        <v>0</v>
      </c>
      <c r="AK590" s="13">
        <f t="shared" si="133"/>
        <v>0</v>
      </c>
      <c r="AM590" s="32">
        <v>571</v>
      </c>
      <c r="AN590" s="32">
        <v>48</v>
      </c>
      <c r="AO590" s="32">
        <v>7</v>
      </c>
      <c r="AP590" s="13"/>
      <c r="AQ590" s="32"/>
      <c r="AR590" s="13">
        <f t="shared" si="134"/>
        <v>0</v>
      </c>
      <c r="AS590" s="33"/>
      <c r="AT590" s="13">
        <f t="shared" si="128"/>
        <v>0</v>
      </c>
      <c r="AU590" s="13">
        <f>ROUNDUP(($AR590+$AT590)*VLOOKUP($AN590,Paraméterek!$P$38:$Q$38,2)/12,IF($D$4="Forint",0,2))</f>
        <v>0</v>
      </c>
      <c r="AV590" s="13"/>
      <c r="AW590" s="13"/>
      <c r="AX590" s="13">
        <f>ROUNDUP(IF(SUM($AV590:$AW590)=0,0,IF(IF(ISBLANK($AW590),$AV590,$AW590)*Paraméterek!$J$112&lt;IF($D$4="Forint",Paraméterek!$J$113,Paraméterek!$K$113),IF($D$4="Forint",Paraméterek!$J$113,Paraméterek!$K$113),IF(IF(ISBLANK($AW590),$AV590,$AW590)*Paraméterek!$J$112&gt;IF($D$4="Forint",Paraméterek!$J$114,Paraméterek!$K$114),IF($D$4="Forint",Paraméterek!$J$114,Paraméterek!$K$114),IF(ISBLANK($AW590),$AV590,$AW590)*Paraméterek!$J$112))),IF($D$4="Forint",0,2))</f>
        <v>0</v>
      </c>
      <c r="AY590" s="13">
        <f>$AR590+$AT590-$AU590-IF(ROUNDDOWN(IF(ISBLANK($AW590),$AV590,$AW590),IF($D$4="Forint",0,2))&gt;$AR590+$AT590-$AU590-IF($D$4="Forint",Paraméterek!$J$114,Paraméterek!$K$114),0,ROUNDDOWN(IF(ISBLANK($AW590),$AV590,$AW590),IF($D$4="Forint",0,2))-$AX590)</f>
        <v>0</v>
      </c>
      <c r="AZ590" s="13">
        <f t="shared" si="129"/>
        <v>0</v>
      </c>
    </row>
    <row r="591" spans="1:52" x14ac:dyDescent="0.2">
      <c r="A591" s="32">
        <v>572</v>
      </c>
      <c r="B591" s="32">
        <v>48</v>
      </c>
      <c r="C591" s="32">
        <v>8</v>
      </c>
      <c r="D591" s="13">
        <f t="shared" si="120"/>
        <v>0</v>
      </c>
      <c r="E591" s="13"/>
      <c r="F591" s="13"/>
      <c r="G591" s="13"/>
      <c r="H591" s="13">
        <f t="shared" si="121"/>
        <v>0</v>
      </c>
      <c r="I591" s="13">
        <f t="shared" si="122"/>
        <v>0</v>
      </c>
      <c r="J591" s="13">
        <f t="shared" si="123"/>
        <v>0</v>
      </c>
      <c r="K591" s="13">
        <f>ROUNDUP(IF($D$2="Egyszeri",$D591,IF($D$2="Havi",SUM($D$20:$D$31),IF(MOD($C591,$M$1)-1=0,SUM($D$20:$D$31),0))/12*$M$1)*VLOOKUP($B591,Paraméterek!$B$27:$D$30,IF($D$2="Egyszeri",3,2)),IF($D$4="Forint",0,2))</f>
        <v>0</v>
      </c>
      <c r="L591" s="13">
        <f t="shared" si="124"/>
        <v>0</v>
      </c>
      <c r="M591" s="13">
        <f t="shared" ca="1" si="130"/>
        <v>-434159</v>
      </c>
      <c r="N591" s="13">
        <f ca="1">IF($V590&gt;=VLOOKUP($M$4-1+$B591,Paraméterek!$B$121:$D$122,IF($D$4="Forint",2,3)),0,VLOOKUP($M$4-1+$B591,Paraméterek!$B$121:$D$122,IF($D$4="Forint",2,3))-$V590)</f>
        <v>444159</v>
      </c>
      <c r="O591" s="13">
        <f ca="1">ROUNDUP($N591*Paraméterek!$C$58/Paraméterek!$C$56,IF($D$4="Forint",0,2))</f>
        <v>71</v>
      </c>
      <c r="P591" s="13">
        <f t="shared" si="125"/>
        <v>2207</v>
      </c>
      <c r="Q591" s="33"/>
      <c r="R591" s="13">
        <f t="shared" ca="1" si="126"/>
        <v>0</v>
      </c>
      <c r="S591" s="13">
        <f ca="1">ROUNDUP(($M591-$O591-$P591+$R591)*VLOOKUP($B591,Paraméterek!$B$38:$D$39,IF($D$2="Egyszeri",3,2))/12,IF($D$4="Forint",0,2))</f>
        <v>-1066</v>
      </c>
      <c r="T591" s="13"/>
      <c r="U591" s="13"/>
      <c r="V591" s="13">
        <f ca="1">$M591-$O591-$P591+$R591-$S591-IF(ROUNDUP(IF(ISBLANK($U591),$T591,$U591)/IF(AND($B591=1,$D$2&lt;&gt;"Egyszeri"),1,VLOOKUP($B591+IF($C591=12,1,0),Paraméterek!$B$257:$D$267,IF($D$2="Egyszeri",3,2))),IF($D$4="Forint",0,2))&gt;$M591-$O591-$P591+$R591-$S591-IF($D$4="Forint",Paraméterek!$C$216,Paraméterek!$D$216),0,ROUNDUP(IF(ISBLANK($U591),$T591,$U591)/IF(AND($B591=1,$D$2&lt;&gt;"Egyszeri"),1,VLOOKUP($B591+IF($C591=12,1,0),Paraméterek!$B$257:$D$267,IF($D$2="Egyszeri",3,2))),IF($D$4="Forint",0,2)))</f>
        <v>-435371</v>
      </c>
      <c r="W591" s="13">
        <f ca="1">ROUNDDOWN($V591*VLOOKUP($B591+IF($C591=12,1,0),Paraméterek!$B$257:$D$267,IF($D$2="Egyszeri",3,2)),IF($D$4="Forint",0,2))</f>
        <v>-435371</v>
      </c>
      <c r="Y591" s="32">
        <v>572</v>
      </c>
      <c r="Z591" s="32">
        <v>48</v>
      </c>
      <c r="AA591" s="32">
        <v>8</v>
      </c>
      <c r="AB591" s="13">
        <f t="shared" si="131"/>
        <v>0</v>
      </c>
      <c r="AC591" s="33"/>
      <c r="AD591" s="13">
        <f t="shared" si="127"/>
        <v>0</v>
      </c>
      <c r="AE591" s="13">
        <f>ROUNDUP(($AB591+$AD591)*VLOOKUP($Z591,Paraméterek!$P$38:$Q$38,2)/12,IF($D$4="Forint",0,2))</f>
        <v>0</v>
      </c>
      <c r="AF591" s="13">
        <f>IF($D$2="Egyszeri",IF($D$7&gt;=IF($D$4="Forint",Paraméterek!$P$223,Paraméterek!$P$224),$D$7-IF($D$4="Forint",Paraméterek!$F$223,Paraméterek!$F$224),0),MIN(IF($AA591=12,AVERAGE($D$20:$D591)*12,0),SUM($D$20:$D$31)))</f>
        <v>0</v>
      </c>
      <c r="AG591" s="13">
        <f>IF(AND($Z591&gt;=10,MOD($Z591,5)=0),$AF591*IF($AA591=12,VLOOKUP($Z591,Paraméterek!$B$225:$F$240,IF($AF591&lt;IF($D$4="Forint",Paraméterek!$C$223,Paraméterek!$C$224),2,IF($AF591&lt;IF($D$4="Forint",Paraméterek!$D$223,Paraméterek!$D$224),3,4))),0),0)</f>
        <v>0</v>
      </c>
      <c r="AH591" s="13">
        <f>IF(AND($Z591&gt;=5,MOD($Z591,5)=0),IF($AA591=12,VLOOKUP($Z591,Paraméterek!$B$225:$F$240,5),0),IF(OR($Z591=3,$Z591=4),IF($AA591=12,VLOOKUP($Z591,Paraméterek!$B$225:$F$240,5,0),0),0))*$AF591</f>
        <v>0</v>
      </c>
      <c r="AI591" s="13">
        <f>ROUNDDOWN(IF(SUM($T$20:$U591)=0,IF($D$2="Egyszeri",$AH591,$AG591),0),IF($D$4="Forint",0,2))</f>
        <v>0</v>
      </c>
      <c r="AJ591" s="13">
        <f t="shared" si="132"/>
        <v>0</v>
      </c>
      <c r="AK591" s="13">
        <f t="shared" si="133"/>
        <v>0</v>
      </c>
      <c r="AM591" s="32">
        <v>572</v>
      </c>
      <c r="AN591" s="32">
        <v>48</v>
      </c>
      <c r="AO591" s="32">
        <v>8</v>
      </c>
      <c r="AP591" s="13"/>
      <c r="AQ591" s="32"/>
      <c r="AR591" s="13">
        <f t="shared" si="134"/>
        <v>0</v>
      </c>
      <c r="AS591" s="33"/>
      <c r="AT591" s="13">
        <f t="shared" si="128"/>
        <v>0</v>
      </c>
      <c r="AU591" s="13">
        <f>ROUNDUP(($AR591+$AT591)*VLOOKUP($AN591,Paraméterek!$P$38:$Q$38,2)/12,IF($D$4="Forint",0,2))</f>
        <v>0</v>
      </c>
      <c r="AV591" s="13"/>
      <c r="AW591" s="13"/>
      <c r="AX591" s="13">
        <f>ROUNDUP(IF(SUM($AV591:$AW591)=0,0,IF(IF(ISBLANK($AW591),$AV591,$AW591)*Paraméterek!$J$112&lt;IF($D$4="Forint",Paraméterek!$J$113,Paraméterek!$K$113),IF($D$4="Forint",Paraméterek!$J$113,Paraméterek!$K$113),IF(IF(ISBLANK($AW591),$AV591,$AW591)*Paraméterek!$J$112&gt;IF($D$4="Forint",Paraméterek!$J$114,Paraméterek!$K$114),IF($D$4="Forint",Paraméterek!$J$114,Paraméterek!$K$114),IF(ISBLANK($AW591),$AV591,$AW591)*Paraméterek!$J$112))),IF($D$4="Forint",0,2))</f>
        <v>0</v>
      </c>
      <c r="AY591" s="13">
        <f>$AR591+$AT591-$AU591-IF(ROUNDDOWN(IF(ISBLANK($AW591),$AV591,$AW591),IF($D$4="Forint",0,2))&gt;$AR591+$AT591-$AU591-IF($D$4="Forint",Paraméterek!$J$114,Paraméterek!$K$114),0,ROUNDDOWN(IF(ISBLANK($AW591),$AV591,$AW591),IF($D$4="Forint",0,2))-$AX591)</f>
        <v>0</v>
      </c>
      <c r="AZ591" s="13">
        <f t="shared" si="129"/>
        <v>0</v>
      </c>
    </row>
    <row r="592" spans="1:52" x14ac:dyDescent="0.2">
      <c r="A592" s="32">
        <v>573</v>
      </c>
      <c r="B592" s="32">
        <v>48</v>
      </c>
      <c r="C592" s="32">
        <v>9</v>
      </c>
      <c r="D592" s="13">
        <f t="shared" si="120"/>
        <v>0</v>
      </c>
      <c r="E592" s="13"/>
      <c r="F592" s="13"/>
      <c r="G592" s="13"/>
      <c r="H592" s="13">
        <f t="shared" si="121"/>
        <v>0</v>
      </c>
      <c r="I592" s="13">
        <f t="shared" si="122"/>
        <v>0</v>
      </c>
      <c r="J592" s="13">
        <f t="shared" si="123"/>
        <v>0</v>
      </c>
      <c r="K592" s="13">
        <f>ROUNDUP(IF($D$2="Egyszeri",$D592,IF($D$2="Havi",SUM($D$20:$D$31),IF(MOD($C592,$M$1)-1=0,SUM($D$20:$D$31),0))/12*$M$1)*VLOOKUP($B592,Paraméterek!$B$27:$D$30,IF($D$2="Egyszeri",3,2)),IF($D$4="Forint",0,2))</f>
        <v>0</v>
      </c>
      <c r="L592" s="13">
        <f t="shared" si="124"/>
        <v>0</v>
      </c>
      <c r="M592" s="13">
        <f t="shared" ca="1" si="130"/>
        <v>-435371</v>
      </c>
      <c r="N592" s="13">
        <f ca="1">IF($V591&gt;=VLOOKUP($M$4-1+$B592,Paraméterek!$B$121:$D$122,IF($D$4="Forint",2,3)),0,VLOOKUP($M$4-1+$B592,Paraméterek!$B$121:$D$122,IF($D$4="Forint",2,3))-$V591)</f>
        <v>445371</v>
      </c>
      <c r="O592" s="13">
        <f ca="1">ROUNDUP($N592*Paraméterek!$C$58/Paraméterek!$C$56,IF($D$4="Forint",0,2))</f>
        <v>71</v>
      </c>
      <c r="P592" s="13">
        <f t="shared" si="125"/>
        <v>2207</v>
      </c>
      <c r="Q592" s="33"/>
      <c r="R592" s="13">
        <f t="shared" ca="1" si="126"/>
        <v>0</v>
      </c>
      <c r="S592" s="13">
        <f ca="1">ROUNDUP(($M592-$O592-$P592+$R592)*VLOOKUP($B592,Paraméterek!$B$38:$D$39,IF($D$2="Egyszeri",3,2))/12,IF($D$4="Forint",0,2))</f>
        <v>-1069</v>
      </c>
      <c r="T592" s="13"/>
      <c r="U592" s="13"/>
      <c r="V592" s="13">
        <f ca="1">$M592-$O592-$P592+$R592-$S592-IF(ROUNDUP(IF(ISBLANK($U592),$T592,$U592)/IF(AND($B592=1,$D$2&lt;&gt;"Egyszeri"),1,VLOOKUP($B592+IF($C592=12,1,0),Paraméterek!$B$257:$D$267,IF($D$2="Egyszeri",3,2))),IF($D$4="Forint",0,2))&gt;$M592-$O592-$P592+$R592-$S592-IF($D$4="Forint",Paraméterek!$C$216,Paraméterek!$D$216),0,ROUNDUP(IF(ISBLANK($U592),$T592,$U592)/IF(AND($B592=1,$D$2&lt;&gt;"Egyszeri"),1,VLOOKUP($B592+IF($C592=12,1,0),Paraméterek!$B$257:$D$267,IF($D$2="Egyszeri",3,2))),IF($D$4="Forint",0,2)))</f>
        <v>-436580</v>
      </c>
      <c r="W592" s="13">
        <f ca="1">ROUNDDOWN($V592*VLOOKUP($B592+IF($C592=12,1,0),Paraméterek!$B$257:$D$267,IF($D$2="Egyszeri",3,2)),IF($D$4="Forint",0,2))</f>
        <v>-436580</v>
      </c>
      <c r="Y592" s="32">
        <v>573</v>
      </c>
      <c r="Z592" s="32">
        <v>48</v>
      </c>
      <c r="AA592" s="32">
        <v>9</v>
      </c>
      <c r="AB592" s="13">
        <f t="shared" si="131"/>
        <v>0</v>
      </c>
      <c r="AC592" s="33"/>
      <c r="AD592" s="13">
        <f t="shared" si="127"/>
        <v>0</v>
      </c>
      <c r="AE592" s="13">
        <f>ROUNDUP(($AB592+$AD592)*VLOOKUP($Z592,Paraméterek!$P$38:$Q$38,2)/12,IF($D$4="Forint",0,2))</f>
        <v>0</v>
      </c>
      <c r="AF592" s="13">
        <f>IF($D$2="Egyszeri",IF($D$7&gt;=IF($D$4="Forint",Paraméterek!$P$223,Paraméterek!$P$224),$D$7-IF($D$4="Forint",Paraméterek!$F$223,Paraméterek!$F$224),0),MIN(IF($AA592=12,AVERAGE($D$20:$D592)*12,0),SUM($D$20:$D$31)))</f>
        <v>0</v>
      </c>
      <c r="AG592" s="13">
        <f>IF(AND($Z592&gt;=10,MOD($Z592,5)=0),$AF592*IF($AA592=12,VLOOKUP($Z592,Paraméterek!$B$225:$F$240,IF($AF592&lt;IF($D$4="Forint",Paraméterek!$C$223,Paraméterek!$C$224),2,IF($AF592&lt;IF($D$4="Forint",Paraméterek!$D$223,Paraméterek!$D$224),3,4))),0),0)</f>
        <v>0</v>
      </c>
      <c r="AH592" s="13">
        <f>IF(AND($Z592&gt;=5,MOD($Z592,5)=0),IF($AA592=12,VLOOKUP($Z592,Paraméterek!$B$225:$F$240,5),0),IF(OR($Z592=3,$Z592=4),IF($AA592=12,VLOOKUP($Z592,Paraméterek!$B$225:$F$240,5,0),0),0))*$AF592</f>
        <v>0</v>
      </c>
      <c r="AI592" s="13">
        <f>ROUNDDOWN(IF(SUM($T$20:$U592)=0,IF($D$2="Egyszeri",$AH592,$AG592),0),IF($D$4="Forint",0,2))</f>
        <v>0</v>
      </c>
      <c r="AJ592" s="13">
        <f t="shared" si="132"/>
        <v>0</v>
      </c>
      <c r="AK592" s="13">
        <f t="shared" si="133"/>
        <v>0</v>
      </c>
      <c r="AM592" s="32">
        <v>573</v>
      </c>
      <c r="AN592" s="32">
        <v>48</v>
      </c>
      <c r="AO592" s="32">
        <v>9</v>
      </c>
      <c r="AP592" s="13"/>
      <c r="AQ592" s="32"/>
      <c r="AR592" s="13">
        <f t="shared" si="134"/>
        <v>0</v>
      </c>
      <c r="AS592" s="33"/>
      <c r="AT592" s="13">
        <f t="shared" si="128"/>
        <v>0</v>
      </c>
      <c r="AU592" s="13">
        <f>ROUNDUP(($AR592+$AT592)*VLOOKUP($AN592,Paraméterek!$P$38:$Q$38,2)/12,IF($D$4="Forint",0,2))</f>
        <v>0</v>
      </c>
      <c r="AV592" s="13"/>
      <c r="AW592" s="13"/>
      <c r="AX592" s="13">
        <f>ROUNDUP(IF(SUM($AV592:$AW592)=0,0,IF(IF(ISBLANK($AW592),$AV592,$AW592)*Paraméterek!$J$112&lt;IF($D$4="Forint",Paraméterek!$J$113,Paraméterek!$K$113),IF($D$4="Forint",Paraméterek!$J$113,Paraméterek!$K$113),IF(IF(ISBLANK($AW592),$AV592,$AW592)*Paraméterek!$J$112&gt;IF($D$4="Forint",Paraméterek!$J$114,Paraméterek!$K$114),IF($D$4="Forint",Paraméterek!$J$114,Paraméterek!$K$114),IF(ISBLANK($AW592),$AV592,$AW592)*Paraméterek!$J$112))),IF($D$4="Forint",0,2))</f>
        <v>0</v>
      </c>
      <c r="AY592" s="13">
        <f>$AR592+$AT592-$AU592-IF(ROUNDDOWN(IF(ISBLANK($AW592),$AV592,$AW592),IF($D$4="Forint",0,2))&gt;$AR592+$AT592-$AU592-IF($D$4="Forint",Paraméterek!$J$114,Paraméterek!$K$114),0,ROUNDDOWN(IF(ISBLANK($AW592),$AV592,$AW592),IF($D$4="Forint",0,2))-$AX592)</f>
        <v>0</v>
      </c>
      <c r="AZ592" s="13">
        <f t="shared" si="129"/>
        <v>0</v>
      </c>
    </row>
    <row r="593" spans="1:52" x14ac:dyDescent="0.2">
      <c r="A593" s="32">
        <v>574</v>
      </c>
      <c r="B593" s="32">
        <v>48</v>
      </c>
      <c r="C593" s="32">
        <v>10</v>
      </c>
      <c r="D593" s="13">
        <f t="shared" si="120"/>
        <v>0</v>
      </c>
      <c r="E593" s="13"/>
      <c r="F593" s="13"/>
      <c r="G593" s="13"/>
      <c r="H593" s="13">
        <f t="shared" si="121"/>
        <v>0</v>
      </c>
      <c r="I593" s="13">
        <f t="shared" si="122"/>
        <v>0</v>
      </c>
      <c r="J593" s="13">
        <f t="shared" si="123"/>
        <v>0</v>
      </c>
      <c r="K593" s="13">
        <f>ROUNDUP(IF($D$2="Egyszeri",$D593,IF($D$2="Havi",SUM($D$20:$D$31),IF(MOD($C593,$M$1)-1=0,SUM($D$20:$D$31),0))/12*$M$1)*VLOOKUP($B593,Paraméterek!$B$27:$D$30,IF($D$2="Egyszeri",3,2)),IF($D$4="Forint",0,2))</f>
        <v>0</v>
      </c>
      <c r="L593" s="13">
        <f t="shared" si="124"/>
        <v>0</v>
      </c>
      <c r="M593" s="13">
        <f t="shared" ca="1" si="130"/>
        <v>-436580</v>
      </c>
      <c r="N593" s="13">
        <f ca="1">IF($V592&gt;=VLOOKUP($M$4-1+$B593,Paraméterek!$B$121:$D$122,IF($D$4="Forint",2,3)),0,VLOOKUP($M$4-1+$B593,Paraméterek!$B$121:$D$122,IF($D$4="Forint",2,3))-$V592)</f>
        <v>446580</v>
      </c>
      <c r="O593" s="13">
        <f ca="1">ROUNDUP($N593*Paraméterek!$C$58/Paraméterek!$C$56,IF($D$4="Forint",0,2))</f>
        <v>72</v>
      </c>
      <c r="P593" s="13">
        <f t="shared" si="125"/>
        <v>2207</v>
      </c>
      <c r="Q593" s="33"/>
      <c r="R593" s="13">
        <f t="shared" ca="1" si="126"/>
        <v>0</v>
      </c>
      <c r="S593" s="13">
        <f ca="1">ROUNDUP(($M593-$O593-$P593+$R593)*VLOOKUP($B593,Paraméterek!$B$38:$D$39,IF($D$2="Egyszeri",3,2))/12,IF($D$4="Forint",0,2))</f>
        <v>-1072</v>
      </c>
      <c r="T593" s="13"/>
      <c r="U593" s="13"/>
      <c r="V593" s="13">
        <f ca="1">$M593-$O593-$P593+$R593-$S593-IF(ROUNDUP(IF(ISBLANK($U593),$T593,$U593)/IF(AND($B593=1,$D$2&lt;&gt;"Egyszeri"),1,VLOOKUP($B593+IF($C593=12,1,0),Paraméterek!$B$257:$D$267,IF($D$2="Egyszeri",3,2))),IF($D$4="Forint",0,2))&gt;$M593-$O593-$P593+$R593-$S593-IF($D$4="Forint",Paraméterek!$C$216,Paraméterek!$D$216),0,ROUNDUP(IF(ISBLANK($U593),$T593,$U593)/IF(AND($B593=1,$D$2&lt;&gt;"Egyszeri"),1,VLOOKUP($B593+IF($C593=12,1,0),Paraméterek!$B$257:$D$267,IF($D$2="Egyszeri",3,2))),IF($D$4="Forint",0,2)))</f>
        <v>-437787</v>
      </c>
      <c r="W593" s="13">
        <f ca="1">ROUNDDOWN($V593*VLOOKUP($B593+IF($C593=12,1,0),Paraméterek!$B$257:$D$267,IF($D$2="Egyszeri",3,2)),IF($D$4="Forint",0,2))</f>
        <v>-437787</v>
      </c>
      <c r="Y593" s="32">
        <v>574</v>
      </c>
      <c r="Z593" s="32">
        <v>48</v>
      </c>
      <c r="AA593" s="32">
        <v>10</v>
      </c>
      <c r="AB593" s="13">
        <f t="shared" si="131"/>
        <v>0</v>
      </c>
      <c r="AC593" s="33"/>
      <c r="AD593" s="13">
        <f t="shared" si="127"/>
        <v>0</v>
      </c>
      <c r="AE593" s="13">
        <f>ROUNDUP(($AB593+$AD593)*VLOOKUP($Z593,Paraméterek!$P$38:$Q$38,2)/12,IF($D$4="Forint",0,2))</f>
        <v>0</v>
      </c>
      <c r="AF593" s="13">
        <f>IF($D$2="Egyszeri",IF($D$7&gt;=IF($D$4="Forint",Paraméterek!$P$223,Paraméterek!$P$224),$D$7-IF($D$4="Forint",Paraméterek!$F$223,Paraméterek!$F$224),0),MIN(IF($AA593=12,AVERAGE($D$20:$D593)*12,0),SUM($D$20:$D$31)))</f>
        <v>0</v>
      </c>
      <c r="AG593" s="13">
        <f>IF(AND($Z593&gt;=10,MOD($Z593,5)=0),$AF593*IF($AA593=12,VLOOKUP($Z593,Paraméterek!$B$225:$F$240,IF($AF593&lt;IF($D$4="Forint",Paraméterek!$C$223,Paraméterek!$C$224),2,IF($AF593&lt;IF($D$4="Forint",Paraméterek!$D$223,Paraméterek!$D$224),3,4))),0),0)</f>
        <v>0</v>
      </c>
      <c r="AH593" s="13">
        <f>IF(AND($Z593&gt;=5,MOD($Z593,5)=0),IF($AA593=12,VLOOKUP($Z593,Paraméterek!$B$225:$F$240,5),0),IF(OR($Z593=3,$Z593=4),IF($AA593=12,VLOOKUP($Z593,Paraméterek!$B$225:$F$240,5,0),0),0))*$AF593</f>
        <v>0</v>
      </c>
      <c r="AI593" s="13">
        <f>ROUNDDOWN(IF(SUM($T$20:$U593)=0,IF($D$2="Egyszeri",$AH593,$AG593),0),IF($D$4="Forint",0,2))</f>
        <v>0</v>
      </c>
      <c r="AJ593" s="13">
        <f t="shared" si="132"/>
        <v>0</v>
      </c>
      <c r="AK593" s="13">
        <f t="shared" si="133"/>
        <v>0</v>
      </c>
      <c r="AM593" s="32">
        <v>574</v>
      </c>
      <c r="AN593" s="32">
        <v>48</v>
      </c>
      <c r="AO593" s="32">
        <v>10</v>
      </c>
      <c r="AP593" s="13"/>
      <c r="AQ593" s="32"/>
      <c r="AR593" s="13">
        <f t="shared" si="134"/>
        <v>0</v>
      </c>
      <c r="AS593" s="33"/>
      <c r="AT593" s="13">
        <f t="shared" si="128"/>
        <v>0</v>
      </c>
      <c r="AU593" s="13">
        <f>ROUNDUP(($AR593+$AT593)*VLOOKUP($AN593,Paraméterek!$P$38:$Q$38,2)/12,IF($D$4="Forint",0,2))</f>
        <v>0</v>
      </c>
      <c r="AV593" s="13"/>
      <c r="AW593" s="13"/>
      <c r="AX593" s="13">
        <f>ROUNDUP(IF(SUM($AV593:$AW593)=0,0,IF(IF(ISBLANK($AW593),$AV593,$AW593)*Paraméterek!$J$112&lt;IF($D$4="Forint",Paraméterek!$J$113,Paraméterek!$K$113),IF($D$4="Forint",Paraméterek!$J$113,Paraméterek!$K$113),IF(IF(ISBLANK($AW593),$AV593,$AW593)*Paraméterek!$J$112&gt;IF($D$4="Forint",Paraméterek!$J$114,Paraméterek!$K$114),IF($D$4="Forint",Paraméterek!$J$114,Paraméterek!$K$114),IF(ISBLANK($AW593),$AV593,$AW593)*Paraméterek!$J$112))),IF($D$4="Forint",0,2))</f>
        <v>0</v>
      </c>
      <c r="AY593" s="13">
        <f>$AR593+$AT593-$AU593-IF(ROUNDDOWN(IF(ISBLANK($AW593),$AV593,$AW593),IF($D$4="Forint",0,2))&gt;$AR593+$AT593-$AU593-IF($D$4="Forint",Paraméterek!$J$114,Paraméterek!$K$114),0,ROUNDDOWN(IF(ISBLANK($AW593),$AV593,$AW593),IF($D$4="Forint",0,2))-$AX593)</f>
        <v>0</v>
      </c>
      <c r="AZ593" s="13">
        <f t="shared" si="129"/>
        <v>0</v>
      </c>
    </row>
    <row r="594" spans="1:52" x14ac:dyDescent="0.2">
      <c r="A594" s="32">
        <v>575</v>
      </c>
      <c r="B594" s="32">
        <v>48</v>
      </c>
      <c r="C594" s="32">
        <v>11</v>
      </c>
      <c r="D594" s="13">
        <f t="shared" si="120"/>
        <v>0</v>
      </c>
      <c r="E594" s="13"/>
      <c r="F594" s="13"/>
      <c r="G594" s="13"/>
      <c r="H594" s="13">
        <f t="shared" si="121"/>
        <v>0</v>
      </c>
      <c r="I594" s="13">
        <f t="shared" si="122"/>
        <v>0</v>
      </c>
      <c r="J594" s="13">
        <f t="shared" si="123"/>
        <v>0</v>
      </c>
      <c r="K594" s="13">
        <f>ROUNDUP(IF($D$2="Egyszeri",$D594,IF($D$2="Havi",SUM($D$20:$D$31),IF(MOD($C594,$M$1)-1=0,SUM($D$20:$D$31),0))/12*$M$1)*VLOOKUP($B594,Paraméterek!$B$27:$D$30,IF($D$2="Egyszeri",3,2)),IF($D$4="Forint",0,2))</f>
        <v>0</v>
      </c>
      <c r="L594" s="13">
        <f t="shared" si="124"/>
        <v>0</v>
      </c>
      <c r="M594" s="13">
        <f t="shared" ca="1" si="130"/>
        <v>-437787</v>
      </c>
      <c r="N594" s="13">
        <f ca="1">IF($V593&gt;=VLOOKUP($M$4-1+$B594,Paraméterek!$B$121:$D$122,IF($D$4="Forint",2,3)),0,VLOOKUP($M$4-1+$B594,Paraméterek!$B$121:$D$122,IF($D$4="Forint",2,3))-$V593)</f>
        <v>447787</v>
      </c>
      <c r="O594" s="13">
        <f ca="1">ROUNDUP($N594*Paraméterek!$C$58/Paraméterek!$C$56,IF($D$4="Forint",0,2))</f>
        <v>72</v>
      </c>
      <c r="P594" s="13">
        <f t="shared" si="125"/>
        <v>2207</v>
      </c>
      <c r="Q594" s="33"/>
      <c r="R594" s="13">
        <f t="shared" ca="1" si="126"/>
        <v>0</v>
      </c>
      <c r="S594" s="13">
        <f ca="1">ROUNDUP(($M594-$O594-$P594+$R594)*VLOOKUP($B594,Paraméterek!$B$38:$D$39,IF($D$2="Egyszeri",3,2))/12,IF($D$4="Forint",0,2))</f>
        <v>-1075</v>
      </c>
      <c r="T594" s="13"/>
      <c r="U594" s="13"/>
      <c r="V594" s="13">
        <f ca="1">$M594-$O594-$P594+$R594-$S594-IF(ROUNDUP(IF(ISBLANK($U594),$T594,$U594)/IF(AND($B594=1,$D$2&lt;&gt;"Egyszeri"),1,VLOOKUP($B594+IF($C594=12,1,0),Paraméterek!$B$257:$D$267,IF($D$2="Egyszeri",3,2))),IF($D$4="Forint",0,2))&gt;$M594-$O594-$P594+$R594-$S594-IF($D$4="Forint",Paraméterek!$C$216,Paraméterek!$D$216),0,ROUNDUP(IF(ISBLANK($U594),$T594,$U594)/IF(AND($B594=1,$D$2&lt;&gt;"Egyszeri"),1,VLOOKUP($B594+IF($C594=12,1,0),Paraméterek!$B$257:$D$267,IF($D$2="Egyszeri",3,2))),IF($D$4="Forint",0,2)))</f>
        <v>-438991</v>
      </c>
      <c r="W594" s="13">
        <f ca="1">ROUNDDOWN($V594*VLOOKUP($B594+IF($C594=12,1,0),Paraméterek!$B$257:$D$267,IF($D$2="Egyszeri",3,2)),IF($D$4="Forint",0,2))</f>
        <v>-438991</v>
      </c>
      <c r="Y594" s="32">
        <v>575</v>
      </c>
      <c r="Z594" s="32">
        <v>48</v>
      </c>
      <c r="AA594" s="32">
        <v>11</v>
      </c>
      <c r="AB594" s="13">
        <f t="shared" si="131"/>
        <v>0</v>
      </c>
      <c r="AC594" s="33"/>
      <c r="AD594" s="13">
        <f t="shared" si="127"/>
        <v>0</v>
      </c>
      <c r="AE594" s="13">
        <f>ROUNDUP(($AB594+$AD594)*VLOOKUP($Z594,Paraméterek!$P$38:$Q$38,2)/12,IF($D$4="Forint",0,2))</f>
        <v>0</v>
      </c>
      <c r="AF594" s="13">
        <f>IF($D$2="Egyszeri",IF($D$7&gt;=IF($D$4="Forint",Paraméterek!$P$223,Paraméterek!$P$224),$D$7-IF($D$4="Forint",Paraméterek!$F$223,Paraméterek!$F$224),0),MIN(IF($AA594=12,AVERAGE($D$20:$D594)*12,0),SUM($D$20:$D$31)))</f>
        <v>0</v>
      </c>
      <c r="AG594" s="13">
        <f>IF(AND($Z594&gt;=10,MOD($Z594,5)=0),$AF594*IF($AA594=12,VLOOKUP($Z594,Paraméterek!$B$225:$F$240,IF($AF594&lt;IF($D$4="Forint",Paraméterek!$C$223,Paraméterek!$C$224),2,IF($AF594&lt;IF($D$4="Forint",Paraméterek!$D$223,Paraméterek!$D$224),3,4))),0),0)</f>
        <v>0</v>
      </c>
      <c r="AH594" s="13">
        <f>IF(AND($Z594&gt;=5,MOD($Z594,5)=0),IF($AA594=12,VLOOKUP($Z594,Paraméterek!$B$225:$F$240,5),0),IF(OR($Z594=3,$Z594=4),IF($AA594=12,VLOOKUP($Z594,Paraméterek!$B$225:$F$240,5,0),0),0))*$AF594</f>
        <v>0</v>
      </c>
      <c r="AI594" s="13">
        <f>ROUNDDOWN(IF(SUM($T$20:$U594)=0,IF($D$2="Egyszeri",$AH594,$AG594),0),IF($D$4="Forint",0,2))</f>
        <v>0</v>
      </c>
      <c r="AJ594" s="13">
        <f t="shared" si="132"/>
        <v>0</v>
      </c>
      <c r="AK594" s="13">
        <f t="shared" si="133"/>
        <v>0</v>
      </c>
      <c r="AM594" s="32">
        <v>575</v>
      </c>
      <c r="AN594" s="32">
        <v>48</v>
      </c>
      <c r="AO594" s="32">
        <v>11</v>
      </c>
      <c r="AP594" s="13"/>
      <c r="AQ594" s="32"/>
      <c r="AR594" s="13">
        <f t="shared" si="134"/>
        <v>0</v>
      </c>
      <c r="AS594" s="33"/>
      <c r="AT594" s="13">
        <f t="shared" si="128"/>
        <v>0</v>
      </c>
      <c r="AU594" s="13">
        <f>ROUNDUP(($AR594+$AT594)*VLOOKUP($AN594,Paraméterek!$P$38:$Q$38,2)/12,IF($D$4="Forint",0,2))</f>
        <v>0</v>
      </c>
      <c r="AV594" s="13"/>
      <c r="AW594" s="13"/>
      <c r="AX594" s="13">
        <f>ROUNDUP(IF(SUM($AV594:$AW594)=0,0,IF(IF(ISBLANK($AW594),$AV594,$AW594)*Paraméterek!$J$112&lt;IF($D$4="Forint",Paraméterek!$J$113,Paraméterek!$K$113),IF($D$4="Forint",Paraméterek!$J$113,Paraméterek!$K$113),IF(IF(ISBLANK($AW594),$AV594,$AW594)*Paraméterek!$J$112&gt;IF($D$4="Forint",Paraméterek!$J$114,Paraméterek!$K$114),IF($D$4="Forint",Paraméterek!$J$114,Paraméterek!$K$114),IF(ISBLANK($AW594),$AV594,$AW594)*Paraméterek!$J$112))),IF($D$4="Forint",0,2))</f>
        <v>0</v>
      </c>
      <c r="AY594" s="13">
        <f>$AR594+$AT594-$AU594-IF(ROUNDDOWN(IF(ISBLANK($AW594),$AV594,$AW594),IF($D$4="Forint",0,2))&gt;$AR594+$AT594-$AU594-IF($D$4="Forint",Paraméterek!$J$114,Paraméterek!$K$114),0,ROUNDDOWN(IF(ISBLANK($AW594),$AV594,$AW594),IF($D$4="Forint",0,2))-$AX594)</f>
        <v>0</v>
      </c>
      <c r="AZ594" s="13">
        <f t="shared" si="129"/>
        <v>0</v>
      </c>
    </row>
    <row r="595" spans="1:52" x14ac:dyDescent="0.2">
      <c r="A595" s="32">
        <v>576</v>
      </c>
      <c r="B595" s="32">
        <v>48</v>
      </c>
      <c r="C595" s="32">
        <v>12</v>
      </c>
      <c r="D595" s="13">
        <f t="shared" si="120"/>
        <v>0</v>
      </c>
      <c r="E595" s="13"/>
      <c r="F595" s="13"/>
      <c r="G595" s="13"/>
      <c r="H595" s="13">
        <f t="shared" si="121"/>
        <v>0</v>
      </c>
      <c r="I595" s="13">
        <f t="shared" si="122"/>
        <v>0</v>
      </c>
      <c r="J595" s="13">
        <f t="shared" si="123"/>
        <v>0</v>
      </c>
      <c r="K595" s="13">
        <f>ROUNDUP(IF($D$2="Egyszeri",$D595,IF($D$2="Havi",SUM($D$20:$D$31),IF(MOD($C595,$M$1)-1=0,SUM($D$20:$D$31),0))/12*$M$1)*VLOOKUP($B595,Paraméterek!$B$27:$D$30,IF($D$2="Egyszeri",3,2)),IF($D$4="Forint",0,2))</f>
        <v>0</v>
      </c>
      <c r="L595" s="13">
        <f t="shared" si="124"/>
        <v>0</v>
      </c>
      <c r="M595" s="13">
        <f t="shared" ca="1" si="130"/>
        <v>-438991</v>
      </c>
      <c r="N595" s="13">
        <f ca="1">IF($V594&gt;=VLOOKUP($M$4-1+$B595,Paraméterek!$B$121:$D$122,IF($D$4="Forint",2,3)),0,VLOOKUP($M$4-1+$B595,Paraméterek!$B$121:$D$122,IF($D$4="Forint",2,3))-$V594)</f>
        <v>448991</v>
      </c>
      <c r="O595" s="13">
        <f ca="1">ROUNDUP($N595*Paraméterek!$C$58/Paraméterek!$C$56,IF($D$4="Forint",0,2))</f>
        <v>72</v>
      </c>
      <c r="P595" s="13">
        <f t="shared" si="125"/>
        <v>2207</v>
      </c>
      <c r="Q595" s="33"/>
      <c r="R595" s="13">
        <f t="shared" ca="1" si="126"/>
        <v>0</v>
      </c>
      <c r="S595" s="13">
        <f ca="1">ROUNDUP(($M595-$O595-$P595+$R595)*VLOOKUP($B595,Paraméterek!$B$38:$D$39,IF($D$2="Egyszeri",3,2))/12,IF($D$4="Forint",0,2))</f>
        <v>-1078</v>
      </c>
      <c r="T595" s="13">
        <f>Tranzakciók!$F$79</f>
        <v>0</v>
      </c>
      <c r="U595" s="13"/>
      <c r="V595" s="13">
        <f ca="1">$M595-$O595-$P595+$R595-$S595-IF(ROUNDUP(IF(ISBLANK($U595),$T595,$U595)/IF(AND($B595=1,$D$2&lt;&gt;"Egyszeri"),1,VLOOKUP($B595+IF($C595=12,1,0),Paraméterek!$B$257:$D$267,IF($D$2="Egyszeri",3,2))),IF($D$4="Forint",0,2))&gt;$M595-$O595-$P595+$R595-$S595-IF($D$4="Forint",Paraméterek!$C$216,Paraméterek!$D$216),0,ROUNDUP(IF(ISBLANK($U595),$T595,$U595)/IF(AND($B595=1,$D$2&lt;&gt;"Egyszeri"),1,VLOOKUP($B595+IF($C595=12,1,0),Paraméterek!$B$257:$D$267,IF($D$2="Egyszeri",3,2))),IF($D$4="Forint",0,2)))</f>
        <v>-440192</v>
      </c>
      <c r="W595" s="13">
        <f ca="1">ROUNDDOWN($V595*VLOOKUP($B595+IF($C595=12,1,0),Paraméterek!$B$257:$D$267,IF($D$2="Egyszeri",3,2)),IF($D$4="Forint",0,2))</f>
        <v>-440192</v>
      </c>
      <c r="Y595" s="32">
        <v>576</v>
      </c>
      <c r="Z595" s="32">
        <v>48</v>
      </c>
      <c r="AA595" s="32">
        <v>12</v>
      </c>
      <c r="AB595" s="13">
        <f t="shared" si="131"/>
        <v>0</v>
      </c>
      <c r="AC595" s="33"/>
      <c r="AD595" s="13">
        <f t="shared" si="127"/>
        <v>0</v>
      </c>
      <c r="AE595" s="13">
        <f>ROUNDUP(($AB595+$AD595)*VLOOKUP($Z595,Paraméterek!$P$38:$Q$38,2)/12,IF($D$4="Forint",0,2))</f>
        <v>0</v>
      </c>
      <c r="AF595" s="13">
        <f>IF($D$2="Egyszeri",IF($D$7&gt;=IF($D$4="Forint",Paraméterek!$P$223,Paraméterek!$P$224),$D$7-IF($D$4="Forint",Paraméterek!$F$223,Paraméterek!$F$224),0),MIN(IF($AA595=12,AVERAGE($D$20:$D595)*12,0),SUM($D$20:$D$31)))</f>
        <v>0</v>
      </c>
      <c r="AG595" s="13">
        <f>IF(AND($Z595&gt;=10,MOD($Z595,5)=0),$AF595*IF($AA595=12,VLOOKUP($Z595,Paraméterek!$B$225:$F$240,IF($AF595&lt;IF($D$4="Forint",Paraméterek!$C$223,Paraméterek!$C$224),2,IF($AF595&lt;IF($D$4="Forint",Paraméterek!$D$223,Paraméterek!$D$224),3,4))),0),0)</f>
        <v>0</v>
      </c>
      <c r="AH595" s="13">
        <f>IF(AND($Z595&gt;=5,MOD($Z595,5)=0),IF($AA595=12,VLOOKUP($Z595,Paraméterek!$B$225:$F$240,5),0),IF(OR($Z595=3,$Z595=4),IF($AA595=12,VLOOKUP($Z595,Paraméterek!$B$225:$F$240,5,0),0),0))*$AF595</f>
        <v>0</v>
      </c>
      <c r="AI595" s="13">
        <f>ROUNDDOWN(IF(SUM($T$20:$U595)=0,IF($D$2="Egyszeri",$AH595,$AG595),0),IF($D$4="Forint",0,2))</f>
        <v>0</v>
      </c>
      <c r="AJ595" s="13">
        <f t="shared" si="132"/>
        <v>0</v>
      </c>
      <c r="AK595" s="13">
        <f t="shared" si="133"/>
        <v>0</v>
      </c>
      <c r="AM595" s="32">
        <v>576</v>
      </c>
      <c r="AN595" s="32">
        <v>48</v>
      </c>
      <c r="AO595" s="32">
        <v>12</v>
      </c>
      <c r="AP595" s="13"/>
      <c r="AQ595" s="32"/>
      <c r="AR595" s="13">
        <f t="shared" si="134"/>
        <v>0</v>
      </c>
      <c r="AS595" s="33"/>
      <c r="AT595" s="13">
        <f t="shared" si="128"/>
        <v>0</v>
      </c>
      <c r="AU595" s="13">
        <f>ROUNDUP(($AR595+$AT595)*VLOOKUP($AN595,Paraméterek!$P$38:$Q$38,2)/12,IF($D$4="Forint",0,2))</f>
        <v>0</v>
      </c>
      <c r="AV595" s="13">
        <f>Tranzakciók!$M$79</f>
        <v>0</v>
      </c>
      <c r="AW595" s="13"/>
      <c r="AX595" s="13">
        <f>ROUNDUP(IF(SUM($AV595:$AW595)=0,0,IF(IF(ISBLANK($AW595),$AV595,$AW595)*Paraméterek!$J$112&lt;IF($D$4="Forint",Paraméterek!$J$113,Paraméterek!$K$113),IF($D$4="Forint",Paraméterek!$J$113,Paraméterek!$K$113),IF(IF(ISBLANK($AW595),$AV595,$AW595)*Paraméterek!$J$112&gt;IF($D$4="Forint",Paraméterek!$J$114,Paraméterek!$K$114),IF($D$4="Forint",Paraméterek!$J$114,Paraméterek!$K$114),IF(ISBLANK($AW595),$AV595,$AW595)*Paraméterek!$J$112))),IF($D$4="Forint",0,2))</f>
        <v>0</v>
      </c>
      <c r="AY595" s="13">
        <f>$AR595+$AT595-$AU595-IF(ROUNDDOWN(IF(ISBLANK($AW595),$AV595,$AW595),IF($D$4="Forint",0,2))&gt;$AR595+$AT595-$AU595-IF($D$4="Forint",Paraméterek!$J$114,Paraméterek!$K$114),0,ROUNDDOWN(IF(ISBLANK($AW595),$AV595,$AW595),IF($D$4="Forint",0,2))-$AX595)</f>
        <v>0</v>
      </c>
      <c r="AZ595" s="13">
        <f t="shared" si="129"/>
        <v>0</v>
      </c>
    </row>
    <row r="596" spans="1:52" x14ac:dyDescent="0.2">
      <c r="A596" s="32">
        <v>577</v>
      </c>
      <c r="B596" s="32">
        <v>49</v>
      </c>
      <c r="C596" s="32">
        <v>1</v>
      </c>
      <c r="D596" s="13">
        <f t="shared" si="120"/>
        <v>0</v>
      </c>
      <c r="E596" s="13"/>
      <c r="F596" s="13">
        <f>Tranzakciók!$D$80</f>
        <v>0</v>
      </c>
      <c r="G596" s="13"/>
      <c r="H596" s="13">
        <f t="shared" si="121"/>
        <v>0</v>
      </c>
      <c r="I596" s="13">
        <f t="shared" si="122"/>
        <v>414</v>
      </c>
      <c r="J596" s="13">
        <f t="shared" si="123"/>
        <v>414</v>
      </c>
      <c r="K596" s="13">
        <f>ROUNDUP(IF($D$2="Egyszeri",$D596,IF($D$2="Havi",SUM($D$20:$D$31),IF(MOD($C596,$M$1)-1=0,SUM($D$20:$D$31),0))/12*$M$1)*VLOOKUP($B596,Paraméterek!$B$27:$D$30,IF($D$2="Egyszeri",3,2)),IF($D$4="Forint",0,2))</f>
        <v>0</v>
      </c>
      <c r="L596" s="13">
        <f t="shared" si="124"/>
        <v>0</v>
      </c>
      <c r="M596" s="13">
        <f t="shared" ca="1" si="130"/>
        <v>-440192</v>
      </c>
      <c r="N596" s="13">
        <f ca="1">IF($V595&gt;=VLOOKUP($M$4-1+$B596,Paraméterek!$B$121:$D$122,IF($D$4="Forint",2,3)),0,VLOOKUP($M$4-1+$B596,Paraméterek!$B$121:$D$122,IF($D$4="Forint",2,3))-$V595)</f>
        <v>450192</v>
      </c>
      <c r="O596" s="13">
        <f ca="1">ROUNDUP($N596*Paraméterek!$C$58/Paraméterek!$C$56,IF($D$4="Forint",0,2))</f>
        <v>72</v>
      </c>
      <c r="P596" s="13">
        <f t="shared" si="125"/>
        <v>2273</v>
      </c>
      <c r="Q596" s="33"/>
      <c r="R596" s="13">
        <f t="shared" ca="1" si="126"/>
        <v>0</v>
      </c>
      <c r="S596" s="13">
        <f ca="1">ROUNDUP(($M596-$O596-$P596+$R596)*VLOOKUP($B596,Paraméterek!$B$38:$D$39,IF($D$2="Egyszeri",3,2))/12,IF($D$4="Forint",0,2))</f>
        <v>-1081</v>
      </c>
      <c r="T596" s="13"/>
      <c r="U596" s="13"/>
      <c r="V596" s="13">
        <f ca="1">$M596-$O596-$P596+$R596-$S596-IF(ROUNDUP(IF(ISBLANK($U596),$T596,$U596)/IF(AND($B596=1,$D$2&lt;&gt;"Egyszeri"),1,VLOOKUP($B596+IF($C596=12,1,0),Paraméterek!$B$257:$D$267,IF($D$2="Egyszeri",3,2))),IF($D$4="Forint",0,2))&gt;$M596-$O596-$P596+$R596-$S596-IF($D$4="Forint",Paraméterek!$C$216,Paraméterek!$D$216),0,ROUNDUP(IF(ISBLANK($U596),$T596,$U596)/IF(AND($B596=1,$D$2&lt;&gt;"Egyszeri"),1,VLOOKUP($B596+IF($C596=12,1,0),Paraméterek!$B$257:$D$267,IF($D$2="Egyszeri",3,2))),IF($D$4="Forint",0,2)))</f>
        <v>-441456</v>
      </c>
      <c r="W596" s="13">
        <f ca="1">ROUNDDOWN($V596*VLOOKUP($B596+IF($C596=12,1,0),Paraméterek!$B$257:$D$267,IF($D$2="Egyszeri",3,2)),IF($D$4="Forint",0,2))</f>
        <v>-441456</v>
      </c>
      <c r="Y596" s="32">
        <v>577</v>
      </c>
      <c r="Z596" s="32">
        <v>49</v>
      </c>
      <c r="AA596" s="32">
        <v>1</v>
      </c>
      <c r="AB596" s="13">
        <f t="shared" si="131"/>
        <v>0</v>
      </c>
      <c r="AC596" s="33"/>
      <c r="AD596" s="13">
        <f t="shared" si="127"/>
        <v>0</v>
      </c>
      <c r="AE596" s="13">
        <f>ROUNDUP(($AB596+$AD596)*VLOOKUP($Z596,Paraméterek!$P$38:$Q$38,2)/12,IF($D$4="Forint",0,2))</f>
        <v>0</v>
      </c>
      <c r="AF596" s="13">
        <f>IF($D$2="Egyszeri",IF($D$7&gt;=IF($D$4="Forint",Paraméterek!$P$223,Paraméterek!$P$224),$D$7-IF($D$4="Forint",Paraméterek!$F$223,Paraméterek!$F$224),0),MIN(IF($AA596=12,AVERAGE($D$20:$D596)*12,0),SUM($D$20:$D$31)))</f>
        <v>0</v>
      </c>
      <c r="AG596" s="13">
        <f>IF(AND($Z596&gt;=10,MOD($Z596,5)=0),$AF596*IF($AA596=12,VLOOKUP($Z596,Paraméterek!$B$225:$F$240,IF($AF596&lt;IF($D$4="Forint",Paraméterek!$C$223,Paraméterek!$C$224),2,IF($AF596&lt;IF($D$4="Forint",Paraméterek!$D$223,Paraméterek!$D$224),3,4))),0),0)</f>
        <v>0</v>
      </c>
      <c r="AH596" s="13">
        <f>IF(AND($Z596&gt;=5,MOD($Z596,5)=0),IF($AA596=12,VLOOKUP($Z596,Paraméterek!$B$225:$F$240,5),0),IF(OR($Z596=3,$Z596=4),IF($AA596=12,VLOOKUP($Z596,Paraméterek!$B$225:$F$240,5,0),0),0))*$AF596</f>
        <v>0</v>
      </c>
      <c r="AI596" s="13">
        <f>ROUNDDOWN(IF(SUM($T$20:$U596)=0,IF($D$2="Egyszeri",$AH596,$AG596),0),IF($D$4="Forint",0,2))</f>
        <v>0</v>
      </c>
      <c r="AJ596" s="13">
        <f t="shared" si="132"/>
        <v>0</v>
      </c>
      <c r="AK596" s="13">
        <f t="shared" si="133"/>
        <v>0</v>
      </c>
      <c r="AM596" s="32">
        <v>577</v>
      </c>
      <c r="AN596" s="32">
        <v>49</v>
      </c>
      <c r="AO596" s="32">
        <v>1</v>
      </c>
      <c r="AP596" s="13">
        <f>Tranzakciók!$K$80</f>
        <v>0</v>
      </c>
      <c r="AQ596" s="32"/>
      <c r="AR596" s="13">
        <f t="shared" si="134"/>
        <v>0</v>
      </c>
      <c r="AS596" s="33"/>
      <c r="AT596" s="13">
        <f t="shared" si="128"/>
        <v>0</v>
      </c>
      <c r="AU596" s="13">
        <f>ROUNDUP(($AR596+$AT596)*VLOOKUP($AN596,Paraméterek!$P$38:$Q$38,2)/12,IF($D$4="Forint",0,2))</f>
        <v>0</v>
      </c>
      <c r="AV596" s="13"/>
      <c r="AW596" s="13"/>
      <c r="AX596" s="13">
        <f>ROUNDUP(IF(SUM($AV596:$AW596)=0,0,IF(IF(ISBLANK($AW596),$AV596,$AW596)*Paraméterek!$J$112&lt;IF($D$4="Forint",Paraméterek!$J$113,Paraméterek!$K$113),IF($D$4="Forint",Paraméterek!$J$113,Paraméterek!$K$113),IF(IF(ISBLANK($AW596),$AV596,$AW596)*Paraméterek!$J$112&gt;IF($D$4="Forint",Paraméterek!$J$114,Paraméterek!$K$114),IF($D$4="Forint",Paraméterek!$J$114,Paraméterek!$K$114),IF(ISBLANK($AW596),$AV596,$AW596)*Paraméterek!$J$112))),IF($D$4="Forint",0,2))</f>
        <v>0</v>
      </c>
      <c r="AY596" s="13">
        <f>$AR596+$AT596-$AU596-IF(ROUNDDOWN(IF(ISBLANK($AW596),$AV596,$AW596),IF($D$4="Forint",0,2))&gt;$AR596+$AT596-$AU596-IF($D$4="Forint",Paraméterek!$J$114,Paraméterek!$K$114),0,ROUNDDOWN(IF(ISBLANK($AW596),$AV596,$AW596),IF($D$4="Forint",0,2))-$AX596)</f>
        <v>0</v>
      </c>
      <c r="AZ596" s="13">
        <f t="shared" si="129"/>
        <v>0</v>
      </c>
    </row>
    <row r="597" spans="1:52" x14ac:dyDescent="0.2">
      <c r="A597" s="32">
        <v>578</v>
      </c>
      <c r="B597" s="32">
        <v>49</v>
      </c>
      <c r="C597" s="32">
        <v>2</v>
      </c>
      <c r="D597" s="13">
        <f t="shared" ref="D597:D660" si="135">IF($D$2="Egyszeri",IF($A597=1,$D$7,0),ROUNDUP(IF($D$2="Havi",$D$7,IF(MOD($C597,$M$1)-1=0,$D$7,0))*(1+$D$6)^($B597-1),IF($D$4="Forint",0,2)))</f>
        <v>0</v>
      </c>
      <c r="E597" s="13"/>
      <c r="F597" s="13"/>
      <c r="G597" s="13"/>
      <c r="H597" s="13">
        <f t="shared" ref="H597:H660" si="136">ROUNDUP(IF(AND($D$8="Nincs",$D$2&lt;&gt;"Egyszeri"),$D597*10%,0),IF($D$4="Forint",0,2))</f>
        <v>0</v>
      </c>
      <c r="I597" s="13">
        <f t="shared" ref="I597:I660" si="137">IF($D$2="Egyszeri",IF($A597=1,$M$3,0),ROUNDUP(IF($D$2="Havi",$M$3,IF(MOD($C597,$M$1)-1=0,$M$3,0))*(1+$M$2)^($B597-1),IF($D$4="Forint",0,2)))</f>
        <v>0</v>
      </c>
      <c r="J597" s="13">
        <f t="shared" ref="J597:J660" si="138">IF(ISBLANK($E597),$D597,$E597)+IF(ISBLANK($G597),$F597,$G597)+$H597+$I597</f>
        <v>0</v>
      </c>
      <c r="K597" s="13">
        <f>ROUNDUP(IF($D$2="Egyszeri",$D597,IF($D$2="Havi",SUM($D$20:$D$31),IF(MOD($C597,$M$1)-1=0,SUM($D$20:$D$31),0))/12*$M$1)*VLOOKUP($B597,Paraméterek!$B$27:$D$30,IF($D$2="Egyszeri",3,2)),IF($D$4="Forint",0,2))</f>
        <v>0</v>
      </c>
      <c r="L597" s="13">
        <f t="shared" ref="L597:L660" si="139">$D597-$K597+IF(ISBLANK($G597),$F597,$G597)</f>
        <v>0</v>
      </c>
      <c r="M597" s="13">
        <f t="shared" ca="1" si="130"/>
        <v>-441456</v>
      </c>
      <c r="N597" s="13">
        <f ca="1">IF($V596&gt;=VLOOKUP($M$4-1+$B597,Paraméterek!$B$121:$D$122,IF($D$4="Forint",2,3)),0,VLOOKUP($M$4-1+$B597,Paraméterek!$B$121:$D$122,IF($D$4="Forint",2,3))-$V596)</f>
        <v>451456</v>
      </c>
      <c r="O597" s="13">
        <f ca="1">ROUNDUP($N597*Paraméterek!$C$58/Paraméterek!$C$56,IF($D$4="Forint",0,2))</f>
        <v>72</v>
      </c>
      <c r="P597" s="13">
        <f t="shared" ref="P597:P660" si="140">ROUNDUP($M$5*(1+$M$2)^($B597-1),IF($D$4="Forint",0,2))</f>
        <v>2273</v>
      </c>
      <c r="Q597" s="33"/>
      <c r="R597" s="13">
        <f t="shared" ref="R597:R660" ca="1" si="141">ROUNDDOWN(($M597-$O597-$P597)*IF(ISBLANK($Q597),$M$6,$Q597),IF($D$4="Forint",0,2))</f>
        <v>0</v>
      </c>
      <c r="S597" s="13">
        <f ca="1">ROUNDUP(($M597-$O597-$P597+$R597)*VLOOKUP($B597,Paraméterek!$B$38:$D$39,IF($D$2="Egyszeri",3,2))/12,IF($D$4="Forint",0,2))</f>
        <v>-1084</v>
      </c>
      <c r="T597" s="13"/>
      <c r="U597" s="13"/>
      <c r="V597" s="13">
        <f ca="1">$M597-$O597-$P597+$R597-$S597-IF(ROUNDUP(IF(ISBLANK($U597),$T597,$U597)/IF(AND($B597=1,$D$2&lt;&gt;"Egyszeri"),1,VLOOKUP($B597+IF($C597=12,1,0),Paraméterek!$B$257:$D$267,IF($D$2="Egyszeri",3,2))),IF($D$4="Forint",0,2))&gt;$M597-$O597-$P597+$R597-$S597-IF($D$4="Forint",Paraméterek!$C$216,Paraméterek!$D$216),0,ROUNDUP(IF(ISBLANK($U597),$T597,$U597)/IF(AND($B597=1,$D$2&lt;&gt;"Egyszeri"),1,VLOOKUP($B597+IF($C597=12,1,0),Paraméterek!$B$257:$D$267,IF($D$2="Egyszeri",3,2))),IF($D$4="Forint",0,2)))</f>
        <v>-442717</v>
      </c>
      <c r="W597" s="13">
        <f ca="1">ROUNDDOWN($V597*VLOOKUP($B597+IF($C597=12,1,0),Paraméterek!$B$257:$D$267,IF($D$2="Egyszeri",3,2)),IF($D$4="Forint",0,2))</f>
        <v>-442717</v>
      </c>
      <c r="Y597" s="32">
        <v>578</v>
      </c>
      <c r="Z597" s="32">
        <v>49</v>
      </c>
      <c r="AA597" s="32">
        <v>2</v>
      </c>
      <c r="AB597" s="13">
        <f t="shared" si="131"/>
        <v>0</v>
      </c>
      <c r="AC597" s="33"/>
      <c r="AD597" s="13">
        <f t="shared" ref="AD597:AD660" si="142">ROUNDDOWN($AB597*IF(ISBLANK($AC597),$M$8,$AC597),IF($D$4="Forint",0,2))</f>
        <v>0</v>
      </c>
      <c r="AE597" s="13">
        <f>ROUNDUP(($AB597+$AD597)*VLOOKUP($Z597,Paraméterek!$P$38:$Q$38,2)/12,IF($D$4="Forint",0,2))</f>
        <v>0</v>
      </c>
      <c r="AF597" s="13">
        <f>IF($D$2="Egyszeri",IF($D$7&gt;=IF($D$4="Forint",Paraméterek!$P$223,Paraméterek!$P$224),$D$7-IF($D$4="Forint",Paraméterek!$F$223,Paraméterek!$F$224),0),MIN(IF($AA597=12,AVERAGE($D$20:$D597)*12,0),SUM($D$20:$D$31)))</f>
        <v>0</v>
      </c>
      <c r="AG597" s="13">
        <f>IF(AND($Z597&gt;=10,MOD($Z597,5)=0),$AF597*IF($AA597=12,VLOOKUP($Z597,Paraméterek!$B$225:$F$240,IF($AF597&lt;IF($D$4="Forint",Paraméterek!$C$223,Paraméterek!$C$224),2,IF($AF597&lt;IF($D$4="Forint",Paraméterek!$D$223,Paraméterek!$D$224),3,4))),0),0)</f>
        <v>0</v>
      </c>
      <c r="AH597" s="13">
        <f>IF(AND($Z597&gt;=5,MOD($Z597,5)=0),IF($AA597=12,VLOOKUP($Z597,Paraméterek!$B$225:$F$240,5),0),IF(OR($Z597=3,$Z597=4),IF($AA597=12,VLOOKUP($Z597,Paraméterek!$B$225:$F$240,5,0),0),0))*$AF597</f>
        <v>0</v>
      </c>
      <c r="AI597" s="13">
        <f>ROUNDDOWN(IF(SUM($T$20:$U597)=0,IF($D$2="Egyszeri",$AH597,$AG597),0),IF($D$4="Forint",0,2))</f>
        <v>0</v>
      </c>
      <c r="AJ597" s="13">
        <f t="shared" si="132"/>
        <v>0</v>
      </c>
      <c r="AK597" s="13">
        <f t="shared" si="133"/>
        <v>0</v>
      </c>
      <c r="AM597" s="32">
        <v>578</v>
      </c>
      <c r="AN597" s="32">
        <v>49</v>
      </c>
      <c r="AO597" s="32">
        <v>2</v>
      </c>
      <c r="AP597" s="13"/>
      <c r="AQ597" s="32"/>
      <c r="AR597" s="13">
        <f t="shared" si="134"/>
        <v>0</v>
      </c>
      <c r="AS597" s="33"/>
      <c r="AT597" s="13">
        <f t="shared" ref="AT597:AT660" si="143">ROUNDDOWN($AR597*IF(ISBLANK($AS597),$M$7,$AS597),IF($D$4="Forint",0,2))</f>
        <v>0</v>
      </c>
      <c r="AU597" s="13">
        <f>ROUNDUP(($AR597+$AT597)*VLOOKUP($AN597,Paraméterek!$P$38:$Q$38,2)/12,IF($D$4="Forint",0,2))</f>
        <v>0</v>
      </c>
      <c r="AV597" s="13"/>
      <c r="AW597" s="13"/>
      <c r="AX597" s="13">
        <f>ROUNDUP(IF(SUM($AV597:$AW597)=0,0,IF(IF(ISBLANK($AW597),$AV597,$AW597)*Paraméterek!$J$112&lt;IF($D$4="Forint",Paraméterek!$J$113,Paraméterek!$K$113),IF($D$4="Forint",Paraméterek!$J$113,Paraméterek!$K$113),IF(IF(ISBLANK($AW597),$AV597,$AW597)*Paraméterek!$J$112&gt;IF($D$4="Forint",Paraméterek!$J$114,Paraméterek!$K$114),IF($D$4="Forint",Paraméterek!$J$114,Paraméterek!$K$114),IF(ISBLANK($AW597),$AV597,$AW597)*Paraméterek!$J$112))),IF($D$4="Forint",0,2))</f>
        <v>0</v>
      </c>
      <c r="AY597" s="13">
        <f>$AR597+$AT597-$AU597-IF(ROUNDDOWN(IF(ISBLANK($AW597),$AV597,$AW597),IF($D$4="Forint",0,2))&gt;$AR597+$AT597-$AU597-IF($D$4="Forint",Paraméterek!$J$114,Paraméterek!$K$114),0,ROUNDDOWN(IF(ISBLANK($AW597),$AV597,$AW597),IF($D$4="Forint",0,2))-$AX597)</f>
        <v>0</v>
      </c>
      <c r="AZ597" s="13">
        <f t="shared" ref="AZ597:AZ660" si="144">$AY597</f>
        <v>0</v>
      </c>
    </row>
    <row r="598" spans="1:52" x14ac:dyDescent="0.2">
      <c r="A598" s="32">
        <v>579</v>
      </c>
      <c r="B598" s="32">
        <v>49</v>
      </c>
      <c r="C598" s="32">
        <v>3</v>
      </c>
      <c r="D598" s="13">
        <f t="shared" si="135"/>
        <v>0</v>
      </c>
      <c r="E598" s="13"/>
      <c r="F598" s="13"/>
      <c r="G598" s="13"/>
      <c r="H598" s="13">
        <f t="shared" si="136"/>
        <v>0</v>
      </c>
      <c r="I598" s="13">
        <f t="shared" si="137"/>
        <v>0</v>
      </c>
      <c r="J598" s="13">
        <f t="shared" si="138"/>
        <v>0</v>
      </c>
      <c r="K598" s="13">
        <f>ROUNDUP(IF($D$2="Egyszeri",$D598,IF($D$2="Havi",SUM($D$20:$D$31),IF(MOD($C598,$M$1)-1=0,SUM($D$20:$D$31),0))/12*$M$1)*VLOOKUP($B598,Paraméterek!$B$27:$D$30,IF($D$2="Egyszeri",3,2)),IF($D$4="Forint",0,2))</f>
        <v>0</v>
      </c>
      <c r="L598" s="13">
        <f t="shared" si="139"/>
        <v>0</v>
      </c>
      <c r="M598" s="13">
        <f t="shared" ref="M598:M661" ca="1" si="145">$L598+$V597</f>
        <v>-442717</v>
      </c>
      <c r="N598" s="13">
        <f ca="1">IF($V597&gt;=VLOOKUP($M$4-1+$B598,Paraméterek!$B$121:$D$122,IF($D$4="Forint",2,3)),0,VLOOKUP($M$4-1+$B598,Paraméterek!$B$121:$D$122,IF($D$4="Forint",2,3))-$V597)</f>
        <v>452717</v>
      </c>
      <c r="O598" s="13">
        <f ca="1">ROUNDUP($N598*Paraméterek!$C$58/Paraméterek!$C$56,IF($D$4="Forint",0,2))</f>
        <v>73</v>
      </c>
      <c r="P598" s="13">
        <f t="shared" si="140"/>
        <v>2273</v>
      </c>
      <c r="Q598" s="33"/>
      <c r="R598" s="13">
        <f t="shared" ca="1" si="141"/>
        <v>0</v>
      </c>
      <c r="S598" s="13">
        <f ca="1">ROUNDUP(($M598-$O598-$P598+$R598)*VLOOKUP($B598,Paraméterek!$B$38:$D$39,IF($D$2="Egyszeri",3,2))/12,IF($D$4="Forint",0,2))</f>
        <v>-1087</v>
      </c>
      <c r="T598" s="13"/>
      <c r="U598" s="13"/>
      <c r="V598" s="13">
        <f ca="1">$M598-$O598-$P598+$R598-$S598-IF(ROUNDUP(IF(ISBLANK($U598),$T598,$U598)/IF(AND($B598=1,$D$2&lt;&gt;"Egyszeri"),1,VLOOKUP($B598+IF($C598=12,1,0),Paraméterek!$B$257:$D$267,IF($D$2="Egyszeri",3,2))),IF($D$4="Forint",0,2))&gt;$M598-$O598-$P598+$R598-$S598-IF($D$4="Forint",Paraméterek!$C$216,Paraméterek!$D$216),0,ROUNDUP(IF(ISBLANK($U598),$T598,$U598)/IF(AND($B598=1,$D$2&lt;&gt;"Egyszeri"),1,VLOOKUP($B598+IF($C598=12,1,0),Paraméterek!$B$257:$D$267,IF($D$2="Egyszeri",3,2))),IF($D$4="Forint",0,2)))</f>
        <v>-443976</v>
      </c>
      <c r="W598" s="13">
        <f ca="1">ROUNDDOWN($V598*VLOOKUP($B598+IF($C598=12,1,0),Paraméterek!$B$257:$D$267,IF($D$2="Egyszeri",3,2)),IF($D$4="Forint",0,2))</f>
        <v>-443976</v>
      </c>
      <c r="Y598" s="32">
        <v>579</v>
      </c>
      <c r="Z598" s="32">
        <v>49</v>
      </c>
      <c r="AA598" s="32">
        <v>3</v>
      </c>
      <c r="AB598" s="13">
        <f t="shared" ref="AB598:AB661" si="146">$AJ597</f>
        <v>0</v>
      </c>
      <c r="AC598" s="33"/>
      <c r="AD598" s="13">
        <f t="shared" si="142"/>
        <v>0</v>
      </c>
      <c r="AE598" s="13">
        <f>ROUNDUP(($AB598+$AD598)*VLOOKUP($Z598,Paraméterek!$P$38:$Q$38,2)/12,IF($D$4="Forint",0,2))</f>
        <v>0</v>
      </c>
      <c r="AF598" s="13">
        <f>IF($D$2="Egyszeri",IF($D$7&gt;=IF($D$4="Forint",Paraméterek!$P$223,Paraméterek!$P$224),$D$7-IF($D$4="Forint",Paraméterek!$F$223,Paraméterek!$F$224),0),MIN(IF($AA598=12,AVERAGE($D$20:$D598)*12,0),SUM($D$20:$D$31)))</f>
        <v>0</v>
      </c>
      <c r="AG598" s="13">
        <f>IF(AND($Z598&gt;=10,MOD($Z598,5)=0),$AF598*IF($AA598=12,VLOOKUP($Z598,Paraméterek!$B$225:$F$240,IF($AF598&lt;IF($D$4="Forint",Paraméterek!$C$223,Paraméterek!$C$224),2,IF($AF598&lt;IF($D$4="Forint",Paraméterek!$D$223,Paraméterek!$D$224),3,4))),0),0)</f>
        <v>0</v>
      </c>
      <c r="AH598" s="13">
        <f>IF(AND($Z598&gt;=5,MOD($Z598,5)=0),IF($AA598=12,VLOOKUP($Z598,Paraméterek!$B$225:$F$240,5),0),IF(OR($Z598=3,$Z598=4),IF($AA598=12,VLOOKUP($Z598,Paraméterek!$B$225:$F$240,5,0),0),0))*$AF598</f>
        <v>0</v>
      </c>
      <c r="AI598" s="13">
        <f>ROUNDDOWN(IF(SUM($T$20:$U598)=0,IF($D$2="Egyszeri",$AH598,$AG598),0),IF($D$4="Forint",0,2))</f>
        <v>0</v>
      </c>
      <c r="AJ598" s="13">
        <f t="shared" ref="AJ598:AJ661" si="147">$AB598+$AD598-$AE598+$AI598</f>
        <v>0</v>
      </c>
      <c r="AK598" s="13">
        <f t="shared" ref="AK598:AK661" si="148">$AJ598</f>
        <v>0</v>
      </c>
      <c r="AM598" s="32">
        <v>579</v>
      </c>
      <c r="AN598" s="32">
        <v>49</v>
      </c>
      <c r="AO598" s="32">
        <v>3</v>
      </c>
      <c r="AP598" s="13"/>
      <c r="AQ598" s="32"/>
      <c r="AR598" s="13">
        <f t="shared" ref="AR598:AR661" si="149">IF(ISBLANK($AQ598),$AP598,$AQ598)+$AY597</f>
        <v>0</v>
      </c>
      <c r="AS598" s="33"/>
      <c r="AT598" s="13">
        <f t="shared" si="143"/>
        <v>0</v>
      </c>
      <c r="AU598" s="13">
        <f>ROUNDUP(($AR598+$AT598)*VLOOKUP($AN598,Paraméterek!$P$38:$Q$38,2)/12,IF($D$4="Forint",0,2))</f>
        <v>0</v>
      </c>
      <c r="AV598" s="13"/>
      <c r="AW598" s="13"/>
      <c r="AX598" s="13">
        <f>ROUNDUP(IF(SUM($AV598:$AW598)=0,0,IF(IF(ISBLANK($AW598),$AV598,$AW598)*Paraméterek!$J$112&lt;IF($D$4="Forint",Paraméterek!$J$113,Paraméterek!$K$113),IF($D$4="Forint",Paraméterek!$J$113,Paraméterek!$K$113),IF(IF(ISBLANK($AW598),$AV598,$AW598)*Paraméterek!$J$112&gt;IF($D$4="Forint",Paraméterek!$J$114,Paraméterek!$K$114),IF($D$4="Forint",Paraméterek!$J$114,Paraméterek!$K$114),IF(ISBLANK($AW598),$AV598,$AW598)*Paraméterek!$J$112))),IF($D$4="Forint",0,2))</f>
        <v>0</v>
      </c>
      <c r="AY598" s="13">
        <f>$AR598+$AT598-$AU598-IF(ROUNDDOWN(IF(ISBLANK($AW598),$AV598,$AW598),IF($D$4="Forint",0,2))&gt;$AR598+$AT598-$AU598-IF($D$4="Forint",Paraméterek!$J$114,Paraméterek!$K$114),0,ROUNDDOWN(IF(ISBLANK($AW598),$AV598,$AW598),IF($D$4="Forint",0,2))-$AX598)</f>
        <v>0</v>
      </c>
      <c r="AZ598" s="13">
        <f t="shared" si="144"/>
        <v>0</v>
      </c>
    </row>
    <row r="599" spans="1:52" x14ac:dyDescent="0.2">
      <c r="A599" s="32">
        <v>580</v>
      </c>
      <c r="B599" s="32">
        <v>49</v>
      </c>
      <c r="C599" s="32">
        <v>4</v>
      </c>
      <c r="D599" s="13">
        <f t="shared" si="135"/>
        <v>0</v>
      </c>
      <c r="E599" s="13"/>
      <c r="F599" s="13"/>
      <c r="G599" s="13"/>
      <c r="H599" s="13">
        <f t="shared" si="136"/>
        <v>0</v>
      </c>
      <c r="I599" s="13">
        <f t="shared" si="137"/>
        <v>0</v>
      </c>
      <c r="J599" s="13">
        <f t="shared" si="138"/>
        <v>0</v>
      </c>
      <c r="K599" s="13">
        <f>ROUNDUP(IF($D$2="Egyszeri",$D599,IF($D$2="Havi",SUM($D$20:$D$31),IF(MOD($C599,$M$1)-1=0,SUM($D$20:$D$31),0))/12*$M$1)*VLOOKUP($B599,Paraméterek!$B$27:$D$30,IF($D$2="Egyszeri",3,2)),IF($D$4="Forint",0,2))</f>
        <v>0</v>
      </c>
      <c r="L599" s="13">
        <f t="shared" si="139"/>
        <v>0</v>
      </c>
      <c r="M599" s="13">
        <f t="shared" ca="1" si="145"/>
        <v>-443976</v>
      </c>
      <c r="N599" s="13">
        <f ca="1">IF($V598&gt;=VLOOKUP($M$4-1+$B599,Paraméterek!$B$121:$D$122,IF($D$4="Forint",2,3)),0,VLOOKUP($M$4-1+$B599,Paraméterek!$B$121:$D$122,IF($D$4="Forint",2,3))-$V598)</f>
        <v>453976</v>
      </c>
      <c r="O599" s="13">
        <f ca="1">ROUNDUP($N599*Paraméterek!$C$58/Paraméterek!$C$56,IF($D$4="Forint",0,2))</f>
        <v>73</v>
      </c>
      <c r="P599" s="13">
        <f t="shared" si="140"/>
        <v>2273</v>
      </c>
      <c r="Q599" s="33"/>
      <c r="R599" s="13">
        <f t="shared" ca="1" si="141"/>
        <v>0</v>
      </c>
      <c r="S599" s="13">
        <f ca="1">ROUNDUP(($M599-$O599-$P599+$R599)*VLOOKUP($B599,Paraméterek!$B$38:$D$39,IF($D$2="Egyszeri",3,2))/12,IF($D$4="Forint",0,2))</f>
        <v>-1090</v>
      </c>
      <c r="T599" s="13"/>
      <c r="U599" s="13"/>
      <c r="V599" s="13">
        <f ca="1">$M599-$O599-$P599+$R599-$S599-IF(ROUNDUP(IF(ISBLANK($U599),$T599,$U599)/IF(AND($B599=1,$D$2&lt;&gt;"Egyszeri"),1,VLOOKUP($B599+IF($C599=12,1,0),Paraméterek!$B$257:$D$267,IF($D$2="Egyszeri",3,2))),IF($D$4="Forint",0,2))&gt;$M599-$O599-$P599+$R599-$S599-IF($D$4="Forint",Paraméterek!$C$216,Paraméterek!$D$216),0,ROUNDUP(IF(ISBLANK($U599),$T599,$U599)/IF(AND($B599=1,$D$2&lt;&gt;"Egyszeri"),1,VLOOKUP($B599+IF($C599=12,1,0),Paraméterek!$B$257:$D$267,IF($D$2="Egyszeri",3,2))),IF($D$4="Forint",0,2)))</f>
        <v>-445232</v>
      </c>
      <c r="W599" s="13">
        <f ca="1">ROUNDDOWN($V599*VLOOKUP($B599+IF($C599=12,1,0),Paraméterek!$B$257:$D$267,IF($D$2="Egyszeri",3,2)),IF($D$4="Forint",0,2))</f>
        <v>-445232</v>
      </c>
      <c r="Y599" s="32">
        <v>580</v>
      </c>
      <c r="Z599" s="32">
        <v>49</v>
      </c>
      <c r="AA599" s="32">
        <v>4</v>
      </c>
      <c r="AB599" s="13">
        <f t="shared" si="146"/>
        <v>0</v>
      </c>
      <c r="AC599" s="33"/>
      <c r="AD599" s="13">
        <f t="shared" si="142"/>
        <v>0</v>
      </c>
      <c r="AE599" s="13">
        <f>ROUNDUP(($AB599+$AD599)*VLOOKUP($Z599,Paraméterek!$P$38:$Q$38,2)/12,IF($D$4="Forint",0,2))</f>
        <v>0</v>
      </c>
      <c r="AF599" s="13">
        <f>IF($D$2="Egyszeri",IF($D$7&gt;=IF($D$4="Forint",Paraméterek!$P$223,Paraméterek!$P$224),$D$7-IF($D$4="Forint",Paraméterek!$F$223,Paraméterek!$F$224),0),MIN(IF($AA599=12,AVERAGE($D$20:$D599)*12,0),SUM($D$20:$D$31)))</f>
        <v>0</v>
      </c>
      <c r="AG599" s="13">
        <f>IF(AND($Z599&gt;=10,MOD($Z599,5)=0),$AF599*IF($AA599=12,VLOOKUP($Z599,Paraméterek!$B$225:$F$240,IF($AF599&lt;IF($D$4="Forint",Paraméterek!$C$223,Paraméterek!$C$224),2,IF($AF599&lt;IF($D$4="Forint",Paraméterek!$D$223,Paraméterek!$D$224),3,4))),0),0)</f>
        <v>0</v>
      </c>
      <c r="AH599" s="13">
        <f>IF(AND($Z599&gt;=5,MOD($Z599,5)=0),IF($AA599=12,VLOOKUP($Z599,Paraméterek!$B$225:$F$240,5),0),IF(OR($Z599=3,$Z599=4),IF($AA599=12,VLOOKUP($Z599,Paraméterek!$B$225:$F$240,5,0),0),0))*$AF599</f>
        <v>0</v>
      </c>
      <c r="AI599" s="13">
        <f>ROUNDDOWN(IF(SUM($T$20:$U599)=0,IF($D$2="Egyszeri",$AH599,$AG599),0),IF($D$4="Forint",0,2))</f>
        <v>0</v>
      </c>
      <c r="AJ599" s="13">
        <f t="shared" si="147"/>
        <v>0</v>
      </c>
      <c r="AK599" s="13">
        <f t="shared" si="148"/>
        <v>0</v>
      </c>
      <c r="AM599" s="32">
        <v>580</v>
      </c>
      <c r="AN599" s="32">
        <v>49</v>
      </c>
      <c r="AO599" s="32">
        <v>4</v>
      </c>
      <c r="AP599" s="13"/>
      <c r="AQ599" s="32"/>
      <c r="AR599" s="13">
        <f t="shared" si="149"/>
        <v>0</v>
      </c>
      <c r="AS599" s="33"/>
      <c r="AT599" s="13">
        <f t="shared" si="143"/>
        <v>0</v>
      </c>
      <c r="AU599" s="13">
        <f>ROUNDUP(($AR599+$AT599)*VLOOKUP($AN599,Paraméterek!$P$38:$Q$38,2)/12,IF($D$4="Forint",0,2))</f>
        <v>0</v>
      </c>
      <c r="AV599" s="13"/>
      <c r="AW599" s="13"/>
      <c r="AX599" s="13">
        <f>ROUNDUP(IF(SUM($AV599:$AW599)=0,0,IF(IF(ISBLANK($AW599),$AV599,$AW599)*Paraméterek!$J$112&lt;IF($D$4="Forint",Paraméterek!$J$113,Paraméterek!$K$113),IF($D$4="Forint",Paraméterek!$J$113,Paraméterek!$K$113),IF(IF(ISBLANK($AW599),$AV599,$AW599)*Paraméterek!$J$112&gt;IF($D$4="Forint",Paraméterek!$J$114,Paraméterek!$K$114),IF($D$4="Forint",Paraméterek!$J$114,Paraméterek!$K$114),IF(ISBLANK($AW599),$AV599,$AW599)*Paraméterek!$J$112))),IF($D$4="Forint",0,2))</f>
        <v>0</v>
      </c>
      <c r="AY599" s="13">
        <f>$AR599+$AT599-$AU599-IF(ROUNDDOWN(IF(ISBLANK($AW599),$AV599,$AW599),IF($D$4="Forint",0,2))&gt;$AR599+$AT599-$AU599-IF($D$4="Forint",Paraméterek!$J$114,Paraméterek!$K$114),0,ROUNDDOWN(IF(ISBLANK($AW599),$AV599,$AW599),IF($D$4="Forint",0,2))-$AX599)</f>
        <v>0</v>
      </c>
      <c r="AZ599" s="13">
        <f t="shared" si="144"/>
        <v>0</v>
      </c>
    </row>
    <row r="600" spans="1:52" x14ac:dyDescent="0.2">
      <c r="A600" s="32">
        <v>581</v>
      </c>
      <c r="B600" s="32">
        <v>49</v>
      </c>
      <c r="C600" s="32">
        <v>5</v>
      </c>
      <c r="D600" s="13">
        <f t="shared" si="135"/>
        <v>0</v>
      </c>
      <c r="E600" s="13"/>
      <c r="F600" s="13"/>
      <c r="G600" s="13"/>
      <c r="H600" s="13">
        <f t="shared" si="136"/>
        <v>0</v>
      </c>
      <c r="I600" s="13">
        <f t="shared" si="137"/>
        <v>0</v>
      </c>
      <c r="J600" s="13">
        <f t="shared" si="138"/>
        <v>0</v>
      </c>
      <c r="K600" s="13">
        <f>ROUNDUP(IF($D$2="Egyszeri",$D600,IF($D$2="Havi",SUM($D$20:$D$31),IF(MOD($C600,$M$1)-1=0,SUM($D$20:$D$31),0))/12*$M$1)*VLOOKUP($B600,Paraméterek!$B$27:$D$30,IF($D$2="Egyszeri",3,2)),IF($D$4="Forint",0,2))</f>
        <v>0</v>
      </c>
      <c r="L600" s="13">
        <f t="shared" si="139"/>
        <v>0</v>
      </c>
      <c r="M600" s="13">
        <f t="shared" ca="1" si="145"/>
        <v>-445232</v>
      </c>
      <c r="N600" s="13">
        <f ca="1">IF($V599&gt;=VLOOKUP($M$4-1+$B600,Paraméterek!$B$121:$D$122,IF($D$4="Forint",2,3)),0,VLOOKUP($M$4-1+$B600,Paraméterek!$B$121:$D$122,IF($D$4="Forint",2,3))-$V599)</f>
        <v>455232</v>
      </c>
      <c r="O600" s="13">
        <f ca="1">ROUNDUP($N600*Paraméterek!$C$58/Paraméterek!$C$56,IF($D$4="Forint",0,2))</f>
        <v>73</v>
      </c>
      <c r="P600" s="13">
        <f t="shared" si="140"/>
        <v>2273</v>
      </c>
      <c r="Q600" s="33"/>
      <c r="R600" s="13">
        <f t="shared" ca="1" si="141"/>
        <v>0</v>
      </c>
      <c r="S600" s="13">
        <f ca="1">ROUNDUP(($M600-$O600-$P600+$R600)*VLOOKUP($B600,Paraméterek!$B$38:$D$39,IF($D$2="Egyszeri",3,2))/12,IF($D$4="Forint",0,2))</f>
        <v>-1093</v>
      </c>
      <c r="T600" s="13"/>
      <c r="U600" s="13"/>
      <c r="V600" s="13">
        <f ca="1">$M600-$O600-$P600+$R600-$S600-IF(ROUNDUP(IF(ISBLANK($U600),$T600,$U600)/IF(AND($B600=1,$D$2&lt;&gt;"Egyszeri"),1,VLOOKUP($B600+IF($C600=12,1,0),Paraméterek!$B$257:$D$267,IF($D$2="Egyszeri",3,2))),IF($D$4="Forint",0,2))&gt;$M600-$O600-$P600+$R600-$S600-IF($D$4="Forint",Paraméterek!$C$216,Paraméterek!$D$216),0,ROUNDUP(IF(ISBLANK($U600),$T600,$U600)/IF(AND($B600=1,$D$2&lt;&gt;"Egyszeri"),1,VLOOKUP($B600+IF($C600=12,1,0),Paraméterek!$B$257:$D$267,IF($D$2="Egyszeri",3,2))),IF($D$4="Forint",0,2)))</f>
        <v>-446485</v>
      </c>
      <c r="W600" s="13">
        <f ca="1">ROUNDDOWN($V600*VLOOKUP($B600+IF($C600=12,1,0),Paraméterek!$B$257:$D$267,IF($D$2="Egyszeri",3,2)),IF($D$4="Forint",0,2))</f>
        <v>-446485</v>
      </c>
      <c r="Y600" s="32">
        <v>581</v>
      </c>
      <c r="Z600" s="32">
        <v>49</v>
      </c>
      <c r="AA600" s="32">
        <v>5</v>
      </c>
      <c r="AB600" s="13">
        <f t="shared" si="146"/>
        <v>0</v>
      </c>
      <c r="AC600" s="33"/>
      <c r="AD600" s="13">
        <f t="shared" si="142"/>
        <v>0</v>
      </c>
      <c r="AE600" s="13">
        <f>ROUNDUP(($AB600+$AD600)*VLOOKUP($Z600,Paraméterek!$P$38:$Q$38,2)/12,IF($D$4="Forint",0,2))</f>
        <v>0</v>
      </c>
      <c r="AF600" s="13">
        <f>IF($D$2="Egyszeri",IF($D$7&gt;=IF($D$4="Forint",Paraméterek!$P$223,Paraméterek!$P$224),$D$7-IF($D$4="Forint",Paraméterek!$F$223,Paraméterek!$F$224),0),MIN(IF($AA600=12,AVERAGE($D$20:$D600)*12,0),SUM($D$20:$D$31)))</f>
        <v>0</v>
      </c>
      <c r="AG600" s="13">
        <f>IF(AND($Z600&gt;=10,MOD($Z600,5)=0),$AF600*IF($AA600=12,VLOOKUP($Z600,Paraméterek!$B$225:$F$240,IF($AF600&lt;IF($D$4="Forint",Paraméterek!$C$223,Paraméterek!$C$224),2,IF($AF600&lt;IF($D$4="Forint",Paraméterek!$D$223,Paraméterek!$D$224),3,4))),0),0)</f>
        <v>0</v>
      </c>
      <c r="AH600" s="13">
        <f>IF(AND($Z600&gt;=5,MOD($Z600,5)=0),IF($AA600=12,VLOOKUP($Z600,Paraméterek!$B$225:$F$240,5),0),IF(OR($Z600=3,$Z600=4),IF($AA600=12,VLOOKUP($Z600,Paraméterek!$B$225:$F$240,5,0),0),0))*$AF600</f>
        <v>0</v>
      </c>
      <c r="AI600" s="13">
        <f>ROUNDDOWN(IF(SUM($T$20:$U600)=0,IF($D$2="Egyszeri",$AH600,$AG600),0),IF($D$4="Forint",0,2))</f>
        <v>0</v>
      </c>
      <c r="AJ600" s="13">
        <f t="shared" si="147"/>
        <v>0</v>
      </c>
      <c r="AK600" s="13">
        <f t="shared" si="148"/>
        <v>0</v>
      </c>
      <c r="AM600" s="32">
        <v>581</v>
      </c>
      <c r="AN600" s="32">
        <v>49</v>
      </c>
      <c r="AO600" s="32">
        <v>5</v>
      </c>
      <c r="AP600" s="13"/>
      <c r="AQ600" s="32"/>
      <c r="AR600" s="13">
        <f t="shared" si="149"/>
        <v>0</v>
      </c>
      <c r="AS600" s="33"/>
      <c r="AT600" s="13">
        <f t="shared" si="143"/>
        <v>0</v>
      </c>
      <c r="AU600" s="13">
        <f>ROUNDUP(($AR600+$AT600)*VLOOKUP($AN600,Paraméterek!$P$38:$Q$38,2)/12,IF($D$4="Forint",0,2))</f>
        <v>0</v>
      </c>
      <c r="AV600" s="13"/>
      <c r="AW600" s="13"/>
      <c r="AX600" s="13">
        <f>ROUNDUP(IF(SUM($AV600:$AW600)=0,0,IF(IF(ISBLANK($AW600),$AV600,$AW600)*Paraméterek!$J$112&lt;IF($D$4="Forint",Paraméterek!$J$113,Paraméterek!$K$113),IF($D$4="Forint",Paraméterek!$J$113,Paraméterek!$K$113),IF(IF(ISBLANK($AW600),$AV600,$AW600)*Paraméterek!$J$112&gt;IF($D$4="Forint",Paraméterek!$J$114,Paraméterek!$K$114),IF($D$4="Forint",Paraméterek!$J$114,Paraméterek!$K$114),IF(ISBLANK($AW600),$AV600,$AW600)*Paraméterek!$J$112))),IF($D$4="Forint",0,2))</f>
        <v>0</v>
      </c>
      <c r="AY600" s="13">
        <f>$AR600+$AT600-$AU600-IF(ROUNDDOWN(IF(ISBLANK($AW600),$AV600,$AW600),IF($D$4="Forint",0,2))&gt;$AR600+$AT600-$AU600-IF($D$4="Forint",Paraméterek!$J$114,Paraméterek!$K$114),0,ROUNDDOWN(IF(ISBLANK($AW600),$AV600,$AW600),IF($D$4="Forint",0,2))-$AX600)</f>
        <v>0</v>
      </c>
      <c r="AZ600" s="13">
        <f t="shared" si="144"/>
        <v>0</v>
      </c>
    </row>
    <row r="601" spans="1:52" x14ac:dyDescent="0.2">
      <c r="A601" s="32">
        <v>582</v>
      </c>
      <c r="B601" s="32">
        <v>49</v>
      </c>
      <c r="C601" s="32">
        <v>6</v>
      </c>
      <c r="D601" s="13">
        <f t="shared" si="135"/>
        <v>0</v>
      </c>
      <c r="E601" s="13"/>
      <c r="F601" s="13"/>
      <c r="G601" s="13"/>
      <c r="H601" s="13">
        <f t="shared" si="136"/>
        <v>0</v>
      </c>
      <c r="I601" s="13">
        <f t="shared" si="137"/>
        <v>0</v>
      </c>
      <c r="J601" s="13">
        <f t="shared" si="138"/>
        <v>0</v>
      </c>
      <c r="K601" s="13">
        <f>ROUNDUP(IF($D$2="Egyszeri",$D601,IF($D$2="Havi",SUM($D$20:$D$31),IF(MOD($C601,$M$1)-1=0,SUM($D$20:$D$31),0))/12*$M$1)*VLOOKUP($B601,Paraméterek!$B$27:$D$30,IF($D$2="Egyszeri",3,2)),IF($D$4="Forint",0,2))</f>
        <v>0</v>
      </c>
      <c r="L601" s="13">
        <f t="shared" si="139"/>
        <v>0</v>
      </c>
      <c r="M601" s="13">
        <f t="shared" ca="1" si="145"/>
        <v>-446485</v>
      </c>
      <c r="N601" s="13">
        <f ca="1">IF($V600&gt;=VLOOKUP($M$4-1+$B601,Paraméterek!$B$121:$D$122,IF($D$4="Forint",2,3)),0,VLOOKUP($M$4-1+$B601,Paraméterek!$B$121:$D$122,IF($D$4="Forint",2,3))-$V600)</f>
        <v>456485</v>
      </c>
      <c r="O601" s="13">
        <f ca="1">ROUNDUP($N601*Paraméterek!$C$58/Paraméterek!$C$56,IF($D$4="Forint",0,2))</f>
        <v>73</v>
      </c>
      <c r="P601" s="13">
        <f t="shared" si="140"/>
        <v>2273</v>
      </c>
      <c r="Q601" s="33"/>
      <c r="R601" s="13">
        <f t="shared" ca="1" si="141"/>
        <v>0</v>
      </c>
      <c r="S601" s="13">
        <f ca="1">ROUNDUP(($M601-$O601-$P601+$R601)*VLOOKUP($B601,Paraméterek!$B$38:$D$39,IF($D$2="Egyszeri",3,2))/12,IF($D$4="Forint",0,2))</f>
        <v>-1096</v>
      </c>
      <c r="T601" s="13"/>
      <c r="U601" s="13"/>
      <c r="V601" s="13">
        <f ca="1">$M601-$O601-$P601+$R601-$S601-IF(ROUNDUP(IF(ISBLANK($U601),$T601,$U601)/IF(AND($B601=1,$D$2&lt;&gt;"Egyszeri"),1,VLOOKUP($B601+IF($C601=12,1,0),Paraméterek!$B$257:$D$267,IF($D$2="Egyszeri",3,2))),IF($D$4="Forint",0,2))&gt;$M601-$O601-$P601+$R601-$S601-IF($D$4="Forint",Paraméterek!$C$216,Paraméterek!$D$216),0,ROUNDUP(IF(ISBLANK($U601),$T601,$U601)/IF(AND($B601=1,$D$2&lt;&gt;"Egyszeri"),1,VLOOKUP($B601+IF($C601=12,1,0),Paraméterek!$B$257:$D$267,IF($D$2="Egyszeri",3,2))),IF($D$4="Forint",0,2)))</f>
        <v>-447735</v>
      </c>
      <c r="W601" s="13">
        <f ca="1">ROUNDDOWN($V601*VLOOKUP($B601+IF($C601=12,1,0),Paraméterek!$B$257:$D$267,IF($D$2="Egyszeri",3,2)),IF($D$4="Forint",0,2))</f>
        <v>-447735</v>
      </c>
      <c r="Y601" s="32">
        <v>582</v>
      </c>
      <c r="Z601" s="32">
        <v>49</v>
      </c>
      <c r="AA601" s="32">
        <v>6</v>
      </c>
      <c r="AB601" s="13">
        <f t="shared" si="146"/>
        <v>0</v>
      </c>
      <c r="AC601" s="33"/>
      <c r="AD601" s="13">
        <f t="shared" si="142"/>
        <v>0</v>
      </c>
      <c r="AE601" s="13">
        <f>ROUNDUP(($AB601+$AD601)*VLOOKUP($Z601,Paraméterek!$P$38:$Q$38,2)/12,IF($D$4="Forint",0,2))</f>
        <v>0</v>
      </c>
      <c r="AF601" s="13">
        <f>IF($D$2="Egyszeri",IF($D$7&gt;=IF($D$4="Forint",Paraméterek!$P$223,Paraméterek!$P$224),$D$7-IF($D$4="Forint",Paraméterek!$F$223,Paraméterek!$F$224),0),MIN(IF($AA601=12,AVERAGE($D$20:$D601)*12,0),SUM($D$20:$D$31)))</f>
        <v>0</v>
      </c>
      <c r="AG601" s="13">
        <f>IF(AND($Z601&gt;=10,MOD($Z601,5)=0),$AF601*IF($AA601=12,VLOOKUP($Z601,Paraméterek!$B$225:$F$240,IF($AF601&lt;IF($D$4="Forint",Paraméterek!$C$223,Paraméterek!$C$224),2,IF($AF601&lt;IF($D$4="Forint",Paraméterek!$D$223,Paraméterek!$D$224),3,4))),0),0)</f>
        <v>0</v>
      </c>
      <c r="AH601" s="13">
        <f>IF(AND($Z601&gt;=5,MOD($Z601,5)=0),IF($AA601=12,VLOOKUP($Z601,Paraméterek!$B$225:$F$240,5),0),IF(OR($Z601=3,$Z601=4),IF($AA601=12,VLOOKUP($Z601,Paraméterek!$B$225:$F$240,5,0),0),0))*$AF601</f>
        <v>0</v>
      </c>
      <c r="AI601" s="13">
        <f>ROUNDDOWN(IF(SUM($T$20:$U601)=0,IF($D$2="Egyszeri",$AH601,$AG601),0),IF($D$4="Forint",0,2))</f>
        <v>0</v>
      </c>
      <c r="AJ601" s="13">
        <f t="shared" si="147"/>
        <v>0</v>
      </c>
      <c r="AK601" s="13">
        <f t="shared" si="148"/>
        <v>0</v>
      </c>
      <c r="AM601" s="32">
        <v>582</v>
      </c>
      <c r="AN601" s="32">
        <v>49</v>
      </c>
      <c r="AO601" s="32">
        <v>6</v>
      </c>
      <c r="AP601" s="13"/>
      <c r="AQ601" s="32"/>
      <c r="AR601" s="13">
        <f t="shared" si="149"/>
        <v>0</v>
      </c>
      <c r="AS601" s="33"/>
      <c r="AT601" s="13">
        <f t="shared" si="143"/>
        <v>0</v>
      </c>
      <c r="AU601" s="13">
        <f>ROUNDUP(($AR601+$AT601)*VLOOKUP($AN601,Paraméterek!$P$38:$Q$38,2)/12,IF($D$4="Forint",0,2))</f>
        <v>0</v>
      </c>
      <c r="AV601" s="13"/>
      <c r="AW601" s="13"/>
      <c r="AX601" s="13">
        <f>ROUNDUP(IF(SUM($AV601:$AW601)=0,0,IF(IF(ISBLANK($AW601),$AV601,$AW601)*Paraméterek!$J$112&lt;IF($D$4="Forint",Paraméterek!$J$113,Paraméterek!$K$113),IF($D$4="Forint",Paraméterek!$J$113,Paraméterek!$K$113),IF(IF(ISBLANK($AW601),$AV601,$AW601)*Paraméterek!$J$112&gt;IF($D$4="Forint",Paraméterek!$J$114,Paraméterek!$K$114),IF($D$4="Forint",Paraméterek!$J$114,Paraméterek!$K$114),IF(ISBLANK($AW601),$AV601,$AW601)*Paraméterek!$J$112))),IF($D$4="Forint",0,2))</f>
        <v>0</v>
      </c>
      <c r="AY601" s="13">
        <f>$AR601+$AT601-$AU601-IF(ROUNDDOWN(IF(ISBLANK($AW601),$AV601,$AW601),IF($D$4="Forint",0,2))&gt;$AR601+$AT601-$AU601-IF($D$4="Forint",Paraméterek!$J$114,Paraméterek!$K$114),0,ROUNDDOWN(IF(ISBLANK($AW601),$AV601,$AW601),IF($D$4="Forint",0,2))-$AX601)</f>
        <v>0</v>
      </c>
      <c r="AZ601" s="13">
        <f t="shared" si="144"/>
        <v>0</v>
      </c>
    </row>
    <row r="602" spans="1:52" x14ac:dyDescent="0.2">
      <c r="A602" s="32">
        <v>583</v>
      </c>
      <c r="B602" s="32">
        <v>49</v>
      </c>
      <c r="C602" s="32">
        <v>7</v>
      </c>
      <c r="D602" s="13">
        <f t="shared" si="135"/>
        <v>0</v>
      </c>
      <c r="E602" s="13"/>
      <c r="F602" s="13"/>
      <c r="G602" s="13"/>
      <c r="H602" s="13">
        <f t="shared" si="136"/>
        <v>0</v>
      </c>
      <c r="I602" s="13">
        <f t="shared" si="137"/>
        <v>0</v>
      </c>
      <c r="J602" s="13">
        <f t="shared" si="138"/>
        <v>0</v>
      </c>
      <c r="K602" s="13">
        <f>ROUNDUP(IF($D$2="Egyszeri",$D602,IF($D$2="Havi",SUM($D$20:$D$31),IF(MOD($C602,$M$1)-1=0,SUM($D$20:$D$31),0))/12*$M$1)*VLOOKUP($B602,Paraméterek!$B$27:$D$30,IF($D$2="Egyszeri",3,2)),IF($D$4="Forint",0,2))</f>
        <v>0</v>
      </c>
      <c r="L602" s="13">
        <f t="shared" si="139"/>
        <v>0</v>
      </c>
      <c r="M602" s="13">
        <f t="shared" ca="1" si="145"/>
        <v>-447735</v>
      </c>
      <c r="N602" s="13">
        <f ca="1">IF($V601&gt;=VLOOKUP($M$4-1+$B602,Paraméterek!$B$121:$D$122,IF($D$4="Forint",2,3)),0,VLOOKUP($M$4-1+$B602,Paraméterek!$B$121:$D$122,IF($D$4="Forint",2,3))-$V601)</f>
        <v>457735</v>
      </c>
      <c r="O602" s="13">
        <f ca="1">ROUNDUP($N602*Paraméterek!$C$58/Paraméterek!$C$56,IF($D$4="Forint",0,2))</f>
        <v>73</v>
      </c>
      <c r="P602" s="13">
        <f t="shared" si="140"/>
        <v>2273</v>
      </c>
      <c r="Q602" s="33"/>
      <c r="R602" s="13">
        <f t="shared" ca="1" si="141"/>
        <v>0</v>
      </c>
      <c r="S602" s="13">
        <f ca="1">ROUNDUP(($M602-$O602-$P602+$R602)*VLOOKUP($B602,Paraméterek!$B$38:$D$39,IF($D$2="Egyszeri",3,2))/12,IF($D$4="Forint",0,2))</f>
        <v>-1099</v>
      </c>
      <c r="T602" s="13"/>
      <c r="U602" s="13"/>
      <c r="V602" s="13">
        <f ca="1">$M602-$O602-$P602+$R602-$S602-IF(ROUNDUP(IF(ISBLANK($U602),$T602,$U602)/IF(AND($B602=1,$D$2&lt;&gt;"Egyszeri"),1,VLOOKUP($B602+IF($C602=12,1,0),Paraméterek!$B$257:$D$267,IF($D$2="Egyszeri",3,2))),IF($D$4="Forint",0,2))&gt;$M602-$O602-$P602+$R602-$S602-IF($D$4="Forint",Paraméterek!$C$216,Paraméterek!$D$216),0,ROUNDUP(IF(ISBLANK($U602),$T602,$U602)/IF(AND($B602=1,$D$2&lt;&gt;"Egyszeri"),1,VLOOKUP($B602+IF($C602=12,1,0),Paraméterek!$B$257:$D$267,IF($D$2="Egyszeri",3,2))),IF($D$4="Forint",0,2)))</f>
        <v>-448982</v>
      </c>
      <c r="W602" s="13">
        <f ca="1">ROUNDDOWN($V602*VLOOKUP($B602+IF($C602=12,1,0),Paraméterek!$B$257:$D$267,IF($D$2="Egyszeri",3,2)),IF($D$4="Forint",0,2))</f>
        <v>-448982</v>
      </c>
      <c r="Y602" s="32">
        <v>583</v>
      </c>
      <c r="Z602" s="32">
        <v>49</v>
      </c>
      <c r="AA602" s="32">
        <v>7</v>
      </c>
      <c r="AB602" s="13">
        <f t="shared" si="146"/>
        <v>0</v>
      </c>
      <c r="AC602" s="33"/>
      <c r="AD602" s="13">
        <f t="shared" si="142"/>
        <v>0</v>
      </c>
      <c r="AE602" s="13">
        <f>ROUNDUP(($AB602+$AD602)*VLOOKUP($Z602,Paraméterek!$P$38:$Q$38,2)/12,IF($D$4="Forint",0,2))</f>
        <v>0</v>
      </c>
      <c r="AF602" s="13">
        <f>IF($D$2="Egyszeri",IF($D$7&gt;=IF($D$4="Forint",Paraméterek!$P$223,Paraméterek!$P$224),$D$7-IF($D$4="Forint",Paraméterek!$F$223,Paraméterek!$F$224),0),MIN(IF($AA602=12,AVERAGE($D$20:$D602)*12,0),SUM($D$20:$D$31)))</f>
        <v>0</v>
      </c>
      <c r="AG602" s="13">
        <f>IF(AND($Z602&gt;=10,MOD($Z602,5)=0),$AF602*IF($AA602=12,VLOOKUP($Z602,Paraméterek!$B$225:$F$240,IF($AF602&lt;IF($D$4="Forint",Paraméterek!$C$223,Paraméterek!$C$224),2,IF($AF602&lt;IF($D$4="Forint",Paraméterek!$D$223,Paraméterek!$D$224),3,4))),0),0)</f>
        <v>0</v>
      </c>
      <c r="AH602" s="13">
        <f>IF(AND($Z602&gt;=5,MOD($Z602,5)=0),IF($AA602=12,VLOOKUP($Z602,Paraméterek!$B$225:$F$240,5),0),IF(OR($Z602=3,$Z602=4),IF($AA602=12,VLOOKUP($Z602,Paraméterek!$B$225:$F$240,5,0),0),0))*$AF602</f>
        <v>0</v>
      </c>
      <c r="AI602" s="13">
        <f>ROUNDDOWN(IF(SUM($T$20:$U602)=0,IF($D$2="Egyszeri",$AH602,$AG602),0),IF($D$4="Forint",0,2))</f>
        <v>0</v>
      </c>
      <c r="AJ602" s="13">
        <f t="shared" si="147"/>
        <v>0</v>
      </c>
      <c r="AK602" s="13">
        <f t="shared" si="148"/>
        <v>0</v>
      </c>
      <c r="AM602" s="32">
        <v>583</v>
      </c>
      <c r="AN602" s="32">
        <v>49</v>
      </c>
      <c r="AO602" s="32">
        <v>7</v>
      </c>
      <c r="AP602" s="13"/>
      <c r="AQ602" s="32"/>
      <c r="AR602" s="13">
        <f t="shared" si="149"/>
        <v>0</v>
      </c>
      <c r="AS602" s="33"/>
      <c r="AT602" s="13">
        <f t="shared" si="143"/>
        <v>0</v>
      </c>
      <c r="AU602" s="13">
        <f>ROUNDUP(($AR602+$AT602)*VLOOKUP($AN602,Paraméterek!$P$38:$Q$38,2)/12,IF($D$4="Forint",0,2))</f>
        <v>0</v>
      </c>
      <c r="AV602" s="13"/>
      <c r="AW602" s="13"/>
      <c r="AX602" s="13">
        <f>ROUNDUP(IF(SUM($AV602:$AW602)=0,0,IF(IF(ISBLANK($AW602),$AV602,$AW602)*Paraméterek!$J$112&lt;IF($D$4="Forint",Paraméterek!$J$113,Paraméterek!$K$113),IF($D$4="Forint",Paraméterek!$J$113,Paraméterek!$K$113),IF(IF(ISBLANK($AW602),$AV602,$AW602)*Paraméterek!$J$112&gt;IF($D$4="Forint",Paraméterek!$J$114,Paraméterek!$K$114),IF($D$4="Forint",Paraméterek!$J$114,Paraméterek!$K$114),IF(ISBLANK($AW602),$AV602,$AW602)*Paraméterek!$J$112))),IF($D$4="Forint",0,2))</f>
        <v>0</v>
      </c>
      <c r="AY602" s="13">
        <f>$AR602+$AT602-$AU602-IF(ROUNDDOWN(IF(ISBLANK($AW602),$AV602,$AW602),IF($D$4="Forint",0,2))&gt;$AR602+$AT602-$AU602-IF($D$4="Forint",Paraméterek!$J$114,Paraméterek!$K$114),0,ROUNDDOWN(IF(ISBLANK($AW602),$AV602,$AW602),IF($D$4="Forint",0,2))-$AX602)</f>
        <v>0</v>
      </c>
      <c r="AZ602" s="13">
        <f t="shared" si="144"/>
        <v>0</v>
      </c>
    </row>
    <row r="603" spans="1:52" x14ac:dyDescent="0.2">
      <c r="A603" s="32">
        <v>584</v>
      </c>
      <c r="B603" s="32">
        <v>49</v>
      </c>
      <c r="C603" s="32">
        <v>8</v>
      </c>
      <c r="D603" s="13">
        <f t="shared" si="135"/>
        <v>0</v>
      </c>
      <c r="E603" s="13"/>
      <c r="F603" s="13"/>
      <c r="G603" s="13"/>
      <c r="H603" s="13">
        <f t="shared" si="136"/>
        <v>0</v>
      </c>
      <c r="I603" s="13">
        <f t="shared" si="137"/>
        <v>0</v>
      </c>
      <c r="J603" s="13">
        <f t="shared" si="138"/>
        <v>0</v>
      </c>
      <c r="K603" s="13">
        <f>ROUNDUP(IF($D$2="Egyszeri",$D603,IF($D$2="Havi",SUM($D$20:$D$31),IF(MOD($C603,$M$1)-1=0,SUM($D$20:$D$31),0))/12*$M$1)*VLOOKUP($B603,Paraméterek!$B$27:$D$30,IF($D$2="Egyszeri",3,2)),IF($D$4="Forint",0,2))</f>
        <v>0</v>
      </c>
      <c r="L603" s="13">
        <f t="shared" si="139"/>
        <v>0</v>
      </c>
      <c r="M603" s="13">
        <f t="shared" ca="1" si="145"/>
        <v>-448982</v>
      </c>
      <c r="N603" s="13">
        <f ca="1">IF($V602&gt;=VLOOKUP($M$4-1+$B603,Paraméterek!$B$121:$D$122,IF($D$4="Forint",2,3)),0,VLOOKUP($M$4-1+$B603,Paraméterek!$B$121:$D$122,IF($D$4="Forint",2,3))-$V602)</f>
        <v>458982</v>
      </c>
      <c r="O603" s="13">
        <f ca="1">ROUNDUP($N603*Paraméterek!$C$58/Paraméterek!$C$56,IF($D$4="Forint",0,2))</f>
        <v>74</v>
      </c>
      <c r="P603" s="13">
        <f t="shared" si="140"/>
        <v>2273</v>
      </c>
      <c r="Q603" s="33"/>
      <c r="R603" s="13">
        <f t="shared" ca="1" si="141"/>
        <v>0</v>
      </c>
      <c r="S603" s="13">
        <f ca="1">ROUNDUP(($M603-$O603-$P603+$R603)*VLOOKUP($B603,Paraméterek!$B$38:$D$39,IF($D$2="Egyszeri",3,2))/12,IF($D$4="Forint",0,2))</f>
        <v>-1102</v>
      </c>
      <c r="T603" s="13"/>
      <c r="U603" s="13"/>
      <c r="V603" s="13">
        <f ca="1">$M603-$O603-$P603+$R603-$S603-IF(ROUNDUP(IF(ISBLANK($U603),$T603,$U603)/IF(AND($B603=1,$D$2&lt;&gt;"Egyszeri"),1,VLOOKUP($B603+IF($C603=12,1,0),Paraméterek!$B$257:$D$267,IF($D$2="Egyszeri",3,2))),IF($D$4="Forint",0,2))&gt;$M603-$O603-$P603+$R603-$S603-IF($D$4="Forint",Paraméterek!$C$216,Paraméterek!$D$216),0,ROUNDUP(IF(ISBLANK($U603),$T603,$U603)/IF(AND($B603=1,$D$2&lt;&gt;"Egyszeri"),1,VLOOKUP($B603+IF($C603=12,1,0),Paraméterek!$B$257:$D$267,IF($D$2="Egyszeri",3,2))),IF($D$4="Forint",0,2)))</f>
        <v>-450227</v>
      </c>
      <c r="W603" s="13">
        <f ca="1">ROUNDDOWN($V603*VLOOKUP($B603+IF($C603=12,1,0),Paraméterek!$B$257:$D$267,IF($D$2="Egyszeri",3,2)),IF($D$4="Forint",0,2))</f>
        <v>-450227</v>
      </c>
      <c r="Y603" s="32">
        <v>584</v>
      </c>
      <c r="Z603" s="32">
        <v>49</v>
      </c>
      <c r="AA603" s="32">
        <v>8</v>
      </c>
      <c r="AB603" s="13">
        <f t="shared" si="146"/>
        <v>0</v>
      </c>
      <c r="AC603" s="33"/>
      <c r="AD603" s="13">
        <f t="shared" si="142"/>
        <v>0</v>
      </c>
      <c r="AE603" s="13">
        <f>ROUNDUP(($AB603+$AD603)*VLOOKUP($Z603,Paraméterek!$P$38:$Q$38,2)/12,IF($D$4="Forint",0,2))</f>
        <v>0</v>
      </c>
      <c r="AF603" s="13">
        <f>IF($D$2="Egyszeri",IF($D$7&gt;=IF($D$4="Forint",Paraméterek!$P$223,Paraméterek!$P$224),$D$7-IF($D$4="Forint",Paraméterek!$F$223,Paraméterek!$F$224),0),MIN(IF($AA603=12,AVERAGE($D$20:$D603)*12,0),SUM($D$20:$D$31)))</f>
        <v>0</v>
      </c>
      <c r="AG603" s="13">
        <f>IF(AND($Z603&gt;=10,MOD($Z603,5)=0),$AF603*IF($AA603=12,VLOOKUP($Z603,Paraméterek!$B$225:$F$240,IF($AF603&lt;IF($D$4="Forint",Paraméterek!$C$223,Paraméterek!$C$224),2,IF($AF603&lt;IF($D$4="Forint",Paraméterek!$D$223,Paraméterek!$D$224),3,4))),0),0)</f>
        <v>0</v>
      </c>
      <c r="AH603" s="13">
        <f>IF(AND($Z603&gt;=5,MOD($Z603,5)=0),IF($AA603=12,VLOOKUP($Z603,Paraméterek!$B$225:$F$240,5),0),IF(OR($Z603=3,$Z603=4),IF($AA603=12,VLOOKUP($Z603,Paraméterek!$B$225:$F$240,5,0),0),0))*$AF603</f>
        <v>0</v>
      </c>
      <c r="AI603" s="13">
        <f>ROUNDDOWN(IF(SUM($T$20:$U603)=0,IF($D$2="Egyszeri",$AH603,$AG603),0),IF($D$4="Forint",0,2))</f>
        <v>0</v>
      </c>
      <c r="AJ603" s="13">
        <f t="shared" si="147"/>
        <v>0</v>
      </c>
      <c r="AK603" s="13">
        <f t="shared" si="148"/>
        <v>0</v>
      </c>
      <c r="AM603" s="32">
        <v>584</v>
      </c>
      <c r="AN603" s="32">
        <v>49</v>
      </c>
      <c r="AO603" s="32">
        <v>8</v>
      </c>
      <c r="AP603" s="13"/>
      <c r="AQ603" s="32"/>
      <c r="AR603" s="13">
        <f t="shared" si="149"/>
        <v>0</v>
      </c>
      <c r="AS603" s="33"/>
      <c r="AT603" s="13">
        <f t="shared" si="143"/>
        <v>0</v>
      </c>
      <c r="AU603" s="13">
        <f>ROUNDUP(($AR603+$AT603)*VLOOKUP($AN603,Paraméterek!$P$38:$Q$38,2)/12,IF($D$4="Forint",0,2))</f>
        <v>0</v>
      </c>
      <c r="AV603" s="13"/>
      <c r="AW603" s="13"/>
      <c r="AX603" s="13">
        <f>ROUNDUP(IF(SUM($AV603:$AW603)=0,0,IF(IF(ISBLANK($AW603),$AV603,$AW603)*Paraméterek!$J$112&lt;IF($D$4="Forint",Paraméterek!$J$113,Paraméterek!$K$113),IF($D$4="Forint",Paraméterek!$J$113,Paraméterek!$K$113),IF(IF(ISBLANK($AW603),$AV603,$AW603)*Paraméterek!$J$112&gt;IF($D$4="Forint",Paraméterek!$J$114,Paraméterek!$K$114),IF($D$4="Forint",Paraméterek!$J$114,Paraméterek!$K$114),IF(ISBLANK($AW603),$AV603,$AW603)*Paraméterek!$J$112))),IF($D$4="Forint",0,2))</f>
        <v>0</v>
      </c>
      <c r="AY603" s="13">
        <f>$AR603+$AT603-$AU603-IF(ROUNDDOWN(IF(ISBLANK($AW603),$AV603,$AW603),IF($D$4="Forint",0,2))&gt;$AR603+$AT603-$AU603-IF($D$4="Forint",Paraméterek!$J$114,Paraméterek!$K$114),0,ROUNDDOWN(IF(ISBLANK($AW603),$AV603,$AW603),IF($D$4="Forint",0,2))-$AX603)</f>
        <v>0</v>
      </c>
      <c r="AZ603" s="13">
        <f t="shared" si="144"/>
        <v>0</v>
      </c>
    </row>
    <row r="604" spans="1:52" x14ac:dyDescent="0.2">
      <c r="A604" s="32">
        <v>585</v>
      </c>
      <c r="B604" s="32">
        <v>49</v>
      </c>
      <c r="C604" s="32">
        <v>9</v>
      </c>
      <c r="D604" s="13">
        <f t="shared" si="135"/>
        <v>0</v>
      </c>
      <c r="E604" s="13"/>
      <c r="F604" s="13"/>
      <c r="G604" s="13"/>
      <c r="H604" s="13">
        <f t="shared" si="136"/>
        <v>0</v>
      </c>
      <c r="I604" s="13">
        <f t="shared" si="137"/>
        <v>0</v>
      </c>
      <c r="J604" s="13">
        <f t="shared" si="138"/>
        <v>0</v>
      </c>
      <c r="K604" s="13">
        <f>ROUNDUP(IF($D$2="Egyszeri",$D604,IF($D$2="Havi",SUM($D$20:$D$31),IF(MOD($C604,$M$1)-1=0,SUM($D$20:$D$31),0))/12*$M$1)*VLOOKUP($B604,Paraméterek!$B$27:$D$30,IF($D$2="Egyszeri",3,2)),IF($D$4="Forint",0,2))</f>
        <v>0</v>
      </c>
      <c r="L604" s="13">
        <f t="shared" si="139"/>
        <v>0</v>
      </c>
      <c r="M604" s="13">
        <f t="shared" ca="1" si="145"/>
        <v>-450227</v>
      </c>
      <c r="N604" s="13">
        <f ca="1">IF($V603&gt;=VLOOKUP($M$4-1+$B604,Paraméterek!$B$121:$D$122,IF($D$4="Forint",2,3)),0,VLOOKUP($M$4-1+$B604,Paraméterek!$B$121:$D$122,IF($D$4="Forint",2,3))-$V603)</f>
        <v>460227</v>
      </c>
      <c r="O604" s="13">
        <f ca="1">ROUNDUP($N604*Paraméterek!$C$58/Paraméterek!$C$56,IF($D$4="Forint",0,2))</f>
        <v>74</v>
      </c>
      <c r="P604" s="13">
        <f t="shared" si="140"/>
        <v>2273</v>
      </c>
      <c r="Q604" s="33"/>
      <c r="R604" s="13">
        <f t="shared" ca="1" si="141"/>
        <v>0</v>
      </c>
      <c r="S604" s="13">
        <f ca="1">ROUNDUP(($M604-$O604-$P604+$R604)*VLOOKUP($B604,Paraméterek!$B$38:$D$39,IF($D$2="Egyszeri",3,2))/12,IF($D$4="Forint",0,2))</f>
        <v>-1106</v>
      </c>
      <c r="T604" s="13"/>
      <c r="U604" s="13"/>
      <c r="V604" s="13">
        <f ca="1">$M604-$O604-$P604+$R604-$S604-IF(ROUNDUP(IF(ISBLANK($U604),$T604,$U604)/IF(AND($B604=1,$D$2&lt;&gt;"Egyszeri"),1,VLOOKUP($B604+IF($C604=12,1,0),Paraméterek!$B$257:$D$267,IF($D$2="Egyszeri",3,2))),IF($D$4="Forint",0,2))&gt;$M604-$O604-$P604+$R604-$S604-IF($D$4="Forint",Paraméterek!$C$216,Paraméterek!$D$216),0,ROUNDUP(IF(ISBLANK($U604),$T604,$U604)/IF(AND($B604=1,$D$2&lt;&gt;"Egyszeri"),1,VLOOKUP($B604+IF($C604=12,1,0),Paraméterek!$B$257:$D$267,IF($D$2="Egyszeri",3,2))),IF($D$4="Forint",0,2)))</f>
        <v>-451468</v>
      </c>
      <c r="W604" s="13">
        <f ca="1">ROUNDDOWN($V604*VLOOKUP($B604+IF($C604=12,1,0),Paraméterek!$B$257:$D$267,IF($D$2="Egyszeri",3,2)),IF($D$4="Forint",0,2))</f>
        <v>-451468</v>
      </c>
      <c r="Y604" s="32">
        <v>585</v>
      </c>
      <c r="Z604" s="32">
        <v>49</v>
      </c>
      <c r="AA604" s="32">
        <v>9</v>
      </c>
      <c r="AB604" s="13">
        <f t="shared" si="146"/>
        <v>0</v>
      </c>
      <c r="AC604" s="33"/>
      <c r="AD604" s="13">
        <f t="shared" si="142"/>
        <v>0</v>
      </c>
      <c r="AE604" s="13">
        <f>ROUNDUP(($AB604+$AD604)*VLOOKUP($Z604,Paraméterek!$P$38:$Q$38,2)/12,IF($D$4="Forint",0,2))</f>
        <v>0</v>
      </c>
      <c r="AF604" s="13">
        <f>IF($D$2="Egyszeri",IF($D$7&gt;=IF($D$4="Forint",Paraméterek!$P$223,Paraméterek!$P$224),$D$7-IF($D$4="Forint",Paraméterek!$F$223,Paraméterek!$F$224),0),MIN(IF($AA604=12,AVERAGE($D$20:$D604)*12,0),SUM($D$20:$D$31)))</f>
        <v>0</v>
      </c>
      <c r="AG604" s="13">
        <f>IF(AND($Z604&gt;=10,MOD($Z604,5)=0),$AF604*IF($AA604=12,VLOOKUP($Z604,Paraméterek!$B$225:$F$240,IF($AF604&lt;IF($D$4="Forint",Paraméterek!$C$223,Paraméterek!$C$224),2,IF($AF604&lt;IF($D$4="Forint",Paraméterek!$D$223,Paraméterek!$D$224),3,4))),0),0)</f>
        <v>0</v>
      </c>
      <c r="AH604" s="13">
        <f>IF(AND($Z604&gt;=5,MOD($Z604,5)=0),IF($AA604=12,VLOOKUP($Z604,Paraméterek!$B$225:$F$240,5),0),IF(OR($Z604=3,$Z604=4),IF($AA604=12,VLOOKUP($Z604,Paraméterek!$B$225:$F$240,5,0),0),0))*$AF604</f>
        <v>0</v>
      </c>
      <c r="AI604" s="13">
        <f>ROUNDDOWN(IF(SUM($T$20:$U604)=0,IF($D$2="Egyszeri",$AH604,$AG604),0),IF($D$4="Forint",0,2))</f>
        <v>0</v>
      </c>
      <c r="AJ604" s="13">
        <f t="shared" si="147"/>
        <v>0</v>
      </c>
      <c r="AK604" s="13">
        <f t="shared" si="148"/>
        <v>0</v>
      </c>
      <c r="AM604" s="32">
        <v>585</v>
      </c>
      <c r="AN604" s="32">
        <v>49</v>
      </c>
      <c r="AO604" s="32">
        <v>9</v>
      </c>
      <c r="AP604" s="13"/>
      <c r="AQ604" s="32"/>
      <c r="AR604" s="13">
        <f t="shared" si="149"/>
        <v>0</v>
      </c>
      <c r="AS604" s="33"/>
      <c r="AT604" s="13">
        <f t="shared" si="143"/>
        <v>0</v>
      </c>
      <c r="AU604" s="13">
        <f>ROUNDUP(($AR604+$AT604)*VLOOKUP($AN604,Paraméterek!$P$38:$Q$38,2)/12,IF($D$4="Forint",0,2))</f>
        <v>0</v>
      </c>
      <c r="AV604" s="13"/>
      <c r="AW604" s="13"/>
      <c r="AX604" s="13">
        <f>ROUNDUP(IF(SUM($AV604:$AW604)=0,0,IF(IF(ISBLANK($AW604),$AV604,$AW604)*Paraméterek!$J$112&lt;IF($D$4="Forint",Paraméterek!$J$113,Paraméterek!$K$113),IF($D$4="Forint",Paraméterek!$J$113,Paraméterek!$K$113),IF(IF(ISBLANK($AW604),$AV604,$AW604)*Paraméterek!$J$112&gt;IF($D$4="Forint",Paraméterek!$J$114,Paraméterek!$K$114),IF($D$4="Forint",Paraméterek!$J$114,Paraméterek!$K$114),IF(ISBLANK($AW604),$AV604,$AW604)*Paraméterek!$J$112))),IF($D$4="Forint",0,2))</f>
        <v>0</v>
      </c>
      <c r="AY604" s="13">
        <f>$AR604+$AT604-$AU604-IF(ROUNDDOWN(IF(ISBLANK($AW604),$AV604,$AW604),IF($D$4="Forint",0,2))&gt;$AR604+$AT604-$AU604-IF($D$4="Forint",Paraméterek!$J$114,Paraméterek!$K$114),0,ROUNDDOWN(IF(ISBLANK($AW604),$AV604,$AW604),IF($D$4="Forint",0,2))-$AX604)</f>
        <v>0</v>
      </c>
      <c r="AZ604" s="13">
        <f t="shared" si="144"/>
        <v>0</v>
      </c>
    </row>
    <row r="605" spans="1:52" x14ac:dyDescent="0.2">
      <c r="A605" s="32">
        <v>586</v>
      </c>
      <c r="B605" s="32">
        <v>49</v>
      </c>
      <c r="C605" s="32">
        <v>10</v>
      </c>
      <c r="D605" s="13">
        <f t="shared" si="135"/>
        <v>0</v>
      </c>
      <c r="E605" s="13"/>
      <c r="F605" s="13"/>
      <c r="G605" s="13"/>
      <c r="H605" s="13">
        <f t="shared" si="136"/>
        <v>0</v>
      </c>
      <c r="I605" s="13">
        <f t="shared" si="137"/>
        <v>0</v>
      </c>
      <c r="J605" s="13">
        <f t="shared" si="138"/>
        <v>0</v>
      </c>
      <c r="K605" s="13">
        <f>ROUNDUP(IF($D$2="Egyszeri",$D605,IF($D$2="Havi",SUM($D$20:$D$31),IF(MOD($C605,$M$1)-1=0,SUM($D$20:$D$31),0))/12*$M$1)*VLOOKUP($B605,Paraméterek!$B$27:$D$30,IF($D$2="Egyszeri",3,2)),IF($D$4="Forint",0,2))</f>
        <v>0</v>
      </c>
      <c r="L605" s="13">
        <f t="shared" si="139"/>
        <v>0</v>
      </c>
      <c r="M605" s="13">
        <f t="shared" ca="1" si="145"/>
        <v>-451468</v>
      </c>
      <c r="N605" s="13">
        <f ca="1">IF($V604&gt;=VLOOKUP($M$4-1+$B605,Paraméterek!$B$121:$D$122,IF($D$4="Forint",2,3)),0,VLOOKUP($M$4-1+$B605,Paraméterek!$B$121:$D$122,IF($D$4="Forint",2,3))-$V604)</f>
        <v>461468</v>
      </c>
      <c r="O605" s="13">
        <f ca="1">ROUNDUP($N605*Paraméterek!$C$58/Paraméterek!$C$56,IF($D$4="Forint",0,2))</f>
        <v>74</v>
      </c>
      <c r="P605" s="13">
        <f t="shared" si="140"/>
        <v>2273</v>
      </c>
      <c r="Q605" s="33"/>
      <c r="R605" s="13">
        <f t="shared" ca="1" si="141"/>
        <v>0</v>
      </c>
      <c r="S605" s="13">
        <f ca="1">ROUNDUP(($M605-$O605-$P605+$R605)*VLOOKUP($B605,Paraméterek!$B$38:$D$39,IF($D$2="Egyszeri",3,2))/12,IF($D$4="Forint",0,2))</f>
        <v>-1109</v>
      </c>
      <c r="T605" s="13"/>
      <c r="U605" s="13"/>
      <c r="V605" s="13">
        <f ca="1">$M605-$O605-$P605+$R605-$S605-IF(ROUNDUP(IF(ISBLANK($U605),$T605,$U605)/IF(AND($B605=1,$D$2&lt;&gt;"Egyszeri"),1,VLOOKUP($B605+IF($C605=12,1,0),Paraméterek!$B$257:$D$267,IF($D$2="Egyszeri",3,2))),IF($D$4="Forint",0,2))&gt;$M605-$O605-$P605+$R605-$S605-IF($D$4="Forint",Paraméterek!$C$216,Paraméterek!$D$216),0,ROUNDUP(IF(ISBLANK($U605),$T605,$U605)/IF(AND($B605=1,$D$2&lt;&gt;"Egyszeri"),1,VLOOKUP($B605+IF($C605=12,1,0),Paraméterek!$B$257:$D$267,IF($D$2="Egyszeri",3,2))),IF($D$4="Forint",0,2)))</f>
        <v>-452706</v>
      </c>
      <c r="W605" s="13">
        <f ca="1">ROUNDDOWN($V605*VLOOKUP($B605+IF($C605=12,1,0),Paraméterek!$B$257:$D$267,IF($D$2="Egyszeri",3,2)),IF($D$4="Forint",0,2))</f>
        <v>-452706</v>
      </c>
      <c r="Y605" s="32">
        <v>586</v>
      </c>
      <c r="Z605" s="32">
        <v>49</v>
      </c>
      <c r="AA605" s="32">
        <v>10</v>
      </c>
      <c r="AB605" s="13">
        <f t="shared" si="146"/>
        <v>0</v>
      </c>
      <c r="AC605" s="33"/>
      <c r="AD605" s="13">
        <f t="shared" si="142"/>
        <v>0</v>
      </c>
      <c r="AE605" s="13">
        <f>ROUNDUP(($AB605+$AD605)*VLOOKUP($Z605,Paraméterek!$P$38:$Q$38,2)/12,IF($D$4="Forint",0,2))</f>
        <v>0</v>
      </c>
      <c r="AF605" s="13">
        <f>IF($D$2="Egyszeri",IF($D$7&gt;=IF($D$4="Forint",Paraméterek!$P$223,Paraméterek!$P$224),$D$7-IF($D$4="Forint",Paraméterek!$F$223,Paraméterek!$F$224),0),MIN(IF($AA605=12,AVERAGE($D$20:$D605)*12,0),SUM($D$20:$D$31)))</f>
        <v>0</v>
      </c>
      <c r="AG605" s="13">
        <f>IF(AND($Z605&gt;=10,MOD($Z605,5)=0),$AF605*IF($AA605=12,VLOOKUP($Z605,Paraméterek!$B$225:$F$240,IF($AF605&lt;IF($D$4="Forint",Paraméterek!$C$223,Paraméterek!$C$224),2,IF($AF605&lt;IF($D$4="Forint",Paraméterek!$D$223,Paraméterek!$D$224),3,4))),0),0)</f>
        <v>0</v>
      </c>
      <c r="AH605" s="13">
        <f>IF(AND($Z605&gt;=5,MOD($Z605,5)=0),IF($AA605=12,VLOOKUP($Z605,Paraméterek!$B$225:$F$240,5),0),IF(OR($Z605=3,$Z605=4),IF($AA605=12,VLOOKUP($Z605,Paraméterek!$B$225:$F$240,5,0),0),0))*$AF605</f>
        <v>0</v>
      </c>
      <c r="AI605" s="13">
        <f>ROUNDDOWN(IF(SUM($T$20:$U605)=0,IF($D$2="Egyszeri",$AH605,$AG605),0),IF($D$4="Forint",0,2))</f>
        <v>0</v>
      </c>
      <c r="AJ605" s="13">
        <f t="shared" si="147"/>
        <v>0</v>
      </c>
      <c r="AK605" s="13">
        <f t="shared" si="148"/>
        <v>0</v>
      </c>
      <c r="AM605" s="32">
        <v>586</v>
      </c>
      <c r="AN605" s="32">
        <v>49</v>
      </c>
      <c r="AO605" s="32">
        <v>10</v>
      </c>
      <c r="AP605" s="13"/>
      <c r="AQ605" s="32"/>
      <c r="AR605" s="13">
        <f t="shared" si="149"/>
        <v>0</v>
      </c>
      <c r="AS605" s="33"/>
      <c r="AT605" s="13">
        <f t="shared" si="143"/>
        <v>0</v>
      </c>
      <c r="AU605" s="13">
        <f>ROUNDUP(($AR605+$AT605)*VLOOKUP($AN605,Paraméterek!$P$38:$Q$38,2)/12,IF($D$4="Forint",0,2))</f>
        <v>0</v>
      </c>
      <c r="AV605" s="13"/>
      <c r="AW605" s="13"/>
      <c r="AX605" s="13">
        <f>ROUNDUP(IF(SUM($AV605:$AW605)=0,0,IF(IF(ISBLANK($AW605),$AV605,$AW605)*Paraméterek!$J$112&lt;IF($D$4="Forint",Paraméterek!$J$113,Paraméterek!$K$113),IF($D$4="Forint",Paraméterek!$J$113,Paraméterek!$K$113),IF(IF(ISBLANK($AW605),$AV605,$AW605)*Paraméterek!$J$112&gt;IF($D$4="Forint",Paraméterek!$J$114,Paraméterek!$K$114),IF($D$4="Forint",Paraméterek!$J$114,Paraméterek!$K$114),IF(ISBLANK($AW605),$AV605,$AW605)*Paraméterek!$J$112))),IF($D$4="Forint",0,2))</f>
        <v>0</v>
      </c>
      <c r="AY605" s="13">
        <f>$AR605+$AT605-$AU605-IF(ROUNDDOWN(IF(ISBLANK($AW605),$AV605,$AW605),IF($D$4="Forint",0,2))&gt;$AR605+$AT605-$AU605-IF($D$4="Forint",Paraméterek!$J$114,Paraméterek!$K$114),0,ROUNDDOWN(IF(ISBLANK($AW605),$AV605,$AW605),IF($D$4="Forint",0,2))-$AX605)</f>
        <v>0</v>
      </c>
      <c r="AZ605" s="13">
        <f t="shared" si="144"/>
        <v>0</v>
      </c>
    </row>
    <row r="606" spans="1:52" x14ac:dyDescent="0.2">
      <c r="A606" s="32">
        <v>587</v>
      </c>
      <c r="B606" s="32">
        <v>49</v>
      </c>
      <c r="C606" s="32">
        <v>11</v>
      </c>
      <c r="D606" s="13">
        <f t="shared" si="135"/>
        <v>0</v>
      </c>
      <c r="E606" s="13"/>
      <c r="F606" s="13"/>
      <c r="G606" s="13"/>
      <c r="H606" s="13">
        <f t="shared" si="136"/>
        <v>0</v>
      </c>
      <c r="I606" s="13">
        <f t="shared" si="137"/>
        <v>0</v>
      </c>
      <c r="J606" s="13">
        <f t="shared" si="138"/>
        <v>0</v>
      </c>
      <c r="K606" s="13">
        <f>ROUNDUP(IF($D$2="Egyszeri",$D606,IF($D$2="Havi",SUM($D$20:$D$31),IF(MOD($C606,$M$1)-1=0,SUM($D$20:$D$31),0))/12*$M$1)*VLOOKUP($B606,Paraméterek!$B$27:$D$30,IF($D$2="Egyszeri",3,2)),IF($D$4="Forint",0,2))</f>
        <v>0</v>
      </c>
      <c r="L606" s="13">
        <f t="shared" si="139"/>
        <v>0</v>
      </c>
      <c r="M606" s="13">
        <f t="shared" ca="1" si="145"/>
        <v>-452706</v>
      </c>
      <c r="N606" s="13">
        <f ca="1">IF($V605&gt;=VLOOKUP($M$4-1+$B606,Paraméterek!$B$121:$D$122,IF($D$4="Forint",2,3)),0,VLOOKUP($M$4-1+$B606,Paraméterek!$B$121:$D$122,IF($D$4="Forint",2,3))-$V605)</f>
        <v>462706</v>
      </c>
      <c r="O606" s="13">
        <f ca="1">ROUNDUP($N606*Paraméterek!$C$58/Paraméterek!$C$56,IF($D$4="Forint",0,2))</f>
        <v>74</v>
      </c>
      <c r="P606" s="13">
        <f t="shared" si="140"/>
        <v>2273</v>
      </c>
      <c r="Q606" s="33"/>
      <c r="R606" s="13">
        <f t="shared" ca="1" si="141"/>
        <v>0</v>
      </c>
      <c r="S606" s="13">
        <f ca="1">ROUNDUP(($M606-$O606-$P606+$R606)*VLOOKUP($B606,Paraméterek!$B$38:$D$39,IF($D$2="Egyszeri",3,2))/12,IF($D$4="Forint",0,2))</f>
        <v>-1112</v>
      </c>
      <c r="T606" s="13"/>
      <c r="U606" s="13"/>
      <c r="V606" s="13">
        <f ca="1">$M606-$O606-$P606+$R606-$S606-IF(ROUNDUP(IF(ISBLANK($U606),$T606,$U606)/IF(AND($B606=1,$D$2&lt;&gt;"Egyszeri"),1,VLOOKUP($B606+IF($C606=12,1,0),Paraméterek!$B$257:$D$267,IF($D$2="Egyszeri",3,2))),IF($D$4="Forint",0,2))&gt;$M606-$O606-$P606+$R606-$S606-IF($D$4="Forint",Paraméterek!$C$216,Paraméterek!$D$216),0,ROUNDUP(IF(ISBLANK($U606),$T606,$U606)/IF(AND($B606=1,$D$2&lt;&gt;"Egyszeri"),1,VLOOKUP($B606+IF($C606=12,1,0),Paraméterek!$B$257:$D$267,IF($D$2="Egyszeri",3,2))),IF($D$4="Forint",0,2)))</f>
        <v>-453941</v>
      </c>
      <c r="W606" s="13">
        <f ca="1">ROUNDDOWN($V606*VLOOKUP($B606+IF($C606=12,1,0),Paraméterek!$B$257:$D$267,IF($D$2="Egyszeri",3,2)),IF($D$4="Forint",0,2))</f>
        <v>-453941</v>
      </c>
      <c r="Y606" s="32">
        <v>587</v>
      </c>
      <c r="Z606" s="32">
        <v>49</v>
      </c>
      <c r="AA606" s="32">
        <v>11</v>
      </c>
      <c r="AB606" s="13">
        <f t="shared" si="146"/>
        <v>0</v>
      </c>
      <c r="AC606" s="33"/>
      <c r="AD606" s="13">
        <f t="shared" si="142"/>
        <v>0</v>
      </c>
      <c r="AE606" s="13">
        <f>ROUNDUP(($AB606+$AD606)*VLOOKUP($Z606,Paraméterek!$P$38:$Q$38,2)/12,IF($D$4="Forint",0,2))</f>
        <v>0</v>
      </c>
      <c r="AF606" s="13">
        <f>IF($D$2="Egyszeri",IF($D$7&gt;=IF($D$4="Forint",Paraméterek!$P$223,Paraméterek!$P$224),$D$7-IF($D$4="Forint",Paraméterek!$F$223,Paraméterek!$F$224),0),MIN(IF($AA606=12,AVERAGE($D$20:$D606)*12,0),SUM($D$20:$D$31)))</f>
        <v>0</v>
      </c>
      <c r="AG606" s="13">
        <f>IF(AND($Z606&gt;=10,MOD($Z606,5)=0),$AF606*IF($AA606=12,VLOOKUP($Z606,Paraméterek!$B$225:$F$240,IF($AF606&lt;IF($D$4="Forint",Paraméterek!$C$223,Paraméterek!$C$224),2,IF($AF606&lt;IF($D$4="Forint",Paraméterek!$D$223,Paraméterek!$D$224),3,4))),0),0)</f>
        <v>0</v>
      </c>
      <c r="AH606" s="13">
        <f>IF(AND($Z606&gt;=5,MOD($Z606,5)=0),IF($AA606=12,VLOOKUP($Z606,Paraméterek!$B$225:$F$240,5),0),IF(OR($Z606=3,$Z606=4),IF($AA606=12,VLOOKUP($Z606,Paraméterek!$B$225:$F$240,5,0),0),0))*$AF606</f>
        <v>0</v>
      </c>
      <c r="AI606" s="13">
        <f>ROUNDDOWN(IF(SUM($T$20:$U606)=0,IF($D$2="Egyszeri",$AH606,$AG606),0),IF($D$4="Forint",0,2))</f>
        <v>0</v>
      </c>
      <c r="AJ606" s="13">
        <f t="shared" si="147"/>
        <v>0</v>
      </c>
      <c r="AK606" s="13">
        <f t="shared" si="148"/>
        <v>0</v>
      </c>
      <c r="AM606" s="32">
        <v>587</v>
      </c>
      <c r="AN606" s="32">
        <v>49</v>
      </c>
      <c r="AO606" s="32">
        <v>11</v>
      </c>
      <c r="AP606" s="13"/>
      <c r="AQ606" s="32"/>
      <c r="AR606" s="13">
        <f t="shared" si="149"/>
        <v>0</v>
      </c>
      <c r="AS606" s="33"/>
      <c r="AT606" s="13">
        <f t="shared" si="143"/>
        <v>0</v>
      </c>
      <c r="AU606" s="13">
        <f>ROUNDUP(($AR606+$AT606)*VLOOKUP($AN606,Paraméterek!$P$38:$Q$38,2)/12,IF($D$4="Forint",0,2))</f>
        <v>0</v>
      </c>
      <c r="AV606" s="13"/>
      <c r="AW606" s="13"/>
      <c r="AX606" s="13">
        <f>ROUNDUP(IF(SUM($AV606:$AW606)=0,0,IF(IF(ISBLANK($AW606),$AV606,$AW606)*Paraméterek!$J$112&lt;IF($D$4="Forint",Paraméterek!$J$113,Paraméterek!$K$113),IF($D$4="Forint",Paraméterek!$J$113,Paraméterek!$K$113),IF(IF(ISBLANK($AW606),$AV606,$AW606)*Paraméterek!$J$112&gt;IF($D$4="Forint",Paraméterek!$J$114,Paraméterek!$K$114),IF($D$4="Forint",Paraméterek!$J$114,Paraméterek!$K$114),IF(ISBLANK($AW606),$AV606,$AW606)*Paraméterek!$J$112))),IF($D$4="Forint",0,2))</f>
        <v>0</v>
      </c>
      <c r="AY606" s="13">
        <f>$AR606+$AT606-$AU606-IF(ROUNDDOWN(IF(ISBLANK($AW606),$AV606,$AW606),IF($D$4="Forint",0,2))&gt;$AR606+$AT606-$AU606-IF($D$4="Forint",Paraméterek!$J$114,Paraméterek!$K$114),0,ROUNDDOWN(IF(ISBLANK($AW606),$AV606,$AW606),IF($D$4="Forint",0,2))-$AX606)</f>
        <v>0</v>
      </c>
      <c r="AZ606" s="13">
        <f t="shared" si="144"/>
        <v>0</v>
      </c>
    </row>
    <row r="607" spans="1:52" x14ac:dyDescent="0.2">
      <c r="A607" s="32">
        <v>588</v>
      </c>
      <c r="B607" s="32">
        <v>49</v>
      </c>
      <c r="C607" s="32">
        <v>12</v>
      </c>
      <c r="D607" s="13">
        <f t="shared" si="135"/>
        <v>0</v>
      </c>
      <c r="E607" s="13"/>
      <c r="F607" s="13"/>
      <c r="G607" s="13"/>
      <c r="H607" s="13">
        <f t="shared" si="136"/>
        <v>0</v>
      </c>
      <c r="I607" s="13">
        <f t="shared" si="137"/>
        <v>0</v>
      </c>
      <c r="J607" s="13">
        <f t="shared" si="138"/>
        <v>0</v>
      </c>
      <c r="K607" s="13">
        <f>ROUNDUP(IF($D$2="Egyszeri",$D607,IF($D$2="Havi",SUM($D$20:$D$31),IF(MOD($C607,$M$1)-1=0,SUM($D$20:$D$31),0))/12*$M$1)*VLOOKUP($B607,Paraméterek!$B$27:$D$30,IF($D$2="Egyszeri",3,2)),IF($D$4="Forint",0,2))</f>
        <v>0</v>
      </c>
      <c r="L607" s="13">
        <f t="shared" si="139"/>
        <v>0</v>
      </c>
      <c r="M607" s="13">
        <f t="shared" ca="1" si="145"/>
        <v>-453941</v>
      </c>
      <c r="N607" s="13">
        <f ca="1">IF($V606&gt;=VLOOKUP($M$4-1+$B607,Paraméterek!$B$121:$D$122,IF($D$4="Forint",2,3)),0,VLOOKUP($M$4-1+$B607,Paraméterek!$B$121:$D$122,IF($D$4="Forint",2,3))-$V606)</f>
        <v>463941</v>
      </c>
      <c r="O607" s="13">
        <f ca="1">ROUNDUP($N607*Paraméterek!$C$58/Paraméterek!$C$56,IF($D$4="Forint",0,2))</f>
        <v>74</v>
      </c>
      <c r="P607" s="13">
        <f t="shared" si="140"/>
        <v>2273</v>
      </c>
      <c r="Q607" s="33"/>
      <c r="R607" s="13">
        <f t="shared" ca="1" si="141"/>
        <v>0</v>
      </c>
      <c r="S607" s="13">
        <f ca="1">ROUNDUP(($M607-$O607-$P607+$R607)*VLOOKUP($B607,Paraméterek!$B$38:$D$39,IF($D$2="Egyszeri",3,2))/12,IF($D$4="Forint",0,2))</f>
        <v>-1115</v>
      </c>
      <c r="T607" s="13">
        <f>Tranzakciók!$F$80</f>
        <v>0</v>
      </c>
      <c r="U607" s="13"/>
      <c r="V607" s="13">
        <f ca="1">$M607-$O607-$P607+$R607-$S607-IF(ROUNDUP(IF(ISBLANK($U607),$T607,$U607)/IF(AND($B607=1,$D$2&lt;&gt;"Egyszeri"),1,VLOOKUP($B607+IF($C607=12,1,0),Paraméterek!$B$257:$D$267,IF($D$2="Egyszeri",3,2))),IF($D$4="Forint",0,2))&gt;$M607-$O607-$P607+$R607-$S607-IF($D$4="Forint",Paraméterek!$C$216,Paraméterek!$D$216),0,ROUNDUP(IF(ISBLANK($U607),$T607,$U607)/IF(AND($B607=1,$D$2&lt;&gt;"Egyszeri"),1,VLOOKUP($B607+IF($C607=12,1,0),Paraméterek!$B$257:$D$267,IF($D$2="Egyszeri",3,2))),IF($D$4="Forint",0,2)))</f>
        <v>-455173</v>
      </c>
      <c r="W607" s="13">
        <f ca="1">ROUNDDOWN($V607*VLOOKUP($B607+IF($C607=12,1,0),Paraméterek!$B$257:$D$267,IF($D$2="Egyszeri",3,2)),IF($D$4="Forint",0,2))</f>
        <v>-455173</v>
      </c>
      <c r="Y607" s="32">
        <v>588</v>
      </c>
      <c r="Z607" s="32">
        <v>49</v>
      </c>
      <c r="AA607" s="32">
        <v>12</v>
      </c>
      <c r="AB607" s="13">
        <f t="shared" si="146"/>
        <v>0</v>
      </c>
      <c r="AC607" s="33"/>
      <c r="AD607" s="13">
        <f t="shared" si="142"/>
        <v>0</v>
      </c>
      <c r="AE607" s="13">
        <f>ROUNDUP(($AB607+$AD607)*VLOOKUP($Z607,Paraméterek!$P$38:$Q$38,2)/12,IF($D$4="Forint",0,2))</f>
        <v>0</v>
      </c>
      <c r="AF607" s="13">
        <f>IF($D$2="Egyszeri",IF($D$7&gt;=IF($D$4="Forint",Paraméterek!$P$223,Paraméterek!$P$224),$D$7-IF($D$4="Forint",Paraméterek!$F$223,Paraméterek!$F$224),0),MIN(IF($AA607=12,AVERAGE($D$20:$D607)*12,0),SUM($D$20:$D$31)))</f>
        <v>0</v>
      </c>
      <c r="AG607" s="13">
        <f>IF(AND($Z607&gt;=10,MOD($Z607,5)=0),$AF607*IF($AA607=12,VLOOKUP($Z607,Paraméterek!$B$225:$F$240,IF($AF607&lt;IF($D$4="Forint",Paraméterek!$C$223,Paraméterek!$C$224),2,IF($AF607&lt;IF($D$4="Forint",Paraméterek!$D$223,Paraméterek!$D$224),3,4))),0),0)</f>
        <v>0</v>
      </c>
      <c r="AH607" s="13">
        <f>IF(AND($Z607&gt;=5,MOD($Z607,5)=0),IF($AA607=12,VLOOKUP($Z607,Paraméterek!$B$225:$F$240,5),0),IF(OR($Z607=3,$Z607=4),IF($AA607=12,VLOOKUP($Z607,Paraméterek!$B$225:$F$240,5,0),0),0))*$AF607</f>
        <v>0</v>
      </c>
      <c r="AI607" s="13">
        <f>ROUNDDOWN(IF(SUM($T$20:$U607)=0,IF($D$2="Egyszeri",$AH607,$AG607),0),IF($D$4="Forint",0,2))</f>
        <v>0</v>
      </c>
      <c r="AJ607" s="13">
        <f t="shared" si="147"/>
        <v>0</v>
      </c>
      <c r="AK607" s="13">
        <f t="shared" si="148"/>
        <v>0</v>
      </c>
      <c r="AM607" s="32">
        <v>588</v>
      </c>
      <c r="AN607" s="32">
        <v>49</v>
      </c>
      <c r="AO607" s="32">
        <v>12</v>
      </c>
      <c r="AP607" s="13"/>
      <c r="AQ607" s="32"/>
      <c r="AR607" s="13">
        <f t="shared" si="149"/>
        <v>0</v>
      </c>
      <c r="AS607" s="33"/>
      <c r="AT607" s="13">
        <f t="shared" si="143"/>
        <v>0</v>
      </c>
      <c r="AU607" s="13">
        <f>ROUNDUP(($AR607+$AT607)*VLOOKUP($AN607,Paraméterek!$P$38:$Q$38,2)/12,IF($D$4="Forint",0,2))</f>
        <v>0</v>
      </c>
      <c r="AV607" s="13">
        <f>Tranzakciók!$M$80</f>
        <v>0</v>
      </c>
      <c r="AW607" s="13"/>
      <c r="AX607" s="13">
        <f>ROUNDUP(IF(SUM($AV607:$AW607)=0,0,IF(IF(ISBLANK($AW607),$AV607,$AW607)*Paraméterek!$J$112&lt;IF($D$4="Forint",Paraméterek!$J$113,Paraméterek!$K$113),IF($D$4="Forint",Paraméterek!$J$113,Paraméterek!$K$113),IF(IF(ISBLANK($AW607),$AV607,$AW607)*Paraméterek!$J$112&gt;IF($D$4="Forint",Paraméterek!$J$114,Paraméterek!$K$114),IF($D$4="Forint",Paraméterek!$J$114,Paraméterek!$K$114),IF(ISBLANK($AW607),$AV607,$AW607)*Paraméterek!$J$112))),IF($D$4="Forint",0,2))</f>
        <v>0</v>
      </c>
      <c r="AY607" s="13">
        <f>$AR607+$AT607-$AU607-IF(ROUNDDOWN(IF(ISBLANK($AW607),$AV607,$AW607),IF($D$4="Forint",0,2))&gt;$AR607+$AT607-$AU607-IF($D$4="Forint",Paraméterek!$J$114,Paraméterek!$K$114),0,ROUNDDOWN(IF(ISBLANK($AW607),$AV607,$AW607),IF($D$4="Forint",0,2))-$AX607)</f>
        <v>0</v>
      </c>
      <c r="AZ607" s="13">
        <f t="shared" si="144"/>
        <v>0</v>
      </c>
    </row>
    <row r="608" spans="1:52" x14ac:dyDescent="0.2">
      <c r="A608" s="32">
        <v>589</v>
      </c>
      <c r="B608" s="32">
        <v>50</v>
      </c>
      <c r="C608" s="32">
        <v>1</v>
      </c>
      <c r="D608" s="13">
        <f t="shared" si="135"/>
        <v>0</v>
      </c>
      <c r="E608" s="13"/>
      <c r="F608" s="13">
        <f>Tranzakciók!$D$81</f>
        <v>0</v>
      </c>
      <c r="G608" s="13"/>
      <c r="H608" s="13">
        <f t="shared" si="136"/>
        <v>0</v>
      </c>
      <c r="I608" s="13">
        <f t="shared" si="137"/>
        <v>426</v>
      </c>
      <c r="J608" s="13">
        <f t="shared" si="138"/>
        <v>426</v>
      </c>
      <c r="K608" s="13">
        <f>ROUNDUP(IF($D$2="Egyszeri",$D608,IF($D$2="Havi",SUM($D$20:$D$31),IF(MOD($C608,$M$1)-1=0,SUM($D$20:$D$31),0))/12*$M$1)*VLOOKUP($B608,Paraméterek!$B$27:$D$30,IF($D$2="Egyszeri",3,2)),IF($D$4="Forint",0,2))</f>
        <v>0</v>
      </c>
      <c r="L608" s="13">
        <f t="shared" si="139"/>
        <v>0</v>
      </c>
      <c r="M608" s="13">
        <f t="shared" ca="1" si="145"/>
        <v>-455173</v>
      </c>
      <c r="N608" s="13">
        <f ca="1">IF($V607&gt;=VLOOKUP($M$4-1+$B608,Paraméterek!$B$121:$D$122,IF($D$4="Forint",2,3)),0,VLOOKUP($M$4-1+$B608,Paraméterek!$B$121:$D$122,IF($D$4="Forint",2,3))-$V607)</f>
        <v>465173</v>
      </c>
      <c r="O608" s="13">
        <f ca="1">ROUNDUP($N608*Paraméterek!$C$58/Paraméterek!$C$56,IF($D$4="Forint",0,2))</f>
        <v>75</v>
      </c>
      <c r="P608" s="13">
        <f t="shared" si="140"/>
        <v>2341</v>
      </c>
      <c r="Q608" s="33"/>
      <c r="R608" s="13">
        <f t="shared" ca="1" si="141"/>
        <v>0</v>
      </c>
      <c r="S608" s="13">
        <f ca="1">ROUNDUP(($M608-$O608-$P608+$R608)*VLOOKUP($B608,Paraméterek!$B$38:$D$39,IF($D$2="Egyszeri",3,2))/12,IF($D$4="Forint",0,2))</f>
        <v>-1118</v>
      </c>
      <c r="T608" s="13"/>
      <c r="U608" s="13"/>
      <c r="V608" s="13">
        <f ca="1">$M608-$O608-$P608+$R608-$S608-IF(ROUNDUP(IF(ISBLANK($U608),$T608,$U608)/IF(AND($B608=1,$D$2&lt;&gt;"Egyszeri"),1,VLOOKUP($B608+IF($C608=12,1,0),Paraméterek!$B$257:$D$267,IF($D$2="Egyszeri",3,2))),IF($D$4="Forint",0,2))&gt;$M608-$O608-$P608+$R608-$S608-IF($D$4="Forint",Paraméterek!$C$216,Paraméterek!$D$216),0,ROUNDUP(IF(ISBLANK($U608),$T608,$U608)/IF(AND($B608=1,$D$2&lt;&gt;"Egyszeri"),1,VLOOKUP($B608+IF($C608=12,1,0),Paraméterek!$B$257:$D$267,IF($D$2="Egyszeri",3,2))),IF($D$4="Forint",0,2)))</f>
        <v>-456471</v>
      </c>
      <c r="W608" s="13">
        <f ca="1">ROUNDDOWN($V608*VLOOKUP($B608+IF($C608=12,1,0),Paraméterek!$B$257:$D$267,IF($D$2="Egyszeri",3,2)),IF($D$4="Forint",0,2))</f>
        <v>-456471</v>
      </c>
      <c r="Y608" s="32">
        <v>589</v>
      </c>
      <c r="Z608" s="32">
        <v>50</v>
      </c>
      <c r="AA608" s="32">
        <v>1</v>
      </c>
      <c r="AB608" s="13">
        <f t="shared" si="146"/>
        <v>0</v>
      </c>
      <c r="AC608" s="33"/>
      <c r="AD608" s="13">
        <f t="shared" si="142"/>
        <v>0</v>
      </c>
      <c r="AE608" s="13">
        <f>ROUNDUP(($AB608+$AD608)*VLOOKUP($Z608,Paraméterek!$P$38:$Q$38,2)/12,IF($D$4="Forint",0,2))</f>
        <v>0</v>
      </c>
      <c r="AF608" s="13">
        <f>IF($D$2="Egyszeri",IF($D$7&gt;=IF($D$4="Forint",Paraméterek!$P$223,Paraméterek!$P$224),$D$7-IF($D$4="Forint",Paraméterek!$F$223,Paraméterek!$F$224),0),MIN(IF($AA608=12,AVERAGE($D$20:$D608)*12,0),SUM($D$20:$D$31)))</f>
        <v>0</v>
      </c>
      <c r="AG608" s="13">
        <f>IF(AND($Z608&gt;=10,MOD($Z608,5)=0),$AF608*IF($AA608=12,VLOOKUP($Z608,Paraméterek!$B$225:$F$240,IF($AF608&lt;IF($D$4="Forint",Paraméterek!$C$223,Paraméterek!$C$224),2,IF($AF608&lt;IF($D$4="Forint",Paraméterek!$D$223,Paraméterek!$D$224),3,4))),0),0)</f>
        <v>0</v>
      </c>
      <c r="AH608" s="13">
        <f>IF(AND($Z608&gt;=5,MOD($Z608,5)=0),IF($AA608=12,VLOOKUP($Z608,Paraméterek!$B$225:$F$240,5),0),IF(OR($Z608=3,$Z608=4),IF($AA608=12,VLOOKUP($Z608,Paraméterek!$B$225:$F$240,5,0),0),0))*$AF608</f>
        <v>0</v>
      </c>
      <c r="AI608" s="13">
        <f>ROUNDDOWN(IF(SUM($T$20:$U608)=0,IF($D$2="Egyszeri",$AH608,$AG608),0),IF($D$4="Forint",0,2))</f>
        <v>0</v>
      </c>
      <c r="AJ608" s="13">
        <f t="shared" si="147"/>
        <v>0</v>
      </c>
      <c r="AK608" s="13">
        <f t="shared" si="148"/>
        <v>0</v>
      </c>
      <c r="AM608" s="32">
        <v>589</v>
      </c>
      <c r="AN608" s="32">
        <v>50</v>
      </c>
      <c r="AO608" s="32">
        <v>1</v>
      </c>
      <c r="AP608" s="13">
        <f>Tranzakciók!$K$81</f>
        <v>0</v>
      </c>
      <c r="AQ608" s="32"/>
      <c r="AR608" s="13">
        <f t="shared" si="149"/>
        <v>0</v>
      </c>
      <c r="AS608" s="33"/>
      <c r="AT608" s="13">
        <f t="shared" si="143"/>
        <v>0</v>
      </c>
      <c r="AU608" s="13">
        <f>ROUNDUP(($AR608+$AT608)*VLOOKUP($AN608,Paraméterek!$P$38:$Q$38,2)/12,IF($D$4="Forint",0,2))</f>
        <v>0</v>
      </c>
      <c r="AV608" s="13"/>
      <c r="AW608" s="13"/>
      <c r="AX608" s="13">
        <f>ROUNDUP(IF(SUM($AV608:$AW608)=0,0,IF(IF(ISBLANK($AW608),$AV608,$AW608)*Paraméterek!$J$112&lt;IF($D$4="Forint",Paraméterek!$J$113,Paraméterek!$K$113),IF($D$4="Forint",Paraméterek!$J$113,Paraméterek!$K$113),IF(IF(ISBLANK($AW608),$AV608,$AW608)*Paraméterek!$J$112&gt;IF($D$4="Forint",Paraméterek!$J$114,Paraméterek!$K$114),IF($D$4="Forint",Paraméterek!$J$114,Paraméterek!$K$114),IF(ISBLANK($AW608),$AV608,$AW608)*Paraméterek!$J$112))),IF($D$4="Forint",0,2))</f>
        <v>0</v>
      </c>
      <c r="AY608" s="13">
        <f>$AR608+$AT608-$AU608-IF(ROUNDDOWN(IF(ISBLANK($AW608),$AV608,$AW608),IF($D$4="Forint",0,2))&gt;$AR608+$AT608-$AU608-IF($D$4="Forint",Paraméterek!$J$114,Paraméterek!$K$114),0,ROUNDDOWN(IF(ISBLANK($AW608),$AV608,$AW608),IF($D$4="Forint",0,2))-$AX608)</f>
        <v>0</v>
      </c>
      <c r="AZ608" s="13">
        <f t="shared" si="144"/>
        <v>0</v>
      </c>
    </row>
    <row r="609" spans="1:52" x14ac:dyDescent="0.2">
      <c r="A609" s="32">
        <v>590</v>
      </c>
      <c r="B609" s="32">
        <v>50</v>
      </c>
      <c r="C609" s="32">
        <v>2</v>
      </c>
      <c r="D609" s="13">
        <f t="shared" si="135"/>
        <v>0</v>
      </c>
      <c r="E609" s="13"/>
      <c r="F609" s="13"/>
      <c r="G609" s="13"/>
      <c r="H609" s="13">
        <f t="shared" si="136"/>
        <v>0</v>
      </c>
      <c r="I609" s="13">
        <f t="shared" si="137"/>
        <v>0</v>
      </c>
      <c r="J609" s="13">
        <f t="shared" si="138"/>
        <v>0</v>
      </c>
      <c r="K609" s="13">
        <f>ROUNDUP(IF($D$2="Egyszeri",$D609,IF($D$2="Havi",SUM($D$20:$D$31),IF(MOD($C609,$M$1)-1=0,SUM($D$20:$D$31),0))/12*$M$1)*VLOOKUP($B609,Paraméterek!$B$27:$D$30,IF($D$2="Egyszeri",3,2)),IF($D$4="Forint",0,2))</f>
        <v>0</v>
      </c>
      <c r="L609" s="13">
        <f t="shared" si="139"/>
        <v>0</v>
      </c>
      <c r="M609" s="13">
        <f t="shared" ca="1" si="145"/>
        <v>-456471</v>
      </c>
      <c r="N609" s="13">
        <f ca="1">IF($V608&gt;=VLOOKUP($M$4-1+$B609,Paraméterek!$B$121:$D$122,IF($D$4="Forint",2,3)),0,VLOOKUP($M$4-1+$B609,Paraméterek!$B$121:$D$122,IF($D$4="Forint",2,3))-$V608)</f>
        <v>466471</v>
      </c>
      <c r="O609" s="13">
        <f ca="1">ROUNDUP($N609*Paraméterek!$C$58/Paraméterek!$C$56,IF($D$4="Forint",0,2))</f>
        <v>75</v>
      </c>
      <c r="P609" s="13">
        <f t="shared" si="140"/>
        <v>2341</v>
      </c>
      <c r="Q609" s="33"/>
      <c r="R609" s="13">
        <f t="shared" ca="1" si="141"/>
        <v>0</v>
      </c>
      <c r="S609" s="13">
        <f ca="1">ROUNDUP(($M609-$O609-$P609+$R609)*VLOOKUP($B609,Paraméterek!$B$38:$D$39,IF($D$2="Egyszeri",3,2))/12,IF($D$4="Forint",0,2))</f>
        <v>-1121</v>
      </c>
      <c r="T609" s="13"/>
      <c r="U609" s="13"/>
      <c r="V609" s="13">
        <f ca="1">$M609-$O609-$P609+$R609-$S609-IF(ROUNDUP(IF(ISBLANK($U609),$T609,$U609)/IF(AND($B609=1,$D$2&lt;&gt;"Egyszeri"),1,VLOOKUP($B609+IF($C609=12,1,0),Paraméterek!$B$257:$D$267,IF($D$2="Egyszeri",3,2))),IF($D$4="Forint",0,2))&gt;$M609-$O609-$P609+$R609-$S609-IF($D$4="Forint",Paraméterek!$C$216,Paraméterek!$D$216),0,ROUNDUP(IF(ISBLANK($U609),$T609,$U609)/IF(AND($B609=1,$D$2&lt;&gt;"Egyszeri"),1,VLOOKUP($B609+IF($C609=12,1,0),Paraméterek!$B$257:$D$267,IF($D$2="Egyszeri",3,2))),IF($D$4="Forint",0,2)))</f>
        <v>-457766</v>
      </c>
      <c r="W609" s="13">
        <f ca="1">ROUNDDOWN($V609*VLOOKUP($B609+IF($C609=12,1,0),Paraméterek!$B$257:$D$267,IF($D$2="Egyszeri",3,2)),IF($D$4="Forint",0,2))</f>
        <v>-457766</v>
      </c>
      <c r="Y609" s="32">
        <v>590</v>
      </c>
      <c r="Z609" s="32">
        <v>50</v>
      </c>
      <c r="AA609" s="32">
        <v>2</v>
      </c>
      <c r="AB609" s="13">
        <f t="shared" si="146"/>
        <v>0</v>
      </c>
      <c r="AC609" s="33"/>
      <c r="AD609" s="13">
        <f t="shared" si="142"/>
        <v>0</v>
      </c>
      <c r="AE609" s="13">
        <f>ROUNDUP(($AB609+$AD609)*VLOOKUP($Z609,Paraméterek!$P$38:$Q$38,2)/12,IF($D$4="Forint",0,2))</f>
        <v>0</v>
      </c>
      <c r="AF609" s="13">
        <f>IF($D$2="Egyszeri",IF($D$7&gt;=IF($D$4="Forint",Paraméterek!$P$223,Paraméterek!$P$224),$D$7-IF($D$4="Forint",Paraméterek!$F$223,Paraméterek!$F$224),0),MIN(IF($AA609=12,AVERAGE($D$20:$D609)*12,0),SUM($D$20:$D$31)))</f>
        <v>0</v>
      </c>
      <c r="AG609" s="13">
        <f>IF(AND($Z609&gt;=10,MOD($Z609,5)=0),$AF609*IF($AA609=12,VLOOKUP($Z609,Paraméterek!$B$225:$F$240,IF($AF609&lt;IF($D$4="Forint",Paraméterek!$C$223,Paraméterek!$C$224),2,IF($AF609&lt;IF($D$4="Forint",Paraméterek!$D$223,Paraméterek!$D$224),3,4))),0),0)</f>
        <v>0</v>
      </c>
      <c r="AH609" s="13">
        <f>IF(AND($Z609&gt;=5,MOD($Z609,5)=0),IF($AA609=12,VLOOKUP($Z609,Paraméterek!$B$225:$F$240,5),0),IF(OR($Z609=3,$Z609=4),IF($AA609=12,VLOOKUP($Z609,Paraméterek!$B$225:$F$240,5,0),0),0))*$AF609</f>
        <v>0</v>
      </c>
      <c r="AI609" s="13">
        <f>ROUNDDOWN(IF(SUM($T$20:$U609)=0,IF($D$2="Egyszeri",$AH609,$AG609),0),IF($D$4="Forint",0,2))</f>
        <v>0</v>
      </c>
      <c r="AJ609" s="13">
        <f t="shared" si="147"/>
        <v>0</v>
      </c>
      <c r="AK609" s="13">
        <f t="shared" si="148"/>
        <v>0</v>
      </c>
      <c r="AM609" s="32">
        <v>590</v>
      </c>
      <c r="AN609" s="32">
        <v>50</v>
      </c>
      <c r="AO609" s="32">
        <v>2</v>
      </c>
      <c r="AP609" s="13"/>
      <c r="AQ609" s="32"/>
      <c r="AR609" s="13">
        <f t="shared" si="149"/>
        <v>0</v>
      </c>
      <c r="AS609" s="33"/>
      <c r="AT609" s="13">
        <f t="shared" si="143"/>
        <v>0</v>
      </c>
      <c r="AU609" s="13">
        <f>ROUNDUP(($AR609+$AT609)*VLOOKUP($AN609,Paraméterek!$P$38:$Q$38,2)/12,IF($D$4="Forint",0,2))</f>
        <v>0</v>
      </c>
      <c r="AV609" s="13"/>
      <c r="AW609" s="13"/>
      <c r="AX609" s="13">
        <f>ROUNDUP(IF(SUM($AV609:$AW609)=0,0,IF(IF(ISBLANK($AW609),$AV609,$AW609)*Paraméterek!$J$112&lt;IF($D$4="Forint",Paraméterek!$J$113,Paraméterek!$K$113),IF($D$4="Forint",Paraméterek!$J$113,Paraméterek!$K$113),IF(IF(ISBLANK($AW609),$AV609,$AW609)*Paraméterek!$J$112&gt;IF($D$4="Forint",Paraméterek!$J$114,Paraméterek!$K$114),IF($D$4="Forint",Paraméterek!$J$114,Paraméterek!$K$114),IF(ISBLANK($AW609),$AV609,$AW609)*Paraméterek!$J$112))),IF($D$4="Forint",0,2))</f>
        <v>0</v>
      </c>
      <c r="AY609" s="13">
        <f>$AR609+$AT609-$AU609-IF(ROUNDDOWN(IF(ISBLANK($AW609),$AV609,$AW609),IF($D$4="Forint",0,2))&gt;$AR609+$AT609-$AU609-IF($D$4="Forint",Paraméterek!$J$114,Paraméterek!$K$114),0,ROUNDDOWN(IF(ISBLANK($AW609),$AV609,$AW609),IF($D$4="Forint",0,2))-$AX609)</f>
        <v>0</v>
      </c>
      <c r="AZ609" s="13">
        <f t="shared" si="144"/>
        <v>0</v>
      </c>
    </row>
    <row r="610" spans="1:52" x14ac:dyDescent="0.2">
      <c r="A610" s="32">
        <v>591</v>
      </c>
      <c r="B610" s="32">
        <v>50</v>
      </c>
      <c r="C610" s="32">
        <v>3</v>
      </c>
      <c r="D610" s="13">
        <f t="shared" si="135"/>
        <v>0</v>
      </c>
      <c r="E610" s="13"/>
      <c r="F610" s="13"/>
      <c r="G610" s="13"/>
      <c r="H610" s="13">
        <f t="shared" si="136"/>
        <v>0</v>
      </c>
      <c r="I610" s="13">
        <f t="shared" si="137"/>
        <v>0</v>
      </c>
      <c r="J610" s="13">
        <f t="shared" si="138"/>
        <v>0</v>
      </c>
      <c r="K610" s="13">
        <f>ROUNDUP(IF($D$2="Egyszeri",$D610,IF($D$2="Havi",SUM($D$20:$D$31),IF(MOD($C610,$M$1)-1=0,SUM($D$20:$D$31),0))/12*$M$1)*VLOOKUP($B610,Paraméterek!$B$27:$D$30,IF($D$2="Egyszeri",3,2)),IF($D$4="Forint",0,2))</f>
        <v>0</v>
      </c>
      <c r="L610" s="13">
        <f t="shared" si="139"/>
        <v>0</v>
      </c>
      <c r="M610" s="13">
        <f t="shared" ca="1" si="145"/>
        <v>-457766</v>
      </c>
      <c r="N610" s="13">
        <f ca="1">IF($V609&gt;=VLOOKUP($M$4-1+$B610,Paraméterek!$B$121:$D$122,IF($D$4="Forint",2,3)),0,VLOOKUP($M$4-1+$B610,Paraméterek!$B$121:$D$122,IF($D$4="Forint",2,3))-$V609)</f>
        <v>467766</v>
      </c>
      <c r="O610" s="13">
        <f ca="1">ROUNDUP($N610*Paraméterek!$C$58/Paraméterek!$C$56,IF($D$4="Forint",0,2))</f>
        <v>75</v>
      </c>
      <c r="P610" s="13">
        <f t="shared" si="140"/>
        <v>2341</v>
      </c>
      <c r="Q610" s="33"/>
      <c r="R610" s="13">
        <f t="shared" ca="1" si="141"/>
        <v>0</v>
      </c>
      <c r="S610" s="13">
        <f ca="1">ROUNDUP(($M610-$O610-$P610+$R610)*VLOOKUP($B610,Paraméterek!$B$38:$D$39,IF($D$2="Egyszeri",3,2))/12,IF($D$4="Forint",0,2))</f>
        <v>-1124</v>
      </c>
      <c r="T610" s="13"/>
      <c r="U610" s="13"/>
      <c r="V610" s="13">
        <f ca="1">$M610-$O610-$P610+$R610-$S610-IF(ROUNDUP(IF(ISBLANK($U610),$T610,$U610)/IF(AND($B610=1,$D$2&lt;&gt;"Egyszeri"),1,VLOOKUP($B610+IF($C610=12,1,0),Paraméterek!$B$257:$D$267,IF($D$2="Egyszeri",3,2))),IF($D$4="Forint",0,2))&gt;$M610-$O610-$P610+$R610-$S610-IF($D$4="Forint",Paraméterek!$C$216,Paraméterek!$D$216),0,ROUNDUP(IF(ISBLANK($U610),$T610,$U610)/IF(AND($B610=1,$D$2&lt;&gt;"Egyszeri"),1,VLOOKUP($B610+IF($C610=12,1,0),Paraméterek!$B$257:$D$267,IF($D$2="Egyszeri",3,2))),IF($D$4="Forint",0,2)))</f>
        <v>-459058</v>
      </c>
      <c r="W610" s="13">
        <f ca="1">ROUNDDOWN($V610*VLOOKUP($B610+IF($C610=12,1,0),Paraméterek!$B$257:$D$267,IF($D$2="Egyszeri",3,2)),IF($D$4="Forint",0,2))</f>
        <v>-459058</v>
      </c>
      <c r="Y610" s="32">
        <v>591</v>
      </c>
      <c r="Z610" s="32">
        <v>50</v>
      </c>
      <c r="AA610" s="32">
        <v>3</v>
      </c>
      <c r="AB610" s="13">
        <f t="shared" si="146"/>
        <v>0</v>
      </c>
      <c r="AC610" s="33"/>
      <c r="AD610" s="13">
        <f t="shared" si="142"/>
        <v>0</v>
      </c>
      <c r="AE610" s="13">
        <f>ROUNDUP(($AB610+$AD610)*VLOOKUP($Z610,Paraméterek!$P$38:$Q$38,2)/12,IF($D$4="Forint",0,2))</f>
        <v>0</v>
      </c>
      <c r="AF610" s="13">
        <f>IF($D$2="Egyszeri",IF($D$7&gt;=IF($D$4="Forint",Paraméterek!$P$223,Paraméterek!$P$224),$D$7-IF($D$4="Forint",Paraméterek!$F$223,Paraméterek!$F$224),0),MIN(IF($AA610=12,AVERAGE($D$20:$D610)*12,0),SUM($D$20:$D$31)))</f>
        <v>0</v>
      </c>
      <c r="AG610" s="13">
        <f>IF(AND($Z610&gt;=10,MOD($Z610,5)=0),$AF610*IF($AA610=12,VLOOKUP($Z610,Paraméterek!$B$225:$F$240,IF($AF610&lt;IF($D$4="Forint",Paraméterek!$C$223,Paraméterek!$C$224),2,IF($AF610&lt;IF($D$4="Forint",Paraméterek!$D$223,Paraméterek!$D$224),3,4))),0),0)</f>
        <v>0</v>
      </c>
      <c r="AH610" s="13">
        <f>IF(AND($Z610&gt;=5,MOD($Z610,5)=0),IF($AA610=12,VLOOKUP($Z610,Paraméterek!$B$225:$F$240,5),0),IF(OR($Z610=3,$Z610=4),IF($AA610=12,VLOOKUP($Z610,Paraméterek!$B$225:$F$240,5,0),0),0))*$AF610</f>
        <v>0</v>
      </c>
      <c r="AI610" s="13">
        <f>ROUNDDOWN(IF(SUM($T$20:$U610)=0,IF($D$2="Egyszeri",$AH610,$AG610),0),IF($D$4="Forint",0,2))</f>
        <v>0</v>
      </c>
      <c r="AJ610" s="13">
        <f t="shared" si="147"/>
        <v>0</v>
      </c>
      <c r="AK610" s="13">
        <f t="shared" si="148"/>
        <v>0</v>
      </c>
      <c r="AM610" s="32">
        <v>591</v>
      </c>
      <c r="AN610" s="32">
        <v>50</v>
      </c>
      <c r="AO610" s="32">
        <v>3</v>
      </c>
      <c r="AP610" s="13"/>
      <c r="AQ610" s="32"/>
      <c r="AR610" s="13">
        <f t="shared" si="149"/>
        <v>0</v>
      </c>
      <c r="AS610" s="33"/>
      <c r="AT610" s="13">
        <f t="shared" si="143"/>
        <v>0</v>
      </c>
      <c r="AU610" s="13">
        <f>ROUNDUP(($AR610+$AT610)*VLOOKUP($AN610,Paraméterek!$P$38:$Q$38,2)/12,IF($D$4="Forint",0,2))</f>
        <v>0</v>
      </c>
      <c r="AV610" s="13"/>
      <c r="AW610" s="13"/>
      <c r="AX610" s="13">
        <f>ROUNDUP(IF(SUM($AV610:$AW610)=0,0,IF(IF(ISBLANK($AW610),$AV610,$AW610)*Paraméterek!$J$112&lt;IF($D$4="Forint",Paraméterek!$J$113,Paraméterek!$K$113),IF($D$4="Forint",Paraméterek!$J$113,Paraméterek!$K$113),IF(IF(ISBLANK($AW610),$AV610,$AW610)*Paraméterek!$J$112&gt;IF($D$4="Forint",Paraméterek!$J$114,Paraméterek!$K$114),IF($D$4="Forint",Paraméterek!$J$114,Paraméterek!$K$114),IF(ISBLANK($AW610),$AV610,$AW610)*Paraméterek!$J$112))),IF($D$4="Forint",0,2))</f>
        <v>0</v>
      </c>
      <c r="AY610" s="13">
        <f>$AR610+$AT610-$AU610-IF(ROUNDDOWN(IF(ISBLANK($AW610),$AV610,$AW610),IF($D$4="Forint",0,2))&gt;$AR610+$AT610-$AU610-IF($D$4="Forint",Paraméterek!$J$114,Paraméterek!$K$114),0,ROUNDDOWN(IF(ISBLANK($AW610),$AV610,$AW610),IF($D$4="Forint",0,2))-$AX610)</f>
        <v>0</v>
      </c>
      <c r="AZ610" s="13">
        <f t="shared" si="144"/>
        <v>0</v>
      </c>
    </row>
    <row r="611" spans="1:52" x14ac:dyDescent="0.2">
      <c r="A611" s="32">
        <v>592</v>
      </c>
      <c r="B611" s="32">
        <v>50</v>
      </c>
      <c r="C611" s="32">
        <v>4</v>
      </c>
      <c r="D611" s="13">
        <f t="shared" si="135"/>
        <v>0</v>
      </c>
      <c r="E611" s="13"/>
      <c r="F611" s="13"/>
      <c r="G611" s="13"/>
      <c r="H611" s="13">
        <f t="shared" si="136"/>
        <v>0</v>
      </c>
      <c r="I611" s="13">
        <f t="shared" si="137"/>
        <v>0</v>
      </c>
      <c r="J611" s="13">
        <f t="shared" si="138"/>
        <v>0</v>
      </c>
      <c r="K611" s="13">
        <f>ROUNDUP(IF($D$2="Egyszeri",$D611,IF($D$2="Havi",SUM($D$20:$D$31),IF(MOD($C611,$M$1)-1=0,SUM($D$20:$D$31),0))/12*$M$1)*VLOOKUP($B611,Paraméterek!$B$27:$D$30,IF($D$2="Egyszeri",3,2)),IF($D$4="Forint",0,2))</f>
        <v>0</v>
      </c>
      <c r="L611" s="13">
        <f t="shared" si="139"/>
        <v>0</v>
      </c>
      <c r="M611" s="13">
        <f t="shared" ca="1" si="145"/>
        <v>-459058</v>
      </c>
      <c r="N611" s="13">
        <f ca="1">IF($V610&gt;=VLOOKUP($M$4-1+$B611,Paraméterek!$B$121:$D$122,IF($D$4="Forint",2,3)),0,VLOOKUP($M$4-1+$B611,Paraméterek!$B$121:$D$122,IF($D$4="Forint",2,3))-$V610)</f>
        <v>469058</v>
      </c>
      <c r="O611" s="13">
        <f ca="1">ROUNDUP($N611*Paraméterek!$C$58/Paraméterek!$C$56,IF($D$4="Forint",0,2))</f>
        <v>75</v>
      </c>
      <c r="P611" s="13">
        <f t="shared" si="140"/>
        <v>2341</v>
      </c>
      <c r="Q611" s="33"/>
      <c r="R611" s="13">
        <f t="shared" ca="1" si="141"/>
        <v>0</v>
      </c>
      <c r="S611" s="13">
        <f ca="1">ROUNDUP(($M611-$O611-$P611+$R611)*VLOOKUP($B611,Paraméterek!$B$38:$D$39,IF($D$2="Egyszeri",3,2))/12,IF($D$4="Forint",0,2))</f>
        <v>-1127</v>
      </c>
      <c r="T611" s="13"/>
      <c r="U611" s="13"/>
      <c r="V611" s="13">
        <f ca="1">$M611-$O611-$P611+$R611-$S611-IF(ROUNDUP(IF(ISBLANK($U611),$T611,$U611)/IF(AND($B611=1,$D$2&lt;&gt;"Egyszeri"),1,VLOOKUP($B611+IF($C611=12,1,0),Paraméterek!$B$257:$D$267,IF($D$2="Egyszeri",3,2))),IF($D$4="Forint",0,2))&gt;$M611-$O611-$P611+$R611-$S611-IF($D$4="Forint",Paraméterek!$C$216,Paraméterek!$D$216),0,ROUNDUP(IF(ISBLANK($U611),$T611,$U611)/IF(AND($B611=1,$D$2&lt;&gt;"Egyszeri"),1,VLOOKUP($B611+IF($C611=12,1,0),Paraméterek!$B$257:$D$267,IF($D$2="Egyszeri",3,2))),IF($D$4="Forint",0,2)))</f>
        <v>-460347</v>
      </c>
      <c r="W611" s="13">
        <f ca="1">ROUNDDOWN($V611*VLOOKUP($B611+IF($C611=12,1,0),Paraméterek!$B$257:$D$267,IF($D$2="Egyszeri",3,2)),IF($D$4="Forint",0,2))</f>
        <v>-460347</v>
      </c>
      <c r="Y611" s="32">
        <v>592</v>
      </c>
      <c r="Z611" s="32">
        <v>50</v>
      </c>
      <c r="AA611" s="32">
        <v>4</v>
      </c>
      <c r="AB611" s="13">
        <f t="shared" si="146"/>
        <v>0</v>
      </c>
      <c r="AC611" s="33"/>
      <c r="AD611" s="13">
        <f t="shared" si="142"/>
        <v>0</v>
      </c>
      <c r="AE611" s="13">
        <f>ROUNDUP(($AB611+$AD611)*VLOOKUP($Z611,Paraméterek!$P$38:$Q$38,2)/12,IF($D$4="Forint",0,2))</f>
        <v>0</v>
      </c>
      <c r="AF611" s="13">
        <f>IF($D$2="Egyszeri",IF($D$7&gt;=IF($D$4="Forint",Paraméterek!$P$223,Paraméterek!$P$224),$D$7-IF($D$4="Forint",Paraméterek!$F$223,Paraméterek!$F$224),0),MIN(IF($AA611=12,AVERAGE($D$20:$D611)*12,0),SUM($D$20:$D$31)))</f>
        <v>0</v>
      </c>
      <c r="AG611" s="13">
        <f>IF(AND($Z611&gt;=10,MOD($Z611,5)=0),$AF611*IF($AA611=12,VLOOKUP($Z611,Paraméterek!$B$225:$F$240,IF($AF611&lt;IF($D$4="Forint",Paraméterek!$C$223,Paraméterek!$C$224),2,IF($AF611&lt;IF($D$4="Forint",Paraméterek!$D$223,Paraméterek!$D$224),3,4))),0),0)</f>
        <v>0</v>
      </c>
      <c r="AH611" s="13">
        <f>IF(AND($Z611&gt;=5,MOD($Z611,5)=0),IF($AA611=12,VLOOKUP($Z611,Paraméterek!$B$225:$F$240,5),0),IF(OR($Z611=3,$Z611=4),IF($AA611=12,VLOOKUP($Z611,Paraméterek!$B$225:$F$240,5,0),0),0))*$AF611</f>
        <v>0</v>
      </c>
      <c r="AI611" s="13">
        <f>ROUNDDOWN(IF(SUM($T$20:$U611)=0,IF($D$2="Egyszeri",$AH611,$AG611),0),IF($D$4="Forint",0,2))</f>
        <v>0</v>
      </c>
      <c r="AJ611" s="13">
        <f t="shared" si="147"/>
        <v>0</v>
      </c>
      <c r="AK611" s="13">
        <f t="shared" si="148"/>
        <v>0</v>
      </c>
      <c r="AM611" s="32">
        <v>592</v>
      </c>
      <c r="AN611" s="32">
        <v>50</v>
      </c>
      <c r="AO611" s="32">
        <v>4</v>
      </c>
      <c r="AP611" s="13"/>
      <c r="AQ611" s="32"/>
      <c r="AR611" s="13">
        <f t="shared" si="149"/>
        <v>0</v>
      </c>
      <c r="AS611" s="33"/>
      <c r="AT611" s="13">
        <f t="shared" si="143"/>
        <v>0</v>
      </c>
      <c r="AU611" s="13">
        <f>ROUNDUP(($AR611+$AT611)*VLOOKUP($AN611,Paraméterek!$P$38:$Q$38,2)/12,IF($D$4="Forint",0,2))</f>
        <v>0</v>
      </c>
      <c r="AV611" s="13"/>
      <c r="AW611" s="13"/>
      <c r="AX611" s="13">
        <f>ROUNDUP(IF(SUM($AV611:$AW611)=0,0,IF(IF(ISBLANK($AW611),$AV611,$AW611)*Paraméterek!$J$112&lt;IF($D$4="Forint",Paraméterek!$J$113,Paraméterek!$K$113),IF($D$4="Forint",Paraméterek!$J$113,Paraméterek!$K$113),IF(IF(ISBLANK($AW611),$AV611,$AW611)*Paraméterek!$J$112&gt;IF($D$4="Forint",Paraméterek!$J$114,Paraméterek!$K$114),IF($D$4="Forint",Paraméterek!$J$114,Paraméterek!$K$114),IF(ISBLANK($AW611),$AV611,$AW611)*Paraméterek!$J$112))),IF($D$4="Forint",0,2))</f>
        <v>0</v>
      </c>
      <c r="AY611" s="13">
        <f>$AR611+$AT611-$AU611-IF(ROUNDDOWN(IF(ISBLANK($AW611),$AV611,$AW611),IF($D$4="Forint",0,2))&gt;$AR611+$AT611-$AU611-IF($D$4="Forint",Paraméterek!$J$114,Paraméterek!$K$114),0,ROUNDDOWN(IF(ISBLANK($AW611),$AV611,$AW611),IF($D$4="Forint",0,2))-$AX611)</f>
        <v>0</v>
      </c>
      <c r="AZ611" s="13">
        <f t="shared" si="144"/>
        <v>0</v>
      </c>
    </row>
    <row r="612" spans="1:52" x14ac:dyDescent="0.2">
      <c r="A612" s="32">
        <v>593</v>
      </c>
      <c r="B612" s="32">
        <v>50</v>
      </c>
      <c r="C612" s="32">
        <v>5</v>
      </c>
      <c r="D612" s="13">
        <f t="shared" si="135"/>
        <v>0</v>
      </c>
      <c r="E612" s="13"/>
      <c r="F612" s="13"/>
      <c r="G612" s="13"/>
      <c r="H612" s="13">
        <f t="shared" si="136"/>
        <v>0</v>
      </c>
      <c r="I612" s="13">
        <f t="shared" si="137"/>
        <v>0</v>
      </c>
      <c r="J612" s="13">
        <f t="shared" si="138"/>
        <v>0</v>
      </c>
      <c r="K612" s="13">
        <f>ROUNDUP(IF($D$2="Egyszeri",$D612,IF($D$2="Havi",SUM($D$20:$D$31),IF(MOD($C612,$M$1)-1=0,SUM($D$20:$D$31),0))/12*$M$1)*VLOOKUP($B612,Paraméterek!$B$27:$D$30,IF($D$2="Egyszeri",3,2)),IF($D$4="Forint",0,2))</f>
        <v>0</v>
      </c>
      <c r="L612" s="13">
        <f t="shared" si="139"/>
        <v>0</v>
      </c>
      <c r="M612" s="13">
        <f t="shared" ca="1" si="145"/>
        <v>-460347</v>
      </c>
      <c r="N612" s="13">
        <f ca="1">IF($V611&gt;=VLOOKUP($M$4-1+$B612,Paraméterek!$B$121:$D$122,IF($D$4="Forint",2,3)),0,VLOOKUP($M$4-1+$B612,Paraméterek!$B$121:$D$122,IF($D$4="Forint",2,3))-$V611)</f>
        <v>470347</v>
      </c>
      <c r="O612" s="13">
        <f ca="1">ROUNDUP($N612*Paraméterek!$C$58/Paraméterek!$C$56,IF($D$4="Forint",0,2))</f>
        <v>75</v>
      </c>
      <c r="P612" s="13">
        <f t="shared" si="140"/>
        <v>2341</v>
      </c>
      <c r="Q612" s="33"/>
      <c r="R612" s="13">
        <f t="shared" ca="1" si="141"/>
        <v>0</v>
      </c>
      <c r="S612" s="13">
        <f ca="1">ROUNDUP(($M612-$O612-$P612+$R612)*VLOOKUP($B612,Paraméterek!$B$38:$D$39,IF($D$2="Egyszeri",3,2))/12,IF($D$4="Forint",0,2))</f>
        <v>-1130</v>
      </c>
      <c r="T612" s="13"/>
      <c r="U612" s="13"/>
      <c r="V612" s="13">
        <f ca="1">$M612-$O612-$P612+$R612-$S612-IF(ROUNDUP(IF(ISBLANK($U612),$T612,$U612)/IF(AND($B612=1,$D$2&lt;&gt;"Egyszeri"),1,VLOOKUP($B612+IF($C612=12,1,0),Paraméterek!$B$257:$D$267,IF($D$2="Egyszeri",3,2))),IF($D$4="Forint",0,2))&gt;$M612-$O612-$P612+$R612-$S612-IF($D$4="Forint",Paraméterek!$C$216,Paraméterek!$D$216),0,ROUNDUP(IF(ISBLANK($U612),$T612,$U612)/IF(AND($B612=1,$D$2&lt;&gt;"Egyszeri"),1,VLOOKUP($B612+IF($C612=12,1,0),Paraméterek!$B$257:$D$267,IF($D$2="Egyszeri",3,2))),IF($D$4="Forint",0,2)))</f>
        <v>-461633</v>
      </c>
      <c r="W612" s="13">
        <f ca="1">ROUNDDOWN($V612*VLOOKUP($B612+IF($C612=12,1,0),Paraméterek!$B$257:$D$267,IF($D$2="Egyszeri",3,2)),IF($D$4="Forint",0,2))</f>
        <v>-461633</v>
      </c>
      <c r="Y612" s="32">
        <v>593</v>
      </c>
      <c r="Z612" s="32">
        <v>50</v>
      </c>
      <c r="AA612" s="32">
        <v>5</v>
      </c>
      <c r="AB612" s="13">
        <f t="shared" si="146"/>
        <v>0</v>
      </c>
      <c r="AC612" s="33"/>
      <c r="AD612" s="13">
        <f t="shared" si="142"/>
        <v>0</v>
      </c>
      <c r="AE612" s="13">
        <f>ROUNDUP(($AB612+$AD612)*VLOOKUP($Z612,Paraméterek!$P$38:$Q$38,2)/12,IF($D$4="Forint",0,2))</f>
        <v>0</v>
      </c>
      <c r="AF612" s="13">
        <f>IF($D$2="Egyszeri",IF($D$7&gt;=IF($D$4="Forint",Paraméterek!$P$223,Paraméterek!$P$224),$D$7-IF($D$4="Forint",Paraméterek!$F$223,Paraméterek!$F$224),0),MIN(IF($AA612=12,AVERAGE($D$20:$D612)*12,0),SUM($D$20:$D$31)))</f>
        <v>0</v>
      </c>
      <c r="AG612" s="13">
        <f>IF(AND($Z612&gt;=10,MOD($Z612,5)=0),$AF612*IF($AA612=12,VLOOKUP($Z612,Paraméterek!$B$225:$F$240,IF($AF612&lt;IF($D$4="Forint",Paraméterek!$C$223,Paraméterek!$C$224),2,IF($AF612&lt;IF($D$4="Forint",Paraméterek!$D$223,Paraméterek!$D$224),3,4))),0),0)</f>
        <v>0</v>
      </c>
      <c r="AH612" s="13">
        <f>IF(AND($Z612&gt;=5,MOD($Z612,5)=0),IF($AA612=12,VLOOKUP($Z612,Paraméterek!$B$225:$F$240,5),0),IF(OR($Z612=3,$Z612=4),IF($AA612=12,VLOOKUP($Z612,Paraméterek!$B$225:$F$240,5,0),0),0))*$AF612</f>
        <v>0</v>
      </c>
      <c r="AI612" s="13">
        <f>ROUNDDOWN(IF(SUM($T$20:$U612)=0,IF($D$2="Egyszeri",$AH612,$AG612),0),IF($D$4="Forint",0,2))</f>
        <v>0</v>
      </c>
      <c r="AJ612" s="13">
        <f t="shared" si="147"/>
        <v>0</v>
      </c>
      <c r="AK612" s="13">
        <f t="shared" si="148"/>
        <v>0</v>
      </c>
      <c r="AM612" s="32">
        <v>593</v>
      </c>
      <c r="AN612" s="32">
        <v>50</v>
      </c>
      <c r="AO612" s="32">
        <v>5</v>
      </c>
      <c r="AP612" s="13"/>
      <c r="AQ612" s="32"/>
      <c r="AR612" s="13">
        <f t="shared" si="149"/>
        <v>0</v>
      </c>
      <c r="AS612" s="33"/>
      <c r="AT612" s="13">
        <f t="shared" si="143"/>
        <v>0</v>
      </c>
      <c r="AU612" s="13">
        <f>ROUNDUP(($AR612+$AT612)*VLOOKUP($AN612,Paraméterek!$P$38:$Q$38,2)/12,IF($D$4="Forint",0,2))</f>
        <v>0</v>
      </c>
      <c r="AV612" s="13"/>
      <c r="AW612" s="13"/>
      <c r="AX612" s="13">
        <f>ROUNDUP(IF(SUM($AV612:$AW612)=0,0,IF(IF(ISBLANK($AW612),$AV612,$AW612)*Paraméterek!$J$112&lt;IF($D$4="Forint",Paraméterek!$J$113,Paraméterek!$K$113),IF($D$4="Forint",Paraméterek!$J$113,Paraméterek!$K$113),IF(IF(ISBLANK($AW612),$AV612,$AW612)*Paraméterek!$J$112&gt;IF($D$4="Forint",Paraméterek!$J$114,Paraméterek!$K$114),IF($D$4="Forint",Paraméterek!$J$114,Paraméterek!$K$114),IF(ISBLANK($AW612),$AV612,$AW612)*Paraméterek!$J$112))),IF($D$4="Forint",0,2))</f>
        <v>0</v>
      </c>
      <c r="AY612" s="13">
        <f>$AR612+$AT612-$AU612-IF(ROUNDDOWN(IF(ISBLANK($AW612),$AV612,$AW612),IF($D$4="Forint",0,2))&gt;$AR612+$AT612-$AU612-IF($D$4="Forint",Paraméterek!$J$114,Paraméterek!$K$114),0,ROUNDDOWN(IF(ISBLANK($AW612),$AV612,$AW612),IF($D$4="Forint",0,2))-$AX612)</f>
        <v>0</v>
      </c>
      <c r="AZ612" s="13">
        <f t="shared" si="144"/>
        <v>0</v>
      </c>
    </row>
    <row r="613" spans="1:52" x14ac:dyDescent="0.2">
      <c r="A613" s="32">
        <v>594</v>
      </c>
      <c r="B613" s="32">
        <v>50</v>
      </c>
      <c r="C613" s="32">
        <v>6</v>
      </c>
      <c r="D613" s="13">
        <f t="shared" si="135"/>
        <v>0</v>
      </c>
      <c r="E613" s="13"/>
      <c r="F613" s="13"/>
      <c r="G613" s="13"/>
      <c r="H613" s="13">
        <f t="shared" si="136"/>
        <v>0</v>
      </c>
      <c r="I613" s="13">
        <f t="shared" si="137"/>
        <v>0</v>
      </c>
      <c r="J613" s="13">
        <f t="shared" si="138"/>
        <v>0</v>
      </c>
      <c r="K613" s="13">
        <f>ROUNDUP(IF($D$2="Egyszeri",$D613,IF($D$2="Havi",SUM($D$20:$D$31),IF(MOD($C613,$M$1)-1=0,SUM($D$20:$D$31),0))/12*$M$1)*VLOOKUP($B613,Paraméterek!$B$27:$D$30,IF($D$2="Egyszeri",3,2)),IF($D$4="Forint",0,2))</f>
        <v>0</v>
      </c>
      <c r="L613" s="13">
        <f t="shared" si="139"/>
        <v>0</v>
      </c>
      <c r="M613" s="13">
        <f t="shared" ca="1" si="145"/>
        <v>-461633</v>
      </c>
      <c r="N613" s="13">
        <f ca="1">IF($V612&gt;=VLOOKUP($M$4-1+$B613,Paraméterek!$B$121:$D$122,IF($D$4="Forint",2,3)),0,VLOOKUP($M$4-1+$B613,Paraméterek!$B$121:$D$122,IF($D$4="Forint",2,3))-$V612)</f>
        <v>471633</v>
      </c>
      <c r="O613" s="13">
        <f ca="1">ROUNDUP($N613*Paraméterek!$C$58/Paraméterek!$C$56,IF($D$4="Forint",0,2))</f>
        <v>76</v>
      </c>
      <c r="P613" s="13">
        <f t="shared" si="140"/>
        <v>2341</v>
      </c>
      <c r="Q613" s="33"/>
      <c r="R613" s="13">
        <f t="shared" ca="1" si="141"/>
        <v>0</v>
      </c>
      <c r="S613" s="13">
        <f ca="1">ROUNDUP(($M613-$O613-$P613+$R613)*VLOOKUP($B613,Paraméterek!$B$38:$D$39,IF($D$2="Egyszeri",3,2))/12,IF($D$4="Forint",0,2))</f>
        <v>-1134</v>
      </c>
      <c r="T613" s="13"/>
      <c r="U613" s="13"/>
      <c r="V613" s="13">
        <f ca="1">$M613-$O613-$P613+$R613-$S613-IF(ROUNDUP(IF(ISBLANK($U613),$T613,$U613)/IF(AND($B613=1,$D$2&lt;&gt;"Egyszeri"),1,VLOOKUP($B613+IF($C613=12,1,0),Paraméterek!$B$257:$D$267,IF($D$2="Egyszeri",3,2))),IF($D$4="Forint",0,2))&gt;$M613-$O613-$P613+$R613-$S613-IF($D$4="Forint",Paraméterek!$C$216,Paraméterek!$D$216),0,ROUNDUP(IF(ISBLANK($U613),$T613,$U613)/IF(AND($B613=1,$D$2&lt;&gt;"Egyszeri"),1,VLOOKUP($B613+IF($C613=12,1,0),Paraméterek!$B$257:$D$267,IF($D$2="Egyszeri",3,2))),IF($D$4="Forint",0,2)))</f>
        <v>-462916</v>
      </c>
      <c r="W613" s="13">
        <f ca="1">ROUNDDOWN($V613*VLOOKUP($B613+IF($C613=12,1,0),Paraméterek!$B$257:$D$267,IF($D$2="Egyszeri",3,2)),IF($D$4="Forint",0,2))</f>
        <v>-462916</v>
      </c>
      <c r="Y613" s="32">
        <v>594</v>
      </c>
      <c r="Z613" s="32">
        <v>50</v>
      </c>
      <c r="AA613" s="32">
        <v>6</v>
      </c>
      <c r="AB613" s="13">
        <f t="shared" si="146"/>
        <v>0</v>
      </c>
      <c r="AC613" s="33"/>
      <c r="AD613" s="13">
        <f t="shared" si="142"/>
        <v>0</v>
      </c>
      <c r="AE613" s="13">
        <f>ROUNDUP(($AB613+$AD613)*VLOOKUP($Z613,Paraméterek!$P$38:$Q$38,2)/12,IF($D$4="Forint",0,2))</f>
        <v>0</v>
      </c>
      <c r="AF613" s="13">
        <f>IF($D$2="Egyszeri",IF($D$7&gt;=IF($D$4="Forint",Paraméterek!$P$223,Paraméterek!$P$224),$D$7-IF($D$4="Forint",Paraméterek!$F$223,Paraméterek!$F$224),0),MIN(IF($AA613=12,AVERAGE($D$20:$D613)*12,0),SUM($D$20:$D$31)))</f>
        <v>0</v>
      </c>
      <c r="AG613" s="13">
        <f>IF(AND($Z613&gt;=10,MOD($Z613,5)=0),$AF613*IF($AA613=12,VLOOKUP($Z613,Paraméterek!$B$225:$F$240,IF($AF613&lt;IF($D$4="Forint",Paraméterek!$C$223,Paraméterek!$C$224),2,IF($AF613&lt;IF($D$4="Forint",Paraméterek!$D$223,Paraméterek!$D$224),3,4))),0),0)</f>
        <v>0</v>
      </c>
      <c r="AH613" s="13">
        <f>IF(AND($Z613&gt;=5,MOD($Z613,5)=0),IF($AA613=12,VLOOKUP($Z613,Paraméterek!$B$225:$F$240,5),0),IF(OR($Z613=3,$Z613=4),IF($AA613=12,VLOOKUP($Z613,Paraméterek!$B$225:$F$240,5,0),0),0))*$AF613</f>
        <v>0</v>
      </c>
      <c r="AI613" s="13">
        <f>ROUNDDOWN(IF(SUM($T$20:$U613)=0,IF($D$2="Egyszeri",$AH613,$AG613),0),IF($D$4="Forint",0,2))</f>
        <v>0</v>
      </c>
      <c r="AJ613" s="13">
        <f t="shared" si="147"/>
        <v>0</v>
      </c>
      <c r="AK613" s="13">
        <f t="shared" si="148"/>
        <v>0</v>
      </c>
      <c r="AM613" s="32">
        <v>594</v>
      </c>
      <c r="AN613" s="32">
        <v>50</v>
      </c>
      <c r="AO613" s="32">
        <v>6</v>
      </c>
      <c r="AP613" s="13"/>
      <c r="AQ613" s="32"/>
      <c r="AR613" s="13">
        <f t="shared" si="149"/>
        <v>0</v>
      </c>
      <c r="AS613" s="33"/>
      <c r="AT613" s="13">
        <f t="shared" si="143"/>
        <v>0</v>
      </c>
      <c r="AU613" s="13">
        <f>ROUNDUP(($AR613+$AT613)*VLOOKUP($AN613,Paraméterek!$P$38:$Q$38,2)/12,IF($D$4="Forint",0,2))</f>
        <v>0</v>
      </c>
      <c r="AV613" s="13"/>
      <c r="AW613" s="13"/>
      <c r="AX613" s="13">
        <f>ROUNDUP(IF(SUM($AV613:$AW613)=0,0,IF(IF(ISBLANK($AW613),$AV613,$AW613)*Paraméterek!$J$112&lt;IF($D$4="Forint",Paraméterek!$J$113,Paraméterek!$K$113),IF($D$4="Forint",Paraméterek!$J$113,Paraméterek!$K$113),IF(IF(ISBLANK($AW613),$AV613,$AW613)*Paraméterek!$J$112&gt;IF($D$4="Forint",Paraméterek!$J$114,Paraméterek!$K$114),IF($D$4="Forint",Paraméterek!$J$114,Paraméterek!$K$114),IF(ISBLANK($AW613),$AV613,$AW613)*Paraméterek!$J$112))),IF($D$4="Forint",0,2))</f>
        <v>0</v>
      </c>
      <c r="AY613" s="13">
        <f>$AR613+$AT613-$AU613-IF(ROUNDDOWN(IF(ISBLANK($AW613),$AV613,$AW613),IF($D$4="Forint",0,2))&gt;$AR613+$AT613-$AU613-IF($D$4="Forint",Paraméterek!$J$114,Paraméterek!$K$114),0,ROUNDDOWN(IF(ISBLANK($AW613),$AV613,$AW613),IF($D$4="Forint",0,2))-$AX613)</f>
        <v>0</v>
      </c>
      <c r="AZ613" s="13">
        <f t="shared" si="144"/>
        <v>0</v>
      </c>
    </row>
    <row r="614" spans="1:52" x14ac:dyDescent="0.2">
      <c r="A614" s="32">
        <v>595</v>
      </c>
      <c r="B614" s="32">
        <v>50</v>
      </c>
      <c r="C614" s="32">
        <v>7</v>
      </c>
      <c r="D614" s="13">
        <f t="shared" si="135"/>
        <v>0</v>
      </c>
      <c r="E614" s="13"/>
      <c r="F614" s="13"/>
      <c r="G614" s="13"/>
      <c r="H614" s="13">
        <f t="shared" si="136"/>
        <v>0</v>
      </c>
      <c r="I614" s="13">
        <f t="shared" si="137"/>
        <v>0</v>
      </c>
      <c r="J614" s="13">
        <f t="shared" si="138"/>
        <v>0</v>
      </c>
      <c r="K614" s="13">
        <f>ROUNDUP(IF($D$2="Egyszeri",$D614,IF($D$2="Havi",SUM($D$20:$D$31),IF(MOD($C614,$M$1)-1=0,SUM($D$20:$D$31),0))/12*$M$1)*VLOOKUP($B614,Paraméterek!$B$27:$D$30,IF($D$2="Egyszeri",3,2)),IF($D$4="Forint",0,2))</f>
        <v>0</v>
      </c>
      <c r="L614" s="13">
        <f t="shared" si="139"/>
        <v>0</v>
      </c>
      <c r="M614" s="13">
        <f t="shared" ca="1" si="145"/>
        <v>-462916</v>
      </c>
      <c r="N614" s="13">
        <f ca="1">IF($V613&gt;=VLOOKUP($M$4-1+$B614,Paraméterek!$B$121:$D$122,IF($D$4="Forint",2,3)),0,VLOOKUP($M$4-1+$B614,Paraméterek!$B$121:$D$122,IF($D$4="Forint",2,3))-$V613)</f>
        <v>472916</v>
      </c>
      <c r="O614" s="13">
        <f ca="1">ROUNDUP($N614*Paraméterek!$C$58/Paraméterek!$C$56,IF($D$4="Forint",0,2))</f>
        <v>76</v>
      </c>
      <c r="P614" s="13">
        <f t="shared" si="140"/>
        <v>2341</v>
      </c>
      <c r="Q614" s="33"/>
      <c r="R614" s="13">
        <f t="shared" ca="1" si="141"/>
        <v>0</v>
      </c>
      <c r="S614" s="13">
        <f ca="1">ROUNDUP(($M614-$O614-$P614+$R614)*VLOOKUP($B614,Paraméterek!$B$38:$D$39,IF($D$2="Egyszeri",3,2))/12,IF($D$4="Forint",0,2))</f>
        <v>-1137</v>
      </c>
      <c r="T614" s="13"/>
      <c r="U614" s="13"/>
      <c r="V614" s="13">
        <f ca="1">$M614-$O614-$P614+$R614-$S614-IF(ROUNDUP(IF(ISBLANK($U614),$T614,$U614)/IF(AND($B614=1,$D$2&lt;&gt;"Egyszeri"),1,VLOOKUP($B614+IF($C614=12,1,0),Paraméterek!$B$257:$D$267,IF($D$2="Egyszeri",3,2))),IF($D$4="Forint",0,2))&gt;$M614-$O614-$P614+$R614-$S614-IF($D$4="Forint",Paraméterek!$C$216,Paraméterek!$D$216),0,ROUNDUP(IF(ISBLANK($U614),$T614,$U614)/IF(AND($B614=1,$D$2&lt;&gt;"Egyszeri"),1,VLOOKUP($B614+IF($C614=12,1,0),Paraméterek!$B$257:$D$267,IF($D$2="Egyszeri",3,2))),IF($D$4="Forint",0,2)))</f>
        <v>-464196</v>
      </c>
      <c r="W614" s="13">
        <f ca="1">ROUNDDOWN($V614*VLOOKUP($B614+IF($C614=12,1,0),Paraméterek!$B$257:$D$267,IF($D$2="Egyszeri",3,2)),IF($D$4="Forint",0,2))</f>
        <v>-464196</v>
      </c>
      <c r="Y614" s="32">
        <v>595</v>
      </c>
      <c r="Z614" s="32">
        <v>50</v>
      </c>
      <c r="AA614" s="32">
        <v>7</v>
      </c>
      <c r="AB614" s="13">
        <f t="shared" si="146"/>
        <v>0</v>
      </c>
      <c r="AC614" s="33"/>
      <c r="AD614" s="13">
        <f t="shared" si="142"/>
        <v>0</v>
      </c>
      <c r="AE614" s="13">
        <f>ROUNDUP(($AB614+$AD614)*VLOOKUP($Z614,Paraméterek!$P$38:$Q$38,2)/12,IF($D$4="Forint",0,2))</f>
        <v>0</v>
      </c>
      <c r="AF614" s="13">
        <f>IF($D$2="Egyszeri",IF($D$7&gt;=IF($D$4="Forint",Paraméterek!$P$223,Paraméterek!$P$224),$D$7-IF($D$4="Forint",Paraméterek!$F$223,Paraméterek!$F$224),0),MIN(IF($AA614=12,AVERAGE($D$20:$D614)*12,0),SUM($D$20:$D$31)))</f>
        <v>0</v>
      </c>
      <c r="AG614" s="13">
        <f>IF(AND($Z614&gt;=10,MOD($Z614,5)=0),$AF614*IF($AA614=12,VLOOKUP($Z614,Paraméterek!$B$225:$F$240,IF($AF614&lt;IF($D$4="Forint",Paraméterek!$C$223,Paraméterek!$C$224),2,IF($AF614&lt;IF($D$4="Forint",Paraméterek!$D$223,Paraméterek!$D$224),3,4))),0),0)</f>
        <v>0</v>
      </c>
      <c r="AH614" s="13">
        <f>IF(AND($Z614&gt;=5,MOD($Z614,5)=0),IF($AA614=12,VLOOKUP($Z614,Paraméterek!$B$225:$F$240,5),0),IF(OR($Z614=3,$Z614=4),IF($AA614=12,VLOOKUP($Z614,Paraméterek!$B$225:$F$240,5,0),0),0))*$AF614</f>
        <v>0</v>
      </c>
      <c r="AI614" s="13">
        <f>ROUNDDOWN(IF(SUM($T$20:$U614)=0,IF($D$2="Egyszeri",$AH614,$AG614),0),IF($D$4="Forint",0,2))</f>
        <v>0</v>
      </c>
      <c r="AJ614" s="13">
        <f t="shared" si="147"/>
        <v>0</v>
      </c>
      <c r="AK614" s="13">
        <f t="shared" si="148"/>
        <v>0</v>
      </c>
      <c r="AM614" s="32">
        <v>595</v>
      </c>
      <c r="AN614" s="32">
        <v>50</v>
      </c>
      <c r="AO614" s="32">
        <v>7</v>
      </c>
      <c r="AP614" s="13"/>
      <c r="AQ614" s="32"/>
      <c r="AR614" s="13">
        <f t="shared" si="149"/>
        <v>0</v>
      </c>
      <c r="AS614" s="33"/>
      <c r="AT614" s="13">
        <f t="shared" si="143"/>
        <v>0</v>
      </c>
      <c r="AU614" s="13">
        <f>ROUNDUP(($AR614+$AT614)*VLOOKUP($AN614,Paraméterek!$P$38:$Q$38,2)/12,IF($D$4="Forint",0,2))</f>
        <v>0</v>
      </c>
      <c r="AV614" s="13"/>
      <c r="AW614" s="13"/>
      <c r="AX614" s="13">
        <f>ROUNDUP(IF(SUM($AV614:$AW614)=0,0,IF(IF(ISBLANK($AW614),$AV614,$AW614)*Paraméterek!$J$112&lt;IF($D$4="Forint",Paraméterek!$J$113,Paraméterek!$K$113),IF($D$4="Forint",Paraméterek!$J$113,Paraméterek!$K$113),IF(IF(ISBLANK($AW614),$AV614,$AW614)*Paraméterek!$J$112&gt;IF($D$4="Forint",Paraméterek!$J$114,Paraméterek!$K$114),IF($D$4="Forint",Paraméterek!$J$114,Paraméterek!$K$114),IF(ISBLANK($AW614),$AV614,$AW614)*Paraméterek!$J$112))),IF($D$4="Forint",0,2))</f>
        <v>0</v>
      </c>
      <c r="AY614" s="13">
        <f>$AR614+$AT614-$AU614-IF(ROUNDDOWN(IF(ISBLANK($AW614),$AV614,$AW614),IF($D$4="Forint",0,2))&gt;$AR614+$AT614-$AU614-IF($D$4="Forint",Paraméterek!$J$114,Paraméterek!$K$114),0,ROUNDDOWN(IF(ISBLANK($AW614),$AV614,$AW614),IF($D$4="Forint",0,2))-$AX614)</f>
        <v>0</v>
      </c>
      <c r="AZ614" s="13">
        <f t="shared" si="144"/>
        <v>0</v>
      </c>
    </row>
    <row r="615" spans="1:52" x14ac:dyDescent="0.2">
      <c r="A615" s="32">
        <v>596</v>
      </c>
      <c r="B615" s="32">
        <v>50</v>
      </c>
      <c r="C615" s="32">
        <v>8</v>
      </c>
      <c r="D615" s="13">
        <f t="shared" si="135"/>
        <v>0</v>
      </c>
      <c r="E615" s="13"/>
      <c r="F615" s="13"/>
      <c r="G615" s="13"/>
      <c r="H615" s="13">
        <f t="shared" si="136"/>
        <v>0</v>
      </c>
      <c r="I615" s="13">
        <f t="shared" si="137"/>
        <v>0</v>
      </c>
      <c r="J615" s="13">
        <f t="shared" si="138"/>
        <v>0</v>
      </c>
      <c r="K615" s="13">
        <f>ROUNDUP(IF($D$2="Egyszeri",$D615,IF($D$2="Havi",SUM($D$20:$D$31),IF(MOD($C615,$M$1)-1=0,SUM($D$20:$D$31),0))/12*$M$1)*VLOOKUP($B615,Paraméterek!$B$27:$D$30,IF($D$2="Egyszeri",3,2)),IF($D$4="Forint",0,2))</f>
        <v>0</v>
      </c>
      <c r="L615" s="13">
        <f t="shared" si="139"/>
        <v>0</v>
      </c>
      <c r="M615" s="13">
        <f t="shared" ca="1" si="145"/>
        <v>-464196</v>
      </c>
      <c r="N615" s="13">
        <f ca="1">IF($V614&gt;=VLOOKUP($M$4-1+$B615,Paraméterek!$B$121:$D$122,IF($D$4="Forint",2,3)),0,VLOOKUP($M$4-1+$B615,Paraméterek!$B$121:$D$122,IF($D$4="Forint",2,3))-$V614)</f>
        <v>474196</v>
      </c>
      <c r="O615" s="13">
        <f ca="1">ROUNDUP($N615*Paraméterek!$C$58/Paraméterek!$C$56,IF($D$4="Forint",0,2))</f>
        <v>76</v>
      </c>
      <c r="P615" s="13">
        <f t="shared" si="140"/>
        <v>2341</v>
      </c>
      <c r="Q615" s="33"/>
      <c r="R615" s="13">
        <f t="shared" ca="1" si="141"/>
        <v>0</v>
      </c>
      <c r="S615" s="13">
        <f ca="1">ROUNDUP(($M615-$O615-$P615+$R615)*VLOOKUP($B615,Paraméterek!$B$38:$D$39,IF($D$2="Egyszeri",3,2))/12,IF($D$4="Forint",0,2))</f>
        <v>-1140</v>
      </c>
      <c r="T615" s="13"/>
      <c r="U615" s="13"/>
      <c r="V615" s="13">
        <f ca="1">$M615-$O615-$P615+$R615-$S615-IF(ROUNDUP(IF(ISBLANK($U615),$T615,$U615)/IF(AND($B615=1,$D$2&lt;&gt;"Egyszeri"),1,VLOOKUP($B615+IF($C615=12,1,0),Paraméterek!$B$257:$D$267,IF($D$2="Egyszeri",3,2))),IF($D$4="Forint",0,2))&gt;$M615-$O615-$P615+$R615-$S615-IF($D$4="Forint",Paraméterek!$C$216,Paraméterek!$D$216),0,ROUNDUP(IF(ISBLANK($U615),$T615,$U615)/IF(AND($B615=1,$D$2&lt;&gt;"Egyszeri"),1,VLOOKUP($B615+IF($C615=12,1,0),Paraméterek!$B$257:$D$267,IF($D$2="Egyszeri",3,2))),IF($D$4="Forint",0,2)))</f>
        <v>-465473</v>
      </c>
      <c r="W615" s="13">
        <f ca="1">ROUNDDOWN($V615*VLOOKUP($B615+IF($C615=12,1,0),Paraméterek!$B$257:$D$267,IF($D$2="Egyszeri",3,2)),IF($D$4="Forint",0,2))</f>
        <v>-465473</v>
      </c>
      <c r="Y615" s="32">
        <v>596</v>
      </c>
      <c r="Z615" s="32">
        <v>50</v>
      </c>
      <c r="AA615" s="32">
        <v>8</v>
      </c>
      <c r="AB615" s="13">
        <f t="shared" si="146"/>
        <v>0</v>
      </c>
      <c r="AC615" s="33"/>
      <c r="AD615" s="13">
        <f t="shared" si="142"/>
        <v>0</v>
      </c>
      <c r="AE615" s="13">
        <f>ROUNDUP(($AB615+$AD615)*VLOOKUP($Z615,Paraméterek!$P$38:$Q$38,2)/12,IF($D$4="Forint",0,2))</f>
        <v>0</v>
      </c>
      <c r="AF615" s="13">
        <f>IF($D$2="Egyszeri",IF($D$7&gt;=IF($D$4="Forint",Paraméterek!$P$223,Paraméterek!$P$224),$D$7-IF($D$4="Forint",Paraméterek!$F$223,Paraméterek!$F$224),0),MIN(IF($AA615=12,AVERAGE($D$20:$D615)*12,0),SUM($D$20:$D$31)))</f>
        <v>0</v>
      </c>
      <c r="AG615" s="13">
        <f>IF(AND($Z615&gt;=10,MOD($Z615,5)=0),$AF615*IF($AA615=12,VLOOKUP($Z615,Paraméterek!$B$225:$F$240,IF($AF615&lt;IF($D$4="Forint",Paraméterek!$C$223,Paraméterek!$C$224),2,IF($AF615&lt;IF($D$4="Forint",Paraméterek!$D$223,Paraméterek!$D$224),3,4))),0),0)</f>
        <v>0</v>
      </c>
      <c r="AH615" s="13">
        <f>IF(AND($Z615&gt;=5,MOD($Z615,5)=0),IF($AA615=12,VLOOKUP($Z615,Paraméterek!$B$225:$F$240,5),0),IF(OR($Z615=3,$Z615=4),IF($AA615=12,VLOOKUP($Z615,Paraméterek!$B$225:$F$240,5,0),0),0))*$AF615</f>
        <v>0</v>
      </c>
      <c r="AI615" s="13">
        <f>ROUNDDOWN(IF(SUM($T$20:$U615)=0,IF($D$2="Egyszeri",$AH615,$AG615),0),IF($D$4="Forint",0,2))</f>
        <v>0</v>
      </c>
      <c r="AJ615" s="13">
        <f t="shared" si="147"/>
        <v>0</v>
      </c>
      <c r="AK615" s="13">
        <f t="shared" si="148"/>
        <v>0</v>
      </c>
      <c r="AM615" s="32">
        <v>596</v>
      </c>
      <c r="AN615" s="32">
        <v>50</v>
      </c>
      <c r="AO615" s="32">
        <v>8</v>
      </c>
      <c r="AP615" s="13"/>
      <c r="AQ615" s="32"/>
      <c r="AR615" s="13">
        <f t="shared" si="149"/>
        <v>0</v>
      </c>
      <c r="AS615" s="33"/>
      <c r="AT615" s="13">
        <f t="shared" si="143"/>
        <v>0</v>
      </c>
      <c r="AU615" s="13">
        <f>ROUNDUP(($AR615+$AT615)*VLOOKUP($AN615,Paraméterek!$P$38:$Q$38,2)/12,IF($D$4="Forint",0,2))</f>
        <v>0</v>
      </c>
      <c r="AV615" s="13"/>
      <c r="AW615" s="13"/>
      <c r="AX615" s="13">
        <f>ROUNDUP(IF(SUM($AV615:$AW615)=0,0,IF(IF(ISBLANK($AW615),$AV615,$AW615)*Paraméterek!$J$112&lt;IF($D$4="Forint",Paraméterek!$J$113,Paraméterek!$K$113),IF($D$4="Forint",Paraméterek!$J$113,Paraméterek!$K$113),IF(IF(ISBLANK($AW615),$AV615,$AW615)*Paraméterek!$J$112&gt;IF($D$4="Forint",Paraméterek!$J$114,Paraméterek!$K$114),IF($D$4="Forint",Paraméterek!$J$114,Paraméterek!$K$114),IF(ISBLANK($AW615),$AV615,$AW615)*Paraméterek!$J$112))),IF($D$4="Forint",0,2))</f>
        <v>0</v>
      </c>
      <c r="AY615" s="13">
        <f>$AR615+$AT615-$AU615-IF(ROUNDDOWN(IF(ISBLANK($AW615),$AV615,$AW615),IF($D$4="Forint",0,2))&gt;$AR615+$AT615-$AU615-IF($D$4="Forint",Paraméterek!$J$114,Paraméterek!$K$114),0,ROUNDDOWN(IF(ISBLANK($AW615),$AV615,$AW615),IF($D$4="Forint",0,2))-$AX615)</f>
        <v>0</v>
      </c>
      <c r="AZ615" s="13">
        <f t="shared" si="144"/>
        <v>0</v>
      </c>
    </row>
    <row r="616" spans="1:52" x14ac:dyDescent="0.2">
      <c r="A616" s="32">
        <v>597</v>
      </c>
      <c r="B616" s="32">
        <v>50</v>
      </c>
      <c r="C616" s="32">
        <v>9</v>
      </c>
      <c r="D616" s="13">
        <f t="shared" si="135"/>
        <v>0</v>
      </c>
      <c r="E616" s="13"/>
      <c r="F616" s="13"/>
      <c r="G616" s="13"/>
      <c r="H616" s="13">
        <f t="shared" si="136"/>
        <v>0</v>
      </c>
      <c r="I616" s="13">
        <f t="shared" si="137"/>
        <v>0</v>
      </c>
      <c r="J616" s="13">
        <f t="shared" si="138"/>
        <v>0</v>
      </c>
      <c r="K616" s="13">
        <f>ROUNDUP(IF($D$2="Egyszeri",$D616,IF($D$2="Havi",SUM($D$20:$D$31),IF(MOD($C616,$M$1)-1=0,SUM($D$20:$D$31),0))/12*$M$1)*VLOOKUP($B616,Paraméterek!$B$27:$D$30,IF($D$2="Egyszeri",3,2)),IF($D$4="Forint",0,2))</f>
        <v>0</v>
      </c>
      <c r="L616" s="13">
        <f t="shared" si="139"/>
        <v>0</v>
      </c>
      <c r="M616" s="13">
        <f t="shared" ca="1" si="145"/>
        <v>-465473</v>
      </c>
      <c r="N616" s="13">
        <f ca="1">IF($V615&gt;=VLOOKUP($M$4-1+$B616,Paraméterek!$B$121:$D$122,IF($D$4="Forint",2,3)),0,VLOOKUP($M$4-1+$B616,Paraméterek!$B$121:$D$122,IF($D$4="Forint",2,3))-$V615)</f>
        <v>475473</v>
      </c>
      <c r="O616" s="13">
        <f ca="1">ROUNDUP($N616*Paraméterek!$C$58/Paraméterek!$C$56,IF($D$4="Forint",0,2))</f>
        <v>76</v>
      </c>
      <c r="P616" s="13">
        <f t="shared" si="140"/>
        <v>2341</v>
      </c>
      <c r="Q616" s="33"/>
      <c r="R616" s="13">
        <f t="shared" ca="1" si="141"/>
        <v>0</v>
      </c>
      <c r="S616" s="13">
        <f ca="1">ROUNDUP(($M616-$O616-$P616+$R616)*VLOOKUP($B616,Paraméterek!$B$38:$D$39,IF($D$2="Egyszeri",3,2))/12,IF($D$4="Forint",0,2))</f>
        <v>-1143</v>
      </c>
      <c r="T616" s="13"/>
      <c r="U616" s="13"/>
      <c r="V616" s="13">
        <f ca="1">$M616-$O616-$P616+$R616-$S616-IF(ROUNDUP(IF(ISBLANK($U616),$T616,$U616)/IF(AND($B616=1,$D$2&lt;&gt;"Egyszeri"),1,VLOOKUP($B616+IF($C616=12,1,0),Paraméterek!$B$257:$D$267,IF($D$2="Egyszeri",3,2))),IF($D$4="Forint",0,2))&gt;$M616-$O616-$P616+$R616-$S616-IF($D$4="Forint",Paraméterek!$C$216,Paraméterek!$D$216),0,ROUNDUP(IF(ISBLANK($U616),$T616,$U616)/IF(AND($B616=1,$D$2&lt;&gt;"Egyszeri"),1,VLOOKUP($B616+IF($C616=12,1,0),Paraméterek!$B$257:$D$267,IF($D$2="Egyszeri",3,2))),IF($D$4="Forint",0,2)))</f>
        <v>-466747</v>
      </c>
      <c r="W616" s="13">
        <f ca="1">ROUNDDOWN($V616*VLOOKUP($B616+IF($C616=12,1,0),Paraméterek!$B$257:$D$267,IF($D$2="Egyszeri",3,2)),IF($D$4="Forint",0,2))</f>
        <v>-466747</v>
      </c>
      <c r="Y616" s="32">
        <v>597</v>
      </c>
      <c r="Z616" s="32">
        <v>50</v>
      </c>
      <c r="AA616" s="32">
        <v>9</v>
      </c>
      <c r="AB616" s="13">
        <f t="shared" si="146"/>
        <v>0</v>
      </c>
      <c r="AC616" s="33"/>
      <c r="AD616" s="13">
        <f t="shared" si="142"/>
        <v>0</v>
      </c>
      <c r="AE616" s="13">
        <f>ROUNDUP(($AB616+$AD616)*VLOOKUP($Z616,Paraméterek!$P$38:$Q$38,2)/12,IF($D$4="Forint",0,2))</f>
        <v>0</v>
      </c>
      <c r="AF616" s="13">
        <f>IF($D$2="Egyszeri",IF($D$7&gt;=IF($D$4="Forint",Paraméterek!$P$223,Paraméterek!$P$224),$D$7-IF($D$4="Forint",Paraméterek!$F$223,Paraméterek!$F$224),0),MIN(IF($AA616=12,AVERAGE($D$20:$D616)*12,0),SUM($D$20:$D$31)))</f>
        <v>0</v>
      </c>
      <c r="AG616" s="13">
        <f>IF(AND($Z616&gt;=10,MOD($Z616,5)=0),$AF616*IF($AA616=12,VLOOKUP($Z616,Paraméterek!$B$225:$F$240,IF($AF616&lt;IF($D$4="Forint",Paraméterek!$C$223,Paraméterek!$C$224),2,IF($AF616&lt;IF($D$4="Forint",Paraméterek!$D$223,Paraméterek!$D$224),3,4))),0),0)</f>
        <v>0</v>
      </c>
      <c r="AH616" s="13">
        <f>IF(AND($Z616&gt;=5,MOD($Z616,5)=0),IF($AA616=12,VLOOKUP($Z616,Paraméterek!$B$225:$F$240,5),0),IF(OR($Z616=3,$Z616=4),IF($AA616=12,VLOOKUP($Z616,Paraméterek!$B$225:$F$240,5,0),0),0))*$AF616</f>
        <v>0</v>
      </c>
      <c r="AI616" s="13">
        <f>ROUNDDOWN(IF(SUM($T$20:$U616)=0,IF($D$2="Egyszeri",$AH616,$AG616),0),IF($D$4="Forint",0,2))</f>
        <v>0</v>
      </c>
      <c r="AJ616" s="13">
        <f t="shared" si="147"/>
        <v>0</v>
      </c>
      <c r="AK616" s="13">
        <f t="shared" si="148"/>
        <v>0</v>
      </c>
      <c r="AM616" s="32">
        <v>597</v>
      </c>
      <c r="AN616" s="32">
        <v>50</v>
      </c>
      <c r="AO616" s="32">
        <v>9</v>
      </c>
      <c r="AP616" s="13"/>
      <c r="AQ616" s="32"/>
      <c r="AR616" s="13">
        <f t="shared" si="149"/>
        <v>0</v>
      </c>
      <c r="AS616" s="33"/>
      <c r="AT616" s="13">
        <f t="shared" si="143"/>
        <v>0</v>
      </c>
      <c r="AU616" s="13">
        <f>ROUNDUP(($AR616+$AT616)*VLOOKUP($AN616,Paraméterek!$P$38:$Q$38,2)/12,IF($D$4="Forint",0,2))</f>
        <v>0</v>
      </c>
      <c r="AV616" s="13"/>
      <c r="AW616" s="13"/>
      <c r="AX616" s="13">
        <f>ROUNDUP(IF(SUM($AV616:$AW616)=0,0,IF(IF(ISBLANK($AW616),$AV616,$AW616)*Paraméterek!$J$112&lt;IF($D$4="Forint",Paraméterek!$J$113,Paraméterek!$K$113),IF($D$4="Forint",Paraméterek!$J$113,Paraméterek!$K$113),IF(IF(ISBLANK($AW616),$AV616,$AW616)*Paraméterek!$J$112&gt;IF($D$4="Forint",Paraméterek!$J$114,Paraméterek!$K$114),IF($D$4="Forint",Paraméterek!$J$114,Paraméterek!$K$114),IF(ISBLANK($AW616),$AV616,$AW616)*Paraméterek!$J$112))),IF($D$4="Forint",0,2))</f>
        <v>0</v>
      </c>
      <c r="AY616" s="13">
        <f>$AR616+$AT616-$AU616-IF(ROUNDDOWN(IF(ISBLANK($AW616),$AV616,$AW616),IF($D$4="Forint",0,2))&gt;$AR616+$AT616-$AU616-IF($D$4="Forint",Paraméterek!$J$114,Paraméterek!$K$114),0,ROUNDDOWN(IF(ISBLANK($AW616),$AV616,$AW616),IF($D$4="Forint",0,2))-$AX616)</f>
        <v>0</v>
      </c>
      <c r="AZ616" s="13">
        <f t="shared" si="144"/>
        <v>0</v>
      </c>
    </row>
    <row r="617" spans="1:52" x14ac:dyDescent="0.2">
      <c r="A617" s="32">
        <v>598</v>
      </c>
      <c r="B617" s="32">
        <v>50</v>
      </c>
      <c r="C617" s="32">
        <v>10</v>
      </c>
      <c r="D617" s="13">
        <f t="shared" si="135"/>
        <v>0</v>
      </c>
      <c r="E617" s="13"/>
      <c r="F617" s="13"/>
      <c r="G617" s="13"/>
      <c r="H617" s="13">
        <f t="shared" si="136"/>
        <v>0</v>
      </c>
      <c r="I617" s="13">
        <f t="shared" si="137"/>
        <v>0</v>
      </c>
      <c r="J617" s="13">
        <f t="shared" si="138"/>
        <v>0</v>
      </c>
      <c r="K617" s="13">
        <f>ROUNDUP(IF($D$2="Egyszeri",$D617,IF($D$2="Havi",SUM($D$20:$D$31),IF(MOD($C617,$M$1)-1=0,SUM($D$20:$D$31),0))/12*$M$1)*VLOOKUP($B617,Paraméterek!$B$27:$D$30,IF($D$2="Egyszeri",3,2)),IF($D$4="Forint",0,2))</f>
        <v>0</v>
      </c>
      <c r="L617" s="13">
        <f t="shared" si="139"/>
        <v>0</v>
      </c>
      <c r="M617" s="13">
        <f t="shared" ca="1" si="145"/>
        <v>-466747</v>
      </c>
      <c r="N617" s="13">
        <f ca="1">IF($V616&gt;=VLOOKUP($M$4-1+$B617,Paraméterek!$B$121:$D$122,IF($D$4="Forint",2,3)),0,VLOOKUP($M$4-1+$B617,Paraméterek!$B$121:$D$122,IF($D$4="Forint",2,3))-$V616)</f>
        <v>476747</v>
      </c>
      <c r="O617" s="13">
        <f ca="1">ROUNDUP($N617*Paraméterek!$C$58/Paraméterek!$C$56,IF($D$4="Forint",0,2))</f>
        <v>76</v>
      </c>
      <c r="P617" s="13">
        <f t="shared" si="140"/>
        <v>2341</v>
      </c>
      <c r="Q617" s="33"/>
      <c r="R617" s="13">
        <f t="shared" ca="1" si="141"/>
        <v>0</v>
      </c>
      <c r="S617" s="13">
        <f ca="1">ROUNDUP(($M617-$O617-$P617+$R617)*VLOOKUP($B617,Paraméterek!$B$38:$D$39,IF($D$2="Egyszeri",3,2))/12,IF($D$4="Forint",0,2))</f>
        <v>-1146</v>
      </c>
      <c r="T617" s="13"/>
      <c r="U617" s="13"/>
      <c r="V617" s="13">
        <f ca="1">$M617-$O617-$P617+$R617-$S617-IF(ROUNDUP(IF(ISBLANK($U617),$T617,$U617)/IF(AND($B617=1,$D$2&lt;&gt;"Egyszeri"),1,VLOOKUP($B617+IF($C617=12,1,0),Paraméterek!$B$257:$D$267,IF($D$2="Egyszeri",3,2))),IF($D$4="Forint",0,2))&gt;$M617-$O617-$P617+$R617-$S617-IF($D$4="Forint",Paraméterek!$C$216,Paraméterek!$D$216),0,ROUNDUP(IF(ISBLANK($U617),$T617,$U617)/IF(AND($B617=1,$D$2&lt;&gt;"Egyszeri"),1,VLOOKUP($B617+IF($C617=12,1,0),Paraméterek!$B$257:$D$267,IF($D$2="Egyszeri",3,2))),IF($D$4="Forint",0,2)))</f>
        <v>-468018</v>
      </c>
      <c r="W617" s="13">
        <f ca="1">ROUNDDOWN($V617*VLOOKUP($B617+IF($C617=12,1,0),Paraméterek!$B$257:$D$267,IF($D$2="Egyszeri",3,2)),IF($D$4="Forint",0,2))</f>
        <v>-468018</v>
      </c>
      <c r="Y617" s="32">
        <v>598</v>
      </c>
      <c r="Z617" s="32">
        <v>50</v>
      </c>
      <c r="AA617" s="32">
        <v>10</v>
      </c>
      <c r="AB617" s="13">
        <f t="shared" si="146"/>
        <v>0</v>
      </c>
      <c r="AC617" s="33"/>
      <c r="AD617" s="13">
        <f t="shared" si="142"/>
        <v>0</v>
      </c>
      <c r="AE617" s="13">
        <f>ROUNDUP(($AB617+$AD617)*VLOOKUP($Z617,Paraméterek!$P$38:$Q$38,2)/12,IF($D$4="Forint",0,2))</f>
        <v>0</v>
      </c>
      <c r="AF617" s="13">
        <f>IF($D$2="Egyszeri",IF($D$7&gt;=IF($D$4="Forint",Paraméterek!$P$223,Paraméterek!$P$224),$D$7-IF($D$4="Forint",Paraméterek!$F$223,Paraméterek!$F$224),0),MIN(IF($AA617=12,AVERAGE($D$20:$D617)*12,0),SUM($D$20:$D$31)))</f>
        <v>0</v>
      </c>
      <c r="AG617" s="13">
        <f>IF(AND($Z617&gt;=10,MOD($Z617,5)=0),$AF617*IF($AA617=12,VLOOKUP($Z617,Paraméterek!$B$225:$F$240,IF($AF617&lt;IF($D$4="Forint",Paraméterek!$C$223,Paraméterek!$C$224),2,IF($AF617&lt;IF($D$4="Forint",Paraméterek!$D$223,Paraméterek!$D$224),3,4))),0),0)</f>
        <v>0</v>
      </c>
      <c r="AH617" s="13">
        <f>IF(AND($Z617&gt;=5,MOD($Z617,5)=0),IF($AA617=12,VLOOKUP($Z617,Paraméterek!$B$225:$F$240,5),0),IF(OR($Z617=3,$Z617=4),IF($AA617=12,VLOOKUP($Z617,Paraméterek!$B$225:$F$240,5,0),0),0))*$AF617</f>
        <v>0</v>
      </c>
      <c r="AI617" s="13">
        <f>ROUNDDOWN(IF(SUM($T$20:$U617)=0,IF($D$2="Egyszeri",$AH617,$AG617),0),IF($D$4="Forint",0,2))</f>
        <v>0</v>
      </c>
      <c r="AJ617" s="13">
        <f t="shared" si="147"/>
        <v>0</v>
      </c>
      <c r="AK617" s="13">
        <f t="shared" si="148"/>
        <v>0</v>
      </c>
      <c r="AM617" s="32">
        <v>598</v>
      </c>
      <c r="AN617" s="32">
        <v>50</v>
      </c>
      <c r="AO617" s="32">
        <v>10</v>
      </c>
      <c r="AP617" s="13"/>
      <c r="AQ617" s="32"/>
      <c r="AR617" s="13">
        <f t="shared" si="149"/>
        <v>0</v>
      </c>
      <c r="AS617" s="33"/>
      <c r="AT617" s="13">
        <f t="shared" si="143"/>
        <v>0</v>
      </c>
      <c r="AU617" s="13">
        <f>ROUNDUP(($AR617+$AT617)*VLOOKUP($AN617,Paraméterek!$P$38:$Q$38,2)/12,IF($D$4="Forint",0,2))</f>
        <v>0</v>
      </c>
      <c r="AV617" s="13"/>
      <c r="AW617" s="13"/>
      <c r="AX617" s="13">
        <f>ROUNDUP(IF(SUM($AV617:$AW617)=0,0,IF(IF(ISBLANK($AW617),$AV617,$AW617)*Paraméterek!$J$112&lt;IF($D$4="Forint",Paraméterek!$J$113,Paraméterek!$K$113),IF($D$4="Forint",Paraméterek!$J$113,Paraméterek!$K$113),IF(IF(ISBLANK($AW617),$AV617,$AW617)*Paraméterek!$J$112&gt;IF($D$4="Forint",Paraméterek!$J$114,Paraméterek!$K$114),IF($D$4="Forint",Paraméterek!$J$114,Paraméterek!$K$114),IF(ISBLANK($AW617),$AV617,$AW617)*Paraméterek!$J$112))),IF($D$4="Forint",0,2))</f>
        <v>0</v>
      </c>
      <c r="AY617" s="13">
        <f>$AR617+$AT617-$AU617-IF(ROUNDDOWN(IF(ISBLANK($AW617),$AV617,$AW617),IF($D$4="Forint",0,2))&gt;$AR617+$AT617-$AU617-IF($D$4="Forint",Paraméterek!$J$114,Paraméterek!$K$114),0,ROUNDDOWN(IF(ISBLANK($AW617),$AV617,$AW617),IF($D$4="Forint",0,2))-$AX617)</f>
        <v>0</v>
      </c>
      <c r="AZ617" s="13">
        <f t="shared" si="144"/>
        <v>0</v>
      </c>
    </row>
    <row r="618" spans="1:52" x14ac:dyDescent="0.2">
      <c r="A618" s="32">
        <v>599</v>
      </c>
      <c r="B618" s="32">
        <v>50</v>
      </c>
      <c r="C618" s="32">
        <v>11</v>
      </c>
      <c r="D618" s="13">
        <f t="shared" si="135"/>
        <v>0</v>
      </c>
      <c r="E618" s="13"/>
      <c r="F618" s="13"/>
      <c r="G618" s="13"/>
      <c r="H618" s="13">
        <f t="shared" si="136"/>
        <v>0</v>
      </c>
      <c r="I618" s="13">
        <f t="shared" si="137"/>
        <v>0</v>
      </c>
      <c r="J618" s="13">
        <f t="shared" si="138"/>
        <v>0</v>
      </c>
      <c r="K618" s="13">
        <f>ROUNDUP(IF($D$2="Egyszeri",$D618,IF($D$2="Havi",SUM($D$20:$D$31),IF(MOD($C618,$M$1)-1=0,SUM($D$20:$D$31),0))/12*$M$1)*VLOOKUP($B618,Paraméterek!$B$27:$D$30,IF($D$2="Egyszeri",3,2)),IF($D$4="Forint",0,2))</f>
        <v>0</v>
      </c>
      <c r="L618" s="13">
        <f t="shared" si="139"/>
        <v>0</v>
      </c>
      <c r="M618" s="13">
        <f t="shared" ca="1" si="145"/>
        <v>-468018</v>
      </c>
      <c r="N618" s="13">
        <f ca="1">IF($V617&gt;=VLOOKUP($M$4-1+$B618,Paraméterek!$B$121:$D$122,IF($D$4="Forint",2,3)),0,VLOOKUP($M$4-1+$B618,Paraméterek!$B$121:$D$122,IF($D$4="Forint",2,3))-$V617)</f>
        <v>478018</v>
      </c>
      <c r="O618" s="13">
        <f ca="1">ROUNDUP($N618*Paraméterek!$C$58/Paraméterek!$C$56,IF($D$4="Forint",0,2))</f>
        <v>77</v>
      </c>
      <c r="P618" s="13">
        <f t="shared" si="140"/>
        <v>2341</v>
      </c>
      <c r="Q618" s="33"/>
      <c r="R618" s="13">
        <f t="shared" ca="1" si="141"/>
        <v>0</v>
      </c>
      <c r="S618" s="13">
        <f ca="1">ROUNDUP(($M618-$O618-$P618+$R618)*VLOOKUP($B618,Paraméterek!$B$38:$D$39,IF($D$2="Egyszeri",3,2))/12,IF($D$4="Forint",0,2))</f>
        <v>-1149</v>
      </c>
      <c r="T618" s="13"/>
      <c r="U618" s="13"/>
      <c r="V618" s="13">
        <f ca="1">$M618-$O618-$P618+$R618-$S618-IF(ROUNDUP(IF(ISBLANK($U618),$T618,$U618)/IF(AND($B618=1,$D$2&lt;&gt;"Egyszeri"),1,VLOOKUP($B618+IF($C618=12,1,0),Paraméterek!$B$257:$D$267,IF($D$2="Egyszeri",3,2))),IF($D$4="Forint",0,2))&gt;$M618-$O618-$P618+$R618-$S618-IF($D$4="Forint",Paraméterek!$C$216,Paraméterek!$D$216),0,ROUNDUP(IF(ISBLANK($U618),$T618,$U618)/IF(AND($B618=1,$D$2&lt;&gt;"Egyszeri"),1,VLOOKUP($B618+IF($C618=12,1,0),Paraméterek!$B$257:$D$267,IF($D$2="Egyszeri",3,2))),IF($D$4="Forint",0,2)))</f>
        <v>-469287</v>
      </c>
      <c r="W618" s="13">
        <f ca="1">ROUNDDOWN($V618*VLOOKUP($B618+IF($C618=12,1,0),Paraméterek!$B$257:$D$267,IF($D$2="Egyszeri",3,2)),IF($D$4="Forint",0,2))</f>
        <v>-469287</v>
      </c>
      <c r="Y618" s="32">
        <v>599</v>
      </c>
      <c r="Z618" s="32">
        <v>50</v>
      </c>
      <c r="AA618" s="32">
        <v>11</v>
      </c>
      <c r="AB618" s="13">
        <f t="shared" si="146"/>
        <v>0</v>
      </c>
      <c r="AC618" s="33"/>
      <c r="AD618" s="13">
        <f t="shared" si="142"/>
        <v>0</v>
      </c>
      <c r="AE618" s="13">
        <f>ROUNDUP(($AB618+$AD618)*VLOOKUP($Z618,Paraméterek!$P$38:$Q$38,2)/12,IF($D$4="Forint",0,2))</f>
        <v>0</v>
      </c>
      <c r="AF618" s="13">
        <f>IF($D$2="Egyszeri",IF($D$7&gt;=IF($D$4="Forint",Paraméterek!$P$223,Paraméterek!$P$224),$D$7-IF($D$4="Forint",Paraméterek!$F$223,Paraméterek!$F$224),0),MIN(IF($AA618=12,AVERAGE($D$20:$D618)*12,0),SUM($D$20:$D$31)))</f>
        <v>0</v>
      </c>
      <c r="AG618" s="13">
        <f>IF(AND($Z618&gt;=10,MOD($Z618,5)=0),$AF618*IF($AA618=12,VLOOKUP($Z618,Paraméterek!$B$225:$F$240,IF($AF618&lt;IF($D$4="Forint",Paraméterek!$C$223,Paraméterek!$C$224),2,IF($AF618&lt;IF($D$4="Forint",Paraméterek!$D$223,Paraméterek!$D$224),3,4))),0),0)</f>
        <v>0</v>
      </c>
      <c r="AH618" s="13">
        <f>IF(AND($Z618&gt;=5,MOD($Z618,5)=0),IF($AA618=12,VLOOKUP($Z618,Paraméterek!$B$225:$F$240,5),0),IF(OR($Z618=3,$Z618=4),IF($AA618=12,VLOOKUP($Z618,Paraméterek!$B$225:$F$240,5,0),0),0))*$AF618</f>
        <v>0</v>
      </c>
      <c r="AI618" s="13">
        <f>ROUNDDOWN(IF(SUM($T$20:$U618)=0,IF($D$2="Egyszeri",$AH618,$AG618),0),IF($D$4="Forint",0,2))</f>
        <v>0</v>
      </c>
      <c r="AJ618" s="13">
        <f t="shared" si="147"/>
        <v>0</v>
      </c>
      <c r="AK618" s="13">
        <f t="shared" si="148"/>
        <v>0</v>
      </c>
      <c r="AM618" s="32">
        <v>599</v>
      </c>
      <c r="AN618" s="32">
        <v>50</v>
      </c>
      <c r="AO618" s="32">
        <v>11</v>
      </c>
      <c r="AP618" s="13"/>
      <c r="AQ618" s="32"/>
      <c r="AR618" s="13">
        <f t="shared" si="149"/>
        <v>0</v>
      </c>
      <c r="AS618" s="33"/>
      <c r="AT618" s="13">
        <f t="shared" si="143"/>
        <v>0</v>
      </c>
      <c r="AU618" s="13">
        <f>ROUNDUP(($AR618+$AT618)*VLOOKUP($AN618,Paraméterek!$P$38:$Q$38,2)/12,IF($D$4="Forint",0,2))</f>
        <v>0</v>
      </c>
      <c r="AV618" s="13"/>
      <c r="AW618" s="13"/>
      <c r="AX618" s="13">
        <f>ROUNDUP(IF(SUM($AV618:$AW618)=0,0,IF(IF(ISBLANK($AW618),$AV618,$AW618)*Paraméterek!$J$112&lt;IF($D$4="Forint",Paraméterek!$J$113,Paraméterek!$K$113),IF($D$4="Forint",Paraméterek!$J$113,Paraméterek!$K$113),IF(IF(ISBLANK($AW618),$AV618,$AW618)*Paraméterek!$J$112&gt;IF($D$4="Forint",Paraméterek!$J$114,Paraméterek!$K$114),IF($D$4="Forint",Paraméterek!$J$114,Paraméterek!$K$114),IF(ISBLANK($AW618),$AV618,$AW618)*Paraméterek!$J$112))),IF($D$4="Forint",0,2))</f>
        <v>0</v>
      </c>
      <c r="AY618" s="13">
        <f>$AR618+$AT618-$AU618-IF(ROUNDDOWN(IF(ISBLANK($AW618),$AV618,$AW618),IF($D$4="Forint",0,2))&gt;$AR618+$AT618-$AU618-IF($D$4="Forint",Paraméterek!$J$114,Paraméterek!$K$114),0,ROUNDDOWN(IF(ISBLANK($AW618),$AV618,$AW618),IF($D$4="Forint",0,2))-$AX618)</f>
        <v>0</v>
      </c>
      <c r="AZ618" s="13">
        <f t="shared" si="144"/>
        <v>0</v>
      </c>
    </row>
    <row r="619" spans="1:52" x14ac:dyDescent="0.2">
      <c r="A619" s="32">
        <v>600</v>
      </c>
      <c r="B619" s="32">
        <v>50</v>
      </c>
      <c r="C619" s="32">
        <v>12</v>
      </c>
      <c r="D619" s="13">
        <f t="shared" si="135"/>
        <v>0</v>
      </c>
      <c r="E619" s="13"/>
      <c r="F619" s="13"/>
      <c r="G619" s="13"/>
      <c r="H619" s="13">
        <f t="shared" si="136"/>
        <v>0</v>
      </c>
      <c r="I619" s="13">
        <f t="shared" si="137"/>
        <v>0</v>
      </c>
      <c r="J619" s="13">
        <f t="shared" si="138"/>
        <v>0</v>
      </c>
      <c r="K619" s="13">
        <f>ROUNDUP(IF($D$2="Egyszeri",$D619,IF($D$2="Havi",SUM($D$20:$D$31),IF(MOD($C619,$M$1)-1=0,SUM($D$20:$D$31),0))/12*$M$1)*VLOOKUP($B619,Paraméterek!$B$27:$D$30,IF($D$2="Egyszeri",3,2)),IF($D$4="Forint",0,2))</f>
        <v>0</v>
      </c>
      <c r="L619" s="13">
        <f t="shared" si="139"/>
        <v>0</v>
      </c>
      <c r="M619" s="13">
        <f t="shared" ca="1" si="145"/>
        <v>-469287</v>
      </c>
      <c r="N619" s="13">
        <f ca="1">IF($V618&gt;=VLOOKUP($M$4-1+$B619,Paraméterek!$B$121:$D$122,IF($D$4="Forint",2,3)),0,VLOOKUP($M$4-1+$B619,Paraméterek!$B$121:$D$122,IF($D$4="Forint",2,3))-$V618)</f>
        <v>479287</v>
      </c>
      <c r="O619" s="13">
        <f ca="1">ROUNDUP($N619*Paraméterek!$C$58/Paraméterek!$C$56,IF($D$4="Forint",0,2))</f>
        <v>77</v>
      </c>
      <c r="P619" s="13">
        <f t="shared" si="140"/>
        <v>2341</v>
      </c>
      <c r="Q619" s="33"/>
      <c r="R619" s="13">
        <f t="shared" ca="1" si="141"/>
        <v>0</v>
      </c>
      <c r="S619" s="13">
        <f ca="1">ROUNDUP(($M619-$O619-$P619+$R619)*VLOOKUP($B619,Paraméterek!$B$38:$D$39,IF($D$2="Egyszeri",3,2))/12,IF($D$4="Forint",0,2))</f>
        <v>-1152</v>
      </c>
      <c r="T619" s="13">
        <f>Tranzakciók!$F$81</f>
        <v>0</v>
      </c>
      <c r="U619" s="13"/>
      <c r="V619" s="13">
        <f ca="1">$M619-$O619-$P619+$R619-$S619-IF(ROUNDUP(IF(ISBLANK($U619),$T619,$U619)/IF(AND($B619=1,$D$2&lt;&gt;"Egyszeri"),1,VLOOKUP($B619+IF($C619=12,1,0),Paraméterek!$B$257:$D$267,IF($D$2="Egyszeri",3,2))),IF($D$4="Forint",0,2))&gt;$M619-$O619-$P619+$R619-$S619-IF($D$4="Forint",Paraméterek!$C$216,Paraméterek!$D$216),0,ROUNDUP(IF(ISBLANK($U619),$T619,$U619)/IF(AND($B619=1,$D$2&lt;&gt;"Egyszeri"),1,VLOOKUP($B619+IF($C619=12,1,0),Paraméterek!$B$257:$D$267,IF($D$2="Egyszeri",3,2))),IF($D$4="Forint",0,2)))</f>
        <v>-470553</v>
      </c>
      <c r="W619" s="13">
        <f ca="1">ROUNDDOWN($V619*VLOOKUP($B619+IF($C619=12,1,0),Paraméterek!$B$257:$D$267,IF($D$2="Egyszeri",3,2)),IF($D$4="Forint",0,2))</f>
        <v>-470553</v>
      </c>
      <c r="Y619" s="32">
        <v>600</v>
      </c>
      <c r="Z619" s="32">
        <v>50</v>
      </c>
      <c r="AA619" s="32">
        <v>12</v>
      </c>
      <c r="AB619" s="13">
        <f t="shared" si="146"/>
        <v>0</v>
      </c>
      <c r="AC619" s="33"/>
      <c r="AD619" s="13">
        <f t="shared" si="142"/>
        <v>0</v>
      </c>
      <c r="AE619" s="13">
        <f>ROUNDUP(($AB619+$AD619)*VLOOKUP($Z619,Paraméterek!$P$38:$Q$38,2)/12,IF($D$4="Forint",0,2))</f>
        <v>0</v>
      </c>
      <c r="AF619" s="13">
        <f>IF($D$2="Egyszeri",IF($D$7&gt;=IF($D$4="Forint",Paraméterek!$P$223,Paraméterek!$P$224),$D$7-IF($D$4="Forint",Paraméterek!$F$223,Paraméterek!$F$224),0),MIN(IF($AA619=12,AVERAGE($D$20:$D619)*12,0),SUM($D$20:$D$31)))</f>
        <v>0</v>
      </c>
      <c r="AG619" s="13">
        <f>IF(AND($Z619&gt;=10,MOD($Z619,5)=0),$AF619*IF($AA619=12,VLOOKUP($Z619,Paraméterek!$B$225:$F$240,IF($AF619&lt;IF($D$4="Forint",Paraméterek!$C$223,Paraméterek!$C$224),2,IF($AF619&lt;IF($D$4="Forint",Paraméterek!$D$223,Paraméterek!$D$224),3,4))),0),0)</f>
        <v>0</v>
      </c>
      <c r="AH619" s="13">
        <f>IF(AND($Z619&gt;=5,MOD($Z619,5)=0),IF($AA619=12,VLOOKUP($Z619,Paraméterek!$B$225:$F$240,5),0),IF(OR($Z619=3,$Z619=4),IF($AA619=12,VLOOKUP($Z619,Paraméterek!$B$225:$F$240,5,0),0),0))*$AF619</f>
        <v>0</v>
      </c>
      <c r="AI619" s="13">
        <f>ROUNDDOWN(IF(SUM($T$20:$U619)=0,IF($D$2="Egyszeri",$AH619,$AG619),0),IF($D$4="Forint",0,2))</f>
        <v>0</v>
      </c>
      <c r="AJ619" s="13">
        <f t="shared" si="147"/>
        <v>0</v>
      </c>
      <c r="AK619" s="13">
        <f t="shared" si="148"/>
        <v>0</v>
      </c>
      <c r="AM619" s="32">
        <v>600</v>
      </c>
      <c r="AN619" s="32">
        <v>50</v>
      </c>
      <c r="AO619" s="32">
        <v>12</v>
      </c>
      <c r="AP619" s="13"/>
      <c r="AQ619" s="32"/>
      <c r="AR619" s="13">
        <f t="shared" si="149"/>
        <v>0</v>
      </c>
      <c r="AS619" s="33"/>
      <c r="AT619" s="13">
        <f t="shared" si="143"/>
        <v>0</v>
      </c>
      <c r="AU619" s="13">
        <f>ROUNDUP(($AR619+$AT619)*VLOOKUP($AN619,Paraméterek!$P$38:$Q$38,2)/12,IF($D$4="Forint",0,2))</f>
        <v>0</v>
      </c>
      <c r="AV619" s="13">
        <f>Tranzakciók!$M$81</f>
        <v>0</v>
      </c>
      <c r="AW619" s="13"/>
      <c r="AX619" s="13">
        <f>ROUNDUP(IF(SUM($AV619:$AW619)=0,0,IF(IF(ISBLANK($AW619),$AV619,$AW619)*Paraméterek!$J$112&lt;IF($D$4="Forint",Paraméterek!$J$113,Paraméterek!$K$113),IF($D$4="Forint",Paraméterek!$J$113,Paraméterek!$K$113),IF(IF(ISBLANK($AW619),$AV619,$AW619)*Paraméterek!$J$112&gt;IF($D$4="Forint",Paraméterek!$J$114,Paraméterek!$K$114),IF($D$4="Forint",Paraméterek!$J$114,Paraméterek!$K$114),IF(ISBLANK($AW619),$AV619,$AW619)*Paraméterek!$J$112))),IF($D$4="Forint",0,2))</f>
        <v>0</v>
      </c>
      <c r="AY619" s="13">
        <f>$AR619+$AT619-$AU619-IF(ROUNDDOWN(IF(ISBLANK($AW619),$AV619,$AW619),IF($D$4="Forint",0,2))&gt;$AR619+$AT619-$AU619-IF($D$4="Forint",Paraméterek!$J$114,Paraméterek!$K$114),0,ROUNDDOWN(IF(ISBLANK($AW619),$AV619,$AW619),IF($D$4="Forint",0,2))-$AX619)</f>
        <v>0</v>
      </c>
      <c r="AZ619" s="13">
        <f t="shared" si="144"/>
        <v>0</v>
      </c>
    </row>
    <row r="620" spans="1:52" x14ac:dyDescent="0.2">
      <c r="A620" s="32">
        <v>601</v>
      </c>
      <c r="B620" s="32">
        <v>51</v>
      </c>
      <c r="C620" s="32">
        <v>1</v>
      </c>
      <c r="D620" s="13">
        <f t="shared" si="135"/>
        <v>0</v>
      </c>
      <c r="E620" s="13"/>
      <c r="F620" s="13">
        <f>Tranzakciók!$D$82</f>
        <v>0</v>
      </c>
      <c r="G620" s="13"/>
      <c r="H620" s="13">
        <f t="shared" si="136"/>
        <v>0</v>
      </c>
      <c r="I620" s="13">
        <f t="shared" si="137"/>
        <v>439</v>
      </c>
      <c r="J620" s="13">
        <f t="shared" si="138"/>
        <v>439</v>
      </c>
      <c r="K620" s="13">
        <f>ROUNDUP(IF($D$2="Egyszeri",$D620,IF($D$2="Havi",SUM($D$20:$D$31),IF(MOD($C620,$M$1)-1=0,SUM($D$20:$D$31),0))/12*$M$1)*VLOOKUP($B620,Paraméterek!$B$27:$D$30,IF($D$2="Egyszeri",3,2)),IF($D$4="Forint",0,2))</f>
        <v>0</v>
      </c>
      <c r="L620" s="13">
        <f t="shared" si="139"/>
        <v>0</v>
      </c>
      <c r="M620" s="13">
        <f t="shared" ca="1" si="145"/>
        <v>-470553</v>
      </c>
      <c r="N620" s="13">
        <f ca="1">IF($V619&gt;=VLOOKUP($M$4-1+$B620,Paraméterek!$B$121:$D$122,IF($D$4="Forint",2,3)),0,VLOOKUP($M$4-1+$B620,Paraméterek!$B$121:$D$122,IF($D$4="Forint",2,3))-$V619)</f>
        <v>480553</v>
      </c>
      <c r="O620" s="13">
        <f ca="1">ROUNDUP($N620*Paraméterek!$C$58/Paraméterek!$C$56,IF($D$4="Forint",0,2))</f>
        <v>77</v>
      </c>
      <c r="P620" s="13">
        <f t="shared" si="140"/>
        <v>2412</v>
      </c>
      <c r="Q620" s="33"/>
      <c r="R620" s="13">
        <f t="shared" ca="1" si="141"/>
        <v>0</v>
      </c>
      <c r="S620" s="13">
        <f ca="1">ROUNDUP(($M620-$O620-$P620+$R620)*VLOOKUP($B620,Paraméterek!$B$38:$D$39,IF($D$2="Egyszeri",3,2))/12,IF($D$4="Forint",0,2))</f>
        <v>-1156</v>
      </c>
      <c r="T620" s="13"/>
      <c r="U620" s="13"/>
      <c r="V620" s="13">
        <f ca="1">$M620-$O620-$P620+$R620-$S620-IF(ROUNDUP(IF(ISBLANK($U620),$T620,$U620)/IF(AND($B620=1,$D$2&lt;&gt;"Egyszeri"),1,VLOOKUP($B620+IF($C620=12,1,0),Paraméterek!$B$257:$D$267,IF($D$2="Egyszeri",3,2))),IF($D$4="Forint",0,2))&gt;$M620-$O620-$P620+$R620-$S620-IF($D$4="Forint",Paraméterek!$C$216,Paraméterek!$D$216),0,ROUNDUP(IF(ISBLANK($U620),$T620,$U620)/IF(AND($B620=1,$D$2&lt;&gt;"Egyszeri"),1,VLOOKUP($B620+IF($C620=12,1,0),Paraméterek!$B$257:$D$267,IF($D$2="Egyszeri",3,2))),IF($D$4="Forint",0,2)))</f>
        <v>-471886</v>
      </c>
      <c r="W620" s="13">
        <f ca="1">ROUNDDOWN($V620*VLOOKUP($B620+IF($C620=12,1,0),Paraméterek!$B$257:$D$267,IF($D$2="Egyszeri",3,2)),IF($D$4="Forint",0,2))</f>
        <v>-471886</v>
      </c>
      <c r="Y620" s="32">
        <v>601</v>
      </c>
      <c r="Z620" s="32">
        <v>51</v>
      </c>
      <c r="AA620" s="32">
        <v>1</v>
      </c>
      <c r="AB620" s="13">
        <f t="shared" si="146"/>
        <v>0</v>
      </c>
      <c r="AC620" s="33"/>
      <c r="AD620" s="13">
        <f t="shared" si="142"/>
        <v>0</v>
      </c>
      <c r="AE620" s="13">
        <f>ROUNDUP(($AB620+$AD620)*VLOOKUP($Z620,Paraméterek!$P$38:$Q$38,2)/12,IF($D$4="Forint",0,2))</f>
        <v>0</v>
      </c>
      <c r="AF620" s="13">
        <f>IF($D$2="Egyszeri",IF($D$7&gt;=IF($D$4="Forint",Paraméterek!$P$223,Paraméterek!$P$224),$D$7-IF($D$4="Forint",Paraméterek!$F$223,Paraméterek!$F$224),0),MIN(IF($AA620=12,AVERAGE($D$20:$D620)*12,0),SUM($D$20:$D$31)))</f>
        <v>0</v>
      </c>
      <c r="AG620" s="13">
        <f>IF(AND($Z620&gt;=10,MOD($Z620,5)=0),$AF620*IF($AA620=12,VLOOKUP($Z620,Paraméterek!$B$225:$F$240,IF($AF620&lt;IF($D$4="Forint",Paraméterek!$C$223,Paraméterek!$C$224),2,IF($AF620&lt;IF($D$4="Forint",Paraméterek!$D$223,Paraméterek!$D$224),3,4))),0),0)</f>
        <v>0</v>
      </c>
      <c r="AH620" s="13">
        <f>IF(AND($Z620&gt;=5,MOD($Z620,5)=0),IF($AA620=12,VLOOKUP($Z620,Paraméterek!$B$225:$F$240,5),0),IF(OR($Z620=3,$Z620=4),IF($AA620=12,VLOOKUP($Z620,Paraméterek!$B$225:$F$240,5,0),0),0))*$AF620</f>
        <v>0</v>
      </c>
      <c r="AI620" s="13">
        <f>ROUNDDOWN(IF(SUM($T$20:$U620)=0,IF($D$2="Egyszeri",$AH620,$AG620),0),IF($D$4="Forint",0,2))</f>
        <v>0</v>
      </c>
      <c r="AJ620" s="13">
        <f t="shared" si="147"/>
        <v>0</v>
      </c>
      <c r="AK620" s="13">
        <f t="shared" si="148"/>
        <v>0</v>
      </c>
      <c r="AM620" s="32">
        <v>601</v>
      </c>
      <c r="AN620" s="32">
        <v>51</v>
      </c>
      <c r="AO620" s="32">
        <v>1</v>
      </c>
      <c r="AP620" s="13">
        <f>Tranzakciók!$K$82</f>
        <v>0</v>
      </c>
      <c r="AQ620" s="32"/>
      <c r="AR620" s="13">
        <f t="shared" si="149"/>
        <v>0</v>
      </c>
      <c r="AS620" s="33"/>
      <c r="AT620" s="13">
        <f t="shared" si="143"/>
        <v>0</v>
      </c>
      <c r="AU620" s="13">
        <f>ROUNDUP(($AR620+$AT620)*VLOOKUP($AN620,Paraméterek!$P$38:$Q$38,2)/12,IF($D$4="Forint",0,2))</f>
        <v>0</v>
      </c>
      <c r="AV620" s="13"/>
      <c r="AW620" s="13"/>
      <c r="AX620" s="13">
        <f>ROUNDUP(IF(SUM($AV620:$AW620)=0,0,IF(IF(ISBLANK($AW620),$AV620,$AW620)*Paraméterek!$J$112&lt;IF($D$4="Forint",Paraméterek!$J$113,Paraméterek!$K$113),IF($D$4="Forint",Paraméterek!$J$113,Paraméterek!$K$113),IF(IF(ISBLANK($AW620),$AV620,$AW620)*Paraméterek!$J$112&gt;IF($D$4="Forint",Paraméterek!$J$114,Paraméterek!$K$114),IF($D$4="Forint",Paraméterek!$J$114,Paraméterek!$K$114),IF(ISBLANK($AW620),$AV620,$AW620)*Paraméterek!$J$112))),IF($D$4="Forint",0,2))</f>
        <v>0</v>
      </c>
      <c r="AY620" s="13">
        <f>$AR620+$AT620-$AU620-IF(ROUNDDOWN(IF(ISBLANK($AW620),$AV620,$AW620),IF($D$4="Forint",0,2))&gt;$AR620+$AT620-$AU620-IF($D$4="Forint",Paraméterek!$J$114,Paraméterek!$K$114),0,ROUNDDOWN(IF(ISBLANK($AW620),$AV620,$AW620),IF($D$4="Forint",0,2))-$AX620)</f>
        <v>0</v>
      </c>
      <c r="AZ620" s="13">
        <f t="shared" si="144"/>
        <v>0</v>
      </c>
    </row>
    <row r="621" spans="1:52" x14ac:dyDescent="0.2">
      <c r="A621" s="32">
        <v>602</v>
      </c>
      <c r="B621" s="32">
        <v>51</v>
      </c>
      <c r="C621" s="32">
        <v>2</v>
      </c>
      <c r="D621" s="13">
        <f t="shared" si="135"/>
        <v>0</v>
      </c>
      <c r="E621" s="13"/>
      <c r="F621" s="13"/>
      <c r="G621" s="13"/>
      <c r="H621" s="13">
        <f t="shared" si="136"/>
        <v>0</v>
      </c>
      <c r="I621" s="13">
        <f t="shared" si="137"/>
        <v>0</v>
      </c>
      <c r="J621" s="13">
        <f t="shared" si="138"/>
        <v>0</v>
      </c>
      <c r="K621" s="13">
        <f>ROUNDUP(IF($D$2="Egyszeri",$D621,IF($D$2="Havi",SUM($D$20:$D$31),IF(MOD($C621,$M$1)-1=0,SUM($D$20:$D$31),0))/12*$M$1)*VLOOKUP($B621,Paraméterek!$B$27:$D$30,IF($D$2="Egyszeri",3,2)),IF($D$4="Forint",0,2))</f>
        <v>0</v>
      </c>
      <c r="L621" s="13">
        <f t="shared" si="139"/>
        <v>0</v>
      </c>
      <c r="M621" s="13">
        <f t="shared" ca="1" si="145"/>
        <v>-471886</v>
      </c>
      <c r="N621" s="13">
        <f ca="1">IF($V620&gt;=VLOOKUP($M$4-1+$B621,Paraméterek!$B$121:$D$122,IF($D$4="Forint",2,3)),0,VLOOKUP($M$4-1+$B621,Paraméterek!$B$121:$D$122,IF($D$4="Forint",2,3))-$V620)</f>
        <v>481886</v>
      </c>
      <c r="O621" s="13">
        <f ca="1">ROUNDUP($N621*Paraméterek!$C$58/Paraméterek!$C$56,IF($D$4="Forint",0,2))</f>
        <v>77</v>
      </c>
      <c r="P621" s="13">
        <f t="shared" si="140"/>
        <v>2412</v>
      </c>
      <c r="Q621" s="33"/>
      <c r="R621" s="13">
        <f t="shared" ca="1" si="141"/>
        <v>0</v>
      </c>
      <c r="S621" s="13">
        <f ca="1">ROUNDUP(($M621-$O621-$P621+$R621)*VLOOKUP($B621,Paraméterek!$B$38:$D$39,IF($D$2="Egyszeri",3,2))/12,IF($D$4="Forint",0,2))</f>
        <v>-1159</v>
      </c>
      <c r="T621" s="13"/>
      <c r="U621" s="13"/>
      <c r="V621" s="13">
        <f ca="1">$M621-$O621-$P621+$R621-$S621-IF(ROUNDUP(IF(ISBLANK($U621),$T621,$U621)/IF(AND($B621=1,$D$2&lt;&gt;"Egyszeri"),1,VLOOKUP($B621+IF($C621=12,1,0),Paraméterek!$B$257:$D$267,IF($D$2="Egyszeri",3,2))),IF($D$4="Forint",0,2))&gt;$M621-$O621-$P621+$R621-$S621-IF($D$4="Forint",Paraméterek!$C$216,Paraméterek!$D$216),0,ROUNDUP(IF(ISBLANK($U621),$T621,$U621)/IF(AND($B621=1,$D$2&lt;&gt;"Egyszeri"),1,VLOOKUP($B621+IF($C621=12,1,0),Paraméterek!$B$257:$D$267,IF($D$2="Egyszeri",3,2))),IF($D$4="Forint",0,2)))</f>
        <v>-473216</v>
      </c>
      <c r="W621" s="13">
        <f ca="1">ROUNDDOWN($V621*VLOOKUP($B621+IF($C621=12,1,0),Paraméterek!$B$257:$D$267,IF($D$2="Egyszeri",3,2)),IF($D$4="Forint",0,2))</f>
        <v>-473216</v>
      </c>
      <c r="Y621" s="32">
        <v>602</v>
      </c>
      <c r="Z621" s="32">
        <v>51</v>
      </c>
      <c r="AA621" s="32">
        <v>2</v>
      </c>
      <c r="AB621" s="13">
        <f t="shared" si="146"/>
        <v>0</v>
      </c>
      <c r="AC621" s="33"/>
      <c r="AD621" s="13">
        <f t="shared" si="142"/>
        <v>0</v>
      </c>
      <c r="AE621" s="13">
        <f>ROUNDUP(($AB621+$AD621)*VLOOKUP($Z621,Paraméterek!$P$38:$Q$38,2)/12,IF($D$4="Forint",0,2))</f>
        <v>0</v>
      </c>
      <c r="AF621" s="13">
        <f>IF($D$2="Egyszeri",IF($D$7&gt;=IF($D$4="Forint",Paraméterek!$P$223,Paraméterek!$P$224),$D$7-IF($D$4="Forint",Paraméterek!$F$223,Paraméterek!$F$224),0),MIN(IF($AA621=12,AVERAGE($D$20:$D621)*12,0),SUM($D$20:$D$31)))</f>
        <v>0</v>
      </c>
      <c r="AG621" s="13">
        <f>IF(AND($Z621&gt;=10,MOD($Z621,5)=0),$AF621*IF($AA621=12,VLOOKUP($Z621,Paraméterek!$B$225:$F$240,IF($AF621&lt;IF($D$4="Forint",Paraméterek!$C$223,Paraméterek!$C$224),2,IF($AF621&lt;IF($D$4="Forint",Paraméterek!$D$223,Paraméterek!$D$224),3,4))),0),0)</f>
        <v>0</v>
      </c>
      <c r="AH621" s="13">
        <f>IF(AND($Z621&gt;=5,MOD($Z621,5)=0),IF($AA621=12,VLOOKUP($Z621,Paraméterek!$B$225:$F$240,5),0),IF(OR($Z621=3,$Z621=4),IF($AA621=12,VLOOKUP($Z621,Paraméterek!$B$225:$F$240,5,0),0),0))*$AF621</f>
        <v>0</v>
      </c>
      <c r="AI621" s="13">
        <f>ROUNDDOWN(IF(SUM($T$20:$U621)=0,IF($D$2="Egyszeri",$AH621,$AG621),0),IF($D$4="Forint",0,2))</f>
        <v>0</v>
      </c>
      <c r="AJ621" s="13">
        <f t="shared" si="147"/>
        <v>0</v>
      </c>
      <c r="AK621" s="13">
        <f t="shared" si="148"/>
        <v>0</v>
      </c>
      <c r="AM621" s="32">
        <v>602</v>
      </c>
      <c r="AN621" s="32">
        <v>51</v>
      </c>
      <c r="AO621" s="32">
        <v>2</v>
      </c>
      <c r="AP621" s="13"/>
      <c r="AQ621" s="32"/>
      <c r="AR621" s="13">
        <f t="shared" si="149"/>
        <v>0</v>
      </c>
      <c r="AS621" s="33"/>
      <c r="AT621" s="13">
        <f t="shared" si="143"/>
        <v>0</v>
      </c>
      <c r="AU621" s="13">
        <f>ROUNDUP(($AR621+$AT621)*VLOOKUP($AN621,Paraméterek!$P$38:$Q$38,2)/12,IF($D$4="Forint",0,2))</f>
        <v>0</v>
      </c>
      <c r="AV621" s="13"/>
      <c r="AW621" s="13"/>
      <c r="AX621" s="13">
        <f>ROUNDUP(IF(SUM($AV621:$AW621)=0,0,IF(IF(ISBLANK($AW621),$AV621,$AW621)*Paraméterek!$J$112&lt;IF($D$4="Forint",Paraméterek!$J$113,Paraméterek!$K$113),IF($D$4="Forint",Paraméterek!$J$113,Paraméterek!$K$113),IF(IF(ISBLANK($AW621),$AV621,$AW621)*Paraméterek!$J$112&gt;IF($D$4="Forint",Paraméterek!$J$114,Paraméterek!$K$114),IF($D$4="Forint",Paraméterek!$J$114,Paraméterek!$K$114),IF(ISBLANK($AW621),$AV621,$AW621)*Paraméterek!$J$112))),IF($D$4="Forint",0,2))</f>
        <v>0</v>
      </c>
      <c r="AY621" s="13">
        <f>$AR621+$AT621-$AU621-IF(ROUNDDOWN(IF(ISBLANK($AW621),$AV621,$AW621),IF($D$4="Forint",0,2))&gt;$AR621+$AT621-$AU621-IF($D$4="Forint",Paraméterek!$J$114,Paraméterek!$K$114),0,ROUNDDOWN(IF(ISBLANK($AW621),$AV621,$AW621),IF($D$4="Forint",0,2))-$AX621)</f>
        <v>0</v>
      </c>
      <c r="AZ621" s="13">
        <f t="shared" si="144"/>
        <v>0</v>
      </c>
    </row>
    <row r="622" spans="1:52" x14ac:dyDescent="0.2">
      <c r="A622" s="32">
        <v>603</v>
      </c>
      <c r="B622" s="32">
        <v>51</v>
      </c>
      <c r="C622" s="32">
        <v>3</v>
      </c>
      <c r="D622" s="13">
        <f t="shared" si="135"/>
        <v>0</v>
      </c>
      <c r="E622" s="13"/>
      <c r="F622" s="13"/>
      <c r="G622" s="13"/>
      <c r="H622" s="13">
        <f t="shared" si="136"/>
        <v>0</v>
      </c>
      <c r="I622" s="13">
        <f t="shared" si="137"/>
        <v>0</v>
      </c>
      <c r="J622" s="13">
        <f t="shared" si="138"/>
        <v>0</v>
      </c>
      <c r="K622" s="13">
        <f>ROUNDUP(IF($D$2="Egyszeri",$D622,IF($D$2="Havi",SUM($D$20:$D$31),IF(MOD($C622,$M$1)-1=0,SUM($D$20:$D$31),0))/12*$M$1)*VLOOKUP($B622,Paraméterek!$B$27:$D$30,IF($D$2="Egyszeri",3,2)),IF($D$4="Forint",0,2))</f>
        <v>0</v>
      </c>
      <c r="L622" s="13">
        <f t="shared" si="139"/>
        <v>0</v>
      </c>
      <c r="M622" s="13">
        <f t="shared" ca="1" si="145"/>
        <v>-473216</v>
      </c>
      <c r="N622" s="13">
        <f ca="1">IF($V621&gt;=VLOOKUP($M$4-1+$B622,Paraméterek!$B$121:$D$122,IF($D$4="Forint",2,3)),0,VLOOKUP($M$4-1+$B622,Paraméterek!$B$121:$D$122,IF($D$4="Forint",2,3))-$V621)</f>
        <v>483216</v>
      </c>
      <c r="O622" s="13">
        <f ca="1">ROUNDUP($N622*Paraméterek!$C$58/Paraméterek!$C$56,IF($D$4="Forint",0,2))</f>
        <v>77</v>
      </c>
      <c r="P622" s="13">
        <f t="shared" si="140"/>
        <v>2412</v>
      </c>
      <c r="Q622" s="33"/>
      <c r="R622" s="13">
        <f t="shared" ca="1" si="141"/>
        <v>0</v>
      </c>
      <c r="S622" s="13">
        <f ca="1">ROUNDUP(($M622-$O622-$P622+$R622)*VLOOKUP($B622,Paraméterek!$B$38:$D$39,IF($D$2="Egyszeri",3,2))/12,IF($D$4="Forint",0,2))</f>
        <v>-1162</v>
      </c>
      <c r="T622" s="13"/>
      <c r="U622" s="13"/>
      <c r="V622" s="13">
        <f ca="1">$M622-$O622-$P622+$R622-$S622-IF(ROUNDUP(IF(ISBLANK($U622),$T622,$U622)/IF(AND($B622=1,$D$2&lt;&gt;"Egyszeri"),1,VLOOKUP($B622+IF($C622=12,1,0),Paraméterek!$B$257:$D$267,IF($D$2="Egyszeri",3,2))),IF($D$4="Forint",0,2))&gt;$M622-$O622-$P622+$R622-$S622-IF($D$4="Forint",Paraméterek!$C$216,Paraméterek!$D$216),0,ROUNDUP(IF(ISBLANK($U622),$T622,$U622)/IF(AND($B622=1,$D$2&lt;&gt;"Egyszeri"),1,VLOOKUP($B622+IF($C622=12,1,0),Paraméterek!$B$257:$D$267,IF($D$2="Egyszeri",3,2))),IF($D$4="Forint",0,2)))</f>
        <v>-474543</v>
      </c>
      <c r="W622" s="13">
        <f ca="1">ROUNDDOWN($V622*VLOOKUP($B622+IF($C622=12,1,0),Paraméterek!$B$257:$D$267,IF($D$2="Egyszeri",3,2)),IF($D$4="Forint",0,2))</f>
        <v>-474543</v>
      </c>
      <c r="Y622" s="32">
        <v>603</v>
      </c>
      <c r="Z622" s="32">
        <v>51</v>
      </c>
      <c r="AA622" s="32">
        <v>3</v>
      </c>
      <c r="AB622" s="13">
        <f t="shared" si="146"/>
        <v>0</v>
      </c>
      <c r="AC622" s="33"/>
      <c r="AD622" s="13">
        <f t="shared" si="142"/>
        <v>0</v>
      </c>
      <c r="AE622" s="13">
        <f>ROUNDUP(($AB622+$AD622)*VLOOKUP($Z622,Paraméterek!$P$38:$Q$38,2)/12,IF($D$4="Forint",0,2))</f>
        <v>0</v>
      </c>
      <c r="AF622" s="13">
        <f>IF($D$2="Egyszeri",IF($D$7&gt;=IF($D$4="Forint",Paraméterek!$P$223,Paraméterek!$P$224),$D$7-IF($D$4="Forint",Paraméterek!$F$223,Paraméterek!$F$224),0),MIN(IF($AA622=12,AVERAGE($D$20:$D622)*12,0),SUM($D$20:$D$31)))</f>
        <v>0</v>
      </c>
      <c r="AG622" s="13">
        <f>IF(AND($Z622&gt;=10,MOD($Z622,5)=0),$AF622*IF($AA622=12,VLOOKUP($Z622,Paraméterek!$B$225:$F$240,IF($AF622&lt;IF($D$4="Forint",Paraméterek!$C$223,Paraméterek!$C$224),2,IF($AF622&lt;IF($D$4="Forint",Paraméterek!$D$223,Paraméterek!$D$224),3,4))),0),0)</f>
        <v>0</v>
      </c>
      <c r="AH622" s="13">
        <f>IF(AND($Z622&gt;=5,MOD($Z622,5)=0),IF($AA622=12,VLOOKUP($Z622,Paraméterek!$B$225:$F$240,5),0),IF(OR($Z622=3,$Z622=4),IF($AA622=12,VLOOKUP($Z622,Paraméterek!$B$225:$F$240,5,0),0),0))*$AF622</f>
        <v>0</v>
      </c>
      <c r="AI622" s="13">
        <f>ROUNDDOWN(IF(SUM($T$20:$U622)=0,IF($D$2="Egyszeri",$AH622,$AG622),0),IF($D$4="Forint",0,2))</f>
        <v>0</v>
      </c>
      <c r="AJ622" s="13">
        <f t="shared" si="147"/>
        <v>0</v>
      </c>
      <c r="AK622" s="13">
        <f t="shared" si="148"/>
        <v>0</v>
      </c>
      <c r="AM622" s="32">
        <v>603</v>
      </c>
      <c r="AN622" s="32">
        <v>51</v>
      </c>
      <c r="AO622" s="32">
        <v>3</v>
      </c>
      <c r="AP622" s="13"/>
      <c r="AQ622" s="32"/>
      <c r="AR622" s="13">
        <f t="shared" si="149"/>
        <v>0</v>
      </c>
      <c r="AS622" s="33"/>
      <c r="AT622" s="13">
        <f t="shared" si="143"/>
        <v>0</v>
      </c>
      <c r="AU622" s="13">
        <f>ROUNDUP(($AR622+$AT622)*VLOOKUP($AN622,Paraméterek!$P$38:$Q$38,2)/12,IF($D$4="Forint",0,2))</f>
        <v>0</v>
      </c>
      <c r="AV622" s="13"/>
      <c r="AW622" s="13"/>
      <c r="AX622" s="13">
        <f>ROUNDUP(IF(SUM($AV622:$AW622)=0,0,IF(IF(ISBLANK($AW622),$AV622,$AW622)*Paraméterek!$J$112&lt;IF($D$4="Forint",Paraméterek!$J$113,Paraméterek!$K$113),IF($D$4="Forint",Paraméterek!$J$113,Paraméterek!$K$113),IF(IF(ISBLANK($AW622),$AV622,$AW622)*Paraméterek!$J$112&gt;IF($D$4="Forint",Paraméterek!$J$114,Paraméterek!$K$114),IF($D$4="Forint",Paraméterek!$J$114,Paraméterek!$K$114),IF(ISBLANK($AW622),$AV622,$AW622)*Paraméterek!$J$112))),IF($D$4="Forint",0,2))</f>
        <v>0</v>
      </c>
      <c r="AY622" s="13">
        <f>$AR622+$AT622-$AU622-IF(ROUNDDOWN(IF(ISBLANK($AW622),$AV622,$AW622),IF($D$4="Forint",0,2))&gt;$AR622+$AT622-$AU622-IF($D$4="Forint",Paraméterek!$J$114,Paraméterek!$K$114),0,ROUNDDOWN(IF(ISBLANK($AW622),$AV622,$AW622),IF($D$4="Forint",0,2))-$AX622)</f>
        <v>0</v>
      </c>
      <c r="AZ622" s="13">
        <f t="shared" si="144"/>
        <v>0</v>
      </c>
    </row>
    <row r="623" spans="1:52" x14ac:dyDescent="0.2">
      <c r="A623" s="32">
        <v>604</v>
      </c>
      <c r="B623" s="32">
        <v>51</v>
      </c>
      <c r="C623" s="32">
        <v>4</v>
      </c>
      <c r="D623" s="13">
        <f t="shared" si="135"/>
        <v>0</v>
      </c>
      <c r="E623" s="13"/>
      <c r="F623" s="13"/>
      <c r="G623" s="13"/>
      <c r="H623" s="13">
        <f t="shared" si="136"/>
        <v>0</v>
      </c>
      <c r="I623" s="13">
        <f t="shared" si="137"/>
        <v>0</v>
      </c>
      <c r="J623" s="13">
        <f t="shared" si="138"/>
        <v>0</v>
      </c>
      <c r="K623" s="13">
        <f>ROUNDUP(IF($D$2="Egyszeri",$D623,IF($D$2="Havi",SUM($D$20:$D$31),IF(MOD($C623,$M$1)-1=0,SUM($D$20:$D$31),0))/12*$M$1)*VLOOKUP($B623,Paraméterek!$B$27:$D$30,IF($D$2="Egyszeri",3,2)),IF($D$4="Forint",0,2))</f>
        <v>0</v>
      </c>
      <c r="L623" s="13">
        <f t="shared" si="139"/>
        <v>0</v>
      </c>
      <c r="M623" s="13">
        <f t="shared" ca="1" si="145"/>
        <v>-474543</v>
      </c>
      <c r="N623" s="13">
        <f ca="1">IF($V622&gt;=VLOOKUP($M$4-1+$B623,Paraméterek!$B$121:$D$122,IF($D$4="Forint",2,3)),0,VLOOKUP($M$4-1+$B623,Paraméterek!$B$121:$D$122,IF($D$4="Forint",2,3))-$V622)</f>
        <v>484543</v>
      </c>
      <c r="O623" s="13">
        <f ca="1">ROUNDUP($N623*Paraméterek!$C$58/Paraméterek!$C$56,IF($D$4="Forint",0,2))</f>
        <v>78</v>
      </c>
      <c r="P623" s="13">
        <f t="shared" si="140"/>
        <v>2412</v>
      </c>
      <c r="Q623" s="33"/>
      <c r="R623" s="13">
        <f t="shared" ca="1" si="141"/>
        <v>0</v>
      </c>
      <c r="S623" s="13">
        <f ca="1">ROUNDUP(($M623-$O623-$P623+$R623)*VLOOKUP($B623,Paraméterek!$B$38:$D$39,IF($D$2="Egyszeri",3,2))/12,IF($D$4="Forint",0,2))</f>
        <v>-1165</v>
      </c>
      <c r="T623" s="13"/>
      <c r="U623" s="13"/>
      <c r="V623" s="13">
        <f ca="1">$M623-$O623-$P623+$R623-$S623-IF(ROUNDUP(IF(ISBLANK($U623),$T623,$U623)/IF(AND($B623=1,$D$2&lt;&gt;"Egyszeri"),1,VLOOKUP($B623+IF($C623=12,1,0),Paraméterek!$B$257:$D$267,IF($D$2="Egyszeri",3,2))),IF($D$4="Forint",0,2))&gt;$M623-$O623-$P623+$R623-$S623-IF($D$4="Forint",Paraméterek!$C$216,Paraméterek!$D$216),0,ROUNDUP(IF(ISBLANK($U623),$T623,$U623)/IF(AND($B623=1,$D$2&lt;&gt;"Egyszeri"),1,VLOOKUP($B623+IF($C623=12,1,0),Paraméterek!$B$257:$D$267,IF($D$2="Egyszeri",3,2))),IF($D$4="Forint",0,2)))</f>
        <v>-475868</v>
      </c>
      <c r="W623" s="13">
        <f ca="1">ROUNDDOWN($V623*VLOOKUP($B623+IF($C623=12,1,0),Paraméterek!$B$257:$D$267,IF($D$2="Egyszeri",3,2)),IF($D$4="Forint",0,2))</f>
        <v>-475868</v>
      </c>
      <c r="Y623" s="32">
        <v>604</v>
      </c>
      <c r="Z623" s="32">
        <v>51</v>
      </c>
      <c r="AA623" s="32">
        <v>4</v>
      </c>
      <c r="AB623" s="13">
        <f t="shared" si="146"/>
        <v>0</v>
      </c>
      <c r="AC623" s="33"/>
      <c r="AD623" s="13">
        <f t="shared" si="142"/>
        <v>0</v>
      </c>
      <c r="AE623" s="13">
        <f>ROUNDUP(($AB623+$AD623)*VLOOKUP($Z623,Paraméterek!$P$38:$Q$38,2)/12,IF($D$4="Forint",0,2))</f>
        <v>0</v>
      </c>
      <c r="AF623" s="13">
        <f>IF($D$2="Egyszeri",IF($D$7&gt;=IF($D$4="Forint",Paraméterek!$P$223,Paraméterek!$P$224),$D$7-IF($D$4="Forint",Paraméterek!$F$223,Paraméterek!$F$224),0),MIN(IF($AA623=12,AVERAGE($D$20:$D623)*12,0),SUM($D$20:$D$31)))</f>
        <v>0</v>
      </c>
      <c r="AG623" s="13">
        <f>IF(AND($Z623&gt;=10,MOD($Z623,5)=0),$AF623*IF($AA623=12,VLOOKUP($Z623,Paraméterek!$B$225:$F$240,IF($AF623&lt;IF($D$4="Forint",Paraméterek!$C$223,Paraméterek!$C$224),2,IF($AF623&lt;IF($D$4="Forint",Paraméterek!$D$223,Paraméterek!$D$224),3,4))),0),0)</f>
        <v>0</v>
      </c>
      <c r="AH623" s="13">
        <f>IF(AND($Z623&gt;=5,MOD($Z623,5)=0),IF($AA623=12,VLOOKUP($Z623,Paraméterek!$B$225:$F$240,5),0),IF(OR($Z623=3,$Z623=4),IF($AA623=12,VLOOKUP($Z623,Paraméterek!$B$225:$F$240,5,0),0),0))*$AF623</f>
        <v>0</v>
      </c>
      <c r="AI623" s="13">
        <f>ROUNDDOWN(IF(SUM($T$20:$U623)=0,IF($D$2="Egyszeri",$AH623,$AG623),0),IF($D$4="Forint",0,2))</f>
        <v>0</v>
      </c>
      <c r="AJ623" s="13">
        <f t="shared" si="147"/>
        <v>0</v>
      </c>
      <c r="AK623" s="13">
        <f t="shared" si="148"/>
        <v>0</v>
      </c>
      <c r="AM623" s="32">
        <v>604</v>
      </c>
      <c r="AN623" s="32">
        <v>51</v>
      </c>
      <c r="AO623" s="32">
        <v>4</v>
      </c>
      <c r="AP623" s="13"/>
      <c r="AQ623" s="32"/>
      <c r="AR623" s="13">
        <f t="shared" si="149"/>
        <v>0</v>
      </c>
      <c r="AS623" s="33"/>
      <c r="AT623" s="13">
        <f t="shared" si="143"/>
        <v>0</v>
      </c>
      <c r="AU623" s="13">
        <f>ROUNDUP(($AR623+$AT623)*VLOOKUP($AN623,Paraméterek!$P$38:$Q$38,2)/12,IF($D$4="Forint",0,2))</f>
        <v>0</v>
      </c>
      <c r="AV623" s="13"/>
      <c r="AW623" s="13"/>
      <c r="AX623" s="13">
        <f>ROUNDUP(IF(SUM($AV623:$AW623)=0,0,IF(IF(ISBLANK($AW623),$AV623,$AW623)*Paraméterek!$J$112&lt;IF($D$4="Forint",Paraméterek!$J$113,Paraméterek!$K$113),IF($D$4="Forint",Paraméterek!$J$113,Paraméterek!$K$113),IF(IF(ISBLANK($AW623),$AV623,$AW623)*Paraméterek!$J$112&gt;IF($D$4="Forint",Paraméterek!$J$114,Paraméterek!$K$114),IF($D$4="Forint",Paraméterek!$J$114,Paraméterek!$K$114),IF(ISBLANK($AW623),$AV623,$AW623)*Paraméterek!$J$112))),IF($D$4="Forint",0,2))</f>
        <v>0</v>
      </c>
      <c r="AY623" s="13">
        <f>$AR623+$AT623-$AU623-IF(ROUNDDOWN(IF(ISBLANK($AW623),$AV623,$AW623),IF($D$4="Forint",0,2))&gt;$AR623+$AT623-$AU623-IF($D$4="Forint",Paraméterek!$J$114,Paraméterek!$K$114),0,ROUNDDOWN(IF(ISBLANK($AW623),$AV623,$AW623),IF($D$4="Forint",0,2))-$AX623)</f>
        <v>0</v>
      </c>
      <c r="AZ623" s="13">
        <f t="shared" si="144"/>
        <v>0</v>
      </c>
    </row>
    <row r="624" spans="1:52" x14ac:dyDescent="0.2">
      <c r="A624" s="32">
        <v>605</v>
      </c>
      <c r="B624" s="32">
        <v>51</v>
      </c>
      <c r="C624" s="32">
        <v>5</v>
      </c>
      <c r="D624" s="13">
        <f t="shared" si="135"/>
        <v>0</v>
      </c>
      <c r="E624" s="13"/>
      <c r="F624" s="13"/>
      <c r="G624" s="13"/>
      <c r="H624" s="13">
        <f t="shared" si="136"/>
        <v>0</v>
      </c>
      <c r="I624" s="13">
        <f t="shared" si="137"/>
        <v>0</v>
      </c>
      <c r="J624" s="13">
        <f t="shared" si="138"/>
        <v>0</v>
      </c>
      <c r="K624" s="13">
        <f>ROUNDUP(IF($D$2="Egyszeri",$D624,IF($D$2="Havi",SUM($D$20:$D$31),IF(MOD($C624,$M$1)-1=0,SUM($D$20:$D$31),0))/12*$M$1)*VLOOKUP($B624,Paraméterek!$B$27:$D$30,IF($D$2="Egyszeri",3,2)),IF($D$4="Forint",0,2))</f>
        <v>0</v>
      </c>
      <c r="L624" s="13">
        <f t="shared" si="139"/>
        <v>0</v>
      </c>
      <c r="M624" s="13">
        <f t="shared" ca="1" si="145"/>
        <v>-475868</v>
      </c>
      <c r="N624" s="13">
        <f ca="1">IF($V623&gt;=VLOOKUP($M$4-1+$B624,Paraméterek!$B$121:$D$122,IF($D$4="Forint",2,3)),0,VLOOKUP($M$4-1+$B624,Paraméterek!$B$121:$D$122,IF($D$4="Forint",2,3))-$V623)</f>
        <v>485868</v>
      </c>
      <c r="O624" s="13">
        <f ca="1">ROUNDUP($N624*Paraméterek!$C$58/Paraméterek!$C$56,IF($D$4="Forint",0,2))</f>
        <v>78</v>
      </c>
      <c r="P624" s="13">
        <f t="shared" si="140"/>
        <v>2412</v>
      </c>
      <c r="Q624" s="33"/>
      <c r="R624" s="13">
        <f t="shared" ca="1" si="141"/>
        <v>0</v>
      </c>
      <c r="S624" s="13">
        <f ca="1">ROUNDUP(($M624-$O624-$P624+$R624)*VLOOKUP($B624,Paraméterek!$B$38:$D$39,IF($D$2="Egyszeri",3,2))/12,IF($D$4="Forint",0,2))</f>
        <v>-1168</v>
      </c>
      <c r="T624" s="13"/>
      <c r="U624" s="13"/>
      <c r="V624" s="13">
        <f ca="1">$M624-$O624-$P624+$R624-$S624-IF(ROUNDUP(IF(ISBLANK($U624),$T624,$U624)/IF(AND($B624=1,$D$2&lt;&gt;"Egyszeri"),1,VLOOKUP($B624+IF($C624=12,1,0),Paraméterek!$B$257:$D$267,IF($D$2="Egyszeri",3,2))),IF($D$4="Forint",0,2))&gt;$M624-$O624-$P624+$R624-$S624-IF($D$4="Forint",Paraméterek!$C$216,Paraméterek!$D$216),0,ROUNDUP(IF(ISBLANK($U624),$T624,$U624)/IF(AND($B624=1,$D$2&lt;&gt;"Egyszeri"),1,VLOOKUP($B624+IF($C624=12,1,0),Paraméterek!$B$257:$D$267,IF($D$2="Egyszeri",3,2))),IF($D$4="Forint",0,2)))</f>
        <v>-477190</v>
      </c>
      <c r="W624" s="13">
        <f ca="1">ROUNDDOWN($V624*VLOOKUP($B624+IF($C624=12,1,0),Paraméterek!$B$257:$D$267,IF($D$2="Egyszeri",3,2)),IF($D$4="Forint",0,2))</f>
        <v>-477190</v>
      </c>
      <c r="Y624" s="32">
        <v>605</v>
      </c>
      <c r="Z624" s="32">
        <v>51</v>
      </c>
      <c r="AA624" s="32">
        <v>5</v>
      </c>
      <c r="AB624" s="13">
        <f t="shared" si="146"/>
        <v>0</v>
      </c>
      <c r="AC624" s="33"/>
      <c r="AD624" s="13">
        <f t="shared" si="142"/>
        <v>0</v>
      </c>
      <c r="AE624" s="13">
        <f>ROUNDUP(($AB624+$AD624)*VLOOKUP($Z624,Paraméterek!$P$38:$Q$38,2)/12,IF($D$4="Forint",0,2))</f>
        <v>0</v>
      </c>
      <c r="AF624" s="13">
        <f>IF($D$2="Egyszeri",IF($D$7&gt;=IF($D$4="Forint",Paraméterek!$P$223,Paraméterek!$P$224),$D$7-IF($D$4="Forint",Paraméterek!$F$223,Paraméterek!$F$224),0),MIN(IF($AA624=12,AVERAGE($D$20:$D624)*12,0),SUM($D$20:$D$31)))</f>
        <v>0</v>
      </c>
      <c r="AG624" s="13">
        <f>IF(AND($Z624&gt;=10,MOD($Z624,5)=0),$AF624*IF($AA624=12,VLOOKUP($Z624,Paraméterek!$B$225:$F$240,IF($AF624&lt;IF($D$4="Forint",Paraméterek!$C$223,Paraméterek!$C$224),2,IF($AF624&lt;IF($D$4="Forint",Paraméterek!$D$223,Paraméterek!$D$224),3,4))),0),0)</f>
        <v>0</v>
      </c>
      <c r="AH624" s="13">
        <f>IF(AND($Z624&gt;=5,MOD($Z624,5)=0),IF($AA624=12,VLOOKUP($Z624,Paraméterek!$B$225:$F$240,5),0),IF(OR($Z624=3,$Z624=4),IF($AA624=12,VLOOKUP($Z624,Paraméterek!$B$225:$F$240,5,0),0),0))*$AF624</f>
        <v>0</v>
      </c>
      <c r="AI624" s="13">
        <f>ROUNDDOWN(IF(SUM($T$20:$U624)=0,IF($D$2="Egyszeri",$AH624,$AG624),0),IF($D$4="Forint",0,2))</f>
        <v>0</v>
      </c>
      <c r="AJ624" s="13">
        <f t="shared" si="147"/>
        <v>0</v>
      </c>
      <c r="AK624" s="13">
        <f t="shared" si="148"/>
        <v>0</v>
      </c>
      <c r="AM624" s="32">
        <v>605</v>
      </c>
      <c r="AN624" s="32">
        <v>51</v>
      </c>
      <c r="AO624" s="32">
        <v>5</v>
      </c>
      <c r="AP624" s="13"/>
      <c r="AQ624" s="32"/>
      <c r="AR624" s="13">
        <f t="shared" si="149"/>
        <v>0</v>
      </c>
      <c r="AS624" s="33"/>
      <c r="AT624" s="13">
        <f t="shared" si="143"/>
        <v>0</v>
      </c>
      <c r="AU624" s="13">
        <f>ROUNDUP(($AR624+$AT624)*VLOOKUP($AN624,Paraméterek!$P$38:$Q$38,2)/12,IF($D$4="Forint",0,2))</f>
        <v>0</v>
      </c>
      <c r="AV624" s="13"/>
      <c r="AW624" s="13"/>
      <c r="AX624" s="13">
        <f>ROUNDUP(IF(SUM($AV624:$AW624)=0,0,IF(IF(ISBLANK($AW624),$AV624,$AW624)*Paraméterek!$J$112&lt;IF($D$4="Forint",Paraméterek!$J$113,Paraméterek!$K$113),IF($D$4="Forint",Paraméterek!$J$113,Paraméterek!$K$113),IF(IF(ISBLANK($AW624),$AV624,$AW624)*Paraméterek!$J$112&gt;IF($D$4="Forint",Paraméterek!$J$114,Paraméterek!$K$114),IF($D$4="Forint",Paraméterek!$J$114,Paraméterek!$K$114),IF(ISBLANK($AW624),$AV624,$AW624)*Paraméterek!$J$112))),IF($D$4="Forint",0,2))</f>
        <v>0</v>
      </c>
      <c r="AY624" s="13">
        <f>$AR624+$AT624-$AU624-IF(ROUNDDOWN(IF(ISBLANK($AW624),$AV624,$AW624),IF($D$4="Forint",0,2))&gt;$AR624+$AT624-$AU624-IF($D$4="Forint",Paraméterek!$J$114,Paraméterek!$K$114),0,ROUNDDOWN(IF(ISBLANK($AW624),$AV624,$AW624),IF($D$4="Forint",0,2))-$AX624)</f>
        <v>0</v>
      </c>
      <c r="AZ624" s="13">
        <f t="shared" si="144"/>
        <v>0</v>
      </c>
    </row>
    <row r="625" spans="1:52" x14ac:dyDescent="0.2">
      <c r="A625" s="32">
        <v>606</v>
      </c>
      <c r="B625" s="32">
        <v>51</v>
      </c>
      <c r="C625" s="32">
        <v>6</v>
      </c>
      <c r="D625" s="13">
        <f t="shared" si="135"/>
        <v>0</v>
      </c>
      <c r="E625" s="13"/>
      <c r="F625" s="13"/>
      <c r="G625" s="13"/>
      <c r="H625" s="13">
        <f t="shared" si="136"/>
        <v>0</v>
      </c>
      <c r="I625" s="13">
        <f t="shared" si="137"/>
        <v>0</v>
      </c>
      <c r="J625" s="13">
        <f t="shared" si="138"/>
        <v>0</v>
      </c>
      <c r="K625" s="13">
        <f>ROUNDUP(IF($D$2="Egyszeri",$D625,IF($D$2="Havi",SUM($D$20:$D$31),IF(MOD($C625,$M$1)-1=0,SUM($D$20:$D$31),0))/12*$M$1)*VLOOKUP($B625,Paraméterek!$B$27:$D$30,IF($D$2="Egyszeri",3,2)),IF($D$4="Forint",0,2))</f>
        <v>0</v>
      </c>
      <c r="L625" s="13">
        <f t="shared" si="139"/>
        <v>0</v>
      </c>
      <c r="M625" s="13">
        <f t="shared" ca="1" si="145"/>
        <v>-477190</v>
      </c>
      <c r="N625" s="13">
        <f ca="1">IF($V624&gt;=VLOOKUP($M$4-1+$B625,Paraméterek!$B$121:$D$122,IF($D$4="Forint",2,3)),0,VLOOKUP($M$4-1+$B625,Paraméterek!$B$121:$D$122,IF($D$4="Forint",2,3))-$V624)</f>
        <v>487190</v>
      </c>
      <c r="O625" s="13">
        <f ca="1">ROUNDUP($N625*Paraméterek!$C$58/Paraméterek!$C$56,IF($D$4="Forint",0,2))</f>
        <v>78</v>
      </c>
      <c r="P625" s="13">
        <f t="shared" si="140"/>
        <v>2412</v>
      </c>
      <c r="Q625" s="33"/>
      <c r="R625" s="13">
        <f t="shared" ca="1" si="141"/>
        <v>0</v>
      </c>
      <c r="S625" s="13">
        <f ca="1">ROUNDUP(($M625-$O625-$P625+$R625)*VLOOKUP($B625,Paraméterek!$B$38:$D$39,IF($D$2="Egyszeri",3,2))/12,IF($D$4="Forint",0,2))</f>
        <v>-1172</v>
      </c>
      <c r="T625" s="13"/>
      <c r="U625" s="13"/>
      <c r="V625" s="13">
        <f ca="1">$M625-$O625-$P625+$R625-$S625-IF(ROUNDUP(IF(ISBLANK($U625),$T625,$U625)/IF(AND($B625=1,$D$2&lt;&gt;"Egyszeri"),1,VLOOKUP($B625+IF($C625=12,1,0),Paraméterek!$B$257:$D$267,IF($D$2="Egyszeri",3,2))),IF($D$4="Forint",0,2))&gt;$M625-$O625-$P625+$R625-$S625-IF($D$4="Forint",Paraméterek!$C$216,Paraméterek!$D$216),0,ROUNDUP(IF(ISBLANK($U625),$T625,$U625)/IF(AND($B625=1,$D$2&lt;&gt;"Egyszeri"),1,VLOOKUP($B625+IF($C625=12,1,0),Paraméterek!$B$257:$D$267,IF($D$2="Egyszeri",3,2))),IF($D$4="Forint",0,2)))</f>
        <v>-478508</v>
      </c>
      <c r="W625" s="13">
        <f ca="1">ROUNDDOWN($V625*VLOOKUP($B625+IF($C625=12,1,0),Paraméterek!$B$257:$D$267,IF($D$2="Egyszeri",3,2)),IF($D$4="Forint",0,2))</f>
        <v>-478508</v>
      </c>
      <c r="Y625" s="32">
        <v>606</v>
      </c>
      <c r="Z625" s="32">
        <v>51</v>
      </c>
      <c r="AA625" s="32">
        <v>6</v>
      </c>
      <c r="AB625" s="13">
        <f t="shared" si="146"/>
        <v>0</v>
      </c>
      <c r="AC625" s="33"/>
      <c r="AD625" s="13">
        <f t="shared" si="142"/>
        <v>0</v>
      </c>
      <c r="AE625" s="13">
        <f>ROUNDUP(($AB625+$AD625)*VLOOKUP($Z625,Paraméterek!$P$38:$Q$38,2)/12,IF($D$4="Forint",0,2))</f>
        <v>0</v>
      </c>
      <c r="AF625" s="13">
        <f>IF($D$2="Egyszeri",IF($D$7&gt;=IF($D$4="Forint",Paraméterek!$P$223,Paraméterek!$P$224),$D$7-IF($D$4="Forint",Paraméterek!$F$223,Paraméterek!$F$224),0),MIN(IF($AA625=12,AVERAGE($D$20:$D625)*12,0),SUM($D$20:$D$31)))</f>
        <v>0</v>
      </c>
      <c r="AG625" s="13">
        <f>IF(AND($Z625&gt;=10,MOD($Z625,5)=0),$AF625*IF($AA625=12,VLOOKUP($Z625,Paraméterek!$B$225:$F$240,IF($AF625&lt;IF($D$4="Forint",Paraméterek!$C$223,Paraméterek!$C$224),2,IF($AF625&lt;IF($D$4="Forint",Paraméterek!$D$223,Paraméterek!$D$224),3,4))),0),0)</f>
        <v>0</v>
      </c>
      <c r="AH625" s="13">
        <f>IF(AND($Z625&gt;=5,MOD($Z625,5)=0),IF($AA625=12,VLOOKUP($Z625,Paraméterek!$B$225:$F$240,5),0),IF(OR($Z625=3,$Z625=4),IF($AA625=12,VLOOKUP($Z625,Paraméterek!$B$225:$F$240,5,0),0),0))*$AF625</f>
        <v>0</v>
      </c>
      <c r="AI625" s="13">
        <f>ROUNDDOWN(IF(SUM($T$20:$U625)=0,IF($D$2="Egyszeri",$AH625,$AG625),0),IF($D$4="Forint",0,2))</f>
        <v>0</v>
      </c>
      <c r="AJ625" s="13">
        <f t="shared" si="147"/>
        <v>0</v>
      </c>
      <c r="AK625" s="13">
        <f t="shared" si="148"/>
        <v>0</v>
      </c>
      <c r="AM625" s="32">
        <v>606</v>
      </c>
      <c r="AN625" s="32">
        <v>51</v>
      </c>
      <c r="AO625" s="32">
        <v>6</v>
      </c>
      <c r="AP625" s="13"/>
      <c r="AQ625" s="32"/>
      <c r="AR625" s="13">
        <f t="shared" si="149"/>
        <v>0</v>
      </c>
      <c r="AS625" s="33"/>
      <c r="AT625" s="13">
        <f t="shared" si="143"/>
        <v>0</v>
      </c>
      <c r="AU625" s="13">
        <f>ROUNDUP(($AR625+$AT625)*VLOOKUP($AN625,Paraméterek!$P$38:$Q$38,2)/12,IF($D$4="Forint",0,2))</f>
        <v>0</v>
      </c>
      <c r="AV625" s="13"/>
      <c r="AW625" s="13"/>
      <c r="AX625" s="13">
        <f>ROUNDUP(IF(SUM($AV625:$AW625)=0,0,IF(IF(ISBLANK($AW625),$AV625,$AW625)*Paraméterek!$J$112&lt;IF($D$4="Forint",Paraméterek!$J$113,Paraméterek!$K$113),IF($D$4="Forint",Paraméterek!$J$113,Paraméterek!$K$113),IF(IF(ISBLANK($AW625),$AV625,$AW625)*Paraméterek!$J$112&gt;IF($D$4="Forint",Paraméterek!$J$114,Paraméterek!$K$114),IF($D$4="Forint",Paraméterek!$J$114,Paraméterek!$K$114),IF(ISBLANK($AW625),$AV625,$AW625)*Paraméterek!$J$112))),IF($D$4="Forint",0,2))</f>
        <v>0</v>
      </c>
      <c r="AY625" s="13">
        <f>$AR625+$AT625-$AU625-IF(ROUNDDOWN(IF(ISBLANK($AW625),$AV625,$AW625),IF($D$4="Forint",0,2))&gt;$AR625+$AT625-$AU625-IF($D$4="Forint",Paraméterek!$J$114,Paraméterek!$K$114),0,ROUNDDOWN(IF(ISBLANK($AW625),$AV625,$AW625),IF($D$4="Forint",0,2))-$AX625)</f>
        <v>0</v>
      </c>
      <c r="AZ625" s="13">
        <f t="shared" si="144"/>
        <v>0</v>
      </c>
    </row>
    <row r="626" spans="1:52" x14ac:dyDescent="0.2">
      <c r="A626" s="32">
        <v>607</v>
      </c>
      <c r="B626" s="32">
        <v>51</v>
      </c>
      <c r="C626" s="32">
        <v>7</v>
      </c>
      <c r="D626" s="13">
        <f t="shared" si="135"/>
        <v>0</v>
      </c>
      <c r="E626" s="13"/>
      <c r="F626" s="13"/>
      <c r="G626" s="13"/>
      <c r="H626" s="13">
        <f t="shared" si="136"/>
        <v>0</v>
      </c>
      <c r="I626" s="13">
        <f t="shared" si="137"/>
        <v>0</v>
      </c>
      <c r="J626" s="13">
        <f t="shared" si="138"/>
        <v>0</v>
      </c>
      <c r="K626" s="13">
        <f>ROUNDUP(IF($D$2="Egyszeri",$D626,IF($D$2="Havi",SUM($D$20:$D$31),IF(MOD($C626,$M$1)-1=0,SUM($D$20:$D$31),0))/12*$M$1)*VLOOKUP($B626,Paraméterek!$B$27:$D$30,IF($D$2="Egyszeri",3,2)),IF($D$4="Forint",0,2))</f>
        <v>0</v>
      </c>
      <c r="L626" s="13">
        <f t="shared" si="139"/>
        <v>0</v>
      </c>
      <c r="M626" s="13">
        <f t="shared" ca="1" si="145"/>
        <v>-478508</v>
      </c>
      <c r="N626" s="13">
        <f ca="1">IF($V625&gt;=VLOOKUP($M$4-1+$B626,Paraméterek!$B$121:$D$122,IF($D$4="Forint",2,3)),0,VLOOKUP($M$4-1+$B626,Paraméterek!$B$121:$D$122,IF($D$4="Forint",2,3))-$V625)</f>
        <v>488508</v>
      </c>
      <c r="O626" s="13">
        <f ca="1">ROUNDUP($N626*Paraméterek!$C$58/Paraméterek!$C$56,IF($D$4="Forint",0,2))</f>
        <v>78</v>
      </c>
      <c r="P626" s="13">
        <f t="shared" si="140"/>
        <v>2412</v>
      </c>
      <c r="Q626" s="33"/>
      <c r="R626" s="13">
        <f t="shared" ca="1" si="141"/>
        <v>0</v>
      </c>
      <c r="S626" s="13">
        <f ca="1">ROUNDUP(($M626-$O626-$P626+$R626)*VLOOKUP($B626,Paraméterek!$B$38:$D$39,IF($D$2="Egyszeri",3,2))/12,IF($D$4="Forint",0,2))</f>
        <v>-1175</v>
      </c>
      <c r="T626" s="13"/>
      <c r="U626" s="13"/>
      <c r="V626" s="13">
        <f ca="1">$M626-$O626-$P626+$R626-$S626-IF(ROUNDUP(IF(ISBLANK($U626),$T626,$U626)/IF(AND($B626=1,$D$2&lt;&gt;"Egyszeri"),1,VLOOKUP($B626+IF($C626=12,1,0),Paraméterek!$B$257:$D$267,IF($D$2="Egyszeri",3,2))),IF($D$4="Forint",0,2))&gt;$M626-$O626-$P626+$R626-$S626-IF($D$4="Forint",Paraméterek!$C$216,Paraméterek!$D$216),0,ROUNDUP(IF(ISBLANK($U626),$T626,$U626)/IF(AND($B626=1,$D$2&lt;&gt;"Egyszeri"),1,VLOOKUP($B626+IF($C626=12,1,0),Paraméterek!$B$257:$D$267,IF($D$2="Egyszeri",3,2))),IF($D$4="Forint",0,2)))</f>
        <v>-479823</v>
      </c>
      <c r="W626" s="13">
        <f ca="1">ROUNDDOWN($V626*VLOOKUP($B626+IF($C626=12,1,0),Paraméterek!$B$257:$D$267,IF($D$2="Egyszeri",3,2)),IF($D$4="Forint",0,2))</f>
        <v>-479823</v>
      </c>
      <c r="Y626" s="32">
        <v>607</v>
      </c>
      <c r="Z626" s="32">
        <v>51</v>
      </c>
      <c r="AA626" s="32">
        <v>7</v>
      </c>
      <c r="AB626" s="13">
        <f t="shared" si="146"/>
        <v>0</v>
      </c>
      <c r="AC626" s="33"/>
      <c r="AD626" s="13">
        <f t="shared" si="142"/>
        <v>0</v>
      </c>
      <c r="AE626" s="13">
        <f>ROUNDUP(($AB626+$AD626)*VLOOKUP($Z626,Paraméterek!$P$38:$Q$38,2)/12,IF($D$4="Forint",0,2))</f>
        <v>0</v>
      </c>
      <c r="AF626" s="13">
        <f>IF($D$2="Egyszeri",IF($D$7&gt;=IF($D$4="Forint",Paraméterek!$P$223,Paraméterek!$P$224),$D$7-IF($D$4="Forint",Paraméterek!$F$223,Paraméterek!$F$224),0),MIN(IF($AA626=12,AVERAGE($D$20:$D626)*12,0),SUM($D$20:$D$31)))</f>
        <v>0</v>
      </c>
      <c r="AG626" s="13">
        <f>IF(AND($Z626&gt;=10,MOD($Z626,5)=0),$AF626*IF($AA626=12,VLOOKUP($Z626,Paraméterek!$B$225:$F$240,IF($AF626&lt;IF($D$4="Forint",Paraméterek!$C$223,Paraméterek!$C$224),2,IF($AF626&lt;IF($D$4="Forint",Paraméterek!$D$223,Paraméterek!$D$224),3,4))),0),0)</f>
        <v>0</v>
      </c>
      <c r="AH626" s="13">
        <f>IF(AND($Z626&gt;=5,MOD($Z626,5)=0),IF($AA626=12,VLOOKUP($Z626,Paraméterek!$B$225:$F$240,5),0),IF(OR($Z626=3,$Z626=4),IF($AA626=12,VLOOKUP($Z626,Paraméterek!$B$225:$F$240,5,0),0),0))*$AF626</f>
        <v>0</v>
      </c>
      <c r="AI626" s="13">
        <f>ROUNDDOWN(IF(SUM($T$20:$U626)=0,IF($D$2="Egyszeri",$AH626,$AG626),0),IF($D$4="Forint",0,2))</f>
        <v>0</v>
      </c>
      <c r="AJ626" s="13">
        <f t="shared" si="147"/>
        <v>0</v>
      </c>
      <c r="AK626" s="13">
        <f t="shared" si="148"/>
        <v>0</v>
      </c>
      <c r="AM626" s="32">
        <v>607</v>
      </c>
      <c r="AN626" s="32">
        <v>51</v>
      </c>
      <c r="AO626" s="32">
        <v>7</v>
      </c>
      <c r="AP626" s="13"/>
      <c r="AQ626" s="32"/>
      <c r="AR626" s="13">
        <f t="shared" si="149"/>
        <v>0</v>
      </c>
      <c r="AS626" s="33"/>
      <c r="AT626" s="13">
        <f t="shared" si="143"/>
        <v>0</v>
      </c>
      <c r="AU626" s="13">
        <f>ROUNDUP(($AR626+$AT626)*VLOOKUP($AN626,Paraméterek!$P$38:$Q$38,2)/12,IF($D$4="Forint",0,2))</f>
        <v>0</v>
      </c>
      <c r="AV626" s="13"/>
      <c r="AW626" s="13"/>
      <c r="AX626" s="13">
        <f>ROUNDUP(IF(SUM($AV626:$AW626)=0,0,IF(IF(ISBLANK($AW626),$AV626,$AW626)*Paraméterek!$J$112&lt;IF($D$4="Forint",Paraméterek!$J$113,Paraméterek!$K$113),IF($D$4="Forint",Paraméterek!$J$113,Paraméterek!$K$113),IF(IF(ISBLANK($AW626),$AV626,$AW626)*Paraméterek!$J$112&gt;IF($D$4="Forint",Paraméterek!$J$114,Paraméterek!$K$114),IF($D$4="Forint",Paraméterek!$J$114,Paraméterek!$K$114),IF(ISBLANK($AW626),$AV626,$AW626)*Paraméterek!$J$112))),IF($D$4="Forint",0,2))</f>
        <v>0</v>
      </c>
      <c r="AY626" s="13">
        <f>$AR626+$AT626-$AU626-IF(ROUNDDOWN(IF(ISBLANK($AW626),$AV626,$AW626),IF($D$4="Forint",0,2))&gt;$AR626+$AT626-$AU626-IF($D$4="Forint",Paraméterek!$J$114,Paraméterek!$K$114),0,ROUNDDOWN(IF(ISBLANK($AW626),$AV626,$AW626),IF($D$4="Forint",0,2))-$AX626)</f>
        <v>0</v>
      </c>
      <c r="AZ626" s="13">
        <f t="shared" si="144"/>
        <v>0</v>
      </c>
    </row>
    <row r="627" spans="1:52" x14ac:dyDescent="0.2">
      <c r="A627" s="32">
        <v>608</v>
      </c>
      <c r="B627" s="32">
        <v>51</v>
      </c>
      <c r="C627" s="32">
        <v>8</v>
      </c>
      <c r="D627" s="13">
        <f t="shared" si="135"/>
        <v>0</v>
      </c>
      <c r="E627" s="13"/>
      <c r="F627" s="13"/>
      <c r="G627" s="13"/>
      <c r="H627" s="13">
        <f t="shared" si="136"/>
        <v>0</v>
      </c>
      <c r="I627" s="13">
        <f t="shared" si="137"/>
        <v>0</v>
      </c>
      <c r="J627" s="13">
        <f t="shared" si="138"/>
        <v>0</v>
      </c>
      <c r="K627" s="13">
        <f>ROUNDUP(IF($D$2="Egyszeri",$D627,IF($D$2="Havi",SUM($D$20:$D$31),IF(MOD($C627,$M$1)-1=0,SUM($D$20:$D$31),0))/12*$M$1)*VLOOKUP($B627,Paraméterek!$B$27:$D$30,IF($D$2="Egyszeri",3,2)),IF($D$4="Forint",0,2))</f>
        <v>0</v>
      </c>
      <c r="L627" s="13">
        <f t="shared" si="139"/>
        <v>0</v>
      </c>
      <c r="M627" s="13">
        <f t="shared" ca="1" si="145"/>
        <v>-479823</v>
      </c>
      <c r="N627" s="13">
        <f ca="1">IF($V626&gt;=VLOOKUP($M$4-1+$B627,Paraméterek!$B$121:$D$122,IF($D$4="Forint",2,3)),0,VLOOKUP($M$4-1+$B627,Paraméterek!$B$121:$D$122,IF($D$4="Forint",2,3))-$V626)</f>
        <v>489823</v>
      </c>
      <c r="O627" s="13">
        <f ca="1">ROUNDUP($N627*Paraméterek!$C$58/Paraméterek!$C$56,IF($D$4="Forint",0,2))</f>
        <v>78</v>
      </c>
      <c r="P627" s="13">
        <f t="shared" si="140"/>
        <v>2412</v>
      </c>
      <c r="Q627" s="33"/>
      <c r="R627" s="13">
        <f t="shared" ca="1" si="141"/>
        <v>0</v>
      </c>
      <c r="S627" s="13">
        <f ca="1">ROUNDUP(($M627-$O627-$P627+$R627)*VLOOKUP($B627,Paraméterek!$B$38:$D$39,IF($D$2="Egyszeri",3,2))/12,IF($D$4="Forint",0,2))</f>
        <v>-1178</v>
      </c>
      <c r="T627" s="13"/>
      <c r="U627" s="13"/>
      <c r="V627" s="13">
        <f ca="1">$M627-$O627-$P627+$R627-$S627-IF(ROUNDUP(IF(ISBLANK($U627),$T627,$U627)/IF(AND($B627=1,$D$2&lt;&gt;"Egyszeri"),1,VLOOKUP($B627+IF($C627=12,1,0),Paraméterek!$B$257:$D$267,IF($D$2="Egyszeri",3,2))),IF($D$4="Forint",0,2))&gt;$M627-$O627-$P627+$R627-$S627-IF($D$4="Forint",Paraméterek!$C$216,Paraméterek!$D$216),0,ROUNDUP(IF(ISBLANK($U627),$T627,$U627)/IF(AND($B627=1,$D$2&lt;&gt;"Egyszeri"),1,VLOOKUP($B627+IF($C627=12,1,0),Paraméterek!$B$257:$D$267,IF($D$2="Egyszeri",3,2))),IF($D$4="Forint",0,2)))</f>
        <v>-481135</v>
      </c>
      <c r="W627" s="13">
        <f ca="1">ROUNDDOWN($V627*VLOOKUP($B627+IF($C627=12,1,0),Paraméterek!$B$257:$D$267,IF($D$2="Egyszeri",3,2)),IF($D$4="Forint",0,2))</f>
        <v>-481135</v>
      </c>
      <c r="Y627" s="32">
        <v>608</v>
      </c>
      <c r="Z627" s="32">
        <v>51</v>
      </c>
      <c r="AA627" s="32">
        <v>8</v>
      </c>
      <c r="AB627" s="13">
        <f t="shared" si="146"/>
        <v>0</v>
      </c>
      <c r="AC627" s="33"/>
      <c r="AD627" s="13">
        <f t="shared" si="142"/>
        <v>0</v>
      </c>
      <c r="AE627" s="13">
        <f>ROUNDUP(($AB627+$AD627)*VLOOKUP($Z627,Paraméterek!$P$38:$Q$38,2)/12,IF($D$4="Forint",0,2))</f>
        <v>0</v>
      </c>
      <c r="AF627" s="13">
        <f>IF($D$2="Egyszeri",IF($D$7&gt;=IF($D$4="Forint",Paraméterek!$P$223,Paraméterek!$P$224),$D$7-IF($D$4="Forint",Paraméterek!$F$223,Paraméterek!$F$224),0),MIN(IF($AA627=12,AVERAGE($D$20:$D627)*12,0),SUM($D$20:$D$31)))</f>
        <v>0</v>
      </c>
      <c r="AG627" s="13">
        <f>IF(AND($Z627&gt;=10,MOD($Z627,5)=0),$AF627*IF($AA627=12,VLOOKUP($Z627,Paraméterek!$B$225:$F$240,IF($AF627&lt;IF($D$4="Forint",Paraméterek!$C$223,Paraméterek!$C$224),2,IF($AF627&lt;IF($D$4="Forint",Paraméterek!$D$223,Paraméterek!$D$224),3,4))),0),0)</f>
        <v>0</v>
      </c>
      <c r="AH627" s="13">
        <f>IF(AND($Z627&gt;=5,MOD($Z627,5)=0),IF($AA627=12,VLOOKUP($Z627,Paraméterek!$B$225:$F$240,5),0),IF(OR($Z627=3,$Z627=4),IF($AA627=12,VLOOKUP($Z627,Paraméterek!$B$225:$F$240,5,0),0),0))*$AF627</f>
        <v>0</v>
      </c>
      <c r="AI627" s="13">
        <f>ROUNDDOWN(IF(SUM($T$20:$U627)=0,IF($D$2="Egyszeri",$AH627,$AG627),0),IF($D$4="Forint",0,2))</f>
        <v>0</v>
      </c>
      <c r="AJ627" s="13">
        <f t="shared" si="147"/>
        <v>0</v>
      </c>
      <c r="AK627" s="13">
        <f t="shared" si="148"/>
        <v>0</v>
      </c>
      <c r="AM627" s="32">
        <v>608</v>
      </c>
      <c r="AN627" s="32">
        <v>51</v>
      </c>
      <c r="AO627" s="32">
        <v>8</v>
      </c>
      <c r="AP627" s="13"/>
      <c r="AQ627" s="32"/>
      <c r="AR627" s="13">
        <f t="shared" si="149"/>
        <v>0</v>
      </c>
      <c r="AS627" s="33"/>
      <c r="AT627" s="13">
        <f t="shared" si="143"/>
        <v>0</v>
      </c>
      <c r="AU627" s="13">
        <f>ROUNDUP(($AR627+$AT627)*VLOOKUP($AN627,Paraméterek!$P$38:$Q$38,2)/12,IF($D$4="Forint",0,2))</f>
        <v>0</v>
      </c>
      <c r="AV627" s="13"/>
      <c r="AW627" s="13"/>
      <c r="AX627" s="13">
        <f>ROUNDUP(IF(SUM($AV627:$AW627)=0,0,IF(IF(ISBLANK($AW627),$AV627,$AW627)*Paraméterek!$J$112&lt;IF($D$4="Forint",Paraméterek!$J$113,Paraméterek!$K$113),IF($D$4="Forint",Paraméterek!$J$113,Paraméterek!$K$113),IF(IF(ISBLANK($AW627),$AV627,$AW627)*Paraméterek!$J$112&gt;IF($D$4="Forint",Paraméterek!$J$114,Paraméterek!$K$114),IF($D$4="Forint",Paraméterek!$J$114,Paraméterek!$K$114),IF(ISBLANK($AW627),$AV627,$AW627)*Paraméterek!$J$112))),IF($D$4="Forint",0,2))</f>
        <v>0</v>
      </c>
      <c r="AY627" s="13">
        <f>$AR627+$AT627-$AU627-IF(ROUNDDOWN(IF(ISBLANK($AW627),$AV627,$AW627),IF($D$4="Forint",0,2))&gt;$AR627+$AT627-$AU627-IF($D$4="Forint",Paraméterek!$J$114,Paraméterek!$K$114),0,ROUNDDOWN(IF(ISBLANK($AW627),$AV627,$AW627),IF($D$4="Forint",0,2))-$AX627)</f>
        <v>0</v>
      </c>
      <c r="AZ627" s="13">
        <f t="shared" si="144"/>
        <v>0</v>
      </c>
    </row>
    <row r="628" spans="1:52" x14ac:dyDescent="0.2">
      <c r="A628" s="32">
        <v>609</v>
      </c>
      <c r="B628" s="32">
        <v>51</v>
      </c>
      <c r="C628" s="32">
        <v>9</v>
      </c>
      <c r="D628" s="13">
        <f t="shared" si="135"/>
        <v>0</v>
      </c>
      <c r="E628" s="13"/>
      <c r="F628" s="13"/>
      <c r="G628" s="13"/>
      <c r="H628" s="13">
        <f t="shared" si="136"/>
        <v>0</v>
      </c>
      <c r="I628" s="13">
        <f t="shared" si="137"/>
        <v>0</v>
      </c>
      <c r="J628" s="13">
        <f t="shared" si="138"/>
        <v>0</v>
      </c>
      <c r="K628" s="13">
        <f>ROUNDUP(IF($D$2="Egyszeri",$D628,IF($D$2="Havi",SUM($D$20:$D$31),IF(MOD($C628,$M$1)-1=0,SUM($D$20:$D$31),0))/12*$M$1)*VLOOKUP($B628,Paraméterek!$B$27:$D$30,IF($D$2="Egyszeri",3,2)),IF($D$4="Forint",0,2))</f>
        <v>0</v>
      </c>
      <c r="L628" s="13">
        <f t="shared" si="139"/>
        <v>0</v>
      </c>
      <c r="M628" s="13">
        <f t="shared" ca="1" si="145"/>
        <v>-481135</v>
      </c>
      <c r="N628" s="13">
        <f ca="1">IF($V627&gt;=VLOOKUP($M$4-1+$B628,Paraméterek!$B$121:$D$122,IF($D$4="Forint",2,3)),0,VLOOKUP($M$4-1+$B628,Paraméterek!$B$121:$D$122,IF($D$4="Forint",2,3))-$V627)</f>
        <v>491135</v>
      </c>
      <c r="O628" s="13">
        <f ca="1">ROUNDUP($N628*Paraméterek!$C$58/Paraméterek!$C$56,IF($D$4="Forint",0,2))</f>
        <v>79</v>
      </c>
      <c r="P628" s="13">
        <f t="shared" si="140"/>
        <v>2412</v>
      </c>
      <c r="Q628" s="33"/>
      <c r="R628" s="13">
        <f t="shared" ca="1" si="141"/>
        <v>0</v>
      </c>
      <c r="S628" s="13">
        <f ca="1">ROUNDUP(($M628-$O628-$P628+$R628)*VLOOKUP($B628,Paraméterek!$B$38:$D$39,IF($D$2="Egyszeri",3,2))/12,IF($D$4="Forint",0,2))</f>
        <v>-1181</v>
      </c>
      <c r="T628" s="13"/>
      <c r="U628" s="13"/>
      <c r="V628" s="13">
        <f ca="1">$M628-$O628-$P628+$R628-$S628-IF(ROUNDUP(IF(ISBLANK($U628),$T628,$U628)/IF(AND($B628=1,$D$2&lt;&gt;"Egyszeri"),1,VLOOKUP($B628+IF($C628=12,1,0),Paraméterek!$B$257:$D$267,IF($D$2="Egyszeri",3,2))),IF($D$4="Forint",0,2))&gt;$M628-$O628-$P628+$R628-$S628-IF($D$4="Forint",Paraméterek!$C$216,Paraméterek!$D$216),0,ROUNDUP(IF(ISBLANK($U628),$T628,$U628)/IF(AND($B628=1,$D$2&lt;&gt;"Egyszeri"),1,VLOOKUP($B628+IF($C628=12,1,0),Paraméterek!$B$257:$D$267,IF($D$2="Egyszeri",3,2))),IF($D$4="Forint",0,2)))</f>
        <v>-482445</v>
      </c>
      <c r="W628" s="13">
        <f ca="1">ROUNDDOWN($V628*VLOOKUP($B628+IF($C628=12,1,0),Paraméterek!$B$257:$D$267,IF($D$2="Egyszeri",3,2)),IF($D$4="Forint",0,2))</f>
        <v>-482445</v>
      </c>
      <c r="Y628" s="32">
        <v>609</v>
      </c>
      <c r="Z628" s="32">
        <v>51</v>
      </c>
      <c r="AA628" s="32">
        <v>9</v>
      </c>
      <c r="AB628" s="13">
        <f t="shared" si="146"/>
        <v>0</v>
      </c>
      <c r="AC628" s="33"/>
      <c r="AD628" s="13">
        <f t="shared" si="142"/>
        <v>0</v>
      </c>
      <c r="AE628" s="13">
        <f>ROUNDUP(($AB628+$AD628)*VLOOKUP($Z628,Paraméterek!$P$38:$Q$38,2)/12,IF($D$4="Forint",0,2))</f>
        <v>0</v>
      </c>
      <c r="AF628" s="13">
        <f>IF($D$2="Egyszeri",IF($D$7&gt;=IF($D$4="Forint",Paraméterek!$P$223,Paraméterek!$P$224),$D$7-IF($D$4="Forint",Paraméterek!$F$223,Paraméterek!$F$224),0),MIN(IF($AA628=12,AVERAGE($D$20:$D628)*12,0),SUM($D$20:$D$31)))</f>
        <v>0</v>
      </c>
      <c r="AG628" s="13">
        <f>IF(AND($Z628&gt;=10,MOD($Z628,5)=0),$AF628*IF($AA628=12,VLOOKUP($Z628,Paraméterek!$B$225:$F$240,IF($AF628&lt;IF($D$4="Forint",Paraméterek!$C$223,Paraméterek!$C$224),2,IF($AF628&lt;IF($D$4="Forint",Paraméterek!$D$223,Paraméterek!$D$224),3,4))),0),0)</f>
        <v>0</v>
      </c>
      <c r="AH628" s="13">
        <f>IF(AND($Z628&gt;=5,MOD($Z628,5)=0),IF($AA628=12,VLOOKUP($Z628,Paraméterek!$B$225:$F$240,5),0),IF(OR($Z628=3,$Z628=4),IF($AA628=12,VLOOKUP($Z628,Paraméterek!$B$225:$F$240,5,0),0),0))*$AF628</f>
        <v>0</v>
      </c>
      <c r="AI628" s="13">
        <f>ROUNDDOWN(IF(SUM($T$20:$U628)=0,IF($D$2="Egyszeri",$AH628,$AG628),0),IF($D$4="Forint",0,2))</f>
        <v>0</v>
      </c>
      <c r="AJ628" s="13">
        <f t="shared" si="147"/>
        <v>0</v>
      </c>
      <c r="AK628" s="13">
        <f t="shared" si="148"/>
        <v>0</v>
      </c>
      <c r="AM628" s="32">
        <v>609</v>
      </c>
      <c r="AN628" s="32">
        <v>51</v>
      </c>
      <c r="AO628" s="32">
        <v>9</v>
      </c>
      <c r="AP628" s="13"/>
      <c r="AQ628" s="32"/>
      <c r="AR628" s="13">
        <f t="shared" si="149"/>
        <v>0</v>
      </c>
      <c r="AS628" s="33"/>
      <c r="AT628" s="13">
        <f t="shared" si="143"/>
        <v>0</v>
      </c>
      <c r="AU628" s="13">
        <f>ROUNDUP(($AR628+$AT628)*VLOOKUP($AN628,Paraméterek!$P$38:$Q$38,2)/12,IF($D$4="Forint",0,2))</f>
        <v>0</v>
      </c>
      <c r="AV628" s="13"/>
      <c r="AW628" s="13"/>
      <c r="AX628" s="13">
        <f>ROUNDUP(IF(SUM($AV628:$AW628)=0,0,IF(IF(ISBLANK($AW628),$AV628,$AW628)*Paraméterek!$J$112&lt;IF($D$4="Forint",Paraméterek!$J$113,Paraméterek!$K$113),IF($D$4="Forint",Paraméterek!$J$113,Paraméterek!$K$113),IF(IF(ISBLANK($AW628),$AV628,$AW628)*Paraméterek!$J$112&gt;IF($D$4="Forint",Paraméterek!$J$114,Paraméterek!$K$114),IF($D$4="Forint",Paraméterek!$J$114,Paraméterek!$K$114),IF(ISBLANK($AW628),$AV628,$AW628)*Paraméterek!$J$112))),IF($D$4="Forint",0,2))</f>
        <v>0</v>
      </c>
      <c r="AY628" s="13">
        <f>$AR628+$AT628-$AU628-IF(ROUNDDOWN(IF(ISBLANK($AW628),$AV628,$AW628),IF($D$4="Forint",0,2))&gt;$AR628+$AT628-$AU628-IF($D$4="Forint",Paraméterek!$J$114,Paraméterek!$K$114),0,ROUNDDOWN(IF(ISBLANK($AW628),$AV628,$AW628),IF($D$4="Forint",0,2))-$AX628)</f>
        <v>0</v>
      </c>
      <c r="AZ628" s="13">
        <f t="shared" si="144"/>
        <v>0</v>
      </c>
    </row>
    <row r="629" spans="1:52" x14ac:dyDescent="0.2">
      <c r="A629" s="32">
        <v>610</v>
      </c>
      <c r="B629" s="32">
        <v>51</v>
      </c>
      <c r="C629" s="32">
        <v>10</v>
      </c>
      <c r="D629" s="13">
        <f t="shared" si="135"/>
        <v>0</v>
      </c>
      <c r="E629" s="13"/>
      <c r="F629" s="13"/>
      <c r="G629" s="13"/>
      <c r="H629" s="13">
        <f t="shared" si="136"/>
        <v>0</v>
      </c>
      <c r="I629" s="13">
        <f t="shared" si="137"/>
        <v>0</v>
      </c>
      <c r="J629" s="13">
        <f t="shared" si="138"/>
        <v>0</v>
      </c>
      <c r="K629" s="13">
        <f>ROUNDUP(IF($D$2="Egyszeri",$D629,IF($D$2="Havi",SUM($D$20:$D$31),IF(MOD($C629,$M$1)-1=0,SUM($D$20:$D$31),0))/12*$M$1)*VLOOKUP($B629,Paraméterek!$B$27:$D$30,IF($D$2="Egyszeri",3,2)),IF($D$4="Forint",0,2))</f>
        <v>0</v>
      </c>
      <c r="L629" s="13">
        <f t="shared" si="139"/>
        <v>0</v>
      </c>
      <c r="M629" s="13">
        <f t="shared" ca="1" si="145"/>
        <v>-482445</v>
      </c>
      <c r="N629" s="13">
        <f ca="1">IF($V628&gt;=VLOOKUP($M$4-1+$B629,Paraméterek!$B$121:$D$122,IF($D$4="Forint",2,3)),0,VLOOKUP($M$4-1+$B629,Paraméterek!$B$121:$D$122,IF($D$4="Forint",2,3))-$V628)</f>
        <v>492445</v>
      </c>
      <c r="O629" s="13">
        <f ca="1">ROUNDUP($N629*Paraméterek!$C$58/Paraméterek!$C$56,IF($D$4="Forint",0,2))</f>
        <v>79</v>
      </c>
      <c r="P629" s="13">
        <f t="shared" si="140"/>
        <v>2412</v>
      </c>
      <c r="Q629" s="33"/>
      <c r="R629" s="13">
        <f t="shared" ca="1" si="141"/>
        <v>0</v>
      </c>
      <c r="S629" s="13">
        <f ca="1">ROUNDUP(($M629-$O629-$P629+$R629)*VLOOKUP($B629,Paraméterek!$B$38:$D$39,IF($D$2="Egyszeri",3,2))/12,IF($D$4="Forint",0,2))</f>
        <v>-1185</v>
      </c>
      <c r="T629" s="13"/>
      <c r="U629" s="13"/>
      <c r="V629" s="13">
        <f ca="1">$M629-$O629-$P629+$R629-$S629-IF(ROUNDUP(IF(ISBLANK($U629),$T629,$U629)/IF(AND($B629=1,$D$2&lt;&gt;"Egyszeri"),1,VLOOKUP($B629+IF($C629=12,1,0),Paraméterek!$B$257:$D$267,IF($D$2="Egyszeri",3,2))),IF($D$4="Forint",0,2))&gt;$M629-$O629-$P629+$R629-$S629-IF($D$4="Forint",Paraméterek!$C$216,Paraméterek!$D$216),0,ROUNDUP(IF(ISBLANK($U629),$T629,$U629)/IF(AND($B629=1,$D$2&lt;&gt;"Egyszeri"),1,VLOOKUP($B629+IF($C629=12,1,0),Paraméterek!$B$257:$D$267,IF($D$2="Egyszeri",3,2))),IF($D$4="Forint",0,2)))</f>
        <v>-483751</v>
      </c>
      <c r="W629" s="13">
        <f ca="1">ROUNDDOWN($V629*VLOOKUP($B629+IF($C629=12,1,0),Paraméterek!$B$257:$D$267,IF($D$2="Egyszeri",3,2)),IF($D$4="Forint",0,2))</f>
        <v>-483751</v>
      </c>
      <c r="Y629" s="32">
        <v>610</v>
      </c>
      <c r="Z629" s="32">
        <v>51</v>
      </c>
      <c r="AA629" s="32">
        <v>10</v>
      </c>
      <c r="AB629" s="13">
        <f t="shared" si="146"/>
        <v>0</v>
      </c>
      <c r="AC629" s="33"/>
      <c r="AD629" s="13">
        <f t="shared" si="142"/>
        <v>0</v>
      </c>
      <c r="AE629" s="13">
        <f>ROUNDUP(($AB629+$AD629)*VLOOKUP($Z629,Paraméterek!$P$38:$Q$38,2)/12,IF($D$4="Forint",0,2))</f>
        <v>0</v>
      </c>
      <c r="AF629" s="13">
        <f>IF($D$2="Egyszeri",IF($D$7&gt;=IF($D$4="Forint",Paraméterek!$P$223,Paraméterek!$P$224),$D$7-IF($D$4="Forint",Paraméterek!$F$223,Paraméterek!$F$224),0),MIN(IF($AA629=12,AVERAGE($D$20:$D629)*12,0),SUM($D$20:$D$31)))</f>
        <v>0</v>
      </c>
      <c r="AG629" s="13">
        <f>IF(AND($Z629&gt;=10,MOD($Z629,5)=0),$AF629*IF($AA629=12,VLOOKUP($Z629,Paraméterek!$B$225:$F$240,IF($AF629&lt;IF($D$4="Forint",Paraméterek!$C$223,Paraméterek!$C$224),2,IF($AF629&lt;IF($D$4="Forint",Paraméterek!$D$223,Paraméterek!$D$224),3,4))),0),0)</f>
        <v>0</v>
      </c>
      <c r="AH629" s="13">
        <f>IF(AND($Z629&gt;=5,MOD($Z629,5)=0),IF($AA629=12,VLOOKUP($Z629,Paraméterek!$B$225:$F$240,5),0),IF(OR($Z629=3,$Z629=4),IF($AA629=12,VLOOKUP($Z629,Paraméterek!$B$225:$F$240,5,0),0),0))*$AF629</f>
        <v>0</v>
      </c>
      <c r="AI629" s="13">
        <f>ROUNDDOWN(IF(SUM($T$20:$U629)=0,IF($D$2="Egyszeri",$AH629,$AG629),0),IF($D$4="Forint",0,2))</f>
        <v>0</v>
      </c>
      <c r="AJ629" s="13">
        <f t="shared" si="147"/>
        <v>0</v>
      </c>
      <c r="AK629" s="13">
        <f t="shared" si="148"/>
        <v>0</v>
      </c>
      <c r="AM629" s="32">
        <v>610</v>
      </c>
      <c r="AN629" s="32">
        <v>51</v>
      </c>
      <c r="AO629" s="32">
        <v>10</v>
      </c>
      <c r="AP629" s="13"/>
      <c r="AQ629" s="32"/>
      <c r="AR629" s="13">
        <f t="shared" si="149"/>
        <v>0</v>
      </c>
      <c r="AS629" s="33"/>
      <c r="AT629" s="13">
        <f t="shared" si="143"/>
        <v>0</v>
      </c>
      <c r="AU629" s="13">
        <f>ROUNDUP(($AR629+$AT629)*VLOOKUP($AN629,Paraméterek!$P$38:$Q$38,2)/12,IF($D$4="Forint",0,2))</f>
        <v>0</v>
      </c>
      <c r="AV629" s="13"/>
      <c r="AW629" s="13"/>
      <c r="AX629" s="13">
        <f>ROUNDUP(IF(SUM($AV629:$AW629)=0,0,IF(IF(ISBLANK($AW629),$AV629,$AW629)*Paraméterek!$J$112&lt;IF($D$4="Forint",Paraméterek!$J$113,Paraméterek!$K$113),IF($D$4="Forint",Paraméterek!$J$113,Paraméterek!$K$113),IF(IF(ISBLANK($AW629),$AV629,$AW629)*Paraméterek!$J$112&gt;IF($D$4="Forint",Paraméterek!$J$114,Paraméterek!$K$114),IF($D$4="Forint",Paraméterek!$J$114,Paraméterek!$K$114),IF(ISBLANK($AW629),$AV629,$AW629)*Paraméterek!$J$112))),IF($D$4="Forint",0,2))</f>
        <v>0</v>
      </c>
      <c r="AY629" s="13">
        <f>$AR629+$AT629-$AU629-IF(ROUNDDOWN(IF(ISBLANK($AW629),$AV629,$AW629),IF($D$4="Forint",0,2))&gt;$AR629+$AT629-$AU629-IF($D$4="Forint",Paraméterek!$J$114,Paraméterek!$K$114),0,ROUNDDOWN(IF(ISBLANK($AW629),$AV629,$AW629),IF($D$4="Forint",0,2))-$AX629)</f>
        <v>0</v>
      </c>
      <c r="AZ629" s="13">
        <f t="shared" si="144"/>
        <v>0</v>
      </c>
    </row>
    <row r="630" spans="1:52" x14ac:dyDescent="0.2">
      <c r="A630" s="32">
        <v>611</v>
      </c>
      <c r="B630" s="32">
        <v>51</v>
      </c>
      <c r="C630" s="32">
        <v>11</v>
      </c>
      <c r="D630" s="13">
        <f t="shared" si="135"/>
        <v>0</v>
      </c>
      <c r="E630" s="13"/>
      <c r="F630" s="13"/>
      <c r="G630" s="13"/>
      <c r="H630" s="13">
        <f t="shared" si="136"/>
        <v>0</v>
      </c>
      <c r="I630" s="13">
        <f t="shared" si="137"/>
        <v>0</v>
      </c>
      <c r="J630" s="13">
        <f t="shared" si="138"/>
        <v>0</v>
      </c>
      <c r="K630" s="13">
        <f>ROUNDUP(IF($D$2="Egyszeri",$D630,IF($D$2="Havi",SUM($D$20:$D$31),IF(MOD($C630,$M$1)-1=0,SUM($D$20:$D$31),0))/12*$M$1)*VLOOKUP($B630,Paraméterek!$B$27:$D$30,IF($D$2="Egyszeri",3,2)),IF($D$4="Forint",0,2))</f>
        <v>0</v>
      </c>
      <c r="L630" s="13">
        <f t="shared" si="139"/>
        <v>0</v>
      </c>
      <c r="M630" s="13">
        <f t="shared" ca="1" si="145"/>
        <v>-483751</v>
      </c>
      <c r="N630" s="13">
        <f ca="1">IF($V629&gt;=VLOOKUP($M$4-1+$B630,Paraméterek!$B$121:$D$122,IF($D$4="Forint",2,3)),0,VLOOKUP($M$4-1+$B630,Paraméterek!$B$121:$D$122,IF($D$4="Forint",2,3))-$V629)</f>
        <v>493751</v>
      </c>
      <c r="O630" s="13">
        <f ca="1">ROUNDUP($N630*Paraméterek!$C$58/Paraméterek!$C$56,IF($D$4="Forint",0,2))</f>
        <v>79</v>
      </c>
      <c r="P630" s="13">
        <f t="shared" si="140"/>
        <v>2412</v>
      </c>
      <c r="Q630" s="33"/>
      <c r="R630" s="13">
        <f t="shared" ca="1" si="141"/>
        <v>0</v>
      </c>
      <c r="S630" s="13">
        <f ca="1">ROUNDUP(($M630-$O630-$P630+$R630)*VLOOKUP($B630,Paraméterek!$B$38:$D$39,IF($D$2="Egyszeri",3,2))/12,IF($D$4="Forint",0,2))</f>
        <v>-1188</v>
      </c>
      <c r="T630" s="13"/>
      <c r="U630" s="13"/>
      <c r="V630" s="13">
        <f ca="1">$M630-$O630-$P630+$R630-$S630-IF(ROUNDUP(IF(ISBLANK($U630),$T630,$U630)/IF(AND($B630=1,$D$2&lt;&gt;"Egyszeri"),1,VLOOKUP($B630+IF($C630=12,1,0),Paraméterek!$B$257:$D$267,IF($D$2="Egyszeri",3,2))),IF($D$4="Forint",0,2))&gt;$M630-$O630-$P630+$R630-$S630-IF($D$4="Forint",Paraméterek!$C$216,Paraméterek!$D$216),0,ROUNDUP(IF(ISBLANK($U630),$T630,$U630)/IF(AND($B630=1,$D$2&lt;&gt;"Egyszeri"),1,VLOOKUP($B630+IF($C630=12,1,0),Paraméterek!$B$257:$D$267,IF($D$2="Egyszeri",3,2))),IF($D$4="Forint",0,2)))</f>
        <v>-485054</v>
      </c>
      <c r="W630" s="13">
        <f ca="1">ROUNDDOWN($V630*VLOOKUP($B630+IF($C630=12,1,0),Paraméterek!$B$257:$D$267,IF($D$2="Egyszeri",3,2)),IF($D$4="Forint",0,2))</f>
        <v>-485054</v>
      </c>
      <c r="Y630" s="32">
        <v>611</v>
      </c>
      <c r="Z630" s="32">
        <v>51</v>
      </c>
      <c r="AA630" s="32">
        <v>11</v>
      </c>
      <c r="AB630" s="13">
        <f t="shared" si="146"/>
        <v>0</v>
      </c>
      <c r="AC630" s="33"/>
      <c r="AD630" s="13">
        <f t="shared" si="142"/>
        <v>0</v>
      </c>
      <c r="AE630" s="13">
        <f>ROUNDUP(($AB630+$AD630)*VLOOKUP($Z630,Paraméterek!$P$38:$Q$38,2)/12,IF($D$4="Forint",0,2))</f>
        <v>0</v>
      </c>
      <c r="AF630" s="13">
        <f>IF($D$2="Egyszeri",IF($D$7&gt;=IF($D$4="Forint",Paraméterek!$P$223,Paraméterek!$P$224),$D$7-IF($D$4="Forint",Paraméterek!$F$223,Paraméterek!$F$224),0),MIN(IF($AA630=12,AVERAGE($D$20:$D630)*12,0),SUM($D$20:$D$31)))</f>
        <v>0</v>
      </c>
      <c r="AG630" s="13">
        <f>IF(AND($Z630&gt;=10,MOD($Z630,5)=0),$AF630*IF($AA630=12,VLOOKUP($Z630,Paraméterek!$B$225:$F$240,IF($AF630&lt;IF($D$4="Forint",Paraméterek!$C$223,Paraméterek!$C$224),2,IF($AF630&lt;IF($D$4="Forint",Paraméterek!$D$223,Paraméterek!$D$224),3,4))),0),0)</f>
        <v>0</v>
      </c>
      <c r="AH630" s="13">
        <f>IF(AND($Z630&gt;=5,MOD($Z630,5)=0),IF($AA630=12,VLOOKUP($Z630,Paraméterek!$B$225:$F$240,5),0),IF(OR($Z630=3,$Z630=4),IF($AA630=12,VLOOKUP($Z630,Paraméterek!$B$225:$F$240,5,0),0),0))*$AF630</f>
        <v>0</v>
      </c>
      <c r="AI630" s="13">
        <f>ROUNDDOWN(IF(SUM($T$20:$U630)=0,IF($D$2="Egyszeri",$AH630,$AG630),0),IF($D$4="Forint",0,2))</f>
        <v>0</v>
      </c>
      <c r="AJ630" s="13">
        <f t="shared" si="147"/>
        <v>0</v>
      </c>
      <c r="AK630" s="13">
        <f t="shared" si="148"/>
        <v>0</v>
      </c>
      <c r="AM630" s="32">
        <v>611</v>
      </c>
      <c r="AN630" s="32">
        <v>51</v>
      </c>
      <c r="AO630" s="32">
        <v>11</v>
      </c>
      <c r="AP630" s="13"/>
      <c r="AQ630" s="32"/>
      <c r="AR630" s="13">
        <f t="shared" si="149"/>
        <v>0</v>
      </c>
      <c r="AS630" s="33"/>
      <c r="AT630" s="13">
        <f t="shared" si="143"/>
        <v>0</v>
      </c>
      <c r="AU630" s="13">
        <f>ROUNDUP(($AR630+$AT630)*VLOOKUP($AN630,Paraméterek!$P$38:$Q$38,2)/12,IF($D$4="Forint",0,2))</f>
        <v>0</v>
      </c>
      <c r="AV630" s="13"/>
      <c r="AW630" s="13"/>
      <c r="AX630" s="13">
        <f>ROUNDUP(IF(SUM($AV630:$AW630)=0,0,IF(IF(ISBLANK($AW630),$AV630,$AW630)*Paraméterek!$J$112&lt;IF($D$4="Forint",Paraméterek!$J$113,Paraméterek!$K$113),IF($D$4="Forint",Paraméterek!$J$113,Paraméterek!$K$113),IF(IF(ISBLANK($AW630),$AV630,$AW630)*Paraméterek!$J$112&gt;IF($D$4="Forint",Paraméterek!$J$114,Paraméterek!$K$114),IF($D$4="Forint",Paraméterek!$J$114,Paraméterek!$K$114),IF(ISBLANK($AW630),$AV630,$AW630)*Paraméterek!$J$112))),IF($D$4="Forint",0,2))</f>
        <v>0</v>
      </c>
      <c r="AY630" s="13">
        <f>$AR630+$AT630-$AU630-IF(ROUNDDOWN(IF(ISBLANK($AW630),$AV630,$AW630),IF($D$4="Forint",0,2))&gt;$AR630+$AT630-$AU630-IF($D$4="Forint",Paraméterek!$J$114,Paraméterek!$K$114),0,ROUNDDOWN(IF(ISBLANK($AW630),$AV630,$AW630),IF($D$4="Forint",0,2))-$AX630)</f>
        <v>0</v>
      </c>
      <c r="AZ630" s="13">
        <f t="shared" si="144"/>
        <v>0</v>
      </c>
    </row>
    <row r="631" spans="1:52" x14ac:dyDescent="0.2">
      <c r="A631" s="32">
        <v>612</v>
      </c>
      <c r="B631" s="32">
        <v>51</v>
      </c>
      <c r="C631" s="32">
        <v>12</v>
      </c>
      <c r="D631" s="13">
        <f t="shared" si="135"/>
        <v>0</v>
      </c>
      <c r="E631" s="13"/>
      <c r="F631" s="13"/>
      <c r="G631" s="13"/>
      <c r="H631" s="13">
        <f t="shared" si="136"/>
        <v>0</v>
      </c>
      <c r="I631" s="13">
        <f t="shared" si="137"/>
        <v>0</v>
      </c>
      <c r="J631" s="13">
        <f t="shared" si="138"/>
        <v>0</v>
      </c>
      <c r="K631" s="13">
        <f>ROUNDUP(IF($D$2="Egyszeri",$D631,IF($D$2="Havi",SUM($D$20:$D$31),IF(MOD($C631,$M$1)-1=0,SUM($D$20:$D$31),0))/12*$M$1)*VLOOKUP($B631,Paraméterek!$B$27:$D$30,IF($D$2="Egyszeri",3,2)),IF($D$4="Forint",0,2))</f>
        <v>0</v>
      </c>
      <c r="L631" s="13">
        <f t="shared" si="139"/>
        <v>0</v>
      </c>
      <c r="M631" s="13">
        <f t="shared" ca="1" si="145"/>
        <v>-485054</v>
      </c>
      <c r="N631" s="13">
        <f ca="1">IF($V630&gt;=VLOOKUP($M$4-1+$B631,Paraméterek!$B$121:$D$122,IF($D$4="Forint",2,3)),0,VLOOKUP($M$4-1+$B631,Paraméterek!$B$121:$D$122,IF($D$4="Forint",2,3))-$V630)</f>
        <v>495054</v>
      </c>
      <c r="O631" s="13">
        <f ca="1">ROUNDUP($N631*Paraméterek!$C$58/Paraméterek!$C$56,IF($D$4="Forint",0,2))</f>
        <v>79</v>
      </c>
      <c r="P631" s="13">
        <f t="shared" si="140"/>
        <v>2412</v>
      </c>
      <c r="Q631" s="33"/>
      <c r="R631" s="13">
        <f t="shared" ca="1" si="141"/>
        <v>0</v>
      </c>
      <c r="S631" s="13">
        <f ca="1">ROUNDUP(($M631-$O631-$P631+$R631)*VLOOKUP($B631,Paraméterek!$B$38:$D$39,IF($D$2="Egyszeri",3,2))/12,IF($D$4="Forint",0,2))</f>
        <v>-1191</v>
      </c>
      <c r="T631" s="13">
        <f>Tranzakciók!$F$82</f>
        <v>0</v>
      </c>
      <c r="U631" s="13"/>
      <c r="V631" s="13">
        <f ca="1">$M631-$O631-$P631+$R631-$S631-IF(ROUNDUP(IF(ISBLANK($U631),$T631,$U631)/IF(AND($B631=1,$D$2&lt;&gt;"Egyszeri"),1,VLOOKUP($B631+IF($C631=12,1,0),Paraméterek!$B$257:$D$267,IF($D$2="Egyszeri",3,2))),IF($D$4="Forint",0,2))&gt;$M631-$O631-$P631+$R631-$S631-IF($D$4="Forint",Paraméterek!$C$216,Paraméterek!$D$216),0,ROUNDUP(IF(ISBLANK($U631),$T631,$U631)/IF(AND($B631=1,$D$2&lt;&gt;"Egyszeri"),1,VLOOKUP($B631+IF($C631=12,1,0),Paraméterek!$B$257:$D$267,IF($D$2="Egyszeri",3,2))),IF($D$4="Forint",0,2)))</f>
        <v>-486354</v>
      </c>
      <c r="W631" s="13">
        <f ca="1">ROUNDDOWN($V631*VLOOKUP($B631+IF($C631=12,1,0),Paraméterek!$B$257:$D$267,IF($D$2="Egyszeri",3,2)),IF($D$4="Forint",0,2))</f>
        <v>-486354</v>
      </c>
      <c r="Y631" s="32">
        <v>612</v>
      </c>
      <c r="Z631" s="32">
        <v>51</v>
      </c>
      <c r="AA631" s="32">
        <v>12</v>
      </c>
      <c r="AB631" s="13">
        <f t="shared" si="146"/>
        <v>0</v>
      </c>
      <c r="AC631" s="33"/>
      <c r="AD631" s="13">
        <f t="shared" si="142"/>
        <v>0</v>
      </c>
      <c r="AE631" s="13">
        <f>ROUNDUP(($AB631+$AD631)*VLOOKUP($Z631,Paraméterek!$P$38:$Q$38,2)/12,IF($D$4="Forint",0,2))</f>
        <v>0</v>
      </c>
      <c r="AF631" s="13">
        <f>IF($D$2="Egyszeri",IF($D$7&gt;=IF($D$4="Forint",Paraméterek!$P$223,Paraméterek!$P$224),$D$7-IF($D$4="Forint",Paraméterek!$F$223,Paraméterek!$F$224),0),MIN(IF($AA631=12,AVERAGE($D$20:$D631)*12,0),SUM($D$20:$D$31)))</f>
        <v>0</v>
      </c>
      <c r="AG631" s="13">
        <f>IF(AND($Z631&gt;=10,MOD($Z631,5)=0),$AF631*IF($AA631=12,VLOOKUP($Z631,Paraméterek!$B$225:$F$240,IF($AF631&lt;IF($D$4="Forint",Paraméterek!$C$223,Paraméterek!$C$224),2,IF($AF631&lt;IF($D$4="Forint",Paraméterek!$D$223,Paraméterek!$D$224),3,4))),0),0)</f>
        <v>0</v>
      </c>
      <c r="AH631" s="13">
        <f>IF(AND($Z631&gt;=5,MOD($Z631,5)=0),IF($AA631=12,VLOOKUP($Z631,Paraméterek!$B$225:$F$240,5),0),IF(OR($Z631=3,$Z631=4),IF($AA631=12,VLOOKUP($Z631,Paraméterek!$B$225:$F$240,5,0),0),0))*$AF631</f>
        <v>0</v>
      </c>
      <c r="AI631" s="13">
        <f>ROUNDDOWN(IF(SUM($T$20:$U631)=0,IF($D$2="Egyszeri",$AH631,$AG631),0),IF($D$4="Forint",0,2))</f>
        <v>0</v>
      </c>
      <c r="AJ631" s="13">
        <f t="shared" si="147"/>
        <v>0</v>
      </c>
      <c r="AK631" s="13">
        <f t="shared" si="148"/>
        <v>0</v>
      </c>
      <c r="AM631" s="32">
        <v>612</v>
      </c>
      <c r="AN631" s="32">
        <v>51</v>
      </c>
      <c r="AO631" s="32">
        <v>12</v>
      </c>
      <c r="AP631" s="13"/>
      <c r="AQ631" s="32"/>
      <c r="AR631" s="13">
        <f t="shared" si="149"/>
        <v>0</v>
      </c>
      <c r="AS631" s="33"/>
      <c r="AT631" s="13">
        <f t="shared" si="143"/>
        <v>0</v>
      </c>
      <c r="AU631" s="13">
        <f>ROUNDUP(($AR631+$AT631)*VLOOKUP($AN631,Paraméterek!$P$38:$Q$38,2)/12,IF($D$4="Forint",0,2))</f>
        <v>0</v>
      </c>
      <c r="AV631" s="13">
        <f>Tranzakciók!$M$82</f>
        <v>0</v>
      </c>
      <c r="AW631" s="13"/>
      <c r="AX631" s="13">
        <f>ROUNDUP(IF(SUM($AV631:$AW631)=0,0,IF(IF(ISBLANK($AW631),$AV631,$AW631)*Paraméterek!$J$112&lt;IF($D$4="Forint",Paraméterek!$J$113,Paraméterek!$K$113),IF($D$4="Forint",Paraméterek!$J$113,Paraméterek!$K$113),IF(IF(ISBLANK($AW631),$AV631,$AW631)*Paraméterek!$J$112&gt;IF($D$4="Forint",Paraméterek!$J$114,Paraméterek!$K$114),IF($D$4="Forint",Paraméterek!$J$114,Paraméterek!$K$114),IF(ISBLANK($AW631),$AV631,$AW631)*Paraméterek!$J$112))),IF($D$4="Forint",0,2))</f>
        <v>0</v>
      </c>
      <c r="AY631" s="13">
        <f>$AR631+$AT631-$AU631-IF(ROUNDDOWN(IF(ISBLANK($AW631),$AV631,$AW631),IF($D$4="Forint",0,2))&gt;$AR631+$AT631-$AU631-IF($D$4="Forint",Paraméterek!$J$114,Paraméterek!$K$114),0,ROUNDDOWN(IF(ISBLANK($AW631),$AV631,$AW631),IF($D$4="Forint",0,2))-$AX631)</f>
        <v>0</v>
      </c>
      <c r="AZ631" s="13">
        <f t="shared" si="144"/>
        <v>0</v>
      </c>
    </row>
    <row r="632" spans="1:52" x14ac:dyDescent="0.2">
      <c r="A632" s="32">
        <v>613</v>
      </c>
      <c r="B632" s="32">
        <v>52</v>
      </c>
      <c r="C632" s="32">
        <v>1</v>
      </c>
      <c r="D632" s="13">
        <f t="shared" si="135"/>
        <v>0</v>
      </c>
      <c r="E632" s="13"/>
      <c r="F632" s="13">
        <f>Tranzakciók!$D$83</f>
        <v>0</v>
      </c>
      <c r="G632" s="13"/>
      <c r="H632" s="13">
        <f t="shared" si="136"/>
        <v>0</v>
      </c>
      <c r="I632" s="13">
        <f t="shared" si="137"/>
        <v>452</v>
      </c>
      <c r="J632" s="13">
        <f t="shared" si="138"/>
        <v>452</v>
      </c>
      <c r="K632" s="13">
        <f>ROUNDUP(IF($D$2="Egyszeri",$D632,IF($D$2="Havi",SUM($D$20:$D$31),IF(MOD($C632,$M$1)-1=0,SUM($D$20:$D$31),0))/12*$M$1)*VLOOKUP($B632,Paraméterek!$B$27:$D$30,IF($D$2="Egyszeri",3,2)),IF($D$4="Forint",0,2))</f>
        <v>0</v>
      </c>
      <c r="L632" s="13">
        <f t="shared" si="139"/>
        <v>0</v>
      </c>
      <c r="M632" s="13">
        <f t="shared" ca="1" si="145"/>
        <v>-486354</v>
      </c>
      <c r="N632" s="13">
        <f ca="1">IF($V631&gt;=VLOOKUP($M$4-1+$B632,Paraméterek!$B$121:$D$122,IF($D$4="Forint",2,3)),0,VLOOKUP($M$4-1+$B632,Paraméterek!$B$121:$D$122,IF($D$4="Forint",2,3))-$V631)</f>
        <v>496354</v>
      </c>
      <c r="O632" s="13">
        <f ca="1">ROUNDUP($N632*Paraméterek!$C$58/Paraméterek!$C$56,IF($D$4="Forint",0,2))</f>
        <v>80</v>
      </c>
      <c r="P632" s="13">
        <f t="shared" si="140"/>
        <v>2484</v>
      </c>
      <c r="Q632" s="33"/>
      <c r="R632" s="13">
        <f t="shared" ca="1" si="141"/>
        <v>0</v>
      </c>
      <c r="S632" s="13">
        <f ca="1">ROUNDUP(($M632-$O632-$P632+$R632)*VLOOKUP($B632,Paraméterek!$B$38:$D$39,IF($D$2="Egyszeri",3,2))/12,IF($D$4="Forint",0,2))</f>
        <v>-1194</v>
      </c>
      <c r="T632" s="13"/>
      <c r="U632" s="13"/>
      <c r="V632" s="13">
        <f ca="1">$M632-$O632-$P632+$R632-$S632-IF(ROUNDUP(IF(ISBLANK($U632),$T632,$U632)/IF(AND($B632=1,$D$2&lt;&gt;"Egyszeri"),1,VLOOKUP($B632+IF($C632=12,1,0),Paraméterek!$B$257:$D$267,IF($D$2="Egyszeri",3,2))),IF($D$4="Forint",0,2))&gt;$M632-$O632-$P632+$R632-$S632-IF($D$4="Forint",Paraméterek!$C$216,Paraméterek!$D$216),0,ROUNDUP(IF(ISBLANK($U632),$T632,$U632)/IF(AND($B632=1,$D$2&lt;&gt;"Egyszeri"),1,VLOOKUP($B632+IF($C632=12,1,0),Paraméterek!$B$257:$D$267,IF($D$2="Egyszeri",3,2))),IF($D$4="Forint",0,2)))</f>
        <v>-487724</v>
      </c>
      <c r="W632" s="13">
        <f ca="1">ROUNDDOWN($V632*VLOOKUP($B632+IF($C632=12,1,0),Paraméterek!$B$257:$D$267,IF($D$2="Egyszeri",3,2)),IF($D$4="Forint",0,2))</f>
        <v>-487724</v>
      </c>
      <c r="Y632" s="32">
        <v>613</v>
      </c>
      <c r="Z632" s="32">
        <v>52</v>
      </c>
      <c r="AA632" s="32">
        <v>1</v>
      </c>
      <c r="AB632" s="13">
        <f t="shared" si="146"/>
        <v>0</v>
      </c>
      <c r="AC632" s="33"/>
      <c r="AD632" s="13">
        <f t="shared" si="142"/>
        <v>0</v>
      </c>
      <c r="AE632" s="13">
        <f>ROUNDUP(($AB632+$AD632)*VLOOKUP($Z632,Paraméterek!$P$38:$Q$38,2)/12,IF($D$4="Forint",0,2))</f>
        <v>0</v>
      </c>
      <c r="AF632" s="13">
        <f>IF($D$2="Egyszeri",IF($D$7&gt;=IF($D$4="Forint",Paraméterek!$P$223,Paraméterek!$P$224),$D$7-IF($D$4="Forint",Paraméterek!$F$223,Paraméterek!$F$224),0),MIN(IF($AA632=12,AVERAGE($D$20:$D632)*12,0),SUM($D$20:$D$31)))</f>
        <v>0</v>
      </c>
      <c r="AG632" s="13">
        <f>IF(AND($Z632&gt;=10,MOD($Z632,5)=0),$AF632*IF($AA632=12,VLOOKUP($Z632,Paraméterek!$B$225:$F$240,IF($AF632&lt;IF($D$4="Forint",Paraméterek!$C$223,Paraméterek!$C$224),2,IF($AF632&lt;IF($D$4="Forint",Paraméterek!$D$223,Paraméterek!$D$224),3,4))),0),0)</f>
        <v>0</v>
      </c>
      <c r="AH632" s="13">
        <f>IF(AND($Z632&gt;=5,MOD($Z632,5)=0),IF($AA632=12,VLOOKUP($Z632,Paraméterek!$B$225:$F$240,5),0),IF(OR($Z632=3,$Z632=4),IF($AA632=12,VLOOKUP($Z632,Paraméterek!$B$225:$F$240,5,0),0),0))*$AF632</f>
        <v>0</v>
      </c>
      <c r="AI632" s="13">
        <f>ROUNDDOWN(IF(SUM($T$20:$U632)=0,IF($D$2="Egyszeri",$AH632,$AG632),0),IF($D$4="Forint",0,2))</f>
        <v>0</v>
      </c>
      <c r="AJ632" s="13">
        <f t="shared" si="147"/>
        <v>0</v>
      </c>
      <c r="AK632" s="13">
        <f t="shared" si="148"/>
        <v>0</v>
      </c>
      <c r="AM632" s="32">
        <v>613</v>
      </c>
      <c r="AN632" s="32">
        <v>52</v>
      </c>
      <c r="AO632" s="32">
        <v>1</v>
      </c>
      <c r="AP632" s="13">
        <f>Tranzakciók!$K$83</f>
        <v>0</v>
      </c>
      <c r="AQ632" s="32"/>
      <c r="AR632" s="13">
        <f t="shared" si="149"/>
        <v>0</v>
      </c>
      <c r="AS632" s="33"/>
      <c r="AT632" s="13">
        <f t="shared" si="143"/>
        <v>0</v>
      </c>
      <c r="AU632" s="13">
        <f>ROUNDUP(($AR632+$AT632)*VLOOKUP($AN632,Paraméterek!$P$38:$Q$38,2)/12,IF($D$4="Forint",0,2))</f>
        <v>0</v>
      </c>
      <c r="AV632" s="13"/>
      <c r="AW632" s="13"/>
      <c r="AX632" s="13">
        <f>ROUNDUP(IF(SUM($AV632:$AW632)=0,0,IF(IF(ISBLANK($AW632),$AV632,$AW632)*Paraméterek!$J$112&lt;IF($D$4="Forint",Paraméterek!$J$113,Paraméterek!$K$113),IF($D$4="Forint",Paraméterek!$J$113,Paraméterek!$K$113),IF(IF(ISBLANK($AW632),$AV632,$AW632)*Paraméterek!$J$112&gt;IF($D$4="Forint",Paraméterek!$J$114,Paraméterek!$K$114),IF($D$4="Forint",Paraméterek!$J$114,Paraméterek!$K$114),IF(ISBLANK($AW632),$AV632,$AW632)*Paraméterek!$J$112))),IF($D$4="Forint",0,2))</f>
        <v>0</v>
      </c>
      <c r="AY632" s="13">
        <f>$AR632+$AT632-$AU632-IF(ROUNDDOWN(IF(ISBLANK($AW632),$AV632,$AW632),IF($D$4="Forint",0,2))&gt;$AR632+$AT632-$AU632-IF($D$4="Forint",Paraméterek!$J$114,Paraméterek!$K$114),0,ROUNDDOWN(IF(ISBLANK($AW632),$AV632,$AW632),IF($D$4="Forint",0,2))-$AX632)</f>
        <v>0</v>
      </c>
      <c r="AZ632" s="13">
        <f t="shared" si="144"/>
        <v>0</v>
      </c>
    </row>
    <row r="633" spans="1:52" x14ac:dyDescent="0.2">
      <c r="A633" s="32">
        <v>614</v>
      </c>
      <c r="B633" s="32">
        <v>52</v>
      </c>
      <c r="C633" s="32">
        <v>2</v>
      </c>
      <c r="D633" s="13">
        <f t="shared" si="135"/>
        <v>0</v>
      </c>
      <c r="E633" s="13"/>
      <c r="F633" s="13"/>
      <c r="G633" s="13"/>
      <c r="H633" s="13">
        <f t="shared" si="136"/>
        <v>0</v>
      </c>
      <c r="I633" s="13">
        <f t="shared" si="137"/>
        <v>0</v>
      </c>
      <c r="J633" s="13">
        <f t="shared" si="138"/>
        <v>0</v>
      </c>
      <c r="K633" s="13">
        <f>ROUNDUP(IF($D$2="Egyszeri",$D633,IF($D$2="Havi",SUM($D$20:$D$31),IF(MOD($C633,$M$1)-1=0,SUM($D$20:$D$31),0))/12*$M$1)*VLOOKUP($B633,Paraméterek!$B$27:$D$30,IF($D$2="Egyszeri",3,2)),IF($D$4="Forint",0,2))</f>
        <v>0</v>
      </c>
      <c r="L633" s="13">
        <f t="shared" si="139"/>
        <v>0</v>
      </c>
      <c r="M633" s="13">
        <f t="shared" ca="1" si="145"/>
        <v>-487724</v>
      </c>
      <c r="N633" s="13">
        <f ca="1">IF($V632&gt;=VLOOKUP($M$4-1+$B633,Paraméterek!$B$121:$D$122,IF($D$4="Forint",2,3)),0,VLOOKUP($M$4-1+$B633,Paraméterek!$B$121:$D$122,IF($D$4="Forint",2,3))-$V632)</f>
        <v>497724</v>
      </c>
      <c r="O633" s="13">
        <f ca="1">ROUNDUP($N633*Paraméterek!$C$58/Paraméterek!$C$56,IF($D$4="Forint",0,2))</f>
        <v>80</v>
      </c>
      <c r="P633" s="13">
        <f t="shared" si="140"/>
        <v>2484</v>
      </c>
      <c r="Q633" s="33"/>
      <c r="R633" s="13">
        <f t="shared" ca="1" si="141"/>
        <v>0</v>
      </c>
      <c r="S633" s="13">
        <f ca="1">ROUNDUP(($M633-$O633-$P633+$R633)*VLOOKUP($B633,Paraméterek!$B$38:$D$39,IF($D$2="Egyszeri",3,2))/12,IF($D$4="Forint",0,2))</f>
        <v>-1198</v>
      </c>
      <c r="T633" s="13"/>
      <c r="U633" s="13"/>
      <c r="V633" s="13">
        <f ca="1">$M633-$O633-$P633+$R633-$S633-IF(ROUNDUP(IF(ISBLANK($U633),$T633,$U633)/IF(AND($B633=1,$D$2&lt;&gt;"Egyszeri"),1,VLOOKUP($B633+IF($C633=12,1,0),Paraméterek!$B$257:$D$267,IF($D$2="Egyszeri",3,2))),IF($D$4="Forint",0,2))&gt;$M633-$O633-$P633+$R633-$S633-IF($D$4="Forint",Paraméterek!$C$216,Paraméterek!$D$216),0,ROUNDUP(IF(ISBLANK($U633),$T633,$U633)/IF(AND($B633=1,$D$2&lt;&gt;"Egyszeri"),1,VLOOKUP($B633+IF($C633=12,1,0),Paraméterek!$B$257:$D$267,IF($D$2="Egyszeri",3,2))),IF($D$4="Forint",0,2)))</f>
        <v>-489090</v>
      </c>
      <c r="W633" s="13">
        <f ca="1">ROUNDDOWN($V633*VLOOKUP($B633+IF($C633=12,1,0),Paraméterek!$B$257:$D$267,IF($D$2="Egyszeri",3,2)),IF($D$4="Forint",0,2))</f>
        <v>-489090</v>
      </c>
      <c r="Y633" s="32">
        <v>614</v>
      </c>
      <c r="Z633" s="32">
        <v>52</v>
      </c>
      <c r="AA633" s="32">
        <v>2</v>
      </c>
      <c r="AB633" s="13">
        <f t="shared" si="146"/>
        <v>0</v>
      </c>
      <c r="AC633" s="33"/>
      <c r="AD633" s="13">
        <f t="shared" si="142"/>
        <v>0</v>
      </c>
      <c r="AE633" s="13">
        <f>ROUNDUP(($AB633+$AD633)*VLOOKUP($Z633,Paraméterek!$P$38:$Q$38,2)/12,IF($D$4="Forint",0,2))</f>
        <v>0</v>
      </c>
      <c r="AF633" s="13">
        <f>IF($D$2="Egyszeri",IF($D$7&gt;=IF($D$4="Forint",Paraméterek!$P$223,Paraméterek!$P$224),$D$7-IF($D$4="Forint",Paraméterek!$F$223,Paraméterek!$F$224),0),MIN(IF($AA633=12,AVERAGE($D$20:$D633)*12,0),SUM($D$20:$D$31)))</f>
        <v>0</v>
      </c>
      <c r="AG633" s="13">
        <f>IF(AND($Z633&gt;=10,MOD($Z633,5)=0),$AF633*IF($AA633=12,VLOOKUP($Z633,Paraméterek!$B$225:$F$240,IF($AF633&lt;IF($D$4="Forint",Paraméterek!$C$223,Paraméterek!$C$224),2,IF($AF633&lt;IF($D$4="Forint",Paraméterek!$D$223,Paraméterek!$D$224),3,4))),0),0)</f>
        <v>0</v>
      </c>
      <c r="AH633" s="13">
        <f>IF(AND($Z633&gt;=5,MOD($Z633,5)=0),IF($AA633=12,VLOOKUP($Z633,Paraméterek!$B$225:$F$240,5),0),IF(OR($Z633=3,$Z633=4),IF($AA633=12,VLOOKUP($Z633,Paraméterek!$B$225:$F$240,5,0),0),0))*$AF633</f>
        <v>0</v>
      </c>
      <c r="AI633" s="13">
        <f>ROUNDDOWN(IF(SUM($T$20:$U633)=0,IF($D$2="Egyszeri",$AH633,$AG633),0),IF($D$4="Forint",0,2))</f>
        <v>0</v>
      </c>
      <c r="AJ633" s="13">
        <f t="shared" si="147"/>
        <v>0</v>
      </c>
      <c r="AK633" s="13">
        <f t="shared" si="148"/>
        <v>0</v>
      </c>
      <c r="AM633" s="32">
        <v>614</v>
      </c>
      <c r="AN633" s="32">
        <v>52</v>
      </c>
      <c r="AO633" s="32">
        <v>2</v>
      </c>
      <c r="AP633" s="13"/>
      <c r="AQ633" s="32"/>
      <c r="AR633" s="13">
        <f t="shared" si="149"/>
        <v>0</v>
      </c>
      <c r="AS633" s="33"/>
      <c r="AT633" s="13">
        <f t="shared" si="143"/>
        <v>0</v>
      </c>
      <c r="AU633" s="13">
        <f>ROUNDUP(($AR633+$AT633)*VLOOKUP($AN633,Paraméterek!$P$38:$Q$38,2)/12,IF($D$4="Forint",0,2))</f>
        <v>0</v>
      </c>
      <c r="AV633" s="13"/>
      <c r="AW633" s="13"/>
      <c r="AX633" s="13">
        <f>ROUNDUP(IF(SUM($AV633:$AW633)=0,0,IF(IF(ISBLANK($AW633),$AV633,$AW633)*Paraméterek!$J$112&lt;IF($D$4="Forint",Paraméterek!$J$113,Paraméterek!$K$113),IF($D$4="Forint",Paraméterek!$J$113,Paraméterek!$K$113),IF(IF(ISBLANK($AW633),$AV633,$AW633)*Paraméterek!$J$112&gt;IF($D$4="Forint",Paraméterek!$J$114,Paraméterek!$K$114),IF($D$4="Forint",Paraméterek!$J$114,Paraméterek!$K$114),IF(ISBLANK($AW633),$AV633,$AW633)*Paraméterek!$J$112))),IF($D$4="Forint",0,2))</f>
        <v>0</v>
      </c>
      <c r="AY633" s="13">
        <f>$AR633+$AT633-$AU633-IF(ROUNDDOWN(IF(ISBLANK($AW633),$AV633,$AW633),IF($D$4="Forint",0,2))&gt;$AR633+$AT633-$AU633-IF($D$4="Forint",Paraméterek!$J$114,Paraméterek!$K$114),0,ROUNDDOWN(IF(ISBLANK($AW633),$AV633,$AW633),IF($D$4="Forint",0,2))-$AX633)</f>
        <v>0</v>
      </c>
      <c r="AZ633" s="13">
        <f t="shared" si="144"/>
        <v>0</v>
      </c>
    </row>
    <row r="634" spans="1:52" x14ac:dyDescent="0.2">
      <c r="A634" s="32">
        <v>615</v>
      </c>
      <c r="B634" s="32">
        <v>52</v>
      </c>
      <c r="C634" s="32">
        <v>3</v>
      </c>
      <c r="D634" s="13">
        <f t="shared" si="135"/>
        <v>0</v>
      </c>
      <c r="E634" s="13"/>
      <c r="F634" s="13"/>
      <c r="G634" s="13"/>
      <c r="H634" s="13">
        <f t="shared" si="136"/>
        <v>0</v>
      </c>
      <c r="I634" s="13">
        <f t="shared" si="137"/>
        <v>0</v>
      </c>
      <c r="J634" s="13">
        <f t="shared" si="138"/>
        <v>0</v>
      </c>
      <c r="K634" s="13">
        <f>ROUNDUP(IF($D$2="Egyszeri",$D634,IF($D$2="Havi",SUM($D$20:$D$31),IF(MOD($C634,$M$1)-1=0,SUM($D$20:$D$31),0))/12*$M$1)*VLOOKUP($B634,Paraméterek!$B$27:$D$30,IF($D$2="Egyszeri",3,2)),IF($D$4="Forint",0,2))</f>
        <v>0</v>
      </c>
      <c r="L634" s="13">
        <f t="shared" si="139"/>
        <v>0</v>
      </c>
      <c r="M634" s="13">
        <f t="shared" ca="1" si="145"/>
        <v>-489090</v>
      </c>
      <c r="N634" s="13">
        <f ca="1">IF($V633&gt;=VLOOKUP($M$4-1+$B634,Paraméterek!$B$121:$D$122,IF($D$4="Forint",2,3)),0,VLOOKUP($M$4-1+$B634,Paraméterek!$B$121:$D$122,IF($D$4="Forint",2,3))-$V633)</f>
        <v>499090</v>
      </c>
      <c r="O634" s="13">
        <f ca="1">ROUNDUP($N634*Paraméterek!$C$58/Paraméterek!$C$56,IF($D$4="Forint",0,2))</f>
        <v>80</v>
      </c>
      <c r="P634" s="13">
        <f t="shared" si="140"/>
        <v>2484</v>
      </c>
      <c r="Q634" s="33"/>
      <c r="R634" s="13">
        <f t="shared" ca="1" si="141"/>
        <v>0</v>
      </c>
      <c r="S634" s="13">
        <f ca="1">ROUNDUP(($M634-$O634-$P634+$R634)*VLOOKUP($B634,Paraméterek!$B$38:$D$39,IF($D$2="Egyszeri",3,2))/12,IF($D$4="Forint",0,2))</f>
        <v>-1201</v>
      </c>
      <c r="T634" s="13"/>
      <c r="U634" s="13"/>
      <c r="V634" s="13">
        <f ca="1">$M634-$O634-$P634+$R634-$S634-IF(ROUNDUP(IF(ISBLANK($U634),$T634,$U634)/IF(AND($B634=1,$D$2&lt;&gt;"Egyszeri"),1,VLOOKUP($B634+IF($C634=12,1,0),Paraméterek!$B$257:$D$267,IF($D$2="Egyszeri",3,2))),IF($D$4="Forint",0,2))&gt;$M634-$O634-$P634+$R634-$S634-IF($D$4="Forint",Paraméterek!$C$216,Paraméterek!$D$216),0,ROUNDUP(IF(ISBLANK($U634),$T634,$U634)/IF(AND($B634=1,$D$2&lt;&gt;"Egyszeri"),1,VLOOKUP($B634+IF($C634=12,1,0),Paraméterek!$B$257:$D$267,IF($D$2="Egyszeri",3,2))),IF($D$4="Forint",0,2)))</f>
        <v>-490453</v>
      </c>
      <c r="W634" s="13">
        <f ca="1">ROUNDDOWN($V634*VLOOKUP($B634+IF($C634=12,1,0),Paraméterek!$B$257:$D$267,IF($D$2="Egyszeri",3,2)),IF($D$4="Forint",0,2))</f>
        <v>-490453</v>
      </c>
      <c r="Y634" s="32">
        <v>615</v>
      </c>
      <c r="Z634" s="32">
        <v>52</v>
      </c>
      <c r="AA634" s="32">
        <v>3</v>
      </c>
      <c r="AB634" s="13">
        <f t="shared" si="146"/>
        <v>0</v>
      </c>
      <c r="AC634" s="33"/>
      <c r="AD634" s="13">
        <f t="shared" si="142"/>
        <v>0</v>
      </c>
      <c r="AE634" s="13">
        <f>ROUNDUP(($AB634+$AD634)*VLOOKUP($Z634,Paraméterek!$P$38:$Q$38,2)/12,IF($D$4="Forint",0,2))</f>
        <v>0</v>
      </c>
      <c r="AF634" s="13">
        <f>IF($D$2="Egyszeri",IF($D$7&gt;=IF($D$4="Forint",Paraméterek!$P$223,Paraméterek!$P$224),$D$7-IF($D$4="Forint",Paraméterek!$F$223,Paraméterek!$F$224),0),MIN(IF($AA634=12,AVERAGE($D$20:$D634)*12,0),SUM($D$20:$D$31)))</f>
        <v>0</v>
      </c>
      <c r="AG634" s="13">
        <f>IF(AND($Z634&gt;=10,MOD($Z634,5)=0),$AF634*IF($AA634=12,VLOOKUP($Z634,Paraméterek!$B$225:$F$240,IF($AF634&lt;IF($D$4="Forint",Paraméterek!$C$223,Paraméterek!$C$224),2,IF($AF634&lt;IF($D$4="Forint",Paraméterek!$D$223,Paraméterek!$D$224),3,4))),0),0)</f>
        <v>0</v>
      </c>
      <c r="AH634" s="13">
        <f>IF(AND($Z634&gt;=5,MOD($Z634,5)=0),IF($AA634=12,VLOOKUP($Z634,Paraméterek!$B$225:$F$240,5),0),IF(OR($Z634=3,$Z634=4),IF($AA634=12,VLOOKUP($Z634,Paraméterek!$B$225:$F$240,5,0),0),0))*$AF634</f>
        <v>0</v>
      </c>
      <c r="AI634" s="13">
        <f>ROUNDDOWN(IF(SUM($T$20:$U634)=0,IF($D$2="Egyszeri",$AH634,$AG634),0),IF($D$4="Forint",0,2))</f>
        <v>0</v>
      </c>
      <c r="AJ634" s="13">
        <f t="shared" si="147"/>
        <v>0</v>
      </c>
      <c r="AK634" s="13">
        <f t="shared" si="148"/>
        <v>0</v>
      </c>
      <c r="AM634" s="32">
        <v>615</v>
      </c>
      <c r="AN634" s="32">
        <v>52</v>
      </c>
      <c r="AO634" s="32">
        <v>3</v>
      </c>
      <c r="AP634" s="13"/>
      <c r="AQ634" s="32"/>
      <c r="AR634" s="13">
        <f t="shared" si="149"/>
        <v>0</v>
      </c>
      <c r="AS634" s="33"/>
      <c r="AT634" s="13">
        <f t="shared" si="143"/>
        <v>0</v>
      </c>
      <c r="AU634" s="13">
        <f>ROUNDUP(($AR634+$AT634)*VLOOKUP($AN634,Paraméterek!$P$38:$Q$38,2)/12,IF($D$4="Forint",0,2))</f>
        <v>0</v>
      </c>
      <c r="AV634" s="13"/>
      <c r="AW634" s="13"/>
      <c r="AX634" s="13">
        <f>ROUNDUP(IF(SUM($AV634:$AW634)=0,0,IF(IF(ISBLANK($AW634),$AV634,$AW634)*Paraméterek!$J$112&lt;IF($D$4="Forint",Paraméterek!$J$113,Paraméterek!$K$113),IF($D$4="Forint",Paraméterek!$J$113,Paraméterek!$K$113),IF(IF(ISBLANK($AW634),$AV634,$AW634)*Paraméterek!$J$112&gt;IF($D$4="Forint",Paraméterek!$J$114,Paraméterek!$K$114),IF($D$4="Forint",Paraméterek!$J$114,Paraméterek!$K$114),IF(ISBLANK($AW634),$AV634,$AW634)*Paraméterek!$J$112))),IF($D$4="Forint",0,2))</f>
        <v>0</v>
      </c>
      <c r="AY634" s="13">
        <f>$AR634+$AT634-$AU634-IF(ROUNDDOWN(IF(ISBLANK($AW634),$AV634,$AW634),IF($D$4="Forint",0,2))&gt;$AR634+$AT634-$AU634-IF($D$4="Forint",Paraméterek!$J$114,Paraméterek!$K$114),0,ROUNDDOWN(IF(ISBLANK($AW634),$AV634,$AW634),IF($D$4="Forint",0,2))-$AX634)</f>
        <v>0</v>
      </c>
      <c r="AZ634" s="13">
        <f t="shared" si="144"/>
        <v>0</v>
      </c>
    </row>
    <row r="635" spans="1:52" x14ac:dyDescent="0.2">
      <c r="A635" s="32">
        <v>616</v>
      </c>
      <c r="B635" s="32">
        <v>52</v>
      </c>
      <c r="C635" s="32">
        <v>4</v>
      </c>
      <c r="D635" s="13">
        <f t="shared" si="135"/>
        <v>0</v>
      </c>
      <c r="E635" s="13"/>
      <c r="F635" s="13"/>
      <c r="G635" s="13"/>
      <c r="H635" s="13">
        <f t="shared" si="136"/>
        <v>0</v>
      </c>
      <c r="I635" s="13">
        <f t="shared" si="137"/>
        <v>0</v>
      </c>
      <c r="J635" s="13">
        <f t="shared" si="138"/>
        <v>0</v>
      </c>
      <c r="K635" s="13">
        <f>ROUNDUP(IF($D$2="Egyszeri",$D635,IF($D$2="Havi",SUM($D$20:$D$31),IF(MOD($C635,$M$1)-1=0,SUM($D$20:$D$31),0))/12*$M$1)*VLOOKUP($B635,Paraméterek!$B$27:$D$30,IF($D$2="Egyszeri",3,2)),IF($D$4="Forint",0,2))</f>
        <v>0</v>
      </c>
      <c r="L635" s="13">
        <f t="shared" si="139"/>
        <v>0</v>
      </c>
      <c r="M635" s="13">
        <f t="shared" ca="1" si="145"/>
        <v>-490453</v>
      </c>
      <c r="N635" s="13">
        <f ca="1">IF($V634&gt;=VLOOKUP($M$4-1+$B635,Paraméterek!$B$121:$D$122,IF($D$4="Forint",2,3)),0,VLOOKUP($M$4-1+$B635,Paraméterek!$B$121:$D$122,IF($D$4="Forint",2,3))-$V634)</f>
        <v>500453</v>
      </c>
      <c r="O635" s="13">
        <f ca="1">ROUNDUP($N635*Paraméterek!$C$58/Paraméterek!$C$56,IF($D$4="Forint",0,2))</f>
        <v>80</v>
      </c>
      <c r="P635" s="13">
        <f t="shared" si="140"/>
        <v>2484</v>
      </c>
      <c r="Q635" s="33"/>
      <c r="R635" s="13">
        <f t="shared" ca="1" si="141"/>
        <v>0</v>
      </c>
      <c r="S635" s="13">
        <f ca="1">ROUNDUP(($M635-$O635-$P635+$R635)*VLOOKUP($B635,Paraméterek!$B$38:$D$39,IF($D$2="Egyszeri",3,2))/12,IF($D$4="Forint",0,2))</f>
        <v>-1204</v>
      </c>
      <c r="T635" s="13"/>
      <c r="U635" s="13"/>
      <c r="V635" s="13">
        <f ca="1">$M635-$O635-$P635+$R635-$S635-IF(ROUNDUP(IF(ISBLANK($U635),$T635,$U635)/IF(AND($B635=1,$D$2&lt;&gt;"Egyszeri"),1,VLOOKUP($B635+IF($C635=12,1,0),Paraméterek!$B$257:$D$267,IF($D$2="Egyszeri",3,2))),IF($D$4="Forint",0,2))&gt;$M635-$O635-$P635+$R635-$S635-IF($D$4="Forint",Paraméterek!$C$216,Paraméterek!$D$216),0,ROUNDUP(IF(ISBLANK($U635),$T635,$U635)/IF(AND($B635=1,$D$2&lt;&gt;"Egyszeri"),1,VLOOKUP($B635+IF($C635=12,1,0),Paraméterek!$B$257:$D$267,IF($D$2="Egyszeri",3,2))),IF($D$4="Forint",0,2)))</f>
        <v>-491813</v>
      </c>
      <c r="W635" s="13">
        <f ca="1">ROUNDDOWN($V635*VLOOKUP($B635+IF($C635=12,1,0),Paraméterek!$B$257:$D$267,IF($D$2="Egyszeri",3,2)),IF($D$4="Forint",0,2))</f>
        <v>-491813</v>
      </c>
      <c r="Y635" s="32">
        <v>616</v>
      </c>
      <c r="Z635" s="32">
        <v>52</v>
      </c>
      <c r="AA635" s="32">
        <v>4</v>
      </c>
      <c r="AB635" s="13">
        <f t="shared" si="146"/>
        <v>0</v>
      </c>
      <c r="AC635" s="33"/>
      <c r="AD635" s="13">
        <f t="shared" si="142"/>
        <v>0</v>
      </c>
      <c r="AE635" s="13">
        <f>ROUNDUP(($AB635+$AD635)*VLOOKUP($Z635,Paraméterek!$P$38:$Q$38,2)/12,IF($D$4="Forint",0,2))</f>
        <v>0</v>
      </c>
      <c r="AF635" s="13">
        <f>IF($D$2="Egyszeri",IF($D$7&gt;=IF($D$4="Forint",Paraméterek!$P$223,Paraméterek!$P$224),$D$7-IF($D$4="Forint",Paraméterek!$F$223,Paraméterek!$F$224),0),MIN(IF($AA635=12,AVERAGE($D$20:$D635)*12,0),SUM($D$20:$D$31)))</f>
        <v>0</v>
      </c>
      <c r="AG635" s="13">
        <f>IF(AND($Z635&gt;=10,MOD($Z635,5)=0),$AF635*IF($AA635=12,VLOOKUP($Z635,Paraméterek!$B$225:$F$240,IF($AF635&lt;IF($D$4="Forint",Paraméterek!$C$223,Paraméterek!$C$224),2,IF($AF635&lt;IF($D$4="Forint",Paraméterek!$D$223,Paraméterek!$D$224),3,4))),0),0)</f>
        <v>0</v>
      </c>
      <c r="AH635" s="13">
        <f>IF(AND($Z635&gt;=5,MOD($Z635,5)=0),IF($AA635=12,VLOOKUP($Z635,Paraméterek!$B$225:$F$240,5),0),IF(OR($Z635=3,$Z635=4),IF($AA635=12,VLOOKUP($Z635,Paraméterek!$B$225:$F$240,5,0),0),0))*$AF635</f>
        <v>0</v>
      </c>
      <c r="AI635" s="13">
        <f>ROUNDDOWN(IF(SUM($T$20:$U635)=0,IF($D$2="Egyszeri",$AH635,$AG635),0),IF($D$4="Forint",0,2))</f>
        <v>0</v>
      </c>
      <c r="AJ635" s="13">
        <f t="shared" si="147"/>
        <v>0</v>
      </c>
      <c r="AK635" s="13">
        <f t="shared" si="148"/>
        <v>0</v>
      </c>
      <c r="AM635" s="32">
        <v>616</v>
      </c>
      <c r="AN635" s="32">
        <v>52</v>
      </c>
      <c r="AO635" s="32">
        <v>4</v>
      </c>
      <c r="AP635" s="13"/>
      <c r="AQ635" s="32"/>
      <c r="AR635" s="13">
        <f t="shared" si="149"/>
        <v>0</v>
      </c>
      <c r="AS635" s="33"/>
      <c r="AT635" s="13">
        <f t="shared" si="143"/>
        <v>0</v>
      </c>
      <c r="AU635" s="13">
        <f>ROUNDUP(($AR635+$AT635)*VLOOKUP($AN635,Paraméterek!$P$38:$Q$38,2)/12,IF($D$4="Forint",0,2))</f>
        <v>0</v>
      </c>
      <c r="AV635" s="13"/>
      <c r="AW635" s="13"/>
      <c r="AX635" s="13">
        <f>ROUNDUP(IF(SUM($AV635:$AW635)=0,0,IF(IF(ISBLANK($AW635),$AV635,$AW635)*Paraméterek!$J$112&lt;IF($D$4="Forint",Paraméterek!$J$113,Paraméterek!$K$113),IF($D$4="Forint",Paraméterek!$J$113,Paraméterek!$K$113),IF(IF(ISBLANK($AW635),$AV635,$AW635)*Paraméterek!$J$112&gt;IF($D$4="Forint",Paraméterek!$J$114,Paraméterek!$K$114),IF($D$4="Forint",Paraméterek!$J$114,Paraméterek!$K$114),IF(ISBLANK($AW635),$AV635,$AW635)*Paraméterek!$J$112))),IF($D$4="Forint",0,2))</f>
        <v>0</v>
      </c>
      <c r="AY635" s="13">
        <f>$AR635+$AT635-$AU635-IF(ROUNDDOWN(IF(ISBLANK($AW635),$AV635,$AW635),IF($D$4="Forint",0,2))&gt;$AR635+$AT635-$AU635-IF($D$4="Forint",Paraméterek!$J$114,Paraméterek!$K$114),0,ROUNDDOWN(IF(ISBLANK($AW635),$AV635,$AW635),IF($D$4="Forint",0,2))-$AX635)</f>
        <v>0</v>
      </c>
      <c r="AZ635" s="13">
        <f t="shared" si="144"/>
        <v>0</v>
      </c>
    </row>
    <row r="636" spans="1:52" x14ac:dyDescent="0.2">
      <c r="A636" s="32">
        <v>617</v>
      </c>
      <c r="B636" s="32">
        <v>52</v>
      </c>
      <c r="C636" s="32">
        <v>5</v>
      </c>
      <c r="D636" s="13">
        <f t="shared" si="135"/>
        <v>0</v>
      </c>
      <c r="E636" s="13"/>
      <c r="F636" s="13"/>
      <c r="G636" s="13"/>
      <c r="H636" s="13">
        <f t="shared" si="136"/>
        <v>0</v>
      </c>
      <c r="I636" s="13">
        <f t="shared" si="137"/>
        <v>0</v>
      </c>
      <c r="J636" s="13">
        <f t="shared" si="138"/>
        <v>0</v>
      </c>
      <c r="K636" s="13">
        <f>ROUNDUP(IF($D$2="Egyszeri",$D636,IF($D$2="Havi",SUM($D$20:$D$31),IF(MOD($C636,$M$1)-1=0,SUM($D$20:$D$31),0))/12*$M$1)*VLOOKUP($B636,Paraméterek!$B$27:$D$30,IF($D$2="Egyszeri",3,2)),IF($D$4="Forint",0,2))</f>
        <v>0</v>
      </c>
      <c r="L636" s="13">
        <f t="shared" si="139"/>
        <v>0</v>
      </c>
      <c r="M636" s="13">
        <f t="shared" ca="1" si="145"/>
        <v>-491813</v>
      </c>
      <c r="N636" s="13">
        <f ca="1">IF($V635&gt;=VLOOKUP($M$4-1+$B636,Paraméterek!$B$121:$D$122,IF($D$4="Forint",2,3)),0,VLOOKUP($M$4-1+$B636,Paraméterek!$B$121:$D$122,IF($D$4="Forint",2,3))-$V635)</f>
        <v>501813</v>
      </c>
      <c r="O636" s="13">
        <f ca="1">ROUNDUP($N636*Paraméterek!$C$58/Paraméterek!$C$56,IF($D$4="Forint",0,2))</f>
        <v>80</v>
      </c>
      <c r="P636" s="13">
        <f t="shared" si="140"/>
        <v>2484</v>
      </c>
      <c r="Q636" s="33"/>
      <c r="R636" s="13">
        <f t="shared" ca="1" si="141"/>
        <v>0</v>
      </c>
      <c r="S636" s="13">
        <f ca="1">ROUNDUP(($M636-$O636-$P636+$R636)*VLOOKUP($B636,Paraméterek!$B$38:$D$39,IF($D$2="Egyszeri",3,2))/12,IF($D$4="Forint",0,2))</f>
        <v>-1208</v>
      </c>
      <c r="T636" s="13"/>
      <c r="U636" s="13"/>
      <c r="V636" s="13">
        <f ca="1">$M636-$O636-$P636+$R636-$S636-IF(ROUNDUP(IF(ISBLANK($U636),$T636,$U636)/IF(AND($B636=1,$D$2&lt;&gt;"Egyszeri"),1,VLOOKUP($B636+IF($C636=12,1,0),Paraméterek!$B$257:$D$267,IF($D$2="Egyszeri",3,2))),IF($D$4="Forint",0,2))&gt;$M636-$O636-$P636+$R636-$S636-IF($D$4="Forint",Paraméterek!$C$216,Paraméterek!$D$216),0,ROUNDUP(IF(ISBLANK($U636),$T636,$U636)/IF(AND($B636=1,$D$2&lt;&gt;"Egyszeri"),1,VLOOKUP($B636+IF($C636=12,1,0),Paraméterek!$B$257:$D$267,IF($D$2="Egyszeri",3,2))),IF($D$4="Forint",0,2)))</f>
        <v>-493169</v>
      </c>
      <c r="W636" s="13">
        <f ca="1">ROUNDDOWN($V636*VLOOKUP($B636+IF($C636=12,1,0),Paraméterek!$B$257:$D$267,IF($D$2="Egyszeri",3,2)),IF($D$4="Forint",0,2))</f>
        <v>-493169</v>
      </c>
      <c r="Y636" s="32">
        <v>617</v>
      </c>
      <c r="Z636" s="32">
        <v>52</v>
      </c>
      <c r="AA636" s="32">
        <v>5</v>
      </c>
      <c r="AB636" s="13">
        <f t="shared" si="146"/>
        <v>0</v>
      </c>
      <c r="AC636" s="33"/>
      <c r="AD636" s="13">
        <f t="shared" si="142"/>
        <v>0</v>
      </c>
      <c r="AE636" s="13">
        <f>ROUNDUP(($AB636+$AD636)*VLOOKUP($Z636,Paraméterek!$P$38:$Q$38,2)/12,IF($D$4="Forint",0,2))</f>
        <v>0</v>
      </c>
      <c r="AF636" s="13">
        <f>IF($D$2="Egyszeri",IF($D$7&gt;=IF($D$4="Forint",Paraméterek!$P$223,Paraméterek!$P$224),$D$7-IF($D$4="Forint",Paraméterek!$F$223,Paraméterek!$F$224),0),MIN(IF($AA636=12,AVERAGE($D$20:$D636)*12,0),SUM($D$20:$D$31)))</f>
        <v>0</v>
      </c>
      <c r="AG636" s="13">
        <f>IF(AND($Z636&gt;=10,MOD($Z636,5)=0),$AF636*IF($AA636=12,VLOOKUP($Z636,Paraméterek!$B$225:$F$240,IF($AF636&lt;IF($D$4="Forint",Paraméterek!$C$223,Paraméterek!$C$224),2,IF($AF636&lt;IF($D$4="Forint",Paraméterek!$D$223,Paraméterek!$D$224),3,4))),0),0)</f>
        <v>0</v>
      </c>
      <c r="AH636" s="13">
        <f>IF(AND($Z636&gt;=5,MOD($Z636,5)=0),IF($AA636=12,VLOOKUP($Z636,Paraméterek!$B$225:$F$240,5),0),IF(OR($Z636=3,$Z636=4),IF($AA636=12,VLOOKUP($Z636,Paraméterek!$B$225:$F$240,5,0),0),0))*$AF636</f>
        <v>0</v>
      </c>
      <c r="AI636" s="13">
        <f>ROUNDDOWN(IF(SUM($T$20:$U636)=0,IF($D$2="Egyszeri",$AH636,$AG636),0),IF($D$4="Forint",0,2))</f>
        <v>0</v>
      </c>
      <c r="AJ636" s="13">
        <f t="shared" si="147"/>
        <v>0</v>
      </c>
      <c r="AK636" s="13">
        <f t="shared" si="148"/>
        <v>0</v>
      </c>
      <c r="AM636" s="32">
        <v>617</v>
      </c>
      <c r="AN636" s="32">
        <v>52</v>
      </c>
      <c r="AO636" s="32">
        <v>5</v>
      </c>
      <c r="AP636" s="13"/>
      <c r="AQ636" s="32"/>
      <c r="AR636" s="13">
        <f t="shared" si="149"/>
        <v>0</v>
      </c>
      <c r="AS636" s="33"/>
      <c r="AT636" s="13">
        <f t="shared" si="143"/>
        <v>0</v>
      </c>
      <c r="AU636" s="13">
        <f>ROUNDUP(($AR636+$AT636)*VLOOKUP($AN636,Paraméterek!$P$38:$Q$38,2)/12,IF($D$4="Forint",0,2))</f>
        <v>0</v>
      </c>
      <c r="AV636" s="13"/>
      <c r="AW636" s="13"/>
      <c r="AX636" s="13">
        <f>ROUNDUP(IF(SUM($AV636:$AW636)=0,0,IF(IF(ISBLANK($AW636),$AV636,$AW636)*Paraméterek!$J$112&lt;IF($D$4="Forint",Paraméterek!$J$113,Paraméterek!$K$113),IF($D$4="Forint",Paraméterek!$J$113,Paraméterek!$K$113),IF(IF(ISBLANK($AW636),$AV636,$AW636)*Paraméterek!$J$112&gt;IF($D$4="Forint",Paraméterek!$J$114,Paraméterek!$K$114),IF($D$4="Forint",Paraméterek!$J$114,Paraméterek!$K$114),IF(ISBLANK($AW636),$AV636,$AW636)*Paraméterek!$J$112))),IF($D$4="Forint",0,2))</f>
        <v>0</v>
      </c>
      <c r="AY636" s="13">
        <f>$AR636+$AT636-$AU636-IF(ROUNDDOWN(IF(ISBLANK($AW636),$AV636,$AW636),IF($D$4="Forint",0,2))&gt;$AR636+$AT636-$AU636-IF($D$4="Forint",Paraméterek!$J$114,Paraméterek!$K$114),0,ROUNDDOWN(IF(ISBLANK($AW636),$AV636,$AW636),IF($D$4="Forint",0,2))-$AX636)</f>
        <v>0</v>
      </c>
      <c r="AZ636" s="13">
        <f t="shared" si="144"/>
        <v>0</v>
      </c>
    </row>
    <row r="637" spans="1:52" x14ac:dyDescent="0.2">
      <c r="A637" s="32">
        <v>618</v>
      </c>
      <c r="B637" s="32">
        <v>52</v>
      </c>
      <c r="C637" s="32">
        <v>6</v>
      </c>
      <c r="D637" s="13">
        <f t="shared" si="135"/>
        <v>0</v>
      </c>
      <c r="E637" s="13"/>
      <c r="F637" s="13"/>
      <c r="G637" s="13"/>
      <c r="H637" s="13">
        <f t="shared" si="136"/>
        <v>0</v>
      </c>
      <c r="I637" s="13">
        <f t="shared" si="137"/>
        <v>0</v>
      </c>
      <c r="J637" s="13">
        <f t="shared" si="138"/>
        <v>0</v>
      </c>
      <c r="K637" s="13">
        <f>ROUNDUP(IF($D$2="Egyszeri",$D637,IF($D$2="Havi",SUM($D$20:$D$31),IF(MOD($C637,$M$1)-1=0,SUM($D$20:$D$31),0))/12*$M$1)*VLOOKUP($B637,Paraméterek!$B$27:$D$30,IF($D$2="Egyszeri",3,2)),IF($D$4="Forint",0,2))</f>
        <v>0</v>
      </c>
      <c r="L637" s="13">
        <f t="shared" si="139"/>
        <v>0</v>
      </c>
      <c r="M637" s="13">
        <f t="shared" ca="1" si="145"/>
        <v>-493169</v>
      </c>
      <c r="N637" s="13">
        <f ca="1">IF($V636&gt;=VLOOKUP($M$4-1+$B637,Paraméterek!$B$121:$D$122,IF($D$4="Forint",2,3)),0,VLOOKUP($M$4-1+$B637,Paraméterek!$B$121:$D$122,IF($D$4="Forint",2,3))-$V636)</f>
        <v>503169</v>
      </c>
      <c r="O637" s="13">
        <f ca="1">ROUNDUP($N637*Paraméterek!$C$58/Paraméterek!$C$56,IF($D$4="Forint",0,2))</f>
        <v>81</v>
      </c>
      <c r="P637" s="13">
        <f t="shared" si="140"/>
        <v>2484</v>
      </c>
      <c r="Q637" s="33"/>
      <c r="R637" s="13">
        <f t="shared" ca="1" si="141"/>
        <v>0</v>
      </c>
      <c r="S637" s="13">
        <f ca="1">ROUNDUP(($M637-$O637-$P637+$R637)*VLOOKUP($B637,Paraméterek!$B$38:$D$39,IF($D$2="Egyszeri",3,2))/12,IF($D$4="Forint",0,2))</f>
        <v>-1211</v>
      </c>
      <c r="T637" s="13"/>
      <c r="U637" s="13"/>
      <c r="V637" s="13">
        <f ca="1">$M637-$O637-$P637+$R637-$S637-IF(ROUNDUP(IF(ISBLANK($U637),$T637,$U637)/IF(AND($B637=1,$D$2&lt;&gt;"Egyszeri"),1,VLOOKUP($B637+IF($C637=12,1,0),Paraméterek!$B$257:$D$267,IF($D$2="Egyszeri",3,2))),IF($D$4="Forint",0,2))&gt;$M637-$O637-$P637+$R637-$S637-IF($D$4="Forint",Paraméterek!$C$216,Paraméterek!$D$216),0,ROUNDUP(IF(ISBLANK($U637),$T637,$U637)/IF(AND($B637=1,$D$2&lt;&gt;"Egyszeri"),1,VLOOKUP($B637+IF($C637=12,1,0),Paraméterek!$B$257:$D$267,IF($D$2="Egyszeri",3,2))),IF($D$4="Forint",0,2)))</f>
        <v>-494523</v>
      </c>
      <c r="W637" s="13">
        <f ca="1">ROUNDDOWN($V637*VLOOKUP($B637+IF($C637=12,1,0),Paraméterek!$B$257:$D$267,IF($D$2="Egyszeri",3,2)),IF($D$4="Forint",0,2))</f>
        <v>-494523</v>
      </c>
      <c r="Y637" s="32">
        <v>618</v>
      </c>
      <c r="Z637" s="32">
        <v>52</v>
      </c>
      <c r="AA637" s="32">
        <v>6</v>
      </c>
      <c r="AB637" s="13">
        <f t="shared" si="146"/>
        <v>0</v>
      </c>
      <c r="AC637" s="33"/>
      <c r="AD637" s="13">
        <f t="shared" si="142"/>
        <v>0</v>
      </c>
      <c r="AE637" s="13">
        <f>ROUNDUP(($AB637+$AD637)*VLOOKUP($Z637,Paraméterek!$P$38:$Q$38,2)/12,IF($D$4="Forint",0,2))</f>
        <v>0</v>
      </c>
      <c r="AF637" s="13">
        <f>IF($D$2="Egyszeri",IF($D$7&gt;=IF($D$4="Forint",Paraméterek!$P$223,Paraméterek!$P$224),$D$7-IF($D$4="Forint",Paraméterek!$F$223,Paraméterek!$F$224),0),MIN(IF($AA637=12,AVERAGE($D$20:$D637)*12,0),SUM($D$20:$D$31)))</f>
        <v>0</v>
      </c>
      <c r="AG637" s="13">
        <f>IF(AND($Z637&gt;=10,MOD($Z637,5)=0),$AF637*IF($AA637=12,VLOOKUP($Z637,Paraméterek!$B$225:$F$240,IF($AF637&lt;IF($D$4="Forint",Paraméterek!$C$223,Paraméterek!$C$224),2,IF($AF637&lt;IF($D$4="Forint",Paraméterek!$D$223,Paraméterek!$D$224),3,4))),0),0)</f>
        <v>0</v>
      </c>
      <c r="AH637" s="13">
        <f>IF(AND($Z637&gt;=5,MOD($Z637,5)=0),IF($AA637=12,VLOOKUP($Z637,Paraméterek!$B$225:$F$240,5),0),IF(OR($Z637=3,$Z637=4),IF($AA637=12,VLOOKUP($Z637,Paraméterek!$B$225:$F$240,5,0),0),0))*$AF637</f>
        <v>0</v>
      </c>
      <c r="AI637" s="13">
        <f>ROUNDDOWN(IF(SUM($T$20:$U637)=0,IF($D$2="Egyszeri",$AH637,$AG637),0),IF($D$4="Forint",0,2))</f>
        <v>0</v>
      </c>
      <c r="AJ637" s="13">
        <f t="shared" si="147"/>
        <v>0</v>
      </c>
      <c r="AK637" s="13">
        <f t="shared" si="148"/>
        <v>0</v>
      </c>
      <c r="AM637" s="32">
        <v>618</v>
      </c>
      <c r="AN637" s="32">
        <v>52</v>
      </c>
      <c r="AO637" s="32">
        <v>6</v>
      </c>
      <c r="AP637" s="13"/>
      <c r="AQ637" s="32"/>
      <c r="AR637" s="13">
        <f t="shared" si="149"/>
        <v>0</v>
      </c>
      <c r="AS637" s="33"/>
      <c r="AT637" s="13">
        <f t="shared" si="143"/>
        <v>0</v>
      </c>
      <c r="AU637" s="13">
        <f>ROUNDUP(($AR637+$AT637)*VLOOKUP($AN637,Paraméterek!$P$38:$Q$38,2)/12,IF($D$4="Forint",0,2))</f>
        <v>0</v>
      </c>
      <c r="AV637" s="13"/>
      <c r="AW637" s="13"/>
      <c r="AX637" s="13">
        <f>ROUNDUP(IF(SUM($AV637:$AW637)=0,0,IF(IF(ISBLANK($AW637),$AV637,$AW637)*Paraméterek!$J$112&lt;IF($D$4="Forint",Paraméterek!$J$113,Paraméterek!$K$113),IF($D$4="Forint",Paraméterek!$J$113,Paraméterek!$K$113),IF(IF(ISBLANK($AW637),$AV637,$AW637)*Paraméterek!$J$112&gt;IF($D$4="Forint",Paraméterek!$J$114,Paraméterek!$K$114),IF($D$4="Forint",Paraméterek!$J$114,Paraméterek!$K$114),IF(ISBLANK($AW637),$AV637,$AW637)*Paraméterek!$J$112))),IF($D$4="Forint",0,2))</f>
        <v>0</v>
      </c>
      <c r="AY637" s="13">
        <f>$AR637+$AT637-$AU637-IF(ROUNDDOWN(IF(ISBLANK($AW637),$AV637,$AW637),IF($D$4="Forint",0,2))&gt;$AR637+$AT637-$AU637-IF($D$4="Forint",Paraméterek!$J$114,Paraméterek!$K$114),0,ROUNDDOWN(IF(ISBLANK($AW637),$AV637,$AW637),IF($D$4="Forint",0,2))-$AX637)</f>
        <v>0</v>
      </c>
      <c r="AZ637" s="13">
        <f t="shared" si="144"/>
        <v>0</v>
      </c>
    </row>
    <row r="638" spans="1:52" x14ac:dyDescent="0.2">
      <c r="A638" s="32">
        <v>619</v>
      </c>
      <c r="B638" s="32">
        <v>52</v>
      </c>
      <c r="C638" s="32">
        <v>7</v>
      </c>
      <c r="D638" s="13">
        <f t="shared" si="135"/>
        <v>0</v>
      </c>
      <c r="E638" s="13"/>
      <c r="F638" s="13"/>
      <c r="G638" s="13"/>
      <c r="H638" s="13">
        <f t="shared" si="136"/>
        <v>0</v>
      </c>
      <c r="I638" s="13">
        <f t="shared" si="137"/>
        <v>0</v>
      </c>
      <c r="J638" s="13">
        <f t="shared" si="138"/>
        <v>0</v>
      </c>
      <c r="K638" s="13">
        <f>ROUNDUP(IF($D$2="Egyszeri",$D638,IF($D$2="Havi",SUM($D$20:$D$31),IF(MOD($C638,$M$1)-1=0,SUM($D$20:$D$31),0))/12*$M$1)*VLOOKUP($B638,Paraméterek!$B$27:$D$30,IF($D$2="Egyszeri",3,2)),IF($D$4="Forint",0,2))</f>
        <v>0</v>
      </c>
      <c r="L638" s="13">
        <f t="shared" si="139"/>
        <v>0</v>
      </c>
      <c r="M638" s="13">
        <f t="shared" ca="1" si="145"/>
        <v>-494523</v>
      </c>
      <c r="N638" s="13">
        <f ca="1">IF($V637&gt;=VLOOKUP($M$4-1+$B638,Paraméterek!$B$121:$D$122,IF($D$4="Forint",2,3)),0,VLOOKUP($M$4-1+$B638,Paraméterek!$B$121:$D$122,IF($D$4="Forint",2,3))-$V637)</f>
        <v>504523</v>
      </c>
      <c r="O638" s="13">
        <f ca="1">ROUNDUP($N638*Paraméterek!$C$58/Paraméterek!$C$56,IF($D$4="Forint",0,2))</f>
        <v>81</v>
      </c>
      <c r="P638" s="13">
        <f t="shared" si="140"/>
        <v>2484</v>
      </c>
      <c r="Q638" s="33"/>
      <c r="R638" s="13">
        <f t="shared" ca="1" si="141"/>
        <v>0</v>
      </c>
      <c r="S638" s="13">
        <f ca="1">ROUNDUP(($M638-$O638-$P638+$R638)*VLOOKUP($B638,Paraméterek!$B$38:$D$39,IF($D$2="Egyszeri",3,2))/12,IF($D$4="Forint",0,2))</f>
        <v>-1214</v>
      </c>
      <c r="T638" s="13"/>
      <c r="U638" s="13"/>
      <c r="V638" s="13">
        <f ca="1">$M638-$O638-$P638+$R638-$S638-IF(ROUNDUP(IF(ISBLANK($U638),$T638,$U638)/IF(AND($B638=1,$D$2&lt;&gt;"Egyszeri"),1,VLOOKUP($B638+IF($C638=12,1,0),Paraméterek!$B$257:$D$267,IF($D$2="Egyszeri",3,2))),IF($D$4="Forint",0,2))&gt;$M638-$O638-$P638+$R638-$S638-IF($D$4="Forint",Paraméterek!$C$216,Paraméterek!$D$216),0,ROUNDUP(IF(ISBLANK($U638),$T638,$U638)/IF(AND($B638=1,$D$2&lt;&gt;"Egyszeri"),1,VLOOKUP($B638+IF($C638=12,1,0),Paraméterek!$B$257:$D$267,IF($D$2="Egyszeri",3,2))),IF($D$4="Forint",0,2)))</f>
        <v>-495874</v>
      </c>
      <c r="W638" s="13">
        <f ca="1">ROUNDDOWN($V638*VLOOKUP($B638+IF($C638=12,1,0),Paraméterek!$B$257:$D$267,IF($D$2="Egyszeri",3,2)),IF($D$4="Forint",0,2))</f>
        <v>-495874</v>
      </c>
      <c r="Y638" s="32">
        <v>619</v>
      </c>
      <c r="Z638" s="32">
        <v>52</v>
      </c>
      <c r="AA638" s="32">
        <v>7</v>
      </c>
      <c r="AB638" s="13">
        <f t="shared" si="146"/>
        <v>0</v>
      </c>
      <c r="AC638" s="33"/>
      <c r="AD638" s="13">
        <f t="shared" si="142"/>
        <v>0</v>
      </c>
      <c r="AE638" s="13">
        <f>ROUNDUP(($AB638+$AD638)*VLOOKUP($Z638,Paraméterek!$P$38:$Q$38,2)/12,IF($D$4="Forint",0,2))</f>
        <v>0</v>
      </c>
      <c r="AF638" s="13">
        <f>IF($D$2="Egyszeri",IF($D$7&gt;=IF($D$4="Forint",Paraméterek!$P$223,Paraméterek!$P$224),$D$7-IF($D$4="Forint",Paraméterek!$F$223,Paraméterek!$F$224),0),MIN(IF($AA638=12,AVERAGE($D$20:$D638)*12,0),SUM($D$20:$D$31)))</f>
        <v>0</v>
      </c>
      <c r="AG638" s="13">
        <f>IF(AND($Z638&gt;=10,MOD($Z638,5)=0),$AF638*IF($AA638=12,VLOOKUP($Z638,Paraméterek!$B$225:$F$240,IF($AF638&lt;IF($D$4="Forint",Paraméterek!$C$223,Paraméterek!$C$224),2,IF($AF638&lt;IF($D$4="Forint",Paraméterek!$D$223,Paraméterek!$D$224),3,4))),0),0)</f>
        <v>0</v>
      </c>
      <c r="AH638" s="13">
        <f>IF(AND($Z638&gt;=5,MOD($Z638,5)=0),IF($AA638=12,VLOOKUP($Z638,Paraméterek!$B$225:$F$240,5),0),IF(OR($Z638=3,$Z638=4),IF($AA638=12,VLOOKUP($Z638,Paraméterek!$B$225:$F$240,5,0),0),0))*$AF638</f>
        <v>0</v>
      </c>
      <c r="AI638" s="13">
        <f>ROUNDDOWN(IF(SUM($T$20:$U638)=0,IF($D$2="Egyszeri",$AH638,$AG638),0),IF($D$4="Forint",0,2))</f>
        <v>0</v>
      </c>
      <c r="AJ638" s="13">
        <f t="shared" si="147"/>
        <v>0</v>
      </c>
      <c r="AK638" s="13">
        <f t="shared" si="148"/>
        <v>0</v>
      </c>
      <c r="AM638" s="32">
        <v>619</v>
      </c>
      <c r="AN638" s="32">
        <v>52</v>
      </c>
      <c r="AO638" s="32">
        <v>7</v>
      </c>
      <c r="AP638" s="13"/>
      <c r="AQ638" s="32"/>
      <c r="AR638" s="13">
        <f t="shared" si="149"/>
        <v>0</v>
      </c>
      <c r="AS638" s="33"/>
      <c r="AT638" s="13">
        <f t="shared" si="143"/>
        <v>0</v>
      </c>
      <c r="AU638" s="13">
        <f>ROUNDUP(($AR638+$AT638)*VLOOKUP($AN638,Paraméterek!$P$38:$Q$38,2)/12,IF($D$4="Forint",0,2))</f>
        <v>0</v>
      </c>
      <c r="AV638" s="13"/>
      <c r="AW638" s="13"/>
      <c r="AX638" s="13">
        <f>ROUNDUP(IF(SUM($AV638:$AW638)=0,0,IF(IF(ISBLANK($AW638),$AV638,$AW638)*Paraméterek!$J$112&lt;IF($D$4="Forint",Paraméterek!$J$113,Paraméterek!$K$113),IF($D$4="Forint",Paraméterek!$J$113,Paraméterek!$K$113),IF(IF(ISBLANK($AW638),$AV638,$AW638)*Paraméterek!$J$112&gt;IF($D$4="Forint",Paraméterek!$J$114,Paraméterek!$K$114),IF($D$4="Forint",Paraméterek!$J$114,Paraméterek!$K$114),IF(ISBLANK($AW638),$AV638,$AW638)*Paraméterek!$J$112))),IF($D$4="Forint",0,2))</f>
        <v>0</v>
      </c>
      <c r="AY638" s="13">
        <f>$AR638+$AT638-$AU638-IF(ROUNDDOWN(IF(ISBLANK($AW638),$AV638,$AW638),IF($D$4="Forint",0,2))&gt;$AR638+$AT638-$AU638-IF($D$4="Forint",Paraméterek!$J$114,Paraméterek!$K$114),0,ROUNDDOWN(IF(ISBLANK($AW638),$AV638,$AW638),IF($D$4="Forint",0,2))-$AX638)</f>
        <v>0</v>
      </c>
      <c r="AZ638" s="13">
        <f t="shared" si="144"/>
        <v>0</v>
      </c>
    </row>
    <row r="639" spans="1:52" x14ac:dyDescent="0.2">
      <c r="A639" s="32">
        <v>620</v>
      </c>
      <c r="B639" s="32">
        <v>52</v>
      </c>
      <c r="C639" s="32">
        <v>8</v>
      </c>
      <c r="D639" s="13">
        <f t="shared" si="135"/>
        <v>0</v>
      </c>
      <c r="E639" s="13"/>
      <c r="F639" s="13"/>
      <c r="G639" s="13"/>
      <c r="H639" s="13">
        <f t="shared" si="136"/>
        <v>0</v>
      </c>
      <c r="I639" s="13">
        <f t="shared" si="137"/>
        <v>0</v>
      </c>
      <c r="J639" s="13">
        <f t="shared" si="138"/>
        <v>0</v>
      </c>
      <c r="K639" s="13">
        <f>ROUNDUP(IF($D$2="Egyszeri",$D639,IF($D$2="Havi",SUM($D$20:$D$31),IF(MOD($C639,$M$1)-1=0,SUM($D$20:$D$31),0))/12*$M$1)*VLOOKUP($B639,Paraméterek!$B$27:$D$30,IF($D$2="Egyszeri",3,2)),IF($D$4="Forint",0,2))</f>
        <v>0</v>
      </c>
      <c r="L639" s="13">
        <f t="shared" si="139"/>
        <v>0</v>
      </c>
      <c r="M639" s="13">
        <f t="shared" ca="1" si="145"/>
        <v>-495874</v>
      </c>
      <c r="N639" s="13">
        <f ca="1">IF($V638&gt;=VLOOKUP($M$4-1+$B639,Paraméterek!$B$121:$D$122,IF($D$4="Forint",2,3)),0,VLOOKUP($M$4-1+$B639,Paraméterek!$B$121:$D$122,IF($D$4="Forint",2,3))-$V638)</f>
        <v>505874</v>
      </c>
      <c r="O639" s="13">
        <f ca="1">ROUNDUP($N639*Paraméterek!$C$58/Paraméterek!$C$56,IF($D$4="Forint",0,2))</f>
        <v>81</v>
      </c>
      <c r="P639" s="13">
        <f t="shared" si="140"/>
        <v>2484</v>
      </c>
      <c r="Q639" s="33"/>
      <c r="R639" s="13">
        <f t="shared" ca="1" si="141"/>
        <v>0</v>
      </c>
      <c r="S639" s="13">
        <f ca="1">ROUNDUP(($M639-$O639-$P639+$R639)*VLOOKUP($B639,Paraméterek!$B$38:$D$39,IF($D$2="Egyszeri",3,2))/12,IF($D$4="Forint",0,2))</f>
        <v>-1218</v>
      </c>
      <c r="T639" s="13"/>
      <c r="U639" s="13"/>
      <c r="V639" s="13">
        <f ca="1">$M639-$O639-$P639+$R639-$S639-IF(ROUNDUP(IF(ISBLANK($U639),$T639,$U639)/IF(AND($B639=1,$D$2&lt;&gt;"Egyszeri"),1,VLOOKUP($B639+IF($C639=12,1,0),Paraméterek!$B$257:$D$267,IF($D$2="Egyszeri",3,2))),IF($D$4="Forint",0,2))&gt;$M639-$O639-$P639+$R639-$S639-IF($D$4="Forint",Paraméterek!$C$216,Paraméterek!$D$216),0,ROUNDUP(IF(ISBLANK($U639),$T639,$U639)/IF(AND($B639=1,$D$2&lt;&gt;"Egyszeri"),1,VLOOKUP($B639+IF($C639=12,1,0),Paraméterek!$B$257:$D$267,IF($D$2="Egyszeri",3,2))),IF($D$4="Forint",0,2)))</f>
        <v>-497221</v>
      </c>
      <c r="W639" s="13">
        <f ca="1">ROUNDDOWN($V639*VLOOKUP($B639+IF($C639=12,1,0),Paraméterek!$B$257:$D$267,IF($D$2="Egyszeri",3,2)),IF($D$4="Forint",0,2))</f>
        <v>-497221</v>
      </c>
      <c r="Y639" s="32">
        <v>620</v>
      </c>
      <c r="Z639" s="32">
        <v>52</v>
      </c>
      <c r="AA639" s="32">
        <v>8</v>
      </c>
      <c r="AB639" s="13">
        <f t="shared" si="146"/>
        <v>0</v>
      </c>
      <c r="AC639" s="33"/>
      <c r="AD639" s="13">
        <f t="shared" si="142"/>
        <v>0</v>
      </c>
      <c r="AE639" s="13">
        <f>ROUNDUP(($AB639+$AD639)*VLOOKUP($Z639,Paraméterek!$P$38:$Q$38,2)/12,IF($D$4="Forint",0,2))</f>
        <v>0</v>
      </c>
      <c r="AF639" s="13">
        <f>IF($D$2="Egyszeri",IF($D$7&gt;=IF($D$4="Forint",Paraméterek!$P$223,Paraméterek!$P$224),$D$7-IF($D$4="Forint",Paraméterek!$F$223,Paraméterek!$F$224),0),MIN(IF($AA639=12,AVERAGE($D$20:$D639)*12,0),SUM($D$20:$D$31)))</f>
        <v>0</v>
      </c>
      <c r="AG639" s="13">
        <f>IF(AND($Z639&gt;=10,MOD($Z639,5)=0),$AF639*IF($AA639=12,VLOOKUP($Z639,Paraméterek!$B$225:$F$240,IF($AF639&lt;IF($D$4="Forint",Paraméterek!$C$223,Paraméterek!$C$224),2,IF($AF639&lt;IF($D$4="Forint",Paraméterek!$D$223,Paraméterek!$D$224),3,4))),0),0)</f>
        <v>0</v>
      </c>
      <c r="AH639" s="13">
        <f>IF(AND($Z639&gt;=5,MOD($Z639,5)=0),IF($AA639=12,VLOOKUP($Z639,Paraméterek!$B$225:$F$240,5),0),IF(OR($Z639=3,$Z639=4),IF($AA639=12,VLOOKUP($Z639,Paraméterek!$B$225:$F$240,5,0),0),0))*$AF639</f>
        <v>0</v>
      </c>
      <c r="AI639" s="13">
        <f>ROUNDDOWN(IF(SUM($T$20:$U639)=0,IF($D$2="Egyszeri",$AH639,$AG639),0),IF($D$4="Forint",0,2))</f>
        <v>0</v>
      </c>
      <c r="AJ639" s="13">
        <f t="shared" si="147"/>
        <v>0</v>
      </c>
      <c r="AK639" s="13">
        <f t="shared" si="148"/>
        <v>0</v>
      </c>
      <c r="AM639" s="32">
        <v>620</v>
      </c>
      <c r="AN639" s="32">
        <v>52</v>
      </c>
      <c r="AO639" s="32">
        <v>8</v>
      </c>
      <c r="AP639" s="13"/>
      <c r="AQ639" s="32"/>
      <c r="AR639" s="13">
        <f t="shared" si="149"/>
        <v>0</v>
      </c>
      <c r="AS639" s="33"/>
      <c r="AT639" s="13">
        <f t="shared" si="143"/>
        <v>0</v>
      </c>
      <c r="AU639" s="13">
        <f>ROUNDUP(($AR639+$AT639)*VLOOKUP($AN639,Paraméterek!$P$38:$Q$38,2)/12,IF($D$4="Forint",0,2))</f>
        <v>0</v>
      </c>
      <c r="AV639" s="13"/>
      <c r="AW639" s="13"/>
      <c r="AX639" s="13">
        <f>ROUNDUP(IF(SUM($AV639:$AW639)=0,0,IF(IF(ISBLANK($AW639),$AV639,$AW639)*Paraméterek!$J$112&lt;IF($D$4="Forint",Paraméterek!$J$113,Paraméterek!$K$113),IF($D$4="Forint",Paraméterek!$J$113,Paraméterek!$K$113),IF(IF(ISBLANK($AW639),$AV639,$AW639)*Paraméterek!$J$112&gt;IF($D$4="Forint",Paraméterek!$J$114,Paraméterek!$K$114),IF($D$4="Forint",Paraméterek!$J$114,Paraméterek!$K$114),IF(ISBLANK($AW639),$AV639,$AW639)*Paraméterek!$J$112))),IF($D$4="Forint",0,2))</f>
        <v>0</v>
      </c>
      <c r="AY639" s="13">
        <f>$AR639+$AT639-$AU639-IF(ROUNDDOWN(IF(ISBLANK($AW639),$AV639,$AW639),IF($D$4="Forint",0,2))&gt;$AR639+$AT639-$AU639-IF($D$4="Forint",Paraméterek!$J$114,Paraméterek!$K$114),0,ROUNDDOWN(IF(ISBLANK($AW639),$AV639,$AW639),IF($D$4="Forint",0,2))-$AX639)</f>
        <v>0</v>
      </c>
      <c r="AZ639" s="13">
        <f t="shared" si="144"/>
        <v>0</v>
      </c>
    </row>
    <row r="640" spans="1:52" x14ac:dyDescent="0.2">
      <c r="A640" s="32">
        <v>621</v>
      </c>
      <c r="B640" s="32">
        <v>52</v>
      </c>
      <c r="C640" s="32">
        <v>9</v>
      </c>
      <c r="D640" s="13">
        <f t="shared" si="135"/>
        <v>0</v>
      </c>
      <c r="E640" s="13"/>
      <c r="F640" s="13"/>
      <c r="G640" s="13"/>
      <c r="H640" s="13">
        <f t="shared" si="136"/>
        <v>0</v>
      </c>
      <c r="I640" s="13">
        <f t="shared" si="137"/>
        <v>0</v>
      </c>
      <c r="J640" s="13">
        <f t="shared" si="138"/>
        <v>0</v>
      </c>
      <c r="K640" s="13">
        <f>ROUNDUP(IF($D$2="Egyszeri",$D640,IF($D$2="Havi",SUM($D$20:$D$31),IF(MOD($C640,$M$1)-1=0,SUM($D$20:$D$31),0))/12*$M$1)*VLOOKUP($B640,Paraméterek!$B$27:$D$30,IF($D$2="Egyszeri",3,2)),IF($D$4="Forint",0,2))</f>
        <v>0</v>
      </c>
      <c r="L640" s="13">
        <f t="shared" si="139"/>
        <v>0</v>
      </c>
      <c r="M640" s="13">
        <f t="shared" ca="1" si="145"/>
        <v>-497221</v>
      </c>
      <c r="N640" s="13">
        <f ca="1">IF($V639&gt;=VLOOKUP($M$4-1+$B640,Paraméterek!$B$121:$D$122,IF($D$4="Forint",2,3)),0,VLOOKUP($M$4-1+$B640,Paraméterek!$B$121:$D$122,IF($D$4="Forint",2,3))-$V639)</f>
        <v>507221</v>
      </c>
      <c r="O640" s="13">
        <f ca="1">ROUNDUP($N640*Paraméterek!$C$58/Paraméterek!$C$56,IF($D$4="Forint",0,2))</f>
        <v>81</v>
      </c>
      <c r="P640" s="13">
        <f t="shared" si="140"/>
        <v>2484</v>
      </c>
      <c r="Q640" s="33"/>
      <c r="R640" s="13">
        <f t="shared" ca="1" si="141"/>
        <v>0</v>
      </c>
      <c r="S640" s="13">
        <f ca="1">ROUNDUP(($M640-$O640-$P640+$R640)*VLOOKUP($B640,Paraméterek!$B$38:$D$39,IF($D$2="Egyszeri",3,2))/12,IF($D$4="Forint",0,2))</f>
        <v>-1221</v>
      </c>
      <c r="T640" s="13"/>
      <c r="U640" s="13"/>
      <c r="V640" s="13">
        <f ca="1">$M640-$O640-$P640+$R640-$S640-IF(ROUNDUP(IF(ISBLANK($U640),$T640,$U640)/IF(AND($B640=1,$D$2&lt;&gt;"Egyszeri"),1,VLOOKUP($B640+IF($C640=12,1,0),Paraméterek!$B$257:$D$267,IF($D$2="Egyszeri",3,2))),IF($D$4="Forint",0,2))&gt;$M640-$O640-$P640+$R640-$S640-IF($D$4="Forint",Paraméterek!$C$216,Paraméterek!$D$216),0,ROUNDUP(IF(ISBLANK($U640),$T640,$U640)/IF(AND($B640=1,$D$2&lt;&gt;"Egyszeri"),1,VLOOKUP($B640+IF($C640=12,1,0),Paraméterek!$B$257:$D$267,IF($D$2="Egyszeri",3,2))),IF($D$4="Forint",0,2)))</f>
        <v>-498565</v>
      </c>
      <c r="W640" s="13">
        <f ca="1">ROUNDDOWN($V640*VLOOKUP($B640+IF($C640=12,1,0),Paraméterek!$B$257:$D$267,IF($D$2="Egyszeri",3,2)),IF($D$4="Forint",0,2))</f>
        <v>-498565</v>
      </c>
      <c r="Y640" s="32">
        <v>621</v>
      </c>
      <c r="Z640" s="32">
        <v>52</v>
      </c>
      <c r="AA640" s="32">
        <v>9</v>
      </c>
      <c r="AB640" s="13">
        <f t="shared" si="146"/>
        <v>0</v>
      </c>
      <c r="AC640" s="33"/>
      <c r="AD640" s="13">
        <f t="shared" si="142"/>
        <v>0</v>
      </c>
      <c r="AE640" s="13">
        <f>ROUNDUP(($AB640+$AD640)*VLOOKUP($Z640,Paraméterek!$P$38:$Q$38,2)/12,IF($D$4="Forint",0,2))</f>
        <v>0</v>
      </c>
      <c r="AF640" s="13">
        <f>IF($D$2="Egyszeri",IF($D$7&gt;=IF($D$4="Forint",Paraméterek!$P$223,Paraméterek!$P$224),$D$7-IF($D$4="Forint",Paraméterek!$F$223,Paraméterek!$F$224),0),MIN(IF($AA640=12,AVERAGE($D$20:$D640)*12,0),SUM($D$20:$D$31)))</f>
        <v>0</v>
      </c>
      <c r="AG640" s="13">
        <f>IF(AND($Z640&gt;=10,MOD($Z640,5)=0),$AF640*IF($AA640=12,VLOOKUP($Z640,Paraméterek!$B$225:$F$240,IF($AF640&lt;IF($D$4="Forint",Paraméterek!$C$223,Paraméterek!$C$224),2,IF($AF640&lt;IF($D$4="Forint",Paraméterek!$D$223,Paraméterek!$D$224),3,4))),0),0)</f>
        <v>0</v>
      </c>
      <c r="AH640" s="13">
        <f>IF(AND($Z640&gt;=5,MOD($Z640,5)=0),IF($AA640=12,VLOOKUP($Z640,Paraméterek!$B$225:$F$240,5),0),IF(OR($Z640=3,$Z640=4),IF($AA640=12,VLOOKUP($Z640,Paraméterek!$B$225:$F$240,5,0),0),0))*$AF640</f>
        <v>0</v>
      </c>
      <c r="AI640" s="13">
        <f>ROUNDDOWN(IF(SUM($T$20:$U640)=0,IF($D$2="Egyszeri",$AH640,$AG640),0),IF($D$4="Forint",0,2))</f>
        <v>0</v>
      </c>
      <c r="AJ640" s="13">
        <f t="shared" si="147"/>
        <v>0</v>
      </c>
      <c r="AK640" s="13">
        <f t="shared" si="148"/>
        <v>0</v>
      </c>
      <c r="AM640" s="32">
        <v>621</v>
      </c>
      <c r="AN640" s="32">
        <v>52</v>
      </c>
      <c r="AO640" s="32">
        <v>9</v>
      </c>
      <c r="AP640" s="13"/>
      <c r="AQ640" s="32"/>
      <c r="AR640" s="13">
        <f t="shared" si="149"/>
        <v>0</v>
      </c>
      <c r="AS640" s="33"/>
      <c r="AT640" s="13">
        <f t="shared" si="143"/>
        <v>0</v>
      </c>
      <c r="AU640" s="13">
        <f>ROUNDUP(($AR640+$AT640)*VLOOKUP($AN640,Paraméterek!$P$38:$Q$38,2)/12,IF($D$4="Forint",0,2))</f>
        <v>0</v>
      </c>
      <c r="AV640" s="13"/>
      <c r="AW640" s="13"/>
      <c r="AX640" s="13">
        <f>ROUNDUP(IF(SUM($AV640:$AW640)=0,0,IF(IF(ISBLANK($AW640),$AV640,$AW640)*Paraméterek!$J$112&lt;IF($D$4="Forint",Paraméterek!$J$113,Paraméterek!$K$113),IF($D$4="Forint",Paraméterek!$J$113,Paraméterek!$K$113),IF(IF(ISBLANK($AW640),$AV640,$AW640)*Paraméterek!$J$112&gt;IF($D$4="Forint",Paraméterek!$J$114,Paraméterek!$K$114),IF($D$4="Forint",Paraméterek!$J$114,Paraméterek!$K$114),IF(ISBLANK($AW640),$AV640,$AW640)*Paraméterek!$J$112))),IF($D$4="Forint",0,2))</f>
        <v>0</v>
      </c>
      <c r="AY640" s="13">
        <f>$AR640+$AT640-$AU640-IF(ROUNDDOWN(IF(ISBLANK($AW640),$AV640,$AW640),IF($D$4="Forint",0,2))&gt;$AR640+$AT640-$AU640-IF($D$4="Forint",Paraméterek!$J$114,Paraméterek!$K$114),0,ROUNDDOWN(IF(ISBLANK($AW640),$AV640,$AW640),IF($D$4="Forint",0,2))-$AX640)</f>
        <v>0</v>
      </c>
      <c r="AZ640" s="13">
        <f t="shared" si="144"/>
        <v>0</v>
      </c>
    </row>
    <row r="641" spans="1:52" x14ac:dyDescent="0.2">
      <c r="A641" s="32">
        <v>622</v>
      </c>
      <c r="B641" s="32">
        <v>52</v>
      </c>
      <c r="C641" s="32">
        <v>10</v>
      </c>
      <c r="D641" s="13">
        <f t="shared" si="135"/>
        <v>0</v>
      </c>
      <c r="E641" s="13"/>
      <c r="F641" s="13"/>
      <c r="G641" s="13"/>
      <c r="H641" s="13">
        <f t="shared" si="136"/>
        <v>0</v>
      </c>
      <c r="I641" s="13">
        <f t="shared" si="137"/>
        <v>0</v>
      </c>
      <c r="J641" s="13">
        <f t="shared" si="138"/>
        <v>0</v>
      </c>
      <c r="K641" s="13">
        <f>ROUNDUP(IF($D$2="Egyszeri",$D641,IF($D$2="Havi",SUM($D$20:$D$31),IF(MOD($C641,$M$1)-1=0,SUM($D$20:$D$31),0))/12*$M$1)*VLOOKUP($B641,Paraméterek!$B$27:$D$30,IF($D$2="Egyszeri",3,2)),IF($D$4="Forint",0,2))</f>
        <v>0</v>
      </c>
      <c r="L641" s="13">
        <f t="shared" si="139"/>
        <v>0</v>
      </c>
      <c r="M641" s="13">
        <f t="shared" ca="1" si="145"/>
        <v>-498565</v>
      </c>
      <c r="N641" s="13">
        <f ca="1">IF($V640&gt;=VLOOKUP($M$4-1+$B641,Paraméterek!$B$121:$D$122,IF($D$4="Forint",2,3)),0,VLOOKUP($M$4-1+$B641,Paraméterek!$B$121:$D$122,IF($D$4="Forint",2,3))-$V640)</f>
        <v>508565</v>
      </c>
      <c r="O641" s="13">
        <f ca="1">ROUNDUP($N641*Paraméterek!$C$58/Paraméterek!$C$56,IF($D$4="Forint",0,2))</f>
        <v>81</v>
      </c>
      <c r="P641" s="13">
        <f t="shared" si="140"/>
        <v>2484</v>
      </c>
      <c r="Q641" s="33"/>
      <c r="R641" s="13">
        <f t="shared" ca="1" si="141"/>
        <v>0</v>
      </c>
      <c r="S641" s="13">
        <f ca="1">ROUNDUP(($M641-$O641-$P641+$R641)*VLOOKUP($B641,Paraméterek!$B$38:$D$39,IF($D$2="Egyszeri",3,2))/12,IF($D$4="Forint",0,2))</f>
        <v>-1224</v>
      </c>
      <c r="T641" s="13"/>
      <c r="U641" s="13"/>
      <c r="V641" s="13">
        <f ca="1">$M641-$O641-$P641+$R641-$S641-IF(ROUNDUP(IF(ISBLANK($U641),$T641,$U641)/IF(AND($B641=1,$D$2&lt;&gt;"Egyszeri"),1,VLOOKUP($B641+IF($C641=12,1,0),Paraméterek!$B$257:$D$267,IF($D$2="Egyszeri",3,2))),IF($D$4="Forint",0,2))&gt;$M641-$O641-$P641+$R641-$S641-IF($D$4="Forint",Paraméterek!$C$216,Paraméterek!$D$216),0,ROUNDUP(IF(ISBLANK($U641),$T641,$U641)/IF(AND($B641=1,$D$2&lt;&gt;"Egyszeri"),1,VLOOKUP($B641+IF($C641=12,1,0),Paraméterek!$B$257:$D$267,IF($D$2="Egyszeri",3,2))),IF($D$4="Forint",0,2)))</f>
        <v>-499906</v>
      </c>
      <c r="W641" s="13">
        <f ca="1">ROUNDDOWN($V641*VLOOKUP($B641+IF($C641=12,1,0),Paraméterek!$B$257:$D$267,IF($D$2="Egyszeri",3,2)),IF($D$4="Forint",0,2))</f>
        <v>-499906</v>
      </c>
      <c r="Y641" s="32">
        <v>622</v>
      </c>
      <c r="Z641" s="32">
        <v>52</v>
      </c>
      <c r="AA641" s="32">
        <v>10</v>
      </c>
      <c r="AB641" s="13">
        <f t="shared" si="146"/>
        <v>0</v>
      </c>
      <c r="AC641" s="33"/>
      <c r="AD641" s="13">
        <f t="shared" si="142"/>
        <v>0</v>
      </c>
      <c r="AE641" s="13">
        <f>ROUNDUP(($AB641+$AD641)*VLOOKUP($Z641,Paraméterek!$P$38:$Q$38,2)/12,IF($D$4="Forint",0,2))</f>
        <v>0</v>
      </c>
      <c r="AF641" s="13">
        <f>IF($D$2="Egyszeri",IF($D$7&gt;=IF($D$4="Forint",Paraméterek!$P$223,Paraméterek!$P$224),$D$7-IF($D$4="Forint",Paraméterek!$F$223,Paraméterek!$F$224),0),MIN(IF($AA641=12,AVERAGE($D$20:$D641)*12,0),SUM($D$20:$D$31)))</f>
        <v>0</v>
      </c>
      <c r="AG641" s="13">
        <f>IF(AND($Z641&gt;=10,MOD($Z641,5)=0),$AF641*IF($AA641=12,VLOOKUP($Z641,Paraméterek!$B$225:$F$240,IF($AF641&lt;IF($D$4="Forint",Paraméterek!$C$223,Paraméterek!$C$224),2,IF($AF641&lt;IF($D$4="Forint",Paraméterek!$D$223,Paraméterek!$D$224),3,4))),0),0)</f>
        <v>0</v>
      </c>
      <c r="AH641" s="13">
        <f>IF(AND($Z641&gt;=5,MOD($Z641,5)=0),IF($AA641=12,VLOOKUP($Z641,Paraméterek!$B$225:$F$240,5),0),IF(OR($Z641=3,$Z641=4),IF($AA641=12,VLOOKUP($Z641,Paraméterek!$B$225:$F$240,5,0),0),0))*$AF641</f>
        <v>0</v>
      </c>
      <c r="AI641" s="13">
        <f>ROUNDDOWN(IF(SUM($T$20:$U641)=0,IF($D$2="Egyszeri",$AH641,$AG641),0),IF($D$4="Forint",0,2))</f>
        <v>0</v>
      </c>
      <c r="AJ641" s="13">
        <f t="shared" si="147"/>
        <v>0</v>
      </c>
      <c r="AK641" s="13">
        <f t="shared" si="148"/>
        <v>0</v>
      </c>
      <c r="AM641" s="32">
        <v>622</v>
      </c>
      <c r="AN641" s="32">
        <v>52</v>
      </c>
      <c r="AO641" s="32">
        <v>10</v>
      </c>
      <c r="AP641" s="13"/>
      <c r="AQ641" s="32"/>
      <c r="AR641" s="13">
        <f t="shared" si="149"/>
        <v>0</v>
      </c>
      <c r="AS641" s="33"/>
      <c r="AT641" s="13">
        <f t="shared" si="143"/>
        <v>0</v>
      </c>
      <c r="AU641" s="13">
        <f>ROUNDUP(($AR641+$AT641)*VLOOKUP($AN641,Paraméterek!$P$38:$Q$38,2)/12,IF($D$4="Forint",0,2))</f>
        <v>0</v>
      </c>
      <c r="AV641" s="13"/>
      <c r="AW641" s="13"/>
      <c r="AX641" s="13">
        <f>ROUNDUP(IF(SUM($AV641:$AW641)=0,0,IF(IF(ISBLANK($AW641),$AV641,$AW641)*Paraméterek!$J$112&lt;IF($D$4="Forint",Paraméterek!$J$113,Paraméterek!$K$113),IF($D$4="Forint",Paraméterek!$J$113,Paraméterek!$K$113),IF(IF(ISBLANK($AW641),$AV641,$AW641)*Paraméterek!$J$112&gt;IF($D$4="Forint",Paraméterek!$J$114,Paraméterek!$K$114),IF($D$4="Forint",Paraméterek!$J$114,Paraméterek!$K$114),IF(ISBLANK($AW641),$AV641,$AW641)*Paraméterek!$J$112))),IF($D$4="Forint",0,2))</f>
        <v>0</v>
      </c>
      <c r="AY641" s="13">
        <f>$AR641+$AT641-$AU641-IF(ROUNDDOWN(IF(ISBLANK($AW641),$AV641,$AW641),IF($D$4="Forint",0,2))&gt;$AR641+$AT641-$AU641-IF($D$4="Forint",Paraméterek!$J$114,Paraméterek!$K$114),0,ROUNDDOWN(IF(ISBLANK($AW641),$AV641,$AW641),IF($D$4="Forint",0,2))-$AX641)</f>
        <v>0</v>
      </c>
      <c r="AZ641" s="13">
        <f t="shared" si="144"/>
        <v>0</v>
      </c>
    </row>
    <row r="642" spans="1:52" x14ac:dyDescent="0.2">
      <c r="A642" s="32">
        <v>623</v>
      </c>
      <c r="B642" s="32">
        <v>52</v>
      </c>
      <c r="C642" s="32">
        <v>11</v>
      </c>
      <c r="D642" s="13">
        <f t="shared" si="135"/>
        <v>0</v>
      </c>
      <c r="E642" s="13"/>
      <c r="F642" s="13"/>
      <c r="G642" s="13"/>
      <c r="H642" s="13">
        <f t="shared" si="136"/>
        <v>0</v>
      </c>
      <c r="I642" s="13">
        <f t="shared" si="137"/>
        <v>0</v>
      </c>
      <c r="J642" s="13">
        <f t="shared" si="138"/>
        <v>0</v>
      </c>
      <c r="K642" s="13">
        <f>ROUNDUP(IF($D$2="Egyszeri",$D642,IF($D$2="Havi",SUM($D$20:$D$31),IF(MOD($C642,$M$1)-1=0,SUM($D$20:$D$31),0))/12*$M$1)*VLOOKUP($B642,Paraméterek!$B$27:$D$30,IF($D$2="Egyszeri",3,2)),IF($D$4="Forint",0,2))</f>
        <v>0</v>
      </c>
      <c r="L642" s="13">
        <f t="shared" si="139"/>
        <v>0</v>
      </c>
      <c r="M642" s="13">
        <f t="shared" ca="1" si="145"/>
        <v>-499906</v>
      </c>
      <c r="N642" s="13">
        <f ca="1">IF($V641&gt;=VLOOKUP($M$4-1+$B642,Paraméterek!$B$121:$D$122,IF($D$4="Forint",2,3)),0,VLOOKUP($M$4-1+$B642,Paraméterek!$B$121:$D$122,IF($D$4="Forint",2,3))-$V641)</f>
        <v>509906</v>
      </c>
      <c r="O642" s="13">
        <f ca="1">ROUNDUP($N642*Paraméterek!$C$58/Paraméterek!$C$56,IF($D$4="Forint",0,2))</f>
        <v>82</v>
      </c>
      <c r="P642" s="13">
        <f t="shared" si="140"/>
        <v>2484</v>
      </c>
      <c r="Q642" s="33"/>
      <c r="R642" s="13">
        <f t="shared" ca="1" si="141"/>
        <v>0</v>
      </c>
      <c r="S642" s="13">
        <f ca="1">ROUNDUP(($M642-$O642-$P642+$R642)*VLOOKUP($B642,Paraméterek!$B$38:$D$39,IF($D$2="Egyszeri",3,2))/12,IF($D$4="Forint",0,2))</f>
        <v>-1227</v>
      </c>
      <c r="T642" s="13"/>
      <c r="U642" s="13"/>
      <c r="V642" s="13">
        <f ca="1">$M642-$O642-$P642+$R642-$S642-IF(ROUNDUP(IF(ISBLANK($U642),$T642,$U642)/IF(AND($B642=1,$D$2&lt;&gt;"Egyszeri"),1,VLOOKUP($B642+IF($C642=12,1,0),Paraméterek!$B$257:$D$267,IF($D$2="Egyszeri",3,2))),IF($D$4="Forint",0,2))&gt;$M642-$O642-$P642+$R642-$S642-IF($D$4="Forint",Paraméterek!$C$216,Paraméterek!$D$216),0,ROUNDUP(IF(ISBLANK($U642),$T642,$U642)/IF(AND($B642=1,$D$2&lt;&gt;"Egyszeri"),1,VLOOKUP($B642+IF($C642=12,1,0),Paraméterek!$B$257:$D$267,IF($D$2="Egyszeri",3,2))),IF($D$4="Forint",0,2)))</f>
        <v>-501245</v>
      </c>
      <c r="W642" s="13">
        <f ca="1">ROUNDDOWN($V642*VLOOKUP($B642+IF($C642=12,1,0),Paraméterek!$B$257:$D$267,IF($D$2="Egyszeri",3,2)),IF($D$4="Forint",0,2))</f>
        <v>-501245</v>
      </c>
      <c r="Y642" s="32">
        <v>623</v>
      </c>
      <c r="Z642" s="32">
        <v>52</v>
      </c>
      <c r="AA642" s="32">
        <v>11</v>
      </c>
      <c r="AB642" s="13">
        <f t="shared" si="146"/>
        <v>0</v>
      </c>
      <c r="AC642" s="33"/>
      <c r="AD642" s="13">
        <f t="shared" si="142"/>
        <v>0</v>
      </c>
      <c r="AE642" s="13">
        <f>ROUNDUP(($AB642+$AD642)*VLOOKUP($Z642,Paraméterek!$P$38:$Q$38,2)/12,IF($D$4="Forint",0,2))</f>
        <v>0</v>
      </c>
      <c r="AF642" s="13">
        <f>IF($D$2="Egyszeri",IF($D$7&gt;=IF($D$4="Forint",Paraméterek!$P$223,Paraméterek!$P$224),$D$7-IF($D$4="Forint",Paraméterek!$F$223,Paraméterek!$F$224),0),MIN(IF($AA642=12,AVERAGE($D$20:$D642)*12,0),SUM($D$20:$D$31)))</f>
        <v>0</v>
      </c>
      <c r="AG642" s="13">
        <f>IF(AND($Z642&gt;=10,MOD($Z642,5)=0),$AF642*IF($AA642=12,VLOOKUP($Z642,Paraméterek!$B$225:$F$240,IF($AF642&lt;IF($D$4="Forint",Paraméterek!$C$223,Paraméterek!$C$224),2,IF($AF642&lt;IF($D$4="Forint",Paraméterek!$D$223,Paraméterek!$D$224),3,4))),0),0)</f>
        <v>0</v>
      </c>
      <c r="AH642" s="13">
        <f>IF(AND($Z642&gt;=5,MOD($Z642,5)=0),IF($AA642=12,VLOOKUP($Z642,Paraméterek!$B$225:$F$240,5),0),IF(OR($Z642=3,$Z642=4),IF($AA642=12,VLOOKUP($Z642,Paraméterek!$B$225:$F$240,5,0),0),0))*$AF642</f>
        <v>0</v>
      </c>
      <c r="AI642" s="13">
        <f>ROUNDDOWN(IF(SUM($T$20:$U642)=0,IF($D$2="Egyszeri",$AH642,$AG642),0),IF($D$4="Forint",0,2))</f>
        <v>0</v>
      </c>
      <c r="AJ642" s="13">
        <f t="shared" si="147"/>
        <v>0</v>
      </c>
      <c r="AK642" s="13">
        <f t="shared" si="148"/>
        <v>0</v>
      </c>
      <c r="AM642" s="32">
        <v>623</v>
      </c>
      <c r="AN642" s="32">
        <v>52</v>
      </c>
      <c r="AO642" s="32">
        <v>11</v>
      </c>
      <c r="AP642" s="13"/>
      <c r="AQ642" s="32"/>
      <c r="AR642" s="13">
        <f t="shared" si="149"/>
        <v>0</v>
      </c>
      <c r="AS642" s="33"/>
      <c r="AT642" s="13">
        <f t="shared" si="143"/>
        <v>0</v>
      </c>
      <c r="AU642" s="13">
        <f>ROUNDUP(($AR642+$AT642)*VLOOKUP($AN642,Paraméterek!$P$38:$Q$38,2)/12,IF($D$4="Forint",0,2))</f>
        <v>0</v>
      </c>
      <c r="AV642" s="13"/>
      <c r="AW642" s="13"/>
      <c r="AX642" s="13">
        <f>ROUNDUP(IF(SUM($AV642:$AW642)=0,0,IF(IF(ISBLANK($AW642),$AV642,$AW642)*Paraméterek!$J$112&lt;IF($D$4="Forint",Paraméterek!$J$113,Paraméterek!$K$113),IF($D$4="Forint",Paraméterek!$J$113,Paraméterek!$K$113),IF(IF(ISBLANK($AW642),$AV642,$AW642)*Paraméterek!$J$112&gt;IF($D$4="Forint",Paraméterek!$J$114,Paraméterek!$K$114),IF($D$4="Forint",Paraméterek!$J$114,Paraméterek!$K$114),IF(ISBLANK($AW642),$AV642,$AW642)*Paraméterek!$J$112))),IF($D$4="Forint",0,2))</f>
        <v>0</v>
      </c>
      <c r="AY642" s="13">
        <f>$AR642+$AT642-$AU642-IF(ROUNDDOWN(IF(ISBLANK($AW642),$AV642,$AW642),IF($D$4="Forint",0,2))&gt;$AR642+$AT642-$AU642-IF($D$4="Forint",Paraméterek!$J$114,Paraméterek!$K$114),0,ROUNDDOWN(IF(ISBLANK($AW642),$AV642,$AW642),IF($D$4="Forint",0,2))-$AX642)</f>
        <v>0</v>
      </c>
      <c r="AZ642" s="13">
        <f t="shared" si="144"/>
        <v>0</v>
      </c>
    </row>
    <row r="643" spans="1:52" x14ac:dyDescent="0.2">
      <c r="A643" s="32">
        <v>624</v>
      </c>
      <c r="B643" s="32">
        <v>52</v>
      </c>
      <c r="C643" s="32">
        <v>12</v>
      </c>
      <c r="D643" s="13">
        <f t="shared" si="135"/>
        <v>0</v>
      </c>
      <c r="E643" s="13"/>
      <c r="F643" s="13"/>
      <c r="G643" s="13"/>
      <c r="H643" s="13">
        <f t="shared" si="136"/>
        <v>0</v>
      </c>
      <c r="I643" s="13">
        <f t="shared" si="137"/>
        <v>0</v>
      </c>
      <c r="J643" s="13">
        <f t="shared" si="138"/>
        <v>0</v>
      </c>
      <c r="K643" s="13">
        <f>ROUNDUP(IF($D$2="Egyszeri",$D643,IF($D$2="Havi",SUM($D$20:$D$31),IF(MOD($C643,$M$1)-1=0,SUM($D$20:$D$31),0))/12*$M$1)*VLOOKUP($B643,Paraméterek!$B$27:$D$30,IF($D$2="Egyszeri",3,2)),IF($D$4="Forint",0,2))</f>
        <v>0</v>
      </c>
      <c r="L643" s="13">
        <f t="shared" si="139"/>
        <v>0</v>
      </c>
      <c r="M643" s="13">
        <f t="shared" ca="1" si="145"/>
        <v>-501245</v>
      </c>
      <c r="N643" s="13">
        <f ca="1">IF($V642&gt;=VLOOKUP($M$4-1+$B643,Paraméterek!$B$121:$D$122,IF($D$4="Forint",2,3)),0,VLOOKUP($M$4-1+$B643,Paraméterek!$B$121:$D$122,IF($D$4="Forint",2,3))-$V642)</f>
        <v>511245</v>
      </c>
      <c r="O643" s="13">
        <f ca="1">ROUNDUP($N643*Paraméterek!$C$58/Paraméterek!$C$56,IF($D$4="Forint",0,2))</f>
        <v>82</v>
      </c>
      <c r="P643" s="13">
        <f t="shared" si="140"/>
        <v>2484</v>
      </c>
      <c r="Q643" s="33"/>
      <c r="R643" s="13">
        <f t="shared" ca="1" si="141"/>
        <v>0</v>
      </c>
      <c r="S643" s="13">
        <f ca="1">ROUNDUP(($M643-$O643-$P643+$R643)*VLOOKUP($B643,Paraméterek!$B$38:$D$39,IF($D$2="Egyszeri",3,2))/12,IF($D$4="Forint",0,2))</f>
        <v>-1231</v>
      </c>
      <c r="T643" s="13">
        <f>Tranzakciók!$F$83</f>
        <v>0</v>
      </c>
      <c r="U643" s="13"/>
      <c r="V643" s="13">
        <f ca="1">$M643-$O643-$P643+$R643-$S643-IF(ROUNDUP(IF(ISBLANK($U643),$T643,$U643)/IF(AND($B643=1,$D$2&lt;&gt;"Egyszeri"),1,VLOOKUP($B643+IF($C643=12,1,0),Paraméterek!$B$257:$D$267,IF($D$2="Egyszeri",3,2))),IF($D$4="Forint",0,2))&gt;$M643-$O643-$P643+$R643-$S643-IF($D$4="Forint",Paraméterek!$C$216,Paraméterek!$D$216),0,ROUNDUP(IF(ISBLANK($U643),$T643,$U643)/IF(AND($B643=1,$D$2&lt;&gt;"Egyszeri"),1,VLOOKUP($B643+IF($C643=12,1,0),Paraméterek!$B$257:$D$267,IF($D$2="Egyszeri",3,2))),IF($D$4="Forint",0,2)))</f>
        <v>-502580</v>
      </c>
      <c r="W643" s="13">
        <f ca="1">ROUNDDOWN($V643*VLOOKUP($B643+IF($C643=12,1,0),Paraméterek!$B$257:$D$267,IF($D$2="Egyszeri",3,2)),IF($D$4="Forint",0,2))</f>
        <v>-502580</v>
      </c>
      <c r="Y643" s="32">
        <v>624</v>
      </c>
      <c r="Z643" s="32">
        <v>52</v>
      </c>
      <c r="AA643" s="32">
        <v>12</v>
      </c>
      <c r="AB643" s="13">
        <f t="shared" si="146"/>
        <v>0</v>
      </c>
      <c r="AC643" s="33"/>
      <c r="AD643" s="13">
        <f t="shared" si="142"/>
        <v>0</v>
      </c>
      <c r="AE643" s="13">
        <f>ROUNDUP(($AB643+$AD643)*VLOOKUP($Z643,Paraméterek!$P$38:$Q$38,2)/12,IF($D$4="Forint",0,2))</f>
        <v>0</v>
      </c>
      <c r="AF643" s="13">
        <f>IF($D$2="Egyszeri",IF($D$7&gt;=IF($D$4="Forint",Paraméterek!$P$223,Paraméterek!$P$224),$D$7-IF($D$4="Forint",Paraméterek!$F$223,Paraméterek!$F$224),0),MIN(IF($AA643=12,AVERAGE($D$20:$D643)*12,0),SUM($D$20:$D$31)))</f>
        <v>0</v>
      </c>
      <c r="AG643" s="13">
        <f>IF(AND($Z643&gt;=10,MOD($Z643,5)=0),$AF643*IF($AA643=12,VLOOKUP($Z643,Paraméterek!$B$225:$F$240,IF($AF643&lt;IF($D$4="Forint",Paraméterek!$C$223,Paraméterek!$C$224),2,IF($AF643&lt;IF($D$4="Forint",Paraméterek!$D$223,Paraméterek!$D$224),3,4))),0),0)</f>
        <v>0</v>
      </c>
      <c r="AH643" s="13">
        <f>IF(AND($Z643&gt;=5,MOD($Z643,5)=0),IF($AA643=12,VLOOKUP($Z643,Paraméterek!$B$225:$F$240,5),0),IF(OR($Z643=3,$Z643=4),IF($AA643=12,VLOOKUP($Z643,Paraméterek!$B$225:$F$240,5,0),0),0))*$AF643</f>
        <v>0</v>
      </c>
      <c r="AI643" s="13">
        <f>ROUNDDOWN(IF(SUM($T$20:$U643)=0,IF($D$2="Egyszeri",$AH643,$AG643),0),IF($D$4="Forint",0,2))</f>
        <v>0</v>
      </c>
      <c r="AJ643" s="13">
        <f t="shared" si="147"/>
        <v>0</v>
      </c>
      <c r="AK643" s="13">
        <f t="shared" si="148"/>
        <v>0</v>
      </c>
      <c r="AM643" s="32">
        <v>624</v>
      </c>
      <c r="AN643" s="32">
        <v>52</v>
      </c>
      <c r="AO643" s="32">
        <v>12</v>
      </c>
      <c r="AP643" s="13"/>
      <c r="AQ643" s="32"/>
      <c r="AR643" s="13">
        <f t="shared" si="149"/>
        <v>0</v>
      </c>
      <c r="AS643" s="33"/>
      <c r="AT643" s="13">
        <f t="shared" si="143"/>
        <v>0</v>
      </c>
      <c r="AU643" s="13">
        <f>ROUNDUP(($AR643+$AT643)*VLOOKUP($AN643,Paraméterek!$P$38:$Q$38,2)/12,IF($D$4="Forint",0,2))</f>
        <v>0</v>
      </c>
      <c r="AV643" s="13">
        <f>Tranzakciók!$M$83</f>
        <v>0</v>
      </c>
      <c r="AW643" s="13"/>
      <c r="AX643" s="13">
        <f>ROUNDUP(IF(SUM($AV643:$AW643)=0,0,IF(IF(ISBLANK($AW643),$AV643,$AW643)*Paraméterek!$J$112&lt;IF($D$4="Forint",Paraméterek!$J$113,Paraméterek!$K$113),IF($D$4="Forint",Paraméterek!$J$113,Paraméterek!$K$113),IF(IF(ISBLANK($AW643),$AV643,$AW643)*Paraméterek!$J$112&gt;IF($D$4="Forint",Paraméterek!$J$114,Paraméterek!$K$114),IF($D$4="Forint",Paraméterek!$J$114,Paraméterek!$K$114),IF(ISBLANK($AW643),$AV643,$AW643)*Paraméterek!$J$112))),IF($D$4="Forint",0,2))</f>
        <v>0</v>
      </c>
      <c r="AY643" s="13">
        <f>$AR643+$AT643-$AU643-IF(ROUNDDOWN(IF(ISBLANK($AW643),$AV643,$AW643),IF($D$4="Forint",0,2))&gt;$AR643+$AT643-$AU643-IF($D$4="Forint",Paraméterek!$J$114,Paraméterek!$K$114),0,ROUNDDOWN(IF(ISBLANK($AW643),$AV643,$AW643),IF($D$4="Forint",0,2))-$AX643)</f>
        <v>0</v>
      </c>
      <c r="AZ643" s="13">
        <f t="shared" si="144"/>
        <v>0</v>
      </c>
    </row>
    <row r="644" spans="1:52" x14ac:dyDescent="0.2">
      <c r="A644" s="32">
        <v>625</v>
      </c>
      <c r="B644" s="32">
        <v>53</v>
      </c>
      <c r="C644" s="32">
        <v>1</v>
      </c>
      <c r="D644" s="13">
        <f t="shared" si="135"/>
        <v>0</v>
      </c>
      <c r="E644" s="13"/>
      <c r="F644" s="13">
        <f>Tranzakciók!$D$84</f>
        <v>0</v>
      </c>
      <c r="G644" s="13"/>
      <c r="H644" s="13">
        <f t="shared" si="136"/>
        <v>0</v>
      </c>
      <c r="I644" s="13">
        <f t="shared" si="137"/>
        <v>466</v>
      </c>
      <c r="J644" s="13">
        <f t="shared" si="138"/>
        <v>466</v>
      </c>
      <c r="K644" s="13">
        <f>ROUNDUP(IF($D$2="Egyszeri",$D644,IF($D$2="Havi",SUM($D$20:$D$31),IF(MOD($C644,$M$1)-1=0,SUM($D$20:$D$31),0))/12*$M$1)*VLOOKUP($B644,Paraméterek!$B$27:$D$30,IF($D$2="Egyszeri",3,2)),IF($D$4="Forint",0,2))</f>
        <v>0</v>
      </c>
      <c r="L644" s="13">
        <f t="shared" si="139"/>
        <v>0</v>
      </c>
      <c r="M644" s="13">
        <f t="shared" ca="1" si="145"/>
        <v>-502580</v>
      </c>
      <c r="N644" s="13">
        <f ca="1">IF($V643&gt;=VLOOKUP($M$4-1+$B644,Paraméterek!$B$121:$D$122,IF($D$4="Forint",2,3)),0,VLOOKUP($M$4-1+$B644,Paraméterek!$B$121:$D$122,IF($D$4="Forint",2,3))-$V643)</f>
        <v>512580</v>
      </c>
      <c r="O644" s="13">
        <f ca="1">ROUNDUP($N644*Paraméterek!$C$58/Paraméterek!$C$56,IF($D$4="Forint",0,2))</f>
        <v>82</v>
      </c>
      <c r="P644" s="13">
        <f t="shared" si="140"/>
        <v>2558</v>
      </c>
      <c r="Q644" s="33"/>
      <c r="R644" s="13">
        <f t="shared" ca="1" si="141"/>
        <v>0</v>
      </c>
      <c r="S644" s="13">
        <f ca="1">ROUNDUP(($M644-$O644-$P644+$R644)*VLOOKUP($B644,Paraméterek!$B$38:$D$39,IF($D$2="Egyszeri",3,2))/12,IF($D$4="Forint",0,2))</f>
        <v>-1234</v>
      </c>
      <c r="T644" s="13"/>
      <c r="U644" s="13"/>
      <c r="V644" s="13">
        <f ca="1">$M644-$O644-$P644+$R644-$S644-IF(ROUNDUP(IF(ISBLANK($U644),$T644,$U644)/IF(AND($B644=1,$D$2&lt;&gt;"Egyszeri"),1,VLOOKUP($B644+IF($C644=12,1,0),Paraméterek!$B$257:$D$267,IF($D$2="Egyszeri",3,2))),IF($D$4="Forint",0,2))&gt;$M644-$O644-$P644+$R644-$S644-IF($D$4="Forint",Paraméterek!$C$216,Paraméterek!$D$216),0,ROUNDUP(IF(ISBLANK($U644),$T644,$U644)/IF(AND($B644=1,$D$2&lt;&gt;"Egyszeri"),1,VLOOKUP($B644+IF($C644=12,1,0),Paraméterek!$B$257:$D$267,IF($D$2="Egyszeri",3,2))),IF($D$4="Forint",0,2)))</f>
        <v>-503986</v>
      </c>
      <c r="W644" s="13">
        <f ca="1">ROUNDDOWN($V644*VLOOKUP($B644+IF($C644=12,1,0),Paraméterek!$B$257:$D$267,IF($D$2="Egyszeri",3,2)),IF($D$4="Forint",0,2))</f>
        <v>-503986</v>
      </c>
      <c r="Y644" s="32">
        <v>625</v>
      </c>
      <c r="Z644" s="32">
        <v>53</v>
      </c>
      <c r="AA644" s="32">
        <v>1</v>
      </c>
      <c r="AB644" s="13">
        <f t="shared" si="146"/>
        <v>0</v>
      </c>
      <c r="AC644" s="33"/>
      <c r="AD644" s="13">
        <f t="shared" si="142"/>
        <v>0</v>
      </c>
      <c r="AE644" s="13">
        <f>ROUNDUP(($AB644+$AD644)*VLOOKUP($Z644,Paraméterek!$P$38:$Q$38,2)/12,IF($D$4="Forint",0,2))</f>
        <v>0</v>
      </c>
      <c r="AF644" s="13">
        <f>IF($D$2="Egyszeri",IF($D$7&gt;=IF($D$4="Forint",Paraméterek!$P$223,Paraméterek!$P$224),$D$7-IF($D$4="Forint",Paraméterek!$F$223,Paraméterek!$F$224),0),MIN(IF($AA644=12,AVERAGE($D$20:$D644)*12,0),SUM($D$20:$D$31)))</f>
        <v>0</v>
      </c>
      <c r="AG644" s="13">
        <f>IF(AND($Z644&gt;=10,MOD($Z644,5)=0),$AF644*IF($AA644=12,VLOOKUP($Z644,Paraméterek!$B$225:$F$240,IF($AF644&lt;IF($D$4="Forint",Paraméterek!$C$223,Paraméterek!$C$224),2,IF($AF644&lt;IF($D$4="Forint",Paraméterek!$D$223,Paraméterek!$D$224),3,4))),0),0)</f>
        <v>0</v>
      </c>
      <c r="AH644" s="13">
        <f>IF(AND($Z644&gt;=5,MOD($Z644,5)=0),IF($AA644=12,VLOOKUP($Z644,Paraméterek!$B$225:$F$240,5),0),IF(OR($Z644=3,$Z644=4),IF($AA644=12,VLOOKUP($Z644,Paraméterek!$B$225:$F$240,5,0),0),0))*$AF644</f>
        <v>0</v>
      </c>
      <c r="AI644" s="13">
        <f>ROUNDDOWN(IF(SUM($T$20:$U644)=0,IF($D$2="Egyszeri",$AH644,$AG644),0),IF($D$4="Forint",0,2))</f>
        <v>0</v>
      </c>
      <c r="AJ644" s="13">
        <f t="shared" si="147"/>
        <v>0</v>
      </c>
      <c r="AK644" s="13">
        <f t="shared" si="148"/>
        <v>0</v>
      </c>
      <c r="AM644" s="32">
        <v>625</v>
      </c>
      <c r="AN644" s="32">
        <v>53</v>
      </c>
      <c r="AO644" s="32">
        <v>1</v>
      </c>
      <c r="AP644" s="13">
        <f>Tranzakciók!$K$84</f>
        <v>0</v>
      </c>
      <c r="AQ644" s="32"/>
      <c r="AR644" s="13">
        <f t="shared" si="149"/>
        <v>0</v>
      </c>
      <c r="AS644" s="33"/>
      <c r="AT644" s="13">
        <f t="shared" si="143"/>
        <v>0</v>
      </c>
      <c r="AU644" s="13">
        <f>ROUNDUP(($AR644+$AT644)*VLOOKUP($AN644,Paraméterek!$P$38:$Q$38,2)/12,IF($D$4="Forint",0,2))</f>
        <v>0</v>
      </c>
      <c r="AV644" s="13"/>
      <c r="AW644" s="13"/>
      <c r="AX644" s="13">
        <f>ROUNDUP(IF(SUM($AV644:$AW644)=0,0,IF(IF(ISBLANK($AW644),$AV644,$AW644)*Paraméterek!$J$112&lt;IF($D$4="Forint",Paraméterek!$J$113,Paraméterek!$K$113),IF($D$4="Forint",Paraméterek!$J$113,Paraméterek!$K$113),IF(IF(ISBLANK($AW644),$AV644,$AW644)*Paraméterek!$J$112&gt;IF($D$4="Forint",Paraméterek!$J$114,Paraméterek!$K$114),IF($D$4="Forint",Paraméterek!$J$114,Paraméterek!$K$114),IF(ISBLANK($AW644),$AV644,$AW644)*Paraméterek!$J$112))),IF($D$4="Forint",0,2))</f>
        <v>0</v>
      </c>
      <c r="AY644" s="13">
        <f>$AR644+$AT644-$AU644-IF(ROUNDDOWN(IF(ISBLANK($AW644),$AV644,$AW644),IF($D$4="Forint",0,2))&gt;$AR644+$AT644-$AU644-IF($D$4="Forint",Paraméterek!$J$114,Paraméterek!$K$114),0,ROUNDDOWN(IF(ISBLANK($AW644),$AV644,$AW644),IF($D$4="Forint",0,2))-$AX644)</f>
        <v>0</v>
      </c>
      <c r="AZ644" s="13">
        <f t="shared" si="144"/>
        <v>0</v>
      </c>
    </row>
    <row r="645" spans="1:52" x14ac:dyDescent="0.2">
      <c r="A645" s="32">
        <v>626</v>
      </c>
      <c r="B645" s="32">
        <v>53</v>
      </c>
      <c r="C645" s="32">
        <v>2</v>
      </c>
      <c r="D645" s="13">
        <f t="shared" si="135"/>
        <v>0</v>
      </c>
      <c r="E645" s="13"/>
      <c r="F645" s="13"/>
      <c r="G645" s="13"/>
      <c r="H645" s="13">
        <f t="shared" si="136"/>
        <v>0</v>
      </c>
      <c r="I645" s="13">
        <f t="shared" si="137"/>
        <v>0</v>
      </c>
      <c r="J645" s="13">
        <f t="shared" si="138"/>
        <v>0</v>
      </c>
      <c r="K645" s="13">
        <f>ROUNDUP(IF($D$2="Egyszeri",$D645,IF($D$2="Havi",SUM($D$20:$D$31),IF(MOD($C645,$M$1)-1=0,SUM($D$20:$D$31),0))/12*$M$1)*VLOOKUP($B645,Paraméterek!$B$27:$D$30,IF($D$2="Egyszeri",3,2)),IF($D$4="Forint",0,2))</f>
        <v>0</v>
      </c>
      <c r="L645" s="13">
        <f t="shared" si="139"/>
        <v>0</v>
      </c>
      <c r="M645" s="13">
        <f t="shared" ca="1" si="145"/>
        <v>-503986</v>
      </c>
      <c r="N645" s="13">
        <f ca="1">IF($V644&gt;=VLOOKUP($M$4-1+$B645,Paraméterek!$B$121:$D$122,IF($D$4="Forint",2,3)),0,VLOOKUP($M$4-1+$B645,Paraméterek!$B$121:$D$122,IF($D$4="Forint",2,3))-$V644)</f>
        <v>513986</v>
      </c>
      <c r="O645" s="13">
        <f ca="1">ROUNDUP($N645*Paraméterek!$C$58/Paraméterek!$C$56,IF($D$4="Forint",0,2))</f>
        <v>82</v>
      </c>
      <c r="P645" s="13">
        <f t="shared" si="140"/>
        <v>2558</v>
      </c>
      <c r="Q645" s="33"/>
      <c r="R645" s="13">
        <f t="shared" ca="1" si="141"/>
        <v>0</v>
      </c>
      <c r="S645" s="13">
        <f ca="1">ROUNDUP(($M645-$O645-$P645+$R645)*VLOOKUP($B645,Paraméterek!$B$38:$D$39,IF($D$2="Egyszeri",3,2))/12,IF($D$4="Forint",0,2))</f>
        <v>-1238</v>
      </c>
      <c r="T645" s="13"/>
      <c r="U645" s="13"/>
      <c r="V645" s="13">
        <f ca="1">$M645-$O645-$P645+$R645-$S645-IF(ROUNDUP(IF(ISBLANK($U645),$T645,$U645)/IF(AND($B645=1,$D$2&lt;&gt;"Egyszeri"),1,VLOOKUP($B645+IF($C645=12,1,0),Paraméterek!$B$257:$D$267,IF($D$2="Egyszeri",3,2))),IF($D$4="Forint",0,2))&gt;$M645-$O645-$P645+$R645-$S645-IF($D$4="Forint",Paraméterek!$C$216,Paraméterek!$D$216),0,ROUNDUP(IF(ISBLANK($U645),$T645,$U645)/IF(AND($B645=1,$D$2&lt;&gt;"Egyszeri"),1,VLOOKUP($B645+IF($C645=12,1,0),Paraméterek!$B$257:$D$267,IF($D$2="Egyszeri",3,2))),IF($D$4="Forint",0,2)))</f>
        <v>-505388</v>
      </c>
      <c r="W645" s="13">
        <f ca="1">ROUNDDOWN($V645*VLOOKUP($B645+IF($C645=12,1,0),Paraméterek!$B$257:$D$267,IF($D$2="Egyszeri",3,2)),IF($D$4="Forint",0,2))</f>
        <v>-505388</v>
      </c>
      <c r="Y645" s="32">
        <v>626</v>
      </c>
      <c r="Z645" s="32">
        <v>53</v>
      </c>
      <c r="AA645" s="32">
        <v>2</v>
      </c>
      <c r="AB645" s="13">
        <f t="shared" si="146"/>
        <v>0</v>
      </c>
      <c r="AC645" s="33"/>
      <c r="AD645" s="13">
        <f t="shared" si="142"/>
        <v>0</v>
      </c>
      <c r="AE645" s="13">
        <f>ROUNDUP(($AB645+$AD645)*VLOOKUP($Z645,Paraméterek!$P$38:$Q$38,2)/12,IF($D$4="Forint",0,2))</f>
        <v>0</v>
      </c>
      <c r="AF645" s="13">
        <f>IF($D$2="Egyszeri",IF($D$7&gt;=IF($D$4="Forint",Paraméterek!$P$223,Paraméterek!$P$224),$D$7-IF($D$4="Forint",Paraméterek!$F$223,Paraméterek!$F$224),0),MIN(IF($AA645=12,AVERAGE($D$20:$D645)*12,0),SUM($D$20:$D$31)))</f>
        <v>0</v>
      </c>
      <c r="AG645" s="13">
        <f>IF(AND($Z645&gt;=10,MOD($Z645,5)=0),$AF645*IF($AA645=12,VLOOKUP($Z645,Paraméterek!$B$225:$F$240,IF($AF645&lt;IF($D$4="Forint",Paraméterek!$C$223,Paraméterek!$C$224),2,IF($AF645&lt;IF($D$4="Forint",Paraméterek!$D$223,Paraméterek!$D$224),3,4))),0),0)</f>
        <v>0</v>
      </c>
      <c r="AH645" s="13">
        <f>IF(AND($Z645&gt;=5,MOD($Z645,5)=0),IF($AA645=12,VLOOKUP($Z645,Paraméterek!$B$225:$F$240,5),0),IF(OR($Z645=3,$Z645=4),IF($AA645=12,VLOOKUP($Z645,Paraméterek!$B$225:$F$240,5,0),0),0))*$AF645</f>
        <v>0</v>
      </c>
      <c r="AI645" s="13">
        <f>ROUNDDOWN(IF(SUM($T$20:$U645)=0,IF($D$2="Egyszeri",$AH645,$AG645),0),IF($D$4="Forint",0,2))</f>
        <v>0</v>
      </c>
      <c r="AJ645" s="13">
        <f t="shared" si="147"/>
        <v>0</v>
      </c>
      <c r="AK645" s="13">
        <f t="shared" si="148"/>
        <v>0</v>
      </c>
      <c r="AM645" s="32">
        <v>626</v>
      </c>
      <c r="AN645" s="32">
        <v>53</v>
      </c>
      <c r="AO645" s="32">
        <v>2</v>
      </c>
      <c r="AP645" s="13"/>
      <c r="AQ645" s="32"/>
      <c r="AR645" s="13">
        <f t="shared" si="149"/>
        <v>0</v>
      </c>
      <c r="AS645" s="33"/>
      <c r="AT645" s="13">
        <f t="shared" si="143"/>
        <v>0</v>
      </c>
      <c r="AU645" s="13">
        <f>ROUNDUP(($AR645+$AT645)*VLOOKUP($AN645,Paraméterek!$P$38:$Q$38,2)/12,IF($D$4="Forint",0,2))</f>
        <v>0</v>
      </c>
      <c r="AV645" s="13"/>
      <c r="AW645" s="13"/>
      <c r="AX645" s="13">
        <f>ROUNDUP(IF(SUM($AV645:$AW645)=0,0,IF(IF(ISBLANK($AW645),$AV645,$AW645)*Paraméterek!$J$112&lt;IF($D$4="Forint",Paraméterek!$J$113,Paraméterek!$K$113),IF($D$4="Forint",Paraméterek!$J$113,Paraméterek!$K$113),IF(IF(ISBLANK($AW645),$AV645,$AW645)*Paraméterek!$J$112&gt;IF($D$4="Forint",Paraméterek!$J$114,Paraméterek!$K$114),IF($D$4="Forint",Paraméterek!$J$114,Paraméterek!$K$114),IF(ISBLANK($AW645),$AV645,$AW645)*Paraméterek!$J$112))),IF($D$4="Forint",0,2))</f>
        <v>0</v>
      </c>
      <c r="AY645" s="13">
        <f>$AR645+$AT645-$AU645-IF(ROUNDDOWN(IF(ISBLANK($AW645),$AV645,$AW645),IF($D$4="Forint",0,2))&gt;$AR645+$AT645-$AU645-IF($D$4="Forint",Paraméterek!$J$114,Paraméterek!$K$114),0,ROUNDDOWN(IF(ISBLANK($AW645),$AV645,$AW645),IF($D$4="Forint",0,2))-$AX645)</f>
        <v>0</v>
      </c>
      <c r="AZ645" s="13">
        <f t="shared" si="144"/>
        <v>0</v>
      </c>
    </row>
    <row r="646" spans="1:52" x14ac:dyDescent="0.2">
      <c r="A646" s="32">
        <v>627</v>
      </c>
      <c r="B646" s="32">
        <v>53</v>
      </c>
      <c r="C646" s="32">
        <v>3</v>
      </c>
      <c r="D646" s="13">
        <f t="shared" si="135"/>
        <v>0</v>
      </c>
      <c r="E646" s="13"/>
      <c r="F646" s="13"/>
      <c r="G646" s="13"/>
      <c r="H646" s="13">
        <f t="shared" si="136"/>
        <v>0</v>
      </c>
      <c r="I646" s="13">
        <f t="shared" si="137"/>
        <v>0</v>
      </c>
      <c r="J646" s="13">
        <f t="shared" si="138"/>
        <v>0</v>
      </c>
      <c r="K646" s="13">
        <f>ROUNDUP(IF($D$2="Egyszeri",$D646,IF($D$2="Havi",SUM($D$20:$D$31),IF(MOD($C646,$M$1)-1=0,SUM($D$20:$D$31),0))/12*$M$1)*VLOOKUP($B646,Paraméterek!$B$27:$D$30,IF($D$2="Egyszeri",3,2)),IF($D$4="Forint",0,2))</f>
        <v>0</v>
      </c>
      <c r="L646" s="13">
        <f t="shared" si="139"/>
        <v>0</v>
      </c>
      <c r="M646" s="13">
        <f t="shared" ca="1" si="145"/>
        <v>-505388</v>
      </c>
      <c r="N646" s="13">
        <f ca="1">IF($V645&gt;=VLOOKUP($M$4-1+$B646,Paraméterek!$B$121:$D$122,IF($D$4="Forint",2,3)),0,VLOOKUP($M$4-1+$B646,Paraméterek!$B$121:$D$122,IF($D$4="Forint",2,3))-$V645)</f>
        <v>515388</v>
      </c>
      <c r="O646" s="13">
        <f ca="1">ROUNDUP($N646*Paraméterek!$C$58/Paraméterek!$C$56,IF($D$4="Forint",0,2))</f>
        <v>83</v>
      </c>
      <c r="P646" s="13">
        <f t="shared" si="140"/>
        <v>2558</v>
      </c>
      <c r="Q646" s="33"/>
      <c r="R646" s="13">
        <f t="shared" ca="1" si="141"/>
        <v>0</v>
      </c>
      <c r="S646" s="13">
        <f ca="1">ROUNDUP(($M646-$O646-$P646+$R646)*VLOOKUP($B646,Paraméterek!$B$38:$D$39,IF($D$2="Egyszeri",3,2))/12,IF($D$4="Forint",0,2))</f>
        <v>-1241</v>
      </c>
      <c r="T646" s="13"/>
      <c r="U646" s="13"/>
      <c r="V646" s="13">
        <f ca="1">$M646-$O646-$P646+$R646-$S646-IF(ROUNDUP(IF(ISBLANK($U646),$T646,$U646)/IF(AND($B646=1,$D$2&lt;&gt;"Egyszeri"),1,VLOOKUP($B646+IF($C646=12,1,0),Paraméterek!$B$257:$D$267,IF($D$2="Egyszeri",3,2))),IF($D$4="Forint",0,2))&gt;$M646-$O646-$P646+$R646-$S646-IF($D$4="Forint",Paraméterek!$C$216,Paraméterek!$D$216),0,ROUNDUP(IF(ISBLANK($U646),$T646,$U646)/IF(AND($B646=1,$D$2&lt;&gt;"Egyszeri"),1,VLOOKUP($B646+IF($C646=12,1,0),Paraméterek!$B$257:$D$267,IF($D$2="Egyszeri",3,2))),IF($D$4="Forint",0,2)))</f>
        <v>-506788</v>
      </c>
      <c r="W646" s="13">
        <f ca="1">ROUNDDOWN($V646*VLOOKUP($B646+IF($C646=12,1,0),Paraméterek!$B$257:$D$267,IF($D$2="Egyszeri",3,2)),IF($D$4="Forint",0,2))</f>
        <v>-506788</v>
      </c>
      <c r="Y646" s="32">
        <v>627</v>
      </c>
      <c r="Z646" s="32">
        <v>53</v>
      </c>
      <c r="AA646" s="32">
        <v>3</v>
      </c>
      <c r="AB646" s="13">
        <f t="shared" si="146"/>
        <v>0</v>
      </c>
      <c r="AC646" s="33"/>
      <c r="AD646" s="13">
        <f t="shared" si="142"/>
        <v>0</v>
      </c>
      <c r="AE646" s="13">
        <f>ROUNDUP(($AB646+$AD646)*VLOOKUP($Z646,Paraméterek!$P$38:$Q$38,2)/12,IF($D$4="Forint",0,2))</f>
        <v>0</v>
      </c>
      <c r="AF646" s="13">
        <f>IF($D$2="Egyszeri",IF($D$7&gt;=IF($D$4="Forint",Paraméterek!$P$223,Paraméterek!$P$224),$D$7-IF($D$4="Forint",Paraméterek!$F$223,Paraméterek!$F$224),0),MIN(IF($AA646=12,AVERAGE($D$20:$D646)*12,0),SUM($D$20:$D$31)))</f>
        <v>0</v>
      </c>
      <c r="AG646" s="13">
        <f>IF(AND($Z646&gt;=10,MOD($Z646,5)=0),$AF646*IF($AA646=12,VLOOKUP($Z646,Paraméterek!$B$225:$F$240,IF($AF646&lt;IF($D$4="Forint",Paraméterek!$C$223,Paraméterek!$C$224),2,IF($AF646&lt;IF($D$4="Forint",Paraméterek!$D$223,Paraméterek!$D$224),3,4))),0),0)</f>
        <v>0</v>
      </c>
      <c r="AH646" s="13">
        <f>IF(AND($Z646&gt;=5,MOD($Z646,5)=0),IF($AA646=12,VLOOKUP($Z646,Paraméterek!$B$225:$F$240,5),0),IF(OR($Z646=3,$Z646=4),IF($AA646=12,VLOOKUP($Z646,Paraméterek!$B$225:$F$240,5,0),0),0))*$AF646</f>
        <v>0</v>
      </c>
      <c r="AI646" s="13">
        <f>ROUNDDOWN(IF(SUM($T$20:$U646)=0,IF($D$2="Egyszeri",$AH646,$AG646),0),IF($D$4="Forint",0,2))</f>
        <v>0</v>
      </c>
      <c r="AJ646" s="13">
        <f t="shared" si="147"/>
        <v>0</v>
      </c>
      <c r="AK646" s="13">
        <f t="shared" si="148"/>
        <v>0</v>
      </c>
      <c r="AM646" s="32">
        <v>627</v>
      </c>
      <c r="AN646" s="32">
        <v>53</v>
      </c>
      <c r="AO646" s="32">
        <v>3</v>
      </c>
      <c r="AP646" s="13"/>
      <c r="AQ646" s="32"/>
      <c r="AR646" s="13">
        <f t="shared" si="149"/>
        <v>0</v>
      </c>
      <c r="AS646" s="33"/>
      <c r="AT646" s="13">
        <f t="shared" si="143"/>
        <v>0</v>
      </c>
      <c r="AU646" s="13">
        <f>ROUNDUP(($AR646+$AT646)*VLOOKUP($AN646,Paraméterek!$P$38:$Q$38,2)/12,IF($D$4="Forint",0,2))</f>
        <v>0</v>
      </c>
      <c r="AV646" s="13"/>
      <c r="AW646" s="13"/>
      <c r="AX646" s="13">
        <f>ROUNDUP(IF(SUM($AV646:$AW646)=0,0,IF(IF(ISBLANK($AW646),$AV646,$AW646)*Paraméterek!$J$112&lt;IF($D$4="Forint",Paraméterek!$J$113,Paraméterek!$K$113),IF($D$4="Forint",Paraméterek!$J$113,Paraméterek!$K$113),IF(IF(ISBLANK($AW646),$AV646,$AW646)*Paraméterek!$J$112&gt;IF($D$4="Forint",Paraméterek!$J$114,Paraméterek!$K$114),IF($D$4="Forint",Paraméterek!$J$114,Paraméterek!$K$114),IF(ISBLANK($AW646),$AV646,$AW646)*Paraméterek!$J$112))),IF($D$4="Forint",0,2))</f>
        <v>0</v>
      </c>
      <c r="AY646" s="13">
        <f>$AR646+$AT646-$AU646-IF(ROUNDDOWN(IF(ISBLANK($AW646),$AV646,$AW646),IF($D$4="Forint",0,2))&gt;$AR646+$AT646-$AU646-IF($D$4="Forint",Paraméterek!$J$114,Paraméterek!$K$114),0,ROUNDDOWN(IF(ISBLANK($AW646),$AV646,$AW646),IF($D$4="Forint",0,2))-$AX646)</f>
        <v>0</v>
      </c>
      <c r="AZ646" s="13">
        <f t="shared" si="144"/>
        <v>0</v>
      </c>
    </row>
    <row r="647" spans="1:52" x14ac:dyDescent="0.2">
      <c r="A647" s="32">
        <v>628</v>
      </c>
      <c r="B647" s="32">
        <v>53</v>
      </c>
      <c r="C647" s="32">
        <v>4</v>
      </c>
      <c r="D647" s="13">
        <f t="shared" si="135"/>
        <v>0</v>
      </c>
      <c r="E647" s="13"/>
      <c r="F647" s="13"/>
      <c r="G647" s="13"/>
      <c r="H647" s="13">
        <f t="shared" si="136"/>
        <v>0</v>
      </c>
      <c r="I647" s="13">
        <f t="shared" si="137"/>
        <v>0</v>
      </c>
      <c r="J647" s="13">
        <f t="shared" si="138"/>
        <v>0</v>
      </c>
      <c r="K647" s="13">
        <f>ROUNDUP(IF($D$2="Egyszeri",$D647,IF($D$2="Havi",SUM($D$20:$D$31),IF(MOD($C647,$M$1)-1=0,SUM($D$20:$D$31),0))/12*$M$1)*VLOOKUP($B647,Paraméterek!$B$27:$D$30,IF($D$2="Egyszeri",3,2)),IF($D$4="Forint",0,2))</f>
        <v>0</v>
      </c>
      <c r="L647" s="13">
        <f t="shared" si="139"/>
        <v>0</v>
      </c>
      <c r="M647" s="13">
        <f t="shared" ca="1" si="145"/>
        <v>-506788</v>
      </c>
      <c r="N647" s="13">
        <f ca="1">IF($V646&gt;=VLOOKUP($M$4-1+$B647,Paraméterek!$B$121:$D$122,IF($D$4="Forint",2,3)),0,VLOOKUP($M$4-1+$B647,Paraméterek!$B$121:$D$122,IF($D$4="Forint",2,3))-$V646)</f>
        <v>516788</v>
      </c>
      <c r="O647" s="13">
        <f ca="1">ROUNDUP($N647*Paraméterek!$C$58/Paraméterek!$C$56,IF($D$4="Forint",0,2))</f>
        <v>83</v>
      </c>
      <c r="P647" s="13">
        <f t="shared" si="140"/>
        <v>2558</v>
      </c>
      <c r="Q647" s="33"/>
      <c r="R647" s="13">
        <f t="shared" ca="1" si="141"/>
        <v>0</v>
      </c>
      <c r="S647" s="13">
        <f ca="1">ROUNDUP(($M647-$O647-$P647+$R647)*VLOOKUP($B647,Paraméterek!$B$38:$D$39,IF($D$2="Egyszeri",3,2))/12,IF($D$4="Forint",0,2))</f>
        <v>-1244</v>
      </c>
      <c r="T647" s="13"/>
      <c r="U647" s="13"/>
      <c r="V647" s="13">
        <f ca="1">$M647-$O647-$P647+$R647-$S647-IF(ROUNDUP(IF(ISBLANK($U647),$T647,$U647)/IF(AND($B647=1,$D$2&lt;&gt;"Egyszeri"),1,VLOOKUP($B647+IF($C647=12,1,0),Paraméterek!$B$257:$D$267,IF($D$2="Egyszeri",3,2))),IF($D$4="Forint",0,2))&gt;$M647-$O647-$P647+$R647-$S647-IF($D$4="Forint",Paraméterek!$C$216,Paraméterek!$D$216),0,ROUNDUP(IF(ISBLANK($U647),$T647,$U647)/IF(AND($B647=1,$D$2&lt;&gt;"Egyszeri"),1,VLOOKUP($B647+IF($C647=12,1,0),Paraméterek!$B$257:$D$267,IF($D$2="Egyszeri",3,2))),IF($D$4="Forint",0,2)))</f>
        <v>-508185</v>
      </c>
      <c r="W647" s="13">
        <f ca="1">ROUNDDOWN($V647*VLOOKUP($B647+IF($C647=12,1,0),Paraméterek!$B$257:$D$267,IF($D$2="Egyszeri",3,2)),IF($D$4="Forint",0,2))</f>
        <v>-508185</v>
      </c>
      <c r="Y647" s="32">
        <v>628</v>
      </c>
      <c r="Z647" s="32">
        <v>53</v>
      </c>
      <c r="AA647" s="32">
        <v>4</v>
      </c>
      <c r="AB647" s="13">
        <f t="shared" si="146"/>
        <v>0</v>
      </c>
      <c r="AC647" s="33"/>
      <c r="AD647" s="13">
        <f t="shared" si="142"/>
        <v>0</v>
      </c>
      <c r="AE647" s="13">
        <f>ROUNDUP(($AB647+$AD647)*VLOOKUP($Z647,Paraméterek!$P$38:$Q$38,2)/12,IF($D$4="Forint",0,2))</f>
        <v>0</v>
      </c>
      <c r="AF647" s="13">
        <f>IF($D$2="Egyszeri",IF($D$7&gt;=IF($D$4="Forint",Paraméterek!$P$223,Paraméterek!$P$224),$D$7-IF($D$4="Forint",Paraméterek!$F$223,Paraméterek!$F$224),0),MIN(IF($AA647=12,AVERAGE($D$20:$D647)*12,0),SUM($D$20:$D$31)))</f>
        <v>0</v>
      </c>
      <c r="AG647" s="13">
        <f>IF(AND($Z647&gt;=10,MOD($Z647,5)=0),$AF647*IF($AA647=12,VLOOKUP($Z647,Paraméterek!$B$225:$F$240,IF($AF647&lt;IF($D$4="Forint",Paraméterek!$C$223,Paraméterek!$C$224),2,IF($AF647&lt;IF($D$4="Forint",Paraméterek!$D$223,Paraméterek!$D$224),3,4))),0),0)</f>
        <v>0</v>
      </c>
      <c r="AH647" s="13">
        <f>IF(AND($Z647&gt;=5,MOD($Z647,5)=0),IF($AA647=12,VLOOKUP($Z647,Paraméterek!$B$225:$F$240,5),0),IF(OR($Z647=3,$Z647=4),IF($AA647=12,VLOOKUP($Z647,Paraméterek!$B$225:$F$240,5,0),0),0))*$AF647</f>
        <v>0</v>
      </c>
      <c r="AI647" s="13">
        <f>ROUNDDOWN(IF(SUM($T$20:$U647)=0,IF($D$2="Egyszeri",$AH647,$AG647),0),IF($D$4="Forint",0,2))</f>
        <v>0</v>
      </c>
      <c r="AJ647" s="13">
        <f t="shared" si="147"/>
        <v>0</v>
      </c>
      <c r="AK647" s="13">
        <f t="shared" si="148"/>
        <v>0</v>
      </c>
      <c r="AM647" s="32">
        <v>628</v>
      </c>
      <c r="AN647" s="32">
        <v>53</v>
      </c>
      <c r="AO647" s="32">
        <v>4</v>
      </c>
      <c r="AP647" s="13"/>
      <c r="AQ647" s="32"/>
      <c r="AR647" s="13">
        <f t="shared" si="149"/>
        <v>0</v>
      </c>
      <c r="AS647" s="33"/>
      <c r="AT647" s="13">
        <f t="shared" si="143"/>
        <v>0</v>
      </c>
      <c r="AU647" s="13">
        <f>ROUNDUP(($AR647+$AT647)*VLOOKUP($AN647,Paraméterek!$P$38:$Q$38,2)/12,IF($D$4="Forint",0,2))</f>
        <v>0</v>
      </c>
      <c r="AV647" s="13"/>
      <c r="AW647" s="13"/>
      <c r="AX647" s="13">
        <f>ROUNDUP(IF(SUM($AV647:$AW647)=0,0,IF(IF(ISBLANK($AW647),$AV647,$AW647)*Paraméterek!$J$112&lt;IF($D$4="Forint",Paraméterek!$J$113,Paraméterek!$K$113),IF($D$4="Forint",Paraméterek!$J$113,Paraméterek!$K$113),IF(IF(ISBLANK($AW647),$AV647,$AW647)*Paraméterek!$J$112&gt;IF($D$4="Forint",Paraméterek!$J$114,Paraméterek!$K$114),IF($D$4="Forint",Paraméterek!$J$114,Paraméterek!$K$114),IF(ISBLANK($AW647),$AV647,$AW647)*Paraméterek!$J$112))),IF($D$4="Forint",0,2))</f>
        <v>0</v>
      </c>
      <c r="AY647" s="13">
        <f>$AR647+$AT647-$AU647-IF(ROUNDDOWN(IF(ISBLANK($AW647),$AV647,$AW647),IF($D$4="Forint",0,2))&gt;$AR647+$AT647-$AU647-IF($D$4="Forint",Paraméterek!$J$114,Paraméterek!$K$114),0,ROUNDDOWN(IF(ISBLANK($AW647),$AV647,$AW647),IF($D$4="Forint",0,2))-$AX647)</f>
        <v>0</v>
      </c>
      <c r="AZ647" s="13">
        <f t="shared" si="144"/>
        <v>0</v>
      </c>
    </row>
    <row r="648" spans="1:52" x14ac:dyDescent="0.2">
      <c r="A648" s="32">
        <v>629</v>
      </c>
      <c r="B648" s="32">
        <v>53</v>
      </c>
      <c r="C648" s="32">
        <v>5</v>
      </c>
      <c r="D648" s="13">
        <f t="shared" si="135"/>
        <v>0</v>
      </c>
      <c r="E648" s="13"/>
      <c r="F648" s="13"/>
      <c r="G648" s="13"/>
      <c r="H648" s="13">
        <f t="shared" si="136"/>
        <v>0</v>
      </c>
      <c r="I648" s="13">
        <f t="shared" si="137"/>
        <v>0</v>
      </c>
      <c r="J648" s="13">
        <f t="shared" si="138"/>
        <v>0</v>
      </c>
      <c r="K648" s="13">
        <f>ROUNDUP(IF($D$2="Egyszeri",$D648,IF($D$2="Havi",SUM($D$20:$D$31),IF(MOD($C648,$M$1)-1=0,SUM($D$20:$D$31),0))/12*$M$1)*VLOOKUP($B648,Paraméterek!$B$27:$D$30,IF($D$2="Egyszeri",3,2)),IF($D$4="Forint",0,2))</f>
        <v>0</v>
      </c>
      <c r="L648" s="13">
        <f t="shared" si="139"/>
        <v>0</v>
      </c>
      <c r="M648" s="13">
        <f t="shared" ca="1" si="145"/>
        <v>-508185</v>
      </c>
      <c r="N648" s="13">
        <f ca="1">IF($V647&gt;=VLOOKUP($M$4-1+$B648,Paraméterek!$B$121:$D$122,IF($D$4="Forint",2,3)),0,VLOOKUP($M$4-1+$B648,Paraméterek!$B$121:$D$122,IF($D$4="Forint",2,3))-$V647)</f>
        <v>518185</v>
      </c>
      <c r="O648" s="13">
        <f ca="1">ROUNDUP($N648*Paraméterek!$C$58/Paraméterek!$C$56,IF($D$4="Forint",0,2))</f>
        <v>83</v>
      </c>
      <c r="P648" s="13">
        <f t="shared" si="140"/>
        <v>2558</v>
      </c>
      <c r="Q648" s="33"/>
      <c r="R648" s="13">
        <f t="shared" ca="1" si="141"/>
        <v>0</v>
      </c>
      <c r="S648" s="13">
        <f ca="1">ROUNDUP(($M648-$O648-$P648+$R648)*VLOOKUP($B648,Paraméterek!$B$38:$D$39,IF($D$2="Egyszeri",3,2))/12,IF($D$4="Forint",0,2))</f>
        <v>-1248</v>
      </c>
      <c r="T648" s="13"/>
      <c r="U648" s="13"/>
      <c r="V648" s="13">
        <f ca="1">$M648-$O648-$P648+$R648-$S648-IF(ROUNDUP(IF(ISBLANK($U648),$T648,$U648)/IF(AND($B648=1,$D$2&lt;&gt;"Egyszeri"),1,VLOOKUP($B648+IF($C648=12,1,0),Paraméterek!$B$257:$D$267,IF($D$2="Egyszeri",3,2))),IF($D$4="Forint",0,2))&gt;$M648-$O648-$P648+$R648-$S648-IF($D$4="Forint",Paraméterek!$C$216,Paraméterek!$D$216),0,ROUNDUP(IF(ISBLANK($U648),$T648,$U648)/IF(AND($B648=1,$D$2&lt;&gt;"Egyszeri"),1,VLOOKUP($B648+IF($C648=12,1,0),Paraméterek!$B$257:$D$267,IF($D$2="Egyszeri",3,2))),IF($D$4="Forint",0,2)))</f>
        <v>-509578</v>
      </c>
      <c r="W648" s="13">
        <f ca="1">ROUNDDOWN($V648*VLOOKUP($B648+IF($C648=12,1,0),Paraméterek!$B$257:$D$267,IF($D$2="Egyszeri",3,2)),IF($D$4="Forint",0,2))</f>
        <v>-509578</v>
      </c>
      <c r="Y648" s="32">
        <v>629</v>
      </c>
      <c r="Z648" s="32">
        <v>53</v>
      </c>
      <c r="AA648" s="32">
        <v>5</v>
      </c>
      <c r="AB648" s="13">
        <f t="shared" si="146"/>
        <v>0</v>
      </c>
      <c r="AC648" s="33"/>
      <c r="AD648" s="13">
        <f t="shared" si="142"/>
        <v>0</v>
      </c>
      <c r="AE648" s="13">
        <f>ROUNDUP(($AB648+$AD648)*VLOOKUP($Z648,Paraméterek!$P$38:$Q$38,2)/12,IF($D$4="Forint",0,2))</f>
        <v>0</v>
      </c>
      <c r="AF648" s="13">
        <f>IF($D$2="Egyszeri",IF($D$7&gt;=IF($D$4="Forint",Paraméterek!$P$223,Paraméterek!$P$224),$D$7-IF($D$4="Forint",Paraméterek!$F$223,Paraméterek!$F$224),0),MIN(IF($AA648=12,AVERAGE($D$20:$D648)*12,0),SUM($D$20:$D$31)))</f>
        <v>0</v>
      </c>
      <c r="AG648" s="13">
        <f>IF(AND($Z648&gt;=10,MOD($Z648,5)=0),$AF648*IF($AA648=12,VLOOKUP($Z648,Paraméterek!$B$225:$F$240,IF($AF648&lt;IF($D$4="Forint",Paraméterek!$C$223,Paraméterek!$C$224),2,IF($AF648&lt;IF($D$4="Forint",Paraméterek!$D$223,Paraméterek!$D$224),3,4))),0),0)</f>
        <v>0</v>
      </c>
      <c r="AH648" s="13">
        <f>IF(AND($Z648&gt;=5,MOD($Z648,5)=0),IF($AA648=12,VLOOKUP($Z648,Paraméterek!$B$225:$F$240,5),0),IF(OR($Z648=3,$Z648=4),IF($AA648=12,VLOOKUP($Z648,Paraméterek!$B$225:$F$240,5,0),0),0))*$AF648</f>
        <v>0</v>
      </c>
      <c r="AI648" s="13">
        <f>ROUNDDOWN(IF(SUM($T$20:$U648)=0,IF($D$2="Egyszeri",$AH648,$AG648),0),IF($D$4="Forint",0,2))</f>
        <v>0</v>
      </c>
      <c r="AJ648" s="13">
        <f t="shared" si="147"/>
        <v>0</v>
      </c>
      <c r="AK648" s="13">
        <f t="shared" si="148"/>
        <v>0</v>
      </c>
      <c r="AM648" s="32">
        <v>629</v>
      </c>
      <c r="AN648" s="32">
        <v>53</v>
      </c>
      <c r="AO648" s="32">
        <v>5</v>
      </c>
      <c r="AP648" s="13"/>
      <c r="AQ648" s="32"/>
      <c r="AR648" s="13">
        <f t="shared" si="149"/>
        <v>0</v>
      </c>
      <c r="AS648" s="33"/>
      <c r="AT648" s="13">
        <f t="shared" si="143"/>
        <v>0</v>
      </c>
      <c r="AU648" s="13">
        <f>ROUNDUP(($AR648+$AT648)*VLOOKUP($AN648,Paraméterek!$P$38:$Q$38,2)/12,IF($D$4="Forint",0,2))</f>
        <v>0</v>
      </c>
      <c r="AV648" s="13"/>
      <c r="AW648" s="13"/>
      <c r="AX648" s="13">
        <f>ROUNDUP(IF(SUM($AV648:$AW648)=0,0,IF(IF(ISBLANK($AW648),$AV648,$AW648)*Paraméterek!$J$112&lt;IF($D$4="Forint",Paraméterek!$J$113,Paraméterek!$K$113),IF($D$4="Forint",Paraméterek!$J$113,Paraméterek!$K$113),IF(IF(ISBLANK($AW648),$AV648,$AW648)*Paraméterek!$J$112&gt;IF($D$4="Forint",Paraméterek!$J$114,Paraméterek!$K$114),IF($D$4="Forint",Paraméterek!$J$114,Paraméterek!$K$114),IF(ISBLANK($AW648),$AV648,$AW648)*Paraméterek!$J$112))),IF($D$4="Forint",0,2))</f>
        <v>0</v>
      </c>
      <c r="AY648" s="13">
        <f>$AR648+$AT648-$AU648-IF(ROUNDDOWN(IF(ISBLANK($AW648),$AV648,$AW648),IF($D$4="Forint",0,2))&gt;$AR648+$AT648-$AU648-IF($D$4="Forint",Paraméterek!$J$114,Paraméterek!$K$114),0,ROUNDDOWN(IF(ISBLANK($AW648),$AV648,$AW648),IF($D$4="Forint",0,2))-$AX648)</f>
        <v>0</v>
      </c>
      <c r="AZ648" s="13">
        <f t="shared" si="144"/>
        <v>0</v>
      </c>
    </row>
    <row r="649" spans="1:52" x14ac:dyDescent="0.2">
      <c r="A649" s="32">
        <v>630</v>
      </c>
      <c r="B649" s="32">
        <v>53</v>
      </c>
      <c r="C649" s="32">
        <v>6</v>
      </c>
      <c r="D649" s="13">
        <f t="shared" si="135"/>
        <v>0</v>
      </c>
      <c r="E649" s="13"/>
      <c r="F649" s="13"/>
      <c r="G649" s="13"/>
      <c r="H649" s="13">
        <f t="shared" si="136"/>
        <v>0</v>
      </c>
      <c r="I649" s="13">
        <f t="shared" si="137"/>
        <v>0</v>
      </c>
      <c r="J649" s="13">
        <f t="shared" si="138"/>
        <v>0</v>
      </c>
      <c r="K649" s="13">
        <f>ROUNDUP(IF($D$2="Egyszeri",$D649,IF($D$2="Havi",SUM($D$20:$D$31),IF(MOD($C649,$M$1)-1=0,SUM($D$20:$D$31),0))/12*$M$1)*VLOOKUP($B649,Paraméterek!$B$27:$D$30,IF($D$2="Egyszeri",3,2)),IF($D$4="Forint",0,2))</f>
        <v>0</v>
      </c>
      <c r="L649" s="13">
        <f t="shared" si="139"/>
        <v>0</v>
      </c>
      <c r="M649" s="13">
        <f t="shared" ca="1" si="145"/>
        <v>-509578</v>
      </c>
      <c r="N649" s="13">
        <f ca="1">IF($V648&gt;=VLOOKUP($M$4-1+$B649,Paraméterek!$B$121:$D$122,IF($D$4="Forint",2,3)),0,VLOOKUP($M$4-1+$B649,Paraméterek!$B$121:$D$122,IF($D$4="Forint",2,3))-$V648)</f>
        <v>519578</v>
      </c>
      <c r="O649" s="13">
        <f ca="1">ROUNDUP($N649*Paraméterek!$C$58/Paraméterek!$C$56,IF($D$4="Forint",0,2))</f>
        <v>83</v>
      </c>
      <c r="P649" s="13">
        <f t="shared" si="140"/>
        <v>2558</v>
      </c>
      <c r="Q649" s="33"/>
      <c r="R649" s="13">
        <f t="shared" ca="1" si="141"/>
        <v>0</v>
      </c>
      <c r="S649" s="13">
        <f ca="1">ROUNDUP(($M649-$O649-$P649+$R649)*VLOOKUP($B649,Paraméterek!$B$38:$D$39,IF($D$2="Egyszeri",3,2))/12,IF($D$4="Forint",0,2))</f>
        <v>-1251</v>
      </c>
      <c r="T649" s="13"/>
      <c r="U649" s="13"/>
      <c r="V649" s="13">
        <f ca="1">$M649-$O649-$P649+$R649-$S649-IF(ROUNDUP(IF(ISBLANK($U649),$T649,$U649)/IF(AND($B649=1,$D$2&lt;&gt;"Egyszeri"),1,VLOOKUP($B649+IF($C649=12,1,0),Paraméterek!$B$257:$D$267,IF($D$2="Egyszeri",3,2))),IF($D$4="Forint",0,2))&gt;$M649-$O649-$P649+$R649-$S649-IF($D$4="Forint",Paraméterek!$C$216,Paraméterek!$D$216),0,ROUNDUP(IF(ISBLANK($U649),$T649,$U649)/IF(AND($B649=1,$D$2&lt;&gt;"Egyszeri"),1,VLOOKUP($B649+IF($C649=12,1,0),Paraméterek!$B$257:$D$267,IF($D$2="Egyszeri",3,2))),IF($D$4="Forint",0,2)))</f>
        <v>-510968</v>
      </c>
      <c r="W649" s="13">
        <f ca="1">ROUNDDOWN($V649*VLOOKUP($B649+IF($C649=12,1,0),Paraméterek!$B$257:$D$267,IF($D$2="Egyszeri",3,2)),IF($D$4="Forint",0,2))</f>
        <v>-510968</v>
      </c>
      <c r="Y649" s="32">
        <v>630</v>
      </c>
      <c r="Z649" s="32">
        <v>53</v>
      </c>
      <c r="AA649" s="32">
        <v>6</v>
      </c>
      <c r="AB649" s="13">
        <f t="shared" si="146"/>
        <v>0</v>
      </c>
      <c r="AC649" s="33"/>
      <c r="AD649" s="13">
        <f t="shared" si="142"/>
        <v>0</v>
      </c>
      <c r="AE649" s="13">
        <f>ROUNDUP(($AB649+$AD649)*VLOOKUP($Z649,Paraméterek!$P$38:$Q$38,2)/12,IF($D$4="Forint",0,2))</f>
        <v>0</v>
      </c>
      <c r="AF649" s="13">
        <f>IF($D$2="Egyszeri",IF($D$7&gt;=IF($D$4="Forint",Paraméterek!$P$223,Paraméterek!$P$224),$D$7-IF($D$4="Forint",Paraméterek!$F$223,Paraméterek!$F$224),0),MIN(IF($AA649=12,AVERAGE($D$20:$D649)*12,0),SUM($D$20:$D$31)))</f>
        <v>0</v>
      </c>
      <c r="AG649" s="13">
        <f>IF(AND($Z649&gt;=10,MOD($Z649,5)=0),$AF649*IF($AA649=12,VLOOKUP($Z649,Paraméterek!$B$225:$F$240,IF($AF649&lt;IF($D$4="Forint",Paraméterek!$C$223,Paraméterek!$C$224),2,IF($AF649&lt;IF($D$4="Forint",Paraméterek!$D$223,Paraméterek!$D$224),3,4))),0),0)</f>
        <v>0</v>
      </c>
      <c r="AH649" s="13">
        <f>IF(AND($Z649&gt;=5,MOD($Z649,5)=0),IF($AA649=12,VLOOKUP($Z649,Paraméterek!$B$225:$F$240,5),0),IF(OR($Z649=3,$Z649=4),IF($AA649=12,VLOOKUP($Z649,Paraméterek!$B$225:$F$240,5,0),0),0))*$AF649</f>
        <v>0</v>
      </c>
      <c r="AI649" s="13">
        <f>ROUNDDOWN(IF(SUM($T$20:$U649)=0,IF($D$2="Egyszeri",$AH649,$AG649),0),IF($D$4="Forint",0,2))</f>
        <v>0</v>
      </c>
      <c r="AJ649" s="13">
        <f t="shared" si="147"/>
        <v>0</v>
      </c>
      <c r="AK649" s="13">
        <f t="shared" si="148"/>
        <v>0</v>
      </c>
      <c r="AM649" s="32">
        <v>630</v>
      </c>
      <c r="AN649" s="32">
        <v>53</v>
      </c>
      <c r="AO649" s="32">
        <v>6</v>
      </c>
      <c r="AP649" s="13"/>
      <c r="AQ649" s="32"/>
      <c r="AR649" s="13">
        <f t="shared" si="149"/>
        <v>0</v>
      </c>
      <c r="AS649" s="33"/>
      <c r="AT649" s="13">
        <f t="shared" si="143"/>
        <v>0</v>
      </c>
      <c r="AU649" s="13">
        <f>ROUNDUP(($AR649+$AT649)*VLOOKUP($AN649,Paraméterek!$P$38:$Q$38,2)/12,IF($D$4="Forint",0,2))</f>
        <v>0</v>
      </c>
      <c r="AV649" s="13"/>
      <c r="AW649" s="13"/>
      <c r="AX649" s="13">
        <f>ROUNDUP(IF(SUM($AV649:$AW649)=0,0,IF(IF(ISBLANK($AW649),$AV649,$AW649)*Paraméterek!$J$112&lt;IF($D$4="Forint",Paraméterek!$J$113,Paraméterek!$K$113),IF($D$4="Forint",Paraméterek!$J$113,Paraméterek!$K$113),IF(IF(ISBLANK($AW649),$AV649,$AW649)*Paraméterek!$J$112&gt;IF($D$4="Forint",Paraméterek!$J$114,Paraméterek!$K$114),IF($D$4="Forint",Paraméterek!$J$114,Paraméterek!$K$114),IF(ISBLANK($AW649),$AV649,$AW649)*Paraméterek!$J$112))),IF($D$4="Forint",0,2))</f>
        <v>0</v>
      </c>
      <c r="AY649" s="13">
        <f>$AR649+$AT649-$AU649-IF(ROUNDDOWN(IF(ISBLANK($AW649),$AV649,$AW649),IF($D$4="Forint",0,2))&gt;$AR649+$AT649-$AU649-IF($D$4="Forint",Paraméterek!$J$114,Paraméterek!$K$114),0,ROUNDDOWN(IF(ISBLANK($AW649),$AV649,$AW649),IF($D$4="Forint",0,2))-$AX649)</f>
        <v>0</v>
      </c>
      <c r="AZ649" s="13">
        <f t="shared" si="144"/>
        <v>0</v>
      </c>
    </row>
    <row r="650" spans="1:52" x14ac:dyDescent="0.2">
      <c r="A650" s="32">
        <v>631</v>
      </c>
      <c r="B650" s="32">
        <v>53</v>
      </c>
      <c r="C650" s="32">
        <v>7</v>
      </c>
      <c r="D650" s="13">
        <f t="shared" si="135"/>
        <v>0</v>
      </c>
      <c r="E650" s="13"/>
      <c r="F650" s="13"/>
      <c r="G650" s="13"/>
      <c r="H650" s="13">
        <f t="shared" si="136"/>
        <v>0</v>
      </c>
      <c r="I650" s="13">
        <f t="shared" si="137"/>
        <v>0</v>
      </c>
      <c r="J650" s="13">
        <f t="shared" si="138"/>
        <v>0</v>
      </c>
      <c r="K650" s="13">
        <f>ROUNDUP(IF($D$2="Egyszeri",$D650,IF($D$2="Havi",SUM($D$20:$D$31),IF(MOD($C650,$M$1)-1=0,SUM($D$20:$D$31),0))/12*$M$1)*VLOOKUP($B650,Paraméterek!$B$27:$D$30,IF($D$2="Egyszeri",3,2)),IF($D$4="Forint",0,2))</f>
        <v>0</v>
      </c>
      <c r="L650" s="13">
        <f t="shared" si="139"/>
        <v>0</v>
      </c>
      <c r="M650" s="13">
        <f t="shared" ca="1" si="145"/>
        <v>-510968</v>
      </c>
      <c r="N650" s="13">
        <f ca="1">IF($V649&gt;=VLOOKUP($M$4-1+$B650,Paraméterek!$B$121:$D$122,IF($D$4="Forint",2,3)),0,VLOOKUP($M$4-1+$B650,Paraméterek!$B$121:$D$122,IF($D$4="Forint",2,3))-$V649)</f>
        <v>520968</v>
      </c>
      <c r="O650" s="13">
        <f ca="1">ROUNDUP($N650*Paraméterek!$C$58/Paraméterek!$C$56,IF($D$4="Forint",0,2))</f>
        <v>83</v>
      </c>
      <c r="P650" s="13">
        <f t="shared" si="140"/>
        <v>2558</v>
      </c>
      <c r="Q650" s="33"/>
      <c r="R650" s="13">
        <f t="shared" ca="1" si="141"/>
        <v>0</v>
      </c>
      <c r="S650" s="13">
        <f ca="1">ROUNDUP(($M650-$O650-$P650+$R650)*VLOOKUP($B650,Paraméterek!$B$38:$D$39,IF($D$2="Egyszeri",3,2))/12,IF($D$4="Forint",0,2))</f>
        <v>-1255</v>
      </c>
      <c r="T650" s="13"/>
      <c r="U650" s="13"/>
      <c r="V650" s="13">
        <f ca="1">$M650-$O650-$P650+$R650-$S650-IF(ROUNDUP(IF(ISBLANK($U650),$T650,$U650)/IF(AND($B650=1,$D$2&lt;&gt;"Egyszeri"),1,VLOOKUP($B650+IF($C650=12,1,0),Paraméterek!$B$257:$D$267,IF($D$2="Egyszeri",3,2))),IF($D$4="Forint",0,2))&gt;$M650-$O650-$P650+$R650-$S650-IF($D$4="Forint",Paraméterek!$C$216,Paraméterek!$D$216),0,ROUNDUP(IF(ISBLANK($U650),$T650,$U650)/IF(AND($B650=1,$D$2&lt;&gt;"Egyszeri"),1,VLOOKUP($B650+IF($C650=12,1,0),Paraméterek!$B$257:$D$267,IF($D$2="Egyszeri",3,2))),IF($D$4="Forint",0,2)))</f>
        <v>-512354</v>
      </c>
      <c r="W650" s="13">
        <f ca="1">ROUNDDOWN($V650*VLOOKUP($B650+IF($C650=12,1,0),Paraméterek!$B$257:$D$267,IF($D$2="Egyszeri",3,2)),IF($D$4="Forint",0,2))</f>
        <v>-512354</v>
      </c>
      <c r="Y650" s="32">
        <v>631</v>
      </c>
      <c r="Z650" s="32">
        <v>53</v>
      </c>
      <c r="AA650" s="32">
        <v>7</v>
      </c>
      <c r="AB650" s="13">
        <f t="shared" si="146"/>
        <v>0</v>
      </c>
      <c r="AC650" s="33"/>
      <c r="AD650" s="13">
        <f t="shared" si="142"/>
        <v>0</v>
      </c>
      <c r="AE650" s="13">
        <f>ROUNDUP(($AB650+$AD650)*VLOOKUP($Z650,Paraméterek!$P$38:$Q$38,2)/12,IF($D$4="Forint",0,2))</f>
        <v>0</v>
      </c>
      <c r="AF650" s="13">
        <f>IF($D$2="Egyszeri",IF($D$7&gt;=IF($D$4="Forint",Paraméterek!$P$223,Paraméterek!$P$224),$D$7-IF($D$4="Forint",Paraméterek!$F$223,Paraméterek!$F$224),0),MIN(IF($AA650=12,AVERAGE($D$20:$D650)*12,0),SUM($D$20:$D$31)))</f>
        <v>0</v>
      </c>
      <c r="AG650" s="13">
        <f>IF(AND($Z650&gt;=10,MOD($Z650,5)=0),$AF650*IF($AA650=12,VLOOKUP($Z650,Paraméterek!$B$225:$F$240,IF($AF650&lt;IF($D$4="Forint",Paraméterek!$C$223,Paraméterek!$C$224),2,IF($AF650&lt;IF($D$4="Forint",Paraméterek!$D$223,Paraméterek!$D$224),3,4))),0),0)</f>
        <v>0</v>
      </c>
      <c r="AH650" s="13">
        <f>IF(AND($Z650&gt;=5,MOD($Z650,5)=0),IF($AA650=12,VLOOKUP($Z650,Paraméterek!$B$225:$F$240,5),0),IF(OR($Z650=3,$Z650=4),IF($AA650=12,VLOOKUP($Z650,Paraméterek!$B$225:$F$240,5,0),0),0))*$AF650</f>
        <v>0</v>
      </c>
      <c r="AI650" s="13">
        <f>ROUNDDOWN(IF(SUM($T$20:$U650)=0,IF($D$2="Egyszeri",$AH650,$AG650),0),IF($D$4="Forint",0,2))</f>
        <v>0</v>
      </c>
      <c r="AJ650" s="13">
        <f t="shared" si="147"/>
        <v>0</v>
      </c>
      <c r="AK650" s="13">
        <f t="shared" si="148"/>
        <v>0</v>
      </c>
      <c r="AM650" s="32">
        <v>631</v>
      </c>
      <c r="AN650" s="32">
        <v>53</v>
      </c>
      <c r="AO650" s="32">
        <v>7</v>
      </c>
      <c r="AP650" s="13"/>
      <c r="AQ650" s="32"/>
      <c r="AR650" s="13">
        <f t="shared" si="149"/>
        <v>0</v>
      </c>
      <c r="AS650" s="33"/>
      <c r="AT650" s="13">
        <f t="shared" si="143"/>
        <v>0</v>
      </c>
      <c r="AU650" s="13">
        <f>ROUNDUP(($AR650+$AT650)*VLOOKUP($AN650,Paraméterek!$P$38:$Q$38,2)/12,IF($D$4="Forint",0,2))</f>
        <v>0</v>
      </c>
      <c r="AV650" s="13"/>
      <c r="AW650" s="13"/>
      <c r="AX650" s="13">
        <f>ROUNDUP(IF(SUM($AV650:$AW650)=0,0,IF(IF(ISBLANK($AW650),$AV650,$AW650)*Paraméterek!$J$112&lt;IF($D$4="Forint",Paraméterek!$J$113,Paraméterek!$K$113),IF($D$4="Forint",Paraméterek!$J$113,Paraméterek!$K$113),IF(IF(ISBLANK($AW650),$AV650,$AW650)*Paraméterek!$J$112&gt;IF($D$4="Forint",Paraméterek!$J$114,Paraméterek!$K$114),IF($D$4="Forint",Paraméterek!$J$114,Paraméterek!$K$114),IF(ISBLANK($AW650),$AV650,$AW650)*Paraméterek!$J$112))),IF($D$4="Forint",0,2))</f>
        <v>0</v>
      </c>
      <c r="AY650" s="13">
        <f>$AR650+$AT650-$AU650-IF(ROUNDDOWN(IF(ISBLANK($AW650),$AV650,$AW650),IF($D$4="Forint",0,2))&gt;$AR650+$AT650-$AU650-IF($D$4="Forint",Paraméterek!$J$114,Paraméterek!$K$114),0,ROUNDDOWN(IF(ISBLANK($AW650),$AV650,$AW650),IF($D$4="Forint",0,2))-$AX650)</f>
        <v>0</v>
      </c>
      <c r="AZ650" s="13">
        <f t="shared" si="144"/>
        <v>0</v>
      </c>
    </row>
    <row r="651" spans="1:52" x14ac:dyDescent="0.2">
      <c r="A651" s="32">
        <v>632</v>
      </c>
      <c r="B651" s="32">
        <v>53</v>
      </c>
      <c r="C651" s="32">
        <v>8</v>
      </c>
      <c r="D651" s="13">
        <f t="shared" si="135"/>
        <v>0</v>
      </c>
      <c r="E651" s="13"/>
      <c r="F651" s="13"/>
      <c r="G651" s="13"/>
      <c r="H651" s="13">
        <f t="shared" si="136"/>
        <v>0</v>
      </c>
      <c r="I651" s="13">
        <f t="shared" si="137"/>
        <v>0</v>
      </c>
      <c r="J651" s="13">
        <f t="shared" si="138"/>
        <v>0</v>
      </c>
      <c r="K651" s="13">
        <f>ROUNDUP(IF($D$2="Egyszeri",$D651,IF($D$2="Havi",SUM($D$20:$D$31),IF(MOD($C651,$M$1)-1=0,SUM($D$20:$D$31),0))/12*$M$1)*VLOOKUP($B651,Paraméterek!$B$27:$D$30,IF($D$2="Egyszeri",3,2)),IF($D$4="Forint",0,2))</f>
        <v>0</v>
      </c>
      <c r="L651" s="13">
        <f t="shared" si="139"/>
        <v>0</v>
      </c>
      <c r="M651" s="13">
        <f t="shared" ca="1" si="145"/>
        <v>-512354</v>
      </c>
      <c r="N651" s="13">
        <f ca="1">IF($V650&gt;=VLOOKUP($M$4-1+$B651,Paraméterek!$B$121:$D$122,IF($D$4="Forint",2,3)),0,VLOOKUP($M$4-1+$B651,Paraméterek!$B$121:$D$122,IF($D$4="Forint",2,3))-$V650)</f>
        <v>522354</v>
      </c>
      <c r="O651" s="13">
        <f ca="1">ROUNDUP($N651*Paraméterek!$C$58/Paraméterek!$C$56,IF($D$4="Forint",0,2))</f>
        <v>84</v>
      </c>
      <c r="P651" s="13">
        <f t="shared" si="140"/>
        <v>2558</v>
      </c>
      <c r="Q651" s="33"/>
      <c r="R651" s="13">
        <f t="shared" ca="1" si="141"/>
        <v>0</v>
      </c>
      <c r="S651" s="13">
        <f ca="1">ROUNDUP(($M651-$O651-$P651+$R651)*VLOOKUP($B651,Paraméterek!$B$38:$D$39,IF($D$2="Egyszeri",3,2))/12,IF($D$4="Forint",0,2))</f>
        <v>-1258</v>
      </c>
      <c r="T651" s="13"/>
      <c r="U651" s="13"/>
      <c r="V651" s="13">
        <f ca="1">$M651-$O651-$P651+$R651-$S651-IF(ROUNDUP(IF(ISBLANK($U651),$T651,$U651)/IF(AND($B651=1,$D$2&lt;&gt;"Egyszeri"),1,VLOOKUP($B651+IF($C651=12,1,0),Paraméterek!$B$257:$D$267,IF($D$2="Egyszeri",3,2))),IF($D$4="Forint",0,2))&gt;$M651-$O651-$P651+$R651-$S651-IF($D$4="Forint",Paraméterek!$C$216,Paraméterek!$D$216),0,ROUNDUP(IF(ISBLANK($U651),$T651,$U651)/IF(AND($B651=1,$D$2&lt;&gt;"Egyszeri"),1,VLOOKUP($B651+IF($C651=12,1,0),Paraméterek!$B$257:$D$267,IF($D$2="Egyszeri",3,2))),IF($D$4="Forint",0,2)))</f>
        <v>-513738</v>
      </c>
      <c r="W651" s="13">
        <f ca="1">ROUNDDOWN($V651*VLOOKUP($B651+IF($C651=12,1,0),Paraméterek!$B$257:$D$267,IF($D$2="Egyszeri",3,2)),IF($D$4="Forint",0,2))</f>
        <v>-513738</v>
      </c>
      <c r="Y651" s="32">
        <v>632</v>
      </c>
      <c r="Z651" s="32">
        <v>53</v>
      </c>
      <c r="AA651" s="32">
        <v>8</v>
      </c>
      <c r="AB651" s="13">
        <f t="shared" si="146"/>
        <v>0</v>
      </c>
      <c r="AC651" s="33"/>
      <c r="AD651" s="13">
        <f t="shared" si="142"/>
        <v>0</v>
      </c>
      <c r="AE651" s="13">
        <f>ROUNDUP(($AB651+$AD651)*VLOOKUP($Z651,Paraméterek!$P$38:$Q$38,2)/12,IF($D$4="Forint",0,2))</f>
        <v>0</v>
      </c>
      <c r="AF651" s="13">
        <f>IF($D$2="Egyszeri",IF($D$7&gt;=IF($D$4="Forint",Paraméterek!$P$223,Paraméterek!$P$224),$D$7-IF($D$4="Forint",Paraméterek!$F$223,Paraméterek!$F$224),0),MIN(IF($AA651=12,AVERAGE($D$20:$D651)*12,0),SUM($D$20:$D$31)))</f>
        <v>0</v>
      </c>
      <c r="AG651" s="13">
        <f>IF(AND($Z651&gt;=10,MOD($Z651,5)=0),$AF651*IF($AA651=12,VLOOKUP($Z651,Paraméterek!$B$225:$F$240,IF($AF651&lt;IF($D$4="Forint",Paraméterek!$C$223,Paraméterek!$C$224),2,IF($AF651&lt;IF($D$4="Forint",Paraméterek!$D$223,Paraméterek!$D$224),3,4))),0),0)</f>
        <v>0</v>
      </c>
      <c r="AH651" s="13">
        <f>IF(AND($Z651&gt;=5,MOD($Z651,5)=0),IF($AA651=12,VLOOKUP($Z651,Paraméterek!$B$225:$F$240,5),0),IF(OR($Z651=3,$Z651=4),IF($AA651=12,VLOOKUP($Z651,Paraméterek!$B$225:$F$240,5,0),0),0))*$AF651</f>
        <v>0</v>
      </c>
      <c r="AI651" s="13">
        <f>ROUNDDOWN(IF(SUM($T$20:$U651)=0,IF($D$2="Egyszeri",$AH651,$AG651),0),IF($D$4="Forint",0,2))</f>
        <v>0</v>
      </c>
      <c r="AJ651" s="13">
        <f t="shared" si="147"/>
        <v>0</v>
      </c>
      <c r="AK651" s="13">
        <f t="shared" si="148"/>
        <v>0</v>
      </c>
      <c r="AM651" s="32">
        <v>632</v>
      </c>
      <c r="AN651" s="32">
        <v>53</v>
      </c>
      <c r="AO651" s="32">
        <v>8</v>
      </c>
      <c r="AP651" s="13"/>
      <c r="AQ651" s="32"/>
      <c r="AR651" s="13">
        <f t="shared" si="149"/>
        <v>0</v>
      </c>
      <c r="AS651" s="33"/>
      <c r="AT651" s="13">
        <f t="shared" si="143"/>
        <v>0</v>
      </c>
      <c r="AU651" s="13">
        <f>ROUNDUP(($AR651+$AT651)*VLOOKUP($AN651,Paraméterek!$P$38:$Q$38,2)/12,IF($D$4="Forint",0,2))</f>
        <v>0</v>
      </c>
      <c r="AV651" s="13"/>
      <c r="AW651" s="13"/>
      <c r="AX651" s="13">
        <f>ROUNDUP(IF(SUM($AV651:$AW651)=0,0,IF(IF(ISBLANK($AW651),$AV651,$AW651)*Paraméterek!$J$112&lt;IF($D$4="Forint",Paraméterek!$J$113,Paraméterek!$K$113),IF($D$4="Forint",Paraméterek!$J$113,Paraméterek!$K$113),IF(IF(ISBLANK($AW651),$AV651,$AW651)*Paraméterek!$J$112&gt;IF($D$4="Forint",Paraméterek!$J$114,Paraméterek!$K$114),IF($D$4="Forint",Paraméterek!$J$114,Paraméterek!$K$114),IF(ISBLANK($AW651),$AV651,$AW651)*Paraméterek!$J$112))),IF($D$4="Forint",0,2))</f>
        <v>0</v>
      </c>
      <c r="AY651" s="13">
        <f>$AR651+$AT651-$AU651-IF(ROUNDDOWN(IF(ISBLANK($AW651),$AV651,$AW651),IF($D$4="Forint",0,2))&gt;$AR651+$AT651-$AU651-IF($D$4="Forint",Paraméterek!$J$114,Paraméterek!$K$114),0,ROUNDDOWN(IF(ISBLANK($AW651),$AV651,$AW651),IF($D$4="Forint",0,2))-$AX651)</f>
        <v>0</v>
      </c>
      <c r="AZ651" s="13">
        <f t="shared" si="144"/>
        <v>0</v>
      </c>
    </row>
    <row r="652" spans="1:52" x14ac:dyDescent="0.2">
      <c r="A652" s="32">
        <v>633</v>
      </c>
      <c r="B652" s="32">
        <v>53</v>
      </c>
      <c r="C652" s="32">
        <v>9</v>
      </c>
      <c r="D652" s="13">
        <f t="shared" si="135"/>
        <v>0</v>
      </c>
      <c r="E652" s="13"/>
      <c r="F652" s="13"/>
      <c r="G652" s="13"/>
      <c r="H652" s="13">
        <f t="shared" si="136"/>
        <v>0</v>
      </c>
      <c r="I652" s="13">
        <f t="shared" si="137"/>
        <v>0</v>
      </c>
      <c r="J652" s="13">
        <f t="shared" si="138"/>
        <v>0</v>
      </c>
      <c r="K652" s="13">
        <f>ROUNDUP(IF($D$2="Egyszeri",$D652,IF($D$2="Havi",SUM($D$20:$D$31),IF(MOD($C652,$M$1)-1=0,SUM($D$20:$D$31),0))/12*$M$1)*VLOOKUP($B652,Paraméterek!$B$27:$D$30,IF($D$2="Egyszeri",3,2)),IF($D$4="Forint",0,2))</f>
        <v>0</v>
      </c>
      <c r="L652" s="13">
        <f t="shared" si="139"/>
        <v>0</v>
      </c>
      <c r="M652" s="13">
        <f t="shared" ca="1" si="145"/>
        <v>-513738</v>
      </c>
      <c r="N652" s="13">
        <f ca="1">IF($V651&gt;=VLOOKUP($M$4-1+$B652,Paraméterek!$B$121:$D$122,IF($D$4="Forint",2,3)),0,VLOOKUP($M$4-1+$B652,Paraméterek!$B$121:$D$122,IF($D$4="Forint",2,3))-$V651)</f>
        <v>523738</v>
      </c>
      <c r="O652" s="13">
        <f ca="1">ROUNDUP($N652*Paraméterek!$C$58/Paraméterek!$C$56,IF($D$4="Forint",0,2))</f>
        <v>84</v>
      </c>
      <c r="P652" s="13">
        <f t="shared" si="140"/>
        <v>2558</v>
      </c>
      <c r="Q652" s="33"/>
      <c r="R652" s="13">
        <f t="shared" ca="1" si="141"/>
        <v>0</v>
      </c>
      <c r="S652" s="13">
        <f ca="1">ROUNDUP(($M652-$O652-$P652+$R652)*VLOOKUP($B652,Paraméterek!$B$38:$D$39,IF($D$2="Egyszeri",3,2))/12,IF($D$4="Forint",0,2))</f>
        <v>-1261</v>
      </c>
      <c r="T652" s="13"/>
      <c r="U652" s="13"/>
      <c r="V652" s="13">
        <f ca="1">$M652-$O652-$P652+$R652-$S652-IF(ROUNDUP(IF(ISBLANK($U652),$T652,$U652)/IF(AND($B652=1,$D$2&lt;&gt;"Egyszeri"),1,VLOOKUP($B652+IF($C652=12,1,0),Paraméterek!$B$257:$D$267,IF($D$2="Egyszeri",3,2))),IF($D$4="Forint",0,2))&gt;$M652-$O652-$P652+$R652-$S652-IF($D$4="Forint",Paraméterek!$C$216,Paraméterek!$D$216),0,ROUNDUP(IF(ISBLANK($U652),$T652,$U652)/IF(AND($B652=1,$D$2&lt;&gt;"Egyszeri"),1,VLOOKUP($B652+IF($C652=12,1,0),Paraméterek!$B$257:$D$267,IF($D$2="Egyszeri",3,2))),IF($D$4="Forint",0,2)))</f>
        <v>-515119</v>
      </c>
      <c r="W652" s="13">
        <f ca="1">ROUNDDOWN($V652*VLOOKUP($B652+IF($C652=12,1,0),Paraméterek!$B$257:$D$267,IF($D$2="Egyszeri",3,2)),IF($D$4="Forint",0,2))</f>
        <v>-515119</v>
      </c>
      <c r="Y652" s="32">
        <v>633</v>
      </c>
      <c r="Z652" s="32">
        <v>53</v>
      </c>
      <c r="AA652" s="32">
        <v>9</v>
      </c>
      <c r="AB652" s="13">
        <f t="shared" si="146"/>
        <v>0</v>
      </c>
      <c r="AC652" s="33"/>
      <c r="AD652" s="13">
        <f t="shared" si="142"/>
        <v>0</v>
      </c>
      <c r="AE652" s="13">
        <f>ROUNDUP(($AB652+$AD652)*VLOOKUP($Z652,Paraméterek!$P$38:$Q$38,2)/12,IF($D$4="Forint",0,2))</f>
        <v>0</v>
      </c>
      <c r="AF652" s="13">
        <f>IF($D$2="Egyszeri",IF($D$7&gt;=IF($D$4="Forint",Paraméterek!$P$223,Paraméterek!$P$224),$D$7-IF($D$4="Forint",Paraméterek!$F$223,Paraméterek!$F$224),0),MIN(IF($AA652=12,AVERAGE($D$20:$D652)*12,0),SUM($D$20:$D$31)))</f>
        <v>0</v>
      </c>
      <c r="AG652" s="13">
        <f>IF(AND($Z652&gt;=10,MOD($Z652,5)=0),$AF652*IF($AA652=12,VLOOKUP($Z652,Paraméterek!$B$225:$F$240,IF($AF652&lt;IF($D$4="Forint",Paraméterek!$C$223,Paraméterek!$C$224),2,IF($AF652&lt;IF($D$4="Forint",Paraméterek!$D$223,Paraméterek!$D$224),3,4))),0),0)</f>
        <v>0</v>
      </c>
      <c r="AH652" s="13">
        <f>IF(AND($Z652&gt;=5,MOD($Z652,5)=0),IF($AA652=12,VLOOKUP($Z652,Paraméterek!$B$225:$F$240,5),0),IF(OR($Z652=3,$Z652=4),IF($AA652=12,VLOOKUP($Z652,Paraméterek!$B$225:$F$240,5,0),0),0))*$AF652</f>
        <v>0</v>
      </c>
      <c r="AI652" s="13">
        <f>ROUNDDOWN(IF(SUM($T$20:$U652)=0,IF($D$2="Egyszeri",$AH652,$AG652),0),IF($D$4="Forint",0,2))</f>
        <v>0</v>
      </c>
      <c r="AJ652" s="13">
        <f t="shared" si="147"/>
        <v>0</v>
      </c>
      <c r="AK652" s="13">
        <f t="shared" si="148"/>
        <v>0</v>
      </c>
      <c r="AM652" s="32">
        <v>633</v>
      </c>
      <c r="AN652" s="32">
        <v>53</v>
      </c>
      <c r="AO652" s="32">
        <v>9</v>
      </c>
      <c r="AP652" s="13"/>
      <c r="AQ652" s="32"/>
      <c r="AR652" s="13">
        <f t="shared" si="149"/>
        <v>0</v>
      </c>
      <c r="AS652" s="33"/>
      <c r="AT652" s="13">
        <f t="shared" si="143"/>
        <v>0</v>
      </c>
      <c r="AU652" s="13">
        <f>ROUNDUP(($AR652+$AT652)*VLOOKUP($AN652,Paraméterek!$P$38:$Q$38,2)/12,IF($D$4="Forint",0,2))</f>
        <v>0</v>
      </c>
      <c r="AV652" s="13"/>
      <c r="AW652" s="13"/>
      <c r="AX652" s="13">
        <f>ROUNDUP(IF(SUM($AV652:$AW652)=0,0,IF(IF(ISBLANK($AW652),$AV652,$AW652)*Paraméterek!$J$112&lt;IF($D$4="Forint",Paraméterek!$J$113,Paraméterek!$K$113),IF($D$4="Forint",Paraméterek!$J$113,Paraméterek!$K$113),IF(IF(ISBLANK($AW652),$AV652,$AW652)*Paraméterek!$J$112&gt;IF($D$4="Forint",Paraméterek!$J$114,Paraméterek!$K$114),IF($D$4="Forint",Paraméterek!$J$114,Paraméterek!$K$114),IF(ISBLANK($AW652),$AV652,$AW652)*Paraméterek!$J$112))),IF($D$4="Forint",0,2))</f>
        <v>0</v>
      </c>
      <c r="AY652" s="13">
        <f>$AR652+$AT652-$AU652-IF(ROUNDDOWN(IF(ISBLANK($AW652),$AV652,$AW652),IF($D$4="Forint",0,2))&gt;$AR652+$AT652-$AU652-IF($D$4="Forint",Paraméterek!$J$114,Paraméterek!$K$114),0,ROUNDDOWN(IF(ISBLANK($AW652),$AV652,$AW652),IF($D$4="Forint",0,2))-$AX652)</f>
        <v>0</v>
      </c>
      <c r="AZ652" s="13">
        <f t="shared" si="144"/>
        <v>0</v>
      </c>
    </row>
    <row r="653" spans="1:52" x14ac:dyDescent="0.2">
      <c r="A653" s="32">
        <v>634</v>
      </c>
      <c r="B653" s="32">
        <v>53</v>
      </c>
      <c r="C653" s="32">
        <v>10</v>
      </c>
      <c r="D653" s="13">
        <f t="shared" si="135"/>
        <v>0</v>
      </c>
      <c r="E653" s="13"/>
      <c r="F653" s="13"/>
      <c r="G653" s="13"/>
      <c r="H653" s="13">
        <f t="shared" si="136"/>
        <v>0</v>
      </c>
      <c r="I653" s="13">
        <f t="shared" si="137"/>
        <v>0</v>
      </c>
      <c r="J653" s="13">
        <f t="shared" si="138"/>
        <v>0</v>
      </c>
      <c r="K653" s="13">
        <f>ROUNDUP(IF($D$2="Egyszeri",$D653,IF($D$2="Havi",SUM($D$20:$D$31),IF(MOD($C653,$M$1)-1=0,SUM($D$20:$D$31),0))/12*$M$1)*VLOOKUP($B653,Paraméterek!$B$27:$D$30,IF($D$2="Egyszeri",3,2)),IF($D$4="Forint",0,2))</f>
        <v>0</v>
      </c>
      <c r="L653" s="13">
        <f t="shared" si="139"/>
        <v>0</v>
      </c>
      <c r="M653" s="13">
        <f t="shared" ca="1" si="145"/>
        <v>-515119</v>
      </c>
      <c r="N653" s="13">
        <f ca="1">IF($V652&gt;=VLOOKUP($M$4-1+$B653,Paraméterek!$B$121:$D$122,IF($D$4="Forint",2,3)),0,VLOOKUP($M$4-1+$B653,Paraméterek!$B$121:$D$122,IF($D$4="Forint",2,3))-$V652)</f>
        <v>525119</v>
      </c>
      <c r="O653" s="13">
        <f ca="1">ROUNDUP($N653*Paraméterek!$C$58/Paraméterek!$C$56,IF($D$4="Forint",0,2))</f>
        <v>84</v>
      </c>
      <c r="P653" s="13">
        <f t="shared" si="140"/>
        <v>2558</v>
      </c>
      <c r="Q653" s="33"/>
      <c r="R653" s="13">
        <f t="shared" ca="1" si="141"/>
        <v>0</v>
      </c>
      <c r="S653" s="13">
        <f ca="1">ROUNDUP(($M653-$O653-$P653+$R653)*VLOOKUP($B653,Paraméterek!$B$38:$D$39,IF($D$2="Egyszeri",3,2))/12,IF($D$4="Forint",0,2))</f>
        <v>-1265</v>
      </c>
      <c r="T653" s="13"/>
      <c r="U653" s="13"/>
      <c r="V653" s="13">
        <f ca="1">$M653-$O653-$P653+$R653-$S653-IF(ROUNDUP(IF(ISBLANK($U653),$T653,$U653)/IF(AND($B653=1,$D$2&lt;&gt;"Egyszeri"),1,VLOOKUP($B653+IF($C653=12,1,0),Paraméterek!$B$257:$D$267,IF($D$2="Egyszeri",3,2))),IF($D$4="Forint",0,2))&gt;$M653-$O653-$P653+$R653-$S653-IF($D$4="Forint",Paraméterek!$C$216,Paraméterek!$D$216),0,ROUNDUP(IF(ISBLANK($U653),$T653,$U653)/IF(AND($B653=1,$D$2&lt;&gt;"Egyszeri"),1,VLOOKUP($B653+IF($C653=12,1,0),Paraméterek!$B$257:$D$267,IF($D$2="Egyszeri",3,2))),IF($D$4="Forint",0,2)))</f>
        <v>-516496</v>
      </c>
      <c r="W653" s="13">
        <f ca="1">ROUNDDOWN($V653*VLOOKUP($B653+IF($C653=12,1,0),Paraméterek!$B$257:$D$267,IF($D$2="Egyszeri",3,2)),IF($D$4="Forint",0,2))</f>
        <v>-516496</v>
      </c>
      <c r="Y653" s="32">
        <v>634</v>
      </c>
      <c r="Z653" s="32">
        <v>53</v>
      </c>
      <c r="AA653" s="32">
        <v>10</v>
      </c>
      <c r="AB653" s="13">
        <f t="shared" si="146"/>
        <v>0</v>
      </c>
      <c r="AC653" s="33"/>
      <c r="AD653" s="13">
        <f t="shared" si="142"/>
        <v>0</v>
      </c>
      <c r="AE653" s="13">
        <f>ROUNDUP(($AB653+$AD653)*VLOOKUP($Z653,Paraméterek!$P$38:$Q$38,2)/12,IF($D$4="Forint",0,2))</f>
        <v>0</v>
      </c>
      <c r="AF653" s="13">
        <f>IF($D$2="Egyszeri",IF($D$7&gt;=IF($D$4="Forint",Paraméterek!$P$223,Paraméterek!$P$224),$D$7-IF($D$4="Forint",Paraméterek!$F$223,Paraméterek!$F$224),0),MIN(IF($AA653=12,AVERAGE($D$20:$D653)*12,0),SUM($D$20:$D$31)))</f>
        <v>0</v>
      </c>
      <c r="AG653" s="13">
        <f>IF(AND($Z653&gt;=10,MOD($Z653,5)=0),$AF653*IF($AA653=12,VLOOKUP($Z653,Paraméterek!$B$225:$F$240,IF($AF653&lt;IF($D$4="Forint",Paraméterek!$C$223,Paraméterek!$C$224),2,IF($AF653&lt;IF($D$4="Forint",Paraméterek!$D$223,Paraméterek!$D$224),3,4))),0),0)</f>
        <v>0</v>
      </c>
      <c r="AH653" s="13">
        <f>IF(AND($Z653&gt;=5,MOD($Z653,5)=0),IF($AA653=12,VLOOKUP($Z653,Paraméterek!$B$225:$F$240,5),0),IF(OR($Z653=3,$Z653=4),IF($AA653=12,VLOOKUP($Z653,Paraméterek!$B$225:$F$240,5,0),0),0))*$AF653</f>
        <v>0</v>
      </c>
      <c r="AI653" s="13">
        <f>ROUNDDOWN(IF(SUM($T$20:$U653)=0,IF($D$2="Egyszeri",$AH653,$AG653),0),IF($D$4="Forint",0,2))</f>
        <v>0</v>
      </c>
      <c r="AJ653" s="13">
        <f t="shared" si="147"/>
        <v>0</v>
      </c>
      <c r="AK653" s="13">
        <f t="shared" si="148"/>
        <v>0</v>
      </c>
      <c r="AM653" s="32">
        <v>634</v>
      </c>
      <c r="AN653" s="32">
        <v>53</v>
      </c>
      <c r="AO653" s="32">
        <v>10</v>
      </c>
      <c r="AP653" s="13"/>
      <c r="AQ653" s="32"/>
      <c r="AR653" s="13">
        <f t="shared" si="149"/>
        <v>0</v>
      </c>
      <c r="AS653" s="33"/>
      <c r="AT653" s="13">
        <f t="shared" si="143"/>
        <v>0</v>
      </c>
      <c r="AU653" s="13">
        <f>ROUNDUP(($AR653+$AT653)*VLOOKUP($AN653,Paraméterek!$P$38:$Q$38,2)/12,IF($D$4="Forint",0,2))</f>
        <v>0</v>
      </c>
      <c r="AV653" s="13"/>
      <c r="AW653" s="13"/>
      <c r="AX653" s="13">
        <f>ROUNDUP(IF(SUM($AV653:$AW653)=0,0,IF(IF(ISBLANK($AW653),$AV653,$AW653)*Paraméterek!$J$112&lt;IF($D$4="Forint",Paraméterek!$J$113,Paraméterek!$K$113),IF($D$4="Forint",Paraméterek!$J$113,Paraméterek!$K$113),IF(IF(ISBLANK($AW653),$AV653,$AW653)*Paraméterek!$J$112&gt;IF($D$4="Forint",Paraméterek!$J$114,Paraméterek!$K$114),IF($D$4="Forint",Paraméterek!$J$114,Paraméterek!$K$114),IF(ISBLANK($AW653),$AV653,$AW653)*Paraméterek!$J$112))),IF($D$4="Forint",0,2))</f>
        <v>0</v>
      </c>
      <c r="AY653" s="13">
        <f>$AR653+$AT653-$AU653-IF(ROUNDDOWN(IF(ISBLANK($AW653),$AV653,$AW653),IF($D$4="Forint",0,2))&gt;$AR653+$AT653-$AU653-IF($D$4="Forint",Paraméterek!$J$114,Paraméterek!$K$114),0,ROUNDDOWN(IF(ISBLANK($AW653),$AV653,$AW653),IF($D$4="Forint",0,2))-$AX653)</f>
        <v>0</v>
      </c>
      <c r="AZ653" s="13">
        <f t="shared" si="144"/>
        <v>0</v>
      </c>
    </row>
    <row r="654" spans="1:52" x14ac:dyDescent="0.2">
      <c r="A654" s="32">
        <v>635</v>
      </c>
      <c r="B654" s="32">
        <v>53</v>
      </c>
      <c r="C654" s="32">
        <v>11</v>
      </c>
      <c r="D654" s="13">
        <f t="shared" si="135"/>
        <v>0</v>
      </c>
      <c r="E654" s="13"/>
      <c r="F654" s="13"/>
      <c r="G654" s="13"/>
      <c r="H654" s="13">
        <f t="shared" si="136"/>
        <v>0</v>
      </c>
      <c r="I654" s="13">
        <f t="shared" si="137"/>
        <v>0</v>
      </c>
      <c r="J654" s="13">
        <f t="shared" si="138"/>
        <v>0</v>
      </c>
      <c r="K654" s="13">
        <f>ROUNDUP(IF($D$2="Egyszeri",$D654,IF($D$2="Havi",SUM($D$20:$D$31),IF(MOD($C654,$M$1)-1=0,SUM($D$20:$D$31),0))/12*$M$1)*VLOOKUP($B654,Paraméterek!$B$27:$D$30,IF($D$2="Egyszeri",3,2)),IF($D$4="Forint",0,2))</f>
        <v>0</v>
      </c>
      <c r="L654" s="13">
        <f t="shared" si="139"/>
        <v>0</v>
      </c>
      <c r="M654" s="13">
        <f t="shared" ca="1" si="145"/>
        <v>-516496</v>
      </c>
      <c r="N654" s="13">
        <f ca="1">IF($V653&gt;=VLOOKUP($M$4-1+$B654,Paraméterek!$B$121:$D$122,IF($D$4="Forint",2,3)),0,VLOOKUP($M$4-1+$B654,Paraméterek!$B$121:$D$122,IF($D$4="Forint",2,3))-$V653)</f>
        <v>526496</v>
      </c>
      <c r="O654" s="13">
        <f ca="1">ROUNDUP($N654*Paraméterek!$C$58/Paraméterek!$C$56,IF($D$4="Forint",0,2))</f>
        <v>84</v>
      </c>
      <c r="P654" s="13">
        <f t="shared" si="140"/>
        <v>2558</v>
      </c>
      <c r="Q654" s="33"/>
      <c r="R654" s="13">
        <f t="shared" ca="1" si="141"/>
        <v>0</v>
      </c>
      <c r="S654" s="13">
        <f ca="1">ROUNDUP(($M654-$O654-$P654+$R654)*VLOOKUP($B654,Paraméterek!$B$38:$D$39,IF($D$2="Egyszeri",3,2))/12,IF($D$4="Forint",0,2))</f>
        <v>-1268</v>
      </c>
      <c r="T654" s="13"/>
      <c r="U654" s="13"/>
      <c r="V654" s="13">
        <f ca="1">$M654-$O654-$P654+$R654-$S654-IF(ROUNDUP(IF(ISBLANK($U654),$T654,$U654)/IF(AND($B654=1,$D$2&lt;&gt;"Egyszeri"),1,VLOOKUP($B654+IF($C654=12,1,0),Paraméterek!$B$257:$D$267,IF($D$2="Egyszeri",3,2))),IF($D$4="Forint",0,2))&gt;$M654-$O654-$P654+$R654-$S654-IF($D$4="Forint",Paraméterek!$C$216,Paraméterek!$D$216),0,ROUNDUP(IF(ISBLANK($U654),$T654,$U654)/IF(AND($B654=1,$D$2&lt;&gt;"Egyszeri"),1,VLOOKUP($B654+IF($C654=12,1,0),Paraméterek!$B$257:$D$267,IF($D$2="Egyszeri",3,2))),IF($D$4="Forint",0,2)))</f>
        <v>-517870</v>
      </c>
      <c r="W654" s="13">
        <f ca="1">ROUNDDOWN($V654*VLOOKUP($B654+IF($C654=12,1,0),Paraméterek!$B$257:$D$267,IF($D$2="Egyszeri",3,2)),IF($D$4="Forint",0,2))</f>
        <v>-517870</v>
      </c>
      <c r="Y654" s="32">
        <v>635</v>
      </c>
      <c r="Z654" s="32">
        <v>53</v>
      </c>
      <c r="AA654" s="32">
        <v>11</v>
      </c>
      <c r="AB654" s="13">
        <f t="shared" si="146"/>
        <v>0</v>
      </c>
      <c r="AC654" s="33"/>
      <c r="AD654" s="13">
        <f t="shared" si="142"/>
        <v>0</v>
      </c>
      <c r="AE654" s="13">
        <f>ROUNDUP(($AB654+$AD654)*VLOOKUP($Z654,Paraméterek!$P$38:$Q$38,2)/12,IF($D$4="Forint",0,2))</f>
        <v>0</v>
      </c>
      <c r="AF654" s="13">
        <f>IF($D$2="Egyszeri",IF($D$7&gt;=IF($D$4="Forint",Paraméterek!$P$223,Paraméterek!$P$224),$D$7-IF($D$4="Forint",Paraméterek!$F$223,Paraméterek!$F$224),0),MIN(IF($AA654=12,AVERAGE($D$20:$D654)*12,0),SUM($D$20:$D$31)))</f>
        <v>0</v>
      </c>
      <c r="AG654" s="13">
        <f>IF(AND($Z654&gt;=10,MOD($Z654,5)=0),$AF654*IF($AA654=12,VLOOKUP($Z654,Paraméterek!$B$225:$F$240,IF($AF654&lt;IF($D$4="Forint",Paraméterek!$C$223,Paraméterek!$C$224),2,IF($AF654&lt;IF($D$4="Forint",Paraméterek!$D$223,Paraméterek!$D$224),3,4))),0),0)</f>
        <v>0</v>
      </c>
      <c r="AH654" s="13">
        <f>IF(AND($Z654&gt;=5,MOD($Z654,5)=0),IF($AA654=12,VLOOKUP($Z654,Paraméterek!$B$225:$F$240,5),0),IF(OR($Z654=3,$Z654=4),IF($AA654=12,VLOOKUP($Z654,Paraméterek!$B$225:$F$240,5,0),0),0))*$AF654</f>
        <v>0</v>
      </c>
      <c r="AI654" s="13">
        <f>ROUNDDOWN(IF(SUM($T$20:$U654)=0,IF($D$2="Egyszeri",$AH654,$AG654),0),IF($D$4="Forint",0,2))</f>
        <v>0</v>
      </c>
      <c r="AJ654" s="13">
        <f t="shared" si="147"/>
        <v>0</v>
      </c>
      <c r="AK654" s="13">
        <f t="shared" si="148"/>
        <v>0</v>
      </c>
      <c r="AM654" s="32">
        <v>635</v>
      </c>
      <c r="AN654" s="32">
        <v>53</v>
      </c>
      <c r="AO654" s="32">
        <v>11</v>
      </c>
      <c r="AP654" s="13"/>
      <c r="AQ654" s="32"/>
      <c r="AR654" s="13">
        <f t="shared" si="149"/>
        <v>0</v>
      </c>
      <c r="AS654" s="33"/>
      <c r="AT654" s="13">
        <f t="shared" si="143"/>
        <v>0</v>
      </c>
      <c r="AU654" s="13">
        <f>ROUNDUP(($AR654+$AT654)*VLOOKUP($AN654,Paraméterek!$P$38:$Q$38,2)/12,IF($D$4="Forint",0,2))</f>
        <v>0</v>
      </c>
      <c r="AV654" s="13"/>
      <c r="AW654" s="13"/>
      <c r="AX654" s="13">
        <f>ROUNDUP(IF(SUM($AV654:$AW654)=0,0,IF(IF(ISBLANK($AW654),$AV654,$AW654)*Paraméterek!$J$112&lt;IF($D$4="Forint",Paraméterek!$J$113,Paraméterek!$K$113),IF($D$4="Forint",Paraméterek!$J$113,Paraméterek!$K$113),IF(IF(ISBLANK($AW654),$AV654,$AW654)*Paraméterek!$J$112&gt;IF($D$4="Forint",Paraméterek!$J$114,Paraméterek!$K$114),IF($D$4="Forint",Paraméterek!$J$114,Paraméterek!$K$114),IF(ISBLANK($AW654),$AV654,$AW654)*Paraméterek!$J$112))),IF($D$4="Forint",0,2))</f>
        <v>0</v>
      </c>
      <c r="AY654" s="13">
        <f>$AR654+$AT654-$AU654-IF(ROUNDDOWN(IF(ISBLANK($AW654),$AV654,$AW654),IF($D$4="Forint",0,2))&gt;$AR654+$AT654-$AU654-IF($D$4="Forint",Paraméterek!$J$114,Paraméterek!$K$114),0,ROUNDDOWN(IF(ISBLANK($AW654),$AV654,$AW654),IF($D$4="Forint",0,2))-$AX654)</f>
        <v>0</v>
      </c>
      <c r="AZ654" s="13">
        <f t="shared" si="144"/>
        <v>0</v>
      </c>
    </row>
    <row r="655" spans="1:52" x14ac:dyDescent="0.2">
      <c r="A655" s="32">
        <v>636</v>
      </c>
      <c r="B655" s="32">
        <v>53</v>
      </c>
      <c r="C655" s="32">
        <v>12</v>
      </c>
      <c r="D655" s="13">
        <f t="shared" si="135"/>
        <v>0</v>
      </c>
      <c r="E655" s="13"/>
      <c r="F655" s="13"/>
      <c r="G655" s="13"/>
      <c r="H655" s="13">
        <f t="shared" si="136"/>
        <v>0</v>
      </c>
      <c r="I655" s="13">
        <f t="shared" si="137"/>
        <v>0</v>
      </c>
      <c r="J655" s="13">
        <f t="shared" si="138"/>
        <v>0</v>
      </c>
      <c r="K655" s="13">
        <f>ROUNDUP(IF($D$2="Egyszeri",$D655,IF($D$2="Havi",SUM($D$20:$D$31),IF(MOD($C655,$M$1)-1=0,SUM($D$20:$D$31),0))/12*$M$1)*VLOOKUP($B655,Paraméterek!$B$27:$D$30,IF($D$2="Egyszeri",3,2)),IF($D$4="Forint",0,2))</f>
        <v>0</v>
      </c>
      <c r="L655" s="13">
        <f t="shared" si="139"/>
        <v>0</v>
      </c>
      <c r="M655" s="13">
        <f t="shared" ca="1" si="145"/>
        <v>-517870</v>
      </c>
      <c r="N655" s="13">
        <f ca="1">IF($V654&gt;=VLOOKUP($M$4-1+$B655,Paraméterek!$B$121:$D$122,IF($D$4="Forint",2,3)),0,VLOOKUP($M$4-1+$B655,Paraméterek!$B$121:$D$122,IF($D$4="Forint",2,3))-$V654)</f>
        <v>527870</v>
      </c>
      <c r="O655" s="13">
        <f ca="1">ROUNDUP($N655*Paraméterek!$C$58/Paraméterek!$C$56,IF($D$4="Forint",0,2))</f>
        <v>85</v>
      </c>
      <c r="P655" s="13">
        <f t="shared" si="140"/>
        <v>2558</v>
      </c>
      <c r="Q655" s="33"/>
      <c r="R655" s="13">
        <f t="shared" ca="1" si="141"/>
        <v>0</v>
      </c>
      <c r="S655" s="13">
        <f ca="1">ROUNDUP(($M655-$O655-$P655+$R655)*VLOOKUP($B655,Paraméterek!$B$38:$D$39,IF($D$2="Egyszeri",3,2))/12,IF($D$4="Forint",0,2))</f>
        <v>-1271</v>
      </c>
      <c r="T655" s="13">
        <f>Tranzakciók!$F$84</f>
        <v>0</v>
      </c>
      <c r="U655" s="13"/>
      <c r="V655" s="13">
        <f ca="1">$M655-$O655-$P655+$R655-$S655-IF(ROUNDUP(IF(ISBLANK($U655),$T655,$U655)/IF(AND($B655=1,$D$2&lt;&gt;"Egyszeri"),1,VLOOKUP($B655+IF($C655=12,1,0),Paraméterek!$B$257:$D$267,IF($D$2="Egyszeri",3,2))),IF($D$4="Forint",0,2))&gt;$M655-$O655-$P655+$R655-$S655-IF($D$4="Forint",Paraméterek!$C$216,Paraméterek!$D$216),0,ROUNDUP(IF(ISBLANK($U655),$T655,$U655)/IF(AND($B655=1,$D$2&lt;&gt;"Egyszeri"),1,VLOOKUP($B655+IF($C655=12,1,0),Paraméterek!$B$257:$D$267,IF($D$2="Egyszeri",3,2))),IF($D$4="Forint",0,2)))</f>
        <v>-519242</v>
      </c>
      <c r="W655" s="13">
        <f ca="1">ROUNDDOWN($V655*VLOOKUP($B655+IF($C655=12,1,0),Paraméterek!$B$257:$D$267,IF($D$2="Egyszeri",3,2)),IF($D$4="Forint",0,2))</f>
        <v>-519242</v>
      </c>
      <c r="Y655" s="32">
        <v>636</v>
      </c>
      <c r="Z655" s="32">
        <v>53</v>
      </c>
      <c r="AA655" s="32">
        <v>12</v>
      </c>
      <c r="AB655" s="13">
        <f t="shared" si="146"/>
        <v>0</v>
      </c>
      <c r="AC655" s="33"/>
      <c r="AD655" s="13">
        <f t="shared" si="142"/>
        <v>0</v>
      </c>
      <c r="AE655" s="13">
        <f>ROUNDUP(($AB655+$AD655)*VLOOKUP($Z655,Paraméterek!$P$38:$Q$38,2)/12,IF($D$4="Forint",0,2))</f>
        <v>0</v>
      </c>
      <c r="AF655" s="13">
        <f>IF($D$2="Egyszeri",IF($D$7&gt;=IF($D$4="Forint",Paraméterek!$P$223,Paraméterek!$P$224),$D$7-IF($D$4="Forint",Paraméterek!$F$223,Paraméterek!$F$224),0),MIN(IF($AA655=12,AVERAGE($D$20:$D655)*12,0),SUM($D$20:$D$31)))</f>
        <v>0</v>
      </c>
      <c r="AG655" s="13">
        <f>IF(AND($Z655&gt;=10,MOD($Z655,5)=0),$AF655*IF($AA655=12,VLOOKUP($Z655,Paraméterek!$B$225:$F$240,IF($AF655&lt;IF($D$4="Forint",Paraméterek!$C$223,Paraméterek!$C$224),2,IF($AF655&lt;IF($D$4="Forint",Paraméterek!$D$223,Paraméterek!$D$224),3,4))),0),0)</f>
        <v>0</v>
      </c>
      <c r="AH655" s="13">
        <f>IF(AND($Z655&gt;=5,MOD($Z655,5)=0),IF($AA655=12,VLOOKUP($Z655,Paraméterek!$B$225:$F$240,5),0),IF(OR($Z655=3,$Z655=4),IF($AA655=12,VLOOKUP($Z655,Paraméterek!$B$225:$F$240,5,0),0),0))*$AF655</f>
        <v>0</v>
      </c>
      <c r="AI655" s="13">
        <f>ROUNDDOWN(IF(SUM($T$20:$U655)=0,IF($D$2="Egyszeri",$AH655,$AG655),0),IF($D$4="Forint",0,2))</f>
        <v>0</v>
      </c>
      <c r="AJ655" s="13">
        <f t="shared" si="147"/>
        <v>0</v>
      </c>
      <c r="AK655" s="13">
        <f t="shared" si="148"/>
        <v>0</v>
      </c>
      <c r="AM655" s="32">
        <v>636</v>
      </c>
      <c r="AN655" s="32">
        <v>53</v>
      </c>
      <c r="AO655" s="32">
        <v>12</v>
      </c>
      <c r="AP655" s="13"/>
      <c r="AQ655" s="32"/>
      <c r="AR655" s="13">
        <f t="shared" si="149"/>
        <v>0</v>
      </c>
      <c r="AS655" s="33"/>
      <c r="AT655" s="13">
        <f t="shared" si="143"/>
        <v>0</v>
      </c>
      <c r="AU655" s="13">
        <f>ROUNDUP(($AR655+$AT655)*VLOOKUP($AN655,Paraméterek!$P$38:$Q$38,2)/12,IF($D$4="Forint",0,2))</f>
        <v>0</v>
      </c>
      <c r="AV655" s="13">
        <f>Tranzakciók!$M$84</f>
        <v>0</v>
      </c>
      <c r="AW655" s="13"/>
      <c r="AX655" s="13">
        <f>ROUNDUP(IF(SUM($AV655:$AW655)=0,0,IF(IF(ISBLANK($AW655),$AV655,$AW655)*Paraméterek!$J$112&lt;IF($D$4="Forint",Paraméterek!$J$113,Paraméterek!$K$113),IF($D$4="Forint",Paraméterek!$J$113,Paraméterek!$K$113),IF(IF(ISBLANK($AW655),$AV655,$AW655)*Paraméterek!$J$112&gt;IF($D$4="Forint",Paraméterek!$J$114,Paraméterek!$K$114),IF($D$4="Forint",Paraméterek!$J$114,Paraméterek!$K$114),IF(ISBLANK($AW655),$AV655,$AW655)*Paraméterek!$J$112))),IF($D$4="Forint",0,2))</f>
        <v>0</v>
      </c>
      <c r="AY655" s="13">
        <f>$AR655+$AT655-$AU655-IF(ROUNDDOWN(IF(ISBLANK($AW655),$AV655,$AW655),IF($D$4="Forint",0,2))&gt;$AR655+$AT655-$AU655-IF($D$4="Forint",Paraméterek!$J$114,Paraméterek!$K$114),0,ROUNDDOWN(IF(ISBLANK($AW655),$AV655,$AW655),IF($D$4="Forint",0,2))-$AX655)</f>
        <v>0</v>
      </c>
      <c r="AZ655" s="13">
        <f t="shared" si="144"/>
        <v>0</v>
      </c>
    </row>
    <row r="656" spans="1:52" x14ac:dyDescent="0.2">
      <c r="A656" s="32">
        <v>637</v>
      </c>
      <c r="B656" s="32">
        <v>54</v>
      </c>
      <c r="C656" s="32">
        <v>1</v>
      </c>
      <c r="D656" s="13">
        <f t="shared" si="135"/>
        <v>0</v>
      </c>
      <c r="E656" s="13"/>
      <c r="F656" s="13">
        <f>Tranzakciók!$D$85</f>
        <v>0</v>
      </c>
      <c r="G656" s="13"/>
      <c r="H656" s="13">
        <f t="shared" si="136"/>
        <v>0</v>
      </c>
      <c r="I656" s="13">
        <f t="shared" si="137"/>
        <v>480</v>
      </c>
      <c r="J656" s="13">
        <f t="shared" si="138"/>
        <v>480</v>
      </c>
      <c r="K656" s="13">
        <f>ROUNDUP(IF($D$2="Egyszeri",$D656,IF($D$2="Havi",SUM($D$20:$D$31),IF(MOD($C656,$M$1)-1=0,SUM($D$20:$D$31),0))/12*$M$1)*VLOOKUP($B656,Paraméterek!$B$27:$D$30,IF($D$2="Egyszeri",3,2)),IF($D$4="Forint",0,2))</f>
        <v>0</v>
      </c>
      <c r="L656" s="13">
        <f t="shared" si="139"/>
        <v>0</v>
      </c>
      <c r="M656" s="13">
        <f t="shared" ca="1" si="145"/>
        <v>-519242</v>
      </c>
      <c r="N656" s="13">
        <f ca="1">IF($V655&gt;=VLOOKUP($M$4-1+$B656,Paraméterek!$B$121:$D$122,IF($D$4="Forint",2,3)),0,VLOOKUP($M$4-1+$B656,Paraméterek!$B$121:$D$122,IF($D$4="Forint",2,3))-$V655)</f>
        <v>529242</v>
      </c>
      <c r="O656" s="13">
        <f ca="1">ROUNDUP($N656*Paraméterek!$C$58/Paraméterek!$C$56,IF($D$4="Forint",0,2))</f>
        <v>85</v>
      </c>
      <c r="P656" s="13">
        <f t="shared" si="140"/>
        <v>2635</v>
      </c>
      <c r="Q656" s="33"/>
      <c r="R656" s="13">
        <f t="shared" ca="1" si="141"/>
        <v>0</v>
      </c>
      <c r="S656" s="13">
        <f ca="1">ROUNDUP(($M656-$O656-$P656+$R656)*VLOOKUP($B656,Paraméterek!$B$38:$D$39,IF($D$2="Egyszeri",3,2))/12,IF($D$4="Forint",0,2))</f>
        <v>-1275</v>
      </c>
      <c r="T656" s="13"/>
      <c r="U656" s="13"/>
      <c r="V656" s="13">
        <f ca="1">$M656-$O656-$P656+$R656-$S656-IF(ROUNDUP(IF(ISBLANK($U656),$T656,$U656)/IF(AND($B656=1,$D$2&lt;&gt;"Egyszeri"),1,VLOOKUP($B656+IF($C656=12,1,0),Paraméterek!$B$257:$D$267,IF($D$2="Egyszeri",3,2))),IF($D$4="Forint",0,2))&gt;$M656-$O656-$P656+$R656-$S656-IF($D$4="Forint",Paraméterek!$C$216,Paraméterek!$D$216),0,ROUNDUP(IF(ISBLANK($U656),$T656,$U656)/IF(AND($B656=1,$D$2&lt;&gt;"Egyszeri"),1,VLOOKUP($B656+IF($C656=12,1,0),Paraméterek!$B$257:$D$267,IF($D$2="Egyszeri",3,2))),IF($D$4="Forint",0,2)))</f>
        <v>-520687</v>
      </c>
      <c r="W656" s="13">
        <f ca="1">ROUNDDOWN($V656*VLOOKUP($B656+IF($C656=12,1,0),Paraméterek!$B$257:$D$267,IF($D$2="Egyszeri",3,2)),IF($D$4="Forint",0,2))</f>
        <v>-520687</v>
      </c>
      <c r="Y656" s="32">
        <v>637</v>
      </c>
      <c r="Z656" s="32">
        <v>54</v>
      </c>
      <c r="AA656" s="32">
        <v>1</v>
      </c>
      <c r="AB656" s="13">
        <f t="shared" si="146"/>
        <v>0</v>
      </c>
      <c r="AC656" s="33"/>
      <c r="AD656" s="13">
        <f t="shared" si="142"/>
        <v>0</v>
      </c>
      <c r="AE656" s="13">
        <f>ROUNDUP(($AB656+$AD656)*VLOOKUP($Z656,Paraméterek!$P$38:$Q$38,2)/12,IF($D$4="Forint",0,2))</f>
        <v>0</v>
      </c>
      <c r="AF656" s="13">
        <f>IF($D$2="Egyszeri",IF($D$7&gt;=IF($D$4="Forint",Paraméterek!$P$223,Paraméterek!$P$224),$D$7-IF($D$4="Forint",Paraméterek!$F$223,Paraméterek!$F$224),0),MIN(IF($AA656=12,AVERAGE($D$20:$D656)*12,0),SUM($D$20:$D$31)))</f>
        <v>0</v>
      </c>
      <c r="AG656" s="13">
        <f>IF(AND($Z656&gt;=10,MOD($Z656,5)=0),$AF656*IF($AA656=12,VLOOKUP($Z656,Paraméterek!$B$225:$F$240,IF($AF656&lt;IF($D$4="Forint",Paraméterek!$C$223,Paraméterek!$C$224),2,IF($AF656&lt;IF($D$4="Forint",Paraméterek!$D$223,Paraméterek!$D$224),3,4))),0),0)</f>
        <v>0</v>
      </c>
      <c r="AH656" s="13">
        <f>IF(AND($Z656&gt;=5,MOD($Z656,5)=0),IF($AA656=12,VLOOKUP($Z656,Paraméterek!$B$225:$F$240,5),0),IF(OR($Z656=3,$Z656=4),IF($AA656=12,VLOOKUP($Z656,Paraméterek!$B$225:$F$240,5,0),0),0))*$AF656</f>
        <v>0</v>
      </c>
      <c r="AI656" s="13">
        <f>ROUNDDOWN(IF(SUM($T$20:$U656)=0,IF($D$2="Egyszeri",$AH656,$AG656),0),IF($D$4="Forint",0,2))</f>
        <v>0</v>
      </c>
      <c r="AJ656" s="13">
        <f t="shared" si="147"/>
        <v>0</v>
      </c>
      <c r="AK656" s="13">
        <f t="shared" si="148"/>
        <v>0</v>
      </c>
      <c r="AM656" s="32">
        <v>637</v>
      </c>
      <c r="AN656" s="32">
        <v>54</v>
      </c>
      <c r="AO656" s="32">
        <v>1</v>
      </c>
      <c r="AP656" s="13">
        <f>Tranzakciók!$K$85</f>
        <v>0</v>
      </c>
      <c r="AQ656" s="32"/>
      <c r="AR656" s="13">
        <f t="shared" si="149"/>
        <v>0</v>
      </c>
      <c r="AS656" s="33"/>
      <c r="AT656" s="13">
        <f t="shared" si="143"/>
        <v>0</v>
      </c>
      <c r="AU656" s="13">
        <f>ROUNDUP(($AR656+$AT656)*VLOOKUP($AN656,Paraméterek!$P$38:$Q$38,2)/12,IF($D$4="Forint",0,2))</f>
        <v>0</v>
      </c>
      <c r="AV656" s="13"/>
      <c r="AW656" s="13"/>
      <c r="AX656" s="13">
        <f>ROUNDUP(IF(SUM($AV656:$AW656)=0,0,IF(IF(ISBLANK($AW656),$AV656,$AW656)*Paraméterek!$J$112&lt;IF($D$4="Forint",Paraméterek!$J$113,Paraméterek!$K$113),IF($D$4="Forint",Paraméterek!$J$113,Paraméterek!$K$113),IF(IF(ISBLANK($AW656),$AV656,$AW656)*Paraméterek!$J$112&gt;IF($D$4="Forint",Paraméterek!$J$114,Paraméterek!$K$114),IF($D$4="Forint",Paraméterek!$J$114,Paraméterek!$K$114),IF(ISBLANK($AW656),$AV656,$AW656)*Paraméterek!$J$112))),IF($D$4="Forint",0,2))</f>
        <v>0</v>
      </c>
      <c r="AY656" s="13">
        <f>$AR656+$AT656-$AU656-IF(ROUNDDOWN(IF(ISBLANK($AW656),$AV656,$AW656),IF($D$4="Forint",0,2))&gt;$AR656+$AT656-$AU656-IF($D$4="Forint",Paraméterek!$J$114,Paraméterek!$K$114),0,ROUNDDOWN(IF(ISBLANK($AW656),$AV656,$AW656),IF($D$4="Forint",0,2))-$AX656)</f>
        <v>0</v>
      </c>
      <c r="AZ656" s="13">
        <f t="shared" si="144"/>
        <v>0</v>
      </c>
    </row>
    <row r="657" spans="1:52" x14ac:dyDescent="0.2">
      <c r="A657" s="32">
        <v>638</v>
      </c>
      <c r="B657" s="32">
        <v>54</v>
      </c>
      <c r="C657" s="32">
        <v>2</v>
      </c>
      <c r="D657" s="13">
        <f t="shared" si="135"/>
        <v>0</v>
      </c>
      <c r="E657" s="13"/>
      <c r="F657" s="13"/>
      <c r="G657" s="13"/>
      <c r="H657" s="13">
        <f t="shared" si="136"/>
        <v>0</v>
      </c>
      <c r="I657" s="13">
        <f t="shared" si="137"/>
        <v>0</v>
      </c>
      <c r="J657" s="13">
        <f t="shared" si="138"/>
        <v>0</v>
      </c>
      <c r="K657" s="13">
        <f>ROUNDUP(IF($D$2="Egyszeri",$D657,IF($D$2="Havi",SUM($D$20:$D$31),IF(MOD($C657,$M$1)-1=0,SUM($D$20:$D$31),0))/12*$M$1)*VLOOKUP($B657,Paraméterek!$B$27:$D$30,IF($D$2="Egyszeri",3,2)),IF($D$4="Forint",0,2))</f>
        <v>0</v>
      </c>
      <c r="L657" s="13">
        <f t="shared" si="139"/>
        <v>0</v>
      </c>
      <c r="M657" s="13">
        <f t="shared" ca="1" si="145"/>
        <v>-520687</v>
      </c>
      <c r="N657" s="13">
        <f ca="1">IF($V656&gt;=VLOOKUP($M$4-1+$B657,Paraméterek!$B$121:$D$122,IF($D$4="Forint",2,3)),0,VLOOKUP($M$4-1+$B657,Paraméterek!$B$121:$D$122,IF($D$4="Forint",2,3))-$V656)</f>
        <v>530687</v>
      </c>
      <c r="O657" s="13">
        <f ca="1">ROUNDUP($N657*Paraméterek!$C$58/Paraméterek!$C$56,IF($D$4="Forint",0,2))</f>
        <v>85</v>
      </c>
      <c r="P657" s="13">
        <f t="shared" si="140"/>
        <v>2635</v>
      </c>
      <c r="Q657" s="33"/>
      <c r="R657" s="13">
        <f t="shared" ca="1" si="141"/>
        <v>0</v>
      </c>
      <c r="S657" s="13">
        <f ca="1">ROUNDUP(($M657-$O657-$P657+$R657)*VLOOKUP($B657,Paraméterek!$B$38:$D$39,IF($D$2="Egyszeri",3,2))/12,IF($D$4="Forint",0,2))</f>
        <v>-1278</v>
      </c>
      <c r="T657" s="13"/>
      <c r="U657" s="13"/>
      <c r="V657" s="13">
        <f ca="1">$M657-$O657-$P657+$R657-$S657-IF(ROUNDUP(IF(ISBLANK($U657),$T657,$U657)/IF(AND($B657=1,$D$2&lt;&gt;"Egyszeri"),1,VLOOKUP($B657+IF($C657=12,1,0),Paraméterek!$B$257:$D$267,IF($D$2="Egyszeri",3,2))),IF($D$4="Forint",0,2))&gt;$M657-$O657-$P657+$R657-$S657-IF($D$4="Forint",Paraméterek!$C$216,Paraméterek!$D$216),0,ROUNDUP(IF(ISBLANK($U657),$T657,$U657)/IF(AND($B657=1,$D$2&lt;&gt;"Egyszeri"),1,VLOOKUP($B657+IF($C657=12,1,0),Paraméterek!$B$257:$D$267,IF($D$2="Egyszeri",3,2))),IF($D$4="Forint",0,2)))</f>
        <v>-522129</v>
      </c>
      <c r="W657" s="13">
        <f ca="1">ROUNDDOWN($V657*VLOOKUP($B657+IF($C657=12,1,0),Paraméterek!$B$257:$D$267,IF($D$2="Egyszeri",3,2)),IF($D$4="Forint",0,2))</f>
        <v>-522129</v>
      </c>
      <c r="Y657" s="32">
        <v>638</v>
      </c>
      <c r="Z657" s="32">
        <v>54</v>
      </c>
      <c r="AA657" s="32">
        <v>2</v>
      </c>
      <c r="AB657" s="13">
        <f t="shared" si="146"/>
        <v>0</v>
      </c>
      <c r="AC657" s="33"/>
      <c r="AD657" s="13">
        <f t="shared" si="142"/>
        <v>0</v>
      </c>
      <c r="AE657" s="13">
        <f>ROUNDUP(($AB657+$AD657)*VLOOKUP($Z657,Paraméterek!$P$38:$Q$38,2)/12,IF($D$4="Forint",0,2))</f>
        <v>0</v>
      </c>
      <c r="AF657" s="13">
        <f>IF($D$2="Egyszeri",IF($D$7&gt;=IF($D$4="Forint",Paraméterek!$P$223,Paraméterek!$P$224),$D$7-IF($D$4="Forint",Paraméterek!$F$223,Paraméterek!$F$224),0),MIN(IF($AA657=12,AVERAGE($D$20:$D657)*12,0),SUM($D$20:$D$31)))</f>
        <v>0</v>
      </c>
      <c r="AG657" s="13">
        <f>IF(AND($Z657&gt;=10,MOD($Z657,5)=0),$AF657*IF($AA657=12,VLOOKUP($Z657,Paraméterek!$B$225:$F$240,IF($AF657&lt;IF($D$4="Forint",Paraméterek!$C$223,Paraméterek!$C$224),2,IF($AF657&lt;IF($D$4="Forint",Paraméterek!$D$223,Paraméterek!$D$224),3,4))),0),0)</f>
        <v>0</v>
      </c>
      <c r="AH657" s="13">
        <f>IF(AND($Z657&gt;=5,MOD($Z657,5)=0),IF($AA657=12,VLOOKUP($Z657,Paraméterek!$B$225:$F$240,5),0),IF(OR($Z657=3,$Z657=4),IF($AA657=12,VLOOKUP($Z657,Paraméterek!$B$225:$F$240,5,0),0),0))*$AF657</f>
        <v>0</v>
      </c>
      <c r="AI657" s="13">
        <f>ROUNDDOWN(IF(SUM($T$20:$U657)=0,IF($D$2="Egyszeri",$AH657,$AG657),0),IF($D$4="Forint",0,2))</f>
        <v>0</v>
      </c>
      <c r="AJ657" s="13">
        <f t="shared" si="147"/>
        <v>0</v>
      </c>
      <c r="AK657" s="13">
        <f t="shared" si="148"/>
        <v>0</v>
      </c>
      <c r="AM657" s="32">
        <v>638</v>
      </c>
      <c r="AN657" s="32">
        <v>54</v>
      </c>
      <c r="AO657" s="32">
        <v>2</v>
      </c>
      <c r="AP657" s="13"/>
      <c r="AQ657" s="32"/>
      <c r="AR657" s="13">
        <f t="shared" si="149"/>
        <v>0</v>
      </c>
      <c r="AS657" s="33"/>
      <c r="AT657" s="13">
        <f t="shared" si="143"/>
        <v>0</v>
      </c>
      <c r="AU657" s="13">
        <f>ROUNDUP(($AR657+$AT657)*VLOOKUP($AN657,Paraméterek!$P$38:$Q$38,2)/12,IF($D$4="Forint",0,2))</f>
        <v>0</v>
      </c>
      <c r="AV657" s="13"/>
      <c r="AW657" s="13"/>
      <c r="AX657" s="13">
        <f>ROUNDUP(IF(SUM($AV657:$AW657)=0,0,IF(IF(ISBLANK($AW657),$AV657,$AW657)*Paraméterek!$J$112&lt;IF($D$4="Forint",Paraméterek!$J$113,Paraméterek!$K$113),IF($D$4="Forint",Paraméterek!$J$113,Paraméterek!$K$113),IF(IF(ISBLANK($AW657),$AV657,$AW657)*Paraméterek!$J$112&gt;IF($D$4="Forint",Paraméterek!$J$114,Paraméterek!$K$114),IF($D$4="Forint",Paraméterek!$J$114,Paraméterek!$K$114),IF(ISBLANK($AW657),$AV657,$AW657)*Paraméterek!$J$112))),IF($D$4="Forint",0,2))</f>
        <v>0</v>
      </c>
      <c r="AY657" s="13">
        <f>$AR657+$AT657-$AU657-IF(ROUNDDOWN(IF(ISBLANK($AW657),$AV657,$AW657),IF($D$4="Forint",0,2))&gt;$AR657+$AT657-$AU657-IF($D$4="Forint",Paraméterek!$J$114,Paraméterek!$K$114),0,ROUNDDOWN(IF(ISBLANK($AW657),$AV657,$AW657),IF($D$4="Forint",0,2))-$AX657)</f>
        <v>0</v>
      </c>
      <c r="AZ657" s="13">
        <f t="shared" si="144"/>
        <v>0</v>
      </c>
    </row>
    <row r="658" spans="1:52" x14ac:dyDescent="0.2">
      <c r="A658" s="32">
        <v>639</v>
      </c>
      <c r="B658" s="32">
        <v>54</v>
      </c>
      <c r="C658" s="32">
        <v>3</v>
      </c>
      <c r="D658" s="13">
        <f t="shared" si="135"/>
        <v>0</v>
      </c>
      <c r="E658" s="13"/>
      <c r="F658" s="13"/>
      <c r="G658" s="13"/>
      <c r="H658" s="13">
        <f t="shared" si="136"/>
        <v>0</v>
      </c>
      <c r="I658" s="13">
        <f t="shared" si="137"/>
        <v>0</v>
      </c>
      <c r="J658" s="13">
        <f t="shared" si="138"/>
        <v>0</v>
      </c>
      <c r="K658" s="13">
        <f>ROUNDUP(IF($D$2="Egyszeri",$D658,IF($D$2="Havi",SUM($D$20:$D$31),IF(MOD($C658,$M$1)-1=0,SUM($D$20:$D$31),0))/12*$M$1)*VLOOKUP($B658,Paraméterek!$B$27:$D$30,IF($D$2="Egyszeri",3,2)),IF($D$4="Forint",0,2))</f>
        <v>0</v>
      </c>
      <c r="L658" s="13">
        <f t="shared" si="139"/>
        <v>0</v>
      </c>
      <c r="M658" s="13">
        <f t="shared" ca="1" si="145"/>
        <v>-522129</v>
      </c>
      <c r="N658" s="13">
        <f ca="1">IF($V657&gt;=VLOOKUP($M$4-1+$B658,Paraméterek!$B$121:$D$122,IF($D$4="Forint",2,3)),0,VLOOKUP($M$4-1+$B658,Paraméterek!$B$121:$D$122,IF($D$4="Forint",2,3))-$V657)</f>
        <v>532129</v>
      </c>
      <c r="O658" s="13">
        <f ca="1">ROUNDUP($N658*Paraméterek!$C$58/Paraméterek!$C$56,IF($D$4="Forint",0,2))</f>
        <v>85</v>
      </c>
      <c r="P658" s="13">
        <f t="shared" si="140"/>
        <v>2635</v>
      </c>
      <c r="Q658" s="33"/>
      <c r="R658" s="13">
        <f t="shared" ca="1" si="141"/>
        <v>0</v>
      </c>
      <c r="S658" s="13">
        <f ca="1">ROUNDUP(($M658-$O658-$P658+$R658)*VLOOKUP($B658,Paraméterek!$B$38:$D$39,IF($D$2="Egyszeri",3,2))/12,IF($D$4="Forint",0,2))</f>
        <v>-1282</v>
      </c>
      <c r="T658" s="13"/>
      <c r="U658" s="13"/>
      <c r="V658" s="13">
        <f ca="1">$M658-$O658-$P658+$R658-$S658-IF(ROUNDUP(IF(ISBLANK($U658),$T658,$U658)/IF(AND($B658=1,$D$2&lt;&gt;"Egyszeri"),1,VLOOKUP($B658+IF($C658=12,1,0),Paraméterek!$B$257:$D$267,IF($D$2="Egyszeri",3,2))),IF($D$4="Forint",0,2))&gt;$M658-$O658-$P658+$R658-$S658-IF($D$4="Forint",Paraméterek!$C$216,Paraméterek!$D$216),0,ROUNDUP(IF(ISBLANK($U658),$T658,$U658)/IF(AND($B658=1,$D$2&lt;&gt;"Egyszeri"),1,VLOOKUP($B658+IF($C658=12,1,0),Paraméterek!$B$257:$D$267,IF($D$2="Egyszeri",3,2))),IF($D$4="Forint",0,2)))</f>
        <v>-523567</v>
      </c>
      <c r="W658" s="13">
        <f ca="1">ROUNDDOWN($V658*VLOOKUP($B658+IF($C658=12,1,0),Paraméterek!$B$257:$D$267,IF($D$2="Egyszeri",3,2)),IF($D$4="Forint",0,2))</f>
        <v>-523567</v>
      </c>
      <c r="Y658" s="32">
        <v>639</v>
      </c>
      <c r="Z658" s="32">
        <v>54</v>
      </c>
      <c r="AA658" s="32">
        <v>3</v>
      </c>
      <c r="AB658" s="13">
        <f t="shared" si="146"/>
        <v>0</v>
      </c>
      <c r="AC658" s="33"/>
      <c r="AD658" s="13">
        <f t="shared" si="142"/>
        <v>0</v>
      </c>
      <c r="AE658" s="13">
        <f>ROUNDUP(($AB658+$AD658)*VLOOKUP($Z658,Paraméterek!$P$38:$Q$38,2)/12,IF($D$4="Forint",0,2))</f>
        <v>0</v>
      </c>
      <c r="AF658" s="13">
        <f>IF($D$2="Egyszeri",IF($D$7&gt;=IF($D$4="Forint",Paraméterek!$P$223,Paraméterek!$P$224),$D$7-IF($D$4="Forint",Paraméterek!$F$223,Paraméterek!$F$224),0),MIN(IF($AA658=12,AVERAGE($D$20:$D658)*12,0),SUM($D$20:$D$31)))</f>
        <v>0</v>
      </c>
      <c r="AG658" s="13">
        <f>IF(AND($Z658&gt;=10,MOD($Z658,5)=0),$AF658*IF($AA658=12,VLOOKUP($Z658,Paraméterek!$B$225:$F$240,IF($AF658&lt;IF($D$4="Forint",Paraméterek!$C$223,Paraméterek!$C$224),2,IF($AF658&lt;IF($D$4="Forint",Paraméterek!$D$223,Paraméterek!$D$224),3,4))),0),0)</f>
        <v>0</v>
      </c>
      <c r="AH658" s="13">
        <f>IF(AND($Z658&gt;=5,MOD($Z658,5)=0),IF($AA658=12,VLOOKUP($Z658,Paraméterek!$B$225:$F$240,5),0),IF(OR($Z658=3,$Z658=4),IF($AA658=12,VLOOKUP($Z658,Paraméterek!$B$225:$F$240,5,0),0),0))*$AF658</f>
        <v>0</v>
      </c>
      <c r="AI658" s="13">
        <f>ROUNDDOWN(IF(SUM($T$20:$U658)=0,IF($D$2="Egyszeri",$AH658,$AG658),0),IF($D$4="Forint",0,2))</f>
        <v>0</v>
      </c>
      <c r="AJ658" s="13">
        <f t="shared" si="147"/>
        <v>0</v>
      </c>
      <c r="AK658" s="13">
        <f t="shared" si="148"/>
        <v>0</v>
      </c>
      <c r="AM658" s="32">
        <v>639</v>
      </c>
      <c r="AN658" s="32">
        <v>54</v>
      </c>
      <c r="AO658" s="32">
        <v>3</v>
      </c>
      <c r="AP658" s="13"/>
      <c r="AQ658" s="32"/>
      <c r="AR658" s="13">
        <f t="shared" si="149"/>
        <v>0</v>
      </c>
      <c r="AS658" s="33"/>
      <c r="AT658" s="13">
        <f t="shared" si="143"/>
        <v>0</v>
      </c>
      <c r="AU658" s="13">
        <f>ROUNDUP(($AR658+$AT658)*VLOOKUP($AN658,Paraméterek!$P$38:$Q$38,2)/12,IF($D$4="Forint",0,2))</f>
        <v>0</v>
      </c>
      <c r="AV658" s="13"/>
      <c r="AW658" s="13"/>
      <c r="AX658" s="13">
        <f>ROUNDUP(IF(SUM($AV658:$AW658)=0,0,IF(IF(ISBLANK($AW658),$AV658,$AW658)*Paraméterek!$J$112&lt;IF($D$4="Forint",Paraméterek!$J$113,Paraméterek!$K$113),IF($D$4="Forint",Paraméterek!$J$113,Paraméterek!$K$113),IF(IF(ISBLANK($AW658),$AV658,$AW658)*Paraméterek!$J$112&gt;IF($D$4="Forint",Paraméterek!$J$114,Paraméterek!$K$114),IF($D$4="Forint",Paraméterek!$J$114,Paraméterek!$K$114),IF(ISBLANK($AW658),$AV658,$AW658)*Paraméterek!$J$112))),IF($D$4="Forint",0,2))</f>
        <v>0</v>
      </c>
      <c r="AY658" s="13">
        <f>$AR658+$AT658-$AU658-IF(ROUNDDOWN(IF(ISBLANK($AW658),$AV658,$AW658),IF($D$4="Forint",0,2))&gt;$AR658+$AT658-$AU658-IF($D$4="Forint",Paraméterek!$J$114,Paraméterek!$K$114),0,ROUNDDOWN(IF(ISBLANK($AW658),$AV658,$AW658),IF($D$4="Forint",0,2))-$AX658)</f>
        <v>0</v>
      </c>
      <c r="AZ658" s="13">
        <f t="shared" si="144"/>
        <v>0</v>
      </c>
    </row>
    <row r="659" spans="1:52" x14ac:dyDescent="0.2">
      <c r="A659" s="32">
        <v>640</v>
      </c>
      <c r="B659" s="32">
        <v>54</v>
      </c>
      <c r="C659" s="32">
        <v>4</v>
      </c>
      <c r="D659" s="13">
        <f t="shared" si="135"/>
        <v>0</v>
      </c>
      <c r="E659" s="13"/>
      <c r="F659" s="13"/>
      <c r="G659" s="13"/>
      <c r="H659" s="13">
        <f t="shared" si="136"/>
        <v>0</v>
      </c>
      <c r="I659" s="13">
        <f t="shared" si="137"/>
        <v>0</v>
      </c>
      <c r="J659" s="13">
        <f t="shared" si="138"/>
        <v>0</v>
      </c>
      <c r="K659" s="13">
        <f>ROUNDUP(IF($D$2="Egyszeri",$D659,IF($D$2="Havi",SUM($D$20:$D$31),IF(MOD($C659,$M$1)-1=0,SUM($D$20:$D$31),0))/12*$M$1)*VLOOKUP($B659,Paraméterek!$B$27:$D$30,IF($D$2="Egyszeri",3,2)),IF($D$4="Forint",0,2))</f>
        <v>0</v>
      </c>
      <c r="L659" s="13">
        <f t="shared" si="139"/>
        <v>0</v>
      </c>
      <c r="M659" s="13">
        <f t="shared" ca="1" si="145"/>
        <v>-523567</v>
      </c>
      <c r="N659" s="13">
        <f ca="1">IF($V658&gt;=VLOOKUP($M$4-1+$B659,Paraméterek!$B$121:$D$122,IF($D$4="Forint",2,3)),0,VLOOKUP($M$4-1+$B659,Paraméterek!$B$121:$D$122,IF($D$4="Forint",2,3))-$V658)</f>
        <v>533567</v>
      </c>
      <c r="O659" s="13">
        <f ca="1">ROUNDUP($N659*Paraméterek!$C$58/Paraméterek!$C$56,IF($D$4="Forint",0,2))</f>
        <v>85</v>
      </c>
      <c r="P659" s="13">
        <f t="shared" si="140"/>
        <v>2635</v>
      </c>
      <c r="Q659" s="33"/>
      <c r="R659" s="13">
        <f t="shared" ca="1" si="141"/>
        <v>0</v>
      </c>
      <c r="S659" s="13">
        <f ca="1">ROUNDUP(($M659-$O659-$P659+$R659)*VLOOKUP($B659,Paraméterek!$B$38:$D$39,IF($D$2="Egyszeri",3,2))/12,IF($D$4="Forint",0,2))</f>
        <v>-1286</v>
      </c>
      <c r="T659" s="13"/>
      <c r="U659" s="13"/>
      <c r="V659" s="13">
        <f ca="1">$M659-$O659-$P659+$R659-$S659-IF(ROUNDUP(IF(ISBLANK($U659),$T659,$U659)/IF(AND($B659=1,$D$2&lt;&gt;"Egyszeri"),1,VLOOKUP($B659+IF($C659=12,1,0),Paraméterek!$B$257:$D$267,IF($D$2="Egyszeri",3,2))),IF($D$4="Forint",0,2))&gt;$M659-$O659-$P659+$R659-$S659-IF($D$4="Forint",Paraméterek!$C$216,Paraméterek!$D$216),0,ROUNDUP(IF(ISBLANK($U659),$T659,$U659)/IF(AND($B659=1,$D$2&lt;&gt;"Egyszeri"),1,VLOOKUP($B659+IF($C659=12,1,0),Paraméterek!$B$257:$D$267,IF($D$2="Egyszeri",3,2))),IF($D$4="Forint",0,2)))</f>
        <v>-525001</v>
      </c>
      <c r="W659" s="13">
        <f ca="1">ROUNDDOWN($V659*VLOOKUP($B659+IF($C659=12,1,0),Paraméterek!$B$257:$D$267,IF($D$2="Egyszeri",3,2)),IF($D$4="Forint",0,2))</f>
        <v>-525001</v>
      </c>
      <c r="Y659" s="32">
        <v>640</v>
      </c>
      <c r="Z659" s="32">
        <v>54</v>
      </c>
      <c r="AA659" s="32">
        <v>4</v>
      </c>
      <c r="AB659" s="13">
        <f t="shared" si="146"/>
        <v>0</v>
      </c>
      <c r="AC659" s="33"/>
      <c r="AD659" s="13">
        <f t="shared" si="142"/>
        <v>0</v>
      </c>
      <c r="AE659" s="13">
        <f>ROUNDUP(($AB659+$AD659)*VLOOKUP($Z659,Paraméterek!$P$38:$Q$38,2)/12,IF($D$4="Forint",0,2))</f>
        <v>0</v>
      </c>
      <c r="AF659" s="13">
        <f>IF($D$2="Egyszeri",IF($D$7&gt;=IF($D$4="Forint",Paraméterek!$P$223,Paraméterek!$P$224),$D$7-IF($D$4="Forint",Paraméterek!$F$223,Paraméterek!$F$224),0),MIN(IF($AA659=12,AVERAGE($D$20:$D659)*12,0),SUM($D$20:$D$31)))</f>
        <v>0</v>
      </c>
      <c r="AG659" s="13">
        <f>IF(AND($Z659&gt;=10,MOD($Z659,5)=0),$AF659*IF($AA659=12,VLOOKUP($Z659,Paraméterek!$B$225:$F$240,IF($AF659&lt;IF($D$4="Forint",Paraméterek!$C$223,Paraméterek!$C$224),2,IF($AF659&lt;IF($D$4="Forint",Paraméterek!$D$223,Paraméterek!$D$224),3,4))),0),0)</f>
        <v>0</v>
      </c>
      <c r="AH659" s="13">
        <f>IF(AND($Z659&gt;=5,MOD($Z659,5)=0),IF($AA659=12,VLOOKUP($Z659,Paraméterek!$B$225:$F$240,5),0),IF(OR($Z659=3,$Z659=4),IF($AA659=12,VLOOKUP($Z659,Paraméterek!$B$225:$F$240,5,0),0),0))*$AF659</f>
        <v>0</v>
      </c>
      <c r="AI659" s="13">
        <f>ROUNDDOWN(IF(SUM($T$20:$U659)=0,IF($D$2="Egyszeri",$AH659,$AG659),0),IF($D$4="Forint",0,2))</f>
        <v>0</v>
      </c>
      <c r="AJ659" s="13">
        <f t="shared" si="147"/>
        <v>0</v>
      </c>
      <c r="AK659" s="13">
        <f t="shared" si="148"/>
        <v>0</v>
      </c>
      <c r="AM659" s="32">
        <v>640</v>
      </c>
      <c r="AN659" s="32">
        <v>54</v>
      </c>
      <c r="AO659" s="32">
        <v>4</v>
      </c>
      <c r="AP659" s="13"/>
      <c r="AQ659" s="32"/>
      <c r="AR659" s="13">
        <f t="shared" si="149"/>
        <v>0</v>
      </c>
      <c r="AS659" s="33"/>
      <c r="AT659" s="13">
        <f t="shared" si="143"/>
        <v>0</v>
      </c>
      <c r="AU659" s="13">
        <f>ROUNDUP(($AR659+$AT659)*VLOOKUP($AN659,Paraméterek!$P$38:$Q$38,2)/12,IF($D$4="Forint",0,2))</f>
        <v>0</v>
      </c>
      <c r="AV659" s="13"/>
      <c r="AW659" s="13"/>
      <c r="AX659" s="13">
        <f>ROUNDUP(IF(SUM($AV659:$AW659)=0,0,IF(IF(ISBLANK($AW659),$AV659,$AW659)*Paraméterek!$J$112&lt;IF($D$4="Forint",Paraméterek!$J$113,Paraméterek!$K$113),IF($D$4="Forint",Paraméterek!$J$113,Paraméterek!$K$113),IF(IF(ISBLANK($AW659),$AV659,$AW659)*Paraméterek!$J$112&gt;IF($D$4="Forint",Paraméterek!$J$114,Paraméterek!$K$114),IF($D$4="Forint",Paraméterek!$J$114,Paraméterek!$K$114),IF(ISBLANK($AW659),$AV659,$AW659)*Paraméterek!$J$112))),IF($D$4="Forint",0,2))</f>
        <v>0</v>
      </c>
      <c r="AY659" s="13">
        <f>$AR659+$AT659-$AU659-IF(ROUNDDOWN(IF(ISBLANK($AW659),$AV659,$AW659),IF($D$4="Forint",0,2))&gt;$AR659+$AT659-$AU659-IF($D$4="Forint",Paraméterek!$J$114,Paraméterek!$K$114),0,ROUNDDOWN(IF(ISBLANK($AW659),$AV659,$AW659),IF($D$4="Forint",0,2))-$AX659)</f>
        <v>0</v>
      </c>
      <c r="AZ659" s="13">
        <f t="shared" si="144"/>
        <v>0</v>
      </c>
    </row>
    <row r="660" spans="1:52" x14ac:dyDescent="0.2">
      <c r="A660" s="32">
        <v>641</v>
      </c>
      <c r="B660" s="32">
        <v>54</v>
      </c>
      <c r="C660" s="32">
        <v>5</v>
      </c>
      <c r="D660" s="13">
        <f t="shared" si="135"/>
        <v>0</v>
      </c>
      <c r="E660" s="13"/>
      <c r="F660" s="13"/>
      <c r="G660" s="13"/>
      <c r="H660" s="13">
        <f t="shared" si="136"/>
        <v>0</v>
      </c>
      <c r="I660" s="13">
        <f t="shared" si="137"/>
        <v>0</v>
      </c>
      <c r="J660" s="13">
        <f t="shared" si="138"/>
        <v>0</v>
      </c>
      <c r="K660" s="13">
        <f>ROUNDUP(IF($D$2="Egyszeri",$D660,IF($D$2="Havi",SUM($D$20:$D$31),IF(MOD($C660,$M$1)-1=0,SUM($D$20:$D$31),0))/12*$M$1)*VLOOKUP($B660,Paraméterek!$B$27:$D$30,IF($D$2="Egyszeri",3,2)),IF($D$4="Forint",0,2))</f>
        <v>0</v>
      </c>
      <c r="L660" s="13">
        <f t="shared" si="139"/>
        <v>0</v>
      </c>
      <c r="M660" s="13">
        <f t="shared" ca="1" si="145"/>
        <v>-525001</v>
      </c>
      <c r="N660" s="13">
        <f ca="1">IF($V659&gt;=VLOOKUP($M$4-1+$B660,Paraméterek!$B$121:$D$122,IF($D$4="Forint",2,3)),0,VLOOKUP($M$4-1+$B660,Paraméterek!$B$121:$D$122,IF($D$4="Forint",2,3))-$V659)</f>
        <v>535001</v>
      </c>
      <c r="O660" s="13">
        <f ca="1">ROUNDUP($N660*Paraméterek!$C$58/Paraméterek!$C$56,IF($D$4="Forint",0,2))</f>
        <v>86</v>
      </c>
      <c r="P660" s="13">
        <f t="shared" si="140"/>
        <v>2635</v>
      </c>
      <c r="Q660" s="33"/>
      <c r="R660" s="13">
        <f t="shared" ca="1" si="141"/>
        <v>0</v>
      </c>
      <c r="S660" s="13">
        <f ca="1">ROUNDUP(($M660-$O660-$P660+$R660)*VLOOKUP($B660,Paraméterek!$B$38:$D$39,IF($D$2="Egyszeri",3,2))/12,IF($D$4="Forint",0,2))</f>
        <v>-1289</v>
      </c>
      <c r="T660" s="13"/>
      <c r="U660" s="13"/>
      <c r="V660" s="13">
        <f ca="1">$M660-$O660-$P660+$R660-$S660-IF(ROUNDUP(IF(ISBLANK($U660),$T660,$U660)/IF(AND($B660=1,$D$2&lt;&gt;"Egyszeri"),1,VLOOKUP($B660+IF($C660=12,1,0),Paraméterek!$B$257:$D$267,IF($D$2="Egyszeri",3,2))),IF($D$4="Forint",0,2))&gt;$M660-$O660-$P660+$R660-$S660-IF($D$4="Forint",Paraméterek!$C$216,Paraméterek!$D$216),0,ROUNDUP(IF(ISBLANK($U660),$T660,$U660)/IF(AND($B660=1,$D$2&lt;&gt;"Egyszeri"),1,VLOOKUP($B660+IF($C660=12,1,0),Paraméterek!$B$257:$D$267,IF($D$2="Egyszeri",3,2))),IF($D$4="Forint",0,2)))</f>
        <v>-526433</v>
      </c>
      <c r="W660" s="13">
        <f ca="1">ROUNDDOWN($V660*VLOOKUP($B660+IF($C660=12,1,0),Paraméterek!$B$257:$D$267,IF($D$2="Egyszeri",3,2)),IF($D$4="Forint",0,2))</f>
        <v>-526433</v>
      </c>
      <c r="Y660" s="32">
        <v>641</v>
      </c>
      <c r="Z660" s="32">
        <v>54</v>
      </c>
      <c r="AA660" s="32">
        <v>5</v>
      </c>
      <c r="AB660" s="13">
        <f t="shared" si="146"/>
        <v>0</v>
      </c>
      <c r="AC660" s="33"/>
      <c r="AD660" s="13">
        <f t="shared" si="142"/>
        <v>0</v>
      </c>
      <c r="AE660" s="13">
        <f>ROUNDUP(($AB660+$AD660)*VLOOKUP($Z660,Paraméterek!$P$38:$Q$38,2)/12,IF($D$4="Forint",0,2))</f>
        <v>0</v>
      </c>
      <c r="AF660" s="13">
        <f>IF($D$2="Egyszeri",IF($D$7&gt;=IF($D$4="Forint",Paraméterek!$P$223,Paraméterek!$P$224),$D$7-IF($D$4="Forint",Paraméterek!$F$223,Paraméterek!$F$224),0),MIN(IF($AA660=12,AVERAGE($D$20:$D660)*12,0),SUM($D$20:$D$31)))</f>
        <v>0</v>
      </c>
      <c r="AG660" s="13">
        <f>IF(AND($Z660&gt;=10,MOD($Z660,5)=0),$AF660*IF($AA660=12,VLOOKUP($Z660,Paraméterek!$B$225:$F$240,IF($AF660&lt;IF($D$4="Forint",Paraméterek!$C$223,Paraméterek!$C$224),2,IF($AF660&lt;IF($D$4="Forint",Paraméterek!$D$223,Paraméterek!$D$224),3,4))),0),0)</f>
        <v>0</v>
      </c>
      <c r="AH660" s="13">
        <f>IF(AND($Z660&gt;=5,MOD($Z660,5)=0),IF($AA660=12,VLOOKUP($Z660,Paraméterek!$B$225:$F$240,5),0),IF(OR($Z660=3,$Z660=4),IF($AA660=12,VLOOKUP($Z660,Paraméterek!$B$225:$F$240,5,0),0),0))*$AF660</f>
        <v>0</v>
      </c>
      <c r="AI660" s="13">
        <f>ROUNDDOWN(IF(SUM($T$20:$U660)=0,IF($D$2="Egyszeri",$AH660,$AG660),0),IF($D$4="Forint",0,2))</f>
        <v>0</v>
      </c>
      <c r="AJ660" s="13">
        <f t="shared" si="147"/>
        <v>0</v>
      </c>
      <c r="AK660" s="13">
        <f t="shared" si="148"/>
        <v>0</v>
      </c>
      <c r="AM660" s="32">
        <v>641</v>
      </c>
      <c r="AN660" s="32">
        <v>54</v>
      </c>
      <c r="AO660" s="32">
        <v>5</v>
      </c>
      <c r="AP660" s="13"/>
      <c r="AQ660" s="32"/>
      <c r="AR660" s="13">
        <f t="shared" si="149"/>
        <v>0</v>
      </c>
      <c r="AS660" s="33"/>
      <c r="AT660" s="13">
        <f t="shared" si="143"/>
        <v>0</v>
      </c>
      <c r="AU660" s="13">
        <f>ROUNDUP(($AR660+$AT660)*VLOOKUP($AN660,Paraméterek!$P$38:$Q$38,2)/12,IF($D$4="Forint",0,2))</f>
        <v>0</v>
      </c>
      <c r="AV660" s="13"/>
      <c r="AW660" s="13"/>
      <c r="AX660" s="13">
        <f>ROUNDUP(IF(SUM($AV660:$AW660)=0,0,IF(IF(ISBLANK($AW660),$AV660,$AW660)*Paraméterek!$J$112&lt;IF($D$4="Forint",Paraméterek!$J$113,Paraméterek!$K$113),IF($D$4="Forint",Paraméterek!$J$113,Paraméterek!$K$113),IF(IF(ISBLANK($AW660),$AV660,$AW660)*Paraméterek!$J$112&gt;IF($D$4="Forint",Paraméterek!$J$114,Paraméterek!$K$114),IF($D$4="Forint",Paraméterek!$J$114,Paraméterek!$K$114),IF(ISBLANK($AW660),$AV660,$AW660)*Paraméterek!$J$112))),IF($D$4="Forint",0,2))</f>
        <v>0</v>
      </c>
      <c r="AY660" s="13">
        <f>$AR660+$AT660-$AU660-IF(ROUNDDOWN(IF(ISBLANK($AW660),$AV660,$AW660),IF($D$4="Forint",0,2))&gt;$AR660+$AT660-$AU660-IF($D$4="Forint",Paraméterek!$J$114,Paraméterek!$K$114),0,ROUNDDOWN(IF(ISBLANK($AW660),$AV660,$AW660),IF($D$4="Forint",0,2))-$AX660)</f>
        <v>0</v>
      </c>
      <c r="AZ660" s="13">
        <f t="shared" si="144"/>
        <v>0</v>
      </c>
    </row>
    <row r="661" spans="1:52" x14ac:dyDescent="0.2">
      <c r="A661" s="32">
        <v>642</v>
      </c>
      <c r="B661" s="32">
        <v>54</v>
      </c>
      <c r="C661" s="32">
        <v>6</v>
      </c>
      <c r="D661" s="13">
        <f t="shared" ref="D661:D724" si="150">IF($D$2="Egyszeri",IF($A661=1,$D$7,0),ROUNDUP(IF($D$2="Havi",$D$7,IF(MOD($C661,$M$1)-1=0,$D$7,0))*(1+$D$6)^($B661-1),IF($D$4="Forint",0,2)))</f>
        <v>0</v>
      </c>
      <c r="E661" s="13"/>
      <c r="F661" s="13"/>
      <c r="G661" s="13"/>
      <c r="H661" s="13">
        <f t="shared" ref="H661:H724" si="151">ROUNDUP(IF(AND($D$8="Nincs",$D$2&lt;&gt;"Egyszeri"),$D661*10%,0),IF($D$4="Forint",0,2))</f>
        <v>0</v>
      </c>
      <c r="I661" s="13">
        <f t="shared" ref="I661:I724" si="152">IF($D$2="Egyszeri",IF($A661=1,$M$3,0),ROUNDUP(IF($D$2="Havi",$M$3,IF(MOD($C661,$M$1)-1=0,$M$3,0))*(1+$M$2)^($B661-1),IF($D$4="Forint",0,2)))</f>
        <v>0</v>
      </c>
      <c r="J661" s="13">
        <f t="shared" ref="J661:J724" si="153">IF(ISBLANK($E661),$D661,$E661)+IF(ISBLANK($G661),$F661,$G661)+$H661+$I661</f>
        <v>0</v>
      </c>
      <c r="K661" s="13">
        <f>ROUNDUP(IF($D$2="Egyszeri",$D661,IF($D$2="Havi",SUM($D$20:$D$31),IF(MOD($C661,$M$1)-1=0,SUM($D$20:$D$31),0))/12*$M$1)*VLOOKUP($B661,Paraméterek!$B$27:$D$30,IF($D$2="Egyszeri",3,2)),IF($D$4="Forint",0,2))</f>
        <v>0</v>
      </c>
      <c r="L661" s="13">
        <f t="shared" ref="L661:L724" si="154">$D661-$K661+IF(ISBLANK($G661),$F661,$G661)</f>
        <v>0</v>
      </c>
      <c r="M661" s="13">
        <f t="shared" ca="1" si="145"/>
        <v>-526433</v>
      </c>
      <c r="N661" s="13">
        <f ca="1">IF($V660&gt;=VLOOKUP($M$4-1+$B661,Paraméterek!$B$121:$D$122,IF($D$4="Forint",2,3)),0,VLOOKUP($M$4-1+$B661,Paraméterek!$B$121:$D$122,IF($D$4="Forint",2,3))-$V660)</f>
        <v>536433</v>
      </c>
      <c r="O661" s="13">
        <f ca="1">ROUNDUP($N661*Paraméterek!$C$58/Paraméterek!$C$56,IF($D$4="Forint",0,2))</f>
        <v>86</v>
      </c>
      <c r="P661" s="13">
        <f t="shared" ref="P661:P724" si="155">ROUNDUP($M$5*(1+$M$2)^($B661-1),IF($D$4="Forint",0,2))</f>
        <v>2635</v>
      </c>
      <c r="Q661" s="33"/>
      <c r="R661" s="13">
        <f t="shared" ref="R661:R724" ca="1" si="156">ROUNDDOWN(($M661-$O661-$P661)*IF(ISBLANK($Q661),$M$6,$Q661),IF($D$4="Forint",0,2))</f>
        <v>0</v>
      </c>
      <c r="S661" s="13">
        <f ca="1">ROUNDUP(($M661-$O661-$P661+$R661)*VLOOKUP($B661,Paraméterek!$B$38:$D$39,IF($D$2="Egyszeri",3,2))/12,IF($D$4="Forint",0,2))</f>
        <v>-1293</v>
      </c>
      <c r="T661" s="13"/>
      <c r="U661" s="13"/>
      <c r="V661" s="13">
        <f ca="1">$M661-$O661-$P661+$R661-$S661-IF(ROUNDUP(IF(ISBLANK($U661),$T661,$U661)/IF(AND($B661=1,$D$2&lt;&gt;"Egyszeri"),1,VLOOKUP($B661+IF($C661=12,1,0),Paraméterek!$B$257:$D$267,IF($D$2="Egyszeri",3,2))),IF($D$4="Forint",0,2))&gt;$M661-$O661-$P661+$R661-$S661-IF($D$4="Forint",Paraméterek!$C$216,Paraméterek!$D$216),0,ROUNDUP(IF(ISBLANK($U661),$T661,$U661)/IF(AND($B661=1,$D$2&lt;&gt;"Egyszeri"),1,VLOOKUP($B661+IF($C661=12,1,0),Paraméterek!$B$257:$D$267,IF($D$2="Egyszeri",3,2))),IF($D$4="Forint",0,2)))</f>
        <v>-527861</v>
      </c>
      <c r="W661" s="13">
        <f ca="1">ROUNDDOWN($V661*VLOOKUP($B661+IF($C661=12,1,0),Paraméterek!$B$257:$D$267,IF($D$2="Egyszeri",3,2)),IF($D$4="Forint",0,2))</f>
        <v>-527861</v>
      </c>
      <c r="Y661" s="32">
        <v>642</v>
      </c>
      <c r="Z661" s="32">
        <v>54</v>
      </c>
      <c r="AA661" s="32">
        <v>6</v>
      </c>
      <c r="AB661" s="13">
        <f t="shared" si="146"/>
        <v>0</v>
      </c>
      <c r="AC661" s="33"/>
      <c r="AD661" s="13">
        <f t="shared" ref="AD661:AD724" si="157">ROUNDDOWN($AB661*IF(ISBLANK($AC661),$M$8,$AC661),IF($D$4="Forint",0,2))</f>
        <v>0</v>
      </c>
      <c r="AE661" s="13">
        <f>ROUNDUP(($AB661+$AD661)*VLOOKUP($Z661,Paraméterek!$P$38:$Q$38,2)/12,IF($D$4="Forint",0,2))</f>
        <v>0</v>
      </c>
      <c r="AF661" s="13">
        <f>IF($D$2="Egyszeri",IF($D$7&gt;=IF($D$4="Forint",Paraméterek!$P$223,Paraméterek!$P$224),$D$7-IF($D$4="Forint",Paraméterek!$F$223,Paraméterek!$F$224),0),MIN(IF($AA661=12,AVERAGE($D$20:$D661)*12,0),SUM($D$20:$D$31)))</f>
        <v>0</v>
      </c>
      <c r="AG661" s="13">
        <f>IF(AND($Z661&gt;=10,MOD($Z661,5)=0),$AF661*IF($AA661=12,VLOOKUP($Z661,Paraméterek!$B$225:$F$240,IF($AF661&lt;IF($D$4="Forint",Paraméterek!$C$223,Paraméterek!$C$224),2,IF($AF661&lt;IF($D$4="Forint",Paraméterek!$D$223,Paraméterek!$D$224),3,4))),0),0)</f>
        <v>0</v>
      </c>
      <c r="AH661" s="13">
        <f>IF(AND($Z661&gt;=5,MOD($Z661,5)=0),IF($AA661=12,VLOOKUP($Z661,Paraméterek!$B$225:$F$240,5),0),IF(OR($Z661=3,$Z661=4),IF($AA661=12,VLOOKUP($Z661,Paraméterek!$B$225:$F$240,5,0),0),0))*$AF661</f>
        <v>0</v>
      </c>
      <c r="AI661" s="13">
        <f>ROUNDDOWN(IF(SUM($T$20:$U661)=0,IF($D$2="Egyszeri",$AH661,$AG661),0),IF($D$4="Forint",0,2))</f>
        <v>0</v>
      </c>
      <c r="AJ661" s="13">
        <f t="shared" si="147"/>
        <v>0</v>
      </c>
      <c r="AK661" s="13">
        <f t="shared" si="148"/>
        <v>0</v>
      </c>
      <c r="AM661" s="32">
        <v>642</v>
      </c>
      <c r="AN661" s="32">
        <v>54</v>
      </c>
      <c r="AO661" s="32">
        <v>6</v>
      </c>
      <c r="AP661" s="13"/>
      <c r="AQ661" s="32"/>
      <c r="AR661" s="13">
        <f t="shared" si="149"/>
        <v>0</v>
      </c>
      <c r="AS661" s="33"/>
      <c r="AT661" s="13">
        <f t="shared" ref="AT661:AT724" si="158">ROUNDDOWN($AR661*IF(ISBLANK($AS661),$M$7,$AS661),IF($D$4="Forint",0,2))</f>
        <v>0</v>
      </c>
      <c r="AU661" s="13">
        <f>ROUNDUP(($AR661+$AT661)*VLOOKUP($AN661,Paraméterek!$P$38:$Q$38,2)/12,IF($D$4="Forint",0,2))</f>
        <v>0</v>
      </c>
      <c r="AV661" s="13"/>
      <c r="AW661" s="13"/>
      <c r="AX661" s="13">
        <f>ROUNDUP(IF(SUM($AV661:$AW661)=0,0,IF(IF(ISBLANK($AW661),$AV661,$AW661)*Paraméterek!$J$112&lt;IF($D$4="Forint",Paraméterek!$J$113,Paraméterek!$K$113),IF($D$4="Forint",Paraméterek!$J$113,Paraméterek!$K$113),IF(IF(ISBLANK($AW661),$AV661,$AW661)*Paraméterek!$J$112&gt;IF($D$4="Forint",Paraméterek!$J$114,Paraméterek!$K$114),IF($D$4="Forint",Paraméterek!$J$114,Paraméterek!$K$114),IF(ISBLANK($AW661),$AV661,$AW661)*Paraméterek!$J$112))),IF($D$4="Forint",0,2))</f>
        <v>0</v>
      </c>
      <c r="AY661" s="13">
        <f>$AR661+$AT661-$AU661-IF(ROUNDDOWN(IF(ISBLANK($AW661),$AV661,$AW661),IF($D$4="Forint",0,2))&gt;$AR661+$AT661-$AU661-IF($D$4="Forint",Paraméterek!$J$114,Paraméterek!$K$114),0,ROUNDDOWN(IF(ISBLANK($AW661),$AV661,$AW661),IF($D$4="Forint",0,2))-$AX661)</f>
        <v>0</v>
      </c>
      <c r="AZ661" s="13">
        <f t="shared" ref="AZ661:AZ724" si="159">$AY661</f>
        <v>0</v>
      </c>
    </row>
    <row r="662" spans="1:52" x14ac:dyDescent="0.2">
      <c r="A662" s="32">
        <v>643</v>
      </c>
      <c r="B662" s="32">
        <v>54</v>
      </c>
      <c r="C662" s="32">
        <v>7</v>
      </c>
      <c r="D662" s="13">
        <f t="shared" si="150"/>
        <v>0</v>
      </c>
      <c r="E662" s="13"/>
      <c r="F662" s="13"/>
      <c r="G662" s="13"/>
      <c r="H662" s="13">
        <f t="shared" si="151"/>
        <v>0</v>
      </c>
      <c r="I662" s="13">
        <f t="shared" si="152"/>
        <v>0</v>
      </c>
      <c r="J662" s="13">
        <f t="shared" si="153"/>
        <v>0</v>
      </c>
      <c r="K662" s="13">
        <f>ROUNDUP(IF($D$2="Egyszeri",$D662,IF($D$2="Havi",SUM($D$20:$D$31),IF(MOD($C662,$M$1)-1=0,SUM($D$20:$D$31),0))/12*$M$1)*VLOOKUP($B662,Paraméterek!$B$27:$D$30,IF($D$2="Egyszeri",3,2)),IF($D$4="Forint",0,2))</f>
        <v>0</v>
      </c>
      <c r="L662" s="13">
        <f t="shared" si="154"/>
        <v>0</v>
      </c>
      <c r="M662" s="13">
        <f t="shared" ref="M662:M725" ca="1" si="160">$L662+$V661</f>
        <v>-527861</v>
      </c>
      <c r="N662" s="13">
        <f ca="1">IF($V661&gt;=VLOOKUP($M$4-1+$B662,Paraméterek!$B$121:$D$122,IF($D$4="Forint",2,3)),0,VLOOKUP($M$4-1+$B662,Paraméterek!$B$121:$D$122,IF($D$4="Forint",2,3))-$V661)</f>
        <v>537861</v>
      </c>
      <c r="O662" s="13">
        <f ca="1">ROUNDUP($N662*Paraméterek!$C$58/Paraméterek!$C$56,IF($D$4="Forint",0,2))</f>
        <v>86</v>
      </c>
      <c r="P662" s="13">
        <f t="shared" si="155"/>
        <v>2635</v>
      </c>
      <c r="Q662" s="33"/>
      <c r="R662" s="13">
        <f t="shared" ca="1" si="156"/>
        <v>0</v>
      </c>
      <c r="S662" s="13">
        <f ca="1">ROUNDUP(($M662-$O662-$P662+$R662)*VLOOKUP($B662,Paraméterek!$B$38:$D$39,IF($D$2="Egyszeri",3,2))/12,IF($D$4="Forint",0,2))</f>
        <v>-1296</v>
      </c>
      <c r="T662" s="13"/>
      <c r="U662" s="13"/>
      <c r="V662" s="13">
        <f ca="1">$M662-$O662-$P662+$R662-$S662-IF(ROUNDUP(IF(ISBLANK($U662),$T662,$U662)/IF(AND($B662=1,$D$2&lt;&gt;"Egyszeri"),1,VLOOKUP($B662+IF($C662=12,1,0),Paraméterek!$B$257:$D$267,IF($D$2="Egyszeri",3,2))),IF($D$4="Forint",0,2))&gt;$M662-$O662-$P662+$R662-$S662-IF($D$4="Forint",Paraméterek!$C$216,Paraméterek!$D$216),0,ROUNDUP(IF(ISBLANK($U662),$T662,$U662)/IF(AND($B662=1,$D$2&lt;&gt;"Egyszeri"),1,VLOOKUP($B662+IF($C662=12,1,0),Paraméterek!$B$257:$D$267,IF($D$2="Egyszeri",3,2))),IF($D$4="Forint",0,2)))</f>
        <v>-529286</v>
      </c>
      <c r="W662" s="13">
        <f ca="1">ROUNDDOWN($V662*VLOOKUP($B662+IF($C662=12,1,0),Paraméterek!$B$257:$D$267,IF($D$2="Egyszeri",3,2)),IF($D$4="Forint",0,2))</f>
        <v>-529286</v>
      </c>
      <c r="Y662" s="32">
        <v>643</v>
      </c>
      <c r="Z662" s="32">
        <v>54</v>
      </c>
      <c r="AA662" s="32">
        <v>7</v>
      </c>
      <c r="AB662" s="13">
        <f t="shared" ref="AB662:AB725" si="161">$AJ661</f>
        <v>0</v>
      </c>
      <c r="AC662" s="33"/>
      <c r="AD662" s="13">
        <f t="shared" si="157"/>
        <v>0</v>
      </c>
      <c r="AE662" s="13">
        <f>ROUNDUP(($AB662+$AD662)*VLOOKUP($Z662,Paraméterek!$P$38:$Q$38,2)/12,IF($D$4="Forint",0,2))</f>
        <v>0</v>
      </c>
      <c r="AF662" s="13">
        <f>IF($D$2="Egyszeri",IF($D$7&gt;=IF($D$4="Forint",Paraméterek!$P$223,Paraméterek!$P$224),$D$7-IF($D$4="Forint",Paraméterek!$F$223,Paraméterek!$F$224),0),MIN(IF($AA662=12,AVERAGE($D$20:$D662)*12,0),SUM($D$20:$D$31)))</f>
        <v>0</v>
      </c>
      <c r="AG662" s="13">
        <f>IF(AND($Z662&gt;=10,MOD($Z662,5)=0),$AF662*IF($AA662=12,VLOOKUP($Z662,Paraméterek!$B$225:$F$240,IF($AF662&lt;IF($D$4="Forint",Paraméterek!$C$223,Paraméterek!$C$224),2,IF($AF662&lt;IF($D$4="Forint",Paraméterek!$D$223,Paraméterek!$D$224),3,4))),0),0)</f>
        <v>0</v>
      </c>
      <c r="AH662" s="13">
        <f>IF(AND($Z662&gt;=5,MOD($Z662,5)=0),IF($AA662=12,VLOOKUP($Z662,Paraméterek!$B$225:$F$240,5),0),IF(OR($Z662=3,$Z662=4),IF($AA662=12,VLOOKUP($Z662,Paraméterek!$B$225:$F$240,5,0),0),0))*$AF662</f>
        <v>0</v>
      </c>
      <c r="AI662" s="13">
        <f>ROUNDDOWN(IF(SUM($T$20:$U662)=0,IF($D$2="Egyszeri",$AH662,$AG662),0),IF($D$4="Forint",0,2))</f>
        <v>0</v>
      </c>
      <c r="AJ662" s="13">
        <f t="shared" ref="AJ662:AJ725" si="162">$AB662+$AD662-$AE662+$AI662</f>
        <v>0</v>
      </c>
      <c r="AK662" s="13">
        <f t="shared" ref="AK662:AK725" si="163">$AJ662</f>
        <v>0</v>
      </c>
      <c r="AM662" s="32">
        <v>643</v>
      </c>
      <c r="AN662" s="32">
        <v>54</v>
      </c>
      <c r="AO662" s="32">
        <v>7</v>
      </c>
      <c r="AP662" s="13"/>
      <c r="AQ662" s="32"/>
      <c r="AR662" s="13">
        <f t="shared" ref="AR662:AR725" si="164">IF(ISBLANK($AQ662),$AP662,$AQ662)+$AY661</f>
        <v>0</v>
      </c>
      <c r="AS662" s="33"/>
      <c r="AT662" s="13">
        <f t="shared" si="158"/>
        <v>0</v>
      </c>
      <c r="AU662" s="13">
        <f>ROUNDUP(($AR662+$AT662)*VLOOKUP($AN662,Paraméterek!$P$38:$Q$38,2)/12,IF($D$4="Forint",0,2))</f>
        <v>0</v>
      </c>
      <c r="AV662" s="13"/>
      <c r="AW662" s="13"/>
      <c r="AX662" s="13">
        <f>ROUNDUP(IF(SUM($AV662:$AW662)=0,0,IF(IF(ISBLANK($AW662),$AV662,$AW662)*Paraméterek!$J$112&lt;IF($D$4="Forint",Paraméterek!$J$113,Paraméterek!$K$113),IF($D$4="Forint",Paraméterek!$J$113,Paraméterek!$K$113),IF(IF(ISBLANK($AW662),$AV662,$AW662)*Paraméterek!$J$112&gt;IF($D$4="Forint",Paraméterek!$J$114,Paraméterek!$K$114),IF($D$4="Forint",Paraméterek!$J$114,Paraméterek!$K$114),IF(ISBLANK($AW662),$AV662,$AW662)*Paraméterek!$J$112))),IF($D$4="Forint",0,2))</f>
        <v>0</v>
      </c>
      <c r="AY662" s="13">
        <f>$AR662+$AT662-$AU662-IF(ROUNDDOWN(IF(ISBLANK($AW662),$AV662,$AW662),IF($D$4="Forint",0,2))&gt;$AR662+$AT662-$AU662-IF($D$4="Forint",Paraméterek!$J$114,Paraméterek!$K$114),0,ROUNDDOWN(IF(ISBLANK($AW662),$AV662,$AW662),IF($D$4="Forint",0,2))-$AX662)</f>
        <v>0</v>
      </c>
      <c r="AZ662" s="13">
        <f t="shared" si="159"/>
        <v>0</v>
      </c>
    </row>
    <row r="663" spans="1:52" x14ac:dyDescent="0.2">
      <c r="A663" s="32">
        <v>644</v>
      </c>
      <c r="B663" s="32">
        <v>54</v>
      </c>
      <c r="C663" s="32">
        <v>8</v>
      </c>
      <c r="D663" s="13">
        <f t="shared" si="150"/>
        <v>0</v>
      </c>
      <c r="E663" s="13"/>
      <c r="F663" s="13"/>
      <c r="G663" s="13"/>
      <c r="H663" s="13">
        <f t="shared" si="151"/>
        <v>0</v>
      </c>
      <c r="I663" s="13">
        <f t="shared" si="152"/>
        <v>0</v>
      </c>
      <c r="J663" s="13">
        <f t="shared" si="153"/>
        <v>0</v>
      </c>
      <c r="K663" s="13">
        <f>ROUNDUP(IF($D$2="Egyszeri",$D663,IF($D$2="Havi",SUM($D$20:$D$31),IF(MOD($C663,$M$1)-1=0,SUM($D$20:$D$31),0))/12*$M$1)*VLOOKUP($B663,Paraméterek!$B$27:$D$30,IF($D$2="Egyszeri",3,2)),IF($D$4="Forint",0,2))</f>
        <v>0</v>
      </c>
      <c r="L663" s="13">
        <f t="shared" si="154"/>
        <v>0</v>
      </c>
      <c r="M663" s="13">
        <f t="shared" ca="1" si="160"/>
        <v>-529286</v>
      </c>
      <c r="N663" s="13">
        <f ca="1">IF($V662&gt;=VLOOKUP($M$4-1+$B663,Paraméterek!$B$121:$D$122,IF($D$4="Forint",2,3)),0,VLOOKUP($M$4-1+$B663,Paraméterek!$B$121:$D$122,IF($D$4="Forint",2,3))-$V662)</f>
        <v>539286</v>
      </c>
      <c r="O663" s="13">
        <f ca="1">ROUNDUP($N663*Paraméterek!$C$58/Paraméterek!$C$56,IF($D$4="Forint",0,2))</f>
        <v>86</v>
      </c>
      <c r="P663" s="13">
        <f t="shared" si="155"/>
        <v>2635</v>
      </c>
      <c r="Q663" s="33"/>
      <c r="R663" s="13">
        <f t="shared" ca="1" si="156"/>
        <v>0</v>
      </c>
      <c r="S663" s="13">
        <f ca="1">ROUNDUP(($M663-$O663-$P663+$R663)*VLOOKUP($B663,Paraméterek!$B$38:$D$39,IF($D$2="Egyszeri",3,2))/12,IF($D$4="Forint",0,2))</f>
        <v>-1299</v>
      </c>
      <c r="T663" s="13"/>
      <c r="U663" s="13"/>
      <c r="V663" s="13">
        <f ca="1">$M663-$O663-$P663+$R663-$S663-IF(ROUNDUP(IF(ISBLANK($U663),$T663,$U663)/IF(AND($B663=1,$D$2&lt;&gt;"Egyszeri"),1,VLOOKUP($B663+IF($C663=12,1,0),Paraméterek!$B$257:$D$267,IF($D$2="Egyszeri",3,2))),IF($D$4="Forint",0,2))&gt;$M663-$O663-$P663+$R663-$S663-IF($D$4="Forint",Paraméterek!$C$216,Paraméterek!$D$216),0,ROUNDUP(IF(ISBLANK($U663),$T663,$U663)/IF(AND($B663=1,$D$2&lt;&gt;"Egyszeri"),1,VLOOKUP($B663+IF($C663=12,1,0),Paraméterek!$B$257:$D$267,IF($D$2="Egyszeri",3,2))),IF($D$4="Forint",0,2)))</f>
        <v>-530708</v>
      </c>
      <c r="W663" s="13">
        <f ca="1">ROUNDDOWN($V663*VLOOKUP($B663+IF($C663=12,1,0),Paraméterek!$B$257:$D$267,IF($D$2="Egyszeri",3,2)),IF($D$4="Forint",0,2))</f>
        <v>-530708</v>
      </c>
      <c r="Y663" s="32">
        <v>644</v>
      </c>
      <c r="Z663" s="32">
        <v>54</v>
      </c>
      <c r="AA663" s="32">
        <v>8</v>
      </c>
      <c r="AB663" s="13">
        <f t="shared" si="161"/>
        <v>0</v>
      </c>
      <c r="AC663" s="33"/>
      <c r="AD663" s="13">
        <f t="shared" si="157"/>
        <v>0</v>
      </c>
      <c r="AE663" s="13">
        <f>ROUNDUP(($AB663+$AD663)*VLOOKUP($Z663,Paraméterek!$P$38:$Q$38,2)/12,IF($D$4="Forint",0,2))</f>
        <v>0</v>
      </c>
      <c r="AF663" s="13">
        <f>IF($D$2="Egyszeri",IF($D$7&gt;=IF($D$4="Forint",Paraméterek!$P$223,Paraméterek!$P$224),$D$7-IF($D$4="Forint",Paraméterek!$F$223,Paraméterek!$F$224),0),MIN(IF($AA663=12,AVERAGE($D$20:$D663)*12,0),SUM($D$20:$D$31)))</f>
        <v>0</v>
      </c>
      <c r="AG663" s="13">
        <f>IF(AND($Z663&gt;=10,MOD($Z663,5)=0),$AF663*IF($AA663=12,VLOOKUP($Z663,Paraméterek!$B$225:$F$240,IF($AF663&lt;IF($D$4="Forint",Paraméterek!$C$223,Paraméterek!$C$224),2,IF($AF663&lt;IF($D$4="Forint",Paraméterek!$D$223,Paraméterek!$D$224),3,4))),0),0)</f>
        <v>0</v>
      </c>
      <c r="AH663" s="13">
        <f>IF(AND($Z663&gt;=5,MOD($Z663,5)=0),IF($AA663=12,VLOOKUP($Z663,Paraméterek!$B$225:$F$240,5),0),IF(OR($Z663=3,$Z663=4),IF($AA663=12,VLOOKUP($Z663,Paraméterek!$B$225:$F$240,5,0),0),0))*$AF663</f>
        <v>0</v>
      </c>
      <c r="AI663" s="13">
        <f>ROUNDDOWN(IF(SUM($T$20:$U663)=0,IF($D$2="Egyszeri",$AH663,$AG663),0),IF($D$4="Forint",0,2))</f>
        <v>0</v>
      </c>
      <c r="AJ663" s="13">
        <f t="shared" si="162"/>
        <v>0</v>
      </c>
      <c r="AK663" s="13">
        <f t="shared" si="163"/>
        <v>0</v>
      </c>
      <c r="AM663" s="32">
        <v>644</v>
      </c>
      <c r="AN663" s="32">
        <v>54</v>
      </c>
      <c r="AO663" s="32">
        <v>8</v>
      </c>
      <c r="AP663" s="13"/>
      <c r="AQ663" s="32"/>
      <c r="AR663" s="13">
        <f t="shared" si="164"/>
        <v>0</v>
      </c>
      <c r="AS663" s="33"/>
      <c r="AT663" s="13">
        <f t="shared" si="158"/>
        <v>0</v>
      </c>
      <c r="AU663" s="13">
        <f>ROUNDUP(($AR663+$AT663)*VLOOKUP($AN663,Paraméterek!$P$38:$Q$38,2)/12,IF($D$4="Forint",0,2))</f>
        <v>0</v>
      </c>
      <c r="AV663" s="13"/>
      <c r="AW663" s="13"/>
      <c r="AX663" s="13">
        <f>ROUNDUP(IF(SUM($AV663:$AW663)=0,0,IF(IF(ISBLANK($AW663),$AV663,$AW663)*Paraméterek!$J$112&lt;IF($D$4="Forint",Paraméterek!$J$113,Paraméterek!$K$113),IF($D$4="Forint",Paraméterek!$J$113,Paraméterek!$K$113),IF(IF(ISBLANK($AW663),$AV663,$AW663)*Paraméterek!$J$112&gt;IF($D$4="Forint",Paraméterek!$J$114,Paraméterek!$K$114),IF($D$4="Forint",Paraméterek!$J$114,Paraméterek!$K$114),IF(ISBLANK($AW663),$AV663,$AW663)*Paraméterek!$J$112))),IF($D$4="Forint",0,2))</f>
        <v>0</v>
      </c>
      <c r="AY663" s="13">
        <f>$AR663+$AT663-$AU663-IF(ROUNDDOWN(IF(ISBLANK($AW663),$AV663,$AW663),IF($D$4="Forint",0,2))&gt;$AR663+$AT663-$AU663-IF($D$4="Forint",Paraméterek!$J$114,Paraméterek!$K$114),0,ROUNDDOWN(IF(ISBLANK($AW663),$AV663,$AW663),IF($D$4="Forint",0,2))-$AX663)</f>
        <v>0</v>
      </c>
      <c r="AZ663" s="13">
        <f t="shared" si="159"/>
        <v>0</v>
      </c>
    </row>
    <row r="664" spans="1:52" x14ac:dyDescent="0.2">
      <c r="A664" s="32">
        <v>645</v>
      </c>
      <c r="B664" s="32">
        <v>54</v>
      </c>
      <c r="C664" s="32">
        <v>9</v>
      </c>
      <c r="D664" s="13">
        <f t="shared" si="150"/>
        <v>0</v>
      </c>
      <c r="E664" s="13"/>
      <c r="F664" s="13"/>
      <c r="G664" s="13"/>
      <c r="H664" s="13">
        <f t="shared" si="151"/>
        <v>0</v>
      </c>
      <c r="I664" s="13">
        <f t="shared" si="152"/>
        <v>0</v>
      </c>
      <c r="J664" s="13">
        <f t="shared" si="153"/>
        <v>0</v>
      </c>
      <c r="K664" s="13">
        <f>ROUNDUP(IF($D$2="Egyszeri",$D664,IF($D$2="Havi",SUM($D$20:$D$31),IF(MOD($C664,$M$1)-1=0,SUM($D$20:$D$31),0))/12*$M$1)*VLOOKUP($B664,Paraméterek!$B$27:$D$30,IF($D$2="Egyszeri",3,2)),IF($D$4="Forint",0,2))</f>
        <v>0</v>
      </c>
      <c r="L664" s="13">
        <f t="shared" si="154"/>
        <v>0</v>
      </c>
      <c r="M664" s="13">
        <f t="shared" ca="1" si="160"/>
        <v>-530708</v>
      </c>
      <c r="N664" s="13">
        <f ca="1">IF($V663&gt;=VLOOKUP($M$4-1+$B664,Paraméterek!$B$121:$D$122,IF($D$4="Forint",2,3)),0,VLOOKUP($M$4-1+$B664,Paraméterek!$B$121:$D$122,IF($D$4="Forint",2,3))-$V663)</f>
        <v>540708</v>
      </c>
      <c r="O664" s="13">
        <f ca="1">ROUNDUP($N664*Paraméterek!$C$58/Paraméterek!$C$56,IF($D$4="Forint",0,2))</f>
        <v>87</v>
      </c>
      <c r="P664" s="13">
        <f t="shared" si="155"/>
        <v>2635</v>
      </c>
      <c r="Q664" s="33"/>
      <c r="R664" s="13">
        <f t="shared" ca="1" si="156"/>
        <v>0</v>
      </c>
      <c r="S664" s="13">
        <f ca="1">ROUNDUP(($M664-$O664-$P664+$R664)*VLOOKUP($B664,Paraméterek!$B$38:$D$39,IF($D$2="Egyszeri",3,2))/12,IF($D$4="Forint",0,2))</f>
        <v>-1303</v>
      </c>
      <c r="T664" s="13"/>
      <c r="U664" s="13"/>
      <c r="V664" s="13">
        <f ca="1">$M664-$O664-$P664+$R664-$S664-IF(ROUNDUP(IF(ISBLANK($U664),$T664,$U664)/IF(AND($B664=1,$D$2&lt;&gt;"Egyszeri"),1,VLOOKUP($B664+IF($C664=12,1,0),Paraméterek!$B$257:$D$267,IF($D$2="Egyszeri",3,2))),IF($D$4="Forint",0,2))&gt;$M664-$O664-$P664+$R664-$S664-IF($D$4="Forint",Paraméterek!$C$216,Paraméterek!$D$216),0,ROUNDUP(IF(ISBLANK($U664),$T664,$U664)/IF(AND($B664=1,$D$2&lt;&gt;"Egyszeri"),1,VLOOKUP($B664+IF($C664=12,1,0),Paraméterek!$B$257:$D$267,IF($D$2="Egyszeri",3,2))),IF($D$4="Forint",0,2)))</f>
        <v>-532127</v>
      </c>
      <c r="W664" s="13">
        <f ca="1">ROUNDDOWN($V664*VLOOKUP($B664+IF($C664=12,1,0),Paraméterek!$B$257:$D$267,IF($D$2="Egyszeri",3,2)),IF($D$4="Forint",0,2))</f>
        <v>-532127</v>
      </c>
      <c r="Y664" s="32">
        <v>645</v>
      </c>
      <c r="Z664" s="32">
        <v>54</v>
      </c>
      <c r="AA664" s="32">
        <v>9</v>
      </c>
      <c r="AB664" s="13">
        <f t="shared" si="161"/>
        <v>0</v>
      </c>
      <c r="AC664" s="33"/>
      <c r="AD664" s="13">
        <f t="shared" si="157"/>
        <v>0</v>
      </c>
      <c r="AE664" s="13">
        <f>ROUNDUP(($AB664+$AD664)*VLOOKUP($Z664,Paraméterek!$P$38:$Q$38,2)/12,IF($D$4="Forint",0,2))</f>
        <v>0</v>
      </c>
      <c r="AF664" s="13">
        <f>IF($D$2="Egyszeri",IF($D$7&gt;=IF($D$4="Forint",Paraméterek!$P$223,Paraméterek!$P$224),$D$7-IF($D$4="Forint",Paraméterek!$F$223,Paraméterek!$F$224),0),MIN(IF($AA664=12,AVERAGE($D$20:$D664)*12,0),SUM($D$20:$D$31)))</f>
        <v>0</v>
      </c>
      <c r="AG664" s="13">
        <f>IF(AND($Z664&gt;=10,MOD($Z664,5)=0),$AF664*IF($AA664=12,VLOOKUP($Z664,Paraméterek!$B$225:$F$240,IF($AF664&lt;IF($D$4="Forint",Paraméterek!$C$223,Paraméterek!$C$224),2,IF($AF664&lt;IF($D$4="Forint",Paraméterek!$D$223,Paraméterek!$D$224),3,4))),0),0)</f>
        <v>0</v>
      </c>
      <c r="AH664" s="13">
        <f>IF(AND($Z664&gt;=5,MOD($Z664,5)=0),IF($AA664=12,VLOOKUP($Z664,Paraméterek!$B$225:$F$240,5),0),IF(OR($Z664=3,$Z664=4),IF($AA664=12,VLOOKUP($Z664,Paraméterek!$B$225:$F$240,5,0),0),0))*$AF664</f>
        <v>0</v>
      </c>
      <c r="AI664" s="13">
        <f>ROUNDDOWN(IF(SUM($T$20:$U664)=0,IF($D$2="Egyszeri",$AH664,$AG664),0),IF($D$4="Forint",0,2))</f>
        <v>0</v>
      </c>
      <c r="AJ664" s="13">
        <f t="shared" si="162"/>
        <v>0</v>
      </c>
      <c r="AK664" s="13">
        <f t="shared" si="163"/>
        <v>0</v>
      </c>
      <c r="AM664" s="32">
        <v>645</v>
      </c>
      <c r="AN664" s="32">
        <v>54</v>
      </c>
      <c r="AO664" s="32">
        <v>9</v>
      </c>
      <c r="AP664" s="13"/>
      <c r="AQ664" s="32"/>
      <c r="AR664" s="13">
        <f t="shared" si="164"/>
        <v>0</v>
      </c>
      <c r="AS664" s="33"/>
      <c r="AT664" s="13">
        <f t="shared" si="158"/>
        <v>0</v>
      </c>
      <c r="AU664" s="13">
        <f>ROUNDUP(($AR664+$AT664)*VLOOKUP($AN664,Paraméterek!$P$38:$Q$38,2)/12,IF($D$4="Forint",0,2))</f>
        <v>0</v>
      </c>
      <c r="AV664" s="13"/>
      <c r="AW664" s="13"/>
      <c r="AX664" s="13">
        <f>ROUNDUP(IF(SUM($AV664:$AW664)=0,0,IF(IF(ISBLANK($AW664),$AV664,$AW664)*Paraméterek!$J$112&lt;IF($D$4="Forint",Paraméterek!$J$113,Paraméterek!$K$113),IF($D$4="Forint",Paraméterek!$J$113,Paraméterek!$K$113),IF(IF(ISBLANK($AW664),$AV664,$AW664)*Paraméterek!$J$112&gt;IF($D$4="Forint",Paraméterek!$J$114,Paraméterek!$K$114),IF($D$4="Forint",Paraméterek!$J$114,Paraméterek!$K$114),IF(ISBLANK($AW664),$AV664,$AW664)*Paraméterek!$J$112))),IF($D$4="Forint",0,2))</f>
        <v>0</v>
      </c>
      <c r="AY664" s="13">
        <f>$AR664+$AT664-$AU664-IF(ROUNDDOWN(IF(ISBLANK($AW664),$AV664,$AW664),IF($D$4="Forint",0,2))&gt;$AR664+$AT664-$AU664-IF($D$4="Forint",Paraméterek!$J$114,Paraméterek!$K$114),0,ROUNDDOWN(IF(ISBLANK($AW664),$AV664,$AW664),IF($D$4="Forint",0,2))-$AX664)</f>
        <v>0</v>
      </c>
      <c r="AZ664" s="13">
        <f t="shared" si="159"/>
        <v>0</v>
      </c>
    </row>
    <row r="665" spans="1:52" x14ac:dyDescent="0.2">
      <c r="A665" s="32">
        <v>646</v>
      </c>
      <c r="B665" s="32">
        <v>54</v>
      </c>
      <c r="C665" s="32">
        <v>10</v>
      </c>
      <c r="D665" s="13">
        <f t="shared" si="150"/>
        <v>0</v>
      </c>
      <c r="E665" s="13"/>
      <c r="F665" s="13"/>
      <c r="G665" s="13"/>
      <c r="H665" s="13">
        <f t="shared" si="151"/>
        <v>0</v>
      </c>
      <c r="I665" s="13">
        <f t="shared" si="152"/>
        <v>0</v>
      </c>
      <c r="J665" s="13">
        <f t="shared" si="153"/>
        <v>0</v>
      </c>
      <c r="K665" s="13">
        <f>ROUNDUP(IF($D$2="Egyszeri",$D665,IF($D$2="Havi",SUM($D$20:$D$31),IF(MOD($C665,$M$1)-1=0,SUM($D$20:$D$31),0))/12*$M$1)*VLOOKUP($B665,Paraméterek!$B$27:$D$30,IF($D$2="Egyszeri",3,2)),IF($D$4="Forint",0,2))</f>
        <v>0</v>
      </c>
      <c r="L665" s="13">
        <f t="shared" si="154"/>
        <v>0</v>
      </c>
      <c r="M665" s="13">
        <f t="shared" ca="1" si="160"/>
        <v>-532127</v>
      </c>
      <c r="N665" s="13">
        <f ca="1">IF($V664&gt;=VLOOKUP($M$4-1+$B665,Paraméterek!$B$121:$D$122,IF($D$4="Forint",2,3)),0,VLOOKUP($M$4-1+$B665,Paraméterek!$B$121:$D$122,IF($D$4="Forint",2,3))-$V664)</f>
        <v>542127</v>
      </c>
      <c r="O665" s="13">
        <f ca="1">ROUNDUP($N665*Paraméterek!$C$58/Paraméterek!$C$56,IF($D$4="Forint",0,2))</f>
        <v>87</v>
      </c>
      <c r="P665" s="13">
        <f t="shared" si="155"/>
        <v>2635</v>
      </c>
      <c r="Q665" s="33"/>
      <c r="R665" s="13">
        <f t="shared" ca="1" si="156"/>
        <v>0</v>
      </c>
      <c r="S665" s="13">
        <f ca="1">ROUNDUP(($M665-$O665-$P665+$R665)*VLOOKUP($B665,Paraméterek!$B$38:$D$39,IF($D$2="Egyszeri",3,2))/12,IF($D$4="Forint",0,2))</f>
        <v>-1306</v>
      </c>
      <c r="T665" s="13"/>
      <c r="U665" s="13"/>
      <c r="V665" s="13">
        <f ca="1">$M665-$O665-$P665+$R665-$S665-IF(ROUNDUP(IF(ISBLANK($U665),$T665,$U665)/IF(AND($B665=1,$D$2&lt;&gt;"Egyszeri"),1,VLOOKUP($B665+IF($C665=12,1,0),Paraméterek!$B$257:$D$267,IF($D$2="Egyszeri",3,2))),IF($D$4="Forint",0,2))&gt;$M665-$O665-$P665+$R665-$S665-IF($D$4="Forint",Paraméterek!$C$216,Paraméterek!$D$216),0,ROUNDUP(IF(ISBLANK($U665),$T665,$U665)/IF(AND($B665=1,$D$2&lt;&gt;"Egyszeri"),1,VLOOKUP($B665+IF($C665=12,1,0),Paraméterek!$B$257:$D$267,IF($D$2="Egyszeri",3,2))),IF($D$4="Forint",0,2)))</f>
        <v>-533543</v>
      </c>
      <c r="W665" s="13">
        <f ca="1">ROUNDDOWN($V665*VLOOKUP($B665+IF($C665=12,1,0),Paraméterek!$B$257:$D$267,IF($D$2="Egyszeri",3,2)),IF($D$4="Forint",0,2))</f>
        <v>-533543</v>
      </c>
      <c r="Y665" s="32">
        <v>646</v>
      </c>
      <c r="Z665" s="32">
        <v>54</v>
      </c>
      <c r="AA665" s="32">
        <v>10</v>
      </c>
      <c r="AB665" s="13">
        <f t="shared" si="161"/>
        <v>0</v>
      </c>
      <c r="AC665" s="33"/>
      <c r="AD665" s="13">
        <f t="shared" si="157"/>
        <v>0</v>
      </c>
      <c r="AE665" s="13">
        <f>ROUNDUP(($AB665+$AD665)*VLOOKUP($Z665,Paraméterek!$P$38:$Q$38,2)/12,IF($D$4="Forint",0,2))</f>
        <v>0</v>
      </c>
      <c r="AF665" s="13">
        <f>IF($D$2="Egyszeri",IF($D$7&gt;=IF($D$4="Forint",Paraméterek!$P$223,Paraméterek!$P$224),$D$7-IF($D$4="Forint",Paraméterek!$F$223,Paraméterek!$F$224),0),MIN(IF($AA665=12,AVERAGE($D$20:$D665)*12,0),SUM($D$20:$D$31)))</f>
        <v>0</v>
      </c>
      <c r="AG665" s="13">
        <f>IF(AND($Z665&gt;=10,MOD($Z665,5)=0),$AF665*IF($AA665=12,VLOOKUP($Z665,Paraméterek!$B$225:$F$240,IF($AF665&lt;IF($D$4="Forint",Paraméterek!$C$223,Paraméterek!$C$224),2,IF($AF665&lt;IF($D$4="Forint",Paraméterek!$D$223,Paraméterek!$D$224),3,4))),0),0)</f>
        <v>0</v>
      </c>
      <c r="AH665" s="13">
        <f>IF(AND($Z665&gt;=5,MOD($Z665,5)=0),IF($AA665=12,VLOOKUP($Z665,Paraméterek!$B$225:$F$240,5),0),IF(OR($Z665=3,$Z665=4),IF($AA665=12,VLOOKUP($Z665,Paraméterek!$B$225:$F$240,5,0),0),0))*$AF665</f>
        <v>0</v>
      </c>
      <c r="AI665" s="13">
        <f>ROUNDDOWN(IF(SUM($T$20:$U665)=0,IF($D$2="Egyszeri",$AH665,$AG665),0),IF($D$4="Forint",0,2))</f>
        <v>0</v>
      </c>
      <c r="AJ665" s="13">
        <f t="shared" si="162"/>
        <v>0</v>
      </c>
      <c r="AK665" s="13">
        <f t="shared" si="163"/>
        <v>0</v>
      </c>
      <c r="AM665" s="32">
        <v>646</v>
      </c>
      <c r="AN665" s="32">
        <v>54</v>
      </c>
      <c r="AO665" s="32">
        <v>10</v>
      </c>
      <c r="AP665" s="13"/>
      <c r="AQ665" s="32"/>
      <c r="AR665" s="13">
        <f t="shared" si="164"/>
        <v>0</v>
      </c>
      <c r="AS665" s="33"/>
      <c r="AT665" s="13">
        <f t="shared" si="158"/>
        <v>0</v>
      </c>
      <c r="AU665" s="13">
        <f>ROUNDUP(($AR665+$AT665)*VLOOKUP($AN665,Paraméterek!$P$38:$Q$38,2)/12,IF($D$4="Forint",0,2))</f>
        <v>0</v>
      </c>
      <c r="AV665" s="13"/>
      <c r="AW665" s="13"/>
      <c r="AX665" s="13">
        <f>ROUNDUP(IF(SUM($AV665:$AW665)=0,0,IF(IF(ISBLANK($AW665),$AV665,$AW665)*Paraméterek!$J$112&lt;IF($D$4="Forint",Paraméterek!$J$113,Paraméterek!$K$113),IF($D$4="Forint",Paraméterek!$J$113,Paraméterek!$K$113),IF(IF(ISBLANK($AW665),$AV665,$AW665)*Paraméterek!$J$112&gt;IF($D$4="Forint",Paraméterek!$J$114,Paraméterek!$K$114),IF($D$4="Forint",Paraméterek!$J$114,Paraméterek!$K$114),IF(ISBLANK($AW665),$AV665,$AW665)*Paraméterek!$J$112))),IF($D$4="Forint",0,2))</f>
        <v>0</v>
      </c>
      <c r="AY665" s="13">
        <f>$AR665+$AT665-$AU665-IF(ROUNDDOWN(IF(ISBLANK($AW665),$AV665,$AW665),IF($D$4="Forint",0,2))&gt;$AR665+$AT665-$AU665-IF($D$4="Forint",Paraméterek!$J$114,Paraméterek!$K$114),0,ROUNDDOWN(IF(ISBLANK($AW665),$AV665,$AW665),IF($D$4="Forint",0,2))-$AX665)</f>
        <v>0</v>
      </c>
      <c r="AZ665" s="13">
        <f t="shared" si="159"/>
        <v>0</v>
      </c>
    </row>
    <row r="666" spans="1:52" x14ac:dyDescent="0.2">
      <c r="A666" s="32">
        <v>647</v>
      </c>
      <c r="B666" s="32">
        <v>54</v>
      </c>
      <c r="C666" s="32">
        <v>11</v>
      </c>
      <c r="D666" s="13">
        <f t="shared" si="150"/>
        <v>0</v>
      </c>
      <c r="E666" s="13"/>
      <c r="F666" s="13"/>
      <c r="G666" s="13"/>
      <c r="H666" s="13">
        <f t="shared" si="151"/>
        <v>0</v>
      </c>
      <c r="I666" s="13">
        <f t="shared" si="152"/>
        <v>0</v>
      </c>
      <c r="J666" s="13">
        <f t="shared" si="153"/>
        <v>0</v>
      </c>
      <c r="K666" s="13">
        <f>ROUNDUP(IF($D$2="Egyszeri",$D666,IF($D$2="Havi",SUM($D$20:$D$31),IF(MOD($C666,$M$1)-1=0,SUM($D$20:$D$31),0))/12*$M$1)*VLOOKUP($B666,Paraméterek!$B$27:$D$30,IF($D$2="Egyszeri",3,2)),IF($D$4="Forint",0,2))</f>
        <v>0</v>
      </c>
      <c r="L666" s="13">
        <f t="shared" si="154"/>
        <v>0</v>
      </c>
      <c r="M666" s="13">
        <f t="shared" ca="1" si="160"/>
        <v>-533543</v>
      </c>
      <c r="N666" s="13">
        <f ca="1">IF($V665&gt;=VLOOKUP($M$4-1+$B666,Paraméterek!$B$121:$D$122,IF($D$4="Forint",2,3)),0,VLOOKUP($M$4-1+$B666,Paraméterek!$B$121:$D$122,IF($D$4="Forint",2,3))-$V665)</f>
        <v>543543</v>
      </c>
      <c r="O666" s="13">
        <f ca="1">ROUNDUP($N666*Paraméterek!$C$58/Paraméterek!$C$56,IF($D$4="Forint",0,2))</f>
        <v>87</v>
      </c>
      <c r="P666" s="13">
        <f t="shared" si="155"/>
        <v>2635</v>
      </c>
      <c r="Q666" s="33"/>
      <c r="R666" s="13">
        <f t="shared" ca="1" si="156"/>
        <v>0</v>
      </c>
      <c r="S666" s="13">
        <f ca="1">ROUNDUP(($M666-$O666-$P666+$R666)*VLOOKUP($B666,Paraméterek!$B$38:$D$39,IF($D$2="Egyszeri",3,2))/12,IF($D$4="Forint",0,2))</f>
        <v>-1310</v>
      </c>
      <c r="T666" s="13"/>
      <c r="U666" s="13"/>
      <c r="V666" s="13">
        <f ca="1">$M666-$O666-$P666+$R666-$S666-IF(ROUNDUP(IF(ISBLANK($U666),$T666,$U666)/IF(AND($B666=1,$D$2&lt;&gt;"Egyszeri"),1,VLOOKUP($B666+IF($C666=12,1,0),Paraméterek!$B$257:$D$267,IF($D$2="Egyszeri",3,2))),IF($D$4="Forint",0,2))&gt;$M666-$O666-$P666+$R666-$S666-IF($D$4="Forint",Paraméterek!$C$216,Paraméterek!$D$216),0,ROUNDUP(IF(ISBLANK($U666),$T666,$U666)/IF(AND($B666=1,$D$2&lt;&gt;"Egyszeri"),1,VLOOKUP($B666+IF($C666=12,1,0),Paraméterek!$B$257:$D$267,IF($D$2="Egyszeri",3,2))),IF($D$4="Forint",0,2)))</f>
        <v>-534955</v>
      </c>
      <c r="W666" s="13">
        <f ca="1">ROUNDDOWN($V666*VLOOKUP($B666+IF($C666=12,1,0),Paraméterek!$B$257:$D$267,IF($D$2="Egyszeri",3,2)),IF($D$4="Forint",0,2))</f>
        <v>-534955</v>
      </c>
      <c r="Y666" s="32">
        <v>647</v>
      </c>
      <c r="Z666" s="32">
        <v>54</v>
      </c>
      <c r="AA666" s="32">
        <v>11</v>
      </c>
      <c r="AB666" s="13">
        <f t="shared" si="161"/>
        <v>0</v>
      </c>
      <c r="AC666" s="33"/>
      <c r="AD666" s="13">
        <f t="shared" si="157"/>
        <v>0</v>
      </c>
      <c r="AE666" s="13">
        <f>ROUNDUP(($AB666+$AD666)*VLOOKUP($Z666,Paraméterek!$P$38:$Q$38,2)/12,IF($D$4="Forint",0,2))</f>
        <v>0</v>
      </c>
      <c r="AF666" s="13">
        <f>IF($D$2="Egyszeri",IF($D$7&gt;=IF($D$4="Forint",Paraméterek!$P$223,Paraméterek!$P$224),$D$7-IF($D$4="Forint",Paraméterek!$F$223,Paraméterek!$F$224),0),MIN(IF($AA666=12,AVERAGE($D$20:$D666)*12,0),SUM($D$20:$D$31)))</f>
        <v>0</v>
      </c>
      <c r="AG666" s="13">
        <f>IF(AND($Z666&gt;=10,MOD($Z666,5)=0),$AF666*IF($AA666=12,VLOOKUP($Z666,Paraméterek!$B$225:$F$240,IF($AF666&lt;IF($D$4="Forint",Paraméterek!$C$223,Paraméterek!$C$224),2,IF($AF666&lt;IF($D$4="Forint",Paraméterek!$D$223,Paraméterek!$D$224),3,4))),0),0)</f>
        <v>0</v>
      </c>
      <c r="AH666" s="13">
        <f>IF(AND($Z666&gt;=5,MOD($Z666,5)=0),IF($AA666=12,VLOOKUP($Z666,Paraméterek!$B$225:$F$240,5),0),IF(OR($Z666=3,$Z666=4),IF($AA666=12,VLOOKUP($Z666,Paraméterek!$B$225:$F$240,5,0),0),0))*$AF666</f>
        <v>0</v>
      </c>
      <c r="AI666" s="13">
        <f>ROUNDDOWN(IF(SUM($T$20:$U666)=0,IF($D$2="Egyszeri",$AH666,$AG666),0),IF($D$4="Forint",0,2))</f>
        <v>0</v>
      </c>
      <c r="AJ666" s="13">
        <f t="shared" si="162"/>
        <v>0</v>
      </c>
      <c r="AK666" s="13">
        <f t="shared" si="163"/>
        <v>0</v>
      </c>
      <c r="AM666" s="32">
        <v>647</v>
      </c>
      <c r="AN666" s="32">
        <v>54</v>
      </c>
      <c r="AO666" s="32">
        <v>11</v>
      </c>
      <c r="AP666" s="13"/>
      <c r="AQ666" s="32"/>
      <c r="AR666" s="13">
        <f t="shared" si="164"/>
        <v>0</v>
      </c>
      <c r="AS666" s="33"/>
      <c r="AT666" s="13">
        <f t="shared" si="158"/>
        <v>0</v>
      </c>
      <c r="AU666" s="13">
        <f>ROUNDUP(($AR666+$AT666)*VLOOKUP($AN666,Paraméterek!$P$38:$Q$38,2)/12,IF($D$4="Forint",0,2))</f>
        <v>0</v>
      </c>
      <c r="AV666" s="13"/>
      <c r="AW666" s="13"/>
      <c r="AX666" s="13">
        <f>ROUNDUP(IF(SUM($AV666:$AW666)=0,0,IF(IF(ISBLANK($AW666),$AV666,$AW666)*Paraméterek!$J$112&lt;IF($D$4="Forint",Paraméterek!$J$113,Paraméterek!$K$113),IF($D$4="Forint",Paraméterek!$J$113,Paraméterek!$K$113),IF(IF(ISBLANK($AW666),$AV666,$AW666)*Paraméterek!$J$112&gt;IF($D$4="Forint",Paraméterek!$J$114,Paraméterek!$K$114),IF($D$4="Forint",Paraméterek!$J$114,Paraméterek!$K$114),IF(ISBLANK($AW666),$AV666,$AW666)*Paraméterek!$J$112))),IF($D$4="Forint",0,2))</f>
        <v>0</v>
      </c>
      <c r="AY666" s="13">
        <f>$AR666+$AT666-$AU666-IF(ROUNDDOWN(IF(ISBLANK($AW666),$AV666,$AW666),IF($D$4="Forint",0,2))&gt;$AR666+$AT666-$AU666-IF($D$4="Forint",Paraméterek!$J$114,Paraméterek!$K$114),0,ROUNDDOWN(IF(ISBLANK($AW666),$AV666,$AW666),IF($D$4="Forint",0,2))-$AX666)</f>
        <v>0</v>
      </c>
      <c r="AZ666" s="13">
        <f t="shared" si="159"/>
        <v>0</v>
      </c>
    </row>
    <row r="667" spans="1:52" x14ac:dyDescent="0.2">
      <c r="A667" s="32">
        <v>648</v>
      </c>
      <c r="B667" s="32">
        <v>54</v>
      </c>
      <c r="C667" s="32">
        <v>12</v>
      </c>
      <c r="D667" s="13">
        <f t="shared" si="150"/>
        <v>0</v>
      </c>
      <c r="E667" s="13"/>
      <c r="F667" s="13"/>
      <c r="G667" s="13"/>
      <c r="H667" s="13">
        <f t="shared" si="151"/>
        <v>0</v>
      </c>
      <c r="I667" s="13">
        <f t="shared" si="152"/>
        <v>0</v>
      </c>
      <c r="J667" s="13">
        <f t="shared" si="153"/>
        <v>0</v>
      </c>
      <c r="K667" s="13">
        <f>ROUNDUP(IF($D$2="Egyszeri",$D667,IF($D$2="Havi",SUM($D$20:$D$31),IF(MOD($C667,$M$1)-1=0,SUM($D$20:$D$31),0))/12*$M$1)*VLOOKUP($B667,Paraméterek!$B$27:$D$30,IF($D$2="Egyszeri",3,2)),IF($D$4="Forint",0,2))</f>
        <v>0</v>
      </c>
      <c r="L667" s="13">
        <f t="shared" si="154"/>
        <v>0</v>
      </c>
      <c r="M667" s="13">
        <f t="shared" ca="1" si="160"/>
        <v>-534955</v>
      </c>
      <c r="N667" s="13">
        <f ca="1">IF($V666&gt;=VLOOKUP($M$4-1+$B667,Paraméterek!$B$121:$D$122,IF($D$4="Forint",2,3)),0,VLOOKUP($M$4-1+$B667,Paraméterek!$B$121:$D$122,IF($D$4="Forint",2,3))-$V666)</f>
        <v>544955</v>
      </c>
      <c r="O667" s="13">
        <f ca="1">ROUNDUP($N667*Paraméterek!$C$58/Paraméterek!$C$56,IF($D$4="Forint",0,2))</f>
        <v>87</v>
      </c>
      <c r="P667" s="13">
        <f t="shared" si="155"/>
        <v>2635</v>
      </c>
      <c r="Q667" s="33"/>
      <c r="R667" s="13">
        <f t="shared" ca="1" si="156"/>
        <v>0</v>
      </c>
      <c r="S667" s="13">
        <f ca="1">ROUNDUP(($M667-$O667-$P667+$R667)*VLOOKUP($B667,Paraméterek!$B$38:$D$39,IF($D$2="Egyszeri",3,2))/12,IF($D$4="Forint",0,2))</f>
        <v>-1313</v>
      </c>
      <c r="T667" s="13">
        <f>Tranzakciók!$F$85</f>
        <v>0</v>
      </c>
      <c r="U667" s="13"/>
      <c r="V667" s="13">
        <f ca="1">$M667-$O667-$P667+$R667-$S667-IF(ROUNDUP(IF(ISBLANK($U667),$T667,$U667)/IF(AND($B667=1,$D$2&lt;&gt;"Egyszeri"),1,VLOOKUP($B667+IF($C667=12,1,0),Paraméterek!$B$257:$D$267,IF($D$2="Egyszeri",3,2))),IF($D$4="Forint",0,2))&gt;$M667-$O667-$P667+$R667-$S667-IF($D$4="Forint",Paraméterek!$C$216,Paraméterek!$D$216),0,ROUNDUP(IF(ISBLANK($U667),$T667,$U667)/IF(AND($B667=1,$D$2&lt;&gt;"Egyszeri"),1,VLOOKUP($B667+IF($C667=12,1,0),Paraméterek!$B$257:$D$267,IF($D$2="Egyszeri",3,2))),IF($D$4="Forint",0,2)))</f>
        <v>-536364</v>
      </c>
      <c r="W667" s="13">
        <f ca="1">ROUNDDOWN($V667*VLOOKUP($B667+IF($C667=12,1,0),Paraméterek!$B$257:$D$267,IF($D$2="Egyszeri",3,2)),IF($D$4="Forint",0,2))</f>
        <v>-536364</v>
      </c>
      <c r="Y667" s="32">
        <v>648</v>
      </c>
      <c r="Z667" s="32">
        <v>54</v>
      </c>
      <c r="AA667" s="32">
        <v>12</v>
      </c>
      <c r="AB667" s="13">
        <f t="shared" si="161"/>
        <v>0</v>
      </c>
      <c r="AC667" s="33"/>
      <c r="AD667" s="13">
        <f t="shared" si="157"/>
        <v>0</v>
      </c>
      <c r="AE667" s="13">
        <f>ROUNDUP(($AB667+$AD667)*VLOOKUP($Z667,Paraméterek!$P$38:$Q$38,2)/12,IF($D$4="Forint",0,2))</f>
        <v>0</v>
      </c>
      <c r="AF667" s="13">
        <f>IF($D$2="Egyszeri",IF($D$7&gt;=IF($D$4="Forint",Paraméterek!$P$223,Paraméterek!$P$224),$D$7-IF($D$4="Forint",Paraméterek!$F$223,Paraméterek!$F$224),0),MIN(IF($AA667=12,AVERAGE($D$20:$D667)*12,0),SUM($D$20:$D$31)))</f>
        <v>0</v>
      </c>
      <c r="AG667" s="13">
        <f>IF(AND($Z667&gt;=10,MOD($Z667,5)=0),$AF667*IF($AA667=12,VLOOKUP($Z667,Paraméterek!$B$225:$F$240,IF($AF667&lt;IF($D$4="Forint",Paraméterek!$C$223,Paraméterek!$C$224),2,IF($AF667&lt;IF($D$4="Forint",Paraméterek!$D$223,Paraméterek!$D$224),3,4))),0),0)</f>
        <v>0</v>
      </c>
      <c r="AH667" s="13">
        <f>IF(AND($Z667&gt;=5,MOD($Z667,5)=0),IF($AA667=12,VLOOKUP($Z667,Paraméterek!$B$225:$F$240,5),0),IF(OR($Z667=3,$Z667=4),IF($AA667=12,VLOOKUP($Z667,Paraméterek!$B$225:$F$240,5,0),0),0))*$AF667</f>
        <v>0</v>
      </c>
      <c r="AI667" s="13">
        <f>ROUNDDOWN(IF(SUM($T$20:$U667)=0,IF($D$2="Egyszeri",$AH667,$AG667),0),IF($D$4="Forint",0,2))</f>
        <v>0</v>
      </c>
      <c r="AJ667" s="13">
        <f t="shared" si="162"/>
        <v>0</v>
      </c>
      <c r="AK667" s="13">
        <f t="shared" si="163"/>
        <v>0</v>
      </c>
      <c r="AM667" s="32">
        <v>648</v>
      </c>
      <c r="AN667" s="32">
        <v>54</v>
      </c>
      <c r="AO667" s="32">
        <v>12</v>
      </c>
      <c r="AP667" s="13"/>
      <c r="AQ667" s="32"/>
      <c r="AR667" s="13">
        <f t="shared" si="164"/>
        <v>0</v>
      </c>
      <c r="AS667" s="33"/>
      <c r="AT667" s="13">
        <f t="shared" si="158"/>
        <v>0</v>
      </c>
      <c r="AU667" s="13">
        <f>ROUNDUP(($AR667+$AT667)*VLOOKUP($AN667,Paraméterek!$P$38:$Q$38,2)/12,IF($D$4="Forint",0,2))</f>
        <v>0</v>
      </c>
      <c r="AV667" s="13">
        <f>Tranzakciók!$M$85</f>
        <v>0</v>
      </c>
      <c r="AW667" s="13"/>
      <c r="AX667" s="13">
        <f>ROUNDUP(IF(SUM($AV667:$AW667)=0,0,IF(IF(ISBLANK($AW667),$AV667,$AW667)*Paraméterek!$J$112&lt;IF($D$4="Forint",Paraméterek!$J$113,Paraméterek!$K$113),IF($D$4="Forint",Paraméterek!$J$113,Paraméterek!$K$113),IF(IF(ISBLANK($AW667),$AV667,$AW667)*Paraméterek!$J$112&gt;IF($D$4="Forint",Paraméterek!$J$114,Paraméterek!$K$114),IF($D$4="Forint",Paraméterek!$J$114,Paraméterek!$K$114),IF(ISBLANK($AW667),$AV667,$AW667)*Paraméterek!$J$112))),IF($D$4="Forint",0,2))</f>
        <v>0</v>
      </c>
      <c r="AY667" s="13">
        <f>$AR667+$AT667-$AU667-IF(ROUNDDOWN(IF(ISBLANK($AW667),$AV667,$AW667),IF($D$4="Forint",0,2))&gt;$AR667+$AT667-$AU667-IF($D$4="Forint",Paraméterek!$J$114,Paraméterek!$K$114),0,ROUNDDOWN(IF(ISBLANK($AW667),$AV667,$AW667),IF($D$4="Forint",0,2))-$AX667)</f>
        <v>0</v>
      </c>
      <c r="AZ667" s="13">
        <f t="shared" si="159"/>
        <v>0</v>
      </c>
    </row>
    <row r="668" spans="1:52" x14ac:dyDescent="0.2">
      <c r="A668" s="32">
        <v>649</v>
      </c>
      <c r="B668" s="32">
        <v>55</v>
      </c>
      <c r="C668" s="32">
        <v>1</v>
      </c>
      <c r="D668" s="13">
        <f t="shared" si="150"/>
        <v>0</v>
      </c>
      <c r="E668" s="13"/>
      <c r="F668" s="13">
        <f>Tranzakciók!$D$86</f>
        <v>0</v>
      </c>
      <c r="G668" s="13"/>
      <c r="H668" s="13">
        <f t="shared" si="151"/>
        <v>0</v>
      </c>
      <c r="I668" s="13">
        <f t="shared" si="152"/>
        <v>494</v>
      </c>
      <c r="J668" s="13">
        <f t="shared" si="153"/>
        <v>494</v>
      </c>
      <c r="K668" s="13">
        <f>ROUNDUP(IF($D$2="Egyszeri",$D668,IF($D$2="Havi",SUM($D$20:$D$31),IF(MOD($C668,$M$1)-1=0,SUM($D$20:$D$31),0))/12*$M$1)*VLOOKUP($B668,Paraméterek!$B$27:$D$30,IF($D$2="Egyszeri",3,2)),IF($D$4="Forint",0,2))</f>
        <v>0</v>
      </c>
      <c r="L668" s="13">
        <f t="shared" si="154"/>
        <v>0</v>
      </c>
      <c r="M668" s="13">
        <f t="shared" ca="1" si="160"/>
        <v>-536364</v>
      </c>
      <c r="N668" s="13">
        <f ca="1">IF($V667&gt;=VLOOKUP($M$4-1+$B668,Paraméterek!$B$121:$D$122,IF($D$4="Forint",2,3)),0,VLOOKUP($M$4-1+$B668,Paraméterek!$B$121:$D$122,IF($D$4="Forint",2,3))-$V667)</f>
        <v>546364</v>
      </c>
      <c r="O668" s="13">
        <f ca="1">ROUNDUP($N668*Paraméterek!$C$58/Paraméterek!$C$56,IF($D$4="Forint",0,2))</f>
        <v>87</v>
      </c>
      <c r="P668" s="13">
        <f t="shared" si="155"/>
        <v>2714</v>
      </c>
      <c r="Q668" s="33"/>
      <c r="R668" s="13">
        <f t="shared" ca="1" si="156"/>
        <v>0</v>
      </c>
      <c r="S668" s="13">
        <f ca="1">ROUNDUP(($M668-$O668-$P668+$R668)*VLOOKUP($B668,Paraméterek!$B$38:$D$39,IF($D$2="Egyszeri",3,2))/12,IF($D$4="Forint",0,2))</f>
        <v>-1317</v>
      </c>
      <c r="T668" s="13"/>
      <c r="U668" s="13"/>
      <c r="V668" s="13">
        <f ca="1">$M668-$O668-$P668+$R668-$S668-IF(ROUNDUP(IF(ISBLANK($U668),$T668,$U668)/IF(AND($B668=1,$D$2&lt;&gt;"Egyszeri"),1,VLOOKUP($B668+IF($C668=12,1,0),Paraméterek!$B$257:$D$267,IF($D$2="Egyszeri",3,2))),IF($D$4="Forint",0,2))&gt;$M668-$O668-$P668+$R668-$S668-IF($D$4="Forint",Paraméterek!$C$216,Paraméterek!$D$216),0,ROUNDUP(IF(ISBLANK($U668),$T668,$U668)/IF(AND($B668=1,$D$2&lt;&gt;"Egyszeri"),1,VLOOKUP($B668+IF($C668=12,1,0),Paraméterek!$B$257:$D$267,IF($D$2="Egyszeri",3,2))),IF($D$4="Forint",0,2)))</f>
        <v>-537848</v>
      </c>
      <c r="W668" s="13">
        <f ca="1">ROUNDDOWN($V668*VLOOKUP($B668+IF($C668=12,1,0),Paraméterek!$B$257:$D$267,IF($D$2="Egyszeri",3,2)),IF($D$4="Forint",0,2))</f>
        <v>-537848</v>
      </c>
      <c r="Y668" s="32">
        <v>649</v>
      </c>
      <c r="Z668" s="32">
        <v>55</v>
      </c>
      <c r="AA668" s="32">
        <v>1</v>
      </c>
      <c r="AB668" s="13">
        <f t="shared" si="161"/>
        <v>0</v>
      </c>
      <c r="AC668" s="33"/>
      <c r="AD668" s="13">
        <f t="shared" si="157"/>
        <v>0</v>
      </c>
      <c r="AE668" s="13">
        <f>ROUNDUP(($AB668+$AD668)*VLOOKUP($Z668,Paraméterek!$P$38:$Q$38,2)/12,IF($D$4="Forint",0,2))</f>
        <v>0</v>
      </c>
      <c r="AF668" s="13">
        <f>IF($D$2="Egyszeri",IF($D$7&gt;=IF($D$4="Forint",Paraméterek!$P$223,Paraméterek!$P$224),$D$7-IF($D$4="Forint",Paraméterek!$F$223,Paraméterek!$F$224),0),MIN(IF($AA668=12,AVERAGE($D$20:$D668)*12,0),SUM($D$20:$D$31)))</f>
        <v>0</v>
      </c>
      <c r="AG668" s="13">
        <f>IF(AND($Z668&gt;=10,MOD($Z668,5)=0),$AF668*IF($AA668=12,VLOOKUP($Z668,Paraméterek!$B$225:$F$240,IF($AF668&lt;IF($D$4="Forint",Paraméterek!$C$223,Paraméterek!$C$224),2,IF($AF668&lt;IF($D$4="Forint",Paraméterek!$D$223,Paraméterek!$D$224),3,4))),0),0)</f>
        <v>0</v>
      </c>
      <c r="AH668" s="13">
        <f>IF(AND($Z668&gt;=5,MOD($Z668,5)=0),IF($AA668=12,VLOOKUP($Z668,Paraméterek!$B$225:$F$240,5),0),IF(OR($Z668=3,$Z668=4),IF($AA668=12,VLOOKUP($Z668,Paraméterek!$B$225:$F$240,5,0),0),0))*$AF668</f>
        <v>0</v>
      </c>
      <c r="AI668" s="13">
        <f>ROUNDDOWN(IF(SUM($T$20:$U668)=0,IF($D$2="Egyszeri",$AH668,$AG668),0),IF($D$4="Forint",0,2))</f>
        <v>0</v>
      </c>
      <c r="AJ668" s="13">
        <f t="shared" si="162"/>
        <v>0</v>
      </c>
      <c r="AK668" s="13">
        <f t="shared" si="163"/>
        <v>0</v>
      </c>
      <c r="AM668" s="32">
        <v>649</v>
      </c>
      <c r="AN668" s="32">
        <v>55</v>
      </c>
      <c r="AO668" s="32">
        <v>1</v>
      </c>
      <c r="AP668" s="13">
        <f>Tranzakciók!$K$86</f>
        <v>0</v>
      </c>
      <c r="AQ668" s="32"/>
      <c r="AR668" s="13">
        <f t="shared" si="164"/>
        <v>0</v>
      </c>
      <c r="AS668" s="33"/>
      <c r="AT668" s="13">
        <f t="shared" si="158"/>
        <v>0</v>
      </c>
      <c r="AU668" s="13">
        <f>ROUNDUP(($AR668+$AT668)*VLOOKUP($AN668,Paraméterek!$P$38:$Q$38,2)/12,IF($D$4="Forint",0,2))</f>
        <v>0</v>
      </c>
      <c r="AV668" s="13"/>
      <c r="AW668" s="13"/>
      <c r="AX668" s="13">
        <f>ROUNDUP(IF(SUM($AV668:$AW668)=0,0,IF(IF(ISBLANK($AW668),$AV668,$AW668)*Paraméterek!$J$112&lt;IF($D$4="Forint",Paraméterek!$J$113,Paraméterek!$K$113),IF($D$4="Forint",Paraméterek!$J$113,Paraméterek!$K$113),IF(IF(ISBLANK($AW668),$AV668,$AW668)*Paraméterek!$J$112&gt;IF($D$4="Forint",Paraméterek!$J$114,Paraméterek!$K$114),IF($D$4="Forint",Paraméterek!$J$114,Paraméterek!$K$114),IF(ISBLANK($AW668),$AV668,$AW668)*Paraméterek!$J$112))),IF($D$4="Forint",0,2))</f>
        <v>0</v>
      </c>
      <c r="AY668" s="13">
        <f>$AR668+$AT668-$AU668-IF(ROUNDDOWN(IF(ISBLANK($AW668),$AV668,$AW668),IF($D$4="Forint",0,2))&gt;$AR668+$AT668-$AU668-IF($D$4="Forint",Paraméterek!$J$114,Paraméterek!$K$114),0,ROUNDDOWN(IF(ISBLANK($AW668),$AV668,$AW668),IF($D$4="Forint",0,2))-$AX668)</f>
        <v>0</v>
      </c>
      <c r="AZ668" s="13">
        <f t="shared" si="159"/>
        <v>0</v>
      </c>
    </row>
    <row r="669" spans="1:52" x14ac:dyDescent="0.2">
      <c r="A669" s="32">
        <v>650</v>
      </c>
      <c r="B669" s="32">
        <v>55</v>
      </c>
      <c r="C669" s="32">
        <v>2</v>
      </c>
      <c r="D669" s="13">
        <f t="shared" si="150"/>
        <v>0</v>
      </c>
      <c r="E669" s="13"/>
      <c r="F669" s="13"/>
      <c r="G669" s="13"/>
      <c r="H669" s="13">
        <f t="shared" si="151"/>
        <v>0</v>
      </c>
      <c r="I669" s="13">
        <f t="shared" si="152"/>
        <v>0</v>
      </c>
      <c r="J669" s="13">
        <f t="shared" si="153"/>
        <v>0</v>
      </c>
      <c r="K669" s="13">
        <f>ROUNDUP(IF($D$2="Egyszeri",$D669,IF($D$2="Havi",SUM($D$20:$D$31),IF(MOD($C669,$M$1)-1=0,SUM($D$20:$D$31),0))/12*$M$1)*VLOOKUP($B669,Paraméterek!$B$27:$D$30,IF($D$2="Egyszeri",3,2)),IF($D$4="Forint",0,2))</f>
        <v>0</v>
      </c>
      <c r="L669" s="13">
        <f t="shared" si="154"/>
        <v>0</v>
      </c>
      <c r="M669" s="13">
        <f t="shared" ca="1" si="160"/>
        <v>-537848</v>
      </c>
      <c r="N669" s="13">
        <f ca="1">IF($V668&gt;=VLOOKUP($M$4-1+$B669,Paraméterek!$B$121:$D$122,IF($D$4="Forint",2,3)),0,VLOOKUP($M$4-1+$B669,Paraméterek!$B$121:$D$122,IF($D$4="Forint",2,3))-$V668)</f>
        <v>547848</v>
      </c>
      <c r="O669" s="13">
        <f ca="1">ROUNDUP($N669*Paraméterek!$C$58/Paraméterek!$C$56,IF($D$4="Forint",0,2))</f>
        <v>88</v>
      </c>
      <c r="P669" s="13">
        <f t="shared" si="155"/>
        <v>2714</v>
      </c>
      <c r="Q669" s="33"/>
      <c r="R669" s="13">
        <f t="shared" ca="1" si="156"/>
        <v>0</v>
      </c>
      <c r="S669" s="13">
        <f ca="1">ROUNDUP(($M669-$O669-$P669+$R669)*VLOOKUP($B669,Paraméterek!$B$38:$D$39,IF($D$2="Egyszeri",3,2))/12,IF($D$4="Forint",0,2))</f>
        <v>-1321</v>
      </c>
      <c r="T669" s="13"/>
      <c r="U669" s="13"/>
      <c r="V669" s="13">
        <f ca="1">$M669-$O669-$P669+$R669-$S669-IF(ROUNDUP(IF(ISBLANK($U669),$T669,$U669)/IF(AND($B669=1,$D$2&lt;&gt;"Egyszeri"),1,VLOOKUP($B669+IF($C669=12,1,0),Paraméterek!$B$257:$D$267,IF($D$2="Egyszeri",3,2))),IF($D$4="Forint",0,2))&gt;$M669-$O669-$P669+$R669-$S669-IF($D$4="Forint",Paraméterek!$C$216,Paraméterek!$D$216),0,ROUNDUP(IF(ISBLANK($U669),$T669,$U669)/IF(AND($B669=1,$D$2&lt;&gt;"Egyszeri"),1,VLOOKUP($B669+IF($C669=12,1,0),Paraméterek!$B$257:$D$267,IF($D$2="Egyszeri",3,2))),IF($D$4="Forint",0,2)))</f>
        <v>-539329</v>
      </c>
      <c r="W669" s="13">
        <f ca="1">ROUNDDOWN($V669*VLOOKUP($B669+IF($C669=12,1,0),Paraméterek!$B$257:$D$267,IF($D$2="Egyszeri",3,2)),IF($D$4="Forint",0,2))</f>
        <v>-539329</v>
      </c>
      <c r="Y669" s="32">
        <v>650</v>
      </c>
      <c r="Z669" s="32">
        <v>55</v>
      </c>
      <c r="AA669" s="32">
        <v>2</v>
      </c>
      <c r="AB669" s="13">
        <f t="shared" si="161"/>
        <v>0</v>
      </c>
      <c r="AC669" s="33"/>
      <c r="AD669" s="13">
        <f t="shared" si="157"/>
        <v>0</v>
      </c>
      <c r="AE669" s="13">
        <f>ROUNDUP(($AB669+$AD669)*VLOOKUP($Z669,Paraméterek!$P$38:$Q$38,2)/12,IF($D$4="Forint",0,2))</f>
        <v>0</v>
      </c>
      <c r="AF669" s="13">
        <f>IF($D$2="Egyszeri",IF($D$7&gt;=IF($D$4="Forint",Paraméterek!$P$223,Paraméterek!$P$224),$D$7-IF($D$4="Forint",Paraméterek!$F$223,Paraméterek!$F$224),0),MIN(IF($AA669=12,AVERAGE($D$20:$D669)*12,0),SUM($D$20:$D$31)))</f>
        <v>0</v>
      </c>
      <c r="AG669" s="13">
        <f>IF(AND($Z669&gt;=10,MOD($Z669,5)=0),$AF669*IF($AA669=12,VLOOKUP($Z669,Paraméterek!$B$225:$F$240,IF($AF669&lt;IF($D$4="Forint",Paraméterek!$C$223,Paraméterek!$C$224),2,IF($AF669&lt;IF($D$4="Forint",Paraméterek!$D$223,Paraméterek!$D$224),3,4))),0),0)</f>
        <v>0</v>
      </c>
      <c r="AH669" s="13">
        <f>IF(AND($Z669&gt;=5,MOD($Z669,5)=0),IF($AA669=12,VLOOKUP($Z669,Paraméterek!$B$225:$F$240,5),0),IF(OR($Z669=3,$Z669=4),IF($AA669=12,VLOOKUP($Z669,Paraméterek!$B$225:$F$240,5,0),0),0))*$AF669</f>
        <v>0</v>
      </c>
      <c r="AI669" s="13">
        <f>ROUNDDOWN(IF(SUM($T$20:$U669)=0,IF($D$2="Egyszeri",$AH669,$AG669),0),IF($D$4="Forint",0,2))</f>
        <v>0</v>
      </c>
      <c r="AJ669" s="13">
        <f t="shared" si="162"/>
        <v>0</v>
      </c>
      <c r="AK669" s="13">
        <f t="shared" si="163"/>
        <v>0</v>
      </c>
      <c r="AM669" s="32">
        <v>650</v>
      </c>
      <c r="AN669" s="32">
        <v>55</v>
      </c>
      <c r="AO669" s="32">
        <v>2</v>
      </c>
      <c r="AP669" s="13"/>
      <c r="AQ669" s="32"/>
      <c r="AR669" s="13">
        <f t="shared" si="164"/>
        <v>0</v>
      </c>
      <c r="AS669" s="33"/>
      <c r="AT669" s="13">
        <f t="shared" si="158"/>
        <v>0</v>
      </c>
      <c r="AU669" s="13">
        <f>ROUNDUP(($AR669+$AT669)*VLOOKUP($AN669,Paraméterek!$P$38:$Q$38,2)/12,IF($D$4="Forint",0,2))</f>
        <v>0</v>
      </c>
      <c r="AV669" s="13"/>
      <c r="AW669" s="13"/>
      <c r="AX669" s="13">
        <f>ROUNDUP(IF(SUM($AV669:$AW669)=0,0,IF(IF(ISBLANK($AW669),$AV669,$AW669)*Paraméterek!$J$112&lt;IF($D$4="Forint",Paraméterek!$J$113,Paraméterek!$K$113),IF($D$4="Forint",Paraméterek!$J$113,Paraméterek!$K$113),IF(IF(ISBLANK($AW669),$AV669,$AW669)*Paraméterek!$J$112&gt;IF($D$4="Forint",Paraméterek!$J$114,Paraméterek!$K$114),IF($D$4="Forint",Paraméterek!$J$114,Paraméterek!$K$114),IF(ISBLANK($AW669),$AV669,$AW669)*Paraméterek!$J$112))),IF($D$4="Forint",0,2))</f>
        <v>0</v>
      </c>
      <c r="AY669" s="13">
        <f>$AR669+$AT669-$AU669-IF(ROUNDDOWN(IF(ISBLANK($AW669),$AV669,$AW669),IF($D$4="Forint",0,2))&gt;$AR669+$AT669-$AU669-IF($D$4="Forint",Paraméterek!$J$114,Paraméterek!$K$114),0,ROUNDDOWN(IF(ISBLANK($AW669),$AV669,$AW669),IF($D$4="Forint",0,2))-$AX669)</f>
        <v>0</v>
      </c>
      <c r="AZ669" s="13">
        <f t="shared" si="159"/>
        <v>0</v>
      </c>
    </row>
    <row r="670" spans="1:52" x14ac:dyDescent="0.2">
      <c r="A670" s="32">
        <v>651</v>
      </c>
      <c r="B670" s="32">
        <v>55</v>
      </c>
      <c r="C670" s="32">
        <v>3</v>
      </c>
      <c r="D670" s="13">
        <f t="shared" si="150"/>
        <v>0</v>
      </c>
      <c r="E670" s="13"/>
      <c r="F670" s="13"/>
      <c r="G670" s="13"/>
      <c r="H670" s="13">
        <f t="shared" si="151"/>
        <v>0</v>
      </c>
      <c r="I670" s="13">
        <f t="shared" si="152"/>
        <v>0</v>
      </c>
      <c r="J670" s="13">
        <f t="shared" si="153"/>
        <v>0</v>
      </c>
      <c r="K670" s="13">
        <f>ROUNDUP(IF($D$2="Egyszeri",$D670,IF($D$2="Havi",SUM($D$20:$D$31),IF(MOD($C670,$M$1)-1=0,SUM($D$20:$D$31),0))/12*$M$1)*VLOOKUP($B670,Paraméterek!$B$27:$D$30,IF($D$2="Egyszeri",3,2)),IF($D$4="Forint",0,2))</f>
        <v>0</v>
      </c>
      <c r="L670" s="13">
        <f t="shared" si="154"/>
        <v>0</v>
      </c>
      <c r="M670" s="13">
        <f t="shared" ca="1" si="160"/>
        <v>-539329</v>
      </c>
      <c r="N670" s="13">
        <f ca="1">IF($V669&gt;=VLOOKUP($M$4-1+$B670,Paraméterek!$B$121:$D$122,IF($D$4="Forint",2,3)),0,VLOOKUP($M$4-1+$B670,Paraméterek!$B$121:$D$122,IF($D$4="Forint",2,3))-$V669)</f>
        <v>549329</v>
      </c>
      <c r="O670" s="13">
        <f ca="1">ROUNDUP($N670*Paraméterek!$C$58/Paraméterek!$C$56,IF($D$4="Forint",0,2))</f>
        <v>88</v>
      </c>
      <c r="P670" s="13">
        <f t="shared" si="155"/>
        <v>2714</v>
      </c>
      <c r="Q670" s="33"/>
      <c r="R670" s="13">
        <f t="shared" ca="1" si="156"/>
        <v>0</v>
      </c>
      <c r="S670" s="13">
        <f ca="1">ROUNDUP(($M670-$O670-$P670+$R670)*VLOOKUP($B670,Paraméterek!$B$38:$D$39,IF($D$2="Egyszeri",3,2))/12,IF($D$4="Forint",0,2))</f>
        <v>-1324</v>
      </c>
      <c r="T670" s="13"/>
      <c r="U670" s="13"/>
      <c r="V670" s="13">
        <f ca="1">$M670-$O670-$P670+$R670-$S670-IF(ROUNDUP(IF(ISBLANK($U670),$T670,$U670)/IF(AND($B670=1,$D$2&lt;&gt;"Egyszeri"),1,VLOOKUP($B670+IF($C670=12,1,0),Paraméterek!$B$257:$D$267,IF($D$2="Egyszeri",3,2))),IF($D$4="Forint",0,2))&gt;$M670-$O670-$P670+$R670-$S670-IF($D$4="Forint",Paraméterek!$C$216,Paraméterek!$D$216),0,ROUNDUP(IF(ISBLANK($U670),$T670,$U670)/IF(AND($B670=1,$D$2&lt;&gt;"Egyszeri"),1,VLOOKUP($B670+IF($C670=12,1,0),Paraméterek!$B$257:$D$267,IF($D$2="Egyszeri",3,2))),IF($D$4="Forint",0,2)))</f>
        <v>-540807</v>
      </c>
      <c r="W670" s="13">
        <f ca="1">ROUNDDOWN($V670*VLOOKUP($B670+IF($C670=12,1,0),Paraméterek!$B$257:$D$267,IF($D$2="Egyszeri",3,2)),IF($D$4="Forint",0,2))</f>
        <v>-540807</v>
      </c>
      <c r="Y670" s="32">
        <v>651</v>
      </c>
      <c r="Z670" s="32">
        <v>55</v>
      </c>
      <c r="AA670" s="32">
        <v>3</v>
      </c>
      <c r="AB670" s="13">
        <f t="shared" si="161"/>
        <v>0</v>
      </c>
      <c r="AC670" s="33"/>
      <c r="AD670" s="13">
        <f t="shared" si="157"/>
        <v>0</v>
      </c>
      <c r="AE670" s="13">
        <f>ROUNDUP(($AB670+$AD670)*VLOOKUP($Z670,Paraméterek!$P$38:$Q$38,2)/12,IF($D$4="Forint",0,2))</f>
        <v>0</v>
      </c>
      <c r="AF670" s="13">
        <f>IF($D$2="Egyszeri",IF($D$7&gt;=IF($D$4="Forint",Paraméterek!$P$223,Paraméterek!$P$224),$D$7-IF($D$4="Forint",Paraméterek!$F$223,Paraméterek!$F$224),0),MIN(IF($AA670=12,AVERAGE($D$20:$D670)*12,0),SUM($D$20:$D$31)))</f>
        <v>0</v>
      </c>
      <c r="AG670" s="13">
        <f>IF(AND($Z670&gt;=10,MOD($Z670,5)=0),$AF670*IF($AA670=12,VLOOKUP($Z670,Paraméterek!$B$225:$F$240,IF($AF670&lt;IF($D$4="Forint",Paraméterek!$C$223,Paraméterek!$C$224),2,IF($AF670&lt;IF($D$4="Forint",Paraméterek!$D$223,Paraméterek!$D$224),3,4))),0),0)</f>
        <v>0</v>
      </c>
      <c r="AH670" s="13">
        <f>IF(AND($Z670&gt;=5,MOD($Z670,5)=0),IF($AA670=12,VLOOKUP($Z670,Paraméterek!$B$225:$F$240,5),0),IF(OR($Z670=3,$Z670=4),IF($AA670=12,VLOOKUP($Z670,Paraméterek!$B$225:$F$240,5,0),0),0))*$AF670</f>
        <v>0</v>
      </c>
      <c r="AI670" s="13">
        <f>ROUNDDOWN(IF(SUM($T$20:$U670)=0,IF($D$2="Egyszeri",$AH670,$AG670),0),IF($D$4="Forint",0,2))</f>
        <v>0</v>
      </c>
      <c r="AJ670" s="13">
        <f t="shared" si="162"/>
        <v>0</v>
      </c>
      <c r="AK670" s="13">
        <f t="shared" si="163"/>
        <v>0</v>
      </c>
      <c r="AM670" s="32">
        <v>651</v>
      </c>
      <c r="AN670" s="32">
        <v>55</v>
      </c>
      <c r="AO670" s="32">
        <v>3</v>
      </c>
      <c r="AP670" s="13"/>
      <c r="AQ670" s="32"/>
      <c r="AR670" s="13">
        <f t="shared" si="164"/>
        <v>0</v>
      </c>
      <c r="AS670" s="33"/>
      <c r="AT670" s="13">
        <f t="shared" si="158"/>
        <v>0</v>
      </c>
      <c r="AU670" s="13">
        <f>ROUNDUP(($AR670+$AT670)*VLOOKUP($AN670,Paraméterek!$P$38:$Q$38,2)/12,IF($D$4="Forint",0,2))</f>
        <v>0</v>
      </c>
      <c r="AV670" s="13"/>
      <c r="AW670" s="13"/>
      <c r="AX670" s="13">
        <f>ROUNDUP(IF(SUM($AV670:$AW670)=0,0,IF(IF(ISBLANK($AW670),$AV670,$AW670)*Paraméterek!$J$112&lt;IF($D$4="Forint",Paraméterek!$J$113,Paraméterek!$K$113),IF($D$4="Forint",Paraméterek!$J$113,Paraméterek!$K$113),IF(IF(ISBLANK($AW670),$AV670,$AW670)*Paraméterek!$J$112&gt;IF($D$4="Forint",Paraméterek!$J$114,Paraméterek!$K$114),IF($D$4="Forint",Paraméterek!$J$114,Paraméterek!$K$114),IF(ISBLANK($AW670),$AV670,$AW670)*Paraméterek!$J$112))),IF($D$4="Forint",0,2))</f>
        <v>0</v>
      </c>
      <c r="AY670" s="13">
        <f>$AR670+$AT670-$AU670-IF(ROUNDDOWN(IF(ISBLANK($AW670),$AV670,$AW670),IF($D$4="Forint",0,2))&gt;$AR670+$AT670-$AU670-IF($D$4="Forint",Paraméterek!$J$114,Paraméterek!$K$114),0,ROUNDDOWN(IF(ISBLANK($AW670),$AV670,$AW670),IF($D$4="Forint",0,2))-$AX670)</f>
        <v>0</v>
      </c>
      <c r="AZ670" s="13">
        <f t="shared" si="159"/>
        <v>0</v>
      </c>
    </row>
    <row r="671" spans="1:52" x14ac:dyDescent="0.2">
      <c r="A671" s="32">
        <v>652</v>
      </c>
      <c r="B671" s="32">
        <v>55</v>
      </c>
      <c r="C671" s="32">
        <v>4</v>
      </c>
      <c r="D671" s="13">
        <f t="shared" si="150"/>
        <v>0</v>
      </c>
      <c r="E671" s="13"/>
      <c r="F671" s="13"/>
      <c r="G671" s="13"/>
      <c r="H671" s="13">
        <f t="shared" si="151"/>
        <v>0</v>
      </c>
      <c r="I671" s="13">
        <f t="shared" si="152"/>
        <v>0</v>
      </c>
      <c r="J671" s="13">
        <f t="shared" si="153"/>
        <v>0</v>
      </c>
      <c r="K671" s="13">
        <f>ROUNDUP(IF($D$2="Egyszeri",$D671,IF($D$2="Havi",SUM($D$20:$D$31),IF(MOD($C671,$M$1)-1=0,SUM($D$20:$D$31),0))/12*$M$1)*VLOOKUP($B671,Paraméterek!$B$27:$D$30,IF($D$2="Egyszeri",3,2)),IF($D$4="Forint",0,2))</f>
        <v>0</v>
      </c>
      <c r="L671" s="13">
        <f t="shared" si="154"/>
        <v>0</v>
      </c>
      <c r="M671" s="13">
        <f t="shared" ca="1" si="160"/>
        <v>-540807</v>
      </c>
      <c r="N671" s="13">
        <f ca="1">IF($V670&gt;=VLOOKUP($M$4-1+$B671,Paraméterek!$B$121:$D$122,IF($D$4="Forint",2,3)),0,VLOOKUP($M$4-1+$B671,Paraméterek!$B$121:$D$122,IF($D$4="Forint",2,3))-$V670)</f>
        <v>550807</v>
      </c>
      <c r="O671" s="13">
        <f ca="1">ROUNDUP($N671*Paraméterek!$C$58/Paraméterek!$C$56,IF($D$4="Forint",0,2))</f>
        <v>88</v>
      </c>
      <c r="P671" s="13">
        <f t="shared" si="155"/>
        <v>2714</v>
      </c>
      <c r="Q671" s="33"/>
      <c r="R671" s="13">
        <f t="shared" ca="1" si="156"/>
        <v>0</v>
      </c>
      <c r="S671" s="13">
        <f ca="1">ROUNDUP(($M671-$O671-$P671+$R671)*VLOOKUP($B671,Paraméterek!$B$38:$D$39,IF($D$2="Egyszeri",3,2))/12,IF($D$4="Forint",0,2))</f>
        <v>-1328</v>
      </c>
      <c r="T671" s="13"/>
      <c r="U671" s="13"/>
      <c r="V671" s="13">
        <f ca="1">$M671-$O671-$P671+$R671-$S671-IF(ROUNDUP(IF(ISBLANK($U671),$T671,$U671)/IF(AND($B671=1,$D$2&lt;&gt;"Egyszeri"),1,VLOOKUP($B671+IF($C671=12,1,0),Paraméterek!$B$257:$D$267,IF($D$2="Egyszeri",3,2))),IF($D$4="Forint",0,2))&gt;$M671-$O671-$P671+$R671-$S671-IF($D$4="Forint",Paraméterek!$C$216,Paraméterek!$D$216),0,ROUNDUP(IF(ISBLANK($U671),$T671,$U671)/IF(AND($B671=1,$D$2&lt;&gt;"Egyszeri"),1,VLOOKUP($B671+IF($C671=12,1,0),Paraméterek!$B$257:$D$267,IF($D$2="Egyszeri",3,2))),IF($D$4="Forint",0,2)))</f>
        <v>-542281</v>
      </c>
      <c r="W671" s="13">
        <f ca="1">ROUNDDOWN($V671*VLOOKUP($B671+IF($C671=12,1,0),Paraméterek!$B$257:$D$267,IF($D$2="Egyszeri",3,2)),IF($D$4="Forint",0,2))</f>
        <v>-542281</v>
      </c>
      <c r="Y671" s="32">
        <v>652</v>
      </c>
      <c r="Z671" s="32">
        <v>55</v>
      </c>
      <c r="AA671" s="32">
        <v>4</v>
      </c>
      <c r="AB671" s="13">
        <f t="shared" si="161"/>
        <v>0</v>
      </c>
      <c r="AC671" s="33"/>
      <c r="AD671" s="13">
        <f t="shared" si="157"/>
        <v>0</v>
      </c>
      <c r="AE671" s="13">
        <f>ROUNDUP(($AB671+$AD671)*VLOOKUP($Z671,Paraméterek!$P$38:$Q$38,2)/12,IF($D$4="Forint",0,2))</f>
        <v>0</v>
      </c>
      <c r="AF671" s="13">
        <f>IF($D$2="Egyszeri",IF($D$7&gt;=IF($D$4="Forint",Paraméterek!$P$223,Paraméterek!$P$224),$D$7-IF($D$4="Forint",Paraméterek!$F$223,Paraméterek!$F$224),0),MIN(IF($AA671=12,AVERAGE($D$20:$D671)*12,0),SUM($D$20:$D$31)))</f>
        <v>0</v>
      </c>
      <c r="AG671" s="13">
        <f>IF(AND($Z671&gt;=10,MOD($Z671,5)=0),$AF671*IF($AA671=12,VLOOKUP($Z671,Paraméterek!$B$225:$F$240,IF($AF671&lt;IF($D$4="Forint",Paraméterek!$C$223,Paraméterek!$C$224),2,IF($AF671&lt;IF($D$4="Forint",Paraméterek!$D$223,Paraméterek!$D$224),3,4))),0),0)</f>
        <v>0</v>
      </c>
      <c r="AH671" s="13">
        <f>IF(AND($Z671&gt;=5,MOD($Z671,5)=0),IF($AA671=12,VLOOKUP($Z671,Paraméterek!$B$225:$F$240,5),0),IF(OR($Z671=3,$Z671=4),IF($AA671=12,VLOOKUP($Z671,Paraméterek!$B$225:$F$240,5,0),0),0))*$AF671</f>
        <v>0</v>
      </c>
      <c r="AI671" s="13">
        <f>ROUNDDOWN(IF(SUM($T$20:$U671)=0,IF($D$2="Egyszeri",$AH671,$AG671),0),IF($D$4="Forint",0,2))</f>
        <v>0</v>
      </c>
      <c r="AJ671" s="13">
        <f t="shared" si="162"/>
        <v>0</v>
      </c>
      <c r="AK671" s="13">
        <f t="shared" si="163"/>
        <v>0</v>
      </c>
      <c r="AM671" s="32">
        <v>652</v>
      </c>
      <c r="AN671" s="32">
        <v>55</v>
      </c>
      <c r="AO671" s="32">
        <v>4</v>
      </c>
      <c r="AP671" s="13"/>
      <c r="AQ671" s="32"/>
      <c r="AR671" s="13">
        <f t="shared" si="164"/>
        <v>0</v>
      </c>
      <c r="AS671" s="33"/>
      <c r="AT671" s="13">
        <f t="shared" si="158"/>
        <v>0</v>
      </c>
      <c r="AU671" s="13">
        <f>ROUNDUP(($AR671+$AT671)*VLOOKUP($AN671,Paraméterek!$P$38:$Q$38,2)/12,IF($D$4="Forint",0,2))</f>
        <v>0</v>
      </c>
      <c r="AV671" s="13"/>
      <c r="AW671" s="13"/>
      <c r="AX671" s="13">
        <f>ROUNDUP(IF(SUM($AV671:$AW671)=0,0,IF(IF(ISBLANK($AW671),$AV671,$AW671)*Paraméterek!$J$112&lt;IF($D$4="Forint",Paraméterek!$J$113,Paraméterek!$K$113),IF($D$4="Forint",Paraméterek!$J$113,Paraméterek!$K$113),IF(IF(ISBLANK($AW671),$AV671,$AW671)*Paraméterek!$J$112&gt;IF($D$4="Forint",Paraméterek!$J$114,Paraméterek!$K$114),IF($D$4="Forint",Paraméterek!$J$114,Paraméterek!$K$114),IF(ISBLANK($AW671),$AV671,$AW671)*Paraméterek!$J$112))),IF($D$4="Forint",0,2))</f>
        <v>0</v>
      </c>
      <c r="AY671" s="13">
        <f>$AR671+$AT671-$AU671-IF(ROUNDDOWN(IF(ISBLANK($AW671),$AV671,$AW671),IF($D$4="Forint",0,2))&gt;$AR671+$AT671-$AU671-IF($D$4="Forint",Paraméterek!$J$114,Paraméterek!$K$114),0,ROUNDDOWN(IF(ISBLANK($AW671),$AV671,$AW671),IF($D$4="Forint",0,2))-$AX671)</f>
        <v>0</v>
      </c>
      <c r="AZ671" s="13">
        <f t="shared" si="159"/>
        <v>0</v>
      </c>
    </row>
    <row r="672" spans="1:52" x14ac:dyDescent="0.2">
      <c r="A672" s="32">
        <v>653</v>
      </c>
      <c r="B672" s="32">
        <v>55</v>
      </c>
      <c r="C672" s="32">
        <v>5</v>
      </c>
      <c r="D672" s="13">
        <f t="shared" si="150"/>
        <v>0</v>
      </c>
      <c r="E672" s="13"/>
      <c r="F672" s="13"/>
      <c r="G672" s="13"/>
      <c r="H672" s="13">
        <f t="shared" si="151"/>
        <v>0</v>
      </c>
      <c r="I672" s="13">
        <f t="shared" si="152"/>
        <v>0</v>
      </c>
      <c r="J672" s="13">
        <f t="shared" si="153"/>
        <v>0</v>
      </c>
      <c r="K672" s="13">
        <f>ROUNDUP(IF($D$2="Egyszeri",$D672,IF($D$2="Havi",SUM($D$20:$D$31),IF(MOD($C672,$M$1)-1=0,SUM($D$20:$D$31),0))/12*$M$1)*VLOOKUP($B672,Paraméterek!$B$27:$D$30,IF($D$2="Egyszeri",3,2)),IF($D$4="Forint",0,2))</f>
        <v>0</v>
      </c>
      <c r="L672" s="13">
        <f t="shared" si="154"/>
        <v>0</v>
      </c>
      <c r="M672" s="13">
        <f t="shared" ca="1" si="160"/>
        <v>-542281</v>
      </c>
      <c r="N672" s="13">
        <f ca="1">IF($V671&gt;=VLOOKUP($M$4-1+$B672,Paraméterek!$B$121:$D$122,IF($D$4="Forint",2,3)),0,VLOOKUP($M$4-1+$B672,Paraméterek!$B$121:$D$122,IF($D$4="Forint",2,3))-$V671)</f>
        <v>552281</v>
      </c>
      <c r="O672" s="13">
        <f ca="1">ROUNDUP($N672*Paraméterek!$C$58/Paraméterek!$C$56,IF($D$4="Forint",0,2))</f>
        <v>88</v>
      </c>
      <c r="P672" s="13">
        <f t="shared" si="155"/>
        <v>2714</v>
      </c>
      <c r="Q672" s="33"/>
      <c r="R672" s="13">
        <f t="shared" ca="1" si="156"/>
        <v>0</v>
      </c>
      <c r="S672" s="13">
        <f ca="1">ROUNDUP(($M672-$O672-$P672+$R672)*VLOOKUP($B672,Paraméterek!$B$38:$D$39,IF($D$2="Egyszeri",3,2))/12,IF($D$4="Forint",0,2))</f>
        <v>-1331</v>
      </c>
      <c r="T672" s="13"/>
      <c r="U672" s="13"/>
      <c r="V672" s="13">
        <f ca="1">$M672-$O672-$P672+$R672-$S672-IF(ROUNDUP(IF(ISBLANK($U672),$T672,$U672)/IF(AND($B672=1,$D$2&lt;&gt;"Egyszeri"),1,VLOOKUP($B672+IF($C672=12,1,0),Paraméterek!$B$257:$D$267,IF($D$2="Egyszeri",3,2))),IF($D$4="Forint",0,2))&gt;$M672-$O672-$P672+$R672-$S672-IF($D$4="Forint",Paraméterek!$C$216,Paraméterek!$D$216),0,ROUNDUP(IF(ISBLANK($U672),$T672,$U672)/IF(AND($B672=1,$D$2&lt;&gt;"Egyszeri"),1,VLOOKUP($B672+IF($C672=12,1,0),Paraméterek!$B$257:$D$267,IF($D$2="Egyszeri",3,2))),IF($D$4="Forint",0,2)))</f>
        <v>-543752</v>
      </c>
      <c r="W672" s="13">
        <f ca="1">ROUNDDOWN($V672*VLOOKUP($B672+IF($C672=12,1,0),Paraméterek!$B$257:$D$267,IF($D$2="Egyszeri",3,2)),IF($D$4="Forint",0,2))</f>
        <v>-543752</v>
      </c>
      <c r="Y672" s="32">
        <v>653</v>
      </c>
      <c r="Z672" s="32">
        <v>55</v>
      </c>
      <c r="AA672" s="32">
        <v>5</v>
      </c>
      <c r="AB672" s="13">
        <f t="shared" si="161"/>
        <v>0</v>
      </c>
      <c r="AC672" s="33"/>
      <c r="AD672" s="13">
        <f t="shared" si="157"/>
        <v>0</v>
      </c>
      <c r="AE672" s="13">
        <f>ROUNDUP(($AB672+$AD672)*VLOOKUP($Z672,Paraméterek!$P$38:$Q$38,2)/12,IF($D$4="Forint",0,2))</f>
        <v>0</v>
      </c>
      <c r="AF672" s="13">
        <f>IF($D$2="Egyszeri",IF($D$7&gt;=IF($D$4="Forint",Paraméterek!$P$223,Paraméterek!$P$224),$D$7-IF($D$4="Forint",Paraméterek!$F$223,Paraméterek!$F$224),0),MIN(IF($AA672=12,AVERAGE($D$20:$D672)*12,0),SUM($D$20:$D$31)))</f>
        <v>0</v>
      </c>
      <c r="AG672" s="13">
        <f>IF(AND($Z672&gt;=10,MOD($Z672,5)=0),$AF672*IF($AA672=12,VLOOKUP($Z672,Paraméterek!$B$225:$F$240,IF($AF672&lt;IF($D$4="Forint",Paraméterek!$C$223,Paraméterek!$C$224),2,IF($AF672&lt;IF($D$4="Forint",Paraméterek!$D$223,Paraméterek!$D$224),3,4))),0),0)</f>
        <v>0</v>
      </c>
      <c r="AH672" s="13">
        <f>IF(AND($Z672&gt;=5,MOD($Z672,5)=0),IF($AA672=12,VLOOKUP($Z672,Paraméterek!$B$225:$F$240,5),0),IF(OR($Z672=3,$Z672=4),IF($AA672=12,VLOOKUP($Z672,Paraméterek!$B$225:$F$240,5,0),0),0))*$AF672</f>
        <v>0</v>
      </c>
      <c r="AI672" s="13">
        <f>ROUNDDOWN(IF(SUM($T$20:$U672)=0,IF($D$2="Egyszeri",$AH672,$AG672),0),IF($D$4="Forint",0,2))</f>
        <v>0</v>
      </c>
      <c r="AJ672" s="13">
        <f t="shared" si="162"/>
        <v>0</v>
      </c>
      <c r="AK672" s="13">
        <f t="shared" si="163"/>
        <v>0</v>
      </c>
      <c r="AM672" s="32">
        <v>653</v>
      </c>
      <c r="AN672" s="32">
        <v>55</v>
      </c>
      <c r="AO672" s="32">
        <v>5</v>
      </c>
      <c r="AP672" s="13"/>
      <c r="AQ672" s="32"/>
      <c r="AR672" s="13">
        <f t="shared" si="164"/>
        <v>0</v>
      </c>
      <c r="AS672" s="33"/>
      <c r="AT672" s="13">
        <f t="shared" si="158"/>
        <v>0</v>
      </c>
      <c r="AU672" s="13">
        <f>ROUNDUP(($AR672+$AT672)*VLOOKUP($AN672,Paraméterek!$P$38:$Q$38,2)/12,IF($D$4="Forint",0,2))</f>
        <v>0</v>
      </c>
      <c r="AV672" s="13"/>
      <c r="AW672" s="13"/>
      <c r="AX672" s="13">
        <f>ROUNDUP(IF(SUM($AV672:$AW672)=0,0,IF(IF(ISBLANK($AW672),$AV672,$AW672)*Paraméterek!$J$112&lt;IF($D$4="Forint",Paraméterek!$J$113,Paraméterek!$K$113),IF($D$4="Forint",Paraméterek!$J$113,Paraméterek!$K$113),IF(IF(ISBLANK($AW672),$AV672,$AW672)*Paraméterek!$J$112&gt;IF($D$4="Forint",Paraméterek!$J$114,Paraméterek!$K$114),IF($D$4="Forint",Paraméterek!$J$114,Paraméterek!$K$114),IF(ISBLANK($AW672),$AV672,$AW672)*Paraméterek!$J$112))),IF($D$4="Forint",0,2))</f>
        <v>0</v>
      </c>
      <c r="AY672" s="13">
        <f>$AR672+$AT672-$AU672-IF(ROUNDDOWN(IF(ISBLANK($AW672),$AV672,$AW672),IF($D$4="Forint",0,2))&gt;$AR672+$AT672-$AU672-IF($D$4="Forint",Paraméterek!$J$114,Paraméterek!$K$114),0,ROUNDDOWN(IF(ISBLANK($AW672),$AV672,$AW672),IF($D$4="Forint",0,2))-$AX672)</f>
        <v>0</v>
      </c>
      <c r="AZ672" s="13">
        <f t="shared" si="159"/>
        <v>0</v>
      </c>
    </row>
    <row r="673" spans="1:52" x14ac:dyDescent="0.2">
      <c r="A673" s="32">
        <v>654</v>
      </c>
      <c r="B673" s="32">
        <v>55</v>
      </c>
      <c r="C673" s="32">
        <v>6</v>
      </c>
      <c r="D673" s="13">
        <f t="shared" si="150"/>
        <v>0</v>
      </c>
      <c r="E673" s="13"/>
      <c r="F673" s="13"/>
      <c r="G673" s="13"/>
      <c r="H673" s="13">
        <f t="shared" si="151"/>
        <v>0</v>
      </c>
      <c r="I673" s="13">
        <f t="shared" si="152"/>
        <v>0</v>
      </c>
      <c r="J673" s="13">
        <f t="shared" si="153"/>
        <v>0</v>
      </c>
      <c r="K673" s="13">
        <f>ROUNDUP(IF($D$2="Egyszeri",$D673,IF($D$2="Havi",SUM($D$20:$D$31),IF(MOD($C673,$M$1)-1=0,SUM($D$20:$D$31),0))/12*$M$1)*VLOOKUP($B673,Paraméterek!$B$27:$D$30,IF($D$2="Egyszeri",3,2)),IF($D$4="Forint",0,2))</f>
        <v>0</v>
      </c>
      <c r="L673" s="13">
        <f t="shared" si="154"/>
        <v>0</v>
      </c>
      <c r="M673" s="13">
        <f t="shared" ca="1" si="160"/>
        <v>-543752</v>
      </c>
      <c r="N673" s="13">
        <f ca="1">IF($V672&gt;=VLOOKUP($M$4-1+$B673,Paraméterek!$B$121:$D$122,IF($D$4="Forint",2,3)),0,VLOOKUP($M$4-1+$B673,Paraméterek!$B$121:$D$122,IF($D$4="Forint",2,3))-$V672)</f>
        <v>553752</v>
      </c>
      <c r="O673" s="13">
        <f ca="1">ROUNDUP($N673*Paraméterek!$C$58/Paraméterek!$C$56,IF($D$4="Forint",0,2))</f>
        <v>89</v>
      </c>
      <c r="P673" s="13">
        <f t="shared" si="155"/>
        <v>2714</v>
      </c>
      <c r="Q673" s="33"/>
      <c r="R673" s="13">
        <f t="shared" ca="1" si="156"/>
        <v>0</v>
      </c>
      <c r="S673" s="13">
        <f ca="1">ROUNDUP(($M673-$O673-$P673+$R673)*VLOOKUP($B673,Paraméterek!$B$38:$D$39,IF($D$2="Egyszeri",3,2))/12,IF($D$4="Forint",0,2))</f>
        <v>-1335</v>
      </c>
      <c r="T673" s="13"/>
      <c r="U673" s="13"/>
      <c r="V673" s="13">
        <f ca="1">$M673-$O673-$P673+$R673-$S673-IF(ROUNDUP(IF(ISBLANK($U673),$T673,$U673)/IF(AND($B673=1,$D$2&lt;&gt;"Egyszeri"),1,VLOOKUP($B673+IF($C673=12,1,0),Paraméterek!$B$257:$D$267,IF($D$2="Egyszeri",3,2))),IF($D$4="Forint",0,2))&gt;$M673-$O673-$P673+$R673-$S673-IF($D$4="Forint",Paraméterek!$C$216,Paraméterek!$D$216),0,ROUNDUP(IF(ISBLANK($U673),$T673,$U673)/IF(AND($B673=1,$D$2&lt;&gt;"Egyszeri"),1,VLOOKUP($B673+IF($C673=12,1,0),Paraméterek!$B$257:$D$267,IF($D$2="Egyszeri",3,2))),IF($D$4="Forint",0,2)))</f>
        <v>-545220</v>
      </c>
      <c r="W673" s="13">
        <f ca="1">ROUNDDOWN($V673*VLOOKUP($B673+IF($C673=12,1,0),Paraméterek!$B$257:$D$267,IF($D$2="Egyszeri",3,2)),IF($D$4="Forint",0,2))</f>
        <v>-545220</v>
      </c>
      <c r="Y673" s="32">
        <v>654</v>
      </c>
      <c r="Z673" s="32">
        <v>55</v>
      </c>
      <c r="AA673" s="32">
        <v>6</v>
      </c>
      <c r="AB673" s="13">
        <f t="shared" si="161"/>
        <v>0</v>
      </c>
      <c r="AC673" s="33"/>
      <c r="AD673" s="13">
        <f t="shared" si="157"/>
        <v>0</v>
      </c>
      <c r="AE673" s="13">
        <f>ROUNDUP(($AB673+$AD673)*VLOOKUP($Z673,Paraméterek!$P$38:$Q$38,2)/12,IF($D$4="Forint",0,2))</f>
        <v>0</v>
      </c>
      <c r="AF673" s="13">
        <f>IF($D$2="Egyszeri",IF($D$7&gt;=IF($D$4="Forint",Paraméterek!$P$223,Paraméterek!$P$224),$D$7-IF($D$4="Forint",Paraméterek!$F$223,Paraméterek!$F$224),0),MIN(IF($AA673=12,AVERAGE($D$20:$D673)*12,0),SUM($D$20:$D$31)))</f>
        <v>0</v>
      </c>
      <c r="AG673" s="13">
        <f>IF(AND($Z673&gt;=10,MOD($Z673,5)=0),$AF673*IF($AA673=12,VLOOKUP($Z673,Paraméterek!$B$225:$F$240,IF($AF673&lt;IF($D$4="Forint",Paraméterek!$C$223,Paraméterek!$C$224),2,IF($AF673&lt;IF($D$4="Forint",Paraméterek!$D$223,Paraméterek!$D$224),3,4))),0),0)</f>
        <v>0</v>
      </c>
      <c r="AH673" s="13">
        <f>IF(AND($Z673&gt;=5,MOD($Z673,5)=0),IF($AA673=12,VLOOKUP($Z673,Paraméterek!$B$225:$F$240,5),0),IF(OR($Z673=3,$Z673=4),IF($AA673=12,VLOOKUP($Z673,Paraméterek!$B$225:$F$240,5,0),0),0))*$AF673</f>
        <v>0</v>
      </c>
      <c r="AI673" s="13">
        <f>ROUNDDOWN(IF(SUM($T$20:$U673)=0,IF($D$2="Egyszeri",$AH673,$AG673),0),IF($D$4="Forint",0,2))</f>
        <v>0</v>
      </c>
      <c r="AJ673" s="13">
        <f t="shared" si="162"/>
        <v>0</v>
      </c>
      <c r="AK673" s="13">
        <f t="shared" si="163"/>
        <v>0</v>
      </c>
      <c r="AM673" s="32">
        <v>654</v>
      </c>
      <c r="AN673" s="32">
        <v>55</v>
      </c>
      <c r="AO673" s="32">
        <v>6</v>
      </c>
      <c r="AP673" s="13"/>
      <c r="AQ673" s="32"/>
      <c r="AR673" s="13">
        <f t="shared" si="164"/>
        <v>0</v>
      </c>
      <c r="AS673" s="33"/>
      <c r="AT673" s="13">
        <f t="shared" si="158"/>
        <v>0</v>
      </c>
      <c r="AU673" s="13">
        <f>ROUNDUP(($AR673+$AT673)*VLOOKUP($AN673,Paraméterek!$P$38:$Q$38,2)/12,IF($D$4="Forint",0,2))</f>
        <v>0</v>
      </c>
      <c r="AV673" s="13"/>
      <c r="AW673" s="13"/>
      <c r="AX673" s="13">
        <f>ROUNDUP(IF(SUM($AV673:$AW673)=0,0,IF(IF(ISBLANK($AW673),$AV673,$AW673)*Paraméterek!$J$112&lt;IF($D$4="Forint",Paraméterek!$J$113,Paraméterek!$K$113),IF($D$4="Forint",Paraméterek!$J$113,Paraméterek!$K$113),IF(IF(ISBLANK($AW673),$AV673,$AW673)*Paraméterek!$J$112&gt;IF($D$4="Forint",Paraméterek!$J$114,Paraméterek!$K$114),IF($D$4="Forint",Paraméterek!$J$114,Paraméterek!$K$114),IF(ISBLANK($AW673),$AV673,$AW673)*Paraméterek!$J$112))),IF($D$4="Forint",0,2))</f>
        <v>0</v>
      </c>
      <c r="AY673" s="13">
        <f>$AR673+$AT673-$AU673-IF(ROUNDDOWN(IF(ISBLANK($AW673),$AV673,$AW673),IF($D$4="Forint",0,2))&gt;$AR673+$AT673-$AU673-IF($D$4="Forint",Paraméterek!$J$114,Paraméterek!$K$114),0,ROUNDDOWN(IF(ISBLANK($AW673),$AV673,$AW673),IF($D$4="Forint",0,2))-$AX673)</f>
        <v>0</v>
      </c>
      <c r="AZ673" s="13">
        <f t="shared" si="159"/>
        <v>0</v>
      </c>
    </row>
    <row r="674" spans="1:52" x14ac:dyDescent="0.2">
      <c r="A674" s="32">
        <v>655</v>
      </c>
      <c r="B674" s="32">
        <v>55</v>
      </c>
      <c r="C674" s="32">
        <v>7</v>
      </c>
      <c r="D674" s="13">
        <f t="shared" si="150"/>
        <v>0</v>
      </c>
      <c r="E674" s="13"/>
      <c r="F674" s="13"/>
      <c r="G674" s="13"/>
      <c r="H674" s="13">
        <f t="shared" si="151"/>
        <v>0</v>
      </c>
      <c r="I674" s="13">
        <f t="shared" si="152"/>
        <v>0</v>
      </c>
      <c r="J674" s="13">
        <f t="shared" si="153"/>
        <v>0</v>
      </c>
      <c r="K674" s="13">
        <f>ROUNDUP(IF($D$2="Egyszeri",$D674,IF($D$2="Havi",SUM($D$20:$D$31),IF(MOD($C674,$M$1)-1=0,SUM($D$20:$D$31),0))/12*$M$1)*VLOOKUP($B674,Paraméterek!$B$27:$D$30,IF($D$2="Egyszeri",3,2)),IF($D$4="Forint",0,2))</f>
        <v>0</v>
      </c>
      <c r="L674" s="13">
        <f t="shared" si="154"/>
        <v>0</v>
      </c>
      <c r="M674" s="13">
        <f t="shared" ca="1" si="160"/>
        <v>-545220</v>
      </c>
      <c r="N674" s="13">
        <f ca="1">IF($V673&gt;=VLOOKUP($M$4-1+$B674,Paraméterek!$B$121:$D$122,IF($D$4="Forint",2,3)),0,VLOOKUP($M$4-1+$B674,Paraméterek!$B$121:$D$122,IF($D$4="Forint",2,3))-$V673)</f>
        <v>555220</v>
      </c>
      <c r="O674" s="13">
        <f ca="1">ROUNDUP($N674*Paraméterek!$C$58/Paraméterek!$C$56,IF($D$4="Forint",0,2))</f>
        <v>89</v>
      </c>
      <c r="P674" s="13">
        <f t="shared" si="155"/>
        <v>2714</v>
      </c>
      <c r="Q674" s="33"/>
      <c r="R674" s="13">
        <f t="shared" ca="1" si="156"/>
        <v>0</v>
      </c>
      <c r="S674" s="13">
        <f ca="1">ROUNDUP(($M674-$O674-$P674+$R674)*VLOOKUP($B674,Paraméterek!$B$38:$D$39,IF($D$2="Egyszeri",3,2))/12,IF($D$4="Forint",0,2))</f>
        <v>-1339</v>
      </c>
      <c r="T674" s="13"/>
      <c r="U674" s="13"/>
      <c r="V674" s="13">
        <f ca="1">$M674-$O674-$P674+$R674-$S674-IF(ROUNDUP(IF(ISBLANK($U674),$T674,$U674)/IF(AND($B674=1,$D$2&lt;&gt;"Egyszeri"),1,VLOOKUP($B674+IF($C674=12,1,0),Paraméterek!$B$257:$D$267,IF($D$2="Egyszeri",3,2))),IF($D$4="Forint",0,2))&gt;$M674-$O674-$P674+$R674-$S674-IF($D$4="Forint",Paraméterek!$C$216,Paraméterek!$D$216),0,ROUNDUP(IF(ISBLANK($U674),$T674,$U674)/IF(AND($B674=1,$D$2&lt;&gt;"Egyszeri"),1,VLOOKUP($B674+IF($C674=12,1,0),Paraméterek!$B$257:$D$267,IF($D$2="Egyszeri",3,2))),IF($D$4="Forint",0,2)))</f>
        <v>-546684</v>
      </c>
      <c r="W674" s="13">
        <f ca="1">ROUNDDOWN($V674*VLOOKUP($B674+IF($C674=12,1,0),Paraméterek!$B$257:$D$267,IF($D$2="Egyszeri",3,2)),IF($D$4="Forint",0,2))</f>
        <v>-546684</v>
      </c>
      <c r="Y674" s="32">
        <v>655</v>
      </c>
      <c r="Z674" s="32">
        <v>55</v>
      </c>
      <c r="AA674" s="32">
        <v>7</v>
      </c>
      <c r="AB674" s="13">
        <f t="shared" si="161"/>
        <v>0</v>
      </c>
      <c r="AC674" s="33"/>
      <c r="AD674" s="13">
        <f t="shared" si="157"/>
        <v>0</v>
      </c>
      <c r="AE674" s="13">
        <f>ROUNDUP(($AB674+$AD674)*VLOOKUP($Z674,Paraméterek!$P$38:$Q$38,2)/12,IF($D$4="Forint",0,2))</f>
        <v>0</v>
      </c>
      <c r="AF674" s="13">
        <f>IF($D$2="Egyszeri",IF($D$7&gt;=IF($D$4="Forint",Paraméterek!$P$223,Paraméterek!$P$224),$D$7-IF($D$4="Forint",Paraméterek!$F$223,Paraméterek!$F$224),0),MIN(IF($AA674=12,AVERAGE($D$20:$D674)*12,0),SUM($D$20:$D$31)))</f>
        <v>0</v>
      </c>
      <c r="AG674" s="13">
        <f>IF(AND($Z674&gt;=10,MOD($Z674,5)=0),$AF674*IF($AA674=12,VLOOKUP($Z674,Paraméterek!$B$225:$F$240,IF($AF674&lt;IF($D$4="Forint",Paraméterek!$C$223,Paraméterek!$C$224),2,IF($AF674&lt;IF($D$4="Forint",Paraméterek!$D$223,Paraméterek!$D$224),3,4))),0),0)</f>
        <v>0</v>
      </c>
      <c r="AH674" s="13">
        <f>IF(AND($Z674&gt;=5,MOD($Z674,5)=0),IF($AA674=12,VLOOKUP($Z674,Paraméterek!$B$225:$F$240,5),0),IF(OR($Z674=3,$Z674=4),IF($AA674=12,VLOOKUP($Z674,Paraméterek!$B$225:$F$240,5,0),0),0))*$AF674</f>
        <v>0</v>
      </c>
      <c r="AI674" s="13">
        <f>ROUNDDOWN(IF(SUM($T$20:$U674)=0,IF($D$2="Egyszeri",$AH674,$AG674),0),IF($D$4="Forint",0,2))</f>
        <v>0</v>
      </c>
      <c r="AJ674" s="13">
        <f t="shared" si="162"/>
        <v>0</v>
      </c>
      <c r="AK674" s="13">
        <f t="shared" si="163"/>
        <v>0</v>
      </c>
      <c r="AM674" s="32">
        <v>655</v>
      </c>
      <c r="AN674" s="32">
        <v>55</v>
      </c>
      <c r="AO674" s="32">
        <v>7</v>
      </c>
      <c r="AP674" s="13"/>
      <c r="AQ674" s="32"/>
      <c r="AR674" s="13">
        <f t="shared" si="164"/>
        <v>0</v>
      </c>
      <c r="AS674" s="33"/>
      <c r="AT674" s="13">
        <f t="shared" si="158"/>
        <v>0</v>
      </c>
      <c r="AU674" s="13">
        <f>ROUNDUP(($AR674+$AT674)*VLOOKUP($AN674,Paraméterek!$P$38:$Q$38,2)/12,IF($D$4="Forint",0,2))</f>
        <v>0</v>
      </c>
      <c r="AV674" s="13"/>
      <c r="AW674" s="13"/>
      <c r="AX674" s="13">
        <f>ROUNDUP(IF(SUM($AV674:$AW674)=0,0,IF(IF(ISBLANK($AW674),$AV674,$AW674)*Paraméterek!$J$112&lt;IF($D$4="Forint",Paraméterek!$J$113,Paraméterek!$K$113),IF($D$4="Forint",Paraméterek!$J$113,Paraméterek!$K$113),IF(IF(ISBLANK($AW674),$AV674,$AW674)*Paraméterek!$J$112&gt;IF($D$4="Forint",Paraméterek!$J$114,Paraméterek!$K$114),IF($D$4="Forint",Paraméterek!$J$114,Paraméterek!$K$114),IF(ISBLANK($AW674),$AV674,$AW674)*Paraméterek!$J$112))),IF($D$4="Forint",0,2))</f>
        <v>0</v>
      </c>
      <c r="AY674" s="13">
        <f>$AR674+$AT674-$AU674-IF(ROUNDDOWN(IF(ISBLANK($AW674),$AV674,$AW674),IF($D$4="Forint",0,2))&gt;$AR674+$AT674-$AU674-IF($D$4="Forint",Paraméterek!$J$114,Paraméterek!$K$114),0,ROUNDDOWN(IF(ISBLANK($AW674),$AV674,$AW674),IF($D$4="Forint",0,2))-$AX674)</f>
        <v>0</v>
      </c>
      <c r="AZ674" s="13">
        <f t="shared" si="159"/>
        <v>0</v>
      </c>
    </row>
    <row r="675" spans="1:52" x14ac:dyDescent="0.2">
      <c r="A675" s="32">
        <v>656</v>
      </c>
      <c r="B675" s="32">
        <v>55</v>
      </c>
      <c r="C675" s="32">
        <v>8</v>
      </c>
      <c r="D675" s="13">
        <f t="shared" si="150"/>
        <v>0</v>
      </c>
      <c r="E675" s="13"/>
      <c r="F675" s="13"/>
      <c r="G675" s="13"/>
      <c r="H675" s="13">
        <f t="shared" si="151"/>
        <v>0</v>
      </c>
      <c r="I675" s="13">
        <f t="shared" si="152"/>
        <v>0</v>
      </c>
      <c r="J675" s="13">
        <f t="shared" si="153"/>
        <v>0</v>
      </c>
      <c r="K675" s="13">
        <f>ROUNDUP(IF($D$2="Egyszeri",$D675,IF($D$2="Havi",SUM($D$20:$D$31),IF(MOD($C675,$M$1)-1=0,SUM($D$20:$D$31),0))/12*$M$1)*VLOOKUP($B675,Paraméterek!$B$27:$D$30,IF($D$2="Egyszeri",3,2)),IF($D$4="Forint",0,2))</f>
        <v>0</v>
      </c>
      <c r="L675" s="13">
        <f t="shared" si="154"/>
        <v>0</v>
      </c>
      <c r="M675" s="13">
        <f t="shared" ca="1" si="160"/>
        <v>-546684</v>
      </c>
      <c r="N675" s="13">
        <f ca="1">IF($V674&gt;=VLOOKUP($M$4-1+$B675,Paraméterek!$B$121:$D$122,IF($D$4="Forint",2,3)),0,VLOOKUP($M$4-1+$B675,Paraméterek!$B$121:$D$122,IF($D$4="Forint",2,3))-$V674)</f>
        <v>556684</v>
      </c>
      <c r="O675" s="13">
        <f ca="1">ROUNDUP($N675*Paraméterek!$C$58/Paraméterek!$C$56,IF($D$4="Forint",0,2))</f>
        <v>89</v>
      </c>
      <c r="P675" s="13">
        <f t="shared" si="155"/>
        <v>2714</v>
      </c>
      <c r="Q675" s="33"/>
      <c r="R675" s="13">
        <f t="shared" ca="1" si="156"/>
        <v>0</v>
      </c>
      <c r="S675" s="13">
        <f ca="1">ROUNDUP(($M675-$O675-$P675+$R675)*VLOOKUP($B675,Paraméterek!$B$38:$D$39,IF($D$2="Egyszeri",3,2))/12,IF($D$4="Forint",0,2))</f>
        <v>-1342</v>
      </c>
      <c r="T675" s="13"/>
      <c r="U675" s="13"/>
      <c r="V675" s="13">
        <f ca="1">$M675-$O675-$P675+$R675-$S675-IF(ROUNDUP(IF(ISBLANK($U675),$T675,$U675)/IF(AND($B675=1,$D$2&lt;&gt;"Egyszeri"),1,VLOOKUP($B675+IF($C675=12,1,0),Paraméterek!$B$257:$D$267,IF($D$2="Egyszeri",3,2))),IF($D$4="Forint",0,2))&gt;$M675-$O675-$P675+$R675-$S675-IF($D$4="Forint",Paraméterek!$C$216,Paraméterek!$D$216),0,ROUNDUP(IF(ISBLANK($U675),$T675,$U675)/IF(AND($B675=1,$D$2&lt;&gt;"Egyszeri"),1,VLOOKUP($B675+IF($C675=12,1,0),Paraméterek!$B$257:$D$267,IF($D$2="Egyszeri",3,2))),IF($D$4="Forint",0,2)))</f>
        <v>-548145</v>
      </c>
      <c r="W675" s="13">
        <f ca="1">ROUNDDOWN($V675*VLOOKUP($B675+IF($C675=12,1,0),Paraméterek!$B$257:$D$267,IF($D$2="Egyszeri",3,2)),IF($D$4="Forint",0,2))</f>
        <v>-548145</v>
      </c>
      <c r="Y675" s="32">
        <v>656</v>
      </c>
      <c r="Z675" s="32">
        <v>55</v>
      </c>
      <c r="AA675" s="32">
        <v>8</v>
      </c>
      <c r="AB675" s="13">
        <f t="shared" si="161"/>
        <v>0</v>
      </c>
      <c r="AC675" s="33"/>
      <c r="AD675" s="13">
        <f t="shared" si="157"/>
        <v>0</v>
      </c>
      <c r="AE675" s="13">
        <f>ROUNDUP(($AB675+$AD675)*VLOOKUP($Z675,Paraméterek!$P$38:$Q$38,2)/12,IF($D$4="Forint",0,2))</f>
        <v>0</v>
      </c>
      <c r="AF675" s="13">
        <f>IF($D$2="Egyszeri",IF($D$7&gt;=IF($D$4="Forint",Paraméterek!$P$223,Paraméterek!$P$224),$D$7-IF($D$4="Forint",Paraméterek!$F$223,Paraméterek!$F$224),0),MIN(IF($AA675=12,AVERAGE($D$20:$D675)*12,0),SUM($D$20:$D$31)))</f>
        <v>0</v>
      </c>
      <c r="AG675" s="13">
        <f>IF(AND($Z675&gt;=10,MOD($Z675,5)=0),$AF675*IF($AA675=12,VLOOKUP($Z675,Paraméterek!$B$225:$F$240,IF($AF675&lt;IF($D$4="Forint",Paraméterek!$C$223,Paraméterek!$C$224),2,IF($AF675&lt;IF($D$4="Forint",Paraméterek!$D$223,Paraméterek!$D$224),3,4))),0),0)</f>
        <v>0</v>
      </c>
      <c r="AH675" s="13">
        <f>IF(AND($Z675&gt;=5,MOD($Z675,5)=0),IF($AA675=12,VLOOKUP($Z675,Paraméterek!$B$225:$F$240,5),0),IF(OR($Z675=3,$Z675=4),IF($AA675=12,VLOOKUP($Z675,Paraméterek!$B$225:$F$240,5,0),0),0))*$AF675</f>
        <v>0</v>
      </c>
      <c r="AI675" s="13">
        <f>ROUNDDOWN(IF(SUM($T$20:$U675)=0,IF($D$2="Egyszeri",$AH675,$AG675),0),IF($D$4="Forint",0,2))</f>
        <v>0</v>
      </c>
      <c r="AJ675" s="13">
        <f t="shared" si="162"/>
        <v>0</v>
      </c>
      <c r="AK675" s="13">
        <f t="shared" si="163"/>
        <v>0</v>
      </c>
      <c r="AM675" s="32">
        <v>656</v>
      </c>
      <c r="AN675" s="32">
        <v>55</v>
      </c>
      <c r="AO675" s="32">
        <v>8</v>
      </c>
      <c r="AP675" s="13"/>
      <c r="AQ675" s="32"/>
      <c r="AR675" s="13">
        <f t="shared" si="164"/>
        <v>0</v>
      </c>
      <c r="AS675" s="33"/>
      <c r="AT675" s="13">
        <f t="shared" si="158"/>
        <v>0</v>
      </c>
      <c r="AU675" s="13">
        <f>ROUNDUP(($AR675+$AT675)*VLOOKUP($AN675,Paraméterek!$P$38:$Q$38,2)/12,IF($D$4="Forint",0,2))</f>
        <v>0</v>
      </c>
      <c r="AV675" s="13"/>
      <c r="AW675" s="13"/>
      <c r="AX675" s="13">
        <f>ROUNDUP(IF(SUM($AV675:$AW675)=0,0,IF(IF(ISBLANK($AW675),$AV675,$AW675)*Paraméterek!$J$112&lt;IF($D$4="Forint",Paraméterek!$J$113,Paraméterek!$K$113),IF($D$4="Forint",Paraméterek!$J$113,Paraméterek!$K$113),IF(IF(ISBLANK($AW675),$AV675,$AW675)*Paraméterek!$J$112&gt;IF($D$4="Forint",Paraméterek!$J$114,Paraméterek!$K$114),IF($D$4="Forint",Paraméterek!$J$114,Paraméterek!$K$114),IF(ISBLANK($AW675),$AV675,$AW675)*Paraméterek!$J$112))),IF($D$4="Forint",0,2))</f>
        <v>0</v>
      </c>
      <c r="AY675" s="13">
        <f>$AR675+$AT675-$AU675-IF(ROUNDDOWN(IF(ISBLANK($AW675),$AV675,$AW675),IF($D$4="Forint",0,2))&gt;$AR675+$AT675-$AU675-IF($D$4="Forint",Paraméterek!$J$114,Paraméterek!$K$114),0,ROUNDDOWN(IF(ISBLANK($AW675),$AV675,$AW675),IF($D$4="Forint",0,2))-$AX675)</f>
        <v>0</v>
      </c>
      <c r="AZ675" s="13">
        <f t="shared" si="159"/>
        <v>0</v>
      </c>
    </row>
    <row r="676" spans="1:52" x14ac:dyDescent="0.2">
      <c r="A676" s="32">
        <v>657</v>
      </c>
      <c r="B676" s="32">
        <v>55</v>
      </c>
      <c r="C676" s="32">
        <v>9</v>
      </c>
      <c r="D676" s="13">
        <f t="shared" si="150"/>
        <v>0</v>
      </c>
      <c r="E676" s="13"/>
      <c r="F676" s="13"/>
      <c r="G676" s="13"/>
      <c r="H676" s="13">
        <f t="shared" si="151"/>
        <v>0</v>
      </c>
      <c r="I676" s="13">
        <f t="shared" si="152"/>
        <v>0</v>
      </c>
      <c r="J676" s="13">
        <f t="shared" si="153"/>
        <v>0</v>
      </c>
      <c r="K676" s="13">
        <f>ROUNDUP(IF($D$2="Egyszeri",$D676,IF($D$2="Havi",SUM($D$20:$D$31),IF(MOD($C676,$M$1)-1=0,SUM($D$20:$D$31),0))/12*$M$1)*VLOOKUP($B676,Paraméterek!$B$27:$D$30,IF($D$2="Egyszeri",3,2)),IF($D$4="Forint",0,2))</f>
        <v>0</v>
      </c>
      <c r="L676" s="13">
        <f t="shared" si="154"/>
        <v>0</v>
      </c>
      <c r="M676" s="13">
        <f t="shared" ca="1" si="160"/>
        <v>-548145</v>
      </c>
      <c r="N676" s="13">
        <f ca="1">IF($V675&gt;=VLOOKUP($M$4-1+$B676,Paraméterek!$B$121:$D$122,IF($D$4="Forint",2,3)),0,VLOOKUP($M$4-1+$B676,Paraméterek!$B$121:$D$122,IF($D$4="Forint",2,3))-$V675)</f>
        <v>558145</v>
      </c>
      <c r="O676" s="13">
        <f ca="1">ROUNDUP($N676*Paraméterek!$C$58/Paraméterek!$C$56,IF($D$4="Forint",0,2))</f>
        <v>89</v>
      </c>
      <c r="P676" s="13">
        <f t="shared" si="155"/>
        <v>2714</v>
      </c>
      <c r="Q676" s="33"/>
      <c r="R676" s="13">
        <f t="shared" ca="1" si="156"/>
        <v>0</v>
      </c>
      <c r="S676" s="13">
        <f ca="1">ROUNDUP(($M676-$O676-$P676+$R676)*VLOOKUP($B676,Paraméterek!$B$38:$D$39,IF($D$2="Egyszeri",3,2))/12,IF($D$4="Forint",0,2))</f>
        <v>-1346</v>
      </c>
      <c r="T676" s="13"/>
      <c r="U676" s="13"/>
      <c r="V676" s="13">
        <f ca="1">$M676-$O676-$P676+$R676-$S676-IF(ROUNDUP(IF(ISBLANK($U676),$T676,$U676)/IF(AND($B676=1,$D$2&lt;&gt;"Egyszeri"),1,VLOOKUP($B676+IF($C676=12,1,0),Paraméterek!$B$257:$D$267,IF($D$2="Egyszeri",3,2))),IF($D$4="Forint",0,2))&gt;$M676-$O676-$P676+$R676-$S676-IF($D$4="Forint",Paraméterek!$C$216,Paraméterek!$D$216),0,ROUNDUP(IF(ISBLANK($U676),$T676,$U676)/IF(AND($B676=1,$D$2&lt;&gt;"Egyszeri"),1,VLOOKUP($B676+IF($C676=12,1,0),Paraméterek!$B$257:$D$267,IF($D$2="Egyszeri",3,2))),IF($D$4="Forint",0,2)))</f>
        <v>-549602</v>
      </c>
      <c r="W676" s="13">
        <f ca="1">ROUNDDOWN($V676*VLOOKUP($B676+IF($C676=12,1,0),Paraméterek!$B$257:$D$267,IF($D$2="Egyszeri",3,2)),IF($D$4="Forint",0,2))</f>
        <v>-549602</v>
      </c>
      <c r="Y676" s="32">
        <v>657</v>
      </c>
      <c r="Z676" s="32">
        <v>55</v>
      </c>
      <c r="AA676" s="32">
        <v>9</v>
      </c>
      <c r="AB676" s="13">
        <f t="shared" si="161"/>
        <v>0</v>
      </c>
      <c r="AC676" s="33"/>
      <c r="AD676" s="13">
        <f t="shared" si="157"/>
        <v>0</v>
      </c>
      <c r="AE676" s="13">
        <f>ROUNDUP(($AB676+$AD676)*VLOOKUP($Z676,Paraméterek!$P$38:$Q$38,2)/12,IF($D$4="Forint",0,2))</f>
        <v>0</v>
      </c>
      <c r="AF676" s="13">
        <f>IF($D$2="Egyszeri",IF($D$7&gt;=IF($D$4="Forint",Paraméterek!$P$223,Paraméterek!$P$224),$D$7-IF($D$4="Forint",Paraméterek!$F$223,Paraméterek!$F$224),0),MIN(IF($AA676=12,AVERAGE($D$20:$D676)*12,0),SUM($D$20:$D$31)))</f>
        <v>0</v>
      </c>
      <c r="AG676" s="13">
        <f>IF(AND($Z676&gt;=10,MOD($Z676,5)=0),$AF676*IF($AA676=12,VLOOKUP($Z676,Paraméterek!$B$225:$F$240,IF($AF676&lt;IF($D$4="Forint",Paraméterek!$C$223,Paraméterek!$C$224),2,IF($AF676&lt;IF($D$4="Forint",Paraméterek!$D$223,Paraméterek!$D$224),3,4))),0),0)</f>
        <v>0</v>
      </c>
      <c r="AH676" s="13">
        <f>IF(AND($Z676&gt;=5,MOD($Z676,5)=0),IF($AA676=12,VLOOKUP($Z676,Paraméterek!$B$225:$F$240,5),0),IF(OR($Z676=3,$Z676=4),IF($AA676=12,VLOOKUP($Z676,Paraméterek!$B$225:$F$240,5,0),0),0))*$AF676</f>
        <v>0</v>
      </c>
      <c r="AI676" s="13">
        <f>ROUNDDOWN(IF(SUM($T$20:$U676)=0,IF($D$2="Egyszeri",$AH676,$AG676),0),IF($D$4="Forint",0,2))</f>
        <v>0</v>
      </c>
      <c r="AJ676" s="13">
        <f t="shared" si="162"/>
        <v>0</v>
      </c>
      <c r="AK676" s="13">
        <f t="shared" si="163"/>
        <v>0</v>
      </c>
      <c r="AM676" s="32">
        <v>657</v>
      </c>
      <c r="AN676" s="32">
        <v>55</v>
      </c>
      <c r="AO676" s="32">
        <v>9</v>
      </c>
      <c r="AP676" s="13"/>
      <c r="AQ676" s="32"/>
      <c r="AR676" s="13">
        <f t="shared" si="164"/>
        <v>0</v>
      </c>
      <c r="AS676" s="33"/>
      <c r="AT676" s="13">
        <f t="shared" si="158"/>
        <v>0</v>
      </c>
      <c r="AU676" s="13">
        <f>ROUNDUP(($AR676+$AT676)*VLOOKUP($AN676,Paraméterek!$P$38:$Q$38,2)/12,IF($D$4="Forint",0,2))</f>
        <v>0</v>
      </c>
      <c r="AV676" s="13"/>
      <c r="AW676" s="13"/>
      <c r="AX676" s="13">
        <f>ROUNDUP(IF(SUM($AV676:$AW676)=0,0,IF(IF(ISBLANK($AW676),$AV676,$AW676)*Paraméterek!$J$112&lt;IF($D$4="Forint",Paraméterek!$J$113,Paraméterek!$K$113),IF($D$4="Forint",Paraméterek!$J$113,Paraméterek!$K$113),IF(IF(ISBLANK($AW676),$AV676,$AW676)*Paraméterek!$J$112&gt;IF($D$4="Forint",Paraméterek!$J$114,Paraméterek!$K$114),IF($D$4="Forint",Paraméterek!$J$114,Paraméterek!$K$114),IF(ISBLANK($AW676),$AV676,$AW676)*Paraméterek!$J$112))),IF($D$4="Forint",0,2))</f>
        <v>0</v>
      </c>
      <c r="AY676" s="13">
        <f>$AR676+$AT676-$AU676-IF(ROUNDDOWN(IF(ISBLANK($AW676),$AV676,$AW676),IF($D$4="Forint",0,2))&gt;$AR676+$AT676-$AU676-IF($D$4="Forint",Paraméterek!$J$114,Paraméterek!$K$114),0,ROUNDDOWN(IF(ISBLANK($AW676),$AV676,$AW676),IF($D$4="Forint",0,2))-$AX676)</f>
        <v>0</v>
      </c>
      <c r="AZ676" s="13">
        <f t="shared" si="159"/>
        <v>0</v>
      </c>
    </row>
    <row r="677" spans="1:52" x14ac:dyDescent="0.2">
      <c r="A677" s="32">
        <v>658</v>
      </c>
      <c r="B677" s="32">
        <v>55</v>
      </c>
      <c r="C677" s="32">
        <v>10</v>
      </c>
      <c r="D677" s="13">
        <f t="shared" si="150"/>
        <v>0</v>
      </c>
      <c r="E677" s="13"/>
      <c r="F677" s="13"/>
      <c r="G677" s="13"/>
      <c r="H677" s="13">
        <f t="shared" si="151"/>
        <v>0</v>
      </c>
      <c r="I677" s="13">
        <f t="shared" si="152"/>
        <v>0</v>
      </c>
      <c r="J677" s="13">
        <f t="shared" si="153"/>
        <v>0</v>
      </c>
      <c r="K677" s="13">
        <f>ROUNDUP(IF($D$2="Egyszeri",$D677,IF($D$2="Havi",SUM($D$20:$D$31),IF(MOD($C677,$M$1)-1=0,SUM($D$20:$D$31),0))/12*$M$1)*VLOOKUP($B677,Paraméterek!$B$27:$D$30,IF($D$2="Egyszeri",3,2)),IF($D$4="Forint",0,2))</f>
        <v>0</v>
      </c>
      <c r="L677" s="13">
        <f t="shared" si="154"/>
        <v>0</v>
      </c>
      <c r="M677" s="13">
        <f t="shared" ca="1" si="160"/>
        <v>-549602</v>
      </c>
      <c r="N677" s="13">
        <f ca="1">IF($V676&gt;=VLOOKUP($M$4-1+$B677,Paraméterek!$B$121:$D$122,IF($D$4="Forint",2,3)),0,VLOOKUP($M$4-1+$B677,Paraméterek!$B$121:$D$122,IF($D$4="Forint",2,3))-$V676)</f>
        <v>559602</v>
      </c>
      <c r="O677" s="13">
        <f ca="1">ROUNDUP($N677*Paraméterek!$C$58/Paraméterek!$C$56,IF($D$4="Forint",0,2))</f>
        <v>90</v>
      </c>
      <c r="P677" s="13">
        <f t="shared" si="155"/>
        <v>2714</v>
      </c>
      <c r="Q677" s="33"/>
      <c r="R677" s="13">
        <f t="shared" ca="1" si="156"/>
        <v>0</v>
      </c>
      <c r="S677" s="13">
        <f ca="1">ROUNDUP(($M677-$O677-$P677+$R677)*VLOOKUP($B677,Paraméterek!$B$38:$D$39,IF($D$2="Egyszeri",3,2))/12,IF($D$4="Forint",0,2))</f>
        <v>-1349</v>
      </c>
      <c r="T677" s="13"/>
      <c r="U677" s="13"/>
      <c r="V677" s="13">
        <f ca="1">$M677-$O677-$P677+$R677-$S677-IF(ROUNDUP(IF(ISBLANK($U677),$T677,$U677)/IF(AND($B677=1,$D$2&lt;&gt;"Egyszeri"),1,VLOOKUP($B677+IF($C677=12,1,0),Paraméterek!$B$257:$D$267,IF($D$2="Egyszeri",3,2))),IF($D$4="Forint",0,2))&gt;$M677-$O677-$P677+$R677-$S677-IF($D$4="Forint",Paraméterek!$C$216,Paraméterek!$D$216),0,ROUNDUP(IF(ISBLANK($U677),$T677,$U677)/IF(AND($B677=1,$D$2&lt;&gt;"Egyszeri"),1,VLOOKUP($B677+IF($C677=12,1,0),Paraméterek!$B$257:$D$267,IF($D$2="Egyszeri",3,2))),IF($D$4="Forint",0,2)))</f>
        <v>-551057</v>
      </c>
      <c r="W677" s="13">
        <f ca="1">ROUNDDOWN($V677*VLOOKUP($B677+IF($C677=12,1,0),Paraméterek!$B$257:$D$267,IF($D$2="Egyszeri",3,2)),IF($D$4="Forint",0,2))</f>
        <v>-551057</v>
      </c>
      <c r="Y677" s="32">
        <v>658</v>
      </c>
      <c r="Z677" s="32">
        <v>55</v>
      </c>
      <c r="AA677" s="32">
        <v>10</v>
      </c>
      <c r="AB677" s="13">
        <f t="shared" si="161"/>
        <v>0</v>
      </c>
      <c r="AC677" s="33"/>
      <c r="AD677" s="13">
        <f t="shared" si="157"/>
        <v>0</v>
      </c>
      <c r="AE677" s="13">
        <f>ROUNDUP(($AB677+$AD677)*VLOOKUP($Z677,Paraméterek!$P$38:$Q$38,2)/12,IF($D$4="Forint",0,2))</f>
        <v>0</v>
      </c>
      <c r="AF677" s="13">
        <f>IF($D$2="Egyszeri",IF($D$7&gt;=IF($D$4="Forint",Paraméterek!$P$223,Paraméterek!$P$224),$D$7-IF($D$4="Forint",Paraméterek!$F$223,Paraméterek!$F$224),0),MIN(IF($AA677=12,AVERAGE($D$20:$D677)*12,0),SUM($D$20:$D$31)))</f>
        <v>0</v>
      </c>
      <c r="AG677" s="13">
        <f>IF(AND($Z677&gt;=10,MOD($Z677,5)=0),$AF677*IF($AA677=12,VLOOKUP($Z677,Paraméterek!$B$225:$F$240,IF($AF677&lt;IF($D$4="Forint",Paraméterek!$C$223,Paraméterek!$C$224),2,IF($AF677&lt;IF($D$4="Forint",Paraméterek!$D$223,Paraméterek!$D$224),3,4))),0),0)</f>
        <v>0</v>
      </c>
      <c r="AH677" s="13">
        <f>IF(AND($Z677&gt;=5,MOD($Z677,5)=0),IF($AA677=12,VLOOKUP($Z677,Paraméterek!$B$225:$F$240,5),0),IF(OR($Z677=3,$Z677=4),IF($AA677=12,VLOOKUP($Z677,Paraméterek!$B$225:$F$240,5,0),0),0))*$AF677</f>
        <v>0</v>
      </c>
      <c r="AI677" s="13">
        <f>ROUNDDOWN(IF(SUM($T$20:$U677)=0,IF($D$2="Egyszeri",$AH677,$AG677),0),IF($D$4="Forint",0,2))</f>
        <v>0</v>
      </c>
      <c r="AJ677" s="13">
        <f t="shared" si="162"/>
        <v>0</v>
      </c>
      <c r="AK677" s="13">
        <f t="shared" si="163"/>
        <v>0</v>
      </c>
      <c r="AM677" s="32">
        <v>658</v>
      </c>
      <c r="AN677" s="32">
        <v>55</v>
      </c>
      <c r="AO677" s="32">
        <v>10</v>
      </c>
      <c r="AP677" s="13"/>
      <c r="AQ677" s="32"/>
      <c r="AR677" s="13">
        <f t="shared" si="164"/>
        <v>0</v>
      </c>
      <c r="AS677" s="33"/>
      <c r="AT677" s="13">
        <f t="shared" si="158"/>
        <v>0</v>
      </c>
      <c r="AU677" s="13">
        <f>ROUNDUP(($AR677+$AT677)*VLOOKUP($AN677,Paraméterek!$P$38:$Q$38,2)/12,IF($D$4="Forint",0,2))</f>
        <v>0</v>
      </c>
      <c r="AV677" s="13"/>
      <c r="AW677" s="13"/>
      <c r="AX677" s="13">
        <f>ROUNDUP(IF(SUM($AV677:$AW677)=0,0,IF(IF(ISBLANK($AW677),$AV677,$AW677)*Paraméterek!$J$112&lt;IF($D$4="Forint",Paraméterek!$J$113,Paraméterek!$K$113),IF($D$4="Forint",Paraméterek!$J$113,Paraméterek!$K$113),IF(IF(ISBLANK($AW677),$AV677,$AW677)*Paraméterek!$J$112&gt;IF($D$4="Forint",Paraméterek!$J$114,Paraméterek!$K$114),IF($D$4="Forint",Paraméterek!$J$114,Paraméterek!$K$114),IF(ISBLANK($AW677),$AV677,$AW677)*Paraméterek!$J$112))),IF($D$4="Forint",0,2))</f>
        <v>0</v>
      </c>
      <c r="AY677" s="13">
        <f>$AR677+$AT677-$AU677-IF(ROUNDDOWN(IF(ISBLANK($AW677),$AV677,$AW677),IF($D$4="Forint",0,2))&gt;$AR677+$AT677-$AU677-IF($D$4="Forint",Paraméterek!$J$114,Paraméterek!$K$114),0,ROUNDDOWN(IF(ISBLANK($AW677),$AV677,$AW677),IF($D$4="Forint",0,2))-$AX677)</f>
        <v>0</v>
      </c>
      <c r="AZ677" s="13">
        <f t="shared" si="159"/>
        <v>0</v>
      </c>
    </row>
    <row r="678" spans="1:52" x14ac:dyDescent="0.2">
      <c r="A678" s="32">
        <v>659</v>
      </c>
      <c r="B678" s="32">
        <v>55</v>
      </c>
      <c r="C678" s="32">
        <v>11</v>
      </c>
      <c r="D678" s="13">
        <f t="shared" si="150"/>
        <v>0</v>
      </c>
      <c r="E678" s="13"/>
      <c r="F678" s="13"/>
      <c r="G678" s="13"/>
      <c r="H678" s="13">
        <f t="shared" si="151"/>
        <v>0</v>
      </c>
      <c r="I678" s="13">
        <f t="shared" si="152"/>
        <v>0</v>
      </c>
      <c r="J678" s="13">
        <f t="shared" si="153"/>
        <v>0</v>
      </c>
      <c r="K678" s="13">
        <f>ROUNDUP(IF($D$2="Egyszeri",$D678,IF($D$2="Havi",SUM($D$20:$D$31),IF(MOD($C678,$M$1)-1=0,SUM($D$20:$D$31),0))/12*$M$1)*VLOOKUP($B678,Paraméterek!$B$27:$D$30,IF($D$2="Egyszeri",3,2)),IF($D$4="Forint",0,2))</f>
        <v>0</v>
      </c>
      <c r="L678" s="13">
        <f t="shared" si="154"/>
        <v>0</v>
      </c>
      <c r="M678" s="13">
        <f t="shared" ca="1" si="160"/>
        <v>-551057</v>
      </c>
      <c r="N678" s="13">
        <f ca="1">IF($V677&gt;=VLOOKUP($M$4-1+$B678,Paraméterek!$B$121:$D$122,IF($D$4="Forint",2,3)),0,VLOOKUP($M$4-1+$B678,Paraméterek!$B$121:$D$122,IF($D$4="Forint",2,3))-$V677)</f>
        <v>561057</v>
      </c>
      <c r="O678" s="13">
        <f ca="1">ROUNDUP($N678*Paraméterek!$C$58/Paraméterek!$C$56,IF($D$4="Forint",0,2))</f>
        <v>90</v>
      </c>
      <c r="P678" s="13">
        <f t="shared" si="155"/>
        <v>2714</v>
      </c>
      <c r="Q678" s="33"/>
      <c r="R678" s="13">
        <f t="shared" ca="1" si="156"/>
        <v>0</v>
      </c>
      <c r="S678" s="13">
        <f ca="1">ROUNDUP(($M678-$O678-$P678+$R678)*VLOOKUP($B678,Paraméterek!$B$38:$D$39,IF($D$2="Egyszeri",3,2))/12,IF($D$4="Forint",0,2))</f>
        <v>-1353</v>
      </c>
      <c r="T678" s="13"/>
      <c r="U678" s="13"/>
      <c r="V678" s="13">
        <f ca="1">$M678-$O678-$P678+$R678-$S678-IF(ROUNDUP(IF(ISBLANK($U678),$T678,$U678)/IF(AND($B678=1,$D$2&lt;&gt;"Egyszeri"),1,VLOOKUP($B678+IF($C678=12,1,0),Paraméterek!$B$257:$D$267,IF($D$2="Egyszeri",3,2))),IF($D$4="Forint",0,2))&gt;$M678-$O678-$P678+$R678-$S678-IF($D$4="Forint",Paraméterek!$C$216,Paraméterek!$D$216),0,ROUNDUP(IF(ISBLANK($U678),$T678,$U678)/IF(AND($B678=1,$D$2&lt;&gt;"Egyszeri"),1,VLOOKUP($B678+IF($C678=12,1,0),Paraméterek!$B$257:$D$267,IF($D$2="Egyszeri",3,2))),IF($D$4="Forint",0,2)))</f>
        <v>-552508</v>
      </c>
      <c r="W678" s="13">
        <f ca="1">ROUNDDOWN($V678*VLOOKUP($B678+IF($C678=12,1,0),Paraméterek!$B$257:$D$267,IF($D$2="Egyszeri",3,2)),IF($D$4="Forint",0,2))</f>
        <v>-552508</v>
      </c>
      <c r="Y678" s="32">
        <v>659</v>
      </c>
      <c r="Z678" s="32">
        <v>55</v>
      </c>
      <c r="AA678" s="32">
        <v>11</v>
      </c>
      <c r="AB678" s="13">
        <f t="shared" si="161"/>
        <v>0</v>
      </c>
      <c r="AC678" s="33"/>
      <c r="AD678" s="13">
        <f t="shared" si="157"/>
        <v>0</v>
      </c>
      <c r="AE678" s="13">
        <f>ROUNDUP(($AB678+$AD678)*VLOOKUP($Z678,Paraméterek!$P$38:$Q$38,2)/12,IF($D$4="Forint",0,2))</f>
        <v>0</v>
      </c>
      <c r="AF678" s="13">
        <f>IF($D$2="Egyszeri",IF($D$7&gt;=IF($D$4="Forint",Paraméterek!$P$223,Paraméterek!$P$224),$D$7-IF($D$4="Forint",Paraméterek!$F$223,Paraméterek!$F$224),0),MIN(IF($AA678=12,AVERAGE($D$20:$D678)*12,0),SUM($D$20:$D$31)))</f>
        <v>0</v>
      </c>
      <c r="AG678" s="13">
        <f>IF(AND($Z678&gt;=10,MOD($Z678,5)=0),$AF678*IF($AA678=12,VLOOKUP($Z678,Paraméterek!$B$225:$F$240,IF($AF678&lt;IF($D$4="Forint",Paraméterek!$C$223,Paraméterek!$C$224),2,IF($AF678&lt;IF($D$4="Forint",Paraméterek!$D$223,Paraméterek!$D$224),3,4))),0),0)</f>
        <v>0</v>
      </c>
      <c r="AH678" s="13">
        <f>IF(AND($Z678&gt;=5,MOD($Z678,5)=0),IF($AA678=12,VLOOKUP($Z678,Paraméterek!$B$225:$F$240,5),0),IF(OR($Z678=3,$Z678=4),IF($AA678=12,VLOOKUP($Z678,Paraméterek!$B$225:$F$240,5,0),0),0))*$AF678</f>
        <v>0</v>
      </c>
      <c r="AI678" s="13">
        <f>ROUNDDOWN(IF(SUM($T$20:$U678)=0,IF($D$2="Egyszeri",$AH678,$AG678),0),IF($D$4="Forint",0,2))</f>
        <v>0</v>
      </c>
      <c r="AJ678" s="13">
        <f t="shared" si="162"/>
        <v>0</v>
      </c>
      <c r="AK678" s="13">
        <f t="shared" si="163"/>
        <v>0</v>
      </c>
      <c r="AM678" s="32">
        <v>659</v>
      </c>
      <c r="AN678" s="32">
        <v>55</v>
      </c>
      <c r="AO678" s="32">
        <v>11</v>
      </c>
      <c r="AP678" s="13"/>
      <c r="AQ678" s="32"/>
      <c r="AR678" s="13">
        <f t="shared" si="164"/>
        <v>0</v>
      </c>
      <c r="AS678" s="33"/>
      <c r="AT678" s="13">
        <f t="shared" si="158"/>
        <v>0</v>
      </c>
      <c r="AU678" s="13">
        <f>ROUNDUP(($AR678+$AT678)*VLOOKUP($AN678,Paraméterek!$P$38:$Q$38,2)/12,IF($D$4="Forint",0,2))</f>
        <v>0</v>
      </c>
      <c r="AV678" s="13"/>
      <c r="AW678" s="13"/>
      <c r="AX678" s="13">
        <f>ROUNDUP(IF(SUM($AV678:$AW678)=0,0,IF(IF(ISBLANK($AW678),$AV678,$AW678)*Paraméterek!$J$112&lt;IF($D$4="Forint",Paraméterek!$J$113,Paraméterek!$K$113),IF($D$4="Forint",Paraméterek!$J$113,Paraméterek!$K$113),IF(IF(ISBLANK($AW678),$AV678,$AW678)*Paraméterek!$J$112&gt;IF($D$4="Forint",Paraméterek!$J$114,Paraméterek!$K$114),IF($D$4="Forint",Paraméterek!$J$114,Paraméterek!$K$114),IF(ISBLANK($AW678),$AV678,$AW678)*Paraméterek!$J$112))),IF($D$4="Forint",0,2))</f>
        <v>0</v>
      </c>
      <c r="AY678" s="13">
        <f>$AR678+$AT678-$AU678-IF(ROUNDDOWN(IF(ISBLANK($AW678),$AV678,$AW678),IF($D$4="Forint",0,2))&gt;$AR678+$AT678-$AU678-IF($D$4="Forint",Paraméterek!$J$114,Paraméterek!$K$114),0,ROUNDDOWN(IF(ISBLANK($AW678),$AV678,$AW678),IF($D$4="Forint",0,2))-$AX678)</f>
        <v>0</v>
      </c>
      <c r="AZ678" s="13">
        <f t="shared" si="159"/>
        <v>0</v>
      </c>
    </row>
    <row r="679" spans="1:52" x14ac:dyDescent="0.2">
      <c r="A679" s="32">
        <v>660</v>
      </c>
      <c r="B679" s="32">
        <v>55</v>
      </c>
      <c r="C679" s="32">
        <v>12</v>
      </c>
      <c r="D679" s="13">
        <f t="shared" si="150"/>
        <v>0</v>
      </c>
      <c r="E679" s="13"/>
      <c r="F679" s="13"/>
      <c r="G679" s="13"/>
      <c r="H679" s="13">
        <f t="shared" si="151"/>
        <v>0</v>
      </c>
      <c r="I679" s="13">
        <f t="shared" si="152"/>
        <v>0</v>
      </c>
      <c r="J679" s="13">
        <f t="shared" si="153"/>
        <v>0</v>
      </c>
      <c r="K679" s="13">
        <f>ROUNDUP(IF($D$2="Egyszeri",$D679,IF($D$2="Havi",SUM($D$20:$D$31),IF(MOD($C679,$M$1)-1=0,SUM($D$20:$D$31),0))/12*$M$1)*VLOOKUP($B679,Paraméterek!$B$27:$D$30,IF($D$2="Egyszeri",3,2)),IF($D$4="Forint",0,2))</f>
        <v>0</v>
      </c>
      <c r="L679" s="13">
        <f t="shared" si="154"/>
        <v>0</v>
      </c>
      <c r="M679" s="13">
        <f t="shared" ca="1" si="160"/>
        <v>-552508</v>
      </c>
      <c r="N679" s="13">
        <f ca="1">IF($V678&gt;=VLOOKUP($M$4-1+$B679,Paraméterek!$B$121:$D$122,IF($D$4="Forint",2,3)),0,VLOOKUP($M$4-1+$B679,Paraméterek!$B$121:$D$122,IF($D$4="Forint",2,3))-$V678)</f>
        <v>562508</v>
      </c>
      <c r="O679" s="13">
        <f ca="1">ROUNDUP($N679*Paraméterek!$C$58/Paraméterek!$C$56,IF($D$4="Forint",0,2))</f>
        <v>90</v>
      </c>
      <c r="P679" s="13">
        <f t="shared" si="155"/>
        <v>2714</v>
      </c>
      <c r="Q679" s="33"/>
      <c r="R679" s="13">
        <f t="shared" ca="1" si="156"/>
        <v>0</v>
      </c>
      <c r="S679" s="13">
        <f ca="1">ROUNDUP(($M679-$O679-$P679+$R679)*VLOOKUP($B679,Paraméterek!$B$38:$D$39,IF($D$2="Egyszeri",3,2))/12,IF($D$4="Forint",0,2))</f>
        <v>-1356</v>
      </c>
      <c r="T679" s="13">
        <f>Tranzakciók!$F$86</f>
        <v>0</v>
      </c>
      <c r="U679" s="13"/>
      <c r="V679" s="13">
        <f ca="1">$M679-$O679-$P679+$R679-$S679-IF(ROUNDUP(IF(ISBLANK($U679),$T679,$U679)/IF(AND($B679=1,$D$2&lt;&gt;"Egyszeri"),1,VLOOKUP($B679+IF($C679=12,1,0),Paraméterek!$B$257:$D$267,IF($D$2="Egyszeri",3,2))),IF($D$4="Forint",0,2))&gt;$M679-$O679-$P679+$R679-$S679-IF($D$4="Forint",Paraméterek!$C$216,Paraméterek!$D$216),0,ROUNDUP(IF(ISBLANK($U679),$T679,$U679)/IF(AND($B679=1,$D$2&lt;&gt;"Egyszeri"),1,VLOOKUP($B679+IF($C679=12,1,0),Paraméterek!$B$257:$D$267,IF($D$2="Egyszeri",3,2))),IF($D$4="Forint",0,2)))</f>
        <v>-553956</v>
      </c>
      <c r="W679" s="13">
        <f ca="1">ROUNDDOWN($V679*VLOOKUP($B679+IF($C679=12,1,0),Paraméterek!$B$257:$D$267,IF($D$2="Egyszeri",3,2)),IF($D$4="Forint",0,2))</f>
        <v>-553956</v>
      </c>
      <c r="Y679" s="32">
        <v>660</v>
      </c>
      <c r="Z679" s="32">
        <v>55</v>
      </c>
      <c r="AA679" s="32">
        <v>12</v>
      </c>
      <c r="AB679" s="13">
        <f t="shared" si="161"/>
        <v>0</v>
      </c>
      <c r="AC679" s="33"/>
      <c r="AD679" s="13">
        <f t="shared" si="157"/>
        <v>0</v>
      </c>
      <c r="AE679" s="13">
        <f>ROUNDUP(($AB679+$AD679)*VLOOKUP($Z679,Paraméterek!$P$38:$Q$38,2)/12,IF($D$4="Forint",0,2))</f>
        <v>0</v>
      </c>
      <c r="AF679" s="13">
        <f>IF($D$2="Egyszeri",IF($D$7&gt;=IF($D$4="Forint",Paraméterek!$P$223,Paraméterek!$P$224),$D$7-IF($D$4="Forint",Paraméterek!$F$223,Paraméterek!$F$224),0),MIN(IF($AA679=12,AVERAGE($D$20:$D679)*12,0),SUM($D$20:$D$31)))</f>
        <v>0</v>
      </c>
      <c r="AG679" s="13">
        <f>IF(AND($Z679&gt;=10,MOD($Z679,5)=0),$AF679*IF($AA679=12,VLOOKUP($Z679,Paraméterek!$B$225:$F$240,IF($AF679&lt;IF($D$4="Forint",Paraméterek!$C$223,Paraméterek!$C$224),2,IF($AF679&lt;IF($D$4="Forint",Paraméterek!$D$223,Paraméterek!$D$224),3,4))),0),0)</f>
        <v>0</v>
      </c>
      <c r="AH679" s="13">
        <f>IF(AND($Z679&gt;=5,MOD($Z679,5)=0),IF($AA679=12,VLOOKUP($Z679,Paraméterek!$B$225:$F$240,5),0),IF(OR($Z679=3,$Z679=4),IF($AA679=12,VLOOKUP($Z679,Paraméterek!$B$225:$F$240,5,0),0),0))*$AF679</f>
        <v>0</v>
      </c>
      <c r="AI679" s="13">
        <f>ROUNDDOWN(IF(SUM($T$20:$U679)=0,IF($D$2="Egyszeri",$AH679,$AG679),0),IF($D$4="Forint",0,2))</f>
        <v>0</v>
      </c>
      <c r="AJ679" s="13">
        <f t="shared" si="162"/>
        <v>0</v>
      </c>
      <c r="AK679" s="13">
        <f t="shared" si="163"/>
        <v>0</v>
      </c>
      <c r="AM679" s="32">
        <v>660</v>
      </c>
      <c r="AN679" s="32">
        <v>55</v>
      </c>
      <c r="AO679" s="32">
        <v>12</v>
      </c>
      <c r="AP679" s="13"/>
      <c r="AQ679" s="32"/>
      <c r="AR679" s="13">
        <f t="shared" si="164"/>
        <v>0</v>
      </c>
      <c r="AS679" s="33"/>
      <c r="AT679" s="13">
        <f t="shared" si="158"/>
        <v>0</v>
      </c>
      <c r="AU679" s="13">
        <f>ROUNDUP(($AR679+$AT679)*VLOOKUP($AN679,Paraméterek!$P$38:$Q$38,2)/12,IF($D$4="Forint",0,2))</f>
        <v>0</v>
      </c>
      <c r="AV679" s="13">
        <f>Tranzakciók!$M$86</f>
        <v>0</v>
      </c>
      <c r="AW679" s="13"/>
      <c r="AX679" s="13">
        <f>ROUNDUP(IF(SUM($AV679:$AW679)=0,0,IF(IF(ISBLANK($AW679),$AV679,$AW679)*Paraméterek!$J$112&lt;IF($D$4="Forint",Paraméterek!$J$113,Paraméterek!$K$113),IF($D$4="Forint",Paraméterek!$J$113,Paraméterek!$K$113),IF(IF(ISBLANK($AW679),$AV679,$AW679)*Paraméterek!$J$112&gt;IF($D$4="Forint",Paraméterek!$J$114,Paraméterek!$K$114),IF($D$4="Forint",Paraméterek!$J$114,Paraméterek!$K$114),IF(ISBLANK($AW679),$AV679,$AW679)*Paraméterek!$J$112))),IF($D$4="Forint",0,2))</f>
        <v>0</v>
      </c>
      <c r="AY679" s="13">
        <f>$AR679+$AT679-$AU679-IF(ROUNDDOWN(IF(ISBLANK($AW679),$AV679,$AW679),IF($D$4="Forint",0,2))&gt;$AR679+$AT679-$AU679-IF($D$4="Forint",Paraméterek!$J$114,Paraméterek!$K$114),0,ROUNDDOWN(IF(ISBLANK($AW679),$AV679,$AW679),IF($D$4="Forint",0,2))-$AX679)</f>
        <v>0</v>
      </c>
      <c r="AZ679" s="13">
        <f t="shared" si="159"/>
        <v>0</v>
      </c>
    </row>
    <row r="680" spans="1:52" x14ac:dyDescent="0.2">
      <c r="A680" s="32">
        <v>661</v>
      </c>
      <c r="B680" s="32">
        <v>56</v>
      </c>
      <c r="C680" s="32">
        <v>1</v>
      </c>
      <c r="D680" s="13">
        <f t="shared" si="150"/>
        <v>0</v>
      </c>
      <c r="E680" s="13"/>
      <c r="F680" s="13">
        <f>Tranzakciók!$D$87</f>
        <v>0</v>
      </c>
      <c r="G680" s="13"/>
      <c r="H680" s="13">
        <f t="shared" si="151"/>
        <v>0</v>
      </c>
      <c r="I680" s="13">
        <f t="shared" si="152"/>
        <v>509</v>
      </c>
      <c r="J680" s="13">
        <f t="shared" si="153"/>
        <v>509</v>
      </c>
      <c r="K680" s="13">
        <f>ROUNDUP(IF($D$2="Egyszeri",$D680,IF($D$2="Havi",SUM($D$20:$D$31),IF(MOD($C680,$M$1)-1=0,SUM($D$20:$D$31),0))/12*$M$1)*VLOOKUP($B680,Paraméterek!$B$27:$D$30,IF($D$2="Egyszeri",3,2)),IF($D$4="Forint",0,2))</f>
        <v>0</v>
      </c>
      <c r="L680" s="13">
        <f t="shared" si="154"/>
        <v>0</v>
      </c>
      <c r="M680" s="13">
        <f t="shared" ca="1" si="160"/>
        <v>-553956</v>
      </c>
      <c r="N680" s="13">
        <f ca="1">IF($V679&gt;=VLOOKUP($M$4-1+$B680,Paraméterek!$B$121:$D$122,IF($D$4="Forint",2,3)),0,VLOOKUP($M$4-1+$B680,Paraméterek!$B$121:$D$122,IF($D$4="Forint",2,3))-$V679)</f>
        <v>563956</v>
      </c>
      <c r="O680" s="13">
        <f ca="1">ROUNDUP($N680*Paraméterek!$C$58/Paraméterek!$C$56,IF($D$4="Forint",0,2))</f>
        <v>90</v>
      </c>
      <c r="P680" s="13">
        <f t="shared" si="155"/>
        <v>2796</v>
      </c>
      <c r="Q680" s="33"/>
      <c r="R680" s="13">
        <f t="shared" ca="1" si="156"/>
        <v>0</v>
      </c>
      <c r="S680" s="13">
        <f ca="1">ROUNDUP(($M680-$O680-$P680+$R680)*VLOOKUP($B680,Paraméterek!$B$38:$D$39,IF($D$2="Egyszeri",3,2))/12,IF($D$4="Forint",0,2))</f>
        <v>-1360</v>
      </c>
      <c r="T680" s="13"/>
      <c r="U680" s="13"/>
      <c r="V680" s="13">
        <f ca="1">$M680-$O680-$P680+$R680-$S680-IF(ROUNDUP(IF(ISBLANK($U680),$T680,$U680)/IF(AND($B680=1,$D$2&lt;&gt;"Egyszeri"),1,VLOOKUP($B680+IF($C680=12,1,0),Paraméterek!$B$257:$D$267,IF($D$2="Egyszeri",3,2))),IF($D$4="Forint",0,2))&gt;$M680-$O680-$P680+$R680-$S680-IF($D$4="Forint",Paraméterek!$C$216,Paraméterek!$D$216),0,ROUNDUP(IF(ISBLANK($U680),$T680,$U680)/IF(AND($B680=1,$D$2&lt;&gt;"Egyszeri"),1,VLOOKUP($B680+IF($C680=12,1,0),Paraméterek!$B$257:$D$267,IF($D$2="Egyszeri",3,2))),IF($D$4="Forint",0,2)))</f>
        <v>-555482</v>
      </c>
      <c r="W680" s="13">
        <f ca="1">ROUNDDOWN($V680*VLOOKUP($B680+IF($C680=12,1,0),Paraméterek!$B$257:$D$267,IF($D$2="Egyszeri",3,2)),IF($D$4="Forint",0,2))</f>
        <v>-555482</v>
      </c>
      <c r="Y680" s="32">
        <v>661</v>
      </c>
      <c r="Z680" s="32">
        <v>56</v>
      </c>
      <c r="AA680" s="32">
        <v>1</v>
      </c>
      <c r="AB680" s="13">
        <f t="shared" si="161"/>
        <v>0</v>
      </c>
      <c r="AC680" s="33"/>
      <c r="AD680" s="13">
        <f t="shared" si="157"/>
        <v>0</v>
      </c>
      <c r="AE680" s="13">
        <f>ROUNDUP(($AB680+$AD680)*VLOOKUP($Z680,Paraméterek!$P$38:$Q$38,2)/12,IF($D$4="Forint",0,2))</f>
        <v>0</v>
      </c>
      <c r="AF680" s="13">
        <f>IF($D$2="Egyszeri",IF($D$7&gt;=IF($D$4="Forint",Paraméterek!$P$223,Paraméterek!$P$224),$D$7-IF($D$4="Forint",Paraméterek!$F$223,Paraméterek!$F$224),0),MIN(IF($AA680=12,AVERAGE($D$20:$D680)*12,0),SUM($D$20:$D$31)))</f>
        <v>0</v>
      </c>
      <c r="AG680" s="13">
        <f>IF(AND($Z680&gt;=10,MOD($Z680,5)=0),$AF680*IF($AA680=12,VLOOKUP($Z680,Paraméterek!$B$225:$F$240,IF($AF680&lt;IF($D$4="Forint",Paraméterek!$C$223,Paraméterek!$C$224),2,IF($AF680&lt;IF($D$4="Forint",Paraméterek!$D$223,Paraméterek!$D$224),3,4))),0),0)</f>
        <v>0</v>
      </c>
      <c r="AH680" s="13">
        <f>IF(AND($Z680&gt;=5,MOD($Z680,5)=0),IF($AA680=12,VLOOKUP($Z680,Paraméterek!$B$225:$F$240,5),0),IF(OR($Z680=3,$Z680=4),IF($AA680=12,VLOOKUP($Z680,Paraméterek!$B$225:$F$240,5,0),0),0))*$AF680</f>
        <v>0</v>
      </c>
      <c r="AI680" s="13">
        <f>ROUNDDOWN(IF(SUM($T$20:$U680)=0,IF($D$2="Egyszeri",$AH680,$AG680),0),IF($D$4="Forint",0,2))</f>
        <v>0</v>
      </c>
      <c r="AJ680" s="13">
        <f t="shared" si="162"/>
        <v>0</v>
      </c>
      <c r="AK680" s="13">
        <f t="shared" si="163"/>
        <v>0</v>
      </c>
      <c r="AM680" s="32">
        <v>661</v>
      </c>
      <c r="AN680" s="32">
        <v>56</v>
      </c>
      <c r="AO680" s="32">
        <v>1</v>
      </c>
      <c r="AP680" s="13">
        <f>Tranzakciók!$K$87</f>
        <v>0</v>
      </c>
      <c r="AQ680" s="32"/>
      <c r="AR680" s="13">
        <f t="shared" si="164"/>
        <v>0</v>
      </c>
      <c r="AS680" s="33"/>
      <c r="AT680" s="13">
        <f t="shared" si="158"/>
        <v>0</v>
      </c>
      <c r="AU680" s="13">
        <f>ROUNDUP(($AR680+$AT680)*VLOOKUP($AN680,Paraméterek!$P$38:$Q$38,2)/12,IF($D$4="Forint",0,2))</f>
        <v>0</v>
      </c>
      <c r="AV680" s="13"/>
      <c r="AW680" s="13"/>
      <c r="AX680" s="13">
        <f>ROUNDUP(IF(SUM($AV680:$AW680)=0,0,IF(IF(ISBLANK($AW680),$AV680,$AW680)*Paraméterek!$J$112&lt;IF($D$4="Forint",Paraméterek!$J$113,Paraméterek!$K$113),IF($D$4="Forint",Paraméterek!$J$113,Paraméterek!$K$113),IF(IF(ISBLANK($AW680),$AV680,$AW680)*Paraméterek!$J$112&gt;IF($D$4="Forint",Paraméterek!$J$114,Paraméterek!$K$114),IF($D$4="Forint",Paraméterek!$J$114,Paraméterek!$K$114),IF(ISBLANK($AW680),$AV680,$AW680)*Paraméterek!$J$112))),IF($D$4="Forint",0,2))</f>
        <v>0</v>
      </c>
      <c r="AY680" s="13">
        <f>$AR680+$AT680-$AU680-IF(ROUNDDOWN(IF(ISBLANK($AW680),$AV680,$AW680),IF($D$4="Forint",0,2))&gt;$AR680+$AT680-$AU680-IF($D$4="Forint",Paraméterek!$J$114,Paraméterek!$K$114),0,ROUNDDOWN(IF(ISBLANK($AW680),$AV680,$AW680),IF($D$4="Forint",0,2))-$AX680)</f>
        <v>0</v>
      </c>
      <c r="AZ680" s="13">
        <f t="shared" si="159"/>
        <v>0</v>
      </c>
    </row>
    <row r="681" spans="1:52" x14ac:dyDescent="0.2">
      <c r="A681" s="32">
        <v>662</v>
      </c>
      <c r="B681" s="32">
        <v>56</v>
      </c>
      <c r="C681" s="32">
        <v>2</v>
      </c>
      <c r="D681" s="13">
        <f t="shared" si="150"/>
        <v>0</v>
      </c>
      <c r="E681" s="13"/>
      <c r="F681" s="13"/>
      <c r="G681" s="13"/>
      <c r="H681" s="13">
        <f t="shared" si="151"/>
        <v>0</v>
      </c>
      <c r="I681" s="13">
        <f t="shared" si="152"/>
        <v>0</v>
      </c>
      <c r="J681" s="13">
        <f t="shared" si="153"/>
        <v>0</v>
      </c>
      <c r="K681" s="13">
        <f>ROUNDUP(IF($D$2="Egyszeri",$D681,IF($D$2="Havi",SUM($D$20:$D$31),IF(MOD($C681,$M$1)-1=0,SUM($D$20:$D$31),0))/12*$M$1)*VLOOKUP($B681,Paraméterek!$B$27:$D$30,IF($D$2="Egyszeri",3,2)),IF($D$4="Forint",0,2))</f>
        <v>0</v>
      </c>
      <c r="L681" s="13">
        <f t="shared" si="154"/>
        <v>0</v>
      </c>
      <c r="M681" s="13">
        <f t="shared" ca="1" si="160"/>
        <v>-555482</v>
      </c>
      <c r="N681" s="13">
        <f ca="1">IF($V680&gt;=VLOOKUP($M$4-1+$B681,Paraméterek!$B$121:$D$122,IF($D$4="Forint",2,3)),0,VLOOKUP($M$4-1+$B681,Paraméterek!$B$121:$D$122,IF($D$4="Forint",2,3))-$V680)</f>
        <v>565482</v>
      </c>
      <c r="O681" s="13">
        <f ca="1">ROUNDUP($N681*Paraméterek!$C$58/Paraméterek!$C$56,IF($D$4="Forint",0,2))</f>
        <v>91</v>
      </c>
      <c r="P681" s="13">
        <f t="shared" si="155"/>
        <v>2796</v>
      </c>
      <c r="Q681" s="33"/>
      <c r="R681" s="13">
        <f t="shared" ca="1" si="156"/>
        <v>0</v>
      </c>
      <c r="S681" s="13">
        <f ca="1">ROUNDUP(($M681-$O681-$P681+$R681)*VLOOKUP($B681,Paraméterek!$B$38:$D$39,IF($D$2="Egyszeri",3,2))/12,IF($D$4="Forint",0,2))</f>
        <v>-1364</v>
      </c>
      <c r="T681" s="13"/>
      <c r="U681" s="13"/>
      <c r="V681" s="13">
        <f ca="1">$M681-$O681-$P681+$R681-$S681-IF(ROUNDUP(IF(ISBLANK($U681),$T681,$U681)/IF(AND($B681=1,$D$2&lt;&gt;"Egyszeri"),1,VLOOKUP($B681+IF($C681=12,1,0),Paraméterek!$B$257:$D$267,IF($D$2="Egyszeri",3,2))),IF($D$4="Forint",0,2))&gt;$M681-$O681-$P681+$R681-$S681-IF($D$4="Forint",Paraméterek!$C$216,Paraméterek!$D$216),0,ROUNDUP(IF(ISBLANK($U681),$T681,$U681)/IF(AND($B681=1,$D$2&lt;&gt;"Egyszeri"),1,VLOOKUP($B681+IF($C681=12,1,0),Paraméterek!$B$257:$D$267,IF($D$2="Egyszeri",3,2))),IF($D$4="Forint",0,2)))</f>
        <v>-557005</v>
      </c>
      <c r="W681" s="13">
        <f ca="1">ROUNDDOWN($V681*VLOOKUP($B681+IF($C681=12,1,0),Paraméterek!$B$257:$D$267,IF($D$2="Egyszeri",3,2)),IF($D$4="Forint",0,2))</f>
        <v>-557005</v>
      </c>
      <c r="Y681" s="32">
        <v>662</v>
      </c>
      <c r="Z681" s="32">
        <v>56</v>
      </c>
      <c r="AA681" s="32">
        <v>2</v>
      </c>
      <c r="AB681" s="13">
        <f t="shared" si="161"/>
        <v>0</v>
      </c>
      <c r="AC681" s="33"/>
      <c r="AD681" s="13">
        <f t="shared" si="157"/>
        <v>0</v>
      </c>
      <c r="AE681" s="13">
        <f>ROUNDUP(($AB681+$AD681)*VLOOKUP($Z681,Paraméterek!$P$38:$Q$38,2)/12,IF($D$4="Forint",0,2))</f>
        <v>0</v>
      </c>
      <c r="AF681" s="13">
        <f>IF($D$2="Egyszeri",IF($D$7&gt;=IF($D$4="Forint",Paraméterek!$P$223,Paraméterek!$P$224),$D$7-IF($D$4="Forint",Paraméterek!$F$223,Paraméterek!$F$224),0),MIN(IF($AA681=12,AVERAGE($D$20:$D681)*12,0),SUM($D$20:$D$31)))</f>
        <v>0</v>
      </c>
      <c r="AG681" s="13">
        <f>IF(AND($Z681&gt;=10,MOD($Z681,5)=0),$AF681*IF($AA681=12,VLOOKUP($Z681,Paraméterek!$B$225:$F$240,IF($AF681&lt;IF($D$4="Forint",Paraméterek!$C$223,Paraméterek!$C$224),2,IF($AF681&lt;IF($D$4="Forint",Paraméterek!$D$223,Paraméterek!$D$224),3,4))),0),0)</f>
        <v>0</v>
      </c>
      <c r="AH681" s="13">
        <f>IF(AND($Z681&gt;=5,MOD($Z681,5)=0),IF($AA681=12,VLOOKUP($Z681,Paraméterek!$B$225:$F$240,5),0),IF(OR($Z681=3,$Z681=4),IF($AA681=12,VLOOKUP($Z681,Paraméterek!$B$225:$F$240,5,0),0),0))*$AF681</f>
        <v>0</v>
      </c>
      <c r="AI681" s="13">
        <f>ROUNDDOWN(IF(SUM($T$20:$U681)=0,IF($D$2="Egyszeri",$AH681,$AG681),0),IF($D$4="Forint",0,2))</f>
        <v>0</v>
      </c>
      <c r="AJ681" s="13">
        <f t="shared" si="162"/>
        <v>0</v>
      </c>
      <c r="AK681" s="13">
        <f t="shared" si="163"/>
        <v>0</v>
      </c>
      <c r="AM681" s="32">
        <v>662</v>
      </c>
      <c r="AN681" s="32">
        <v>56</v>
      </c>
      <c r="AO681" s="32">
        <v>2</v>
      </c>
      <c r="AP681" s="13"/>
      <c r="AQ681" s="32"/>
      <c r="AR681" s="13">
        <f t="shared" si="164"/>
        <v>0</v>
      </c>
      <c r="AS681" s="33"/>
      <c r="AT681" s="13">
        <f t="shared" si="158"/>
        <v>0</v>
      </c>
      <c r="AU681" s="13">
        <f>ROUNDUP(($AR681+$AT681)*VLOOKUP($AN681,Paraméterek!$P$38:$Q$38,2)/12,IF($D$4="Forint",0,2))</f>
        <v>0</v>
      </c>
      <c r="AV681" s="13"/>
      <c r="AW681" s="13"/>
      <c r="AX681" s="13">
        <f>ROUNDUP(IF(SUM($AV681:$AW681)=0,0,IF(IF(ISBLANK($AW681),$AV681,$AW681)*Paraméterek!$J$112&lt;IF($D$4="Forint",Paraméterek!$J$113,Paraméterek!$K$113),IF($D$4="Forint",Paraméterek!$J$113,Paraméterek!$K$113),IF(IF(ISBLANK($AW681),$AV681,$AW681)*Paraméterek!$J$112&gt;IF($D$4="Forint",Paraméterek!$J$114,Paraméterek!$K$114),IF($D$4="Forint",Paraméterek!$J$114,Paraméterek!$K$114),IF(ISBLANK($AW681),$AV681,$AW681)*Paraméterek!$J$112))),IF($D$4="Forint",0,2))</f>
        <v>0</v>
      </c>
      <c r="AY681" s="13">
        <f>$AR681+$AT681-$AU681-IF(ROUNDDOWN(IF(ISBLANK($AW681),$AV681,$AW681),IF($D$4="Forint",0,2))&gt;$AR681+$AT681-$AU681-IF($D$4="Forint",Paraméterek!$J$114,Paraméterek!$K$114),0,ROUNDDOWN(IF(ISBLANK($AW681),$AV681,$AW681),IF($D$4="Forint",0,2))-$AX681)</f>
        <v>0</v>
      </c>
      <c r="AZ681" s="13">
        <f t="shared" si="159"/>
        <v>0</v>
      </c>
    </row>
    <row r="682" spans="1:52" x14ac:dyDescent="0.2">
      <c r="A682" s="32">
        <v>663</v>
      </c>
      <c r="B682" s="32">
        <v>56</v>
      </c>
      <c r="C682" s="32">
        <v>3</v>
      </c>
      <c r="D682" s="13">
        <f t="shared" si="150"/>
        <v>0</v>
      </c>
      <c r="E682" s="13"/>
      <c r="F682" s="13"/>
      <c r="G682" s="13"/>
      <c r="H682" s="13">
        <f t="shared" si="151"/>
        <v>0</v>
      </c>
      <c r="I682" s="13">
        <f t="shared" si="152"/>
        <v>0</v>
      </c>
      <c r="J682" s="13">
        <f t="shared" si="153"/>
        <v>0</v>
      </c>
      <c r="K682" s="13">
        <f>ROUNDUP(IF($D$2="Egyszeri",$D682,IF($D$2="Havi",SUM($D$20:$D$31),IF(MOD($C682,$M$1)-1=0,SUM($D$20:$D$31),0))/12*$M$1)*VLOOKUP($B682,Paraméterek!$B$27:$D$30,IF($D$2="Egyszeri",3,2)),IF($D$4="Forint",0,2))</f>
        <v>0</v>
      </c>
      <c r="L682" s="13">
        <f t="shared" si="154"/>
        <v>0</v>
      </c>
      <c r="M682" s="13">
        <f t="shared" ca="1" si="160"/>
        <v>-557005</v>
      </c>
      <c r="N682" s="13">
        <f ca="1">IF($V681&gt;=VLOOKUP($M$4-1+$B682,Paraméterek!$B$121:$D$122,IF($D$4="Forint",2,3)),0,VLOOKUP($M$4-1+$B682,Paraméterek!$B$121:$D$122,IF($D$4="Forint",2,3))-$V681)</f>
        <v>567005</v>
      </c>
      <c r="O682" s="13">
        <f ca="1">ROUNDUP($N682*Paraméterek!$C$58/Paraméterek!$C$56,IF($D$4="Forint",0,2))</f>
        <v>91</v>
      </c>
      <c r="P682" s="13">
        <f t="shared" si="155"/>
        <v>2796</v>
      </c>
      <c r="Q682" s="33"/>
      <c r="R682" s="13">
        <f t="shared" ca="1" si="156"/>
        <v>0</v>
      </c>
      <c r="S682" s="13">
        <f ca="1">ROUNDUP(($M682-$O682-$P682+$R682)*VLOOKUP($B682,Paraméterek!$B$38:$D$39,IF($D$2="Egyszeri",3,2))/12,IF($D$4="Forint",0,2))</f>
        <v>-1368</v>
      </c>
      <c r="T682" s="13"/>
      <c r="U682" s="13"/>
      <c r="V682" s="13">
        <f ca="1">$M682-$O682-$P682+$R682-$S682-IF(ROUNDUP(IF(ISBLANK($U682),$T682,$U682)/IF(AND($B682=1,$D$2&lt;&gt;"Egyszeri"),1,VLOOKUP($B682+IF($C682=12,1,0),Paraméterek!$B$257:$D$267,IF($D$2="Egyszeri",3,2))),IF($D$4="Forint",0,2))&gt;$M682-$O682-$P682+$R682-$S682-IF($D$4="Forint",Paraméterek!$C$216,Paraméterek!$D$216),0,ROUNDUP(IF(ISBLANK($U682),$T682,$U682)/IF(AND($B682=1,$D$2&lt;&gt;"Egyszeri"),1,VLOOKUP($B682+IF($C682=12,1,0),Paraméterek!$B$257:$D$267,IF($D$2="Egyszeri",3,2))),IF($D$4="Forint",0,2)))</f>
        <v>-558524</v>
      </c>
      <c r="W682" s="13">
        <f ca="1">ROUNDDOWN($V682*VLOOKUP($B682+IF($C682=12,1,0),Paraméterek!$B$257:$D$267,IF($D$2="Egyszeri",3,2)),IF($D$4="Forint",0,2))</f>
        <v>-558524</v>
      </c>
      <c r="Y682" s="32">
        <v>663</v>
      </c>
      <c r="Z682" s="32">
        <v>56</v>
      </c>
      <c r="AA682" s="32">
        <v>3</v>
      </c>
      <c r="AB682" s="13">
        <f t="shared" si="161"/>
        <v>0</v>
      </c>
      <c r="AC682" s="33"/>
      <c r="AD682" s="13">
        <f t="shared" si="157"/>
        <v>0</v>
      </c>
      <c r="AE682" s="13">
        <f>ROUNDUP(($AB682+$AD682)*VLOOKUP($Z682,Paraméterek!$P$38:$Q$38,2)/12,IF($D$4="Forint",0,2))</f>
        <v>0</v>
      </c>
      <c r="AF682" s="13">
        <f>IF($D$2="Egyszeri",IF($D$7&gt;=IF($D$4="Forint",Paraméterek!$P$223,Paraméterek!$P$224),$D$7-IF($D$4="Forint",Paraméterek!$F$223,Paraméterek!$F$224),0),MIN(IF($AA682=12,AVERAGE($D$20:$D682)*12,0),SUM($D$20:$D$31)))</f>
        <v>0</v>
      </c>
      <c r="AG682" s="13">
        <f>IF(AND($Z682&gt;=10,MOD($Z682,5)=0),$AF682*IF($AA682=12,VLOOKUP($Z682,Paraméterek!$B$225:$F$240,IF($AF682&lt;IF($D$4="Forint",Paraméterek!$C$223,Paraméterek!$C$224),2,IF($AF682&lt;IF($D$4="Forint",Paraméterek!$D$223,Paraméterek!$D$224),3,4))),0),0)</f>
        <v>0</v>
      </c>
      <c r="AH682" s="13">
        <f>IF(AND($Z682&gt;=5,MOD($Z682,5)=0),IF($AA682=12,VLOOKUP($Z682,Paraméterek!$B$225:$F$240,5),0),IF(OR($Z682=3,$Z682=4),IF($AA682=12,VLOOKUP($Z682,Paraméterek!$B$225:$F$240,5,0),0),0))*$AF682</f>
        <v>0</v>
      </c>
      <c r="AI682" s="13">
        <f>ROUNDDOWN(IF(SUM($T$20:$U682)=0,IF($D$2="Egyszeri",$AH682,$AG682),0),IF($D$4="Forint",0,2))</f>
        <v>0</v>
      </c>
      <c r="AJ682" s="13">
        <f t="shared" si="162"/>
        <v>0</v>
      </c>
      <c r="AK682" s="13">
        <f t="shared" si="163"/>
        <v>0</v>
      </c>
      <c r="AM682" s="32">
        <v>663</v>
      </c>
      <c r="AN682" s="32">
        <v>56</v>
      </c>
      <c r="AO682" s="32">
        <v>3</v>
      </c>
      <c r="AP682" s="13"/>
      <c r="AQ682" s="32"/>
      <c r="AR682" s="13">
        <f t="shared" si="164"/>
        <v>0</v>
      </c>
      <c r="AS682" s="33"/>
      <c r="AT682" s="13">
        <f t="shared" si="158"/>
        <v>0</v>
      </c>
      <c r="AU682" s="13">
        <f>ROUNDUP(($AR682+$AT682)*VLOOKUP($AN682,Paraméterek!$P$38:$Q$38,2)/12,IF($D$4="Forint",0,2))</f>
        <v>0</v>
      </c>
      <c r="AV682" s="13"/>
      <c r="AW682" s="13"/>
      <c r="AX682" s="13">
        <f>ROUNDUP(IF(SUM($AV682:$AW682)=0,0,IF(IF(ISBLANK($AW682),$AV682,$AW682)*Paraméterek!$J$112&lt;IF($D$4="Forint",Paraméterek!$J$113,Paraméterek!$K$113),IF($D$4="Forint",Paraméterek!$J$113,Paraméterek!$K$113),IF(IF(ISBLANK($AW682),$AV682,$AW682)*Paraméterek!$J$112&gt;IF($D$4="Forint",Paraméterek!$J$114,Paraméterek!$K$114),IF($D$4="Forint",Paraméterek!$J$114,Paraméterek!$K$114),IF(ISBLANK($AW682),$AV682,$AW682)*Paraméterek!$J$112))),IF($D$4="Forint",0,2))</f>
        <v>0</v>
      </c>
      <c r="AY682" s="13">
        <f>$AR682+$AT682-$AU682-IF(ROUNDDOWN(IF(ISBLANK($AW682),$AV682,$AW682),IF($D$4="Forint",0,2))&gt;$AR682+$AT682-$AU682-IF($D$4="Forint",Paraméterek!$J$114,Paraméterek!$K$114),0,ROUNDDOWN(IF(ISBLANK($AW682),$AV682,$AW682),IF($D$4="Forint",0,2))-$AX682)</f>
        <v>0</v>
      </c>
      <c r="AZ682" s="13">
        <f t="shared" si="159"/>
        <v>0</v>
      </c>
    </row>
    <row r="683" spans="1:52" x14ac:dyDescent="0.2">
      <c r="A683" s="32">
        <v>664</v>
      </c>
      <c r="B683" s="32">
        <v>56</v>
      </c>
      <c r="C683" s="32">
        <v>4</v>
      </c>
      <c r="D683" s="13">
        <f t="shared" si="150"/>
        <v>0</v>
      </c>
      <c r="E683" s="13"/>
      <c r="F683" s="13"/>
      <c r="G683" s="13"/>
      <c r="H683" s="13">
        <f t="shared" si="151"/>
        <v>0</v>
      </c>
      <c r="I683" s="13">
        <f t="shared" si="152"/>
        <v>0</v>
      </c>
      <c r="J683" s="13">
        <f t="shared" si="153"/>
        <v>0</v>
      </c>
      <c r="K683" s="13">
        <f>ROUNDUP(IF($D$2="Egyszeri",$D683,IF($D$2="Havi",SUM($D$20:$D$31),IF(MOD($C683,$M$1)-1=0,SUM($D$20:$D$31),0))/12*$M$1)*VLOOKUP($B683,Paraméterek!$B$27:$D$30,IF($D$2="Egyszeri",3,2)),IF($D$4="Forint",0,2))</f>
        <v>0</v>
      </c>
      <c r="L683" s="13">
        <f t="shared" si="154"/>
        <v>0</v>
      </c>
      <c r="M683" s="13">
        <f t="shared" ca="1" si="160"/>
        <v>-558524</v>
      </c>
      <c r="N683" s="13">
        <f ca="1">IF($V682&gt;=VLOOKUP($M$4-1+$B683,Paraméterek!$B$121:$D$122,IF($D$4="Forint",2,3)),0,VLOOKUP($M$4-1+$B683,Paraméterek!$B$121:$D$122,IF($D$4="Forint",2,3))-$V682)</f>
        <v>568524</v>
      </c>
      <c r="O683" s="13">
        <f ca="1">ROUNDUP($N683*Paraméterek!$C$58/Paraméterek!$C$56,IF($D$4="Forint",0,2))</f>
        <v>91</v>
      </c>
      <c r="P683" s="13">
        <f t="shared" si="155"/>
        <v>2796</v>
      </c>
      <c r="Q683" s="33"/>
      <c r="R683" s="13">
        <f t="shared" ca="1" si="156"/>
        <v>0</v>
      </c>
      <c r="S683" s="13">
        <f ca="1">ROUNDUP(($M683-$O683-$P683+$R683)*VLOOKUP($B683,Paraméterek!$B$38:$D$39,IF($D$2="Egyszeri",3,2))/12,IF($D$4="Forint",0,2))</f>
        <v>-1371</v>
      </c>
      <c r="T683" s="13"/>
      <c r="U683" s="13"/>
      <c r="V683" s="13">
        <f ca="1">$M683-$O683-$P683+$R683-$S683-IF(ROUNDUP(IF(ISBLANK($U683),$T683,$U683)/IF(AND($B683=1,$D$2&lt;&gt;"Egyszeri"),1,VLOOKUP($B683+IF($C683=12,1,0),Paraméterek!$B$257:$D$267,IF($D$2="Egyszeri",3,2))),IF($D$4="Forint",0,2))&gt;$M683-$O683-$P683+$R683-$S683-IF($D$4="Forint",Paraméterek!$C$216,Paraméterek!$D$216),0,ROUNDUP(IF(ISBLANK($U683),$T683,$U683)/IF(AND($B683=1,$D$2&lt;&gt;"Egyszeri"),1,VLOOKUP($B683+IF($C683=12,1,0),Paraméterek!$B$257:$D$267,IF($D$2="Egyszeri",3,2))),IF($D$4="Forint",0,2)))</f>
        <v>-560040</v>
      </c>
      <c r="W683" s="13">
        <f ca="1">ROUNDDOWN($V683*VLOOKUP($B683+IF($C683=12,1,0),Paraméterek!$B$257:$D$267,IF($D$2="Egyszeri",3,2)),IF($D$4="Forint",0,2))</f>
        <v>-560040</v>
      </c>
      <c r="Y683" s="32">
        <v>664</v>
      </c>
      <c r="Z683" s="32">
        <v>56</v>
      </c>
      <c r="AA683" s="32">
        <v>4</v>
      </c>
      <c r="AB683" s="13">
        <f t="shared" si="161"/>
        <v>0</v>
      </c>
      <c r="AC683" s="33"/>
      <c r="AD683" s="13">
        <f t="shared" si="157"/>
        <v>0</v>
      </c>
      <c r="AE683" s="13">
        <f>ROUNDUP(($AB683+$AD683)*VLOOKUP($Z683,Paraméterek!$P$38:$Q$38,2)/12,IF($D$4="Forint",0,2))</f>
        <v>0</v>
      </c>
      <c r="AF683" s="13">
        <f>IF($D$2="Egyszeri",IF($D$7&gt;=IF($D$4="Forint",Paraméterek!$P$223,Paraméterek!$P$224),$D$7-IF($D$4="Forint",Paraméterek!$F$223,Paraméterek!$F$224),0),MIN(IF($AA683=12,AVERAGE($D$20:$D683)*12,0),SUM($D$20:$D$31)))</f>
        <v>0</v>
      </c>
      <c r="AG683" s="13">
        <f>IF(AND($Z683&gt;=10,MOD($Z683,5)=0),$AF683*IF($AA683=12,VLOOKUP($Z683,Paraméterek!$B$225:$F$240,IF($AF683&lt;IF($D$4="Forint",Paraméterek!$C$223,Paraméterek!$C$224),2,IF($AF683&lt;IF($D$4="Forint",Paraméterek!$D$223,Paraméterek!$D$224),3,4))),0),0)</f>
        <v>0</v>
      </c>
      <c r="AH683" s="13">
        <f>IF(AND($Z683&gt;=5,MOD($Z683,5)=0),IF($AA683=12,VLOOKUP($Z683,Paraméterek!$B$225:$F$240,5),0),IF(OR($Z683=3,$Z683=4),IF($AA683=12,VLOOKUP($Z683,Paraméterek!$B$225:$F$240,5,0),0),0))*$AF683</f>
        <v>0</v>
      </c>
      <c r="AI683" s="13">
        <f>ROUNDDOWN(IF(SUM($T$20:$U683)=0,IF($D$2="Egyszeri",$AH683,$AG683),0),IF($D$4="Forint",0,2))</f>
        <v>0</v>
      </c>
      <c r="AJ683" s="13">
        <f t="shared" si="162"/>
        <v>0</v>
      </c>
      <c r="AK683" s="13">
        <f t="shared" si="163"/>
        <v>0</v>
      </c>
      <c r="AM683" s="32">
        <v>664</v>
      </c>
      <c r="AN683" s="32">
        <v>56</v>
      </c>
      <c r="AO683" s="32">
        <v>4</v>
      </c>
      <c r="AP683" s="13"/>
      <c r="AQ683" s="32"/>
      <c r="AR683" s="13">
        <f t="shared" si="164"/>
        <v>0</v>
      </c>
      <c r="AS683" s="33"/>
      <c r="AT683" s="13">
        <f t="shared" si="158"/>
        <v>0</v>
      </c>
      <c r="AU683" s="13">
        <f>ROUNDUP(($AR683+$AT683)*VLOOKUP($AN683,Paraméterek!$P$38:$Q$38,2)/12,IF($D$4="Forint",0,2))</f>
        <v>0</v>
      </c>
      <c r="AV683" s="13"/>
      <c r="AW683" s="13"/>
      <c r="AX683" s="13">
        <f>ROUNDUP(IF(SUM($AV683:$AW683)=0,0,IF(IF(ISBLANK($AW683),$AV683,$AW683)*Paraméterek!$J$112&lt;IF($D$4="Forint",Paraméterek!$J$113,Paraméterek!$K$113),IF($D$4="Forint",Paraméterek!$J$113,Paraméterek!$K$113),IF(IF(ISBLANK($AW683),$AV683,$AW683)*Paraméterek!$J$112&gt;IF($D$4="Forint",Paraméterek!$J$114,Paraméterek!$K$114),IF($D$4="Forint",Paraméterek!$J$114,Paraméterek!$K$114),IF(ISBLANK($AW683),$AV683,$AW683)*Paraméterek!$J$112))),IF($D$4="Forint",0,2))</f>
        <v>0</v>
      </c>
      <c r="AY683" s="13">
        <f>$AR683+$AT683-$AU683-IF(ROUNDDOWN(IF(ISBLANK($AW683),$AV683,$AW683),IF($D$4="Forint",0,2))&gt;$AR683+$AT683-$AU683-IF($D$4="Forint",Paraméterek!$J$114,Paraméterek!$K$114),0,ROUNDDOWN(IF(ISBLANK($AW683),$AV683,$AW683),IF($D$4="Forint",0,2))-$AX683)</f>
        <v>0</v>
      </c>
      <c r="AZ683" s="13">
        <f t="shared" si="159"/>
        <v>0</v>
      </c>
    </row>
    <row r="684" spans="1:52" x14ac:dyDescent="0.2">
      <c r="A684" s="32">
        <v>665</v>
      </c>
      <c r="B684" s="32">
        <v>56</v>
      </c>
      <c r="C684" s="32">
        <v>5</v>
      </c>
      <c r="D684" s="13">
        <f t="shared" si="150"/>
        <v>0</v>
      </c>
      <c r="E684" s="13"/>
      <c r="F684" s="13"/>
      <c r="G684" s="13"/>
      <c r="H684" s="13">
        <f t="shared" si="151"/>
        <v>0</v>
      </c>
      <c r="I684" s="13">
        <f t="shared" si="152"/>
        <v>0</v>
      </c>
      <c r="J684" s="13">
        <f t="shared" si="153"/>
        <v>0</v>
      </c>
      <c r="K684" s="13">
        <f>ROUNDUP(IF($D$2="Egyszeri",$D684,IF($D$2="Havi",SUM($D$20:$D$31),IF(MOD($C684,$M$1)-1=0,SUM($D$20:$D$31),0))/12*$M$1)*VLOOKUP($B684,Paraméterek!$B$27:$D$30,IF($D$2="Egyszeri",3,2)),IF($D$4="Forint",0,2))</f>
        <v>0</v>
      </c>
      <c r="L684" s="13">
        <f t="shared" si="154"/>
        <v>0</v>
      </c>
      <c r="M684" s="13">
        <f t="shared" ca="1" si="160"/>
        <v>-560040</v>
      </c>
      <c r="N684" s="13">
        <f ca="1">IF($V683&gt;=VLOOKUP($M$4-1+$B684,Paraméterek!$B$121:$D$122,IF($D$4="Forint",2,3)),0,VLOOKUP($M$4-1+$B684,Paraméterek!$B$121:$D$122,IF($D$4="Forint",2,3))-$V683)</f>
        <v>570040</v>
      </c>
      <c r="O684" s="13">
        <f ca="1">ROUNDUP($N684*Paraméterek!$C$58/Paraméterek!$C$56,IF($D$4="Forint",0,2))</f>
        <v>91</v>
      </c>
      <c r="P684" s="13">
        <f t="shared" si="155"/>
        <v>2796</v>
      </c>
      <c r="Q684" s="33"/>
      <c r="R684" s="13">
        <f t="shared" ca="1" si="156"/>
        <v>0</v>
      </c>
      <c r="S684" s="13">
        <f ca="1">ROUNDUP(($M684-$O684-$P684+$R684)*VLOOKUP($B684,Paraméterek!$B$38:$D$39,IF($D$2="Egyszeri",3,2))/12,IF($D$4="Forint",0,2))</f>
        <v>-1375</v>
      </c>
      <c r="T684" s="13"/>
      <c r="U684" s="13"/>
      <c r="V684" s="13">
        <f ca="1">$M684-$O684-$P684+$R684-$S684-IF(ROUNDUP(IF(ISBLANK($U684),$T684,$U684)/IF(AND($B684=1,$D$2&lt;&gt;"Egyszeri"),1,VLOOKUP($B684+IF($C684=12,1,0),Paraméterek!$B$257:$D$267,IF($D$2="Egyszeri",3,2))),IF($D$4="Forint",0,2))&gt;$M684-$O684-$P684+$R684-$S684-IF($D$4="Forint",Paraméterek!$C$216,Paraméterek!$D$216),0,ROUNDUP(IF(ISBLANK($U684),$T684,$U684)/IF(AND($B684=1,$D$2&lt;&gt;"Egyszeri"),1,VLOOKUP($B684+IF($C684=12,1,0),Paraméterek!$B$257:$D$267,IF($D$2="Egyszeri",3,2))),IF($D$4="Forint",0,2)))</f>
        <v>-561552</v>
      </c>
      <c r="W684" s="13">
        <f ca="1">ROUNDDOWN($V684*VLOOKUP($B684+IF($C684=12,1,0),Paraméterek!$B$257:$D$267,IF($D$2="Egyszeri",3,2)),IF($D$4="Forint",0,2))</f>
        <v>-561552</v>
      </c>
      <c r="Y684" s="32">
        <v>665</v>
      </c>
      <c r="Z684" s="32">
        <v>56</v>
      </c>
      <c r="AA684" s="32">
        <v>5</v>
      </c>
      <c r="AB684" s="13">
        <f t="shared" si="161"/>
        <v>0</v>
      </c>
      <c r="AC684" s="33"/>
      <c r="AD684" s="13">
        <f t="shared" si="157"/>
        <v>0</v>
      </c>
      <c r="AE684" s="13">
        <f>ROUNDUP(($AB684+$AD684)*VLOOKUP($Z684,Paraméterek!$P$38:$Q$38,2)/12,IF($D$4="Forint",0,2))</f>
        <v>0</v>
      </c>
      <c r="AF684" s="13">
        <f>IF($D$2="Egyszeri",IF($D$7&gt;=IF($D$4="Forint",Paraméterek!$P$223,Paraméterek!$P$224),$D$7-IF($D$4="Forint",Paraméterek!$F$223,Paraméterek!$F$224),0),MIN(IF($AA684=12,AVERAGE($D$20:$D684)*12,0),SUM($D$20:$D$31)))</f>
        <v>0</v>
      </c>
      <c r="AG684" s="13">
        <f>IF(AND($Z684&gt;=10,MOD($Z684,5)=0),$AF684*IF($AA684=12,VLOOKUP($Z684,Paraméterek!$B$225:$F$240,IF($AF684&lt;IF($D$4="Forint",Paraméterek!$C$223,Paraméterek!$C$224),2,IF($AF684&lt;IF($D$4="Forint",Paraméterek!$D$223,Paraméterek!$D$224),3,4))),0),0)</f>
        <v>0</v>
      </c>
      <c r="AH684" s="13">
        <f>IF(AND($Z684&gt;=5,MOD($Z684,5)=0),IF($AA684=12,VLOOKUP($Z684,Paraméterek!$B$225:$F$240,5),0),IF(OR($Z684=3,$Z684=4),IF($AA684=12,VLOOKUP($Z684,Paraméterek!$B$225:$F$240,5,0),0),0))*$AF684</f>
        <v>0</v>
      </c>
      <c r="AI684" s="13">
        <f>ROUNDDOWN(IF(SUM($T$20:$U684)=0,IF($D$2="Egyszeri",$AH684,$AG684),0),IF($D$4="Forint",0,2))</f>
        <v>0</v>
      </c>
      <c r="AJ684" s="13">
        <f t="shared" si="162"/>
        <v>0</v>
      </c>
      <c r="AK684" s="13">
        <f t="shared" si="163"/>
        <v>0</v>
      </c>
      <c r="AM684" s="32">
        <v>665</v>
      </c>
      <c r="AN684" s="32">
        <v>56</v>
      </c>
      <c r="AO684" s="32">
        <v>5</v>
      </c>
      <c r="AP684" s="13"/>
      <c r="AQ684" s="32"/>
      <c r="AR684" s="13">
        <f t="shared" si="164"/>
        <v>0</v>
      </c>
      <c r="AS684" s="33"/>
      <c r="AT684" s="13">
        <f t="shared" si="158"/>
        <v>0</v>
      </c>
      <c r="AU684" s="13">
        <f>ROUNDUP(($AR684+$AT684)*VLOOKUP($AN684,Paraméterek!$P$38:$Q$38,2)/12,IF($D$4="Forint",0,2))</f>
        <v>0</v>
      </c>
      <c r="AV684" s="13"/>
      <c r="AW684" s="13"/>
      <c r="AX684" s="13">
        <f>ROUNDUP(IF(SUM($AV684:$AW684)=0,0,IF(IF(ISBLANK($AW684),$AV684,$AW684)*Paraméterek!$J$112&lt;IF($D$4="Forint",Paraméterek!$J$113,Paraméterek!$K$113),IF($D$4="Forint",Paraméterek!$J$113,Paraméterek!$K$113),IF(IF(ISBLANK($AW684),$AV684,$AW684)*Paraméterek!$J$112&gt;IF($D$4="Forint",Paraméterek!$J$114,Paraméterek!$K$114),IF($D$4="Forint",Paraméterek!$J$114,Paraméterek!$K$114),IF(ISBLANK($AW684),$AV684,$AW684)*Paraméterek!$J$112))),IF($D$4="Forint",0,2))</f>
        <v>0</v>
      </c>
      <c r="AY684" s="13">
        <f>$AR684+$AT684-$AU684-IF(ROUNDDOWN(IF(ISBLANK($AW684),$AV684,$AW684),IF($D$4="Forint",0,2))&gt;$AR684+$AT684-$AU684-IF($D$4="Forint",Paraméterek!$J$114,Paraméterek!$K$114),0,ROUNDDOWN(IF(ISBLANK($AW684),$AV684,$AW684),IF($D$4="Forint",0,2))-$AX684)</f>
        <v>0</v>
      </c>
      <c r="AZ684" s="13">
        <f t="shared" si="159"/>
        <v>0</v>
      </c>
    </row>
    <row r="685" spans="1:52" x14ac:dyDescent="0.2">
      <c r="A685" s="32">
        <v>666</v>
      </c>
      <c r="B685" s="32">
        <v>56</v>
      </c>
      <c r="C685" s="32">
        <v>6</v>
      </c>
      <c r="D685" s="13">
        <f t="shared" si="150"/>
        <v>0</v>
      </c>
      <c r="E685" s="13"/>
      <c r="F685" s="13"/>
      <c r="G685" s="13"/>
      <c r="H685" s="13">
        <f t="shared" si="151"/>
        <v>0</v>
      </c>
      <c r="I685" s="13">
        <f t="shared" si="152"/>
        <v>0</v>
      </c>
      <c r="J685" s="13">
        <f t="shared" si="153"/>
        <v>0</v>
      </c>
      <c r="K685" s="13">
        <f>ROUNDUP(IF($D$2="Egyszeri",$D685,IF($D$2="Havi",SUM($D$20:$D$31),IF(MOD($C685,$M$1)-1=0,SUM($D$20:$D$31),0))/12*$M$1)*VLOOKUP($B685,Paraméterek!$B$27:$D$30,IF($D$2="Egyszeri",3,2)),IF($D$4="Forint",0,2))</f>
        <v>0</v>
      </c>
      <c r="L685" s="13">
        <f t="shared" si="154"/>
        <v>0</v>
      </c>
      <c r="M685" s="13">
        <f t="shared" ca="1" si="160"/>
        <v>-561552</v>
      </c>
      <c r="N685" s="13">
        <f ca="1">IF($V684&gt;=VLOOKUP($M$4-1+$B685,Paraméterek!$B$121:$D$122,IF($D$4="Forint",2,3)),0,VLOOKUP($M$4-1+$B685,Paraméterek!$B$121:$D$122,IF($D$4="Forint",2,3))-$V684)</f>
        <v>571552</v>
      </c>
      <c r="O685" s="13">
        <f ca="1">ROUNDUP($N685*Paraméterek!$C$58/Paraméterek!$C$56,IF($D$4="Forint",0,2))</f>
        <v>91</v>
      </c>
      <c r="P685" s="13">
        <f t="shared" si="155"/>
        <v>2796</v>
      </c>
      <c r="Q685" s="33"/>
      <c r="R685" s="13">
        <f t="shared" ca="1" si="156"/>
        <v>0</v>
      </c>
      <c r="S685" s="13">
        <f ca="1">ROUNDUP(($M685-$O685-$P685+$R685)*VLOOKUP($B685,Paraméterek!$B$38:$D$39,IF($D$2="Egyszeri",3,2))/12,IF($D$4="Forint",0,2))</f>
        <v>-1379</v>
      </c>
      <c r="T685" s="13"/>
      <c r="U685" s="13"/>
      <c r="V685" s="13">
        <f ca="1">$M685-$O685-$P685+$R685-$S685-IF(ROUNDUP(IF(ISBLANK($U685),$T685,$U685)/IF(AND($B685=1,$D$2&lt;&gt;"Egyszeri"),1,VLOOKUP($B685+IF($C685=12,1,0),Paraméterek!$B$257:$D$267,IF($D$2="Egyszeri",3,2))),IF($D$4="Forint",0,2))&gt;$M685-$O685-$P685+$R685-$S685-IF($D$4="Forint",Paraméterek!$C$216,Paraméterek!$D$216),0,ROUNDUP(IF(ISBLANK($U685),$T685,$U685)/IF(AND($B685=1,$D$2&lt;&gt;"Egyszeri"),1,VLOOKUP($B685+IF($C685=12,1,0),Paraméterek!$B$257:$D$267,IF($D$2="Egyszeri",3,2))),IF($D$4="Forint",0,2)))</f>
        <v>-563060</v>
      </c>
      <c r="W685" s="13">
        <f ca="1">ROUNDDOWN($V685*VLOOKUP($B685+IF($C685=12,1,0),Paraméterek!$B$257:$D$267,IF($D$2="Egyszeri",3,2)),IF($D$4="Forint",0,2))</f>
        <v>-563060</v>
      </c>
      <c r="Y685" s="32">
        <v>666</v>
      </c>
      <c r="Z685" s="32">
        <v>56</v>
      </c>
      <c r="AA685" s="32">
        <v>6</v>
      </c>
      <c r="AB685" s="13">
        <f t="shared" si="161"/>
        <v>0</v>
      </c>
      <c r="AC685" s="33"/>
      <c r="AD685" s="13">
        <f t="shared" si="157"/>
        <v>0</v>
      </c>
      <c r="AE685" s="13">
        <f>ROUNDUP(($AB685+$AD685)*VLOOKUP($Z685,Paraméterek!$P$38:$Q$38,2)/12,IF($D$4="Forint",0,2))</f>
        <v>0</v>
      </c>
      <c r="AF685" s="13">
        <f>IF($D$2="Egyszeri",IF($D$7&gt;=IF($D$4="Forint",Paraméterek!$P$223,Paraméterek!$P$224),$D$7-IF($D$4="Forint",Paraméterek!$F$223,Paraméterek!$F$224),0),MIN(IF($AA685=12,AVERAGE($D$20:$D685)*12,0),SUM($D$20:$D$31)))</f>
        <v>0</v>
      </c>
      <c r="AG685" s="13">
        <f>IF(AND($Z685&gt;=10,MOD($Z685,5)=0),$AF685*IF($AA685=12,VLOOKUP($Z685,Paraméterek!$B$225:$F$240,IF($AF685&lt;IF($D$4="Forint",Paraméterek!$C$223,Paraméterek!$C$224),2,IF($AF685&lt;IF($D$4="Forint",Paraméterek!$D$223,Paraméterek!$D$224),3,4))),0),0)</f>
        <v>0</v>
      </c>
      <c r="AH685" s="13">
        <f>IF(AND($Z685&gt;=5,MOD($Z685,5)=0),IF($AA685=12,VLOOKUP($Z685,Paraméterek!$B$225:$F$240,5),0),IF(OR($Z685=3,$Z685=4),IF($AA685=12,VLOOKUP($Z685,Paraméterek!$B$225:$F$240,5,0),0),0))*$AF685</f>
        <v>0</v>
      </c>
      <c r="AI685" s="13">
        <f>ROUNDDOWN(IF(SUM($T$20:$U685)=0,IF($D$2="Egyszeri",$AH685,$AG685),0),IF($D$4="Forint",0,2))</f>
        <v>0</v>
      </c>
      <c r="AJ685" s="13">
        <f t="shared" si="162"/>
        <v>0</v>
      </c>
      <c r="AK685" s="13">
        <f t="shared" si="163"/>
        <v>0</v>
      </c>
      <c r="AM685" s="32">
        <v>666</v>
      </c>
      <c r="AN685" s="32">
        <v>56</v>
      </c>
      <c r="AO685" s="32">
        <v>6</v>
      </c>
      <c r="AP685" s="13"/>
      <c r="AQ685" s="32"/>
      <c r="AR685" s="13">
        <f t="shared" si="164"/>
        <v>0</v>
      </c>
      <c r="AS685" s="33"/>
      <c r="AT685" s="13">
        <f t="shared" si="158"/>
        <v>0</v>
      </c>
      <c r="AU685" s="13">
        <f>ROUNDUP(($AR685+$AT685)*VLOOKUP($AN685,Paraméterek!$P$38:$Q$38,2)/12,IF($D$4="Forint",0,2))</f>
        <v>0</v>
      </c>
      <c r="AV685" s="13"/>
      <c r="AW685" s="13"/>
      <c r="AX685" s="13">
        <f>ROUNDUP(IF(SUM($AV685:$AW685)=0,0,IF(IF(ISBLANK($AW685),$AV685,$AW685)*Paraméterek!$J$112&lt;IF($D$4="Forint",Paraméterek!$J$113,Paraméterek!$K$113),IF($D$4="Forint",Paraméterek!$J$113,Paraméterek!$K$113),IF(IF(ISBLANK($AW685),$AV685,$AW685)*Paraméterek!$J$112&gt;IF($D$4="Forint",Paraméterek!$J$114,Paraméterek!$K$114),IF($D$4="Forint",Paraméterek!$J$114,Paraméterek!$K$114),IF(ISBLANK($AW685),$AV685,$AW685)*Paraméterek!$J$112))),IF($D$4="Forint",0,2))</f>
        <v>0</v>
      </c>
      <c r="AY685" s="13">
        <f>$AR685+$AT685-$AU685-IF(ROUNDDOWN(IF(ISBLANK($AW685),$AV685,$AW685),IF($D$4="Forint",0,2))&gt;$AR685+$AT685-$AU685-IF($D$4="Forint",Paraméterek!$J$114,Paraméterek!$K$114),0,ROUNDDOWN(IF(ISBLANK($AW685),$AV685,$AW685),IF($D$4="Forint",0,2))-$AX685)</f>
        <v>0</v>
      </c>
      <c r="AZ685" s="13">
        <f t="shared" si="159"/>
        <v>0</v>
      </c>
    </row>
    <row r="686" spans="1:52" x14ac:dyDescent="0.2">
      <c r="A686" s="32">
        <v>667</v>
      </c>
      <c r="B686" s="32">
        <v>56</v>
      </c>
      <c r="C686" s="32">
        <v>7</v>
      </c>
      <c r="D686" s="13">
        <f t="shared" si="150"/>
        <v>0</v>
      </c>
      <c r="E686" s="13"/>
      <c r="F686" s="13"/>
      <c r="G686" s="13"/>
      <c r="H686" s="13">
        <f t="shared" si="151"/>
        <v>0</v>
      </c>
      <c r="I686" s="13">
        <f t="shared" si="152"/>
        <v>0</v>
      </c>
      <c r="J686" s="13">
        <f t="shared" si="153"/>
        <v>0</v>
      </c>
      <c r="K686" s="13">
        <f>ROUNDUP(IF($D$2="Egyszeri",$D686,IF($D$2="Havi",SUM($D$20:$D$31),IF(MOD($C686,$M$1)-1=0,SUM($D$20:$D$31),0))/12*$M$1)*VLOOKUP($B686,Paraméterek!$B$27:$D$30,IF($D$2="Egyszeri",3,2)),IF($D$4="Forint",0,2))</f>
        <v>0</v>
      </c>
      <c r="L686" s="13">
        <f t="shared" si="154"/>
        <v>0</v>
      </c>
      <c r="M686" s="13">
        <f t="shared" ca="1" si="160"/>
        <v>-563060</v>
      </c>
      <c r="N686" s="13">
        <f ca="1">IF($V685&gt;=VLOOKUP($M$4-1+$B686,Paraméterek!$B$121:$D$122,IF($D$4="Forint",2,3)),0,VLOOKUP($M$4-1+$B686,Paraméterek!$B$121:$D$122,IF($D$4="Forint",2,3))-$V685)</f>
        <v>573060</v>
      </c>
      <c r="O686" s="13">
        <f ca="1">ROUNDUP($N686*Paraméterek!$C$58/Paraméterek!$C$56,IF($D$4="Forint",0,2))</f>
        <v>92</v>
      </c>
      <c r="P686" s="13">
        <f t="shared" si="155"/>
        <v>2796</v>
      </c>
      <c r="Q686" s="33"/>
      <c r="R686" s="13">
        <f t="shared" ca="1" si="156"/>
        <v>0</v>
      </c>
      <c r="S686" s="13">
        <f ca="1">ROUNDUP(($M686-$O686-$P686+$R686)*VLOOKUP($B686,Paraméterek!$B$38:$D$39,IF($D$2="Egyszeri",3,2))/12,IF($D$4="Forint",0,2))</f>
        <v>-1382</v>
      </c>
      <c r="T686" s="13"/>
      <c r="U686" s="13"/>
      <c r="V686" s="13">
        <f ca="1">$M686-$O686-$P686+$R686-$S686-IF(ROUNDUP(IF(ISBLANK($U686),$T686,$U686)/IF(AND($B686=1,$D$2&lt;&gt;"Egyszeri"),1,VLOOKUP($B686+IF($C686=12,1,0),Paraméterek!$B$257:$D$267,IF($D$2="Egyszeri",3,2))),IF($D$4="Forint",0,2))&gt;$M686-$O686-$P686+$R686-$S686-IF($D$4="Forint",Paraméterek!$C$216,Paraméterek!$D$216),0,ROUNDUP(IF(ISBLANK($U686),$T686,$U686)/IF(AND($B686=1,$D$2&lt;&gt;"Egyszeri"),1,VLOOKUP($B686+IF($C686=12,1,0),Paraméterek!$B$257:$D$267,IF($D$2="Egyszeri",3,2))),IF($D$4="Forint",0,2)))</f>
        <v>-564566</v>
      </c>
      <c r="W686" s="13">
        <f ca="1">ROUNDDOWN($V686*VLOOKUP($B686+IF($C686=12,1,0),Paraméterek!$B$257:$D$267,IF($D$2="Egyszeri",3,2)),IF($D$4="Forint",0,2))</f>
        <v>-564566</v>
      </c>
      <c r="Y686" s="32">
        <v>667</v>
      </c>
      <c r="Z686" s="32">
        <v>56</v>
      </c>
      <c r="AA686" s="32">
        <v>7</v>
      </c>
      <c r="AB686" s="13">
        <f t="shared" si="161"/>
        <v>0</v>
      </c>
      <c r="AC686" s="33"/>
      <c r="AD686" s="13">
        <f t="shared" si="157"/>
        <v>0</v>
      </c>
      <c r="AE686" s="13">
        <f>ROUNDUP(($AB686+$AD686)*VLOOKUP($Z686,Paraméterek!$P$38:$Q$38,2)/12,IF($D$4="Forint",0,2))</f>
        <v>0</v>
      </c>
      <c r="AF686" s="13">
        <f>IF($D$2="Egyszeri",IF($D$7&gt;=IF($D$4="Forint",Paraméterek!$P$223,Paraméterek!$P$224),$D$7-IF($D$4="Forint",Paraméterek!$F$223,Paraméterek!$F$224),0),MIN(IF($AA686=12,AVERAGE($D$20:$D686)*12,0),SUM($D$20:$D$31)))</f>
        <v>0</v>
      </c>
      <c r="AG686" s="13">
        <f>IF(AND($Z686&gt;=10,MOD($Z686,5)=0),$AF686*IF($AA686=12,VLOOKUP($Z686,Paraméterek!$B$225:$F$240,IF($AF686&lt;IF($D$4="Forint",Paraméterek!$C$223,Paraméterek!$C$224),2,IF($AF686&lt;IF($D$4="Forint",Paraméterek!$D$223,Paraméterek!$D$224),3,4))),0),0)</f>
        <v>0</v>
      </c>
      <c r="AH686" s="13">
        <f>IF(AND($Z686&gt;=5,MOD($Z686,5)=0),IF($AA686=12,VLOOKUP($Z686,Paraméterek!$B$225:$F$240,5),0),IF(OR($Z686=3,$Z686=4),IF($AA686=12,VLOOKUP($Z686,Paraméterek!$B$225:$F$240,5,0),0),0))*$AF686</f>
        <v>0</v>
      </c>
      <c r="AI686" s="13">
        <f>ROUNDDOWN(IF(SUM($T$20:$U686)=0,IF($D$2="Egyszeri",$AH686,$AG686),0),IF($D$4="Forint",0,2))</f>
        <v>0</v>
      </c>
      <c r="AJ686" s="13">
        <f t="shared" si="162"/>
        <v>0</v>
      </c>
      <c r="AK686" s="13">
        <f t="shared" si="163"/>
        <v>0</v>
      </c>
      <c r="AM686" s="32">
        <v>667</v>
      </c>
      <c r="AN686" s="32">
        <v>56</v>
      </c>
      <c r="AO686" s="32">
        <v>7</v>
      </c>
      <c r="AP686" s="13"/>
      <c r="AQ686" s="32"/>
      <c r="AR686" s="13">
        <f t="shared" si="164"/>
        <v>0</v>
      </c>
      <c r="AS686" s="33"/>
      <c r="AT686" s="13">
        <f t="shared" si="158"/>
        <v>0</v>
      </c>
      <c r="AU686" s="13">
        <f>ROUNDUP(($AR686+$AT686)*VLOOKUP($AN686,Paraméterek!$P$38:$Q$38,2)/12,IF($D$4="Forint",0,2))</f>
        <v>0</v>
      </c>
      <c r="AV686" s="13"/>
      <c r="AW686" s="13"/>
      <c r="AX686" s="13">
        <f>ROUNDUP(IF(SUM($AV686:$AW686)=0,0,IF(IF(ISBLANK($AW686),$AV686,$AW686)*Paraméterek!$J$112&lt;IF($D$4="Forint",Paraméterek!$J$113,Paraméterek!$K$113),IF($D$4="Forint",Paraméterek!$J$113,Paraméterek!$K$113),IF(IF(ISBLANK($AW686),$AV686,$AW686)*Paraméterek!$J$112&gt;IF($D$4="Forint",Paraméterek!$J$114,Paraméterek!$K$114),IF($D$4="Forint",Paraméterek!$J$114,Paraméterek!$K$114),IF(ISBLANK($AW686),$AV686,$AW686)*Paraméterek!$J$112))),IF($D$4="Forint",0,2))</f>
        <v>0</v>
      </c>
      <c r="AY686" s="13">
        <f>$AR686+$AT686-$AU686-IF(ROUNDDOWN(IF(ISBLANK($AW686),$AV686,$AW686),IF($D$4="Forint",0,2))&gt;$AR686+$AT686-$AU686-IF($D$4="Forint",Paraméterek!$J$114,Paraméterek!$K$114),0,ROUNDDOWN(IF(ISBLANK($AW686),$AV686,$AW686),IF($D$4="Forint",0,2))-$AX686)</f>
        <v>0</v>
      </c>
      <c r="AZ686" s="13">
        <f t="shared" si="159"/>
        <v>0</v>
      </c>
    </row>
    <row r="687" spans="1:52" x14ac:dyDescent="0.2">
      <c r="A687" s="32">
        <v>668</v>
      </c>
      <c r="B687" s="32">
        <v>56</v>
      </c>
      <c r="C687" s="32">
        <v>8</v>
      </c>
      <c r="D687" s="13">
        <f t="shared" si="150"/>
        <v>0</v>
      </c>
      <c r="E687" s="13"/>
      <c r="F687" s="13"/>
      <c r="G687" s="13"/>
      <c r="H687" s="13">
        <f t="shared" si="151"/>
        <v>0</v>
      </c>
      <c r="I687" s="13">
        <f t="shared" si="152"/>
        <v>0</v>
      </c>
      <c r="J687" s="13">
        <f t="shared" si="153"/>
        <v>0</v>
      </c>
      <c r="K687" s="13">
        <f>ROUNDUP(IF($D$2="Egyszeri",$D687,IF($D$2="Havi",SUM($D$20:$D$31),IF(MOD($C687,$M$1)-1=0,SUM($D$20:$D$31),0))/12*$M$1)*VLOOKUP($B687,Paraméterek!$B$27:$D$30,IF($D$2="Egyszeri",3,2)),IF($D$4="Forint",0,2))</f>
        <v>0</v>
      </c>
      <c r="L687" s="13">
        <f t="shared" si="154"/>
        <v>0</v>
      </c>
      <c r="M687" s="13">
        <f t="shared" ca="1" si="160"/>
        <v>-564566</v>
      </c>
      <c r="N687" s="13">
        <f ca="1">IF($V686&gt;=VLOOKUP($M$4-1+$B687,Paraméterek!$B$121:$D$122,IF($D$4="Forint",2,3)),0,VLOOKUP($M$4-1+$B687,Paraméterek!$B$121:$D$122,IF($D$4="Forint",2,3))-$V686)</f>
        <v>574566</v>
      </c>
      <c r="O687" s="13">
        <f ca="1">ROUNDUP($N687*Paraméterek!$C$58/Paraméterek!$C$56,IF($D$4="Forint",0,2))</f>
        <v>92</v>
      </c>
      <c r="P687" s="13">
        <f t="shared" si="155"/>
        <v>2796</v>
      </c>
      <c r="Q687" s="33"/>
      <c r="R687" s="13">
        <f t="shared" ca="1" si="156"/>
        <v>0</v>
      </c>
      <c r="S687" s="13">
        <f ca="1">ROUNDUP(($M687-$O687-$P687+$R687)*VLOOKUP($B687,Paraméterek!$B$38:$D$39,IF($D$2="Egyszeri",3,2))/12,IF($D$4="Forint",0,2))</f>
        <v>-1386</v>
      </c>
      <c r="T687" s="13"/>
      <c r="U687" s="13"/>
      <c r="V687" s="13">
        <f ca="1">$M687-$O687-$P687+$R687-$S687-IF(ROUNDUP(IF(ISBLANK($U687),$T687,$U687)/IF(AND($B687=1,$D$2&lt;&gt;"Egyszeri"),1,VLOOKUP($B687+IF($C687=12,1,0),Paraméterek!$B$257:$D$267,IF($D$2="Egyszeri",3,2))),IF($D$4="Forint",0,2))&gt;$M687-$O687-$P687+$R687-$S687-IF($D$4="Forint",Paraméterek!$C$216,Paraméterek!$D$216),0,ROUNDUP(IF(ISBLANK($U687),$T687,$U687)/IF(AND($B687=1,$D$2&lt;&gt;"Egyszeri"),1,VLOOKUP($B687+IF($C687=12,1,0),Paraméterek!$B$257:$D$267,IF($D$2="Egyszeri",3,2))),IF($D$4="Forint",0,2)))</f>
        <v>-566068</v>
      </c>
      <c r="W687" s="13">
        <f ca="1">ROUNDDOWN($V687*VLOOKUP($B687+IF($C687=12,1,0),Paraméterek!$B$257:$D$267,IF($D$2="Egyszeri",3,2)),IF($D$4="Forint",0,2))</f>
        <v>-566068</v>
      </c>
      <c r="Y687" s="32">
        <v>668</v>
      </c>
      <c r="Z687" s="32">
        <v>56</v>
      </c>
      <c r="AA687" s="32">
        <v>8</v>
      </c>
      <c r="AB687" s="13">
        <f t="shared" si="161"/>
        <v>0</v>
      </c>
      <c r="AC687" s="33"/>
      <c r="AD687" s="13">
        <f t="shared" si="157"/>
        <v>0</v>
      </c>
      <c r="AE687" s="13">
        <f>ROUNDUP(($AB687+$AD687)*VLOOKUP($Z687,Paraméterek!$P$38:$Q$38,2)/12,IF($D$4="Forint",0,2))</f>
        <v>0</v>
      </c>
      <c r="AF687" s="13">
        <f>IF($D$2="Egyszeri",IF($D$7&gt;=IF($D$4="Forint",Paraméterek!$P$223,Paraméterek!$P$224),$D$7-IF($D$4="Forint",Paraméterek!$F$223,Paraméterek!$F$224),0),MIN(IF($AA687=12,AVERAGE($D$20:$D687)*12,0),SUM($D$20:$D$31)))</f>
        <v>0</v>
      </c>
      <c r="AG687" s="13">
        <f>IF(AND($Z687&gt;=10,MOD($Z687,5)=0),$AF687*IF($AA687=12,VLOOKUP($Z687,Paraméterek!$B$225:$F$240,IF($AF687&lt;IF($D$4="Forint",Paraméterek!$C$223,Paraméterek!$C$224),2,IF($AF687&lt;IF($D$4="Forint",Paraméterek!$D$223,Paraméterek!$D$224),3,4))),0),0)</f>
        <v>0</v>
      </c>
      <c r="AH687" s="13">
        <f>IF(AND($Z687&gt;=5,MOD($Z687,5)=0),IF($AA687=12,VLOOKUP($Z687,Paraméterek!$B$225:$F$240,5),0),IF(OR($Z687=3,$Z687=4),IF($AA687=12,VLOOKUP($Z687,Paraméterek!$B$225:$F$240,5,0),0),0))*$AF687</f>
        <v>0</v>
      </c>
      <c r="AI687" s="13">
        <f>ROUNDDOWN(IF(SUM($T$20:$U687)=0,IF($D$2="Egyszeri",$AH687,$AG687),0),IF($D$4="Forint",0,2))</f>
        <v>0</v>
      </c>
      <c r="AJ687" s="13">
        <f t="shared" si="162"/>
        <v>0</v>
      </c>
      <c r="AK687" s="13">
        <f t="shared" si="163"/>
        <v>0</v>
      </c>
      <c r="AM687" s="32">
        <v>668</v>
      </c>
      <c r="AN687" s="32">
        <v>56</v>
      </c>
      <c r="AO687" s="32">
        <v>8</v>
      </c>
      <c r="AP687" s="13"/>
      <c r="AQ687" s="32"/>
      <c r="AR687" s="13">
        <f t="shared" si="164"/>
        <v>0</v>
      </c>
      <c r="AS687" s="33"/>
      <c r="AT687" s="13">
        <f t="shared" si="158"/>
        <v>0</v>
      </c>
      <c r="AU687" s="13">
        <f>ROUNDUP(($AR687+$AT687)*VLOOKUP($AN687,Paraméterek!$P$38:$Q$38,2)/12,IF($D$4="Forint",0,2))</f>
        <v>0</v>
      </c>
      <c r="AV687" s="13"/>
      <c r="AW687" s="13"/>
      <c r="AX687" s="13">
        <f>ROUNDUP(IF(SUM($AV687:$AW687)=0,0,IF(IF(ISBLANK($AW687),$AV687,$AW687)*Paraméterek!$J$112&lt;IF($D$4="Forint",Paraméterek!$J$113,Paraméterek!$K$113),IF($D$4="Forint",Paraméterek!$J$113,Paraméterek!$K$113),IF(IF(ISBLANK($AW687),$AV687,$AW687)*Paraméterek!$J$112&gt;IF($D$4="Forint",Paraméterek!$J$114,Paraméterek!$K$114),IF($D$4="Forint",Paraméterek!$J$114,Paraméterek!$K$114),IF(ISBLANK($AW687),$AV687,$AW687)*Paraméterek!$J$112))),IF($D$4="Forint",0,2))</f>
        <v>0</v>
      </c>
      <c r="AY687" s="13">
        <f>$AR687+$AT687-$AU687-IF(ROUNDDOWN(IF(ISBLANK($AW687),$AV687,$AW687),IF($D$4="Forint",0,2))&gt;$AR687+$AT687-$AU687-IF($D$4="Forint",Paraméterek!$J$114,Paraméterek!$K$114),0,ROUNDDOWN(IF(ISBLANK($AW687),$AV687,$AW687),IF($D$4="Forint",0,2))-$AX687)</f>
        <v>0</v>
      </c>
      <c r="AZ687" s="13">
        <f t="shared" si="159"/>
        <v>0</v>
      </c>
    </row>
    <row r="688" spans="1:52" x14ac:dyDescent="0.2">
      <c r="A688" s="32">
        <v>669</v>
      </c>
      <c r="B688" s="32">
        <v>56</v>
      </c>
      <c r="C688" s="32">
        <v>9</v>
      </c>
      <c r="D688" s="13">
        <f t="shared" si="150"/>
        <v>0</v>
      </c>
      <c r="E688" s="13"/>
      <c r="F688" s="13"/>
      <c r="G688" s="13"/>
      <c r="H688" s="13">
        <f t="shared" si="151"/>
        <v>0</v>
      </c>
      <c r="I688" s="13">
        <f t="shared" si="152"/>
        <v>0</v>
      </c>
      <c r="J688" s="13">
        <f t="shared" si="153"/>
        <v>0</v>
      </c>
      <c r="K688" s="13">
        <f>ROUNDUP(IF($D$2="Egyszeri",$D688,IF($D$2="Havi",SUM($D$20:$D$31),IF(MOD($C688,$M$1)-1=0,SUM($D$20:$D$31),0))/12*$M$1)*VLOOKUP($B688,Paraméterek!$B$27:$D$30,IF($D$2="Egyszeri",3,2)),IF($D$4="Forint",0,2))</f>
        <v>0</v>
      </c>
      <c r="L688" s="13">
        <f t="shared" si="154"/>
        <v>0</v>
      </c>
      <c r="M688" s="13">
        <f t="shared" ca="1" si="160"/>
        <v>-566068</v>
      </c>
      <c r="N688" s="13">
        <f ca="1">IF($V687&gt;=VLOOKUP($M$4-1+$B688,Paraméterek!$B$121:$D$122,IF($D$4="Forint",2,3)),0,VLOOKUP($M$4-1+$B688,Paraméterek!$B$121:$D$122,IF($D$4="Forint",2,3))-$V687)</f>
        <v>576068</v>
      </c>
      <c r="O688" s="13">
        <f ca="1">ROUNDUP($N688*Paraméterek!$C$58/Paraméterek!$C$56,IF($D$4="Forint",0,2))</f>
        <v>92</v>
      </c>
      <c r="P688" s="13">
        <f t="shared" si="155"/>
        <v>2796</v>
      </c>
      <c r="Q688" s="33"/>
      <c r="R688" s="13">
        <f t="shared" ca="1" si="156"/>
        <v>0</v>
      </c>
      <c r="S688" s="13">
        <f ca="1">ROUNDUP(($M688-$O688-$P688+$R688)*VLOOKUP($B688,Paraméterek!$B$38:$D$39,IF($D$2="Egyszeri",3,2))/12,IF($D$4="Forint",0,2))</f>
        <v>-1390</v>
      </c>
      <c r="T688" s="13"/>
      <c r="U688" s="13"/>
      <c r="V688" s="13">
        <f ca="1">$M688-$O688-$P688+$R688-$S688-IF(ROUNDUP(IF(ISBLANK($U688),$T688,$U688)/IF(AND($B688=1,$D$2&lt;&gt;"Egyszeri"),1,VLOOKUP($B688+IF($C688=12,1,0),Paraméterek!$B$257:$D$267,IF($D$2="Egyszeri",3,2))),IF($D$4="Forint",0,2))&gt;$M688-$O688-$P688+$R688-$S688-IF($D$4="Forint",Paraméterek!$C$216,Paraméterek!$D$216),0,ROUNDUP(IF(ISBLANK($U688),$T688,$U688)/IF(AND($B688=1,$D$2&lt;&gt;"Egyszeri"),1,VLOOKUP($B688+IF($C688=12,1,0),Paraméterek!$B$257:$D$267,IF($D$2="Egyszeri",3,2))),IF($D$4="Forint",0,2)))</f>
        <v>-567566</v>
      </c>
      <c r="W688" s="13">
        <f ca="1">ROUNDDOWN($V688*VLOOKUP($B688+IF($C688=12,1,0),Paraméterek!$B$257:$D$267,IF($D$2="Egyszeri",3,2)),IF($D$4="Forint",0,2))</f>
        <v>-567566</v>
      </c>
      <c r="Y688" s="32">
        <v>669</v>
      </c>
      <c r="Z688" s="32">
        <v>56</v>
      </c>
      <c r="AA688" s="32">
        <v>9</v>
      </c>
      <c r="AB688" s="13">
        <f t="shared" si="161"/>
        <v>0</v>
      </c>
      <c r="AC688" s="33"/>
      <c r="AD688" s="13">
        <f t="shared" si="157"/>
        <v>0</v>
      </c>
      <c r="AE688" s="13">
        <f>ROUNDUP(($AB688+$AD688)*VLOOKUP($Z688,Paraméterek!$P$38:$Q$38,2)/12,IF($D$4="Forint",0,2))</f>
        <v>0</v>
      </c>
      <c r="AF688" s="13">
        <f>IF($D$2="Egyszeri",IF($D$7&gt;=IF($D$4="Forint",Paraméterek!$P$223,Paraméterek!$P$224),$D$7-IF($D$4="Forint",Paraméterek!$F$223,Paraméterek!$F$224),0),MIN(IF($AA688=12,AVERAGE($D$20:$D688)*12,0),SUM($D$20:$D$31)))</f>
        <v>0</v>
      </c>
      <c r="AG688" s="13">
        <f>IF(AND($Z688&gt;=10,MOD($Z688,5)=0),$AF688*IF($AA688=12,VLOOKUP($Z688,Paraméterek!$B$225:$F$240,IF($AF688&lt;IF($D$4="Forint",Paraméterek!$C$223,Paraméterek!$C$224),2,IF($AF688&lt;IF($D$4="Forint",Paraméterek!$D$223,Paraméterek!$D$224),3,4))),0),0)</f>
        <v>0</v>
      </c>
      <c r="AH688" s="13">
        <f>IF(AND($Z688&gt;=5,MOD($Z688,5)=0),IF($AA688=12,VLOOKUP($Z688,Paraméterek!$B$225:$F$240,5),0),IF(OR($Z688=3,$Z688=4),IF($AA688=12,VLOOKUP($Z688,Paraméterek!$B$225:$F$240,5,0),0),0))*$AF688</f>
        <v>0</v>
      </c>
      <c r="AI688" s="13">
        <f>ROUNDDOWN(IF(SUM($T$20:$U688)=0,IF($D$2="Egyszeri",$AH688,$AG688),0),IF($D$4="Forint",0,2))</f>
        <v>0</v>
      </c>
      <c r="AJ688" s="13">
        <f t="shared" si="162"/>
        <v>0</v>
      </c>
      <c r="AK688" s="13">
        <f t="shared" si="163"/>
        <v>0</v>
      </c>
      <c r="AM688" s="32">
        <v>669</v>
      </c>
      <c r="AN688" s="32">
        <v>56</v>
      </c>
      <c r="AO688" s="32">
        <v>9</v>
      </c>
      <c r="AP688" s="13"/>
      <c r="AQ688" s="32"/>
      <c r="AR688" s="13">
        <f t="shared" si="164"/>
        <v>0</v>
      </c>
      <c r="AS688" s="33"/>
      <c r="AT688" s="13">
        <f t="shared" si="158"/>
        <v>0</v>
      </c>
      <c r="AU688" s="13">
        <f>ROUNDUP(($AR688+$AT688)*VLOOKUP($AN688,Paraméterek!$P$38:$Q$38,2)/12,IF($D$4="Forint",0,2))</f>
        <v>0</v>
      </c>
      <c r="AV688" s="13"/>
      <c r="AW688" s="13"/>
      <c r="AX688" s="13">
        <f>ROUNDUP(IF(SUM($AV688:$AW688)=0,0,IF(IF(ISBLANK($AW688),$AV688,$AW688)*Paraméterek!$J$112&lt;IF($D$4="Forint",Paraméterek!$J$113,Paraméterek!$K$113),IF($D$4="Forint",Paraméterek!$J$113,Paraméterek!$K$113),IF(IF(ISBLANK($AW688),$AV688,$AW688)*Paraméterek!$J$112&gt;IF($D$4="Forint",Paraméterek!$J$114,Paraméterek!$K$114),IF($D$4="Forint",Paraméterek!$J$114,Paraméterek!$K$114),IF(ISBLANK($AW688),$AV688,$AW688)*Paraméterek!$J$112))),IF($D$4="Forint",0,2))</f>
        <v>0</v>
      </c>
      <c r="AY688" s="13">
        <f>$AR688+$AT688-$AU688-IF(ROUNDDOWN(IF(ISBLANK($AW688),$AV688,$AW688),IF($D$4="Forint",0,2))&gt;$AR688+$AT688-$AU688-IF($D$4="Forint",Paraméterek!$J$114,Paraméterek!$K$114),0,ROUNDDOWN(IF(ISBLANK($AW688),$AV688,$AW688),IF($D$4="Forint",0,2))-$AX688)</f>
        <v>0</v>
      </c>
      <c r="AZ688" s="13">
        <f t="shared" si="159"/>
        <v>0</v>
      </c>
    </row>
    <row r="689" spans="1:52" x14ac:dyDescent="0.2">
      <c r="A689" s="32">
        <v>670</v>
      </c>
      <c r="B689" s="32">
        <v>56</v>
      </c>
      <c r="C689" s="32">
        <v>10</v>
      </c>
      <c r="D689" s="13">
        <f t="shared" si="150"/>
        <v>0</v>
      </c>
      <c r="E689" s="13"/>
      <c r="F689" s="13"/>
      <c r="G689" s="13"/>
      <c r="H689" s="13">
        <f t="shared" si="151"/>
        <v>0</v>
      </c>
      <c r="I689" s="13">
        <f t="shared" si="152"/>
        <v>0</v>
      </c>
      <c r="J689" s="13">
        <f t="shared" si="153"/>
        <v>0</v>
      </c>
      <c r="K689" s="13">
        <f>ROUNDUP(IF($D$2="Egyszeri",$D689,IF($D$2="Havi",SUM($D$20:$D$31),IF(MOD($C689,$M$1)-1=0,SUM($D$20:$D$31),0))/12*$M$1)*VLOOKUP($B689,Paraméterek!$B$27:$D$30,IF($D$2="Egyszeri",3,2)),IF($D$4="Forint",0,2))</f>
        <v>0</v>
      </c>
      <c r="L689" s="13">
        <f t="shared" si="154"/>
        <v>0</v>
      </c>
      <c r="M689" s="13">
        <f t="shared" ca="1" si="160"/>
        <v>-567566</v>
      </c>
      <c r="N689" s="13">
        <f ca="1">IF($V688&gt;=VLOOKUP($M$4-1+$B689,Paraméterek!$B$121:$D$122,IF($D$4="Forint",2,3)),0,VLOOKUP($M$4-1+$B689,Paraméterek!$B$121:$D$122,IF($D$4="Forint",2,3))-$V688)</f>
        <v>577566</v>
      </c>
      <c r="O689" s="13">
        <f ca="1">ROUNDUP($N689*Paraméterek!$C$58/Paraméterek!$C$56,IF($D$4="Forint",0,2))</f>
        <v>92</v>
      </c>
      <c r="P689" s="13">
        <f t="shared" si="155"/>
        <v>2796</v>
      </c>
      <c r="Q689" s="33"/>
      <c r="R689" s="13">
        <f t="shared" ca="1" si="156"/>
        <v>0</v>
      </c>
      <c r="S689" s="13">
        <f ca="1">ROUNDUP(($M689-$O689-$P689+$R689)*VLOOKUP($B689,Paraméterek!$B$38:$D$39,IF($D$2="Egyszeri",3,2))/12,IF($D$4="Forint",0,2))</f>
        <v>-1393</v>
      </c>
      <c r="T689" s="13"/>
      <c r="U689" s="13"/>
      <c r="V689" s="13">
        <f ca="1">$M689-$O689-$P689+$R689-$S689-IF(ROUNDUP(IF(ISBLANK($U689),$T689,$U689)/IF(AND($B689=1,$D$2&lt;&gt;"Egyszeri"),1,VLOOKUP($B689+IF($C689=12,1,0),Paraméterek!$B$257:$D$267,IF($D$2="Egyszeri",3,2))),IF($D$4="Forint",0,2))&gt;$M689-$O689-$P689+$R689-$S689-IF($D$4="Forint",Paraméterek!$C$216,Paraméterek!$D$216),0,ROUNDUP(IF(ISBLANK($U689),$T689,$U689)/IF(AND($B689=1,$D$2&lt;&gt;"Egyszeri"),1,VLOOKUP($B689+IF($C689=12,1,0),Paraméterek!$B$257:$D$267,IF($D$2="Egyszeri",3,2))),IF($D$4="Forint",0,2)))</f>
        <v>-569061</v>
      </c>
      <c r="W689" s="13">
        <f ca="1">ROUNDDOWN($V689*VLOOKUP($B689+IF($C689=12,1,0),Paraméterek!$B$257:$D$267,IF($D$2="Egyszeri",3,2)),IF($D$4="Forint",0,2))</f>
        <v>-569061</v>
      </c>
      <c r="Y689" s="32">
        <v>670</v>
      </c>
      <c r="Z689" s="32">
        <v>56</v>
      </c>
      <c r="AA689" s="32">
        <v>10</v>
      </c>
      <c r="AB689" s="13">
        <f t="shared" si="161"/>
        <v>0</v>
      </c>
      <c r="AC689" s="33"/>
      <c r="AD689" s="13">
        <f t="shared" si="157"/>
        <v>0</v>
      </c>
      <c r="AE689" s="13">
        <f>ROUNDUP(($AB689+$AD689)*VLOOKUP($Z689,Paraméterek!$P$38:$Q$38,2)/12,IF($D$4="Forint",0,2))</f>
        <v>0</v>
      </c>
      <c r="AF689" s="13">
        <f>IF($D$2="Egyszeri",IF($D$7&gt;=IF($D$4="Forint",Paraméterek!$P$223,Paraméterek!$P$224),$D$7-IF($D$4="Forint",Paraméterek!$F$223,Paraméterek!$F$224),0),MIN(IF($AA689=12,AVERAGE($D$20:$D689)*12,0),SUM($D$20:$D$31)))</f>
        <v>0</v>
      </c>
      <c r="AG689" s="13">
        <f>IF(AND($Z689&gt;=10,MOD($Z689,5)=0),$AF689*IF($AA689=12,VLOOKUP($Z689,Paraméterek!$B$225:$F$240,IF($AF689&lt;IF($D$4="Forint",Paraméterek!$C$223,Paraméterek!$C$224),2,IF($AF689&lt;IF($D$4="Forint",Paraméterek!$D$223,Paraméterek!$D$224),3,4))),0),0)</f>
        <v>0</v>
      </c>
      <c r="AH689" s="13">
        <f>IF(AND($Z689&gt;=5,MOD($Z689,5)=0),IF($AA689=12,VLOOKUP($Z689,Paraméterek!$B$225:$F$240,5),0),IF(OR($Z689=3,$Z689=4),IF($AA689=12,VLOOKUP($Z689,Paraméterek!$B$225:$F$240,5,0),0),0))*$AF689</f>
        <v>0</v>
      </c>
      <c r="AI689" s="13">
        <f>ROUNDDOWN(IF(SUM($T$20:$U689)=0,IF($D$2="Egyszeri",$AH689,$AG689),0),IF($D$4="Forint",0,2))</f>
        <v>0</v>
      </c>
      <c r="AJ689" s="13">
        <f t="shared" si="162"/>
        <v>0</v>
      </c>
      <c r="AK689" s="13">
        <f t="shared" si="163"/>
        <v>0</v>
      </c>
      <c r="AM689" s="32">
        <v>670</v>
      </c>
      <c r="AN689" s="32">
        <v>56</v>
      </c>
      <c r="AO689" s="32">
        <v>10</v>
      </c>
      <c r="AP689" s="13"/>
      <c r="AQ689" s="32"/>
      <c r="AR689" s="13">
        <f t="shared" si="164"/>
        <v>0</v>
      </c>
      <c r="AS689" s="33"/>
      <c r="AT689" s="13">
        <f t="shared" si="158"/>
        <v>0</v>
      </c>
      <c r="AU689" s="13">
        <f>ROUNDUP(($AR689+$AT689)*VLOOKUP($AN689,Paraméterek!$P$38:$Q$38,2)/12,IF($D$4="Forint",0,2))</f>
        <v>0</v>
      </c>
      <c r="AV689" s="13"/>
      <c r="AW689" s="13"/>
      <c r="AX689" s="13">
        <f>ROUNDUP(IF(SUM($AV689:$AW689)=0,0,IF(IF(ISBLANK($AW689),$AV689,$AW689)*Paraméterek!$J$112&lt;IF($D$4="Forint",Paraméterek!$J$113,Paraméterek!$K$113),IF($D$4="Forint",Paraméterek!$J$113,Paraméterek!$K$113),IF(IF(ISBLANK($AW689),$AV689,$AW689)*Paraméterek!$J$112&gt;IF($D$4="Forint",Paraméterek!$J$114,Paraméterek!$K$114),IF($D$4="Forint",Paraméterek!$J$114,Paraméterek!$K$114),IF(ISBLANK($AW689),$AV689,$AW689)*Paraméterek!$J$112))),IF($D$4="Forint",0,2))</f>
        <v>0</v>
      </c>
      <c r="AY689" s="13">
        <f>$AR689+$AT689-$AU689-IF(ROUNDDOWN(IF(ISBLANK($AW689),$AV689,$AW689),IF($D$4="Forint",0,2))&gt;$AR689+$AT689-$AU689-IF($D$4="Forint",Paraméterek!$J$114,Paraméterek!$K$114),0,ROUNDDOWN(IF(ISBLANK($AW689),$AV689,$AW689),IF($D$4="Forint",0,2))-$AX689)</f>
        <v>0</v>
      </c>
      <c r="AZ689" s="13">
        <f t="shared" si="159"/>
        <v>0</v>
      </c>
    </row>
    <row r="690" spans="1:52" x14ac:dyDescent="0.2">
      <c r="A690" s="32">
        <v>671</v>
      </c>
      <c r="B690" s="32">
        <v>56</v>
      </c>
      <c r="C690" s="32">
        <v>11</v>
      </c>
      <c r="D690" s="13">
        <f t="shared" si="150"/>
        <v>0</v>
      </c>
      <c r="E690" s="13"/>
      <c r="F690" s="13"/>
      <c r="G690" s="13"/>
      <c r="H690" s="13">
        <f t="shared" si="151"/>
        <v>0</v>
      </c>
      <c r="I690" s="13">
        <f t="shared" si="152"/>
        <v>0</v>
      </c>
      <c r="J690" s="13">
        <f t="shared" si="153"/>
        <v>0</v>
      </c>
      <c r="K690" s="13">
        <f>ROUNDUP(IF($D$2="Egyszeri",$D690,IF($D$2="Havi",SUM($D$20:$D$31),IF(MOD($C690,$M$1)-1=0,SUM($D$20:$D$31),0))/12*$M$1)*VLOOKUP($B690,Paraméterek!$B$27:$D$30,IF($D$2="Egyszeri",3,2)),IF($D$4="Forint",0,2))</f>
        <v>0</v>
      </c>
      <c r="L690" s="13">
        <f t="shared" si="154"/>
        <v>0</v>
      </c>
      <c r="M690" s="13">
        <f t="shared" ca="1" si="160"/>
        <v>-569061</v>
      </c>
      <c r="N690" s="13">
        <f ca="1">IF($V689&gt;=VLOOKUP($M$4-1+$B690,Paraméterek!$B$121:$D$122,IF($D$4="Forint",2,3)),0,VLOOKUP($M$4-1+$B690,Paraméterek!$B$121:$D$122,IF($D$4="Forint",2,3))-$V689)</f>
        <v>579061</v>
      </c>
      <c r="O690" s="13">
        <f ca="1">ROUNDUP($N690*Paraméterek!$C$58/Paraméterek!$C$56,IF($D$4="Forint",0,2))</f>
        <v>93</v>
      </c>
      <c r="P690" s="13">
        <f t="shared" si="155"/>
        <v>2796</v>
      </c>
      <c r="Q690" s="33"/>
      <c r="R690" s="13">
        <f t="shared" ca="1" si="156"/>
        <v>0</v>
      </c>
      <c r="S690" s="13">
        <f ca="1">ROUNDUP(($M690-$O690-$P690+$R690)*VLOOKUP($B690,Paraméterek!$B$38:$D$39,IF($D$2="Egyszeri",3,2))/12,IF($D$4="Forint",0,2))</f>
        <v>-1397</v>
      </c>
      <c r="T690" s="13"/>
      <c r="U690" s="13"/>
      <c r="V690" s="13">
        <f ca="1">$M690-$O690-$P690+$R690-$S690-IF(ROUNDUP(IF(ISBLANK($U690),$T690,$U690)/IF(AND($B690=1,$D$2&lt;&gt;"Egyszeri"),1,VLOOKUP($B690+IF($C690=12,1,0),Paraméterek!$B$257:$D$267,IF($D$2="Egyszeri",3,2))),IF($D$4="Forint",0,2))&gt;$M690-$O690-$P690+$R690-$S690-IF($D$4="Forint",Paraméterek!$C$216,Paraméterek!$D$216),0,ROUNDUP(IF(ISBLANK($U690),$T690,$U690)/IF(AND($B690=1,$D$2&lt;&gt;"Egyszeri"),1,VLOOKUP($B690+IF($C690=12,1,0),Paraméterek!$B$257:$D$267,IF($D$2="Egyszeri",3,2))),IF($D$4="Forint",0,2)))</f>
        <v>-570553</v>
      </c>
      <c r="W690" s="13">
        <f ca="1">ROUNDDOWN($V690*VLOOKUP($B690+IF($C690=12,1,0),Paraméterek!$B$257:$D$267,IF($D$2="Egyszeri",3,2)),IF($D$4="Forint",0,2))</f>
        <v>-570553</v>
      </c>
      <c r="Y690" s="32">
        <v>671</v>
      </c>
      <c r="Z690" s="32">
        <v>56</v>
      </c>
      <c r="AA690" s="32">
        <v>11</v>
      </c>
      <c r="AB690" s="13">
        <f t="shared" si="161"/>
        <v>0</v>
      </c>
      <c r="AC690" s="33"/>
      <c r="AD690" s="13">
        <f t="shared" si="157"/>
        <v>0</v>
      </c>
      <c r="AE690" s="13">
        <f>ROUNDUP(($AB690+$AD690)*VLOOKUP($Z690,Paraméterek!$P$38:$Q$38,2)/12,IF($D$4="Forint",0,2))</f>
        <v>0</v>
      </c>
      <c r="AF690" s="13">
        <f>IF($D$2="Egyszeri",IF($D$7&gt;=IF($D$4="Forint",Paraméterek!$P$223,Paraméterek!$P$224),$D$7-IF($D$4="Forint",Paraméterek!$F$223,Paraméterek!$F$224),0),MIN(IF($AA690=12,AVERAGE($D$20:$D690)*12,0),SUM($D$20:$D$31)))</f>
        <v>0</v>
      </c>
      <c r="AG690" s="13">
        <f>IF(AND($Z690&gt;=10,MOD($Z690,5)=0),$AF690*IF($AA690=12,VLOOKUP($Z690,Paraméterek!$B$225:$F$240,IF($AF690&lt;IF($D$4="Forint",Paraméterek!$C$223,Paraméterek!$C$224),2,IF($AF690&lt;IF($D$4="Forint",Paraméterek!$D$223,Paraméterek!$D$224),3,4))),0),0)</f>
        <v>0</v>
      </c>
      <c r="AH690" s="13">
        <f>IF(AND($Z690&gt;=5,MOD($Z690,5)=0),IF($AA690=12,VLOOKUP($Z690,Paraméterek!$B$225:$F$240,5),0),IF(OR($Z690=3,$Z690=4),IF($AA690=12,VLOOKUP($Z690,Paraméterek!$B$225:$F$240,5,0),0),0))*$AF690</f>
        <v>0</v>
      </c>
      <c r="AI690" s="13">
        <f>ROUNDDOWN(IF(SUM($T$20:$U690)=0,IF($D$2="Egyszeri",$AH690,$AG690),0),IF($D$4="Forint",0,2))</f>
        <v>0</v>
      </c>
      <c r="AJ690" s="13">
        <f t="shared" si="162"/>
        <v>0</v>
      </c>
      <c r="AK690" s="13">
        <f t="shared" si="163"/>
        <v>0</v>
      </c>
      <c r="AM690" s="32">
        <v>671</v>
      </c>
      <c r="AN690" s="32">
        <v>56</v>
      </c>
      <c r="AO690" s="32">
        <v>11</v>
      </c>
      <c r="AP690" s="13"/>
      <c r="AQ690" s="32"/>
      <c r="AR690" s="13">
        <f t="shared" si="164"/>
        <v>0</v>
      </c>
      <c r="AS690" s="33"/>
      <c r="AT690" s="13">
        <f t="shared" si="158"/>
        <v>0</v>
      </c>
      <c r="AU690" s="13">
        <f>ROUNDUP(($AR690+$AT690)*VLOOKUP($AN690,Paraméterek!$P$38:$Q$38,2)/12,IF($D$4="Forint",0,2))</f>
        <v>0</v>
      </c>
      <c r="AV690" s="13"/>
      <c r="AW690" s="13"/>
      <c r="AX690" s="13">
        <f>ROUNDUP(IF(SUM($AV690:$AW690)=0,0,IF(IF(ISBLANK($AW690),$AV690,$AW690)*Paraméterek!$J$112&lt;IF($D$4="Forint",Paraméterek!$J$113,Paraméterek!$K$113),IF($D$4="Forint",Paraméterek!$J$113,Paraméterek!$K$113),IF(IF(ISBLANK($AW690),$AV690,$AW690)*Paraméterek!$J$112&gt;IF($D$4="Forint",Paraméterek!$J$114,Paraméterek!$K$114),IF($D$4="Forint",Paraméterek!$J$114,Paraméterek!$K$114),IF(ISBLANK($AW690),$AV690,$AW690)*Paraméterek!$J$112))),IF($D$4="Forint",0,2))</f>
        <v>0</v>
      </c>
      <c r="AY690" s="13">
        <f>$AR690+$AT690-$AU690-IF(ROUNDDOWN(IF(ISBLANK($AW690),$AV690,$AW690),IF($D$4="Forint",0,2))&gt;$AR690+$AT690-$AU690-IF($D$4="Forint",Paraméterek!$J$114,Paraméterek!$K$114),0,ROUNDDOWN(IF(ISBLANK($AW690),$AV690,$AW690),IF($D$4="Forint",0,2))-$AX690)</f>
        <v>0</v>
      </c>
      <c r="AZ690" s="13">
        <f t="shared" si="159"/>
        <v>0</v>
      </c>
    </row>
    <row r="691" spans="1:52" x14ac:dyDescent="0.2">
      <c r="A691" s="32">
        <v>672</v>
      </c>
      <c r="B691" s="32">
        <v>56</v>
      </c>
      <c r="C691" s="32">
        <v>12</v>
      </c>
      <c r="D691" s="13">
        <f t="shared" si="150"/>
        <v>0</v>
      </c>
      <c r="E691" s="13"/>
      <c r="F691" s="13"/>
      <c r="G691" s="13"/>
      <c r="H691" s="13">
        <f t="shared" si="151"/>
        <v>0</v>
      </c>
      <c r="I691" s="13">
        <f t="shared" si="152"/>
        <v>0</v>
      </c>
      <c r="J691" s="13">
        <f t="shared" si="153"/>
        <v>0</v>
      </c>
      <c r="K691" s="13">
        <f>ROUNDUP(IF($D$2="Egyszeri",$D691,IF($D$2="Havi",SUM($D$20:$D$31),IF(MOD($C691,$M$1)-1=0,SUM($D$20:$D$31),0))/12*$M$1)*VLOOKUP($B691,Paraméterek!$B$27:$D$30,IF($D$2="Egyszeri",3,2)),IF($D$4="Forint",0,2))</f>
        <v>0</v>
      </c>
      <c r="L691" s="13">
        <f t="shared" si="154"/>
        <v>0</v>
      </c>
      <c r="M691" s="13">
        <f t="shared" ca="1" si="160"/>
        <v>-570553</v>
      </c>
      <c r="N691" s="13">
        <f ca="1">IF($V690&gt;=VLOOKUP($M$4-1+$B691,Paraméterek!$B$121:$D$122,IF($D$4="Forint",2,3)),0,VLOOKUP($M$4-1+$B691,Paraméterek!$B$121:$D$122,IF($D$4="Forint",2,3))-$V690)</f>
        <v>580553</v>
      </c>
      <c r="O691" s="13">
        <f ca="1">ROUNDUP($N691*Paraméterek!$C$58/Paraméterek!$C$56,IF($D$4="Forint",0,2))</f>
        <v>93</v>
      </c>
      <c r="P691" s="13">
        <f t="shared" si="155"/>
        <v>2796</v>
      </c>
      <c r="Q691" s="33"/>
      <c r="R691" s="13">
        <f t="shared" ca="1" si="156"/>
        <v>0</v>
      </c>
      <c r="S691" s="13">
        <f ca="1">ROUNDUP(($M691-$O691-$P691+$R691)*VLOOKUP($B691,Paraméterek!$B$38:$D$39,IF($D$2="Egyszeri",3,2))/12,IF($D$4="Forint",0,2))</f>
        <v>-1401</v>
      </c>
      <c r="T691" s="13">
        <f>Tranzakciók!$F$87</f>
        <v>0</v>
      </c>
      <c r="U691" s="13"/>
      <c r="V691" s="13">
        <f ca="1">$M691-$O691-$P691+$R691-$S691-IF(ROUNDUP(IF(ISBLANK($U691),$T691,$U691)/IF(AND($B691=1,$D$2&lt;&gt;"Egyszeri"),1,VLOOKUP($B691+IF($C691=12,1,0),Paraméterek!$B$257:$D$267,IF($D$2="Egyszeri",3,2))),IF($D$4="Forint",0,2))&gt;$M691-$O691-$P691+$R691-$S691-IF($D$4="Forint",Paraméterek!$C$216,Paraméterek!$D$216),0,ROUNDUP(IF(ISBLANK($U691),$T691,$U691)/IF(AND($B691=1,$D$2&lt;&gt;"Egyszeri"),1,VLOOKUP($B691+IF($C691=12,1,0),Paraméterek!$B$257:$D$267,IF($D$2="Egyszeri",3,2))),IF($D$4="Forint",0,2)))</f>
        <v>-572041</v>
      </c>
      <c r="W691" s="13">
        <f ca="1">ROUNDDOWN($V691*VLOOKUP($B691+IF($C691=12,1,0),Paraméterek!$B$257:$D$267,IF($D$2="Egyszeri",3,2)),IF($D$4="Forint",0,2))</f>
        <v>-572041</v>
      </c>
      <c r="Y691" s="32">
        <v>672</v>
      </c>
      <c r="Z691" s="32">
        <v>56</v>
      </c>
      <c r="AA691" s="32">
        <v>12</v>
      </c>
      <c r="AB691" s="13">
        <f t="shared" si="161"/>
        <v>0</v>
      </c>
      <c r="AC691" s="33"/>
      <c r="AD691" s="13">
        <f t="shared" si="157"/>
        <v>0</v>
      </c>
      <c r="AE691" s="13">
        <f>ROUNDUP(($AB691+$AD691)*VLOOKUP($Z691,Paraméterek!$P$38:$Q$38,2)/12,IF($D$4="Forint",0,2))</f>
        <v>0</v>
      </c>
      <c r="AF691" s="13">
        <f>IF($D$2="Egyszeri",IF($D$7&gt;=IF($D$4="Forint",Paraméterek!$P$223,Paraméterek!$P$224),$D$7-IF($D$4="Forint",Paraméterek!$F$223,Paraméterek!$F$224),0),MIN(IF($AA691=12,AVERAGE($D$20:$D691)*12,0),SUM($D$20:$D$31)))</f>
        <v>0</v>
      </c>
      <c r="AG691" s="13">
        <f>IF(AND($Z691&gt;=10,MOD($Z691,5)=0),$AF691*IF($AA691=12,VLOOKUP($Z691,Paraméterek!$B$225:$F$240,IF($AF691&lt;IF($D$4="Forint",Paraméterek!$C$223,Paraméterek!$C$224),2,IF($AF691&lt;IF($D$4="Forint",Paraméterek!$D$223,Paraméterek!$D$224),3,4))),0),0)</f>
        <v>0</v>
      </c>
      <c r="AH691" s="13">
        <f>IF(AND($Z691&gt;=5,MOD($Z691,5)=0),IF($AA691=12,VLOOKUP($Z691,Paraméterek!$B$225:$F$240,5),0),IF(OR($Z691=3,$Z691=4),IF($AA691=12,VLOOKUP($Z691,Paraméterek!$B$225:$F$240,5,0),0),0))*$AF691</f>
        <v>0</v>
      </c>
      <c r="AI691" s="13">
        <f>ROUNDDOWN(IF(SUM($T$20:$U691)=0,IF($D$2="Egyszeri",$AH691,$AG691),0),IF($D$4="Forint",0,2))</f>
        <v>0</v>
      </c>
      <c r="AJ691" s="13">
        <f t="shared" si="162"/>
        <v>0</v>
      </c>
      <c r="AK691" s="13">
        <f t="shared" si="163"/>
        <v>0</v>
      </c>
      <c r="AM691" s="32">
        <v>672</v>
      </c>
      <c r="AN691" s="32">
        <v>56</v>
      </c>
      <c r="AO691" s="32">
        <v>12</v>
      </c>
      <c r="AP691" s="13"/>
      <c r="AQ691" s="32"/>
      <c r="AR691" s="13">
        <f t="shared" si="164"/>
        <v>0</v>
      </c>
      <c r="AS691" s="33"/>
      <c r="AT691" s="13">
        <f t="shared" si="158"/>
        <v>0</v>
      </c>
      <c r="AU691" s="13">
        <f>ROUNDUP(($AR691+$AT691)*VLOOKUP($AN691,Paraméterek!$P$38:$Q$38,2)/12,IF($D$4="Forint",0,2))</f>
        <v>0</v>
      </c>
      <c r="AV691" s="13">
        <f>Tranzakciók!$M$87</f>
        <v>0</v>
      </c>
      <c r="AW691" s="13"/>
      <c r="AX691" s="13">
        <f>ROUNDUP(IF(SUM($AV691:$AW691)=0,0,IF(IF(ISBLANK($AW691),$AV691,$AW691)*Paraméterek!$J$112&lt;IF($D$4="Forint",Paraméterek!$J$113,Paraméterek!$K$113),IF($D$4="Forint",Paraméterek!$J$113,Paraméterek!$K$113),IF(IF(ISBLANK($AW691),$AV691,$AW691)*Paraméterek!$J$112&gt;IF($D$4="Forint",Paraméterek!$J$114,Paraméterek!$K$114),IF($D$4="Forint",Paraméterek!$J$114,Paraméterek!$K$114),IF(ISBLANK($AW691),$AV691,$AW691)*Paraméterek!$J$112))),IF($D$4="Forint",0,2))</f>
        <v>0</v>
      </c>
      <c r="AY691" s="13">
        <f>$AR691+$AT691-$AU691-IF(ROUNDDOWN(IF(ISBLANK($AW691),$AV691,$AW691),IF($D$4="Forint",0,2))&gt;$AR691+$AT691-$AU691-IF($D$4="Forint",Paraméterek!$J$114,Paraméterek!$K$114),0,ROUNDDOWN(IF(ISBLANK($AW691),$AV691,$AW691),IF($D$4="Forint",0,2))-$AX691)</f>
        <v>0</v>
      </c>
      <c r="AZ691" s="13">
        <f t="shared" si="159"/>
        <v>0</v>
      </c>
    </row>
    <row r="692" spans="1:52" x14ac:dyDescent="0.2">
      <c r="A692" s="32">
        <v>673</v>
      </c>
      <c r="B692" s="32">
        <v>57</v>
      </c>
      <c r="C692" s="32">
        <v>1</v>
      </c>
      <c r="D692" s="13">
        <f t="shared" si="150"/>
        <v>0</v>
      </c>
      <c r="E692" s="13"/>
      <c r="F692" s="13">
        <f>Tranzakciók!$D$88</f>
        <v>0</v>
      </c>
      <c r="G692" s="13"/>
      <c r="H692" s="13">
        <f t="shared" si="151"/>
        <v>0</v>
      </c>
      <c r="I692" s="13">
        <f t="shared" si="152"/>
        <v>524</v>
      </c>
      <c r="J692" s="13">
        <f t="shared" si="153"/>
        <v>524</v>
      </c>
      <c r="K692" s="13">
        <f>ROUNDUP(IF($D$2="Egyszeri",$D692,IF($D$2="Havi",SUM($D$20:$D$31),IF(MOD($C692,$M$1)-1=0,SUM($D$20:$D$31),0))/12*$M$1)*VLOOKUP($B692,Paraméterek!$B$27:$D$30,IF($D$2="Egyszeri",3,2)),IF($D$4="Forint",0,2))</f>
        <v>0</v>
      </c>
      <c r="L692" s="13">
        <f t="shared" si="154"/>
        <v>0</v>
      </c>
      <c r="M692" s="13">
        <f t="shared" ca="1" si="160"/>
        <v>-572041</v>
      </c>
      <c r="N692" s="13">
        <f ca="1">IF($V691&gt;=VLOOKUP($M$4-1+$B692,Paraméterek!$B$121:$D$122,IF($D$4="Forint",2,3)),0,VLOOKUP($M$4-1+$B692,Paraméterek!$B$121:$D$122,IF($D$4="Forint",2,3))-$V691)</f>
        <v>582041</v>
      </c>
      <c r="O692" s="13">
        <f ca="1">ROUNDUP($N692*Paraméterek!$C$58/Paraméterek!$C$56,IF($D$4="Forint",0,2))</f>
        <v>93</v>
      </c>
      <c r="P692" s="13">
        <f t="shared" si="155"/>
        <v>2880</v>
      </c>
      <c r="Q692" s="33"/>
      <c r="R692" s="13">
        <f t="shared" ca="1" si="156"/>
        <v>0</v>
      </c>
      <c r="S692" s="13">
        <f ca="1">ROUNDUP(($M692-$O692-$P692+$R692)*VLOOKUP($B692,Paraméterek!$B$38:$D$39,IF($D$2="Egyszeri",3,2))/12,IF($D$4="Forint",0,2))</f>
        <v>-1404</v>
      </c>
      <c r="T692" s="13"/>
      <c r="U692" s="13"/>
      <c r="V692" s="13">
        <f ca="1">$M692-$O692-$P692+$R692-$S692-IF(ROUNDUP(IF(ISBLANK($U692),$T692,$U692)/IF(AND($B692=1,$D$2&lt;&gt;"Egyszeri"),1,VLOOKUP($B692+IF($C692=12,1,0),Paraméterek!$B$257:$D$267,IF($D$2="Egyszeri",3,2))),IF($D$4="Forint",0,2))&gt;$M692-$O692-$P692+$R692-$S692-IF($D$4="Forint",Paraméterek!$C$216,Paraméterek!$D$216),0,ROUNDUP(IF(ISBLANK($U692),$T692,$U692)/IF(AND($B692=1,$D$2&lt;&gt;"Egyszeri"),1,VLOOKUP($B692+IF($C692=12,1,0),Paraméterek!$B$257:$D$267,IF($D$2="Egyszeri",3,2))),IF($D$4="Forint",0,2)))</f>
        <v>-573610</v>
      </c>
      <c r="W692" s="13">
        <f ca="1">ROUNDDOWN($V692*VLOOKUP($B692+IF($C692=12,1,0),Paraméterek!$B$257:$D$267,IF($D$2="Egyszeri",3,2)),IF($D$4="Forint",0,2))</f>
        <v>-573610</v>
      </c>
      <c r="Y692" s="32">
        <v>673</v>
      </c>
      <c r="Z692" s="32">
        <v>57</v>
      </c>
      <c r="AA692" s="32">
        <v>1</v>
      </c>
      <c r="AB692" s="13">
        <f t="shared" si="161"/>
        <v>0</v>
      </c>
      <c r="AC692" s="33"/>
      <c r="AD692" s="13">
        <f t="shared" si="157"/>
        <v>0</v>
      </c>
      <c r="AE692" s="13">
        <f>ROUNDUP(($AB692+$AD692)*VLOOKUP($Z692,Paraméterek!$P$38:$Q$38,2)/12,IF($D$4="Forint",0,2))</f>
        <v>0</v>
      </c>
      <c r="AF692" s="13">
        <f>IF($D$2="Egyszeri",IF($D$7&gt;=IF($D$4="Forint",Paraméterek!$P$223,Paraméterek!$P$224),$D$7-IF($D$4="Forint",Paraméterek!$F$223,Paraméterek!$F$224),0),MIN(IF($AA692=12,AVERAGE($D$20:$D692)*12,0),SUM($D$20:$D$31)))</f>
        <v>0</v>
      </c>
      <c r="AG692" s="13">
        <f>IF(AND($Z692&gt;=10,MOD($Z692,5)=0),$AF692*IF($AA692=12,VLOOKUP($Z692,Paraméterek!$B$225:$F$240,IF($AF692&lt;IF($D$4="Forint",Paraméterek!$C$223,Paraméterek!$C$224),2,IF($AF692&lt;IF($D$4="Forint",Paraméterek!$D$223,Paraméterek!$D$224),3,4))),0),0)</f>
        <v>0</v>
      </c>
      <c r="AH692" s="13">
        <f>IF(AND($Z692&gt;=5,MOD($Z692,5)=0),IF($AA692=12,VLOOKUP($Z692,Paraméterek!$B$225:$F$240,5),0),IF(OR($Z692=3,$Z692=4),IF($AA692=12,VLOOKUP($Z692,Paraméterek!$B$225:$F$240,5,0),0),0))*$AF692</f>
        <v>0</v>
      </c>
      <c r="AI692" s="13">
        <f>ROUNDDOWN(IF(SUM($T$20:$U692)=0,IF($D$2="Egyszeri",$AH692,$AG692),0),IF($D$4="Forint",0,2))</f>
        <v>0</v>
      </c>
      <c r="AJ692" s="13">
        <f t="shared" si="162"/>
        <v>0</v>
      </c>
      <c r="AK692" s="13">
        <f t="shared" si="163"/>
        <v>0</v>
      </c>
      <c r="AM692" s="32">
        <v>673</v>
      </c>
      <c r="AN692" s="32">
        <v>57</v>
      </c>
      <c r="AO692" s="32">
        <v>1</v>
      </c>
      <c r="AP692" s="13">
        <f>Tranzakciók!$K$88</f>
        <v>0</v>
      </c>
      <c r="AQ692" s="32"/>
      <c r="AR692" s="13">
        <f t="shared" si="164"/>
        <v>0</v>
      </c>
      <c r="AS692" s="33"/>
      <c r="AT692" s="13">
        <f t="shared" si="158"/>
        <v>0</v>
      </c>
      <c r="AU692" s="13">
        <f>ROUNDUP(($AR692+$AT692)*VLOOKUP($AN692,Paraméterek!$P$38:$Q$38,2)/12,IF($D$4="Forint",0,2))</f>
        <v>0</v>
      </c>
      <c r="AV692" s="13"/>
      <c r="AW692" s="13"/>
      <c r="AX692" s="13">
        <f>ROUNDUP(IF(SUM($AV692:$AW692)=0,0,IF(IF(ISBLANK($AW692),$AV692,$AW692)*Paraméterek!$J$112&lt;IF($D$4="Forint",Paraméterek!$J$113,Paraméterek!$K$113),IF($D$4="Forint",Paraméterek!$J$113,Paraméterek!$K$113),IF(IF(ISBLANK($AW692),$AV692,$AW692)*Paraméterek!$J$112&gt;IF($D$4="Forint",Paraméterek!$J$114,Paraméterek!$K$114),IF($D$4="Forint",Paraméterek!$J$114,Paraméterek!$K$114),IF(ISBLANK($AW692),$AV692,$AW692)*Paraméterek!$J$112))),IF($D$4="Forint",0,2))</f>
        <v>0</v>
      </c>
      <c r="AY692" s="13">
        <f>$AR692+$AT692-$AU692-IF(ROUNDDOWN(IF(ISBLANK($AW692),$AV692,$AW692),IF($D$4="Forint",0,2))&gt;$AR692+$AT692-$AU692-IF($D$4="Forint",Paraméterek!$J$114,Paraméterek!$K$114),0,ROUNDDOWN(IF(ISBLANK($AW692),$AV692,$AW692),IF($D$4="Forint",0,2))-$AX692)</f>
        <v>0</v>
      </c>
      <c r="AZ692" s="13">
        <f t="shared" si="159"/>
        <v>0</v>
      </c>
    </row>
    <row r="693" spans="1:52" x14ac:dyDescent="0.2">
      <c r="A693" s="32">
        <v>674</v>
      </c>
      <c r="B693" s="32">
        <v>57</v>
      </c>
      <c r="C693" s="32">
        <v>2</v>
      </c>
      <c r="D693" s="13">
        <f t="shared" si="150"/>
        <v>0</v>
      </c>
      <c r="E693" s="13"/>
      <c r="F693" s="13"/>
      <c r="G693" s="13"/>
      <c r="H693" s="13">
        <f t="shared" si="151"/>
        <v>0</v>
      </c>
      <c r="I693" s="13">
        <f t="shared" si="152"/>
        <v>0</v>
      </c>
      <c r="J693" s="13">
        <f t="shared" si="153"/>
        <v>0</v>
      </c>
      <c r="K693" s="13">
        <f>ROUNDUP(IF($D$2="Egyszeri",$D693,IF($D$2="Havi",SUM($D$20:$D$31),IF(MOD($C693,$M$1)-1=0,SUM($D$20:$D$31),0))/12*$M$1)*VLOOKUP($B693,Paraméterek!$B$27:$D$30,IF($D$2="Egyszeri",3,2)),IF($D$4="Forint",0,2))</f>
        <v>0</v>
      </c>
      <c r="L693" s="13">
        <f t="shared" si="154"/>
        <v>0</v>
      </c>
      <c r="M693" s="13">
        <f t="shared" ca="1" si="160"/>
        <v>-573610</v>
      </c>
      <c r="N693" s="13">
        <f ca="1">IF($V692&gt;=VLOOKUP($M$4-1+$B693,Paraméterek!$B$121:$D$122,IF($D$4="Forint",2,3)),0,VLOOKUP($M$4-1+$B693,Paraméterek!$B$121:$D$122,IF($D$4="Forint",2,3))-$V692)</f>
        <v>583610</v>
      </c>
      <c r="O693" s="13">
        <f ca="1">ROUNDUP($N693*Paraméterek!$C$58/Paraméterek!$C$56,IF($D$4="Forint",0,2))</f>
        <v>93</v>
      </c>
      <c r="P693" s="13">
        <f t="shared" si="155"/>
        <v>2880</v>
      </c>
      <c r="Q693" s="33"/>
      <c r="R693" s="13">
        <f t="shared" ca="1" si="156"/>
        <v>0</v>
      </c>
      <c r="S693" s="13">
        <f ca="1">ROUNDUP(($M693-$O693-$P693+$R693)*VLOOKUP($B693,Paraméterek!$B$38:$D$39,IF($D$2="Egyszeri",3,2))/12,IF($D$4="Forint",0,2))</f>
        <v>-1408</v>
      </c>
      <c r="T693" s="13"/>
      <c r="U693" s="13"/>
      <c r="V693" s="13">
        <f ca="1">$M693-$O693-$P693+$R693-$S693-IF(ROUNDUP(IF(ISBLANK($U693),$T693,$U693)/IF(AND($B693=1,$D$2&lt;&gt;"Egyszeri"),1,VLOOKUP($B693+IF($C693=12,1,0),Paraméterek!$B$257:$D$267,IF($D$2="Egyszeri",3,2))),IF($D$4="Forint",0,2))&gt;$M693-$O693-$P693+$R693-$S693-IF($D$4="Forint",Paraméterek!$C$216,Paraméterek!$D$216),0,ROUNDUP(IF(ISBLANK($U693),$T693,$U693)/IF(AND($B693=1,$D$2&lt;&gt;"Egyszeri"),1,VLOOKUP($B693+IF($C693=12,1,0),Paraméterek!$B$257:$D$267,IF($D$2="Egyszeri",3,2))),IF($D$4="Forint",0,2)))</f>
        <v>-575175</v>
      </c>
      <c r="W693" s="13">
        <f ca="1">ROUNDDOWN($V693*VLOOKUP($B693+IF($C693=12,1,0),Paraméterek!$B$257:$D$267,IF($D$2="Egyszeri",3,2)),IF($D$4="Forint",0,2))</f>
        <v>-575175</v>
      </c>
      <c r="Y693" s="32">
        <v>674</v>
      </c>
      <c r="Z693" s="32">
        <v>57</v>
      </c>
      <c r="AA693" s="32">
        <v>2</v>
      </c>
      <c r="AB693" s="13">
        <f t="shared" si="161"/>
        <v>0</v>
      </c>
      <c r="AC693" s="33"/>
      <c r="AD693" s="13">
        <f t="shared" si="157"/>
        <v>0</v>
      </c>
      <c r="AE693" s="13">
        <f>ROUNDUP(($AB693+$AD693)*VLOOKUP($Z693,Paraméterek!$P$38:$Q$38,2)/12,IF($D$4="Forint",0,2))</f>
        <v>0</v>
      </c>
      <c r="AF693" s="13">
        <f>IF($D$2="Egyszeri",IF($D$7&gt;=IF($D$4="Forint",Paraméterek!$P$223,Paraméterek!$P$224),$D$7-IF($D$4="Forint",Paraméterek!$F$223,Paraméterek!$F$224),0),MIN(IF($AA693=12,AVERAGE($D$20:$D693)*12,0),SUM($D$20:$D$31)))</f>
        <v>0</v>
      </c>
      <c r="AG693" s="13">
        <f>IF(AND($Z693&gt;=10,MOD($Z693,5)=0),$AF693*IF($AA693=12,VLOOKUP($Z693,Paraméterek!$B$225:$F$240,IF($AF693&lt;IF($D$4="Forint",Paraméterek!$C$223,Paraméterek!$C$224),2,IF($AF693&lt;IF($D$4="Forint",Paraméterek!$D$223,Paraméterek!$D$224),3,4))),0),0)</f>
        <v>0</v>
      </c>
      <c r="AH693" s="13">
        <f>IF(AND($Z693&gt;=5,MOD($Z693,5)=0),IF($AA693=12,VLOOKUP($Z693,Paraméterek!$B$225:$F$240,5),0),IF(OR($Z693=3,$Z693=4),IF($AA693=12,VLOOKUP($Z693,Paraméterek!$B$225:$F$240,5,0),0),0))*$AF693</f>
        <v>0</v>
      </c>
      <c r="AI693" s="13">
        <f>ROUNDDOWN(IF(SUM($T$20:$U693)=0,IF($D$2="Egyszeri",$AH693,$AG693),0),IF($D$4="Forint",0,2))</f>
        <v>0</v>
      </c>
      <c r="AJ693" s="13">
        <f t="shared" si="162"/>
        <v>0</v>
      </c>
      <c r="AK693" s="13">
        <f t="shared" si="163"/>
        <v>0</v>
      </c>
      <c r="AM693" s="32">
        <v>674</v>
      </c>
      <c r="AN693" s="32">
        <v>57</v>
      </c>
      <c r="AO693" s="32">
        <v>2</v>
      </c>
      <c r="AP693" s="13"/>
      <c r="AQ693" s="32"/>
      <c r="AR693" s="13">
        <f t="shared" si="164"/>
        <v>0</v>
      </c>
      <c r="AS693" s="33"/>
      <c r="AT693" s="13">
        <f t="shared" si="158"/>
        <v>0</v>
      </c>
      <c r="AU693" s="13">
        <f>ROUNDUP(($AR693+$AT693)*VLOOKUP($AN693,Paraméterek!$P$38:$Q$38,2)/12,IF($D$4="Forint",0,2))</f>
        <v>0</v>
      </c>
      <c r="AV693" s="13"/>
      <c r="AW693" s="13"/>
      <c r="AX693" s="13">
        <f>ROUNDUP(IF(SUM($AV693:$AW693)=0,0,IF(IF(ISBLANK($AW693),$AV693,$AW693)*Paraméterek!$J$112&lt;IF($D$4="Forint",Paraméterek!$J$113,Paraméterek!$K$113),IF($D$4="Forint",Paraméterek!$J$113,Paraméterek!$K$113),IF(IF(ISBLANK($AW693),$AV693,$AW693)*Paraméterek!$J$112&gt;IF($D$4="Forint",Paraméterek!$J$114,Paraméterek!$K$114),IF($D$4="Forint",Paraméterek!$J$114,Paraméterek!$K$114),IF(ISBLANK($AW693),$AV693,$AW693)*Paraméterek!$J$112))),IF($D$4="Forint",0,2))</f>
        <v>0</v>
      </c>
      <c r="AY693" s="13">
        <f>$AR693+$AT693-$AU693-IF(ROUNDDOWN(IF(ISBLANK($AW693),$AV693,$AW693),IF($D$4="Forint",0,2))&gt;$AR693+$AT693-$AU693-IF($D$4="Forint",Paraméterek!$J$114,Paraméterek!$K$114),0,ROUNDDOWN(IF(ISBLANK($AW693),$AV693,$AW693),IF($D$4="Forint",0,2))-$AX693)</f>
        <v>0</v>
      </c>
      <c r="AZ693" s="13">
        <f t="shared" si="159"/>
        <v>0</v>
      </c>
    </row>
    <row r="694" spans="1:52" x14ac:dyDescent="0.2">
      <c r="A694" s="32">
        <v>675</v>
      </c>
      <c r="B694" s="32">
        <v>57</v>
      </c>
      <c r="C694" s="32">
        <v>3</v>
      </c>
      <c r="D694" s="13">
        <f t="shared" si="150"/>
        <v>0</v>
      </c>
      <c r="E694" s="13"/>
      <c r="F694" s="13"/>
      <c r="G694" s="13"/>
      <c r="H694" s="13">
        <f t="shared" si="151"/>
        <v>0</v>
      </c>
      <c r="I694" s="13">
        <f t="shared" si="152"/>
        <v>0</v>
      </c>
      <c r="J694" s="13">
        <f t="shared" si="153"/>
        <v>0</v>
      </c>
      <c r="K694" s="13">
        <f>ROUNDUP(IF($D$2="Egyszeri",$D694,IF($D$2="Havi",SUM($D$20:$D$31),IF(MOD($C694,$M$1)-1=0,SUM($D$20:$D$31),0))/12*$M$1)*VLOOKUP($B694,Paraméterek!$B$27:$D$30,IF($D$2="Egyszeri",3,2)),IF($D$4="Forint",0,2))</f>
        <v>0</v>
      </c>
      <c r="L694" s="13">
        <f t="shared" si="154"/>
        <v>0</v>
      </c>
      <c r="M694" s="13">
        <f t="shared" ca="1" si="160"/>
        <v>-575175</v>
      </c>
      <c r="N694" s="13">
        <f ca="1">IF($V693&gt;=VLOOKUP($M$4-1+$B694,Paraméterek!$B$121:$D$122,IF($D$4="Forint",2,3)),0,VLOOKUP($M$4-1+$B694,Paraméterek!$B$121:$D$122,IF($D$4="Forint",2,3))-$V693)</f>
        <v>585175</v>
      </c>
      <c r="O694" s="13">
        <f ca="1">ROUNDUP($N694*Paraméterek!$C$58/Paraméterek!$C$56,IF($D$4="Forint",0,2))</f>
        <v>94</v>
      </c>
      <c r="P694" s="13">
        <f t="shared" si="155"/>
        <v>2880</v>
      </c>
      <c r="Q694" s="33"/>
      <c r="R694" s="13">
        <f t="shared" ca="1" si="156"/>
        <v>0</v>
      </c>
      <c r="S694" s="13">
        <f ca="1">ROUNDUP(($M694-$O694-$P694+$R694)*VLOOKUP($B694,Paraméterek!$B$38:$D$39,IF($D$2="Egyszeri",3,2))/12,IF($D$4="Forint",0,2))</f>
        <v>-1412</v>
      </c>
      <c r="T694" s="13"/>
      <c r="U694" s="13"/>
      <c r="V694" s="13">
        <f ca="1">$M694-$O694-$P694+$R694-$S694-IF(ROUNDUP(IF(ISBLANK($U694),$T694,$U694)/IF(AND($B694=1,$D$2&lt;&gt;"Egyszeri"),1,VLOOKUP($B694+IF($C694=12,1,0),Paraméterek!$B$257:$D$267,IF($D$2="Egyszeri",3,2))),IF($D$4="Forint",0,2))&gt;$M694-$O694-$P694+$R694-$S694-IF($D$4="Forint",Paraméterek!$C$216,Paraméterek!$D$216),0,ROUNDUP(IF(ISBLANK($U694),$T694,$U694)/IF(AND($B694=1,$D$2&lt;&gt;"Egyszeri"),1,VLOOKUP($B694+IF($C694=12,1,0),Paraméterek!$B$257:$D$267,IF($D$2="Egyszeri",3,2))),IF($D$4="Forint",0,2)))</f>
        <v>-576737</v>
      </c>
      <c r="W694" s="13">
        <f ca="1">ROUNDDOWN($V694*VLOOKUP($B694+IF($C694=12,1,0),Paraméterek!$B$257:$D$267,IF($D$2="Egyszeri",3,2)),IF($D$4="Forint",0,2))</f>
        <v>-576737</v>
      </c>
      <c r="Y694" s="32">
        <v>675</v>
      </c>
      <c r="Z694" s="32">
        <v>57</v>
      </c>
      <c r="AA694" s="32">
        <v>3</v>
      </c>
      <c r="AB694" s="13">
        <f t="shared" si="161"/>
        <v>0</v>
      </c>
      <c r="AC694" s="33"/>
      <c r="AD694" s="13">
        <f t="shared" si="157"/>
        <v>0</v>
      </c>
      <c r="AE694" s="13">
        <f>ROUNDUP(($AB694+$AD694)*VLOOKUP($Z694,Paraméterek!$P$38:$Q$38,2)/12,IF($D$4="Forint",0,2))</f>
        <v>0</v>
      </c>
      <c r="AF694" s="13">
        <f>IF($D$2="Egyszeri",IF($D$7&gt;=IF($D$4="Forint",Paraméterek!$P$223,Paraméterek!$P$224),$D$7-IF($D$4="Forint",Paraméterek!$F$223,Paraméterek!$F$224),0),MIN(IF($AA694=12,AVERAGE($D$20:$D694)*12,0),SUM($D$20:$D$31)))</f>
        <v>0</v>
      </c>
      <c r="AG694" s="13">
        <f>IF(AND($Z694&gt;=10,MOD($Z694,5)=0),$AF694*IF($AA694=12,VLOOKUP($Z694,Paraméterek!$B$225:$F$240,IF($AF694&lt;IF($D$4="Forint",Paraméterek!$C$223,Paraméterek!$C$224),2,IF($AF694&lt;IF($D$4="Forint",Paraméterek!$D$223,Paraméterek!$D$224),3,4))),0),0)</f>
        <v>0</v>
      </c>
      <c r="AH694" s="13">
        <f>IF(AND($Z694&gt;=5,MOD($Z694,5)=0),IF($AA694=12,VLOOKUP($Z694,Paraméterek!$B$225:$F$240,5),0),IF(OR($Z694=3,$Z694=4),IF($AA694=12,VLOOKUP($Z694,Paraméterek!$B$225:$F$240,5,0),0),0))*$AF694</f>
        <v>0</v>
      </c>
      <c r="AI694" s="13">
        <f>ROUNDDOWN(IF(SUM($T$20:$U694)=0,IF($D$2="Egyszeri",$AH694,$AG694),0),IF($D$4="Forint",0,2))</f>
        <v>0</v>
      </c>
      <c r="AJ694" s="13">
        <f t="shared" si="162"/>
        <v>0</v>
      </c>
      <c r="AK694" s="13">
        <f t="shared" si="163"/>
        <v>0</v>
      </c>
      <c r="AM694" s="32">
        <v>675</v>
      </c>
      <c r="AN694" s="32">
        <v>57</v>
      </c>
      <c r="AO694" s="32">
        <v>3</v>
      </c>
      <c r="AP694" s="13"/>
      <c r="AQ694" s="32"/>
      <c r="AR694" s="13">
        <f t="shared" si="164"/>
        <v>0</v>
      </c>
      <c r="AS694" s="33"/>
      <c r="AT694" s="13">
        <f t="shared" si="158"/>
        <v>0</v>
      </c>
      <c r="AU694" s="13">
        <f>ROUNDUP(($AR694+$AT694)*VLOOKUP($AN694,Paraméterek!$P$38:$Q$38,2)/12,IF($D$4="Forint",0,2))</f>
        <v>0</v>
      </c>
      <c r="AV694" s="13"/>
      <c r="AW694" s="13"/>
      <c r="AX694" s="13">
        <f>ROUNDUP(IF(SUM($AV694:$AW694)=0,0,IF(IF(ISBLANK($AW694),$AV694,$AW694)*Paraméterek!$J$112&lt;IF($D$4="Forint",Paraméterek!$J$113,Paraméterek!$K$113),IF($D$4="Forint",Paraméterek!$J$113,Paraméterek!$K$113),IF(IF(ISBLANK($AW694),$AV694,$AW694)*Paraméterek!$J$112&gt;IF($D$4="Forint",Paraméterek!$J$114,Paraméterek!$K$114),IF($D$4="Forint",Paraméterek!$J$114,Paraméterek!$K$114),IF(ISBLANK($AW694),$AV694,$AW694)*Paraméterek!$J$112))),IF($D$4="Forint",0,2))</f>
        <v>0</v>
      </c>
      <c r="AY694" s="13">
        <f>$AR694+$AT694-$AU694-IF(ROUNDDOWN(IF(ISBLANK($AW694),$AV694,$AW694),IF($D$4="Forint",0,2))&gt;$AR694+$AT694-$AU694-IF($D$4="Forint",Paraméterek!$J$114,Paraméterek!$K$114),0,ROUNDDOWN(IF(ISBLANK($AW694),$AV694,$AW694),IF($D$4="Forint",0,2))-$AX694)</f>
        <v>0</v>
      </c>
      <c r="AZ694" s="13">
        <f t="shared" si="159"/>
        <v>0</v>
      </c>
    </row>
    <row r="695" spans="1:52" x14ac:dyDescent="0.2">
      <c r="A695" s="32">
        <v>676</v>
      </c>
      <c r="B695" s="32">
        <v>57</v>
      </c>
      <c r="C695" s="32">
        <v>4</v>
      </c>
      <c r="D695" s="13">
        <f t="shared" si="150"/>
        <v>0</v>
      </c>
      <c r="E695" s="13"/>
      <c r="F695" s="13"/>
      <c r="G695" s="13"/>
      <c r="H695" s="13">
        <f t="shared" si="151"/>
        <v>0</v>
      </c>
      <c r="I695" s="13">
        <f t="shared" si="152"/>
        <v>0</v>
      </c>
      <c r="J695" s="13">
        <f t="shared" si="153"/>
        <v>0</v>
      </c>
      <c r="K695" s="13">
        <f>ROUNDUP(IF($D$2="Egyszeri",$D695,IF($D$2="Havi",SUM($D$20:$D$31),IF(MOD($C695,$M$1)-1=0,SUM($D$20:$D$31),0))/12*$M$1)*VLOOKUP($B695,Paraméterek!$B$27:$D$30,IF($D$2="Egyszeri",3,2)),IF($D$4="Forint",0,2))</f>
        <v>0</v>
      </c>
      <c r="L695" s="13">
        <f t="shared" si="154"/>
        <v>0</v>
      </c>
      <c r="M695" s="13">
        <f t="shared" ca="1" si="160"/>
        <v>-576737</v>
      </c>
      <c r="N695" s="13">
        <f ca="1">IF($V694&gt;=VLOOKUP($M$4-1+$B695,Paraméterek!$B$121:$D$122,IF($D$4="Forint",2,3)),0,VLOOKUP($M$4-1+$B695,Paraméterek!$B$121:$D$122,IF($D$4="Forint",2,3))-$V694)</f>
        <v>586737</v>
      </c>
      <c r="O695" s="13">
        <f ca="1">ROUNDUP($N695*Paraméterek!$C$58/Paraméterek!$C$56,IF($D$4="Forint",0,2))</f>
        <v>94</v>
      </c>
      <c r="P695" s="13">
        <f t="shared" si="155"/>
        <v>2880</v>
      </c>
      <c r="Q695" s="33"/>
      <c r="R695" s="13">
        <f t="shared" ca="1" si="156"/>
        <v>0</v>
      </c>
      <c r="S695" s="13">
        <f ca="1">ROUNDUP(($M695-$O695-$P695+$R695)*VLOOKUP($B695,Paraméterek!$B$38:$D$39,IF($D$2="Egyszeri",3,2))/12,IF($D$4="Forint",0,2))</f>
        <v>-1416</v>
      </c>
      <c r="T695" s="13"/>
      <c r="U695" s="13"/>
      <c r="V695" s="13">
        <f ca="1">$M695-$O695-$P695+$R695-$S695-IF(ROUNDUP(IF(ISBLANK($U695),$T695,$U695)/IF(AND($B695=1,$D$2&lt;&gt;"Egyszeri"),1,VLOOKUP($B695+IF($C695=12,1,0),Paraméterek!$B$257:$D$267,IF($D$2="Egyszeri",3,2))),IF($D$4="Forint",0,2))&gt;$M695-$O695-$P695+$R695-$S695-IF($D$4="Forint",Paraméterek!$C$216,Paraméterek!$D$216),0,ROUNDUP(IF(ISBLANK($U695),$T695,$U695)/IF(AND($B695=1,$D$2&lt;&gt;"Egyszeri"),1,VLOOKUP($B695+IF($C695=12,1,0),Paraméterek!$B$257:$D$267,IF($D$2="Egyszeri",3,2))),IF($D$4="Forint",0,2)))</f>
        <v>-578295</v>
      </c>
      <c r="W695" s="13">
        <f ca="1">ROUNDDOWN($V695*VLOOKUP($B695+IF($C695=12,1,0),Paraméterek!$B$257:$D$267,IF($D$2="Egyszeri",3,2)),IF($D$4="Forint",0,2))</f>
        <v>-578295</v>
      </c>
      <c r="Y695" s="32">
        <v>676</v>
      </c>
      <c r="Z695" s="32">
        <v>57</v>
      </c>
      <c r="AA695" s="32">
        <v>4</v>
      </c>
      <c r="AB695" s="13">
        <f t="shared" si="161"/>
        <v>0</v>
      </c>
      <c r="AC695" s="33"/>
      <c r="AD695" s="13">
        <f t="shared" si="157"/>
        <v>0</v>
      </c>
      <c r="AE695" s="13">
        <f>ROUNDUP(($AB695+$AD695)*VLOOKUP($Z695,Paraméterek!$P$38:$Q$38,2)/12,IF($D$4="Forint",0,2))</f>
        <v>0</v>
      </c>
      <c r="AF695" s="13">
        <f>IF($D$2="Egyszeri",IF($D$7&gt;=IF($D$4="Forint",Paraméterek!$P$223,Paraméterek!$P$224),$D$7-IF($D$4="Forint",Paraméterek!$F$223,Paraméterek!$F$224),0),MIN(IF($AA695=12,AVERAGE($D$20:$D695)*12,0),SUM($D$20:$D$31)))</f>
        <v>0</v>
      </c>
      <c r="AG695" s="13">
        <f>IF(AND($Z695&gt;=10,MOD($Z695,5)=0),$AF695*IF($AA695=12,VLOOKUP($Z695,Paraméterek!$B$225:$F$240,IF($AF695&lt;IF($D$4="Forint",Paraméterek!$C$223,Paraméterek!$C$224),2,IF($AF695&lt;IF($D$4="Forint",Paraméterek!$D$223,Paraméterek!$D$224),3,4))),0),0)</f>
        <v>0</v>
      </c>
      <c r="AH695" s="13">
        <f>IF(AND($Z695&gt;=5,MOD($Z695,5)=0),IF($AA695=12,VLOOKUP($Z695,Paraméterek!$B$225:$F$240,5),0),IF(OR($Z695=3,$Z695=4),IF($AA695=12,VLOOKUP($Z695,Paraméterek!$B$225:$F$240,5,0),0),0))*$AF695</f>
        <v>0</v>
      </c>
      <c r="AI695" s="13">
        <f>ROUNDDOWN(IF(SUM($T$20:$U695)=0,IF($D$2="Egyszeri",$AH695,$AG695),0),IF($D$4="Forint",0,2))</f>
        <v>0</v>
      </c>
      <c r="AJ695" s="13">
        <f t="shared" si="162"/>
        <v>0</v>
      </c>
      <c r="AK695" s="13">
        <f t="shared" si="163"/>
        <v>0</v>
      </c>
      <c r="AM695" s="32">
        <v>676</v>
      </c>
      <c r="AN695" s="32">
        <v>57</v>
      </c>
      <c r="AO695" s="32">
        <v>4</v>
      </c>
      <c r="AP695" s="13"/>
      <c r="AQ695" s="32"/>
      <c r="AR695" s="13">
        <f t="shared" si="164"/>
        <v>0</v>
      </c>
      <c r="AS695" s="33"/>
      <c r="AT695" s="13">
        <f t="shared" si="158"/>
        <v>0</v>
      </c>
      <c r="AU695" s="13">
        <f>ROUNDUP(($AR695+$AT695)*VLOOKUP($AN695,Paraméterek!$P$38:$Q$38,2)/12,IF($D$4="Forint",0,2))</f>
        <v>0</v>
      </c>
      <c r="AV695" s="13"/>
      <c r="AW695" s="13"/>
      <c r="AX695" s="13">
        <f>ROUNDUP(IF(SUM($AV695:$AW695)=0,0,IF(IF(ISBLANK($AW695),$AV695,$AW695)*Paraméterek!$J$112&lt;IF($D$4="Forint",Paraméterek!$J$113,Paraméterek!$K$113),IF($D$4="Forint",Paraméterek!$J$113,Paraméterek!$K$113),IF(IF(ISBLANK($AW695),$AV695,$AW695)*Paraméterek!$J$112&gt;IF($D$4="Forint",Paraméterek!$J$114,Paraméterek!$K$114),IF($D$4="Forint",Paraméterek!$J$114,Paraméterek!$K$114),IF(ISBLANK($AW695),$AV695,$AW695)*Paraméterek!$J$112))),IF($D$4="Forint",0,2))</f>
        <v>0</v>
      </c>
      <c r="AY695" s="13">
        <f>$AR695+$AT695-$AU695-IF(ROUNDDOWN(IF(ISBLANK($AW695),$AV695,$AW695),IF($D$4="Forint",0,2))&gt;$AR695+$AT695-$AU695-IF($D$4="Forint",Paraméterek!$J$114,Paraméterek!$K$114),0,ROUNDDOWN(IF(ISBLANK($AW695),$AV695,$AW695),IF($D$4="Forint",0,2))-$AX695)</f>
        <v>0</v>
      </c>
      <c r="AZ695" s="13">
        <f t="shared" si="159"/>
        <v>0</v>
      </c>
    </row>
    <row r="696" spans="1:52" x14ac:dyDescent="0.2">
      <c r="A696" s="32">
        <v>677</v>
      </c>
      <c r="B696" s="32">
        <v>57</v>
      </c>
      <c r="C696" s="32">
        <v>5</v>
      </c>
      <c r="D696" s="13">
        <f t="shared" si="150"/>
        <v>0</v>
      </c>
      <c r="E696" s="13"/>
      <c r="F696" s="13"/>
      <c r="G696" s="13"/>
      <c r="H696" s="13">
        <f t="shared" si="151"/>
        <v>0</v>
      </c>
      <c r="I696" s="13">
        <f t="shared" si="152"/>
        <v>0</v>
      </c>
      <c r="J696" s="13">
        <f t="shared" si="153"/>
        <v>0</v>
      </c>
      <c r="K696" s="13">
        <f>ROUNDUP(IF($D$2="Egyszeri",$D696,IF($D$2="Havi",SUM($D$20:$D$31),IF(MOD($C696,$M$1)-1=0,SUM($D$20:$D$31),0))/12*$M$1)*VLOOKUP($B696,Paraméterek!$B$27:$D$30,IF($D$2="Egyszeri",3,2)),IF($D$4="Forint",0,2))</f>
        <v>0</v>
      </c>
      <c r="L696" s="13">
        <f t="shared" si="154"/>
        <v>0</v>
      </c>
      <c r="M696" s="13">
        <f t="shared" ca="1" si="160"/>
        <v>-578295</v>
      </c>
      <c r="N696" s="13">
        <f ca="1">IF($V695&gt;=VLOOKUP($M$4-1+$B696,Paraméterek!$B$121:$D$122,IF($D$4="Forint",2,3)),0,VLOOKUP($M$4-1+$B696,Paraméterek!$B$121:$D$122,IF($D$4="Forint",2,3))-$V695)</f>
        <v>588295</v>
      </c>
      <c r="O696" s="13">
        <f ca="1">ROUNDUP($N696*Paraméterek!$C$58/Paraméterek!$C$56,IF($D$4="Forint",0,2))</f>
        <v>94</v>
      </c>
      <c r="P696" s="13">
        <f t="shared" si="155"/>
        <v>2880</v>
      </c>
      <c r="Q696" s="33"/>
      <c r="R696" s="13">
        <f t="shared" ca="1" si="156"/>
        <v>0</v>
      </c>
      <c r="S696" s="13">
        <f ca="1">ROUNDUP(($M696-$O696-$P696+$R696)*VLOOKUP($B696,Paraméterek!$B$38:$D$39,IF($D$2="Egyszeri",3,2))/12,IF($D$4="Forint",0,2))</f>
        <v>-1420</v>
      </c>
      <c r="T696" s="13"/>
      <c r="U696" s="13"/>
      <c r="V696" s="13">
        <f ca="1">$M696-$O696-$P696+$R696-$S696-IF(ROUNDUP(IF(ISBLANK($U696),$T696,$U696)/IF(AND($B696=1,$D$2&lt;&gt;"Egyszeri"),1,VLOOKUP($B696+IF($C696=12,1,0),Paraméterek!$B$257:$D$267,IF($D$2="Egyszeri",3,2))),IF($D$4="Forint",0,2))&gt;$M696-$O696-$P696+$R696-$S696-IF($D$4="Forint",Paraméterek!$C$216,Paraméterek!$D$216),0,ROUNDUP(IF(ISBLANK($U696),$T696,$U696)/IF(AND($B696=1,$D$2&lt;&gt;"Egyszeri"),1,VLOOKUP($B696+IF($C696=12,1,0),Paraméterek!$B$257:$D$267,IF($D$2="Egyszeri",3,2))),IF($D$4="Forint",0,2)))</f>
        <v>-579849</v>
      </c>
      <c r="W696" s="13">
        <f ca="1">ROUNDDOWN($V696*VLOOKUP($B696+IF($C696=12,1,0),Paraméterek!$B$257:$D$267,IF($D$2="Egyszeri",3,2)),IF($D$4="Forint",0,2))</f>
        <v>-579849</v>
      </c>
      <c r="Y696" s="32">
        <v>677</v>
      </c>
      <c r="Z696" s="32">
        <v>57</v>
      </c>
      <c r="AA696" s="32">
        <v>5</v>
      </c>
      <c r="AB696" s="13">
        <f t="shared" si="161"/>
        <v>0</v>
      </c>
      <c r="AC696" s="33"/>
      <c r="AD696" s="13">
        <f t="shared" si="157"/>
        <v>0</v>
      </c>
      <c r="AE696" s="13">
        <f>ROUNDUP(($AB696+$AD696)*VLOOKUP($Z696,Paraméterek!$P$38:$Q$38,2)/12,IF($D$4="Forint",0,2))</f>
        <v>0</v>
      </c>
      <c r="AF696" s="13">
        <f>IF($D$2="Egyszeri",IF($D$7&gt;=IF($D$4="Forint",Paraméterek!$P$223,Paraméterek!$P$224),$D$7-IF($D$4="Forint",Paraméterek!$F$223,Paraméterek!$F$224),0),MIN(IF($AA696=12,AVERAGE($D$20:$D696)*12,0),SUM($D$20:$D$31)))</f>
        <v>0</v>
      </c>
      <c r="AG696" s="13">
        <f>IF(AND($Z696&gt;=10,MOD($Z696,5)=0),$AF696*IF($AA696=12,VLOOKUP($Z696,Paraméterek!$B$225:$F$240,IF($AF696&lt;IF($D$4="Forint",Paraméterek!$C$223,Paraméterek!$C$224),2,IF($AF696&lt;IF($D$4="Forint",Paraméterek!$D$223,Paraméterek!$D$224),3,4))),0),0)</f>
        <v>0</v>
      </c>
      <c r="AH696" s="13">
        <f>IF(AND($Z696&gt;=5,MOD($Z696,5)=0),IF($AA696=12,VLOOKUP($Z696,Paraméterek!$B$225:$F$240,5),0),IF(OR($Z696=3,$Z696=4),IF($AA696=12,VLOOKUP($Z696,Paraméterek!$B$225:$F$240,5,0),0),0))*$AF696</f>
        <v>0</v>
      </c>
      <c r="AI696" s="13">
        <f>ROUNDDOWN(IF(SUM($T$20:$U696)=0,IF($D$2="Egyszeri",$AH696,$AG696),0),IF($D$4="Forint",0,2))</f>
        <v>0</v>
      </c>
      <c r="AJ696" s="13">
        <f t="shared" si="162"/>
        <v>0</v>
      </c>
      <c r="AK696" s="13">
        <f t="shared" si="163"/>
        <v>0</v>
      </c>
      <c r="AM696" s="32">
        <v>677</v>
      </c>
      <c r="AN696" s="32">
        <v>57</v>
      </c>
      <c r="AO696" s="32">
        <v>5</v>
      </c>
      <c r="AP696" s="13"/>
      <c r="AQ696" s="32"/>
      <c r="AR696" s="13">
        <f t="shared" si="164"/>
        <v>0</v>
      </c>
      <c r="AS696" s="33"/>
      <c r="AT696" s="13">
        <f t="shared" si="158"/>
        <v>0</v>
      </c>
      <c r="AU696" s="13">
        <f>ROUNDUP(($AR696+$AT696)*VLOOKUP($AN696,Paraméterek!$P$38:$Q$38,2)/12,IF($D$4="Forint",0,2))</f>
        <v>0</v>
      </c>
      <c r="AV696" s="13"/>
      <c r="AW696" s="13"/>
      <c r="AX696" s="13">
        <f>ROUNDUP(IF(SUM($AV696:$AW696)=0,0,IF(IF(ISBLANK($AW696),$AV696,$AW696)*Paraméterek!$J$112&lt;IF($D$4="Forint",Paraméterek!$J$113,Paraméterek!$K$113),IF($D$4="Forint",Paraméterek!$J$113,Paraméterek!$K$113),IF(IF(ISBLANK($AW696),$AV696,$AW696)*Paraméterek!$J$112&gt;IF($D$4="Forint",Paraméterek!$J$114,Paraméterek!$K$114),IF($D$4="Forint",Paraméterek!$J$114,Paraméterek!$K$114),IF(ISBLANK($AW696),$AV696,$AW696)*Paraméterek!$J$112))),IF($D$4="Forint",0,2))</f>
        <v>0</v>
      </c>
      <c r="AY696" s="13">
        <f>$AR696+$AT696-$AU696-IF(ROUNDDOWN(IF(ISBLANK($AW696),$AV696,$AW696),IF($D$4="Forint",0,2))&gt;$AR696+$AT696-$AU696-IF($D$4="Forint",Paraméterek!$J$114,Paraméterek!$K$114),0,ROUNDDOWN(IF(ISBLANK($AW696),$AV696,$AW696),IF($D$4="Forint",0,2))-$AX696)</f>
        <v>0</v>
      </c>
      <c r="AZ696" s="13">
        <f t="shared" si="159"/>
        <v>0</v>
      </c>
    </row>
    <row r="697" spans="1:52" x14ac:dyDescent="0.2">
      <c r="A697" s="32">
        <v>678</v>
      </c>
      <c r="B697" s="32">
        <v>57</v>
      </c>
      <c r="C697" s="32">
        <v>6</v>
      </c>
      <c r="D697" s="13">
        <f t="shared" si="150"/>
        <v>0</v>
      </c>
      <c r="E697" s="13"/>
      <c r="F697" s="13"/>
      <c r="G697" s="13"/>
      <c r="H697" s="13">
        <f t="shared" si="151"/>
        <v>0</v>
      </c>
      <c r="I697" s="13">
        <f t="shared" si="152"/>
        <v>0</v>
      </c>
      <c r="J697" s="13">
        <f t="shared" si="153"/>
        <v>0</v>
      </c>
      <c r="K697" s="13">
        <f>ROUNDUP(IF($D$2="Egyszeri",$D697,IF($D$2="Havi",SUM($D$20:$D$31),IF(MOD($C697,$M$1)-1=0,SUM($D$20:$D$31),0))/12*$M$1)*VLOOKUP($B697,Paraméterek!$B$27:$D$30,IF($D$2="Egyszeri",3,2)),IF($D$4="Forint",0,2))</f>
        <v>0</v>
      </c>
      <c r="L697" s="13">
        <f t="shared" si="154"/>
        <v>0</v>
      </c>
      <c r="M697" s="13">
        <f t="shared" ca="1" si="160"/>
        <v>-579849</v>
      </c>
      <c r="N697" s="13">
        <f ca="1">IF($V696&gt;=VLOOKUP($M$4-1+$B697,Paraméterek!$B$121:$D$122,IF($D$4="Forint",2,3)),0,VLOOKUP($M$4-1+$B697,Paraméterek!$B$121:$D$122,IF($D$4="Forint",2,3))-$V696)</f>
        <v>589849</v>
      </c>
      <c r="O697" s="13">
        <f ca="1">ROUNDUP($N697*Paraméterek!$C$58/Paraméterek!$C$56,IF($D$4="Forint",0,2))</f>
        <v>94</v>
      </c>
      <c r="P697" s="13">
        <f t="shared" si="155"/>
        <v>2880</v>
      </c>
      <c r="Q697" s="33"/>
      <c r="R697" s="13">
        <f t="shared" ca="1" si="156"/>
        <v>0</v>
      </c>
      <c r="S697" s="13">
        <f ca="1">ROUNDUP(($M697-$O697-$P697+$R697)*VLOOKUP($B697,Paraméterek!$B$38:$D$39,IF($D$2="Egyszeri",3,2))/12,IF($D$4="Forint",0,2))</f>
        <v>-1424</v>
      </c>
      <c r="T697" s="13"/>
      <c r="U697" s="13"/>
      <c r="V697" s="13">
        <f ca="1">$M697-$O697-$P697+$R697-$S697-IF(ROUNDUP(IF(ISBLANK($U697),$T697,$U697)/IF(AND($B697=1,$D$2&lt;&gt;"Egyszeri"),1,VLOOKUP($B697+IF($C697=12,1,0),Paraméterek!$B$257:$D$267,IF($D$2="Egyszeri",3,2))),IF($D$4="Forint",0,2))&gt;$M697-$O697-$P697+$R697-$S697-IF($D$4="Forint",Paraméterek!$C$216,Paraméterek!$D$216),0,ROUNDUP(IF(ISBLANK($U697),$T697,$U697)/IF(AND($B697=1,$D$2&lt;&gt;"Egyszeri"),1,VLOOKUP($B697+IF($C697=12,1,0),Paraméterek!$B$257:$D$267,IF($D$2="Egyszeri",3,2))),IF($D$4="Forint",0,2)))</f>
        <v>-581399</v>
      </c>
      <c r="W697" s="13">
        <f ca="1">ROUNDDOWN($V697*VLOOKUP($B697+IF($C697=12,1,0),Paraméterek!$B$257:$D$267,IF($D$2="Egyszeri",3,2)),IF($D$4="Forint",0,2))</f>
        <v>-581399</v>
      </c>
      <c r="Y697" s="32">
        <v>678</v>
      </c>
      <c r="Z697" s="32">
        <v>57</v>
      </c>
      <c r="AA697" s="32">
        <v>6</v>
      </c>
      <c r="AB697" s="13">
        <f t="shared" si="161"/>
        <v>0</v>
      </c>
      <c r="AC697" s="33"/>
      <c r="AD697" s="13">
        <f t="shared" si="157"/>
        <v>0</v>
      </c>
      <c r="AE697" s="13">
        <f>ROUNDUP(($AB697+$AD697)*VLOOKUP($Z697,Paraméterek!$P$38:$Q$38,2)/12,IF($D$4="Forint",0,2))</f>
        <v>0</v>
      </c>
      <c r="AF697" s="13">
        <f>IF($D$2="Egyszeri",IF($D$7&gt;=IF($D$4="Forint",Paraméterek!$P$223,Paraméterek!$P$224),$D$7-IF($D$4="Forint",Paraméterek!$F$223,Paraméterek!$F$224),0),MIN(IF($AA697=12,AVERAGE($D$20:$D697)*12,0),SUM($D$20:$D$31)))</f>
        <v>0</v>
      </c>
      <c r="AG697" s="13">
        <f>IF(AND($Z697&gt;=10,MOD($Z697,5)=0),$AF697*IF($AA697=12,VLOOKUP($Z697,Paraméterek!$B$225:$F$240,IF($AF697&lt;IF($D$4="Forint",Paraméterek!$C$223,Paraméterek!$C$224),2,IF($AF697&lt;IF($D$4="Forint",Paraméterek!$D$223,Paraméterek!$D$224),3,4))),0),0)</f>
        <v>0</v>
      </c>
      <c r="AH697" s="13">
        <f>IF(AND($Z697&gt;=5,MOD($Z697,5)=0),IF($AA697=12,VLOOKUP($Z697,Paraméterek!$B$225:$F$240,5),0),IF(OR($Z697=3,$Z697=4),IF($AA697=12,VLOOKUP($Z697,Paraméterek!$B$225:$F$240,5,0),0),0))*$AF697</f>
        <v>0</v>
      </c>
      <c r="AI697" s="13">
        <f>ROUNDDOWN(IF(SUM($T$20:$U697)=0,IF($D$2="Egyszeri",$AH697,$AG697),0),IF($D$4="Forint",0,2))</f>
        <v>0</v>
      </c>
      <c r="AJ697" s="13">
        <f t="shared" si="162"/>
        <v>0</v>
      </c>
      <c r="AK697" s="13">
        <f t="shared" si="163"/>
        <v>0</v>
      </c>
      <c r="AM697" s="32">
        <v>678</v>
      </c>
      <c r="AN697" s="32">
        <v>57</v>
      </c>
      <c r="AO697" s="32">
        <v>6</v>
      </c>
      <c r="AP697" s="13"/>
      <c r="AQ697" s="32"/>
      <c r="AR697" s="13">
        <f t="shared" si="164"/>
        <v>0</v>
      </c>
      <c r="AS697" s="33"/>
      <c r="AT697" s="13">
        <f t="shared" si="158"/>
        <v>0</v>
      </c>
      <c r="AU697" s="13">
        <f>ROUNDUP(($AR697+$AT697)*VLOOKUP($AN697,Paraméterek!$P$38:$Q$38,2)/12,IF($D$4="Forint",0,2))</f>
        <v>0</v>
      </c>
      <c r="AV697" s="13"/>
      <c r="AW697" s="13"/>
      <c r="AX697" s="13">
        <f>ROUNDUP(IF(SUM($AV697:$AW697)=0,0,IF(IF(ISBLANK($AW697),$AV697,$AW697)*Paraméterek!$J$112&lt;IF($D$4="Forint",Paraméterek!$J$113,Paraméterek!$K$113),IF($D$4="Forint",Paraméterek!$J$113,Paraméterek!$K$113),IF(IF(ISBLANK($AW697),$AV697,$AW697)*Paraméterek!$J$112&gt;IF($D$4="Forint",Paraméterek!$J$114,Paraméterek!$K$114),IF($D$4="Forint",Paraméterek!$J$114,Paraméterek!$K$114),IF(ISBLANK($AW697),$AV697,$AW697)*Paraméterek!$J$112))),IF($D$4="Forint",0,2))</f>
        <v>0</v>
      </c>
      <c r="AY697" s="13">
        <f>$AR697+$AT697-$AU697-IF(ROUNDDOWN(IF(ISBLANK($AW697),$AV697,$AW697),IF($D$4="Forint",0,2))&gt;$AR697+$AT697-$AU697-IF($D$4="Forint",Paraméterek!$J$114,Paraméterek!$K$114),0,ROUNDDOWN(IF(ISBLANK($AW697),$AV697,$AW697),IF($D$4="Forint",0,2))-$AX697)</f>
        <v>0</v>
      </c>
      <c r="AZ697" s="13">
        <f t="shared" si="159"/>
        <v>0</v>
      </c>
    </row>
    <row r="698" spans="1:52" x14ac:dyDescent="0.2">
      <c r="A698" s="32">
        <v>679</v>
      </c>
      <c r="B698" s="32">
        <v>57</v>
      </c>
      <c r="C698" s="32">
        <v>7</v>
      </c>
      <c r="D698" s="13">
        <f t="shared" si="150"/>
        <v>0</v>
      </c>
      <c r="E698" s="13"/>
      <c r="F698" s="13"/>
      <c r="G698" s="13"/>
      <c r="H698" s="13">
        <f t="shared" si="151"/>
        <v>0</v>
      </c>
      <c r="I698" s="13">
        <f t="shared" si="152"/>
        <v>0</v>
      </c>
      <c r="J698" s="13">
        <f t="shared" si="153"/>
        <v>0</v>
      </c>
      <c r="K698" s="13">
        <f>ROUNDUP(IF($D$2="Egyszeri",$D698,IF($D$2="Havi",SUM($D$20:$D$31),IF(MOD($C698,$M$1)-1=0,SUM($D$20:$D$31),0))/12*$M$1)*VLOOKUP($B698,Paraméterek!$B$27:$D$30,IF($D$2="Egyszeri",3,2)),IF($D$4="Forint",0,2))</f>
        <v>0</v>
      </c>
      <c r="L698" s="13">
        <f t="shared" si="154"/>
        <v>0</v>
      </c>
      <c r="M698" s="13">
        <f t="shared" ca="1" si="160"/>
        <v>-581399</v>
      </c>
      <c r="N698" s="13">
        <f ca="1">IF($V697&gt;=VLOOKUP($M$4-1+$B698,Paraméterek!$B$121:$D$122,IF($D$4="Forint",2,3)),0,VLOOKUP($M$4-1+$B698,Paraméterek!$B$121:$D$122,IF($D$4="Forint",2,3))-$V697)</f>
        <v>591399</v>
      </c>
      <c r="O698" s="13">
        <f ca="1">ROUNDUP($N698*Paraméterek!$C$58/Paraméterek!$C$56,IF($D$4="Forint",0,2))</f>
        <v>95</v>
      </c>
      <c r="P698" s="13">
        <f t="shared" si="155"/>
        <v>2880</v>
      </c>
      <c r="Q698" s="33"/>
      <c r="R698" s="13">
        <f t="shared" ca="1" si="156"/>
        <v>0</v>
      </c>
      <c r="S698" s="13">
        <f ca="1">ROUNDUP(($M698-$O698-$P698+$R698)*VLOOKUP($B698,Paraméterek!$B$38:$D$39,IF($D$2="Egyszeri",3,2))/12,IF($D$4="Forint",0,2))</f>
        <v>-1427</v>
      </c>
      <c r="T698" s="13"/>
      <c r="U698" s="13"/>
      <c r="V698" s="13">
        <f ca="1">$M698-$O698-$P698+$R698-$S698-IF(ROUNDUP(IF(ISBLANK($U698),$T698,$U698)/IF(AND($B698=1,$D$2&lt;&gt;"Egyszeri"),1,VLOOKUP($B698+IF($C698=12,1,0),Paraméterek!$B$257:$D$267,IF($D$2="Egyszeri",3,2))),IF($D$4="Forint",0,2))&gt;$M698-$O698-$P698+$R698-$S698-IF($D$4="Forint",Paraméterek!$C$216,Paraméterek!$D$216),0,ROUNDUP(IF(ISBLANK($U698),$T698,$U698)/IF(AND($B698=1,$D$2&lt;&gt;"Egyszeri"),1,VLOOKUP($B698+IF($C698=12,1,0),Paraméterek!$B$257:$D$267,IF($D$2="Egyszeri",3,2))),IF($D$4="Forint",0,2)))</f>
        <v>-582947</v>
      </c>
      <c r="W698" s="13">
        <f ca="1">ROUNDDOWN($V698*VLOOKUP($B698+IF($C698=12,1,0),Paraméterek!$B$257:$D$267,IF($D$2="Egyszeri",3,2)),IF($D$4="Forint",0,2))</f>
        <v>-582947</v>
      </c>
      <c r="Y698" s="32">
        <v>679</v>
      </c>
      <c r="Z698" s="32">
        <v>57</v>
      </c>
      <c r="AA698" s="32">
        <v>7</v>
      </c>
      <c r="AB698" s="13">
        <f t="shared" si="161"/>
        <v>0</v>
      </c>
      <c r="AC698" s="33"/>
      <c r="AD698" s="13">
        <f t="shared" si="157"/>
        <v>0</v>
      </c>
      <c r="AE698" s="13">
        <f>ROUNDUP(($AB698+$AD698)*VLOOKUP($Z698,Paraméterek!$P$38:$Q$38,2)/12,IF($D$4="Forint",0,2))</f>
        <v>0</v>
      </c>
      <c r="AF698" s="13">
        <f>IF($D$2="Egyszeri",IF($D$7&gt;=IF($D$4="Forint",Paraméterek!$P$223,Paraméterek!$P$224),$D$7-IF($D$4="Forint",Paraméterek!$F$223,Paraméterek!$F$224),0),MIN(IF($AA698=12,AVERAGE($D$20:$D698)*12,0),SUM($D$20:$D$31)))</f>
        <v>0</v>
      </c>
      <c r="AG698" s="13">
        <f>IF(AND($Z698&gt;=10,MOD($Z698,5)=0),$AF698*IF($AA698=12,VLOOKUP($Z698,Paraméterek!$B$225:$F$240,IF($AF698&lt;IF($D$4="Forint",Paraméterek!$C$223,Paraméterek!$C$224),2,IF($AF698&lt;IF($D$4="Forint",Paraméterek!$D$223,Paraméterek!$D$224),3,4))),0),0)</f>
        <v>0</v>
      </c>
      <c r="AH698" s="13">
        <f>IF(AND($Z698&gt;=5,MOD($Z698,5)=0),IF($AA698=12,VLOOKUP($Z698,Paraméterek!$B$225:$F$240,5),0),IF(OR($Z698=3,$Z698=4),IF($AA698=12,VLOOKUP($Z698,Paraméterek!$B$225:$F$240,5,0),0),0))*$AF698</f>
        <v>0</v>
      </c>
      <c r="AI698" s="13">
        <f>ROUNDDOWN(IF(SUM($T$20:$U698)=0,IF($D$2="Egyszeri",$AH698,$AG698),0),IF($D$4="Forint",0,2))</f>
        <v>0</v>
      </c>
      <c r="AJ698" s="13">
        <f t="shared" si="162"/>
        <v>0</v>
      </c>
      <c r="AK698" s="13">
        <f t="shared" si="163"/>
        <v>0</v>
      </c>
      <c r="AM698" s="32">
        <v>679</v>
      </c>
      <c r="AN698" s="32">
        <v>57</v>
      </c>
      <c r="AO698" s="32">
        <v>7</v>
      </c>
      <c r="AP698" s="13"/>
      <c r="AQ698" s="32"/>
      <c r="AR698" s="13">
        <f t="shared" si="164"/>
        <v>0</v>
      </c>
      <c r="AS698" s="33"/>
      <c r="AT698" s="13">
        <f t="shared" si="158"/>
        <v>0</v>
      </c>
      <c r="AU698" s="13">
        <f>ROUNDUP(($AR698+$AT698)*VLOOKUP($AN698,Paraméterek!$P$38:$Q$38,2)/12,IF($D$4="Forint",0,2))</f>
        <v>0</v>
      </c>
      <c r="AV698" s="13"/>
      <c r="AW698" s="13"/>
      <c r="AX698" s="13">
        <f>ROUNDUP(IF(SUM($AV698:$AW698)=0,0,IF(IF(ISBLANK($AW698),$AV698,$AW698)*Paraméterek!$J$112&lt;IF($D$4="Forint",Paraméterek!$J$113,Paraméterek!$K$113),IF($D$4="Forint",Paraméterek!$J$113,Paraméterek!$K$113),IF(IF(ISBLANK($AW698),$AV698,$AW698)*Paraméterek!$J$112&gt;IF($D$4="Forint",Paraméterek!$J$114,Paraméterek!$K$114),IF($D$4="Forint",Paraméterek!$J$114,Paraméterek!$K$114),IF(ISBLANK($AW698),$AV698,$AW698)*Paraméterek!$J$112))),IF($D$4="Forint",0,2))</f>
        <v>0</v>
      </c>
      <c r="AY698" s="13">
        <f>$AR698+$AT698-$AU698-IF(ROUNDDOWN(IF(ISBLANK($AW698),$AV698,$AW698),IF($D$4="Forint",0,2))&gt;$AR698+$AT698-$AU698-IF($D$4="Forint",Paraméterek!$J$114,Paraméterek!$K$114),0,ROUNDDOWN(IF(ISBLANK($AW698),$AV698,$AW698),IF($D$4="Forint",0,2))-$AX698)</f>
        <v>0</v>
      </c>
      <c r="AZ698" s="13">
        <f t="shared" si="159"/>
        <v>0</v>
      </c>
    </row>
    <row r="699" spans="1:52" x14ac:dyDescent="0.2">
      <c r="A699" s="32">
        <v>680</v>
      </c>
      <c r="B699" s="32">
        <v>57</v>
      </c>
      <c r="C699" s="32">
        <v>8</v>
      </c>
      <c r="D699" s="13">
        <f t="shared" si="150"/>
        <v>0</v>
      </c>
      <c r="E699" s="13"/>
      <c r="F699" s="13"/>
      <c r="G699" s="13"/>
      <c r="H699" s="13">
        <f t="shared" si="151"/>
        <v>0</v>
      </c>
      <c r="I699" s="13">
        <f t="shared" si="152"/>
        <v>0</v>
      </c>
      <c r="J699" s="13">
        <f t="shared" si="153"/>
        <v>0</v>
      </c>
      <c r="K699" s="13">
        <f>ROUNDUP(IF($D$2="Egyszeri",$D699,IF($D$2="Havi",SUM($D$20:$D$31),IF(MOD($C699,$M$1)-1=0,SUM($D$20:$D$31),0))/12*$M$1)*VLOOKUP($B699,Paraméterek!$B$27:$D$30,IF($D$2="Egyszeri",3,2)),IF($D$4="Forint",0,2))</f>
        <v>0</v>
      </c>
      <c r="L699" s="13">
        <f t="shared" si="154"/>
        <v>0</v>
      </c>
      <c r="M699" s="13">
        <f t="shared" ca="1" si="160"/>
        <v>-582947</v>
      </c>
      <c r="N699" s="13">
        <f ca="1">IF($V698&gt;=VLOOKUP($M$4-1+$B699,Paraméterek!$B$121:$D$122,IF($D$4="Forint",2,3)),0,VLOOKUP($M$4-1+$B699,Paraméterek!$B$121:$D$122,IF($D$4="Forint",2,3))-$V698)</f>
        <v>592947</v>
      </c>
      <c r="O699" s="13">
        <f ca="1">ROUNDUP($N699*Paraméterek!$C$58/Paraméterek!$C$56,IF($D$4="Forint",0,2))</f>
        <v>95</v>
      </c>
      <c r="P699" s="13">
        <f t="shared" si="155"/>
        <v>2880</v>
      </c>
      <c r="Q699" s="33"/>
      <c r="R699" s="13">
        <f t="shared" ca="1" si="156"/>
        <v>0</v>
      </c>
      <c r="S699" s="13">
        <f ca="1">ROUNDUP(($M699-$O699-$P699+$R699)*VLOOKUP($B699,Paraméterek!$B$38:$D$39,IF($D$2="Egyszeri",3,2))/12,IF($D$4="Forint",0,2))</f>
        <v>-1431</v>
      </c>
      <c r="T699" s="13"/>
      <c r="U699" s="13"/>
      <c r="V699" s="13">
        <f ca="1">$M699-$O699-$P699+$R699-$S699-IF(ROUNDUP(IF(ISBLANK($U699),$T699,$U699)/IF(AND($B699=1,$D$2&lt;&gt;"Egyszeri"),1,VLOOKUP($B699+IF($C699=12,1,0),Paraméterek!$B$257:$D$267,IF($D$2="Egyszeri",3,2))),IF($D$4="Forint",0,2))&gt;$M699-$O699-$P699+$R699-$S699-IF($D$4="Forint",Paraméterek!$C$216,Paraméterek!$D$216),0,ROUNDUP(IF(ISBLANK($U699),$T699,$U699)/IF(AND($B699=1,$D$2&lt;&gt;"Egyszeri"),1,VLOOKUP($B699+IF($C699=12,1,0),Paraméterek!$B$257:$D$267,IF($D$2="Egyszeri",3,2))),IF($D$4="Forint",0,2)))</f>
        <v>-584491</v>
      </c>
      <c r="W699" s="13">
        <f ca="1">ROUNDDOWN($V699*VLOOKUP($B699+IF($C699=12,1,0),Paraméterek!$B$257:$D$267,IF($D$2="Egyszeri",3,2)),IF($D$4="Forint",0,2))</f>
        <v>-584491</v>
      </c>
      <c r="Y699" s="32">
        <v>680</v>
      </c>
      <c r="Z699" s="32">
        <v>57</v>
      </c>
      <c r="AA699" s="32">
        <v>8</v>
      </c>
      <c r="AB699" s="13">
        <f t="shared" si="161"/>
        <v>0</v>
      </c>
      <c r="AC699" s="33"/>
      <c r="AD699" s="13">
        <f t="shared" si="157"/>
        <v>0</v>
      </c>
      <c r="AE699" s="13">
        <f>ROUNDUP(($AB699+$AD699)*VLOOKUP($Z699,Paraméterek!$P$38:$Q$38,2)/12,IF($D$4="Forint",0,2))</f>
        <v>0</v>
      </c>
      <c r="AF699" s="13">
        <f>IF($D$2="Egyszeri",IF($D$7&gt;=IF($D$4="Forint",Paraméterek!$P$223,Paraméterek!$P$224),$D$7-IF($D$4="Forint",Paraméterek!$F$223,Paraméterek!$F$224),0),MIN(IF($AA699=12,AVERAGE($D$20:$D699)*12,0),SUM($D$20:$D$31)))</f>
        <v>0</v>
      </c>
      <c r="AG699" s="13">
        <f>IF(AND($Z699&gt;=10,MOD($Z699,5)=0),$AF699*IF($AA699=12,VLOOKUP($Z699,Paraméterek!$B$225:$F$240,IF($AF699&lt;IF($D$4="Forint",Paraméterek!$C$223,Paraméterek!$C$224),2,IF($AF699&lt;IF($D$4="Forint",Paraméterek!$D$223,Paraméterek!$D$224),3,4))),0),0)</f>
        <v>0</v>
      </c>
      <c r="AH699" s="13">
        <f>IF(AND($Z699&gt;=5,MOD($Z699,5)=0),IF($AA699=12,VLOOKUP($Z699,Paraméterek!$B$225:$F$240,5),0),IF(OR($Z699=3,$Z699=4),IF($AA699=12,VLOOKUP($Z699,Paraméterek!$B$225:$F$240,5,0),0),0))*$AF699</f>
        <v>0</v>
      </c>
      <c r="AI699" s="13">
        <f>ROUNDDOWN(IF(SUM($T$20:$U699)=0,IF($D$2="Egyszeri",$AH699,$AG699),0),IF($D$4="Forint",0,2))</f>
        <v>0</v>
      </c>
      <c r="AJ699" s="13">
        <f t="shared" si="162"/>
        <v>0</v>
      </c>
      <c r="AK699" s="13">
        <f t="shared" si="163"/>
        <v>0</v>
      </c>
      <c r="AM699" s="32">
        <v>680</v>
      </c>
      <c r="AN699" s="32">
        <v>57</v>
      </c>
      <c r="AO699" s="32">
        <v>8</v>
      </c>
      <c r="AP699" s="13"/>
      <c r="AQ699" s="32"/>
      <c r="AR699" s="13">
        <f t="shared" si="164"/>
        <v>0</v>
      </c>
      <c r="AS699" s="33"/>
      <c r="AT699" s="13">
        <f t="shared" si="158"/>
        <v>0</v>
      </c>
      <c r="AU699" s="13">
        <f>ROUNDUP(($AR699+$AT699)*VLOOKUP($AN699,Paraméterek!$P$38:$Q$38,2)/12,IF($D$4="Forint",0,2))</f>
        <v>0</v>
      </c>
      <c r="AV699" s="13"/>
      <c r="AW699" s="13"/>
      <c r="AX699" s="13">
        <f>ROUNDUP(IF(SUM($AV699:$AW699)=0,0,IF(IF(ISBLANK($AW699),$AV699,$AW699)*Paraméterek!$J$112&lt;IF($D$4="Forint",Paraméterek!$J$113,Paraméterek!$K$113),IF($D$4="Forint",Paraméterek!$J$113,Paraméterek!$K$113),IF(IF(ISBLANK($AW699),$AV699,$AW699)*Paraméterek!$J$112&gt;IF($D$4="Forint",Paraméterek!$J$114,Paraméterek!$K$114),IF($D$4="Forint",Paraméterek!$J$114,Paraméterek!$K$114),IF(ISBLANK($AW699),$AV699,$AW699)*Paraméterek!$J$112))),IF($D$4="Forint",0,2))</f>
        <v>0</v>
      </c>
      <c r="AY699" s="13">
        <f>$AR699+$AT699-$AU699-IF(ROUNDDOWN(IF(ISBLANK($AW699),$AV699,$AW699),IF($D$4="Forint",0,2))&gt;$AR699+$AT699-$AU699-IF($D$4="Forint",Paraméterek!$J$114,Paraméterek!$K$114),0,ROUNDDOWN(IF(ISBLANK($AW699),$AV699,$AW699),IF($D$4="Forint",0,2))-$AX699)</f>
        <v>0</v>
      </c>
      <c r="AZ699" s="13">
        <f t="shared" si="159"/>
        <v>0</v>
      </c>
    </row>
    <row r="700" spans="1:52" x14ac:dyDescent="0.2">
      <c r="A700" s="32">
        <v>681</v>
      </c>
      <c r="B700" s="32">
        <v>57</v>
      </c>
      <c r="C700" s="32">
        <v>9</v>
      </c>
      <c r="D700" s="13">
        <f t="shared" si="150"/>
        <v>0</v>
      </c>
      <c r="E700" s="13"/>
      <c r="F700" s="13"/>
      <c r="G700" s="13"/>
      <c r="H700" s="13">
        <f t="shared" si="151"/>
        <v>0</v>
      </c>
      <c r="I700" s="13">
        <f t="shared" si="152"/>
        <v>0</v>
      </c>
      <c r="J700" s="13">
        <f t="shared" si="153"/>
        <v>0</v>
      </c>
      <c r="K700" s="13">
        <f>ROUNDUP(IF($D$2="Egyszeri",$D700,IF($D$2="Havi",SUM($D$20:$D$31),IF(MOD($C700,$M$1)-1=0,SUM($D$20:$D$31),0))/12*$M$1)*VLOOKUP($B700,Paraméterek!$B$27:$D$30,IF($D$2="Egyszeri",3,2)),IF($D$4="Forint",0,2))</f>
        <v>0</v>
      </c>
      <c r="L700" s="13">
        <f t="shared" si="154"/>
        <v>0</v>
      </c>
      <c r="M700" s="13">
        <f t="shared" ca="1" si="160"/>
        <v>-584491</v>
      </c>
      <c r="N700" s="13">
        <f ca="1">IF($V699&gt;=VLOOKUP($M$4-1+$B700,Paraméterek!$B$121:$D$122,IF($D$4="Forint",2,3)),0,VLOOKUP($M$4-1+$B700,Paraméterek!$B$121:$D$122,IF($D$4="Forint",2,3))-$V699)</f>
        <v>594491</v>
      </c>
      <c r="O700" s="13">
        <f ca="1">ROUNDUP($N700*Paraméterek!$C$58/Paraméterek!$C$56,IF($D$4="Forint",0,2))</f>
        <v>95</v>
      </c>
      <c r="P700" s="13">
        <f t="shared" si="155"/>
        <v>2880</v>
      </c>
      <c r="Q700" s="33"/>
      <c r="R700" s="13">
        <f t="shared" ca="1" si="156"/>
        <v>0</v>
      </c>
      <c r="S700" s="13">
        <f ca="1">ROUNDUP(($M700-$O700-$P700+$R700)*VLOOKUP($B700,Paraméterek!$B$38:$D$39,IF($D$2="Egyszeri",3,2))/12,IF($D$4="Forint",0,2))</f>
        <v>-1435</v>
      </c>
      <c r="T700" s="13"/>
      <c r="U700" s="13"/>
      <c r="V700" s="13">
        <f ca="1">$M700-$O700-$P700+$R700-$S700-IF(ROUNDUP(IF(ISBLANK($U700),$T700,$U700)/IF(AND($B700=1,$D$2&lt;&gt;"Egyszeri"),1,VLOOKUP($B700+IF($C700=12,1,0),Paraméterek!$B$257:$D$267,IF($D$2="Egyszeri",3,2))),IF($D$4="Forint",0,2))&gt;$M700-$O700-$P700+$R700-$S700-IF($D$4="Forint",Paraméterek!$C$216,Paraméterek!$D$216),0,ROUNDUP(IF(ISBLANK($U700),$T700,$U700)/IF(AND($B700=1,$D$2&lt;&gt;"Egyszeri"),1,VLOOKUP($B700+IF($C700=12,1,0),Paraméterek!$B$257:$D$267,IF($D$2="Egyszeri",3,2))),IF($D$4="Forint",0,2)))</f>
        <v>-586031</v>
      </c>
      <c r="W700" s="13">
        <f ca="1">ROUNDDOWN($V700*VLOOKUP($B700+IF($C700=12,1,0),Paraméterek!$B$257:$D$267,IF($D$2="Egyszeri",3,2)),IF($D$4="Forint",0,2))</f>
        <v>-586031</v>
      </c>
      <c r="Y700" s="32">
        <v>681</v>
      </c>
      <c r="Z700" s="32">
        <v>57</v>
      </c>
      <c r="AA700" s="32">
        <v>9</v>
      </c>
      <c r="AB700" s="13">
        <f t="shared" si="161"/>
        <v>0</v>
      </c>
      <c r="AC700" s="33"/>
      <c r="AD700" s="13">
        <f t="shared" si="157"/>
        <v>0</v>
      </c>
      <c r="AE700" s="13">
        <f>ROUNDUP(($AB700+$AD700)*VLOOKUP($Z700,Paraméterek!$P$38:$Q$38,2)/12,IF($D$4="Forint",0,2))</f>
        <v>0</v>
      </c>
      <c r="AF700" s="13">
        <f>IF($D$2="Egyszeri",IF($D$7&gt;=IF($D$4="Forint",Paraméterek!$P$223,Paraméterek!$P$224),$D$7-IF($D$4="Forint",Paraméterek!$F$223,Paraméterek!$F$224),0),MIN(IF($AA700=12,AVERAGE($D$20:$D700)*12,0),SUM($D$20:$D$31)))</f>
        <v>0</v>
      </c>
      <c r="AG700" s="13">
        <f>IF(AND($Z700&gt;=10,MOD($Z700,5)=0),$AF700*IF($AA700=12,VLOOKUP($Z700,Paraméterek!$B$225:$F$240,IF($AF700&lt;IF($D$4="Forint",Paraméterek!$C$223,Paraméterek!$C$224),2,IF($AF700&lt;IF($D$4="Forint",Paraméterek!$D$223,Paraméterek!$D$224),3,4))),0),0)</f>
        <v>0</v>
      </c>
      <c r="AH700" s="13">
        <f>IF(AND($Z700&gt;=5,MOD($Z700,5)=0),IF($AA700=12,VLOOKUP($Z700,Paraméterek!$B$225:$F$240,5),0),IF(OR($Z700=3,$Z700=4),IF($AA700=12,VLOOKUP($Z700,Paraméterek!$B$225:$F$240,5,0),0),0))*$AF700</f>
        <v>0</v>
      </c>
      <c r="AI700" s="13">
        <f>ROUNDDOWN(IF(SUM($T$20:$U700)=0,IF($D$2="Egyszeri",$AH700,$AG700),0),IF($D$4="Forint",0,2))</f>
        <v>0</v>
      </c>
      <c r="AJ700" s="13">
        <f t="shared" si="162"/>
        <v>0</v>
      </c>
      <c r="AK700" s="13">
        <f t="shared" si="163"/>
        <v>0</v>
      </c>
      <c r="AM700" s="32">
        <v>681</v>
      </c>
      <c r="AN700" s="32">
        <v>57</v>
      </c>
      <c r="AO700" s="32">
        <v>9</v>
      </c>
      <c r="AP700" s="13"/>
      <c r="AQ700" s="32"/>
      <c r="AR700" s="13">
        <f t="shared" si="164"/>
        <v>0</v>
      </c>
      <c r="AS700" s="33"/>
      <c r="AT700" s="13">
        <f t="shared" si="158"/>
        <v>0</v>
      </c>
      <c r="AU700" s="13">
        <f>ROUNDUP(($AR700+$AT700)*VLOOKUP($AN700,Paraméterek!$P$38:$Q$38,2)/12,IF($D$4="Forint",0,2))</f>
        <v>0</v>
      </c>
      <c r="AV700" s="13"/>
      <c r="AW700" s="13"/>
      <c r="AX700" s="13">
        <f>ROUNDUP(IF(SUM($AV700:$AW700)=0,0,IF(IF(ISBLANK($AW700),$AV700,$AW700)*Paraméterek!$J$112&lt;IF($D$4="Forint",Paraméterek!$J$113,Paraméterek!$K$113),IF($D$4="Forint",Paraméterek!$J$113,Paraméterek!$K$113),IF(IF(ISBLANK($AW700),$AV700,$AW700)*Paraméterek!$J$112&gt;IF($D$4="Forint",Paraméterek!$J$114,Paraméterek!$K$114),IF($D$4="Forint",Paraméterek!$J$114,Paraméterek!$K$114),IF(ISBLANK($AW700),$AV700,$AW700)*Paraméterek!$J$112))),IF($D$4="Forint",0,2))</f>
        <v>0</v>
      </c>
      <c r="AY700" s="13">
        <f>$AR700+$AT700-$AU700-IF(ROUNDDOWN(IF(ISBLANK($AW700),$AV700,$AW700),IF($D$4="Forint",0,2))&gt;$AR700+$AT700-$AU700-IF($D$4="Forint",Paraméterek!$J$114,Paraméterek!$K$114),0,ROUNDDOWN(IF(ISBLANK($AW700),$AV700,$AW700),IF($D$4="Forint",0,2))-$AX700)</f>
        <v>0</v>
      </c>
      <c r="AZ700" s="13">
        <f t="shared" si="159"/>
        <v>0</v>
      </c>
    </row>
    <row r="701" spans="1:52" x14ac:dyDescent="0.2">
      <c r="A701" s="32">
        <v>682</v>
      </c>
      <c r="B701" s="32">
        <v>57</v>
      </c>
      <c r="C701" s="32">
        <v>10</v>
      </c>
      <c r="D701" s="13">
        <f t="shared" si="150"/>
        <v>0</v>
      </c>
      <c r="E701" s="13"/>
      <c r="F701" s="13"/>
      <c r="G701" s="13"/>
      <c r="H701" s="13">
        <f t="shared" si="151"/>
        <v>0</v>
      </c>
      <c r="I701" s="13">
        <f t="shared" si="152"/>
        <v>0</v>
      </c>
      <c r="J701" s="13">
        <f t="shared" si="153"/>
        <v>0</v>
      </c>
      <c r="K701" s="13">
        <f>ROUNDUP(IF($D$2="Egyszeri",$D701,IF($D$2="Havi",SUM($D$20:$D$31),IF(MOD($C701,$M$1)-1=0,SUM($D$20:$D$31),0))/12*$M$1)*VLOOKUP($B701,Paraméterek!$B$27:$D$30,IF($D$2="Egyszeri",3,2)),IF($D$4="Forint",0,2))</f>
        <v>0</v>
      </c>
      <c r="L701" s="13">
        <f t="shared" si="154"/>
        <v>0</v>
      </c>
      <c r="M701" s="13">
        <f t="shared" ca="1" si="160"/>
        <v>-586031</v>
      </c>
      <c r="N701" s="13">
        <f ca="1">IF($V700&gt;=VLOOKUP($M$4-1+$B701,Paraméterek!$B$121:$D$122,IF($D$4="Forint",2,3)),0,VLOOKUP($M$4-1+$B701,Paraméterek!$B$121:$D$122,IF($D$4="Forint",2,3))-$V700)</f>
        <v>596031</v>
      </c>
      <c r="O701" s="13">
        <f ca="1">ROUNDUP($N701*Paraméterek!$C$58/Paraméterek!$C$56,IF($D$4="Forint",0,2))</f>
        <v>95</v>
      </c>
      <c r="P701" s="13">
        <f t="shared" si="155"/>
        <v>2880</v>
      </c>
      <c r="Q701" s="33"/>
      <c r="R701" s="13">
        <f t="shared" ca="1" si="156"/>
        <v>0</v>
      </c>
      <c r="S701" s="13">
        <f ca="1">ROUNDUP(($M701-$O701-$P701+$R701)*VLOOKUP($B701,Paraméterek!$B$38:$D$39,IF($D$2="Egyszeri",3,2))/12,IF($D$4="Forint",0,2))</f>
        <v>-1439</v>
      </c>
      <c r="T701" s="13"/>
      <c r="U701" s="13"/>
      <c r="V701" s="13">
        <f ca="1">$M701-$O701-$P701+$R701-$S701-IF(ROUNDUP(IF(ISBLANK($U701),$T701,$U701)/IF(AND($B701=1,$D$2&lt;&gt;"Egyszeri"),1,VLOOKUP($B701+IF($C701=12,1,0),Paraméterek!$B$257:$D$267,IF($D$2="Egyszeri",3,2))),IF($D$4="Forint",0,2))&gt;$M701-$O701-$P701+$R701-$S701-IF($D$4="Forint",Paraméterek!$C$216,Paraméterek!$D$216),0,ROUNDUP(IF(ISBLANK($U701),$T701,$U701)/IF(AND($B701=1,$D$2&lt;&gt;"Egyszeri"),1,VLOOKUP($B701+IF($C701=12,1,0),Paraméterek!$B$257:$D$267,IF($D$2="Egyszeri",3,2))),IF($D$4="Forint",0,2)))</f>
        <v>-587567</v>
      </c>
      <c r="W701" s="13">
        <f ca="1">ROUNDDOWN($V701*VLOOKUP($B701+IF($C701=12,1,0),Paraméterek!$B$257:$D$267,IF($D$2="Egyszeri",3,2)),IF($D$4="Forint",0,2))</f>
        <v>-587567</v>
      </c>
      <c r="Y701" s="32">
        <v>682</v>
      </c>
      <c r="Z701" s="32">
        <v>57</v>
      </c>
      <c r="AA701" s="32">
        <v>10</v>
      </c>
      <c r="AB701" s="13">
        <f t="shared" si="161"/>
        <v>0</v>
      </c>
      <c r="AC701" s="33"/>
      <c r="AD701" s="13">
        <f t="shared" si="157"/>
        <v>0</v>
      </c>
      <c r="AE701" s="13">
        <f>ROUNDUP(($AB701+$AD701)*VLOOKUP($Z701,Paraméterek!$P$38:$Q$38,2)/12,IF($D$4="Forint",0,2))</f>
        <v>0</v>
      </c>
      <c r="AF701" s="13">
        <f>IF($D$2="Egyszeri",IF($D$7&gt;=IF($D$4="Forint",Paraméterek!$P$223,Paraméterek!$P$224),$D$7-IF($D$4="Forint",Paraméterek!$F$223,Paraméterek!$F$224),0),MIN(IF($AA701=12,AVERAGE($D$20:$D701)*12,0),SUM($D$20:$D$31)))</f>
        <v>0</v>
      </c>
      <c r="AG701" s="13">
        <f>IF(AND($Z701&gt;=10,MOD($Z701,5)=0),$AF701*IF($AA701=12,VLOOKUP($Z701,Paraméterek!$B$225:$F$240,IF($AF701&lt;IF($D$4="Forint",Paraméterek!$C$223,Paraméterek!$C$224),2,IF($AF701&lt;IF($D$4="Forint",Paraméterek!$D$223,Paraméterek!$D$224),3,4))),0),0)</f>
        <v>0</v>
      </c>
      <c r="AH701" s="13">
        <f>IF(AND($Z701&gt;=5,MOD($Z701,5)=0),IF($AA701=12,VLOOKUP($Z701,Paraméterek!$B$225:$F$240,5),0),IF(OR($Z701=3,$Z701=4),IF($AA701=12,VLOOKUP($Z701,Paraméterek!$B$225:$F$240,5,0),0),0))*$AF701</f>
        <v>0</v>
      </c>
      <c r="AI701" s="13">
        <f>ROUNDDOWN(IF(SUM($T$20:$U701)=0,IF($D$2="Egyszeri",$AH701,$AG701),0),IF($D$4="Forint",0,2))</f>
        <v>0</v>
      </c>
      <c r="AJ701" s="13">
        <f t="shared" si="162"/>
        <v>0</v>
      </c>
      <c r="AK701" s="13">
        <f t="shared" si="163"/>
        <v>0</v>
      </c>
      <c r="AM701" s="32">
        <v>682</v>
      </c>
      <c r="AN701" s="32">
        <v>57</v>
      </c>
      <c r="AO701" s="32">
        <v>10</v>
      </c>
      <c r="AP701" s="13"/>
      <c r="AQ701" s="32"/>
      <c r="AR701" s="13">
        <f t="shared" si="164"/>
        <v>0</v>
      </c>
      <c r="AS701" s="33"/>
      <c r="AT701" s="13">
        <f t="shared" si="158"/>
        <v>0</v>
      </c>
      <c r="AU701" s="13">
        <f>ROUNDUP(($AR701+$AT701)*VLOOKUP($AN701,Paraméterek!$P$38:$Q$38,2)/12,IF($D$4="Forint",0,2))</f>
        <v>0</v>
      </c>
      <c r="AV701" s="13"/>
      <c r="AW701" s="13"/>
      <c r="AX701" s="13">
        <f>ROUNDUP(IF(SUM($AV701:$AW701)=0,0,IF(IF(ISBLANK($AW701),$AV701,$AW701)*Paraméterek!$J$112&lt;IF($D$4="Forint",Paraméterek!$J$113,Paraméterek!$K$113),IF($D$4="Forint",Paraméterek!$J$113,Paraméterek!$K$113),IF(IF(ISBLANK($AW701),$AV701,$AW701)*Paraméterek!$J$112&gt;IF($D$4="Forint",Paraméterek!$J$114,Paraméterek!$K$114),IF($D$4="Forint",Paraméterek!$J$114,Paraméterek!$K$114),IF(ISBLANK($AW701),$AV701,$AW701)*Paraméterek!$J$112))),IF($D$4="Forint",0,2))</f>
        <v>0</v>
      </c>
      <c r="AY701" s="13">
        <f>$AR701+$AT701-$AU701-IF(ROUNDDOWN(IF(ISBLANK($AW701),$AV701,$AW701),IF($D$4="Forint",0,2))&gt;$AR701+$AT701-$AU701-IF($D$4="Forint",Paraméterek!$J$114,Paraméterek!$K$114),0,ROUNDDOWN(IF(ISBLANK($AW701),$AV701,$AW701),IF($D$4="Forint",0,2))-$AX701)</f>
        <v>0</v>
      </c>
      <c r="AZ701" s="13">
        <f t="shared" si="159"/>
        <v>0</v>
      </c>
    </row>
    <row r="702" spans="1:52" x14ac:dyDescent="0.2">
      <c r="A702" s="32">
        <v>683</v>
      </c>
      <c r="B702" s="32">
        <v>57</v>
      </c>
      <c r="C702" s="32">
        <v>11</v>
      </c>
      <c r="D702" s="13">
        <f t="shared" si="150"/>
        <v>0</v>
      </c>
      <c r="E702" s="13"/>
      <c r="F702" s="13"/>
      <c r="G702" s="13"/>
      <c r="H702" s="13">
        <f t="shared" si="151"/>
        <v>0</v>
      </c>
      <c r="I702" s="13">
        <f t="shared" si="152"/>
        <v>0</v>
      </c>
      <c r="J702" s="13">
        <f t="shared" si="153"/>
        <v>0</v>
      </c>
      <c r="K702" s="13">
        <f>ROUNDUP(IF($D$2="Egyszeri",$D702,IF($D$2="Havi",SUM($D$20:$D$31),IF(MOD($C702,$M$1)-1=0,SUM($D$20:$D$31),0))/12*$M$1)*VLOOKUP($B702,Paraméterek!$B$27:$D$30,IF($D$2="Egyszeri",3,2)),IF($D$4="Forint",0,2))</f>
        <v>0</v>
      </c>
      <c r="L702" s="13">
        <f t="shared" si="154"/>
        <v>0</v>
      </c>
      <c r="M702" s="13">
        <f t="shared" ca="1" si="160"/>
        <v>-587567</v>
      </c>
      <c r="N702" s="13">
        <f ca="1">IF($V701&gt;=VLOOKUP($M$4-1+$B702,Paraméterek!$B$121:$D$122,IF($D$4="Forint",2,3)),0,VLOOKUP($M$4-1+$B702,Paraméterek!$B$121:$D$122,IF($D$4="Forint",2,3))-$V701)</f>
        <v>597567</v>
      </c>
      <c r="O702" s="13">
        <f ca="1">ROUNDUP($N702*Paraméterek!$C$58/Paraméterek!$C$56,IF($D$4="Forint",0,2))</f>
        <v>96</v>
      </c>
      <c r="P702" s="13">
        <f t="shared" si="155"/>
        <v>2880</v>
      </c>
      <c r="Q702" s="33"/>
      <c r="R702" s="13">
        <f t="shared" ca="1" si="156"/>
        <v>0</v>
      </c>
      <c r="S702" s="13">
        <f ca="1">ROUNDUP(($M702-$O702-$P702+$R702)*VLOOKUP($B702,Paraméterek!$B$38:$D$39,IF($D$2="Egyszeri",3,2))/12,IF($D$4="Forint",0,2))</f>
        <v>-1442</v>
      </c>
      <c r="T702" s="13"/>
      <c r="U702" s="13"/>
      <c r="V702" s="13">
        <f ca="1">$M702-$O702-$P702+$R702-$S702-IF(ROUNDUP(IF(ISBLANK($U702),$T702,$U702)/IF(AND($B702=1,$D$2&lt;&gt;"Egyszeri"),1,VLOOKUP($B702+IF($C702=12,1,0),Paraméterek!$B$257:$D$267,IF($D$2="Egyszeri",3,2))),IF($D$4="Forint",0,2))&gt;$M702-$O702-$P702+$R702-$S702-IF($D$4="Forint",Paraméterek!$C$216,Paraméterek!$D$216),0,ROUNDUP(IF(ISBLANK($U702),$T702,$U702)/IF(AND($B702=1,$D$2&lt;&gt;"Egyszeri"),1,VLOOKUP($B702+IF($C702=12,1,0),Paraméterek!$B$257:$D$267,IF($D$2="Egyszeri",3,2))),IF($D$4="Forint",0,2)))</f>
        <v>-589101</v>
      </c>
      <c r="W702" s="13">
        <f ca="1">ROUNDDOWN($V702*VLOOKUP($B702+IF($C702=12,1,0),Paraméterek!$B$257:$D$267,IF($D$2="Egyszeri",3,2)),IF($D$4="Forint",0,2))</f>
        <v>-589101</v>
      </c>
      <c r="Y702" s="32">
        <v>683</v>
      </c>
      <c r="Z702" s="32">
        <v>57</v>
      </c>
      <c r="AA702" s="32">
        <v>11</v>
      </c>
      <c r="AB702" s="13">
        <f t="shared" si="161"/>
        <v>0</v>
      </c>
      <c r="AC702" s="33"/>
      <c r="AD702" s="13">
        <f t="shared" si="157"/>
        <v>0</v>
      </c>
      <c r="AE702" s="13">
        <f>ROUNDUP(($AB702+$AD702)*VLOOKUP($Z702,Paraméterek!$P$38:$Q$38,2)/12,IF($D$4="Forint",0,2))</f>
        <v>0</v>
      </c>
      <c r="AF702" s="13">
        <f>IF($D$2="Egyszeri",IF($D$7&gt;=IF($D$4="Forint",Paraméterek!$P$223,Paraméterek!$P$224),$D$7-IF($D$4="Forint",Paraméterek!$F$223,Paraméterek!$F$224),0),MIN(IF($AA702=12,AVERAGE($D$20:$D702)*12,0),SUM($D$20:$D$31)))</f>
        <v>0</v>
      </c>
      <c r="AG702" s="13">
        <f>IF(AND($Z702&gt;=10,MOD($Z702,5)=0),$AF702*IF($AA702=12,VLOOKUP($Z702,Paraméterek!$B$225:$F$240,IF($AF702&lt;IF($D$4="Forint",Paraméterek!$C$223,Paraméterek!$C$224),2,IF($AF702&lt;IF($D$4="Forint",Paraméterek!$D$223,Paraméterek!$D$224),3,4))),0),0)</f>
        <v>0</v>
      </c>
      <c r="AH702" s="13">
        <f>IF(AND($Z702&gt;=5,MOD($Z702,5)=0),IF($AA702=12,VLOOKUP($Z702,Paraméterek!$B$225:$F$240,5),0),IF(OR($Z702=3,$Z702=4),IF($AA702=12,VLOOKUP($Z702,Paraméterek!$B$225:$F$240,5,0),0),0))*$AF702</f>
        <v>0</v>
      </c>
      <c r="AI702" s="13">
        <f>ROUNDDOWN(IF(SUM($T$20:$U702)=0,IF($D$2="Egyszeri",$AH702,$AG702),0),IF($D$4="Forint",0,2))</f>
        <v>0</v>
      </c>
      <c r="AJ702" s="13">
        <f t="shared" si="162"/>
        <v>0</v>
      </c>
      <c r="AK702" s="13">
        <f t="shared" si="163"/>
        <v>0</v>
      </c>
      <c r="AM702" s="32">
        <v>683</v>
      </c>
      <c r="AN702" s="32">
        <v>57</v>
      </c>
      <c r="AO702" s="32">
        <v>11</v>
      </c>
      <c r="AP702" s="13"/>
      <c r="AQ702" s="32"/>
      <c r="AR702" s="13">
        <f t="shared" si="164"/>
        <v>0</v>
      </c>
      <c r="AS702" s="33"/>
      <c r="AT702" s="13">
        <f t="shared" si="158"/>
        <v>0</v>
      </c>
      <c r="AU702" s="13">
        <f>ROUNDUP(($AR702+$AT702)*VLOOKUP($AN702,Paraméterek!$P$38:$Q$38,2)/12,IF($D$4="Forint",0,2))</f>
        <v>0</v>
      </c>
      <c r="AV702" s="13"/>
      <c r="AW702" s="13"/>
      <c r="AX702" s="13">
        <f>ROUNDUP(IF(SUM($AV702:$AW702)=0,0,IF(IF(ISBLANK($AW702),$AV702,$AW702)*Paraméterek!$J$112&lt;IF($D$4="Forint",Paraméterek!$J$113,Paraméterek!$K$113),IF($D$4="Forint",Paraméterek!$J$113,Paraméterek!$K$113),IF(IF(ISBLANK($AW702),$AV702,$AW702)*Paraméterek!$J$112&gt;IF($D$4="Forint",Paraméterek!$J$114,Paraméterek!$K$114),IF($D$4="Forint",Paraméterek!$J$114,Paraméterek!$K$114),IF(ISBLANK($AW702),$AV702,$AW702)*Paraméterek!$J$112))),IF($D$4="Forint",0,2))</f>
        <v>0</v>
      </c>
      <c r="AY702" s="13">
        <f>$AR702+$AT702-$AU702-IF(ROUNDDOWN(IF(ISBLANK($AW702),$AV702,$AW702),IF($D$4="Forint",0,2))&gt;$AR702+$AT702-$AU702-IF($D$4="Forint",Paraméterek!$J$114,Paraméterek!$K$114),0,ROUNDDOWN(IF(ISBLANK($AW702),$AV702,$AW702),IF($D$4="Forint",0,2))-$AX702)</f>
        <v>0</v>
      </c>
      <c r="AZ702" s="13">
        <f t="shared" si="159"/>
        <v>0</v>
      </c>
    </row>
    <row r="703" spans="1:52" x14ac:dyDescent="0.2">
      <c r="A703" s="32">
        <v>684</v>
      </c>
      <c r="B703" s="32">
        <v>57</v>
      </c>
      <c r="C703" s="32">
        <v>12</v>
      </c>
      <c r="D703" s="13">
        <f t="shared" si="150"/>
        <v>0</v>
      </c>
      <c r="E703" s="13"/>
      <c r="F703" s="13"/>
      <c r="G703" s="13"/>
      <c r="H703" s="13">
        <f t="shared" si="151"/>
        <v>0</v>
      </c>
      <c r="I703" s="13">
        <f t="shared" si="152"/>
        <v>0</v>
      </c>
      <c r="J703" s="13">
        <f t="shared" si="153"/>
        <v>0</v>
      </c>
      <c r="K703" s="13">
        <f>ROUNDUP(IF($D$2="Egyszeri",$D703,IF($D$2="Havi",SUM($D$20:$D$31),IF(MOD($C703,$M$1)-1=0,SUM($D$20:$D$31),0))/12*$M$1)*VLOOKUP($B703,Paraméterek!$B$27:$D$30,IF($D$2="Egyszeri",3,2)),IF($D$4="Forint",0,2))</f>
        <v>0</v>
      </c>
      <c r="L703" s="13">
        <f t="shared" si="154"/>
        <v>0</v>
      </c>
      <c r="M703" s="13">
        <f t="shared" ca="1" si="160"/>
        <v>-589101</v>
      </c>
      <c r="N703" s="13">
        <f ca="1">IF($V702&gt;=VLOOKUP($M$4-1+$B703,Paraméterek!$B$121:$D$122,IF($D$4="Forint",2,3)),0,VLOOKUP($M$4-1+$B703,Paraméterek!$B$121:$D$122,IF($D$4="Forint",2,3))-$V702)</f>
        <v>599101</v>
      </c>
      <c r="O703" s="13">
        <f ca="1">ROUNDUP($N703*Paraméterek!$C$58/Paraméterek!$C$56,IF($D$4="Forint",0,2))</f>
        <v>96</v>
      </c>
      <c r="P703" s="13">
        <f t="shared" si="155"/>
        <v>2880</v>
      </c>
      <c r="Q703" s="33"/>
      <c r="R703" s="13">
        <f t="shared" ca="1" si="156"/>
        <v>0</v>
      </c>
      <c r="S703" s="13">
        <f ca="1">ROUNDUP(($M703-$O703-$P703+$R703)*VLOOKUP($B703,Paraméterek!$B$38:$D$39,IF($D$2="Egyszeri",3,2))/12,IF($D$4="Forint",0,2))</f>
        <v>-1446</v>
      </c>
      <c r="T703" s="13">
        <f>Tranzakciók!$F$88</f>
        <v>0</v>
      </c>
      <c r="U703" s="13"/>
      <c r="V703" s="13">
        <f ca="1">$M703-$O703-$P703+$R703-$S703-IF(ROUNDUP(IF(ISBLANK($U703),$T703,$U703)/IF(AND($B703=1,$D$2&lt;&gt;"Egyszeri"),1,VLOOKUP($B703+IF($C703=12,1,0),Paraméterek!$B$257:$D$267,IF($D$2="Egyszeri",3,2))),IF($D$4="Forint",0,2))&gt;$M703-$O703-$P703+$R703-$S703-IF($D$4="Forint",Paraméterek!$C$216,Paraméterek!$D$216),0,ROUNDUP(IF(ISBLANK($U703),$T703,$U703)/IF(AND($B703=1,$D$2&lt;&gt;"Egyszeri"),1,VLOOKUP($B703+IF($C703=12,1,0),Paraméterek!$B$257:$D$267,IF($D$2="Egyszeri",3,2))),IF($D$4="Forint",0,2)))</f>
        <v>-590631</v>
      </c>
      <c r="W703" s="13">
        <f ca="1">ROUNDDOWN($V703*VLOOKUP($B703+IF($C703=12,1,0),Paraméterek!$B$257:$D$267,IF($D$2="Egyszeri",3,2)),IF($D$4="Forint",0,2))</f>
        <v>-590631</v>
      </c>
      <c r="Y703" s="32">
        <v>684</v>
      </c>
      <c r="Z703" s="32">
        <v>57</v>
      </c>
      <c r="AA703" s="32">
        <v>12</v>
      </c>
      <c r="AB703" s="13">
        <f t="shared" si="161"/>
        <v>0</v>
      </c>
      <c r="AC703" s="33"/>
      <c r="AD703" s="13">
        <f t="shared" si="157"/>
        <v>0</v>
      </c>
      <c r="AE703" s="13">
        <f>ROUNDUP(($AB703+$AD703)*VLOOKUP($Z703,Paraméterek!$P$38:$Q$38,2)/12,IF($D$4="Forint",0,2))</f>
        <v>0</v>
      </c>
      <c r="AF703" s="13">
        <f>IF($D$2="Egyszeri",IF($D$7&gt;=IF($D$4="Forint",Paraméterek!$P$223,Paraméterek!$P$224),$D$7-IF($D$4="Forint",Paraméterek!$F$223,Paraméterek!$F$224),0),MIN(IF($AA703=12,AVERAGE($D$20:$D703)*12,0),SUM($D$20:$D$31)))</f>
        <v>0</v>
      </c>
      <c r="AG703" s="13">
        <f>IF(AND($Z703&gt;=10,MOD($Z703,5)=0),$AF703*IF($AA703=12,VLOOKUP($Z703,Paraméterek!$B$225:$F$240,IF($AF703&lt;IF($D$4="Forint",Paraméterek!$C$223,Paraméterek!$C$224),2,IF($AF703&lt;IF($D$4="Forint",Paraméterek!$D$223,Paraméterek!$D$224),3,4))),0),0)</f>
        <v>0</v>
      </c>
      <c r="AH703" s="13">
        <f>IF(AND($Z703&gt;=5,MOD($Z703,5)=0),IF($AA703=12,VLOOKUP($Z703,Paraméterek!$B$225:$F$240,5),0),IF(OR($Z703=3,$Z703=4),IF($AA703=12,VLOOKUP($Z703,Paraméterek!$B$225:$F$240,5,0),0),0))*$AF703</f>
        <v>0</v>
      </c>
      <c r="AI703" s="13">
        <f>ROUNDDOWN(IF(SUM($T$20:$U703)=0,IF($D$2="Egyszeri",$AH703,$AG703),0),IF($D$4="Forint",0,2))</f>
        <v>0</v>
      </c>
      <c r="AJ703" s="13">
        <f t="shared" si="162"/>
        <v>0</v>
      </c>
      <c r="AK703" s="13">
        <f t="shared" si="163"/>
        <v>0</v>
      </c>
      <c r="AM703" s="32">
        <v>684</v>
      </c>
      <c r="AN703" s="32">
        <v>57</v>
      </c>
      <c r="AO703" s="32">
        <v>12</v>
      </c>
      <c r="AP703" s="13"/>
      <c r="AQ703" s="32"/>
      <c r="AR703" s="13">
        <f t="shared" si="164"/>
        <v>0</v>
      </c>
      <c r="AS703" s="33"/>
      <c r="AT703" s="13">
        <f t="shared" si="158"/>
        <v>0</v>
      </c>
      <c r="AU703" s="13">
        <f>ROUNDUP(($AR703+$AT703)*VLOOKUP($AN703,Paraméterek!$P$38:$Q$38,2)/12,IF($D$4="Forint",0,2))</f>
        <v>0</v>
      </c>
      <c r="AV703" s="13">
        <f>Tranzakciók!$M$88</f>
        <v>0</v>
      </c>
      <c r="AW703" s="13"/>
      <c r="AX703" s="13">
        <f>ROUNDUP(IF(SUM($AV703:$AW703)=0,0,IF(IF(ISBLANK($AW703),$AV703,$AW703)*Paraméterek!$J$112&lt;IF($D$4="Forint",Paraméterek!$J$113,Paraméterek!$K$113),IF($D$4="Forint",Paraméterek!$J$113,Paraméterek!$K$113),IF(IF(ISBLANK($AW703),$AV703,$AW703)*Paraméterek!$J$112&gt;IF($D$4="Forint",Paraméterek!$J$114,Paraméterek!$K$114),IF($D$4="Forint",Paraméterek!$J$114,Paraméterek!$K$114),IF(ISBLANK($AW703),$AV703,$AW703)*Paraméterek!$J$112))),IF($D$4="Forint",0,2))</f>
        <v>0</v>
      </c>
      <c r="AY703" s="13">
        <f>$AR703+$AT703-$AU703-IF(ROUNDDOWN(IF(ISBLANK($AW703),$AV703,$AW703),IF($D$4="Forint",0,2))&gt;$AR703+$AT703-$AU703-IF($D$4="Forint",Paraméterek!$J$114,Paraméterek!$K$114),0,ROUNDDOWN(IF(ISBLANK($AW703),$AV703,$AW703),IF($D$4="Forint",0,2))-$AX703)</f>
        <v>0</v>
      </c>
      <c r="AZ703" s="13">
        <f t="shared" si="159"/>
        <v>0</v>
      </c>
    </row>
    <row r="704" spans="1:52" x14ac:dyDescent="0.2">
      <c r="A704" s="32">
        <v>685</v>
      </c>
      <c r="B704" s="32">
        <v>58</v>
      </c>
      <c r="C704" s="32">
        <v>1</v>
      </c>
      <c r="D704" s="13">
        <f t="shared" si="150"/>
        <v>0</v>
      </c>
      <c r="E704" s="13"/>
      <c r="F704" s="13">
        <f>Tranzakciók!$D$89</f>
        <v>0</v>
      </c>
      <c r="G704" s="13"/>
      <c r="H704" s="13">
        <f t="shared" si="151"/>
        <v>0</v>
      </c>
      <c r="I704" s="13">
        <f t="shared" si="152"/>
        <v>540</v>
      </c>
      <c r="J704" s="13">
        <f t="shared" si="153"/>
        <v>540</v>
      </c>
      <c r="K704" s="13">
        <f>ROUNDUP(IF($D$2="Egyszeri",$D704,IF($D$2="Havi",SUM($D$20:$D$31),IF(MOD($C704,$M$1)-1=0,SUM($D$20:$D$31),0))/12*$M$1)*VLOOKUP($B704,Paraméterek!$B$27:$D$30,IF($D$2="Egyszeri",3,2)),IF($D$4="Forint",0,2))</f>
        <v>0</v>
      </c>
      <c r="L704" s="13">
        <f t="shared" si="154"/>
        <v>0</v>
      </c>
      <c r="M704" s="13">
        <f t="shared" ca="1" si="160"/>
        <v>-590631</v>
      </c>
      <c r="N704" s="13">
        <f ca="1">IF($V703&gt;=VLOOKUP($M$4-1+$B704,Paraméterek!$B$121:$D$122,IF($D$4="Forint",2,3)),0,VLOOKUP($M$4-1+$B704,Paraméterek!$B$121:$D$122,IF($D$4="Forint",2,3))-$V703)</f>
        <v>600631</v>
      </c>
      <c r="O704" s="13">
        <f ca="1">ROUNDUP($N704*Paraméterek!$C$58/Paraméterek!$C$56,IF($D$4="Forint",0,2))</f>
        <v>96</v>
      </c>
      <c r="P704" s="13">
        <f t="shared" si="155"/>
        <v>2966</v>
      </c>
      <c r="Q704" s="33"/>
      <c r="R704" s="13">
        <f t="shared" ca="1" si="156"/>
        <v>0</v>
      </c>
      <c r="S704" s="13">
        <f ca="1">ROUNDUP(($M704-$O704-$P704+$R704)*VLOOKUP($B704,Paraméterek!$B$38:$D$39,IF($D$2="Egyszeri",3,2))/12,IF($D$4="Forint",0,2))</f>
        <v>-1450</v>
      </c>
      <c r="T704" s="13"/>
      <c r="U704" s="13"/>
      <c r="V704" s="13">
        <f ca="1">$M704-$O704-$P704+$R704-$S704-IF(ROUNDUP(IF(ISBLANK($U704),$T704,$U704)/IF(AND($B704=1,$D$2&lt;&gt;"Egyszeri"),1,VLOOKUP($B704+IF($C704=12,1,0),Paraméterek!$B$257:$D$267,IF($D$2="Egyszeri",3,2))),IF($D$4="Forint",0,2))&gt;$M704-$O704-$P704+$R704-$S704-IF($D$4="Forint",Paraméterek!$C$216,Paraméterek!$D$216),0,ROUNDUP(IF(ISBLANK($U704),$T704,$U704)/IF(AND($B704=1,$D$2&lt;&gt;"Egyszeri"),1,VLOOKUP($B704+IF($C704=12,1,0),Paraméterek!$B$257:$D$267,IF($D$2="Egyszeri",3,2))),IF($D$4="Forint",0,2)))</f>
        <v>-592243</v>
      </c>
      <c r="W704" s="13">
        <f ca="1">ROUNDDOWN($V704*VLOOKUP($B704+IF($C704=12,1,0),Paraméterek!$B$257:$D$267,IF($D$2="Egyszeri",3,2)),IF($D$4="Forint",0,2))</f>
        <v>-592243</v>
      </c>
      <c r="Y704" s="32">
        <v>685</v>
      </c>
      <c r="Z704" s="32">
        <v>58</v>
      </c>
      <c r="AA704" s="32">
        <v>1</v>
      </c>
      <c r="AB704" s="13">
        <f t="shared" si="161"/>
        <v>0</v>
      </c>
      <c r="AC704" s="33"/>
      <c r="AD704" s="13">
        <f t="shared" si="157"/>
        <v>0</v>
      </c>
      <c r="AE704" s="13">
        <f>ROUNDUP(($AB704+$AD704)*VLOOKUP($Z704,Paraméterek!$P$38:$Q$38,2)/12,IF($D$4="Forint",0,2))</f>
        <v>0</v>
      </c>
      <c r="AF704" s="13">
        <f>IF($D$2="Egyszeri",IF($D$7&gt;=IF($D$4="Forint",Paraméterek!$P$223,Paraméterek!$P$224),$D$7-IF($D$4="Forint",Paraméterek!$F$223,Paraméterek!$F$224),0),MIN(IF($AA704=12,AVERAGE($D$20:$D704)*12,0),SUM($D$20:$D$31)))</f>
        <v>0</v>
      </c>
      <c r="AG704" s="13">
        <f>IF(AND($Z704&gt;=10,MOD($Z704,5)=0),$AF704*IF($AA704=12,VLOOKUP($Z704,Paraméterek!$B$225:$F$240,IF($AF704&lt;IF($D$4="Forint",Paraméterek!$C$223,Paraméterek!$C$224),2,IF($AF704&lt;IF($D$4="Forint",Paraméterek!$D$223,Paraméterek!$D$224),3,4))),0),0)</f>
        <v>0</v>
      </c>
      <c r="AH704" s="13">
        <f>IF(AND($Z704&gt;=5,MOD($Z704,5)=0),IF($AA704=12,VLOOKUP($Z704,Paraméterek!$B$225:$F$240,5),0),IF(OR($Z704=3,$Z704=4),IF($AA704=12,VLOOKUP($Z704,Paraméterek!$B$225:$F$240,5,0),0),0))*$AF704</f>
        <v>0</v>
      </c>
      <c r="AI704" s="13">
        <f>ROUNDDOWN(IF(SUM($T$20:$U704)=0,IF($D$2="Egyszeri",$AH704,$AG704),0),IF($D$4="Forint",0,2))</f>
        <v>0</v>
      </c>
      <c r="AJ704" s="13">
        <f t="shared" si="162"/>
        <v>0</v>
      </c>
      <c r="AK704" s="13">
        <f t="shared" si="163"/>
        <v>0</v>
      </c>
      <c r="AM704" s="32">
        <v>685</v>
      </c>
      <c r="AN704" s="32">
        <v>58</v>
      </c>
      <c r="AO704" s="32">
        <v>1</v>
      </c>
      <c r="AP704" s="13">
        <f>Tranzakciók!$K$89</f>
        <v>0</v>
      </c>
      <c r="AQ704" s="32"/>
      <c r="AR704" s="13">
        <f t="shared" si="164"/>
        <v>0</v>
      </c>
      <c r="AS704" s="33"/>
      <c r="AT704" s="13">
        <f t="shared" si="158"/>
        <v>0</v>
      </c>
      <c r="AU704" s="13">
        <f>ROUNDUP(($AR704+$AT704)*VLOOKUP($AN704,Paraméterek!$P$38:$Q$38,2)/12,IF($D$4="Forint",0,2))</f>
        <v>0</v>
      </c>
      <c r="AV704" s="13"/>
      <c r="AW704" s="13"/>
      <c r="AX704" s="13">
        <f>ROUNDUP(IF(SUM($AV704:$AW704)=0,0,IF(IF(ISBLANK($AW704),$AV704,$AW704)*Paraméterek!$J$112&lt;IF($D$4="Forint",Paraméterek!$J$113,Paraméterek!$K$113),IF($D$4="Forint",Paraméterek!$J$113,Paraméterek!$K$113),IF(IF(ISBLANK($AW704),$AV704,$AW704)*Paraméterek!$J$112&gt;IF($D$4="Forint",Paraméterek!$J$114,Paraméterek!$K$114),IF($D$4="Forint",Paraméterek!$J$114,Paraméterek!$K$114),IF(ISBLANK($AW704),$AV704,$AW704)*Paraméterek!$J$112))),IF($D$4="Forint",0,2))</f>
        <v>0</v>
      </c>
      <c r="AY704" s="13">
        <f>$AR704+$AT704-$AU704-IF(ROUNDDOWN(IF(ISBLANK($AW704),$AV704,$AW704),IF($D$4="Forint",0,2))&gt;$AR704+$AT704-$AU704-IF($D$4="Forint",Paraméterek!$J$114,Paraméterek!$K$114),0,ROUNDDOWN(IF(ISBLANK($AW704),$AV704,$AW704),IF($D$4="Forint",0,2))-$AX704)</f>
        <v>0</v>
      </c>
      <c r="AZ704" s="13">
        <f t="shared" si="159"/>
        <v>0</v>
      </c>
    </row>
    <row r="705" spans="1:52" x14ac:dyDescent="0.2">
      <c r="A705" s="32">
        <v>686</v>
      </c>
      <c r="B705" s="32">
        <v>58</v>
      </c>
      <c r="C705" s="32">
        <v>2</v>
      </c>
      <c r="D705" s="13">
        <f t="shared" si="150"/>
        <v>0</v>
      </c>
      <c r="E705" s="13"/>
      <c r="F705" s="13"/>
      <c r="G705" s="13"/>
      <c r="H705" s="13">
        <f t="shared" si="151"/>
        <v>0</v>
      </c>
      <c r="I705" s="13">
        <f t="shared" si="152"/>
        <v>0</v>
      </c>
      <c r="J705" s="13">
        <f t="shared" si="153"/>
        <v>0</v>
      </c>
      <c r="K705" s="13">
        <f>ROUNDUP(IF($D$2="Egyszeri",$D705,IF($D$2="Havi",SUM($D$20:$D$31),IF(MOD($C705,$M$1)-1=0,SUM($D$20:$D$31),0))/12*$M$1)*VLOOKUP($B705,Paraméterek!$B$27:$D$30,IF($D$2="Egyszeri",3,2)),IF($D$4="Forint",0,2))</f>
        <v>0</v>
      </c>
      <c r="L705" s="13">
        <f t="shared" si="154"/>
        <v>0</v>
      </c>
      <c r="M705" s="13">
        <f t="shared" ca="1" si="160"/>
        <v>-592243</v>
      </c>
      <c r="N705" s="13">
        <f ca="1">IF($V704&gt;=VLOOKUP($M$4-1+$B705,Paraméterek!$B$121:$D$122,IF($D$4="Forint",2,3)),0,VLOOKUP($M$4-1+$B705,Paraméterek!$B$121:$D$122,IF($D$4="Forint",2,3))-$V704)</f>
        <v>602243</v>
      </c>
      <c r="O705" s="13">
        <f ca="1">ROUNDUP($N705*Paraméterek!$C$58/Paraméterek!$C$56,IF($D$4="Forint",0,2))</f>
        <v>96</v>
      </c>
      <c r="P705" s="13">
        <f t="shared" si="155"/>
        <v>2966</v>
      </c>
      <c r="Q705" s="33"/>
      <c r="R705" s="13">
        <f t="shared" ca="1" si="156"/>
        <v>0</v>
      </c>
      <c r="S705" s="13">
        <f ca="1">ROUNDUP(($M705-$O705-$P705+$R705)*VLOOKUP($B705,Paraméterek!$B$38:$D$39,IF($D$2="Egyszeri",3,2))/12,IF($D$4="Forint",0,2))</f>
        <v>-1454</v>
      </c>
      <c r="T705" s="13"/>
      <c r="U705" s="13"/>
      <c r="V705" s="13">
        <f ca="1">$M705-$O705-$P705+$R705-$S705-IF(ROUNDUP(IF(ISBLANK($U705),$T705,$U705)/IF(AND($B705=1,$D$2&lt;&gt;"Egyszeri"),1,VLOOKUP($B705+IF($C705=12,1,0),Paraméterek!$B$257:$D$267,IF($D$2="Egyszeri",3,2))),IF($D$4="Forint",0,2))&gt;$M705-$O705-$P705+$R705-$S705-IF($D$4="Forint",Paraméterek!$C$216,Paraméterek!$D$216),0,ROUNDUP(IF(ISBLANK($U705),$T705,$U705)/IF(AND($B705=1,$D$2&lt;&gt;"Egyszeri"),1,VLOOKUP($B705+IF($C705=12,1,0),Paraméterek!$B$257:$D$267,IF($D$2="Egyszeri",3,2))),IF($D$4="Forint",0,2)))</f>
        <v>-593851</v>
      </c>
      <c r="W705" s="13">
        <f ca="1">ROUNDDOWN($V705*VLOOKUP($B705+IF($C705=12,1,0),Paraméterek!$B$257:$D$267,IF($D$2="Egyszeri",3,2)),IF($D$4="Forint",0,2))</f>
        <v>-593851</v>
      </c>
      <c r="Y705" s="32">
        <v>686</v>
      </c>
      <c r="Z705" s="32">
        <v>58</v>
      </c>
      <c r="AA705" s="32">
        <v>2</v>
      </c>
      <c r="AB705" s="13">
        <f t="shared" si="161"/>
        <v>0</v>
      </c>
      <c r="AC705" s="33"/>
      <c r="AD705" s="13">
        <f t="shared" si="157"/>
        <v>0</v>
      </c>
      <c r="AE705" s="13">
        <f>ROUNDUP(($AB705+$AD705)*VLOOKUP($Z705,Paraméterek!$P$38:$Q$38,2)/12,IF($D$4="Forint",0,2))</f>
        <v>0</v>
      </c>
      <c r="AF705" s="13">
        <f>IF($D$2="Egyszeri",IF($D$7&gt;=IF($D$4="Forint",Paraméterek!$P$223,Paraméterek!$P$224),$D$7-IF($D$4="Forint",Paraméterek!$F$223,Paraméterek!$F$224),0),MIN(IF($AA705=12,AVERAGE($D$20:$D705)*12,0),SUM($D$20:$D$31)))</f>
        <v>0</v>
      </c>
      <c r="AG705" s="13">
        <f>IF(AND($Z705&gt;=10,MOD($Z705,5)=0),$AF705*IF($AA705=12,VLOOKUP($Z705,Paraméterek!$B$225:$F$240,IF($AF705&lt;IF($D$4="Forint",Paraméterek!$C$223,Paraméterek!$C$224),2,IF($AF705&lt;IF($D$4="Forint",Paraméterek!$D$223,Paraméterek!$D$224),3,4))),0),0)</f>
        <v>0</v>
      </c>
      <c r="AH705" s="13">
        <f>IF(AND($Z705&gt;=5,MOD($Z705,5)=0),IF($AA705=12,VLOOKUP($Z705,Paraméterek!$B$225:$F$240,5),0),IF(OR($Z705=3,$Z705=4),IF($AA705=12,VLOOKUP($Z705,Paraméterek!$B$225:$F$240,5,0),0),0))*$AF705</f>
        <v>0</v>
      </c>
      <c r="AI705" s="13">
        <f>ROUNDDOWN(IF(SUM($T$20:$U705)=0,IF($D$2="Egyszeri",$AH705,$AG705),0),IF($D$4="Forint",0,2))</f>
        <v>0</v>
      </c>
      <c r="AJ705" s="13">
        <f t="shared" si="162"/>
        <v>0</v>
      </c>
      <c r="AK705" s="13">
        <f t="shared" si="163"/>
        <v>0</v>
      </c>
      <c r="AM705" s="32">
        <v>686</v>
      </c>
      <c r="AN705" s="32">
        <v>58</v>
      </c>
      <c r="AO705" s="32">
        <v>2</v>
      </c>
      <c r="AP705" s="13"/>
      <c r="AQ705" s="32"/>
      <c r="AR705" s="13">
        <f t="shared" si="164"/>
        <v>0</v>
      </c>
      <c r="AS705" s="33"/>
      <c r="AT705" s="13">
        <f t="shared" si="158"/>
        <v>0</v>
      </c>
      <c r="AU705" s="13">
        <f>ROUNDUP(($AR705+$AT705)*VLOOKUP($AN705,Paraméterek!$P$38:$Q$38,2)/12,IF($D$4="Forint",0,2))</f>
        <v>0</v>
      </c>
      <c r="AV705" s="13"/>
      <c r="AW705" s="13"/>
      <c r="AX705" s="13">
        <f>ROUNDUP(IF(SUM($AV705:$AW705)=0,0,IF(IF(ISBLANK($AW705),$AV705,$AW705)*Paraméterek!$J$112&lt;IF($D$4="Forint",Paraméterek!$J$113,Paraméterek!$K$113),IF($D$4="Forint",Paraméterek!$J$113,Paraméterek!$K$113),IF(IF(ISBLANK($AW705),$AV705,$AW705)*Paraméterek!$J$112&gt;IF($D$4="Forint",Paraméterek!$J$114,Paraméterek!$K$114),IF($D$4="Forint",Paraméterek!$J$114,Paraméterek!$K$114),IF(ISBLANK($AW705),$AV705,$AW705)*Paraméterek!$J$112))),IF($D$4="Forint",0,2))</f>
        <v>0</v>
      </c>
      <c r="AY705" s="13">
        <f>$AR705+$AT705-$AU705-IF(ROUNDDOWN(IF(ISBLANK($AW705),$AV705,$AW705),IF($D$4="Forint",0,2))&gt;$AR705+$AT705-$AU705-IF($D$4="Forint",Paraméterek!$J$114,Paraméterek!$K$114),0,ROUNDDOWN(IF(ISBLANK($AW705),$AV705,$AW705),IF($D$4="Forint",0,2))-$AX705)</f>
        <v>0</v>
      </c>
      <c r="AZ705" s="13">
        <f t="shared" si="159"/>
        <v>0</v>
      </c>
    </row>
    <row r="706" spans="1:52" x14ac:dyDescent="0.2">
      <c r="A706" s="32">
        <v>687</v>
      </c>
      <c r="B706" s="32">
        <v>58</v>
      </c>
      <c r="C706" s="32">
        <v>3</v>
      </c>
      <c r="D706" s="13">
        <f t="shared" si="150"/>
        <v>0</v>
      </c>
      <c r="E706" s="13"/>
      <c r="F706" s="13"/>
      <c r="G706" s="13"/>
      <c r="H706" s="13">
        <f t="shared" si="151"/>
        <v>0</v>
      </c>
      <c r="I706" s="13">
        <f t="shared" si="152"/>
        <v>0</v>
      </c>
      <c r="J706" s="13">
        <f t="shared" si="153"/>
        <v>0</v>
      </c>
      <c r="K706" s="13">
        <f>ROUNDUP(IF($D$2="Egyszeri",$D706,IF($D$2="Havi",SUM($D$20:$D$31),IF(MOD($C706,$M$1)-1=0,SUM($D$20:$D$31),0))/12*$M$1)*VLOOKUP($B706,Paraméterek!$B$27:$D$30,IF($D$2="Egyszeri",3,2)),IF($D$4="Forint",0,2))</f>
        <v>0</v>
      </c>
      <c r="L706" s="13">
        <f t="shared" si="154"/>
        <v>0</v>
      </c>
      <c r="M706" s="13">
        <f t="shared" ca="1" si="160"/>
        <v>-593851</v>
      </c>
      <c r="N706" s="13">
        <f ca="1">IF($V705&gt;=VLOOKUP($M$4-1+$B706,Paraméterek!$B$121:$D$122,IF($D$4="Forint",2,3)),0,VLOOKUP($M$4-1+$B706,Paraméterek!$B$121:$D$122,IF($D$4="Forint",2,3))-$V705)</f>
        <v>603851</v>
      </c>
      <c r="O706" s="13">
        <f ca="1">ROUNDUP($N706*Paraméterek!$C$58/Paraméterek!$C$56,IF($D$4="Forint",0,2))</f>
        <v>97</v>
      </c>
      <c r="P706" s="13">
        <f t="shared" si="155"/>
        <v>2966</v>
      </c>
      <c r="Q706" s="33"/>
      <c r="R706" s="13">
        <f t="shared" ca="1" si="156"/>
        <v>0</v>
      </c>
      <c r="S706" s="13">
        <f ca="1">ROUNDUP(($M706-$O706-$P706+$R706)*VLOOKUP($B706,Paraméterek!$B$38:$D$39,IF($D$2="Egyszeri",3,2))/12,IF($D$4="Forint",0,2))</f>
        <v>-1458</v>
      </c>
      <c r="T706" s="13"/>
      <c r="U706" s="13"/>
      <c r="V706" s="13">
        <f ca="1">$M706-$O706-$P706+$R706-$S706-IF(ROUNDUP(IF(ISBLANK($U706),$T706,$U706)/IF(AND($B706=1,$D$2&lt;&gt;"Egyszeri"),1,VLOOKUP($B706+IF($C706=12,1,0),Paraméterek!$B$257:$D$267,IF($D$2="Egyszeri",3,2))),IF($D$4="Forint",0,2))&gt;$M706-$O706-$P706+$R706-$S706-IF($D$4="Forint",Paraméterek!$C$216,Paraméterek!$D$216),0,ROUNDUP(IF(ISBLANK($U706),$T706,$U706)/IF(AND($B706=1,$D$2&lt;&gt;"Egyszeri"),1,VLOOKUP($B706+IF($C706=12,1,0),Paraméterek!$B$257:$D$267,IF($D$2="Egyszeri",3,2))),IF($D$4="Forint",0,2)))</f>
        <v>-595456</v>
      </c>
      <c r="W706" s="13">
        <f ca="1">ROUNDDOWN($V706*VLOOKUP($B706+IF($C706=12,1,0),Paraméterek!$B$257:$D$267,IF($D$2="Egyszeri",3,2)),IF($D$4="Forint",0,2))</f>
        <v>-595456</v>
      </c>
      <c r="Y706" s="32">
        <v>687</v>
      </c>
      <c r="Z706" s="32">
        <v>58</v>
      </c>
      <c r="AA706" s="32">
        <v>3</v>
      </c>
      <c r="AB706" s="13">
        <f t="shared" si="161"/>
        <v>0</v>
      </c>
      <c r="AC706" s="33"/>
      <c r="AD706" s="13">
        <f t="shared" si="157"/>
        <v>0</v>
      </c>
      <c r="AE706" s="13">
        <f>ROUNDUP(($AB706+$AD706)*VLOOKUP($Z706,Paraméterek!$P$38:$Q$38,2)/12,IF($D$4="Forint",0,2))</f>
        <v>0</v>
      </c>
      <c r="AF706" s="13">
        <f>IF($D$2="Egyszeri",IF($D$7&gt;=IF($D$4="Forint",Paraméterek!$P$223,Paraméterek!$P$224),$D$7-IF($D$4="Forint",Paraméterek!$F$223,Paraméterek!$F$224),0),MIN(IF($AA706=12,AVERAGE($D$20:$D706)*12,0),SUM($D$20:$D$31)))</f>
        <v>0</v>
      </c>
      <c r="AG706" s="13">
        <f>IF(AND($Z706&gt;=10,MOD($Z706,5)=0),$AF706*IF($AA706=12,VLOOKUP($Z706,Paraméterek!$B$225:$F$240,IF($AF706&lt;IF($D$4="Forint",Paraméterek!$C$223,Paraméterek!$C$224),2,IF($AF706&lt;IF($D$4="Forint",Paraméterek!$D$223,Paraméterek!$D$224),3,4))),0),0)</f>
        <v>0</v>
      </c>
      <c r="AH706" s="13">
        <f>IF(AND($Z706&gt;=5,MOD($Z706,5)=0),IF($AA706=12,VLOOKUP($Z706,Paraméterek!$B$225:$F$240,5),0),IF(OR($Z706=3,$Z706=4),IF($AA706=12,VLOOKUP($Z706,Paraméterek!$B$225:$F$240,5,0),0),0))*$AF706</f>
        <v>0</v>
      </c>
      <c r="AI706" s="13">
        <f>ROUNDDOWN(IF(SUM($T$20:$U706)=0,IF($D$2="Egyszeri",$AH706,$AG706),0),IF($D$4="Forint",0,2))</f>
        <v>0</v>
      </c>
      <c r="AJ706" s="13">
        <f t="shared" si="162"/>
        <v>0</v>
      </c>
      <c r="AK706" s="13">
        <f t="shared" si="163"/>
        <v>0</v>
      </c>
      <c r="AM706" s="32">
        <v>687</v>
      </c>
      <c r="AN706" s="32">
        <v>58</v>
      </c>
      <c r="AO706" s="32">
        <v>3</v>
      </c>
      <c r="AP706" s="13"/>
      <c r="AQ706" s="32"/>
      <c r="AR706" s="13">
        <f t="shared" si="164"/>
        <v>0</v>
      </c>
      <c r="AS706" s="33"/>
      <c r="AT706" s="13">
        <f t="shared" si="158"/>
        <v>0</v>
      </c>
      <c r="AU706" s="13">
        <f>ROUNDUP(($AR706+$AT706)*VLOOKUP($AN706,Paraméterek!$P$38:$Q$38,2)/12,IF($D$4="Forint",0,2))</f>
        <v>0</v>
      </c>
      <c r="AV706" s="13"/>
      <c r="AW706" s="13"/>
      <c r="AX706" s="13">
        <f>ROUNDUP(IF(SUM($AV706:$AW706)=0,0,IF(IF(ISBLANK($AW706),$AV706,$AW706)*Paraméterek!$J$112&lt;IF($D$4="Forint",Paraméterek!$J$113,Paraméterek!$K$113),IF($D$4="Forint",Paraméterek!$J$113,Paraméterek!$K$113),IF(IF(ISBLANK($AW706),$AV706,$AW706)*Paraméterek!$J$112&gt;IF($D$4="Forint",Paraméterek!$J$114,Paraméterek!$K$114),IF($D$4="Forint",Paraméterek!$J$114,Paraméterek!$K$114),IF(ISBLANK($AW706),$AV706,$AW706)*Paraméterek!$J$112))),IF($D$4="Forint",0,2))</f>
        <v>0</v>
      </c>
      <c r="AY706" s="13">
        <f>$AR706+$AT706-$AU706-IF(ROUNDDOWN(IF(ISBLANK($AW706),$AV706,$AW706),IF($D$4="Forint",0,2))&gt;$AR706+$AT706-$AU706-IF($D$4="Forint",Paraméterek!$J$114,Paraméterek!$K$114),0,ROUNDDOWN(IF(ISBLANK($AW706),$AV706,$AW706),IF($D$4="Forint",0,2))-$AX706)</f>
        <v>0</v>
      </c>
      <c r="AZ706" s="13">
        <f t="shared" si="159"/>
        <v>0</v>
      </c>
    </row>
    <row r="707" spans="1:52" x14ac:dyDescent="0.2">
      <c r="A707" s="32">
        <v>688</v>
      </c>
      <c r="B707" s="32">
        <v>58</v>
      </c>
      <c r="C707" s="32">
        <v>4</v>
      </c>
      <c r="D707" s="13">
        <f t="shared" si="150"/>
        <v>0</v>
      </c>
      <c r="E707" s="13"/>
      <c r="F707" s="13"/>
      <c r="G707" s="13"/>
      <c r="H707" s="13">
        <f t="shared" si="151"/>
        <v>0</v>
      </c>
      <c r="I707" s="13">
        <f t="shared" si="152"/>
        <v>0</v>
      </c>
      <c r="J707" s="13">
        <f t="shared" si="153"/>
        <v>0</v>
      </c>
      <c r="K707" s="13">
        <f>ROUNDUP(IF($D$2="Egyszeri",$D707,IF($D$2="Havi",SUM($D$20:$D$31),IF(MOD($C707,$M$1)-1=0,SUM($D$20:$D$31),0))/12*$M$1)*VLOOKUP($B707,Paraméterek!$B$27:$D$30,IF($D$2="Egyszeri",3,2)),IF($D$4="Forint",0,2))</f>
        <v>0</v>
      </c>
      <c r="L707" s="13">
        <f t="shared" si="154"/>
        <v>0</v>
      </c>
      <c r="M707" s="13">
        <f t="shared" ca="1" si="160"/>
        <v>-595456</v>
      </c>
      <c r="N707" s="13">
        <f ca="1">IF($V706&gt;=VLOOKUP($M$4-1+$B707,Paraméterek!$B$121:$D$122,IF($D$4="Forint",2,3)),0,VLOOKUP($M$4-1+$B707,Paraméterek!$B$121:$D$122,IF($D$4="Forint",2,3))-$V706)</f>
        <v>605456</v>
      </c>
      <c r="O707" s="13">
        <f ca="1">ROUNDUP($N707*Paraméterek!$C$58/Paraméterek!$C$56,IF($D$4="Forint",0,2))</f>
        <v>97</v>
      </c>
      <c r="P707" s="13">
        <f t="shared" si="155"/>
        <v>2966</v>
      </c>
      <c r="Q707" s="33"/>
      <c r="R707" s="13">
        <f t="shared" ca="1" si="156"/>
        <v>0</v>
      </c>
      <c r="S707" s="13">
        <f ca="1">ROUNDUP(($M707-$O707-$P707+$R707)*VLOOKUP($B707,Paraméterek!$B$38:$D$39,IF($D$2="Egyszeri",3,2))/12,IF($D$4="Forint",0,2))</f>
        <v>-1462</v>
      </c>
      <c r="T707" s="13"/>
      <c r="U707" s="13"/>
      <c r="V707" s="13">
        <f ca="1">$M707-$O707-$P707+$R707-$S707-IF(ROUNDUP(IF(ISBLANK($U707),$T707,$U707)/IF(AND($B707=1,$D$2&lt;&gt;"Egyszeri"),1,VLOOKUP($B707+IF($C707=12,1,0),Paraméterek!$B$257:$D$267,IF($D$2="Egyszeri",3,2))),IF($D$4="Forint",0,2))&gt;$M707-$O707-$P707+$R707-$S707-IF($D$4="Forint",Paraméterek!$C$216,Paraméterek!$D$216),0,ROUNDUP(IF(ISBLANK($U707),$T707,$U707)/IF(AND($B707=1,$D$2&lt;&gt;"Egyszeri"),1,VLOOKUP($B707+IF($C707=12,1,0),Paraméterek!$B$257:$D$267,IF($D$2="Egyszeri",3,2))),IF($D$4="Forint",0,2)))</f>
        <v>-597057</v>
      </c>
      <c r="W707" s="13">
        <f ca="1">ROUNDDOWN($V707*VLOOKUP($B707+IF($C707=12,1,0),Paraméterek!$B$257:$D$267,IF($D$2="Egyszeri",3,2)),IF($D$4="Forint",0,2))</f>
        <v>-597057</v>
      </c>
      <c r="Y707" s="32">
        <v>688</v>
      </c>
      <c r="Z707" s="32">
        <v>58</v>
      </c>
      <c r="AA707" s="32">
        <v>4</v>
      </c>
      <c r="AB707" s="13">
        <f t="shared" si="161"/>
        <v>0</v>
      </c>
      <c r="AC707" s="33"/>
      <c r="AD707" s="13">
        <f t="shared" si="157"/>
        <v>0</v>
      </c>
      <c r="AE707" s="13">
        <f>ROUNDUP(($AB707+$AD707)*VLOOKUP($Z707,Paraméterek!$P$38:$Q$38,2)/12,IF($D$4="Forint",0,2))</f>
        <v>0</v>
      </c>
      <c r="AF707" s="13">
        <f>IF($D$2="Egyszeri",IF($D$7&gt;=IF($D$4="Forint",Paraméterek!$P$223,Paraméterek!$P$224),$D$7-IF($D$4="Forint",Paraméterek!$F$223,Paraméterek!$F$224),0),MIN(IF($AA707=12,AVERAGE($D$20:$D707)*12,0),SUM($D$20:$D$31)))</f>
        <v>0</v>
      </c>
      <c r="AG707" s="13">
        <f>IF(AND($Z707&gt;=10,MOD($Z707,5)=0),$AF707*IF($AA707=12,VLOOKUP($Z707,Paraméterek!$B$225:$F$240,IF($AF707&lt;IF($D$4="Forint",Paraméterek!$C$223,Paraméterek!$C$224),2,IF($AF707&lt;IF($D$4="Forint",Paraméterek!$D$223,Paraméterek!$D$224),3,4))),0),0)</f>
        <v>0</v>
      </c>
      <c r="AH707" s="13">
        <f>IF(AND($Z707&gt;=5,MOD($Z707,5)=0),IF($AA707=12,VLOOKUP($Z707,Paraméterek!$B$225:$F$240,5),0),IF(OR($Z707=3,$Z707=4),IF($AA707=12,VLOOKUP($Z707,Paraméterek!$B$225:$F$240,5,0),0),0))*$AF707</f>
        <v>0</v>
      </c>
      <c r="AI707" s="13">
        <f>ROUNDDOWN(IF(SUM($T$20:$U707)=0,IF($D$2="Egyszeri",$AH707,$AG707),0),IF($D$4="Forint",0,2))</f>
        <v>0</v>
      </c>
      <c r="AJ707" s="13">
        <f t="shared" si="162"/>
        <v>0</v>
      </c>
      <c r="AK707" s="13">
        <f t="shared" si="163"/>
        <v>0</v>
      </c>
      <c r="AM707" s="32">
        <v>688</v>
      </c>
      <c r="AN707" s="32">
        <v>58</v>
      </c>
      <c r="AO707" s="32">
        <v>4</v>
      </c>
      <c r="AP707" s="13"/>
      <c r="AQ707" s="32"/>
      <c r="AR707" s="13">
        <f t="shared" si="164"/>
        <v>0</v>
      </c>
      <c r="AS707" s="33"/>
      <c r="AT707" s="13">
        <f t="shared" si="158"/>
        <v>0</v>
      </c>
      <c r="AU707" s="13">
        <f>ROUNDUP(($AR707+$AT707)*VLOOKUP($AN707,Paraméterek!$P$38:$Q$38,2)/12,IF($D$4="Forint",0,2))</f>
        <v>0</v>
      </c>
      <c r="AV707" s="13"/>
      <c r="AW707" s="13"/>
      <c r="AX707" s="13">
        <f>ROUNDUP(IF(SUM($AV707:$AW707)=0,0,IF(IF(ISBLANK($AW707),$AV707,$AW707)*Paraméterek!$J$112&lt;IF($D$4="Forint",Paraméterek!$J$113,Paraméterek!$K$113),IF($D$4="Forint",Paraméterek!$J$113,Paraméterek!$K$113),IF(IF(ISBLANK($AW707),$AV707,$AW707)*Paraméterek!$J$112&gt;IF($D$4="Forint",Paraméterek!$J$114,Paraméterek!$K$114),IF($D$4="Forint",Paraméterek!$J$114,Paraméterek!$K$114),IF(ISBLANK($AW707),$AV707,$AW707)*Paraméterek!$J$112))),IF($D$4="Forint",0,2))</f>
        <v>0</v>
      </c>
      <c r="AY707" s="13">
        <f>$AR707+$AT707-$AU707-IF(ROUNDDOWN(IF(ISBLANK($AW707),$AV707,$AW707),IF($D$4="Forint",0,2))&gt;$AR707+$AT707-$AU707-IF($D$4="Forint",Paraméterek!$J$114,Paraméterek!$K$114),0,ROUNDDOWN(IF(ISBLANK($AW707),$AV707,$AW707),IF($D$4="Forint",0,2))-$AX707)</f>
        <v>0</v>
      </c>
      <c r="AZ707" s="13">
        <f t="shared" si="159"/>
        <v>0</v>
      </c>
    </row>
    <row r="708" spans="1:52" x14ac:dyDescent="0.2">
      <c r="A708" s="32">
        <v>689</v>
      </c>
      <c r="B708" s="32">
        <v>58</v>
      </c>
      <c r="C708" s="32">
        <v>5</v>
      </c>
      <c r="D708" s="13">
        <f t="shared" si="150"/>
        <v>0</v>
      </c>
      <c r="E708" s="13"/>
      <c r="F708" s="13"/>
      <c r="G708" s="13"/>
      <c r="H708" s="13">
        <f t="shared" si="151"/>
        <v>0</v>
      </c>
      <c r="I708" s="13">
        <f t="shared" si="152"/>
        <v>0</v>
      </c>
      <c r="J708" s="13">
        <f t="shared" si="153"/>
        <v>0</v>
      </c>
      <c r="K708" s="13">
        <f>ROUNDUP(IF($D$2="Egyszeri",$D708,IF($D$2="Havi",SUM($D$20:$D$31),IF(MOD($C708,$M$1)-1=0,SUM($D$20:$D$31),0))/12*$M$1)*VLOOKUP($B708,Paraméterek!$B$27:$D$30,IF($D$2="Egyszeri",3,2)),IF($D$4="Forint",0,2))</f>
        <v>0</v>
      </c>
      <c r="L708" s="13">
        <f t="shared" si="154"/>
        <v>0</v>
      </c>
      <c r="M708" s="13">
        <f t="shared" ca="1" si="160"/>
        <v>-597057</v>
      </c>
      <c r="N708" s="13">
        <f ca="1">IF($V707&gt;=VLOOKUP($M$4-1+$B708,Paraméterek!$B$121:$D$122,IF($D$4="Forint",2,3)),0,VLOOKUP($M$4-1+$B708,Paraméterek!$B$121:$D$122,IF($D$4="Forint",2,3))-$V707)</f>
        <v>607057</v>
      </c>
      <c r="O708" s="13">
        <f ca="1">ROUNDUP($N708*Paraméterek!$C$58/Paraméterek!$C$56,IF($D$4="Forint",0,2))</f>
        <v>97</v>
      </c>
      <c r="P708" s="13">
        <f t="shared" si="155"/>
        <v>2966</v>
      </c>
      <c r="Q708" s="33"/>
      <c r="R708" s="13">
        <f t="shared" ca="1" si="156"/>
        <v>0</v>
      </c>
      <c r="S708" s="13">
        <f ca="1">ROUNDUP(($M708-$O708-$P708+$R708)*VLOOKUP($B708,Paraméterek!$B$38:$D$39,IF($D$2="Egyszeri",3,2))/12,IF($D$4="Forint",0,2))</f>
        <v>-1466</v>
      </c>
      <c r="T708" s="13"/>
      <c r="U708" s="13"/>
      <c r="V708" s="13">
        <f ca="1">$M708-$O708-$P708+$R708-$S708-IF(ROUNDUP(IF(ISBLANK($U708),$T708,$U708)/IF(AND($B708=1,$D$2&lt;&gt;"Egyszeri"),1,VLOOKUP($B708+IF($C708=12,1,0),Paraméterek!$B$257:$D$267,IF($D$2="Egyszeri",3,2))),IF($D$4="Forint",0,2))&gt;$M708-$O708-$P708+$R708-$S708-IF($D$4="Forint",Paraméterek!$C$216,Paraméterek!$D$216),0,ROUNDUP(IF(ISBLANK($U708),$T708,$U708)/IF(AND($B708=1,$D$2&lt;&gt;"Egyszeri"),1,VLOOKUP($B708+IF($C708=12,1,0),Paraméterek!$B$257:$D$267,IF($D$2="Egyszeri",3,2))),IF($D$4="Forint",0,2)))</f>
        <v>-598654</v>
      </c>
      <c r="W708" s="13">
        <f ca="1">ROUNDDOWN($V708*VLOOKUP($B708+IF($C708=12,1,0),Paraméterek!$B$257:$D$267,IF($D$2="Egyszeri",3,2)),IF($D$4="Forint",0,2))</f>
        <v>-598654</v>
      </c>
      <c r="Y708" s="32">
        <v>689</v>
      </c>
      <c r="Z708" s="32">
        <v>58</v>
      </c>
      <c r="AA708" s="32">
        <v>5</v>
      </c>
      <c r="AB708" s="13">
        <f t="shared" si="161"/>
        <v>0</v>
      </c>
      <c r="AC708" s="33"/>
      <c r="AD708" s="13">
        <f t="shared" si="157"/>
        <v>0</v>
      </c>
      <c r="AE708" s="13">
        <f>ROUNDUP(($AB708+$AD708)*VLOOKUP($Z708,Paraméterek!$P$38:$Q$38,2)/12,IF($D$4="Forint",0,2))</f>
        <v>0</v>
      </c>
      <c r="AF708" s="13">
        <f>IF($D$2="Egyszeri",IF($D$7&gt;=IF($D$4="Forint",Paraméterek!$P$223,Paraméterek!$P$224),$D$7-IF($D$4="Forint",Paraméterek!$F$223,Paraméterek!$F$224),0),MIN(IF($AA708=12,AVERAGE($D$20:$D708)*12,0),SUM($D$20:$D$31)))</f>
        <v>0</v>
      </c>
      <c r="AG708" s="13">
        <f>IF(AND($Z708&gt;=10,MOD($Z708,5)=0),$AF708*IF($AA708=12,VLOOKUP($Z708,Paraméterek!$B$225:$F$240,IF($AF708&lt;IF($D$4="Forint",Paraméterek!$C$223,Paraméterek!$C$224),2,IF($AF708&lt;IF($D$4="Forint",Paraméterek!$D$223,Paraméterek!$D$224),3,4))),0),0)</f>
        <v>0</v>
      </c>
      <c r="AH708" s="13">
        <f>IF(AND($Z708&gt;=5,MOD($Z708,5)=0),IF($AA708=12,VLOOKUP($Z708,Paraméterek!$B$225:$F$240,5),0),IF(OR($Z708=3,$Z708=4),IF($AA708=12,VLOOKUP($Z708,Paraméterek!$B$225:$F$240,5,0),0),0))*$AF708</f>
        <v>0</v>
      </c>
      <c r="AI708" s="13">
        <f>ROUNDDOWN(IF(SUM($T$20:$U708)=0,IF($D$2="Egyszeri",$AH708,$AG708),0),IF($D$4="Forint",0,2))</f>
        <v>0</v>
      </c>
      <c r="AJ708" s="13">
        <f t="shared" si="162"/>
        <v>0</v>
      </c>
      <c r="AK708" s="13">
        <f t="shared" si="163"/>
        <v>0</v>
      </c>
      <c r="AM708" s="32">
        <v>689</v>
      </c>
      <c r="AN708" s="32">
        <v>58</v>
      </c>
      <c r="AO708" s="32">
        <v>5</v>
      </c>
      <c r="AP708" s="13"/>
      <c r="AQ708" s="32"/>
      <c r="AR708" s="13">
        <f t="shared" si="164"/>
        <v>0</v>
      </c>
      <c r="AS708" s="33"/>
      <c r="AT708" s="13">
        <f t="shared" si="158"/>
        <v>0</v>
      </c>
      <c r="AU708" s="13">
        <f>ROUNDUP(($AR708+$AT708)*VLOOKUP($AN708,Paraméterek!$P$38:$Q$38,2)/12,IF($D$4="Forint",0,2))</f>
        <v>0</v>
      </c>
      <c r="AV708" s="13"/>
      <c r="AW708" s="13"/>
      <c r="AX708" s="13">
        <f>ROUNDUP(IF(SUM($AV708:$AW708)=0,0,IF(IF(ISBLANK($AW708),$AV708,$AW708)*Paraméterek!$J$112&lt;IF($D$4="Forint",Paraméterek!$J$113,Paraméterek!$K$113),IF($D$4="Forint",Paraméterek!$J$113,Paraméterek!$K$113),IF(IF(ISBLANK($AW708),$AV708,$AW708)*Paraméterek!$J$112&gt;IF($D$4="Forint",Paraméterek!$J$114,Paraméterek!$K$114),IF($D$4="Forint",Paraméterek!$J$114,Paraméterek!$K$114),IF(ISBLANK($AW708),$AV708,$AW708)*Paraméterek!$J$112))),IF($D$4="Forint",0,2))</f>
        <v>0</v>
      </c>
      <c r="AY708" s="13">
        <f>$AR708+$AT708-$AU708-IF(ROUNDDOWN(IF(ISBLANK($AW708),$AV708,$AW708),IF($D$4="Forint",0,2))&gt;$AR708+$AT708-$AU708-IF($D$4="Forint",Paraméterek!$J$114,Paraméterek!$K$114),0,ROUNDDOWN(IF(ISBLANK($AW708),$AV708,$AW708),IF($D$4="Forint",0,2))-$AX708)</f>
        <v>0</v>
      </c>
      <c r="AZ708" s="13">
        <f t="shared" si="159"/>
        <v>0</v>
      </c>
    </row>
    <row r="709" spans="1:52" x14ac:dyDescent="0.2">
      <c r="A709" s="32">
        <v>690</v>
      </c>
      <c r="B709" s="32">
        <v>58</v>
      </c>
      <c r="C709" s="32">
        <v>6</v>
      </c>
      <c r="D709" s="13">
        <f t="shared" si="150"/>
        <v>0</v>
      </c>
      <c r="E709" s="13"/>
      <c r="F709" s="13"/>
      <c r="G709" s="13"/>
      <c r="H709" s="13">
        <f t="shared" si="151"/>
        <v>0</v>
      </c>
      <c r="I709" s="13">
        <f t="shared" si="152"/>
        <v>0</v>
      </c>
      <c r="J709" s="13">
        <f t="shared" si="153"/>
        <v>0</v>
      </c>
      <c r="K709" s="13">
        <f>ROUNDUP(IF($D$2="Egyszeri",$D709,IF($D$2="Havi",SUM($D$20:$D$31),IF(MOD($C709,$M$1)-1=0,SUM($D$20:$D$31),0))/12*$M$1)*VLOOKUP($B709,Paraméterek!$B$27:$D$30,IF($D$2="Egyszeri",3,2)),IF($D$4="Forint",0,2))</f>
        <v>0</v>
      </c>
      <c r="L709" s="13">
        <f t="shared" si="154"/>
        <v>0</v>
      </c>
      <c r="M709" s="13">
        <f t="shared" ca="1" si="160"/>
        <v>-598654</v>
      </c>
      <c r="N709" s="13">
        <f ca="1">IF($V708&gt;=VLOOKUP($M$4-1+$B709,Paraméterek!$B$121:$D$122,IF($D$4="Forint",2,3)),0,VLOOKUP($M$4-1+$B709,Paraméterek!$B$121:$D$122,IF($D$4="Forint",2,3))-$V708)</f>
        <v>608654</v>
      </c>
      <c r="O709" s="13">
        <f ca="1">ROUNDUP($N709*Paraméterek!$C$58/Paraméterek!$C$56,IF($D$4="Forint",0,2))</f>
        <v>97</v>
      </c>
      <c r="P709" s="13">
        <f t="shared" si="155"/>
        <v>2966</v>
      </c>
      <c r="Q709" s="33"/>
      <c r="R709" s="13">
        <f t="shared" ca="1" si="156"/>
        <v>0</v>
      </c>
      <c r="S709" s="13">
        <f ca="1">ROUNDUP(($M709-$O709-$P709+$R709)*VLOOKUP($B709,Paraméterek!$B$38:$D$39,IF($D$2="Egyszeri",3,2))/12,IF($D$4="Forint",0,2))</f>
        <v>-1470</v>
      </c>
      <c r="T709" s="13"/>
      <c r="U709" s="13"/>
      <c r="V709" s="13">
        <f ca="1">$M709-$O709-$P709+$R709-$S709-IF(ROUNDUP(IF(ISBLANK($U709),$T709,$U709)/IF(AND($B709=1,$D$2&lt;&gt;"Egyszeri"),1,VLOOKUP($B709+IF($C709=12,1,0),Paraméterek!$B$257:$D$267,IF($D$2="Egyszeri",3,2))),IF($D$4="Forint",0,2))&gt;$M709-$O709-$P709+$R709-$S709-IF($D$4="Forint",Paraméterek!$C$216,Paraméterek!$D$216),0,ROUNDUP(IF(ISBLANK($U709),$T709,$U709)/IF(AND($B709=1,$D$2&lt;&gt;"Egyszeri"),1,VLOOKUP($B709+IF($C709=12,1,0),Paraméterek!$B$257:$D$267,IF($D$2="Egyszeri",3,2))),IF($D$4="Forint",0,2)))</f>
        <v>-600247</v>
      </c>
      <c r="W709" s="13">
        <f ca="1">ROUNDDOWN($V709*VLOOKUP($B709+IF($C709=12,1,0),Paraméterek!$B$257:$D$267,IF($D$2="Egyszeri",3,2)),IF($D$4="Forint",0,2))</f>
        <v>-600247</v>
      </c>
      <c r="Y709" s="32">
        <v>690</v>
      </c>
      <c r="Z709" s="32">
        <v>58</v>
      </c>
      <c r="AA709" s="32">
        <v>6</v>
      </c>
      <c r="AB709" s="13">
        <f t="shared" si="161"/>
        <v>0</v>
      </c>
      <c r="AC709" s="33"/>
      <c r="AD709" s="13">
        <f t="shared" si="157"/>
        <v>0</v>
      </c>
      <c r="AE709" s="13">
        <f>ROUNDUP(($AB709+$AD709)*VLOOKUP($Z709,Paraméterek!$P$38:$Q$38,2)/12,IF($D$4="Forint",0,2))</f>
        <v>0</v>
      </c>
      <c r="AF709" s="13">
        <f>IF($D$2="Egyszeri",IF($D$7&gt;=IF($D$4="Forint",Paraméterek!$P$223,Paraméterek!$P$224),$D$7-IF($D$4="Forint",Paraméterek!$F$223,Paraméterek!$F$224),0),MIN(IF($AA709=12,AVERAGE($D$20:$D709)*12,0),SUM($D$20:$D$31)))</f>
        <v>0</v>
      </c>
      <c r="AG709" s="13">
        <f>IF(AND($Z709&gt;=10,MOD($Z709,5)=0),$AF709*IF($AA709=12,VLOOKUP($Z709,Paraméterek!$B$225:$F$240,IF($AF709&lt;IF($D$4="Forint",Paraméterek!$C$223,Paraméterek!$C$224),2,IF($AF709&lt;IF($D$4="Forint",Paraméterek!$D$223,Paraméterek!$D$224),3,4))),0),0)</f>
        <v>0</v>
      </c>
      <c r="AH709" s="13">
        <f>IF(AND($Z709&gt;=5,MOD($Z709,5)=0),IF($AA709=12,VLOOKUP($Z709,Paraméterek!$B$225:$F$240,5),0),IF(OR($Z709=3,$Z709=4),IF($AA709=12,VLOOKUP($Z709,Paraméterek!$B$225:$F$240,5,0),0),0))*$AF709</f>
        <v>0</v>
      </c>
      <c r="AI709" s="13">
        <f>ROUNDDOWN(IF(SUM($T$20:$U709)=0,IF($D$2="Egyszeri",$AH709,$AG709),0),IF($D$4="Forint",0,2))</f>
        <v>0</v>
      </c>
      <c r="AJ709" s="13">
        <f t="shared" si="162"/>
        <v>0</v>
      </c>
      <c r="AK709" s="13">
        <f t="shared" si="163"/>
        <v>0</v>
      </c>
      <c r="AM709" s="32">
        <v>690</v>
      </c>
      <c r="AN709" s="32">
        <v>58</v>
      </c>
      <c r="AO709" s="32">
        <v>6</v>
      </c>
      <c r="AP709" s="13"/>
      <c r="AQ709" s="32"/>
      <c r="AR709" s="13">
        <f t="shared" si="164"/>
        <v>0</v>
      </c>
      <c r="AS709" s="33"/>
      <c r="AT709" s="13">
        <f t="shared" si="158"/>
        <v>0</v>
      </c>
      <c r="AU709" s="13">
        <f>ROUNDUP(($AR709+$AT709)*VLOOKUP($AN709,Paraméterek!$P$38:$Q$38,2)/12,IF($D$4="Forint",0,2))</f>
        <v>0</v>
      </c>
      <c r="AV709" s="13"/>
      <c r="AW709" s="13"/>
      <c r="AX709" s="13">
        <f>ROUNDUP(IF(SUM($AV709:$AW709)=0,0,IF(IF(ISBLANK($AW709),$AV709,$AW709)*Paraméterek!$J$112&lt;IF($D$4="Forint",Paraméterek!$J$113,Paraméterek!$K$113),IF($D$4="Forint",Paraméterek!$J$113,Paraméterek!$K$113),IF(IF(ISBLANK($AW709),$AV709,$AW709)*Paraméterek!$J$112&gt;IF($D$4="Forint",Paraméterek!$J$114,Paraméterek!$K$114),IF($D$4="Forint",Paraméterek!$J$114,Paraméterek!$K$114),IF(ISBLANK($AW709),$AV709,$AW709)*Paraméterek!$J$112))),IF($D$4="Forint",0,2))</f>
        <v>0</v>
      </c>
      <c r="AY709" s="13">
        <f>$AR709+$AT709-$AU709-IF(ROUNDDOWN(IF(ISBLANK($AW709),$AV709,$AW709),IF($D$4="Forint",0,2))&gt;$AR709+$AT709-$AU709-IF($D$4="Forint",Paraméterek!$J$114,Paraméterek!$K$114),0,ROUNDDOWN(IF(ISBLANK($AW709),$AV709,$AW709),IF($D$4="Forint",0,2))-$AX709)</f>
        <v>0</v>
      </c>
      <c r="AZ709" s="13">
        <f t="shared" si="159"/>
        <v>0</v>
      </c>
    </row>
    <row r="710" spans="1:52" x14ac:dyDescent="0.2">
      <c r="A710" s="32">
        <v>691</v>
      </c>
      <c r="B710" s="32">
        <v>58</v>
      </c>
      <c r="C710" s="32">
        <v>7</v>
      </c>
      <c r="D710" s="13">
        <f t="shared" si="150"/>
        <v>0</v>
      </c>
      <c r="E710" s="13"/>
      <c r="F710" s="13"/>
      <c r="G710" s="13"/>
      <c r="H710" s="13">
        <f t="shared" si="151"/>
        <v>0</v>
      </c>
      <c r="I710" s="13">
        <f t="shared" si="152"/>
        <v>0</v>
      </c>
      <c r="J710" s="13">
        <f t="shared" si="153"/>
        <v>0</v>
      </c>
      <c r="K710" s="13">
        <f>ROUNDUP(IF($D$2="Egyszeri",$D710,IF($D$2="Havi",SUM($D$20:$D$31),IF(MOD($C710,$M$1)-1=0,SUM($D$20:$D$31),0))/12*$M$1)*VLOOKUP($B710,Paraméterek!$B$27:$D$30,IF($D$2="Egyszeri",3,2)),IF($D$4="Forint",0,2))</f>
        <v>0</v>
      </c>
      <c r="L710" s="13">
        <f t="shared" si="154"/>
        <v>0</v>
      </c>
      <c r="M710" s="13">
        <f t="shared" ca="1" si="160"/>
        <v>-600247</v>
      </c>
      <c r="N710" s="13">
        <f ca="1">IF($V709&gt;=VLOOKUP($M$4-1+$B710,Paraméterek!$B$121:$D$122,IF($D$4="Forint",2,3)),0,VLOOKUP($M$4-1+$B710,Paraméterek!$B$121:$D$122,IF($D$4="Forint",2,3))-$V709)</f>
        <v>610247</v>
      </c>
      <c r="O710" s="13">
        <f ca="1">ROUNDUP($N710*Paraméterek!$C$58/Paraméterek!$C$56,IF($D$4="Forint",0,2))</f>
        <v>98</v>
      </c>
      <c r="P710" s="13">
        <f t="shared" si="155"/>
        <v>2966</v>
      </c>
      <c r="Q710" s="33"/>
      <c r="R710" s="13">
        <f t="shared" ca="1" si="156"/>
        <v>0</v>
      </c>
      <c r="S710" s="13">
        <f ca="1">ROUNDUP(($M710-$O710-$P710+$R710)*VLOOKUP($B710,Paraméterek!$B$38:$D$39,IF($D$2="Egyszeri",3,2))/12,IF($D$4="Forint",0,2))</f>
        <v>-1474</v>
      </c>
      <c r="T710" s="13"/>
      <c r="U710" s="13"/>
      <c r="V710" s="13">
        <f ca="1">$M710-$O710-$P710+$R710-$S710-IF(ROUNDUP(IF(ISBLANK($U710),$T710,$U710)/IF(AND($B710=1,$D$2&lt;&gt;"Egyszeri"),1,VLOOKUP($B710+IF($C710=12,1,0),Paraméterek!$B$257:$D$267,IF($D$2="Egyszeri",3,2))),IF($D$4="Forint",0,2))&gt;$M710-$O710-$P710+$R710-$S710-IF($D$4="Forint",Paraméterek!$C$216,Paraméterek!$D$216),0,ROUNDUP(IF(ISBLANK($U710),$T710,$U710)/IF(AND($B710=1,$D$2&lt;&gt;"Egyszeri"),1,VLOOKUP($B710+IF($C710=12,1,0),Paraméterek!$B$257:$D$267,IF($D$2="Egyszeri",3,2))),IF($D$4="Forint",0,2)))</f>
        <v>-601837</v>
      </c>
      <c r="W710" s="13">
        <f ca="1">ROUNDDOWN($V710*VLOOKUP($B710+IF($C710=12,1,0),Paraméterek!$B$257:$D$267,IF($D$2="Egyszeri",3,2)),IF($D$4="Forint",0,2))</f>
        <v>-601837</v>
      </c>
      <c r="Y710" s="32">
        <v>691</v>
      </c>
      <c r="Z710" s="32">
        <v>58</v>
      </c>
      <c r="AA710" s="32">
        <v>7</v>
      </c>
      <c r="AB710" s="13">
        <f t="shared" si="161"/>
        <v>0</v>
      </c>
      <c r="AC710" s="33"/>
      <c r="AD710" s="13">
        <f t="shared" si="157"/>
        <v>0</v>
      </c>
      <c r="AE710" s="13">
        <f>ROUNDUP(($AB710+$AD710)*VLOOKUP($Z710,Paraméterek!$P$38:$Q$38,2)/12,IF($D$4="Forint",0,2))</f>
        <v>0</v>
      </c>
      <c r="AF710" s="13">
        <f>IF($D$2="Egyszeri",IF($D$7&gt;=IF($D$4="Forint",Paraméterek!$P$223,Paraméterek!$P$224),$D$7-IF($D$4="Forint",Paraméterek!$F$223,Paraméterek!$F$224),0),MIN(IF($AA710=12,AVERAGE($D$20:$D710)*12,0),SUM($D$20:$D$31)))</f>
        <v>0</v>
      </c>
      <c r="AG710" s="13">
        <f>IF(AND($Z710&gt;=10,MOD($Z710,5)=0),$AF710*IF($AA710=12,VLOOKUP($Z710,Paraméterek!$B$225:$F$240,IF($AF710&lt;IF($D$4="Forint",Paraméterek!$C$223,Paraméterek!$C$224),2,IF($AF710&lt;IF($D$4="Forint",Paraméterek!$D$223,Paraméterek!$D$224),3,4))),0),0)</f>
        <v>0</v>
      </c>
      <c r="AH710" s="13">
        <f>IF(AND($Z710&gt;=5,MOD($Z710,5)=0),IF($AA710=12,VLOOKUP($Z710,Paraméterek!$B$225:$F$240,5),0),IF(OR($Z710=3,$Z710=4),IF($AA710=12,VLOOKUP($Z710,Paraméterek!$B$225:$F$240,5,0),0),0))*$AF710</f>
        <v>0</v>
      </c>
      <c r="AI710" s="13">
        <f>ROUNDDOWN(IF(SUM($T$20:$U710)=0,IF($D$2="Egyszeri",$AH710,$AG710),0),IF($D$4="Forint",0,2))</f>
        <v>0</v>
      </c>
      <c r="AJ710" s="13">
        <f t="shared" si="162"/>
        <v>0</v>
      </c>
      <c r="AK710" s="13">
        <f t="shared" si="163"/>
        <v>0</v>
      </c>
      <c r="AM710" s="32">
        <v>691</v>
      </c>
      <c r="AN710" s="32">
        <v>58</v>
      </c>
      <c r="AO710" s="32">
        <v>7</v>
      </c>
      <c r="AP710" s="13"/>
      <c r="AQ710" s="32"/>
      <c r="AR710" s="13">
        <f t="shared" si="164"/>
        <v>0</v>
      </c>
      <c r="AS710" s="33"/>
      <c r="AT710" s="13">
        <f t="shared" si="158"/>
        <v>0</v>
      </c>
      <c r="AU710" s="13">
        <f>ROUNDUP(($AR710+$AT710)*VLOOKUP($AN710,Paraméterek!$P$38:$Q$38,2)/12,IF($D$4="Forint",0,2))</f>
        <v>0</v>
      </c>
      <c r="AV710" s="13"/>
      <c r="AW710" s="13"/>
      <c r="AX710" s="13">
        <f>ROUNDUP(IF(SUM($AV710:$AW710)=0,0,IF(IF(ISBLANK($AW710),$AV710,$AW710)*Paraméterek!$J$112&lt;IF($D$4="Forint",Paraméterek!$J$113,Paraméterek!$K$113),IF($D$4="Forint",Paraméterek!$J$113,Paraméterek!$K$113),IF(IF(ISBLANK($AW710),$AV710,$AW710)*Paraméterek!$J$112&gt;IF($D$4="Forint",Paraméterek!$J$114,Paraméterek!$K$114),IF($D$4="Forint",Paraméterek!$J$114,Paraméterek!$K$114),IF(ISBLANK($AW710),$AV710,$AW710)*Paraméterek!$J$112))),IF($D$4="Forint",0,2))</f>
        <v>0</v>
      </c>
      <c r="AY710" s="13">
        <f>$AR710+$AT710-$AU710-IF(ROUNDDOWN(IF(ISBLANK($AW710),$AV710,$AW710),IF($D$4="Forint",0,2))&gt;$AR710+$AT710-$AU710-IF($D$4="Forint",Paraméterek!$J$114,Paraméterek!$K$114),0,ROUNDDOWN(IF(ISBLANK($AW710),$AV710,$AW710),IF($D$4="Forint",0,2))-$AX710)</f>
        <v>0</v>
      </c>
      <c r="AZ710" s="13">
        <f t="shared" si="159"/>
        <v>0</v>
      </c>
    </row>
    <row r="711" spans="1:52" x14ac:dyDescent="0.2">
      <c r="A711" s="32">
        <v>692</v>
      </c>
      <c r="B711" s="32">
        <v>58</v>
      </c>
      <c r="C711" s="32">
        <v>8</v>
      </c>
      <c r="D711" s="13">
        <f t="shared" si="150"/>
        <v>0</v>
      </c>
      <c r="E711" s="13"/>
      <c r="F711" s="13"/>
      <c r="G711" s="13"/>
      <c r="H711" s="13">
        <f t="shared" si="151"/>
        <v>0</v>
      </c>
      <c r="I711" s="13">
        <f t="shared" si="152"/>
        <v>0</v>
      </c>
      <c r="J711" s="13">
        <f t="shared" si="153"/>
        <v>0</v>
      </c>
      <c r="K711" s="13">
        <f>ROUNDUP(IF($D$2="Egyszeri",$D711,IF($D$2="Havi",SUM($D$20:$D$31),IF(MOD($C711,$M$1)-1=0,SUM($D$20:$D$31),0))/12*$M$1)*VLOOKUP($B711,Paraméterek!$B$27:$D$30,IF($D$2="Egyszeri",3,2)),IF($D$4="Forint",0,2))</f>
        <v>0</v>
      </c>
      <c r="L711" s="13">
        <f t="shared" si="154"/>
        <v>0</v>
      </c>
      <c r="M711" s="13">
        <f t="shared" ca="1" si="160"/>
        <v>-601837</v>
      </c>
      <c r="N711" s="13">
        <f ca="1">IF($V710&gt;=VLOOKUP($M$4-1+$B711,Paraméterek!$B$121:$D$122,IF($D$4="Forint",2,3)),0,VLOOKUP($M$4-1+$B711,Paraméterek!$B$121:$D$122,IF($D$4="Forint",2,3))-$V710)</f>
        <v>611837</v>
      </c>
      <c r="O711" s="13">
        <f ca="1">ROUNDUP($N711*Paraméterek!$C$58/Paraméterek!$C$56,IF($D$4="Forint",0,2))</f>
        <v>98</v>
      </c>
      <c r="P711" s="13">
        <f t="shared" si="155"/>
        <v>2966</v>
      </c>
      <c r="Q711" s="33"/>
      <c r="R711" s="13">
        <f t="shared" ca="1" si="156"/>
        <v>0</v>
      </c>
      <c r="S711" s="13">
        <f ca="1">ROUNDUP(($M711-$O711-$P711+$R711)*VLOOKUP($B711,Paraméterek!$B$38:$D$39,IF($D$2="Egyszeri",3,2))/12,IF($D$4="Forint",0,2))</f>
        <v>-1477</v>
      </c>
      <c r="T711" s="13"/>
      <c r="U711" s="13"/>
      <c r="V711" s="13">
        <f ca="1">$M711-$O711-$P711+$R711-$S711-IF(ROUNDUP(IF(ISBLANK($U711),$T711,$U711)/IF(AND($B711=1,$D$2&lt;&gt;"Egyszeri"),1,VLOOKUP($B711+IF($C711=12,1,0),Paraméterek!$B$257:$D$267,IF($D$2="Egyszeri",3,2))),IF($D$4="Forint",0,2))&gt;$M711-$O711-$P711+$R711-$S711-IF($D$4="Forint",Paraméterek!$C$216,Paraméterek!$D$216),0,ROUNDUP(IF(ISBLANK($U711),$T711,$U711)/IF(AND($B711=1,$D$2&lt;&gt;"Egyszeri"),1,VLOOKUP($B711+IF($C711=12,1,0),Paraméterek!$B$257:$D$267,IF($D$2="Egyszeri",3,2))),IF($D$4="Forint",0,2)))</f>
        <v>-603424</v>
      </c>
      <c r="W711" s="13">
        <f ca="1">ROUNDDOWN($V711*VLOOKUP($B711+IF($C711=12,1,0),Paraméterek!$B$257:$D$267,IF($D$2="Egyszeri",3,2)),IF($D$4="Forint",0,2))</f>
        <v>-603424</v>
      </c>
      <c r="Y711" s="32">
        <v>692</v>
      </c>
      <c r="Z711" s="32">
        <v>58</v>
      </c>
      <c r="AA711" s="32">
        <v>8</v>
      </c>
      <c r="AB711" s="13">
        <f t="shared" si="161"/>
        <v>0</v>
      </c>
      <c r="AC711" s="33"/>
      <c r="AD711" s="13">
        <f t="shared" si="157"/>
        <v>0</v>
      </c>
      <c r="AE711" s="13">
        <f>ROUNDUP(($AB711+$AD711)*VLOOKUP($Z711,Paraméterek!$P$38:$Q$38,2)/12,IF($D$4="Forint",0,2))</f>
        <v>0</v>
      </c>
      <c r="AF711" s="13">
        <f>IF($D$2="Egyszeri",IF($D$7&gt;=IF($D$4="Forint",Paraméterek!$P$223,Paraméterek!$P$224),$D$7-IF($D$4="Forint",Paraméterek!$F$223,Paraméterek!$F$224),0),MIN(IF($AA711=12,AVERAGE($D$20:$D711)*12,0),SUM($D$20:$D$31)))</f>
        <v>0</v>
      </c>
      <c r="AG711" s="13">
        <f>IF(AND($Z711&gt;=10,MOD($Z711,5)=0),$AF711*IF($AA711=12,VLOOKUP($Z711,Paraméterek!$B$225:$F$240,IF($AF711&lt;IF($D$4="Forint",Paraméterek!$C$223,Paraméterek!$C$224),2,IF($AF711&lt;IF($D$4="Forint",Paraméterek!$D$223,Paraméterek!$D$224),3,4))),0),0)</f>
        <v>0</v>
      </c>
      <c r="AH711" s="13">
        <f>IF(AND($Z711&gt;=5,MOD($Z711,5)=0),IF($AA711=12,VLOOKUP($Z711,Paraméterek!$B$225:$F$240,5),0),IF(OR($Z711=3,$Z711=4),IF($AA711=12,VLOOKUP($Z711,Paraméterek!$B$225:$F$240,5,0),0),0))*$AF711</f>
        <v>0</v>
      </c>
      <c r="AI711" s="13">
        <f>ROUNDDOWN(IF(SUM($T$20:$U711)=0,IF($D$2="Egyszeri",$AH711,$AG711),0),IF($D$4="Forint",0,2))</f>
        <v>0</v>
      </c>
      <c r="AJ711" s="13">
        <f t="shared" si="162"/>
        <v>0</v>
      </c>
      <c r="AK711" s="13">
        <f t="shared" si="163"/>
        <v>0</v>
      </c>
      <c r="AM711" s="32">
        <v>692</v>
      </c>
      <c r="AN711" s="32">
        <v>58</v>
      </c>
      <c r="AO711" s="32">
        <v>8</v>
      </c>
      <c r="AP711" s="13"/>
      <c r="AQ711" s="32"/>
      <c r="AR711" s="13">
        <f t="shared" si="164"/>
        <v>0</v>
      </c>
      <c r="AS711" s="33"/>
      <c r="AT711" s="13">
        <f t="shared" si="158"/>
        <v>0</v>
      </c>
      <c r="AU711" s="13">
        <f>ROUNDUP(($AR711+$AT711)*VLOOKUP($AN711,Paraméterek!$P$38:$Q$38,2)/12,IF($D$4="Forint",0,2))</f>
        <v>0</v>
      </c>
      <c r="AV711" s="13"/>
      <c r="AW711" s="13"/>
      <c r="AX711" s="13">
        <f>ROUNDUP(IF(SUM($AV711:$AW711)=0,0,IF(IF(ISBLANK($AW711),$AV711,$AW711)*Paraméterek!$J$112&lt;IF($D$4="Forint",Paraméterek!$J$113,Paraméterek!$K$113),IF($D$4="Forint",Paraméterek!$J$113,Paraméterek!$K$113),IF(IF(ISBLANK($AW711),$AV711,$AW711)*Paraméterek!$J$112&gt;IF($D$4="Forint",Paraméterek!$J$114,Paraméterek!$K$114),IF($D$4="Forint",Paraméterek!$J$114,Paraméterek!$K$114),IF(ISBLANK($AW711),$AV711,$AW711)*Paraméterek!$J$112))),IF($D$4="Forint",0,2))</f>
        <v>0</v>
      </c>
      <c r="AY711" s="13">
        <f>$AR711+$AT711-$AU711-IF(ROUNDDOWN(IF(ISBLANK($AW711),$AV711,$AW711),IF($D$4="Forint",0,2))&gt;$AR711+$AT711-$AU711-IF($D$4="Forint",Paraméterek!$J$114,Paraméterek!$K$114),0,ROUNDDOWN(IF(ISBLANK($AW711),$AV711,$AW711),IF($D$4="Forint",0,2))-$AX711)</f>
        <v>0</v>
      </c>
      <c r="AZ711" s="13">
        <f t="shared" si="159"/>
        <v>0</v>
      </c>
    </row>
    <row r="712" spans="1:52" x14ac:dyDescent="0.2">
      <c r="A712" s="32">
        <v>693</v>
      </c>
      <c r="B712" s="32">
        <v>58</v>
      </c>
      <c r="C712" s="32">
        <v>9</v>
      </c>
      <c r="D712" s="13">
        <f t="shared" si="150"/>
        <v>0</v>
      </c>
      <c r="E712" s="13"/>
      <c r="F712" s="13"/>
      <c r="G712" s="13"/>
      <c r="H712" s="13">
        <f t="shared" si="151"/>
        <v>0</v>
      </c>
      <c r="I712" s="13">
        <f t="shared" si="152"/>
        <v>0</v>
      </c>
      <c r="J712" s="13">
        <f t="shared" si="153"/>
        <v>0</v>
      </c>
      <c r="K712" s="13">
        <f>ROUNDUP(IF($D$2="Egyszeri",$D712,IF($D$2="Havi",SUM($D$20:$D$31),IF(MOD($C712,$M$1)-1=0,SUM($D$20:$D$31),0))/12*$M$1)*VLOOKUP($B712,Paraméterek!$B$27:$D$30,IF($D$2="Egyszeri",3,2)),IF($D$4="Forint",0,2))</f>
        <v>0</v>
      </c>
      <c r="L712" s="13">
        <f t="shared" si="154"/>
        <v>0</v>
      </c>
      <c r="M712" s="13">
        <f t="shared" ca="1" si="160"/>
        <v>-603424</v>
      </c>
      <c r="N712" s="13">
        <f ca="1">IF($V711&gt;=VLOOKUP($M$4-1+$B712,Paraméterek!$B$121:$D$122,IF($D$4="Forint",2,3)),0,VLOOKUP($M$4-1+$B712,Paraméterek!$B$121:$D$122,IF($D$4="Forint",2,3))-$V711)</f>
        <v>613424</v>
      </c>
      <c r="O712" s="13">
        <f ca="1">ROUNDUP($N712*Paraméterek!$C$58/Paraméterek!$C$56,IF($D$4="Forint",0,2))</f>
        <v>98</v>
      </c>
      <c r="P712" s="13">
        <f t="shared" si="155"/>
        <v>2966</v>
      </c>
      <c r="Q712" s="33"/>
      <c r="R712" s="13">
        <f t="shared" ca="1" si="156"/>
        <v>0</v>
      </c>
      <c r="S712" s="13">
        <f ca="1">ROUNDUP(($M712-$O712-$P712+$R712)*VLOOKUP($B712,Paraméterek!$B$38:$D$39,IF($D$2="Egyszeri",3,2))/12,IF($D$4="Forint",0,2))</f>
        <v>-1481</v>
      </c>
      <c r="T712" s="13"/>
      <c r="U712" s="13"/>
      <c r="V712" s="13">
        <f ca="1">$M712-$O712-$P712+$R712-$S712-IF(ROUNDUP(IF(ISBLANK($U712),$T712,$U712)/IF(AND($B712=1,$D$2&lt;&gt;"Egyszeri"),1,VLOOKUP($B712+IF($C712=12,1,0),Paraméterek!$B$257:$D$267,IF($D$2="Egyszeri",3,2))),IF($D$4="Forint",0,2))&gt;$M712-$O712-$P712+$R712-$S712-IF($D$4="Forint",Paraméterek!$C$216,Paraméterek!$D$216),0,ROUNDUP(IF(ISBLANK($U712),$T712,$U712)/IF(AND($B712=1,$D$2&lt;&gt;"Egyszeri"),1,VLOOKUP($B712+IF($C712=12,1,0),Paraméterek!$B$257:$D$267,IF($D$2="Egyszeri",3,2))),IF($D$4="Forint",0,2)))</f>
        <v>-605007</v>
      </c>
      <c r="W712" s="13">
        <f ca="1">ROUNDDOWN($V712*VLOOKUP($B712+IF($C712=12,1,0),Paraméterek!$B$257:$D$267,IF($D$2="Egyszeri",3,2)),IF($D$4="Forint",0,2))</f>
        <v>-605007</v>
      </c>
      <c r="Y712" s="32">
        <v>693</v>
      </c>
      <c r="Z712" s="32">
        <v>58</v>
      </c>
      <c r="AA712" s="32">
        <v>9</v>
      </c>
      <c r="AB712" s="13">
        <f t="shared" si="161"/>
        <v>0</v>
      </c>
      <c r="AC712" s="33"/>
      <c r="AD712" s="13">
        <f t="shared" si="157"/>
        <v>0</v>
      </c>
      <c r="AE712" s="13">
        <f>ROUNDUP(($AB712+$AD712)*VLOOKUP($Z712,Paraméterek!$P$38:$Q$38,2)/12,IF($D$4="Forint",0,2))</f>
        <v>0</v>
      </c>
      <c r="AF712" s="13">
        <f>IF($D$2="Egyszeri",IF($D$7&gt;=IF($D$4="Forint",Paraméterek!$P$223,Paraméterek!$P$224),$D$7-IF($D$4="Forint",Paraméterek!$F$223,Paraméterek!$F$224),0),MIN(IF($AA712=12,AVERAGE($D$20:$D712)*12,0),SUM($D$20:$D$31)))</f>
        <v>0</v>
      </c>
      <c r="AG712" s="13">
        <f>IF(AND($Z712&gt;=10,MOD($Z712,5)=0),$AF712*IF($AA712=12,VLOOKUP($Z712,Paraméterek!$B$225:$F$240,IF($AF712&lt;IF($D$4="Forint",Paraméterek!$C$223,Paraméterek!$C$224),2,IF($AF712&lt;IF($D$4="Forint",Paraméterek!$D$223,Paraméterek!$D$224),3,4))),0),0)</f>
        <v>0</v>
      </c>
      <c r="AH712" s="13">
        <f>IF(AND($Z712&gt;=5,MOD($Z712,5)=0),IF($AA712=12,VLOOKUP($Z712,Paraméterek!$B$225:$F$240,5),0),IF(OR($Z712=3,$Z712=4),IF($AA712=12,VLOOKUP($Z712,Paraméterek!$B$225:$F$240,5,0),0),0))*$AF712</f>
        <v>0</v>
      </c>
      <c r="AI712" s="13">
        <f>ROUNDDOWN(IF(SUM($T$20:$U712)=0,IF($D$2="Egyszeri",$AH712,$AG712),0),IF($D$4="Forint",0,2))</f>
        <v>0</v>
      </c>
      <c r="AJ712" s="13">
        <f t="shared" si="162"/>
        <v>0</v>
      </c>
      <c r="AK712" s="13">
        <f t="shared" si="163"/>
        <v>0</v>
      </c>
      <c r="AM712" s="32">
        <v>693</v>
      </c>
      <c r="AN712" s="32">
        <v>58</v>
      </c>
      <c r="AO712" s="32">
        <v>9</v>
      </c>
      <c r="AP712" s="13"/>
      <c r="AQ712" s="32"/>
      <c r="AR712" s="13">
        <f t="shared" si="164"/>
        <v>0</v>
      </c>
      <c r="AS712" s="33"/>
      <c r="AT712" s="13">
        <f t="shared" si="158"/>
        <v>0</v>
      </c>
      <c r="AU712" s="13">
        <f>ROUNDUP(($AR712+$AT712)*VLOOKUP($AN712,Paraméterek!$P$38:$Q$38,2)/12,IF($D$4="Forint",0,2))</f>
        <v>0</v>
      </c>
      <c r="AV712" s="13"/>
      <c r="AW712" s="13"/>
      <c r="AX712" s="13">
        <f>ROUNDUP(IF(SUM($AV712:$AW712)=0,0,IF(IF(ISBLANK($AW712),$AV712,$AW712)*Paraméterek!$J$112&lt;IF($D$4="Forint",Paraméterek!$J$113,Paraméterek!$K$113),IF($D$4="Forint",Paraméterek!$J$113,Paraméterek!$K$113),IF(IF(ISBLANK($AW712),$AV712,$AW712)*Paraméterek!$J$112&gt;IF($D$4="Forint",Paraméterek!$J$114,Paraméterek!$K$114),IF($D$4="Forint",Paraméterek!$J$114,Paraméterek!$K$114),IF(ISBLANK($AW712),$AV712,$AW712)*Paraméterek!$J$112))),IF($D$4="Forint",0,2))</f>
        <v>0</v>
      </c>
      <c r="AY712" s="13">
        <f>$AR712+$AT712-$AU712-IF(ROUNDDOWN(IF(ISBLANK($AW712),$AV712,$AW712),IF($D$4="Forint",0,2))&gt;$AR712+$AT712-$AU712-IF($D$4="Forint",Paraméterek!$J$114,Paraméterek!$K$114),0,ROUNDDOWN(IF(ISBLANK($AW712),$AV712,$AW712),IF($D$4="Forint",0,2))-$AX712)</f>
        <v>0</v>
      </c>
      <c r="AZ712" s="13">
        <f t="shared" si="159"/>
        <v>0</v>
      </c>
    </row>
    <row r="713" spans="1:52" x14ac:dyDescent="0.2">
      <c r="A713" s="32">
        <v>694</v>
      </c>
      <c r="B713" s="32">
        <v>58</v>
      </c>
      <c r="C713" s="32">
        <v>10</v>
      </c>
      <c r="D713" s="13">
        <f t="shared" si="150"/>
        <v>0</v>
      </c>
      <c r="E713" s="13"/>
      <c r="F713" s="13"/>
      <c r="G713" s="13"/>
      <c r="H713" s="13">
        <f t="shared" si="151"/>
        <v>0</v>
      </c>
      <c r="I713" s="13">
        <f t="shared" si="152"/>
        <v>0</v>
      </c>
      <c r="J713" s="13">
        <f t="shared" si="153"/>
        <v>0</v>
      </c>
      <c r="K713" s="13">
        <f>ROUNDUP(IF($D$2="Egyszeri",$D713,IF($D$2="Havi",SUM($D$20:$D$31),IF(MOD($C713,$M$1)-1=0,SUM($D$20:$D$31),0))/12*$M$1)*VLOOKUP($B713,Paraméterek!$B$27:$D$30,IF($D$2="Egyszeri",3,2)),IF($D$4="Forint",0,2))</f>
        <v>0</v>
      </c>
      <c r="L713" s="13">
        <f t="shared" si="154"/>
        <v>0</v>
      </c>
      <c r="M713" s="13">
        <f t="shared" ca="1" si="160"/>
        <v>-605007</v>
      </c>
      <c r="N713" s="13">
        <f ca="1">IF($V712&gt;=VLOOKUP($M$4-1+$B713,Paraméterek!$B$121:$D$122,IF($D$4="Forint",2,3)),0,VLOOKUP($M$4-1+$B713,Paraméterek!$B$121:$D$122,IF($D$4="Forint",2,3))-$V712)</f>
        <v>615007</v>
      </c>
      <c r="O713" s="13">
        <f ca="1">ROUNDUP($N713*Paraméterek!$C$58/Paraméterek!$C$56,IF($D$4="Forint",0,2))</f>
        <v>98</v>
      </c>
      <c r="P713" s="13">
        <f t="shared" si="155"/>
        <v>2966</v>
      </c>
      <c r="Q713" s="33"/>
      <c r="R713" s="13">
        <f t="shared" ca="1" si="156"/>
        <v>0</v>
      </c>
      <c r="S713" s="13">
        <f ca="1">ROUNDUP(($M713-$O713-$P713+$R713)*VLOOKUP($B713,Paraméterek!$B$38:$D$39,IF($D$2="Egyszeri",3,2))/12,IF($D$4="Forint",0,2))</f>
        <v>-1485</v>
      </c>
      <c r="T713" s="13"/>
      <c r="U713" s="13"/>
      <c r="V713" s="13">
        <f ca="1">$M713-$O713-$P713+$R713-$S713-IF(ROUNDUP(IF(ISBLANK($U713),$T713,$U713)/IF(AND($B713=1,$D$2&lt;&gt;"Egyszeri"),1,VLOOKUP($B713+IF($C713=12,1,0),Paraméterek!$B$257:$D$267,IF($D$2="Egyszeri",3,2))),IF($D$4="Forint",0,2))&gt;$M713-$O713-$P713+$R713-$S713-IF($D$4="Forint",Paraméterek!$C$216,Paraméterek!$D$216),0,ROUNDUP(IF(ISBLANK($U713),$T713,$U713)/IF(AND($B713=1,$D$2&lt;&gt;"Egyszeri"),1,VLOOKUP($B713+IF($C713=12,1,0),Paraméterek!$B$257:$D$267,IF($D$2="Egyszeri",3,2))),IF($D$4="Forint",0,2)))</f>
        <v>-606586</v>
      </c>
      <c r="W713" s="13">
        <f ca="1">ROUNDDOWN($V713*VLOOKUP($B713+IF($C713=12,1,0),Paraméterek!$B$257:$D$267,IF($D$2="Egyszeri",3,2)),IF($D$4="Forint",0,2))</f>
        <v>-606586</v>
      </c>
      <c r="Y713" s="32">
        <v>694</v>
      </c>
      <c r="Z713" s="32">
        <v>58</v>
      </c>
      <c r="AA713" s="32">
        <v>10</v>
      </c>
      <c r="AB713" s="13">
        <f t="shared" si="161"/>
        <v>0</v>
      </c>
      <c r="AC713" s="33"/>
      <c r="AD713" s="13">
        <f t="shared" si="157"/>
        <v>0</v>
      </c>
      <c r="AE713" s="13">
        <f>ROUNDUP(($AB713+$AD713)*VLOOKUP($Z713,Paraméterek!$P$38:$Q$38,2)/12,IF($D$4="Forint",0,2))</f>
        <v>0</v>
      </c>
      <c r="AF713" s="13">
        <f>IF($D$2="Egyszeri",IF($D$7&gt;=IF($D$4="Forint",Paraméterek!$P$223,Paraméterek!$P$224),$D$7-IF($D$4="Forint",Paraméterek!$F$223,Paraméterek!$F$224),0),MIN(IF($AA713=12,AVERAGE($D$20:$D713)*12,0),SUM($D$20:$D$31)))</f>
        <v>0</v>
      </c>
      <c r="AG713" s="13">
        <f>IF(AND($Z713&gt;=10,MOD($Z713,5)=0),$AF713*IF($AA713=12,VLOOKUP($Z713,Paraméterek!$B$225:$F$240,IF($AF713&lt;IF($D$4="Forint",Paraméterek!$C$223,Paraméterek!$C$224),2,IF($AF713&lt;IF($D$4="Forint",Paraméterek!$D$223,Paraméterek!$D$224),3,4))),0),0)</f>
        <v>0</v>
      </c>
      <c r="AH713" s="13">
        <f>IF(AND($Z713&gt;=5,MOD($Z713,5)=0),IF($AA713=12,VLOOKUP($Z713,Paraméterek!$B$225:$F$240,5),0),IF(OR($Z713=3,$Z713=4),IF($AA713=12,VLOOKUP($Z713,Paraméterek!$B$225:$F$240,5,0),0),0))*$AF713</f>
        <v>0</v>
      </c>
      <c r="AI713" s="13">
        <f>ROUNDDOWN(IF(SUM($T$20:$U713)=0,IF($D$2="Egyszeri",$AH713,$AG713),0),IF($D$4="Forint",0,2))</f>
        <v>0</v>
      </c>
      <c r="AJ713" s="13">
        <f t="shared" si="162"/>
        <v>0</v>
      </c>
      <c r="AK713" s="13">
        <f t="shared" si="163"/>
        <v>0</v>
      </c>
      <c r="AM713" s="32">
        <v>694</v>
      </c>
      <c r="AN713" s="32">
        <v>58</v>
      </c>
      <c r="AO713" s="32">
        <v>10</v>
      </c>
      <c r="AP713" s="13"/>
      <c r="AQ713" s="32"/>
      <c r="AR713" s="13">
        <f t="shared" si="164"/>
        <v>0</v>
      </c>
      <c r="AS713" s="33"/>
      <c r="AT713" s="13">
        <f t="shared" si="158"/>
        <v>0</v>
      </c>
      <c r="AU713" s="13">
        <f>ROUNDUP(($AR713+$AT713)*VLOOKUP($AN713,Paraméterek!$P$38:$Q$38,2)/12,IF($D$4="Forint",0,2))</f>
        <v>0</v>
      </c>
      <c r="AV713" s="13"/>
      <c r="AW713" s="13"/>
      <c r="AX713" s="13">
        <f>ROUNDUP(IF(SUM($AV713:$AW713)=0,0,IF(IF(ISBLANK($AW713),$AV713,$AW713)*Paraméterek!$J$112&lt;IF($D$4="Forint",Paraméterek!$J$113,Paraméterek!$K$113),IF($D$4="Forint",Paraméterek!$J$113,Paraméterek!$K$113),IF(IF(ISBLANK($AW713),$AV713,$AW713)*Paraméterek!$J$112&gt;IF($D$4="Forint",Paraméterek!$J$114,Paraméterek!$K$114),IF($D$4="Forint",Paraméterek!$J$114,Paraméterek!$K$114),IF(ISBLANK($AW713),$AV713,$AW713)*Paraméterek!$J$112))),IF($D$4="Forint",0,2))</f>
        <v>0</v>
      </c>
      <c r="AY713" s="13">
        <f>$AR713+$AT713-$AU713-IF(ROUNDDOWN(IF(ISBLANK($AW713),$AV713,$AW713),IF($D$4="Forint",0,2))&gt;$AR713+$AT713-$AU713-IF($D$4="Forint",Paraméterek!$J$114,Paraméterek!$K$114),0,ROUNDDOWN(IF(ISBLANK($AW713),$AV713,$AW713),IF($D$4="Forint",0,2))-$AX713)</f>
        <v>0</v>
      </c>
      <c r="AZ713" s="13">
        <f t="shared" si="159"/>
        <v>0</v>
      </c>
    </row>
    <row r="714" spans="1:52" x14ac:dyDescent="0.2">
      <c r="A714" s="32">
        <v>695</v>
      </c>
      <c r="B714" s="32">
        <v>58</v>
      </c>
      <c r="C714" s="32">
        <v>11</v>
      </c>
      <c r="D714" s="13">
        <f t="shared" si="150"/>
        <v>0</v>
      </c>
      <c r="E714" s="13"/>
      <c r="F714" s="13"/>
      <c r="G714" s="13"/>
      <c r="H714" s="13">
        <f t="shared" si="151"/>
        <v>0</v>
      </c>
      <c r="I714" s="13">
        <f t="shared" si="152"/>
        <v>0</v>
      </c>
      <c r="J714" s="13">
        <f t="shared" si="153"/>
        <v>0</v>
      </c>
      <c r="K714" s="13">
        <f>ROUNDUP(IF($D$2="Egyszeri",$D714,IF($D$2="Havi",SUM($D$20:$D$31),IF(MOD($C714,$M$1)-1=0,SUM($D$20:$D$31),0))/12*$M$1)*VLOOKUP($B714,Paraméterek!$B$27:$D$30,IF($D$2="Egyszeri",3,2)),IF($D$4="Forint",0,2))</f>
        <v>0</v>
      </c>
      <c r="L714" s="13">
        <f t="shared" si="154"/>
        <v>0</v>
      </c>
      <c r="M714" s="13">
        <f t="shared" ca="1" si="160"/>
        <v>-606586</v>
      </c>
      <c r="N714" s="13">
        <f ca="1">IF($V713&gt;=VLOOKUP($M$4-1+$B714,Paraméterek!$B$121:$D$122,IF($D$4="Forint",2,3)),0,VLOOKUP($M$4-1+$B714,Paraméterek!$B$121:$D$122,IF($D$4="Forint",2,3))-$V713)</f>
        <v>616586</v>
      </c>
      <c r="O714" s="13">
        <f ca="1">ROUNDUP($N714*Paraméterek!$C$58/Paraméterek!$C$56,IF($D$4="Forint",0,2))</f>
        <v>99</v>
      </c>
      <c r="P714" s="13">
        <f t="shared" si="155"/>
        <v>2966</v>
      </c>
      <c r="Q714" s="33"/>
      <c r="R714" s="13">
        <f t="shared" ca="1" si="156"/>
        <v>0</v>
      </c>
      <c r="S714" s="13">
        <f ca="1">ROUNDUP(($M714-$O714-$P714+$R714)*VLOOKUP($B714,Paraméterek!$B$38:$D$39,IF($D$2="Egyszeri",3,2))/12,IF($D$4="Forint",0,2))</f>
        <v>-1489</v>
      </c>
      <c r="T714" s="13"/>
      <c r="U714" s="13"/>
      <c r="V714" s="13">
        <f ca="1">$M714-$O714-$P714+$R714-$S714-IF(ROUNDUP(IF(ISBLANK($U714),$T714,$U714)/IF(AND($B714=1,$D$2&lt;&gt;"Egyszeri"),1,VLOOKUP($B714+IF($C714=12,1,0),Paraméterek!$B$257:$D$267,IF($D$2="Egyszeri",3,2))),IF($D$4="Forint",0,2))&gt;$M714-$O714-$P714+$R714-$S714-IF($D$4="Forint",Paraméterek!$C$216,Paraméterek!$D$216),0,ROUNDUP(IF(ISBLANK($U714),$T714,$U714)/IF(AND($B714=1,$D$2&lt;&gt;"Egyszeri"),1,VLOOKUP($B714+IF($C714=12,1,0),Paraméterek!$B$257:$D$267,IF($D$2="Egyszeri",3,2))),IF($D$4="Forint",0,2)))</f>
        <v>-608162</v>
      </c>
      <c r="W714" s="13">
        <f ca="1">ROUNDDOWN($V714*VLOOKUP($B714+IF($C714=12,1,0),Paraméterek!$B$257:$D$267,IF($D$2="Egyszeri",3,2)),IF($D$4="Forint",0,2))</f>
        <v>-608162</v>
      </c>
      <c r="Y714" s="32">
        <v>695</v>
      </c>
      <c r="Z714" s="32">
        <v>58</v>
      </c>
      <c r="AA714" s="32">
        <v>11</v>
      </c>
      <c r="AB714" s="13">
        <f t="shared" si="161"/>
        <v>0</v>
      </c>
      <c r="AC714" s="33"/>
      <c r="AD714" s="13">
        <f t="shared" si="157"/>
        <v>0</v>
      </c>
      <c r="AE714" s="13">
        <f>ROUNDUP(($AB714+$AD714)*VLOOKUP($Z714,Paraméterek!$P$38:$Q$38,2)/12,IF($D$4="Forint",0,2))</f>
        <v>0</v>
      </c>
      <c r="AF714" s="13">
        <f>IF($D$2="Egyszeri",IF($D$7&gt;=IF($D$4="Forint",Paraméterek!$P$223,Paraméterek!$P$224),$D$7-IF($D$4="Forint",Paraméterek!$F$223,Paraméterek!$F$224),0),MIN(IF($AA714=12,AVERAGE($D$20:$D714)*12,0),SUM($D$20:$D$31)))</f>
        <v>0</v>
      </c>
      <c r="AG714" s="13">
        <f>IF(AND($Z714&gt;=10,MOD($Z714,5)=0),$AF714*IF($AA714=12,VLOOKUP($Z714,Paraméterek!$B$225:$F$240,IF($AF714&lt;IF($D$4="Forint",Paraméterek!$C$223,Paraméterek!$C$224),2,IF($AF714&lt;IF($D$4="Forint",Paraméterek!$D$223,Paraméterek!$D$224),3,4))),0),0)</f>
        <v>0</v>
      </c>
      <c r="AH714" s="13">
        <f>IF(AND($Z714&gt;=5,MOD($Z714,5)=0),IF($AA714=12,VLOOKUP($Z714,Paraméterek!$B$225:$F$240,5),0),IF(OR($Z714=3,$Z714=4),IF($AA714=12,VLOOKUP($Z714,Paraméterek!$B$225:$F$240,5,0),0),0))*$AF714</f>
        <v>0</v>
      </c>
      <c r="AI714" s="13">
        <f>ROUNDDOWN(IF(SUM($T$20:$U714)=0,IF($D$2="Egyszeri",$AH714,$AG714),0),IF($D$4="Forint",0,2))</f>
        <v>0</v>
      </c>
      <c r="AJ714" s="13">
        <f t="shared" si="162"/>
        <v>0</v>
      </c>
      <c r="AK714" s="13">
        <f t="shared" si="163"/>
        <v>0</v>
      </c>
      <c r="AM714" s="32">
        <v>695</v>
      </c>
      <c r="AN714" s="32">
        <v>58</v>
      </c>
      <c r="AO714" s="32">
        <v>11</v>
      </c>
      <c r="AP714" s="13"/>
      <c r="AQ714" s="32"/>
      <c r="AR714" s="13">
        <f t="shared" si="164"/>
        <v>0</v>
      </c>
      <c r="AS714" s="33"/>
      <c r="AT714" s="13">
        <f t="shared" si="158"/>
        <v>0</v>
      </c>
      <c r="AU714" s="13">
        <f>ROUNDUP(($AR714+$AT714)*VLOOKUP($AN714,Paraméterek!$P$38:$Q$38,2)/12,IF($D$4="Forint",0,2))</f>
        <v>0</v>
      </c>
      <c r="AV714" s="13"/>
      <c r="AW714" s="13"/>
      <c r="AX714" s="13">
        <f>ROUNDUP(IF(SUM($AV714:$AW714)=0,0,IF(IF(ISBLANK($AW714),$AV714,$AW714)*Paraméterek!$J$112&lt;IF($D$4="Forint",Paraméterek!$J$113,Paraméterek!$K$113),IF($D$4="Forint",Paraméterek!$J$113,Paraméterek!$K$113),IF(IF(ISBLANK($AW714),$AV714,$AW714)*Paraméterek!$J$112&gt;IF($D$4="Forint",Paraméterek!$J$114,Paraméterek!$K$114),IF($D$4="Forint",Paraméterek!$J$114,Paraméterek!$K$114),IF(ISBLANK($AW714),$AV714,$AW714)*Paraméterek!$J$112))),IF($D$4="Forint",0,2))</f>
        <v>0</v>
      </c>
      <c r="AY714" s="13">
        <f>$AR714+$AT714-$AU714-IF(ROUNDDOWN(IF(ISBLANK($AW714),$AV714,$AW714),IF($D$4="Forint",0,2))&gt;$AR714+$AT714-$AU714-IF($D$4="Forint",Paraméterek!$J$114,Paraméterek!$K$114),0,ROUNDDOWN(IF(ISBLANK($AW714),$AV714,$AW714),IF($D$4="Forint",0,2))-$AX714)</f>
        <v>0</v>
      </c>
      <c r="AZ714" s="13">
        <f t="shared" si="159"/>
        <v>0</v>
      </c>
    </row>
    <row r="715" spans="1:52" x14ac:dyDescent="0.2">
      <c r="A715" s="32">
        <v>696</v>
      </c>
      <c r="B715" s="32">
        <v>58</v>
      </c>
      <c r="C715" s="32">
        <v>12</v>
      </c>
      <c r="D715" s="13">
        <f t="shared" si="150"/>
        <v>0</v>
      </c>
      <c r="E715" s="13"/>
      <c r="F715" s="13"/>
      <c r="G715" s="13"/>
      <c r="H715" s="13">
        <f t="shared" si="151"/>
        <v>0</v>
      </c>
      <c r="I715" s="13">
        <f t="shared" si="152"/>
        <v>0</v>
      </c>
      <c r="J715" s="13">
        <f t="shared" si="153"/>
        <v>0</v>
      </c>
      <c r="K715" s="13">
        <f>ROUNDUP(IF($D$2="Egyszeri",$D715,IF($D$2="Havi",SUM($D$20:$D$31),IF(MOD($C715,$M$1)-1=0,SUM($D$20:$D$31),0))/12*$M$1)*VLOOKUP($B715,Paraméterek!$B$27:$D$30,IF($D$2="Egyszeri",3,2)),IF($D$4="Forint",0,2))</f>
        <v>0</v>
      </c>
      <c r="L715" s="13">
        <f t="shared" si="154"/>
        <v>0</v>
      </c>
      <c r="M715" s="13">
        <f t="shared" ca="1" si="160"/>
        <v>-608162</v>
      </c>
      <c r="N715" s="13">
        <f ca="1">IF($V714&gt;=VLOOKUP($M$4-1+$B715,Paraméterek!$B$121:$D$122,IF($D$4="Forint",2,3)),0,VLOOKUP($M$4-1+$B715,Paraméterek!$B$121:$D$122,IF($D$4="Forint",2,3))-$V714)</f>
        <v>618162</v>
      </c>
      <c r="O715" s="13">
        <f ca="1">ROUNDUP($N715*Paraméterek!$C$58/Paraméterek!$C$56,IF($D$4="Forint",0,2))</f>
        <v>99</v>
      </c>
      <c r="P715" s="13">
        <f t="shared" si="155"/>
        <v>2966</v>
      </c>
      <c r="Q715" s="33"/>
      <c r="R715" s="13">
        <f t="shared" ca="1" si="156"/>
        <v>0</v>
      </c>
      <c r="S715" s="13">
        <f ca="1">ROUNDUP(($M715-$O715-$P715+$R715)*VLOOKUP($B715,Paraméterek!$B$38:$D$39,IF($D$2="Egyszeri",3,2))/12,IF($D$4="Forint",0,2))</f>
        <v>-1493</v>
      </c>
      <c r="T715" s="13">
        <f>Tranzakciók!$F$89</f>
        <v>0</v>
      </c>
      <c r="U715" s="13"/>
      <c r="V715" s="13">
        <f ca="1">$M715-$O715-$P715+$R715-$S715-IF(ROUNDUP(IF(ISBLANK($U715),$T715,$U715)/IF(AND($B715=1,$D$2&lt;&gt;"Egyszeri"),1,VLOOKUP($B715+IF($C715=12,1,0),Paraméterek!$B$257:$D$267,IF($D$2="Egyszeri",3,2))),IF($D$4="Forint",0,2))&gt;$M715-$O715-$P715+$R715-$S715-IF($D$4="Forint",Paraméterek!$C$216,Paraméterek!$D$216),0,ROUNDUP(IF(ISBLANK($U715),$T715,$U715)/IF(AND($B715=1,$D$2&lt;&gt;"Egyszeri"),1,VLOOKUP($B715+IF($C715=12,1,0),Paraméterek!$B$257:$D$267,IF($D$2="Egyszeri",3,2))),IF($D$4="Forint",0,2)))</f>
        <v>-609734</v>
      </c>
      <c r="W715" s="13">
        <f ca="1">ROUNDDOWN($V715*VLOOKUP($B715+IF($C715=12,1,0),Paraméterek!$B$257:$D$267,IF($D$2="Egyszeri",3,2)),IF($D$4="Forint",0,2))</f>
        <v>-609734</v>
      </c>
      <c r="Y715" s="32">
        <v>696</v>
      </c>
      <c r="Z715" s="32">
        <v>58</v>
      </c>
      <c r="AA715" s="32">
        <v>12</v>
      </c>
      <c r="AB715" s="13">
        <f t="shared" si="161"/>
        <v>0</v>
      </c>
      <c r="AC715" s="33"/>
      <c r="AD715" s="13">
        <f t="shared" si="157"/>
        <v>0</v>
      </c>
      <c r="AE715" s="13">
        <f>ROUNDUP(($AB715+$AD715)*VLOOKUP($Z715,Paraméterek!$P$38:$Q$38,2)/12,IF($D$4="Forint",0,2))</f>
        <v>0</v>
      </c>
      <c r="AF715" s="13">
        <f>IF($D$2="Egyszeri",IF($D$7&gt;=IF($D$4="Forint",Paraméterek!$P$223,Paraméterek!$P$224),$D$7-IF($D$4="Forint",Paraméterek!$F$223,Paraméterek!$F$224),0),MIN(IF($AA715=12,AVERAGE($D$20:$D715)*12,0),SUM($D$20:$D$31)))</f>
        <v>0</v>
      </c>
      <c r="AG715" s="13">
        <f>IF(AND($Z715&gt;=10,MOD($Z715,5)=0),$AF715*IF($AA715=12,VLOOKUP($Z715,Paraméterek!$B$225:$F$240,IF($AF715&lt;IF($D$4="Forint",Paraméterek!$C$223,Paraméterek!$C$224),2,IF($AF715&lt;IF($D$4="Forint",Paraméterek!$D$223,Paraméterek!$D$224),3,4))),0),0)</f>
        <v>0</v>
      </c>
      <c r="AH715" s="13">
        <f>IF(AND($Z715&gt;=5,MOD($Z715,5)=0),IF($AA715=12,VLOOKUP($Z715,Paraméterek!$B$225:$F$240,5),0),IF(OR($Z715=3,$Z715=4),IF($AA715=12,VLOOKUP($Z715,Paraméterek!$B$225:$F$240,5,0),0),0))*$AF715</f>
        <v>0</v>
      </c>
      <c r="AI715" s="13">
        <f>ROUNDDOWN(IF(SUM($T$20:$U715)=0,IF($D$2="Egyszeri",$AH715,$AG715),0),IF($D$4="Forint",0,2))</f>
        <v>0</v>
      </c>
      <c r="AJ715" s="13">
        <f t="shared" si="162"/>
        <v>0</v>
      </c>
      <c r="AK715" s="13">
        <f t="shared" si="163"/>
        <v>0</v>
      </c>
      <c r="AM715" s="32">
        <v>696</v>
      </c>
      <c r="AN715" s="32">
        <v>58</v>
      </c>
      <c r="AO715" s="32">
        <v>12</v>
      </c>
      <c r="AP715" s="13"/>
      <c r="AQ715" s="32"/>
      <c r="AR715" s="13">
        <f t="shared" si="164"/>
        <v>0</v>
      </c>
      <c r="AS715" s="33"/>
      <c r="AT715" s="13">
        <f t="shared" si="158"/>
        <v>0</v>
      </c>
      <c r="AU715" s="13">
        <f>ROUNDUP(($AR715+$AT715)*VLOOKUP($AN715,Paraméterek!$P$38:$Q$38,2)/12,IF($D$4="Forint",0,2))</f>
        <v>0</v>
      </c>
      <c r="AV715" s="13">
        <f>Tranzakciók!$M$89</f>
        <v>0</v>
      </c>
      <c r="AW715" s="13"/>
      <c r="AX715" s="13">
        <f>ROUNDUP(IF(SUM($AV715:$AW715)=0,0,IF(IF(ISBLANK($AW715),$AV715,$AW715)*Paraméterek!$J$112&lt;IF($D$4="Forint",Paraméterek!$J$113,Paraméterek!$K$113),IF($D$4="Forint",Paraméterek!$J$113,Paraméterek!$K$113),IF(IF(ISBLANK($AW715),$AV715,$AW715)*Paraméterek!$J$112&gt;IF($D$4="Forint",Paraméterek!$J$114,Paraméterek!$K$114),IF($D$4="Forint",Paraméterek!$J$114,Paraméterek!$K$114),IF(ISBLANK($AW715),$AV715,$AW715)*Paraméterek!$J$112))),IF($D$4="Forint",0,2))</f>
        <v>0</v>
      </c>
      <c r="AY715" s="13">
        <f>$AR715+$AT715-$AU715-IF(ROUNDDOWN(IF(ISBLANK($AW715),$AV715,$AW715),IF($D$4="Forint",0,2))&gt;$AR715+$AT715-$AU715-IF($D$4="Forint",Paraméterek!$J$114,Paraméterek!$K$114),0,ROUNDDOWN(IF(ISBLANK($AW715),$AV715,$AW715),IF($D$4="Forint",0,2))-$AX715)</f>
        <v>0</v>
      </c>
      <c r="AZ715" s="13">
        <f t="shared" si="159"/>
        <v>0</v>
      </c>
    </row>
    <row r="716" spans="1:52" x14ac:dyDescent="0.2">
      <c r="A716" s="32">
        <v>697</v>
      </c>
      <c r="B716" s="32">
        <v>59</v>
      </c>
      <c r="C716" s="32">
        <v>1</v>
      </c>
      <c r="D716" s="13">
        <f t="shared" si="150"/>
        <v>0</v>
      </c>
      <c r="E716" s="13"/>
      <c r="F716" s="13">
        <f>Tranzakciók!$D$90</f>
        <v>0</v>
      </c>
      <c r="G716" s="13"/>
      <c r="H716" s="13">
        <f t="shared" si="151"/>
        <v>0</v>
      </c>
      <c r="I716" s="13">
        <f t="shared" si="152"/>
        <v>556</v>
      </c>
      <c r="J716" s="13">
        <f t="shared" si="153"/>
        <v>556</v>
      </c>
      <c r="K716" s="13">
        <f>ROUNDUP(IF($D$2="Egyszeri",$D716,IF($D$2="Havi",SUM($D$20:$D$31),IF(MOD($C716,$M$1)-1=0,SUM($D$20:$D$31),0))/12*$M$1)*VLOOKUP($B716,Paraméterek!$B$27:$D$30,IF($D$2="Egyszeri",3,2)),IF($D$4="Forint",0,2))</f>
        <v>0</v>
      </c>
      <c r="L716" s="13">
        <f t="shared" si="154"/>
        <v>0</v>
      </c>
      <c r="M716" s="13">
        <f t="shared" ca="1" si="160"/>
        <v>-609734</v>
      </c>
      <c r="N716" s="13">
        <f ca="1">IF($V715&gt;=VLOOKUP($M$4-1+$B716,Paraméterek!$B$121:$D$122,IF($D$4="Forint",2,3)),0,VLOOKUP($M$4-1+$B716,Paraméterek!$B$121:$D$122,IF($D$4="Forint",2,3))-$V715)</f>
        <v>619734</v>
      </c>
      <c r="O716" s="13">
        <f ca="1">ROUNDUP($N716*Paraméterek!$C$58/Paraméterek!$C$56,IF($D$4="Forint",0,2))</f>
        <v>99</v>
      </c>
      <c r="P716" s="13">
        <f t="shared" si="155"/>
        <v>3055</v>
      </c>
      <c r="Q716" s="33"/>
      <c r="R716" s="13">
        <f t="shared" ca="1" si="156"/>
        <v>0</v>
      </c>
      <c r="S716" s="13">
        <f ca="1">ROUNDUP(($M716-$O716-$P716+$R716)*VLOOKUP($B716,Paraméterek!$B$38:$D$39,IF($D$2="Egyszeri",3,2))/12,IF($D$4="Forint",0,2))</f>
        <v>-1497</v>
      </c>
      <c r="T716" s="13"/>
      <c r="U716" s="13"/>
      <c r="V716" s="13">
        <f ca="1">$M716-$O716-$P716+$R716-$S716-IF(ROUNDUP(IF(ISBLANK($U716),$T716,$U716)/IF(AND($B716=1,$D$2&lt;&gt;"Egyszeri"),1,VLOOKUP($B716+IF($C716=12,1,0),Paraméterek!$B$257:$D$267,IF($D$2="Egyszeri",3,2))),IF($D$4="Forint",0,2))&gt;$M716-$O716-$P716+$R716-$S716-IF($D$4="Forint",Paraméterek!$C$216,Paraméterek!$D$216),0,ROUNDUP(IF(ISBLANK($U716),$T716,$U716)/IF(AND($B716=1,$D$2&lt;&gt;"Egyszeri"),1,VLOOKUP($B716+IF($C716=12,1,0),Paraméterek!$B$257:$D$267,IF($D$2="Egyszeri",3,2))),IF($D$4="Forint",0,2)))</f>
        <v>-611391</v>
      </c>
      <c r="W716" s="13">
        <f ca="1">ROUNDDOWN($V716*VLOOKUP($B716+IF($C716=12,1,0),Paraméterek!$B$257:$D$267,IF($D$2="Egyszeri",3,2)),IF($D$4="Forint",0,2))</f>
        <v>-611391</v>
      </c>
      <c r="Y716" s="32">
        <v>697</v>
      </c>
      <c r="Z716" s="32">
        <v>59</v>
      </c>
      <c r="AA716" s="32">
        <v>1</v>
      </c>
      <c r="AB716" s="13">
        <f t="shared" si="161"/>
        <v>0</v>
      </c>
      <c r="AC716" s="33"/>
      <c r="AD716" s="13">
        <f t="shared" si="157"/>
        <v>0</v>
      </c>
      <c r="AE716" s="13">
        <f>ROUNDUP(($AB716+$AD716)*VLOOKUP($Z716,Paraméterek!$P$38:$Q$38,2)/12,IF($D$4="Forint",0,2))</f>
        <v>0</v>
      </c>
      <c r="AF716" s="13">
        <f>IF($D$2="Egyszeri",IF($D$7&gt;=IF($D$4="Forint",Paraméterek!$P$223,Paraméterek!$P$224),$D$7-IF($D$4="Forint",Paraméterek!$F$223,Paraméterek!$F$224),0),MIN(IF($AA716=12,AVERAGE($D$20:$D716)*12,0),SUM($D$20:$D$31)))</f>
        <v>0</v>
      </c>
      <c r="AG716" s="13">
        <f>IF(AND($Z716&gt;=10,MOD($Z716,5)=0),$AF716*IF($AA716=12,VLOOKUP($Z716,Paraméterek!$B$225:$F$240,IF($AF716&lt;IF($D$4="Forint",Paraméterek!$C$223,Paraméterek!$C$224),2,IF($AF716&lt;IF($D$4="Forint",Paraméterek!$D$223,Paraméterek!$D$224),3,4))),0),0)</f>
        <v>0</v>
      </c>
      <c r="AH716" s="13">
        <f>IF(AND($Z716&gt;=5,MOD($Z716,5)=0),IF($AA716=12,VLOOKUP($Z716,Paraméterek!$B$225:$F$240,5),0),IF(OR($Z716=3,$Z716=4),IF($AA716=12,VLOOKUP($Z716,Paraméterek!$B$225:$F$240,5,0),0),0))*$AF716</f>
        <v>0</v>
      </c>
      <c r="AI716" s="13">
        <f>ROUNDDOWN(IF(SUM($T$20:$U716)=0,IF($D$2="Egyszeri",$AH716,$AG716),0),IF($D$4="Forint",0,2))</f>
        <v>0</v>
      </c>
      <c r="AJ716" s="13">
        <f t="shared" si="162"/>
        <v>0</v>
      </c>
      <c r="AK716" s="13">
        <f t="shared" si="163"/>
        <v>0</v>
      </c>
      <c r="AM716" s="32">
        <v>697</v>
      </c>
      <c r="AN716" s="32">
        <v>59</v>
      </c>
      <c r="AO716" s="32">
        <v>1</v>
      </c>
      <c r="AP716" s="13">
        <f>Tranzakciók!$K$90</f>
        <v>0</v>
      </c>
      <c r="AQ716" s="32"/>
      <c r="AR716" s="13">
        <f t="shared" si="164"/>
        <v>0</v>
      </c>
      <c r="AS716" s="33"/>
      <c r="AT716" s="13">
        <f t="shared" si="158"/>
        <v>0</v>
      </c>
      <c r="AU716" s="13">
        <f>ROUNDUP(($AR716+$AT716)*VLOOKUP($AN716,Paraméterek!$P$38:$Q$38,2)/12,IF($D$4="Forint",0,2))</f>
        <v>0</v>
      </c>
      <c r="AV716" s="13"/>
      <c r="AW716" s="13"/>
      <c r="AX716" s="13">
        <f>ROUNDUP(IF(SUM($AV716:$AW716)=0,0,IF(IF(ISBLANK($AW716),$AV716,$AW716)*Paraméterek!$J$112&lt;IF($D$4="Forint",Paraméterek!$J$113,Paraméterek!$K$113),IF($D$4="Forint",Paraméterek!$J$113,Paraméterek!$K$113),IF(IF(ISBLANK($AW716),$AV716,$AW716)*Paraméterek!$J$112&gt;IF($D$4="Forint",Paraméterek!$J$114,Paraméterek!$K$114),IF($D$4="Forint",Paraméterek!$J$114,Paraméterek!$K$114),IF(ISBLANK($AW716),$AV716,$AW716)*Paraméterek!$J$112))),IF($D$4="Forint",0,2))</f>
        <v>0</v>
      </c>
      <c r="AY716" s="13">
        <f>$AR716+$AT716-$AU716-IF(ROUNDDOWN(IF(ISBLANK($AW716),$AV716,$AW716),IF($D$4="Forint",0,2))&gt;$AR716+$AT716-$AU716-IF($D$4="Forint",Paraméterek!$J$114,Paraméterek!$K$114),0,ROUNDDOWN(IF(ISBLANK($AW716),$AV716,$AW716),IF($D$4="Forint",0,2))-$AX716)</f>
        <v>0</v>
      </c>
      <c r="AZ716" s="13">
        <f t="shared" si="159"/>
        <v>0</v>
      </c>
    </row>
    <row r="717" spans="1:52" x14ac:dyDescent="0.2">
      <c r="A717" s="32">
        <v>698</v>
      </c>
      <c r="B717" s="32">
        <v>59</v>
      </c>
      <c r="C717" s="32">
        <v>2</v>
      </c>
      <c r="D717" s="13">
        <f t="shared" si="150"/>
        <v>0</v>
      </c>
      <c r="E717" s="13"/>
      <c r="F717" s="13"/>
      <c r="G717" s="13"/>
      <c r="H717" s="13">
        <f t="shared" si="151"/>
        <v>0</v>
      </c>
      <c r="I717" s="13">
        <f t="shared" si="152"/>
        <v>0</v>
      </c>
      <c r="J717" s="13">
        <f t="shared" si="153"/>
        <v>0</v>
      </c>
      <c r="K717" s="13">
        <f>ROUNDUP(IF($D$2="Egyszeri",$D717,IF($D$2="Havi",SUM($D$20:$D$31),IF(MOD($C717,$M$1)-1=0,SUM($D$20:$D$31),0))/12*$M$1)*VLOOKUP($B717,Paraméterek!$B$27:$D$30,IF($D$2="Egyszeri",3,2)),IF($D$4="Forint",0,2))</f>
        <v>0</v>
      </c>
      <c r="L717" s="13">
        <f t="shared" si="154"/>
        <v>0</v>
      </c>
      <c r="M717" s="13">
        <f t="shared" ca="1" si="160"/>
        <v>-611391</v>
      </c>
      <c r="N717" s="13">
        <f ca="1">IF($V716&gt;=VLOOKUP($M$4-1+$B717,Paraméterek!$B$121:$D$122,IF($D$4="Forint",2,3)),0,VLOOKUP($M$4-1+$B717,Paraméterek!$B$121:$D$122,IF($D$4="Forint",2,3))-$V716)</f>
        <v>621391</v>
      </c>
      <c r="O717" s="13">
        <f ca="1">ROUNDUP($N717*Paraméterek!$C$58/Paraméterek!$C$56,IF($D$4="Forint",0,2))</f>
        <v>99</v>
      </c>
      <c r="P717" s="13">
        <f t="shared" si="155"/>
        <v>3055</v>
      </c>
      <c r="Q717" s="33"/>
      <c r="R717" s="13">
        <f t="shared" ca="1" si="156"/>
        <v>0</v>
      </c>
      <c r="S717" s="13">
        <f ca="1">ROUNDUP(($M717-$O717-$P717+$R717)*VLOOKUP($B717,Paraméterek!$B$38:$D$39,IF($D$2="Egyszeri",3,2))/12,IF($D$4="Forint",0,2))</f>
        <v>-1501</v>
      </c>
      <c r="T717" s="13"/>
      <c r="U717" s="13"/>
      <c r="V717" s="13">
        <f ca="1">$M717-$O717-$P717+$R717-$S717-IF(ROUNDUP(IF(ISBLANK($U717),$T717,$U717)/IF(AND($B717=1,$D$2&lt;&gt;"Egyszeri"),1,VLOOKUP($B717+IF($C717=12,1,0),Paraméterek!$B$257:$D$267,IF($D$2="Egyszeri",3,2))),IF($D$4="Forint",0,2))&gt;$M717-$O717-$P717+$R717-$S717-IF($D$4="Forint",Paraméterek!$C$216,Paraméterek!$D$216),0,ROUNDUP(IF(ISBLANK($U717),$T717,$U717)/IF(AND($B717=1,$D$2&lt;&gt;"Egyszeri"),1,VLOOKUP($B717+IF($C717=12,1,0),Paraméterek!$B$257:$D$267,IF($D$2="Egyszeri",3,2))),IF($D$4="Forint",0,2)))</f>
        <v>-613044</v>
      </c>
      <c r="W717" s="13">
        <f ca="1">ROUNDDOWN($V717*VLOOKUP($B717+IF($C717=12,1,0),Paraméterek!$B$257:$D$267,IF($D$2="Egyszeri",3,2)),IF($D$4="Forint",0,2))</f>
        <v>-613044</v>
      </c>
      <c r="Y717" s="32">
        <v>698</v>
      </c>
      <c r="Z717" s="32">
        <v>59</v>
      </c>
      <c r="AA717" s="32">
        <v>2</v>
      </c>
      <c r="AB717" s="13">
        <f t="shared" si="161"/>
        <v>0</v>
      </c>
      <c r="AC717" s="33"/>
      <c r="AD717" s="13">
        <f t="shared" si="157"/>
        <v>0</v>
      </c>
      <c r="AE717" s="13">
        <f>ROUNDUP(($AB717+$AD717)*VLOOKUP($Z717,Paraméterek!$P$38:$Q$38,2)/12,IF($D$4="Forint",0,2))</f>
        <v>0</v>
      </c>
      <c r="AF717" s="13">
        <f>IF($D$2="Egyszeri",IF($D$7&gt;=IF($D$4="Forint",Paraméterek!$P$223,Paraméterek!$P$224),$D$7-IF($D$4="Forint",Paraméterek!$F$223,Paraméterek!$F$224),0),MIN(IF($AA717=12,AVERAGE($D$20:$D717)*12,0),SUM($D$20:$D$31)))</f>
        <v>0</v>
      </c>
      <c r="AG717" s="13">
        <f>IF(AND($Z717&gt;=10,MOD($Z717,5)=0),$AF717*IF($AA717=12,VLOOKUP($Z717,Paraméterek!$B$225:$F$240,IF($AF717&lt;IF($D$4="Forint",Paraméterek!$C$223,Paraméterek!$C$224),2,IF($AF717&lt;IF($D$4="Forint",Paraméterek!$D$223,Paraméterek!$D$224),3,4))),0),0)</f>
        <v>0</v>
      </c>
      <c r="AH717" s="13">
        <f>IF(AND($Z717&gt;=5,MOD($Z717,5)=0),IF($AA717=12,VLOOKUP($Z717,Paraméterek!$B$225:$F$240,5),0),IF(OR($Z717=3,$Z717=4),IF($AA717=12,VLOOKUP($Z717,Paraméterek!$B$225:$F$240,5,0),0),0))*$AF717</f>
        <v>0</v>
      </c>
      <c r="AI717" s="13">
        <f>ROUNDDOWN(IF(SUM($T$20:$U717)=0,IF($D$2="Egyszeri",$AH717,$AG717),0),IF($D$4="Forint",0,2))</f>
        <v>0</v>
      </c>
      <c r="AJ717" s="13">
        <f t="shared" si="162"/>
        <v>0</v>
      </c>
      <c r="AK717" s="13">
        <f t="shared" si="163"/>
        <v>0</v>
      </c>
      <c r="AM717" s="32">
        <v>698</v>
      </c>
      <c r="AN717" s="32">
        <v>59</v>
      </c>
      <c r="AO717" s="32">
        <v>2</v>
      </c>
      <c r="AP717" s="13"/>
      <c r="AQ717" s="32"/>
      <c r="AR717" s="13">
        <f t="shared" si="164"/>
        <v>0</v>
      </c>
      <c r="AS717" s="33"/>
      <c r="AT717" s="13">
        <f t="shared" si="158"/>
        <v>0</v>
      </c>
      <c r="AU717" s="13">
        <f>ROUNDUP(($AR717+$AT717)*VLOOKUP($AN717,Paraméterek!$P$38:$Q$38,2)/12,IF($D$4="Forint",0,2))</f>
        <v>0</v>
      </c>
      <c r="AV717" s="13"/>
      <c r="AW717" s="13"/>
      <c r="AX717" s="13">
        <f>ROUNDUP(IF(SUM($AV717:$AW717)=0,0,IF(IF(ISBLANK($AW717),$AV717,$AW717)*Paraméterek!$J$112&lt;IF($D$4="Forint",Paraméterek!$J$113,Paraméterek!$K$113),IF($D$4="Forint",Paraméterek!$J$113,Paraméterek!$K$113),IF(IF(ISBLANK($AW717),$AV717,$AW717)*Paraméterek!$J$112&gt;IF($D$4="Forint",Paraméterek!$J$114,Paraméterek!$K$114),IF($D$4="Forint",Paraméterek!$J$114,Paraméterek!$K$114),IF(ISBLANK($AW717),$AV717,$AW717)*Paraméterek!$J$112))),IF($D$4="Forint",0,2))</f>
        <v>0</v>
      </c>
      <c r="AY717" s="13">
        <f>$AR717+$AT717-$AU717-IF(ROUNDDOWN(IF(ISBLANK($AW717),$AV717,$AW717),IF($D$4="Forint",0,2))&gt;$AR717+$AT717-$AU717-IF($D$4="Forint",Paraméterek!$J$114,Paraméterek!$K$114),0,ROUNDDOWN(IF(ISBLANK($AW717),$AV717,$AW717),IF($D$4="Forint",0,2))-$AX717)</f>
        <v>0</v>
      </c>
      <c r="AZ717" s="13">
        <f t="shared" si="159"/>
        <v>0</v>
      </c>
    </row>
    <row r="718" spans="1:52" x14ac:dyDescent="0.2">
      <c r="A718" s="32">
        <v>699</v>
      </c>
      <c r="B718" s="32">
        <v>59</v>
      </c>
      <c r="C718" s="32">
        <v>3</v>
      </c>
      <c r="D718" s="13">
        <f t="shared" si="150"/>
        <v>0</v>
      </c>
      <c r="E718" s="13"/>
      <c r="F718" s="13"/>
      <c r="G718" s="13"/>
      <c r="H718" s="13">
        <f t="shared" si="151"/>
        <v>0</v>
      </c>
      <c r="I718" s="13">
        <f t="shared" si="152"/>
        <v>0</v>
      </c>
      <c r="J718" s="13">
        <f t="shared" si="153"/>
        <v>0</v>
      </c>
      <c r="K718" s="13">
        <f>ROUNDUP(IF($D$2="Egyszeri",$D718,IF($D$2="Havi",SUM($D$20:$D$31),IF(MOD($C718,$M$1)-1=0,SUM($D$20:$D$31),0))/12*$M$1)*VLOOKUP($B718,Paraméterek!$B$27:$D$30,IF($D$2="Egyszeri",3,2)),IF($D$4="Forint",0,2))</f>
        <v>0</v>
      </c>
      <c r="L718" s="13">
        <f t="shared" si="154"/>
        <v>0</v>
      </c>
      <c r="M718" s="13">
        <f t="shared" ca="1" si="160"/>
        <v>-613044</v>
      </c>
      <c r="N718" s="13">
        <f ca="1">IF($V717&gt;=VLOOKUP($M$4-1+$B718,Paraméterek!$B$121:$D$122,IF($D$4="Forint",2,3)),0,VLOOKUP($M$4-1+$B718,Paraméterek!$B$121:$D$122,IF($D$4="Forint",2,3))-$V717)</f>
        <v>623044</v>
      </c>
      <c r="O718" s="13">
        <f ca="1">ROUNDUP($N718*Paraméterek!$C$58/Paraméterek!$C$56,IF($D$4="Forint",0,2))</f>
        <v>100</v>
      </c>
      <c r="P718" s="13">
        <f t="shared" si="155"/>
        <v>3055</v>
      </c>
      <c r="Q718" s="33"/>
      <c r="R718" s="13">
        <f t="shared" ca="1" si="156"/>
        <v>0</v>
      </c>
      <c r="S718" s="13">
        <f ca="1">ROUNDUP(($M718-$O718-$P718+$R718)*VLOOKUP($B718,Paraméterek!$B$38:$D$39,IF($D$2="Egyszeri",3,2))/12,IF($D$4="Forint",0,2))</f>
        <v>-1505</v>
      </c>
      <c r="T718" s="13"/>
      <c r="U718" s="13"/>
      <c r="V718" s="13">
        <f ca="1">$M718-$O718-$P718+$R718-$S718-IF(ROUNDUP(IF(ISBLANK($U718),$T718,$U718)/IF(AND($B718=1,$D$2&lt;&gt;"Egyszeri"),1,VLOOKUP($B718+IF($C718=12,1,0),Paraméterek!$B$257:$D$267,IF($D$2="Egyszeri",3,2))),IF($D$4="Forint",0,2))&gt;$M718-$O718-$P718+$R718-$S718-IF($D$4="Forint",Paraméterek!$C$216,Paraméterek!$D$216),0,ROUNDUP(IF(ISBLANK($U718),$T718,$U718)/IF(AND($B718=1,$D$2&lt;&gt;"Egyszeri"),1,VLOOKUP($B718+IF($C718=12,1,0),Paraméterek!$B$257:$D$267,IF($D$2="Egyszeri",3,2))),IF($D$4="Forint",0,2)))</f>
        <v>-614694</v>
      </c>
      <c r="W718" s="13">
        <f ca="1">ROUNDDOWN($V718*VLOOKUP($B718+IF($C718=12,1,0),Paraméterek!$B$257:$D$267,IF($D$2="Egyszeri",3,2)),IF($D$4="Forint",0,2))</f>
        <v>-614694</v>
      </c>
      <c r="Y718" s="32">
        <v>699</v>
      </c>
      <c r="Z718" s="32">
        <v>59</v>
      </c>
      <c r="AA718" s="32">
        <v>3</v>
      </c>
      <c r="AB718" s="13">
        <f t="shared" si="161"/>
        <v>0</v>
      </c>
      <c r="AC718" s="33"/>
      <c r="AD718" s="13">
        <f t="shared" si="157"/>
        <v>0</v>
      </c>
      <c r="AE718" s="13">
        <f>ROUNDUP(($AB718+$AD718)*VLOOKUP($Z718,Paraméterek!$P$38:$Q$38,2)/12,IF($D$4="Forint",0,2))</f>
        <v>0</v>
      </c>
      <c r="AF718" s="13">
        <f>IF($D$2="Egyszeri",IF($D$7&gt;=IF($D$4="Forint",Paraméterek!$P$223,Paraméterek!$P$224),$D$7-IF($D$4="Forint",Paraméterek!$F$223,Paraméterek!$F$224),0),MIN(IF($AA718=12,AVERAGE($D$20:$D718)*12,0),SUM($D$20:$D$31)))</f>
        <v>0</v>
      </c>
      <c r="AG718" s="13">
        <f>IF(AND($Z718&gt;=10,MOD($Z718,5)=0),$AF718*IF($AA718=12,VLOOKUP($Z718,Paraméterek!$B$225:$F$240,IF($AF718&lt;IF($D$4="Forint",Paraméterek!$C$223,Paraméterek!$C$224),2,IF($AF718&lt;IF($D$4="Forint",Paraméterek!$D$223,Paraméterek!$D$224),3,4))),0),0)</f>
        <v>0</v>
      </c>
      <c r="AH718" s="13">
        <f>IF(AND($Z718&gt;=5,MOD($Z718,5)=0),IF($AA718=12,VLOOKUP($Z718,Paraméterek!$B$225:$F$240,5),0),IF(OR($Z718=3,$Z718=4),IF($AA718=12,VLOOKUP($Z718,Paraméterek!$B$225:$F$240,5,0),0),0))*$AF718</f>
        <v>0</v>
      </c>
      <c r="AI718" s="13">
        <f>ROUNDDOWN(IF(SUM($T$20:$U718)=0,IF($D$2="Egyszeri",$AH718,$AG718),0),IF($D$4="Forint",0,2))</f>
        <v>0</v>
      </c>
      <c r="AJ718" s="13">
        <f t="shared" si="162"/>
        <v>0</v>
      </c>
      <c r="AK718" s="13">
        <f t="shared" si="163"/>
        <v>0</v>
      </c>
      <c r="AM718" s="32">
        <v>699</v>
      </c>
      <c r="AN718" s="32">
        <v>59</v>
      </c>
      <c r="AO718" s="32">
        <v>3</v>
      </c>
      <c r="AP718" s="13"/>
      <c r="AQ718" s="32"/>
      <c r="AR718" s="13">
        <f t="shared" si="164"/>
        <v>0</v>
      </c>
      <c r="AS718" s="33"/>
      <c r="AT718" s="13">
        <f t="shared" si="158"/>
        <v>0</v>
      </c>
      <c r="AU718" s="13">
        <f>ROUNDUP(($AR718+$AT718)*VLOOKUP($AN718,Paraméterek!$P$38:$Q$38,2)/12,IF($D$4="Forint",0,2))</f>
        <v>0</v>
      </c>
      <c r="AV718" s="13"/>
      <c r="AW718" s="13"/>
      <c r="AX718" s="13">
        <f>ROUNDUP(IF(SUM($AV718:$AW718)=0,0,IF(IF(ISBLANK($AW718),$AV718,$AW718)*Paraméterek!$J$112&lt;IF($D$4="Forint",Paraméterek!$J$113,Paraméterek!$K$113),IF($D$4="Forint",Paraméterek!$J$113,Paraméterek!$K$113),IF(IF(ISBLANK($AW718),$AV718,$AW718)*Paraméterek!$J$112&gt;IF($D$4="Forint",Paraméterek!$J$114,Paraméterek!$K$114),IF($D$4="Forint",Paraméterek!$J$114,Paraméterek!$K$114),IF(ISBLANK($AW718),$AV718,$AW718)*Paraméterek!$J$112))),IF($D$4="Forint",0,2))</f>
        <v>0</v>
      </c>
      <c r="AY718" s="13">
        <f>$AR718+$AT718-$AU718-IF(ROUNDDOWN(IF(ISBLANK($AW718),$AV718,$AW718),IF($D$4="Forint",0,2))&gt;$AR718+$AT718-$AU718-IF($D$4="Forint",Paraméterek!$J$114,Paraméterek!$K$114),0,ROUNDDOWN(IF(ISBLANK($AW718),$AV718,$AW718),IF($D$4="Forint",0,2))-$AX718)</f>
        <v>0</v>
      </c>
      <c r="AZ718" s="13">
        <f t="shared" si="159"/>
        <v>0</v>
      </c>
    </row>
    <row r="719" spans="1:52" x14ac:dyDescent="0.2">
      <c r="A719" s="32">
        <v>700</v>
      </c>
      <c r="B719" s="32">
        <v>59</v>
      </c>
      <c r="C719" s="32">
        <v>4</v>
      </c>
      <c r="D719" s="13">
        <f t="shared" si="150"/>
        <v>0</v>
      </c>
      <c r="E719" s="13"/>
      <c r="F719" s="13"/>
      <c r="G719" s="13"/>
      <c r="H719" s="13">
        <f t="shared" si="151"/>
        <v>0</v>
      </c>
      <c r="I719" s="13">
        <f t="shared" si="152"/>
        <v>0</v>
      </c>
      <c r="J719" s="13">
        <f t="shared" si="153"/>
        <v>0</v>
      </c>
      <c r="K719" s="13">
        <f>ROUNDUP(IF($D$2="Egyszeri",$D719,IF($D$2="Havi",SUM($D$20:$D$31),IF(MOD($C719,$M$1)-1=0,SUM($D$20:$D$31),0))/12*$M$1)*VLOOKUP($B719,Paraméterek!$B$27:$D$30,IF($D$2="Egyszeri",3,2)),IF($D$4="Forint",0,2))</f>
        <v>0</v>
      </c>
      <c r="L719" s="13">
        <f t="shared" si="154"/>
        <v>0</v>
      </c>
      <c r="M719" s="13">
        <f t="shared" ca="1" si="160"/>
        <v>-614694</v>
      </c>
      <c r="N719" s="13">
        <f ca="1">IF($V718&gt;=VLOOKUP($M$4-1+$B719,Paraméterek!$B$121:$D$122,IF($D$4="Forint",2,3)),0,VLOOKUP($M$4-1+$B719,Paraméterek!$B$121:$D$122,IF($D$4="Forint",2,3))-$V718)</f>
        <v>624694</v>
      </c>
      <c r="O719" s="13">
        <f ca="1">ROUNDUP($N719*Paraméterek!$C$58/Paraméterek!$C$56,IF($D$4="Forint",0,2))</f>
        <v>100</v>
      </c>
      <c r="P719" s="13">
        <f t="shared" si="155"/>
        <v>3055</v>
      </c>
      <c r="Q719" s="33"/>
      <c r="R719" s="13">
        <f t="shared" ca="1" si="156"/>
        <v>0</v>
      </c>
      <c r="S719" s="13">
        <f ca="1">ROUNDUP(($M719-$O719-$P719+$R719)*VLOOKUP($B719,Paraméterek!$B$38:$D$39,IF($D$2="Egyszeri",3,2))/12,IF($D$4="Forint",0,2))</f>
        <v>-1509</v>
      </c>
      <c r="T719" s="13"/>
      <c r="U719" s="13"/>
      <c r="V719" s="13">
        <f ca="1">$M719-$O719-$P719+$R719-$S719-IF(ROUNDUP(IF(ISBLANK($U719),$T719,$U719)/IF(AND($B719=1,$D$2&lt;&gt;"Egyszeri"),1,VLOOKUP($B719+IF($C719=12,1,0),Paraméterek!$B$257:$D$267,IF($D$2="Egyszeri",3,2))),IF($D$4="Forint",0,2))&gt;$M719-$O719-$P719+$R719-$S719-IF($D$4="Forint",Paraméterek!$C$216,Paraméterek!$D$216),0,ROUNDUP(IF(ISBLANK($U719),$T719,$U719)/IF(AND($B719=1,$D$2&lt;&gt;"Egyszeri"),1,VLOOKUP($B719+IF($C719=12,1,0),Paraméterek!$B$257:$D$267,IF($D$2="Egyszeri",3,2))),IF($D$4="Forint",0,2)))</f>
        <v>-616340</v>
      </c>
      <c r="W719" s="13">
        <f ca="1">ROUNDDOWN($V719*VLOOKUP($B719+IF($C719=12,1,0),Paraméterek!$B$257:$D$267,IF($D$2="Egyszeri",3,2)),IF($D$4="Forint",0,2))</f>
        <v>-616340</v>
      </c>
      <c r="Y719" s="32">
        <v>700</v>
      </c>
      <c r="Z719" s="32">
        <v>59</v>
      </c>
      <c r="AA719" s="32">
        <v>4</v>
      </c>
      <c r="AB719" s="13">
        <f t="shared" si="161"/>
        <v>0</v>
      </c>
      <c r="AC719" s="33"/>
      <c r="AD719" s="13">
        <f t="shared" si="157"/>
        <v>0</v>
      </c>
      <c r="AE719" s="13">
        <f>ROUNDUP(($AB719+$AD719)*VLOOKUP($Z719,Paraméterek!$P$38:$Q$38,2)/12,IF($D$4="Forint",0,2))</f>
        <v>0</v>
      </c>
      <c r="AF719" s="13">
        <f>IF($D$2="Egyszeri",IF($D$7&gt;=IF($D$4="Forint",Paraméterek!$P$223,Paraméterek!$P$224),$D$7-IF($D$4="Forint",Paraméterek!$F$223,Paraméterek!$F$224),0),MIN(IF($AA719=12,AVERAGE($D$20:$D719)*12,0),SUM($D$20:$D$31)))</f>
        <v>0</v>
      </c>
      <c r="AG719" s="13">
        <f>IF(AND($Z719&gt;=10,MOD($Z719,5)=0),$AF719*IF($AA719=12,VLOOKUP($Z719,Paraméterek!$B$225:$F$240,IF($AF719&lt;IF($D$4="Forint",Paraméterek!$C$223,Paraméterek!$C$224),2,IF($AF719&lt;IF($D$4="Forint",Paraméterek!$D$223,Paraméterek!$D$224),3,4))),0),0)</f>
        <v>0</v>
      </c>
      <c r="AH719" s="13">
        <f>IF(AND($Z719&gt;=5,MOD($Z719,5)=0),IF($AA719=12,VLOOKUP($Z719,Paraméterek!$B$225:$F$240,5),0),IF(OR($Z719=3,$Z719=4),IF($AA719=12,VLOOKUP($Z719,Paraméterek!$B$225:$F$240,5,0),0),0))*$AF719</f>
        <v>0</v>
      </c>
      <c r="AI719" s="13">
        <f>ROUNDDOWN(IF(SUM($T$20:$U719)=0,IF($D$2="Egyszeri",$AH719,$AG719),0),IF($D$4="Forint",0,2))</f>
        <v>0</v>
      </c>
      <c r="AJ719" s="13">
        <f t="shared" si="162"/>
        <v>0</v>
      </c>
      <c r="AK719" s="13">
        <f t="shared" si="163"/>
        <v>0</v>
      </c>
      <c r="AM719" s="32">
        <v>700</v>
      </c>
      <c r="AN719" s="32">
        <v>59</v>
      </c>
      <c r="AO719" s="32">
        <v>4</v>
      </c>
      <c r="AP719" s="13"/>
      <c r="AQ719" s="32"/>
      <c r="AR719" s="13">
        <f t="shared" si="164"/>
        <v>0</v>
      </c>
      <c r="AS719" s="33"/>
      <c r="AT719" s="13">
        <f t="shared" si="158"/>
        <v>0</v>
      </c>
      <c r="AU719" s="13">
        <f>ROUNDUP(($AR719+$AT719)*VLOOKUP($AN719,Paraméterek!$P$38:$Q$38,2)/12,IF($D$4="Forint",0,2))</f>
        <v>0</v>
      </c>
      <c r="AV719" s="13"/>
      <c r="AW719" s="13"/>
      <c r="AX719" s="13">
        <f>ROUNDUP(IF(SUM($AV719:$AW719)=0,0,IF(IF(ISBLANK($AW719),$AV719,$AW719)*Paraméterek!$J$112&lt;IF($D$4="Forint",Paraméterek!$J$113,Paraméterek!$K$113),IF($D$4="Forint",Paraméterek!$J$113,Paraméterek!$K$113),IF(IF(ISBLANK($AW719),$AV719,$AW719)*Paraméterek!$J$112&gt;IF($D$4="Forint",Paraméterek!$J$114,Paraméterek!$K$114),IF($D$4="Forint",Paraméterek!$J$114,Paraméterek!$K$114),IF(ISBLANK($AW719),$AV719,$AW719)*Paraméterek!$J$112))),IF($D$4="Forint",0,2))</f>
        <v>0</v>
      </c>
      <c r="AY719" s="13">
        <f>$AR719+$AT719-$AU719-IF(ROUNDDOWN(IF(ISBLANK($AW719),$AV719,$AW719),IF($D$4="Forint",0,2))&gt;$AR719+$AT719-$AU719-IF($D$4="Forint",Paraméterek!$J$114,Paraméterek!$K$114),0,ROUNDDOWN(IF(ISBLANK($AW719),$AV719,$AW719),IF($D$4="Forint",0,2))-$AX719)</f>
        <v>0</v>
      </c>
      <c r="AZ719" s="13">
        <f t="shared" si="159"/>
        <v>0</v>
      </c>
    </row>
    <row r="720" spans="1:52" x14ac:dyDescent="0.2">
      <c r="A720" s="32">
        <v>701</v>
      </c>
      <c r="B720" s="32">
        <v>59</v>
      </c>
      <c r="C720" s="32">
        <v>5</v>
      </c>
      <c r="D720" s="13">
        <f t="shared" si="150"/>
        <v>0</v>
      </c>
      <c r="E720" s="13"/>
      <c r="F720" s="13"/>
      <c r="G720" s="13"/>
      <c r="H720" s="13">
        <f t="shared" si="151"/>
        <v>0</v>
      </c>
      <c r="I720" s="13">
        <f t="shared" si="152"/>
        <v>0</v>
      </c>
      <c r="J720" s="13">
        <f t="shared" si="153"/>
        <v>0</v>
      </c>
      <c r="K720" s="13">
        <f>ROUNDUP(IF($D$2="Egyszeri",$D720,IF($D$2="Havi",SUM($D$20:$D$31),IF(MOD($C720,$M$1)-1=0,SUM($D$20:$D$31),0))/12*$M$1)*VLOOKUP($B720,Paraméterek!$B$27:$D$30,IF($D$2="Egyszeri",3,2)),IF($D$4="Forint",0,2))</f>
        <v>0</v>
      </c>
      <c r="L720" s="13">
        <f t="shared" si="154"/>
        <v>0</v>
      </c>
      <c r="M720" s="13">
        <f t="shared" ca="1" si="160"/>
        <v>-616340</v>
      </c>
      <c r="N720" s="13">
        <f ca="1">IF($V719&gt;=VLOOKUP($M$4-1+$B720,Paraméterek!$B$121:$D$122,IF($D$4="Forint",2,3)),0,VLOOKUP($M$4-1+$B720,Paraméterek!$B$121:$D$122,IF($D$4="Forint",2,3))-$V719)</f>
        <v>626340</v>
      </c>
      <c r="O720" s="13">
        <f ca="1">ROUNDUP($N720*Paraméterek!$C$58/Paraméterek!$C$56,IF($D$4="Forint",0,2))</f>
        <v>100</v>
      </c>
      <c r="P720" s="13">
        <f t="shared" si="155"/>
        <v>3055</v>
      </c>
      <c r="Q720" s="33"/>
      <c r="R720" s="13">
        <f t="shared" ca="1" si="156"/>
        <v>0</v>
      </c>
      <c r="S720" s="13">
        <f ca="1">ROUNDUP(($M720-$O720-$P720+$R720)*VLOOKUP($B720,Paraméterek!$B$38:$D$39,IF($D$2="Egyszeri",3,2))/12,IF($D$4="Forint",0,2))</f>
        <v>-1513</v>
      </c>
      <c r="T720" s="13"/>
      <c r="U720" s="13"/>
      <c r="V720" s="13">
        <f ca="1">$M720-$O720-$P720+$R720-$S720-IF(ROUNDUP(IF(ISBLANK($U720),$T720,$U720)/IF(AND($B720=1,$D$2&lt;&gt;"Egyszeri"),1,VLOOKUP($B720+IF($C720=12,1,0),Paraméterek!$B$257:$D$267,IF($D$2="Egyszeri",3,2))),IF($D$4="Forint",0,2))&gt;$M720-$O720-$P720+$R720-$S720-IF($D$4="Forint",Paraméterek!$C$216,Paraméterek!$D$216),0,ROUNDUP(IF(ISBLANK($U720),$T720,$U720)/IF(AND($B720=1,$D$2&lt;&gt;"Egyszeri"),1,VLOOKUP($B720+IF($C720=12,1,0),Paraméterek!$B$257:$D$267,IF($D$2="Egyszeri",3,2))),IF($D$4="Forint",0,2)))</f>
        <v>-617982</v>
      </c>
      <c r="W720" s="13">
        <f ca="1">ROUNDDOWN($V720*VLOOKUP($B720+IF($C720=12,1,0),Paraméterek!$B$257:$D$267,IF($D$2="Egyszeri",3,2)),IF($D$4="Forint",0,2))</f>
        <v>-617982</v>
      </c>
      <c r="Y720" s="32">
        <v>701</v>
      </c>
      <c r="Z720" s="32">
        <v>59</v>
      </c>
      <c r="AA720" s="32">
        <v>5</v>
      </c>
      <c r="AB720" s="13">
        <f t="shared" si="161"/>
        <v>0</v>
      </c>
      <c r="AC720" s="33"/>
      <c r="AD720" s="13">
        <f t="shared" si="157"/>
        <v>0</v>
      </c>
      <c r="AE720" s="13">
        <f>ROUNDUP(($AB720+$AD720)*VLOOKUP($Z720,Paraméterek!$P$38:$Q$38,2)/12,IF($D$4="Forint",0,2))</f>
        <v>0</v>
      </c>
      <c r="AF720" s="13">
        <f>IF($D$2="Egyszeri",IF($D$7&gt;=IF($D$4="Forint",Paraméterek!$P$223,Paraméterek!$P$224),$D$7-IF($D$4="Forint",Paraméterek!$F$223,Paraméterek!$F$224),0),MIN(IF($AA720=12,AVERAGE($D$20:$D720)*12,0),SUM($D$20:$D$31)))</f>
        <v>0</v>
      </c>
      <c r="AG720" s="13">
        <f>IF(AND($Z720&gt;=10,MOD($Z720,5)=0),$AF720*IF($AA720=12,VLOOKUP($Z720,Paraméterek!$B$225:$F$240,IF($AF720&lt;IF($D$4="Forint",Paraméterek!$C$223,Paraméterek!$C$224),2,IF($AF720&lt;IF($D$4="Forint",Paraméterek!$D$223,Paraméterek!$D$224),3,4))),0),0)</f>
        <v>0</v>
      </c>
      <c r="AH720" s="13">
        <f>IF(AND($Z720&gt;=5,MOD($Z720,5)=0),IF($AA720=12,VLOOKUP($Z720,Paraméterek!$B$225:$F$240,5),0),IF(OR($Z720=3,$Z720=4),IF($AA720=12,VLOOKUP($Z720,Paraméterek!$B$225:$F$240,5,0),0),0))*$AF720</f>
        <v>0</v>
      </c>
      <c r="AI720" s="13">
        <f>ROUNDDOWN(IF(SUM($T$20:$U720)=0,IF($D$2="Egyszeri",$AH720,$AG720),0),IF($D$4="Forint",0,2))</f>
        <v>0</v>
      </c>
      <c r="AJ720" s="13">
        <f t="shared" si="162"/>
        <v>0</v>
      </c>
      <c r="AK720" s="13">
        <f t="shared" si="163"/>
        <v>0</v>
      </c>
      <c r="AM720" s="32">
        <v>701</v>
      </c>
      <c r="AN720" s="32">
        <v>59</v>
      </c>
      <c r="AO720" s="32">
        <v>5</v>
      </c>
      <c r="AP720" s="13"/>
      <c r="AQ720" s="32"/>
      <c r="AR720" s="13">
        <f t="shared" si="164"/>
        <v>0</v>
      </c>
      <c r="AS720" s="33"/>
      <c r="AT720" s="13">
        <f t="shared" si="158"/>
        <v>0</v>
      </c>
      <c r="AU720" s="13">
        <f>ROUNDUP(($AR720+$AT720)*VLOOKUP($AN720,Paraméterek!$P$38:$Q$38,2)/12,IF($D$4="Forint",0,2))</f>
        <v>0</v>
      </c>
      <c r="AV720" s="13"/>
      <c r="AW720" s="13"/>
      <c r="AX720" s="13">
        <f>ROUNDUP(IF(SUM($AV720:$AW720)=0,0,IF(IF(ISBLANK($AW720),$AV720,$AW720)*Paraméterek!$J$112&lt;IF($D$4="Forint",Paraméterek!$J$113,Paraméterek!$K$113),IF($D$4="Forint",Paraméterek!$J$113,Paraméterek!$K$113),IF(IF(ISBLANK($AW720),$AV720,$AW720)*Paraméterek!$J$112&gt;IF($D$4="Forint",Paraméterek!$J$114,Paraméterek!$K$114),IF($D$4="Forint",Paraméterek!$J$114,Paraméterek!$K$114),IF(ISBLANK($AW720),$AV720,$AW720)*Paraméterek!$J$112))),IF($D$4="Forint",0,2))</f>
        <v>0</v>
      </c>
      <c r="AY720" s="13">
        <f>$AR720+$AT720-$AU720-IF(ROUNDDOWN(IF(ISBLANK($AW720),$AV720,$AW720),IF($D$4="Forint",0,2))&gt;$AR720+$AT720-$AU720-IF($D$4="Forint",Paraméterek!$J$114,Paraméterek!$K$114),0,ROUNDDOWN(IF(ISBLANK($AW720),$AV720,$AW720),IF($D$4="Forint",0,2))-$AX720)</f>
        <v>0</v>
      </c>
      <c r="AZ720" s="13">
        <f t="shared" si="159"/>
        <v>0</v>
      </c>
    </row>
    <row r="721" spans="1:52" x14ac:dyDescent="0.2">
      <c r="A721" s="32">
        <v>702</v>
      </c>
      <c r="B721" s="32">
        <v>59</v>
      </c>
      <c r="C721" s="32">
        <v>6</v>
      </c>
      <c r="D721" s="13">
        <f t="shared" si="150"/>
        <v>0</v>
      </c>
      <c r="E721" s="13"/>
      <c r="F721" s="13"/>
      <c r="G721" s="13"/>
      <c r="H721" s="13">
        <f t="shared" si="151"/>
        <v>0</v>
      </c>
      <c r="I721" s="13">
        <f t="shared" si="152"/>
        <v>0</v>
      </c>
      <c r="J721" s="13">
        <f t="shared" si="153"/>
        <v>0</v>
      </c>
      <c r="K721" s="13">
        <f>ROUNDUP(IF($D$2="Egyszeri",$D721,IF($D$2="Havi",SUM($D$20:$D$31),IF(MOD($C721,$M$1)-1=0,SUM($D$20:$D$31),0))/12*$M$1)*VLOOKUP($B721,Paraméterek!$B$27:$D$30,IF($D$2="Egyszeri",3,2)),IF($D$4="Forint",0,2))</f>
        <v>0</v>
      </c>
      <c r="L721" s="13">
        <f t="shared" si="154"/>
        <v>0</v>
      </c>
      <c r="M721" s="13">
        <f t="shared" ca="1" si="160"/>
        <v>-617982</v>
      </c>
      <c r="N721" s="13">
        <f ca="1">IF($V720&gt;=VLOOKUP($M$4-1+$B721,Paraméterek!$B$121:$D$122,IF($D$4="Forint",2,3)),0,VLOOKUP($M$4-1+$B721,Paraméterek!$B$121:$D$122,IF($D$4="Forint",2,3))-$V720)</f>
        <v>627982</v>
      </c>
      <c r="O721" s="13">
        <f ca="1">ROUNDUP($N721*Paraméterek!$C$58/Paraméterek!$C$56,IF($D$4="Forint",0,2))</f>
        <v>100</v>
      </c>
      <c r="P721" s="13">
        <f t="shared" si="155"/>
        <v>3055</v>
      </c>
      <c r="Q721" s="33"/>
      <c r="R721" s="13">
        <f t="shared" ca="1" si="156"/>
        <v>0</v>
      </c>
      <c r="S721" s="13">
        <f ca="1">ROUNDUP(($M721-$O721-$P721+$R721)*VLOOKUP($B721,Paraméterek!$B$38:$D$39,IF($D$2="Egyszeri",3,2))/12,IF($D$4="Forint",0,2))</f>
        <v>-1517</v>
      </c>
      <c r="T721" s="13"/>
      <c r="U721" s="13"/>
      <c r="V721" s="13">
        <f ca="1">$M721-$O721-$P721+$R721-$S721-IF(ROUNDUP(IF(ISBLANK($U721),$T721,$U721)/IF(AND($B721=1,$D$2&lt;&gt;"Egyszeri"),1,VLOOKUP($B721+IF($C721=12,1,0),Paraméterek!$B$257:$D$267,IF($D$2="Egyszeri",3,2))),IF($D$4="Forint",0,2))&gt;$M721-$O721-$P721+$R721-$S721-IF($D$4="Forint",Paraméterek!$C$216,Paraméterek!$D$216),0,ROUNDUP(IF(ISBLANK($U721),$T721,$U721)/IF(AND($B721=1,$D$2&lt;&gt;"Egyszeri"),1,VLOOKUP($B721+IF($C721=12,1,0),Paraméterek!$B$257:$D$267,IF($D$2="Egyszeri",3,2))),IF($D$4="Forint",0,2)))</f>
        <v>-619620</v>
      </c>
      <c r="W721" s="13">
        <f ca="1">ROUNDDOWN($V721*VLOOKUP($B721+IF($C721=12,1,0),Paraméterek!$B$257:$D$267,IF($D$2="Egyszeri",3,2)),IF($D$4="Forint",0,2))</f>
        <v>-619620</v>
      </c>
      <c r="Y721" s="32">
        <v>702</v>
      </c>
      <c r="Z721" s="32">
        <v>59</v>
      </c>
      <c r="AA721" s="32">
        <v>6</v>
      </c>
      <c r="AB721" s="13">
        <f t="shared" si="161"/>
        <v>0</v>
      </c>
      <c r="AC721" s="33"/>
      <c r="AD721" s="13">
        <f t="shared" si="157"/>
        <v>0</v>
      </c>
      <c r="AE721" s="13">
        <f>ROUNDUP(($AB721+$AD721)*VLOOKUP($Z721,Paraméterek!$P$38:$Q$38,2)/12,IF($D$4="Forint",0,2))</f>
        <v>0</v>
      </c>
      <c r="AF721" s="13">
        <f>IF($D$2="Egyszeri",IF($D$7&gt;=IF($D$4="Forint",Paraméterek!$P$223,Paraméterek!$P$224),$D$7-IF($D$4="Forint",Paraméterek!$F$223,Paraméterek!$F$224),0),MIN(IF($AA721=12,AVERAGE($D$20:$D721)*12,0),SUM($D$20:$D$31)))</f>
        <v>0</v>
      </c>
      <c r="AG721" s="13">
        <f>IF(AND($Z721&gt;=10,MOD($Z721,5)=0),$AF721*IF($AA721=12,VLOOKUP($Z721,Paraméterek!$B$225:$F$240,IF($AF721&lt;IF($D$4="Forint",Paraméterek!$C$223,Paraméterek!$C$224),2,IF($AF721&lt;IF($D$4="Forint",Paraméterek!$D$223,Paraméterek!$D$224),3,4))),0),0)</f>
        <v>0</v>
      </c>
      <c r="AH721" s="13">
        <f>IF(AND($Z721&gt;=5,MOD($Z721,5)=0),IF($AA721=12,VLOOKUP($Z721,Paraméterek!$B$225:$F$240,5),0),IF(OR($Z721=3,$Z721=4),IF($AA721=12,VLOOKUP($Z721,Paraméterek!$B$225:$F$240,5,0),0),0))*$AF721</f>
        <v>0</v>
      </c>
      <c r="AI721" s="13">
        <f>ROUNDDOWN(IF(SUM($T$20:$U721)=0,IF($D$2="Egyszeri",$AH721,$AG721),0),IF($D$4="Forint",0,2))</f>
        <v>0</v>
      </c>
      <c r="AJ721" s="13">
        <f t="shared" si="162"/>
        <v>0</v>
      </c>
      <c r="AK721" s="13">
        <f t="shared" si="163"/>
        <v>0</v>
      </c>
      <c r="AM721" s="32">
        <v>702</v>
      </c>
      <c r="AN721" s="32">
        <v>59</v>
      </c>
      <c r="AO721" s="32">
        <v>6</v>
      </c>
      <c r="AP721" s="13"/>
      <c r="AQ721" s="32"/>
      <c r="AR721" s="13">
        <f t="shared" si="164"/>
        <v>0</v>
      </c>
      <c r="AS721" s="33"/>
      <c r="AT721" s="13">
        <f t="shared" si="158"/>
        <v>0</v>
      </c>
      <c r="AU721" s="13">
        <f>ROUNDUP(($AR721+$AT721)*VLOOKUP($AN721,Paraméterek!$P$38:$Q$38,2)/12,IF($D$4="Forint",0,2))</f>
        <v>0</v>
      </c>
      <c r="AV721" s="13"/>
      <c r="AW721" s="13"/>
      <c r="AX721" s="13">
        <f>ROUNDUP(IF(SUM($AV721:$AW721)=0,0,IF(IF(ISBLANK($AW721),$AV721,$AW721)*Paraméterek!$J$112&lt;IF($D$4="Forint",Paraméterek!$J$113,Paraméterek!$K$113),IF($D$4="Forint",Paraméterek!$J$113,Paraméterek!$K$113),IF(IF(ISBLANK($AW721),$AV721,$AW721)*Paraméterek!$J$112&gt;IF($D$4="Forint",Paraméterek!$J$114,Paraméterek!$K$114),IF($D$4="Forint",Paraméterek!$J$114,Paraméterek!$K$114),IF(ISBLANK($AW721),$AV721,$AW721)*Paraméterek!$J$112))),IF($D$4="Forint",0,2))</f>
        <v>0</v>
      </c>
      <c r="AY721" s="13">
        <f>$AR721+$AT721-$AU721-IF(ROUNDDOWN(IF(ISBLANK($AW721),$AV721,$AW721),IF($D$4="Forint",0,2))&gt;$AR721+$AT721-$AU721-IF($D$4="Forint",Paraméterek!$J$114,Paraméterek!$K$114),0,ROUNDDOWN(IF(ISBLANK($AW721),$AV721,$AW721),IF($D$4="Forint",0,2))-$AX721)</f>
        <v>0</v>
      </c>
      <c r="AZ721" s="13">
        <f t="shared" si="159"/>
        <v>0</v>
      </c>
    </row>
    <row r="722" spans="1:52" x14ac:dyDescent="0.2">
      <c r="A722" s="32">
        <v>703</v>
      </c>
      <c r="B722" s="32">
        <v>59</v>
      </c>
      <c r="C722" s="32">
        <v>7</v>
      </c>
      <c r="D722" s="13">
        <f t="shared" si="150"/>
        <v>0</v>
      </c>
      <c r="E722" s="13"/>
      <c r="F722" s="13"/>
      <c r="G722" s="13"/>
      <c r="H722" s="13">
        <f t="shared" si="151"/>
        <v>0</v>
      </c>
      <c r="I722" s="13">
        <f t="shared" si="152"/>
        <v>0</v>
      </c>
      <c r="J722" s="13">
        <f t="shared" si="153"/>
        <v>0</v>
      </c>
      <c r="K722" s="13">
        <f>ROUNDUP(IF($D$2="Egyszeri",$D722,IF($D$2="Havi",SUM($D$20:$D$31),IF(MOD($C722,$M$1)-1=0,SUM($D$20:$D$31),0))/12*$M$1)*VLOOKUP($B722,Paraméterek!$B$27:$D$30,IF($D$2="Egyszeri",3,2)),IF($D$4="Forint",0,2))</f>
        <v>0</v>
      </c>
      <c r="L722" s="13">
        <f t="shared" si="154"/>
        <v>0</v>
      </c>
      <c r="M722" s="13">
        <f t="shared" ca="1" si="160"/>
        <v>-619620</v>
      </c>
      <c r="N722" s="13">
        <f ca="1">IF($V721&gt;=VLOOKUP($M$4-1+$B722,Paraméterek!$B$121:$D$122,IF($D$4="Forint",2,3)),0,VLOOKUP($M$4-1+$B722,Paraméterek!$B$121:$D$122,IF($D$4="Forint",2,3))-$V721)</f>
        <v>629620</v>
      </c>
      <c r="O722" s="13">
        <f ca="1">ROUNDUP($N722*Paraméterek!$C$58/Paraméterek!$C$56,IF($D$4="Forint",0,2))</f>
        <v>101</v>
      </c>
      <c r="P722" s="13">
        <f t="shared" si="155"/>
        <v>3055</v>
      </c>
      <c r="Q722" s="33"/>
      <c r="R722" s="13">
        <f t="shared" ca="1" si="156"/>
        <v>0</v>
      </c>
      <c r="S722" s="13">
        <f ca="1">ROUNDUP(($M722-$O722-$P722+$R722)*VLOOKUP($B722,Paraméterek!$B$38:$D$39,IF($D$2="Egyszeri",3,2))/12,IF($D$4="Forint",0,2))</f>
        <v>-1521</v>
      </c>
      <c r="T722" s="13"/>
      <c r="U722" s="13"/>
      <c r="V722" s="13">
        <f ca="1">$M722-$O722-$P722+$R722-$S722-IF(ROUNDUP(IF(ISBLANK($U722),$T722,$U722)/IF(AND($B722=1,$D$2&lt;&gt;"Egyszeri"),1,VLOOKUP($B722+IF($C722=12,1,0),Paraméterek!$B$257:$D$267,IF($D$2="Egyszeri",3,2))),IF($D$4="Forint",0,2))&gt;$M722-$O722-$P722+$R722-$S722-IF($D$4="Forint",Paraméterek!$C$216,Paraméterek!$D$216),0,ROUNDUP(IF(ISBLANK($U722),$T722,$U722)/IF(AND($B722=1,$D$2&lt;&gt;"Egyszeri"),1,VLOOKUP($B722+IF($C722=12,1,0),Paraméterek!$B$257:$D$267,IF($D$2="Egyszeri",3,2))),IF($D$4="Forint",0,2)))</f>
        <v>-621255</v>
      </c>
      <c r="W722" s="13">
        <f ca="1">ROUNDDOWN($V722*VLOOKUP($B722+IF($C722=12,1,0),Paraméterek!$B$257:$D$267,IF($D$2="Egyszeri",3,2)),IF($D$4="Forint",0,2))</f>
        <v>-621255</v>
      </c>
      <c r="Y722" s="32">
        <v>703</v>
      </c>
      <c r="Z722" s="32">
        <v>59</v>
      </c>
      <c r="AA722" s="32">
        <v>7</v>
      </c>
      <c r="AB722" s="13">
        <f t="shared" si="161"/>
        <v>0</v>
      </c>
      <c r="AC722" s="33"/>
      <c r="AD722" s="13">
        <f t="shared" si="157"/>
        <v>0</v>
      </c>
      <c r="AE722" s="13">
        <f>ROUNDUP(($AB722+$AD722)*VLOOKUP($Z722,Paraméterek!$P$38:$Q$38,2)/12,IF($D$4="Forint",0,2))</f>
        <v>0</v>
      </c>
      <c r="AF722" s="13">
        <f>IF($D$2="Egyszeri",IF($D$7&gt;=IF($D$4="Forint",Paraméterek!$P$223,Paraméterek!$P$224),$D$7-IF($D$4="Forint",Paraméterek!$F$223,Paraméterek!$F$224),0),MIN(IF($AA722=12,AVERAGE($D$20:$D722)*12,0),SUM($D$20:$D$31)))</f>
        <v>0</v>
      </c>
      <c r="AG722" s="13">
        <f>IF(AND($Z722&gt;=10,MOD($Z722,5)=0),$AF722*IF($AA722=12,VLOOKUP($Z722,Paraméterek!$B$225:$F$240,IF($AF722&lt;IF($D$4="Forint",Paraméterek!$C$223,Paraméterek!$C$224),2,IF($AF722&lt;IF($D$4="Forint",Paraméterek!$D$223,Paraméterek!$D$224),3,4))),0),0)</f>
        <v>0</v>
      </c>
      <c r="AH722" s="13">
        <f>IF(AND($Z722&gt;=5,MOD($Z722,5)=0),IF($AA722=12,VLOOKUP($Z722,Paraméterek!$B$225:$F$240,5),0),IF(OR($Z722=3,$Z722=4),IF($AA722=12,VLOOKUP($Z722,Paraméterek!$B$225:$F$240,5,0),0),0))*$AF722</f>
        <v>0</v>
      </c>
      <c r="AI722" s="13">
        <f>ROUNDDOWN(IF(SUM($T$20:$U722)=0,IF($D$2="Egyszeri",$AH722,$AG722),0),IF($D$4="Forint",0,2))</f>
        <v>0</v>
      </c>
      <c r="AJ722" s="13">
        <f t="shared" si="162"/>
        <v>0</v>
      </c>
      <c r="AK722" s="13">
        <f t="shared" si="163"/>
        <v>0</v>
      </c>
      <c r="AM722" s="32">
        <v>703</v>
      </c>
      <c r="AN722" s="32">
        <v>59</v>
      </c>
      <c r="AO722" s="32">
        <v>7</v>
      </c>
      <c r="AP722" s="13"/>
      <c r="AQ722" s="32"/>
      <c r="AR722" s="13">
        <f t="shared" si="164"/>
        <v>0</v>
      </c>
      <c r="AS722" s="33"/>
      <c r="AT722" s="13">
        <f t="shared" si="158"/>
        <v>0</v>
      </c>
      <c r="AU722" s="13">
        <f>ROUNDUP(($AR722+$AT722)*VLOOKUP($AN722,Paraméterek!$P$38:$Q$38,2)/12,IF($D$4="Forint",0,2))</f>
        <v>0</v>
      </c>
      <c r="AV722" s="13"/>
      <c r="AW722" s="13"/>
      <c r="AX722" s="13">
        <f>ROUNDUP(IF(SUM($AV722:$AW722)=0,0,IF(IF(ISBLANK($AW722),$AV722,$AW722)*Paraméterek!$J$112&lt;IF($D$4="Forint",Paraméterek!$J$113,Paraméterek!$K$113),IF($D$4="Forint",Paraméterek!$J$113,Paraméterek!$K$113),IF(IF(ISBLANK($AW722),$AV722,$AW722)*Paraméterek!$J$112&gt;IF($D$4="Forint",Paraméterek!$J$114,Paraméterek!$K$114),IF($D$4="Forint",Paraméterek!$J$114,Paraméterek!$K$114),IF(ISBLANK($AW722),$AV722,$AW722)*Paraméterek!$J$112))),IF($D$4="Forint",0,2))</f>
        <v>0</v>
      </c>
      <c r="AY722" s="13">
        <f>$AR722+$AT722-$AU722-IF(ROUNDDOWN(IF(ISBLANK($AW722),$AV722,$AW722),IF($D$4="Forint",0,2))&gt;$AR722+$AT722-$AU722-IF($D$4="Forint",Paraméterek!$J$114,Paraméterek!$K$114),0,ROUNDDOWN(IF(ISBLANK($AW722),$AV722,$AW722),IF($D$4="Forint",0,2))-$AX722)</f>
        <v>0</v>
      </c>
      <c r="AZ722" s="13">
        <f t="shared" si="159"/>
        <v>0</v>
      </c>
    </row>
    <row r="723" spans="1:52" x14ac:dyDescent="0.2">
      <c r="A723" s="32">
        <v>704</v>
      </c>
      <c r="B723" s="32">
        <v>59</v>
      </c>
      <c r="C723" s="32">
        <v>8</v>
      </c>
      <c r="D723" s="13">
        <f t="shared" si="150"/>
        <v>0</v>
      </c>
      <c r="E723" s="13"/>
      <c r="F723" s="13"/>
      <c r="G723" s="13"/>
      <c r="H723" s="13">
        <f t="shared" si="151"/>
        <v>0</v>
      </c>
      <c r="I723" s="13">
        <f t="shared" si="152"/>
        <v>0</v>
      </c>
      <c r="J723" s="13">
        <f t="shared" si="153"/>
        <v>0</v>
      </c>
      <c r="K723" s="13">
        <f>ROUNDUP(IF($D$2="Egyszeri",$D723,IF($D$2="Havi",SUM($D$20:$D$31),IF(MOD($C723,$M$1)-1=0,SUM($D$20:$D$31),0))/12*$M$1)*VLOOKUP($B723,Paraméterek!$B$27:$D$30,IF($D$2="Egyszeri",3,2)),IF($D$4="Forint",0,2))</f>
        <v>0</v>
      </c>
      <c r="L723" s="13">
        <f t="shared" si="154"/>
        <v>0</v>
      </c>
      <c r="M723" s="13">
        <f t="shared" ca="1" si="160"/>
        <v>-621255</v>
      </c>
      <c r="N723" s="13">
        <f ca="1">IF($V722&gt;=VLOOKUP($M$4-1+$B723,Paraméterek!$B$121:$D$122,IF($D$4="Forint",2,3)),0,VLOOKUP($M$4-1+$B723,Paraméterek!$B$121:$D$122,IF($D$4="Forint",2,3))-$V722)</f>
        <v>631255</v>
      </c>
      <c r="O723" s="13">
        <f ca="1">ROUNDUP($N723*Paraméterek!$C$58/Paraméterek!$C$56,IF($D$4="Forint",0,2))</f>
        <v>101</v>
      </c>
      <c r="P723" s="13">
        <f t="shared" si="155"/>
        <v>3055</v>
      </c>
      <c r="Q723" s="33"/>
      <c r="R723" s="13">
        <f t="shared" ca="1" si="156"/>
        <v>0</v>
      </c>
      <c r="S723" s="13">
        <f ca="1">ROUNDUP(($M723-$O723-$P723+$R723)*VLOOKUP($B723,Paraméterek!$B$38:$D$39,IF($D$2="Egyszeri",3,2))/12,IF($D$4="Forint",0,2))</f>
        <v>-1525</v>
      </c>
      <c r="T723" s="13"/>
      <c r="U723" s="13"/>
      <c r="V723" s="13">
        <f ca="1">$M723-$O723-$P723+$R723-$S723-IF(ROUNDUP(IF(ISBLANK($U723),$T723,$U723)/IF(AND($B723=1,$D$2&lt;&gt;"Egyszeri"),1,VLOOKUP($B723+IF($C723=12,1,0),Paraméterek!$B$257:$D$267,IF($D$2="Egyszeri",3,2))),IF($D$4="Forint",0,2))&gt;$M723-$O723-$P723+$R723-$S723-IF($D$4="Forint",Paraméterek!$C$216,Paraméterek!$D$216),0,ROUNDUP(IF(ISBLANK($U723),$T723,$U723)/IF(AND($B723=1,$D$2&lt;&gt;"Egyszeri"),1,VLOOKUP($B723+IF($C723=12,1,0),Paraméterek!$B$257:$D$267,IF($D$2="Egyszeri",3,2))),IF($D$4="Forint",0,2)))</f>
        <v>-622886</v>
      </c>
      <c r="W723" s="13">
        <f ca="1">ROUNDDOWN($V723*VLOOKUP($B723+IF($C723=12,1,0),Paraméterek!$B$257:$D$267,IF($D$2="Egyszeri",3,2)),IF($D$4="Forint",0,2))</f>
        <v>-622886</v>
      </c>
      <c r="Y723" s="32">
        <v>704</v>
      </c>
      <c r="Z723" s="32">
        <v>59</v>
      </c>
      <c r="AA723" s="32">
        <v>8</v>
      </c>
      <c r="AB723" s="13">
        <f t="shared" si="161"/>
        <v>0</v>
      </c>
      <c r="AC723" s="33"/>
      <c r="AD723" s="13">
        <f t="shared" si="157"/>
        <v>0</v>
      </c>
      <c r="AE723" s="13">
        <f>ROUNDUP(($AB723+$AD723)*VLOOKUP($Z723,Paraméterek!$P$38:$Q$38,2)/12,IF($D$4="Forint",0,2))</f>
        <v>0</v>
      </c>
      <c r="AF723" s="13">
        <f>IF($D$2="Egyszeri",IF($D$7&gt;=IF($D$4="Forint",Paraméterek!$P$223,Paraméterek!$P$224),$D$7-IF($D$4="Forint",Paraméterek!$F$223,Paraméterek!$F$224),0),MIN(IF($AA723=12,AVERAGE($D$20:$D723)*12,0),SUM($D$20:$D$31)))</f>
        <v>0</v>
      </c>
      <c r="AG723" s="13">
        <f>IF(AND($Z723&gt;=10,MOD($Z723,5)=0),$AF723*IF($AA723=12,VLOOKUP($Z723,Paraméterek!$B$225:$F$240,IF($AF723&lt;IF($D$4="Forint",Paraméterek!$C$223,Paraméterek!$C$224),2,IF($AF723&lt;IF($D$4="Forint",Paraméterek!$D$223,Paraméterek!$D$224),3,4))),0),0)</f>
        <v>0</v>
      </c>
      <c r="AH723" s="13">
        <f>IF(AND($Z723&gt;=5,MOD($Z723,5)=0),IF($AA723=12,VLOOKUP($Z723,Paraméterek!$B$225:$F$240,5),0),IF(OR($Z723=3,$Z723=4),IF($AA723=12,VLOOKUP($Z723,Paraméterek!$B$225:$F$240,5,0),0),0))*$AF723</f>
        <v>0</v>
      </c>
      <c r="AI723" s="13">
        <f>ROUNDDOWN(IF(SUM($T$20:$U723)=0,IF($D$2="Egyszeri",$AH723,$AG723),0),IF($D$4="Forint",0,2))</f>
        <v>0</v>
      </c>
      <c r="AJ723" s="13">
        <f t="shared" si="162"/>
        <v>0</v>
      </c>
      <c r="AK723" s="13">
        <f t="shared" si="163"/>
        <v>0</v>
      </c>
      <c r="AM723" s="32">
        <v>704</v>
      </c>
      <c r="AN723" s="32">
        <v>59</v>
      </c>
      <c r="AO723" s="32">
        <v>8</v>
      </c>
      <c r="AP723" s="13"/>
      <c r="AQ723" s="32"/>
      <c r="AR723" s="13">
        <f t="shared" si="164"/>
        <v>0</v>
      </c>
      <c r="AS723" s="33"/>
      <c r="AT723" s="13">
        <f t="shared" si="158"/>
        <v>0</v>
      </c>
      <c r="AU723" s="13">
        <f>ROUNDUP(($AR723+$AT723)*VLOOKUP($AN723,Paraméterek!$P$38:$Q$38,2)/12,IF($D$4="Forint",0,2))</f>
        <v>0</v>
      </c>
      <c r="AV723" s="13"/>
      <c r="AW723" s="13"/>
      <c r="AX723" s="13">
        <f>ROUNDUP(IF(SUM($AV723:$AW723)=0,0,IF(IF(ISBLANK($AW723),$AV723,$AW723)*Paraméterek!$J$112&lt;IF($D$4="Forint",Paraméterek!$J$113,Paraméterek!$K$113),IF($D$4="Forint",Paraméterek!$J$113,Paraméterek!$K$113),IF(IF(ISBLANK($AW723),$AV723,$AW723)*Paraméterek!$J$112&gt;IF($D$4="Forint",Paraméterek!$J$114,Paraméterek!$K$114),IF($D$4="Forint",Paraméterek!$J$114,Paraméterek!$K$114),IF(ISBLANK($AW723),$AV723,$AW723)*Paraméterek!$J$112))),IF($D$4="Forint",0,2))</f>
        <v>0</v>
      </c>
      <c r="AY723" s="13">
        <f>$AR723+$AT723-$AU723-IF(ROUNDDOWN(IF(ISBLANK($AW723),$AV723,$AW723),IF($D$4="Forint",0,2))&gt;$AR723+$AT723-$AU723-IF($D$4="Forint",Paraméterek!$J$114,Paraméterek!$K$114),0,ROUNDDOWN(IF(ISBLANK($AW723),$AV723,$AW723),IF($D$4="Forint",0,2))-$AX723)</f>
        <v>0</v>
      </c>
      <c r="AZ723" s="13">
        <f t="shared" si="159"/>
        <v>0</v>
      </c>
    </row>
    <row r="724" spans="1:52" x14ac:dyDescent="0.2">
      <c r="A724" s="32">
        <v>705</v>
      </c>
      <c r="B724" s="32">
        <v>59</v>
      </c>
      <c r="C724" s="32">
        <v>9</v>
      </c>
      <c r="D724" s="13">
        <f t="shared" si="150"/>
        <v>0</v>
      </c>
      <c r="E724" s="13"/>
      <c r="F724" s="13"/>
      <c r="G724" s="13"/>
      <c r="H724" s="13">
        <f t="shared" si="151"/>
        <v>0</v>
      </c>
      <c r="I724" s="13">
        <f t="shared" si="152"/>
        <v>0</v>
      </c>
      <c r="J724" s="13">
        <f t="shared" si="153"/>
        <v>0</v>
      </c>
      <c r="K724" s="13">
        <f>ROUNDUP(IF($D$2="Egyszeri",$D724,IF($D$2="Havi",SUM($D$20:$D$31),IF(MOD($C724,$M$1)-1=0,SUM($D$20:$D$31),0))/12*$M$1)*VLOOKUP($B724,Paraméterek!$B$27:$D$30,IF($D$2="Egyszeri",3,2)),IF($D$4="Forint",0,2))</f>
        <v>0</v>
      </c>
      <c r="L724" s="13">
        <f t="shared" si="154"/>
        <v>0</v>
      </c>
      <c r="M724" s="13">
        <f t="shared" ca="1" si="160"/>
        <v>-622886</v>
      </c>
      <c r="N724" s="13">
        <f ca="1">IF($V723&gt;=VLOOKUP($M$4-1+$B724,Paraméterek!$B$121:$D$122,IF($D$4="Forint",2,3)),0,VLOOKUP($M$4-1+$B724,Paraméterek!$B$121:$D$122,IF($D$4="Forint",2,3))-$V723)</f>
        <v>632886</v>
      </c>
      <c r="O724" s="13">
        <f ca="1">ROUNDUP($N724*Paraméterek!$C$58/Paraméterek!$C$56,IF($D$4="Forint",0,2))</f>
        <v>101</v>
      </c>
      <c r="P724" s="13">
        <f t="shared" si="155"/>
        <v>3055</v>
      </c>
      <c r="Q724" s="33"/>
      <c r="R724" s="13">
        <f t="shared" ca="1" si="156"/>
        <v>0</v>
      </c>
      <c r="S724" s="13">
        <f ca="1">ROUNDUP(($M724-$O724-$P724+$R724)*VLOOKUP($B724,Paraméterek!$B$38:$D$39,IF($D$2="Egyszeri",3,2))/12,IF($D$4="Forint",0,2))</f>
        <v>-1529</v>
      </c>
      <c r="T724" s="13"/>
      <c r="U724" s="13"/>
      <c r="V724" s="13">
        <f ca="1">$M724-$O724-$P724+$R724-$S724-IF(ROUNDUP(IF(ISBLANK($U724),$T724,$U724)/IF(AND($B724=1,$D$2&lt;&gt;"Egyszeri"),1,VLOOKUP($B724+IF($C724=12,1,0),Paraméterek!$B$257:$D$267,IF($D$2="Egyszeri",3,2))),IF($D$4="Forint",0,2))&gt;$M724-$O724-$P724+$R724-$S724-IF($D$4="Forint",Paraméterek!$C$216,Paraméterek!$D$216),0,ROUNDUP(IF(ISBLANK($U724),$T724,$U724)/IF(AND($B724=1,$D$2&lt;&gt;"Egyszeri"),1,VLOOKUP($B724+IF($C724=12,1,0),Paraméterek!$B$257:$D$267,IF($D$2="Egyszeri",3,2))),IF($D$4="Forint",0,2)))</f>
        <v>-624513</v>
      </c>
      <c r="W724" s="13">
        <f ca="1">ROUNDDOWN($V724*VLOOKUP($B724+IF($C724=12,1,0),Paraméterek!$B$257:$D$267,IF($D$2="Egyszeri",3,2)),IF($D$4="Forint",0,2))</f>
        <v>-624513</v>
      </c>
      <c r="Y724" s="32">
        <v>705</v>
      </c>
      <c r="Z724" s="32">
        <v>59</v>
      </c>
      <c r="AA724" s="32">
        <v>9</v>
      </c>
      <c r="AB724" s="13">
        <f t="shared" si="161"/>
        <v>0</v>
      </c>
      <c r="AC724" s="33"/>
      <c r="AD724" s="13">
        <f t="shared" si="157"/>
        <v>0</v>
      </c>
      <c r="AE724" s="13">
        <f>ROUNDUP(($AB724+$AD724)*VLOOKUP($Z724,Paraméterek!$P$38:$Q$38,2)/12,IF($D$4="Forint",0,2))</f>
        <v>0</v>
      </c>
      <c r="AF724" s="13">
        <f>IF($D$2="Egyszeri",IF($D$7&gt;=IF($D$4="Forint",Paraméterek!$P$223,Paraméterek!$P$224),$D$7-IF($D$4="Forint",Paraméterek!$F$223,Paraméterek!$F$224),0),MIN(IF($AA724=12,AVERAGE($D$20:$D724)*12,0),SUM($D$20:$D$31)))</f>
        <v>0</v>
      </c>
      <c r="AG724" s="13">
        <f>IF(AND($Z724&gt;=10,MOD($Z724,5)=0),$AF724*IF($AA724=12,VLOOKUP($Z724,Paraméterek!$B$225:$F$240,IF($AF724&lt;IF($D$4="Forint",Paraméterek!$C$223,Paraméterek!$C$224),2,IF($AF724&lt;IF($D$4="Forint",Paraméterek!$D$223,Paraméterek!$D$224),3,4))),0),0)</f>
        <v>0</v>
      </c>
      <c r="AH724" s="13">
        <f>IF(AND($Z724&gt;=5,MOD($Z724,5)=0),IF($AA724=12,VLOOKUP($Z724,Paraméterek!$B$225:$F$240,5),0),IF(OR($Z724=3,$Z724=4),IF($AA724=12,VLOOKUP($Z724,Paraméterek!$B$225:$F$240,5,0),0),0))*$AF724</f>
        <v>0</v>
      </c>
      <c r="AI724" s="13">
        <f>ROUNDDOWN(IF(SUM($T$20:$U724)=0,IF($D$2="Egyszeri",$AH724,$AG724),0),IF($D$4="Forint",0,2))</f>
        <v>0</v>
      </c>
      <c r="AJ724" s="13">
        <f t="shared" si="162"/>
        <v>0</v>
      </c>
      <c r="AK724" s="13">
        <f t="shared" si="163"/>
        <v>0</v>
      </c>
      <c r="AM724" s="32">
        <v>705</v>
      </c>
      <c r="AN724" s="32">
        <v>59</v>
      </c>
      <c r="AO724" s="32">
        <v>9</v>
      </c>
      <c r="AP724" s="13"/>
      <c r="AQ724" s="32"/>
      <c r="AR724" s="13">
        <f t="shared" si="164"/>
        <v>0</v>
      </c>
      <c r="AS724" s="33"/>
      <c r="AT724" s="13">
        <f t="shared" si="158"/>
        <v>0</v>
      </c>
      <c r="AU724" s="13">
        <f>ROUNDUP(($AR724+$AT724)*VLOOKUP($AN724,Paraméterek!$P$38:$Q$38,2)/12,IF($D$4="Forint",0,2))</f>
        <v>0</v>
      </c>
      <c r="AV724" s="13"/>
      <c r="AW724" s="13"/>
      <c r="AX724" s="13">
        <f>ROUNDUP(IF(SUM($AV724:$AW724)=0,0,IF(IF(ISBLANK($AW724),$AV724,$AW724)*Paraméterek!$J$112&lt;IF($D$4="Forint",Paraméterek!$J$113,Paraméterek!$K$113),IF($D$4="Forint",Paraméterek!$J$113,Paraméterek!$K$113),IF(IF(ISBLANK($AW724),$AV724,$AW724)*Paraméterek!$J$112&gt;IF($D$4="Forint",Paraméterek!$J$114,Paraméterek!$K$114),IF($D$4="Forint",Paraméterek!$J$114,Paraméterek!$K$114),IF(ISBLANK($AW724),$AV724,$AW724)*Paraméterek!$J$112))),IF($D$4="Forint",0,2))</f>
        <v>0</v>
      </c>
      <c r="AY724" s="13">
        <f>$AR724+$AT724-$AU724-IF(ROUNDDOWN(IF(ISBLANK($AW724),$AV724,$AW724),IF($D$4="Forint",0,2))&gt;$AR724+$AT724-$AU724-IF($D$4="Forint",Paraméterek!$J$114,Paraméterek!$K$114),0,ROUNDDOWN(IF(ISBLANK($AW724),$AV724,$AW724),IF($D$4="Forint",0,2))-$AX724)</f>
        <v>0</v>
      </c>
      <c r="AZ724" s="13">
        <f t="shared" si="159"/>
        <v>0</v>
      </c>
    </row>
    <row r="725" spans="1:52" x14ac:dyDescent="0.2">
      <c r="A725" s="32">
        <v>706</v>
      </c>
      <c r="B725" s="32">
        <v>59</v>
      </c>
      <c r="C725" s="32">
        <v>10</v>
      </c>
      <c r="D725" s="13">
        <f t="shared" ref="D725:D788" si="165">IF($D$2="Egyszeri",IF($A725=1,$D$7,0),ROUNDUP(IF($D$2="Havi",$D$7,IF(MOD($C725,$M$1)-1=0,$D$7,0))*(1+$D$6)^($B725-1),IF($D$4="Forint",0,2)))</f>
        <v>0</v>
      </c>
      <c r="E725" s="13"/>
      <c r="F725" s="13"/>
      <c r="G725" s="13"/>
      <c r="H725" s="13">
        <f t="shared" ref="H725:H788" si="166">ROUNDUP(IF(AND($D$8="Nincs",$D$2&lt;&gt;"Egyszeri"),$D725*10%,0),IF($D$4="Forint",0,2))</f>
        <v>0</v>
      </c>
      <c r="I725" s="13">
        <f t="shared" ref="I725:I788" si="167">IF($D$2="Egyszeri",IF($A725=1,$M$3,0),ROUNDUP(IF($D$2="Havi",$M$3,IF(MOD($C725,$M$1)-1=0,$M$3,0))*(1+$M$2)^($B725-1),IF($D$4="Forint",0,2)))</f>
        <v>0</v>
      </c>
      <c r="J725" s="13">
        <f t="shared" ref="J725:J788" si="168">IF(ISBLANK($E725),$D725,$E725)+IF(ISBLANK($G725),$F725,$G725)+$H725+$I725</f>
        <v>0</v>
      </c>
      <c r="K725" s="13">
        <f>ROUNDUP(IF($D$2="Egyszeri",$D725,IF($D$2="Havi",SUM($D$20:$D$31),IF(MOD($C725,$M$1)-1=0,SUM($D$20:$D$31),0))/12*$M$1)*VLOOKUP($B725,Paraméterek!$B$27:$D$30,IF($D$2="Egyszeri",3,2)),IF($D$4="Forint",0,2))</f>
        <v>0</v>
      </c>
      <c r="L725" s="13">
        <f t="shared" ref="L725:L788" si="169">$D725-$K725+IF(ISBLANK($G725),$F725,$G725)</f>
        <v>0</v>
      </c>
      <c r="M725" s="13">
        <f t="shared" ca="1" si="160"/>
        <v>-624513</v>
      </c>
      <c r="N725" s="13">
        <f ca="1">IF($V724&gt;=VLOOKUP($M$4-1+$B725,Paraméterek!$B$121:$D$122,IF($D$4="Forint",2,3)),0,VLOOKUP($M$4-1+$B725,Paraméterek!$B$121:$D$122,IF($D$4="Forint",2,3))-$V724)</f>
        <v>634513</v>
      </c>
      <c r="O725" s="13">
        <f ca="1">ROUNDUP($N725*Paraméterek!$C$58/Paraméterek!$C$56,IF($D$4="Forint",0,2))</f>
        <v>101</v>
      </c>
      <c r="P725" s="13">
        <f t="shared" ref="P725:P788" si="170">ROUNDUP($M$5*(1+$M$2)^($B725-1),IF($D$4="Forint",0,2))</f>
        <v>3055</v>
      </c>
      <c r="Q725" s="33"/>
      <c r="R725" s="13">
        <f t="shared" ref="R725:R788" ca="1" si="171">ROUNDDOWN(($M725-$O725-$P725)*IF(ISBLANK($Q725),$M$6,$Q725),IF($D$4="Forint",0,2))</f>
        <v>0</v>
      </c>
      <c r="S725" s="13">
        <f ca="1">ROUNDUP(($M725-$O725-$P725+$R725)*VLOOKUP($B725,Paraméterek!$B$38:$D$39,IF($D$2="Egyszeri",3,2))/12,IF($D$4="Forint",0,2))</f>
        <v>-1533</v>
      </c>
      <c r="T725" s="13"/>
      <c r="U725" s="13"/>
      <c r="V725" s="13">
        <f ca="1">$M725-$O725-$P725+$R725-$S725-IF(ROUNDUP(IF(ISBLANK($U725),$T725,$U725)/IF(AND($B725=1,$D$2&lt;&gt;"Egyszeri"),1,VLOOKUP($B725+IF($C725=12,1,0),Paraméterek!$B$257:$D$267,IF($D$2="Egyszeri",3,2))),IF($D$4="Forint",0,2))&gt;$M725-$O725-$P725+$R725-$S725-IF($D$4="Forint",Paraméterek!$C$216,Paraméterek!$D$216),0,ROUNDUP(IF(ISBLANK($U725),$T725,$U725)/IF(AND($B725=1,$D$2&lt;&gt;"Egyszeri"),1,VLOOKUP($B725+IF($C725=12,1,0),Paraméterek!$B$257:$D$267,IF($D$2="Egyszeri",3,2))),IF($D$4="Forint",0,2)))</f>
        <v>-626136</v>
      </c>
      <c r="W725" s="13">
        <f ca="1">ROUNDDOWN($V725*VLOOKUP($B725+IF($C725=12,1,0),Paraméterek!$B$257:$D$267,IF($D$2="Egyszeri",3,2)),IF($D$4="Forint",0,2))</f>
        <v>-626136</v>
      </c>
      <c r="Y725" s="32">
        <v>706</v>
      </c>
      <c r="Z725" s="32">
        <v>59</v>
      </c>
      <c r="AA725" s="32">
        <v>10</v>
      </c>
      <c r="AB725" s="13">
        <f t="shared" si="161"/>
        <v>0</v>
      </c>
      <c r="AC725" s="33"/>
      <c r="AD725" s="13">
        <f t="shared" ref="AD725:AD788" si="172">ROUNDDOWN($AB725*IF(ISBLANK($AC725),$M$8,$AC725),IF($D$4="Forint",0,2))</f>
        <v>0</v>
      </c>
      <c r="AE725" s="13">
        <f>ROUNDUP(($AB725+$AD725)*VLOOKUP($Z725,Paraméterek!$P$38:$Q$38,2)/12,IF($D$4="Forint",0,2))</f>
        <v>0</v>
      </c>
      <c r="AF725" s="13">
        <f>IF($D$2="Egyszeri",IF($D$7&gt;=IF($D$4="Forint",Paraméterek!$P$223,Paraméterek!$P$224),$D$7-IF($D$4="Forint",Paraméterek!$F$223,Paraméterek!$F$224),0),MIN(IF($AA725=12,AVERAGE($D$20:$D725)*12,0),SUM($D$20:$D$31)))</f>
        <v>0</v>
      </c>
      <c r="AG725" s="13">
        <f>IF(AND($Z725&gt;=10,MOD($Z725,5)=0),$AF725*IF($AA725=12,VLOOKUP($Z725,Paraméterek!$B$225:$F$240,IF($AF725&lt;IF($D$4="Forint",Paraméterek!$C$223,Paraméterek!$C$224),2,IF($AF725&lt;IF($D$4="Forint",Paraméterek!$D$223,Paraméterek!$D$224),3,4))),0),0)</f>
        <v>0</v>
      </c>
      <c r="AH725" s="13">
        <f>IF(AND($Z725&gt;=5,MOD($Z725,5)=0),IF($AA725=12,VLOOKUP($Z725,Paraméterek!$B$225:$F$240,5),0),IF(OR($Z725=3,$Z725=4),IF($AA725=12,VLOOKUP($Z725,Paraméterek!$B$225:$F$240,5,0),0),0))*$AF725</f>
        <v>0</v>
      </c>
      <c r="AI725" s="13">
        <f>ROUNDDOWN(IF(SUM($T$20:$U725)=0,IF($D$2="Egyszeri",$AH725,$AG725),0),IF($D$4="Forint",0,2))</f>
        <v>0</v>
      </c>
      <c r="AJ725" s="13">
        <f t="shared" si="162"/>
        <v>0</v>
      </c>
      <c r="AK725" s="13">
        <f t="shared" si="163"/>
        <v>0</v>
      </c>
      <c r="AM725" s="32">
        <v>706</v>
      </c>
      <c r="AN725" s="32">
        <v>59</v>
      </c>
      <c r="AO725" s="32">
        <v>10</v>
      </c>
      <c r="AP725" s="13"/>
      <c r="AQ725" s="32"/>
      <c r="AR725" s="13">
        <f t="shared" si="164"/>
        <v>0</v>
      </c>
      <c r="AS725" s="33"/>
      <c r="AT725" s="13">
        <f t="shared" ref="AT725:AT788" si="173">ROUNDDOWN($AR725*IF(ISBLANK($AS725),$M$7,$AS725),IF($D$4="Forint",0,2))</f>
        <v>0</v>
      </c>
      <c r="AU725" s="13">
        <f>ROUNDUP(($AR725+$AT725)*VLOOKUP($AN725,Paraméterek!$P$38:$Q$38,2)/12,IF($D$4="Forint",0,2))</f>
        <v>0</v>
      </c>
      <c r="AV725" s="13"/>
      <c r="AW725" s="13"/>
      <c r="AX725" s="13">
        <f>ROUNDUP(IF(SUM($AV725:$AW725)=0,0,IF(IF(ISBLANK($AW725),$AV725,$AW725)*Paraméterek!$J$112&lt;IF($D$4="Forint",Paraméterek!$J$113,Paraméterek!$K$113),IF($D$4="Forint",Paraméterek!$J$113,Paraméterek!$K$113),IF(IF(ISBLANK($AW725),$AV725,$AW725)*Paraméterek!$J$112&gt;IF($D$4="Forint",Paraméterek!$J$114,Paraméterek!$K$114),IF($D$4="Forint",Paraméterek!$J$114,Paraméterek!$K$114),IF(ISBLANK($AW725),$AV725,$AW725)*Paraméterek!$J$112))),IF($D$4="Forint",0,2))</f>
        <v>0</v>
      </c>
      <c r="AY725" s="13">
        <f>$AR725+$AT725-$AU725-IF(ROUNDDOWN(IF(ISBLANK($AW725),$AV725,$AW725),IF($D$4="Forint",0,2))&gt;$AR725+$AT725-$AU725-IF($D$4="Forint",Paraméterek!$J$114,Paraméterek!$K$114),0,ROUNDDOWN(IF(ISBLANK($AW725),$AV725,$AW725),IF($D$4="Forint",0,2))-$AX725)</f>
        <v>0</v>
      </c>
      <c r="AZ725" s="13">
        <f t="shared" ref="AZ725:AZ788" si="174">$AY725</f>
        <v>0</v>
      </c>
    </row>
    <row r="726" spans="1:52" x14ac:dyDescent="0.2">
      <c r="A726" s="32">
        <v>707</v>
      </c>
      <c r="B726" s="32">
        <v>59</v>
      </c>
      <c r="C726" s="32">
        <v>11</v>
      </c>
      <c r="D726" s="13">
        <f t="shared" si="165"/>
        <v>0</v>
      </c>
      <c r="E726" s="13"/>
      <c r="F726" s="13"/>
      <c r="G726" s="13"/>
      <c r="H726" s="13">
        <f t="shared" si="166"/>
        <v>0</v>
      </c>
      <c r="I726" s="13">
        <f t="shared" si="167"/>
        <v>0</v>
      </c>
      <c r="J726" s="13">
        <f t="shared" si="168"/>
        <v>0</v>
      </c>
      <c r="K726" s="13">
        <f>ROUNDUP(IF($D$2="Egyszeri",$D726,IF($D$2="Havi",SUM($D$20:$D$31),IF(MOD($C726,$M$1)-1=0,SUM($D$20:$D$31),0))/12*$M$1)*VLOOKUP($B726,Paraméterek!$B$27:$D$30,IF($D$2="Egyszeri",3,2)),IF($D$4="Forint",0,2))</f>
        <v>0</v>
      </c>
      <c r="L726" s="13">
        <f t="shared" si="169"/>
        <v>0</v>
      </c>
      <c r="M726" s="13">
        <f t="shared" ref="M726:M789" ca="1" si="175">$L726+$V725</f>
        <v>-626136</v>
      </c>
      <c r="N726" s="13">
        <f ca="1">IF($V725&gt;=VLOOKUP($M$4-1+$B726,Paraméterek!$B$121:$D$122,IF($D$4="Forint",2,3)),0,VLOOKUP($M$4-1+$B726,Paraméterek!$B$121:$D$122,IF($D$4="Forint",2,3))-$V725)</f>
        <v>636136</v>
      </c>
      <c r="O726" s="13">
        <f ca="1">ROUNDUP($N726*Paraméterek!$C$58/Paraméterek!$C$56,IF($D$4="Forint",0,2))</f>
        <v>102</v>
      </c>
      <c r="P726" s="13">
        <f t="shared" si="170"/>
        <v>3055</v>
      </c>
      <c r="Q726" s="33"/>
      <c r="R726" s="13">
        <f t="shared" ca="1" si="171"/>
        <v>0</v>
      </c>
      <c r="S726" s="13">
        <f ca="1">ROUNDUP(($M726-$O726-$P726+$R726)*VLOOKUP($B726,Paraméterek!$B$38:$D$39,IF($D$2="Egyszeri",3,2))/12,IF($D$4="Forint",0,2))</f>
        <v>-1537</v>
      </c>
      <c r="T726" s="13"/>
      <c r="U726" s="13"/>
      <c r="V726" s="13">
        <f ca="1">$M726-$O726-$P726+$R726-$S726-IF(ROUNDUP(IF(ISBLANK($U726),$T726,$U726)/IF(AND($B726=1,$D$2&lt;&gt;"Egyszeri"),1,VLOOKUP($B726+IF($C726=12,1,0),Paraméterek!$B$257:$D$267,IF($D$2="Egyszeri",3,2))),IF($D$4="Forint",0,2))&gt;$M726-$O726-$P726+$R726-$S726-IF($D$4="Forint",Paraméterek!$C$216,Paraméterek!$D$216),0,ROUNDUP(IF(ISBLANK($U726),$T726,$U726)/IF(AND($B726=1,$D$2&lt;&gt;"Egyszeri"),1,VLOOKUP($B726+IF($C726=12,1,0),Paraméterek!$B$257:$D$267,IF($D$2="Egyszeri",3,2))),IF($D$4="Forint",0,2)))</f>
        <v>-627756</v>
      </c>
      <c r="W726" s="13">
        <f ca="1">ROUNDDOWN($V726*VLOOKUP($B726+IF($C726=12,1,0),Paraméterek!$B$257:$D$267,IF($D$2="Egyszeri",3,2)),IF($D$4="Forint",0,2))</f>
        <v>-627756</v>
      </c>
      <c r="Y726" s="32">
        <v>707</v>
      </c>
      <c r="Z726" s="32">
        <v>59</v>
      </c>
      <c r="AA726" s="32">
        <v>11</v>
      </c>
      <c r="AB726" s="13">
        <f t="shared" ref="AB726:AB789" si="176">$AJ725</f>
        <v>0</v>
      </c>
      <c r="AC726" s="33"/>
      <c r="AD726" s="13">
        <f t="shared" si="172"/>
        <v>0</v>
      </c>
      <c r="AE726" s="13">
        <f>ROUNDUP(($AB726+$AD726)*VLOOKUP($Z726,Paraméterek!$P$38:$Q$38,2)/12,IF($D$4="Forint",0,2))</f>
        <v>0</v>
      </c>
      <c r="AF726" s="13">
        <f>IF($D$2="Egyszeri",IF($D$7&gt;=IF($D$4="Forint",Paraméterek!$P$223,Paraméterek!$P$224),$D$7-IF($D$4="Forint",Paraméterek!$F$223,Paraméterek!$F$224),0),MIN(IF($AA726=12,AVERAGE($D$20:$D726)*12,0),SUM($D$20:$D$31)))</f>
        <v>0</v>
      </c>
      <c r="AG726" s="13">
        <f>IF(AND($Z726&gt;=10,MOD($Z726,5)=0),$AF726*IF($AA726=12,VLOOKUP($Z726,Paraméterek!$B$225:$F$240,IF($AF726&lt;IF($D$4="Forint",Paraméterek!$C$223,Paraméterek!$C$224),2,IF($AF726&lt;IF($D$4="Forint",Paraméterek!$D$223,Paraméterek!$D$224),3,4))),0),0)</f>
        <v>0</v>
      </c>
      <c r="AH726" s="13">
        <f>IF(AND($Z726&gt;=5,MOD($Z726,5)=0),IF($AA726=12,VLOOKUP($Z726,Paraméterek!$B$225:$F$240,5),0),IF(OR($Z726=3,$Z726=4),IF($AA726=12,VLOOKUP($Z726,Paraméterek!$B$225:$F$240,5,0),0),0))*$AF726</f>
        <v>0</v>
      </c>
      <c r="AI726" s="13">
        <f>ROUNDDOWN(IF(SUM($T$20:$U726)=0,IF($D$2="Egyszeri",$AH726,$AG726),0),IF($D$4="Forint",0,2))</f>
        <v>0</v>
      </c>
      <c r="AJ726" s="13">
        <f t="shared" ref="AJ726:AJ789" si="177">$AB726+$AD726-$AE726+$AI726</f>
        <v>0</v>
      </c>
      <c r="AK726" s="13">
        <f t="shared" ref="AK726:AK789" si="178">$AJ726</f>
        <v>0</v>
      </c>
      <c r="AM726" s="32">
        <v>707</v>
      </c>
      <c r="AN726" s="32">
        <v>59</v>
      </c>
      <c r="AO726" s="32">
        <v>11</v>
      </c>
      <c r="AP726" s="13"/>
      <c r="AQ726" s="32"/>
      <c r="AR726" s="13">
        <f t="shared" ref="AR726:AR789" si="179">IF(ISBLANK($AQ726),$AP726,$AQ726)+$AY725</f>
        <v>0</v>
      </c>
      <c r="AS726" s="33"/>
      <c r="AT726" s="13">
        <f t="shared" si="173"/>
        <v>0</v>
      </c>
      <c r="AU726" s="13">
        <f>ROUNDUP(($AR726+$AT726)*VLOOKUP($AN726,Paraméterek!$P$38:$Q$38,2)/12,IF($D$4="Forint",0,2))</f>
        <v>0</v>
      </c>
      <c r="AV726" s="13"/>
      <c r="AW726" s="13"/>
      <c r="AX726" s="13">
        <f>ROUNDUP(IF(SUM($AV726:$AW726)=0,0,IF(IF(ISBLANK($AW726),$AV726,$AW726)*Paraméterek!$J$112&lt;IF($D$4="Forint",Paraméterek!$J$113,Paraméterek!$K$113),IF($D$4="Forint",Paraméterek!$J$113,Paraméterek!$K$113),IF(IF(ISBLANK($AW726),$AV726,$AW726)*Paraméterek!$J$112&gt;IF($D$4="Forint",Paraméterek!$J$114,Paraméterek!$K$114),IF($D$4="Forint",Paraméterek!$J$114,Paraméterek!$K$114),IF(ISBLANK($AW726),$AV726,$AW726)*Paraméterek!$J$112))),IF($D$4="Forint",0,2))</f>
        <v>0</v>
      </c>
      <c r="AY726" s="13">
        <f>$AR726+$AT726-$AU726-IF(ROUNDDOWN(IF(ISBLANK($AW726),$AV726,$AW726),IF($D$4="Forint",0,2))&gt;$AR726+$AT726-$AU726-IF($D$4="Forint",Paraméterek!$J$114,Paraméterek!$K$114),0,ROUNDDOWN(IF(ISBLANK($AW726),$AV726,$AW726),IF($D$4="Forint",0,2))-$AX726)</f>
        <v>0</v>
      </c>
      <c r="AZ726" s="13">
        <f t="shared" si="174"/>
        <v>0</v>
      </c>
    </row>
    <row r="727" spans="1:52" x14ac:dyDescent="0.2">
      <c r="A727" s="32">
        <v>708</v>
      </c>
      <c r="B727" s="32">
        <v>59</v>
      </c>
      <c r="C727" s="32">
        <v>12</v>
      </c>
      <c r="D727" s="13">
        <f t="shared" si="165"/>
        <v>0</v>
      </c>
      <c r="E727" s="13"/>
      <c r="F727" s="13"/>
      <c r="G727" s="13"/>
      <c r="H727" s="13">
        <f t="shared" si="166"/>
        <v>0</v>
      </c>
      <c r="I727" s="13">
        <f t="shared" si="167"/>
        <v>0</v>
      </c>
      <c r="J727" s="13">
        <f t="shared" si="168"/>
        <v>0</v>
      </c>
      <c r="K727" s="13">
        <f>ROUNDUP(IF($D$2="Egyszeri",$D727,IF($D$2="Havi",SUM($D$20:$D$31),IF(MOD($C727,$M$1)-1=0,SUM($D$20:$D$31),0))/12*$M$1)*VLOOKUP($B727,Paraméterek!$B$27:$D$30,IF($D$2="Egyszeri",3,2)),IF($D$4="Forint",0,2))</f>
        <v>0</v>
      </c>
      <c r="L727" s="13">
        <f t="shared" si="169"/>
        <v>0</v>
      </c>
      <c r="M727" s="13">
        <f t="shared" ca="1" si="175"/>
        <v>-627756</v>
      </c>
      <c r="N727" s="13">
        <f ca="1">IF($V726&gt;=VLOOKUP($M$4-1+$B727,Paraméterek!$B$121:$D$122,IF($D$4="Forint",2,3)),0,VLOOKUP($M$4-1+$B727,Paraméterek!$B$121:$D$122,IF($D$4="Forint",2,3))-$V726)</f>
        <v>637756</v>
      </c>
      <c r="O727" s="13">
        <f ca="1">ROUNDUP($N727*Paraméterek!$C$58/Paraméterek!$C$56,IF($D$4="Forint",0,2))</f>
        <v>102</v>
      </c>
      <c r="P727" s="13">
        <f t="shared" si="170"/>
        <v>3055</v>
      </c>
      <c r="Q727" s="33"/>
      <c r="R727" s="13">
        <f t="shared" ca="1" si="171"/>
        <v>0</v>
      </c>
      <c r="S727" s="13">
        <f ca="1">ROUNDUP(($M727-$O727-$P727+$R727)*VLOOKUP($B727,Paraméterek!$B$38:$D$39,IF($D$2="Egyszeri",3,2))/12,IF($D$4="Forint",0,2))</f>
        <v>-1541</v>
      </c>
      <c r="T727" s="13">
        <f>Tranzakciók!$F$90</f>
        <v>0</v>
      </c>
      <c r="U727" s="13"/>
      <c r="V727" s="13">
        <f ca="1">$M727-$O727-$P727+$R727-$S727-IF(ROUNDUP(IF(ISBLANK($U727),$T727,$U727)/IF(AND($B727=1,$D$2&lt;&gt;"Egyszeri"),1,VLOOKUP($B727+IF($C727=12,1,0),Paraméterek!$B$257:$D$267,IF($D$2="Egyszeri",3,2))),IF($D$4="Forint",0,2))&gt;$M727-$O727-$P727+$R727-$S727-IF($D$4="Forint",Paraméterek!$C$216,Paraméterek!$D$216),0,ROUNDUP(IF(ISBLANK($U727),$T727,$U727)/IF(AND($B727=1,$D$2&lt;&gt;"Egyszeri"),1,VLOOKUP($B727+IF($C727=12,1,0),Paraméterek!$B$257:$D$267,IF($D$2="Egyszeri",3,2))),IF($D$4="Forint",0,2)))</f>
        <v>-629372</v>
      </c>
      <c r="W727" s="13">
        <f ca="1">ROUNDDOWN($V727*VLOOKUP($B727+IF($C727=12,1,0),Paraméterek!$B$257:$D$267,IF($D$2="Egyszeri",3,2)),IF($D$4="Forint",0,2))</f>
        <v>-629372</v>
      </c>
      <c r="Y727" s="32">
        <v>708</v>
      </c>
      <c r="Z727" s="32">
        <v>59</v>
      </c>
      <c r="AA727" s="32">
        <v>12</v>
      </c>
      <c r="AB727" s="13">
        <f t="shared" si="176"/>
        <v>0</v>
      </c>
      <c r="AC727" s="33"/>
      <c r="AD727" s="13">
        <f t="shared" si="172"/>
        <v>0</v>
      </c>
      <c r="AE727" s="13">
        <f>ROUNDUP(($AB727+$AD727)*VLOOKUP($Z727,Paraméterek!$P$38:$Q$38,2)/12,IF($D$4="Forint",0,2))</f>
        <v>0</v>
      </c>
      <c r="AF727" s="13">
        <f>IF($D$2="Egyszeri",IF($D$7&gt;=IF($D$4="Forint",Paraméterek!$P$223,Paraméterek!$P$224),$D$7-IF($D$4="Forint",Paraméterek!$F$223,Paraméterek!$F$224),0),MIN(IF($AA727=12,AVERAGE($D$20:$D727)*12,0),SUM($D$20:$D$31)))</f>
        <v>0</v>
      </c>
      <c r="AG727" s="13">
        <f>IF(AND($Z727&gt;=10,MOD($Z727,5)=0),$AF727*IF($AA727=12,VLOOKUP($Z727,Paraméterek!$B$225:$F$240,IF($AF727&lt;IF($D$4="Forint",Paraméterek!$C$223,Paraméterek!$C$224),2,IF($AF727&lt;IF($D$4="Forint",Paraméterek!$D$223,Paraméterek!$D$224),3,4))),0),0)</f>
        <v>0</v>
      </c>
      <c r="AH727" s="13">
        <f>IF(AND($Z727&gt;=5,MOD($Z727,5)=0),IF($AA727=12,VLOOKUP($Z727,Paraméterek!$B$225:$F$240,5),0),IF(OR($Z727=3,$Z727=4),IF($AA727=12,VLOOKUP($Z727,Paraméterek!$B$225:$F$240,5,0),0),0))*$AF727</f>
        <v>0</v>
      </c>
      <c r="AI727" s="13">
        <f>ROUNDDOWN(IF(SUM($T$20:$U727)=0,IF($D$2="Egyszeri",$AH727,$AG727),0),IF($D$4="Forint",0,2))</f>
        <v>0</v>
      </c>
      <c r="AJ727" s="13">
        <f t="shared" si="177"/>
        <v>0</v>
      </c>
      <c r="AK727" s="13">
        <f t="shared" si="178"/>
        <v>0</v>
      </c>
      <c r="AM727" s="32">
        <v>708</v>
      </c>
      <c r="AN727" s="32">
        <v>59</v>
      </c>
      <c r="AO727" s="32">
        <v>12</v>
      </c>
      <c r="AP727" s="13"/>
      <c r="AQ727" s="32"/>
      <c r="AR727" s="13">
        <f t="shared" si="179"/>
        <v>0</v>
      </c>
      <c r="AS727" s="33"/>
      <c r="AT727" s="13">
        <f t="shared" si="173"/>
        <v>0</v>
      </c>
      <c r="AU727" s="13">
        <f>ROUNDUP(($AR727+$AT727)*VLOOKUP($AN727,Paraméterek!$P$38:$Q$38,2)/12,IF($D$4="Forint",0,2))</f>
        <v>0</v>
      </c>
      <c r="AV727" s="13">
        <f>Tranzakciók!$M$90</f>
        <v>0</v>
      </c>
      <c r="AW727" s="13"/>
      <c r="AX727" s="13">
        <f>ROUNDUP(IF(SUM($AV727:$AW727)=0,0,IF(IF(ISBLANK($AW727),$AV727,$AW727)*Paraméterek!$J$112&lt;IF($D$4="Forint",Paraméterek!$J$113,Paraméterek!$K$113),IF($D$4="Forint",Paraméterek!$J$113,Paraméterek!$K$113),IF(IF(ISBLANK($AW727),$AV727,$AW727)*Paraméterek!$J$112&gt;IF($D$4="Forint",Paraméterek!$J$114,Paraméterek!$K$114),IF($D$4="Forint",Paraméterek!$J$114,Paraméterek!$K$114),IF(ISBLANK($AW727),$AV727,$AW727)*Paraméterek!$J$112))),IF($D$4="Forint",0,2))</f>
        <v>0</v>
      </c>
      <c r="AY727" s="13">
        <f>$AR727+$AT727-$AU727-IF(ROUNDDOWN(IF(ISBLANK($AW727),$AV727,$AW727),IF($D$4="Forint",0,2))&gt;$AR727+$AT727-$AU727-IF($D$4="Forint",Paraméterek!$J$114,Paraméterek!$K$114),0,ROUNDDOWN(IF(ISBLANK($AW727),$AV727,$AW727),IF($D$4="Forint",0,2))-$AX727)</f>
        <v>0</v>
      </c>
      <c r="AZ727" s="13">
        <f t="shared" si="174"/>
        <v>0</v>
      </c>
    </row>
    <row r="728" spans="1:52" x14ac:dyDescent="0.2">
      <c r="A728" s="32">
        <v>709</v>
      </c>
      <c r="B728" s="32">
        <v>60</v>
      </c>
      <c r="C728" s="32">
        <v>1</v>
      </c>
      <c r="D728" s="13">
        <f t="shared" si="165"/>
        <v>0</v>
      </c>
      <c r="E728" s="13"/>
      <c r="F728" s="13">
        <f>Tranzakciók!$D$91</f>
        <v>0</v>
      </c>
      <c r="G728" s="13"/>
      <c r="H728" s="13">
        <f t="shared" si="166"/>
        <v>0</v>
      </c>
      <c r="I728" s="13">
        <f t="shared" si="167"/>
        <v>573</v>
      </c>
      <c r="J728" s="13">
        <f t="shared" si="168"/>
        <v>573</v>
      </c>
      <c r="K728" s="13">
        <f>ROUNDUP(IF($D$2="Egyszeri",$D728,IF($D$2="Havi",SUM($D$20:$D$31),IF(MOD($C728,$M$1)-1=0,SUM($D$20:$D$31),0))/12*$M$1)*VLOOKUP($B728,Paraméterek!$B$27:$D$30,IF($D$2="Egyszeri",3,2)),IF($D$4="Forint",0,2))</f>
        <v>0</v>
      </c>
      <c r="L728" s="13">
        <f t="shared" si="169"/>
        <v>0</v>
      </c>
      <c r="M728" s="13">
        <f t="shared" ca="1" si="175"/>
        <v>-629372</v>
      </c>
      <c r="N728" s="13">
        <f ca="1">IF($V727&gt;=VLOOKUP($M$4-1+$B728,Paraméterek!$B$121:$D$122,IF($D$4="Forint",2,3)),0,VLOOKUP($M$4-1+$B728,Paraméterek!$B$121:$D$122,IF($D$4="Forint",2,3))-$V727)</f>
        <v>639372</v>
      </c>
      <c r="O728" s="13">
        <f ca="1">ROUNDUP($N728*Paraméterek!$C$58/Paraméterek!$C$56,IF($D$4="Forint",0,2))</f>
        <v>102</v>
      </c>
      <c r="P728" s="13">
        <f t="shared" si="170"/>
        <v>3147</v>
      </c>
      <c r="Q728" s="33"/>
      <c r="R728" s="13">
        <f t="shared" ca="1" si="171"/>
        <v>0</v>
      </c>
      <c r="S728" s="13">
        <f ca="1">ROUNDUP(($M728-$O728-$P728+$R728)*VLOOKUP($B728,Paraméterek!$B$38:$D$39,IF($D$2="Egyszeri",3,2))/12,IF($D$4="Forint",0,2))</f>
        <v>-1545</v>
      </c>
      <c r="T728" s="13"/>
      <c r="U728" s="13"/>
      <c r="V728" s="13">
        <f ca="1">$M728-$O728-$P728+$R728-$S728-IF(ROUNDUP(IF(ISBLANK($U728),$T728,$U728)/IF(AND($B728=1,$D$2&lt;&gt;"Egyszeri"),1,VLOOKUP($B728+IF($C728=12,1,0),Paraméterek!$B$257:$D$267,IF($D$2="Egyszeri",3,2))),IF($D$4="Forint",0,2))&gt;$M728-$O728-$P728+$R728-$S728-IF($D$4="Forint",Paraméterek!$C$216,Paraméterek!$D$216),0,ROUNDUP(IF(ISBLANK($U728),$T728,$U728)/IF(AND($B728=1,$D$2&lt;&gt;"Egyszeri"),1,VLOOKUP($B728+IF($C728=12,1,0),Paraméterek!$B$257:$D$267,IF($D$2="Egyszeri",3,2))),IF($D$4="Forint",0,2)))</f>
        <v>-631076</v>
      </c>
      <c r="W728" s="13">
        <f ca="1">ROUNDDOWN($V728*VLOOKUP($B728+IF($C728=12,1,0),Paraméterek!$B$257:$D$267,IF($D$2="Egyszeri",3,2)),IF($D$4="Forint",0,2))</f>
        <v>-631076</v>
      </c>
      <c r="Y728" s="32">
        <v>709</v>
      </c>
      <c r="Z728" s="32">
        <v>60</v>
      </c>
      <c r="AA728" s="32">
        <v>1</v>
      </c>
      <c r="AB728" s="13">
        <f t="shared" si="176"/>
        <v>0</v>
      </c>
      <c r="AC728" s="33"/>
      <c r="AD728" s="13">
        <f t="shared" si="172"/>
        <v>0</v>
      </c>
      <c r="AE728" s="13">
        <f>ROUNDUP(($AB728+$AD728)*VLOOKUP($Z728,Paraméterek!$P$38:$Q$38,2)/12,IF($D$4="Forint",0,2))</f>
        <v>0</v>
      </c>
      <c r="AF728" s="13">
        <f>IF($D$2="Egyszeri",IF($D$7&gt;=IF($D$4="Forint",Paraméterek!$P$223,Paraméterek!$P$224),$D$7-IF($D$4="Forint",Paraméterek!$F$223,Paraméterek!$F$224),0),MIN(IF($AA728=12,AVERAGE($D$20:$D728)*12,0),SUM($D$20:$D$31)))</f>
        <v>0</v>
      </c>
      <c r="AG728" s="13">
        <f>IF(AND($Z728&gt;=10,MOD($Z728,5)=0),$AF728*IF($AA728=12,VLOOKUP($Z728,Paraméterek!$B$225:$F$240,IF($AF728&lt;IF($D$4="Forint",Paraméterek!$C$223,Paraméterek!$C$224),2,IF($AF728&lt;IF($D$4="Forint",Paraméterek!$D$223,Paraméterek!$D$224),3,4))),0),0)</f>
        <v>0</v>
      </c>
      <c r="AH728" s="13">
        <f>IF(AND($Z728&gt;=5,MOD($Z728,5)=0),IF($AA728=12,VLOOKUP($Z728,Paraméterek!$B$225:$F$240,5),0),IF(OR($Z728=3,$Z728=4),IF($AA728=12,VLOOKUP($Z728,Paraméterek!$B$225:$F$240,5,0),0),0))*$AF728</f>
        <v>0</v>
      </c>
      <c r="AI728" s="13">
        <f>ROUNDDOWN(IF(SUM($T$20:$U728)=0,IF($D$2="Egyszeri",$AH728,$AG728),0),IF($D$4="Forint",0,2))</f>
        <v>0</v>
      </c>
      <c r="AJ728" s="13">
        <f t="shared" si="177"/>
        <v>0</v>
      </c>
      <c r="AK728" s="13">
        <f t="shared" si="178"/>
        <v>0</v>
      </c>
      <c r="AM728" s="32">
        <v>709</v>
      </c>
      <c r="AN728" s="32">
        <v>60</v>
      </c>
      <c r="AO728" s="32">
        <v>1</v>
      </c>
      <c r="AP728" s="13">
        <f>Tranzakciók!$K$91</f>
        <v>0</v>
      </c>
      <c r="AQ728" s="32"/>
      <c r="AR728" s="13">
        <f t="shared" si="179"/>
        <v>0</v>
      </c>
      <c r="AS728" s="33"/>
      <c r="AT728" s="13">
        <f t="shared" si="173"/>
        <v>0</v>
      </c>
      <c r="AU728" s="13">
        <f>ROUNDUP(($AR728+$AT728)*VLOOKUP($AN728,Paraméterek!$P$38:$Q$38,2)/12,IF($D$4="Forint",0,2))</f>
        <v>0</v>
      </c>
      <c r="AV728" s="13"/>
      <c r="AW728" s="13"/>
      <c r="AX728" s="13">
        <f>ROUNDUP(IF(SUM($AV728:$AW728)=0,0,IF(IF(ISBLANK($AW728),$AV728,$AW728)*Paraméterek!$J$112&lt;IF($D$4="Forint",Paraméterek!$J$113,Paraméterek!$K$113),IF($D$4="Forint",Paraméterek!$J$113,Paraméterek!$K$113),IF(IF(ISBLANK($AW728),$AV728,$AW728)*Paraméterek!$J$112&gt;IF($D$4="Forint",Paraméterek!$J$114,Paraméterek!$K$114),IF($D$4="Forint",Paraméterek!$J$114,Paraméterek!$K$114),IF(ISBLANK($AW728),$AV728,$AW728)*Paraméterek!$J$112))),IF($D$4="Forint",0,2))</f>
        <v>0</v>
      </c>
      <c r="AY728" s="13">
        <f>$AR728+$AT728-$AU728-IF(ROUNDDOWN(IF(ISBLANK($AW728),$AV728,$AW728),IF($D$4="Forint",0,2))&gt;$AR728+$AT728-$AU728-IF($D$4="Forint",Paraméterek!$J$114,Paraméterek!$K$114),0,ROUNDDOWN(IF(ISBLANK($AW728),$AV728,$AW728),IF($D$4="Forint",0,2))-$AX728)</f>
        <v>0</v>
      </c>
      <c r="AZ728" s="13">
        <f t="shared" si="174"/>
        <v>0</v>
      </c>
    </row>
    <row r="729" spans="1:52" x14ac:dyDescent="0.2">
      <c r="A729" s="32">
        <v>710</v>
      </c>
      <c r="B729" s="32">
        <v>60</v>
      </c>
      <c r="C729" s="32">
        <v>2</v>
      </c>
      <c r="D729" s="13">
        <f t="shared" si="165"/>
        <v>0</v>
      </c>
      <c r="E729" s="13"/>
      <c r="F729" s="13"/>
      <c r="G729" s="13"/>
      <c r="H729" s="13">
        <f t="shared" si="166"/>
        <v>0</v>
      </c>
      <c r="I729" s="13">
        <f t="shared" si="167"/>
        <v>0</v>
      </c>
      <c r="J729" s="13">
        <f t="shared" si="168"/>
        <v>0</v>
      </c>
      <c r="K729" s="13">
        <f>ROUNDUP(IF($D$2="Egyszeri",$D729,IF($D$2="Havi",SUM($D$20:$D$31),IF(MOD($C729,$M$1)-1=0,SUM($D$20:$D$31),0))/12*$M$1)*VLOOKUP($B729,Paraméterek!$B$27:$D$30,IF($D$2="Egyszeri",3,2)),IF($D$4="Forint",0,2))</f>
        <v>0</v>
      </c>
      <c r="L729" s="13">
        <f t="shared" si="169"/>
        <v>0</v>
      </c>
      <c r="M729" s="13">
        <f t="shared" ca="1" si="175"/>
        <v>-631076</v>
      </c>
      <c r="N729" s="13">
        <f ca="1">IF($V728&gt;=VLOOKUP($M$4-1+$B729,Paraméterek!$B$121:$D$122,IF($D$4="Forint",2,3)),0,VLOOKUP($M$4-1+$B729,Paraméterek!$B$121:$D$122,IF($D$4="Forint",2,3))-$V728)</f>
        <v>641076</v>
      </c>
      <c r="O729" s="13">
        <f ca="1">ROUNDUP($N729*Paraméterek!$C$58/Paraméterek!$C$56,IF($D$4="Forint",0,2))</f>
        <v>103</v>
      </c>
      <c r="P729" s="13">
        <f t="shared" si="170"/>
        <v>3147</v>
      </c>
      <c r="Q729" s="33"/>
      <c r="R729" s="13">
        <f t="shared" ca="1" si="171"/>
        <v>0</v>
      </c>
      <c r="S729" s="13">
        <f ca="1">ROUNDUP(($M729-$O729-$P729+$R729)*VLOOKUP($B729,Paraméterek!$B$38:$D$39,IF($D$2="Egyszeri",3,2))/12,IF($D$4="Forint",0,2))</f>
        <v>-1549</v>
      </c>
      <c r="T729" s="13"/>
      <c r="U729" s="13"/>
      <c r="V729" s="13">
        <f ca="1">$M729-$O729-$P729+$R729-$S729-IF(ROUNDUP(IF(ISBLANK($U729),$T729,$U729)/IF(AND($B729=1,$D$2&lt;&gt;"Egyszeri"),1,VLOOKUP($B729+IF($C729=12,1,0),Paraméterek!$B$257:$D$267,IF($D$2="Egyszeri",3,2))),IF($D$4="Forint",0,2))&gt;$M729-$O729-$P729+$R729-$S729-IF($D$4="Forint",Paraméterek!$C$216,Paraméterek!$D$216),0,ROUNDUP(IF(ISBLANK($U729),$T729,$U729)/IF(AND($B729=1,$D$2&lt;&gt;"Egyszeri"),1,VLOOKUP($B729+IF($C729=12,1,0),Paraméterek!$B$257:$D$267,IF($D$2="Egyszeri",3,2))),IF($D$4="Forint",0,2)))</f>
        <v>-632777</v>
      </c>
      <c r="W729" s="13">
        <f ca="1">ROUNDDOWN($V729*VLOOKUP($B729+IF($C729=12,1,0),Paraméterek!$B$257:$D$267,IF($D$2="Egyszeri",3,2)),IF($D$4="Forint",0,2))</f>
        <v>-632777</v>
      </c>
      <c r="Y729" s="32">
        <v>710</v>
      </c>
      <c r="Z729" s="32">
        <v>60</v>
      </c>
      <c r="AA729" s="32">
        <v>2</v>
      </c>
      <c r="AB729" s="13">
        <f t="shared" si="176"/>
        <v>0</v>
      </c>
      <c r="AC729" s="33"/>
      <c r="AD729" s="13">
        <f t="shared" si="172"/>
        <v>0</v>
      </c>
      <c r="AE729" s="13">
        <f>ROUNDUP(($AB729+$AD729)*VLOOKUP($Z729,Paraméterek!$P$38:$Q$38,2)/12,IF($D$4="Forint",0,2))</f>
        <v>0</v>
      </c>
      <c r="AF729" s="13">
        <f>IF($D$2="Egyszeri",IF($D$7&gt;=IF($D$4="Forint",Paraméterek!$P$223,Paraméterek!$P$224),$D$7-IF($D$4="Forint",Paraméterek!$F$223,Paraméterek!$F$224),0),MIN(IF($AA729=12,AVERAGE($D$20:$D729)*12,0),SUM($D$20:$D$31)))</f>
        <v>0</v>
      </c>
      <c r="AG729" s="13">
        <f>IF(AND($Z729&gt;=10,MOD($Z729,5)=0),$AF729*IF($AA729=12,VLOOKUP($Z729,Paraméterek!$B$225:$F$240,IF($AF729&lt;IF($D$4="Forint",Paraméterek!$C$223,Paraméterek!$C$224),2,IF($AF729&lt;IF($D$4="Forint",Paraméterek!$D$223,Paraméterek!$D$224),3,4))),0),0)</f>
        <v>0</v>
      </c>
      <c r="AH729" s="13">
        <f>IF(AND($Z729&gt;=5,MOD($Z729,5)=0),IF($AA729=12,VLOOKUP($Z729,Paraméterek!$B$225:$F$240,5),0),IF(OR($Z729=3,$Z729=4),IF($AA729=12,VLOOKUP($Z729,Paraméterek!$B$225:$F$240,5,0),0),0))*$AF729</f>
        <v>0</v>
      </c>
      <c r="AI729" s="13">
        <f>ROUNDDOWN(IF(SUM($T$20:$U729)=0,IF($D$2="Egyszeri",$AH729,$AG729),0),IF($D$4="Forint",0,2))</f>
        <v>0</v>
      </c>
      <c r="AJ729" s="13">
        <f t="shared" si="177"/>
        <v>0</v>
      </c>
      <c r="AK729" s="13">
        <f t="shared" si="178"/>
        <v>0</v>
      </c>
      <c r="AM729" s="32">
        <v>710</v>
      </c>
      <c r="AN729" s="32">
        <v>60</v>
      </c>
      <c r="AO729" s="32">
        <v>2</v>
      </c>
      <c r="AP729" s="13"/>
      <c r="AQ729" s="32"/>
      <c r="AR729" s="13">
        <f t="shared" si="179"/>
        <v>0</v>
      </c>
      <c r="AS729" s="33"/>
      <c r="AT729" s="13">
        <f t="shared" si="173"/>
        <v>0</v>
      </c>
      <c r="AU729" s="13">
        <f>ROUNDUP(($AR729+$AT729)*VLOOKUP($AN729,Paraméterek!$P$38:$Q$38,2)/12,IF($D$4="Forint",0,2))</f>
        <v>0</v>
      </c>
      <c r="AV729" s="13"/>
      <c r="AW729" s="13"/>
      <c r="AX729" s="13">
        <f>ROUNDUP(IF(SUM($AV729:$AW729)=0,0,IF(IF(ISBLANK($AW729),$AV729,$AW729)*Paraméterek!$J$112&lt;IF($D$4="Forint",Paraméterek!$J$113,Paraméterek!$K$113),IF($D$4="Forint",Paraméterek!$J$113,Paraméterek!$K$113),IF(IF(ISBLANK($AW729),$AV729,$AW729)*Paraméterek!$J$112&gt;IF($D$4="Forint",Paraméterek!$J$114,Paraméterek!$K$114),IF($D$4="Forint",Paraméterek!$J$114,Paraméterek!$K$114),IF(ISBLANK($AW729),$AV729,$AW729)*Paraméterek!$J$112))),IF($D$4="Forint",0,2))</f>
        <v>0</v>
      </c>
      <c r="AY729" s="13">
        <f>$AR729+$AT729-$AU729-IF(ROUNDDOWN(IF(ISBLANK($AW729),$AV729,$AW729),IF($D$4="Forint",0,2))&gt;$AR729+$AT729-$AU729-IF($D$4="Forint",Paraméterek!$J$114,Paraméterek!$K$114),0,ROUNDDOWN(IF(ISBLANK($AW729),$AV729,$AW729),IF($D$4="Forint",0,2))-$AX729)</f>
        <v>0</v>
      </c>
      <c r="AZ729" s="13">
        <f t="shared" si="174"/>
        <v>0</v>
      </c>
    </row>
    <row r="730" spans="1:52" x14ac:dyDescent="0.2">
      <c r="A730" s="32">
        <v>711</v>
      </c>
      <c r="B730" s="32">
        <v>60</v>
      </c>
      <c r="C730" s="32">
        <v>3</v>
      </c>
      <c r="D730" s="13">
        <f t="shared" si="165"/>
        <v>0</v>
      </c>
      <c r="E730" s="13"/>
      <c r="F730" s="13"/>
      <c r="G730" s="13"/>
      <c r="H730" s="13">
        <f t="shared" si="166"/>
        <v>0</v>
      </c>
      <c r="I730" s="13">
        <f t="shared" si="167"/>
        <v>0</v>
      </c>
      <c r="J730" s="13">
        <f t="shared" si="168"/>
        <v>0</v>
      </c>
      <c r="K730" s="13">
        <f>ROUNDUP(IF($D$2="Egyszeri",$D730,IF($D$2="Havi",SUM($D$20:$D$31),IF(MOD($C730,$M$1)-1=0,SUM($D$20:$D$31),0))/12*$M$1)*VLOOKUP($B730,Paraméterek!$B$27:$D$30,IF($D$2="Egyszeri",3,2)),IF($D$4="Forint",0,2))</f>
        <v>0</v>
      </c>
      <c r="L730" s="13">
        <f t="shared" si="169"/>
        <v>0</v>
      </c>
      <c r="M730" s="13">
        <f t="shared" ca="1" si="175"/>
        <v>-632777</v>
      </c>
      <c r="N730" s="13">
        <f ca="1">IF($V729&gt;=VLOOKUP($M$4-1+$B730,Paraméterek!$B$121:$D$122,IF($D$4="Forint",2,3)),0,VLOOKUP($M$4-1+$B730,Paraméterek!$B$121:$D$122,IF($D$4="Forint",2,3))-$V729)</f>
        <v>642777</v>
      </c>
      <c r="O730" s="13">
        <f ca="1">ROUNDUP($N730*Paraméterek!$C$58/Paraméterek!$C$56,IF($D$4="Forint",0,2))</f>
        <v>103</v>
      </c>
      <c r="P730" s="13">
        <f t="shared" si="170"/>
        <v>3147</v>
      </c>
      <c r="Q730" s="33"/>
      <c r="R730" s="13">
        <f t="shared" ca="1" si="171"/>
        <v>0</v>
      </c>
      <c r="S730" s="13">
        <f ca="1">ROUNDUP(($M730-$O730-$P730+$R730)*VLOOKUP($B730,Paraméterek!$B$38:$D$39,IF($D$2="Egyszeri",3,2))/12,IF($D$4="Forint",0,2))</f>
        <v>-1553</v>
      </c>
      <c r="T730" s="13"/>
      <c r="U730" s="13"/>
      <c r="V730" s="13">
        <f ca="1">$M730-$O730-$P730+$R730-$S730-IF(ROUNDUP(IF(ISBLANK($U730),$T730,$U730)/IF(AND($B730=1,$D$2&lt;&gt;"Egyszeri"),1,VLOOKUP($B730+IF($C730=12,1,0),Paraméterek!$B$257:$D$267,IF($D$2="Egyszeri",3,2))),IF($D$4="Forint",0,2))&gt;$M730-$O730-$P730+$R730-$S730-IF($D$4="Forint",Paraméterek!$C$216,Paraméterek!$D$216),0,ROUNDUP(IF(ISBLANK($U730),$T730,$U730)/IF(AND($B730=1,$D$2&lt;&gt;"Egyszeri"),1,VLOOKUP($B730+IF($C730=12,1,0),Paraméterek!$B$257:$D$267,IF($D$2="Egyszeri",3,2))),IF($D$4="Forint",0,2)))</f>
        <v>-634474</v>
      </c>
      <c r="W730" s="13">
        <f ca="1">ROUNDDOWN($V730*VLOOKUP($B730+IF($C730=12,1,0),Paraméterek!$B$257:$D$267,IF($D$2="Egyszeri",3,2)),IF($D$4="Forint",0,2))</f>
        <v>-634474</v>
      </c>
      <c r="Y730" s="32">
        <v>711</v>
      </c>
      <c r="Z730" s="32">
        <v>60</v>
      </c>
      <c r="AA730" s="32">
        <v>3</v>
      </c>
      <c r="AB730" s="13">
        <f t="shared" si="176"/>
        <v>0</v>
      </c>
      <c r="AC730" s="33"/>
      <c r="AD730" s="13">
        <f t="shared" si="172"/>
        <v>0</v>
      </c>
      <c r="AE730" s="13">
        <f>ROUNDUP(($AB730+$AD730)*VLOOKUP($Z730,Paraméterek!$P$38:$Q$38,2)/12,IF($D$4="Forint",0,2))</f>
        <v>0</v>
      </c>
      <c r="AF730" s="13">
        <f>IF($D$2="Egyszeri",IF($D$7&gt;=IF($D$4="Forint",Paraméterek!$P$223,Paraméterek!$P$224),$D$7-IF($D$4="Forint",Paraméterek!$F$223,Paraméterek!$F$224),0),MIN(IF($AA730=12,AVERAGE($D$20:$D730)*12,0),SUM($D$20:$D$31)))</f>
        <v>0</v>
      </c>
      <c r="AG730" s="13">
        <f>IF(AND($Z730&gt;=10,MOD($Z730,5)=0),$AF730*IF($AA730=12,VLOOKUP($Z730,Paraméterek!$B$225:$F$240,IF($AF730&lt;IF($D$4="Forint",Paraméterek!$C$223,Paraméterek!$C$224),2,IF($AF730&lt;IF($D$4="Forint",Paraméterek!$D$223,Paraméterek!$D$224),3,4))),0),0)</f>
        <v>0</v>
      </c>
      <c r="AH730" s="13">
        <f>IF(AND($Z730&gt;=5,MOD($Z730,5)=0),IF($AA730=12,VLOOKUP($Z730,Paraméterek!$B$225:$F$240,5),0),IF(OR($Z730=3,$Z730=4),IF($AA730=12,VLOOKUP($Z730,Paraméterek!$B$225:$F$240,5,0),0),0))*$AF730</f>
        <v>0</v>
      </c>
      <c r="AI730" s="13">
        <f>ROUNDDOWN(IF(SUM($T$20:$U730)=0,IF($D$2="Egyszeri",$AH730,$AG730),0),IF($D$4="Forint",0,2))</f>
        <v>0</v>
      </c>
      <c r="AJ730" s="13">
        <f t="shared" si="177"/>
        <v>0</v>
      </c>
      <c r="AK730" s="13">
        <f t="shared" si="178"/>
        <v>0</v>
      </c>
      <c r="AM730" s="32">
        <v>711</v>
      </c>
      <c r="AN730" s="32">
        <v>60</v>
      </c>
      <c r="AO730" s="32">
        <v>3</v>
      </c>
      <c r="AP730" s="13"/>
      <c r="AQ730" s="32"/>
      <c r="AR730" s="13">
        <f t="shared" si="179"/>
        <v>0</v>
      </c>
      <c r="AS730" s="33"/>
      <c r="AT730" s="13">
        <f t="shared" si="173"/>
        <v>0</v>
      </c>
      <c r="AU730" s="13">
        <f>ROUNDUP(($AR730+$AT730)*VLOOKUP($AN730,Paraméterek!$P$38:$Q$38,2)/12,IF($D$4="Forint",0,2))</f>
        <v>0</v>
      </c>
      <c r="AV730" s="13"/>
      <c r="AW730" s="13"/>
      <c r="AX730" s="13">
        <f>ROUNDUP(IF(SUM($AV730:$AW730)=0,0,IF(IF(ISBLANK($AW730),$AV730,$AW730)*Paraméterek!$J$112&lt;IF($D$4="Forint",Paraméterek!$J$113,Paraméterek!$K$113),IF($D$4="Forint",Paraméterek!$J$113,Paraméterek!$K$113),IF(IF(ISBLANK($AW730),$AV730,$AW730)*Paraméterek!$J$112&gt;IF($D$4="Forint",Paraméterek!$J$114,Paraméterek!$K$114),IF($D$4="Forint",Paraméterek!$J$114,Paraméterek!$K$114),IF(ISBLANK($AW730),$AV730,$AW730)*Paraméterek!$J$112))),IF($D$4="Forint",0,2))</f>
        <v>0</v>
      </c>
      <c r="AY730" s="13">
        <f>$AR730+$AT730-$AU730-IF(ROUNDDOWN(IF(ISBLANK($AW730),$AV730,$AW730),IF($D$4="Forint",0,2))&gt;$AR730+$AT730-$AU730-IF($D$4="Forint",Paraméterek!$J$114,Paraméterek!$K$114),0,ROUNDDOWN(IF(ISBLANK($AW730),$AV730,$AW730),IF($D$4="Forint",0,2))-$AX730)</f>
        <v>0</v>
      </c>
      <c r="AZ730" s="13">
        <f t="shared" si="174"/>
        <v>0</v>
      </c>
    </row>
    <row r="731" spans="1:52" x14ac:dyDescent="0.2">
      <c r="A731" s="32">
        <v>712</v>
      </c>
      <c r="B731" s="32">
        <v>60</v>
      </c>
      <c r="C731" s="32">
        <v>4</v>
      </c>
      <c r="D731" s="13">
        <f t="shared" si="165"/>
        <v>0</v>
      </c>
      <c r="E731" s="13"/>
      <c r="F731" s="13"/>
      <c r="G731" s="13"/>
      <c r="H731" s="13">
        <f t="shared" si="166"/>
        <v>0</v>
      </c>
      <c r="I731" s="13">
        <f t="shared" si="167"/>
        <v>0</v>
      </c>
      <c r="J731" s="13">
        <f t="shared" si="168"/>
        <v>0</v>
      </c>
      <c r="K731" s="13">
        <f>ROUNDUP(IF($D$2="Egyszeri",$D731,IF($D$2="Havi",SUM($D$20:$D$31),IF(MOD($C731,$M$1)-1=0,SUM($D$20:$D$31),0))/12*$M$1)*VLOOKUP($B731,Paraméterek!$B$27:$D$30,IF($D$2="Egyszeri",3,2)),IF($D$4="Forint",0,2))</f>
        <v>0</v>
      </c>
      <c r="L731" s="13">
        <f t="shared" si="169"/>
        <v>0</v>
      </c>
      <c r="M731" s="13">
        <f t="shared" ca="1" si="175"/>
        <v>-634474</v>
      </c>
      <c r="N731" s="13">
        <f ca="1">IF($V730&gt;=VLOOKUP($M$4-1+$B731,Paraméterek!$B$121:$D$122,IF($D$4="Forint",2,3)),0,VLOOKUP($M$4-1+$B731,Paraméterek!$B$121:$D$122,IF($D$4="Forint",2,3))-$V730)</f>
        <v>644474</v>
      </c>
      <c r="O731" s="13">
        <f ca="1">ROUNDUP($N731*Paraméterek!$C$58/Paraméterek!$C$56,IF($D$4="Forint",0,2))</f>
        <v>103</v>
      </c>
      <c r="P731" s="13">
        <f t="shared" si="170"/>
        <v>3147</v>
      </c>
      <c r="Q731" s="33"/>
      <c r="R731" s="13">
        <f t="shared" ca="1" si="171"/>
        <v>0</v>
      </c>
      <c r="S731" s="13">
        <f ca="1">ROUNDUP(($M731-$O731-$P731+$R731)*VLOOKUP($B731,Paraméterek!$B$38:$D$39,IF($D$2="Egyszeri",3,2))/12,IF($D$4="Forint",0,2))</f>
        <v>-1558</v>
      </c>
      <c r="T731" s="13"/>
      <c r="U731" s="13"/>
      <c r="V731" s="13">
        <f ca="1">$M731-$O731-$P731+$R731-$S731-IF(ROUNDUP(IF(ISBLANK($U731),$T731,$U731)/IF(AND($B731=1,$D$2&lt;&gt;"Egyszeri"),1,VLOOKUP($B731+IF($C731=12,1,0),Paraméterek!$B$257:$D$267,IF($D$2="Egyszeri",3,2))),IF($D$4="Forint",0,2))&gt;$M731-$O731-$P731+$R731-$S731-IF($D$4="Forint",Paraméterek!$C$216,Paraméterek!$D$216),0,ROUNDUP(IF(ISBLANK($U731),$T731,$U731)/IF(AND($B731=1,$D$2&lt;&gt;"Egyszeri"),1,VLOOKUP($B731+IF($C731=12,1,0),Paraméterek!$B$257:$D$267,IF($D$2="Egyszeri",3,2))),IF($D$4="Forint",0,2)))</f>
        <v>-636166</v>
      </c>
      <c r="W731" s="13">
        <f ca="1">ROUNDDOWN($V731*VLOOKUP($B731+IF($C731=12,1,0),Paraméterek!$B$257:$D$267,IF($D$2="Egyszeri",3,2)),IF($D$4="Forint",0,2))</f>
        <v>-636166</v>
      </c>
      <c r="Y731" s="32">
        <v>712</v>
      </c>
      <c r="Z731" s="32">
        <v>60</v>
      </c>
      <c r="AA731" s="32">
        <v>4</v>
      </c>
      <c r="AB731" s="13">
        <f t="shared" si="176"/>
        <v>0</v>
      </c>
      <c r="AC731" s="33"/>
      <c r="AD731" s="13">
        <f t="shared" si="172"/>
        <v>0</v>
      </c>
      <c r="AE731" s="13">
        <f>ROUNDUP(($AB731+$AD731)*VLOOKUP($Z731,Paraméterek!$P$38:$Q$38,2)/12,IF($D$4="Forint",0,2))</f>
        <v>0</v>
      </c>
      <c r="AF731" s="13">
        <f>IF($D$2="Egyszeri",IF($D$7&gt;=IF($D$4="Forint",Paraméterek!$P$223,Paraméterek!$P$224),$D$7-IF($D$4="Forint",Paraméterek!$F$223,Paraméterek!$F$224),0),MIN(IF($AA731=12,AVERAGE($D$20:$D731)*12,0),SUM($D$20:$D$31)))</f>
        <v>0</v>
      </c>
      <c r="AG731" s="13">
        <f>IF(AND($Z731&gt;=10,MOD($Z731,5)=0),$AF731*IF($AA731=12,VLOOKUP($Z731,Paraméterek!$B$225:$F$240,IF($AF731&lt;IF($D$4="Forint",Paraméterek!$C$223,Paraméterek!$C$224),2,IF($AF731&lt;IF($D$4="Forint",Paraméterek!$D$223,Paraméterek!$D$224),3,4))),0),0)</f>
        <v>0</v>
      </c>
      <c r="AH731" s="13">
        <f>IF(AND($Z731&gt;=5,MOD($Z731,5)=0),IF($AA731=12,VLOOKUP($Z731,Paraméterek!$B$225:$F$240,5),0),IF(OR($Z731=3,$Z731=4),IF($AA731=12,VLOOKUP($Z731,Paraméterek!$B$225:$F$240,5,0),0),0))*$AF731</f>
        <v>0</v>
      </c>
      <c r="AI731" s="13">
        <f>ROUNDDOWN(IF(SUM($T$20:$U731)=0,IF($D$2="Egyszeri",$AH731,$AG731),0),IF($D$4="Forint",0,2))</f>
        <v>0</v>
      </c>
      <c r="AJ731" s="13">
        <f t="shared" si="177"/>
        <v>0</v>
      </c>
      <c r="AK731" s="13">
        <f t="shared" si="178"/>
        <v>0</v>
      </c>
      <c r="AM731" s="32">
        <v>712</v>
      </c>
      <c r="AN731" s="32">
        <v>60</v>
      </c>
      <c r="AO731" s="32">
        <v>4</v>
      </c>
      <c r="AP731" s="13"/>
      <c r="AQ731" s="32"/>
      <c r="AR731" s="13">
        <f t="shared" si="179"/>
        <v>0</v>
      </c>
      <c r="AS731" s="33"/>
      <c r="AT731" s="13">
        <f t="shared" si="173"/>
        <v>0</v>
      </c>
      <c r="AU731" s="13">
        <f>ROUNDUP(($AR731+$AT731)*VLOOKUP($AN731,Paraméterek!$P$38:$Q$38,2)/12,IF($D$4="Forint",0,2))</f>
        <v>0</v>
      </c>
      <c r="AV731" s="13"/>
      <c r="AW731" s="13"/>
      <c r="AX731" s="13">
        <f>ROUNDUP(IF(SUM($AV731:$AW731)=0,0,IF(IF(ISBLANK($AW731),$AV731,$AW731)*Paraméterek!$J$112&lt;IF($D$4="Forint",Paraméterek!$J$113,Paraméterek!$K$113),IF($D$4="Forint",Paraméterek!$J$113,Paraméterek!$K$113),IF(IF(ISBLANK($AW731),$AV731,$AW731)*Paraméterek!$J$112&gt;IF($D$4="Forint",Paraméterek!$J$114,Paraméterek!$K$114),IF($D$4="Forint",Paraméterek!$J$114,Paraméterek!$K$114),IF(ISBLANK($AW731),$AV731,$AW731)*Paraméterek!$J$112))),IF($D$4="Forint",0,2))</f>
        <v>0</v>
      </c>
      <c r="AY731" s="13">
        <f>$AR731+$AT731-$AU731-IF(ROUNDDOWN(IF(ISBLANK($AW731),$AV731,$AW731),IF($D$4="Forint",0,2))&gt;$AR731+$AT731-$AU731-IF($D$4="Forint",Paraméterek!$J$114,Paraméterek!$K$114),0,ROUNDDOWN(IF(ISBLANK($AW731),$AV731,$AW731),IF($D$4="Forint",0,2))-$AX731)</f>
        <v>0</v>
      </c>
      <c r="AZ731" s="13">
        <f t="shared" si="174"/>
        <v>0</v>
      </c>
    </row>
    <row r="732" spans="1:52" x14ac:dyDescent="0.2">
      <c r="A732" s="32">
        <v>713</v>
      </c>
      <c r="B732" s="32">
        <v>60</v>
      </c>
      <c r="C732" s="32">
        <v>5</v>
      </c>
      <c r="D732" s="13">
        <f t="shared" si="165"/>
        <v>0</v>
      </c>
      <c r="E732" s="13"/>
      <c r="F732" s="13"/>
      <c r="G732" s="13"/>
      <c r="H732" s="13">
        <f t="shared" si="166"/>
        <v>0</v>
      </c>
      <c r="I732" s="13">
        <f t="shared" si="167"/>
        <v>0</v>
      </c>
      <c r="J732" s="13">
        <f t="shared" si="168"/>
        <v>0</v>
      </c>
      <c r="K732" s="13">
        <f>ROUNDUP(IF($D$2="Egyszeri",$D732,IF($D$2="Havi",SUM($D$20:$D$31),IF(MOD($C732,$M$1)-1=0,SUM($D$20:$D$31),0))/12*$M$1)*VLOOKUP($B732,Paraméterek!$B$27:$D$30,IF($D$2="Egyszeri",3,2)),IF($D$4="Forint",0,2))</f>
        <v>0</v>
      </c>
      <c r="L732" s="13">
        <f t="shared" si="169"/>
        <v>0</v>
      </c>
      <c r="M732" s="13">
        <f t="shared" ca="1" si="175"/>
        <v>-636166</v>
      </c>
      <c r="N732" s="13">
        <f ca="1">IF($V731&gt;=VLOOKUP($M$4-1+$B732,Paraméterek!$B$121:$D$122,IF($D$4="Forint",2,3)),0,VLOOKUP($M$4-1+$B732,Paraméterek!$B$121:$D$122,IF($D$4="Forint",2,3))-$V731)</f>
        <v>646166</v>
      </c>
      <c r="O732" s="13">
        <f ca="1">ROUNDUP($N732*Paraméterek!$C$58/Paraméterek!$C$56,IF($D$4="Forint",0,2))</f>
        <v>103</v>
      </c>
      <c r="P732" s="13">
        <f t="shared" si="170"/>
        <v>3147</v>
      </c>
      <c r="Q732" s="33"/>
      <c r="R732" s="13">
        <f t="shared" ca="1" si="171"/>
        <v>0</v>
      </c>
      <c r="S732" s="13">
        <f ca="1">ROUNDUP(($M732-$O732-$P732+$R732)*VLOOKUP($B732,Paraméterek!$B$38:$D$39,IF($D$2="Egyszeri",3,2))/12,IF($D$4="Forint",0,2))</f>
        <v>-1562</v>
      </c>
      <c r="T732" s="13"/>
      <c r="U732" s="13"/>
      <c r="V732" s="13">
        <f ca="1">$M732-$O732-$P732+$R732-$S732-IF(ROUNDUP(IF(ISBLANK($U732),$T732,$U732)/IF(AND($B732=1,$D$2&lt;&gt;"Egyszeri"),1,VLOOKUP($B732+IF($C732=12,1,0),Paraméterek!$B$257:$D$267,IF($D$2="Egyszeri",3,2))),IF($D$4="Forint",0,2))&gt;$M732-$O732-$P732+$R732-$S732-IF($D$4="Forint",Paraméterek!$C$216,Paraméterek!$D$216),0,ROUNDUP(IF(ISBLANK($U732),$T732,$U732)/IF(AND($B732=1,$D$2&lt;&gt;"Egyszeri"),1,VLOOKUP($B732+IF($C732=12,1,0),Paraméterek!$B$257:$D$267,IF($D$2="Egyszeri",3,2))),IF($D$4="Forint",0,2)))</f>
        <v>-637854</v>
      </c>
      <c r="W732" s="13">
        <f ca="1">ROUNDDOWN($V732*VLOOKUP($B732+IF($C732=12,1,0),Paraméterek!$B$257:$D$267,IF($D$2="Egyszeri",3,2)),IF($D$4="Forint",0,2))</f>
        <v>-637854</v>
      </c>
      <c r="Y732" s="32">
        <v>713</v>
      </c>
      <c r="Z732" s="32">
        <v>60</v>
      </c>
      <c r="AA732" s="32">
        <v>5</v>
      </c>
      <c r="AB732" s="13">
        <f t="shared" si="176"/>
        <v>0</v>
      </c>
      <c r="AC732" s="33"/>
      <c r="AD732" s="13">
        <f t="shared" si="172"/>
        <v>0</v>
      </c>
      <c r="AE732" s="13">
        <f>ROUNDUP(($AB732+$AD732)*VLOOKUP($Z732,Paraméterek!$P$38:$Q$38,2)/12,IF($D$4="Forint",0,2))</f>
        <v>0</v>
      </c>
      <c r="AF732" s="13">
        <f>IF($D$2="Egyszeri",IF($D$7&gt;=IF($D$4="Forint",Paraméterek!$P$223,Paraméterek!$P$224),$D$7-IF($D$4="Forint",Paraméterek!$F$223,Paraméterek!$F$224),0),MIN(IF($AA732=12,AVERAGE($D$20:$D732)*12,0),SUM($D$20:$D$31)))</f>
        <v>0</v>
      </c>
      <c r="AG732" s="13">
        <f>IF(AND($Z732&gt;=10,MOD($Z732,5)=0),$AF732*IF($AA732=12,VLOOKUP($Z732,Paraméterek!$B$225:$F$240,IF($AF732&lt;IF($D$4="Forint",Paraméterek!$C$223,Paraméterek!$C$224),2,IF($AF732&lt;IF($D$4="Forint",Paraméterek!$D$223,Paraméterek!$D$224),3,4))),0),0)</f>
        <v>0</v>
      </c>
      <c r="AH732" s="13">
        <f>IF(AND($Z732&gt;=5,MOD($Z732,5)=0),IF($AA732=12,VLOOKUP($Z732,Paraméterek!$B$225:$F$240,5),0),IF(OR($Z732=3,$Z732=4),IF($AA732=12,VLOOKUP($Z732,Paraméterek!$B$225:$F$240,5,0),0),0))*$AF732</f>
        <v>0</v>
      </c>
      <c r="AI732" s="13">
        <f>ROUNDDOWN(IF(SUM($T$20:$U732)=0,IF($D$2="Egyszeri",$AH732,$AG732),0),IF($D$4="Forint",0,2))</f>
        <v>0</v>
      </c>
      <c r="AJ732" s="13">
        <f t="shared" si="177"/>
        <v>0</v>
      </c>
      <c r="AK732" s="13">
        <f t="shared" si="178"/>
        <v>0</v>
      </c>
      <c r="AM732" s="32">
        <v>713</v>
      </c>
      <c r="AN732" s="32">
        <v>60</v>
      </c>
      <c r="AO732" s="32">
        <v>5</v>
      </c>
      <c r="AP732" s="13"/>
      <c r="AQ732" s="32"/>
      <c r="AR732" s="13">
        <f t="shared" si="179"/>
        <v>0</v>
      </c>
      <c r="AS732" s="33"/>
      <c r="AT732" s="13">
        <f t="shared" si="173"/>
        <v>0</v>
      </c>
      <c r="AU732" s="13">
        <f>ROUNDUP(($AR732+$AT732)*VLOOKUP($AN732,Paraméterek!$P$38:$Q$38,2)/12,IF($D$4="Forint",0,2))</f>
        <v>0</v>
      </c>
      <c r="AV732" s="13"/>
      <c r="AW732" s="13"/>
      <c r="AX732" s="13">
        <f>ROUNDUP(IF(SUM($AV732:$AW732)=0,0,IF(IF(ISBLANK($AW732),$AV732,$AW732)*Paraméterek!$J$112&lt;IF($D$4="Forint",Paraméterek!$J$113,Paraméterek!$K$113),IF($D$4="Forint",Paraméterek!$J$113,Paraméterek!$K$113),IF(IF(ISBLANK($AW732),$AV732,$AW732)*Paraméterek!$J$112&gt;IF($D$4="Forint",Paraméterek!$J$114,Paraméterek!$K$114),IF($D$4="Forint",Paraméterek!$J$114,Paraméterek!$K$114),IF(ISBLANK($AW732),$AV732,$AW732)*Paraméterek!$J$112))),IF($D$4="Forint",0,2))</f>
        <v>0</v>
      </c>
      <c r="AY732" s="13">
        <f>$AR732+$AT732-$AU732-IF(ROUNDDOWN(IF(ISBLANK($AW732),$AV732,$AW732),IF($D$4="Forint",0,2))&gt;$AR732+$AT732-$AU732-IF($D$4="Forint",Paraméterek!$J$114,Paraméterek!$K$114),0,ROUNDDOWN(IF(ISBLANK($AW732),$AV732,$AW732),IF($D$4="Forint",0,2))-$AX732)</f>
        <v>0</v>
      </c>
      <c r="AZ732" s="13">
        <f t="shared" si="174"/>
        <v>0</v>
      </c>
    </row>
    <row r="733" spans="1:52" x14ac:dyDescent="0.2">
      <c r="A733" s="32">
        <v>714</v>
      </c>
      <c r="B733" s="32">
        <v>60</v>
      </c>
      <c r="C733" s="32">
        <v>6</v>
      </c>
      <c r="D733" s="13">
        <f t="shared" si="165"/>
        <v>0</v>
      </c>
      <c r="E733" s="13"/>
      <c r="F733" s="13"/>
      <c r="G733" s="13"/>
      <c r="H733" s="13">
        <f t="shared" si="166"/>
        <v>0</v>
      </c>
      <c r="I733" s="13">
        <f t="shared" si="167"/>
        <v>0</v>
      </c>
      <c r="J733" s="13">
        <f t="shared" si="168"/>
        <v>0</v>
      </c>
      <c r="K733" s="13">
        <f>ROUNDUP(IF($D$2="Egyszeri",$D733,IF($D$2="Havi",SUM($D$20:$D$31),IF(MOD($C733,$M$1)-1=0,SUM($D$20:$D$31),0))/12*$M$1)*VLOOKUP($B733,Paraméterek!$B$27:$D$30,IF($D$2="Egyszeri",3,2)),IF($D$4="Forint",0,2))</f>
        <v>0</v>
      </c>
      <c r="L733" s="13">
        <f t="shared" si="169"/>
        <v>0</v>
      </c>
      <c r="M733" s="13">
        <f t="shared" ca="1" si="175"/>
        <v>-637854</v>
      </c>
      <c r="N733" s="13">
        <f ca="1">IF($V732&gt;=VLOOKUP($M$4-1+$B733,Paraméterek!$B$121:$D$122,IF($D$4="Forint",2,3)),0,VLOOKUP($M$4-1+$B733,Paraméterek!$B$121:$D$122,IF($D$4="Forint",2,3))-$V732)</f>
        <v>647854</v>
      </c>
      <c r="O733" s="13">
        <f ca="1">ROUNDUP($N733*Paraméterek!$C$58/Paraméterek!$C$56,IF($D$4="Forint",0,2))</f>
        <v>104</v>
      </c>
      <c r="P733" s="13">
        <f t="shared" si="170"/>
        <v>3147</v>
      </c>
      <c r="Q733" s="33"/>
      <c r="R733" s="13">
        <f t="shared" ca="1" si="171"/>
        <v>0</v>
      </c>
      <c r="S733" s="13">
        <f ca="1">ROUNDUP(($M733-$O733-$P733+$R733)*VLOOKUP($B733,Paraméterek!$B$38:$D$39,IF($D$2="Egyszeri",3,2))/12,IF($D$4="Forint",0,2))</f>
        <v>-1566</v>
      </c>
      <c r="T733" s="13"/>
      <c r="U733" s="13"/>
      <c r="V733" s="13">
        <f ca="1">$M733-$O733-$P733+$R733-$S733-IF(ROUNDUP(IF(ISBLANK($U733),$T733,$U733)/IF(AND($B733=1,$D$2&lt;&gt;"Egyszeri"),1,VLOOKUP($B733+IF($C733=12,1,0),Paraméterek!$B$257:$D$267,IF($D$2="Egyszeri",3,2))),IF($D$4="Forint",0,2))&gt;$M733-$O733-$P733+$R733-$S733-IF($D$4="Forint",Paraméterek!$C$216,Paraméterek!$D$216),0,ROUNDUP(IF(ISBLANK($U733),$T733,$U733)/IF(AND($B733=1,$D$2&lt;&gt;"Egyszeri"),1,VLOOKUP($B733+IF($C733=12,1,0),Paraméterek!$B$257:$D$267,IF($D$2="Egyszeri",3,2))),IF($D$4="Forint",0,2)))</f>
        <v>-639539</v>
      </c>
      <c r="W733" s="13">
        <f ca="1">ROUNDDOWN($V733*VLOOKUP($B733+IF($C733=12,1,0),Paraméterek!$B$257:$D$267,IF($D$2="Egyszeri",3,2)),IF($D$4="Forint",0,2))</f>
        <v>-639539</v>
      </c>
      <c r="Y733" s="32">
        <v>714</v>
      </c>
      <c r="Z733" s="32">
        <v>60</v>
      </c>
      <c r="AA733" s="32">
        <v>6</v>
      </c>
      <c r="AB733" s="13">
        <f t="shared" si="176"/>
        <v>0</v>
      </c>
      <c r="AC733" s="33"/>
      <c r="AD733" s="13">
        <f t="shared" si="172"/>
        <v>0</v>
      </c>
      <c r="AE733" s="13">
        <f>ROUNDUP(($AB733+$AD733)*VLOOKUP($Z733,Paraméterek!$P$38:$Q$38,2)/12,IF($D$4="Forint",0,2))</f>
        <v>0</v>
      </c>
      <c r="AF733" s="13">
        <f>IF($D$2="Egyszeri",IF($D$7&gt;=IF($D$4="Forint",Paraméterek!$P$223,Paraméterek!$P$224),$D$7-IF($D$4="Forint",Paraméterek!$F$223,Paraméterek!$F$224),0),MIN(IF($AA733=12,AVERAGE($D$20:$D733)*12,0),SUM($D$20:$D$31)))</f>
        <v>0</v>
      </c>
      <c r="AG733" s="13">
        <f>IF(AND($Z733&gt;=10,MOD($Z733,5)=0),$AF733*IF($AA733=12,VLOOKUP($Z733,Paraméterek!$B$225:$F$240,IF($AF733&lt;IF($D$4="Forint",Paraméterek!$C$223,Paraméterek!$C$224),2,IF($AF733&lt;IF($D$4="Forint",Paraméterek!$D$223,Paraméterek!$D$224),3,4))),0),0)</f>
        <v>0</v>
      </c>
      <c r="AH733" s="13">
        <f>IF(AND($Z733&gt;=5,MOD($Z733,5)=0),IF($AA733=12,VLOOKUP($Z733,Paraméterek!$B$225:$F$240,5),0),IF(OR($Z733=3,$Z733=4),IF($AA733=12,VLOOKUP($Z733,Paraméterek!$B$225:$F$240,5,0),0),0))*$AF733</f>
        <v>0</v>
      </c>
      <c r="AI733" s="13">
        <f>ROUNDDOWN(IF(SUM($T$20:$U733)=0,IF($D$2="Egyszeri",$AH733,$AG733),0),IF($D$4="Forint",0,2))</f>
        <v>0</v>
      </c>
      <c r="AJ733" s="13">
        <f t="shared" si="177"/>
        <v>0</v>
      </c>
      <c r="AK733" s="13">
        <f t="shared" si="178"/>
        <v>0</v>
      </c>
      <c r="AM733" s="32">
        <v>714</v>
      </c>
      <c r="AN733" s="32">
        <v>60</v>
      </c>
      <c r="AO733" s="32">
        <v>6</v>
      </c>
      <c r="AP733" s="13"/>
      <c r="AQ733" s="32"/>
      <c r="AR733" s="13">
        <f t="shared" si="179"/>
        <v>0</v>
      </c>
      <c r="AS733" s="33"/>
      <c r="AT733" s="13">
        <f t="shared" si="173"/>
        <v>0</v>
      </c>
      <c r="AU733" s="13">
        <f>ROUNDUP(($AR733+$AT733)*VLOOKUP($AN733,Paraméterek!$P$38:$Q$38,2)/12,IF($D$4="Forint",0,2))</f>
        <v>0</v>
      </c>
      <c r="AV733" s="13"/>
      <c r="AW733" s="13"/>
      <c r="AX733" s="13">
        <f>ROUNDUP(IF(SUM($AV733:$AW733)=0,0,IF(IF(ISBLANK($AW733),$AV733,$AW733)*Paraméterek!$J$112&lt;IF($D$4="Forint",Paraméterek!$J$113,Paraméterek!$K$113),IF($D$4="Forint",Paraméterek!$J$113,Paraméterek!$K$113),IF(IF(ISBLANK($AW733),$AV733,$AW733)*Paraméterek!$J$112&gt;IF($D$4="Forint",Paraméterek!$J$114,Paraméterek!$K$114),IF($D$4="Forint",Paraméterek!$J$114,Paraméterek!$K$114),IF(ISBLANK($AW733),$AV733,$AW733)*Paraméterek!$J$112))),IF($D$4="Forint",0,2))</f>
        <v>0</v>
      </c>
      <c r="AY733" s="13">
        <f>$AR733+$AT733-$AU733-IF(ROUNDDOWN(IF(ISBLANK($AW733),$AV733,$AW733),IF($D$4="Forint",0,2))&gt;$AR733+$AT733-$AU733-IF($D$4="Forint",Paraméterek!$J$114,Paraméterek!$K$114),0,ROUNDDOWN(IF(ISBLANK($AW733),$AV733,$AW733),IF($D$4="Forint",0,2))-$AX733)</f>
        <v>0</v>
      </c>
      <c r="AZ733" s="13">
        <f t="shared" si="174"/>
        <v>0</v>
      </c>
    </row>
    <row r="734" spans="1:52" x14ac:dyDescent="0.2">
      <c r="A734" s="32">
        <v>715</v>
      </c>
      <c r="B734" s="32">
        <v>60</v>
      </c>
      <c r="C734" s="32">
        <v>7</v>
      </c>
      <c r="D734" s="13">
        <f t="shared" si="165"/>
        <v>0</v>
      </c>
      <c r="E734" s="13"/>
      <c r="F734" s="13"/>
      <c r="G734" s="13"/>
      <c r="H734" s="13">
        <f t="shared" si="166"/>
        <v>0</v>
      </c>
      <c r="I734" s="13">
        <f t="shared" si="167"/>
        <v>0</v>
      </c>
      <c r="J734" s="13">
        <f t="shared" si="168"/>
        <v>0</v>
      </c>
      <c r="K734" s="13">
        <f>ROUNDUP(IF($D$2="Egyszeri",$D734,IF($D$2="Havi",SUM($D$20:$D$31),IF(MOD($C734,$M$1)-1=0,SUM($D$20:$D$31),0))/12*$M$1)*VLOOKUP($B734,Paraméterek!$B$27:$D$30,IF($D$2="Egyszeri",3,2)),IF($D$4="Forint",0,2))</f>
        <v>0</v>
      </c>
      <c r="L734" s="13">
        <f t="shared" si="169"/>
        <v>0</v>
      </c>
      <c r="M734" s="13">
        <f t="shared" ca="1" si="175"/>
        <v>-639539</v>
      </c>
      <c r="N734" s="13">
        <f ca="1">IF($V733&gt;=VLOOKUP($M$4-1+$B734,Paraméterek!$B$121:$D$122,IF($D$4="Forint",2,3)),0,VLOOKUP($M$4-1+$B734,Paraméterek!$B$121:$D$122,IF($D$4="Forint",2,3))-$V733)</f>
        <v>649539</v>
      </c>
      <c r="O734" s="13">
        <f ca="1">ROUNDUP($N734*Paraméterek!$C$58/Paraméterek!$C$56,IF($D$4="Forint",0,2))</f>
        <v>104</v>
      </c>
      <c r="P734" s="13">
        <f t="shared" si="170"/>
        <v>3147</v>
      </c>
      <c r="Q734" s="33"/>
      <c r="R734" s="13">
        <f t="shared" ca="1" si="171"/>
        <v>0</v>
      </c>
      <c r="S734" s="13">
        <f ca="1">ROUNDUP(($M734-$O734-$P734+$R734)*VLOOKUP($B734,Paraméterek!$B$38:$D$39,IF($D$2="Egyszeri",3,2))/12,IF($D$4="Forint",0,2))</f>
        <v>-1570</v>
      </c>
      <c r="T734" s="13"/>
      <c r="U734" s="13"/>
      <c r="V734" s="13">
        <f ca="1">$M734-$O734-$P734+$R734-$S734-IF(ROUNDUP(IF(ISBLANK($U734),$T734,$U734)/IF(AND($B734=1,$D$2&lt;&gt;"Egyszeri"),1,VLOOKUP($B734+IF($C734=12,1,0),Paraméterek!$B$257:$D$267,IF($D$2="Egyszeri",3,2))),IF($D$4="Forint",0,2))&gt;$M734-$O734-$P734+$R734-$S734-IF($D$4="Forint",Paraméterek!$C$216,Paraméterek!$D$216),0,ROUNDUP(IF(ISBLANK($U734),$T734,$U734)/IF(AND($B734=1,$D$2&lt;&gt;"Egyszeri"),1,VLOOKUP($B734+IF($C734=12,1,0),Paraméterek!$B$257:$D$267,IF($D$2="Egyszeri",3,2))),IF($D$4="Forint",0,2)))</f>
        <v>-641220</v>
      </c>
      <c r="W734" s="13">
        <f ca="1">ROUNDDOWN($V734*VLOOKUP($B734+IF($C734=12,1,0),Paraméterek!$B$257:$D$267,IF($D$2="Egyszeri",3,2)),IF($D$4="Forint",0,2))</f>
        <v>-641220</v>
      </c>
      <c r="Y734" s="32">
        <v>715</v>
      </c>
      <c r="Z734" s="32">
        <v>60</v>
      </c>
      <c r="AA734" s="32">
        <v>7</v>
      </c>
      <c r="AB734" s="13">
        <f t="shared" si="176"/>
        <v>0</v>
      </c>
      <c r="AC734" s="33"/>
      <c r="AD734" s="13">
        <f t="shared" si="172"/>
        <v>0</v>
      </c>
      <c r="AE734" s="13">
        <f>ROUNDUP(($AB734+$AD734)*VLOOKUP($Z734,Paraméterek!$P$38:$Q$38,2)/12,IF($D$4="Forint",0,2))</f>
        <v>0</v>
      </c>
      <c r="AF734" s="13">
        <f>IF($D$2="Egyszeri",IF($D$7&gt;=IF($D$4="Forint",Paraméterek!$P$223,Paraméterek!$P$224),$D$7-IF($D$4="Forint",Paraméterek!$F$223,Paraméterek!$F$224),0),MIN(IF($AA734=12,AVERAGE($D$20:$D734)*12,0),SUM($D$20:$D$31)))</f>
        <v>0</v>
      </c>
      <c r="AG734" s="13">
        <f>IF(AND($Z734&gt;=10,MOD($Z734,5)=0),$AF734*IF($AA734=12,VLOOKUP($Z734,Paraméterek!$B$225:$F$240,IF($AF734&lt;IF($D$4="Forint",Paraméterek!$C$223,Paraméterek!$C$224),2,IF($AF734&lt;IF($D$4="Forint",Paraméterek!$D$223,Paraméterek!$D$224),3,4))),0),0)</f>
        <v>0</v>
      </c>
      <c r="AH734" s="13">
        <f>IF(AND($Z734&gt;=5,MOD($Z734,5)=0),IF($AA734=12,VLOOKUP($Z734,Paraméterek!$B$225:$F$240,5),0),IF(OR($Z734=3,$Z734=4),IF($AA734=12,VLOOKUP($Z734,Paraméterek!$B$225:$F$240,5,0),0),0))*$AF734</f>
        <v>0</v>
      </c>
      <c r="AI734" s="13">
        <f>ROUNDDOWN(IF(SUM($T$20:$U734)=0,IF($D$2="Egyszeri",$AH734,$AG734),0),IF($D$4="Forint",0,2))</f>
        <v>0</v>
      </c>
      <c r="AJ734" s="13">
        <f t="shared" si="177"/>
        <v>0</v>
      </c>
      <c r="AK734" s="13">
        <f t="shared" si="178"/>
        <v>0</v>
      </c>
      <c r="AM734" s="32">
        <v>715</v>
      </c>
      <c r="AN734" s="32">
        <v>60</v>
      </c>
      <c r="AO734" s="32">
        <v>7</v>
      </c>
      <c r="AP734" s="13"/>
      <c r="AQ734" s="32"/>
      <c r="AR734" s="13">
        <f t="shared" si="179"/>
        <v>0</v>
      </c>
      <c r="AS734" s="33"/>
      <c r="AT734" s="13">
        <f t="shared" si="173"/>
        <v>0</v>
      </c>
      <c r="AU734" s="13">
        <f>ROUNDUP(($AR734+$AT734)*VLOOKUP($AN734,Paraméterek!$P$38:$Q$38,2)/12,IF($D$4="Forint",0,2))</f>
        <v>0</v>
      </c>
      <c r="AV734" s="13"/>
      <c r="AW734" s="13"/>
      <c r="AX734" s="13">
        <f>ROUNDUP(IF(SUM($AV734:$AW734)=0,0,IF(IF(ISBLANK($AW734),$AV734,$AW734)*Paraméterek!$J$112&lt;IF($D$4="Forint",Paraméterek!$J$113,Paraméterek!$K$113),IF($D$4="Forint",Paraméterek!$J$113,Paraméterek!$K$113),IF(IF(ISBLANK($AW734),$AV734,$AW734)*Paraméterek!$J$112&gt;IF($D$4="Forint",Paraméterek!$J$114,Paraméterek!$K$114),IF($D$4="Forint",Paraméterek!$J$114,Paraméterek!$K$114),IF(ISBLANK($AW734),$AV734,$AW734)*Paraméterek!$J$112))),IF($D$4="Forint",0,2))</f>
        <v>0</v>
      </c>
      <c r="AY734" s="13">
        <f>$AR734+$AT734-$AU734-IF(ROUNDDOWN(IF(ISBLANK($AW734),$AV734,$AW734),IF($D$4="Forint",0,2))&gt;$AR734+$AT734-$AU734-IF($D$4="Forint",Paraméterek!$J$114,Paraméterek!$K$114),0,ROUNDDOWN(IF(ISBLANK($AW734),$AV734,$AW734),IF($D$4="Forint",0,2))-$AX734)</f>
        <v>0</v>
      </c>
      <c r="AZ734" s="13">
        <f t="shared" si="174"/>
        <v>0</v>
      </c>
    </row>
    <row r="735" spans="1:52" x14ac:dyDescent="0.2">
      <c r="A735" s="32">
        <v>716</v>
      </c>
      <c r="B735" s="32">
        <v>60</v>
      </c>
      <c r="C735" s="32">
        <v>8</v>
      </c>
      <c r="D735" s="13">
        <f t="shared" si="165"/>
        <v>0</v>
      </c>
      <c r="E735" s="13"/>
      <c r="F735" s="13"/>
      <c r="G735" s="13"/>
      <c r="H735" s="13">
        <f t="shared" si="166"/>
        <v>0</v>
      </c>
      <c r="I735" s="13">
        <f t="shared" si="167"/>
        <v>0</v>
      </c>
      <c r="J735" s="13">
        <f t="shared" si="168"/>
        <v>0</v>
      </c>
      <c r="K735" s="13">
        <f>ROUNDUP(IF($D$2="Egyszeri",$D735,IF($D$2="Havi",SUM($D$20:$D$31),IF(MOD($C735,$M$1)-1=0,SUM($D$20:$D$31),0))/12*$M$1)*VLOOKUP($B735,Paraméterek!$B$27:$D$30,IF($D$2="Egyszeri",3,2)),IF($D$4="Forint",0,2))</f>
        <v>0</v>
      </c>
      <c r="L735" s="13">
        <f t="shared" si="169"/>
        <v>0</v>
      </c>
      <c r="M735" s="13">
        <f t="shared" ca="1" si="175"/>
        <v>-641220</v>
      </c>
      <c r="N735" s="13">
        <f ca="1">IF($V734&gt;=VLOOKUP($M$4-1+$B735,Paraméterek!$B$121:$D$122,IF($D$4="Forint",2,3)),0,VLOOKUP($M$4-1+$B735,Paraméterek!$B$121:$D$122,IF($D$4="Forint",2,3))-$V734)</f>
        <v>651220</v>
      </c>
      <c r="O735" s="13">
        <f ca="1">ROUNDUP($N735*Paraméterek!$C$58/Paraméterek!$C$56,IF($D$4="Forint",0,2))</f>
        <v>104</v>
      </c>
      <c r="P735" s="13">
        <f t="shared" si="170"/>
        <v>3147</v>
      </c>
      <c r="Q735" s="33"/>
      <c r="R735" s="13">
        <f t="shared" ca="1" si="171"/>
        <v>0</v>
      </c>
      <c r="S735" s="13">
        <f ca="1">ROUNDUP(($M735-$O735-$P735+$R735)*VLOOKUP($B735,Paraméterek!$B$38:$D$39,IF($D$2="Egyszeri",3,2))/12,IF($D$4="Forint",0,2))</f>
        <v>-1574</v>
      </c>
      <c r="T735" s="13"/>
      <c r="U735" s="13"/>
      <c r="V735" s="13">
        <f ca="1">$M735-$O735-$P735+$R735-$S735-IF(ROUNDUP(IF(ISBLANK($U735),$T735,$U735)/IF(AND($B735=1,$D$2&lt;&gt;"Egyszeri"),1,VLOOKUP($B735+IF($C735=12,1,0),Paraméterek!$B$257:$D$267,IF($D$2="Egyszeri",3,2))),IF($D$4="Forint",0,2))&gt;$M735-$O735-$P735+$R735-$S735-IF($D$4="Forint",Paraméterek!$C$216,Paraméterek!$D$216),0,ROUNDUP(IF(ISBLANK($U735),$T735,$U735)/IF(AND($B735=1,$D$2&lt;&gt;"Egyszeri"),1,VLOOKUP($B735+IF($C735=12,1,0),Paraméterek!$B$257:$D$267,IF($D$2="Egyszeri",3,2))),IF($D$4="Forint",0,2)))</f>
        <v>-642897</v>
      </c>
      <c r="W735" s="13">
        <f ca="1">ROUNDDOWN($V735*VLOOKUP($B735+IF($C735=12,1,0),Paraméterek!$B$257:$D$267,IF($D$2="Egyszeri",3,2)),IF($D$4="Forint",0,2))</f>
        <v>-642897</v>
      </c>
      <c r="Y735" s="32">
        <v>716</v>
      </c>
      <c r="Z735" s="32">
        <v>60</v>
      </c>
      <c r="AA735" s="32">
        <v>8</v>
      </c>
      <c r="AB735" s="13">
        <f t="shared" si="176"/>
        <v>0</v>
      </c>
      <c r="AC735" s="33"/>
      <c r="AD735" s="13">
        <f t="shared" si="172"/>
        <v>0</v>
      </c>
      <c r="AE735" s="13">
        <f>ROUNDUP(($AB735+$AD735)*VLOOKUP($Z735,Paraméterek!$P$38:$Q$38,2)/12,IF($D$4="Forint",0,2))</f>
        <v>0</v>
      </c>
      <c r="AF735" s="13">
        <f>IF($D$2="Egyszeri",IF($D$7&gt;=IF($D$4="Forint",Paraméterek!$P$223,Paraméterek!$P$224),$D$7-IF($D$4="Forint",Paraméterek!$F$223,Paraméterek!$F$224),0),MIN(IF($AA735=12,AVERAGE($D$20:$D735)*12,0),SUM($D$20:$D$31)))</f>
        <v>0</v>
      </c>
      <c r="AG735" s="13">
        <f>IF(AND($Z735&gt;=10,MOD($Z735,5)=0),$AF735*IF($AA735=12,VLOOKUP($Z735,Paraméterek!$B$225:$F$240,IF($AF735&lt;IF($D$4="Forint",Paraméterek!$C$223,Paraméterek!$C$224),2,IF($AF735&lt;IF($D$4="Forint",Paraméterek!$D$223,Paraméterek!$D$224),3,4))),0),0)</f>
        <v>0</v>
      </c>
      <c r="AH735" s="13">
        <f>IF(AND($Z735&gt;=5,MOD($Z735,5)=0),IF($AA735=12,VLOOKUP($Z735,Paraméterek!$B$225:$F$240,5),0),IF(OR($Z735=3,$Z735=4),IF($AA735=12,VLOOKUP($Z735,Paraméterek!$B$225:$F$240,5,0),0),0))*$AF735</f>
        <v>0</v>
      </c>
      <c r="AI735" s="13">
        <f>ROUNDDOWN(IF(SUM($T$20:$U735)=0,IF($D$2="Egyszeri",$AH735,$AG735),0),IF($D$4="Forint",0,2))</f>
        <v>0</v>
      </c>
      <c r="AJ735" s="13">
        <f t="shared" si="177"/>
        <v>0</v>
      </c>
      <c r="AK735" s="13">
        <f t="shared" si="178"/>
        <v>0</v>
      </c>
      <c r="AM735" s="32">
        <v>716</v>
      </c>
      <c r="AN735" s="32">
        <v>60</v>
      </c>
      <c r="AO735" s="32">
        <v>8</v>
      </c>
      <c r="AP735" s="13"/>
      <c r="AQ735" s="32"/>
      <c r="AR735" s="13">
        <f t="shared" si="179"/>
        <v>0</v>
      </c>
      <c r="AS735" s="33"/>
      <c r="AT735" s="13">
        <f t="shared" si="173"/>
        <v>0</v>
      </c>
      <c r="AU735" s="13">
        <f>ROUNDUP(($AR735+$AT735)*VLOOKUP($AN735,Paraméterek!$P$38:$Q$38,2)/12,IF($D$4="Forint",0,2))</f>
        <v>0</v>
      </c>
      <c r="AV735" s="13"/>
      <c r="AW735" s="13"/>
      <c r="AX735" s="13">
        <f>ROUNDUP(IF(SUM($AV735:$AW735)=0,0,IF(IF(ISBLANK($AW735),$AV735,$AW735)*Paraméterek!$J$112&lt;IF($D$4="Forint",Paraméterek!$J$113,Paraméterek!$K$113),IF($D$4="Forint",Paraméterek!$J$113,Paraméterek!$K$113),IF(IF(ISBLANK($AW735),$AV735,$AW735)*Paraméterek!$J$112&gt;IF($D$4="Forint",Paraméterek!$J$114,Paraméterek!$K$114),IF($D$4="Forint",Paraméterek!$J$114,Paraméterek!$K$114),IF(ISBLANK($AW735),$AV735,$AW735)*Paraméterek!$J$112))),IF($D$4="Forint",0,2))</f>
        <v>0</v>
      </c>
      <c r="AY735" s="13">
        <f>$AR735+$AT735-$AU735-IF(ROUNDDOWN(IF(ISBLANK($AW735),$AV735,$AW735),IF($D$4="Forint",0,2))&gt;$AR735+$AT735-$AU735-IF($D$4="Forint",Paraméterek!$J$114,Paraméterek!$K$114),0,ROUNDDOWN(IF(ISBLANK($AW735),$AV735,$AW735),IF($D$4="Forint",0,2))-$AX735)</f>
        <v>0</v>
      </c>
      <c r="AZ735" s="13">
        <f t="shared" si="174"/>
        <v>0</v>
      </c>
    </row>
    <row r="736" spans="1:52" x14ac:dyDescent="0.2">
      <c r="A736" s="32">
        <v>717</v>
      </c>
      <c r="B736" s="32">
        <v>60</v>
      </c>
      <c r="C736" s="32">
        <v>9</v>
      </c>
      <c r="D736" s="13">
        <f t="shared" si="165"/>
        <v>0</v>
      </c>
      <c r="E736" s="13"/>
      <c r="F736" s="13"/>
      <c r="G736" s="13"/>
      <c r="H736" s="13">
        <f t="shared" si="166"/>
        <v>0</v>
      </c>
      <c r="I736" s="13">
        <f t="shared" si="167"/>
        <v>0</v>
      </c>
      <c r="J736" s="13">
        <f t="shared" si="168"/>
        <v>0</v>
      </c>
      <c r="K736" s="13">
        <f>ROUNDUP(IF($D$2="Egyszeri",$D736,IF($D$2="Havi",SUM($D$20:$D$31),IF(MOD($C736,$M$1)-1=0,SUM($D$20:$D$31),0))/12*$M$1)*VLOOKUP($B736,Paraméterek!$B$27:$D$30,IF($D$2="Egyszeri",3,2)),IF($D$4="Forint",0,2))</f>
        <v>0</v>
      </c>
      <c r="L736" s="13">
        <f t="shared" si="169"/>
        <v>0</v>
      </c>
      <c r="M736" s="13">
        <f t="shared" ca="1" si="175"/>
        <v>-642897</v>
      </c>
      <c r="N736" s="13">
        <f ca="1">IF($V735&gt;=VLOOKUP($M$4-1+$B736,Paraméterek!$B$121:$D$122,IF($D$4="Forint",2,3)),0,VLOOKUP($M$4-1+$B736,Paraméterek!$B$121:$D$122,IF($D$4="Forint",2,3))-$V735)</f>
        <v>652897</v>
      </c>
      <c r="O736" s="13">
        <f ca="1">ROUNDUP($N736*Paraméterek!$C$58/Paraméterek!$C$56,IF($D$4="Forint",0,2))</f>
        <v>104</v>
      </c>
      <c r="P736" s="13">
        <f t="shared" si="170"/>
        <v>3147</v>
      </c>
      <c r="Q736" s="33"/>
      <c r="R736" s="13">
        <f t="shared" ca="1" si="171"/>
        <v>0</v>
      </c>
      <c r="S736" s="13">
        <f ca="1">ROUNDUP(($M736-$O736-$P736+$R736)*VLOOKUP($B736,Paraméterek!$B$38:$D$39,IF($D$2="Egyszeri",3,2))/12,IF($D$4="Forint",0,2))</f>
        <v>-1578</v>
      </c>
      <c r="T736" s="13"/>
      <c r="U736" s="13"/>
      <c r="V736" s="13">
        <f ca="1">$M736-$O736-$P736+$R736-$S736-IF(ROUNDUP(IF(ISBLANK($U736),$T736,$U736)/IF(AND($B736=1,$D$2&lt;&gt;"Egyszeri"),1,VLOOKUP($B736+IF($C736=12,1,0),Paraméterek!$B$257:$D$267,IF($D$2="Egyszeri",3,2))),IF($D$4="Forint",0,2))&gt;$M736-$O736-$P736+$R736-$S736-IF($D$4="Forint",Paraméterek!$C$216,Paraméterek!$D$216),0,ROUNDUP(IF(ISBLANK($U736),$T736,$U736)/IF(AND($B736=1,$D$2&lt;&gt;"Egyszeri"),1,VLOOKUP($B736+IF($C736=12,1,0),Paraméterek!$B$257:$D$267,IF($D$2="Egyszeri",3,2))),IF($D$4="Forint",0,2)))</f>
        <v>-644570</v>
      </c>
      <c r="W736" s="13">
        <f ca="1">ROUNDDOWN($V736*VLOOKUP($B736+IF($C736=12,1,0),Paraméterek!$B$257:$D$267,IF($D$2="Egyszeri",3,2)),IF($D$4="Forint",0,2))</f>
        <v>-644570</v>
      </c>
      <c r="Y736" s="32">
        <v>717</v>
      </c>
      <c r="Z736" s="32">
        <v>60</v>
      </c>
      <c r="AA736" s="32">
        <v>9</v>
      </c>
      <c r="AB736" s="13">
        <f t="shared" si="176"/>
        <v>0</v>
      </c>
      <c r="AC736" s="33"/>
      <c r="AD736" s="13">
        <f t="shared" si="172"/>
        <v>0</v>
      </c>
      <c r="AE736" s="13">
        <f>ROUNDUP(($AB736+$AD736)*VLOOKUP($Z736,Paraméterek!$P$38:$Q$38,2)/12,IF($D$4="Forint",0,2))</f>
        <v>0</v>
      </c>
      <c r="AF736" s="13">
        <f>IF($D$2="Egyszeri",IF($D$7&gt;=IF($D$4="Forint",Paraméterek!$P$223,Paraméterek!$P$224),$D$7-IF($D$4="Forint",Paraméterek!$F$223,Paraméterek!$F$224),0),MIN(IF($AA736=12,AVERAGE($D$20:$D736)*12,0),SUM($D$20:$D$31)))</f>
        <v>0</v>
      </c>
      <c r="AG736" s="13">
        <f>IF(AND($Z736&gt;=10,MOD($Z736,5)=0),$AF736*IF($AA736=12,VLOOKUP($Z736,Paraméterek!$B$225:$F$240,IF($AF736&lt;IF($D$4="Forint",Paraméterek!$C$223,Paraméterek!$C$224),2,IF($AF736&lt;IF($D$4="Forint",Paraméterek!$D$223,Paraméterek!$D$224),3,4))),0),0)</f>
        <v>0</v>
      </c>
      <c r="AH736" s="13">
        <f>IF(AND($Z736&gt;=5,MOD($Z736,5)=0),IF($AA736=12,VLOOKUP($Z736,Paraméterek!$B$225:$F$240,5),0),IF(OR($Z736=3,$Z736=4),IF($AA736=12,VLOOKUP($Z736,Paraméterek!$B$225:$F$240,5,0),0),0))*$AF736</f>
        <v>0</v>
      </c>
      <c r="AI736" s="13">
        <f>ROUNDDOWN(IF(SUM($T$20:$U736)=0,IF($D$2="Egyszeri",$AH736,$AG736),0),IF($D$4="Forint",0,2))</f>
        <v>0</v>
      </c>
      <c r="AJ736" s="13">
        <f t="shared" si="177"/>
        <v>0</v>
      </c>
      <c r="AK736" s="13">
        <f t="shared" si="178"/>
        <v>0</v>
      </c>
      <c r="AM736" s="32">
        <v>717</v>
      </c>
      <c r="AN736" s="32">
        <v>60</v>
      </c>
      <c r="AO736" s="32">
        <v>9</v>
      </c>
      <c r="AP736" s="13"/>
      <c r="AQ736" s="32"/>
      <c r="AR736" s="13">
        <f t="shared" si="179"/>
        <v>0</v>
      </c>
      <c r="AS736" s="33"/>
      <c r="AT736" s="13">
        <f t="shared" si="173"/>
        <v>0</v>
      </c>
      <c r="AU736" s="13">
        <f>ROUNDUP(($AR736+$AT736)*VLOOKUP($AN736,Paraméterek!$P$38:$Q$38,2)/12,IF($D$4="Forint",0,2))</f>
        <v>0</v>
      </c>
      <c r="AV736" s="13"/>
      <c r="AW736" s="13"/>
      <c r="AX736" s="13">
        <f>ROUNDUP(IF(SUM($AV736:$AW736)=0,0,IF(IF(ISBLANK($AW736),$AV736,$AW736)*Paraméterek!$J$112&lt;IF($D$4="Forint",Paraméterek!$J$113,Paraméterek!$K$113),IF($D$4="Forint",Paraméterek!$J$113,Paraméterek!$K$113),IF(IF(ISBLANK($AW736),$AV736,$AW736)*Paraméterek!$J$112&gt;IF($D$4="Forint",Paraméterek!$J$114,Paraméterek!$K$114),IF($D$4="Forint",Paraméterek!$J$114,Paraméterek!$K$114),IF(ISBLANK($AW736),$AV736,$AW736)*Paraméterek!$J$112))),IF($D$4="Forint",0,2))</f>
        <v>0</v>
      </c>
      <c r="AY736" s="13">
        <f>$AR736+$AT736-$AU736-IF(ROUNDDOWN(IF(ISBLANK($AW736),$AV736,$AW736),IF($D$4="Forint",0,2))&gt;$AR736+$AT736-$AU736-IF($D$4="Forint",Paraméterek!$J$114,Paraméterek!$K$114),0,ROUNDDOWN(IF(ISBLANK($AW736),$AV736,$AW736),IF($D$4="Forint",0,2))-$AX736)</f>
        <v>0</v>
      </c>
      <c r="AZ736" s="13">
        <f t="shared" si="174"/>
        <v>0</v>
      </c>
    </row>
    <row r="737" spans="1:52" x14ac:dyDescent="0.2">
      <c r="A737" s="32">
        <v>718</v>
      </c>
      <c r="B737" s="32">
        <v>60</v>
      </c>
      <c r="C737" s="32">
        <v>10</v>
      </c>
      <c r="D737" s="13">
        <f t="shared" si="165"/>
        <v>0</v>
      </c>
      <c r="E737" s="13"/>
      <c r="F737" s="13"/>
      <c r="G737" s="13"/>
      <c r="H737" s="13">
        <f t="shared" si="166"/>
        <v>0</v>
      </c>
      <c r="I737" s="13">
        <f t="shared" si="167"/>
        <v>0</v>
      </c>
      <c r="J737" s="13">
        <f t="shared" si="168"/>
        <v>0</v>
      </c>
      <c r="K737" s="13">
        <f>ROUNDUP(IF($D$2="Egyszeri",$D737,IF($D$2="Havi",SUM($D$20:$D$31),IF(MOD($C737,$M$1)-1=0,SUM($D$20:$D$31),0))/12*$M$1)*VLOOKUP($B737,Paraméterek!$B$27:$D$30,IF($D$2="Egyszeri",3,2)),IF($D$4="Forint",0,2))</f>
        <v>0</v>
      </c>
      <c r="L737" s="13">
        <f t="shared" si="169"/>
        <v>0</v>
      </c>
      <c r="M737" s="13">
        <f t="shared" ca="1" si="175"/>
        <v>-644570</v>
      </c>
      <c r="N737" s="13">
        <f ca="1">IF($V736&gt;=VLOOKUP($M$4-1+$B737,Paraméterek!$B$121:$D$122,IF($D$4="Forint",2,3)),0,VLOOKUP($M$4-1+$B737,Paraméterek!$B$121:$D$122,IF($D$4="Forint",2,3))-$V736)</f>
        <v>654570</v>
      </c>
      <c r="O737" s="13">
        <f ca="1">ROUNDUP($N737*Paraméterek!$C$58/Paraméterek!$C$56,IF($D$4="Forint",0,2))</f>
        <v>105</v>
      </c>
      <c r="P737" s="13">
        <f t="shared" si="170"/>
        <v>3147</v>
      </c>
      <c r="Q737" s="33"/>
      <c r="R737" s="13">
        <f t="shared" ca="1" si="171"/>
        <v>0</v>
      </c>
      <c r="S737" s="13">
        <f ca="1">ROUNDUP(($M737-$O737-$P737+$R737)*VLOOKUP($B737,Paraméterek!$B$38:$D$39,IF($D$2="Egyszeri",3,2))/12,IF($D$4="Forint",0,2))</f>
        <v>-1582</v>
      </c>
      <c r="T737" s="13"/>
      <c r="U737" s="13"/>
      <c r="V737" s="13">
        <f ca="1">$M737-$O737-$P737+$R737-$S737-IF(ROUNDUP(IF(ISBLANK($U737),$T737,$U737)/IF(AND($B737=1,$D$2&lt;&gt;"Egyszeri"),1,VLOOKUP($B737+IF($C737=12,1,0),Paraméterek!$B$257:$D$267,IF($D$2="Egyszeri",3,2))),IF($D$4="Forint",0,2))&gt;$M737-$O737-$P737+$R737-$S737-IF($D$4="Forint",Paraméterek!$C$216,Paraméterek!$D$216),0,ROUNDUP(IF(ISBLANK($U737),$T737,$U737)/IF(AND($B737=1,$D$2&lt;&gt;"Egyszeri"),1,VLOOKUP($B737+IF($C737=12,1,0),Paraméterek!$B$257:$D$267,IF($D$2="Egyszeri",3,2))),IF($D$4="Forint",0,2)))</f>
        <v>-646240</v>
      </c>
      <c r="W737" s="13">
        <f ca="1">ROUNDDOWN($V737*VLOOKUP($B737+IF($C737=12,1,0),Paraméterek!$B$257:$D$267,IF($D$2="Egyszeri",3,2)),IF($D$4="Forint",0,2))</f>
        <v>-646240</v>
      </c>
      <c r="Y737" s="32">
        <v>718</v>
      </c>
      <c r="Z737" s="32">
        <v>60</v>
      </c>
      <c r="AA737" s="32">
        <v>10</v>
      </c>
      <c r="AB737" s="13">
        <f t="shared" si="176"/>
        <v>0</v>
      </c>
      <c r="AC737" s="33"/>
      <c r="AD737" s="13">
        <f t="shared" si="172"/>
        <v>0</v>
      </c>
      <c r="AE737" s="13">
        <f>ROUNDUP(($AB737+$AD737)*VLOOKUP($Z737,Paraméterek!$P$38:$Q$38,2)/12,IF($D$4="Forint",0,2))</f>
        <v>0</v>
      </c>
      <c r="AF737" s="13">
        <f>IF($D$2="Egyszeri",IF($D$7&gt;=IF($D$4="Forint",Paraméterek!$P$223,Paraméterek!$P$224),$D$7-IF($D$4="Forint",Paraméterek!$F$223,Paraméterek!$F$224),0),MIN(IF($AA737=12,AVERAGE($D$20:$D737)*12,0),SUM($D$20:$D$31)))</f>
        <v>0</v>
      </c>
      <c r="AG737" s="13">
        <f>IF(AND($Z737&gt;=10,MOD($Z737,5)=0),$AF737*IF($AA737=12,VLOOKUP($Z737,Paraméterek!$B$225:$F$240,IF($AF737&lt;IF($D$4="Forint",Paraméterek!$C$223,Paraméterek!$C$224),2,IF($AF737&lt;IF($D$4="Forint",Paraméterek!$D$223,Paraméterek!$D$224),3,4))),0),0)</f>
        <v>0</v>
      </c>
      <c r="AH737" s="13">
        <f>IF(AND($Z737&gt;=5,MOD($Z737,5)=0),IF($AA737=12,VLOOKUP($Z737,Paraméterek!$B$225:$F$240,5),0),IF(OR($Z737=3,$Z737=4),IF($AA737=12,VLOOKUP($Z737,Paraméterek!$B$225:$F$240,5,0),0),0))*$AF737</f>
        <v>0</v>
      </c>
      <c r="AI737" s="13">
        <f>ROUNDDOWN(IF(SUM($T$20:$U737)=0,IF($D$2="Egyszeri",$AH737,$AG737),0),IF($D$4="Forint",0,2))</f>
        <v>0</v>
      </c>
      <c r="AJ737" s="13">
        <f t="shared" si="177"/>
        <v>0</v>
      </c>
      <c r="AK737" s="13">
        <f t="shared" si="178"/>
        <v>0</v>
      </c>
      <c r="AM737" s="32">
        <v>718</v>
      </c>
      <c r="AN737" s="32">
        <v>60</v>
      </c>
      <c r="AO737" s="32">
        <v>10</v>
      </c>
      <c r="AP737" s="13"/>
      <c r="AQ737" s="32"/>
      <c r="AR737" s="13">
        <f t="shared" si="179"/>
        <v>0</v>
      </c>
      <c r="AS737" s="33"/>
      <c r="AT737" s="13">
        <f t="shared" si="173"/>
        <v>0</v>
      </c>
      <c r="AU737" s="13">
        <f>ROUNDUP(($AR737+$AT737)*VLOOKUP($AN737,Paraméterek!$P$38:$Q$38,2)/12,IF($D$4="Forint",0,2))</f>
        <v>0</v>
      </c>
      <c r="AV737" s="13"/>
      <c r="AW737" s="13"/>
      <c r="AX737" s="13">
        <f>ROUNDUP(IF(SUM($AV737:$AW737)=0,0,IF(IF(ISBLANK($AW737),$AV737,$AW737)*Paraméterek!$J$112&lt;IF($D$4="Forint",Paraméterek!$J$113,Paraméterek!$K$113),IF($D$4="Forint",Paraméterek!$J$113,Paraméterek!$K$113),IF(IF(ISBLANK($AW737),$AV737,$AW737)*Paraméterek!$J$112&gt;IF($D$4="Forint",Paraméterek!$J$114,Paraméterek!$K$114),IF($D$4="Forint",Paraméterek!$J$114,Paraméterek!$K$114),IF(ISBLANK($AW737),$AV737,$AW737)*Paraméterek!$J$112))),IF($D$4="Forint",0,2))</f>
        <v>0</v>
      </c>
      <c r="AY737" s="13">
        <f>$AR737+$AT737-$AU737-IF(ROUNDDOWN(IF(ISBLANK($AW737),$AV737,$AW737),IF($D$4="Forint",0,2))&gt;$AR737+$AT737-$AU737-IF($D$4="Forint",Paraméterek!$J$114,Paraméterek!$K$114),0,ROUNDDOWN(IF(ISBLANK($AW737),$AV737,$AW737),IF($D$4="Forint",0,2))-$AX737)</f>
        <v>0</v>
      </c>
      <c r="AZ737" s="13">
        <f t="shared" si="174"/>
        <v>0</v>
      </c>
    </row>
    <row r="738" spans="1:52" x14ac:dyDescent="0.2">
      <c r="A738" s="32">
        <v>719</v>
      </c>
      <c r="B738" s="32">
        <v>60</v>
      </c>
      <c r="C738" s="32">
        <v>11</v>
      </c>
      <c r="D738" s="13">
        <f t="shared" si="165"/>
        <v>0</v>
      </c>
      <c r="E738" s="13"/>
      <c r="F738" s="13"/>
      <c r="G738" s="13"/>
      <c r="H738" s="13">
        <f t="shared" si="166"/>
        <v>0</v>
      </c>
      <c r="I738" s="13">
        <f t="shared" si="167"/>
        <v>0</v>
      </c>
      <c r="J738" s="13">
        <f t="shared" si="168"/>
        <v>0</v>
      </c>
      <c r="K738" s="13">
        <f>ROUNDUP(IF($D$2="Egyszeri",$D738,IF($D$2="Havi",SUM($D$20:$D$31),IF(MOD($C738,$M$1)-1=0,SUM($D$20:$D$31),0))/12*$M$1)*VLOOKUP($B738,Paraméterek!$B$27:$D$30,IF($D$2="Egyszeri",3,2)),IF($D$4="Forint",0,2))</f>
        <v>0</v>
      </c>
      <c r="L738" s="13">
        <f t="shared" si="169"/>
        <v>0</v>
      </c>
      <c r="M738" s="13">
        <f t="shared" ca="1" si="175"/>
        <v>-646240</v>
      </c>
      <c r="N738" s="13">
        <f ca="1">IF($V737&gt;=VLOOKUP($M$4-1+$B738,Paraméterek!$B$121:$D$122,IF($D$4="Forint",2,3)),0,VLOOKUP($M$4-1+$B738,Paraméterek!$B$121:$D$122,IF($D$4="Forint",2,3))-$V737)</f>
        <v>656240</v>
      </c>
      <c r="O738" s="13">
        <f ca="1">ROUNDUP($N738*Paraméterek!$C$58/Paraméterek!$C$56,IF($D$4="Forint",0,2))</f>
        <v>105</v>
      </c>
      <c r="P738" s="13">
        <f t="shared" si="170"/>
        <v>3147</v>
      </c>
      <c r="Q738" s="33"/>
      <c r="R738" s="13">
        <f t="shared" ca="1" si="171"/>
        <v>0</v>
      </c>
      <c r="S738" s="13">
        <f ca="1">ROUNDUP(($M738-$O738-$P738+$R738)*VLOOKUP($B738,Paraméterek!$B$38:$D$39,IF($D$2="Egyszeri",3,2))/12,IF($D$4="Forint",0,2))</f>
        <v>-1586</v>
      </c>
      <c r="T738" s="13"/>
      <c r="U738" s="13"/>
      <c r="V738" s="13">
        <f ca="1">$M738-$O738-$P738+$R738-$S738-IF(ROUNDUP(IF(ISBLANK($U738),$T738,$U738)/IF(AND($B738=1,$D$2&lt;&gt;"Egyszeri"),1,VLOOKUP($B738+IF($C738=12,1,0),Paraméterek!$B$257:$D$267,IF($D$2="Egyszeri",3,2))),IF($D$4="Forint",0,2))&gt;$M738-$O738-$P738+$R738-$S738-IF($D$4="Forint",Paraméterek!$C$216,Paraméterek!$D$216),0,ROUNDUP(IF(ISBLANK($U738),$T738,$U738)/IF(AND($B738=1,$D$2&lt;&gt;"Egyszeri"),1,VLOOKUP($B738+IF($C738=12,1,0),Paraméterek!$B$257:$D$267,IF($D$2="Egyszeri",3,2))),IF($D$4="Forint",0,2)))</f>
        <v>-647906</v>
      </c>
      <c r="W738" s="13">
        <f ca="1">ROUNDDOWN($V738*VLOOKUP($B738+IF($C738=12,1,0),Paraméterek!$B$257:$D$267,IF($D$2="Egyszeri",3,2)),IF($D$4="Forint",0,2))</f>
        <v>-647906</v>
      </c>
      <c r="Y738" s="32">
        <v>719</v>
      </c>
      <c r="Z738" s="32">
        <v>60</v>
      </c>
      <c r="AA738" s="32">
        <v>11</v>
      </c>
      <c r="AB738" s="13">
        <f t="shared" si="176"/>
        <v>0</v>
      </c>
      <c r="AC738" s="33"/>
      <c r="AD738" s="13">
        <f t="shared" si="172"/>
        <v>0</v>
      </c>
      <c r="AE738" s="13">
        <f>ROUNDUP(($AB738+$AD738)*VLOOKUP($Z738,Paraméterek!$P$38:$Q$38,2)/12,IF($D$4="Forint",0,2))</f>
        <v>0</v>
      </c>
      <c r="AF738" s="13">
        <f>IF($D$2="Egyszeri",IF($D$7&gt;=IF($D$4="Forint",Paraméterek!$P$223,Paraméterek!$P$224),$D$7-IF($D$4="Forint",Paraméterek!$F$223,Paraméterek!$F$224),0),MIN(IF($AA738=12,AVERAGE($D$20:$D738)*12,0),SUM($D$20:$D$31)))</f>
        <v>0</v>
      </c>
      <c r="AG738" s="13">
        <f>IF(AND($Z738&gt;=10,MOD($Z738,5)=0),$AF738*IF($AA738=12,VLOOKUP($Z738,Paraméterek!$B$225:$F$240,IF($AF738&lt;IF($D$4="Forint",Paraméterek!$C$223,Paraméterek!$C$224),2,IF($AF738&lt;IF($D$4="Forint",Paraméterek!$D$223,Paraméterek!$D$224),3,4))),0),0)</f>
        <v>0</v>
      </c>
      <c r="AH738" s="13">
        <f>IF(AND($Z738&gt;=5,MOD($Z738,5)=0),IF($AA738=12,VLOOKUP($Z738,Paraméterek!$B$225:$F$240,5),0),IF(OR($Z738=3,$Z738=4),IF($AA738=12,VLOOKUP($Z738,Paraméterek!$B$225:$F$240,5,0),0),0))*$AF738</f>
        <v>0</v>
      </c>
      <c r="AI738" s="13">
        <f>ROUNDDOWN(IF(SUM($T$20:$U738)=0,IF($D$2="Egyszeri",$AH738,$AG738),0),IF($D$4="Forint",0,2))</f>
        <v>0</v>
      </c>
      <c r="AJ738" s="13">
        <f t="shared" si="177"/>
        <v>0</v>
      </c>
      <c r="AK738" s="13">
        <f t="shared" si="178"/>
        <v>0</v>
      </c>
      <c r="AM738" s="32">
        <v>719</v>
      </c>
      <c r="AN738" s="32">
        <v>60</v>
      </c>
      <c r="AO738" s="32">
        <v>11</v>
      </c>
      <c r="AP738" s="13"/>
      <c r="AQ738" s="32"/>
      <c r="AR738" s="13">
        <f t="shared" si="179"/>
        <v>0</v>
      </c>
      <c r="AS738" s="33"/>
      <c r="AT738" s="13">
        <f t="shared" si="173"/>
        <v>0</v>
      </c>
      <c r="AU738" s="13">
        <f>ROUNDUP(($AR738+$AT738)*VLOOKUP($AN738,Paraméterek!$P$38:$Q$38,2)/12,IF($D$4="Forint",0,2))</f>
        <v>0</v>
      </c>
      <c r="AV738" s="13"/>
      <c r="AW738" s="13"/>
      <c r="AX738" s="13">
        <f>ROUNDUP(IF(SUM($AV738:$AW738)=0,0,IF(IF(ISBLANK($AW738),$AV738,$AW738)*Paraméterek!$J$112&lt;IF($D$4="Forint",Paraméterek!$J$113,Paraméterek!$K$113),IF($D$4="Forint",Paraméterek!$J$113,Paraméterek!$K$113),IF(IF(ISBLANK($AW738),$AV738,$AW738)*Paraméterek!$J$112&gt;IF($D$4="Forint",Paraméterek!$J$114,Paraméterek!$K$114),IF($D$4="Forint",Paraméterek!$J$114,Paraméterek!$K$114),IF(ISBLANK($AW738),$AV738,$AW738)*Paraméterek!$J$112))),IF($D$4="Forint",0,2))</f>
        <v>0</v>
      </c>
      <c r="AY738" s="13">
        <f>$AR738+$AT738-$AU738-IF(ROUNDDOWN(IF(ISBLANK($AW738),$AV738,$AW738),IF($D$4="Forint",0,2))&gt;$AR738+$AT738-$AU738-IF($D$4="Forint",Paraméterek!$J$114,Paraméterek!$K$114),0,ROUNDDOWN(IF(ISBLANK($AW738),$AV738,$AW738),IF($D$4="Forint",0,2))-$AX738)</f>
        <v>0</v>
      </c>
      <c r="AZ738" s="13">
        <f t="shared" si="174"/>
        <v>0</v>
      </c>
    </row>
    <row r="739" spans="1:52" x14ac:dyDescent="0.2">
      <c r="A739" s="32">
        <v>720</v>
      </c>
      <c r="B739" s="32">
        <v>60</v>
      </c>
      <c r="C739" s="32">
        <v>12</v>
      </c>
      <c r="D739" s="13">
        <f t="shared" si="165"/>
        <v>0</v>
      </c>
      <c r="E739" s="13"/>
      <c r="F739" s="13"/>
      <c r="G739" s="13"/>
      <c r="H739" s="13">
        <f t="shared" si="166"/>
        <v>0</v>
      </c>
      <c r="I739" s="13">
        <f t="shared" si="167"/>
        <v>0</v>
      </c>
      <c r="J739" s="13">
        <f t="shared" si="168"/>
        <v>0</v>
      </c>
      <c r="K739" s="13">
        <f>ROUNDUP(IF($D$2="Egyszeri",$D739,IF($D$2="Havi",SUM($D$20:$D$31),IF(MOD($C739,$M$1)-1=0,SUM($D$20:$D$31),0))/12*$M$1)*VLOOKUP($B739,Paraméterek!$B$27:$D$30,IF($D$2="Egyszeri",3,2)),IF($D$4="Forint",0,2))</f>
        <v>0</v>
      </c>
      <c r="L739" s="13">
        <f t="shared" si="169"/>
        <v>0</v>
      </c>
      <c r="M739" s="13">
        <f t="shared" ca="1" si="175"/>
        <v>-647906</v>
      </c>
      <c r="N739" s="13">
        <f ca="1">IF($V738&gt;=VLOOKUP($M$4-1+$B739,Paraméterek!$B$121:$D$122,IF($D$4="Forint",2,3)),0,VLOOKUP($M$4-1+$B739,Paraméterek!$B$121:$D$122,IF($D$4="Forint",2,3))-$V738)</f>
        <v>657906</v>
      </c>
      <c r="O739" s="13">
        <f ca="1">ROUNDUP($N739*Paraméterek!$C$58/Paraméterek!$C$56,IF($D$4="Forint",0,2))</f>
        <v>105</v>
      </c>
      <c r="P739" s="13">
        <f t="shared" si="170"/>
        <v>3147</v>
      </c>
      <c r="Q739" s="33"/>
      <c r="R739" s="13">
        <f t="shared" ca="1" si="171"/>
        <v>0</v>
      </c>
      <c r="S739" s="13">
        <f ca="1">ROUNDUP(($M739-$O739-$P739+$R739)*VLOOKUP($B739,Paraméterek!$B$38:$D$39,IF($D$2="Egyszeri",3,2))/12,IF($D$4="Forint",0,2))</f>
        <v>-1590</v>
      </c>
      <c r="T739" s="13">
        <f>Tranzakciók!$F$91</f>
        <v>0</v>
      </c>
      <c r="U739" s="13"/>
      <c r="V739" s="13">
        <f ca="1">$M739-$O739-$P739+$R739-$S739-IF(ROUNDUP(IF(ISBLANK($U739),$T739,$U739)/IF(AND($B739=1,$D$2&lt;&gt;"Egyszeri"),1,VLOOKUP($B739+IF($C739=12,1,0),Paraméterek!$B$257:$D$267,IF($D$2="Egyszeri",3,2))),IF($D$4="Forint",0,2))&gt;$M739-$O739-$P739+$R739-$S739-IF($D$4="Forint",Paraméterek!$C$216,Paraméterek!$D$216),0,ROUNDUP(IF(ISBLANK($U739),$T739,$U739)/IF(AND($B739=1,$D$2&lt;&gt;"Egyszeri"),1,VLOOKUP($B739+IF($C739=12,1,0),Paraméterek!$B$257:$D$267,IF($D$2="Egyszeri",3,2))),IF($D$4="Forint",0,2)))</f>
        <v>-649568</v>
      </c>
      <c r="W739" s="13">
        <f ca="1">ROUNDDOWN($V739*VLOOKUP($B739+IF($C739=12,1,0),Paraméterek!$B$257:$D$267,IF($D$2="Egyszeri",3,2)),IF($D$4="Forint",0,2))</f>
        <v>-649568</v>
      </c>
      <c r="Y739" s="32">
        <v>720</v>
      </c>
      <c r="Z739" s="32">
        <v>60</v>
      </c>
      <c r="AA739" s="32">
        <v>12</v>
      </c>
      <c r="AB739" s="13">
        <f t="shared" si="176"/>
        <v>0</v>
      </c>
      <c r="AC739" s="33"/>
      <c r="AD739" s="13">
        <f t="shared" si="172"/>
        <v>0</v>
      </c>
      <c r="AE739" s="13">
        <f>ROUNDUP(($AB739+$AD739)*VLOOKUP($Z739,Paraméterek!$P$38:$Q$38,2)/12,IF($D$4="Forint",0,2))</f>
        <v>0</v>
      </c>
      <c r="AF739" s="13">
        <f>IF($D$2="Egyszeri",IF($D$7&gt;=IF($D$4="Forint",Paraméterek!$P$223,Paraméterek!$P$224),$D$7-IF($D$4="Forint",Paraméterek!$F$223,Paraméterek!$F$224),0),MIN(IF($AA739=12,AVERAGE($D$20:$D739)*12,0),SUM($D$20:$D$31)))</f>
        <v>0</v>
      </c>
      <c r="AG739" s="13">
        <f>IF(AND($Z739&gt;=10,MOD($Z739,5)=0),$AF739*IF($AA739=12,VLOOKUP($Z739,Paraméterek!$B$225:$F$240,IF($AF739&lt;IF($D$4="Forint",Paraméterek!$C$223,Paraméterek!$C$224),2,IF($AF739&lt;IF($D$4="Forint",Paraméterek!$D$223,Paraméterek!$D$224),3,4))),0),0)</f>
        <v>0</v>
      </c>
      <c r="AH739" s="13">
        <f>IF(AND($Z739&gt;=5,MOD($Z739,5)=0),IF($AA739=12,VLOOKUP($Z739,Paraméterek!$B$225:$F$240,5),0),IF(OR($Z739=3,$Z739=4),IF($AA739=12,VLOOKUP($Z739,Paraméterek!$B$225:$F$240,5,0),0),0))*$AF739</f>
        <v>0</v>
      </c>
      <c r="AI739" s="13">
        <f>ROUNDDOWN(IF(SUM($T$20:$U739)=0,IF($D$2="Egyszeri",$AH739,$AG739),0),IF($D$4="Forint",0,2))</f>
        <v>0</v>
      </c>
      <c r="AJ739" s="13">
        <f t="shared" si="177"/>
        <v>0</v>
      </c>
      <c r="AK739" s="13">
        <f t="shared" si="178"/>
        <v>0</v>
      </c>
      <c r="AM739" s="32">
        <v>720</v>
      </c>
      <c r="AN739" s="32">
        <v>60</v>
      </c>
      <c r="AO739" s="32">
        <v>12</v>
      </c>
      <c r="AP739" s="13"/>
      <c r="AQ739" s="32"/>
      <c r="AR739" s="13">
        <f t="shared" si="179"/>
        <v>0</v>
      </c>
      <c r="AS739" s="33"/>
      <c r="AT739" s="13">
        <f t="shared" si="173"/>
        <v>0</v>
      </c>
      <c r="AU739" s="13">
        <f>ROUNDUP(($AR739+$AT739)*VLOOKUP($AN739,Paraméterek!$P$38:$Q$38,2)/12,IF($D$4="Forint",0,2))</f>
        <v>0</v>
      </c>
      <c r="AV739" s="13">
        <f>Tranzakciók!$M$91</f>
        <v>0</v>
      </c>
      <c r="AW739" s="13"/>
      <c r="AX739" s="13">
        <f>ROUNDUP(IF(SUM($AV739:$AW739)=0,0,IF(IF(ISBLANK($AW739),$AV739,$AW739)*Paraméterek!$J$112&lt;IF($D$4="Forint",Paraméterek!$J$113,Paraméterek!$K$113),IF($D$4="Forint",Paraméterek!$J$113,Paraméterek!$K$113),IF(IF(ISBLANK($AW739),$AV739,$AW739)*Paraméterek!$J$112&gt;IF($D$4="Forint",Paraméterek!$J$114,Paraméterek!$K$114),IF($D$4="Forint",Paraméterek!$J$114,Paraméterek!$K$114),IF(ISBLANK($AW739),$AV739,$AW739)*Paraméterek!$J$112))),IF($D$4="Forint",0,2))</f>
        <v>0</v>
      </c>
      <c r="AY739" s="13">
        <f>$AR739+$AT739-$AU739-IF(ROUNDDOWN(IF(ISBLANK($AW739),$AV739,$AW739),IF($D$4="Forint",0,2))&gt;$AR739+$AT739-$AU739-IF($D$4="Forint",Paraméterek!$J$114,Paraméterek!$K$114),0,ROUNDDOWN(IF(ISBLANK($AW739),$AV739,$AW739),IF($D$4="Forint",0,2))-$AX739)</f>
        <v>0</v>
      </c>
      <c r="AZ739" s="13">
        <f t="shared" si="174"/>
        <v>0</v>
      </c>
    </row>
    <row r="740" spans="1:52" x14ac:dyDescent="0.2">
      <c r="A740" s="32">
        <v>721</v>
      </c>
      <c r="B740" s="32">
        <v>61</v>
      </c>
      <c r="C740" s="32">
        <v>1</v>
      </c>
      <c r="D740" s="13">
        <f t="shared" si="165"/>
        <v>0</v>
      </c>
      <c r="E740" s="13"/>
      <c r="F740" s="13">
        <f>Tranzakciók!$D$92</f>
        <v>0</v>
      </c>
      <c r="G740" s="13"/>
      <c r="H740" s="13">
        <f t="shared" si="166"/>
        <v>0</v>
      </c>
      <c r="I740" s="13">
        <f t="shared" si="167"/>
        <v>590</v>
      </c>
      <c r="J740" s="13">
        <f t="shared" si="168"/>
        <v>590</v>
      </c>
      <c r="K740" s="13">
        <f>ROUNDUP(IF($D$2="Egyszeri",$D740,IF($D$2="Havi",SUM($D$20:$D$31),IF(MOD($C740,$M$1)-1=0,SUM($D$20:$D$31),0))/12*$M$1)*VLOOKUP($B740,Paraméterek!$B$27:$D$30,IF($D$2="Egyszeri",3,2)),IF($D$4="Forint",0,2))</f>
        <v>0</v>
      </c>
      <c r="L740" s="13">
        <f t="shared" si="169"/>
        <v>0</v>
      </c>
      <c r="M740" s="13">
        <f t="shared" ca="1" si="175"/>
        <v>-649568</v>
      </c>
      <c r="N740" s="13">
        <f ca="1">IF($V739&gt;=VLOOKUP($M$4-1+$B740,Paraméterek!$B$121:$D$122,IF($D$4="Forint",2,3)),0,VLOOKUP($M$4-1+$B740,Paraméterek!$B$121:$D$122,IF($D$4="Forint",2,3))-$V739)</f>
        <v>659568</v>
      </c>
      <c r="O740" s="13">
        <f ca="1">ROUNDUP($N740*Paraméterek!$C$58/Paraméterek!$C$56,IF($D$4="Forint",0,2))</f>
        <v>105</v>
      </c>
      <c r="P740" s="13">
        <f t="shared" si="170"/>
        <v>3241</v>
      </c>
      <c r="Q740" s="33"/>
      <c r="R740" s="13">
        <f t="shared" ca="1" si="171"/>
        <v>0</v>
      </c>
      <c r="S740" s="13">
        <f ca="1">ROUNDUP(($M740-$O740-$P740+$R740)*VLOOKUP($B740,Paraméterek!$B$38:$D$39,IF($D$2="Egyszeri",3,2))/12,IF($D$4="Forint",0,2))</f>
        <v>-1595</v>
      </c>
      <c r="T740" s="13"/>
      <c r="U740" s="13"/>
      <c r="V740" s="13">
        <f ca="1">$M740-$O740-$P740+$R740-$S740-IF(ROUNDUP(IF(ISBLANK($U740),$T740,$U740)/IF(AND($B740=1,$D$2&lt;&gt;"Egyszeri"),1,VLOOKUP($B740+IF($C740=12,1,0),Paraméterek!$B$257:$D$267,IF($D$2="Egyszeri",3,2))),IF($D$4="Forint",0,2))&gt;$M740-$O740-$P740+$R740-$S740-IF($D$4="Forint",Paraméterek!$C$216,Paraméterek!$D$216),0,ROUNDUP(IF(ISBLANK($U740),$T740,$U740)/IF(AND($B740=1,$D$2&lt;&gt;"Egyszeri"),1,VLOOKUP($B740+IF($C740=12,1,0),Paraméterek!$B$257:$D$267,IF($D$2="Egyszeri",3,2))),IF($D$4="Forint",0,2)))</f>
        <v>-651319</v>
      </c>
      <c r="W740" s="13">
        <f ca="1">ROUNDDOWN($V740*VLOOKUP($B740+IF($C740=12,1,0),Paraméterek!$B$257:$D$267,IF($D$2="Egyszeri",3,2)),IF($D$4="Forint",0,2))</f>
        <v>-651319</v>
      </c>
      <c r="Y740" s="32">
        <v>721</v>
      </c>
      <c r="Z740" s="32">
        <v>61</v>
      </c>
      <c r="AA740" s="32">
        <v>1</v>
      </c>
      <c r="AB740" s="13">
        <f t="shared" si="176"/>
        <v>0</v>
      </c>
      <c r="AC740" s="33"/>
      <c r="AD740" s="13">
        <f t="shared" si="172"/>
        <v>0</v>
      </c>
      <c r="AE740" s="13">
        <f>ROUNDUP(($AB740+$AD740)*VLOOKUP($Z740,Paraméterek!$P$38:$Q$38,2)/12,IF($D$4="Forint",0,2))</f>
        <v>0</v>
      </c>
      <c r="AF740" s="13">
        <f>IF($D$2="Egyszeri",IF($D$7&gt;=IF($D$4="Forint",Paraméterek!$P$223,Paraméterek!$P$224),$D$7-IF($D$4="Forint",Paraméterek!$F$223,Paraméterek!$F$224),0),MIN(IF($AA740=12,AVERAGE($D$20:$D740)*12,0),SUM($D$20:$D$31)))</f>
        <v>0</v>
      </c>
      <c r="AG740" s="13">
        <f>IF(AND($Z740&gt;=10,MOD($Z740,5)=0),$AF740*IF($AA740=12,VLOOKUP($Z740,Paraméterek!$B$225:$F$240,IF($AF740&lt;IF($D$4="Forint",Paraméterek!$C$223,Paraméterek!$C$224),2,IF($AF740&lt;IF($D$4="Forint",Paraméterek!$D$223,Paraméterek!$D$224),3,4))),0),0)</f>
        <v>0</v>
      </c>
      <c r="AH740" s="13">
        <f>IF(AND($Z740&gt;=5,MOD($Z740,5)=0),IF($AA740=12,VLOOKUP($Z740,Paraméterek!$B$225:$F$240,5),0),IF(OR($Z740=3,$Z740=4),IF($AA740=12,VLOOKUP($Z740,Paraméterek!$B$225:$F$240,5,0),0),0))*$AF740</f>
        <v>0</v>
      </c>
      <c r="AI740" s="13">
        <f>ROUNDDOWN(IF(SUM($T$20:$U740)=0,IF($D$2="Egyszeri",$AH740,$AG740),0),IF($D$4="Forint",0,2))</f>
        <v>0</v>
      </c>
      <c r="AJ740" s="13">
        <f t="shared" si="177"/>
        <v>0</v>
      </c>
      <c r="AK740" s="13">
        <f t="shared" si="178"/>
        <v>0</v>
      </c>
      <c r="AM740" s="32">
        <v>721</v>
      </c>
      <c r="AN740" s="32">
        <v>61</v>
      </c>
      <c r="AO740" s="32">
        <v>1</v>
      </c>
      <c r="AP740" s="13">
        <f>Tranzakciók!$K$92</f>
        <v>0</v>
      </c>
      <c r="AQ740" s="32"/>
      <c r="AR740" s="13">
        <f t="shared" si="179"/>
        <v>0</v>
      </c>
      <c r="AS740" s="33"/>
      <c r="AT740" s="13">
        <f t="shared" si="173"/>
        <v>0</v>
      </c>
      <c r="AU740" s="13">
        <f>ROUNDUP(($AR740+$AT740)*VLOOKUP($AN740,Paraméterek!$P$38:$Q$38,2)/12,IF($D$4="Forint",0,2))</f>
        <v>0</v>
      </c>
      <c r="AV740" s="13"/>
      <c r="AW740" s="13"/>
      <c r="AX740" s="13">
        <f>ROUNDUP(IF(SUM($AV740:$AW740)=0,0,IF(IF(ISBLANK($AW740),$AV740,$AW740)*Paraméterek!$J$112&lt;IF($D$4="Forint",Paraméterek!$J$113,Paraméterek!$K$113),IF($D$4="Forint",Paraméterek!$J$113,Paraméterek!$K$113),IF(IF(ISBLANK($AW740),$AV740,$AW740)*Paraméterek!$J$112&gt;IF($D$4="Forint",Paraméterek!$J$114,Paraméterek!$K$114),IF($D$4="Forint",Paraméterek!$J$114,Paraméterek!$K$114),IF(ISBLANK($AW740),$AV740,$AW740)*Paraméterek!$J$112))),IF($D$4="Forint",0,2))</f>
        <v>0</v>
      </c>
      <c r="AY740" s="13">
        <f>$AR740+$AT740-$AU740-IF(ROUNDDOWN(IF(ISBLANK($AW740),$AV740,$AW740),IF($D$4="Forint",0,2))&gt;$AR740+$AT740-$AU740-IF($D$4="Forint",Paraméterek!$J$114,Paraméterek!$K$114),0,ROUNDDOWN(IF(ISBLANK($AW740),$AV740,$AW740),IF($D$4="Forint",0,2))-$AX740)</f>
        <v>0</v>
      </c>
      <c r="AZ740" s="13">
        <f t="shared" si="174"/>
        <v>0</v>
      </c>
    </row>
    <row r="741" spans="1:52" x14ac:dyDescent="0.2">
      <c r="A741" s="32">
        <v>722</v>
      </c>
      <c r="B741" s="32">
        <v>61</v>
      </c>
      <c r="C741" s="32">
        <v>2</v>
      </c>
      <c r="D741" s="13">
        <f t="shared" si="165"/>
        <v>0</v>
      </c>
      <c r="E741" s="13"/>
      <c r="F741" s="13"/>
      <c r="G741" s="13"/>
      <c r="H741" s="13">
        <f t="shared" si="166"/>
        <v>0</v>
      </c>
      <c r="I741" s="13">
        <f t="shared" si="167"/>
        <v>0</v>
      </c>
      <c r="J741" s="13">
        <f t="shared" si="168"/>
        <v>0</v>
      </c>
      <c r="K741" s="13">
        <f>ROUNDUP(IF($D$2="Egyszeri",$D741,IF($D$2="Havi",SUM($D$20:$D$31),IF(MOD($C741,$M$1)-1=0,SUM($D$20:$D$31),0))/12*$M$1)*VLOOKUP($B741,Paraméterek!$B$27:$D$30,IF($D$2="Egyszeri",3,2)),IF($D$4="Forint",0,2))</f>
        <v>0</v>
      </c>
      <c r="L741" s="13">
        <f t="shared" si="169"/>
        <v>0</v>
      </c>
      <c r="M741" s="13">
        <f t="shared" ca="1" si="175"/>
        <v>-651319</v>
      </c>
      <c r="N741" s="13">
        <f ca="1">IF($V740&gt;=VLOOKUP($M$4-1+$B741,Paraméterek!$B$121:$D$122,IF($D$4="Forint",2,3)),0,VLOOKUP($M$4-1+$B741,Paraméterek!$B$121:$D$122,IF($D$4="Forint",2,3))-$V740)</f>
        <v>661319</v>
      </c>
      <c r="O741" s="13">
        <f ca="1">ROUNDUP($N741*Paraméterek!$C$58/Paraméterek!$C$56,IF($D$4="Forint",0,2))</f>
        <v>106</v>
      </c>
      <c r="P741" s="13">
        <f t="shared" si="170"/>
        <v>3241</v>
      </c>
      <c r="Q741" s="33"/>
      <c r="R741" s="13">
        <f t="shared" ca="1" si="171"/>
        <v>0</v>
      </c>
      <c r="S741" s="13">
        <f ca="1">ROUNDUP(($M741-$O741-$P741+$R741)*VLOOKUP($B741,Paraméterek!$B$38:$D$39,IF($D$2="Egyszeri",3,2))/12,IF($D$4="Forint",0,2))</f>
        <v>-1599</v>
      </c>
      <c r="T741" s="13"/>
      <c r="U741" s="13"/>
      <c r="V741" s="13">
        <f ca="1">$M741-$O741-$P741+$R741-$S741-IF(ROUNDUP(IF(ISBLANK($U741),$T741,$U741)/IF(AND($B741=1,$D$2&lt;&gt;"Egyszeri"),1,VLOOKUP($B741+IF($C741=12,1,0),Paraméterek!$B$257:$D$267,IF($D$2="Egyszeri",3,2))),IF($D$4="Forint",0,2))&gt;$M741-$O741-$P741+$R741-$S741-IF($D$4="Forint",Paraméterek!$C$216,Paraméterek!$D$216),0,ROUNDUP(IF(ISBLANK($U741),$T741,$U741)/IF(AND($B741=1,$D$2&lt;&gt;"Egyszeri"),1,VLOOKUP($B741+IF($C741=12,1,0),Paraméterek!$B$257:$D$267,IF($D$2="Egyszeri",3,2))),IF($D$4="Forint",0,2)))</f>
        <v>-653067</v>
      </c>
      <c r="W741" s="13">
        <f ca="1">ROUNDDOWN($V741*VLOOKUP($B741+IF($C741=12,1,0),Paraméterek!$B$257:$D$267,IF($D$2="Egyszeri",3,2)),IF($D$4="Forint",0,2))</f>
        <v>-653067</v>
      </c>
      <c r="Y741" s="32">
        <v>722</v>
      </c>
      <c r="Z741" s="32">
        <v>61</v>
      </c>
      <c r="AA741" s="32">
        <v>2</v>
      </c>
      <c r="AB741" s="13">
        <f t="shared" si="176"/>
        <v>0</v>
      </c>
      <c r="AC741" s="33"/>
      <c r="AD741" s="13">
        <f t="shared" si="172"/>
        <v>0</v>
      </c>
      <c r="AE741" s="13">
        <f>ROUNDUP(($AB741+$AD741)*VLOOKUP($Z741,Paraméterek!$P$38:$Q$38,2)/12,IF($D$4="Forint",0,2))</f>
        <v>0</v>
      </c>
      <c r="AF741" s="13">
        <f>IF($D$2="Egyszeri",IF($D$7&gt;=IF($D$4="Forint",Paraméterek!$P$223,Paraméterek!$P$224),$D$7-IF($D$4="Forint",Paraméterek!$F$223,Paraméterek!$F$224),0),MIN(IF($AA741=12,AVERAGE($D$20:$D741)*12,0),SUM($D$20:$D$31)))</f>
        <v>0</v>
      </c>
      <c r="AG741" s="13">
        <f>IF(AND($Z741&gt;=10,MOD($Z741,5)=0),$AF741*IF($AA741=12,VLOOKUP($Z741,Paraméterek!$B$225:$F$240,IF($AF741&lt;IF($D$4="Forint",Paraméterek!$C$223,Paraméterek!$C$224),2,IF($AF741&lt;IF($D$4="Forint",Paraméterek!$D$223,Paraméterek!$D$224),3,4))),0),0)</f>
        <v>0</v>
      </c>
      <c r="AH741" s="13">
        <f>IF(AND($Z741&gt;=5,MOD($Z741,5)=0),IF($AA741=12,VLOOKUP($Z741,Paraméterek!$B$225:$F$240,5),0),IF(OR($Z741=3,$Z741=4),IF($AA741=12,VLOOKUP($Z741,Paraméterek!$B$225:$F$240,5,0),0),0))*$AF741</f>
        <v>0</v>
      </c>
      <c r="AI741" s="13">
        <f>ROUNDDOWN(IF(SUM($T$20:$U741)=0,IF($D$2="Egyszeri",$AH741,$AG741),0),IF($D$4="Forint",0,2))</f>
        <v>0</v>
      </c>
      <c r="AJ741" s="13">
        <f t="shared" si="177"/>
        <v>0</v>
      </c>
      <c r="AK741" s="13">
        <f t="shared" si="178"/>
        <v>0</v>
      </c>
      <c r="AM741" s="32">
        <v>722</v>
      </c>
      <c r="AN741" s="32">
        <v>61</v>
      </c>
      <c r="AO741" s="32">
        <v>2</v>
      </c>
      <c r="AP741" s="13"/>
      <c r="AQ741" s="32"/>
      <c r="AR741" s="13">
        <f t="shared" si="179"/>
        <v>0</v>
      </c>
      <c r="AS741" s="33"/>
      <c r="AT741" s="13">
        <f t="shared" si="173"/>
        <v>0</v>
      </c>
      <c r="AU741" s="13">
        <f>ROUNDUP(($AR741+$AT741)*VLOOKUP($AN741,Paraméterek!$P$38:$Q$38,2)/12,IF($D$4="Forint",0,2))</f>
        <v>0</v>
      </c>
      <c r="AV741" s="13"/>
      <c r="AW741" s="13"/>
      <c r="AX741" s="13">
        <f>ROUNDUP(IF(SUM($AV741:$AW741)=0,0,IF(IF(ISBLANK($AW741),$AV741,$AW741)*Paraméterek!$J$112&lt;IF($D$4="Forint",Paraméterek!$J$113,Paraméterek!$K$113),IF($D$4="Forint",Paraméterek!$J$113,Paraméterek!$K$113),IF(IF(ISBLANK($AW741),$AV741,$AW741)*Paraméterek!$J$112&gt;IF($D$4="Forint",Paraméterek!$J$114,Paraméterek!$K$114),IF($D$4="Forint",Paraméterek!$J$114,Paraméterek!$K$114),IF(ISBLANK($AW741),$AV741,$AW741)*Paraméterek!$J$112))),IF($D$4="Forint",0,2))</f>
        <v>0</v>
      </c>
      <c r="AY741" s="13">
        <f>$AR741+$AT741-$AU741-IF(ROUNDDOWN(IF(ISBLANK($AW741),$AV741,$AW741),IF($D$4="Forint",0,2))&gt;$AR741+$AT741-$AU741-IF($D$4="Forint",Paraméterek!$J$114,Paraméterek!$K$114),0,ROUNDDOWN(IF(ISBLANK($AW741),$AV741,$AW741),IF($D$4="Forint",0,2))-$AX741)</f>
        <v>0</v>
      </c>
      <c r="AZ741" s="13">
        <f t="shared" si="174"/>
        <v>0</v>
      </c>
    </row>
    <row r="742" spans="1:52" x14ac:dyDescent="0.2">
      <c r="A742" s="32">
        <v>723</v>
      </c>
      <c r="B742" s="32">
        <v>61</v>
      </c>
      <c r="C742" s="32">
        <v>3</v>
      </c>
      <c r="D742" s="13">
        <f t="shared" si="165"/>
        <v>0</v>
      </c>
      <c r="E742" s="13"/>
      <c r="F742" s="13"/>
      <c r="G742" s="13"/>
      <c r="H742" s="13">
        <f t="shared" si="166"/>
        <v>0</v>
      </c>
      <c r="I742" s="13">
        <f t="shared" si="167"/>
        <v>0</v>
      </c>
      <c r="J742" s="13">
        <f t="shared" si="168"/>
        <v>0</v>
      </c>
      <c r="K742" s="13">
        <f>ROUNDUP(IF($D$2="Egyszeri",$D742,IF($D$2="Havi",SUM($D$20:$D$31),IF(MOD($C742,$M$1)-1=0,SUM($D$20:$D$31),0))/12*$M$1)*VLOOKUP($B742,Paraméterek!$B$27:$D$30,IF($D$2="Egyszeri",3,2)),IF($D$4="Forint",0,2))</f>
        <v>0</v>
      </c>
      <c r="L742" s="13">
        <f t="shared" si="169"/>
        <v>0</v>
      </c>
      <c r="M742" s="13">
        <f t="shared" ca="1" si="175"/>
        <v>-653067</v>
      </c>
      <c r="N742" s="13">
        <f ca="1">IF($V741&gt;=VLOOKUP($M$4-1+$B742,Paraméterek!$B$121:$D$122,IF($D$4="Forint",2,3)),0,VLOOKUP($M$4-1+$B742,Paraméterek!$B$121:$D$122,IF($D$4="Forint",2,3))-$V741)</f>
        <v>663067</v>
      </c>
      <c r="O742" s="13">
        <f ca="1">ROUNDUP($N742*Paraméterek!$C$58/Paraméterek!$C$56,IF($D$4="Forint",0,2))</f>
        <v>106</v>
      </c>
      <c r="P742" s="13">
        <f t="shared" si="170"/>
        <v>3241</v>
      </c>
      <c r="Q742" s="33"/>
      <c r="R742" s="13">
        <f t="shared" ca="1" si="171"/>
        <v>0</v>
      </c>
      <c r="S742" s="13">
        <f ca="1">ROUNDUP(($M742-$O742-$P742+$R742)*VLOOKUP($B742,Paraméterek!$B$38:$D$39,IF($D$2="Egyszeri",3,2))/12,IF($D$4="Forint",0,2))</f>
        <v>-1603</v>
      </c>
      <c r="T742" s="13"/>
      <c r="U742" s="13"/>
      <c r="V742" s="13">
        <f ca="1">$M742-$O742-$P742+$R742-$S742-IF(ROUNDUP(IF(ISBLANK($U742),$T742,$U742)/IF(AND($B742=1,$D$2&lt;&gt;"Egyszeri"),1,VLOOKUP($B742+IF($C742=12,1,0),Paraméterek!$B$257:$D$267,IF($D$2="Egyszeri",3,2))),IF($D$4="Forint",0,2))&gt;$M742-$O742-$P742+$R742-$S742-IF($D$4="Forint",Paraméterek!$C$216,Paraméterek!$D$216),0,ROUNDUP(IF(ISBLANK($U742),$T742,$U742)/IF(AND($B742=1,$D$2&lt;&gt;"Egyszeri"),1,VLOOKUP($B742+IF($C742=12,1,0),Paraméterek!$B$257:$D$267,IF($D$2="Egyszeri",3,2))),IF($D$4="Forint",0,2)))</f>
        <v>-654811</v>
      </c>
      <c r="W742" s="13">
        <f ca="1">ROUNDDOWN($V742*VLOOKUP($B742+IF($C742=12,1,0),Paraméterek!$B$257:$D$267,IF($D$2="Egyszeri",3,2)),IF($D$4="Forint",0,2))</f>
        <v>-654811</v>
      </c>
      <c r="Y742" s="32">
        <v>723</v>
      </c>
      <c r="Z742" s="32">
        <v>61</v>
      </c>
      <c r="AA742" s="32">
        <v>3</v>
      </c>
      <c r="AB742" s="13">
        <f t="shared" si="176"/>
        <v>0</v>
      </c>
      <c r="AC742" s="33"/>
      <c r="AD742" s="13">
        <f t="shared" si="172"/>
        <v>0</v>
      </c>
      <c r="AE742" s="13">
        <f>ROUNDUP(($AB742+$AD742)*VLOOKUP($Z742,Paraméterek!$P$38:$Q$38,2)/12,IF($D$4="Forint",0,2))</f>
        <v>0</v>
      </c>
      <c r="AF742" s="13">
        <f>IF($D$2="Egyszeri",IF($D$7&gt;=IF($D$4="Forint",Paraméterek!$P$223,Paraméterek!$P$224),$D$7-IF($D$4="Forint",Paraméterek!$F$223,Paraméterek!$F$224),0),MIN(IF($AA742=12,AVERAGE($D$20:$D742)*12,0),SUM($D$20:$D$31)))</f>
        <v>0</v>
      </c>
      <c r="AG742" s="13">
        <f>IF(AND($Z742&gt;=10,MOD($Z742,5)=0),$AF742*IF($AA742=12,VLOOKUP($Z742,Paraméterek!$B$225:$F$240,IF($AF742&lt;IF($D$4="Forint",Paraméterek!$C$223,Paraméterek!$C$224),2,IF($AF742&lt;IF($D$4="Forint",Paraméterek!$D$223,Paraméterek!$D$224),3,4))),0),0)</f>
        <v>0</v>
      </c>
      <c r="AH742" s="13">
        <f>IF(AND($Z742&gt;=5,MOD($Z742,5)=0),IF($AA742=12,VLOOKUP($Z742,Paraméterek!$B$225:$F$240,5),0),IF(OR($Z742=3,$Z742=4),IF($AA742=12,VLOOKUP($Z742,Paraméterek!$B$225:$F$240,5,0),0),0))*$AF742</f>
        <v>0</v>
      </c>
      <c r="AI742" s="13">
        <f>ROUNDDOWN(IF(SUM($T$20:$U742)=0,IF($D$2="Egyszeri",$AH742,$AG742),0),IF($D$4="Forint",0,2))</f>
        <v>0</v>
      </c>
      <c r="AJ742" s="13">
        <f t="shared" si="177"/>
        <v>0</v>
      </c>
      <c r="AK742" s="13">
        <f t="shared" si="178"/>
        <v>0</v>
      </c>
      <c r="AM742" s="32">
        <v>723</v>
      </c>
      <c r="AN742" s="32">
        <v>61</v>
      </c>
      <c r="AO742" s="32">
        <v>3</v>
      </c>
      <c r="AP742" s="13"/>
      <c r="AQ742" s="32"/>
      <c r="AR742" s="13">
        <f t="shared" si="179"/>
        <v>0</v>
      </c>
      <c r="AS742" s="33"/>
      <c r="AT742" s="13">
        <f t="shared" si="173"/>
        <v>0</v>
      </c>
      <c r="AU742" s="13">
        <f>ROUNDUP(($AR742+$AT742)*VLOOKUP($AN742,Paraméterek!$P$38:$Q$38,2)/12,IF($D$4="Forint",0,2))</f>
        <v>0</v>
      </c>
      <c r="AV742" s="13"/>
      <c r="AW742" s="13"/>
      <c r="AX742" s="13">
        <f>ROUNDUP(IF(SUM($AV742:$AW742)=0,0,IF(IF(ISBLANK($AW742),$AV742,$AW742)*Paraméterek!$J$112&lt;IF($D$4="Forint",Paraméterek!$J$113,Paraméterek!$K$113),IF($D$4="Forint",Paraméterek!$J$113,Paraméterek!$K$113),IF(IF(ISBLANK($AW742),$AV742,$AW742)*Paraméterek!$J$112&gt;IF($D$4="Forint",Paraméterek!$J$114,Paraméterek!$K$114),IF($D$4="Forint",Paraméterek!$J$114,Paraméterek!$K$114),IF(ISBLANK($AW742),$AV742,$AW742)*Paraméterek!$J$112))),IF($D$4="Forint",0,2))</f>
        <v>0</v>
      </c>
      <c r="AY742" s="13">
        <f>$AR742+$AT742-$AU742-IF(ROUNDDOWN(IF(ISBLANK($AW742),$AV742,$AW742),IF($D$4="Forint",0,2))&gt;$AR742+$AT742-$AU742-IF($D$4="Forint",Paraméterek!$J$114,Paraméterek!$K$114),0,ROUNDDOWN(IF(ISBLANK($AW742),$AV742,$AW742),IF($D$4="Forint",0,2))-$AX742)</f>
        <v>0</v>
      </c>
      <c r="AZ742" s="13">
        <f t="shared" si="174"/>
        <v>0</v>
      </c>
    </row>
    <row r="743" spans="1:52" x14ac:dyDescent="0.2">
      <c r="A743" s="32">
        <v>724</v>
      </c>
      <c r="B743" s="32">
        <v>61</v>
      </c>
      <c r="C743" s="32">
        <v>4</v>
      </c>
      <c r="D743" s="13">
        <f t="shared" si="165"/>
        <v>0</v>
      </c>
      <c r="E743" s="13"/>
      <c r="F743" s="13"/>
      <c r="G743" s="13"/>
      <c r="H743" s="13">
        <f t="shared" si="166"/>
        <v>0</v>
      </c>
      <c r="I743" s="13">
        <f t="shared" si="167"/>
        <v>0</v>
      </c>
      <c r="J743" s="13">
        <f t="shared" si="168"/>
        <v>0</v>
      </c>
      <c r="K743" s="13">
        <f>ROUNDUP(IF($D$2="Egyszeri",$D743,IF($D$2="Havi",SUM($D$20:$D$31),IF(MOD($C743,$M$1)-1=0,SUM($D$20:$D$31),0))/12*$M$1)*VLOOKUP($B743,Paraméterek!$B$27:$D$30,IF($D$2="Egyszeri",3,2)),IF($D$4="Forint",0,2))</f>
        <v>0</v>
      </c>
      <c r="L743" s="13">
        <f t="shared" si="169"/>
        <v>0</v>
      </c>
      <c r="M743" s="13">
        <f t="shared" ca="1" si="175"/>
        <v>-654811</v>
      </c>
      <c r="N743" s="13">
        <f ca="1">IF($V742&gt;=VLOOKUP($M$4-1+$B743,Paraméterek!$B$121:$D$122,IF($D$4="Forint",2,3)),0,VLOOKUP($M$4-1+$B743,Paraméterek!$B$121:$D$122,IF($D$4="Forint",2,3))-$V742)</f>
        <v>664811</v>
      </c>
      <c r="O743" s="13">
        <f ca="1">ROUNDUP($N743*Paraméterek!$C$58/Paraméterek!$C$56,IF($D$4="Forint",0,2))</f>
        <v>106</v>
      </c>
      <c r="P743" s="13">
        <f t="shared" si="170"/>
        <v>3241</v>
      </c>
      <c r="Q743" s="33"/>
      <c r="R743" s="13">
        <f t="shared" ca="1" si="171"/>
        <v>0</v>
      </c>
      <c r="S743" s="13">
        <f ca="1">ROUNDUP(($M743-$O743-$P743+$R743)*VLOOKUP($B743,Paraméterek!$B$38:$D$39,IF($D$2="Egyszeri",3,2))/12,IF($D$4="Forint",0,2))</f>
        <v>-1608</v>
      </c>
      <c r="T743" s="13"/>
      <c r="U743" s="13"/>
      <c r="V743" s="13">
        <f ca="1">$M743-$O743-$P743+$R743-$S743-IF(ROUNDUP(IF(ISBLANK($U743),$T743,$U743)/IF(AND($B743=1,$D$2&lt;&gt;"Egyszeri"),1,VLOOKUP($B743+IF($C743=12,1,0),Paraméterek!$B$257:$D$267,IF($D$2="Egyszeri",3,2))),IF($D$4="Forint",0,2))&gt;$M743-$O743-$P743+$R743-$S743-IF($D$4="Forint",Paraméterek!$C$216,Paraméterek!$D$216),0,ROUNDUP(IF(ISBLANK($U743),$T743,$U743)/IF(AND($B743=1,$D$2&lt;&gt;"Egyszeri"),1,VLOOKUP($B743+IF($C743=12,1,0),Paraméterek!$B$257:$D$267,IF($D$2="Egyszeri",3,2))),IF($D$4="Forint",0,2)))</f>
        <v>-656550</v>
      </c>
      <c r="W743" s="13">
        <f ca="1">ROUNDDOWN($V743*VLOOKUP($B743+IF($C743=12,1,0),Paraméterek!$B$257:$D$267,IF($D$2="Egyszeri",3,2)),IF($D$4="Forint",0,2))</f>
        <v>-656550</v>
      </c>
      <c r="Y743" s="32">
        <v>724</v>
      </c>
      <c r="Z743" s="32">
        <v>61</v>
      </c>
      <c r="AA743" s="32">
        <v>4</v>
      </c>
      <c r="AB743" s="13">
        <f t="shared" si="176"/>
        <v>0</v>
      </c>
      <c r="AC743" s="33"/>
      <c r="AD743" s="13">
        <f t="shared" si="172"/>
        <v>0</v>
      </c>
      <c r="AE743" s="13">
        <f>ROUNDUP(($AB743+$AD743)*VLOOKUP($Z743,Paraméterek!$P$38:$Q$38,2)/12,IF($D$4="Forint",0,2))</f>
        <v>0</v>
      </c>
      <c r="AF743" s="13">
        <f>IF($D$2="Egyszeri",IF($D$7&gt;=IF($D$4="Forint",Paraméterek!$P$223,Paraméterek!$P$224),$D$7-IF($D$4="Forint",Paraméterek!$F$223,Paraméterek!$F$224),0),MIN(IF($AA743=12,AVERAGE($D$20:$D743)*12,0),SUM($D$20:$D$31)))</f>
        <v>0</v>
      </c>
      <c r="AG743" s="13">
        <f>IF(AND($Z743&gt;=10,MOD($Z743,5)=0),$AF743*IF($AA743=12,VLOOKUP($Z743,Paraméterek!$B$225:$F$240,IF($AF743&lt;IF($D$4="Forint",Paraméterek!$C$223,Paraméterek!$C$224),2,IF($AF743&lt;IF($D$4="Forint",Paraméterek!$D$223,Paraméterek!$D$224),3,4))),0),0)</f>
        <v>0</v>
      </c>
      <c r="AH743" s="13">
        <f>IF(AND($Z743&gt;=5,MOD($Z743,5)=0),IF($AA743=12,VLOOKUP($Z743,Paraméterek!$B$225:$F$240,5),0),IF(OR($Z743=3,$Z743=4),IF($AA743=12,VLOOKUP($Z743,Paraméterek!$B$225:$F$240,5,0),0),0))*$AF743</f>
        <v>0</v>
      </c>
      <c r="AI743" s="13">
        <f>ROUNDDOWN(IF(SUM($T$20:$U743)=0,IF($D$2="Egyszeri",$AH743,$AG743),0),IF($D$4="Forint",0,2))</f>
        <v>0</v>
      </c>
      <c r="AJ743" s="13">
        <f t="shared" si="177"/>
        <v>0</v>
      </c>
      <c r="AK743" s="13">
        <f t="shared" si="178"/>
        <v>0</v>
      </c>
      <c r="AM743" s="32">
        <v>724</v>
      </c>
      <c r="AN743" s="32">
        <v>61</v>
      </c>
      <c r="AO743" s="32">
        <v>4</v>
      </c>
      <c r="AP743" s="13"/>
      <c r="AQ743" s="32"/>
      <c r="AR743" s="13">
        <f t="shared" si="179"/>
        <v>0</v>
      </c>
      <c r="AS743" s="33"/>
      <c r="AT743" s="13">
        <f t="shared" si="173"/>
        <v>0</v>
      </c>
      <c r="AU743" s="13">
        <f>ROUNDUP(($AR743+$AT743)*VLOOKUP($AN743,Paraméterek!$P$38:$Q$38,2)/12,IF($D$4="Forint",0,2))</f>
        <v>0</v>
      </c>
      <c r="AV743" s="13"/>
      <c r="AW743" s="13"/>
      <c r="AX743" s="13">
        <f>ROUNDUP(IF(SUM($AV743:$AW743)=0,0,IF(IF(ISBLANK($AW743),$AV743,$AW743)*Paraméterek!$J$112&lt;IF($D$4="Forint",Paraméterek!$J$113,Paraméterek!$K$113),IF($D$4="Forint",Paraméterek!$J$113,Paraméterek!$K$113),IF(IF(ISBLANK($AW743),$AV743,$AW743)*Paraméterek!$J$112&gt;IF($D$4="Forint",Paraméterek!$J$114,Paraméterek!$K$114),IF($D$4="Forint",Paraméterek!$J$114,Paraméterek!$K$114),IF(ISBLANK($AW743),$AV743,$AW743)*Paraméterek!$J$112))),IF($D$4="Forint",0,2))</f>
        <v>0</v>
      </c>
      <c r="AY743" s="13">
        <f>$AR743+$AT743-$AU743-IF(ROUNDDOWN(IF(ISBLANK($AW743),$AV743,$AW743),IF($D$4="Forint",0,2))&gt;$AR743+$AT743-$AU743-IF($D$4="Forint",Paraméterek!$J$114,Paraméterek!$K$114),0,ROUNDDOWN(IF(ISBLANK($AW743),$AV743,$AW743),IF($D$4="Forint",0,2))-$AX743)</f>
        <v>0</v>
      </c>
      <c r="AZ743" s="13">
        <f t="shared" si="174"/>
        <v>0</v>
      </c>
    </row>
    <row r="744" spans="1:52" x14ac:dyDescent="0.2">
      <c r="A744" s="32">
        <v>725</v>
      </c>
      <c r="B744" s="32">
        <v>61</v>
      </c>
      <c r="C744" s="32">
        <v>5</v>
      </c>
      <c r="D744" s="13">
        <f t="shared" si="165"/>
        <v>0</v>
      </c>
      <c r="E744" s="13"/>
      <c r="F744" s="13"/>
      <c r="G744" s="13"/>
      <c r="H744" s="13">
        <f t="shared" si="166"/>
        <v>0</v>
      </c>
      <c r="I744" s="13">
        <f t="shared" si="167"/>
        <v>0</v>
      </c>
      <c r="J744" s="13">
        <f t="shared" si="168"/>
        <v>0</v>
      </c>
      <c r="K744" s="13">
        <f>ROUNDUP(IF($D$2="Egyszeri",$D744,IF($D$2="Havi",SUM($D$20:$D$31),IF(MOD($C744,$M$1)-1=0,SUM($D$20:$D$31),0))/12*$M$1)*VLOOKUP($B744,Paraméterek!$B$27:$D$30,IF($D$2="Egyszeri",3,2)),IF($D$4="Forint",0,2))</f>
        <v>0</v>
      </c>
      <c r="L744" s="13">
        <f t="shared" si="169"/>
        <v>0</v>
      </c>
      <c r="M744" s="13">
        <f t="shared" ca="1" si="175"/>
        <v>-656550</v>
      </c>
      <c r="N744" s="13">
        <f ca="1">IF($V743&gt;=VLOOKUP($M$4-1+$B744,Paraméterek!$B$121:$D$122,IF($D$4="Forint",2,3)),0,VLOOKUP($M$4-1+$B744,Paraméterek!$B$121:$D$122,IF($D$4="Forint",2,3))-$V743)</f>
        <v>666550</v>
      </c>
      <c r="O744" s="13">
        <f ca="1">ROUNDUP($N744*Paraméterek!$C$58/Paraméterek!$C$56,IF($D$4="Forint",0,2))</f>
        <v>107</v>
      </c>
      <c r="P744" s="13">
        <f t="shared" si="170"/>
        <v>3241</v>
      </c>
      <c r="Q744" s="33"/>
      <c r="R744" s="13">
        <f t="shared" ca="1" si="171"/>
        <v>0</v>
      </c>
      <c r="S744" s="13">
        <f ca="1">ROUNDUP(($M744-$O744-$P744+$R744)*VLOOKUP($B744,Paraméterek!$B$38:$D$39,IF($D$2="Egyszeri",3,2))/12,IF($D$4="Forint",0,2))</f>
        <v>-1612</v>
      </c>
      <c r="T744" s="13"/>
      <c r="U744" s="13"/>
      <c r="V744" s="13">
        <f ca="1">$M744-$O744-$P744+$R744-$S744-IF(ROUNDUP(IF(ISBLANK($U744),$T744,$U744)/IF(AND($B744=1,$D$2&lt;&gt;"Egyszeri"),1,VLOOKUP($B744+IF($C744=12,1,0),Paraméterek!$B$257:$D$267,IF($D$2="Egyszeri",3,2))),IF($D$4="Forint",0,2))&gt;$M744-$O744-$P744+$R744-$S744-IF($D$4="Forint",Paraméterek!$C$216,Paraméterek!$D$216),0,ROUNDUP(IF(ISBLANK($U744),$T744,$U744)/IF(AND($B744=1,$D$2&lt;&gt;"Egyszeri"),1,VLOOKUP($B744+IF($C744=12,1,0),Paraméterek!$B$257:$D$267,IF($D$2="Egyszeri",3,2))),IF($D$4="Forint",0,2)))</f>
        <v>-658286</v>
      </c>
      <c r="W744" s="13">
        <f ca="1">ROUNDDOWN($V744*VLOOKUP($B744+IF($C744=12,1,0),Paraméterek!$B$257:$D$267,IF($D$2="Egyszeri",3,2)),IF($D$4="Forint",0,2))</f>
        <v>-658286</v>
      </c>
      <c r="Y744" s="32">
        <v>725</v>
      </c>
      <c r="Z744" s="32">
        <v>61</v>
      </c>
      <c r="AA744" s="32">
        <v>5</v>
      </c>
      <c r="AB744" s="13">
        <f t="shared" si="176"/>
        <v>0</v>
      </c>
      <c r="AC744" s="33"/>
      <c r="AD744" s="13">
        <f t="shared" si="172"/>
        <v>0</v>
      </c>
      <c r="AE744" s="13">
        <f>ROUNDUP(($AB744+$AD744)*VLOOKUP($Z744,Paraméterek!$P$38:$Q$38,2)/12,IF($D$4="Forint",0,2))</f>
        <v>0</v>
      </c>
      <c r="AF744" s="13">
        <f>IF($D$2="Egyszeri",IF($D$7&gt;=IF($D$4="Forint",Paraméterek!$P$223,Paraméterek!$P$224),$D$7-IF($D$4="Forint",Paraméterek!$F$223,Paraméterek!$F$224),0),MIN(IF($AA744=12,AVERAGE($D$20:$D744)*12,0),SUM($D$20:$D$31)))</f>
        <v>0</v>
      </c>
      <c r="AG744" s="13">
        <f>IF(AND($Z744&gt;=10,MOD($Z744,5)=0),$AF744*IF($AA744=12,VLOOKUP($Z744,Paraméterek!$B$225:$F$240,IF($AF744&lt;IF($D$4="Forint",Paraméterek!$C$223,Paraméterek!$C$224),2,IF($AF744&lt;IF($D$4="Forint",Paraméterek!$D$223,Paraméterek!$D$224),3,4))),0),0)</f>
        <v>0</v>
      </c>
      <c r="AH744" s="13">
        <f>IF(AND($Z744&gt;=5,MOD($Z744,5)=0),IF($AA744=12,VLOOKUP($Z744,Paraméterek!$B$225:$F$240,5),0),IF(OR($Z744=3,$Z744=4),IF($AA744=12,VLOOKUP($Z744,Paraméterek!$B$225:$F$240,5,0),0),0))*$AF744</f>
        <v>0</v>
      </c>
      <c r="AI744" s="13">
        <f>ROUNDDOWN(IF(SUM($T$20:$U744)=0,IF($D$2="Egyszeri",$AH744,$AG744),0),IF($D$4="Forint",0,2))</f>
        <v>0</v>
      </c>
      <c r="AJ744" s="13">
        <f t="shared" si="177"/>
        <v>0</v>
      </c>
      <c r="AK744" s="13">
        <f t="shared" si="178"/>
        <v>0</v>
      </c>
      <c r="AM744" s="32">
        <v>725</v>
      </c>
      <c r="AN744" s="32">
        <v>61</v>
      </c>
      <c r="AO744" s="32">
        <v>5</v>
      </c>
      <c r="AP744" s="13"/>
      <c r="AQ744" s="32"/>
      <c r="AR744" s="13">
        <f t="shared" si="179"/>
        <v>0</v>
      </c>
      <c r="AS744" s="33"/>
      <c r="AT744" s="13">
        <f t="shared" si="173"/>
        <v>0</v>
      </c>
      <c r="AU744" s="13">
        <f>ROUNDUP(($AR744+$AT744)*VLOOKUP($AN744,Paraméterek!$P$38:$Q$38,2)/12,IF($D$4="Forint",0,2))</f>
        <v>0</v>
      </c>
      <c r="AV744" s="13"/>
      <c r="AW744" s="13"/>
      <c r="AX744" s="13">
        <f>ROUNDUP(IF(SUM($AV744:$AW744)=0,0,IF(IF(ISBLANK($AW744),$AV744,$AW744)*Paraméterek!$J$112&lt;IF($D$4="Forint",Paraméterek!$J$113,Paraméterek!$K$113),IF($D$4="Forint",Paraméterek!$J$113,Paraméterek!$K$113),IF(IF(ISBLANK($AW744),$AV744,$AW744)*Paraméterek!$J$112&gt;IF($D$4="Forint",Paraméterek!$J$114,Paraméterek!$K$114),IF($D$4="Forint",Paraméterek!$J$114,Paraméterek!$K$114),IF(ISBLANK($AW744),$AV744,$AW744)*Paraméterek!$J$112))),IF($D$4="Forint",0,2))</f>
        <v>0</v>
      </c>
      <c r="AY744" s="13">
        <f>$AR744+$AT744-$AU744-IF(ROUNDDOWN(IF(ISBLANK($AW744),$AV744,$AW744),IF($D$4="Forint",0,2))&gt;$AR744+$AT744-$AU744-IF($D$4="Forint",Paraméterek!$J$114,Paraméterek!$K$114),0,ROUNDDOWN(IF(ISBLANK($AW744),$AV744,$AW744),IF($D$4="Forint",0,2))-$AX744)</f>
        <v>0</v>
      </c>
      <c r="AZ744" s="13">
        <f t="shared" si="174"/>
        <v>0</v>
      </c>
    </row>
    <row r="745" spans="1:52" x14ac:dyDescent="0.2">
      <c r="A745" s="32">
        <v>726</v>
      </c>
      <c r="B745" s="32">
        <v>61</v>
      </c>
      <c r="C745" s="32">
        <v>6</v>
      </c>
      <c r="D745" s="13">
        <f t="shared" si="165"/>
        <v>0</v>
      </c>
      <c r="E745" s="13"/>
      <c r="F745" s="13"/>
      <c r="G745" s="13"/>
      <c r="H745" s="13">
        <f t="shared" si="166"/>
        <v>0</v>
      </c>
      <c r="I745" s="13">
        <f t="shared" si="167"/>
        <v>0</v>
      </c>
      <c r="J745" s="13">
        <f t="shared" si="168"/>
        <v>0</v>
      </c>
      <c r="K745" s="13">
        <f>ROUNDUP(IF($D$2="Egyszeri",$D745,IF($D$2="Havi",SUM($D$20:$D$31),IF(MOD($C745,$M$1)-1=0,SUM($D$20:$D$31),0))/12*$M$1)*VLOOKUP($B745,Paraméterek!$B$27:$D$30,IF($D$2="Egyszeri",3,2)),IF($D$4="Forint",0,2))</f>
        <v>0</v>
      </c>
      <c r="L745" s="13">
        <f t="shared" si="169"/>
        <v>0</v>
      </c>
      <c r="M745" s="13">
        <f t="shared" ca="1" si="175"/>
        <v>-658286</v>
      </c>
      <c r="N745" s="13">
        <f ca="1">IF($V744&gt;=VLOOKUP($M$4-1+$B745,Paraméterek!$B$121:$D$122,IF($D$4="Forint",2,3)),0,VLOOKUP($M$4-1+$B745,Paraméterek!$B$121:$D$122,IF($D$4="Forint",2,3))-$V744)</f>
        <v>668286</v>
      </c>
      <c r="O745" s="13">
        <f ca="1">ROUNDUP($N745*Paraméterek!$C$58/Paraméterek!$C$56,IF($D$4="Forint",0,2))</f>
        <v>107</v>
      </c>
      <c r="P745" s="13">
        <f t="shared" si="170"/>
        <v>3241</v>
      </c>
      <c r="Q745" s="33"/>
      <c r="R745" s="13">
        <f t="shared" ca="1" si="171"/>
        <v>0</v>
      </c>
      <c r="S745" s="13">
        <f ca="1">ROUNDUP(($M745-$O745-$P745+$R745)*VLOOKUP($B745,Paraméterek!$B$38:$D$39,IF($D$2="Egyszeri",3,2))/12,IF($D$4="Forint",0,2))</f>
        <v>-1616</v>
      </c>
      <c r="T745" s="13"/>
      <c r="U745" s="13"/>
      <c r="V745" s="13">
        <f ca="1">$M745-$O745-$P745+$R745-$S745-IF(ROUNDUP(IF(ISBLANK($U745),$T745,$U745)/IF(AND($B745=1,$D$2&lt;&gt;"Egyszeri"),1,VLOOKUP($B745+IF($C745=12,1,0),Paraméterek!$B$257:$D$267,IF($D$2="Egyszeri",3,2))),IF($D$4="Forint",0,2))&gt;$M745-$O745-$P745+$R745-$S745-IF($D$4="Forint",Paraméterek!$C$216,Paraméterek!$D$216),0,ROUNDUP(IF(ISBLANK($U745),$T745,$U745)/IF(AND($B745=1,$D$2&lt;&gt;"Egyszeri"),1,VLOOKUP($B745+IF($C745=12,1,0),Paraméterek!$B$257:$D$267,IF($D$2="Egyszeri",3,2))),IF($D$4="Forint",0,2)))</f>
        <v>-660018</v>
      </c>
      <c r="W745" s="13">
        <f ca="1">ROUNDDOWN($V745*VLOOKUP($B745+IF($C745=12,1,0),Paraméterek!$B$257:$D$267,IF($D$2="Egyszeri",3,2)),IF($D$4="Forint",0,2))</f>
        <v>-660018</v>
      </c>
      <c r="Y745" s="32">
        <v>726</v>
      </c>
      <c r="Z745" s="32">
        <v>61</v>
      </c>
      <c r="AA745" s="32">
        <v>6</v>
      </c>
      <c r="AB745" s="13">
        <f t="shared" si="176"/>
        <v>0</v>
      </c>
      <c r="AC745" s="33"/>
      <c r="AD745" s="13">
        <f t="shared" si="172"/>
        <v>0</v>
      </c>
      <c r="AE745" s="13">
        <f>ROUNDUP(($AB745+$AD745)*VLOOKUP($Z745,Paraméterek!$P$38:$Q$38,2)/12,IF($D$4="Forint",0,2))</f>
        <v>0</v>
      </c>
      <c r="AF745" s="13">
        <f>IF($D$2="Egyszeri",IF($D$7&gt;=IF($D$4="Forint",Paraméterek!$P$223,Paraméterek!$P$224),$D$7-IF($D$4="Forint",Paraméterek!$F$223,Paraméterek!$F$224),0),MIN(IF($AA745=12,AVERAGE($D$20:$D745)*12,0),SUM($D$20:$D$31)))</f>
        <v>0</v>
      </c>
      <c r="AG745" s="13">
        <f>IF(AND($Z745&gt;=10,MOD($Z745,5)=0),$AF745*IF($AA745=12,VLOOKUP($Z745,Paraméterek!$B$225:$F$240,IF($AF745&lt;IF($D$4="Forint",Paraméterek!$C$223,Paraméterek!$C$224),2,IF($AF745&lt;IF($D$4="Forint",Paraméterek!$D$223,Paraméterek!$D$224),3,4))),0),0)</f>
        <v>0</v>
      </c>
      <c r="AH745" s="13">
        <f>IF(AND($Z745&gt;=5,MOD($Z745,5)=0),IF($AA745=12,VLOOKUP($Z745,Paraméterek!$B$225:$F$240,5),0),IF(OR($Z745=3,$Z745=4),IF($AA745=12,VLOOKUP($Z745,Paraméterek!$B$225:$F$240,5,0),0),0))*$AF745</f>
        <v>0</v>
      </c>
      <c r="AI745" s="13">
        <f>ROUNDDOWN(IF(SUM($T$20:$U745)=0,IF($D$2="Egyszeri",$AH745,$AG745),0),IF($D$4="Forint",0,2))</f>
        <v>0</v>
      </c>
      <c r="AJ745" s="13">
        <f t="shared" si="177"/>
        <v>0</v>
      </c>
      <c r="AK745" s="13">
        <f t="shared" si="178"/>
        <v>0</v>
      </c>
      <c r="AM745" s="32">
        <v>726</v>
      </c>
      <c r="AN745" s="32">
        <v>61</v>
      </c>
      <c r="AO745" s="32">
        <v>6</v>
      </c>
      <c r="AP745" s="13"/>
      <c r="AQ745" s="32"/>
      <c r="AR745" s="13">
        <f t="shared" si="179"/>
        <v>0</v>
      </c>
      <c r="AS745" s="33"/>
      <c r="AT745" s="13">
        <f t="shared" si="173"/>
        <v>0</v>
      </c>
      <c r="AU745" s="13">
        <f>ROUNDUP(($AR745+$AT745)*VLOOKUP($AN745,Paraméterek!$P$38:$Q$38,2)/12,IF($D$4="Forint",0,2))</f>
        <v>0</v>
      </c>
      <c r="AV745" s="13"/>
      <c r="AW745" s="13"/>
      <c r="AX745" s="13">
        <f>ROUNDUP(IF(SUM($AV745:$AW745)=0,0,IF(IF(ISBLANK($AW745),$AV745,$AW745)*Paraméterek!$J$112&lt;IF($D$4="Forint",Paraméterek!$J$113,Paraméterek!$K$113),IF($D$4="Forint",Paraméterek!$J$113,Paraméterek!$K$113),IF(IF(ISBLANK($AW745),$AV745,$AW745)*Paraméterek!$J$112&gt;IF($D$4="Forint",Paraméterek!$J$114,Paraméterek!$K$114),IF($D$4="Forint",Paraméterek!$J$114,Paraméterek!$K$114),IF(ISBLANK($AW745),$AV745,$AW745)*Paraméterek!$J$112))),IF($D$4="Forint",0,2))</f>
        <v>0</v>
      </c>
      <c r="AY745" s="13">
        <f>$AR745+$AT745-$AU745-IF(ROUNDDOWN(IF(ISBLANK($AW745),$AV745,$AW745),IF($D$4="Forint",0,2))&gt;$AR745+$AT745-$AU745-IF($D$4="Forint",Paraméterek!$J$114,Paraméterek!$K$114),0,ROUNDDOWN(IF(ISBLANK($AW745),$AV745,$AW745),IF($D$4="Forint",0,2))-$AX745)</f>
        <v>0</v>
      </c>
      <c r="AZ745" s="13">
        <f t="shared" si="174"/>
        <v>0</v>
      </c>
    </row>
    <row r="746" spans="1:52" x14ac:dyDescent="0.2">
      <c r="A746" s="32">
        <v>727</v>
      </c>
      <c r="B746" s="32">
        <v>61</v>
      </c>
      <c r="C746" s="32">
        <v>7</v>
      </c>
      <c r="D746" s="13">
        <f t="shared" si="165"/>
        <v>0</v>
      </c>
      <c r="E746" s="13"/>
      <c r="F746" s="13"/>
      <c r="G746" s="13"/>
      <c r="H746" s="13">
        <f t="shared" si="166"/>
        <v>0</v>
      </c>
      <c r="I746" s="13">
        <f t="shared" si="167"/>
        <v>0</v>
      </c>
      <c r="J746" s="13">
        <f t="shared" si="168"/>
        <v>0</v>
      </c>
      <c r="K746" s="13">
        <f>ROUNDUP(IF($D$2="Egyszeri",$D746,IF($D$2="Havi",SUM($D$20:$D$31),IF(MOD($C746,$M$1)-1=0,SUM($D$20:$D$31),0))/12*$M$1)*VLOOKUP($B746,Paraméterek!$B$27:$D$30,IF($D$2="Egyszeri",3,2)),IF($D$4="Forint",0,2))</f>
        <v>0</v>
      </c>
      <c r="L746" s="13">
        <f t="shared" si="169"/>
        <v>0</v>
      </c>
      <c r="M746" s="13">
        <f t="shared" ca="1" si="175"/>
        <v>-660018</v>
      </c>
      <c r="N746" s="13">
        <f ca="1">IF($V745&gt;=VLOOKUP($M$4-1+$B746,Paraméterek!$B$121:$D$122,IF($D$4="Forint",2,3)),0,VLOOKUP($M$4-1+$B746,Paraméterek!$B$121:$D$122,IF($D$4="Forint",2,3))-$V745)</f>
        <v>670018</v>
      </c>
      <c r="O746" s="13">
        <f ca="1">ROUNDUP($N746*Paraméterek!$C$58/Paraméterek!$C$56,IF($D$4="Forint",0,2))</f>
        <v>107</v>
      </c>
      <c r="P746" s="13">
        <f t="shared" si="170"/>
        <v>3241</v>
      </c>
      <c r="Q746" s="33"/>
      <c r="R746" s="13">
        <f t="shared" ca="1" si="171"/>
        <v>0</v>
      </c>
      <c r="S746" s="13">
        <f ca="1">ROUNDUP(($M746-$O746-$P746+$R746)*VLOOKUP($B746,Paraméterek!$B$38:$D$39,IF($D$2="Egyszeri",3,2))/12,IF($D$4="Forint",0,2))</f>
        <v>-1620</v>
      </c>
      <c r="T746" s="13"/>
      <c r="U746" s="13"/>
      <c r="V746" s="13">
        <f ca="1">$M746-$O746-$P746+$R746-$S746-IF(ROUNDUP(IF(ISBLANK($U746),$T746,$U746)/IF(AND($B746=1,$D$2&lt;&gt;"Egyszeri"),1,VLOOKUP($B746+IF($C746=12,1,0),Paraméterek!$B$257:$D$267,IF($D$2="Egyszeri",3,2))),IF($D$4="Forint",0,2))&gt;$M746-$O746-$P746+$R746-$S746-IF($D$4="Forint",Paraméterek!$C$216,Paraméterek!$D$216),0,ROUNDUP(IF(ISBLANK($U746),$T746,$U746)/IF(AND($B746=1,$D$2&lt;&gt;"Egyszeri"),1,VLOOKUP($B746+IF($C746=12,1,0),Paraméterek!$B$257:$D$267,IF($D$2="Egyszeri",3,2))),IF($D$4="Forint",0,2)))</f>
        <v>-661746</v>
      </c>
      <c r="W746" s="13">
        <f ca="1">ROUNDDOWN($V746*VLOOKUP($B746+IF($C746=12,1,0),Paraméterek!$B$257:$D$267,IF($D$2="Egyszeri",3,2)),IF($D$4="Forint",0,2))</f>
        <v>-661746</v>
      </c>
      <c r="Y746" s="32">
        <v>727</v>
      </c>
      <c r="Z746" s="32">
        <v>61</v>
      </c>
      <c r="AA746" s="32">
        <v>7</v>
      </c>
      <c r="AB746" s="13">
        <f t="shared" si="176"/>
        <v>0</v>
      </c>
      <c r="AC746" s="33"/>
      <c r="AD746" s="13">
        <f t="shared" si="172"/>
        <v>0</v>
      </c>
      <c r="AE746" s="13">
        <f>ROUNDUP(($AB746+$AD746)*VLOOKUP($Z746,Paraméterek!$P$38:$Q$38,2)/12,IF($D$4="Forint",0,2))</f>
        <v>0</v>
      </c>
      <c r="AF746" s="13">
        <f>IF($D$2="Egyszeri",IF($D$7&gt;=IF($D$4="Forint",Paraméterek!$P$223,Paraméterek!$P$224),$D$7-IF($D$4="Forint",Paraméterek!$F$223,Paraméterek!$F$224),0),MIN(IF($AA746=12,AVERAGE($D$20:$D746)*12,0),SUM($D$20:$D$31)))</f>
        <v>0</v>
      </c>
      <c r="AG746" s="13">
        <f>IF(AND($Z746&gt;=10,MOD($Z746,5)=0),$AF746*IF($AA746=12,VLOOKUP($Z746,Paraméterek!$B$225:$F$240,IF($AF746&lt;IF($D$4="Forint",Paraméterek!$C$223,Paraméterek!$C$224),2,IF($AF746&lt;IF($D$4="Forint",Paraméterek!$D$223,Paraméterek!$D$224),3,4))),0),0)</f>
        <v>0</v>
      </c>
      <c r="AH746" s="13">
        <f>IF(AND($Z746&gt;=5,MOD($Z746,5)=0),IF($AA746=12,VLOOKUP($Z746,Paraméterek!$B$225:$F$240,5),0),IF(OR($Z746=3,$Z746=4),IF($AA746=12,VLOOKUP($Z746,Paraméterek!$B$225:$F$240,5,0),0),0))*$AF746</f>
        <v>0</v>
      </c>
      <c r="AI746" s="13">
        <f>ROUNDDOWN(IF(SUM($T$20:$U746)=0,IF($D$2="Egyszeri",$AH746,$AG746),0),IF($D$4="Forint",0,2))</f>
        <v>0</v>
      </c>
      <c r="AJ746" s="13">
        <f t="shared" si="177"/>
        <v>0</v>
      </c>
      <c r="AK746" s="13">
        <f t="shared" si="178"/>
        <v>0</v>
      </c>
      <c r="AM746" s="32">
        <v>727</v>
      </c>
      <c r="AN746" s="32">
        <v>61</v>
      </c>
      <c r="AO746" s="32">
        <v>7</v>
      </c>
      <c r="AP746" s="13"/>
      <c r="AQ746" s="32"/>
      <c r="AR746" s="13">
        <f t="shared" si="179"/>
        <v>0</v>
      </c>
      <c r="AS746" s="33"/>
      <c r="AT746" s="13">
        <f t="shared" si="173"/>
        <v>0</v>
      </c>
      <c r="AU746" s="13">
        <f>ROUNDUP(($AR746+$AT746)*VLOOKUP($AN746,Paraméterek!$P$38:$Q$38,2)/12,IF($D$4="Forint",0,2))</f>
        <v>0</v>
      </c>
      <c r="AV746" s="13"/>
      <c r="AW746" s="13"/>
      <c r="AX746" s="13">
        <f>ROUNDUP(IF(SUM($AV746:$AW746)=0,0,IF(IF(ISBLANK($AW746),$AV746,$AW746)*Paraméterek!$J$112&lt;IF($D$4="Forint",Paraméterek!$J$113,Paraméterek!$K$113),IF($D$4="Forint",Paraméterek!$J$113,Paraméterek!$K$113),IF(IF(ISBLANK($AW746),$AV746,$AW746)*Paraméterek!$J$112&gt;IF($D$4="Forint",Paraméterek!$J$114,Paraméterek!$K$114),IF($D$4="Forint",Paraméterek!$J$114,Paraméterek!$K$114),IF(ISBLANK($AW746),$AV746,$AW746)*Paraméterek!$J$112))),IF($D$4="Forint",0,2))</f>
        <v>0</v>
      </c>
      <c r="AY746" s="13">
        <f>$AR746+$AT746-$AU746-IF(ROUNDDOWN(IF(ISBLANK($AW746),$AV746,$AW746),IF($D$4="Forint",0,2))&gt;$AR746+$AT746-$AU746-IF($D$4="Forint",Paraméterek!$J$114,Paraméterek!$K$114),0,ROUNDDOWN(IF(ISBLANK($AW746),$AV746,$AW746),IF($D$4="Forint",0,2))-$AX746)</f>
        <v>0</v>
      </c>
      <c r="AZ746" s="13">
        <f t="shared" si="174"/>
        <v>0</v>
      </c>
    </row>
    <row r="747" spans="1:52" x14ac:dyDescent="0.2">
      <c r="A747" s="32">
        <v>728</v>
      </c>
      <c r="B747" s="32">
        <v>61</v>
      </c>
      <c r="C747" s="32">
        <v>8</v>
      </c>
      <c r="D747" s="13">
        <f t="shared" si="165"/>
        <v>0</v>
      </c>
      <c r="E747" s="13"/>
      <c r="F747" s="13"/>
      <c r="G747" s="13"/>
      <c r="H747" s="13">
        <f t="shared" si="166"/>
        <v>0</v>
      </c>
      <c r="I747" s="13">
        <f t="shared" si="167"/>
        <v>0</v>
      </c>
      <c r="J747" s="13">
        <f t="shared" si="168"/>
        <v>0</v>
      </c>
      <c r="K747" s="13">
        <f>ROUNDUP(IF($D$2="Egyszeri",$D747,IF($D$2="Havi",SUM($D$20:$D$31),IF(MOD($C747,$M$1)-1=0,SUM($D$20:$D$31),0))/12*$M$1)*VLOOKUP($B747,Paraméterek!$B$27:$D$30,IF($D$2="Egyszeri",3,2)),IF($D$4="Forint",0,2))</f>
        <v>0</v>
      </c>
      <c r="L747" s="13">
        <f t="shared" si="169"/>
        <v>0</v>
      </c>
      <c r="M747" s="13">
        <f t="shared" ca="1" si="175"/>
        <v>-661746</v>
      </c>
      <c r="N747" s="13">
        <f ca="1">IF($V746&gt;=VLOOKUP($M$4-1+$B747,Paraméterek!$B$121:$D$122,IF($D$4="Forint",2,3)),0,VLOOKUP($M$4-1+$B747,Paraméterek!$B$121:$D$122,IF($D$4="Forint",2,3))-$V746)</f>
        <v>671746</v>
      </c>
      <c r="O747" s="13">
        <f ca="1">ROUNDUP($N747*Paraméterek!$C$58/Paraméterek!$C$56,IF($D$4="Forint",0,2))</f>
        <v>107</v>
      </c>
      <c r="P747" s="13">
        <f t="shared" si="170"/>
        <v>3241</v>
      </c>
      <c r="Q747" s="33"/>
      <c r="R747" s="13">
        <f t="shared" ca="1" si="171"/>
        <v>0</v>
      </c>
      <c r="S747" s="13">
        <f ca="1">ROUNDUP(($M747-$O747-$P747+$R747)*VLOOKUP($B747,Paraméterek!$B$38:$D$39,IF($D$2="Egyszeri",3,2))/12,IF($D$4="Forint",0,2))</f>
        <v>-1624</v>
      </c>
      <c r="T747" s="13"/>
      <c r="U747" s="13"/>
      <c r="V747" s="13">
        <f ca="1">$M747-$O747-$P747+$R747-$S747-IF(ROUNDUP(IF(ISBLANK($U747),$T747,$U747)/IF(AND($B747=1,$D$2&lt;&gt;"Egyszeri"),1,VLOOKUP($B747+IF($C747=12,1,0),Paraméterek!$B$257:$D$267,IF($D$2="Egyszeri",3,2))),IF($D$4="Forint",0,2))&gt;$M747-$O747-$P747+$R747-$S747-IF($D$4="Forint",Paraméterek!$C$216,Paraméterek!$D$216),0,ROUNDUP(IF(ISBLANK($U747),$T747,$U747)/IF(AND($B747=1,$D$2&lt;&gt;"Egyszeri"),1,VLOOKUP($B747+IF($C747=12,1,0),Paraméterek!$B$257:$D$267,IF($D$2="Egyszeri",3,2))),IF($D$4="Forint",0,2)))</f>
        <v>-663470</v>
      </c>
      <c r="W747" s="13">
        <f ca="1">ROUNDDOWN($V747*VLOOKUP($B747+IF($C747=12,1,0),Paraméterek!$B$257:$D$267,IF($D$2="Egyszeri",3,2)),IF($D$4="Forint",0,2))</f>
        <v>-663470</v>
      </c>
      <c r="Y747" s="32">
        <v>728</v>
      </c>
      <c r="Z747" s="32">
        <v>61</v>
      </c>
      <c r="AA747" s="32">
        <v>8</v>
      </c>
      <c r="AB747" s="13">
        <f t="shared" si="176"/>
        <v>0</v>
      </c>
      <c r="AC747" s="33"/>
      <c r="AD747" s="13">
        <f t="shared" si="172"/>
        <v>0</v>
      </c>
      <c r="AE747" s="13">
        <f>ROUNDUP(($AB747+$AD747)*VLOOKUP($Z747,Paraméterek!$P$38:$Q$38,2)/12,IF($D$4="Forint",0,2))</f>
        <v>0</v>
      </c>
      <c r="AF747" s="13">
        <f>IF($D$2="Egyszeri",IF($D$7&gt;=IF($D$4="Forint",Paraméterek!$P$223,Paraméterek!$P$224),$D$7-IF($D$4="Forint",Paraméterek!$F$223,Paraméterek!$F$224),0),MIN(IF($AA747=12,AVERAGE($D$20:$D747)*12,0),SUM($D$20:$D$31)))</f>
        <v>0</v>
      </c>
      <c r="AG747" s="13">
        <f>IF(AND($Z747&gt;=10,MOD($Z747,5)=0),$AF747*IF($AA747=12,VLOOKUP($Z747,Paraméterek!$B$225:$F$240,IF($AF747&lt;IF($D$4="Forint",Paraméterek!$C$223,Paraméterek!$C$224),2,IF($AF747&lt;IF($D$4="Forint",Paraméterek!$D$223,Paraméterek!$D$224),3,4))),0),0)</f>
        <v>0</v>
      </c>
      <c r="AH747" s="13">
        <f>IF(AND($Z747&gt;=5,MOD($Z747,5)=0),IF($AA747=12,VLOOKUP($Z747,Paraméterek!$B$225:$F$240,5),0),IF(OR($Z747=3,$Z747=4),IF($AA747=12,VLOOKUP($Z747,Paraméterek!$B$225:$F$240,5,0),0),0))*$AF747</f>
        <v>0</v>
      </c>
      <c r="AI747" s="13">
        <f>ROUNDDOWN(IF(SUM($T$20:$U747)=0,IF($D$2="Egyszeri",$AH747,$AG747),0),IF($D$4="Forint",0,2))</f>
        <v>0</v>
      </c>
      <c r="AJ747" s="13">
        <f t="shared" si="177"/>
        <v>0</v>
      </c>
      <c r="AK747" s="13">
        <f t="shared" si="178"/>
        <v>0</v>
      </c>
      <c r="AM747" s="32">
        <v>728</v>
      </c>
      <c r="AN747" s="32">
        <v>61</v>
      </c>
      <c r="AO747" s="32">
        <v>8</v>
      </c>
      <c r="AP747" s="13"/>
      <c r="AQ747" s="32"/>
      <c r="AR747" s="13">
        <f t="shared" si="179"/>
        <v>0</v>
      </c>
      <c r="AS747" s="33"/>
      <c r="AT747" s="13">
        <f t="shared" si="173"/>
        <v>0</v>
      </c>
      <c r="AU747" s="13">
        <f>ROUNDUP(($AR747+$AT747)*VLOOKUP($AN747,Paraméterek!$P$38:$Q$38,2)/12,IF($D$4="Forint",0,2))</f>
        <v>0</v>
      </c>
      <c r="AV747" s="13"/>
      <c r="AW747" s="13"/>
      <c r="AX747" s="13">
        <f>ROUNDUP(IF(SUM($AV747:$AW747)=0,0,IF(IF(ISBLANK($AW747),$AV747,$AW747)*Paraméterek!$J$112&lt;IF($D$4="Forint",Paraméterek!$J$113,Paraméterek!$K$113),IF($D$4="Forint",Paraméterek!$J$113,Paraméterek!$K$113),IF(IF(ISBLANK($AW747),$AV747,$AW747)*Paraméterek!$J$112&gt;IF($D$4="Forint",Paraméterek!$J$114,Paraméterek!$K$114),IF($D$4="Forint",Paraméterek!$J$114,Paraméterek!$K$114),IF(ISBLANK($AW747),$AV747,$AW747)*Paraméterek!$J$112))),IF($D$4="Forint",0,2))</f>
        <v>0</v>
      </c>
      <c r="AY747" s="13">
        <f>$AR747+$AT747-$AU747-IF(ROUNDDOWN(IF(ISBLANK($AW747),$AV747,$AW747),IF($D$4="Forint",0,2))&gt;$AR747+$AT747-$AU747-IF($D$4="Forint",Paraméterek!$J$114,Paraméterek!$K$114),0,ROUNDDOWN(IF(ISBLANK($AW747),$AV747,$AW747),IF($D$4="Forint",0,2))-$AX747)</f>
        <v>0</v>
      </c>
      <c r="AZ747" s="13">
        <f t="shared" si="174"/>
        <v>0</v>
      </c>
    </row>
    <row r="748" spans="1:52" x14ac:dyDescent="0.2">
      <c r="A748" s="32">
        <v>729</v>
      </c>
      <c r="B748" s="32">
        <v>61</v>
      </c>
      <c r="C748" s="32">
        <v>9</v>
      </c>
      <c r="D748" s="13">
        <f t="shared" si="165"/>
        <v>0</v>
      </c>
      <c r="E748" s="13"/>
      <c r="F748" s="13"/>
      <c r="G748" s="13"/>
      <c r="H748" s="13">
        <f t="shared" si="166"/>
        <v>0</v>
      </c>
      <c r="I748" s="13">
        <f t="shared" si="167"/>
        <v>0</v>
      </c>
      <c r="J748" s="13">
        <f t="shared" si="168"/>
        <v>0</v>
      </c>
      <c r="K748" s="13">
        <f>ROUNDUP(IF($D$2="Egyszeri",$D748,IF($D$2="Havi",SUM($D$20:$D$31),IF(MOD($C748,$M$1)-1=0,SUM($D$20:$D$31),0))/12*$M$1)*VLOOKUP($B748,Paraméterek!$B$27:$D$30,IF($D$2="Egyszeri",3,2)),IF($D$4="Forint",0,2))</f>
        <v>0</v>
      </c>
      <c r="L748" s="13">
        <f t="shared" si="169"/>
        <v>0</v>
      </c>
      <c r="M748" s="13">
        <f t="shared" ca="1" si="175"/>
        <v>-663470</v>
      </c>
      <c r="N748" s="13">
        <f ca="1">IF($V747&gt;=VLOOKUP($M$4-1+$B748,Paraméterek!$B$121:$D$122,IF($D$4="Forint",2,3)),0,VLOOKUP($M$4-1+$B748,Paraméterek!$B$121:$D$122,IF($D$4="Forint",2,3))-$V747)</f>
        <v>673470</v>
      </c>
      <c r="O748" s="13">
        <f ca="1">ROUNDUP($N748*Paraméterek!$C$58/Paraméterek!$C$56,IF($D$4="Forint",0,2))</f>
        <v>108</v>
      </c>
      <c r="P748" s="13">
        <f t="shared" si="170"/>
        <v>3241</v>
      </c>
      <c r="Q748" s="33"/>
      <c r="R748" s="13">
        <f t="shared" ca="1" si="171"/>
        <v>0</v>
      </c>
      <c r="S748" s="13">
        <f ca="1">ROUNDUP(($M748-$O748-$P748+$R748)*VLOOKUP($B748,Paraméterek!$B$38:$D$39,IF($D$2="Egyszeri",3,2))/12,IF($D$4="Forint",0,2))</f>
        <v>-1629</v>
      </c>
      <c r="T748" s="13"/>
      <c r="U748" s="13"/>
      <c r="V748" s="13">
        <f ca="1">$M748-$O748-$P748+$R748-$S748-IF(ROUNDUP(IF(ISBLANK($U748),$T748,$U748)/IF(AND($B748=1,$D$2&lt;&gt;"Egyszeri"),1,VLOOKUP($B748+IF($C748=12,1,0),Paraméterek!$B$257:$D$267,IF($D$2="Egyszeri",3,2))),IF($D$4="Forint",0,2))&gt;$M748-$O748-$P748+$R748-$S748-IF($D$4="Forint",Paraméterek!$C$216,Paraméterek!$D$216),0,ROUNDUP(IF(ISBLANK($U748),$T748,$U748)/IF(AND($B748=1,$D$2&lt;&gt;"Egyszeri"),1,VLOOKUP($B748+IF($C748=12,1,0),Paraméterek!$B$257:$D$267,IF($D$2="Egyszeri",3,2))),IF($D$4="Forint",0,2)))</f>
        <v>-665190</v>
      </c>
      <c r="W748" s="13">
        <f ca="1">ROUNDDOWN($V748*VLOOKUP($B748+IF($C748=12,1,0),Paraméterek!$B$257:$D$267,IF($D$2="Egyszeri",3,2)),IF($D$4="Forint",0,2))</f>
        <v>-665190</v>
      </c>
      <c r="Y748" s="32">
        <v>729</v>
      </c>
      <c r="Z748" s="32">
        <v>61</v>
      </c>
      <c r="AA748" s="32">
        <v>9</v>
      </c>
      <c r="AB748" s="13">
        <f t="shared" si="176"/>
        <v>0</v>
      </c>
      <c r="AC748" s="33"/>
      <c r="AD748" s="13">
        <f t="shared" si="172"/>
        <v>0</v>
      </c>
      <c r="AE748" s="13">
        <f>ROUNDUP(($AB748+$AD748)*VLOOKUP($Z748,Paraméterek!$P$38:$Q$38,2)/12,IF($D$4="Forint",0,2))</f>
        <v>0</v>
      </c>
      <c r="AF748" s="13">
        <f>IF($D$2="Egyszeri",IF($D$7&gt;=IF($D$4="Forint",Paraméterek!$P$223,Paraméterek!$P$224),$D$7-IF($D$4="Forint",Paraméterek!$F$223,Paraméterek!$F$224),0),MIN(IF($AA748=12,AVERAGE($D$20:$D748)*12,0),SUM($D$20:$D$31)))</f>
        <v>0</v>
      </c>
      <c r="AG748" s="13">
        <f>IF(AND($Z748&gt;=10,MOD($Z748,5)=0),$AF748*IF($AA748=12,VLOOKUP($Z748,Paraméterek!$B$225:$F$240,IF($AF748&lt;IF($D$4="Forint",Paraméterek!$C$223,Paraméterek!$C$224),2,IF($AF748&lt;IF($D$4="Forint",Paraméterek!$D$223,Paraméterek!$D$224),3,4))),0),0)</f>
        <v>0</v>
      </c>
      <c r="AH748" s="13">
        <f>IF(AND($Z748&gt;=5,MOD($Z748,5)=0),IF($AA748=12,VLOOKUP($Z748,Paraméterek!$B$225:$F$240,5),0),IF(OR($Z748=3,$Z748=4),IF($AA748=12,VLOOKUP($Z748,Paraméterek!$B$225:$F$240,5,0),0),0))*$AF748</f>
        <v>0</v>
      </c>
      <c r="AI748" s="13">
        <f>ROUNDDOWN(IF(SUM($T$20:$U748)=0,IF($D$2="Egyszeri",$AH748,$AG748),0),IF($D$4="Forint",0,2))</f>
        <v>0</v>
      </c>
      <c r="AJ748" s="13">
        <f t="shared" si="177"/>
        <v>0</v>
      </c>
      <c r="AK748" s="13">
        <f t="shared" si="178"/>
        <v>0</v>
      </c>
      <c r="AM748" s="32">
        <v>729</v>
      </c>
      <c r="AN748" s="32">
        <v>61</v>
      </c>
      <c r="AO748" s="32">
        <v>9</v>
      </c>
      <c r="AP748" s="13"/>
      <c r="AQ748" s="32"/>
      <c r="AR748" s="13">
        <f t="shared" si="179"/>
        <v>0</v>
      </c>
      <c r="AS748" s="33"/>
      <c r="AT748" s="13">
        <f t="shared" si="173"/>
        <v>0</v>
      </c>
      <c r="AU748" s="13">
        <f>ROUNDUP(($AR748+$AT748)*VLOOKUP($AN748,Paraméterek!$P$38:$Q$38,2)/12,IF($D$4="Forint",0,2))</f>
        <v>0</v>
      </c>
      <c r="AV748" s="13"/>
      <c r="AW748" s="13"/>
      <c r="AX748" s="13">
        <f>ROUNDUP(IF(SUM($AV748:$AW748)=0,0,IF(IF(ISBLANK($AW748),$AV748,$AW748)*Paraméterek!$J$112&lt;IF($D$4="Forint",Paraméterek!$J$113,Paraméterek!$K$113),IF($D$4="Forint",Paraméterek!$J$113,Paraméterek!$K$113),IF(IF(ISBLANK($AW748),$AV748,$AW748)*Paraméterek!$J$112&gt;IF($D$4="Forint",Paraméterek!$J$114,Paraméterek!$K$114),IF($D$4="Forint",Paraméterek!$J$114,Paraméterek!$K$114),IF(ISBLANK($AW748),$AV748,$AW748)*Paraméterek!$J$112))),IF($D$4="Forint",0,2))</f>
        <v>0</v>
      </c>
      <c r="AY748" s="13">
        <f>$AR748+$AT748-$AU748-IF(ROUNDDOWN(IF(ISBLANK($AW748),$AV748,$AW748),IF($D$4="Forint",0,2))&gt;$AR748+$AT748-$AU748-IF($D$4="Forint",Paraméterek!$J$114,Paraméterek!$K$114),0,ROUNDDOWN(IF(ISBLANK($AW748),$AV748,$AW748),IF($D$4="Forint",0,2))-$AX748)</f>
        <v>0</v>
      </c>
      <c r="AZ748" s="13">
        <f t="shared" si="174"/>
        <v>0</v>
      </c>
    </row>
    <row r="749" spans="1:52" x14ac:dyDescent="0.2">
      <c r="A749" s="32">
        <v>730</v>
      </c>
      <c r="B749" s="32">
        <v>61</v>
      </c>
      <c r="C749" s="32">
        <v>10</v>
      </c>
      <c r="D749" s="13">
        <f t="shared" si="165"/>
        <v>0</v>
      </c>
      <c r="E749" s="13"/>
      <c r="F749" s="13"/>
      <c r="G749" s="13"/>
      <c r="H749" s="13">
        <f t="shared" si="166"/>
        <v>0</v>
      </c>
      <c r="I749" s="13">
        <f t="shared" si="167"/>
        <v>0</v>
      </c>
      <c r="J749" s="13">
        <f t="shared" si="168"/>
        <v>0</v>
      </c>
      <c r="K749" s="13">
        <f>ROUNDUP(IF($D$2="Egyszeri",$D749,IF($D$2="Havi",SUM($D$20:$D$31),IF(MOD($C749,$M$1)-1=0,SUM($D$20:$D$31),0))/12*$M$1)*VLOOKUP($B749,Paraméterek!$B$27:$D$30,IF($D$2="Egyszeri",3,2)),IF($D$4="Forint",0,2))</f>
        <v>0</v>
      </c>
      <c r="L749" s="13">
        <f t="shared" si="169"/>
        <v>0</v>
      </c>
      <c r="M749" s="13">
        <f t="shared" ca="1" si="175"/>
        <v>-665190</v>
      </c>
      <c r="N749" s="13">
        <f ca="1">IF($V748&gt;=VLOOKUP($M$4-1+$B749,Paraméterek!$B$121:$D$122,IF($D$4="Forint",2,3)),0,VLOOKUP($M$4-1+$B749,Paraméterek!$B$121:$D$122,IF($D$4="Forint",2,3))-$V748)</f>
        <v>675190</v>
      </c>
      <c r="O749" s="13">
        <f ca="1">ROUNDUP($N749*Paraméterek!$C$58/Paraméterek!$C$56,IF($D$4="Forint",0,2))</f>
        <v>108</v>
      </c>
      <c r="P749" s="13">
        <f t="shared" si="170"/>
        <v>3241</v>
      </c>
      <c r="Q749" s="33"/>
      <c r="R749" s="13">
        <f t="shared" ca="1" si="171"/>
        <v>0</v>
      </c>
      <c r="S749" s="13">
        <f ca="1">ROUNDUP(($M749-$O749-$P749+$R749)*VLOOKUP($B749,Paraméterek!$B$38:$D$39,IF($D$2="Egyszeri",3,2))/12,IF($D$4="Forint",0,2))</f>
        <v>-1633</v>
      </c>
      <c r="T749" s="13"/>
      <c r="U749" s="13"/>
      <c r="V749" s="13">
        <f ca="1">$M749-$O749-$P749+$R749-$S749-IF(ROUNDUP(IF(ISBLANK($U749),$T749,$U749)/IF(AND($B749=1,$D$2&lt;&gt;"Egyszeri"),1,VLOOKUP($B749+IF($C749=12,1,0),Paraméterek!$B$257:$D$267,IF($D$2="Egyszeri",3,2))),IF($D$4="Forint",0,2))&gt;$M749-$O749-$P749+$R749-$S749-IF($D$4="Forint",Paraméterek!$C$216,Paraméterek!$D$216),0,ROUNDUP(IF(ISBLANK($U749),$T749,$U749)/IF(AND($B749=1,$D$2&lt;&gt;"Egyszeri"),1,VLOOKUP($B749+IF($C749=12,1,0),Paraméterek!$B$257:$D$267,IF($D$2="Egyszeri",3,2))),IF($D$4="Forint",0,2)))</f>
        <v>-666906</v>
      </c>
      <c r="W749" s="13">
        <f ca="1">ROUNDDOWN($V749*VLOOKUP($B749+IF($C749=12,1,0),Paraméterek!$B$257:$D$267,IF($D$2="Egyszeri",3,2)),IF($D$4="Forint",0,2))</f>
        <v>-666906</v>
      </c>
      <c r="Y749" s="32">
        <v>730</v>
      </c>
      <c r="Z749" s="32">
        <v>61</v>
      </c>
      <c r="AA749" s="32">
        <v>10</v>
      </c>
      <c r="AB749" s="13">
        <f t="shared" si="176"/>
        <v>0</v>
      </c>
      <c r="AC749" s="33"/>
      <c r="AD749" s="13">
        <f t="shared" si="172"/>
        <v>0</v>
      </c>
      <c r="AE749" s="13">
        <f>ROUNDUP(($AB749+$AD749)*VLOOKUP($Z749,Paraméterek!$P$38:$Q$38,2)/12,IF($D$4="Forint",0,2))</f>
        <v>0</v>
      </c>
      <c r="AF749" s="13">
        <f>IF($D$2="Egyszeri",IF($D$7&gt;=IF($D$4="Forint",Paraméterek!$P$223,Paraméterek!$P$224),$D$7-IF($D$4="Forint",Paraméterek!$F$223,Paraméterek!$F$224),0),MIN(IF($AA749=12,AVERAGE($D$20:$D749)*12,0),SUM($D$20:$D$31)))</f>
        <v>0</v>
      </c>
      <c r="AG749" s="13">
        <f>IF(AND($Z749&gt;=10,MOD($Z749,5)=0),$AF749*IF($AA749=12,VLOOKUP($Z749,Paraméterek!$B$225:$F$240,IF($AF749&lt;IF($D$4="Forint",Paraméterek!$C$223,Paraméterek!$C$224),2,IF($AF749&lt;IF($D$4="Forint",Paraméterek!$D$223,Paraméterek!$D$224),3,4))),0),0)</f>
        <v>0</v>
      </c>
      <c r="AH749" s="13">
        <f>IF(AND($Z749&gt;=5,MOD($Z749,5)=0),IF($AA749=12,VLOOKUP($Z749,Paraméterek!$B$225:$F$240,5),0),IF(OR($Z749=3,$Z749=4),IF($AA749=12,VLOOKUP($Z749,Paraméterek!$B$225:$F$240,5,0),0),0))*$AF749</f>
        <v>0</v>
      </c>
      <c r="AI749" s="13">
        <f>ROUNDDOWN(IF(SUM($T$20:$U749)=0,IF($D$2="Egyszeri",$AH749,$AG749),0),IF($D$4="Forint",0,2))</f>
        <v>0</v>
      </c>
      <c r="AJ749" s="13">
        <f t="shared" si="177"/>
        <v>0</v>
      </c>
      <c r="AK749" s="13">
        <f t="shared" si="178"/>
        <v>0</v>
      </c>
      <c r="AM749" s="32">
        <v>730</v>
      </c>
      <c r="AN749" s="32">
        <v>61</v>
      </c>
      <c r="AO749" s="32">
        <v>10</v>
      </c>
      <c r="AP749" s="13"/>
      <c r="AQ749" s="32"/>
      <c r="AR749" s="13">
        <f t="shared" si="179"/>
        <v>0</v>
      </c>
      <c r="AS749" s="33"/>
      <c r="AT749" s="13">
        <f t="shared" si="173"/>
        <v>0</v>
      </c>
      <c r="AU749" s="13">
        <f>ROUNDUP(($AR749+$AT749)*VLOOKUP($AN749,Paraméterek!$P$38:$Q$38,2)/12,IF($D$4="Forint",0,2))</f>
        <v>0</v>
      </c>
      <c r="AV749" s="13"/>
      <c r="AW749" s="13"/>
      <c r="AX749" s="13">
        <f>ROUNDUP(IF(SUM($AV749:$AW749)=0,0,IF(IF(ISBLANK($AW749),$AV749,$AW749)*Paraméterek!$J$112&lt;IF($D$4="Forint",Paraméterek!$J$113,Paraméterek!$K$113),IF($D$4="Forint",Paraméterek!$J$113,Paraméterek!$K$113),IF(IF(ISBLANK($AW749),$AV749,$AW749)*Paraméterek!$J$112&gt;IF($D$4="Forint",Paraméterek!$J$114,Paraméterek!$K$114),IF($D$4="Forint",Paraméterek!$J$114,Paraméterek!$K$114),IF(ISBLANK($AW749),$AV749,$AW749)*Paraméterek!$J$112))),IF($D$4="Forint",0,2))</f>
        <v>0</v>
      </c>
      <c r="AY749" s="13">
        <f>$AR749+$AT749-$AU749-IF(ROUNDDOWN(IF(ISBLANK($AW749),$AV749,$AW749),IF($D$4="Forint",0,2))&gt;$AR749+$AT749-$AU749-IF($D$4="Forint",Paraméterek!$J$114,Paraméterek!$K$114),0,ROUNDDOWN(IF(ISBLANK($AW749),$AV749,$AW749),IF($D$4="Forint",0,2))-$AX749)</f>
        <v>0</v>
      </c>
      <c r="AZ749" s="13">
        <f t="shared" si="174"/>
        <v>0</v>
      </c>
    </row>
    <row r="750" spans="1:52" x14ac:dyDescent="0.2">
      <c r="A750" s="32">
        <v>731</v>
      </c>
      <c r="B750" s="32">
        <v>61</v>
      </c>
      <c r="C750" s="32">
        <v>11</v>
      </c>
      <c r="D750" s="13">
        <f t="shared" si="165"/>
        <v>0</v>
      </c>
      <c r="E750" s="13"/>
      <c r="F750" s="13"/>
      <c r="G750" s="13"/>
      <c r="H750" s="13">
        <f t="shared" si="166"/>
        <v>0</v>
      </c>
      <c r="I750" s="13">
        <f t="shared" si="167"/>
        <v>0</v>
      </c>
      <c r="J750" s="13">
        <f t="shared" si="168"/>
        <v>0</v>
      </c>
      <c r="K750" s="13">
        <f>ROUNDUP(IF($D$2="Egyszeri",$D750,IF($D$2="Havi",SUM($D$20:$D$31),IF(MOD($C750,$M$1)-1=0,SUM($D$20:$D$31),0))/12*$M$1)*VLOOKUP($B750,Paraméterek!$B$27:$D$30,IF($D$2="Egyszeri",3,2)),IF($D$4="Forint",0,2))</f>
        <v>0</v>
      </c>
      <c r="L750" s="13">
        <f t="shared" si="169"/>
        <v>0</v>
      </c>
      <c r="M750" s="13">
        <f t="shared" ca="1" si="175"/>
        <v>-666906</v>
      </c>
      <c r="N750" s="13">
        <f ca="1">IF($V749&gt;=VLOOKUP($M$4-1+$B750,Paraméterek!$B$121:$D$122,IF($D$4="Forint",2,3)),0,VLOOKUP($M$4-1+$B750,Paraméterek!$B$121:$D$122,IF($D$4="Forint",2,3))-$V749)</f>
        <v>676906</v>
      </c>
      <c r="O750" s="13">
        <f ca="1">ROUNDUP($N750*Paraméterek!$C$58/Paraméterek!$C$56,IF($D$4="Forint",0,2))</f>
        <v>108</v>
      </c>
      <c r="P750" s="13">
        <f t="shared" si="170"/>
        <v>3241</v>
      </c>
      <c r="Q750" s="33"/>
      <c r="R750" s="13">
        <f t="shared" ca="1" si="171"/>
        <v>0</v>
      </c>
      <c r="S750" s="13">
        <f ca="1">ROUNDUP(($M750-$O750-$P750+$R750)*VLOOKUP($B750,Paraméterek!$B$38:$D$39,IF($D$2="Egyszeri",3,2))/12,IF($D$4="Forint",0,2))</f>
        <v>-1637</v>
      </c>
      <c r="T750" s="13"/>
      <c r="U750" s="13"/>
      <c r="V750" s="13">
        <f ca="1">$M750-$O750-$P750+$R750-$S750-IF(ROUNDUP(IF(ISBLANK($U750),$T750,$U750)/IF(AND($B750=1,$D$2&lt;&gt;"Egyszeri"),1,VLOOKUP($B750+IF($C750=12,1,0),Paraméterek!$B$257:$D$267,IF($D$2="Egyszeri",3,2))),IF($D$4="Forint",0,2))&gt;$M750-$O750-$P750+$R750-$S750-IF($D$4="Forint",Paraméterek!$C$216,Paraméterek!$D$216),0,ROUNDUP(IF(ISBLANK($U750),$T750,$U750)/IF(AND($B750=1,$D$2&lt;&gt;"Egyszeri"),1,VLOOKUP($B750+IF($C750=12,1,0),Paraméterek!$B$257:$D$267,IF($D$2="Egyszeri",3,2))),IF($D$4="Forint",0,2)))</f>
        <v>-668618</v>
      </c>
      <c r="W750" s="13">
        <f ca="1">ROUNDDOWN($V750*VLOOKUP($B750+IF($C750=12,1,0),Paraméterek!$B$257:$D$267,IF($D$2="Egyszeri",3,2)),IF($D$4="Forint",0,2))</f>
        <v>-668618</v>
      </c>
      <c r="Y750" s="32">
        <v>731</v>
      </c>
      <c r="Z750" s="32">
        <v>61</v>
      </c>
      <c r="AA750" s="32">
        <v>11</v>
      </c>
      <c r="AB750" s="13">
        <f t="shared" si="176"/>
        <v>0</v>
      </c>
      <c r="AC750" s="33"/>
      <c r="AD750" s="13">
        <f t="shared" si="172"/>
        <v>0</v>
      </c>
      <c r="AE750" s="13">
        <f>ROUNDUP(($AB750+$AD750)*VLOOKUP($Z750,Paraméterek!$P$38:$Q$38,2)/12,IF($D$4="Forint",0,2))</f>
        <v>0</v>
      </c>
      <c r="AF750" s="13">
        <f>IF($D$2="Egyszeri",IF($D$7&gt;=IF($D$4="Forint",Paraméterek!$P$223,Paraméterek!$P$224),$D$7-IF($D$4="Forint",Paraméterek!$F$223,Paraméterek!$F$224),0),MIN(IF($AA750=12,AVERAGE($D$20:$D750)*12,0),SUM($D$20:$D$31)))</f>
        <v>0</v>
      </c>
      <c r="AG750" s="13">
        <f>IF(AND($Z750&gt;=10,MOD($Z750,5)=0),$AF750*IF($AA750=12,VLOOKUP($Z750,Paraméterek!$B$225:$F$240,IF($AF750&lt;IF($D$4="Forint",Paraméterek!$C$223,Paraméterek!$C$224),2,IF($AF750&lt;IF($D$4="Forint",Paraméterek!$D$223,Paraméterek!$D$224),3,4))),0),0)</f>
        <v>0</v>
      </c>
      <c r="AH750" s="13">
        <f>IF(AND($Z750&gt;=5,MOD($Z750,5)=0),IF($AA750=12,VLOOKUP($Z750,Paraméterek!$B$225:$F$240,5),0),IF(OR($Z750=3,$Z750=4),IF($AA750=12,VLOOKUP($Z750,Paraméterek!$B$225:$F$240,5,0),0),0))*$AF750</f>
        <v>0</v>
      </c>
      <c r="AI750" s="13">
        <f>ROUNDDOWN(IF(SUM($T$20:$U750)=0,IF($D$2="Egyszeri",$AH750,$AG750),0),IF($D$4="Forint",0,2))</f>
        <v>0</v>
      </c>
      <c r="AJ750" s="13">
        <f t="shared" si="177"/>
        <v>0</v>
      </c>
      <c r="AK750" s="13">
        <f t="shared" si="178"/>
        <v>0</v>
      </c>
      <c r="AM750" s="32">
        <v>731</v>
      </c>
      <c r="AN750" s="32">
        <v>61</v>
      </c>
      <c r="AO750" s="32">
        <v>11</v>
      </c>
      <c r="AP750" s="13"/>
      <c r="AQ750" s="32"/>
      <c r="AR750" s="13">
        <f t="shared" si="179"/>
        <v>0</v>
      </c>
      <c r="AS750" s="33"/>
      <c r="AT750" s="13">
        <f t="shared" si="173"/>
        <v>0</v>
      </c>
      <c r="AU750" s="13">
        <f>ROUNDUP(($AR750+$AT750)*VLOOKUP($AN750,Paraméterek!$P$38:$Q$38,2)/12,IF($D$4="Forint",0,2))</f>
        <v>0</v>
      </c>
      <c r="AV750" s="13"/>
      <c r="AW750" s="13"/>
      <c r="AX750" s="13">
        <f>ROUNDUP(IF(SUM($AV750:$AW750)=0,0,IF(IF(ISBLANK($AW750),$AV750,$AW750)*Paraméterek!$J$112&lt;IF($D$4="Forint",Paraméterek!$J$113,Paraméterek!$K$113),IF($D$4="Forint",Paraméterek!$J$113,Paraméterek!$K$113),IF(IF(ISBLANK($AW750),$AV750,$AW750)*Paraméterek!$J$112&gt;IF($D$4="Forint",Paraméterek!$J$114,Paraméterek!$K$114),IF($D$4="Forint",Paraméterek!$J$114,Paraméterek!$K$114),IF(ISBLANK($AW750),$AV750,$AW750)*Paraméterek!$J$112))),IF($D$4="Forint",0,2))</f>
        <v>0</v>
      </c>
      <c r="AY750" s="13">
        <f>$AR750+$AT750-$AU750-IF(ROUNDDOWN(IF(ISBLANK($AW750),$AV750,$AW750),IF($D$4="Forint",0,2))&gt;$AR750+$AT750-$AU750-IF($D$4="Forint",Paraméterek!$J$114,Paraméterek!$K$114),0,ROUNDDOWN(IF(ISBLANK($AW750),$AV750,$AW750),IF($D$4="Forint",0,2))-$AX750)</f>
        <v>0</v>
      </c>
      <c r="AZ750" s="13">
        <f t="shared" si="174"/>
        <v>0</v>
      </c>
    </row>
    <row r="751" spans="1:52" x14ac:dyDescent="0.2">
      <c r="A751" s="32">
        <v>732</v>
      </c>
      <c r="B751" s="32">
        <v>61</v>
      </c>
      <c r="C751" s="32">
        <v>12</v>
      </c>
      <c r="D751" s="13">
        <f t="shared" si="165"/>
        <v>0</v>
      </c>
      <c r="E751" s="13"/>
      <c r="F751" s="13"/>
      <c r="G751" s="13"/>
      <c r="H751" s="13">
        <f t="shared" si="166"/>
        <v>0</v>
      </c>
      <c r="I751" s="13">
        <f t="shared" si="167"/>
        <v>0</v>
      </c>
      <c r="J751" s="13">
        <f t="shared" si="168"/>
        <v>0</v>
      </c>
      <c r="K751" s="13">
        <f>ROUNDUP(IF($D$2="Egyszeri",$D751,IF($D$2="Havi",SUM($D$20:$D$31),IF(MOD($C751,$M$1)-1=0,SUM($D$20:$D$31),0))/12*$M$1)*VLOOKUP($B751,Paraméterek!$B$27:$D$30,IF($D$2="Egyszeri",3,2)),IF($D$4="Forint",0,2))</f>
        <v>0</v>
      </c>
      <c r="L751" s="13">
        <f t="shared" si="169"/>
        <v>0</v>
      </c>
      <c r="M751" s="13">
        <f t="shared" ca="1" si="175"/>
        <v>-668618</v>
      </c>
      <c r="N751" s="13">
        <f ca="1">IF($V750&gt;=VLOOKUP($M$4-1+$B751,Paraméterek!$B$121:$D$122,IF($D$4="Forint",2,3)),0,VLOOKUP($M$4-1+$B751,Paraméterek!$B$121:$D$122,IF($D$4="Forint",2,3))-$V750)</f>
        <v>678618</v>
      </c>
      <c r="O751" s="13">
        <f ca="1">ROUNDUP($N751*Paraméterek!$C$58/Paraméterek!$C$56,IF($D$4="Forint",0,2))</f>
        <v>109</v>
      </c>
      <c r="P751" s="13">
        <f t="shared" si="170"/>
        <v>3241</v>
      </c>
      <c r="Q751" s="33"/>
      <c r="R751" s="13">
        <f t="shared" ca="1" si="171"/>
        <v>0</v>
      </c>
      <c r="S751" s="13">
        <f ca="1">ROUNDUP(($M751-$O751-$P751+$R751)*VLOOKUP($B751,Paraméterek!$B$38:$D$39,IF($D$2="Egyszeri",3,2))/12,IF($D$4="Forint",0,2))</f>
        <v>-1641</v>
      </c>
      <c r="T751" s="13">
        <f>Tranzakciók!$F$92</f>
        <v>0</v>
      </c>
      <c r="U751" s="13"/>
      <c r="V751" s="13">
        <f ca="1">$M751-$O751-$P751+$R751-$S751-IF(ROUNDUP(IF(ISBLANK($U751),$T751,$U751)/IF(AND($B751=1,$D$2&lt;&gt;"Egyszeri"),1,VLOOKUP($B751+IF($C751=12,1,0),Paraméterek!$B$257:$D$267,IF($D$2="Egyszeri",3,2))),IF($D$4="Forint",0,2))&gt;$M751-$O751-$P751+$R751-$S751-IF($D$4="Forint",Paraméterek!$C$216,Paraméterek!$D$216),0,ROUNDUP(IF(ISBLANK($U751),$T751,$U751)/IF(AND($B751=1,$D$2&lt;&gt;"Egyszeri"),1,VLOOKUP($B751+IF($C751=12,1,0),Paraméterek!$B$257:$D$267,IF($D$2="Egyszeri",3,2))),IF($D$4="Forint",0,2)))</f>
        <v>-670327</v>
      </c>
      <c r="W751" s="13">
        <f ca="1">ROUNDDOWN($V751*VLOOKUP($B751+IF($C751=12,1,0),Paraméterek!$B$257:$D$267,IF($D$2="Egyszeri",3,2)),IF($D$4="Forint",0,2))</f>
        <v>-670327</v>
      </c>
      <c r="Y751" s="32">
        <v>732</v>
      </c>
      <c r="Z751" s="32">
        <v>61</v>
      </c>
      <c r="AA751" s="32">
        <v>12</v>
      </c>
      <c r="AB751" s="13">
        <f t="shared" si="176"/>
        <v>0</v>
      </c>
      <c r="AC751" s="33"/>
      <c r="AD751" s="13">
        <f t="shared" si="172"/>
        <v>0</v>
      </c>
      <c r="AE751" s="13">
        <f>ROUNDUP(($AB751+$AD751)*VLOOKUP($Z751,Paraméterek!$P$38:$Q$38,2)/12,IF($D$4="Forint",0,2))</f>
        <v>0</v>
      </c>
      <c r="AF751" s="13">
        <f>IF($D$2="Egyszeri",IF($D$7&gt;=IF($D$4="Forint",Paraméterek!$P$223,Paraméterek!$P$224),$D$7-IF($D$4="Forint",Paraméterek!$F$223,Paraméterek!$F$224),0),MIN(IF($AA751=12,AVERAGE($D$20:$D751)*12,0),SUM($D$20:$D$31)))</f>
        <v>0</v>
      </c>
      <c r="AG751" s="13">
        <f>IF(AND($Z751&gt;=10,MOD($Z751,5)=0),$AF751*IF($AA751=12,VLOOKUP($Z751,Paraméterek!$B$225:$F$240,IF($AF751&lt;IF($D$4="Forint",Paraméterek!$C$223,Paraméterek!$C$224),2,IF($AF751&lt;IF($D$4="Forint",Paraméterek!$D$223,Paraméterek!$D$224),3,4))),0),0)</f>
        <v>0</v>
      </c>
      <c r="AH751" s="13">
        <f>IF(AND($Z751&gt;=5,MOD($Z751,5)=0),IF($AA751=12,VLOOKUP($Z751,Paraméterek!$B$225:$F$240,5),0),IF(OR($Z751=3,$Z751=4),IF($AA751=12,VLOOKUP($Z751,Paraméterek!$B$225:$F$240,5,0),0),0))*$AF751</f>
        <v>0</v>
      </c>
      <c r="AI751" s="13">
        <f>ROUNDDOWN(IF(SUM($T$20:$U751)=0,IF($D$2="Egyszeri",$AH751,$AG751),0),IF($D$4="Forint",0,2))</f>
        <v>0</v>
      </c>
      <c r="AJ751" s="13">
        <f t="shared" si="177"/>
        <v>0</v>
      </c>
      <c r="AK751" s="13">
        <f t="shared" si="178"/>
        <v>0</v>
      </c>
      <c r="AM751" s="32">
        <v>732</v>
      </c>
      <c r="AN751" s="32">
        <v>61</v>
      </c>
      <c r="AO751" s="32">
        <v>12</v>
      </c>
      <c r="AP751" s="13"/>
      <c r="AQ751" s="32"/>
      <c r="AR751" s="13">
        <f t="shared" si="179"/>
        <v>0</v>
      </c>
      <c r="AS751" s="33"/>
      <c r="AT751" s="13">
        <f t="shared" si="173"/>
        <v>0</v>
      </c>
      <c r="AU751" s="13">
        <f>ROUNDUP(($AR751+$AT751)*VLOOKUP($AN751,Paraméterek!$P$38:$Q$38,2)/12,IF($D$4="Forint",0,2))</f>
        <v>0</v>
      </c>
      <c r="AV751" s="13">
        <f>Tranzakciók!$M$92</f>
        <v>0</v>
      </c>
      <c r="AW751" s="13"/>
      <c r="AX751" s="13">
        <f>ROUNDUP(IF(SUM($AV751:$AW751)=0,0,IF(IF(ISBLANK($AW751),$AV751,$AW751)*Paraméterek!$J$112&lt;IF($D$4="Forint",Paraméterek!$J$113,Paraméterek!$K$113),IF($D$4="Forint",Paraméterek!$J$113,Paraméterek!$K$113),IF(IF(ISBLANK($AW751),$AV751,$AW751)*Paraméterek!$J$112&gt;IF($D$4="Forint",Paraméterek!$J$114,Paraméterek!$K$114),IF($D$4="Forint",Paraméterek!$J$114,Paraméterek!$K$114),IF(ISBLANK($AW751),$AV751,$AW751)*Paraméterek!$J$112))),IF($D$4="Forint",0,2))</f>
        <v>0</v>
      </c>
      <c r="AY751" s="13">
        <f>$AR751+$AT751-$AU751-IF(ROUNDDOWN(IF(ISBLANK($AW751),$AV751,$AW751),IF($D$4="Forint",0,2))&gt;$AR751+$AT751-$AU751-IF($D$4="Forint",Paraméterek!$J$114,Paraméterek!$K$114),0,ROUNDDOWN(IF(ISBLANK($AW751),$AV751,$AW751),IF($D$4="Forint",0,2))-$AX751)</f>
        <v>0</v>
      </c>
      <c r="AZ751" s="13">
        <f t="shared" si="174"/>
        <v>0</v>
      </c>
    </row>
    <row r="752" spans="1:52" x14ac:dyDescent="0.2">
      <c r="A752" s="32">
        <v>733</v>
      </c>
      <c r="B752" s="32">
        <v>62</v>
      </c>
      <c r="C752" s="32">
        <v>1</v>
      </c>
      <c r="D752" s="13">
        <f t="shared" si="165"/>
        <v>0</v>
      </c>
      <c r="E752" s="13"/>
      <c r="F752" s="13">
        <f>Tranzakciók!$D$93</f>
        <v>0</v>
      </c>
      <c r="G752" s="13"/>
      <c r="H752" s="13">
        <f t="shared" si="166"/>
        <v>0</v>
      </c>
      <c r="I752" s="13">
        <f t="shared" si="167"/>
        <v>607</v>
      </c>
      <c r="J752" s="13">
        <f t="shared" si="168"/>
        <v>607</v>
      </c>
      <c r="K752" s="13">
        <f>ROUNDUP(IF($D$2="Egyszeri",$D752,IF($D$2="Havi",SUM($D$20:$D$31),IF(MOD($C752,$M$1)-1=0,SUM($D$20:$D$31),0))/12*$M$1)*VLOOKUP($B752,Paraméterek!$B$27:$D$30,IF($D$2="Egyszeri",3,2)),IF($D$4="Forint",0,2))</f>
        <v>0</v>
      </c>
      <c r="L752" s="13">
        <f t="shared" si="169"/>
        <v>0</v>
      </c>
      <c r="M752" s="13">
        <f t="shared" ca="1" si="175"/>
        <v>-670327</v>
      </c>
      <c r="N752" s="13">
        <f ca="1">IF($V751&gt;=VLOOKUP($M$4-1+$B752,Paraméterek!$B$121:$D$122,IF($D$4="Forint",2,3)),0,VLOOKUP($M$4-1+$B752,Paraméterek!$B$121:$D$122,IF($D$4="Forint",2,3))-$V751)</f>
        <v>680327</v>
      </c>
      <c r="O752" s="13">
        <f ca="1">ROUNDUP($N752*Paraméterek!$C$58/Paraméterek!$C$56,IF($D$4="Forint",0,2))</f>
        <v>109</v>
      </c>
      <c r="P752" s="13">
        <f t="shared" si="170"/>
        <v>3338</v>
      </c>
      <c r="Q752" s="33"/>
      <c r="R752" s="13">
        <f t="shared" ca="1" si="171"/>
        <v>0</v>
      </c>
      <c r="S752" s="13">
        <f ca="1">ROUNDUP(($M752-$O752-$P752+$R752)*VLOOKUP($B752,Paraméterek!$B$38:$D$39,IF($D$2="Egyszeri",3,2))/12,IF($D$4="Forint",0,2))</f>
        <v>-1646</v>
      </c>
      <c r="T752" s="13"/>
      <c r="U752" s="13"/>
      <c r="V752" s="13">
        <f ca="1">$M752-$O752-$P752+$R752-$S752-IF(ROUNDUP(IF(ISBLANK($U752),$T752,$U752)/IF(AND($B752=1,$D$2&lt;&gt;"Egyszeri"),1,VLOOKUP($B752+IF($C752=12,1,0),Paraméterek!$B$257:$D$267,IF($D$2="Egyszeri",3,2))),IF($D$4="Forint",0,2))&gt;$M752-$O752-$P752+$R752-$S752-IF($D$4="Forint",Paraméterek!$C$216,Paraméterek!$D$216),0,ROUNDUP(IF(ISBLANK($U752),$T752,$U752)/IF(AND($B752=1,$D$2&lt;&gt;"Egyszeri"),1,VLOOKUP($B752+IF($C752=12,1,0),Paraméterek!$B$257:$D$267,IF($D$2="Egyszeri",3,2))),IF($D$4="Forint",0,2)))</f>
        <v>-672128</v>
      </c>
      <c r="W752" s="13">
        <f ca="1">ROUNDDOWN($V752*VLOOKUP($B752+IF($C752=12,1,0),Paraméterek!$B$257:$D$267,IF($D$2="Egyszeri",3,2)),IF($D$4="Forint",0,2))</f>
        <v>-672128</v>
      </c>
      <c r="Y752" s="32">
        <v>733</v>
      </c>
      <c r="Z752" s="32">
        <v>62</v>
      </c>
      <c r="AA752" s="32">
        <v>1</v>
      </c>
      <c r="AB752" s="13">
        <f t="shared" si="176"/>
        <v>0</v>
      </c>
      <c r="AC752" s="33"/>
      <c r="AD752" s="13">
        <f t="shared" si="172"/>
        <v>0</v>
      </c>
      <c r="AE752" s="13">
        <f>ROUNDUP(($AB752+$AD752)*VLOOKUP($Z752,Paraméterek!$P$38:$Q$38,2)/12,IF($D$4="Forint",0,2))</f>
        <v>0</v>
      </c>
      <c r="AF752" s="13">
        <f>IF($D$2="Egyszeri",IF($D$7&gt;=IF($D$4="Forint",Paraméterek!$P$223,Paraméterek!$P$224),$D$7-IF($D$4="Forint",Paraméterek!$F$223,Paraméterek!$F$224),0),MIN(IF($AA752=12,AVERAGE($D$20:$D752)*12,0),SUM($D$20:$D$31)))</f>
        <v>0</v>
      </c>
      <c r="AG752" s="13">
        <f>IF(AND($Z752&gt;=10,MOD($Z752,5)=0),$AF752*IF($AA752=12,VLOOKUP($Z752,Paraméterek!$B$225:$F$240,IF($AF752&lt;IF($D$4="Forint",Paraméterek!$C$223,Paraméterek!$C$224),2,IF($AF752&lt;IF($D$4="Forint",Paraméterek!$D$223,Paraméterek!$D$224),3,4))),0),0)</f>
        <v>0</v>
      </c>
      <c r="AH752" s="13">
        <f>IF(AND($Z752&gt;=5,MOD($Z752,5)=0),IF($AA752=12,VLOOKUP($Z752,Paraméterek!$B$225:$F$240,5),0),IF(OR($Z752=3,$Z752=4),IF($AA752=12,VLOOKUP($Z752,Paraméterek!$B$225:$F$240,5,0),0),0))*$AF752</f>
        <v>0</v>
      </c>
      <c r="AI752" s="13">
        <f>ROUNDDOWN(IF(SUM($T$20:$U752)=0,IF($D$2="Egyszeri",$AH752,$AG752),0),IF($D$4="Forint",0,2))</f>
        <v>0</v>
      </c>
      <c r="AJ752" s="13">
        <f t="shared" si="177"/>
        <v>0</v>
      </c>
      <c r="AK752" s="13">
        <f t="shared" si="178"/>
        <v>0</v>
      </c>
      <c r="AM752" s="32">
        <v>733</v>
      </c>
      <c r="AN752" s="32">
        <v>62</v>
      </c>
      <c r="AO752" s="32">
        <v>1</v>
      </c>
      <c r="AP752" s="13">
        <f>Tranzakciók!$K$93</f>
        <v>0</v>
      </c>
      <c r="AQ752" s="32"/>
      <c r="AR752" s="13">
        <f t="shared" si="179"/>
        <v>0</v>
      </c>
      <c r="AS752" s="33"/>
      <c r="AT752" s="13">
        <f t="shared" si="173"/>
        <v>0</v>
      </c>
      <c r="AU752" s="13">
        <f>ROUNDUP(($AR752+$AT752)*VLOOKUP($AN752,Paraméterek!$P$38:$Q$38,2)/12,IF($D$4="Forint",0,2))</f>
        <v>0</v>
      </c>
      <c r="AV752" s="13"/>
      <c r="AW752" s="13"/>
      <c r="AX752" s="13">
        <f>ROUNDUP(IF(SUM($AV752:$AW752)=0,0,IF(IF(ISBLANK($AW752),$AV752,$AW752)*Paraméterek!$J$112&lt;IF($D$4="Forint",Paraméterek!$J$113,Paraméterek!$K$113),IF($D$4="Forint",Paraméterek!$J$113,Paraméterek!$K$113),IF(IF(ISBLANK($AW752),$AV752,$AW752)*Paraméterek!$J$112&gt;IF($D$4="Forint",Paraméterek!$J$114,Paraméterek!$K$114),IF($D$4="Forint",Paraméterek!$J$114,Paraméterek!$K$114),IF(ISBLANK($AW752),$AV752,$AW752)*Paraméterek!$J$112))),IF($D$4="Forint",0,2))</f>
        <v>0</v>
      </c>
      <c r="AY752" s="13">
        <f>$AR752+$AT752-$AU752-IF(ROUNDDOWN(IF(ISBLANK($AW752),$AV752,$AW752),IF($D$4="Forint",0,2))&gt;$AR752+$AT752-$AU752-IF($D$4="Forint",Paraméterek!$J$114,Paraméterek!$K$114),0,ROUNDDOWN(IF(ISBLANK($AW752),$AV752,$AW752),IF($D$4="Forint",0,2))-$AX752)</f>
        <v>0</v>
      </c>
      <c r="AZ752" s="13">
        <f t="shared" si="174"/>
        <v>0</v>
      </c>
    </row>
    <row r="753" spans="1:52" x14ac:dyDescent="0.2">
      <c r="A753" s="32">
        <v>734</v>
      </c>
      <c r="B753" s="32">
        <v>62</v>
      </c>
      <c r="C753" s="32">
        <v>2</v>
      </c>
      <c r="D753" s="13">
        <f t="shared" si="165"/>
        <v>0</v>
      </c>
      <c r="E753" s="13"/>
      <c r="F753" s="13"/>
      <c r="G753" s="13"/>
      <c r="H753" s="13">
        <f t="shared" si="166"/>
        <v>0</v>
      </c>
      <c r="I753" s="13">
        <f t="shared" si="167"/>
        <v>0</v>
      </c>
      <c r="J753" s="13">
        <f t="shared" si="168"/>
        <v>0</v>
      </c>
      <c r="K753" s="13">
        <f>ROUNDUP(IF($D$2="Egyszeri",$D753,IF($D$2="Havi",SUM($D$20:$D$31),IF(MOD($C753,$M$1)-1=0,SUM($D$20:$D$31),0))/12*$M$1)*VLOOKUP($B753,Paraméterek!$B$27:$D$30,IF($D$2="Egyszeri",3,2)),IF($D$4="Forint",0,2))</f>
        <v>0</v>
      </c>
      <c r="L753" s="13">
        <f t="shared" si="169"/>
        <v>0</v>
      </c>
      <c r="M753" s="13">
        <f t="shared" ca="1" si="175"/>
        <v>-672128</v>
      </c>
      <c r="N753" s="13">
        <f ca="1">IF($V752&gt;=VLOOKUP($M$4-1+$B753,Paraméterek!$B$121:$D$122,IF($D$4="Forint",2,3)),0,VLOOKUP($M$4-1+$B753,Paraméterek!$B$121:$D$122,IF($D$4="Forint",2,3))-$V752)</f>
        <v>682128</v>
      </c>
      <c r="O753" s="13">
        <f ca="1">ROUNDUP($N753*Paraméterek!$C$58/Paraméterek!$C$56,IF($D$4="Forint",0,2))</f>
        <v>109</v>
      </c>
      <c r="P753" s="13">
        <f t="shared" si="170"/>
        <v>3338</v>
      </c>
      <c r="Q753" s="33"/>
      <c r="R753" s="13">
        <f t="shared" ca="1" si="171"/>
        <v>0</v>
      </c>
      <c r="S753" s="13">
        <f ca="1">ROUNDUP(($M753-$O753-$P753+$R753)*VLOOKUP($B753,Paraméterek!$B$38:$D$39,IF($D$2="Egyszeri",3,2))/12,IF($D$4="Forint",0,2))</f>
        <v>-1650</v>
      </c>
      <c r="T753" s="13"/>
      <c r="U753" s="13"/>
      <c r="V753" s="13">
        <f ca="1">$M753-$O753-$P753+$R753-$S753-IF(ROUNDUP(IF(ISBLANK($U753),$T753,$U753)/IF(AND($B753=1,$D$2&lt;&gt;"Egyszeri"),1,VLOOKUP($B753+IF($C753=12,1,0),Paraméterek!$B$257:$D$267,IF($D$2="Egyszeri",3,2))),IF($D$4="Forint",0,2))&gt;$M753-$O753-$P753+$R753-$S753-IF($D$4="Forint",Paraméterek!$C$216,Paraméterek!$D$216),0,ROUNDUP(IF(ISBLANK($U753),$T753,$U753)/IF(AND($B753=1,$D$2&lt;&gt;"Egyszeri"),1,VLOOKUP($B753+IF($C753=12,1,0),Paraméterek!$B$257:$D$267,IF($D$2="Egyszeri",3,2))),IF($D$4="Forint",0,2)))</f>
        <v>-673925</v>
      </c>
      <c r="W753" s="13">
        <f ca="1">ROUNDDOWN($V753*VLOOKUP($B753+IF($C753=12,1,0),Paraméterek!$B$257:$D$267,IF($D$2="Egyszeri",3,2)),IF($D$4="Forint",0,2))</f>
        <v>-673925</v>
      </c>
      <c r="Y753" s="32">
        <v>734</v>
      </c>
      <c r="Z753" s="32">
        <v>62</v>
      </c>
      <c r="AA753" s="32">
        <v>2</v>
      </c>
      <c r="AB753" s="13">
        <f t="shared" si="176"/>
        <v>0</v>
      </c>
      <c r="AC753" s="33"/>
      <c r="AD753" s="13">
        <f t="shared" si="172"/>
        <v>0</v>
      </c>
      <c r="AE753" s="13">
        <f>ROUNDUP(($AB753+$AD753)*VLOOKUP($Z753,Paraméterek!$P$38:$Q$38,2)/12,IF($D$4="Forint",0,2))</f>
        <v>0</v>
      </c>
      <c r="AF753" s="13">
        <f>IF($D$2="Egyszeri",IF($D$7&gt;=IF($D$4="Forint",Paraméterek!$P$223,Paraméterek!$P$224),$D$7-IF($D$4="Forint",Paraméterek!$F$223,Paraméterek!$F$224),0),MIN(IF($AA753=12,AVERAGE($D$20:$D753)*12,0),SUM($D$20:$D$31)))</f>
        <v>0</v>
      </c>
      <c r="AG753" s="13">
        <f>IF(AND($Z753&gt;=10,MOD($Z753,5)=0),$AF753*IF($AA753=12,VLOOKUP($Z753,Paraméterek!$B$225:$F$240,IF($AF753&lt;IF($D$4="Forint",Paraméterek!$C$223,Paraméterek!$C$224),2,IF($AF753&lt;IF($D$4="Forint",Paraméterek!$D$223,Paraméterek!$D$224),3,4))),0),0)</f>
        <v>0</v>
      </c>
      <c r="AH753" s="13">
        <f>IF(AND($Z753&gt;=5,MOD($Z753,5)=0),IF($AA753=12,VLOOKUP($Z753,Paraméterek!$B$225:$F$240,5),0),IF(OR($Z753=3,$Z753=4),IF($AA753=12,VLOOKUP($Z753,Paraméterek!$B$225:$F$240,5,0),0),0))*$AF753</f>
        <v>0</v>
      </c>
      <c r="AI753" s="13">
        <f>ROUNDDOWN(IF(SUM($T$20:$U753)=0,IF($D$2="Egyszeri",$AH753,$AG753),0),IF($D$4="Forint",0,2))</f>
        <v>0</v>
      </c>
      <c r="AJ753" s="13">
        <f t="shared" si="177"/>
        <v>0</v>
      </c>
      <c r="AK753" s="13">
        <f t="shared" si="178"/>
        <v>0</v>
      </c>
      <c r="AM753" s="32">
        <v>734</v>
      </c>
      <c r="AN753" s="32">
        <v>62</v>
      </c>
      <c r="AO753" s="32">
        <v>2</v>
      </c>
      <c r="AP753" s="13"/>
      <c r="AQ753" s="32"/>
      <c r="AR753" s="13">
        <f t="shared" si="179"/>
        <v>0</v>
      </c>
      <c r="AS753" s="33"/>
      <c r="AT753" s="13">
        <f t="shared" si="173"/>
        <v>0</v>
      </c>
      <c r="AU753" s="13">
        <f>ROUNDUP(($AR753+$AT753)*VLOOKUP($AN753,Paraméterek!$P$38:$Q$38,2)/12,IF($D$4="Forint",0,2))</f>
        <v>0</v>
      </c>
      <c r="AV753" s="13"/>
      <c r="AW753" s="13"/>
      <c r="AX753" s="13">
        <f>ROUNDUP(IF(SUM($AV753:$AW753)=0,0,IF(IF(ISBLANK($AW753),$AV753,$AW753)*Paraméterek!$J$112&lt;IF($D$4="Forint",Paraméterek!$J$113,Paraméterek!$K$113),IF($D$4="Forint",Paraméterek!$J$113,Paraméterek!$K$113),IF(IF(ISBLANK($AW753),$AV753,$AW753)*Paraméterek!$J$112&gt;IF($D$4="Forint",Paraméterek!$J$114,Paraméterek!$K$114),IF($D$4="Forint",Paraméterek!$J$114,Paraméterek!$K$114),IF(ISBLANK($AW753),$AV753,$AW753)*Paraméterek!$J$112))),IF($D$4="Forint",0,2))</f>
        <v>0</v>
      </c>
      <c r="AY753" s="13">
        <f>$AR753+$AT753-$AU753-IF(ROUNDDOWN(IF(ISBLANK($AW753),$AV753,$AW753),IF($D$4="Forint",0,2))&gt;$AR753+$AT753-$AU753-IF($D$4="Forint",Paraméterek!$J$114,Paraméterek!$K$114),0,ROUNDDOWN(IF(ISBLANK($AW753),$AV753,$AW753),IF($D$4="Forint",0,2))-$AX753)</f>
        <v>0</v>
      </c>
      <c r="AZ753" s="13">
        <f t="shared" si="174"/>
        <v>0</v>
      </c>
    </row>
    <row r="754" spans="1:52" x14ac:dyDescent="0.2">
      <c r="A754" s="32">
        <v>735</v>
      </c>
      <c r="B754" s="32">
        <v>62</v>
      </c>
      <c r="C754" s="32">
        <v>3</v>
      </c>
      <c r="D754" s="13">
        <f t="shared" si="165"/>
        <v>0</v>
      </c>
      <c r="E754" s="13"/>
      <c r="F754" s="13"/>
      <c r="G754" s="13"/>
      <c r="H754" s="13">
        <f t="shared" si="166"/>
        <v>0</v>
      </c>
      <c r="I754" s="13">
        <f t="shared" si="167"/>
        <v>0</v>
      </c>
      <c r="J754" s="13">
        <f t="shared" si="168"/>
        <v>0</v>
      </c>
      <c r="K754" s="13">
        <f>ROUNDUP(IF($D$2="Egyszeri",$D754,IF($D$2="Havi",SUM($D$20:$D$31),IF(MOD($C754,$M$1)-1=0,SUM($D$20:$D$31),0))/12*$M$1)*VLOOKUP($B754,Paraméterek!$B$27:$D$30,IF($D$2="Egyszeri",3,2)),IF($D$4="Forint",0,2))</f>
        <v>0</v>
      </c>
      <c r="L754" s="13">
        <f t="shared" si="169"/>
        <v>0</v>
      </c>
      <c r="M754" s="13">
        <f t="shared" ca="1" si="175"/>
        <v>-673925</v>
      </c>
      <c r="N754" s="13">
        <f ca="1">IF($V753&gt;=VLOOKUP($M$4-1+$B754,Paraméterek!$B$121:$D$122,IF($D$4="Forint",2,3)),0,VLOOKUP($M$4-1+$B754,Paraméterek!$B$121:$D$122,IF($D$4="Forint",2,3))-$V753)</f>
        <v>683925</v>
      </c>
      <c r="O754" s="13">
        <f ca="1">ROUNDUP($N754*Paraméterek!$C$58/Paraméterek!$C$56,IF($D$4="Forint",0,2))</f>
        <v>109</v>
      </c>
      <c r="P754" s="13">
        <f t="shared" si="170"/>
        <v>3338</v>
      </c>
      <c r="Q754" s="33"/>
      <c r="R754" s="13">
        <f t="shared" ca="1" si="171"/>
        <v>0</v>
      </c>
      <c r="S754" s="13">
        <f ca="1">ROUNDUP(($M754-$O754-$P754+$R754)*VLOOKUP($B754,Paraméterek!$B$38:$D$39,IF($D$2="Egyszeri",3,2))/12,IF($D$4="Forint",0,2))</f>
        <v>-1654</v>
      </c>
      <c r="T754" s="13"/>
      <c r="U754" s="13"/>
      <c r="V754" s="13">
        <f ca="1">$M754-$O754-$P754+$R754-$S754-IF(ROUNDUP(IF(ISBLANK($U754),$T754,$U754)/IF(AND($B754=1,$D$2&lt;&gt;"Egyszeri"),1,VLOOKUP($B754+IF($C754=12,1,0),Paraméterek!$B$257:$D$267,IF($D$2="Egyszeri",3,2))),IF($D$4="Forint",0,2))&gt;$M754-$O754-$P754+$R754-$S754-IF($D$4="Forint",Paraméterek!$C$216,Paraméterek!$D$216),0,ROUNDUP(IF(ISBLANK($U754),$T754,$U754)/IF(AND($B754=1,$D$2&lt;&gt;"Egyszeri"),1,VLOOKUP($B754+IF($C754=12,1,0),Paraméterek!$B$257:$D$267,IF($D$2="Egyszeri",3,2))),IF($D$4="Forint",0,2)))</f>
        <v>-675718</v>
      </c>
      <c r="W754" s="13">
        <f ca="1">ROUNDDOWN($V754*VLOOKUP($B754+IF($C754=12,1,0),Paraméterek!$B$257:$D$267,IF($D$2="Egyszeri",3,2)),IF($D$4="Forint",0,2))</f>
        <v>-675718</v>
      </c>
      <c r="Y754" s="32">
        <v>735</v>
      </c>
      <c r="Z754" s="32">
        <v>62</v>
      </c>
      <c r="AA754" s="32">
        <v>3</v>
      </c>
      <c r="AB754" s="13">
        <f t="shared" si="176"/>
        <v>0</v>
      </c>
      <c r="AC754" s="33"/>
      <c r="AD754" s="13">
        <f t="shared" si="172"/>
        <v>0</v>
      </c>
      <c r="AE754" s="13">
        <f>ROUNDUP(($AB754+$AD754)*VLOOKUP($Z754,Paraméterek!$P$38:$Q$38,2)/12,IF($D$4="Forint",0,2))</f>
        <v>0</v>
      </c>
      <c r="AF754" s="13">
        <f>IF($D$2="Egyszeri",IF($D$7&gt;=IF($D$4="Forint",Paraméterek!$P$223,Paraméterek!$P$224),$D$7-IF($D$4="Forint",Paraméterek!$F$223,Paraméterek!$F$224),0),MIN(IF($AA754=12,AVERAGE($D$20:$D754)*12,0),SUM($D$20:$D$31)))</f>
        <v>0</v>
      </c>
      <c r="AG754" s="13">
        <f>IF(AND($Z754&gt;=10,MOD($Z754,5)=0),$AF754*IF($AA754=12,VLOOKUP($Z754,Paraméterek!$B$225:$F$240,IF($AF754&lt;IF($D$4="Forint",Paraméterek!$C$223,Paraméterek!$C$224),2,IF($AF754&lt;IF($D$4="Forint",Paraméterek!$D$223,Paraméterek!$D$224),3,4))),0),0)</f>
        <v>0</v>
      </c>
      <c r="AH754" s="13">
        <f>IF(AND($Z754&gt;=5,MOD($Z754,5)=0),IF($AA754=12,VLOOKUP($Z754,Paraméterek!$B$225:$F$240,5),0),IF(OR($Z754=3,$Z754=4),IF($AA754=12,VLOOKUP($Z754,Paraméterek!$B$225:$F$240,5,0),0),0))*$AF754</f>
        <v>0</v>
      </c>
      <c r="AI754" s="13">
        <f>ROUNDDOWN(IF(SUM($T$20:$U754)=0,IF($D$2="Egyszeri",$AH754,$AG754),0),IF($D$4="Forint",0,2))</f>
        <v>0</v>
      </c>
      <c r="AJ754" s="13">
        <f t="shared" si="177"/>
        <v>0</v>
      </c>
      <c r="AK754" s="13">
        <f t="shared" si="178"/>
        <v>0</v>
      </c>
      <c r="AM754" s="32">
        <v>735</v>
      </c>
      <c r="AN754" s="32">
        <v>62</v>
      </c>
      <c r="AO754" s="32">
        <v>3</v>
      </c>
      <c r="AP754" s="13"/>
      <c r="AQ754" s="32"/>
      <c r="AR754" s="13">
        <f t="shared" si="179"/>
        <v>0</v>
      </c>
      <c r="AS754" s="33"/>
      <c r="AT754" s="13">
        <f t="shared" si="173"/>
        <v>0</v>
      </c>
      <c r="AU754" s="13">
        <f>ROUNDUP(($AR754+$AT754)*VLOOKUP($AN754,Paraméterek!$P$38:$Q$38,2)/12,IF($D$4="Forint",0,2))</f>
        <v>0</v>
      </c>
      <c r="AV754" s="13"/>
      <c r="AW754" s="13"/>
      <c r="AX754" s="13">
        <f>ROUNDUP(IF(SUM($AV754:$AW754)=0,0,IF(IF(ISBLANK($AW754),$AV754,$AW754)*Paraméterek!$J$112&lt;IF($D$4="Forint",Paraméterek!$J$113,Paraméterek!$K$113),IF($D$4="Forint",Paraméterek!$J$113,Paraméterek!$K$113),IF(IF(ISBLANK($AW754),$AV754,$AW754)*Paraméterek!$J$112&gt;IF($D$4="Forint",Paraméterek!$J$114,Paraméterek!$K$114),IF($D$4="Forint",Paraméterek!$J$114,Paraméterek!$K$114),IF(ISBLANK($AW754),$AV754,$AW754)*Paraméterek!$J$112))),IF($D$4="Forint",0,2))</f>
        <v>0</v>
      </c>
      <c r="AY754" s="13">
        <f>$AR754+$AT754-$AU754-IF(ROUNDDOWN(IF(ISBLANK($AW754),$AV754,$AW754),IF($D$4="Forint",0,2))&gt;$AR754+$AT754-$AU754-IF($D$4="Forint",Paraméterek!$J$114,Paraméterek!$K$114),0,ROUNDDOWN(IF(ISBLANK($AW754),$AV754,$AW754),IF($D$4="Forint",0,2))-$AX754)</f>
        <v>0</v>
      </c>
      <c r="AZ754" s="13">
        <f t="shared" si="174"/>
        <v>0</v>
      </c>
    </row>
    <row r="755" spans="1:52" x14ac:dyDescent="0.2">
      <c r="A755" s="32">
        <v>736</v>
      </c>
      <c r="B755" s="32">
        <v>62</v>
      </c>
      <c r="C755" s="32">
        <v>4</v>
      </c>
      <c r="D755" s="13">
        <f t="shared" si="165"/>
        <v>0</v>
      </c>
      <c r="E755" s="13"/>
      <c r="F755" s="13"/>
      <c r="G755" s="13"/>
      <c r="H755" s="13">
        <f t="shared" si="166"/>
        <v>0</v>
      </c>
      <c r="I755" s="13">
        <f t="shared" si="167"/>
        <v>0</v>
      </c>
      <c r="J755" s="13">
        <f t="shared" si="168"/>
        <v>0</v>
      </c>
      <c r="K755" s="13">
        <f>ROUNDUP(IF($D$2="Egyszeri",$D755,IF($D$2="Havi",SUM($D$20:$D$31),IF(MOD($C755,$M$1)-1=0,SUM($D$20:$D$31),0))/12*$M$1)*VLOOKUP($B755,Paraméterek!$B$27:$D$30,IF($D$2="Egyszeri",3,2)),IF($D$4="Forint",0,2))</f>
        <v>0</v>
      </c>
      <c r="L755" s="13">
        <f t="shared" si="169"/>
        <v>0</v>
      </c>
      <c r="M755" s="13">
        <f t="shared" ca="1" si="175"/>
        <v>-675718</v>
      </c>
      <c r="N755" s="13">
        <f ca="1">IF($V754&gt;=VLOOKUP($M$4-1+$B755,Paraméterek!$B$121:$D$122,IF($D$4="Forint",2,3)),0,VLOOKUP($M$4-1+$B755,Paraméterek!$B$121:$D$122,IF($D$4="Forint",2,3))-$V754)</f>
        <v>685718</v>
      </c>
      <c r="O755" s="13">
        <f ca="1">ROUNDUP($N755*Paraméterek!$C$58/Paraméterek!$C$56,IF($D$4="Forint",0,2))</f>
        <v>110</v>
      </c>
      <c r="P755" s="13">
        <f t="shared" si="170"/>
        <v>3338</v>
      </c>
      <c r="Q755" s="33"/>
      <c r="R755" s="13">
        <f t="shared" ca="1" si="171"/>
        <v>0</v>
      </c>
      <c r="S755" s="13">
        <f ca="1">ROUNDUP(($M755-$O755-$P755+$R755)*VLOOKUP($B755,Paraméterek!$B$38:$D$39,IF($D$2="Egyszeri",3,2))/12,IF($D$4="Forint",0,2))</f>
        <v>-1659</v>
      </c>
      <c r="T755" s="13"/>
      <c r="U755" s="13"/>
      <c r="V755" s="13">
        <f ca="1">$M755-$O755-$P755+$R755-$S755-IF(ROUNDUP(IF(ISBLANK($U755),$T755,$U755)/IF(AND($B755=1,$D$2&lt;&gt;"Egyszeri"),1,VLOOKUP($B755+IF($C755=12,1,0),Paraméterek!$B$257:$D$267,IF($D$2="Egyszeri",3,2))),IF($D$4="Forint",0,2))&gt;$M755-$O755-$P755+$R755-$S755-IF($D$4="Forint",Paraméterek!$C$216,Paraméterek!$D$216),0,ROUNDUP(IF(ISBLANK($U755),$T755,$U755)/IF(AND($B755=1,$D$2&lt;&gt;"Egyszeri"),1,VLOOKUP($B755+IF($C755=12,1,0),Paraméterek!$B$257:$D$267,IF($D$2="Egyszeri",3,2))),IF($D$4="Forint",0,2)))</f>
        <v>-677507</v>
      </c>
      <c r="W755" s="13">
        <f ca="1">ROUNDDOWN($V755*VLOOKUP($B755+IF($C755=12,1,0),Paraméterek!$B$257:$D$267,IF($D$2="Egyszeri",3,2)),IF($D$4="Forint",0,2))</f>
        <v>-677507</v>
      </c>
      <c r="Y755" s="32">
        <v>736</v>
      </c>
      <c r="Z755" s="32">
        <v>62</v>
      </c>
      <c r="AA755" s="32">
        <v>4</v>
      </c>
      <c r="AB755" s="13">
        <f t="shared" si="176"/>
        <v>0</v>
      </c>
      <c r="AC755" s="33"/>
      <c r="AD755" s="13">
        <f t="shared" si="172"/>
        <v>0</v>
      </c>
      <c r="AE755" s="13">
        <f>ROUNDUP(($AB755+$AD755)*VLOOKUP($Z755,Paraméterek!$P$38:$Q$38,2)/12,IF($D$4="Forint",0,2))</f>
        <v>0</v>
      </c>
      <c r="AF755" s="13">
        <f>IF($D$2="Egyszeri",IF($D$7&gt;=IF($D$4="Forint",Paraméterek!$P$223,Paraméterek!$P$224),$D$7-IF($D$4="Forint",Paraméterek!$F$223,Paraméterek!$F$224),0),MIN(IF($AA755=12,AVERAGE($D$20:$D755)*12,0),SUM($D$20:$D$31)))</f>
        <v>0</v>
      </c>
      <c r="AG755" s="13">
        <f>IF(AND($Z755&gt;=10,MOD($Z755,5)=0),$AF755*IF($AA755=12,VLOOKUP($Z755,Paraméterek!$B$225:$F$240,IF($AF755&lt;IF($D$4="Forint",Paraméterek!$C$223,Paraméterek!$C$224),2,IF($AF755&lt;IF($D$4="Forint",Paraméterek!$D$223,Paraméterek!$D$224),3,4))),0),0)</f>
        <v>0</v>
      </c>
      <c r="AH755" s="13">
        <f>IF(AND($Z755&gt;=5,MOD($Z755,5)=0),IF($AA755=12,VLOOKUP($Z755,Paraméterek!$B$225:$F$240,5),0),IF(OR($Z755=3,$Z755=4),IF($AA755=12,VLOOKUP($Z755,Paraméterek!$B$225:$F$240,5,0),0),0))*$AF755</f>
        <v>0</v>
      </c>
      <c r="AI755" s="13">
        <f>ROUNDDOWN(IF(SUM($T$20:$U755)=0,IF($D$2="Egyszeri",$AH755,$AG755),0),IF($D$4="Forint",0,2))</f>
        <v>0</v>
      </c>
      <c r="AJ755" s="13">
        <f t="shared" si="177"/>
        <v>0</v>
      </c>
      <c r="AK755" s="13">
        <f t="shared" si="178"/>
        <v>0</v>
      </c>
      <c r="AM755" s="32">
        <v>736</v>
      </c>
      <c r="AN755" s="32">
        <v>62</v>
      </c>
      <c r="AO755" s="32">
        <v>4</v>
      </c>
      <c r="AP755" s="13"/>
      <c r="AQ755" s="32"/>
      <c r="AR755" s="13">
        <f t="shared" si="179"/>
        <v>0</v>
      </c>
      <c r="AS755" s="33"/>
      <c r="AT755" s="13">
        <f t="shared" si="173"/>
        <v>0</v>
      </c>
      <c r="AU755" s="13">
        <f>ROUNDUP(($AR755+$AT755)*VLOOKUP($AN755,Paraméterek!$P$38:$Q$38,2)/12,IF($D$4="Forint",0,2))</f>
        <v>0</v>
      </c>
      <c r="AV755" s="13"/>
      <c r="AW755" s="13"/>
      <c r="AX755" s="13">
        <f>ROUNDUP(IF(SUM($AV755:$AW755)=0,0,IF(IF(ISBLANK($AW755),$AV755,$AW755)*Paraméterek!$J$112&lt;IF($D$4="Forint",Paraméterek!$J$113,Paraméterek!$K$113),IF($D$4="Forint",Paraméterek!$J$113,Paraméterek!$K$113),IF(IF(ISBLANK($AW755),$AV755,$AW755)*Paraméterek!$J$112&gt;IF($D$4="Forint",Paraméterek!$J$114,Paraméterek!$K$114),IF($D$4="Forint",Paraméterek!$J$114,Paraméterek!$K$114),IF(ISBLANK($AW755),$AV755,$AW755)*Paraméterek!$J$112))),IF($D$4="Forint",0,2))</f>
        <v>0</v>
      </c>
      <c r="AY755" s="13">
        <f>$AR755+$AT755-$AU755-IF(ROUNDDOWN(IF(ISBLANK($AW755),$AV755,$AW755),IF($D$4="Forint",0,2))&gt;$AR755+$AT755-$AU755-IF($D$4="Forint",Paraméterek!$J$114,Paraméterek!$K$114),0,ROUNDDOWN(IF(ISBLANK($AW755),$AV755,$AW755),IF($D$4="Forint",0,2))-$AX755)</f>
        <v>0</v>
      </c>
      <c r="AZ755" s="13">
        <f t="shared" si="174"/>
        <v>0</v>
      </c>
    </row>
    <row r="756" spans="1:52" x14ac:dyDescent="0.2">
      <c r="A756" s="32">
        <v>737</v>
      </c>
      <c r="B756" s="32">
        <v>62</v>
      </c>
      <c r="C756" s="32">
        <v>5</v>
      </c>
      <c r="D756" s="13">
        <f t="shared" si="165"/>
        <v>0</v>
      </c>
      <c r="E756" s="13"/>
      <c r="F756" s="13"/>
      <c r="G756" s="13"/>
      <c r="H756" s="13">
        <f t="shared" si="166"/>
        <v>0</v>
      </c>
      <c r="I756" s="13">
        <f t="shared" si="167"/>
        <v>0</v>
      </c>
      <c r="J756" s="13">
        <f t="shared" si="168"/>
        <v>0</v>
      </c>
      <c r="K756" s="13">
        <f>ROUNDUP(IF($D$2="Egyszeri",$D756,IF($D$2="Havi",SUM($D$20:$D$31),IF(MOD($C756,$M$1)-1=0,SUM($D$20:$D$31),0))/12*$M$1)*VLOOKUP($B756,Paraméterek!$B$27:$D$30,IF($D$2="Egyszeri",3,2)),IF($D$4="Forint",0,2))</f>
        <v>0</v>
      </c>
      <c r="L756" s="13">
        <f t="shared" si="169"/>
        <v>0</v>
      </c>
      <c r="M756" s="13">
        <f t="shared" ca="1" si="175"/>
        <v>-677507</v>
      </c>
      <c r="N756" s="13">
        <f ca="1">IF($V755&gt;=VLOOKUP($M$4-1+$B756,Paraméterek!$B$121:$D$122,IF($D$4="Forint",2,3)),0,VLOOKUP($M$4-1+$B756,Paraméterek!$B$121:$D$122,IF($D$4="Forint",2,3))-$V755)</f>
        <v>687507</v>
      </c>
      <c r="O756" s="13">
        <f ca="1">ROUNDUP($N756*Paraméterek!$C$58/Paraméterek!$C$56,IF($D$4="Forint",0,2))</f>
        <v>110</v>
      </c>
      <c r="P756" s="13">
        <f t="shared" si="170"/>
        <v>3338</v>
      </c>
      <c r="Q756" s="33"/>
      <c r="R756" s="13">
        <f t="shared" ca="1" si="171"/>
        <v>0</v>
      </c>
      <c r="S756" s="13">
        <f ca="1">ROUNDUP(($M756-$O756-$P756+$R756)*VLOOKUP($B756,Paraméterek!$B$38:$D$39,IF($D$2="Egyszeri",3,2))/12,IF($D$4="Forint",0,2))</f>
        <v>-1663</v>
      </c>
      <c r="T756" s="13"/>
      <c r="U756" s="13"/>
      <c r="V756" s="13">
        <f ca="1">$M756-$O756-$P756+$R756-$S756-IF(ROUNDUP(IF(ISBLANK($U756),$T756,$U756)/IF(AND($B756=1,$D$2&lt;&gt;"Egyszeri"),1,VLOOKUP($B756+IF($C756=12,1,0),Paraméterek!$B$257:$D$267,IF($D$2="Egyszeri",3,2))),IF($D$4="Forint",0,2))&gt;$M756-$O756-$P756+$R756-$S756-IF($D$4="Forint",Paraméterek!$C$216,Paraméterek!$D$216),0,ROUNDUP(IF(ISBLANK($U756),$T756,$U756)/IF(AND($B756=1,$D$2&lt;&gt;"Egyszeri"),1,VLOOKUP($B756+IF($C756=12,1,0),Paraméterek!$B$257:$D$267,IF($D$2="Egyszeri",3,2))),IF($D$4="Forint",0,2)))</f>
        <v>-679292</v>
      </c>
      <c r="W756" s="13">
        <f ca="1">ROUNDDOWN($V756*VLOOKUP($B756+IF($C756=12,1,0),Paraméterek!$B$257:$D$267,IF($D$2="Egyszeri",3,2)),IF($D$4="Forint",0,2))</f>
        <v>-679292</v>
      </c>
      <c r="Y756" s="32">
        <v>737</v>
      </c>
      <c r="Z756" s="32">
        <v>62</v>
      </c>
      <c r="AA756" s="32">
        <v>5</v>
      </c>
      <c r="AB756" s="13">
        <f t="shared" si="176"/>
        <v>0</v>
      </c>
      <c r="AC756" s="33"/>
      <c r="AD756" s="13">
        <f t="shared" si="172"/>
        <v>0</v>
      </c>
      <c r="AE756" s="13">
        <f>ROUNDUP(($AB756+$AD756)*VLOOKUP($Z756,Paraméterek!$P$38:$Q$38,2)/12,IF($D$4="Forint",0,2))</f>
        <v>0</v>
      </c>
      <c r="AF756" s="13">
        <f>IF($D$2="Egyszeri",IF($D$7&gt;=IF($D$4="Forint",Paraméterek!$P$223,Paraméterek!$P$224),$D$7-IF($D$4="Forint",Paraméterek!$F$223,Paraméterek!$F$224),0),MIN(IF($AA756=12,AVERAGE($D$20:$D756)*12,0),SUM($D$20:$D$31)))</f>
        <v>0</v>
      </c>
      <c r="AG756" s="13">
        <f>IF(AND($Z756&gt;=10,MOD($Z756,5)=0),$AF756*IF($AA756=12,VLOOKUP($Z756,Paraméterek!$B$225:$F$240,IF($AF756&lt;IF($D$4="Forint",Paraméterek!$C$223,Paraméterek!$C$224),2,IF($AF756&lt;IF($D$4="Forint",Paraméterek!$D$223,Paraméterek!$D$224),3,4))),0),0)</f>
        <v>0</v>
      </c>
      <c r="AH756" s="13">
        <f>IF(AND($Z756&gt;=5,MOD($Z756,5)=0),IF($AA756=12,VLOOKUP($Z756,Paraméterek!$B$225:$F$240,5),0),IF(OR($Z756=3,$Z756=4),IF($AA756=12,VLOOKUP($Z756,Paraméterek!$B$225:$F$240,5,0),0),0))*$AF756</f>
        <v>0</v>
      </c>
      <c r="AI756" s="13">
        <f>ROUNDDOWN(IF(SUM($T$20:$U756)=0,IF($D$2="Egyszeri",$AH756,$AG756),0),IF($D$4="Forint",0,2))</f>
        <v>0</v>
      </c>
      <c r="AJ756" s="13">
        <f t="shared" si="177"/>
        <v>0</v>
      </c>
      <c r="AK756" s="13">
        <f t="shared" si="178"/>
        <v>0</v>
      </c>
      <c r="AM756" s="32">
        <v>737</v>
      </c>
      <c r="AN756" s="32">
        <v>62</v>
      </c>
      <c r="AO756" s="32">
        <v>5</v>
      </c>
      <c r="AP756" s="13"/>
      <c r="AQ756" s="32"/>
      <c r="AR756" s="13">
        <f t="shared" si="179"/>
        <v>0</v>
      </c>
      <c r="AS756" s="33"/>
      <c r="AT756" s="13">
        <f t="shared" si="173"/>
        <v>0</v>
      </c>
      <c r="AU756" s="13">
        <f>ROUNDUP(($AR756+$AT756)*VLOOKUP($AN756,Paraméterek!$P$38:$Q$38,2)/12,IF($D$4="Forint",0,2))</f>
        <v>0</v>
      </c>
      <c r="AV756" s="13"/>
      <c r="AW756" s="13"/>
      <c r="AX756" s="13">
        <f>ROUNDUP(IF(SUM($AV756:$AW756)=0,0,IF(IF(ISBLANK($AW756),$AV756,$AW756)*Paraméterek!$J$112&lt;IF($D$4="Forint",Paraméterek!$J$113,Paraméterek!$K$113),IF($D$4="Forint",Paraméterek!$J$113,Paraméterek!$K$113),IF(IF(ISBLANK($AW756),$AV756,$AW756)*Paraméterek!$J$112&gt;IF($D$4="Forint",Paraméterek!$J$114,Paraméterek!$K$114),IF($D$4="Forint",Paraméterek!$J$114,Paraméterek!$K$114),IF(ISBLANK($AW756),$AV756,$AW756)*Paraméterek!$J$112))),IF($D$4="Forint",0,2))</f>
        <v>0</v>
      </c>
      <c r="AY756" s="13">
        <f>$AR756+$AT756-$AU756-IF(ROUNDDOWN(IF(ISBLANK($AW756),$AV756,$AW756),IF($D$4="Forint",0,2))&gt;$AR756+$AT756-$AU756-IF($D$4="Forint",Paraméterek!$J$114,Paraméterek!$K$114),0,ROUNDDOWN(IF(ISBLANK($AW756),$AV756,$AW756),IF($D$4="Forint",0,2))-$AX756)</f>
        <v>0</v>
      </c>
      <c r="AZ756" s="13">
        <f t="shared" si="174"/>
        <v>0</v>
      </c>
    </row>
    <row r="757" spans="1:52" x14ac:dyDescent="0.2">
      <c r="A757" s="32">
        <v>738</v>
      </c>
      <c r="B757" s="32">
        <v>62</v>
      </c>
      <c r="C757" s="32">
        <v>6</v>
      </c>
      <c r="D757" s="13">
        <f t="shared" si="165"/>
        <v>0</v>
      </c>
      <c r="E757" s="13"/>
      <c r="F757" s="13"/>
      <c r="G757" s="13"/>
      <c r="H757" s="13">
        <f t="shared" si="166"/>
        <v>0</v>
      </c>
      <c r="I757" s="13">
        <f t="shared" si="167"/>
        <v>0</v>
      </c>
      <c r="J757" s="13">
        <f t="shared" si="168"/>
        <v>0</v>
      </c>
      <c r="K757" s="13">
        <f>ROUNDUP(IF($D$2="Egyszeri",$D757,IF($D$2="Havi",SUM($D$20:$D$31),IF(MOD($C757,$M$1)-1=0,SUM($D$20:$D$31),0))/12*$M$1)*VLOOKUP($B757,Paraméterek!$B$27:$D$30,IF($D$2="Egyszeri",3,2)),IF($D$4="Forint",0,2))</f>
        <v>0</v>
      </c>
      <c r="L757" s="13">
        <f t="shared" si="169"/>
        <v>0</v>
      </c>
      <c r="M757" s="13">
        <f t="shared" ca="1" si="175"/>
        <v>-679292</v>
      </c>
      <c r="N757" s="13">
        <f ca="1">IF($V756&gt;=VLOOKUP($M$4-1+$B757,Paraméterek!$B$121:$D$122,IF($D$4="Forint",2,3)),0,VLOOKUP($M$4-1+$B757,Paraméterek!$B$121:$D$122,IF($D$4="Forint",2,3))-$V756)</f>
        <v>689292</v>
      </c>
      <c r="O757" s="13">
        <f ca="1">ROUNDUP($N757*Paraméterek!$C$58/Paraméterek!$C$56,IF($D$4="Forint",0,2))</f>
        <v>110</v>
      </c>
      <c r="P757" s="13">
        <f t="shared" si="170"/>
        <v>3338</v>
      </c>
      <c r="Q757" s="33"/>
      <c r="R757" s="13">
        <f t="shared" ca="1" si="171"/>
        <v>0</v>
      </c>
      <c r="S757" s="13">
        <f ca="1">ROUNDUP(($M757-$O757-$P757+$R757)*VLOOKUP($B757,Paraméterek!$B$38:$D$39,IF($D$2="Egyszeri",3,2))/12,IF($D$4="Forint",0,2))</f>
        <v>-1668</v>
      </c>
      <c r="T757" s="13"/>
      <c r="U757" s="13"/>
      <c r="V757" s="13">
        <f ca="1">$M757-$O757-$P757+$R757-$S757-IF(ROUNDUP(IF(ISBLANK($U757),$T757,$U757)/IF(AND($B757=1,$D$2&lt;&gt;"Egyszeri"),1,VLOOKUP($B757+IF($C757=12,1,0),Paraméterek!$B$257:$D$267,IF($D$2="Egyszeri",3,2))),IF($D$4="Forint",0,2))&gt;$M757-$O757-$P757+$R757-$S757-IF($D$4="Forint",Paraméterek!$C$216,Paraméterek!$D$216),0,ROUNDUP(IF(ISBLANK($U757),$T757,$U757)/IF(AND($B757=1,$D$2&lt;&gt;"Egyszeri"),1,VLOOKUP($B757+IF($C757=12,1,0),Paraméterek!$B$257:$D$267,IF($D$2="Egyszeri",3,2))),IF($D$4="Forint",0,2)))</f>
        <v>-681072</v>
      </c>
      <c r="W757" s="13">
        <f ca="1">ROUNDDOWN($V757*VLOOKUP($B757+IF($C757=12,1,0),Paraméterek!$B$257:$D$267,IF($D$2="Egyszeri",3,2)),IF($D$4="Forint",0,2))</f>
        <v>-681072</v>
      </c>
      <c r="Y757" s="32">
        <v>738</v>
      </c>
      <c r="Z757" s="32">
        <v>62</v>
      </c>
      <c r="AA757" s="32">
        <v>6</v>
      </c>
      <c r="AB757" s="13">
        <f t="shared" si="176"/>
        <v>0</v>
      </c>
      <c r="AC757" s="33"/>
      <c r="AD757" s="13">
        <f t="shared" si="172"/>
        <v>0</v>
      </c>
      <c r="AE757" s="13">
        <f>ROUNDUP(($AB757+$AD757)*VLOOKUP($Z757,Paraméterek!$P$38:$Q$38,2)/12,IF($D$4="Forint",0,2))</f>
        <v>0</v>
      </c>
      <c r="AF757" s="13">
        <f>IF($D$2="Egyszeri",IF($D$7&gt;=IF($D$4="Forint",Paraméterek!$P$223,Paraméterek!$P$224),$D$7-IF($D$4="Forint",Paraméterek!$F$223,Paraméterek!$F$224),0),MIN(IF($AA757=12,AVERAGE($D$20:$D757)*12,0),SUM($D$20:$D$31)))</f>
        <v>0</v>
      </c>
      <c r="AG757" s="13">
        <f>IF(AND($Z757&gt;=10,MOD($Z757,5)=0),$AF757*IF($AA757=12,VLOOKUP($Z757,Paraméterek!$B$225:$F$240,IF($AF757&lt;IF($D$4="Forint",Paraméterek!$C$223,Paraméterek!$C$224),2,IF($AF757&lt;IF($D$4="Forint",Paraméterek!$D$223,Paraméterek!$D$224),3,4))),0),0)</f>
        <v>0</v>
      </c>
      <c r="AH757" s="13">
        <f>IF(AND($Z757&gt;=5,MOD($Z757,5)=0),IF($AA757=12,VLOOKUP($Z757,Paraméterek!$B$225:$F$240,5),0),IF(OR($Z757=3,$Z757=4),IF($AA757=12,VLOOKUP($Z757,Paraméterek!$B$225:$F$240,5,0),0),0))*$AF757</f>
        <v>0</v>
      </c>
      <c r="AI757" s="13">
        <f>ROUNDDOWN(IF(SUM($T$20:$U757)=0,IF($D$2="Egyszeri",$AH757,$AG757),0),IF($D$4="Forint",0,2))</f>
        <v>0</v>
      </c>
      <c r="AJ757" s="13">
        <f t="shared" si="177"/>
        <v>0</v>
      </c>
      <c r="AK757" s="13">
        <f t="shared" si="178"/>
        <v>0</v>
      </c>
      <c r="AM757" s="32">
        <v>738</v>
      </c>
      <c r="AN757" s="32">
        <v>62</v>
      </c>
      <c r="AO757" s="32">
        <v>6</v>
      </c>
      <c r="AP757" s="13"/>
      <c r="AQ757" s="32"/>
      <c r="AR757" s="13">
        <f t="shared" si="179"/>
        <v>0</v>
      </c>
      <c r="AS757" s="33"/>
      <c r="AT757" s="13">
        <f t="shared" si="173"/>
        <v>0</v>
      </c>
      <c r="AU757" s="13">
        <f>ROUNDUP(($AR757+$AT757)*VLOOKUP($AN757,Paraméterek!$P$38:$Q$38,2)/12,IF($D$4="Forint",0,2))</f>
        <v>0</v>
      </c>
      <c r="AV757" s="13"/>
      <c r="AW757" s="13"/>
      <c r="AX757" s="13">
        <f>ROUNDUP(IF(SUM($AV757:$AW757)=0,0,IF(IF(ISBLANK($AW757),$AV757,$AW757)*Paraméterek!$J$112&lt;IF($D$4="Forint",Paraméterek!$J$113,Paraméterek!$K$113),IF($D$4="Forint",Paraméterek!$J$113,Paraméterek!$K$113),IF(IF(ISBLANK($AW757),$AV757,$AW757)*Paraméterek!$J$112&gt;IF($D$4="Forint",Paraméterek!$J$114,Paraméterek!$K$114),IF($D$4="Forint",Paraméterek!$J$114,Paraméterek!$K$114),IF(ISBLANK($AW757),$AV757,$AW757)*Paraméterek!$J$112))),IF($D$4="Forint",0,2))</f>
        <v>0</v>
      </c>
      <c r="AY757" s="13">
        <f>$AR757+$AT757-$AU757-IF(ROUNDDOWN(IF(ISBLANK($AW757),$AV757,$AW757),IF($D$4="Forint",0,2))&gt;$AR757+$AT757-$AU757-IF($D$4="Forint",Paraméterek!$J$114,Paraméterek!$K$114),0,ROUNDDOWN(IF(ISBLANK($AW757),$AV757,$AW757),IF($D$4="Forint",0,2))-$AX757)</f>
        <v>0</v>
      </c>
      <c r="AZ757" s="13">
        <f t="shared" si="174"/>
        <v>0</v>
      </c>
    </row>
    <row r="758" spans="1:52" x14ac:dyDescent="0.2">
      <c r="A758" s="32">
        <v>739</v>
      </c>
      <c r="B758" s="32">
        <v>62</v>
      </c>
      <c r="C758" s="32">
        <v>7</v>
      </c>
      <c r="D758" s="13">
        <f t="shared" si="165"/>
        <v>0</v>
      </c>
      <c r="E758" s="13"/>
      <c r="F758" s="13"/>
      <c r="G758" s="13"/>
      <c r="H758" s="13">
        <f t="shared" si="166"/>
        <v>0</v>
      </c>
      <c r="I758" s="13">
        <f t="shared" si="167"/>
        <v>0</v>
      </c>
      <c r="J758" s="13">
        <f t="shared" si="168"/>
        <v>0</v>
      </c>
      <c r="K758" s="13">
        <f>ROUNDUP(IF($D$2="Egyszeri",$D758,IF($D$2="Havi",SUM($D$20:$D$31),IF(MOD($C758,$M$1)-1=0,SUM($D$20:$D$31),0))/12*$M$1)*VLOOKUP($B758,Paraméterek!$B$27:$D$30,IF($D$2="Egyszeri",3,2)),IF($D$4="Forint",0,2))</f>
        <v>0</v>
      </c>
      <c r="L758" s="13">
        <f t="shared" si="169"/>
        <v>0</v>
      </c>
      <c r="M758" s="13">
        <f t="shared" ca="1" si="175"/>
        <v>-681072</v>
      </c>
      <c r="N758" s="13">
        <f ca="1">IF($V757&gt;=VLOOKUP($M$4-1+$B758,Paraméterek!$B$121:$D$122,IF($D$4="Forint",2,3)),0,VLOOKUP($M$4-1+$B758,Paraméterek!$B$121:$D$122,IF($D$4="Forint",2,3))-$V757)</f>
        <v>691072</v>
      </c>
      <c r="O758" s="13">
        <f ca="1">ROUNDUP($N758*Paraméterek!$C$58/Paraméterek!$C$56,IF($D$4="Forint",0,2))</f>
        <v>110</v>
      </c>
      <c r="P758" s="13">
        <f t="shared" si="170"/>
        <v>3338</v>
      </c>
      <c r="Q758" s="33"/>
      <c r="R758" s="13">
        <f t="shared" ca="1" si="171"/>
        <v>0</v>
      </c>
      <c r="S758" s="13">
        <f ca="1">ROUNDUP(($M758-$O758-$P758+$R758)*VLOOKUP($B758,Paraméterek!$B$38:$D$39,IF($D$2="Egyszeri",3,2))/12,IF($D$4="Forint",0,2))</f>
        <v>-1672</v>
      </c>
      <c r="T758" s="13"/>
      <c r="U758" s="13"/>
      <c r="V758" s="13">
        <f ca="1">$M758-$O758-$P758+$R758-$S758-IF(ROUNDUP(IF(ISBLANK($U758),$T758,$U758)/IF(AND($B758=1,$D$2&lt;&gt;"Egyszeri"),1,VLOOKUP($B758+IF($C758=12,1,0),Paraméterek!$B$257:$D$267,IF($D$2="Egyszeri",3,2))),IF($D$4="Forint",0,2))&gt;$M758-$O758-$P758+$R758-$S758-IF($D$4="Forint",Paraméterek!$C$216,Paraméterek!$D$216),0,ROUNDUP(IF(ISBLANK($U758),$T758,$U758)/IF(AND($B758=1,$D$2&lt;&gt;"Egyszeri"),1,VLOOKUP($B758+IF($C758=12,1,0),Paraméterek!$B$257:$D$267,IF($D$2="Egyszeri",3,2))),IF($D$4="Forint",0,2)))</f>
        <v>-682848</v>
      </c>
      <c r="W758" s="13">
        <f ca="1">ROUNDDOWN($V758*VLOOKUP($B758+IF($C758=12,1,0),Paraméterek!$B$257:$D$267,IF($D$2="Egyszeri",3,2)),IF($D$4="Forint",0,2))</f>
        <v>-682848</v>
      </c>
      <c r="Y758" s="32">
        <v>739</v>
      </c>
      <c r="Z758" s="32">
        <v>62</v>
      </c>
      <c r="AA758" s="32">
        <v>7</v>
      </c>
      <c r="AB758" s="13">
        <f t="shared" si="176"/>
        <v>0</v>
      </c>
      <c r="AC758" s="33"/>
      <c r="AD758" s="13">
        <f t="shared" si="172"/>
        <v>0</v>
      </c>
      <c r="AE758" s="13">
        <f>ROUNDUP(($AB758+$AD758)*VLOOKUP($Z758,Paraméterek!$P$38:$Q$38,2)/12,IF($D$4="Forint",0,2))</f>
        <v>0</v>
      </c>
      <c r="AF758" s="13">
        <f>IF($D$2="Egyszeri",IF($D$7&gt;=IF($D$4="Forint",Paraméterek!$P$223,Paraméterek!$P$224),$D$7-IF($D$4="Forint",Paraméterek!$F$223,Paraméterek!$F$224),0),MIN(IF($AA758=12,AVERAGE($D$20:$D758)*12,0),SUM($D$20:$D$31)))</f>
        <v>0</v>
      </c>
      <c r="AG758" s="13">
        <f>IF(AND($Z758&gt;=10,MOD($Z758,5)=0),$AF758*IF($AA758=12,VLOOKUP($Z758,Paraméterek!$B$225:$F$240,IF($AF758&lt;IF($D$4="Forint",Paraméterek!$C$223,Paraméterek!$C$224),2,IF($AF758&lt;IF($D$4="Forint",Paraméterek!$D$223,Paraméterek!$D$224),3,4))),0),0)</f>
        <v>0</v>
      </c>
      <c r="AH758" s="13">
        <f>IF(AND($Z758&gt;=5,MOD($Z758,5)=0),IF($AA758=12,VLOOKUP($Z758,Paraméterek!$B$225:$F$240,5),0),IF(OR($Z758=3,$Z758=4),IF($AA758=12,VLOOKUP($Z758,Paraméterek!$B$225:$F$240,5,0),0),0))*$AF758</f>
        <v>0</v>
      </c>
      <c r="AI758" s="13">
        <f>ROUNDDOWN(IF(SUM($T$20:$U758)=0,IF($D$2="Egyszeri",$AH758,$AG758),0),IF($D$4="Forint",0,2))</f>
        <v>0</v>
      </c>
      <c r="AJ758" s="13">
        <f t="shared" si="177"/>
        <v>0</v>
      </c>
      <c r="AK758" s="13">
        <f t="shared" si="178"/>
        <v>0</v>
      </c>
      <c r="AM758" s="32">
        <v>739</v>
      </c>
      <c r="AN758" s="32">
        <v>62</v>
      </c>
      <c r="AO758" s="32">
        <v>7</v>
      </c>
      <c r="AP758" s="13"/>
      <c r="AQ758" s="32"/>
      <c r="AR758" s="13">
        <f t="shared" si="179"/>
        <v>0</v>
      </c>
      <c r="AS758" s="33"/>
      <c r="AT758" s="13">
        <f t="shared" si="173"/>
        <v>0</v>
      </c>
      <c r="AU758" s="13">
        <f>ROUNDUP(($AR758+$AT758)*VLOOKUP($AN758,Paraméterek!$P$38:$Q$38,2)/12,IF($D$4="Forint",0,2))</f>
        <v>0</v>
      </c>
      <c r="AV758" s="13"/>
      <c r="AW758" s="13"/>
      <c r="AX758" s="13">
        <f>ROUNDUP(IF(SUM($AV758:$AW758)=0,0,IF(IF(ISBLANK($AW758),$AV758,$AW758)*Paraméterek!$J$112&lt;IF($D$4="Forint",Paraméterek!$J$113,Paraméterek!$K$113),IF($D$4="Forint",Paraméterek!$J$113,Paraméterek!$K$113),IF(IF(ISBLANK($AW758),$AV758,$AW758)*Paraméterek!$J$112&gt;IF($D$4="Forint",Paraméterek!$J$114,Paraméterek!$K$114),IF($D$4="Forint",Paraméterek!$J$114,Paraméterek!$K$114),IF(ISBLANK($AW758),$AV758,$AW758)*Paraméterek!$J$112))),IF($D$4="Forint",0,2))</f>
        <v>0</v>
      </c>
      <c r="AY758" s="13">
        <f>$AR758+$AT758-$AU758-IF(ROUNDDOWN(IF(ISBLANK($AW758),$AV758,$AW758),IF($D$4="Forint",0,2))&gt;$AR758+$AT758-$AU758-IF($D$4="Forint",Paraméterek!$J$114,Paraméterek!$K$114),0,ROUNDDOWN(IF(ISBLANK($AW758),$AV758,$AW758),IF($D$4="Forint",0,2))-$AX758)</f>
        <v>0</v>
      </c>
      <c r="AZ758" s="13">
        <f t="shared" si="174"/>
        <v>0</v>
      </c>
    </row>
    <row r="759" spans="1:52" x14ac:dyDescent="0.2">
      <c r="A759" s="32">
        <v>740</v>
      </c>
      <c r="B759" s="32">
        <v>62</v>
      </c>
      <c r="C759" s="32">
        <v>8</v>
      </c>
      <c r="D759" s="13">
        <f t="shared" si="165"/>
        <v>0</v>
      </c>
      <c r="E759" s="13"/>
      <c r="F759" s="13"/>
      <c r="G759" s="13"/>
      <c r="H759" s="13">
        <f t="shared" si="166"/>
        <v>0</v>
      </c>
      <c r="I759" s="13">
        <f t="shared" si="167"/>
        <v>0</v>
      </c>
      <c r="J759" s="13">
        <f t="shared" si="168"/>
        <v>0</v>
      </c>
      <c r="K759" s="13">
        <f>ROUNDUP(IF($D$2="Egyszeri",$D759,IF($D$2="Havi",SUM($D$20:$D$31),IF(MOD($C759,$M$1)-1=0,SUM($D$20:$D$31),0))/12*$M$1)*VLOOKUP($B759,Paraméterek!$B$27:$D$30,IF($D$2="Egyszeri",3,2)),IF($D$4="Forint",0,2))</f>
        <v>0</v>
      </c>
      <c r="L759" s="13">
        <f t="shared" si="169"/>
        <v>0</v>
      </c>
      <c r="M759" s="13">
        <f t="shared" ca="1" si="175"/>
        <v>-682848</v>
      </c>
      <c r="N759" s="13">
        <f ca="1">IF($V758&gt;=VLOOKUP($M$4-1+$B759,Paraméterek!$B$121:$D$122,IF($D$4="Forint",2,3)),0,VLOOKUP($M$4-1+$B759,Paraméterek!$B$121:$D$122,IF($D$4="Forint",2,3))-$V758)</f>
        <v>692848</v>
      </c>
      <c r="O759" s="13">
        <f ca="1">ROUNDUP($N759*Paraméterek!$C$58/Paraméterek!$C$56,IF($D$4="Forint",0,2))</f>
        <v>111</v>
      </c>
      <c r="P759" s="13">
        <f t="shared" si="170"/>
        <v>3338</v>
      </c>
      <c r="Q759" s="33"/>
      <c r="R759" s="13">
        <f t="shared" ca="1" si="171"/>
        <v>0</v>
      </c>
      <c r="S759" s="13">
        <f ca="1">ROUNDUP(($M759-$O759-$P759+$R759)*VLOOKUP($B759,Paraméterek!$B$38:$D$39,IF($D$2="Egyszeri",3,2))/12,IF($D$4="Forint",0,2))</f>
        <v>-1676</v>
      </c>
      <c r="T759" s="13"/>
      <c r="U759" s="13"/>
      <c r="V759" s="13">
        <f ca="1">$M759-$O759-$P759+$R759-$S759-IF(ROUNDUP(IF(ISBLANK($U759),$T759,$U759)/IF(AND($B759=1,$D$2&lt;&gt;"Egyszeri"),1,VLOOKUP($B759+IF($C759=12,1,0),Paraméterek!$B$257:$D$267,IF($D$2="Egyszeri",3,2))),IF($D$4="Forint",0,2))&gt;$M759-$O759-$P759+$R759-$S759-IF($D$4="Forint",Paraméterek!$C$216,Paraméterek!$D$216),0,ROUNDUP(IF(ISBLANK($U759),$T759,$U759)/IF(AND($B759=1,$D$2&lt;&gt;"Egyszeri"),1,VLOOKUP($B759+IF($C759=12,1,0),Paraméterek!$B$257:$D$267,IF($D$2="Egyszeri",3,2))),IF($D$4="Forint",0,2)))</f>
        <v>-684621</v>
      </c>
      <c r="W759" s="13">
        <f ca="1">ROUNDDOWN($V759*VLOOKUP($B759+IF($C759=12,1,0),Paraméterek!$B$257:$D$267,IF($D$2="Egyszeri",3,2)),IF($D$4="Forint",0,2))</f>
        <v>-684621</v>
      </c>
      <c r="Y759" s="32">
        <v>740</v>
      </c>
      <c r="Z759" s="32">
        <v>62</v>
      </c>
      <c r="AA759" s="32">
        <v>8</v>
      </c>
      <c r="AB759" s="13">
        <f t="shared" si="176"/>
        <v>0</v>
      </c>
      <c r="AC759" s="33"/>
      <c r="AD759" s="13">
        <f t="shared" si="172"/>
        <v>0</v>
      </c>
      <c r="AE759" s="13">
        <f>ROUNDUP(($AB759+$AD759)*VLOOKUP($Z759,Paraméterek!$P$38:$Q$38,2)/12,IF($D$4="Forint",0,2))</f>
        <v>0</v>
      </c>
      <c r="AF759" s="13">
        <f>IF($D$2="Egyszeri",IF($D$7&gt;=IF($D$4="Forint",Paraméterek!$P$223,Paraméterek!$P$224),$D$7-IF($D$4="Forint",Paraméterek!$F$223,Paraméterek!$F$224),0),MIN(IF($AA759=12,AVERAGE($D$20:$D759)*12,0),SUM($D$20:$D$31)))</f>
        <v>0</v>
      </c>
      <c r="AG759" s="13">
        <f>IF(AND($Z759&gt;=10,MOD($Z759,5)=0),$AF759*IF($AA759=12,VLOOKUP($Z759,Paraméterek!$B$225:$F$240,IF($AF759&lt;IF($D$4="Forint",Paraméterek!$C$223,Paraméterek!$C$224),2,IF($AF759&lt;IF($D$4="Forint",Paraméterek!$D$223,Paraméterek!$D$224),3,4))),0),0)</f>
        <v>0</v>
      </c>
      <c r="AH759" s="13">
        <f>IF(AND($Z759&gt;=5,MOD($Z759,5)=0),IF($AA759=12,VLOOKUP($Z759,Paraméterek!$B$225:$F$240,5),0),IF(OR($Z759=3,$Z759=4),IF($AA759=12,VLOOKUP($Z759,Paraméterek!$B$225:$F$240,5,0),0),0))*$AF759</f>
        <v>0</v>
      </c>
      <c r="AI759" s="13">
        <f>ROUNDDOWN(IF(SUM($T$20:$U759)=0,IF($D$2="Egyszeri",$AH759,$AG759),0),IF($D$4="Forint",0,2))</f>
        <v>0</v>
      </c>
      <c r="AJ759" s="13">
        <f t="shared" si="177"/>
        <v>0</v>
      </c>
      <c r="AK759" s="13">
        <f t="shared" si="178"/>
        <v>0</v>
      </c>
      <c r="AM759" s="32">
        <v>740</v>
      </c>
      <c r="AN759" s="32">
        <v>62</v>
      </c>
      <c r="AO759" s="32">
        <v>8</v>
      </c>
      <c r="AP759" s="13"/>
      <c r="AQ759" s="32"/>
      <c r="AR759" s="13">
        <f t="shared" si="179"/>
        <v>0</v>
      </c>
      <c r="AS759" s="33"/>
      <c r="AT759" s="13">
        <f t="shared" si="173"/>
        <v>0</v>
      </c>
      <c r="AU759" s="13">
        <f>ROUNDUP(($AR759+$AT759)*VLOOKUP($AN759,Paraméterek!$P$38:$Q$38,2)/12,IF($D$4="Forint",0,2))</f>
        <v>0</v>
      </c>
      <c r="AV759" s="13"/>
      <c r="AW759" s="13"/>
      <c r="AX759" s="13">
        <f>ROUNDUP(IF(SUM($AV759:$AW759)=0,0,IF(IF(ISBLANK($AW759),$AV759,$AW759)*Paraméterek!$J$112&lt;IF($D$4="Forint",Paraméterek!$J$113,Paraméterek!$K$113),IF($D$4="Forint",Paraméterek!$J$113,Paraméterek!$K$113),IF(IF(ISBLANK($AW759),$AV759,$AW759)*Paraméterek!$J$112&gt;IF($D$4="Forint",Paraméterek!$J$114,Paraméterek!$K$114),IF($D$4="Forint",Paraméterek!$J$114,Paraméterek!$K$114),IF(ISBLANK($AW759),$AV759,$AW759)*Paraméterek!$J$112))),IF($D$4="Forint",0,2))</f>
        <v>0</v>
      </c>
      <c r="AY759" s="13">
        <f>$AR759+$AT759-$AU759-IF(ROUNDDOWN(IF(ISBLANK($AW759),$AV759,$AW759),IF($D$4="Forint",0,2))&gt;$AR759+$AT759-$AU759-IF($D$4="Forint",Paraméterek!$J$114,Paraméterek!$K$114),0,ROUNDDOWN(IF(ISBLANK($AW759),$AV759,$AW759),IF($D$4="Forint",0,2))-$AX759)</f>
        <v>0</v>
      </c>
      <c r="AZ759" s="13">
        <f t="shared" si="174"/>
        <v>0</v>
      </c>
    </row>
    <row r="760" spans="1:52" x14ac:dyDescent="0.2">
      <c r="A760" s="32">
        <v>741</v>
      </c>
      <c r="B760" s="32">
        <v>62</v>
      </c>
      <c r="C760" s="32">
        <v>9</v>
      </c>
      <c r="D760" s="13">
        <f t="shared" si="165"/>
        <v>0</v>
      </c>
      <c r="E760" s="13"/>
      <c r="F760" s="13"/>
      <c r="G760" s="13"/>
      <c r="H760" s="13">
        <f t="shared" si="166"/>
        <v>0</v>
      </c>
      <c r="I760" s="13">
        <f t="shared" si="167"/>
        <v>0</v>
      </c>
      <c r="J760" s="13">
        <f t="shared" si="168"/>
        <v>0</v>
      </c>
      <c r="K760" s="13">
        <f>ROUNDUP(IF($D$2="Egyszeri",$D760,IF($D$2="Havi",SUM($D$20:$D$31),IF(MOD($C760,$M$1)-1=0,SUM($D$20:$D$31),0))/12*$M$1)*VLOOKUP($B760,Paraméterek!$B$27:$D$30,IF($D$2="Egyszeri",3,2)),IF($D$4="Forint",0,2))</f>
        <v>0</v>
      </c>
      <c r="L760" s="13">
        <f t="shared" si="169"/>
        <v>0</v>
      </c>
      <c r="M760" s="13">
        <f t="shared" ca="1" si="175"/>
        <v>-684621</v>
      </c>
      <c r="N760" s="13">
        <f ca="1">IF($V759&gt;=VLOOKUP($M$4-1+$B760,Paraméterek!$B$121:$D$122,IF($D$4="Forint",2,3)),0,VLOOKUP($M$4-1+$B760,Paraméterek!$B$121:$D$122,IF($D$4="Forint",2,3))-$V759)</f>
        <v>694621</v>
      </c>
      <c r="O760" s="13">
        <f ca="1">ROUNDUP($N760*Paraméterek!$C$58/Paraméterek!$C$56,IF($D$4="Forint",0,2))</f>
        <v>111</v>
      </c>
      <c r="P760" s="13">
        <f t="shared" si="170"/>
        <v>3338</v>
      </c>
      <c r="Q760" s="33"/>
      <c r="R760" s="13">
        <f t="shared" ca="1" si="171"/>
        <v>0</v>
      </c>
      <c r="S760" s="13">
        <f ca="1">ROUNDUP(($M760-$O760-$P760+$R760)*VLOOKUP($B760,Paraméterek!$B$38:$D$39,IF($D$2="Egyszeri",3,2))/12,IF($D$4="Forint",0,2))</f>
        <v>-1681</v>
      </c>
      <c r="T760" s="13"/>
      <c r="U760" s="13"/>
      <c r="V760" s="13">
        <f ca="1">$M760-$O760-$P760+$R760-$S760-IF(ROUNDUP(IF(ISBLANK($U760),$T760,$U760)/IF(AND($B760=1,$D$2&lt;&gt;"Egyszeri"),1,VLOOKUP($B760+IF($C760=12,1,0),Paraméterek!$B$257:$D$267,IF($D$2="Egyszeri",3,2))),IF($D$4="Forint",0,2))&gt;$M760-$O760-$P760+$R760-$S760-IF($D$4="Forint",Paraméterek!$C$216,Paraméterek!$D$216),0,ROUNDUP(IF(ISBLANK($U760),$T760,$U760)/IF(AND($B760=1,$D$2&lt;&gt;"Egyszeri"),1,VLOOKUP($B760+IF($C760=12,1,0),Paraméterek!$B$257:$D$267,IF($D$2="Egyszeri",3,2))),IF($D$4="Forint",0,2)))</f>
        <v>-686389</v>
      </c>
      <c r="W760" s="13">
        <f ca="1">ROUNDDOWN($V760*VLOOKUP($B760+IF($C760=12,1,0),Paraméterek!$B$257:$D$267,IF($D$2="Egyszeri",3,2)),IF($D$4="Forint",0,2))</f>
        <v>-686389</v>
      </c>
      <c r="Y760" s="32">
        <v>741</v>
      </c>
      <c r="Z760" s="32">
        <v>62</v>
      </c>
      <c r="AA760" s="32">
        <v>9</v>
      </c>
      <c r="AB760" s="13">
        <f t="shared" si="176"/>
        <v>0</v>
      </c>
      <c r="AC760" s="33"/>
      <c r="AD760" s="13">
        <f t="shared" si="172"/>
        <v>0</v>
      </c>
      <c r="AE760" s="13">
        <f>ROUNDUP(($AB760+$AD760)*VLOOKUP($Z760,Paraméterek!$P$38:$Q$38,2)/12,IF($D$4="Forint",0,2))</f>
        <v>0</v>
      </c>
      <c r="AF760" s="13">
        <f>IF($D$2="Egyszeri",IF($D$7&gt;=IF($D$4="Forint",Paraméterek!$P$223,Paraméterek!$P$224),$D$7-IF($D$4="Forint",Paraméterek!$F$223,Paraméterek!$F$224),0),MIN(IF($AA760=12,AVERAGE($D$20:$D760)*12,0),SUM($D$20:$D$31)))</f>
        <v>0</v>
      </c>
      <c r="AG760" s="13">
        <f>IF(AND($Z760&gt;=10,MOD($Z760,5)=0),$AF760*IF($AA760=12,VLOOKUP($Z760,Paraméterek!$B$225:$F$240,IF($AF760&lt;IF($D$4="Forint",Paraméterek!$C$223,Paraméterek!$C$224),2,IF($AF760&lt;IF($D$4="Forint",Paraméterek!$D$223,Paraméterek!$D$224),3,4))),0),0)</f>
        <v>0</v>
      </c>
      <c r="AH760" s="13">
        <f>IF(AND($Z760&gt;=5,MOD($Z760,5)=0),IF($AA760=12,VLOOKUP($Z760,Paraméterek!$B$225:$F$240,5),0),IF(OR($Z760=3,$Z760=4),IF($AA760=12,VLOOKUP($Z760,Paraméterek!$B$225:$F$240,5,0),0),0))*$AF760</f>
        <v>0</v>
      </c>
      <c r="AI760" s="13">
        <f>ROUNDDOWN(IF(SUM($T$20:$U760)=0,IF($D$2="Egyszeri",$AH760,$AG760),0),IF($D$4="Forint",0,2))</f>
        <v>0</v>
      </c>
      <c r="AJ760" s="13">
        <f t="shared" si="177"/>
        <v>0</v>
      </c>
      <c r="AK760" s="13">
        <f t="shared" si="178"/>
        <v>0</v>
      </c>
      <c r="AM760" s="32">
        <v>741</v>
      </c>
      <c r="AN760" s="32">
        <v>62</v>
      </c>
      <c r="AO760" s="32">
        <v>9</v>
      </c>
      <c r="AP760" s="13"/>
      <c r="AQ760" s="32"/>
      <c r="AR760" s="13">
        <f t="shared" si="179"/>
        <v>0</v>
      </c>
      <c r="AS760" s="33"/>
      <c r="AT760" s="13">
        <f t="shared" si="173"/>
        <v>0</v>
      </c>
      <c r="AU760" s="13">
        <f>ROUNDUP(($AR760+$AT760)*VLOOKUP($AN760,Paraméterek!$P$38:$Q$38,2)/12,IF($D$4="Forint",0,2))</f>
        <v>0</v>
      </c>
      <c r="AV760" s="13"/>
      <c r="AW760" s="13"/>
      <c r="AX760" s="13">
        <f>ROUNDUP(IF(SUM($AV760:$AW760)=0,0,IF(IF(ISBLANK($AW760),$AV760,$AW760)*Paraméterek!$J$112&lt;IF($D$4="Forint",Paraméterek!$J$113,Paraméterek!$K$113),IF($D$4="Forint",Paraméterek!$J$113,Paraméterek!$K$113),IF(IF(ISBLANK($AW760),$AV760,$AW760)*Paraméterek!$J$112&gt;IF($D$4="Forint",Paraméterek!$J$114,Paraméterek!$K$114),IF($D$4="Forint",Paraméterek!$J$114,Paraméterek!$K$114),IF(ISBLANK($AW760),$AV760,$AW760)*Paraméterek!$J$112))),IF($D$4="Forint",0,2))</f>
        <v>0</v>
      </c>
      <c r="AY760" s="13">
        <f>$AR760+$AT760-$AU760-IF(ROUNDDOWN(IF(ISBLANK($AW760),$AV760,$AW760),IF($D$4="Forint",0,2))&gt;$AR760+$AT760-$AU760-IF($D$4="Forint",Paraméterek!$J$114,Paraméterek!$K$114),0,ROUNDDOWN(IF(ISBLANK($AW760),$AV760,$AW760),IF($D$4="Forint",0,2))-$AX760)</f>
        <v>0</v>
      </c>
      <c r="AZ760" s="13">
        <f t="shared" si="174"/>
        <v>0</v>
      </c>
    </row>
    <row r="761" spans="1:52" x14ac:dyDescent="0.2">
      <c r="A761" s="32">
        <v>742</v>
      </c>
      <c r="B761" s="32">
        <v>62</v>
      </c>
      <c r="C761" s="32">
        <v>10</v>
      </c>
      <c r="D761" s="13">
        <f t="shared" si="165"/>
        <v>0</v>
      </c>
      <c r="E761" s="13"/>
      <c r="F761" s="13"/>
      <c r="G761" s="13"/>
      <c r="H761" s="13">
        <f t="shared" si="166"/>
        <v>0</v>
      </c>
      <c r="I761" s="13">
        <f t="shared" si="167"/>
        <v>0</v>
      </c>
      <c r="J761" s="13">
        <f t="shared" si="168"/>
        <v>0</v>
      </c>
      <c r="K761" s="13">
        <f>ROUNDUP(IF($D$2="Egyszeri",$D761,IF($D$2="Havi",SUM($D$20:$D$31),IF(MOD($C761,$M$1)-1=0,SUM($D$20:$D$31),0))/12*$M$1)*VLOOKUP($B761,Paraméterek!$B$27:$D$30,IF($D$2="Egyszeri",3,2)),IF($D$4="Forint",0,2))</f>
        <v>0</v>
      </c>
      <c r="L761" s="13">
        <f t="shared" si="169"/>
        <v>0</v>
      </c>
      <c r="M761" s="13">
        <f t="shared" ca="1" si="175"/>
        <v>-686389</v>
      </c>
      <c r="N761" s="13">
        <f ca="1">IF($V760&gt;=VLOOKUP($M$4-1+$B761,Paraméterek!$B$121:$D$122,IF($D$4="Forint",2,3)),0,VLOOKUP($M$4-1+$B761,Paraméterek!$B$121:$D$122,IF($D$4="Forint",2,3))-$V760)</f>
        <v>696389</v>
      </c>
      <c r="O761" s="13">
        <f ca="1">ROUNDUP($N761*Paraméterek!$C$58/Paraméterek!$C$56,IF($D$4="Forint",0,2))</f>
        <v>111</v>
      </c>
      <c r="P761" s="13">
        <f t="shared" si="170"/>
        <v>3338</v>
      </c>
      <c r="Q761" s="33"/>
      <c r="R761" s="13">
        <f t="shared" ca="1" si="171"/>
        <v>0</v>
      </c>
      <c r="S761" s="13">
        <f ca="1">ROUNDUP(($M761-$O761-$P761+$R761)*VLOOKUP($B761,Paraméterek!$B$38:$D$39,IF($D$2="Egyszeri",3,2))/12,IF($D$4="Forint",0,2))</f>
        <v>-1685</v>
      </c>
      <c r="T761" s="13"/>
      <c r="U761" s="13"/>
      <c r="V761" s="13">
        <f ca="1">$M761-$O761-$P761+$R761-$S761-IF(ROUNDUP(IF(ISBLANK($U761),$T761,$U761)/IF(AND($B761=1,$D$2&lt;&gt;"Egyszeri"),1,VLOOKUP($B761+IF($C761=12,1,0),Paraméterek!$B$257:$D$267,IF($D$2="Egyszeri",3,2))),IF($D$4="Forint",0,2))&gt;$M761-$O761-$P761+$R761-$S761-IF($D$4="Forint",Paraméterek!$C$216,Paraméterek!$D$216),0,ROUNDUP(IF(ISBLANK($U761),$T761,$U761)/IF(AND($B761=1,$D$2&lt;&gt;"Egyszeri"),1,VLOOKUP($B761+IF($C761=12,1,0),Paraméterek!$B$257:$D$267,IF($D$2="Egyszeri",3,2))),IF($D$4="Forint",0,2)))</f>
        <v>-688153</v>
      </c>
      <c r="W761" s="13">
        <f ca="1">ROUNDDOWN($V761*VLOOKUP($B761+IF($C761=12,1,0),Paraméterek!$B$257:$D$267,IF($D$2="Egyszeri",3,2)),IF($D$4="Forint",0,2))</f>
        <v>-688153</v>
      </c>
      <c r="Y761" s="32">
        <v>742</v>
      </c>
      <c r="Z761" s="32">
        <v>62</v>
      </c>
      <c r="AA761" s="32">
        <v>10</v>
      </c>
      <c r="AB761" s="13">
        <f t="shared" si="176"/>
        <v>0</v>
      </c>
      <c r="AC761" s="33"/>
      <c r="AD761" s="13">
        <f t="shared" si="172"/>
        <v>0</v>
      </c>
      <c r="AE761" s="13">
        <f>ROUNDUP(($AB761+$AD761)*VLOOKUP($Z761,Paraméterek!$P$38:$Q$38,2)/12,IF($D$4="Forint",0,2))</f>
        <v>0</v>
      </c>
      <c r="AF761" s="13">
        <f>IF($D$2="Egyszeri",IF($D$7&gt;=IF($D$4="Forint",Paraméterek!$P$223,Paraméterek!$P$224),$D$7-IF($D$4="Forint",Paraméterek!$F$223,Paraméterek!$F$224),0),MIN(IF($AA761=12,AVERAGE($D$20:$D761)*12,0),SUM($D$20:$D$31)))</f>
        <v>0</v>
      </c>
      <c r="AG761" s="13">
        <f>IF(AND($Z761&gt;=10,MOD($Z761,5)=0),$AF761*IF($AA761=12,VLOOKUP($Z761,Paraméterek!$B$225:$F$240,IF($AF761&lt;IF($D$4="Forint",Paraméterek!$C$223,Paraméterek!$C$224),2,IF($AF761&lt;IF($D$4="Forint",Paraméterek!$D$223,Paraméterek!$D$224),3,4))),0),0)</f>
        <v>0</v>
      </c>
      <c r="AH761" s="13">
        <f>IF(AND($Z761&gt;=5,MOD($Z761,5)=0),IF($AA761=12,VLOOKUP($Z761,Paraméterek!$B$225:$F$240,5),0),IF(OR($Z761=3,$Z761=4),IF($AA761=12,VLOOKUP($Z761,Paraméterek!$B$225:$F$240,5,0),0),0))*$AF761</f>
        <v>0</v>
      </c>
      <c r="AI761" s="13">
        <f>ROUNDDOWN(IF(SUM($T$20:$U761)=0,IF($D$2="Egyszeri",$AH761,$AG761),0),IF($D$4="Forint",0,2))</f>
        <v>0</v>
      </c>
      <c r="AJ761" s="13">
        <f t="shared" si="177"/>
        <v>0</v>
      </c>
      <c r="AK761" s="13">
        <f t="shared" si="178"/>
        <v>0</v>
      </c>
      <c r="AM761" s="32">
        <v>742</v>
      </c>
      <c r="AN761" s="32">
        <v>62</v>
      </c>
      <c r="AO761" s="32">
        <v>10</v>
      </c>
      <c r="AP761" s="13"/>
      <c r="AQ761" s="32"/>
      <c r="AR761" s="13">
        <f t="shared" si="179"/>
        <v>0</v>
      </c>
      <c r="AS761" s="33"/>
      <c r="AT761" s="13">
        <f t="shared" si="173"/>
        <v>0</v>
      </c>
      <c r="AU761" s="13">
        <f>ROUNDUP(($AR761+$AT761)*VLOOKUP($AN761,Paraméterek!$P$38:$Q$38,2)/12,IF($D$4="Forint",0,2))</f>
        <v>0</v>
      </c>
      <c r="AV761" s="13"/>
      <c r="AW761" s="13"/>
      <c r="AX761" s="13">
        <f>ROUNDUP(IF(SUM($AV761:$AW761)=0,0,IF(IF(ISBLANK($AW761),$AV761,$AW761)*Paraméterek!$J$112&lt;IF($D$4="Forint",Paraméterek!$J$113,Paraméterek!$K$113),IF($D$4="Forint",Paraméterek!$J$113,Paraméterek!$K$113),IF(IF(ISBLANK($AW761),$AV761,$AW761)*Paraméterek!$J$112&gt;IF($D$4="Forint",Paraméterek!$J$114,Paraméterek!$K$114),IF($D$4="Forint",Paraméterek!$J$114,Paraméterek!$K$114),IF(ISBLANK($AW761),$AV761,$AW761)*Paraméterek!$J$112))),IF($D$4="Forint",0,2))</f>
        <v>0</v>
      </c>
      <c r="AY761" s="13">
        <f>$AR761+$AT761-$AU761-IF(ROUNDDOWN(IF(ISBLANK($AW761),$AV761,$AW761),IF($D$4="Forint",0,2))&gt;$AR761+$AT761-$AU761-IF($D$4="Forint",Paraméterek!$J$114,Paraméterek!$K$114),0,ROUNDDOWN(IF(ISBLANK($AW761),$AV761,$AW761),IF($D$4="Forint",0,2))-$AX761)</f>
        <v>0</v>
      </c>
      <c r="AZ761" s="13">
        <f t="shared" si="174"/>
        <v>0</v>
      </c>
    </row>
    <row r="762" spans="1:52" x14ac:dyDescent="0.2">
      <c r="A762" s="32">
        <v>743</v>
      </c>
      <c r="B762" s="32">
        <v>62</v>
      </c>
      <c r="C762" s="32">
        <v>11</v>
      </c>
      <c r="D762" s="13">
        <f t="shared" si="165"/>
        <v>0</v>
      </c>
      <c r="E762" s="13"/>
      <c r="F762" s="13"/>
      <c r="G762" s="13"/>
      <c r="H762" s="13">
        <f t="shared" si="166"/>
        <v>0</v>
      </c>
      <c r="I762" s="13">
        <f t="shared" si="167"/>
        <v>0</v>
      </c>
      <c r="J762" s="13">
        <f t="shared" si="168"/>
        <v>0</v>
      </c>
      <c r="K762" s="13">
        <f>ROUNDUP(IF($D$2="Egyszeri",$D762,IF($D$2="Havi",SUM($D$20:$D$31),IF(MOD($C762,$M$1)-1=0,SUM($D$20:$D$31),0))/12*$M$1)*VLOOKUP($B762,Paraméterek!$B$27:$D$30,IF($D$2="Egyszeri",3,2)),IF($D$4="Forint",0,2))</f>
        <v>0</v>
      </c>
      <c r="L762" s="13">
        <f t="shared" si="169"/>
        <v>0</v>
      </c>
      <c r="M762" s="13">
        <f t="shared" ca="1" si="175"/>
        <v>-688153</v>
      </c>
      <c r="N762" s="13">
        <f ca="1">IF($V761&gt;=VLOOKUP($M$4-1+$B762,Paraméterek!$B$121:$D$122,IF($D$4="Forint",2,3)),0,VLOOKUP($M$4-1+$B762,Paraméterek!$B$121:$D$122,IF($D$4="Forint",2,3))-$V761)</f>
        <v>698153</v>
      </c>
      <c r="O762" s="13">
        <f ca="1">ROUNDUP($N762*Paraméterek!$C$58/Paraméterek!$C$56,IF($D$4="Forint",0,2))</f>
        <v>112</v>
      </c>
      <c r="P762" s="13">
        <f t="shared" si="170"/>
        <v>3338</v>
      </c>
      <c r="Q762" s="33"/>
      <c r="R762" s="13">
        <f t="shared" ca="1" si="171"/>
        <v>0</v>
      </c>
      <c r="S762" s="13">
        <f ca="1">ROUNDUP(($M762-$O762-$P762+$R762)*VLOOKUP($B762,Paraméterek!$B$38:$D$39,IF($D$2="Egyszeri",3,2))/12,IF($D$4="Forint",0,2))</f>
        <v>-1689</v>
      </c>
      <c r="T762" s="13"/>
      <c r="U762" s="13"/>
      <c r="V762" s="13">
        <f ca="1">$M762-$O762-$P762+$R762-$S762-IF(ROUNDUP(IF(ISBLANK($U762),$T762,$U762)/IF(AND($B762=1,$D$2&lt;&gt;"Egyszeri"),1,VLOOKUP($B762+IF($C762=12,1,0),Paraméterek!$B$257:$D$267,IF($D$2="Egyszeri",3,2))),IF($D$4="Forint",0,2))&gt;$M762-$O762-$P762+$R762-$S762-IF($D$4="Forint",Paraméterek!$C$216,Paraméterek!$D$216),0,ROUNDUP(IF(ISBLANK($U762),$T762,$U762)/IF(AND($B762=1,$D$2&lt;&gt;"Egyszeri"),1,VLOOKUP($B762+IF($C762=12,1,0),Paraméterek!$B$257:$D$267,IF($D$2="Egyszeri",3,2))),IF($D$4="Forint",0,2)))</f>
        <v>-689914</v>
      </c>
      <c r="W762" s="13">
        <f ca="1">ROUNDDOWN($V762*VLOOKUP($B762+IF($C762=12,1,0),Paraméterek!$B$257:$D$267,IF($D$2="Egyszeri",3,2)),IF($D$4="Forint",0,2))</f>
        <v>-689914</v>
      </c>
      <c r="Y762" s="32">
        <v>743</v>
      </c>
      <c r="Z762" s="32">
        <v>62</v>
      </c>
      <c r="AA762" s="32">
        <v>11</v>
      </c>
      <c r="AB762" s="13">
        <f t="shared" si="176"/>
        <v>0</v>
      </c>
      <c r="AC762" s="33"/>
      <c r="AD762" s="13">
        <f t="shared" si="172"/>
        <v>0</v>
      </c>
      <c r="AE762" s="13">
        <f>ROUNDUP(($AB762+$AD762)*VLOOKUP($Z762,Paraméterek!$P$38:$Q$38,2)/12,IF($D$4="Forint",0,2))</f>
        <v>0</v>
      </c>
      <c r="AF762" s="13">
        <f>IF($D$2="Egyszeri",IF($D$7&gt;=IF($D$4="Forint",Paraméterek!$P$223,Paraméterek!$P$224),$D$7-IF($D$4="Forint",Paraméterek!$F$223,Paraméterek!$F$224),0),MIN(IF($AA762=12,AVERAGE($D$20:$D762)*12,0),SUM($D$20:$D$31)))</f>
        <v>0</v>
      </c>
      <c r="AG762" s="13">
        <f>IF(AND($Z762&gt;=10,MOD($Z762,5)=0),$AF762*IF($AA762=12,VLOOKUP($Z762,Paraméterek!$B$225:$F$240,IF($AF762&lt;IF($D$4="Forint",Paraméterek!$C$223,Paraméterek!$C$224),2,IF($AF762&lt;IF($D$4="Forint",Paraméterek!$D$223,Paraméterek!$D$224),3,4))),0),0)</f>
        <v>0</v>
      </c>
      <c r="AH762" s="13">
        <f>IF(AND($Z762&gt;=5,MOD($Z762,5)=0),IF($AA762=12,VLOOKUP($Z762,Paraméterek!$B$225:$F$240,5),0),IF(OR($Z762=3,$Z762=4),IF($AA762=12,VLOOKUP($Z762,Paraméterek!$B$225:$F$240,5,0),0),0))*$AF762</f>
        <v>0</v>
      </c>
      <c r="AI762" s="13">
        <f>ROUNDDOWN(IF(SUM($T$20:$U762)=0,IF($D$2="Egyszeri",$AH762,$AG762),0),IF($D$4="Forint",0,2))</f>
        <v>0</v>
      </c>
      <c r="AJ762" s="13">
        <f t="shared" si="177"/>
        <v>0</v>
      </c>
      <c r="AK762" s="13">
        <f t="shared" si="178"/>
        <v>0</v>
      </c>
      <c r="AM762" s="32">
        <v>743</v>
      </c>
      <c r="AN762" s="32">
        <v>62</v>
      </c>
      <c r="AO762" s="32">
        <v>11</v>
      </c>
      <c r="AP762" s="13"/>
      <c r="AQ762" s="32"/>
      <c r="AR762" s="13">
        <f t="shared" si="179"/>
        <v>0</v>
      </c>
      <c r="AS762" s="33"/>
      <c r="AT762" s="13">
        <f t="shared" si="173"/>
        <v>0</v>
      </c>
      <c r="AU762" s="13">
        <f>ROUNDUP(($AR762+$AT762)*VLOOKUP($AN762,Paraméterek!$P$38:$Q$38,2)/12,IF($D$4="Forint",0,2))</f>
        <v>0</v>
      </c>
      <c r="AV762" s="13"/>
      <c r="AW762" s="13"/>
      <c r="AX762" s="13">
        <f>ROUNDUP(IF(SUM($AV762:$AW762)=0,0,IF(IF(ISBLANK($AW762),$AV762,$AW762)*Paraméterek!$J$112&lt;IF($D$4="Forint",Paraméterek!$J$113,Paraméterek!$K$113),IF($D$4="Forint",Paraméterek!$J$113,Paraméterek!$K$113),IF(IF(ISBLANK($AW762),$AV762,$AW762)*Paraméterek!$J$112&gt;IF($D$4="Forint",Paraméterek!$J$114,Paraméterek!$K$114),IF($D$4="Forint",Paraméterek!$J$114,Paraméterek!$K$114),IF(ISBLANK($AW762),$AV762,$AW762)*Paraméterek!$J$112))),IF($D$4="Forint",0,2))</f>
        <v>0</v>
      </c>
      <c r="AY762" s="13">
        <f>$AR762+$AT762-$AU762-IF(ROUNDDOWN(IF(ISBLANK($AW762),$AV762,$AW762),IF($D$4="Forint",0,2))&gt;$AR762+$AT762-$AU762-IF($D$4="Forint",Paraméterek!$J$114,Paraméterek!$K$114),0,ROUNDDOWN(IF(ISBLANK($AW762),$AV762,$AW762),IF($D$4="Forint",0,2))-$AX762)</f>
        <v>0</v>
      </c>
      <c r="AZ762" s="13">
        <f t="shared" si="174"/>
        <v>0</v>
      </c>
    </row>
    <row r="763" spans="1:52" x14ac:dyDescent="0.2">
      <c r="A763" s="32">
        <v>744</v>
      </c>
      <c r="B763" s="32">
        <v>62</v>
      </c>
      <c r="C763" s="32">
        <v>12</v>
      </c>
      <c r="D763" s="13">
        <f t="shared" si="165"/>
        <v>0</v>
      </c>
      <c r="E763" s="13"/>
      <c r="F763" s="13"/>
      <c r="G763" s="13"/>
      <c r="H763" s="13">
        <f t="shared" si="166"/>
        <v>0</v>
      </c>
      <c r="I763" s="13">
        <f t="shared" si="167"/>
        <v>0</v>
      </c>
      <c r="J763" s="13">
        <f t="shared" si="168"/>
        <v>0</v>
      </c>
      <c r="K763" s="13">
        <f>ROUNDUP(IF($D$2="Egyszeri",$D763,IF($D$2="Havi",SUM($D$20:$D$31),IF(MOD($C763,$M$1)-1=0,SUM($D$20:$D$31),0))/12*$M$1)*VLOOKUP($B763,Paraméterek!$B$27:$D$30,IF($D$2="Egyszeri",3,2)),IF($D$4="Forint",0,2))</f>
        <v>0</v>
      </c>
      <c r="L763" s="13">
        <f t="shared" si="169"/>
        <v>0</v>
      </c>
      <c r="M763" s="13">
        <f t="shared" ca="1" si="175"/>
        <v>-689914</v>
      </c>
      <c r="N763" s="13">
        <f ca="1">IF($V762&gt;=VLOOKUP($M$4-1+$B763,Paraméterek!$B$121:$D$122,IF($D$4="Forint",2,3)),0,VLOOKUP($M$4-1+$B763,Paraméterek!$B$121:$D$122,IF($D$4="Forint",2,3))-$V762)</f>
        <v>699914</v>
      </c>
      <c r="O763" s="13">
        <f ca="1">ROUNDUP($N763*Paraméterek!$C$58/Paraméterek!$C$56,IF($D$4="Forint",0,2))</f>
        <v>112</v>
      </c>
      <c r="P763" s="13">
        <f t="shared" si="170"/>
        <v>3338</v>
      </c>
      <c r="Q763" s="33"/>
      <c r="R763" s="13">
        <f t="shared" ca="1" si="171"/>
        <v>0</v>
      </c>
      <c r="S763" s="13">
        <f ca="1">ROUNDUP(($M763-$O763-$P763+$R763)*VLOOKUP($B763,Paraméterek!$B$38:$D$39,IF($D$2="Egyszeri",3,2))/12,IF($D$4="Forint",0,2))</f>
        <v>-1693</v>
      </c>
      <c r="T763" s="13">
        <f>Tranzakciók!$F$93</f>
        <v>0</v>
      </c>
      <c r="U763" s="13"/>
      <c r="V763" s="13">
        <f ca="1">$M763-$O763-$P763+$R763-$S763-IF(ROUNDUP(IF(ISBLANK($U763),$T763,$U763)/IF(AND($B763=1,$D$2&lt;&gt;"Egyszeri"),1,VLOOKUP($B763+IF($C763=12,1,0),Paraméterek!$B$257:$D$267,IF($D$2="Egyszeri",3,2))),IF($D$4="Forint",0,2))&gt;$M763-$O763-$P763+$R763-$S763-IF($D$4="Forint",Paraméterek!$C$216,Paraméterek!$D$216),0,ROUNDUP(IF(ISBLANK($U763),$T763,$U763)/IF(AND($B763=1,$D$2&lt;&gt;"Egyszeri"),1,VLOOKUP($B763+IF($C763=12,1,0),Paraméterek!$B$257:$D$267,IF($D$2="Egyszeri",3,2))),IF($D$4="Forint",0,2)))</f>
        <v>-691671</v>
      </c>
      <c r="W763" s="13">
        <f ca="1">ROUNDDOWN($V763*VLOOKUP($B763+IF($C763=12,1,0),Paraméterek!$B$257:$D$267,IF($D$2="Egyszeri",3,2)),IF($D$4="Forint",0,2))</f>
        <v>-691671</v>
      </c>
      <c r="Y763" s="32">
        <v>744</v>
      </c>
      <c r="Z763" s="32">
        <v>62</v>
      </c>
      <c r="AA763" s="32">
        <v>12</v>
      </c>
      <c r="AB763" s="13">
        <f t="shared" si="176"/>
        <v>0</v>
      </c>
      <c r="AC763" s="33"/>
      <c r="AD763" s="13">
        <f t="shared" si="172"/>
        <v>0</v>
      </c>
      <c r="AE763" s="13">
        <f>ROUNDUP(($AB763+$AD763)*VLOOKUP($Z763,Paraméterek!$P$38:$Q$38,2)/12,IF($D$4="Forint",0,2))</f>
        <v>0</v>
      </c>
      <c r="AF763" s="13">
        <f>IF($D$2="Egyszeri",IF($D$7&gt;=IF($D$4="Forint",Paraméterek!$P$223,Paraméterek!$P$224),$D$7-IF($D$4="Forint",Paraméterek!$F$223,Paraméterek!$F$224),0),MIN(IF($AA763=12,AVERAGE($D$20:$D763)*12,0),SUM($D$20:$D$31)))</f>
        <v>0</v>
      </c>
      <c r="AG763" s="13">
        <f>IF(AND($Z763&gt;=10,MOD($Z763,5)=0),$AF763*IF($AA763=12,VLOOKUP($Z763,Paraméterek!$B$225:$F$240,IF($AF763&lt;IF($D$4="Forint",Paraméterek!$C$223,Paraméterek!$C$224),2,IF($AF763&lt;IF($D$4="Forint",Paraméterek!$D$223,Paraméterek!$D$224),3,4))),0),0)</f>
        <v>0</v>
      </c>
      <c r="AH763" s="13">
        <f>IF(AND($Z763&gt;=5,MOD($Z763,5)=0),IF($AA763=12,VLOOKUP($Z763,Paraméterek!$B$225:$F$240,5),0),IF(OR($Z763=3,$Z763=4),IF($AA763=12,VLOOKUP($Z763,Paraméterek!$B$225:$F$240,5,0),0),0))*$AF763</f>
        <v>0</v>
      </c>
      <c r="AI763" s="13">
        <f>ROUNDDOWN(IF(SUM($T$20:$U763)=0,IF($D$2="Egyszeri",$AH763,$AG763),0),IF($D$4="Forint",0,2))</f>
        <v>0</v>
      </c>
      <c r="AJ763" s="13">
        <f t="shared" si="177"/>
        <v>0</v>
      </c>
      <c r="AK763" s="13">
        <f t="shared" si="178"/>
        <v>0</v>
      </c>
      <c r="AM763" s="32">
        <v>744</v>
      </c>
      <c r="AN763" s="32">
        <v>62</v>
      </c>
      <c r="AO763" s="32">
        <v>12</v>
      </c>
      <c r="AP763" s="13"/>
      <c r="AQ763" s="32"/>
      <c r="AR763" s="13">
        <f t="shared" si="179"/>
        <v>0</v>
      </c>
      <c r="AS763" s="33"/>
      <c r="AT763" s="13">
        <f t="shared" si="173"/>
        <v>0</v>
      </c>
      <c r="AU763" s="13">
        <f>ROUNDUP(($AR763+$AT763)*VLOOKUP($AN763,Paraméterek!$P$38:$Q$38,2)/12,IF($D$4="Forint",0,2))</f>
        <v>0</v>
      </c>
      <c r="AV763" s="13">
        <f>Tranzakciók!$M$93</f>
        <v>0</v>
      </c>
      <c r="AW763" s="13"/>
      <c r="AX763" s="13">
        <f>ROUNDUP(IF(SUM($AV763:$AW763)=0,0,IF(IF(ISBLANK($AW763),$AV763,$AW763)*Paraméterek!$J$112&lt;IF($D$4="Forint",Paraméterek!$J$113,Paraméterek!$K$113),IF($D$4="Forint",Paraméterek!$J$113,Paraméterek!$K$113),IF(IF(ISBLANK($AW763),$AV763,$AW763)*Paraméterek!$J$112&gt;IF($D$4="Forint",Paraméterek!$J$114,Paraméterek!$K$114),IF($D$4="Forint",Paraméterek!$J$114,Paraméterek!$K$114),IF(ISBLANK($AW763),$AV763,$AW763)*Paraméterek!$J$112))),IF($D$4="Forint",0,2))</f>
        <v>0</v>
      </c>
      <c r="AY763" s="13">
        <f>$AR763+$AT763-$AU763-IF(ROUNDDOWN(IF(ISBLANK($AW763),$AV763,$AW763),IF($D$4="Forint",0,2))&gt;$AR763+$AT763-$AU763-IF($D$4="Forint",Paraméterek!$J$114,Paraméterek!$K$114),0,ROUNDDOWN(IF(ISBLANK($AW763),$AV763,$AW763),IF($D$4="Forint",0,2))-$AX763)</f>
        <v>0</v>
      </c>
      <c r="AZ763" s="13">
        <f t="shared" si="174"/>
        <v>0</v>
      </c>
    </row>
    <row r="764" spans="1:52" x14ac:dyDescent="0.2">
      <c r="A764" s="32">
        <v>745</v>
      </c>
      <c r="B764" s="32">
        <v>63</v>
      </c>
      <c r="C764" s="32">
        <v>1</v>
      </c>
      <c r="D764" s="13">
        <f t="shared" si="165"/>
        <v>0</v>
      </c>
      <c r="E764" s="13"/>
      <c r="F764" s="13">
        <f>Tranzakciók!$D$94</f>
        <v>0</v>
      </c>
      <c r="G764" s="13"/>
      <c r="H764" s="13">
        <f t="shared" si="166"/>
        <v>0</v>
      </c>
      <c r="I764" s="13">
        <f t="shared" si="167"/>
        <v>626</v>
      </c>
      <c r="J764" s="13">
        <f t="shared" si="168"/>
        <v>626</v>
      </c>
      <c r="K764" s="13">
        <f>ROUNDUP(IF($D$2="Egyszeri",$D764,IF($D$2="Havi",SUM($D$20:$D$31),IF(MOD($C764,$M$1)-1=0,SUM($D$20:$D$31),0))/12*$M$1)*VLOOKUP($B764,Paraméterek!$B$27:$D$30,IF($D$2="Egyszeri",3,2)),IF($D$4="Forint",0,2))</f>
        <v>0</v>
      </c>
      <c r="L764" s="13">
        <f t="shared" si="169"/>
        <v>0</v>
      </c>
      <c r="M764" s="13">
        <f t="shared" ca="1" si="175"/>
        <v>-691671</v>
      </c>
      <c r="N764" s="13">
        <f ca="1">IF($V763&gt;=VLOOKUP($M$4-1+$B764,Paraméterek!$B$121:$D$122,IF($D$4="Forint",2,3)),0,VLOOKUP($M$4-1+$B764,Paraméterek!$B$121:$D$122,IF($D$4="Forint",2,3))-$V763)</f>
        <v>701671</v>
      </c>
      <c r="O764" s="13">
        <f ca="1">ROUNDUP($N764*Paraméterek!$C$58/Paraméterek!$C$56,IF($D$4="Forint",0,2))</f>
        <v>112</v>
      </c>
      <c r="P764" s="13">
        <f t="shared" si="170"/>
        <v>3438</v>
      </c>
      <c r="Q764" s="33"/>
      <c r="R764" s="13">
        <f t="shared" ca="1" si="171"/>
        <v>0</v>
      </c>
      <c r="S764" s="13">
        <f ca="1">ROUNDUP(($M764-$O764-$P764+$R764)*VLOOKUP($B764,Paraméterek!$B$38:$D$39,IF($D$2="Egyszeri",3,2))/12,IF($D$4="Forint",0,2))</f>
        <v>-1698</v>
      </c>
      <c r="T764" s="13"/>
      <c r="U764" s="13"/>
      <c r="V764" s="13">
        <f ca="1">$M764-$O764-$P764+$R764-$S764-IF(ROUNDUP(IF(ISBLANK($U764),$T764,$U764)/IF(AND($B764=1,$D$2&lt;&gt;"Egyszeri"),1,VLOOKUP($B764+IF($C764=12,1,0),Paraméterek!$B$257:$D$267,IF($D$2="Egyszeri",3,2))),IF($D$4="Forint",0,2))&gt;$M764-$O764-$P764+$R764-$S764-IF($D$4="Forint",Paraméterek!$C$216,Paraméterek!$D$216),0,ROUNDUP(IF(ISBLANK($U764),$T764,$U764)/IF(AND($B764=1,$D$2&lt;&gt;"Egyszeri"),1,VLOOKUP($B764+IF($C764=12,1,0),Paraméterek!$B$257:$D$267,IF($D$2="Egyszeri",3,2))),IF($D$4="Forint",0,2)))</f>
        <v>-693523</v>
      </c>
      <c r="W764" s="13">
        <f ca="1">ROUNDDOWN($V764*VLOOKUP($B764+IF($C764=12,1,0),Paraméterek!$B$257:$D$267,IF($D$2="Egyszeri",3,2)),IF($D$4="Forint",0,2))</f>
        <v>-693523</v>
      </c>
      <c r="Y764" s="32">
        <v>745</v>
      </c>
      <c r="Z764" s="32">
        <v>63</v>
      </c>
      <c r="AA764" s="32">
        <v>1</v>
      </c>
      <c r="AB764" s="13">
        <f t="shared" si="176"/>
        <v>0</v>
      </c>
      <c r="AC764" s="33"/>
      <c r="AD764" s="13">
        <f t="shared" si="172"/>
        <v>0</v>
      </c>
      <c r="AE764" s="13">
        <f>ROUNDUP(($AB764+$AD764)*VLOOKUP($Z764,Paraméterek!$P$38:$Q$38,2)/12,IF($D$4="Forint",0,2))</f>
        <v>0</v>
      </c>
      <c r="AF764" s="13">
        <f>IF($D$2="Egyszeri",IF($D$7&gt;=IF($D$4="Forint",Paraméterek!$P$223,Paraméterek!$P$224),$D$7-IF($D$4="Forint",Paraméterek!$F$223,Paraméterek!$F$224),0),MIN(IF($AA764=12,AVERAGE($D$20:$D764)*12,0),SUM($D$20:$D$31)))</f>
        <v>0</v>
      </c>
      <c r="AG764" s="13">
        <f>IF(AND($Z764&gt;=10,MOD($Z764,5)=0),$AF764*IF($AA764=12,VLOOKUP($Z764,Paraméterek!$B$225:$F$240,IF($AF764&lt;IF($D$4="Forint",Paraméterek!$C$223,Paraméterek!$C$224),2,IF($AF764&lt;IF($D$4="Forint",Paraméterek!$D$223,Paraméterek!$D$224),3,4))),0),0)</f>
        <v>0</v>
      </c>
      <c r="AH764" s="13">
        <f>IF(AND($Z764&gt;=5,MOD($Z764,5)=0),IF($AA764=12,VLOOKUP($Z764,Paraméterek!$B$225:$F$240,5),0),IF(OR($Z764=3,$Z764=4),IF($AA764=12,VLOOKUP($Z764,Paraméterek!$B$225:$F$240,5,0),0),0))*$AF764</f>
        <v>0</v>
      </c>
      <c r="AI764" s="13">
        <f>ROUNDDOWN(IF(SUM($T$20:$U764)=0,IF($D$2="Egyszeri",$AH764,$AG764),0),IF($D$4="Forint",0,2))</f>
        <v>0</v>
      </c>
      <c r="AJ764" s="13">
        <f t="shared" si="177"/>
        <v>0</v>
      </c>
      <c r="AK764" s="13">
        <f t="shared" si="178"/>
        <v>0</v>
      </c>
      <c r="AM764" s="32">
        <v>745</v>
      </c>
      <c r="AN764" s="32">
        <v>63</v>
      </c>
      <c r="AO764" s="32">
        <v>1</v>
      </c>
      <c r="AP764" s="13">
        <f>Tranzakciók!$K$94</f>
        <v>0</v>
      </c>
      <c r="AQ764" s="32"/>
      <c r="AR764" s="13">
        <f t="shared" si="179"/>
        <v>0</v>
      </c>
      <c r="AS764" s="33"/>
      <c r="AT764" s="13">
        <f t="shared" si="173"/>
        <v>0</v>
      </c>
      <c r="AU764" s="13">
        <f>ROUNDUP(($AR764+$AT764)*VLOOKUP($AN764,Paraméterek!$P$38:$Q$38,2)/12,IF($D$4="Forint",0,2))</f>
        <v>0</v>
      </c>
      <c r="AV764" s="13"/>
      <c r="AW764" s="13"/>
      <c r="AX764" s="13">
        <f>ROUNDUP(IF(SUM($AV764:$AW764)=0,0,IF(IF(ISBLANK($AW764),$AV764,$AW764)*Paraméterek!$J$112&lt;IF($D$4="Forint",Paraméterek!$J$113,Paraméterek!$K$113),IF($D$4="Forint",Paraméterek!$J$113,Paraméterek!$K$113),IF(IF(ISBLANK($AW764),$AV764,$AW764)*Paraméterek!$J$112&gt;IF($D$4="Forint",Paraméterek!$J$114,Paraméterek!$K$114),IF($D$4="Forint",Paraméterek!$J$114,Paraméterek!$K$114),IF(ISBLANK($AW764),$AV764,$AW764)*Paraméterek!$J$112))),IF($D$4="Forint",0,2))</f>
        <v>0</v>
      </c>
      <c r="AY764" s="13">
        <f>$AR764+$AT764-$AU764-IF(ROUNDDOWN(IF(ISBLANK($AW764),$AV764,$AW764),IF($D$4="Forint",0,2))&gt;$AR764+$AT764-$AU764-IF($D$4="Forint",Paraméterek!$J$114,Paraméterek!$K$114),0,ROUNDDOWN(IF(ISBLANK($AW764),$AV764,$AW764),IF($D$4="Forint",0,2))-$AX764)</f>
        <v>0</v>
      </c>
      <c r="AZ764" s="13">
        <f t="shared" si="174"/>
        <v>0</v>
      </c>
    </row>
    <row r="765" spans="1:52" x14ac:dyDescent="0.2">
      <c r="A765" s="32">
        <v>746</v>
      </c>
      <c r="B765" s="32">
        <v>63</v>
      </c>
      <c r="C765" s="32">
        <v>2</v>
      </c>
      <c r="D765" s="13">
        <f t="shared" si="165"/>
        <v>0</v>
      </c>
      <c r="E765" s="13"/>
      <c r="F765" s="13"/>
      <c r="G765" s="13"/>
      <c r="H765" s="13">
        <f t="shared" si="166"/>
        <v>0</v>
      </c>
      <c r="I765" s="13">
        <f t="shared" si="167"/>
        <v>0</v>
      </c>
      <c r="J765" s="13">
        <f t="shared" si="168"/>
        <v>0</v>
      </c>
      <c r="K765" s="13">
        <f>ROUNDUP(IF($D$2="Egyszeri",$D765,IF($D$2="Havi",SUM($D$20:$D$31),IF(MOD($C765,$M$1)-1=0,SUM($D$20:$D$31),0))/12*$M$1)*VLOOKUP($B765,Paraméterek!$B$27:$D$30,IF($D$2="Egyszeri",3,2)),IF($D$4="Forint",0,2))</f>
        <v>0</v>
      </c>
      <c r="L765" s="13">
        <f t="shared" si="169"/>
        <v>0</v>
      </c>
      <c r="M765" s="13">
        <f t="shared" ca="1" si="175"/>
        <v>-693523</v>
      </c>
      <c r="N765" s="13">
        <f ca="1">IF($V764&gt;=VLOOKUP($M$4-1+$B765,Paraméterek!$B$121:$D$122,IF($D$4="Forint",2,3)),0,VLOOKUP($M$4-1+$B765,Paraméterek!$B$121:$D$122,IF($D$4="Forint",2,3))-$V764)</f>
        <v>703523</v>
      </c>
      <c r="O765" s="13">
        <f ca="1">ROUNDUP($N765*Paraméterek!$C$58/Paraméterek!$C$56,IF($D$4="Forint",0,2))</f>
        <v>112</v>
      </c>
      <c r="P765" s="13">
        <f t="shared" si="170"/>
        <v>3438</v>
      </c>
      <c r="Q765" s="33"/>
      <c r="R765" s="13">
        <f t="shared" ca="1" si="171"/>
        <v>0</v>
      </c>
      <c r="S765" s="13">
        <f ca="1">ROUNDUP(($M765-$O765-$P765+$R765)*VLOOKUP($B765,Paraméterek!$B$38:$D$39,IF($D$2="Egyszeri",3,2))/12,IF($D$4="Forint",0,2))</f>
        <v>-1703</v>
      </c>
      <c r="T765" s="13"/>
      <c r="U765" s="13"/>
      <c r="V765" s="13">
        <f ca="1">$M765-$O765-$P765+$R765-$S765-IF(ROUNDUP(IF(ISBLANK($U765),$T765,$U765)/IF(AND($B765=1,$D$2&lt;&gt;"Egyszeri"),1,VLOOKUP($B765+IF($C765=12,1,0),Paraméterek!$B$257:$D$267,IF($D$2="Egyszeri",3,2))),IF($D$4="Forint",0,2))&gt;$M765-$O765-$P765+$R765-$S765-IF($D$4="Forint",Paraméterek!$C$216,Paraméterek!$D$216),0,ROUNDUP(IF(ISBLANK($U765),$T765,$U765)/IF(AND($B765=1,$D$2&lt;&gt;"Egyszeri"),1,VLOOKUP($B765+IF($C765=12,1,0),Paraméterek!$B$257:$D$267,IF($D$2="Egyszeri",3,2))),IF($D$4="Forint",0,2)))</f>
        <v>-695370</v>
      </c>
      <c r="W765" s="13">
        <f ca="1">ROUNDDOWN($V765*VLOOKUP($B765+IF($C765=12,1,0),Paraméterek!$B$257:$D$267,IF($D$2="Egyszeri",3,2)),IF($D$4="Forint",0,2))</f>
        <v>-695370</v>
      </c>
      <c r="Y765" s="32">
        <v>746</v>
      </c>
      <c r="Z765" s="32">
        <v>63</v>
      </c>
      <c r="AA765" s="32">
        <v>2</v>
      </c>
      <c r="AB765" s="13">
        <f t="shared" si="176"/>
        <v>0</v>
      </c>
      <c r="AC765" s="33"/>
      <c r="AD765" s="13">
        <f t="shared" si="172"/>
        <v>0</v>
      </c>
      <c r="AE765" s="13">
        <f>ROUNDUP(($AB765+$AD765)*VLOOKUP($Z765,Paraméterek!$P$38:$Q$38,2)/12,IF($D$4="Forint",0,2))</f>
        <v>0</v>
      </c>
      <c r="AF765" s="13">
        <f>IF($D$2="Egyszeri",IF($D$7&gt;=IF($D$4="Forint",Paraméterek!$P$223,Paraméterek!$P$224),$D$7-IF($D$4="Forint",Paraméterek!$F$223,Paraméterek!$F$224),0),MIN(IF($AA765=12,AVERAGE($D$20:$D765)*12,0),SUM($D$20:$D$31)))</f>
        <v>0</v>
      </c>
      <c r="AG765" s="13">
        <f>IF(AND($Z765&gt;=10,MOD($Z765,5)=0),$AF765*IF($AA765=12,VLOOKUP($Z765,Paraméterek!$B$225:$F$240,IF($AF765&lt;IF($D$4="Forint",Paraméterek!$C$223,Paraméterek!$C$224),2,IF($AF765&lt;IF($D$4="Forint",Paraméterek!$D$223,Paraméterek!$D$224),3,4))),0),0)</f>
        <v>0</v>
      </c>
      <c r="AH765" s="13">
        <f>IF(AND($Z765&gt;=5,MOD($Z765,5)=0),IF($AA765=12,VLOOKUP($Z765,Paraméterek!$B$225:$F$240,5),0),IF(OR($Z765=3,$Z765=4),IF($AA765=12,VLOOKUP($Z765,Paraméterek!$B$225:$F$240,5,0),0),0))*$AF765</f>
        <v>0</v>
      </c>
      <c r="AI765" s="13">
        <f>ROUNDDOWN(IF(SUM($T$20:$U765)=0,IF($D$2="Egyszeri",$AH765,$AG765),0),IF($D$4="Forint",0,2))</f>
        <v>0</v>
      </c>
      <c r="AJ765" s="13">
        <f t="shared" si="177"/>
        <v>0</v>
      </c>
      <c r="AK765" s="13">
        <f t="shared" si="178"/>
        <v>0</v>
      </c>
      <c r="AM765" s="32">
        <v>746</v>
      </c>
      <c r="AN765" s="32">
        <v>63</v>
      </c>
      <c r="AO765" s="32">
        <v>2</v>
      </c>
      <c r="AP765" s="13"/>
      <c r="AQ765" s="32"/>
      <c r="AR765" s="13">
        <f t="shared" si="179"/>
        <v>0</v>
      </c>
      <c r="AS765" s="33"/>
      <c r="AT765" s="13">
        <f t="shared" si="173"/>
        <v>0</v>
      </c>
      <c r="AU765" s="13">
        <f>ROUNDUP(($AR765+$AT765)*VLOOKUP($AN765,Paraméterek!$P$38:$Q$38,2)/12,IF($D$4="Forint",0,2))</f>
        <v>0</v>
      </c>
      <c r="AV765" s="13"/>
      <c r="AW765" s="13"/>
      <c r="AX765" s="13">
        <f>ROUNDUP(IF(SUM($AV765:$AW765)=0,0,IF(IF(ISBLANK($AW765),$AV765,$AW765)*Paraméterek!$J$112&lt;IF($D$4="Forint",Paraméterek!$J$113,Paraméterek!$K$113),IF($D$4="Forint",Paraméterek!$J$113,Paraméterek!$K$113),IF(IF(ISBLANK($AW765),$AV765,$AW765)*Paraméterek!$J$112&gt;IF($D$4="Forint",Paraméterek!$J$114,Paraméterek!$K$114),IF($D$4="Forint",Paraméterek!$J$114,Paraméterek!$K$114),IF(ISBLANK($AW765),$AV765,$AW765)*Paraméterek!$J$112))),IF($D$4="Forint",0,2))</f>
        <v>0</v>
      </c>
      <c r="AY765" s="13">
        <f>$AR765+$AT765-$AU765-IF(ROUNDDOWN(IF(ISBLANK($AW765),$AV765,$AW765),IF($D$4="Forint",0,2))&gt;$AR765+$AT765-$AU765-IF($D$4="Forint",Paraméterek!$J$114,Paraméterek!$K$114),0,ROUNDDOWN(IF(ISBLANK($AW765),$AV765,$AW765),IF($D$4="Forint",0,2))-$AX765)</f>
        <v>0</v>
      </c>
      <c r="AZ765" s="13">
        <f t="shared" si="174"/>
        <v>0</v>
      </c>
    </row>
    <row r="766" spans="1:52" x14ac:dyDescent="0.2">
      <c r="A766" s="32">
        <v>747</v>
      </c>
      <c r="B766" s="32">
        <v>63</v>
      </c>
      <c r="C766" s="32">
        <v>3</v>
      </c>
      <c r="D766" s="13">
        <f t="shared" si="165"/>
        <v>0</v>
      </c>
      <c r="E766" s="13"/>
      <c r="F766" s="13"/>
      <c r="G766" s="13"/>
      <c r="H766" s="13">
        <f t="shared" si="166"/>
        <v>0</v>
      </c>
      <c r="I766" s="13">
        <f t="shared" si="167"/>
        <v>0</v>
      </c>
      <c r="J766" s="13">
        <f t="shared" si="168"/>
        <v>0</v>
      </c>
      <c r="K766" s="13">
        <f>ROUNDUP(IF($D$2="Egyszeri",$D766,IF($D$2="Havi",SUM($D$20:$D$31),IF(MOD($C766,$M$1)-1=0,SUM($D$20:$D$31),0))/12*$M$1)*VLOOKUP($B766,Paraméterek!$B$27:$D$30,IF($D$2="Egyszeri",3,2)),IF($D$4="Forint",0,2))</f>
        <v>0</v>
      </c>
      <c r="L766" s="13">
        <f t="shared" si="169"/>
        <v>0</v>
      </c>
      <c r="M766" s="13">
        <f t="shared" ca="1" si="175"/>
        <v>-695370</v>
      </c>
      <c r="N766" s="13">
        <f ca="1">IF($V765&gt;=VLOOKUP($M$4-1+$B766,Paraméterek!$B$121:$D$122,IF($D$4="Forint",2,3)),0,VLOOKUP($M$4-1+$B766,Paraméterek!$B$121:$D$122,IF($D$4="Forint",2,3))-$V765)</f>
        <v>705370</v>
      </c>
      <c r="O766" s="13">
        <f ca="1">ROUNDUP($N766*Paraméterek!$C$58/Paraméterek!$C$56,IF($D$4="Forint",0,2))</f>
        <v>113</v>
      </c>
      <c r="P766" s="13">
        <f t="shared" si="170"/>
        <v>3438</v>
      </c>
      <c r="Q766" s="33"/>
      <c r="R766" s="13">
        <f t="shared" ca="1" si="171"/>
        <v>0</v>
      </c>
      <c r="S766" s="13">
        <f ca="1">ROUNDUP(($M766-$O766-$P766+$R766)*VLOOKUP($B766,Paraméterek!$B$38:$D$39,IF($D$2="Egyszeri",3,2))/12,IF($D$4="Forint",0,2))</f>
        <v>-1707</v>
      </c>
      <c r="T766" s="13"/>
      <c r="U766" s="13"/>
      <c r="V766" s="13">
        <f ca="1">$M766-$O766-$P766+$R766-$S766-IF(ROUNDUP(IF(ISBLANK($U766),$T766,$U766)/IF(AND($B766=1,$D$2&lt;&gt;"Egyszeri"),1,VLOOKUP($B766+IF($C766=12,1,0),Paraméterek!$B$257:$D$267,IF($D$2="Egyszeri",3,2))),IF($D$4="Forint",0,2))&gt;$M766-$O766-$P766+$R766-$S766-IF($D$4="Forint",Paraméterek!$C$216,Paraméterek!$D$216),0,ROUNDUP(IF(ISBLANK($U766),$T766,$U766)/IF(AND($B766=1,$D$2&lt;&gt;"Egyszeri"),1,VLOOKUP($B766+IF($C766=12,1,0),Paraméterek!$B$257:$D$267,IF($D$2="Egyszeri",3,2))),IF($D$4="Forint",0,2)))</f>
        <v>-697214</v>
      </c>
      <c r="W766" s="13">
        <f ca="1">ROUNDDOWN($V766*VLOOKUP($B766+IF($C766=12,1,0),Paraméterek!$B$257:$D$267,IF($D$2="Egyszeri",3,2)),IF($D$4="Forint",0,2))</f>
        <v>-697214</v>
      </c>
      <c r="Y766" s="32">
        <v>747</v>
      </c>
      <c r="Z766" s="32">
        <v>63</v>
      </c>
      <c r="AA766" s="32">
        <v>3</v>
      </c>
      <c r="AB766" s="13">
        <f t="shared" si="176"/>
        <v>0</v>
      </c>
      <c r="AC766" s="33"/>
      <c r="AD766" s="13">
        <f t="shared" si="172"/>
        <v>0</v>
      </c>
      <c r="AE766" s="13">
        <f>ROUNDUP(($AB766+$AD766)*VLOOKUP($Z766,Paraméterek!$P$38:$Q$38,2)/12,IF($D$4="Forint",0,2))</f>
        <v>0</v>
      </c>
      <c r="AF766" s="13">
        <f>IF($D$2="Egyszeri",IF($D$7&gt;=IF($D$4="Forint",Paraméterek!$P$223,Paraméterek!$P$224),$D$7-IF($D$4="Forint",Paraméterek!$F$223,Paraméterek!$F$224),0),MIN(IF($AA766=12,AVERAGE($D$20:$D766)*12,0),SUM($D$20:$D$31)))</f>
        <v>0</v>
      </c>
      <c r="AG766" s="13">
        <f>IF(AND($Z766&gt;=10,MOD($Z766,5)=0),$AF766*IF($AA766=12,VLOOKUP($Z766,Paraméterek!$B$225:$F$240,IF($AF766&lt;IF($D$4="Forint",Paraméterek!$C$223,Paraméterek!$C$224),2,IF($AF766&lt;IF($D$4="Forint",Paraméterek!$D$223,Paraméterek!$D$224),3,4))),0),0)</f>
        <v>0</v>
      </c>
      <c r="AH766" s="13">
        <f>IF(AND($Z766&gt;=5,MOD($Z766,5)=0),IF($AA766=12,VLOOKUP($Z766,Paraméterek!$B$225:$F$240,5),0),IF(OR($Z766=3,$Z766=4),IF($AA766=12,VLOOKUP($Z766,Paraméterek!$B$225:$F$240,5,0),0),0))*$AF766</f>
        <v>0</v>
      </c>
      <c r="AI766" s="13">
        <f>ROUNDDOWN(IF(SUM($T$20:$U766)=0,IF($D$2="Egyszeri",$AH766,$AG766),0),IF($D$4="Forint",0,2))</f>
        <v>0</v>
      </c>
      <c r="AJ766" s="13">
        <f t="shared" si="177"/>
        <v>0</v>
      </c>
      <c r="AK766" s="13">
        <f t="shared" si="178"/>
        <v>0</v>
      </c>
      <c r="AM766" s="32">
        <v>747</v>
      </c>
      <c r="AN766" s="32">
        <v>63</v>
      </c>
      <c r="AO766" s="32">
        <v>3</v>
      </c>
      <c r="AP766" s="13"/>
      <c r="AQ766" s="32"/>
      <c r="AR766" s="13">
        <f t="shared" si="179"/>
        <v>0</v>
      </c>
      <c r="AS766" s="33"/>
      <c r="AT766" s="13">
        <f t="shared" si="173"/>
        <v>0</v>
      </c>
      <c r="AU766" s="13">
        <f>ROUNDUP(($AR766+$AT766)*VLOOKUP($AN766,Paraméterek!$P$38:$Q$38,2)/12,IF($D$4="Forint",0,2))</f>
        <v>0</v>
      </c>
      <c r="AV766" s="13"/>
      <c r="AW766" s="13"/>
      <c r="AX766" s="13">
        <f>ROUNDUP(IF(SUM($AV766:$AW766)=0,0,IF(IF(ISBLANK($AW766),$AV766,$AW766)*Paraméterek!$J$112&lt;IF($D$4="Forint",Paraméterek!$J$113,Paraméterek!$K$113),IF($D$4="Forint",Paraméterek!$J$113,Paraméterek!$K$113),IF(IF(ISBLANK($AW766),$AV766,$AW766)*Paraméterek!$J$112&gt;IF($D$4="Forint",Paraméterek!$J$114,Paraméterek!$K$114),IF($D$4="Forint",Paraméterek!$J$114,Paraméterek!$K$114),IF(ISBLANK($AW766),$AV766,$AW766)*Paraméterek!$J$112))),IF($D$4="Forint",0,2))</f>
        <v>0</v>
      </c>
      <c r="AY766" s="13">
        <f>$AR766+$AT766-$AU766-IF(ROUNDDOWN(IF(ISBLANK($AW766),$AV766,$AW766),IF($D$4="Forint",0,2))&gt;$AR766+$AT766-$AU766-IF($D$4="Forint",Paraméterek!$J$114,Paraméterek!$K$114),0,ROUNDDOWN(IF(ISBLANK($AW766),$AV766,$AW766),IF($D$4="Forint",0,2))-$AX766)</f>
        <v>0</v>
      </c>
      <c r="AZ766" s="13">
        <f t="shared" si="174"/>
        <v>0</v>
      </c>
    </row>
    <row r="767" spans="1:52" x14ac:dyDescent="0.2">
      <c r="A767" s="32">
        <v>748</v>
      </c>
      <c r="B767" s="32">
        <v>63</v>
      </c>
      <c r="C767" s="32">
        <v>4</v>
      </c>
      <c r="D767" s="13">
        <f t="shared" si="165"/>
        <v>0</v>
      </c>
      <c r="E767" s="13"/>
      <c r="F767" s="13"/>
      <c r="G767" s="13"/>
      <c r="H767" s="13">
        <f t="shared" si="166"/>
        <v>0</v>
      </c>
      <c r="I767" s="13">
        <f t="shared" si="167"/>
        <v>0</v>
      </c>
      <c r="J767" s="13">
        <f t="shared" si="168"/>
        <v>0</v>
      </c>
      <c r="K767" s="13">
        <f>ROUNDUP(IF($D$2="Egyszeri",$D767,IF($D$2="Havi",SUM($D$20:$D$31),IF(MOD($C767,$M$1)-1=0,SUM($D$20:$D$31),0))/12*$M$1)*VLOOKUP($B767,Paraméterek!$B$27:$D$30,IF($D$2="Egyszeri",3,2)),IF($D$4="Forint",0,2))</f>
        <v>0</v>
      </c>
      <c r="L767" s="13">
        <f t="shared" si="169"/>
        <v>0</v>
      </c>
      <c r="M767" s="13">
        <f t="shared" ca="1" si="175"/>
        <v>-697214</v>
      </c>
      <c r="N767" s="13">
        <f ca="1">IF($V766&gt;=VLOOKUP($M$4-1+$B767,Paraméterek!$B$121:$D$122,IF($D$4="Forint",2,3)),0,VLOOKUP($M$4-1+$B767,Paraméterek!$B$121:$D$122,IF($D$4="Forint",2,3))-$V766)</f>
        <v>707214</v>
      </c>
      <c r="O767" s="13">
        <f ca="1">ROUNDUP($N767*Paraméterek!$C$58/Paraméterek!$C$56,IF($D$4="Forint",0,2))</f>
        <v>113</v>
      </c>
      <c r="P767" s="13">
        <f t="shared" si="170"/>
        <v>3438</v>
      </c>
      <c r="Q767" s="33"/>
      <c r="R767" s="13">
        <f t="shared" ca="1" si="171"/>
        <v>0</v>
      </c>
      <c r="S767" s="13">
        <f ca="1">ROUNDUP(($M767-$O767-$P767+$R767)*VLOOKUP($B767,Paraméterek!$B$38:$D$39,IF($D$2="Egyszeri",3,2))/12,IF($D$4="Forint",0,2))</f>
        <v>-1712</v>
      </c>
      <c r="T767" s="13"/>
      <c r="U767" s="13"/>
      <c r="V767" s="13">
        <f ca="1">$M767-$O767-$P767+$R767-$S767-IF(ROUNDUP(IF(ISBLANK($U767),$T767,$U767)/IF(AND($B767=1,$D$2&lt;&gt;"Egyszeri"),1,VLOOKUP($B767+IF($C767=12,1,0),Paraméterek!$B$257:$D$267,IF($D$2="Egyszeri",3,2))),IF($D$4="Forint",0,2))&gt;$M767-$O767-$P767+$R767-$S767-IF($D$4="Forint",Paraméterek!$C$216,Paraméterek!$D$216),0,ROUNDUP(IF(ISBLANK($U767),$T767,$U767)/IF(AND($B767=1,$D$2&lt;&gt;"Egyszeri"),1,VLOOKUP($B767+IF($C767=12,1,0),Paraméterek!$B$257:$D$267,IF($D$2="Egyszeri",3,2))),IF($D$4="Forint",0,2)))</f>
        <v>-699053</v>
      </c>
      <c r="W767" s="13">
        <f ca="1">ROUNDDOWN($V767*VLOOKUP($B767+IF($C767=12,1,0),Paraméterek!$B$257:$D$267,IF($D$2="Egyszeri",3,2)),IF($D$4="Forint",0,2))</f>
        <v>-699053</v>
      </c>
      <c r="Y767" s="32">
        <v>748</v>
      </c>
      <c r="Z767" s="32">
        <v>63</v>
      </c>
      <c r="AA767" s="32">
        <v>4</v>
      </c>
      <c r="AB767" s="13">
        <f t="shared" si="176"/>
        <v>0</v>
      </c>
      <c r="AC767" s="33"/>
      <c r="AD767" s="13">
        <f t="shared" si="172"/>
        <v>0</v>
      </c>
      <c r="AE767" s="13">
        <f>ROUNDUP(($AB767+$AD767)*VLOOKUP($Z767,Paraméterek!$P$38:$Q$38,2)/12,IF($D$4="Forint",0,2))</f>
        <v>0</v>
      </c>
      <c r="AF767" s="13">
        <f>IF($D$2="Egyszeri",IF($D$7&gt;=IF($D$4="Forint",Paraméterek!$P$223,Paraméterek!$P$224),$D$7-IF($D$4="Forint",Paraméterek!$F$223,Paraméterek!$F$224),0),MIN(IF($AA767=12,AVERAGE($D$20:$D767)*12,0),SUM($D$20:$D$31)))</f>
        <v>0</v>
      </c>
      <c r="AG767" s="13">
        <f>IF(AND($Z767&gt;=10,MOD($Z767,5)=0),$AF767*IF($AA767=12,VLOOKUP($Z767,Paraméterek!$B$225:$F$240,IF($AF767&lt;IF($D$4="Forint",Paraméterek!$C$223,Paraméterek!$C$224),2,IF($AF767&lt;IF($D$4="Forint",Paraméterek!$D$223,Paraméterek!$D$224),3,4))),0),0)</f>
        <v>0</v>
      </c>
      <c r="AH767" s="13">
        <f>IF(AND($Z767&gt;=5,MOD($Z767,5)=0),IF($AA767=12,VLOOKUP($Z767,Paraméterek!$B$225:$F$240,5),0),IF(OR($Z767=3,$Z767=4),IF($AA767=12,VLOOKUP($Z767,Paraméterek!$B$225:$F$240,5,0),0),0))*$AF767</f>
        <v>0</v>
      </c>
      <c r="AI767" s="13">
        <f>ROUNDDOWN(IF(SUM($T$20:$U767)=0,IF($D$2="Egyszeri",$AH767,$AG767),0),IF($D$4="Forint",0,2))</f>
        <v>0</v>
      </c>
      <c r="AJ767" s="13">
        <f t="shared" si="177"/>
        <v>0</v>
      </c>
      <c r="AK767" s="13">
        <f t="shared" si="178"/>
        <v>0</v>
      </c>
      <c r="AM767" s="32">
        <v>748</v>
      </c>
      <c r="AN767" s="32">
        <v>63</v>
      </c>
      <c r="AO767" s="32">
        <v>4</v>
      </c>
      <c r="AP767" s="13"/>
      <c r="AQ767" s="32"/>
      <c r="AR767" s="13">
        <f t="shared" si="179"/>
        <v>0</v>
      </c>
      <c r="AS767" s="33"/>
      <c r="AT767" s="13">
        <f t="shared" si="173"/>
        <v>0</v>
      </c>
      <c r="AU767" s="13">
        <f>ROUNDUP(($AR767+$AT767)*VLOOKUP($AN767,Paraméterek!$P$38:$Q$38,2)/12,IF($D$4="Forint",0,2))</f>
        <v>0</v>
      </c>
      <c r="AV767" s="13"/>
      <c r="AW767" s="13"/>
      <c r="AX767" s="13">
        <f>ROUNDUP(IF(SUM($AV767:$AW767)=0,0,IF(IF(ISBLANK($AW767),$AV767,$AW767)*Paraméterek!$J$112&lt;IF($D$4="Forint",Paraméterek!$J$113,Paraméterek!$K$113),IF($D$4="Forint",Paraméterek!$J$113,Paraméterek!$K$113),IF(IF(ISBLANK($AW767),$AV767,$AW767)*Paraméterek!$J$112&gt;IF($D$4="Forint",Paraméterek!$J$114,Paraméterek!$K$114),IF($D$4="Forint",Paraméterek!$J$114,Paraméterek!$K$114),IF(ISBLANK($AW767),$AV767,$AW767)*Paraméterek!$J$112))),IF($D$4="Forint",0,2))</f>
        <v>0</v>
      </c>
      <c r="AY767" s="13">
        <f>$AR767+$AT767-$AU767-IF(ROUNDDOWN(IF(ISBLANK($AW767),$AV767,$AW767),IF($D$4="Forint",0,2))&gt;$AR767+$AT767-$AU767-IF($D$4="Forint",Paraméterek!$J$114,Paraméterek!$K$114),0,ROUNDDOWN(IF(ISBLANK($AW767),$AV767,$AW767),IF($D$4="Forint",0,2))-$AX767)</f>
        <v>0</v>
      </c>
      <c r="AZ767" s="13">
        <f t="shared" si="174"/>
        <v>0</v>
      </c>
    </row>
    <row r="768" spans="1:52" x14ac:dyDescent="0.2">
      <c r="A768" s="32">
        <v>749</v>
      </c>
      <c r="B768" s="32">
        <v>63</v>
      </c>
      <c r="C768" s="32">
        <v>5</v>
      </c>
      <c r="D768" s="13">
        <f t="shared" si="165"/>
        <v>0</v>
      </c>
      <c r="E768" s="13"/>
      <c r="F768" s="13"/>
      <c r="G768" s="13"/>
      <c r="H768" s="13">
        <f t="shared" si="166"/>
        <v>0</v>
      </c>
      <c r="I768" s="13">
        <f t="shared" si="167"/>
        <v>0</v>
      </c>
      <c r="J768" s="13">
        <f t="shared" si="168"/>
        <v>0</v>
      </c>
      <c r="K768" s="13">
        <f>ROUNDUP(IF($D$2="Egyszeri",$D768,IF($D$2="Havi",SUM($D$20:$D$31),IF(MOD($C768,$M$1)-1=0,SUM($D$20:$D$31),0))/12*$M$1)*VLOOKUP($B768,Paraméterek!$B$27:$D$30,IF($D$2="Egyszeri",3,2)),IF($D$4="Forint",0,2))</f>
        <v>0</v>
      </c>
      <c r="L768" s="13">
        <f t="shared" si="169"/>
        <v>0</v>
      </c>
      <c r="M768" s="13">
        <f t="shared" ca="1" si="175"/>
        <v>-699053</v>
      </c>
      <c r="N768" s="13">
        <f ca="1">IF($V767&gt;=VLOOKUP($M$4-1+$B768,Paraméterek!$B$121:$D$122,IF($D$4="Forint",2,3)),0,VLOOKUP($M$4-1+$B768,Paraméterek!$B$121:$D$122,IF($D$4="Forint",2,3))-$V767)</f>
        <v>709053</v>
      </c>
      <c r="O768" s="13">
        <f ca="1">ROUNDUP($N768*Paraméterek!$C$58/Paraméterek!$C$56,IF($D$4="Forint",0,2))</f>
        <v>113</v>
      </c>
      <c r="P768" s="13">
        <f t="shared" si="170"/>
        <v>3438</v>
      </c>
      <c r="Q768" s="33"/>
      <c r="R768" s="13">
        <f t="shared" ca="1" si="171"/>
        <v>0</v>
      </c>
      <c r="S768" s="13">
        <f ca="1">ROUNDUP(($M768-$O768-$P768+$R768)*VLOOKUP($B768,Paraméterek!$B$38:$D$39,IF($D$2="Egyszeri",3,2))/12,IF($D$4="Forint",0,2))</f>
        <v>-1716</v>
      </c>
      <c r="T768" s="13"/>
      <c r="U768" s="13"/>
      <c r="V768" s="13">
        <f ca="1">$M768-$O768-$P768+$R768-$S768-IF(ROUNDUP(IF(ISBLANK($U768),$T768,$U768)/IF(AND($B768=1,$D$2&lt;&gt;"Egyszeri"),1,VLOOKUP($B768+IF($C768=12,1,0),Paraméterek!$B$257:$D$267,IF($D$2="Egyszeri",3,2))),IF($D$4="Forint",0,2))&gt;$M768-$O768-$P768+$R768-$S768-IF($D$4="Forint",Paraméterek!$C$216,Paraméterek!$D$216),0,ROUNDUP(IF(ISBLANK($U768),$T768,$U768)/IF(AND($B768=1,$D$2&lt;&gt;"Egyszeri"),1,VLOOKUP($B768+IF($C768=12,1,0),Paraméterek!$B$257:$D$267,IF($D$2="Egyszeri",3,2))),IF($D$4="Forint",0,2)))</f>
        <v>-700888</v>
      </c>
      <c r="W768" s="13">
        <f ca="1">ROUNDDOWN($V768*VLOOKUP($B768+IF($C768=12,1,0),Paraméterek!$B$257:$D$267,IF($D$2="Egyszeri",3,2)),IF($D$4="Forint",0,2))</f>
        <v>-700888</v>
      </c>
      <c r="Y768" s="32">
        <v>749</v>
      </c>
      <c r="Z768" s="32">
        <v>63</v>
      </c>
      <c r="AA768" s="32">
        <v>5</v>
      </c>
      <c r="AB768" s="13">
        <f t="shared" si="176"/>
        <v>0</v>
      </c>
      <c r="AC768" s="33"/>
      <c r="AD768" s="13">
        <f t="shared" si="172"/>
        <v>0</v>
      </c>
      <c r="AE768" s="13">
        <f>ROUNDUP(($AB768+$AD768)*VLOOKUP($Z768,Paraméterek!$P$38:$Q$38,2)/12,IF($D$4="Forint",0,2))</f>
        <v>0</v>
      </c>
      <c r="AF768" s="13">
        <f>IF($D$2="Egyszeri",IF($D$7&gt;=IF($D$4="Forint",Paraméterek!$P$223,Paraméterek!$P$224),$D$7-IF($D$4="Forint",Paraméterek!$F$223,Paraméterek!$F$224),0),MIN(IF($AA768=12,AVERAGE($D$20:$D768)*12,0),SUM($D$20:$D$31)))</f>
        <v>0</v>
      </c>
      <c r="AG768" s="13">
        <f>IF(AND($Z768&gt;=10,MOD($Z768,5)=0),$AF768*IF($AA768=12,VLOOKUP($Z768,Paraméterek!$B$225:$F$240,IF($AF768&lt;IF($D$4="Forint",Paraméterek!$C$223,Paraméterek!$C$224),2,IF($AF768&lt;IF($D$4="Forint",Paraméterek!$D$223,Paraméterek!$D$224),3,4))),0),0)</f>
        <v>0</v>
      </c>
      <c r="AH768" s="13">
        <f>IF(AND($Z768&gt;=5,MOD($Z768,5)=0),IF($AA768=12,VLOOKUP($Z768,Paraméterek!$B$225:$F$240,5),0),IF(OR($Z768=3,$Z768=4),IF($AA768=12,VLOOKUP($Z768,Paraméterek!$B$225:$F$240,5,0),0),0))*$AF768</f>
        <v>0</v>
      </c>
      <c r="AI768" s="13">
        <f>ROUNDDOWN(IF(SUM($T$20:$U768)=0,IF($D$2="Egyszeri",$AH768,$AG768),0),IF($D$4="Forint",0,2))</f>
        <v>0</v>
      </c>
      <c r="AJ768" s="13">
        <f t="shared" si="177"/>
        <v>0</v>
      </c>
      <c r="AK768" s="13">
        <f t="shared" si="178"/>
        <v>0</v>
      </c>
      <c r="AM768" s="32">
        <v>749</v>
      </c>
      <c r="AN768" s="32">
        <v>63</v>
      </c>
      <c r="AO768" s="32">
        <v>5</v>
      </c>
      <c r="AP768" s="13"/>
      <c r="AQ768" s="32"/>
      <c r="AR768" s="13">
        <f t="shared" si="179"/>
        <v>0</v>
      </c>
      <c r="AS768" s="33"/>
      <c r="AT768" s="13">
        <f t="shared" si="173"/>
        <v>0</v>
      </c>
      <c r="AU768" s="13">
        <f>ROUNDUP(($AR768+$AT768)*VLOOKUP($AN768,Paraméterek!$P$38:$Q$38,2)/12,IF($D$4="Forint",0,2))</f>
        <v>0</v>
      </c>
      <c r="AV768" s="13"/>
      <c r="AW768" s="13"/>
      <c r="AX768" s="13">
        <f>ROUNDUP(IF(SUM($AV768:$AW768)=0,0,IF(IF(ISBLANK($AW768),$AV768,$AW768)*Paraméterek!$J$112&lt;IF($D$4="Forint",Paraméterek!$J$113,Paraméterek!$K$113),IF($D$4="Forint",Paraméterek!$J$113,Paraméterek!$K$113),IF(IF(ISBLANK($AW768),$AV768,$AW768)*Paraméterek!$J$112&gt;IF($D$4="Forint",Paraméterek!$J$114,Paraméterek!$K$114),IF($D$4="Forint",Paraméterek!$J$114,Paraméterek!$K$114),IF(ISBLANK($AW768),$AV768,$AW768)*Paraméterek!$J$112))),IF($D$4="Forint",0,2))</f>
        <v>0</v>
      </c>
      <c r="AY768" s="13">
        <f>$AR768+$AT768-$AU768-IF(ROUNDDOWN(IF(ISBLANK($AW768),$AV768,$AW768),IF($D$4="Forint",0,2))&gt;$AR768+$AT768-$AU768-IF($D$4="Forint",Paraméterek!$J$114,Paraméterek!$K$114),0,ROUNDDOWN(IF(ISBLANK($AW768),$AV768,$AW768),IF($D$4="Forint",0,2))-$AX768)</f>
        <v>0</v>
      </c>
      <c r="AZ768" s="13">
        <f t="shared" si="174"/>
        <v>0</v>
      </c>
    </row>
    <row r="769" spans="1:52" x14ac:dyDescent="0.2">
      <c r="A769" s="32">
        <v>750</v>
      </c>
      <c r="B769" s="32">
        <v>63</v>
      </c>
      <c r="C769" s="32">
        <v>6</v>
      </c>
      <c r="D769" s="13">
        <f t="shared" si="165"/>
        <v>0</v>
      </c>
      <c r="E769" s="13"/>
      <c r="F769" s="13"/>
      <c r="G769" s="13"/>
      <c r="H769" s="13">
        <f t="shared" si="166"/>
        <v>0</v>
      </c>
      <c r="I769" s="13">
        <f t="shared" si="167"/>
        <v>0</v>
      </c>
      <c r="J769" s="13">
        <f t="shared" si="168"/>
        <v>0</v>
      </c>
      <c r="K769" s="13">
        <f>ROUNDUP(IF($D$2="Egyszeri",$D769,IF($D$2="Havi",SUM($D$20:$D$31),IF(MOD($C769,$M$1)-1=0,SUM($D$20:$D$31),0))/12*$M$1)*VLOOKUP($B769,Paraméterek!$B$27:$D$30,IF($D$2="Egyszeri",3,2)),IF($D$4="Forint",0,2))</f>
        <v>0</v>
      </c>
      <c r="L769" s="13">
        <f t="shared" si="169"/>
        <v>0</v>
      </c>
      <c r="M769" s="13">
        <f t="shared" ca="1" si="175"/>
        <v>-700888</v>
      </c>
      <c r="N769" s="13">
        <f ca="1">IF($V768&gt;=VLOOKUP($M$4-1+$B769,Paraméterek!$B$121:$D$122,IF($D$4="Forint",2,3)),0,VLOOKUP($M$4-1+$B769,Paraméterek!$B$121:$D$122,IF($D$4="Forint",2,3))-$V768)</f>
        <v>710888</v>
      </c>
      <c r="O769" s="13">
        <f ca="1">ROUNDUP($N769*Paraméterek!$C$58/Paraméterek!$C$56,IF($D$4="Forint",0,2))</f>
        <v>114</v>
      </c>
      <c r="P769" s="13">
        <f t="shared" si="170"/>
        <v>3438</v>
      </c>
      <c r="Q769" s="33"/>
      <c r="R769" s="13">
        <f t="shared" ca="1" si="171"/>
        <v>0</v>
      </c>
      <c r="S769" s="13">
        <f ca="1">ROUNDUP(($M769-$O769-$P769+$R769)*VLOOKUP($B769,Paraméterek!$B$38:$D$39,IF($D$2="Egyszeri",3,2))/12,IF($D$4="Forint",0,2))</f>
        <v>-1721</v>
      </c>
      <c r="T769" s="13"/>
      <c r="U769" s="13"/>
      <c r="V769" s="13">
        <f ca="1">$M769-$O769-$P769+$R769-$S769-IF(ROUNDUP(IF(ISBLANK($U769),$T769,$U769)/IF(AND($B769=1,$D$2&lt;&gt;"Egyszeri"),1,VLOOKUP($B769+IF($C769=12,1,0),Paraméterek!$B$257:$D$267,IF($D$2="Egyszeri",3,2))),IF($D$4="Forint",0,2))&gt;$M769-$O769-$P769+$R769-$S769-IF($D$4="Forint",Paraméterek!$C$216,Paraméterek!$D$216),0,ROUNDUP(IF(ISBLANK($U769),$T769,$U769)/IF(AND($B769=1,$D$2&lt;&gt;"Egyszeri"),1,VLOOKUP($B769+IF($C769=12,1,0),Paraméterek!$B$257:$D$267,IF($D$2="Egyszeri",3,2))),IF($D$4="Forint",0,2)))</f>
        <v>-702719</v>
      </c>
      <c r="W769" s="13">
        <f ca="1">ROUNDDOWN($V769*VLOOKUP($B769+IF($C769=12,1,0),Paraméterek!$B$257:$D$267,IF($D$2="Egyszeri",3,2)),IF($D$4="Forint",0,2))</f>
        <v>-702719</v>
      </c>
      <c r="Y769" s="32">
        <v>750</v>
      </c>
      <c r="Z769" s="32">
        <v>63</v>
      </c>
      <c r="AA769" s="32">
        <v>6</v>
      </c>
      <c r="AB769" s="13">
        <f t="shared" si="176"/>
        <v>0</v>
      </c>
      <c r="AC769" s="33"/>
      <c r="AD769" s="13">
        <f t="shared" si="172"/>
        <v>0</v>
      </c>
      <c r="AE769" s="13">
        <f>ROUNDUP(($AB769+$AD769)*VLOOKUP($Z769,Paraméterek!$P$38:$Q$38,2)/12,IF($D$4="Forint",0,2))</f>
        <v>0</v>
      </c>
      <c r="AF769" s="13">
        <f>IF($D$2="Egyszeri",IF($D$7&gt;=IF($D$4="Forint",Paraméterek!$P$223,Paraméterek!$P$224),$D$7-IF($D$4="Forint",Paraméterek!$F$223,Paraméterek!$F$224),0),MIN(IF($AA769=12,AVERAGE($D$20:$D769)*12,0),SUM($D$20:$D$31)))</f>
        <v>0</v>
      </c>
      <c r="AG769" s="13">
        <f>IF(AND($Z769&gt;=10,MOD($Z769,5)=0),$AF769*IF($AA769=12,VLOOKUP($Z769,Paraméterek!$B$225:$F$240,IF($AF769&lt;IF($D$4="Forint",Paraméterek!$C$223,Paraméterek!$C$224),2,IF($AF769&lt;IF($D$4="Forint",Paraméterek!$D$223,Paraméterek!$D$224),3,4))),0),0)</f>
        <v>0</v>
      </c>
      <c r="AH769" s="13">
        <f>IF(AND($Z769&gt;=5,MOD($Z769,5)=0),IF($AA769=12,VLOOKUP($Z769,Paraméterek!$B$225:$F$240,5),0),IF(OR($Z769=3,$Z769=4),IF($AA769=12,VLOOKUP($Z769,Paraméterek!$B$225:$F$240,5,0),0),0))*$AF769</f>
        <v>0</v>
      </c>
      <c r="AI769" s="13">
        <f>ROUNDDOWN(IF(SUM($T$20:$U769)=0,IF($D$2="Egyszeri",$AH769,$AG769),0),IF($D$4="Forint",0,2))</f>
        <v>0</v>
      </c>
      <c r="AJ769" s="13">
        <f t="shared" si="177"/>
        <v>0</v>
      </c>
      <c r="AK769" s="13">
        <f t="shared" si="178"/>
        <v>0</v>
      </c>
      <c r="AM769" s="32">
        <v>750</v>
      </c>
      <c r="AN769" s="32">
        <v>63</v>
      </c>
      <c r="AO769" s="32">
        <v>6</v>
      </c>
      <c r="AP769" s="13"/>
      <c r="AQ769" s="32"/>
      <c r="AR769" s="13">
        <f t="shared" si="179"/>
        <v>0</v>
      </c>
      <c r="AS769" s="33"/>
      <c r="AT769" s="13">
        <f t="shared" si="173"/>
        <v>0</v>
      </c>
      <c r="AU769" s="13">
        <f>ROUNDUP(($AR769+$AT769)*VLOOKUP($AN769,Paraméterek!$P$38:$Q$38,2)/12,IF($D$4="Forint",0,2))</f>
        <v>0</v>
      </c>
      <c r="AV769" s="13"/>
      <c r="AW769" s="13"/>
      <c r="AX769" s="13">
        <f>ROUNDUP(IF(SUM($AV769:$AW769)=0,0,IF(IF(ISBLANK($AW769),$AV769,$AW769)*Paraméterek!$J$112&lt;IF($D$4="Forint",Paraméterek!$J$113,Paraméterek!$K$113),IF($D$4="Forint",Paraméterek!$J$113,Paraméterek!$K$113),IF(IF(ISBLANK($AW769),$AV769,$AW769)*Paraméterek!$J$112&gt;IF($D$4="Forint",Paraméterek!$J$114,Paraméterek!$K$114),IF($D$4="Forint",Paraméterek!$J$114,Paraméterek!$K$114),IF(ISBLANK($AW769),$AV769,$AW769)*Paraméterek!$J$112))),IF($D$4="Forint",0,2))</f>
        <v>0</v>
      </c>
      <c r="AY769" s="13">
        <f>$AR769+$AT769-$AU769-IF(ROUNDDOWN(IF(ISBLANK($AW769),$AV769,$AW769),IF($D$4="Forint",0,2))&gt;$AR769+$AT769-$AU769-IF($D$4="Forint",Paraméterek!$J$114,Paraméterek!$K$114),0,ROUNDDOWN(IF(ISBLANK($AW769),$AV769,$AW769),IF($D$4="Forint",0,2))-$AX769)</f>
        <v>0</v>
      </c>
      <c r="AZ769" s="13">
        <f t="shared" si="174"/>
        <v>0</v>
      </c>
    </row>
    <row r="770" spans="1:52" x14ac:dyDescent="0.2">
      <c r="A770" s="32">
        <v>751</v>
      </c>
      <c r="B770" s="32">
        <v>63</v>
      </c>
      <c r="C770" s="32">
        <v>7</v>
      </c>
      <c r="D770" s="13">
        <f t="shared" si="165"/>
        <v>0</v>
      </c>
      <c r="E770" s="13"/>
      <c r="F770" s="13"/>
      <c r="G770" s="13"/>
      <c r="H770" s="13">
        <f t="shared" si="166"/>
        <v>0</v>
      </c>
      <c r="I770" s="13">
        <f t="shared" si="167"/>
        <v>0</v>
      </c>
      <c r="J770" s="13">
        <f t="shared" si="168"/>
        <v>0</v>
      </c>
      <c r="K770" s="13">
        <f>ROUNDUP(IF($D$2="Egyszeri",$D770,IF($D$2="Havi",SUM($D$20:$D$31),IF(MOD($C770,$M$1)-1=0,SUM($D$20:$D$31),0))/12*$M$1)*VLOOKUP($B770,Paraméterek!$B$27:$D$30,IF($D$2="Egyszeri",3,2)),IF($D$4="Forint",0,2))</f>
        <v>0</v>
      </c>
      <c r="L770" s="13">
        <f t="shared" si="169"/>
        <v>0</v>
      </c>
      <c r="M770" s="13">
        <f t="shared" ca="1" si="175"/>
        <v>-702719</v>
      </c>
      <c r="N770" s="13">
        <f ca="1">IF($V769&gt;=VLOOKUP($M$4-1+$B770,Paraméterek!$B$121:$D$122,IF($D$4="Forint",2,3)),0,VLOOKUP($M$4-1+$B770,Paraméterek!$B$121:$D$122,IF($D$4="Forint",2,3))-$V769)</f>
        <v>712719</v>
      </c>
      <c r="O770" s="13">
        <f ca="1">ROUNDUP($N770*Paraméterek!$C$58/Paraméterek!$C$56,IF($D$4="Forint",0,2))</f>
        <v>114</v>
      </c>
      <c r="P770" s="13">
        <f t="shared" si="170"/>
        <v>3438</v>
      </c>
      <c r="Q770" s="33"/>
      <c r="R770" s="13">
        <f t="shared" ca="1" si="171"/>
        <v>0</v>
      </c>
      <c r="S770" s="13">
        <f ca="1">ROUNDUP(($M770-$O770-$P770+$R770)*VLOOKUP($B770,Paraméterek!$B$38:$D$39,IF($D$2="Egyszeri",3,2))/12,IF($D$4="Forint",0,2))</f>
        <v>-1725</v>
      </c>
      <c r="T770" s="13"/>
      <c r="U770" s="13"/>
      <c r="V770" s="13">
        <f ca="1">$M770-$O770-$P770+$R770-$S770-IF(ROUNDUP(IF(ISBLANK($U770),$T770,$U770)/IF(AND($B770=1,$D$2&lt;&gt;"Egyszeri"),1,VLOOKUP($B770+IF($C770=12,1,0),Paraméterek!$B$257:$D$267,IF($D$2="Egyszeri",3,2))),IF($D$4="Forint",0,2))&gt;$M770-$O770-$P770+$R770-$S770-IF($D$4="Forint",Paraméterek!$C$216,Paraméterek!$D$216),0,ROUNDUP(IF(ISBLANK($U770),$T770,$U770)/IF(AND($B770=1,$D$2&lt;&gt;"Egyszeri"),1,VLOOKUP($B770+IF($C770=12,1,0),Paraméterek!$B$257:$D$267,IF($D$2="Egyszeri",3,2))),IF($D$4="Forint",0,2)))</f>
        <v>-704546</v>
      </c>
      <c r="W770" s="13">
        <f ca="1">ROUNDDOWN($V770*VLOOKUP($B770+IF($C770=12,1,0),Paraméterek!$B$257:$D$267,IF($D$2="Egyszeri",3,2)),IF($D$4="Forint",0,2))</f>
        <v>-704546</v>
      </c>
      <c r="Y770" s="32">
        <v>751</v>
      </c>
      <c r="Z770" s="32">
        <v>63</v>
      </c>
      <c r="AA770" s="32">
        <v>7</v>
      </c>
      <c r="AB770" s="13">
        <f t="shared" si="176"/>
        <v>0</v>
      </c>
      <c r="AC770" s="33"/>
      <c r="AD770" s="13">
        <f t="shared" si="172"/>
        <v>0</v>
      </c>
      <c r="AE770" s="13">
        <f>ROUNDUP(($AB770+$AD770)*VLOOKUP($Z770,Paraméterek!$P$38:$Q$38,2)/12,IF($D$4="Forint",0,2))</f>
        <v>0</v>
      </c>
      <c r="AF770" s="13">
        <f>IF($D$2="Egyszeri",IF($D$7&gt;=IF($D$4="Forint",Paraméterek!$P$223,Paraméterek!$P$224),$D$7-IF($D$4="Forint",Paraméterek!$F$223,Paraméterek!$F$224),0),MIN(IF($AA770=12,AVERAGE($D$20:$D770)*12,0),SUM($D$20:$D$31)))</f>
        <v>0</v>
      </c>
      <c r="AG770" s="13">
        <f>IF(AND($Z770&gt;=10,MOD($Z770,5)=0),$AF770*IF($AA770=12,VLOOKUP($Z770,Paraméterek!$B$225:$F$240,IF($AF770&lt;IF($D$4="Forint",Paraméterek!$C$223,Paraméterek!$C$224),2,IF($AF770&lt;IF($D$4="Forint",Paraméterek!$D$223,Paraméterek!$D$224),3,4))),0),0)</f>
        <v>0</v>
      </c>
      <c r="AH770" s="13">
        <f>IF(AND($Z770&gt;=5,MOD($Z770,5)=0),IF($AA770=12,VLOOKUP($Z770,Paraméterek!$B$225:$F$240,5),0),IF(OR($Z770=3,$Z770=4),IF($AA770=12,VLOOKUP($Z770,Paraméterek!$B$225:$F$240,5,0),0),0))*$AF770</f>
        <v>0</v>
      </c>
      <c r="AI770" s="13">
        <f>ROUNDDOWN(IF(SUM($T$20:$U770)=0,IF($D$2="Egyszeri",$AH770,$AG770),0),IF($D$4="Forint",0,2))</f>
        <v>0</v>
      </c>
      <c r="AJ770" s="13">
        <f t="shared" si="177"/>
        <v>0</v>
      </c>
      <c r="AK770" s="13">
        <f t="shared" si="178"/>
        <v>0</v>
      </c>
      <c r="AM770" s="32">
        <v>751</v>
      </c>
      <c r="AN770" s="32">
        <v>63</v>
      </c>
      <c r="AO770" s="32">
        <v>7</v>
      </c>
      <c r="AP770" s="13"/>
      <c r="AQ770" s="32"/>
      <c r="AR770" s="13">
        <f t="shared" si="179"/>
        <v>0</v>
      </c>
      <c r="AS770" s="33"/>
      <c r="AT770" s="13">
        <f t="shared" si="173"/>
        <v>0</v>
      </c>
      <c r="AU770" s="13">
        <f>ROUNDUP(($AR770+$AT770)*VLOOKUP($AN770,Paraméterek!$P$38:$Q$38,2)/12,IF($D$4="Forint",0,2))</f>
        <v>0</v>
      </c>
      <c r="AV770" s="13"/>
      <c r="AW770" s="13"/>
      <c r="AX770" s="13">
        <f>ROUNDUP(IF(SUM($AV770:$AW770)=0,0,IF(IF(ISBLANK($AW770),$AV770,$AW770)*Paraméterek!$J$112&lt;IF($D$4="Forint",Paraméterek!$J$113,Paraméterek!$K$113),IF($D$4="Forint",Paraméterek!$J$113,Paraméterek!$K$113),IF(IF(ISBLANK($AW770),$AV770,$AW770)*Paraméterek!$J$112&gt;IF($D$4="Forint",Paraméterek!$J$114,Paraméterek!$K$114),IF($D$4="Forint",Paraméterek!$J$114,Paraméterek!$K$114),IF(ISBLANK($AW770),$AV770,$AW770)*Paraméterek!$J$112))),IF($D$4="Forint",0,2))</f>
        <v>0</v>
      </c>
      <c r="AY770" s="13">
        <f>$AR770+$AT770-$AU770-IF(ROUNDDOWN(IF(ISBLANK($AW770),$AV770,$AW770),IF($D$4="Forint",0,2))&gt;$AR770+$AT770-$AU770-IF($D$4="Forint",Paraméterek!$J$114,Paraméterek!$K$114),0,ROUNDDOWN(IF(ISBLANK($AW770),$AV770,$AW770),IF($D$4="Forint",0,2))-$AX770)</f>
        <v>0</v>
      </c>
      <c r="AZ770" s="13">
        <f t="shared" si="174"/>
        <v>0</v>
      </c>
    </row>
    <row r="771" spans="1:52" x14ac:dyDescent="0.2">
      <c r="A771" s="32">
        <v>752</v>
      </c>
      <c r="B771" s="32">
        <v>63</v>
      </c>
      <c r="C771" s="32">
        <v>8</v>
      </c>
      <c r="D771" s="13">
        <f t="shared" si="165"/>
        <v>0</v>
      </c>
      <c r="E771" s="13"/>
      <c r="F771" s="13"/>
      <c r="G771" s="13"/>
      <c r="H771" s="13">
        <f t="shared" si="166"/>
        <v>0</v>
      </c>
      <c r="I771" s="13">
        <f t="shared" si="167"/>
        <v>0</v>
      </c>
      <c r="J771" s="13">
        <f t="shared" si="168"/>
        <v>0</v>
      </c>
      <c r="K771" s="13">
        <f>ROUNDUP(IF($D$2="Egyszeri",$D771,IF($D$2="Havi",SUM($D$20:$D$31),IF(MOD($C771,$M$1)-1=0,SUM($D$20:$D$31),0))/12*$M$1)*VLOOKUP($B771,Paraméterek!$B$27:$D$30,IF($D$2="Egyszeri",3,2)),IF($D$4="Forint",0,2))</f>
        <v>0</v>
      </c>
      <c r="L771" s="13">
        <f t="shared" si="169"/>
        <v>0</v>
      </c>
      <c r="M771" s="13">
        <f t="shared" ca="1" si="175"/>
        <v>-704546</v>
      </c>
      <c r="N771" s="13">
        <f ca="1">IF($V770&gt;=VLOOKUP($M$4-1+$B771,Paraméterek!$B$121:$D$122,IF($D$4="Forint",2,3)),0,VLOOKUP($M$4-1+$B771,Paraméterek!$B$121:$D$122,IF($D$4="Forint",2,3))-$V770)</f>
        <v>714546</v>
      </c>
      <c r="O771" s="13">
        <f ca="1">ROUNDUP($N771*Paraméterek!$C$58/Paraméterek!$C$56,IF($D$4="Forint",0,2))</f>
        <v>114</v>
      </c>
      <c r="P771" s="13">
        <f t="shared" si="170"/>
        <v>3438</v>
      </c>
      <c r="Q771" s="33"/>
      <c r="R771" s="13">
        <f t="shared" ca="1" si="171"/>
        <v>0</v>
      </c>
      <c r="S771" s="13">
        <f ca="1">ROUNDUP(($M771-$O771-$P771+$R771)*VLOOKUP($B771,Paraméterek!$B$38:$D$39,IF($D$2="Egyszeri",3,2))/12,IF($D$4="Forint",0,2))</f>
        <v>-1729</v>
      </c>
      <c r="T771" s="13"/>
      <c r="U771" s="13"/>
      <c r="V771" s="13">
        <f ca="1">$M771-$O771-$P771+$R771-$S771-IF(ROUNDUP(IF(ISBLANK($U771),$T771,$U771)/IF(AND($B771=1,$D$2&lt;&gt;"Egyszeri"),1,VLOOKUP($B771+IF($C771=12,1,0),Paraméterek!$B$257:$D$267,IF($D$2="Egyszeri",3,2))),IF($D$4="Forint",0,2))&gt;$M771-$O771-$P771+$R771-$S771-IF($D$4="Forint",Paraméterek!$C$216,Paraméterek!$D$216),0,ROUNDUP(IF(ISBLANK($U771),$T771,$U771)/IF(AND($B771=1,$D$2&lt;&gt;"Egyszeri"),1,VLOOKUP($B771+IF($C771=12,1,0),Paraméterek!$B$257:$D$267,IF($D$2="Egyszeri",3,2))),IF($D$4="Forint",0,2)))</f>
        <v>-706369</v>
      </c>
      <c r="W771" s="13">
        <f ca="1">ROUNDDOWN($V771*VLOOKUP($B771+IF($C771=12,1,0),Paraméterek!$B$257:$D$267,IF($D$2="Egyszeri",3,2)),IF($D$4="Forint",0,2))</f>
        <v>-706369</v>
      </c>
      <c r="Y771" s="32">
        <v>752</v>
      </c>
      <c r="Z771" s="32">
        <v>63</v>
      </c>
      <c r="AA771" s="32">
        <v>8</v>
      </c>
      <c r="AB771" s="13">
        <f t="shared" si="176"/>
        <v>0</v>
      </c>
      <c r="AC771" s="33"/>
      <c r="AD771" s="13">
        <f t="shared" si="172"/>
        <v>0</v>
      </c>
      <c r="AE771" s="13">
        <f>ROUNDUP(($AB771+$AD771)*VLOOKUP($Z771,Paraméterek!$P$38:$Q$38,2)/12,IF($D$4="Forint",0,2))</f>
        <v>0</v>
      </c>
      <c r="AF771" s="13">
        <f>IF($D$2="Egyszeri",IF($D$7&gt;=IF($D$4="Forint",Paraméterek!$P$223,Paraméterek!$P$224),$D$7-IF($D$4="Forint",Paraméterek!$F$223,Paraméterek!$F$224),0),MIN(IF($AA771=12,AVERAGE($D$20:$D771)*12,0),SUM($D$20:$D$31)))</f>
        <v>0</v>
      </c>
      <c r="AG771" s="13">
        <f>IF(AND($Z771&gt;=10,MOD($Z771,5)=0),$AF771*IF($AA771=12,VLOOKUP($Z771,Paraméterek!$B$225:$F$240,IF($AF771&lt;IF($D$4="Forint",Paraméterek!$C$223,Paraméterek!$C$224),2,IF($AF771&lt;IF($D$4="Forint",Paraméterek!$D$223,Paraméterek!$D$224),3,4))),0),0)</f>
        <v>0</v>
      </c>
      <c r="AH771" s="13">
        <f>IF(AND($Z771&gt;=5,MOD($Z771,5)=0),IF($AA771=12,VLOOKUP($Z771,Paraméterek!$B$225:$F$240,5),0),IF(OR($Z771=3,$Z771=4),IF($AA771=12,VLOOKUP($Z771,Paraméterek!$B$225:$F$240,5,0),0),0))*$AF771</f>
        <v>0</v>
      </c>
      <c r="AI771" s="13">
        <f>ROUNDDOWN(IF(SUM($T$20:$U771)=0,IF($D$2="Egyszeri",$AH771,$AG771),0),IF($D$4="Forint",0,2))</f>
        <v>0</v>
      </c>
      <c r="AJ771" s="13">
        <f t="shared" si="177"/>
        <v>0</v>
      </c>
      <c r="AK771" s="13">
        <f t="shared" si="178"/>
        <v>0</v>
      </c>
      <c r="AM771" s="32">
        <v>752</v>
      </c>
      <c r="AN771" s="32">
        <v>63</v>
      </c>
      <c r="AO771" s="32">
        <v>8</v>
      </c>
      <c r="AP771" s="13"/>
      <c r="AQ771" s="32"/>
      <c r="AR771" s="13">
        <f t="shared" si="179"/>
        <v>0</v>
      </c>
      <c r="AS771" s="33"/>
      <c r="AT771" s="13">
        <f t="shared" si="173"/>
        <v>0</v>
      </c>
      <c r="AU771" s="13">
        <f>ROUNDUP(($AR771+$AT771)*VLOOKUP($AN771,Paraméterek!$P$38:$Q$38,2)/12,IF($D$4="Forint",0,2))</f>
        <v>0</v>
      </c>
      <c r="AV771" s="13"/>
      <c r="AW771" s="13"/>
      <c r="AX771" s="13">
        <f>ROUNDUP(IF(SUM($AV771:$AW771)=0,0,IF(IF(ISBLANK($AW771),$AV771,$AW771)*Paraméterek!$J$112&lt;IF($D$4="Forint",Paraméterek!$J$113,Paraméterek!$K$113),IF($D$4="Forint",Paraméterek!$J$113,Paraméterek!$K$113),IF(IF(ISBLANK($AW771),$AV771,$AW771)*Paraméterek!$J$112&gt;IF($D$4="Forint",Paraméterek!$J$114,Paraméterek!$K$114),IF($D$4="Forint",Paraméterek!$J$114,Paraméterek!$K$114),IF(ISBLANK($AW771),$AV771,$AW771)*Paraméterek!$J$112))),IF($D$4="Forint",0,2))</f>
        <v>0</v>
      </c>
      <c r="AY771" s="13">
        <f>$AR771+$AT771-$AU771-IF(ROUNDDOWN(IF(ISBLANK($AW771),$AV771,$AW771),IF($D$4="Forint",0,2))&gt;$AR771+$AT771-$AU771-IF($D$4="Forint",Paraméterek!$J$114,Paraméterek!$K$114),0,ROUNDDOWN(IF(ISBLANK($AW771),$AV771,$AW771),IF($D$4="Forint",0,2))-$AX771)</f>
        <v>0</v>
      </c>
      <c r="AZ771" s="13">
        <f t="shared" si="174"/>
        <v>0</v>
      </c>
    </row>
    <row r="772" spans="1:52" x14ac:dyDescent="0.2">
      <c r="A772" s="32">
        <v>753</v>
      </c>
      <c r="B772" s="32">
        <v>63</v>
      </c>
      <c r="C772" s="32">
        <v>9</v>
      </c>
      <c r="D772" s="13">
        <f t="shared" si="165"/>
        <v>0</v>
      </c>
      <c r="E772" s="13"/>
      <c r="F772" s="13"/>
      <c r="G772" s="13"/>
      <c r="H772" s="13">
        <f t="shared" si="166"/>
        <v>0</v>
      </c>
      <c r="I772" s="13">
        <f t="shared" si="167"/>
        <v>0</v>
      </c>
      <c r="J772" s="13">
        <f t="shared" si="168"/>
        <v>0</v>
      </c>
      <c r="K772" s="13">
        <f>ROUNDUP(IF($D$2="Egyszeri",$D772,IF($D$2="Havi",SUM($D$20:$D$31),IF(MOD($C772,$M$1)-1=0,SUM($D$20:$D$31),0))/12*$M$1)*VLOOKUP($B772,Paraméterek!$B$27:$D$30,IF($D$2="Egyszeri",3,2)),IF($D$4="Forint",0,2))</f>
        <v>0</v>
      </c>
      <c r="L772" s="13">
        <f t="shared" si="169"/>
        <v>0</v>
      </c>
      <c r="M772" s="13">
        <f t="shared" ca="1" si="175"/>
        <v>-706369</v>
      </c>
      <c r="N772" s="13">
        <f ca="1">IF($V771&gt;=VLOOKUP($M$4-1+$B772,Paraméterek!$B$121:$D$122,IF($D$4="Forint",2,3)),0,VLOOKUP($M$4-1+$B772,Paraméterek!$B$121:$D$122,IF($D$4="Forint",2,3))-$V771)</f>
        <v>716369</v>
      </c>
      <c r="O772" s="13">
        <f ca="1">ROUNDUP($N772*Paraméterek!$C$58/Paraméterek!$C$56,IF($D$4="Forint",0,2))</f>
        <v>115</v>
      </c>
      <c r="P772" s="13">
        <f t="shared" si="170"/>
        <v>3438</v>
      </c>
      <c r="Q772" s="33"/>
      <c r="R772" s="13">
        <f t="shared" ca="1" si="171"/>
        <v>0</v>
      </c>
      <c r="S772" s="13">
        <f ca="1">ROUNDUP(($M772-$O772-$P772+$R772)*VLOOKUP($B772,Paraméterek!$B$38:$D$39,IF($D$2="Egyszeri",3,2))/12,IF($D$4="Forint",0,2))</f>
        <v>-1734</v>
      </c>
      <c r="T772" s="13"/>
      <c r="U772" s="13"/>
      <c r="V772" s="13">
        <f ca="1">$M772-$O772-$P772+$R772-$S772-IF(ROUNDUP(IF(ISBLANK($U772),$T772,$U772)/IF(AND($B772=1,$D$2&lt;&gt;"Egyszeri"),1,VLOOKUP($B772+IF($C772=12,1,0),Paraméterek!$B$257:$D$267,IF($D$2="Egyszeri",3,2))),IF($D$4="Forint",0,2))&gt;$M772-$O772-$P772+$R772-$S772-IF($D$4="Forint",Paraméterek!$C$216,Paraméterek!$D$216),0,ROUNDUP(IF(ISBLANK($U772),$T772,$U772)/IF(AND($B772=1,$D$2&lt;&gt;"Egyszeri"),1,VLOOKUP($B772+IF($C772=12,1,0),Paraméterek!$B$257:$D$267,IF($D$2="Egyszeri",3,2))),IF($D$4="Forint",0,2)))</f>
        <v>-708188</v>
      </c>
      <c r="W772" s="13">
        <f ca="1">ROUNDDOWN($V772*VLOOKUP($B772+IF($C772=12,1,0),Paraméterek!$B$257:$D$267,IF($D$2="Egyszeri",3,2)),IF($D$4="Forint",0,2))</f>
        <v>-708188</v>
      </c>
      <c r="Y772" s="32">
        <v>753</v>
      </c>
      <c r="Z772" s="32">
        <v>63</v>
      </c>
      <c r="AA772" s="32">
        <v>9</v>
      </c>
      <c r="AB772" s="13">
        <f t="shared" si="176"/>
        <v>0</v>
      </c>
      <c r="AC772" s="33"/>
      <c r="AD772" s="13">
        <f t="shared" si="172"/>
        <v>0</v>
      </c>
      <c r="AE772" s="13">
        <f>ROUNDUP(($AB772+$AD772)*VLOOKUP($Z772,Paraméterek!$P$38:$Q$38,2)/12,IF($D$4="Forint",0,2))</f>
        <v>0</v>
      </c>
      <c r="AF772" s="13">
        <f>IF($D$2="Egyszeri",IF($D$7&gt;=IF($D$4="Forint",Paraméterek!$P$223,Paraméterek!$P$224),$D$7-IF($D$4="Forint",Paraméterek!$F$223,Paraméterek!$F$224),0),MIN(IF($AA772=12,AVERAGE($D$20:$D772)*12,0),SUM($D$20:$D$31)))</f>
        <v>0</v>
      </c>
      <c r="AG772" s="13">
        <f>IF(AND($Z772&gt;=10,MOD($Z772,5)=0),$AF772*IF($AA772=12,VLOOKUP($Z772,Paraméterek!$B$225:$F$240,IF($AF772&lt;IF($D$4="Forint",Paraméterek!$C$223,Paraméterek!$C$224),2,IF($AF772&lt;IF($D$4="Forint",Paraméterek!$D$223,Paraméterek!$D$224),3,4))),0),0)</f>
        <v>0</v>
      </c>
      <c r="AH772" s="13">
        <f>IF(AND($Z772&gt;=5,MOD($Z772,5)=0),IF($AA772=12,VLOOKUP($Z772,Paraméterek!$B$225:$F$240,5),0),IF(OR($Z772=3,$Z772=4),IF($AA772=12,VLOOKUP($Z772,Paraméterek!$B$225:$F$240,5,0),0),0))*$AF772</f>
        <v>0</v>
      </c>
      <c r="AI772" s="13">
        <f>ROUNDDOWN(IF(SUM($T$20:$U772)=0,IF($D$2="Egyszeri",$AH772,$AG772),0),IF($D$4="Forint",0,2))</f>
        <v>0</v>
      </c>
      <c r="AJ772" s="13">
        <f t="shared" si="177"/>
        <v>0</v>
      </c>
      <c r="AK772" s="13">
        <f t="shared" si="178"/>
        <v>0</v>
      </c>
      <c r="AM772" s="32">
        <v>753</v>
      </c>
      <c r="AN772" s="32">
        <v>63</v>
      </c>
      <c r="AO772" s="32">
        <v>9</v>
      </c>
      <c r="AP772" s="13"/>
      <c r="AQ772" s="32"/>
      <c r="AR772" s="13">
        <f t="shared" si="179"/>
        <v>0</v>
      </c>
      <c r="AS772" s="33"/>
      <c r="AT772" s="13">
        <f t="shared" si="173"/>
        <v>0</v>
      </c>
      <c r="AU772" s="13">
        <f>ROUNDUP(($AR772+$AT772)*VLOOKUP($AN772,Paraméterek!$P$38:$Q$38,2)/12,IF($D$4="Forint",0,2))</f>
        <v>0</v>
      </c>
      <c r="AV772" s="13"/>
      <c r="AW772" s="13"/>
      <c r="AX772" s="13">
        <f>ROUNDUP(IF(SUM($AV772:$AW772)=0,0,IF(IF(ISBLANK($AW772),$AV772,$AW772)*Paraméterek!$J$112&lt;IF($D$4="Forint",Paraméterek!$J$113,Paraméterek!$K$113),IF($D$4="Forint",Paraméterek!$J$113,Paraméterek!$K$113),IF(IF(ISBLANK($AW772),$AV772,$AW772)*Paraméterek!$J$112&gt;IF($D$4="Forint",Paraméterek!$J$114,Paraméterek!$K$114),IF($D$4="Forint",Paraméterek!$J$114,Paraméterek!$K$114),IF(ISBLANK($AW772),$AV772,$AW772)*Paraméterek!$J$112))),IF($D$4="Forint",0,2))</f>
        <v>0</v>
      </c>
      <c r="AY772" s="13">
        <f>$AR772+$AT772-$AU772-IF(ROUNDDOWN(IF(ISBLANK($AW772),$AV772,$AW772),IF($D$4="Forint",0,2))&gt;$AR772+$AT772-$AU772-IF($D$4="Forint",Paraméterek!$J$114,Paraméterek!$K$114),0,ROUNDDOWN(IF(ISBLANK($AW772),$AV772,$AW772),IF($D$4="Forint",0,2))-$AX772)</f>
        <v>0</v>
      </c>
      <c r="AZ772" s="13">
        <f t="shared" si="174"/>
        <v>0</v>
      </c>
    </row>
    <row r="773" spans="1:52" x14ac:dyDescent="0.2">
      <c r="A773" s="32">
        <v>754</v>
      </c>
      <c r="B773" s="32">
        <v>63</v>
      </c>
      <c r="C773" s="32">
        <v>10</v>
      </c>
      <c r="D773" s="13">
        <f t="shared" si="165"/>
        <v>0</v>
      </c>
      <c r="E773" s="13"/>
      <c r="F773" s="13"/>
      <c r="G773" s="13"/>
      <c r="H773" s="13">
        <f t="shared" si="166"/>
        <v>0</v>
      </c>
      <c r="I773" s="13">
        <f t="shared" si="167"/>
        <v>0</v>
      </c>
      <c r="J773" s="13">
        <f t="shared" si="168"/>
        <v>0</v>
      </c>
      <c r="K773" s="13">
        <f>ROUNDUP(IF($D$2="Egyszeri",$D773,IF($D$2="Havi",SUM($D$20:$D$31),IF(MOD($C773,$M$1)-1=0,SUM($D$20:$D$31),0))/12*$M$1)*VLOOKUP($B773,Paraméterek!$B$27:$D$30,IF($D$2="Egyszeri",3,2)),IF($D$4="Forint",0,2))</f>
        <v>0</v>
      </c>
      <c r="L773" s="13">
        <f t="shared" si="169"/>
        <v>0</v>
      </c>
      <c r="M773" s="13">
        <f t="shared" ca="1" si="175"/>
        <v>-708188</v>
      </c>
      <c r="N773" s="13">
        <f ca="1">IF($V772&gt;=VLOOKUP($M$4-1+$B773,Paraméterek!$B$121:$D$122,IF($D$4="Forint",2,3)),0,VLOOKUP($M$4-1+$B773,Paraméterek!$B$121:$D$122,IF($D$4="Forint",2,3))-$V772)</f>
        <v>718188</v>
      </c>
      <c r="O773" s="13">
        <f ca="1">ROUNDUP($N773*Paraméterek!$C$58/Paraméterek!$C$56,IF($D$4="Forint",0,2))</f>
        <v>115</v>
      </c>
      <c r="P773" s="13">
        <f t="shared" si="170"/>
        <v>3438</v>
      </c>
      <c r="Q773" s="33"/>
      <c r="R773" s="13">
        <f t="shared" ca="1" si="171"/>
        <v>0</v>
      </c>
      <c r="S773" s="13">
        <f ca="1">ROUNDUP(($M773-$O773-$P773+$R773)*VLOOKUP($B773,Paraméterek!$B$38:$D$39,IF($D$2="Egyszeri",3,2))/12,IF($D$4="Forint",0,2))</f>
        <v>-1738</v>
      </c>
      <c r="T773" s="13"/>
      <c r="U773" s="13"/>
      <c r="V773" s="13">
        <f ca="1">$M773-$O773-$P773+$R773-$S773-IF(ROUNDUP(IF(ISBLANK($U773),$T773,$U773)/IF(AND($B773=1,$D$2&lt;&gt;"Egyszeri"),1,VLOOKUP($B773+IF($C773=12,1,0),Paraméterek!$B$257:$D$267,IF($D$2="Egyszeri",3,2))),IF($D$4="Forint",0,2))&gt;$M773-$O773-$P773+$R773-$S773-IF($D$4="Forint",Paraméterek!$C$216,Paraméterek!$D$216),0,ROUNDUP(IF(ISBLANK($U773),$T773,$U773)/IF(AND($B773=1,$D$2&lt;&gt;"Egyszeri"),1,VLOOKUP($B773+IF($C773=12,1,0),Paraméterek!$B$257:$D$267,IF($D$2="Egyszeri",3,2))),IF($D$4="Forint",0,2)))</f>
        <v>-710003</v>
      </c>
      <c r="W773" s="13">
        <f ca="1">ROUNDDOWN($V773*VLOOKUP($B773+IF($C773=12,1,0),Paraméterek!$B$257:$D$267,IF($D$2="Egyszeri",3,2)),IF($D$4="Forint",0,2))</f>
        <v>-710003</v>
      </c>
      <c r="Y773" s="32">
        <v>754</v>
      </c>
      <c r="Z773" s="32">
        <v>63</v>
      </c>
      <c r="AA773" s="32">
        <v>10</v>
      </c>
      <c r="AB773" s="13">
        <f t="shared" si="176"/>
        <v>0</v>
      </c>
      <c r="AC773" s="33"/>
      <c r="AD773" s="13">
        <f t="shared" si="172"/>
        <v>0</v>
      </c>
      <c r="AE773" s="13">
        <f>ROUNDUP(($AB773+$AD773)*VLOOKUP($Z773,Paraméterek!$P$38:$Q$38,2)/12,IF($D$4="Forint",0,2))</f>
        <v>0</v>
      </c>
      <c r="AF773" s="13">
        <f>IF($D$2="Egyszeri",IF($D$7&gt;=IF($D$4="Forint",Paraméterek!$P$223,Paraméterek!$P$224),$D$7-IF($D$4="Forint",Paraméterek!$F$223,Paraméterek!$F$224),0),MIN(IF($AA773=12,AVERAGE($D$20:$D773)*12,0),SUM($D$20:$D$31)))</f>
        <v>0</v>
      </c>
      <c r="AG773" s="13">
        <f>IF(AND($Z773&gt;=10,MOD($Z773,5)=0),$AF773*IF($AA773=12,VLOOKUP($Z773,Paraméterek!$B$225:$F$240,IF($AF773&lt;IF($D$4="Forint",Paraméterek!$C$223,Paraméterek!$C$224),2,IF($AF773&lt;IF($D$4="Forint",Paraméterek!$D$223,Paraméterek!$D$224),3,4))),0),0)</f>
        <v>0</v>
      </c>
      <c r="AH773" s="13">
        <f>IF(AND($Z773&gt;=5,MOD($Z773,5)=0),IF($AA773=12,VLOOKUP($Z773,Paraméterek!$B$225:$F$240,5),0),IF(OR($Z773=3,$Z773=4),IF($AA773=12,VLOOKUP($Z773,Paraméterek!$B$225:$F$240,5,0),0),0))*$AF773</f>
        <v>0</v>
      </c>
      <c r="AI773" s="13">
        <f>ROUNDDOWN(IF(SUM($T$20:$U773)=0,IF($D$2="Egyszeri",$AH773,$AG773),0),IF($D$4="Forint",0,2))</f>
        <v>0</v>
      </c>
      <c r="AJ773" s="13">
        <f t="shared" si="177"/>
        <v>0</v>
      </c>
      <c r="AK773" s="13">
        <f t="shared" si="178"/>
        <v>0</v>
      </c>
      <c r="AM773" s="32">
        <v>754</v>
      </c>
      <c r="AN773" s="32">
        <v>63</v>
      </c>
      <c r="AO773" s="32">
        <v>10</v>
      </c>
      <c r="AP773" s="13"/>
      <c r="AQ773" s="32"/>
      <c r="AR773" s="13">
        <f t="shared" si="179"/>
        <v>0</v>
      </c>
      <c r="AS773" s="33"/>
      <c r="AT773" s="13">
        <f t="shared" si="173"/>
        <v>0</v>
      </c>
      <c r="AU773" s="13">
        <f>ROUNDUP(($AR773+$AT773)*VLOOKUP($AN773,Paraméterek!$P$38:$Q$38,2)/12,IF($D$4="Forint",0,2))</f>
        <v>0</v>
      </c>
      <c r="AV773" s="13"/>
      <c r="AW773" s="13"/>
      <c r="AX773" s="13">
        <f>ROUNDUP(IF(SUM($AV773:$AW773)=0,0,IF(IF(ISBLANK($AW773),$AV773,$AW773)*Paraméterek!$J$112&lt;IF($D$4="Forint",Paraméterek!$J$113,Paraméterek!$K$113),IF($D$4="Forint",Paraméterek!$J$113,Paraméterek!$K$113),IF(IF(ISBLANK($AW773),$AV773,$AW773)*Paraméterek!$J$112&gt;IF($D$4="Forint",Paraméterek!$J$114,Paraméterek!$K$114),IF($D$4="Forint",Paraméterek!$J$114,Paraméterek!$K$114),IF(ISBLANK($AW773),$AV773,$AW773)*Paraméterek!$J$112))),IF($D$4="Forint",0,2))</f>
        <v>0</v>
      </c>
      <c r="AY773" s="13">
        <f>$AR773+$AT773-$AU773-IF(ROUNDDOWN(IF(ISBLANK($AW773),$AV773,$AW773),IF($D$4="Forint",0,2))&gt;$AR773+$AT773-$AU773-IF($D$4="Forint",Paraméterek!$J$114,Paraméterek!$K$114),0,ROUNDDOWN(IF(ISBLANK($AW773),$AV773,$AW773),IF($D$4="Forint",0,2))-$AX773)</f>
        <v>0</v>
      </c>
      <c r="AZ773" s="13">
        <f t="shared" si="174"/>
        <v>0</v>
      </c>
    </row>
    <row r="774" spans="1:52" x14ac:dyDescent="0.2">
      <c r="A774" s="32">
        <v>755</v>
      </c>
      <c r="B774" s="32">
        <v>63</v>
      </c>
      <c r="C774" s="32">
        <v>11</v>
      </c>
      <c r="D774" s="13">
        <f t="shared" si="165"/>
        <v>0</v>
      </c>
      <c r="E774" s="13"/>
      <c r="F774" s="13"/>
      <c r="G774" s="13"/>
      <c r="H774" s="13">
        <f t="shared" si="166"/>
        <v>0</v>
      </c>
      <c r="I774" s="13">
        <f t="shared" si="167"/>
        <v>0</v>
      </c>
      <c r="J774" s="13">
        <f t="shared" si="168"/>
        <v>0</v>
      </c>
      <c r="K774" s="13">
        <f>ROUNDUP(IF($D$2="Egyszeri",$D774,IF($D$2="Havi",SUM($D$20:$D$31),IF(MOD($C774,$M$1)-1=0,SUM($D$20:$D$31),0))/12*$M$1)*VLOOKUP($B774,Paraméterek!$B$27:$D$30,IF($D$2="Egyszeri",3,2)),IF($D$4="Forint",0,2))</f>
        <v>0</v>
      </c>
      <c r="L774" s="13">
        <f t="shared" si="169"/>
        <v>0</v>
      </c>
      <c r="M774" s="13">
        <f t="shared" ca="1" si="175"/>
        <v>-710003</v>
      </c>
      <c r="N774" s="13">
        <f ca="1">IF($V773&gt;=VLOOKUP($M$4-1+$B774,Paraméterek!$B$121:$D$122,IF($D$4="Forint",2,3)),0,VLOOKUP($M$4-1+$B774,Paraméterek!$B$121:$D$122,IF($D$4="Forint",2,3))-$V773)</f>
        <v>720003</v>
      </c>
      <c r="O774" s="13">
        <f ca="1">ROUNDUP($N774*Paraméterek!$C$58/Paraméterek!$C$56,IF($D$4="Forint",0,2))</f>
        <v>115</v>
      </c>
      <c r="P774" s="13">
        <f t="shared" si="170"/>
        <v>3438</v>
      </c>
      <c r="Q774" s="33"/>
      <c r="R774" s="13">
        <f t="shared" ca="1" si="171"/>
        <v>0</v>
      </c>
      <c r="S774" s="13">
        <f ca="1">ROUNDUP(($M774-$O774-$P774+$R774)*VLOOKUP($B774,Paraméterek!$B$38:$D$39,IF($D$2="Egyszeri",3,2))/12,IF($D$4="Forint",0,2))</f>
        <v>-1743</v>
      </c>
      <c r="T774" s="13"/>
      <c r="U774" s="13"/>
      <c r="V774" s="13">
        <f ca="1">$M774-$O774-$P774+$R774-$S774-IF(ROUNDUP(IF(ISBLANK($U774),$T774,$U774)/IF(AND($B774=1,$D$2&lt;&gt;"Egyszeri"),1,VLOOKUP($B774+IF($C774=12,1,0),Paraméterek!$B$257:$D$267,IF($D$2="Egyszeri",3,2))),IF($D$4="Forint",0,2))&gt;$M774-$O774-$P774+$R774-$S774-IF($D$4="Forint",Paraméterek!$C$216,Paraméterek!$D$216),0,ROUNDUP(IF(ISBLANK($U774),$T774,$U774)/IF(AND($B774=1,$D$2&lt;&gt;"Egyszeri"),1,VLOOKUP($B774+IF($C774=12,1,0),Paraméterek!$B$257:$D$267,IF($D$2="Egyszeri",3,2))),IF($D$4="Forint",0,2)))</f>
        <v>-711813</v>
      </c>
      <c r="W774" s="13">
        <f ca="1">ROUNDDOWN($V774*VLOOKUP($B774+IF($C774=12,1,0),Paraméterek!$B$257:$D$267,IF($D$2="Egyszeri",3,2)),IF($D$4="Forint",0,2))</f>
        <v>-711813</v>
      </c>
      <c r="Y774" s="32">
        <v>755</v>
      </c>
      <c r="Z774" s="32">
        <v>63</v>
      </c>
      <c r="AA774" s="32">
        <v>11</v>
      </c>
      <c r="AB774" s="13">
        <f t="shared" si="176"/>
        <v>0</v>
      </c>
      <c r="AC774" s="33"/>
      <c r="AD774" s="13">
        <f t="shared" si="172"/>
        <v>0</v>
      </c>
      <c r="AE774" s="13">
        <f>ROUNDUP(($AB774+$AD774)*VLOOKUP($Z774,Paraméterek!$P$38:$Q$38,2)/12,IF($D$4="Forint",0,2))</f>
        <v>0</v>
      </c>
      <c r="AF774" s="13">
        <f>IF($D$2="Egyszeri",IF($D$7&gt;=IF($D$4="Forint",Paraméterek!$P$223,Paraméterek!$P$224),$D$7-IF($D$4="Forint",Paraméterek!$F$223,Paraméterek!$F$224),0),MIN(IF($AA774=12,AVERAGE($D$20:$D774)*12,0),SUM($D$20:$D$31)))</f>
        <v>0</v>
      </c>
      <c r="AG774" s="13">
        <f>IF(AND($Z774&gt;=10,MOD($Z774,5)=0),$AF774*IF($AA774=12,VLOOKUP($Z774,Paraméterek!$B$225:$F$240,IF($AF774&lt;IF($D$4="Forint",Paraméterek!$C$223,Paraméterek!$C$224),2,IF($AF774&lt;IF($D$4="Forint",Paraméterek!$D$223,Paraméterek!$D$224),3,4))),0),0)</f>
        <v>0</v>
      </c>
      <c r="AH774" s="13">
        <f>IF(AND($Z774&gt;=5,MOD($Z774,5)=0),IF($AA774=12,VLOOKUP($Z774,Paraméterek!$B$225:$F$240,5),0),IF(OR($Z774=3,$Z774=4),IF($AA774=12,VLOOKUP($Z774,Paraméterek!$B$225:$F$240,5,0),0),0))*$AF774</f>
        <v>0</v>
      </c>
      <c r="AI774" s="13">
        <f>ROUNDDOWN(IF(SUM($T$20:$U774)=0,IF($D$2="Egyszeri",$AH774,$AG774),0),IF($D$4="Forint",0,2))</f>
        <v>0</v>
      </c>
      <c r="AJ774" s="13">
        <f t="shared" si="177"/>
        <v>0</v>
      </c>
      <c r="AK774" s="13">
        <f t="shared" si="178"/>
        <v>0</v>
      </c>
      <c r="AM774" s="32">
        <v>755</v>
      </c>
      <c r="AN774" s="32">
        <v>63</v>
      </c>
      <c r="AO774" s="32">
        <v>11</v>
      </c>
      <c r="AP774" s="13"/>
      <c r="AQ774" s="32"/>
      <c r="AR774" s="13">
        <f t="shared" si="179"/>
        <v>0</v>
      </c>
      <c r="AS774" s="33"/>
      <c r="AT774" s="13">
        <f t="shared" si="173"/>
        <v>0</v>
      </c>
      <c r="AU774" s="13">
        <f>ROUNDUP(($AR774+$AT774)*VLOOKUP($AN774,Paraméterek!$P$38:$Q$38,2)/12,IF($D$4="Forint",0,2))</f>
        <v>0</v>
      </c>
      <c r="AV774" s="13"/>
      <c r="AW774" s="13"/>
      <c r="AX774" s="13">
        <f>ROUNDUP(IF(SUM($AV774:$AW774)=0,0,IF(IF(ISBLANK($AW774),$AV774,$AW774)*Paraméterek!$J$112&lt;IF($D$4="Forint",Paraméterek!$J$113,Paraméterek!$K$113),IF($D$4="Forint",Paraméterek!$J$113,Paraméterek!$K$113),IF(IF(ISBLANK($AW774),$AV774,$AW774)*Paraméterek!$J$112&gt;IF($D$4="Forint",Paraméterek!$J$114,Paraméterek!$K$114),IF($D$4="Forint",Paraméterek!$J$114,Paraméterek!$K$114),IF(ISBLANK($AW774),$AV774,$AW774)*Paraméterek!$J$112))),IF($D$4="Forint",0,2))</f>
        <v>0</v>
      </c>
      <c r="AY774" s="13">
        <f>$AR774+$AT774-$AU774-IF(ROUNDDOWN(IF(ISBLANK($AW774),$AV774,$AW774),IF($D$4="Forint",0,2))&gt;$AR774+$AT774-$AU774-IF($D$4="Forint",Paraméterek!$J$114,Paraméterek!$K$114),0,ROUNDDOWN(IF(ISBLANK($AW774),$AV774,$AW774),IF($D$4="Forint",0,2))-$AX774)</f>
        <v>0</v>
      </c>
      <c r="AZ774" s="13">
        <f t="shared" si="174"/>
        <v>0</v>
      </c>
    </row>
    <row r="775" spans="1:52" x14ac:dyDescent="0.2">
      <c r="A775" s="32">
        <v>756</v>
      </c>
      <c r="B775" s="32">
        <v>63</v>
      </c>
      <c r="C775" s="32">
        <v>12</v>
      </c>
      <c r="D775" s="13">
        <f t="shared" si="165"/>
        <v>0</v>
      </c>
      <c r="E775" s="13"/>
      <c r="F775" s="13"/>
      <c r="G775" s="13"/>
      <c r="H775" s="13">
        <f t="shared" si="166"/>
        <v>0</v>
      </c>
      <c r="I775" s="13">
        <f t="shared" si="167"/>
        <v>0</v>
      </c>
      <c r="J775" s="13">
        <f t="shared" si="168"/>
        <v>0</v>
      </c>
      <c r="K775" s="13">
        <f>ROUNDUP(IF($D$2="Egyszeri",$D775,IF($D$2="Havi",SUM($D$20:$D$31),IF(MOD($C775,$M$1)-1=0,SUM($D$20:$D$31),0))/12*$M$1)*VLOOKUP($B775,Paraméterek!$B$27:$D$30,IF($D$2="Egyszeri",3,2)),IF($D$4="Forint",0,2))</f>
        <v>0</v>
      </c>
      <c r="L775" s="13">
        <f t="shared" si="169"/>
        <v>0</v>
      </c>
      <c r="M775" s="13">
        <f t="shared" ca="1" si="175"/>
        <v>-711813</v>
      </c>
      <c r="N775" s="13">
        <f ca="1">IF($V774&gt;=VLOOKUP($M$4-1+$B775,Paraméterek!$B$121:$D$122,IF($D$4="Forint",2,3)),0,VLOOKUP($M$4-1+$B775,Paraméterek!$B$121:$D$122,IF($D$4="Forint",2,3))-$V774)</f>
        <v>721813</v>
      </c>
      <c r="O775" s="13">
        <f ca="1">ROUNDUP($N775*Paraméterek!$C$58/Paraméterek!$C$56,IF($D$4="Forint",0,2))</f>
        <v>115</v>
      </c>
      <c r="P775" s="13">
        <f t="shared" si="170"/>
        <v>3438</v>
      </c>
      <c r="Q775" s="33"/>
      <c r="R775" s="13">
        <f t="shared" ca="1" si="171"/>
        <v>0</v>
      </c>
      <c r="S775" s="13">
        <f ca="1">ROUNDUP(($M775-$O775-$P775+$R775)*VLOOKUP($B775,Paraméterek!$B$38:$D$39,IF($D$2="Egyszeri",3,2))/12,IF($D$4="Forint",0,2))</f>
        <v>-1747</v>
      </c>
      <c r="T775" s="13">
        <f>Tranzakciók!$F$94</f>
        <v>0</v>
      </c>
      <c r="U775" s="13"/>
      <c r="V775" s="13">
        <f ca="1">$M775-$O775-$P775+$R775-$S775-IF(ROUNDUP(IF(ISBLANK($U775),$T775,$U775)/IF(AND($B775=1,$D$2&lt;&gt;"Egyszeri"),1,VLOOKUP($B775+IF($C775=12,1,0),Paraméterek!$B$257:$D$267,IF($D$2="Egyszeri",3,2))),IF($D$4="Forint",0,2))&gt;$M775-$O775-$P775+$R775-$S775-IF($D$4="Forint",Paraméterek!$C$216,Paraméterek!$D$216),0,ROUNDUP(IF(ISBLANK($U775),$T775,$U775)/IF(AND($B775=1,$D$2&lt;&gt;"Egyszeri"),1,VLOOKUP($B775+IF($C775=12,1,0),Paraméterek!$B$257:$D$267,IF($D$2="Egyszeri",3,2))),IF($D$4="Forint",0,2)))</f>
        <v>-713619</v>
      </c>
      <c r="W775" s="13">
        <f ca="1">ROUNDDOWN($V775*VLOOKUP($B775+IF($C775=12,1,0),Paraméterek!$B$257:$D$267,IF($D$2="Egyszeri",3,2)),IF($D$4="Forint",0,2))</f>
        <v>-713619</v>
      </c>
      <c r="Y775" s="32">
        <v>756</v>
      </c>
      <c r="Z775" s="32">
        <v>63</v>
      </c>
      <c r="AA775" s="32">
        <v>12</v>
      </c>
      <c r="AB775" s="13">
        <f t="shared" si="176"/>
        <v>0</v>
      </c>
      <c r="AC775" s="33"/>
      <c r="AD775" s="13">
        <f t="shared" si="172"/>
        <v>0</v>
      </c>
      <c r="AE775" s="13">
        <f>ROUNDUP(($AB775+$AD775)*VLOOKUP($Z775,Paraméterek!$P$38:$Q$38,2)/12,IF($D$4="Forint",0,2))</f>
        <v>0</v>
      </c>
      <c r="AF775" s="13">
        <f>IF($D$2="Egyszeri",IF($D$7&gt;=IF($D$4="Forint",Paraméterek!$P$223,Paraméterek!$P$224),$D$7-IF($D$4="Forint",Paraméterek!$F$223,Paraméterek!$F$224),0),MIN(IF($AA775=12,AVERAGE($D$20:$D775)*12,0),SUM($D$20:$D$31)))</f>
        <v>0</v>
      </c>
      <c r="AG775" s="13">
        <f>IF(AND($Z775&gt;=10,MOD($Z775,5)=0),$AF775*IF($AA775=12,VLOOKUP($Z775,Paraméterek!$B$225:$F$240,IF($AF775&lt;IF($D$4="Forint",Paraméterek!$C$223,Paraméterek!$C$224),2,IF($AF775&lt;IF($D$4="Forint",Paraméterek!$D$223,Paraméterek!$D$224),3,4))),0),0)</f>
        <v>0</v>
      </c>
      <c r="AH775" s="13">
        <f>IF(AND($Z775&gt;=5,MOD($Z775,5)=0),IF($AA775=12,VLOOKUP($Z775,Paraméterek!$B$225:$F$240,5),0),IF(OR($Z775=3,$Z775=4),IF($AA775=12,VLOOKUP($Z775,Paraméterek!$B$225:$F$240,5,0),0),0))*$AF775</f>
        <v>0</v>
      </c>
      <c r="AI775" s="13">
        <f>ROUNDDOWN(IF(SUM($T$20:$U775)=0,IF($D$2="Egyszeri",$AH775,$AG775),0),IF($D$4="Forint",0,2))</f>
        <v>0</v>
      </c>
      <c r="AJ775" s="13">
        <f t="shared" si="177"/>
        <v>0</v>
      </c>
      <c r="AK775" s="13">
        <f t="shared" si="178"/>
        <v>0</v>
      </c>
      <c r="AM775" s="32">
        <v>756</v>
      </c>
      <c r="AN775" s="32">
        <v>63</v>
      </c>
      <c r="AO775" s="32">
        <v>12</v>
      </c>
      <c r="AP775" s="13"/>
      <c r="AQ775" s="32"/>
      <c r="AR775" s="13">
        <f t="shared" si="179"/>
        <v>0</v>
      </c>
      <c r="AS775" s="33"/>
      <c r="AT775" s="13">
        <f t="shared" si="173"/>
        <v>0</v>
      </c>
      <c r="AU775" s="13">
        <f>ROUNDUP(($AR775+$AT775)*VLOOKUP($AN775,Paraméterek!$P$38:$Q$38,2)/12,IF($D$4="Forint",0,2))</f>
        <v>0</v>
      </c>
      <c r="AV775" s="13">
        <f>Tranzakciók!$M$94</f>
        <v>0</v>
      </c>
      <c r="AW775" s="13"/>
      <c r="AX775" s="13">
        <f>ROUNDUP(IF(SUM($AV775:$AW775)=0,0,IF(IF(ISBLANK($AW775),$AV775,$AW775)*Paraméterek!$J$112&lt;IF($D$4="Forint",Paraméterek!$J$113,Paraméterek!$K$113),IF($D$4="Forint",Paraméterek!$J$113,Paraméterek!$K$113),IF(IF(ISBLANK($AW775),$AV775,$AW775)*Paraméterek!$J$112&gt;IF($D$4="Forint",Paraméterek!$J$114,Paraméterek!$K$114),IF($D$4="Forint",Paraméterek!$J$114,Paraméterek!$K$114),IF(ISBLANK($AW775),$AV775,$AW775)*Paraméterek!$J$112))),IF($D$4="Forint",0,2))</f>
        <v>0</v>
      </c>
      <c r="AY775" s="13">
        <f>$AR775+$AT775-$AU775-IF(ROUNDDOWN(IF(ISBLANK($AW775),$AV775,$AW775),IF($D$4="Forint",0,2))&gt;$AR775+$AT775-$AU775-IF($D$4="Forint",Paraméterek!$J$114,Paraméterek!$K$114),0,ROUNDDOWN(IF(ISBLANK($AW775),$AV775,$AW775),IF($D$4="Forint",0,2))-$AX775)</f>
        <v>0</v>
      </c>
      <c r="AZ775" s="13">
        <f t="shared" si="174"/>
        <v>0</v>
      </c>
    </row>
    <row r="776" spans="1:52" x14ac:dyDescent="0.2">
      <c r="A776" s="32">
        <v>757</v>
      </c>
      <c r="B776" s="32">
        <v>64</v>
      </c>
      <c r="C776" s="32">
        <v>1</v>
      </c>
      <c r="D776" s="13">
        <f t="shared" si="165"/>
        <v>0</v>
      </c>
      <c r="E776" s="13"/>
      <c r="F776" s="13">
        <f>Tranzakciók!$D$95</f>
        <v>0</v>
      </c>
      <c r="G776" s="13"/>
      <c r="H776" s="13">
        <f t="shared" si="166"/>
        <v>0</v>
      </c>
      <c r="I776" s="13">
        <f t="shared" si="167"/>
        <v>644</v>
      </c>
      <c r="J776" s="13">
        <f t="shared" si="168"/>
        <v>644</v>
      </c>
      <c r="K776" s="13">
        <f>ROUNDUP(IF($D$2="Egyszeri",$D776,IF($D$2="Havi",SUM($D$20:$D$31),IF(MOD($C776,$M$1)-1=0,SUM($D$20:$D$31),0))/12*$M$1)*VLOOKUP($B776,Paraméterek!$B$27:$D$30,IF($D$2="Egyszeri",3,2)),IF($D$4="Forint",0,2))</f>
        <v>0</v>
      </c>
      <c r="L776" s="13">
        <f t="shared" si="169"/>
        <v>0</v>
      </c>
      <c r="M776" s="13">
        <f t="shared" ca="1" si="175"/>
        <v>-713619</v>
      </c>
      <c r="N776" s="13">
        <f ca="1">IF($V775&gt;=VLOOKUP($M$4-1+$B776,Paraméterek!$B$121:$D$122,IF($D$4="Forint",2,3)),0,VLOOKUP($M$4-1+$B776,Paraméterek!$B$121:$D$122,IF($D$4="Forint",2,3))-$V775)</f>
        <v>723619</v>
      </c>
      <c r="O776" s="13">
        <f ca="1">ROUNDUP($N776*Paraméterek!$C$58/Paraméterek!$C$56,IF($D$4="Forint",0,2))</f>
        <v>116</v>
      </c>
      <c r="P776" s="13">
        <f t="shared" si="170"/>
        <v>3541</v>
      </c>
      <c r="Q776" s="33"/>
      <c r="R776" s="13">
        <f t="shared" ca="1" si="171"/>
        <v>0</v>
      </c>
      <c r="S776" s="13">
        <f ca="1">ROUNDUP(($M776-$O776-$P776+$R776)*VLOOKUP($B776,Paraméterek!$B$38:$D$39,IF($D$2="Egyszeri",3,2))/12,IF($D$4="Forint",0,2))</f>
        <v>-1752</v>
      </c>
      <c r="T776" s="13"/>
      <c r="U776" s="13"/>
      <c r="V776" s="13">
        <f ca="1">$M776-$O776-$P776+$R776-$S776-IF(ROUNDUP(IF(ISBLANK($U776),$T776,$U776)/IF(AND($B776=1,$D$2&lt;&gt;"Egyszeri"),1,VLOOKUP($B776+IF($C776=12,1,0),Paraméterek!$B$257:$D$267,IF($D$2="Egyszeri",3,2))),IF($D$4="Forint",0,2))&gt;$M776-$O776-$P776+$R776-$S776-IF($D$4="Forint",Paraméterek!$C$216,Paraméterek!$D$216),0,ROUNDUP(IF(ISBLANK($U776),$T776,$U776)/IF(AND($B776=1,$D$2&lt;&gt;"Egyszeri"),1,VLOOKUP($B776+IF($C776=12,1,0),Paraméterek!$B$257:$D$267,IF($D$2="Egyszeri",3,2))),IF($D$4="Forint",0,2)))</f>
        <v>-715524</v>
      </c>
      <c r="W776" s="13">
        <f ca="1">ROUNDDOWN($V776*VLOOKUP($B776+IF($C776=12,1,0),Paraméterek!$B$257:$D$267,IF($D$2="Egyszeri",3,2)),IF($D$4="Forint",0,2))</f>
        <v>-715524</v>
      </c>
      <c r="Y776" s="32">
        <v>757</v>
      </c>
      <c r="Z776" s="32">
        <v>64</v>
      </c>
      <c r="AA776" s="32">
        <v>1</v>
      </c>
      <c r="AB776" s="13">
        <f t="shared" si="176"/>
        <v>0</v>
      </c>
      <c r="AC776" s="33"/>
      <c r="AD776" s="13">
        <f t="shared" si="172"/>
        <v>0</v>
      </c>
      <c r="AE776" s="13">
        <f>ROUNDUP(($AB776+$AD776)*VLOOKUP($Z776,Paraméterek!$P$38:$Q$38,2)/12,IF($D$4="Forint",0,2))</f>
        <v>0</v>
      </c>
      <c r="AF776" s="13">
        <f>IF($D$2="Egyszeri",IF($D$7&gt;=IF($D$4="Forint",Paraméterek!$P$223,Paraméterek!$P$224),$D$7-IF($D$4="Forint",Paraméterek!$F$223,Paraméterek!$F$224),0),MIN(IF($AA776=12,AVERAGE($D$20:$D776)*12,0),SUM($D$20:$D$31)))</f>
        <v>0</v>
      </c>
      <c r="AG776" s="13">
        <f>IF(AND($Z776&gt;=10,MOD($Z776,5)=0),$AF776*IF($AA776=12,VLOOKUP($Z776,Paraméterek!$B$225:$F$240,IF($AF776&lt;IF($D$4="Forint",Paraméterek!$C$223,Paraméterek!$C$224),2,IF($AF776&lt;IF($D$4="Forint",Paraméterek!$D$223,Paraméterek!$D$224),3,4))),0),0)</f>
        <v>0</v>
      </c>
      <c r="AH776" s="13">
        <f>IF(AND($Z776&gt;=5,MOD($Z776,5)=0),IF($AA776=12,VLOOKUP($Z776,Paraméterek!$B$225:$F$240,5),0),IF(OR($Z776=3,$Z776=4),IF($AA776=12,VLOOKUP($Z776,Paraméterek!$B$225:$F$240,5,0),0),0))*$AF776</f>
        <v>0</v>
      </c>
      <c r="AI776" s="13">
        <f>ROUNDDOWN(IF(SUM($T$20:$U776)=0,IF($D$2="Egyszeri",$AH776,$AG776),0),IF($D$4="Forint",0,2))</f>
        <v>0</v>
      </c>
      <c r="AJ776" s="13">
        <f t="shared" si="177"/>
        <v>0</v>
      </c>
      <c r="AK776" s="13">
        <f t="shared" si="178"/>
        <v>0</v>
      </c>
      <c r="AM776" s="32">
        <v>757</v>
      </c>
      <c r="AN776" s="32">
        <v>64</v>
      </c>
      <c r="AO776" s="32">
        <v>1</v>
      </c>
      <c r="AP776" s="13">
        <f>Tranzakciók!$K$95</f>
        <v>0</v>
      </c>
      <c r="AQ776" s="32"/>
      <c r="AR776" s="13">
        <f t="shared" si="179"/>
        <v>0</v>
      </c>
      <c r="AS776" s="33"/>
      <c r="AT776" s="13">
        <f t="shared" si="173"/>
        <v>0</v>
      </c>
      <c r="AU776" s="13">
        <f>ROUNDUP(($AR776+$AT776)*VLOOKUP($AN776,Paraméterek!$P$38:$Q$38,2)/12,IF($D$4="Forint",0,2))</f>
        <v>0</v>
      </c>
      <c r="AV776" s="13"/>
      <c r="AW776" s="13"/>
      <c r="AX776" s="13">
        <f>ROUNDUP(IF(SUM($AV776:$AW776)=0,0,IF(IF(ISBLANK($AW776),$AV776,$AW776)*Paraméterek!$J$112&lt;IF($D$4="Forint",Paraméterek!$J$113,Paraméterek!$K$113),IF($D$4="Forint",Paraméterek!$J$113,Paraméterek!$K$113),IF(IF(ISBLANK($AW776),$AV776,$AW776)*Paraméterek!$J$112&gt;IF($D$4="Forint",Paraméterek!$J$114,Paraméterek!$K$114),IF($D$4="Forint",Paraméterek!$J$114,Paraméterek!$K$114),IF(ISBLANK($AW776),$AV776,$AW776)*Paraméterek!$J$112))),IF($D$4="Forint",0,2))</f>
        <v>0</v>
      </c>
      <c r="AY776" s="13">
        <f>$AR776+$AT776-$AU776-IF(ROUNDDOWN(IF(ISBLANK($AW776),$AV776,$AW776),IF($D$4="Forint",0,2))&gt;$AR776+$AT776-$AU776-IF($D$4="Forint",Paraméterek!$J$114,Paraméterek!$K$114),0,ROUNDDOWN(IF(ISBLANK($AW776),$AV776,$AW776),IF($D$4="Forint",0,2))-$AX776)</f>
        <v>0</v>
      </c>
      <c r="AZ776" s="13">
        <f t="shared" si="174"/>
        <v>0</v>
      </c>
    </row>
    <row r="777" spans="1:52" x14ac:dyDescent="0.2">
      <c r="A777" s="32">
        <v>758</v>
      </c>
      <c r="B777" s="32">
        <v>64</v>
      </c>
      <c r="C777" s="32">
        <v>2</v>
      </c>
      <c r="D777" s="13">
        <f t="shared" si="165"/>
        <v>0</v>
      </c>
      <c r="E777" s="13"/>
      <c r="F777" s="13"/>
      <c r="G777" s="13"/>
      <c r="H777" s="13">
        <f t="shared" si="166"/>
        <v>0</v>
      </c>
      <c r="I777" s="13">
        <f t="shared" si="167"/>
        <v>0</v>
      </c>
      <c r="J777" s="13">
        <f t="shared" si="168"/>
        <v>0</v>
      </c>
      <c r="K777" s="13">
        <f>ROUNDUP(IF($D$2="Egyszeri",$D777,IF($D$2="Havi",SUM($D$20:$D$31),IF(MOD($C777,$M$1)-1=0,SUM($D$20:$D$31),0))/12*$M$1)*VLOOKUP($B777,Paraméterek!$B$27:$D$30,IF($D$2="Egyszeri",3,2)),IF($D$4="Forint",0,2))</f>
        <v>0</v>
      </c>
      <c r="L777" s="13">
        <f t="shared" si="169"/>
        <v>0</v>
      </c>
      <c r="M777" s="13">
        <f t="shared" ca="1" si="175"/>
        <v>-715524</v>
      </c>
      <c r="N777" s="13">
        <f ca="1">IF($V776&gt;=VLOOKUP($M$4-1+$B777,Paraméterek!$B$121:$D$122,IF($D$4="Forint",2,3)),0,VLOOKUP($M$4-1+$B777,Paraméterek!$B$121:$D$122,IF($D$4="Forint",2,3))-$V776)</f>
        <v>725524</v>
      </c>
      <c r="O777" s="13">
        <f ca="1">ROUNDUP($N777*Paraméterek!$C$58/Paraméterek!$C$56,IF($D$4="Forint",0,2))</f>
        <v>116</v>
      </c>
      <c r="P777" s="13">
        <f t="shared" si="170"/>
        <v>3541</v>
      </c>
      <c r="Q777" s="33"/>
      <c r="R777" s="13">
        <f t="shared" ca="1" si="171"/>
        <v>0</v>
      </c>
      <c r="S777" s="13">
        <f ca="1">ROUNDUP(($M777-$O777-$P777+$R777)*VLOOKUP($B777,Paraméterek!$B$38:$D$39,IF($D$2="Egyszeri",3,2))/12,IF($D$4="Forint",0,2))</f>
        <v>-1757</v>
      </c>
      <c r="T777" s="13"/>
      <c r="U777" s="13"/>
      <c r="V777" s="13">
        <f ca="1">$M777-$O777-$P777+$R777-$S777-IF(ROUNDUP(IF(ISBLANK($U777),$T777,$U777)/IF(AND($B777=1,$D$2&lt;&gt;"Egyszeri"),1,VLOOKUP($B777+IF($C777=12,1,0),Paraméterek!$B$257:$D$267,IF($D$2="Egyszeri",3,2))),IF($D$4="Forint",0,2))&gt;$M777-$O777-$P777+$R777-$S777-IF($D$4="Forint",Paraméterek!$C$216,Paraméterek!$D$216),0,ROUNDUP(IF(ISBLANK($U777),$T777,$U777)/IF(AND($B777=1,$D$2&lt;&gt;"Egyszeri"),1,VLOOKUP($B777+IF($C777=12,1,0),Paraméterek!$B$257:$D$267,IF($D$2="Egyszeri",3,2))),IF($D$4="Forint",0,2)))</f>
        <v>-717424</v>
      </c>
      <c r="W777" s="13">
        <f ca="1">ROUNDDOWN($V777*VLOOKUP($B777+IF($C777=12,1,0),Paraméterek!$B$257:$D$267,IF($D$2="Egyszeri",3,2)),IF($D$4="Forint",0,2))</f>
        <v>-717424</v>
      </c>
      <c r="Y777" s="32">
        <v>758</v>
      </c>
      <c r="Z777" s="32">
        <v>64</v>
      </c>
      <c r="AA777" s="32">
        <v>2</v>
      </c>
      <c r="AB777" s="13">
        <f t="shared" si="176"/>
        <v>0</v>
      </c>
      <c r="AC777" s="33"/>
      <c r="AD777" s="13">
        <f t="shared" si="172"/>
        <v>0</v>
      </c>
      <c r="AE777" s="13">
        <f>ROUNDUP(($AB777+$AD777)*VLOOKUP($Z777,Paraméterek!$P$38:$Q$38,2)/12,IF($D$4="Forint",0,2))</f>
        <v>0</v>
      </c>
      <c r="AF777" s="13">
        <f>IF($D$2="Egyszeri",IF($D$7&gt;=IF($D$4="Forint",Paraméterek!$P$223,Paraméterek!$P$224),$D$7-IF($D$4="Forint",Paraméterek!$F$223,Paraméterek!$F$224),0),MIN(IF($AA777=12,AVERAGE($D$20:$D777)*12,0),SUM($D$20:$D$31)))</f>
        <v>0</v>
      </c>
      <c r="AG777" s="13">
        <f>IF(AND($Z777&gt;=10,MOD($Z777,5)=0),$AF777*IF($AA777=12,VLOOKUP($Z777,Paraméterek!$B$225:$F$240,IF($AF777&lt;IF($D$4="Forint",Paraméterek!$C$223,Paraméterek!$C$224),2,IF($AF777&lt;IF($D$4="Forint",Paraméterek!$D$223,Paraméterek!$D$224),3,4))),0),0)</f>
        <v>0</v>
      </c>
      <c r="AH777" s="13">
        <f>IF(AND($Z777&gt;=5,MOD($Z777,5)=0),IF($AA777=12,VLOOKUP($Z777,Paraméterek!$B$225:$F$240,5),0),IF(OR($Z777=3,$Z777=4),IF($AA777=12,VLOOKUP($Z777,Paraméterek!$B$225:$F$240,5,0),0),0))*$AF777</f>
        <v>0</v>
      </c>
      <c r="AI777" s="13">
        <f>ROUNDDOWN(IF(SUM($T$20:$U777)=0,IF($D$2="Egyszeri",$AH777,$AG777),0),IF($D$4="Forint",0,2))</f>
        <v>0</v>
      </c>
      <c r="AJ777" s="13">
        <f t="shared" si="177"/>
        <v>0</v>
      </c>
      <c r="AK777" s="13">
        <f t="shared" si="178"/>
        <v>0</v>
      </c>
      <c r="AM777" s="32">
        <v>758</v>
      </c>
      <c r="AN777" s="32">
        <v>64</v>
      </c>
      <c r="AO777" s="32">
        <v>2</v>
      </c>
      <c r="AP777" s="13"/>
      <c r="AQ777" s="32"/>
      <c r="AR777" s="13">
        <f t="shared" si="179"/>
        <v>0</v>
      </c>
      <c r="AS777" s="33"/>
      <c r="AT777" s="13">
        <f t="shared" si="173"/>
        <v>0</v>
      </c>
      <c r="AU777" s="13">
        <f>ROUNDUP(($AR777+$AT777)*VLOOKUP($AN777,Paraméterek!$P$38:$Q$38,2)/12,IF($D$4="Forint",0,2))</f>
        <v>0</v>
      </c>
      <c r="AV777" s="13"/>
      <c r="AW777" s="13"/>
      <c r="AX777" s="13">
        <f>ROUNDUP(IF(SUM($AV777:$AW777)=0,0,IF(IF(ISBLANK($AW777),$AV777,$AW777)*Paraméterek!$J$112&lt;IF($D$4="Forint",Paraméterek!$J$113,Paraméterek!$K$113),IF($D$4="Forint",Paraméterek!$J$113,Paraméterek!$K$113),IF(IF(ISBLANK($AW777),$AV777,$AW777)*Paraméterek!$J$112&gt;IF($D$4="Forint",Paraméterek!$J$114,Paraméterek!$K$114),IF($D$4="Forint",Paraméterek!$J$114,Paraméterek!$K$114),IF(ISBLANK($AW777),$AV777,$AW777)*Paraméterek!$J$112))),IF($D$4="Forint",0,2))</f>
        <v>0</v>
      </c>
      <c r="AY777" s="13">
        <f>$AR777+$AT777-$AU777-IF(ROUNDDOWN(IF(ISBLANK($AW777),$AV777,$AW777),IF($D$4="Forint",0,2))&gt;$AR777+$AT777-$AU777-IF($D$4="Forint",Paraméterek!$J$114,Paraméterek!$K$114),0,ROUNDDOWN(IF(ISBLANK($AW777),$AV777,$AW777),IF($D$4="Forint",0,2))-$AX777)</f>
        <v>0</v>
      </c>
      <c r="AZ777" s="13">
        <f t="shared" si="174"/>
        <v>0</v>
      </c>
    </row>
    <row r="778" spans="1:52" x14ac:dyDescent="0.2">
      <c r="A778" s="32">
        <v>759</v>
      </c>
      <c r="B778" s="32">
        <v>64</v>
      </c>
      <c r="C778" s="32">
        <v>3</v>
      </c>
      <c r="D778" s="13">
        <f t="shared" si="165"/>
        <v>0</v>
      </c>
      <c r="E778" s="13"/>
      <c r="F778" s="13"/>
      <c r="G778" s="13"/>
      <c r="H778" s="13">
        <f t="shared" si="166"/>
        <v>0</v>
      </c>
      <c r="I778" s="13">
        <f t="shared" si="167"/>
        <v>0</v>
      </c>
      <c r="J778" s="13">
        <f t="shared" si="168"/>
        <v>0</v>
      </c>
      <c r="K778" s="13">
        <f>ROUNDUP(IF($D$2="Egyszeri",$D778,IF($D$2="Havi",SUM($D$20:$D$31),IF(MOD($C778,$M$1)-1=0,SUM($D$20:$D$31),0))/12*$M$1)*VLOOKUP($B778,Paraméterek!$B$27:$D$30,IF($D$2="Egyszeri",3,2)),IF($D$4="Forint",0,2))</f>
        <v>0</v>
      </c>
      <c r="L778" s="13">
        <f t="shared" si="169"/>
        <v>0</v>
      </c>
      <c r="M778" s="13">
        <f t="shared" ca="1" si="175"/>
        <v>-717424</v>
      </c>
      <c r="N778" s="13">
        <f ca="1">IF($V777&gt;=VLOOKUP($M$4-1+$B778,Paraméterek!$B$121:$D$122,IF($D$4="Forint",2,3)),0,VLOOKUP($M$4-1+$B778,Paraméterek!$B$121:$D$122,IF($D$4="Forint",2,3))-$V777)</f>
        <v>727424</v>
      </c>
      <c r="O778" s="13">
        <f ca="1">ROUNDUP($N778*Paraméterek!$C$58/Paraméterek!$C$56,IF($D$4="Forint",0,2))</f>
        <v>116</v>
      </c>
      <c r="P778" s="13">
        <f t="shared" si="170"/>
        <v>3541</v>
      </c>
      <c r="Q778" s="33"/>
      <c r="R778" s="13">
        <f t="shared" ca="1" si="171"/>
        <v>0</v>
      </c>
      <c r="S778" s="13">
        <f ca="1">ROUNDUP(($M778-$O778-$P778+$R778)*VLOOKUP($B778,Paraméterek!$B$38:$D$39,IF($D$2="Egyszeri",3,2))/12,IF($D$4="Forint",0,2))</f>
        <v>-1761</v>
      </c>
      <c r="T778" s="13"/>
      <c r="U778" s="13"/>
      <c r="V778" s="13">
        <f ca="1">$M778-$O778-$P778+$R778-$S778-IF(ROUNDUP(IF(ISBLANK($U778),$T778,$U778)/IF(AND($B778=1,$D$2&lt;&gt;"Egyszeri"),1,VLOOKUP($B778+IF($C778=12,1,0),Paraméterek!$B$257:$D$267,IF($D$2="Egyszeri",3,2))),IF($D$4="Forint",0,2))&gt;$M778-$O778-$P778+$R778-$S778-IF($D$4="Forint",Paraméterek!$C$216,Paraméterek!$D$216),0,ROUNDUP(IF(ISBLANK($U778),$T778,$U778)/IF(AND($B778=1,$D$2&lt;&gt;"Egyszeri"),1,VLOOKUP($B778+IF($C778=12,1,0),Paraméterek!$B$257:$D$267,IF($D$2="Egyszeri",3,2))),IF($D$4="Forint",0,2)))</f>
        <v>-719320</v>
      </c>
      <c r="W778" s="13">
        <f ca="1">ROUNDDOWN($V778*VLOOKUP($B778+IF($C778=12,1,0),Paraméterek!$B$257:$D$267,IF($D$2="Egyszeri",3,2)),IF($D$4="Forint",0,2))</f>
        <v>-719320</v>
      </c>
      <c r="Y778" s="32">
        <v>759</v>
      </c>
      <c r="Z778" s="32">
        <v>64</v>
      </c>
      <c r="AA778" s="32">
        <v>3</v>
      </c>
      <c r="AB778" s="13">
        <f t="shared" si="176"/>
        <v>0</v>
      </c>
      <c r="AC778" s="33"/>
      <c r="AD778" s="13">
        <f t="shared" si="172"/>
        <v>0</v>
      </c>
      <c r="AE778" s="13">
        <f>ROUNDUP(($AB778+$AD778)*VLOOKUP($Z778,Paraméterek!$P$38:$Q$38,2)/12,IF($D$4="Forint",0,2))</f>
        <v>0</v>
      </c>
      <c r="AF778" s="13">
        <f>IF($D$2="Egyszeri",IF($D$7&gt;=IF($D$4="Forint",Paraméterek!$P$223,Paraméterek!$P$224),$D$7-IF($D$4="Forint",Paraméterek!$F$223,Paraméterek!$F$224),0),MIN(IF($AA778=12,AVERAGE($D$20:$D778)*12,0),SUM($D$20:$D$31)))</f>
        <v>0</v>
      </c>
      <c r="AG778" s="13">
        <f>IF(AND($Z778&gt;=10,MOD($Z778,5)=0),$AF778*IF($AA778=12,VLOOKUP($Z778,Paraméterek!$B$225:$F$240,IF($AF778&lt;IF($D$4="Forint",Paraméterek!$C$223,Paraméterek!$C$224),2,IF($AF778&lt;IF($D$4="Forint",Paraméterek!$D$223,Paraméterek!$D$224),3,4))),0),0)</f>
        <v>0</v>
      </c>
      <c r="AH778" s="13">
        <f>IF(AND($Z778&gt;=5,MOD($Z778,5)=0),IF($AA778=12,VLOOKUP($Z778,Paraméterek!$B$225:$F$240,5),0),IF(OR($Z778=3,$Z778=4),IF($AA778=12,VLOOKUP($Z778,Paraméterek!$B$225:$F$240,5,0),0),0))*$AF778</f>
        <v>0</v>
      </c>
      <c r="AI778" s="13">
        <f>ROUNDDOWN(IF(SUM($T$20:$U778)=0,IF($D$2="Egyszeri",$AH778,$AG778),0),IF($D$4="Forint",0,2))</f>
        <v>0</v>
      </c>
      <c r="AJ778" s="13">
        <f t="shared" si="177"/>
        <v>0</v>
      </c>
      <c r="AK778" s="13">
        <f t="shared" si="178"/>
        <v>0</v>
      </c>
      <c r="AM778" s="32">
        <v>759</v>
      </c>
      <c r="AN778" s="32">
        <v>64</v>
      </c>
      <c r="AO778" s="32">
        <v>3</v>
      </c>
      <c r="AP778" s="13"/>
      <c r="AQ778" s="32"/>
      <c r="AR778" s="13">
        <f t="shared" si="179"/>
        <v>0</v>
      </c>
      <c r="AS778" s="33"/>
      <c r="AT778" s="13">
        <f t="shared" si="173"/>
        <v>0</v>
      </c>
      <c r="AU778" s="13">
        <f>ROUNDUP(($AR778+$AT778)*VLOOKUP($AN778,Paraméterek!$P$38:$Q$38,2)/12,IF($D$4="Forint",0,2))</f>
        <v>0</v>
      </c>
      <c r="AV778" s="13"/>
      <c r="AW778" s="13"/>
      <c r="AX778" s="13">
        <f>ROUNDUP(IF(SUM($AV778:$AW778)=0,0,IF(IF(ISBLANK($AW778),$AV778,$AW778)*Paraméterek!$J$112&lt;IF($D$4="Forint",Paraméterek!$J$113,Paraméterek!$K$113),IF($D$4="Forint",Paraméterek!$J$113,Paraméterek!$K$113),IF(IF(ISBLANK($AW778),$AV778,$AW778)*Paraméterek!$J$112&gt;IF($D$4="Forint",Paraméterek!$J$114,Paraméterek!$K$114),IF($D$4="Forint",Paraméterek!$J$114,Paraméterek!$K$114),IF(ISBLANK($AW778),$AV778,$AW778)*Paraméterek!$J$112))),IF($D$4="Forint",0,2))</f>
        <v>0</v>
      </c>
      <c r="AY778" s="13">
        <f>$AR778+$AT778-$AU778-IF(ROUNDDOWN(IF(ISBLANK($AW778),$AV778,$AW778),IF($D$4="Forint",0,2))&gt;$AR778+$AT778-$AU778-IF($D$4="Forint",Paraméterek!$J$114,Paraméterek!$K$114),0,ROUNDDOWN(IF(ISBLANK($AW778),$AV778,$AW778),IF($D$4="Forint",0,2))-$AX778)</f>
        <v>0</v>
      </c>
      <c r="AZ778" s="13">
        <f t="shared" si="174"/>
        <v>0</v>
      </c>
    </row>
    <row r="779" spans="1:52" x14ac:dyDescent="0.2">
      <c r="A779" s="32">
        <v>760</v>
      </c>
      <c r="B779" s="32">
        <v>64</v>
      </c>
      <c r="C779" s="32">
        <v>4</v>
      </c>
      <c r="D779" s="13">
        <f t="shared" si="165"/>
        <v>0</v>
      </c>
      <c r="E779" s="13"/>
      <c r="F779" s="13"/>
      <c r="G779" s="13"/>
      <c r="H779" s="13">
        <f t="shared" si="166"/>
        <v>0</v>
      </c>
      <c r="I779" s="13">
        <f t="shared" si="167"/>
        <v>0</v>
      </c>
      <c r="J779" s="13">
        <f t="shared" si="168"/>
        <v>0</v>
      </c>
      <c r="K779" s="13">
        <f>ROUNDUP(IF($D$2="Egyszeri",$D779,IF($D$2="Havi",SUM($D$20:$D$31),IF(MOD($C779,$M$1)-1=0,SUM($D$20:$D$31),0))/12*$M$1)*VLOOKUP($B779,Paraméterek!$B$27:$D$30,IF($D$2="Egyszeri",3,2)),IF($D$4="Forint",0,2))</f>
        <v>0</v>
      </c>
      <c r="L779" s="13">
        <f t="shared" si="169"/>
        <v>0</v>
      </c>
      <c r="M779" s="13">
        <f t="shared" ca="1" si="175"/>
        <v>-719320</v>
      </c>
      <c r="N779" s="13">
        <f ca="1">IF($V778&gt;=VLOOKUP($M$4-1+$B779,Paraméterek!$B$121:$D$122,IF($D$4="Forint",2,3)),0,VLOOKUP($M$4-1+$B779,Paraméterek!$B$121:$D$122,IF($D$4="Forint",2,3))-$V778)</f>
        <v>729320</v>
      </c>
      <c r="O779" s="13">
        <f ca="1">ROUNDUP($N779*Paraméterek!$C$58/Paraméterek!$C$56,IF($D$4="Forint",0,2))</f>
        <v>117</v>
      </c>
      <c r="P779" s="13">
        <f t="shared" si="170"/>
        <v>3541</v>
      </c>
      <c r="Q779" s="33"/>
      <c r="R779" s="13">
        <f t="shared" ca="1" si="171"/>
        <v>0</v>
      </c>
      <c r="S779" s="13">
        <f ca="1">ROUNDUP(($M779-$O779-$P779+$R779)*VLOOKUP($B779,Paraméterek!$B$38:$D$39,IF($D$2="Egyszeri",3,2))/12,IF($D$4="Forint",0,2))</f>
        <v>-1766</v>
      </c>
      <c r="T779" s="13"/>
      <c r="U779" s="13"/>
      <c r="V779" s="13">
        <f ca="1">$M779-$O779-$P779+$R779-$S779-IF(ROUNDUP(IF(ISBLANK($U779),$T779,$U779)/IF(AND($B779=1,$D$2&lt;&gt;"Egyszeri"),1,VLOOKUP($B779+IF($C779=12,1,0),Paraméterek!$B$257:$D$267,IF($D$2="Egyszeri",3,2))),IF($D$4="Forint",0,2))&gt;$M779-$O779-$P779+$R779-$S779-IF($D$4="Forint",Paraméterek!$C$216,Paraméterek!$D$216),0,ROUNDUP(IF(ISBLANK($U779),$T779,$U779)/IF(AND($B779=1,$D$2&lt;&gt;"Egyszeri"),1,VLOOKUP($B779+IF($C779=12,1,0),Paraméterek!$B$257:$D$267,IF($D$2="Egyszeri",3,2))),IF($D$4="Forint",0,2)))</f>
        <v>-721212</v>
      </c>
      <c r="W779" s="13">
        <f ca="1">ROUNDDOWN($V779*VLOOKUP($B779+IF($C779=12,1,0),Paraméterek!$B$257:$D$267,IF($D$2="Egyszeri",3,2)),IF($D$4="Forint",0,2))</f>
        <v>-721212</v>
      </c>
      <c r="Y779" s="32">
        <v>760</v>
      </c>
      <c r="Z779" s="32">
        <v>64</v>
      </c>
      <c r="AA779" s="32">
        <v>4</v>
      </c>
      <c r="AB779" s="13">
        <f t="shared" si="176"/>
        <v>0</v>
      </c>
      <c r="AC779" s="33"/>
      <c r="AD779" s="13">
        <f t="shared" si="172"/>
        <v>0</v>
      </c>
      <c r="AE779" s="13">
        <f>ROUNDUP(($AB779+$AD779)*VLOOKUP($Z779,Paraméterek!$P$38:$Q$38,2)/12,IF($D$4="Forint",0,2))</f>
        <v>0</v>
      </c>
      <c r="AF779" s="13">
        <f>IF($D$2="Egyszeri",IF($D$7&gt;=IF($D$4="Forint",Paraméterek!$P$223,Paraméterek!$P$224),$D$7-IF($D$4="Forint",Paraméterek!$F$223,Paraméterek!$F$224),0),MIN(IF($AA779=12,AVERAGE($D$20:$D779)*12,0),SUM($D$20:$D$31)))</f>
        <v>0</v>
      </c>
      <c r="AG779" s="13">
        <f>IF(AND($Z779&gt;=10,MOD($Z779,5)=0),$AF779*IF($AA779=12,VLOOKUP($Z779,Paraméterek!$B$225:$F$240,IF($AF779&lt;IF($D$4="Forint",Paraméterek!$C$223,Paraméterek!$C$224),2,IF($AF779&lt;IF($D$4="Forint",Paraméterek!$D$223,Paraméterek!$D$224),3,4))),0),0)</f>
        <v>0</v>
      </c>
      <c r="AH779" s="13">
        <f>IF(AND($Z779&gt;=5,MOD($Z779,5)=0),IF($AA779=12,VLOOKUP($Z779,Paraméterek!$B$225:$F$240,5),0),IF(OR($Z779=3,$Z779=4),IF($AA779=12,VLOOKUP($Z779,Paraméterek!$B$225:$F$240,5,0),0),0))*$AF779</f>
        <v>0</v>
      </c>
      <c r="AI779" s="13">
        <f>ROUNDDOWN(IF(SUM($T$20:$U779)=0,IF($D$2="Egyszeri",$AH779,$AG779),0),IF($D$4="Forint",0,2))</f>
        <v>0</v>
      </c>
      <c r="AJ779" s="13">
        <f t="shared" si="177"/>
        <v>0</v>
      </c>
      <c r="AK779" s="13">
        <f t="shared" si="178"/>
        <v>0</v>
      </c>
      <c r="AM779" s="32">
        <v>760</v>
      </c>
      <c r="AN779" s="32">
        <v>64</v>
      </c>
      <c r="AO779" s="32">
        <v>4</v>
      </c>
      <c r="AP779" s="13"/>
      <c r="AQ779" s="32"/>
      <c r="AR779" s="13">
        <f t="shared" si="179"/>
        <v>0</v>
      </c>
      <c r="AS779" s="33"/>
      <c r="AT779" s="13">
        <f t="shared" si="173"/>
        <v>0</v>
      </c>
      <c r="AU779" s="13">
        <f>ROUNDUP(($AR779+$AT779)*VLOOKUP($AN779,Paraméterek!$P$38:$Q$38,2)/12,IF($D$4="Forint",0,2))</f>
        <v>0</v>
      </c>
      <c r="AV779" s="13"/>
      <c r="AW779" s="13"/>
      <c r="AX779" s="13">
        <f>ROUNDUP(IF(SUM($AV779:$AW779)=0,0,IF(IF(ISBLANK($AW779),$AV779,$AW779)*Paraméterek!$J$112&lt;IF($D$4="Forint",Paraméterek!$J$113,Paraméterek!$K$113),IF($D$4="Forint",Paraméterek!$J$113,Paraméterek!$K$113),IF(IF(ISBLANK($AW779),$AV779,$AW779)*Paraméterek!$J$112&gt;IF($D$4="Forint",Paraméterek!$J$114,Paraméterek!$K$114),IF($D$4="Forint",Paraméterek!$J$114,Paraméterek!$K$114),IF(ISBLANK($AW779),$AV779,$AW779)*Paraméterek!$J$112))),IF($D$4="Forint",0,2))</f>
        <v>0</v>
      </c>
      <c r="AY779" s="13">
        <f>$AR779+$AT779-$AU779-IF(ROUNDDOWN(IF(ISBLANK($AW779),$AV779,$AW779),IF($D$4="Forint",0,2))&gt;$AR779+$AT779-$AU779-IF($D$4="Forint",Paraméterek!$J$114,Paraméterek!$K$114),0,ROUNDDOWN(IF(ISBLANK($AW779),$AV779,$AW779),IF($D$4="Forint",0,2))-$AX779)</f>
        <v>0</v>
      </c>
      <c r="AZ779" s="13">
        <f t="shared" si="174"/>
        <v>0</v>
      </c>
    </row>
    <row r="780" spans="1:52" x14ac:dyDescent="0.2">
      <c r="A780" s="32">
        <v>761</v>
      </c>
      <c r="B780" s="32">
        <v>64</v>
      </c>
      <c r="C780" s="32">
        <v>5</v>
      </c>
      <c r="D780" s="13">
        <f t="shared" si="165"/>
        <v>0</v>
      </c>
      <c r="E780" s="13"/>
      <c r="F780" s="13"/>
      <c r="G780" s="13"/>
      <c r="H780" s="13">
        <f t="shared" si="166"/>
        <v>0</v>
      </c>
      <c r="I780" s="13">
        <f t="shared" si="167"/>
        <v>0</v>
      </c>
      <c r="J780" s="13">
        <f t="shared" si="168"/>
        <v>0</v>
      </c>
      <c r="K780" s="13">
        <f>ROUNDUP(IF($D$2="Egyszeri",$D780,IF($D$2="Havi",SUM($D$20:$D$31),IF(MOD($C780,$M$1)-1=0,SUM($D$20:$D$31),0))/12*$M$1)*VLOOKUP($B780,Paraméterek!$B$27:$D$30,IF($D$2="Egyszeri",3,2)),IF($D$4="Forint",0,2))</f>
        <v>0</v>
      </c>
      <c r="L780" s="13">
        <f t="shared" si="169"/>
        <v>0</v>
      </c>
      <c r="M780" s="13">
        <f t="shared" ca="1" si="175"/>
        <v>-721212</v>
      </c>
      <c r="N780" s="13">
        <f ca="1">IF($V779&gt;=VLOOKUP($M$4-1+$B780,Paraméterek!$B$121:$D$122,IF($D$4="Forint",2,3)),0,VLOOKUP($M$4-1+$B780,Paraméterek!$B$121:$D$122,IF($D$4="Forint",2,3))-$V779)</f>
        <v>731212</v>
      </c>
      <c r="O780" s="13">
        <f ca="1">ROUNDUP($N780*Paraméterek!$C$58/Paraméterek!$C$56,IF($D$4="Forint",0,2))</f>
        <v>117</v>
      </c>
      <c r="P780" s="13">
        <f t="shared" si="170"/>
        <v>3541</v>
      </c>
      <c r="Q780" s="33"/>
      <c r="R780" s="13">
        <f t="shared" ca="1" si="171"/>
        <v>0</v>
      </c>
      <c r="S780" s="13">
        <f ca="1">ROUNDUP(($M780-$O780-$P780+$R780)*VLOOKUP($B780,Paraméterek!$B$38:$D$39,IF($D$2="Egyszeri",3,2))/12,IF($D$4="Forint",0,2))</f>
        <v>-1770</v>
      </c>
      <c r="T780" s="13"/>
      <c r="U780" s="13"/>
      <c r="V780" s="13">
        <f ca="1">$M780-$O780-$P780+$R780-$S780-IF(ROUNDUP(IF(ISBLANK($U780),$T780,$U780)/IF(AND($B780=1,$D$2&lt;&gt;"Egyszeri"),1,VLOOKUP($B780+IF($C780=12,1,0),Paraméterek!$B$257:$D$267,IF($D$2="Egyszeri",3,2))),IF($D$4="Forint",0,2))&gt;$M780-$O780-$P780+$R780-$S780-IF($D$4="Forint",Paraméterek!$C$216,Paraméterek!$D$216),0,ROUNDUP(IF(ISBLANK($U780),$T780,$U780)/IF(AND($B780=1,$D$2&lt;&gt;"Egyszeri"),1,VLOOKUP($B780+IF($C780=12,1,0),Paraméterek!$B$257:$D$267,IF($D$2="Egyszeri",3,2))),IF($D$4="Forint",0,2)))</f>
        <v>-723100</v>
      </c>
      <c r="W780" s="13">
        <f ca="1">ROUNDDOWN($V780*VLOOKUP($B780+IF($C780=12,1,0),Paraméterek!$B$257:$D$267,IF($D$2="Egyszeri",3,2)),IF($D$4="Forint",0,2))</f>
        <v>-723100</v>
      </c>
      <c r="Y780" s="32">
        <v>761</v>
      </c>
      <c r="Z780" s="32">
        <v>64</v>
      </c>
      <c r="AA780" s="32">
        <v>5</v>
      </c>
      <c r="AB780" s="13">
        <f t="shared" si="176"/>
        <v>0</v>
      </c>
      <c r="AC780" s="33"/>
      <c r="AD780" s="13">
        <f t="shared" si="172"/>
        <v>0</v>
      </c>
      <c r="AE780" s="13">
        <f>ROUNDUP(($AB780+$AD780)*VLOOKUP($Z780,Paraméterek!$P$38:$Q$38,2)/12,IF($D$4="Forint",0,2))</f>
        <v>0</v>
      </c>
      <c r="AF780" s="13">
        <f>IF($D$2="Egyszeri",IF($D$7&gt;=IF($D$4="Forint",Paraméterek!$P$223,Paraméterek!$P$224),$D$7-IF($D$4="Forint",Paraméterek!$F$223,Paraméterek!$F$224),0),MIN(IF($AA780=12,AVERAGE($D$20:$D780)*12,0),SUM($D$20:$D$31)))</f>
        <v>0</v>
      </c>
      <c r="AG780" s="13">
        <f>IF(AND($Z780&gt;=10,MOD($Z780,5)=0),$AF780*IF($AA780=12,VLOOKUP($Z780,Paraméterek!$B$225:$F$240,IF($AF780&lt;IF($D$4="Forint",Paraméterek!$C$223,Paraméterek!$C$224),2,IF($AF780&lt;IF($D$4="Forint",Paraméterek!$D$223,Paraméterek!$D$224),3,4))),0),0)</f>
        <v>0</v>
      </c>
      <c r="AH780" s="13">
        <f>IF(AND($Z780&gt;=5,MOD($Z780,5)=0),IF($AA780=12,VLOOKUP($Z780,Paraméterek!$B$225:$F$240,5),0),IF(OR($Z780=3,$Z780=4),IF($AA780=12,VLOOKUP($Z780,Paraméterek!$B$225:$F$240,5,0),0),0))*$AF780</f>
        <v>0</v>
      </c>
      <c r="AI780" s="13">
        <f>ROUNDDOWN(IF(SUM($T$20:$U780)=0,IF($D$2="Egyszeri",$AH780,$AG780),0),IF($D$4="Forint",0,2))</f>
        <v>0</v>
      </c>
      <c r="AJ780" s="13">
        <f t="shared" si="177"/>
        <v>0</v>
      </c>
      <c r="AK780" s="13">
        <f t="shared" si="178"/>
        <v>0</v>
      </c>
      <c r="AM780" s="32">
        <v>761</v>
      </c>
      <c r="AN780" s="32">
        <v>64</v>
      </c>
      <c r="AO780" s="32">
        <v>5</v>
      </c>
      <c r="AP780" s="13"/>
      <c r="AQ780" s="32"/>
      <c r="AR780" s="13">
        <f t="shared" si="179"/>
        <v>0</v>
      </c>
      <c r="AS780" s="33"/>
      <c r="AT780" s="13">
        <f t="shared" si="173"/>
        <v>0</v>
      </c>
      <c r="AU780" s="13">
        <f>ROUNDUP(($AR780+$AT780)*VLOOKUP($AN780,Paraméterek!$P$38:$Q$38,2)/12,IF($D$4="Forint",0,2))</f>
        <v>0</v>
      </c>
      <c r="AV780" s="13"/>
      <c r="AW780" s="13"/>
      <c r="AX780" s="13">
        <f>ROUNDUP(IF(SUM($AV780:$AW780)=0,0,IF(IF(ISBLANK($AW780),$AV780,$AW780)*Paraméterek!$J$112&lt;IF($D$4="Forint",Paraméterek!$J$113,Paraméterek!$K$113),IF($D$4="Forint",Paraméterek!$J$113,Paraméterek!$K$113),IF(IF(ISBLANK($AW780),$AV780,$AW780)*Paraméterek!$J$112&gt;IF($D$4="Forint",Paraméterek!$J$114,Paraméterek!$K$114),IF($D$4="Forint",Paraméterek!$J$114,Paraméterek!$K$114),IF(ISBLANK($AW780),$AV780,$AW780)*Paraméterek!$J$112))),IF($D$4="Forint",0,2))</f>
        <v>0</v>
      </c>
      <c r="AY780" s="13">
        <f>$AR780+$AT780-$AU780-IF(ROUNDDOWN(IF(ISBLANK($AW780),$AV780,$AW780),IF($D$4="Forint",0,2))&gt;$AR780+$AT780-$AU780-IF($D$4="Forint",Paraméterek!$J$114,Paraméterek!$K$114),0,ROUNDDOWN(IF(ISBLANK($AW780),$AV780,$AW780),IF($D$4="Forint",0,2))-$AX780)</f>
        <v>0</v>
      </c>
      <c r="AZ780" s="13">
        <f t="shared" si="174"/>
        <v>0</v>
      </c>
    </row>
    <row r="781" spans="1:52" x14ac:dyDescent="0.2">
      <c r="A781" s="32">
        <v>762</v>
      </c>
      <c r="B781" s="32">
        <v>64</v>
      </c>
      <c r="C781" s="32">
        <v>6</v>
      </c>
      <c r="D781" s="13">
        <f t="shared" si="165"/>
        <v>0</v>
      </c>
      <c r="E781" s="13"/>
      <c r="F781" s="13"/>
      <c r="G781" s="13"/>
      <c r="H781" s="13">
        <f t="shared" si="166"/>
        <v>0</v>
      </c>
      <c r="I781" s="13">
        <f t="shared" si="167"/>
        <v>0</v>
      </c>
      <c r="J781" s="13">
        <f t="shared" si="168"/>
        <v>0</v>
      </c>
      <c r="K781" s="13">
        <f>ROUNDUP(IF($D$2="Egyszeri",$D781,IF($D$2="Havi",SUM($D$20:$D$31),IF(MOD($C781,$M$1)-1=0,SUM($D$20:$D$31),0))/12*$M$1)*VLOOKUP($B781,Paraméterek!$B$27:$D$30,IF($D$2="Egyszeri",3,2)),IF($D$4="Forint",0,2))</f>
        <v>0</v>
      </c>
      <c r="L781" s="13">
        <f t="shared" si="169"/>
        <v>0</v>
      </c>
      <c r="M781" s="13">
        <f t="shared" ca="1" si="175"/>
        <v>-723100</v>
      </c>
      <c r="N781" s="13">
        <f ca="1">IF($V780&gt;=VLOOKUP($M$4-1+$B781,Paraméterek!$B$121:$D$122,IF($D$4="Forint",2,3)),0,VLOOKUP($M$4-1+$B781,Paraméterek!$B$121:$D$122,IF($D$4="Forint",2,3))-$V780)</f>
        <v>733100</v>
      </c>
      <c r="O781" s="13">
        <f ca="1">ROUNDUP($N781*Paraméterek!$C$58/Paraméterek!$C$56,IF($D$4="Forint",0,2))</f>
        <v>117</v>
      </c>
      <c r="P781" s="13">
        <f t="shared" si="170"/>
        <v>3541</v>
      </c>
      <c r="Q781" s="33"/>
      <c r="R781" s="13">
        <f t="shared" ca="1" si="171"/>
        <v>0</v>
      </c>
      <c r="S781" s="13">
        <f ca="1">ROUNDUP(($M781-$O781-$P781+$R781)*VLOOKUP($B781,Paraméterek!$B$38:$D$39,IF($D$2="Egyszeri",3,2))/12,IF($D$4="Forint",0,2))</f>
        <v>-1775</v>
      </c>
      <c r="T781" s="13"/>
      <c r="U781" s="13"/>
      <c r="V781" s="13">
        <f ca="1">$M781-$O781-$P781+$R781-$S781-IF(ROUNDUP(IF(ISBLANK($U781),$T781,$U781)/IF(AND($B781=1,$D$2&lt;&gt;"Egyszeri"),1,VLOOKUP($B781+IF($C781=12,1,0),Paraméterek!$B$257:$D$267,IF($D$2="Egyszeri",3,2))),IF($D$4="Forint",0,2))&gt;$M781-$O781-$P781+$R781-$S781-IF($D$4="Forint",Paraméterek!$C$216,Paraméterek!$D$216),0,ROUNDUP(IF(ISBLANK($U781),$T781,$U781)/IF(AND($B781=1,$D$2&lt;&gt;"Egyszeri"),1,VLOOKUP($B781+IF($C781=12,1,0),Paraméterek!$B$257:$D$267,IF($D$2="Egyszeri",3,2))),IF($D$4="Forint",0,2)))</f>
        <v>-724983</v>
      </c>
      <c r="W781" s="13">
        <f ca="1">ROUNDDOWN($V781*VLOOKUP($B781+IF($C781=12,1,0),Paraméterek!$B$257:$D$267,IF($D$2="Egyszeri",3,2)),IF($D$4="Forint",0,2))</f>
        <v>-724983</v>
      </c>
      <c r="Y781" s="32">
        <v>762</v>
      </c>
      <c r="Z781" s="32">
        <v>64</v>
      </c>
      <c r="AA781" s="32">
        <v>6</v>
      </c>
      <c r="AB781" s="13">
        <f t="shared" si="176"/>
        <v>0</v>
      </c>
      <c r="AC781" s="33"/>
      <c r="AD781" s="13">
        <f t="shared" si="172"/>
        <v>0</v>
      </c>
      <c r="AE781" s="13">
        <f>ROUNDUP(($AB781+$AD781)*VLOOKUP($Z781,Paraméterek!$P$38:$Q$38,2)/12,IF($D$4="Forint",0,2))</f>
        <v>0</v>
      </c>
      <c r="AF781" s="13">
        <f>IF($D$2="Egyszeri",IF($D$7&gt;=IF($D$4="Forint",Paraméterek!$P$223,Paraméterek!$P$224),$D$7-IF($D$4="Forint",Paraméterek!$F$223,Paraméterek!$F$224),0),MIN(IF($AA781=12,AVERAGE($D$20:$D781)*12,0),SUM($D$20:$D$31)))</f>
        <v>0</v>
      </c>
      <c r="AG781" s="13">
        <f>IF(AND($Z781&gt;=10,MOD($Z781,5)=0),$AF781*IF($AA781=12,VLOOKUP($Z781,Paraméterek!$B$225:$F$240,IF($AF781&lt;IF($D$4="Forint",Paraméterek!$C$223,Paraméterek!$C$224),2,IF($AF781&lt;IF($D$4="Forint",Paraméterek!$D$223,Paraméterek!$D$224),3,4))),0),0)</f>
        <v>0</v>
      </c>
      <c r="AH781" s="13">
        <f>IF(AND($Z781&gt;=5,MOD($Z781,5)=0),IF($AA781=12,VLOOKUP($Z781,Paraméterek!$B$225:$F$240,5),0),IF(OR($Z781=3,$Z781=4),IF($AA781=12,VLOOKUP($Z781,Paraméterek!$B$225:$F$240,5,0),0),0))*$AF781</f>
        <v>0</v>
      </c>
      <c r="AI781" s="13">
        <f>ROUNDDOWN(IF(SUM($T$20:$U781)=0,IF($D$2="Egyszeri",$AH781,$AG781),0),IF($D$4="Forint",0,2))</f>
        <v>0</v>
      </c>
      <c r="AJ781" s="13">
        <f t="shared" si="177"/>
        <v>0</v>
      </c>
      <c r="AK781" s="13">
        <f t="shared" si="178"/>
        <v>0</v>
      </c>
      <c r="AM781" s="32">
        <v>762</v>
      </c>
      <c r="AN781" s="32">
        <v>64</v>
      </c>
      <c r="AO781" s="32">
        <v>6</v>
      </c>
      <c r="AP781" s="13"/>
      <c r="AQ781" s="32"/>
      <c r="AR781" s="13">
        <f t="shared" si="179"/>
        <v>0</v>
      </c>
      <c r="AS781" s="33"/>
      <c r="AT781" s="13">
        <f t="shared" si="173"/>
        <v>0</v>
      </c>
      <c r="AU781" s="13">
        <f>ROUNDUP(($AR781+$AT781)*VLOOKUP($AN781,Paraméterek!$P$38:$Q$38,2)/12,IF($D$4="Forint",0,2))</f>
        <v>0</v>
      </c>
      <c r="AV781" s="13"/>
      <c r="AW781" s="13"/>
      <c r="AX781" s="13">
        <f>ROUNDUP(IF(SUM($AV781:$AW781)=0,0,IF(IF(ISBLANK($AW781),$AV781,$AW781)*Paraméterek!$J$112&lt;IF($D$4="Forint",Paraméterek!$J$113,Paraméterek!$K$113),IF($D$4="Forint",Paraméterek!$J$113,Paraméterek!$K$113),IF(IF(ISBLANK($AW781),$AV781,$AW781)*Paraméterek!$J$112&gt;IF($D$4="Forint",Paraméterek!$J$114,Paraméterek!$K$114),IF($D$4="Forint",Paraméterek!$J$114,Paraméterek!$K$114),IF(ISBLANK($AW781),$AV781,$AW781)*Paraméterek!$J$112))),IF($D$4="Forint",0,2))</f>
        <v>0</v>
      </c>
      <c r="AY781" s="13">
        <f>$AR781+$AT781-$AU781-IF(ROUNDDOWN(IF(ISBLANK($AW781),$AV781,$AW781),IF($D$4="Forint",0,2))&gt;$AR781+$AT781-$AU781-IF($D$4="Forint",Paraméterek!$J$114,Paraméterek!$K$114),0,ROUNDDOWN(IF(ISBLANK($AW781),$AV781,$AW781),IF($D$4="Forint",0,2))-$AX781)</f>
        <v>0</v>
      </c>
      <c r="AZ781" s="13">
        <f t="shared" si="174"/>
        <v>0</v>
      </c>
    </row>
    <row r="782" spans="1:52" x14ac:dyDescent="0.2">
      <c r="A782" s="32">
        <v>763</v>
      </c>
      <c r="B782" s="32">
        <v>64</v>
      </c>
      <c r="C782" s="32">
        <v>7</v>
      </c>
      <c r="D782" s="13">
        <f t="shared" si="165"/>
        <v>0</v>
      </c>
      <c r="E782" s="13"/>
      <c r="F782" s="13"/>
      <c r="G782" s="13"/>
      <c r="H782" s="13">
        <f t="shared" si="166"/>
        <v>0</v>
      </c>
      <c r="I782" s="13">
        <f t="shared" si="167"/>
        <v>0</v>
      </c>
      <c r="J782" s="13">
        <f t="shared" si="168"/>
        <v>0</v>
      </c>
      <c r="K782" s="13">
        <f>ROUNDUP(IF($D$2="Egyszeri",$D782,IF($D$2="Havi",SUM($D$20:$D$31),IF(MOD($C782,$M$1)-1=0,SUM($D$20:$D$31),0))/12*$M$1)*VLOOKUP($B782,Paraméterek!$B$27:$D$30,IF($D$2="Egyszeri",3,2)),IF($D$4="Forint",0,2))</f>
        <v>0</v>
      </c>
      <c r="L782" s="13">
        <f t="shared" si="169"/>
        <v>0</v>
      </c>
      <c r="M782" s="13">
        <f t="shared" ca="1" si="175"/>
        <v>-724983</v>
      </c>
      <c r="N782" s="13">
        <f ca="1">IF($V781&gt;=VLOOKUP($M$4-1+$B782,Paraméterek!$B$121:$D$122,IF($D$4="Forint",2,3)),0,VLOOKUP($M$4-1+$B782,Paraméterek!$B$121:$D$122,IF($D$4="Forint",2,3))-$V781)</f>
        <v>734983</v>
      </c>
      <c r="O782" s="13">
        <f ca="1">ROUNDUP($N782*Paraméterek!$C$58/Paraméterek!$C$56,IF($D$4="Forint",0,2))</f>
        <v>117</v>
      </c>
      <c r="P782" s="13">
        <f t="shared" si="170"/>
        <v>3541</v>
      </c>
      <c r="Q782" s="33"/>
      <c r="R782" s="13">
        <f t="shared" ca="1" si="171"/>
        <v>0</v>
      </c>
      <c r="S782" s="13">
        <f ca="1">ROUNDUP(($M782-$O782-$P782+$R782)*VLOOKUP($B782,Paraméterek!$B$38:$D$39,IF($D$2="Egyszeri",3,2))/12,IF($D$4="Forint",0,2))</f>
        <v>-1780</v>
      </c>
      <c r="T782" s="13"/>
      <c r="U782" s="13"/>
      <c r="V782" s="13">
        <f ca="1">$M782-$O782-$P782+$R782-$S782-IF(ROUNDUP(IF(ISBLANK($U782),$T782,$U782)/IF(AND($B782=1,$D$2&lt;&gt;"Egyszeri"),1,VLOOKUP($B782+IF($C782=12,1,0),Paraméterek!$B$257:$D$267,IF($D$2="Egyszeri",3,2))),IF($D$4="Forint",0,2))&gt;$M782-$O782-$P782+$R782-$S782-IF($D$4="Forint",Paraméterek!$C$216,Paraméterek!$D$216),0,ROUNDUP(IF(ISBLANK($U782),$T782,$U782)/IF(AND($B782=1,$D$2&lt;&gt;"Egyszeri"),1,VLOOKUP($B782+IF($C782=12,1,0),Paraméterek!$B$257:$D$267,IF($D$2="Egyszeri",3,2))),IF($D$4="Forint",0,2)))</f>
        <v>-726861</v>
      </c>
      <c r="W782" s="13">
        <f ca="1">ROUNDDOWN($V782*VLOOKUP($B782+IF($C782=12,1,0),Paraméterek!$B$257:$D$267,IF($D$2="Egyszeri",3,2)),IF($D$4="Forint",0,2))</f>
        <v>-726861</v>
      </c>
      <c r="Y782" s="32">
        <v>763</v>
      </c>
      <c r="Z782" s="32">
        <v>64</v>
      </c>
      <c r="AA782" s="32">
        <v>7</v>
      </c>
      <c r="AB782" s="13">
        <f t="shared" si="176"/>
        <v>0</v>
      </c>
      <c r="AC782" s="33"/>
      <c r="AD782" s="13">
        <f t="shared" si="172"/>
        <v>0</v>
      </c>
      <c r="AE782" s="13">
        <f>ROUNDUP(($AB782+$AD782)*VLOOKUP($Z782,Paraméterek!$P$38:$Q$38,2)/12,IF($D$4="Forint",0,2))</f>
        <v>0</v>
      </c>
      <c r="AF782" s="13">
        <f>IF($D$2="Egyszeri",IF($D$7&gt;=IF($D$4="Forint",Paraméterek!$P$223,Paraméterek!$P$224),$D$7-IF($D$4="Forint",Paraméterek!$F$223,Paraméterek!$F$224),0),MIN(IF($AA782=12,AVERAGE($D$20:$D782)*12,0),SUM($D$20:$D$31)))</f>
        <v>0</v>
      </c>
      <c r="AG782" s="13">
        <f>IF(AND($Z782&gt;=10,MOD($Z782,5)=0),$AF782*IF($AA782=12,VLOOKUP($Z782,Paraméterek!$B$225:$F$240,IF($AF782&lt;IF($D$4="Forint",Paraméterek!$C$223,Paraméterek!$C$224),2,IF($AF782&lt;IF($D$4="Forint",Paraméterek!$D$223,Paraméterek!$D$224),3,4))),0),0)</f>
        <v>0</v>
      </c>
      <c r="AH782" s="13">
        <f>IF(AND($Z782&gt;=5,MOD($Z782,5)=0),IF($AA782=12,VLOOKUP($Z782,Paraméterek!$B$225:$F$240,5),0),IF(OR($Z782=3,$Z782=4),IF($AA782=12,VLOOKUP($Z782,Paraméterek!$B$225:$F$240,5,0),0),0))*$AF782</f>
        <v>0</v>
      </c>
      <c r="AI782" s="13">
        <f>ROUNDDOWN(IF(SUM($T$20:$U782)=0,IF($D$2="Egyszeri",$AH782,$AG782),0),IF($D$4="Forint",0,2))</f>
        <v>0</v>
      </c>
      <c r="AJ782" s="13">
        <f t="shared" si="177"/>
        <v>0</v>
      </c>
      <c r="AK782" s="13">
        <f t="shared" si="178"/>
        <v>0</v>
      </c>
      <c r="AM782" s="32">
        <v>763</v>
      </c>
      <c r="AN782" s="32">
        <v>64</v>
      </c>
      <c r="AO782" s="32">
        <v>7</v>
      </c>
      <c r="AP782" s="13"/>
      <c r="AQ782" s="32"/>
      <c r="AR782" s="13">
        <f t="shared" si="179"/>
        <v>0</v>
      </c>
      <c r="AS782" s="33"/>
      <c r="AT782" s="13">
        <f t="shared" si="173"/>
        <v>0</v>
      </c>
      <c r="AU782" s="13">
        <f>ROUNDUP(($AR782+$AT782)*VLOOKUP($AN782,Paraméterek!$P$38:$Q$38,2)/12,IF($D$4="Forint",0,2))</f>
        <v>0</v>
      </c>
      <c r="AV782" s="13"/>
      <c r="AW782" s="13"/>
      <c r="AX782" s="13">
        <f>ROUNDUP(IF(SUM($AV782:$AW782)=0,0,IF(IF(ISBLANK($AW782),$AV782,$AW782)*Paraméterek!$J$112&lt;IF($D$4="Forint",Paraméterek!$J$113,Paraméterek!$K$113),IF($D$4="Forint",Paraméterek!$J$113,Paraméterek!$K$113),IF(IF(ISBLANK($AW782),$AV782,$AW782)*Paraméterek!$J$112&gt;IF($D$4="Forint",Paraméterek!$J$114,Paraméterek!$K$114),IF($D$4="Forint",Paraméterek!$J$114,Paraméterek!$K$114),IF(ISBLANK($AW782),$AV782,$AW782)*Paraméterek!$J$112))),IF($D$4="Forint",0,2))</f>
        <v>0</v>
      </c>
      <c r="AY782" s="13">
        <f>$AR782+$AT782-$AU782-IF(ROUNDDOWN(IF(ISBLANK($AW782),$AV782,$AW782),IF($D$4="Forint",0,2))&gt;$AR782+$AT782-$AU782-IF($D$4="Forint",Paraméterek!$J$114,Paraméterek!$K$114),0,ROUNDDOWN(IF(ISBLANK($AW782),$AV782,$AW782),IF($D$4="Forint",0,2))-$AX782)</f>
        <v>0</v>
      </c>
      <c r="AZ782" s="13">
        <f t="shared" si="174"/>
        <v>0</v>
      </c>
    </row>
    <row r="783" spans="1:52" x14ac:dyDescent="0.2">
      <c r="A783" s="32">
        <v>764</v>
      </c>
      <c r="B783" s="32">
        <v>64</v>
      </c>
      <c r="C783" s="32">
        <v>8</v>
      </c>
      <c r="D783" s="13">
        <f t="shared" si="165"/>
        <v>0</v>
      </c>
      <c r="E783" s="13"/>
      <c r="F783" s="13"/>
      <c r="G783" s="13"/>
      <c r="H783" s="13">
        <f t="shared" si="166"/>
        <v>0</v>
      </c>
      <c r="I783" s="13">
        <f t="shared" si="167"/>
        <v>0</v>
      </c>
      <c r="J783" s="13">
        <f t="shared" si="168"/>
        <v>0</v>
      </c>
      <c r="K783" s="13">
        <f>ROUNDUP(IF($D$2="Egyszeri",$D783,IF($D$2="Havi",SUM($D$20:$D$31),IF(MOD($C783,$M$1)-1=0,SUM($D$20:$D$31),0))/12*$M$1)*VLOOKUP($B783,Paraméterek!$B$27:$D$30,IF($D$2="Egyszeri",3,2)),IF($D$4="Forint",0,2))</f>
        <v>0</v>
      </c>
      <c r="L783" s="13">
        <f t="shared" si="169"/>
        <v>0</v>
      </c>
      <c r="M783" s="13">
        <f t="shared" ca="1" si="175"/>
        <v>-726861</v>
      </c>
      <c r="N783" s="13">
        <f ca="1">IF($V782&gt;=VLOOKUP($M$4-1+$B783,Paraméterek!$B$121:$D$122,IF($D$4="Forint",2,3)),0,VLOOKUP($M$4-1+$B783,Paraméterek!$B$121:$D$122,IF($D$4="Forint",2,3))-$V782)</f>
        <v>736861</v>
      </c>
      <c r="O783" s="13">
        <f ca="1">ROUNDUP($N783*Paraméterek!$C$58/Paraméterek!$C$56,IF($D$4="Forint",0,2))</f>
        <v>118</v>
      </c>
      <c r="P783" s="13">
        <f t="shared" si="170"/>
        <v>3541</v>
      </c>
      <c r="Q783" s="33"/>
      <c r="R783" s="13">
        <f t="shared" ca="1" si="171"/>
        <v>0</v>
      </c>
      <c r="S783" s="13">
        <f ca="1">ROUNDUP(($M783-$O783-$P783+$R783)*VLOOKUP($B783,Paraméterek!$B$38:$D$39,IF($D$2="Egyszeri",3,2))/12,IF($D$4="Forint",0,2))</f>
        <v>-1784</v>
      </c>
      <c r="T783" s="13"/>
      <c r="U783" s="13"/>
      <c r="V783" s="13">
        <f ca="1">$M783-$O783-$P783+$R783-$S783-IF(ROUNDUP(IF(ISBLANK($U783),$T783,$U783)/IF(AND($B783=1,$D$2&lt;&gt;"Egyszeri"),1,VLOOKUP($B783+IF($C783=12,1,0),Paraméterek!$B$257:$D$267,IF($D$2="Egyszeri",3,2))),IF($D$4="Forint",0,2))&gt;$M783-$O783-$P783+$R783-$S783-IF($D$4="Forint",Paraméterek!$C$216,Paraméterek!$D$216),0,ROUNDUP(IF(ISBLANK($U783),$T783,$U783)/IF(AND($B783=1,$D$2&lt;&gt;"Egyszeri"),1,VLOOKUP($B783+IF($C783=12,1,0),Paraméterek!$B$257:$D$267,IF($D$2="Egyszeri",3,2))),IF($D$4="Forint",0,2)))</f>
        <v>-728736</v>
      </c>
      <c r="W783" s="13">
        <f ca="1">ROUNDDOWN($V783*VLOOKUP($B783+IF($C783=12,1,0),Paraméterek!$B$257:$D$267,IF($D$2="Egyszeri",3,2)),IF($D$4="Forint",0,2))</f>
        <v>-728736</v>
      </c>
      <c r="Y783" s="32">
        <v>764</v>
      </c>
      <c r="Z783" s="32">
        <v>64</v>
      </c>
      <c r="AA783" s="32">
        <v>8</v>
      </c>
      <c r="AB783" s="13">
        <f t="shared" si="176"/>
        <v>0</v>
      </c>
      <c r="AC783" s="33"/>
      <c r="AD783" s="13">
        <f t="shared" si="172"/>
        <v>0</v>
      </c>
      <c r="AE783" s="13">
        <f>ROUNDUP(($AB783+$AD783)*VLOOKUP($Z783,Paraméterek!$P$38:$Q$38,2)/12,IF($D$4="Forint",0,2))</f>
        <v>0</v>
      </c>
      <c r="AF783" s="13">
        <f>IF($D$2="Egyszeri",IF($D$7&gt;=IF($D$4="Forint",Paraméterek!$P$223,Paraméterek!$P$224),$D$7-IF($D$4="Forint",Paraméterek!$F$223,Paraméterek!$F$224),0),MIN(IF($AA783=12,AVERAGE($D$20:$D783)*12,0),SUM($D$20:$D$31)))</f>
        <v>0</v>
      </c>
      <c r="AG783" s="13">
        <f>IF(AND($Z783&gt;=10,MOD($Z783,5)=0),$AF783*IF($AA783=12,VLOOKUP($Z783,Paraméterek!$B$225:$F$240,IF($AF783&lt;IF($D$4="Forint",Paraméterek!$C$223,Paraméterek!$C$224),2,IF($AF783&lt;IF($D$4="Forint",Paraméterek!$D$223,Paraméterek!$D$224),3,4))),0),0)</f>
        <v>0</v>
      </c>
      <c r="AH783" s="13">
        <f>IF(AND($Z783&gt;=5,MOD($Z783,5)=0),IF($AA783=12,VLOOKUP($Z783,Paraméterek!$B$225:$F$240,5),0),IF(OR($Z783=3,$Z783=4),IF($AA783=12,VLOOKUP($Z783,Paraméterek!$B$225:$F$240,5,0),0),0))*$AF783</f>
        <v>0</v>
      </c>
      <c r="AI783" s="13">
        <f>ROUNDDOWN(IF(SUM($T$20:$U783)=0,IF($D$2="Egyszeri",$AH783,$AG783),0),IF($D$4="Forint",0,2))</f>
        <v>0</v>
      </c>
      <c r="AJ783" s="13">
        <f t="shared" si="177"/>
        <v>0</v>
      </c>
      <c r="AK783" s="13">
        <f t="shared" si="178"/>
        <v>0</v>
      </c>
      <c r="AM783" s="32">
        <v>764</v>
      </c>
      <c r="AN783" s="32">
        <v>64</v>
      </c>
      <c r="AO783" s="32">
        <v>8</v>
      </c>
      <c r="AP783" s="13"/>
      <c r="AQ783" s="32"/>
      <c r="AR783" s="13">
        <f t="shared" si="179"/>
        <v>0</v>
      </c>
      <c r="AS783" s="33"/>
      <c r="AT783" s="13">
        <f t="shared" si="173"/>
        <v>0</v>
      </c>
      <c r="AU783" s="13">
        <f>ROUNDUP(($AR783+$AT783)*VLOOKUP($AN783,Paraméterek!$P$38:$Q$38,2)/12,IF($D$4="Forint",0,2))</f>
        <v>0</v>
      </c>
      <c r="AV783" s="13"/>
      <c r="AW783" s="13"/>
      <c r="AX783" s="13">
        <f>ROUNDUP(IF(SUM($AV783:$AW783)=0,0,IF(IF(ISBLANK($AW783),$AV783,$AW783)*Paraméterek!$J$112&lt;IF($D$4="Forint",Paraméterek!$J$113,Paraméterek!$K$113),IF($D$4="Forint",Paraméterek!$J$113,Paraméterek!$K$113),IF(IF(ISBLANK($AW783),$AV783,$AW783)*Paraméterek!$J$112&gt;IF($D$4="Forint",Paraméterek!$J$114,Paraméterek!$K$114),IF($D$4="Forint",Paraméterek!$J$114,Paraméterek!$K$114),IF(ISBLANK($AW783),$AV783,$AW783)*Paraméterek!$J$112))),IF($D$4="Forint",0,2))</f>
        <v>0</v>
      </c>
      <c r="AY783" s="13">
        <f>$AR783+$AT783-$AU783-IF(ROUNDDOWN(IF(ISBLANK($AW783),$AV783,$AW783),IF($D$4="Forint",0,2))&gt;$AR783+$AT783-$AU783-IF($D$4="Forint",Paraméterek!$J$114,Paraméterek!$K$114),0,ROUNDDOWN(IF(ISBLANK($AW783),$AV783,$AW783),IF($D$4="Forint",0,2))-$AX783)</f>
        <v>0</v>
      </c>
      <c r="AZ783" s="13">
        <f t="shared" si="174"/>
        <v>0</v>
      </c>
    </row>
    <row r="784" spans="1:52" x14ac:dyDescent="0.2">
      <c r="A784" s="32">
        <v>765</v>
      </c>
      <c r="B784" s="32">
        <v>64</v>
      </c>
      <c r="C784" s="32">
        <v>9</v>
      </c>
      <c r="D784" s="13">
        <f t="shared" si="165"/>
        <v>0</v>
      </c>
      <c r="E784" s="13"/>
      <c r="F784" s="13"/>
      <c r="G784" s="13"/>
      <c r="H784" s="13">
        <f t="shared" si="166"/>
        <v>0</v>
      </c>
      <c r="I784" s="13">
        <f t="shared" si="167"/>
        <v>0</v>
      </c>
      <c r="J784" s="13">
        <f t="shared" si="168"/>
        <v>0</v>
      </c>
      <c r="K784" s="13">
        <f>ROUNDUP(IF($D$2="Egyszeri",$D784,IF($D$2="Havi",SUM($D$20:$D$31),IF(MOD($C784,$M$1)-1=0,SUM($D$20:$D$31),0))/12*$M$1)*VLOOKUP($B784,Paraméterek!$B$27:$D$30,IF($D$2="Egyszeri",3,2)),IF($D$4="Forint",0,2))</f>
        <v>0</v>
      </c>
      <c r="L784" s="13">
        <f t="shared" si="169"/>
        <v>0</v>
      </c>
      <c r="M784" s="13">
        <f t="shared" ca="1" si="175"/>
        <v>-728736</v>
      </c>
      <c r="N784" s="13">
        <f ca="1">IF($V783&gt;=VLOOKUP($M$4-1+$B784,Paraméterek!$B$121:$D$122,IF($D$4="Forint",2,3)),0,VLOOKUP($M$4-1+$B784,Paraméterek!$B$121:$D$122,IF($D$4="Forint",2,3))-$V783)</f>
        <v>738736</v>
      </c>
      <c r="O784" s="13">
        <f ca="1">ROUNDUP($N784*Paraméterek!$C$58/Paraméterek!$C$56,IF($D$4="Forint",0,2))</f>
        <v>118</v>
      </c>
      <c r="P784" s="13">
        <f t="shared" si="170"/>
        <v>3541</v>
      </c>
      <c r="Q784" s="33"/>
      <c r="R784" s="13">
        <f t="shared" ca="1" si="171"/>
        <v>0</v>
      </c>
      <c r="S784" s="13">
        <f ca="1">ROUNDUP(($M784-$O784-$P784+$R784)*VLOOKUP($B784,Paraméterek!$B$38:$D$39,IF($D$2="Egyszeri",3,2))/12,IF($D$4="Forint",0,2))</f>
        <v>-1789</v>
      </c>
      <c r="T784" s="13"/>
      <c r="U784" s="13"/>
      <c r="V784" s="13">
        <f ca="1">$M784-$O784-$P784+$R784-$S784-IF(ROUNDUP(IF(ISBLANK($U784),$T784,$U784)/IF(AND($B784=1,$D$2&lt;&gt;"Egyszeri"),1,VLOOKUP($B784+IF($C784=12,1,0),Paraméterek!$B$257:$D$267,IF($D$2="Egyszeri",3,2))),IF($D$4="Forint",0,2))&gt;$M784-$O784-$P784+$R784-$S784-IF($D$4="Forint",Paraméterek!$C$216,Paraméterek!$D$216),0,ROUNDUP(IF(ISBLANK($U784),$T784,$U784)/IF(AND($B784=1,$D$2&lt;&gt;"Egyszeri"),1,VLOOKUP($B784+IF($C784=12,1,0),Paraméterek!$B$257:$D$267,IF($D$2="Egyszeri",3,2))),IF($D$4="Forint",0,2)))</f>
        <v>-730606</v>
      </c>
      <c r="W784" s="13">
        <f ca="1">ROUNDDOWN($V784*VLOOKUP($B784+IF($C784=12,1,0),Paraméterek!$B$257:$D$267,IF($D$2="Egyszeri",3,2)),IF($D$4="Forint",0,2))</f>
        <v>-730606</v>
      </c>
      <c r="Y784" s="32">
        <v>765</v>
      </c>
      <c r="Z784" s="32">
        <v>64</v>
      </c>
      <c r="AA784" s="32">
        <v>9</v>
      </c>
      <c r="AB784" s="13">
        <f t="shared" si="176"/>
        <v>0</v>
      </c>
      <c r="AC784" s="33"/>
      <c r="AD784" s="13">
        <f t="shared" si="172"/>
        <v>0</v>
      </c>
      <c r="AE784" s="13">
        <f>ROUNDUP(($AB784+$AD784)*VLOOKUP($Z784,Paraméterek!$P$38:$Q$38,2)/12,IF($D$4="Forint",0,2))</f>
        <v>0</v>
      </c>
      <c r="AF784" s="13">
        <f>IF($D$2="Egyszeri",IF($D$7&gt;=IF($D$4="Forint",Paraméterek!$P$223,Paraméterek!$P$224),$D$7-IF($D$4="Forint",Paraméterek!$F$223,Paraméterek!$F$224),0),MIN(IF($AA784=12,AVERAGE($D$20:$D784)*12,0),SUM($D$20:$D$31)))</f>
        <v>0</v>
      </c>
      <c r="AG784" s="13">
        <f>IF(AND($Z784&gt;=10,MOD($Z784,5)=0),$AF784*IF($AA784=12,VLOOKUP($Z784,Paraméterek!$B$225:$F$240,IF($AF784&lt;IF($D$4="Forint",Paraméterek!$C$223,Paraméterek!$C$224),2,IF($AF784&lt;IF($D$4="Forint",Paraméterek!$D$223,Paraméterek!$D$224),3,4))),0),0)</f>
        <v>0</v>
      </c>
      <c r="AH784" s="13">
        <f>IF(AND($Z784&gt;=5,MOD($Z784,5)=0),IF($AA784=12,VLOOKUP($Z784,Paraméterek!$B$225:$F$240,5),0),IF(OR($Z784=3,$Z784=4),IF($AA784=12,VLOOKUP($Z784,Paraméterek!$B$225:$F$240,5,0),0),0))*$AF784</f>
        <v>0</v>
      </c>
      <c r="AI784" s="13">
        <f>ROUNDDOWN(IF(SUM($T$20:$U784)=0,IF($D$2="Egyszeri",$AH784,$AG784),0),IF($D$4="Forint",0,2))</f>
        <v>0</v>
      </c>
      <c r="AJ784" s="13">
        <f t="shared" si="177"/>
        <v>0</v>
      </c>
      <c r="AK784" s="13">
        <f t="shared" si="178"/>
        <v>0</v>
      </c>
      <c r="AM784" s="32">
        <v>765</v>
      </c>
      <c r="AN784" s="32">
        <v>64</v>
      </c>
      <c r="AO784" s="32">
        <v>9</v>
      </c>
      <c r="AP784" s="13"/>
      <c r="AQ784" s="32"/>
      <c r="AR784" s="13">
        <f t="shared" si="179"/>
        <v>0</v>
      </c>
      <c r="AS784" s="33"/>
      <c r="AT784" s="13">
        <f t="shared" si="173"/>
        <v>0</v>
      </c>
      <c r="AU784" s="13">
        <f>ROUNDUP(($AR784+$AT784)*VLOOKUP($AN784,Paraméterek!$P$38:$Q$38,2)/12,IF($D$4="Forint",0,2))</f>
        <v>0</v>
      </c>
      <c r="AV784" s="13"/>
      <c r="AW784" s="13"/>
      <c r="AX784" s="13">
        <f>ROUNDUP(IF(SUM($AV784:$AW784)=0,0,IF(IF(ISBLANK($AW784),$AV784,$AW784)*Paraméterek!$J$112&lt;IF($D$4="Forint",Paraméterek!$J$113,Paraméterek!$K$113),IF($D$4="Forint",Paraméterek!$J$113,Paraméterek!$K$113),IF(IF(ISBLANK($AW784),$AV784,$AW784)*Paraméterek!$J$112&gt;IF($D$4="Forint",Paraméterek!$J$114,Paraméterek!$K$114),IF($D$4="Forint",Paraméterek!$J$114,Paraméterek!$K$114),IF(ISBLANK($AW784),$AV784,$AW784)*Paraméterek!$J$112))),IF($D$4="Forint",0,2))</f>
        <v>0</v>
      </c>
      <c r="AY784" s="13">
        <f>$AR784+$AT784-$AU784-IF(ROUNDDOWN(IF(ISBLANK($AW784),$AV784,$AW784),IF($D$4="Forint",0,2))&gt;$AR784+$AT784-$AU784-IF($D$4="Forint",Paraméterek!$J$114,Paraméterek!$K$114),0,ROUNDDOWN(IF(ISBLANK($AW784),$AV784,$AW784),IF($D$4="Forint",0,2))-$AX784)</f>
        <v>0</v>
      </c>
      <c r="AZ784" s="13">
        <f t="shared" si="174"/>
        <v>0</v>
      </c>
    </row>
    <row r="785" spans="1:52" x14ac:dyDescent="0.2">
      <c r="A785" s="32">
        <v>766</v>
      </c>
      <c r="B785" s="32">
        <v>64</v>
      </c>
      <c r="C785" s="32">
        <v>10</v>
      </c>
      <c r="D785" s="13">
        <f t="shared" si="165"/>
        <v>0</v>
      </c>
      <c r="E785" s="13"/>
      <c r="F785" s="13"/>
      <c r="G785" s="13"/>
      <c r="H785" s="13">
        <f t="shared" si="166"/>
        <v>0</v>
      </c>
      <c r="I785" s="13">
        <f t="shared" si="167"/>
        <v>0</v>
      </c>
      <c r="J785" s="13">
        <f t="shared" si="168"/>
        <v>0</v>
      </c>
      <c r="K785" s="13">
        <f>ROUNDUP(IF($D$2="Egyszeri",$D785,IF($D$2="Havi",SUM($D$20:$D$31),IF(MOD($C785,$M$1)-1=0,SUM($D$20:$D$31),0))/12*$M$1)*VLOOKUP($B785,Paraméterek!$B$27:$D$30,IF($D$2="Egyszeri",3,2)),IF($D$4="Forint",0,2))</f>
        <v>0</v>
      </c>
      <c r="L785" s="13">
        <f t="shared" si="169"/>
        <v>0</v>
      </c>
      <c r="M785" s="13">
        <f t="shared" ca="1" si="175"/>
        <v>-730606</v>
      </c>
      <c r="N785" s="13">
        <f ca="1">IF($V784&gt;=VLOOKUP($M$4-1+$B785,Paraméterek!$B$121:$D$122,IF($D$4="Forint",2,3)),0,VLOOKUP($M$4-1+$B785,Paraméterek!$B$121:$D$122,IF($D$4="Forint",2,3))-$V784)</f>
        <v>740606</v>
      </c>
      <c r="O785" s="13">
        <f ca="1">ROUNDUP($N785*Paraméterek!$C$58/Paraméterek!$C$56,IF($D$4="Forint",0,2))</f>
        <v>118</v>
      </c>
      <c r="P785" s="13">
        <f t="shared" si="170"/>
        <v>3541</v>
      </c>
      <c r="Q785" s="33"/>
      <c r="R785" s="13">
        <f t="shared" ca="1" si="171"/>
        <v>0</v>
      </c>
      <c r="S785" s="13">
        <f ca="1">ROUNDUP(($M785-$O785-$P785+$R785)*VLOOKUP($B785,Paraméterek!$B$38:$D$39,IF($D$2="Egyszeri",3,2))/12,IF($D$4="Forint",0,2))</f>
        <v>-1793</v>
      </c>
      <c r="T785" s="13"/>
      <c r="U785" s="13"/>
      <c r="V785" s="13">
        <f ca="1">$M785-$O785-$P785+$R785-$S785-IF(ROUNDUP(IF(ISBLANK($U785),$T785,$U785)/IF(AND($B785=1,$D$2&lt;&gt;"Egyszeri"),1,VLOOKUP($B785+IF($C785=12,1,0),Paraméterek!$B$257:$D$267,IF($D$2="Egyszeri",3,2))),IF($D$4="Forint",0,2))&gt;$M785-$O785-$P785+$R785-$S785-IF($D$4="Forint",Paraméterek!$C$216,Paraméterek!$D$216),0,ROUNDUP(IF(ISBLANK($U785),$T785,$U785)/IF(AND($B785=1,$D$2&lt;&gt;"Egyszeri"),1,VLOOKUP($B785+IF($C785=12,1,0),Paraméterek!$B$257:$D$267,IF($D$2="Egyszeri",3,2))),IF($D$4="Forint",0,2)))</f>
        <v>-732472</v>
      </c>
      <c r="W785" s="13">
        <f ca="1">ROUNDDOWN($V785*VLOOKUP($B785+IF($C785=12,1,0),Paraméterek!$B$257:$D$267,IF($D$2="Egyszeri",3,2)),IF($D$4="Forint",0,2))</f>
        <v>-732472</v>
      </c>
      <c r="Y785" s="32">
        <v>766</v>
      </c>
      <c r="Z785" s="32">
        <v>64</v>
      </c>
      <c r="AA785" s="32">
        <v>10</v>
      </c>
      <c r="AB785" s="13">
        <f t="shared" si="176"/>
        <v>0</v>
      </c>
      <c r="AC785" s="33"/>
      <c r="AD785" s="13">
        <f t="shared" si="172"/>
        <v>0</v>
      </c>
      <c r="AE785" s="13">
        <f>ROUNDUP(($AB785+$AD785)*VLOOKUP($Z785,Paraméterek!$P$38:$Q$38,2)/12,IF($D$4="Forint",0,2))</f>
        <v>0</v>
      </c>
      <c r="AF785" s="13">
        <f>IF($D$2="Egyszeri",IF($D$7&gt;=IF($D$4="Forint",Paraméterek!$P$223,Paraméterek!$P$224),$D$7-IF($D$4="Forint",Paraméterek!$F$223,Paraméterek!$F$224),0),MIN(IF($AA785=12,AVERAGE($D$20:$D785)*12,0),SUM($D$20:$D$31)))</f>
        <v>0</v>
      </c>
      <c r="AG785" s="13">
        <f>IF(AND($Z785&gt;=10,MOD($Z785,5)=0),$AF785*IF($AA785=12,VLOOKUP($Z785,Paraméterek!$B$225:$F$240,IF($AF785&lt;IF($D$4="Forint",Paraméterek!$C$223,Paraméterek!$C$224),2,IF($AF785&lt;IF($D$4="Forint",Paraméterek!$D$223,Paraméterek!$D$224),3,4))),0),0)</f>
        <v>0</v>
      </c>
      <c r="AH785" s="13">
        <f>IF(AND($Z785&gt;=5,MOD($Z785,5)=0),IF($AA785=12,VLOOKUP($Z785,Paraméterek!$B$225:$F$240,5),0),IF(OR($Z785=3,$Z785=4),IF($AA785=12,VLOOKUP($Z785,Paraméterek!$B$225:$F$240,5,0),0),0))*$AF785</f>
        <v>0</v>
      </c>
      <c r="AI785" s="13">
        <f>ROUNDDOWN(IF(SUM($T$20:$U785)=0,IF($D$2="Egyszeri",$AH785,$AG785),0),IF($D$4="Forint",0,2))</f>
        <v>0</v>
      </c>
      <c r="AJ785" s="13">
        <f t="shared" si="177"/>
        <v>0</v>
      </c>
      <c r="AK785" s="13">
        <f t="shared" si="178"/>
        <v>0</v>
      </c>
      <c r="AM785" s="32">
        <v>766</v>
      </c>
      <c r="AN785" s="32">
        <v>64</v>
      </c>
      <c r="AO785" s="32">
        <v>10</v>
      </c>
      <c r="AP785" s="13"/>
      <c r="AQ785" s="32"/>
      <c r="AR785" s="13">
        <f t="shared" si="179"/>
        <v>0</v>
      </c>
      <c r="AS785" s="33"/>
      <c r="AT785" s="13">
        <f t="shared" si="173"/>
        <v>0</v>
      </c>
      <c r="AU785" s="13">
        <f>ROUNDUP(($AR785+$AT785)*VLOOKUP($AN785,Paraméterek!$P$38:$Q$38,2)/12,IF($D$4="Forint",0,2))</f>
        <v>0</v>
      </c>
      <c r="AV785" s="13"/>
      <c r="AW785" s="13"/>
      <c r="AX785" s="13">
        <f>ROUNDUP(IF(SUM($AV785:$AW785)=0,0,IF(IF(ISBLANK($AW785),$AV785,$AW785)*Paraméterek!$J$112&lt;IF($D$4="Forint",Paraméterek!$J$113,Paraméterek!$K$113),IF($D$4="Forint",Paraméterek!$J$113,Paraméterek!$K$113),IF(IF(ISBLANK($AW785),$AV785,$AW785)*Paraméterek!$J$112&gt;IF($D$4="Forint",Paraméterek!$J$114,Paraméterek!$K$114),IF($D$4="Forint",Paraméterek!$J$114,Paraméterek!$K$114),IF(ISBLANK($AW785),$AV785,$AW785)*Paraméterek!$J$112))),IF($D$4="Forint",0,2))</f>
        <v>0</v>
      </c>
      <c r="AY785" s="13">
        <f>$AR785+$AT785-$AU785-IF(ROUNDDOWN(IF(ISBLANK($AW785),$AV785,$AW785),IF($D$4="Forint",0,2))&gt;$AR785+$AT785-$AU785-IF($D$4="Forint",Paraméterek!$J$114,Paraméterek!$K$114),0,ROUNDDOWN(IF(ISBLANK($AW785),$AV785,$AW785),IF($D$4="Forint",0,2))-$AX785)</f>
        <v>0</v>
      </c>
      <c r="AZ785" s="13">
        <f t="shared" si="174"/>
        <v>0</v>
      </c>
    </row>
    <row r="786" spans="1:52" x14ac:dyDescent="0.2">
      <c r="A786" s="32">
        <v>767</v>
      </c>
      <c r="B786" s="32">
        <v>64</v>
      </c>
      <c r="C786" s="32">
        <v>11</v>
      </c>
      <c r="D786" s="13">
        <f t="shared" si="165"/>
        <v>0</v>
      </c>
      <c r="E786" s="13"/>
      <c r="F786" s="13"/>
      <c r="G786" s="13"/>
      <c r="H786" s="13">
        <f t="shared" si="166"/>
        <v>0</v>
      </c>
      <c r="I786" s="13">
        <f t="shared" si="167"/>
        <v>0</v>
      </c>
      <c r="J786" s="13">
        <f t="shared" si="168"/>
        <v>0</v>
      </c>
      <c r="K786" s="13">
        <f>ROUNDUP(IF($D$2="Egyszeri",$D786,IF($D$2="Havi",SUM($D$20:$D$31),IF(MOD($C786,$M$1)-1=0,SUM($D$20:$D$31),0))/12*$M$1)*VLOOKUP($B786,Paraméterek!$B$27:$D$30,IF($D$2="Egyszeri",3,2)),IF($D$4="Forint",0,2))</f>
        <v>0</v>
      </c>
      <c r="L786" s="13">
        <f t="shared" si="169"/>
        <v>0</v>
      </c>
      <c r="M786" s="13">
        <f t="shared" ca="1" si="175"/>
        <v>-732472</v>
      </c>
      <c r="N786" s="13">
        <f ca="1">IF($V785&gt;=VLOOKUP($M$4-1+$B786,Paraméterek!$B$121:$D$122,IF($D$4="Forint",2,3)),0,VLOOKUP($M$4-1+$B786,Paraméterek!$B$121:$D$122,IF($D$4="Forint",2,3))-$V785)</f>
        <v>742472</v>
      </c>
      <c r="O786" s="13">
        <f ca="1">ROUNDUP($N786*Paraméterek!$C$58/Paraméterek!$C$56,IF($D$4="Forint",0,2))</f>
        <v>119</v>
      </c>
      <c r="P786" s="13">
        <f t="shared" si="170"/>
        <v>3541</v>
      </c>
      <c r="Q786" s="33"/>
      <c r="R786" s="13">
        <f t="shared" ca="1" si="171"/>
        <v>0</v>
      </c>
      <c r="S786" s="13">
        <f ca="1">ROUNDUP(($M786-$O786-$P786+$R786)*VLOOKUP($B786,Paraméterek!$B$38:$D$39,IF($D$2="Egyszeri",3,2))/12,IF($D$4="Forint",0,2))</f>
        <v>-1798</v>
      </c>
      <c r="T786" s="13"/>
      <c r="U786" s="13"/>
      <c r="V786" s="13">
        <f ca="1">$M786-$O786-$P786+$R786-$S786-IF(ROUNDUP(IF(ISBLANK($U786),$T786,$U786)/IF(AND($B786=1,$D$2&lt;&gt;"Egyszeri"),1,VLOOKUP($B786+IF($C786=12,1,0),Paraméterek!$B$257:$D$267,IF($D$2="Egyszeri",3,2))),IF($D$4="Forint",0,2))&gt;$M786-$O786-$P786+$R786-$S786-IF($D$4="Forint",Paraméterek!$C$216,Paraméterek!$D$216),0,ROUNDUP(IF(ISBLANK($U786),$T786,$U786)/IF(AND($B786=1,$D$2&lt;&gt;"Egyszeri"),1,VLOOKUP($B786+IF($C786=12,1,0),Paraméterek!$B$257:$D$267,IF($D$2="Egyszeri",3,2))),IF($D$4="Forint",0,2)))</f>
        <v>-734334</v>
      </c>
      <c r="W786" s="13">
        <f ca="1">ROUNDDOWN($V786*VLOOKUP($B786+IF($C786=12,1,0),Paraméterek!$B$257:$D$267,IF($D$2="Egyszeri",3,2)),IF($D$4="Forint",0,2))</f>
        <v>-734334</v>
      </c>
      <c r="Y786" s="32">
        <v>767</v>
      </c>
      <c r="Z786" s="32">
        <v>64</v>
      </c>
      <c r="AA786" s="32">
        <v>11</v>
      </c>
      <c r="AB786" s="13">
        <f t="shared" si="176"/>
        <v>0</v>
      </c>
      <c r="AC786" s="33"/>
      <c r="AD786" s="13">
        <f t="shared" si="172"/>
        <v>0</v>
      </c>
      <c r="AE786" s="13">
        <f>ROUNDUP(($AB786+$AD786)*VLOOKUP($Z786,Paraméterek!$P$38:$Q$38,2)/12,IF($D$4="Forint",0,2))</f>
        <v>0</v>
      </c>
      <c r="AF786" s="13">
        <f>IF($D$2="Egyszeri",IF($D$7&gt;=IF($D$4="Forint",Paraméterek!$P$223,Paraméterek!$P$224),$D$7-IF($D$4="Forint",Paraméterek!$F$223,Paraméterek!$F$224),0),MIN(IF($AA786=12,AVERAGE($D$20:$D786)*12,0),SUM($D$20:$D$31)))</f>
        <v>0</v>
      </c>
      <c r="AG786" s="13">
        <f>IF(AND($Z786&gt;=10,MOD($Z786,5)=0),$AF786*IF($AA786=12,VLOOKUP($Z786,Paraméterek!$B$225:$F$240,IF($AF786&lt;IF($D$4="Forint",Paraméterek!$C$223,Paraméterek!$C$224),2,IF($AF786&lt;IF($D$4="Forint",Paraméterek!$D$223,Paraméterek!$D$224),3,4))),0),0)</f>
        <v>0</v>
      </c>
      <c r="AH786" s="13">
        <f>IF(AND($Z786&gt;=5,MOD($Z786,5)=0),IF($AA786=12,VLOOKUP($Z786,Paraméterek!$B$225:$F$240,5),0),IF(OR($Z786=3,$Z786=4),IF($AA786=12,VLOOKUP($Z786,Paraméterek!$B$225:$F$240,5,0),0),0))*$AF786</f>
        <v>0</v>
      </c>
      <c r="AI786" s="13">
        <f>ROUNDDOWN(IF(SUM($T$20:$U786)=0,IF($D$2="Egyszeri",$AH786,$AG786),0),IF($D$4="Forint",0,2))</f>
        <v>0</v>
      </c>
      <c r="AJ786" s="13">
        <f t="shared" si="177"/>
        <v>0</v>
      </c>
      <c r="AK786" s="13">
        <f t="shared" si="178"/>
        <v>0</v>
      </c>
      <c r="AM786" s="32">
        <v>767</v>
      </c>
      <c r="AN786" s="32">
        <v>64</v>
      </c>
      <c r="AO786" s="32">
        <v>11</v>
      </c>
      <c r="AP786" s="13"/>
      <c r="AQ786" s="32"/>
      <c r="AR786" s="13">
        <f t="shared" si="179"/>
        <v>0</v>
      </c>
      <c r="AS786" s="33"/>
      <c r="AT786" s="13">
        <f t="shared" si="173"/>
        <v>0</v>
      </c>
      <c r="AU786" s="13">
        <f>ROUNDUP(($AR786+$AT786)*VLOOKUP($AN786,Paraméterek!$P$38:$Q$38,2)/12,IF($D$4="Forint",0,2))</f>
        <v>0</v>
      </c>
      <c r="AV786" s="13"/>
      <c r="AW786" s="13"/>
      <c r="AX786" s="13">
        <f>ROUNDUP(IF(SUM($AV786:$AW786)=0,0,IF(IF(ISBLANK($AW786),$AV786,$AW786)*Paraméterek!$J$112&lt;IF($D$4="Forint",Paraméterek!$J$113,Paraméterek!$K$113),IF($D$4="Forint",Paraméterek!$J$113,Paraméterek!$K$113),IF(IF(ISBLANK($AW786),$AV786,$AW786)*Paraméterek!$J$112&gt;IF($D$4="Forint",Paraméterek!$J$114,Paraméterek!$K$114),IF($D$4="Forint",Paraméterek!$J$114,Paraméterek!$K$114),IF(ISBLANK($AW786),$AV786,$AW786)*Paraméterek!$J$112))),IF($D$4="Forint",0,2))</f>
        <v>0</v>
      </c>
      <c r="AY786" s="13">
        <f>$AR786+$AT786-$AU786-IF(ROUNDDOWN(IF(ISBLANK($AW786),$AV786,$AW786),IF($D$4="Forint",0,2))&gt;$AR786+$AT786-$AU786-IF($D$4="Forint",Paraméterek!$J$114,Paraméterek!$K$114),0,ROUNDDOWN(IF(ISBLANK($AW786),$AV786,$AW786),IF($D$4="Forint",0,2))-$AX786)</f>
        <v>0</v>
      </c>
      <c r="AZ786" s="13">
        <f t="shared" si="174"/>
        <v>0</v>
      </c>
    </row>
    <row r="787" spans="1:52" x14ac:dyDescent="0.2">
      <c r="A787" s="32">
        <v>768</v>
      </c>
      <c r="B787" s="32">
        <v>64</v>
      </c>
      <c r="C787" s="32">
        <v>12</v>
      </c>
      <c r="D787" s="13">
        <f t="shared" si="165"/>
        <v>0</v>
      </c>
      <c r="E787" s="13"/>
      <c r="F787" s="13"/>
      <c r="G787" s="13"/>
      <c r="H787" s="13">
        <f t="shared" si="166"/>
        <v>0</v>
      </c>
      <c r="I787" s="13">
        <f t="shared" si="167"/>
        <v>0</v>
      </c>
      <c r="J787" s="13">
        <f t="shared" si="168"/>
        <v>0</v>
      </c>
      <c r="K787" s="13">
        <f>ROUNDUP(IF($D$2="Egyszeri",$D787,IF($D$2="Havi",SUM($D$20:$D$31),IF(MOD($C787,$M$1)-1=0,SUM($D$20:$D$31),0))/12*$M$1)*VLOOKUP($B787,Paraméterek!$B$27:$D$30,IF($D$2="Egyszeri",3,2)),IF($D$4="Forint",0,2))</f>
        <v>0</v>
      </c>
      <c r="L787" s="13">
        <f t="shared" si="169"/>
        <v>0</v>
      </c>
      <c r="M787" s="13">
        <f t="shared" ca="1" si="175"/>
        <v>-734334</v>
      </c>
      <c r="N787" s="13">
        <f ca="1">IF($V786&gt;=VLOOKUP($M$4-1+$B787,Paraméterek!$B$121:$D$122,IF($D$4="Forint",2,3)),0,VLOOKUP($M$4-1+$B787,Paraméterek!$B$121:$D$122,IF($D$4="Forint",2,3))-$V786)</f>
        <v>744334</v>
      </c>
      <c r="O787" s="13">
        <f ca="1">ROUNDUP($N787*Paraméterek!$C$58/Paraméterek!$C$56,IF($D$4="Forint",0,2))</f>
        <v>119</v>
      </c>
      <c r="P787" s="13">
        <f t="shared" si="170"/>
        <v>3541</v>
      </c>
      <c r="Q787" s="33"/>
      <c r="R787" s="13">
        <f t="shared" ca="1" si="171"/>
        <v>0</v>
      </c>
      <c r="S787" s="13">
        <f ca="1">ROUNDUP(($M787-$O787-$P787+$R787)*VLOOKUP($B787,Paraméterek!$B$38:$D$39,IF($D$2="Egyszeri",3,2))/12,IF($D$4="Forint",0,2))</f>
        <v>-1802</v>
      </c>
      <c r="T787" s="13">
        <f>Tranzakciók!$F$95</f>
        <v>0</v>
      </c>
      <c r="U787" s="13"/>
      <c r="V787" s="13">
        <f ca="1">$M787-$O787-$P787+$R787-$S787-IF(ROUNDUP(IF(ISBLANK($U787),$T787,$U787)/IF(AND($B787=1,$D$2&lt;&gt;"Egyszeri"),1,VLOOKUP($B787+IF($C787=12,1,0),Paraméterek!$B$257:$D$267,IF($D$2="Egyszeri",3,2))),IF($D$4="Forint",0,2))&gt;$M787-$O787-$P787+$R787-$S787-IF($D$4="Forint",Paraméterek!$C$216,Paraméterek!$D$216),0,ROUNDUP(IF(ISBLANK($U787),$T787,$U787)/IF(AND($B787=1,$D$2&lt;&gt;"Egyszeri"),1,VLOOKUP($B787+IF($C787=12,1,0),Paraméterek!$B$257:$D$267,IF($D$2="Egyszeri",3,2))),IF($D$4="Forint",0,2)))</f>
        <v>-736192</v>
      </c>
      <c r="W787" s="13">
        <f ca="1">ROUNDDOWN($V787*VLOOKUP($B787+IF($C787=12,1,0),Paraméterek!$B$257:$D$267,IF($D$2="Egyszeri",3,2)),IF($D$4="Forint",0,2))</f>
        <v>-736192</v>
      </c>
      <c r="Y787" s="32">
        <v>768</v>
      </c>
      <c r="Z787" s="32">
        <v>64</v>
      </c>
      <c r="AA787" s="32">
        <v>12</v>
      </c>
      <c r="AB787" s="13">
        <f t="shared" si="176"/>
        <v>0</v>
      </c>
      <c r="AC787" s="33"/>
      <c r="AD787" s="13">
        <f t="shared" si="172"/>
        <v>0</v>
      </c>
      <c r="AE787" s="13">
        <f>ROUNDUP(($AB787+$AD787)*VLOOKUP($Z787,Paraméterek!$P$38:$Q$38,2)/12,IF($D$4="Forint",0,2))</f>
        <v>0</v>
      </c>
      <c r="AF787" s="13">
        <f>IF($D$2="Egyszeri",IF($D$7&gt;=IF($D$4="Forint",Paraméterek!$P$223,Paraméterek!$P$224),$D$7-IF($D$4="Forint",Paraméterek!$F$223,Paraméterek!$F$224),0),MIN(IF($AA787=12,AVERAGE($D$20:$D787)*12,0),SUM($D$20:$D$31)))</f>
        <v>0</v>
      </c>
      <c r="AG787" s="13">
        <f>IF(AND($Z787&gt;=10,MOD($Z787,5)=0),$AF787*IF($AA787=12,VLOOKUP($Z787,Paraméterek!$B$225:$F$240,IF($AF787&lt;IF($D$4="Forint",Paraméterek!$C$223,Paraméterek!$C$224),2,IF($AF787&lt;IF($D$4="Forint",Paraméterek!$D$223,Paraméterek!$D$224),3,4))),0),0)</f>
        <v>0</v>
      </c>
      <c r="AH787" s="13">
        <f>IF(AND($Z787&gt;=5,MOD($Z787,5)=0),IF($AA787=12,VLOOKUP($Z787,Paraméterek!$B$225:$F$240,5),0),IF(OR($Z787=3,$Z787=4),IF($AA787=12,VLOOKUP($Z787,Paraméterek!$B$225:$F$240,5,0),0),0))*$AF787</f>
        <v>0</v>
      </c>
      <c r="AI787" s="13">
        <f>ROUNDDOWN(IF(SUM($T$20:$U787)=0,IF($D$2="Egyszeri",$AH787,$AG787),0),IF($D$4="Forint",0,2))</f>
        <v>0</v>
      </c>
      <c r="AJ787" s="13">
        <f t="shared" si="177"/>
        <v>0</v>
      </c>
      <c r="AK787" s="13">
        <f t="shared" si="178"/>
        <v>0</v>
      </c>
      <c r="AM787" s="32">
        <v>768</v>
      </c>
      <c r="AN787" s="32">
        <v>64</v>
      </c>
      <c r="AO787" s="32">
        <v>12</v>
      </c>
      <c r="AP787" s="13"/>
      <c r="AQ787" s="32"/>
      <c r="AR787" s="13">
        <f t="shared" si="179"/>
        <v>0</v>
      </c>
      <c r="AS787" s="33"/>
      <c r="AT787" s="13">
        <f t="shared" si="173"/>
        <v>0</v>
      </c>
      <c r="AU787" s="13">
        <f>ROUNDUP(($AR787+$AT787)*VLOOKUP($AN787,Paraméterek!$P$38:$Q$38,2)/12,IF($D$4="Forint",0,2))</f>
        <v>0</v>
      </c>
      <c r="AV787" s="13">
        <f>Tranzakciók!$M$95</f>
        <v>0</v>
      </c>
      <c r="AW787" s="13"/>
      <c r="AX787" s="13">
        <f>ROUNDUP(IF(SUM($AV787:$AW787)=0,0,IF(IF(ISBLANK($AW787),$AV787,$AW787)*Paraméterek!$J$112&lt;IF($D$4="Forint",Paraméterek!$J$113,Paraméterek!$K$113),IF($D$4="Forint",Paraméterek!$J$113,Paraméterek!$K$113),IF(IF(ISBLANK($AW787),$AV787,$AW787)*Paraméterek!$J$112&gt;IF($D$4="Forint",Paraméterek!$J$114,Paraméterek!$K$114),IF($D$4="Forint",Paraméterek!$J$114,Paraméterek!$K$114),IF(ISBLANK($AW787),$AV787,$AW787)*Paraméterek!$J$112))),IF($D$4="Forint",0,2))</f>
        <v>0</v>
      </c>
      <c r="AY787" s="13">
        <f>$AR787+$AT787-$AU787-IF(ROUNDDOWN(IF(ISBLANK($AW787),$AV787,$AW787),IF($D$4="Forint",0,2))&gt;$AR787+$AT787-$AU787-IF($D$4="Forint",Paraméterek!$J$114,Paraméterek!$K$114),0,ROUNDDOWN(IF(ISBLANK($AW787),$AV787,$AW787),IF($D$4="Forint",0,2))-$AX787)</f>
        <v>0</v>
      </c>
      <c r="AZ787" s="13">
        <f t="shared" si="174"/>
        <v>0</v>
      </c>
    </row>
    <row r="788" spans="1:52" x14ac:dyDescent="0.2">
      <c r="A788" s="32">
        <v>769</v>
      </c>
      <c r="B788" s="32">
        <v>65</v>
      </c>
      <c r="C788" s="32">
        <v>1</v>
      </c>
      <c r="D788" s="13">
        <f t="shared" si="165"/>
        <v>0</v>
      </c>
      <c r="E788" s="13"/>
      <c r="F788" s="13">
        <f>Tranzakciók!$D$96</f>
        <v>0</v>
      </c>
      <c r="G788" s="13"/>
      <c r="H788" s="13">
        <f t="shared" si="166"/>
        <v>0</v>
      </c>
      <c r="I788" s="13">
        <f t="shared" si="167"/>
        <v>664</v>
      </c>
      <c r="J788" s="13">
        <f t="shared" si="168"/>
        <v>664</v>
      </c>
      <c r="K788" s="13">
        <f>ROUNDUP(IF($D$2="Egyszeri",$D788,IF($D$2="Havi",SUM($D$20:$D$31),IF(MOD($C788,$M$1)-1=0,SUM($D$20:$D$31),0))/12*$M$1)*VLOOKUP($B788,Paraméterek!$B$27:$D$30,IF($D$2="Egyszeri",3,2)),IF($D$4="Forint",0,2))</f>
        <v>0</v>
      </c>
      <c r="L788" s="13">
        <f t="shared" si="169"/>
        <v>0</v>
      </c>
      <c r="M788" s="13">
        <f t="shared" ca="1" si="175"/>
        <v>-736192</v>
      </c>
      <c r="N788" s="13">
        <f ca="1">IF($V787&gt;=VLOOKUP($M$4-1+$B788,Paraméterek!$B$121:$D$122,IF($D$4="Forint",2,3)),0,VLOOKUP($M$4-1+$B788,Paraméterek!$B$121:$D$122,IF($D$4="Forint",2,3))-$V787)</f>
        <v>746192</v>
      </c>
      <c r="O788" s="13">
        <f ca="1">ROUNDUP($N788*Paraméterek!$C$58/Paraméterek!$C$56,IF($D$4="Forint",0,2))</f>
        <v>119</v>
      </c>
      <c r="P788" s="13">
        <f t="shared" si="170"/>
        <v>3648</v>
      </c>
      <c r="Q788" s="33"/>
      <c r="R788" s="13">
        <f t="shared" ca="1" si="171"/>
        <v>0</v>
      </c>
      <c r="S788" s="13">
        <f ca="1">ROUNDUP(($M788-$O788-$P788+$R788)*VLOOKUP($B788,Paraméterek!$B$38:$D$39,IF($D$2="Egyszeri",3,2))/12,IF($D$4="Forint",0,2))</f>
        <v>-1807</v>
      </c>
      <c r="T788" s="13"/>
      <c r="U788" s="13"/>
      <c r="V788" s="13">
        <f ca="1">$M788-$O788-$P788+$R788-$S788-IF(ROUNDUP(IF(ISBLANK($U788),$T788,$U788)/IF(AND($B788=1,$D$2&lt;&gt;"Egyszeri"),1,VLOOKUP($B788+IF($C788=12,1,0),Paraméterek!$B$257:$D$267,IF($D$2="Egyszeri",3,2))),IF($D$4="Forint",0,2))&gt;$M788-$O788-$P788+$R788-$S788-IF($D$4="Forint",Paraméterek!$C$216,Paraméterek!$D$216),0,ROUNDUP(IF(ISBLANK($U788),$T788,$U788)/IF(AND($B788=1,$D$2&lt;&gt;"Egyszeri"),1,VLOOKUP($B788+IF($C788=12,1,0),Paraméterek!$B$257:$D$267,IF($D$2="Egyszeri",3,2))),IF($D$4="Forint",0,2)))</f>
        <v>-738152</v>
      </c>
      <c r="W788" s="13">
        <f ca="1">ROUNDDOWN($V788*VLOOKUP($B788+IF($C788=12,1,0),Paraméterek!$B$257:$D$267,IF($D$2="Egyszeri",3,2)),IF($D$4="Forint",0,2))</f>
        <v>-738152</v>
      </c>
      <c r="Y788" s="32">
        <v>769</v>
      </c>
      <c r="Z788" s="32">
        <v>65</v>
      </c>
      <c r="AA788" s="32">
        <v>1</v>
      </c>
      <c r="AB788" s="13">
        <f t="shared" si="176"/>
        <v>0</v>
      </c>
      <c r="AC788" s="33"/>
      <c r="AD788" s="13">
        <f t="shared" si="172"/>
        <v>0</v>
      </c>
      <c r="AE788" s="13">
        <f>ROUNDUP(($AB788+$AD788)*VLOOKUP($Z788,Paraméterek!$P$38:$Q$38,2)/12,IF($D$4="Forint",0,2))</f>
        <v>0</v>
      </c>
      <c r="AF788" s="13">
        <f>IF($D$2="Egyszeri",IF($D$7&gt;=IF($D$4="Forint",Paraméterek!$P$223,Paraméterek!$P$224),$D$7-IF($D$4="Forint",Paraméterek!$F$223,Paraméterek!$F$224),0),MIN(IF($AA788=12,AVERAGE($D$20:$D788)*12,0),SUM($D$20:$D$31)))</f>
        <v>0</v>
      </c>
      <c r="AG788" s="13">
        <f>IF(AND($Z788&gt;=10,MOD($Z788,5)=0),$AF788*IF($AA788=12,VLOOKUP($Z788,Paraméterek!$B$225:$F$240,IF($AF788&lt;IF($D$4="Forint",Paraméterek!$C$223,Paraméterek!$C$224),2,IF($AF788&lt;IF($D$4="Forint",Paraméterek!$D$223,Paraméterek!$D$224),3,4))),0),0)</f>
        <v>0</v>
      </c>
      <c r="AH788" s="13">
        <f>IF(AND($Z788&gt;=5,MOD($Z788,5)=0),IF($AA788=12,VLOOKUP($Z788,Paraméterek!$B$225:$F$240,5),0),IF(OR($Z788=3,$Z788=4),IF($AA788=12,VLOOKUP($Z788,Paraméterek!$B$225:$F$240,5,0),0),0))*$AF788</f>
        <v>0</v>
      </c>
      <c r="AI788" s="13">
        <f>ROUNDDOWN(IF(SUM($T$20:$U788)=0,IF($D$2="Egyszeri",$AH788,$AG788),0),IF($D$4="Forint",0,2))</f>
        <v>0</v>
      </c>
      <c r="AJ788" s="13">
        <f t="shared" si="177"/>
        <v>0</v>
      </c>
      <c r="AK788" s="13">
        <f t="shared" si="178"/>
        <v>0</v>
      </c>
      <c r="AM788" s="32">
        <v>769</v>
      </c>
      <c r="AN788" s="32">
        <v>65</v>
      </c>
      <c r="AO788" s="32">
        <v>1</v>
      </c>
      <c r="AP788" s="13">
        <f>Tranzakciók!$K$96</f>
        <v>0</v>
      </c>
      <c r="AQ788" s="32"/>
      <c r="AR788" s="13">
        <f t="shared" si="179"/>
        <v>0</v>
      </c>
      <c r="AS788" s="33"/>
      <c r="AT788" s="13">
        <f t="shared" si="173"/>
        <v>0</v>
      </c>
      <c r="AU788" s="13">
        <f>ROUNDUP(($AR788+$AT788)*VLOOKUP($AN788,Paraméterek!$P$38:$Q$38,2)/12,IF($D$4="Forint",0,2))</f>
        <v>0</v>
      </c>
      <c r="AV788" s="13"/>
      <c r="AW788" s="13"/>
      <c r="AX788" s="13">
        <f>ROUNDUP(IF(SUM($AV788:$AW788)=0,0,IF(IF(ISBLANK($AW788),$AV788,$AW788)*Paraméterek!$J$112&lt;IF($D$4="Forint",Paraméterek!$J$113,Paraméterek!$K$113),IF($D$4="Forint",Paraméterek!$J$113,Paraméterek!$K$113),IF(IF(ISBLANK($AW788),$AV788,$AW788)*Paraméterek!$J$112&gt;IF($D$4="Forint",Paraméterek!$J$114,Paraméterek!$K$114),IF($D$4="Forint",Paraméterek!$J$114,Paraméterek!$K$114),IF(ISBLANK($AW788),$AV788,$AW788)*Paraméterek!$J$112))),IF($D$4="Forint",0,2))</f>
        <v>0</v>
      </c>
      <c r="AY788" s="13">
        <f>$AR788+$AT788-$AU788-IF(ROUNDDOWN(IF(ISBLANK($AW788),$AV788,$AW788),IF($D$4="Forint",0,2))&gt;$AR788+$AT788-$AU788-IF($D$4="Forint",Paraméterek!$J$114,Paraméterek!$K$114),0,ROUNDDOWN(IF(ISBLANK($AW788),$AV788,$AW788),IF($D$4="Forint",0,2))-$AX788)</f>
        <v>0</v>
      </c>
      <c r="AZ788" s="13">
        <f t="shared" si="174"/>
        <v>0</v>
      </c>
    </row>
    <row r="789" spans="1:52" x14ac:dyDescent="0.2">
      <c r="A789" s="32">
        <v>770</v>
      </c>
      <c r="B789" s="32">
        <v>65</v>
      </c>
      <c r="C789" s="32">
        <v>2</v>
      </c>
      <c r="D789" s="13">
        <f t="shared" ref="D789:D852" si="180">IF($D$2="Egyszeri",IF($A789=1,$D$7,0),ROUNDUP(IF($D$2="Havi",$D$7,IF(MOD($C789,$M$1)-1=0,$D$7,0))*(1+$D$6)^($B789-1),IF($D$4="Forint",0,2)))</f>
        <v>0</v>
      </c>
      <c r="E789" s="13"/>
      <c r="F789" s="13"/>
      <c r="G789" s="13"/>
      <c r="H789" s="13">
        <f t="shared" ref="H789:H852" si="181">ROUNDUP(IF(AND($D$8="Nincs",$D$2&lt;&gt;"Egyszeri"),$D789*10%,0),IF($D$4="Forint",0,2))</f>
        <v>0</v>
      </c>
      <c r="I789" s="13">
        <f t="shared" ref="I789:I852" si="182">IF($D$2="Egyszeri",IF($A789=1,$M$3,0),ROUNDUP(IF($D$2="Havi",$M$3,IF(MOD($C789,$M$1)-1=0,$M$3,0))*(1+$M$2)^($B789-1),IF($D$4="Forint",0,2)))</f>
        <v>0</v>
      </c>
      <c r="J789" s="13">
        <f t="shared" ref="J789:J852" si="183">IF(ISBLANK($E789),$D789,$E789)+IF(ISBLANK($G789),$F789,$G789)+$H789+$I789</f>
        <v>0</v>
      </c>
      <c r="K789" s="13">
        <f>ROUNDUP(IF($D$2="Egyszeri",$D789,IF($D$2="Havi",SUM($D$20:$D$31),IF(MOD($C789,$M$1)-1=0,SUM($D$20:$D$31),0))/12*$M$1)*VLOOKUP($B789,Paraméterek!$B$27:$D$30,IF($D$2="Egyszeri",3,2)),IF($D$4="Forint",0,2))</f>
        <v>0</v>
      </c>
      <c r="L789" s="13">
        <f t="shared" ref="L789:L852" si="184">$D789-$K789+IF(ISBLANK($G789),$F789,$G789)</f>
        <v>0</v>
      </c>
      <c r="M789" s="13">
        <f t="shared" ca="1" si="175"/>
        <v>-738152</v>
      </c>
      <c r="N789" s="13">
        <f ca="1">IF($V788&gt;=VLOOKUP($M$4-1+$B789,Paraméterek!$B$121:$D$122,IF($D$4="Forint",2,3)),0,VLOOKUP($M$4-1+$B789,Paraméterek!$B$121:$D$122,IF($D$4="Forint",2,3))-$V788)</f>
        <v>748152</v>
      </c>
      <c r="O789" s="13">
        <f ca="1">ROUNDUP($N789*Paraméterek!$C$58/Paraméterek!$C$56,IF($D$4="Forint",0,2))</f>
        <v>120</v>
      </c>
      <c r="P789" s="13">
        <f t="shared" ref="P789:P852" si="185">ROUNDUP($M$5*(1+$M$2)^($B789-1),IF($D$4="Forint",0,2))</f>
        <v>3648</v>
      </c>
      <c r="Q789" s="33"/>
      <c r="R789" s="13">
        <f t="shared" ref="R789:R852" ca="1" si="186">ROUNDDOWN(($M789-$O789-$P789)*IF(ISBLANK($Q789),$M$6,$Q789),IF($D$4="Forint",0,2))</f>
        <v>0</v>
      </c>
      <c r="S789" s="13">
        <f ca="1">ROUNDUP(($M789-$O789-$P789+$R789)*VLOOKUP($B789,Paraméterek!$B$38:$D$39,IF($D$2="Egyszeri",3,2))/12,IF($D$4="Forint",0,2))</f>
        <v>-1812</v>
      </c>
      <c r="T789" s="13"/>
      <c r="U789" s="13"/>
      <c r="V789" s="13">
        <f ca="1">$M789-$O789-$P789+$R789-$S789-IF(ROUNDUP(IF(ISBLANK($U789),$T789,$U789)/IF(AND($B789=1,$D$2&lt;&gt;"Egyszeri"),1,VLOOKUP($B789+IF($C789=12,1,0),Paraméterek!$B$257:$D$267,IF($D$2="Egyszeri",3,2))),IF($D$4="Forint",0,2))&gt;$M789-$O789-$P789+$R789-$S789-IF($D$4="Forint",Paraméterek!$C$216,Paraméterek!$D$216),0,ROUNDUP(IF(ISBLANK($U789),$T789,$U789)/IF(AND($B789=1,$D$2&lt;&gt;"Egyszeri"),1,VLOOKUP($B789+IF($C789=12,1,0),Paraméterek!$B$257:$D$267,IF($D$2="Egyszeri",3,2))),IF($D$4="Forint",0,2)))</f>
        <v>-740108</v>
      </c>
      <c r="W789" s="13">
        <f ca="1">ROUNDDOWN($V789*VLOOKUP($B789+IF($C789=12,1,0),Paraméterek!$B$257:$D$267,IF($D$2="Egyszeri",3,2)),IF($D$4="Forint",0,2))</f>
        <v>-740108</v>
      </c>
      <c r="Y789" s="32">
        <v>770</v>
      </c>
      <c r="Z789" s="32">
        <v>65</v>
      </c>
      <c r="AA789" s="32">
        <v>2</v>
      </c>
      <c r="AB789" s="13">
        <f t="shared" si="176"/>
        <v>0</v>
      </c>
      <c r="AC789" s="33"/>
      <c r="AD789" s="13">
        <f t="shared" ref="AD789:AD852" si="187">ROUNDDOWN($AB789*IF(ISBLANK($AC789),$M$8,$AC789),IF($D$4="Forint",0,2))</f>
        <v>0</v>
      </c>
      <c r="AE789" s="13">
        <f>ROUNDUP(($AB789+$AD789)*VLOOKUP($Z789,Paraméterek!$P$38:$Q$38,2)/12,IF($D$4="Forint",0,2))</f>
        <v>0</v>
      </c>
      <c r="AF789" s="13">
        <f>IF($D$2="Egyszeri",IF($D$7&gt;=IF($D$4="Forint",Paraméterek!$P$223,Paraméterek!$P$224),$D$7-IF($D$4="Forint",Paraméterek!$F$223,Paraméterek!$F$224),0),MIN(IF($AA789=12,AVERAGE($D$20:$D789)*12,0),SUM($D$20:$D$31)))</f>
        <v>0</v>
      </c>
      <c r="AG789" s="13">
        <f>IF(AND($Z789&gt;=10,MOD($Z789,5)=0),$AF789*IF($AA789=12,VLOOKUP($Z789,Paraméterek!$B$225:$F$240,IF($AF789&lt;IF($D$4="Forint",Paraméterek!$C$223,Paraméterek!$C$224),2,IF($AF789&lt;IF($D$4="Forint",Paraméterek!$D$223,Paraméterek!$D$224),3,4))),0),0)</f>
        <v>0</v>
      </c>
      <c r="AH789" s="13">
        <f>IF(AND($Z789&gt;=5,MOD($Z789,5)=0),IF($AA789=12,VLOOKUP($Z789,Paraméterek!$B$225:$F$240,5),0),IF(OR($Z789=3,$Z789=4),IF($AA789=12,VLOOKUP($Z789,Paraméterek!$B$225:$F$240,5,0),0),0))*$AF789</f>
        <v>0</v>
      </c>
      <c r="AI789" s="13">
        <f>ROUNDDOWN(IF(SUM($T$20:$U789)=0,IF($D$2="Egyszeri",$AH789,$AG789),0),IF($D$4="Forint",0,2))</f>
        <v>0</v>
      </c>
      <c r="AJ789" s="13">
        <f t="shared" si="177"/>
        <v>0</v>
      </c>
      <c r="AK789" s="13">
        <f t="shared" si="178"/>
        <v>0</v>
      </c>
      <c r="AM789" s="32">
        <v>770</v>
      </c>
      <c r="AN789" s="32">
        <v>65</v>
      </c>
      <c r="AO789" s="32">
        <v>2</v>
      </c>
      <c r="AP789" s="13"/>
      <c r="AQ789" s="32"/>
      <c r="AR789" s="13">
        <f t="shared" si="179"/>
        <v>0</v>
      </c>
      <c r="AS789" s="33"/>
      <c r="AT789" s="13">
        <f t="shared" ref="AT789:AT852" si="188">ROUNDDOWN($AR789*IF(ISBLANK($AS789),$M$7,$AS789),IF($D$4="Forint",0,2))</f>
        <v>0</v>
      </c>
      <c r="AU789" s="13">
        <f>ROUNDUP(($AR789+$AT789)*VLOOKUP($AN789,Paraméterek!$P$38:$Q$38,2)/12,IF($D$4="Forint",0,2))</f>
        <v>0</v>
      </c>
      <c r="AV789" s="13"/>
      <c r="AW789" s="13"/>
      <c r="AX789" s="13">
        <f>ROUNDUP(IF(SUM($AV789:$AW789)=0,0,IF(IF(ISBLANK($AW789),$AV789,$AW789)*Paraméterek!$J$112&lt;IF($D$4="Forint",Paraméterek!$J$113,Paraméterek!$K$113),IF($D$4="Forint",Paraméterek!$J$113,Paraméterek!$K$113),IF(IF(ISBLANK($AW789),$AV789,$AW789)*Paraméterek!$J$112&gt;IF($D$4="Forint",Paraméterek!$J$114,Paraméterek!$K$114),IF($D$4="Forint",Paraméterek!$J$114,Paraméterek!$K$114),IF(ISBLANK($AW789),$AV789,$AW789)*Paraméterek!$J$112))),IF($D$4="Forint",0,2))</f>
        <v>0</v>
      </c>
      <c r="AY789" s="13">
        <f>$AR789+$AT789-$AU789-IF(ROUNDDOWN(IF(ISBLANK($AW789),$AV789,$AW789),IF($D$4="Forint",0,2))&gt;$AR789+$AT789-$AU789-IF($D$4="Forint",Paraméterek!$J$114,Paraméterek!$K$114),0,ROUNDDOWN(IF(ISBLANK($AW789),$AV789,$AW789),IF($D$4="Forint",0,2))-$AX789)</f>
        <v>0</v>
      </c>
      <c r="AZ789" s="13">
        <f t="shared" ref="AZ789:AZ852" si="189">$AY789</f>
        <v>0</v>
      </c>
    </row>
    <row r="790" spans="1:52" x14ac:dyDescent="0.2">
      <c r="A790" s="32">
        <v>771</v>
      </c>
      <c r="B790" s="32">
        <v>65</v>
      </c>
      <c r="C790" s="32">
        <v>3</v>
      </c>
      <c r="D790" s="13">
        <f t="shared" si="180"/>
        <v>0</v>
      </c>
      <c r="E790" s="13"/>
      <c r="F790" s="13"/>
      <c r="G790" s="13"/>
      <c r="H790" s="13">
        <f t="shared" si="181"/>
        <v>0</v>
      </c>
      <c r="I790" s="13">
        <f t="shared" si="182"/>
        <v>0</v>
      </c>
      <c r="J790" s="13">
        <f t="shared" si="183"/>
        <v>0</v>
      </c>
      <c r="K790" s="13">
        <f>ROUNDUP(IF($D$2="Egyszeri",$D790,IF($D$2="Havi",SUM($D$20:$D$31),IF(MOD($C790,$M$1)-1=0,SUM($D$20:$D$31),0))/12*$M$1)*VLOOKUP($B790,Paraméterek!$B$27:$D$30,IF($D$2="Egyszeri",3,2)),IF($D$4="Forint",0,2))</f>
        <v>0</v>
      </c>
      <c r="L790" s="13">
        <f t="shared" si="184"/>
        <v>0</v>
      </c>
      <c r="M790" s="13">
        <f t="shared" ref="M790:M853" ca="1" si="190">$L790+$V789</f>
        <v>-740108</v>
      </c>
      <c r="N790" s="13">
        <f ca="1">IF($V789&gt;=VLOOKUP($M$4-1+$B790,Paraméterek!$B$121:$D$122,IF($D$4="Forint",2,3)),0,VLOOKUP($M$4-1+$B790,Paraméterek!$B$121:$D$122,IF($D$4="Forint",2,3))-$V789)</f>
        <v>750108</v>
      </c>
      <c r="O790" s="13">
        <f ca="1">ROUNDUP($N790*Paraméterek!$C$58/Paraméterek!$C$56,IF($D$4="Forint",0,2))</f>
        <v>120</v>
      </c>
      <c r="P790" s="13">
        <f t="shared" si="185"/>
        <v>3648</v>
      </c>
      <c r="Q790" s="33"/>
      <c r="R790" s="13">
        <f t="shared" ca="1" si="186"/>
        <v>0</v>
      </c>
      <c r="S790" s="13">
        <f ca="1">ROUNDUP(($M790-$O790-$P790+$R790)*VLOOKUP($B790,Paraméterek!$B$38:$D$39,IF($D$2="Egyszeri",3,2))/12,IF($D$4="Forint",0,2))</f>
        <v>-1817</v>
      </c>
      <c r="T790" s="13"/>
      <c r="U790" s="13"/>
      <c r="V790" s="13">
        <f ca="1">$M790-$O790-$P790+$R790-$S790-IF(ROUNDUP(IF(ISBLANK($U790),$T790,$U790)/IF(AND($B790=1,$D$2&lt;&gt;"Egyszeri"),1,VLOOKUP($B790+IF($C790=12,1,0),Paraméterek!$B$257:$D$267,IF($D$2="Egyszeri",3,2))),IF($D$4="Forint",0,2))&gt;$M790-$O790-$P790+$R790-$S790-IF($D$4="Forint",Paraméterek!$C$216,Paraméterek!$D$216),0,ROUNDUP(IF(ISBLANK($U790),$T790,$U790)/IF(AND($B790=1,$D$2&lt;&gt;"Egyszeri"),1,VLOOKUP($B790+IF($C790=12,1,0),Paraméterek!$B$257:$D$267,IF($D$2="Egyszeri",3,2))),IF($D$4="Forint",0,2)))</f>
        <v>-742059</v>
      </c>
      <c r="W790" s="13">
        <f ca="1">ROUNDDOWN($V790*VLOOKUP($B790+IF($C790=12,1,0),Paraméterek!$B$257:$D$267,IF($D$2="Egyszeri",3,2)),IF($D$4="Forint",0,2))</f>
        <v>-742059</v>
      </c>
      <c r="Y790" s="32">
        <v>771</v>
      </c>
      <c r="Z790" s="32">
        <v>65</v>
      </c>
      <c r="AA790" s="32">
        <v>3</v>
      </c>
      <c r="AB790" s="13">
        <f t="shared" ref="AB790:AB853" si="191">$AJ789</f>
        <v>0</v>
      </c>
      <c r="AC790" s="33"/>
      <c r="AD790" s="13">
        <f t="shared" si="187"/>
        <v>0</v>
      </c>
      <c r="AE790" s="13">
        <f>ROUNDUP(($AB790+$AD790)*VLOOKUP($Z790,Paraméterek!$P$38:$Q$38,2)/12,IF($D$4="Forint",0,2))</f>
        <v>0</v>
      </c>
      <c r="AF790" s="13">
        <f>IF($D$2="Egyszeri",IF($D$7&gt;=IF($D$4="Forint",Paraméterek!$P$223,Paraméterek!$P$224),$D$7-IF($D$4="Forint",Paraméterek!$F$223,Paraméterek!$F$224),0),MIN(IF($AA790=12,AVERAGE($D$20:$D790)*12,0),SUM($D$20:$D$31)))</f>
        <v>0</v>
      </c>
      <c r="AG790" s="13">
        <f>IF(AND($Z790&gt;=10,MOD($Z790,5)=0),$AF790*IF($AA790=12,VLOOKUP($Z790,Paraméterek!$B$225:$F$240,IF($AF790&lt;IF($D$4="Forint",Paraméterek!$C$223,Paraméterek!$C$224),2,IF($AF790&lt;IF($D$4="Forint",Paraméterek!$D$223,Paraméterek!$D$224),3,4))),0),0)</f>
        <v>0</v>
      </c>
      <c r="AH790" s="13">
        <f>IF(AND($Z790&gt;=5,MOD($Z790,5)=0),IF($AA790=12,VLOOKUP($Z790,Paraméterek!$B$225:$F$240,5),0),IF(OR($Z790=3,$Z790=4),IF($AA790=12,VLOOKUP($Z790,Paraméterek!$B$225:$F$240,5,0),0),0))*$AF790</f>
        <v>0</v>
      </c>
      <c r="AI790" s="13">
        <f>ROUNDDOWN(IF(SUM($T$20:$U790)=0,IF($D$2="Egyszeri",$AH790,$AG790),0),IF($D$4="Forint",0,2))</f>
        <v>0</v>
      </c>
      <c r="AJ790" s="13">
        <f t="shared" ref="AJ790:AJ853" si="192">$AB790+$AD790-$AE790+$AI790</f>
        <v>0</v>
      </c>
      <c r="AK790" s="13">
        <f t="shared" ref="AK790:AK853" si="193">$AJ790</f>
        <v>0</v>
      </c>
      <c r="AM790" s="32">
        <v>771</v>
      </c>
      <c r="AN790" s="32">
        <v>65</v>
      </c>
      <c r="AO790" s="32">
        <v>3</v>
      </c>
      <c r="AP790" s="13"/>
      <c r="AQ790" s="32"/>
      <c r="AR790" s="13">
        <f t="shared" ref="AR790:AR853" si="194">IF(ISBLANK($AQ790),$AP790,$AQ790)+$AY789</f>
        <v>0</v>
      </c>
      <c r="AS790" s="33"/>
      <c r="AT790" s="13">
        <f t="shared" si="188"/>
        <v>0</v>
      </c>
      <c r="AU790" s="13">
        <f>ROUNDUP(($AR790+$AT790)*VLOOKUP($AN790,Paraméterek!$P$38:$Q$38,2)/12,IF($D$4="Forint",0,2))</f>
        <v>0</v>
      </c>
      <c r="AV790" s="13"/>
      <c r="AW790" s="13"/>
      <c r="AX790" s="13">
        <f>ROUNDUP(IF(SUM($AV790:$AW790)=0,0,IF(IF(ISBLANK($AW790),$AV790,$AW790)*Paraméterek!$J$112&lt;IF($D$4="Forint",Paraméterek!$J$113,Paraméterek!$K$113),IF($D$4="Forint",Paraméterek!$J$113,Paraméterek!$K$113),IF(IF(ISBLANK($AW790),$AV790,$AW790)*Paraméterek!$J$112&gt;IF($D$4="Forint",Paraméterek!$J$114,Paraméterek!$K$114),IF($D$4="Forint",Paraméterek!$J$114,Paraméterek!$K$114),IF(ISBLANK($AW790),$AV790,$AW790)*Paraméterek!$J$112))),IF($D$4="Forint",0,2))</f>
        <v>0</v>
      </c>
      <c r="AY790" s="13">
        <f>$AR790+$AT790-$AU790-IF(ROUNDDOWN(IF(ISBLANK($AW790),$AV790,$AW790),IF($D$4="Forint",0,2))&gt;$AR790+$AT790-$AU790-IF($D$4="Forint",Paraméterek!$J$114,Paraméterek!$K$114),0,ROUNDDOWN(IF(ISBLANK($AW790),$AV790,$AW790),IF($D$4="Forint",0,2))-$AX790)</f>
        <v>0</v>
      </c>
      <c r="AZ790" s="13">
        <f t="shared" si="189"/>
        <v>0</v>
      </c>
    </row>
    <row r="791" spans="1:52" x14ac:dyDescent="0.2">
      <c r="A791" s="32">
        <v>772</v>
      </c>
      <c r="B791" s="32">
        <v>65</v>
      </c>
      <c r="C791" s="32">
        <v>4</v>
      </c>
      <c r="D791" s="13">
        <f t="shared" si="180"/>
        <v>0</v>
      </c>
      <c r="E791" s="13"/>
      <c r="F791" s="13"/>
      <c r="G791" s="13"/>
      <c r="H791" s="13">
        <f t="shared" si="181"/>
        <v>0</v>
      </c>
      <c r="I791" s="13">
        <f t="shared" si="182"/>
        <v>0</v>
      </c>
      <c r="J791" s="13">
        <f t="shared" si="183"/>
        <v>0</v>
      </c>
      <c r="K791" s="13">
        <f>ROUNDUP(IF($D$2="Egyszeri",$D791,IF($D$2="Havi",SUM($D$20:$D$31),IF(MOD($C791,$M$1)-1=0,SUM($D$20:$D$31),0))/12*$M$1)*VLOOKUP($B791,Paraméterek!$B$27:$D$30,IF($D$2="Egyszeri",3,2)),IF($D$4="Forint",0,2))</f>
        <v>0</v>
      </c>
      <c r="L791" s="13">
        <f t="shared" si="184"/>
        <v>0</v>
      </c>
      <c r="M791" s="13">
        <f t="shared" ca="1" si="190"/>
        <v>-742059</v>
      </c>
      <c r="N791" s="13">
        <f ca="1">IF($V790&gt;=VLOOKUP($M$4-1+$B791,Paraméterek!$B$121:$D$122,IF($D$4="Forint",2,3)),0,VLOOKUP($M$4-1+$B791,Paraméterek!$B$121:$D$122,IF($D$4="Forint",2,3))-$V790)</f>
        <v>752059</v>
      </c>
      <c r="O791" s="13">
        <f ca="1">ROUNDUP($N791*Paraméterek!$C$58/Paraméterek!$C$56,IF($D$4="Forint",0,2))</f>
        <v>120</v>
      </c>
      <c r="P791" s="13">
        <f t="shared" si="185"/>
        <v>3648</v>
      </c>
      <c r="Q791" s="33"/>
      <c r="R791" s="13">
        <f t="shared" ca="1" si="186"/>
        <v>0</v>
      </c>
      <c r="S791" s="13">
        <f ca="1">ROUNDUP(($M791-$O791-$P791+$R791)*VLOOKUP($B791,Paraméterek!$B$38:$D$39,IF($D$2="Egyszeri",3,2))/12,IF($D$4="Forint",0,2))</f>
        <v>-1822</v>
      </c>
      <c r="T791" s="13"/>
      <c r="U791" s="13"/>
      <c r="V791" s="13">
        <f ca="1">$M791-$O791-$P791+$R791-$S791-IF(ROUNDUP(IF(ISBLANK($U791),$T791,$U791)/IF(AND($B791=1,$D$2&lt;&gt;"Egyszeri"),1,VLOOKUP($B791+IF($C791=12,1,0),Paraméterek!$B$257:$D$267,IF($D$2="Egyszeri",3,2))),IF($D$4="Forint",0,2))&gt;$M791-$O791-$P791+$R791-$S791-IF($D$4="Forint",Paraméterek!$C$216,Paraméterek!$D$216),0,ROUNDUP(IF(ISBLANK($U791),$T791,$U791)/IF(AND($B791=1,$D$2&lt;&gt;"Egyszeri"),1,VLOOKUP($B791+IF($C791=12,1,0),Paraméterek!$B$257:$D$267,IF($D$2="Egyszeri",3,2))),IF($D$4="Forint",0,2)))</f>
        <v>-744005</v>
      </c>
      <c r="W791" s="13">
        <f ca="1">ROUNDDOWN($V791*VLOOKUP($B791+IF($C791=12,1,0),Paraméterek!$B$257:$D$267,IF($D$2="Egyszeri",3,2)),IF($D$4="Forint",0,2))</f>
        <v>-744005</v>
      </c>
      <c r="Y791" s="32">
        <v>772</v>
      </c>
      <c r="Z791" s="32">
        <v>65</v>
      </c>
      <c r="AA791" s="32">
        <v>4</v>
      </c>
      <c r="AB791" s="13">
        <f t="shared" si="191"/>
        <v>0</v>
      </c>
      <c r="AC791" s="33"/>
      <c r="AD791" s="13">
        <f t="shared" si="187"/>
        <v>0</v>
      </c>
      <c r="AE791" s="13">
        <f>ROUNDUP(($AB791+$AD791)*VLOOKUP($Z791,Paraméterek!$P$38:$Q$38,2)/12,IF($D$4="Forint",0,2))</f>
        <v>0</v>
      </c>
      <c r="AF791" s="13">
        <f>IF($D$2="Egyszeri",IF($D$7&gt;=IF($D$4="Forint",Paraméterek!$P$223,Paraméterek!$P$224),$D$7-IF($D$4="Forint",Paraméterek!$F$223,Paraméterek!$F$224),0),MIN(IF($AA791=12,AVERAGE($D$20:$D791)*12,0),SUM($D$20:$D$31)))</f>
        <v>0</v>
      </c>
      <c r="AG791" s="13">
        <f>IF(AND($Z791&gt;=10,MOD($Z791,5)=0),$AF791*IF($AA791=12,VLOOKUP($Z791,Paraméterek!$B$225:$F$240,IF($AF791&lt;IF($D$4="Forint",Paraméterek!$C$223,Paraméterek!$C$224),2,IF($AF791&lt;IF($D$4="Forint",Paraméterek!$D$223,Paraméterek!$D$224),3,4))),0),0)</f>
        <v>0</v>
      </c>
      <c r="AH791" s="13">
        <f>IF(AND($Z791&gt;=5,MOD($Z791,5)=0),IF($AA791=12,VLOOKUP($Z791,Paraméterek!$B$225:$F$240,5),0),IF(OR($Z791=3,$Z791=4),IF($AA791=12,VLOOKUP($Z791,Paraméterek!$B$225:$F$240,5,0),0),0))*$AF791</f>
        <v>0</v>
      </c>
      <c r="AI791" s="13">
        <f>ROUNDDOWN(IF(SUM($T$20:$U791)=0,IF($D$2="Egyszeri",$AH791,$AG791),0),IF($D$4="Forint",0,2))</f>
        <v>0</v>
      </c>
      <c r="AJ791" s="13">
        <f t="shared" si="192"/>
        <v>0</v>
      </c>
      <c r="AK791" s="13">
        <f t="shared" si="193"/>
        <v>0</v>
      </c>
      <c r="AM791" s="32">
        <v>772</v>
      </c>
      <c r="AN791" s="32">
        <v>65</v>
      </c>
      <c r="AO791" s="32">
        <v>4</v>
      </c>
      <c r="AP791" s="13"/>
      <c r="AQ791" s="32"/>
      <c r="AR791" s="13">
        <f t="shared" si="194"/>
        <v>0</v>
      </c>
      <c r="AS791" s="33"/>
      <c r="AT791" s="13">
        <f t="shared" si="188"/>
        <v>0</v>
      </c>
      <c r="AU791" s="13">
        <f>ROUNDUP(($AR791+$AT791)*VLOOKUP($AN791,Paraméterek!$P$38:$Q$38,2)/12,IF($D$4="Forint",0,2))</f>
        <v>0</v>
      </c>
      <c r="AV791" s="13"/>
      <c r="AW791" s="13"/>
      <c r="AX791" s="13">
        <f>ROUNDUP(IF(SUM($AV791:$AW791)=0,0,IF(IF(ISBLANK($AW791),$AV791,$AW791)*Paraméterek!$J$112&lt;IF($D$4="Forint",Paraméterek!$J$113,Paraméterek!$K$113),IF($D$4="Forint",Paraméterek!$J$113,Paraméterek!$K$113),IF(IF(ISBLANK($AW791),$AV791,$AW791)*Paraméterek!$J$112&gt;IF($D$4="Forint",Paraméterek!$J$114,Paraméterek!$K$114),IF($D$4="Forint",Paraméterek!$J$114,Paraméterek!$K$114),IF(ISBLANK($AW791),$AV791,$AW791)*Paraméterek!$J$112))),IF($D$4="Forint",0,2))</f>
        <v>0</v>
      </c>
      <c r="AY791" s="13">
        <f>$AR791+$AT791-$AU791-IF(ROUNDDOWN(IF(ISBLANK($AW791),$AV791,$AW791),IF($D$4="Forint",0,2))&gt;$AR791+$AT791-$AU791-IF($D$4="Forint",Paraméterek!$J$114,Paraméterek!$K$114),0,ROUNDDOWN(IF(ISBLANK($AW791),$AV791,$AW791),IF($D$4="Forint",0,2))-$AX791)</f>
        <v>0</v>
      </c>
      <c r="AZ791" s="13">
        <f t="shared" si="189"/>
        <v>0</v>
      </c>
    </row>
    <row r="792" spans="1:52" x14ac:dyDescent="0.2">
      <c r="A792" s="32">
        <v>773</v>
      </c>
      <c r="B792" s="32">
        <v>65</v>
      </c>
      <c r="C792" s="32">
        <v>5</v>
      </c>
      <c r="D792" s="13">
        <f t="shared" si="180"/>
        <v>0</v>
      </c>
      <c r="E792" s="13"/>
      <c r="F792" s="13"/>
      <c r="G792" s="13"/>
      <c r="H792" s="13">
        <f t="shared" si="181"/>
        <v>0</v>
      </c>
      <c r="I792" s="13">
        <f t="shared" si="182"/>
        <v>0</v>
      </c>
      <c r="J792" s="13">
        <f t="shared" si="183"/>
        <v>0</v>
      </c>
      <c r="K792" s="13">
        <f>ROUNDUP(IF($D$2="Egyszeri",$D792,IF($D$2="Havi",SUM($D$20:$D$31),IF(MOD($C792,$M$1)-1=0,SUM($D$20:$D$31),0))/12*$M$1)*VLOOKUP($B792,Paraméterek!$B$27:$D$30,IF($D$2="Egyszeri",3,2)),IF($D$4="Forint",0,2))</f>
        <v>0</v>
      </c>
      <c r="L792" s="13">
        <f t="shared" si="184"/>
        <v>0</v>
      </c>
      <c r="M792" s="13">
        <f t="shared" ca="1" si="190"/>
        <v>-744005</v>
      </c>
      <c r="N792" s="13">
        <f ca="1">IF($V791&gt;=VLOOKUP($M$4-1+$B792,Paraméterek!$B$121:$D$122,IF($D$4="Forint",2,3)),0,VLOOKUP($M$4-1+$B792,Paraméterek!$B$121:$D$122,IF($D$4="Forint",2,3))-$V791)</f>
        <v>754005</v>
      </c>
      <c r="O792" s="13">
        <f ca="1">ROUNDUP($N792*Paraméterek!$C$58/Paraméterek!$C$56,IF($D$4="Forint",0,2))</f>
        <v>121</v>
      </c>
      <c r="P792" s="13">
        <f t="shared" si="185"/>
        <v>3648</v>
      </c>
      <c r="Q792" s="33"/>
      <c r="R792" s="13">
        <f t="shared" ca="1" si="186"/>
        <v>0</v>
      </c>
      <c r="S792" s="13">
        <f ca="1">ROUNDUP(($M792-$O792-$P792+$R792)*VLOOKUP($B792,Paraméterek!$B$38:$D$39,IF($D$2="Egyszeri",3,2))/12,IF($D$4="Forint",0,2))</f>
        <v>-1826</v>
      </c>
      <c r="T792" s="13"/>
      <c r="U792" s="13"/>
      <c r="V792" s="13">
        <f ca="1">$M792-$O792-$P792+$R792-$S792-IF(ROUNDUP(IF(ISBLANK($U792),$T792,$U792)/IF(AND($B792=1,$D$2&lt;&gt;"Egyszeri"),1,VLOOKUP($B792+IF($C792=12,1,0),Paraméterek!$B$257:$D$267,IF($D$2="Egyszeri",3,2))),IF($D$4="Forint",0,2))&gt;$M792-$O792-$P792+$R792-$S792-IF($D$4="Forint",Paraméterek!$C$216,Paraméterek!$D$216),0,ROUNDUP(IF(ISBLANK($U792),$T792,$U792)/IF(AND($B792=1,$D$2&lt;&gt;"Egyszeri"),1,VLOOKUP($B792+IF($C792=12,1,0),Paraméterek!$B$257:$D$267,IF($D$2="Egyszeri",3,2))),IF($D$4="Forint",0,2)))</f>
        <v>-745948</v>
      </c>
      <c r="W792" s="13">
        <f ca="1">ROUNDDOWN($V792*VLOOKUP($B792+IF($C792=12,1,0),Paraméterek!$B$257:$D$267,IF($D$2="Egyszeri",3,2)),IF($D$4="Forint",0,2))</f>
        <v>-745948</v>
      </c>
      <c r="Y792" s="32">
        <v>773</v>
      </c>
      <c r="Z792" s="32">
        <v>65</v>
      </c>
      <c r="AA792" s="32">
        <v>5</v>
      </c>
      <c r="AB792" s="13">
        <f t="shared" si="191"/>
        <v>0</v>
      </c>
      <c r="AC792" s="33"/>
      <c r="AD792" s="13">
        <f t="shared" si="187"/>
        <v>0</v>
      </c>
      <c r="AE792" s="13">
        <f>ROUNDUP(($AB792+$AD792)*VLOOKUP($Z792,Paraméterek!$P$38:$Q$38,2)/12,IF($D$4="Forint",0,2))</f>
        <v>0</v>
      </c>
      <c r="AF792" s="13">
        <f>IF($D$2="Egyszeri",IF($D$7&gt;=IF($D$4="Forint",Paraméterek!$P$223,Paraméterek!$P$224),$D$7-IF($D$4="Forint",Paraméterek!$F$223,Paraméterek!$F$224),0),MIN(IF($AA792=12,AVERAGE($D$20:$D792)*12,0),SUM($D$20:$D$31)))</f>
        <v>0</v>
      </c>
      <c r="AG792" s="13">
        <f>IF(AND($Z792&gt;=10,MOD($Z792,5)=0),$AF792*IF($AA792=12,VLOOKUP($Z792,Paraméterek!$B$225:$F$240,IF($AF792&lt;IF($D$4="Forint",Paraméterek!$C$223,Paraméterek!$C$224),2,IF($AF792&lt;IF($D$4="Forint",Paraméterek!$D$223,Paraméterek!$D$224),3,4))),0),0)</f>
        <v>0</v>
      </c>
      <c r="AH792" s="13">
        <f>IF(AND($Z792&gt;=5,MOD($Z792,5)=0),IF($AA792=12,VLOOKUP($Z792,Paraméterek!$B$225:$F$240,5),0),IF(OR($Z792=3,$Z792=4),IF($AA792=12,VLOOKUP($Z792,Paraméterek!$B$225:$F$240,5,0),0),0))*$AF792</f>
        <v>0</v>
      </c>
      <c r="AI792" s="13">
        <f>ROUNDDOWN(IF(SUM($T$20:$U792)=0,IF($D$2="Egyszeri",$AH792,$AG792),0),IF($D$4="Forint",0,2))</f>
        <v>0</v>
      </c>
      <c r="AJ792" s="13">
        <f t="shared" si="192"/>
        <v>0</v>
      </c>
      <c r="AK792" s="13">
        <f t="shared" si="193"/>
        <v>0</v>
      </c>
      <c r="AM792" s="32">
        <v>773</v>
      </c>
      <c r="AN792" s="32">
        <v>65</v>
      </c>
      <c r="AO792" s="32">
        <v>5</v>
      </c>
      <c r="AP792" s="13"/>
      <c r="AQ792" s="32"/>
      <c r="AR792" s="13">
        <f t="shared" si="194"/>
        <v>0</v>
      </c>
      <c r="AS792" s="33"/>
      <c r="AT792" s="13">
        <f t="shared" si="188"/>
        <v>0</v>
      </c>
      <c r="AU792" s="13">
        <f>ROUNDUP(($AR792+$AT792)*VLOOKUP($AN792,Paraméterek!$P$38:$Q$38,2)/12,IF($D$4="Forint",0,2))</f>
        <v>0</v>
      </c>
      <c r="AV792" s="13"/>
      <c r="AW792" s="13"/>
      <c r="AX792" s="13">
        <f>ROUNDUP(IF(SUM($AV792:$AW792)=0,0,IF(IF(ISBLANK($AW792),$AV792,$AW792)*Paraméterek!$J$112&lt;IF($D$4="Forint",Paraméterek!$J$113,Paraméterek!$K$113),IF($D$4="Forint",Paraméterek!$J$113,Paraméterek!$K$113),IF(IF(ISBLANK($AW792),$AV792,$AW792)*Paraméterek!$J$112&gt;IF($D$4="Forint",Paraméterek!$J$114,Paraméterek!$K$114),IF($D$4="Forint",Paraméterek!$J$114,Paraméterek!$K$114),IF(ISBLANK($AW792),$AV792,$AW792)*Paraméterek!$J$112))),IF($D$4="Forint",0,2))</f>
        <v>0</v>
      </c>
      <c r="AY792" s="13">
        <f>$AR792+$AT792-$AU792-IF(ROUNDDOWN(IF(ISBLANK($AW792),$AV792,$AW792),IF($D$4="Forint",0,2))&gt;$AR792+$AT792-$AU792-IF($D$4="Forint",Paraméterek!$J$114,Paraméterek!$K$114),0,ROUNDDOWN(IF(ISBLANK($AW792),$AV792,$AW792),IF($D$4="Forint",0,2))-$AX792)</f>
        <v>0</v>
      </c>
      <c r="AZ792" s="13">
        <f t="shared" si="189"/>
        <v>0</v>
      </c>
    </row>
    <row r="793" spans="1:52" x14ac:dyDescent="0.2">
      <c r="A793" s="32">
        <v>774</v>
      </c>
      <c r="B793" s="32">
        <v>65</v>
      </c>
      <c r="C793" s="32">
        <v>6</v>
      </c>
      <c r="D793" s="13">
        <f t="shared" si="180"/>
        <v>0</v>
      </c>
      <c r="E793" s="13"/>
      <c r="F793" s="13"/>
      <c r="G793" s="13"/>
      <c r="H793" s="13">
        <f t="shared" si="181"/>
        <v>0</v>
      </c>
      <c r="I793" s="13">
        <f t="shared" si="182"/>
        <v>0</v>
      </c>
      <c r="J793" s="13">
        <f t="shared" si="183"/>
        <v>0</v>
      </c>
      <c r="K793" s="13">
        <f>ROUNDUP(IF($D$2="Egyszeri",$D793,IF($D$2="Havi",SUM($D$20:$D$31),IF(MOD($C793,$M$1)-1=0,SUM($D$20:$D$31),0))/12*$M$1)*VLOOKUP($B793,Paraméterek!$B$27:$D$30,IF($D$2="Egyszeri",3,2)),IF($D$4="Forint",0,2))</f>
        <v>0</v>
      </c>
      <c r="L793" s="13">
        <f t="shared" si="184"/>
        <v>0</v>
      </c>
      <c r="M793" s="13">
        <f t="shared" ca="1" si="190"/>
        <v>-745948</v>
      </c>
      <c r="N793" s="13">
        <f ca="1">IF($V792&gt;=VLOOKUP($M$4-1+$B793,Paraméterek!$B$121:$D$122,IF($D$4="Forint",2,3)),0,VLOOKUP($M$4-1+$B793,Paraméterek!$B$121:$D$122,IF($D$4="Forint",2,3))-$V792)</f>
        <v>755948</v>
      </c>
      <c r="O793" s="13">
        <f ca="1">ROUNDUP($N793*Paraméterek!$C$58/Paraméterek!$C$56,IF($D$4="Forint",0,2))</f>
        <v>121</v>
      </c>
      <c r="P793" s="13">
        <f t="shared" si="185"/>
        <v>3648</v>
      </c>
      <c r="Q793" s="33"/>
      <c r="R793" s="13">
        <f t="shared" ca="1" si="186"/>
        <v>0</v>
      </c>
      <c r="S793" s="13">
        <f ca="1">ROUNDUP(($M793-$O793-$P793+$R793)*VLOOKUP($B793,Paraméterek!$B$38:$D$39,IF($D$2="Egyszeri",3,2))/12,IF($D$4="Forint",0,2))</f>
        <v>-1831</v>
      </c>
      <c r="T793" s="13"/>
      <c r="U793" s="13"/>
      <c r="V793" s="13">
        <f ca="1">$M793-$O793-$P793+$R793-$S793-IF(ROUNDUP(IF(ISBLANK($U793),$T793,$U793)/IF(AND($B793=1,$D$2&lt;&gt;"Egyszeri"),1,VLOOKUP($B793+IF($C793=12,1,0),Paraméterek!$B$257:$D$267,IF($D$2="Egyszeri",3,2))),IF($D$4="Forint",0,2))&gt;$M793-$O793-$P793+$R793-$S793-IF($D$4="Forint",Paraméterek!$C$216,Paraméterek!$D$216),0,ROUNDUP(IF(ISBLANK($U793),$T793,$U793)/IF(AND($B793=1,$D$2&lt;&gt;"Egyszeri"),1,VLOOKUP($B793+IF($C793=12,1,0),Paraméterek!$B$257:$D$267,IF($D$2="Egyszeri",3,2))),IF($D$4="Forint",0,2)))</f>
        <v>-747886</v>
      </c>
      <c r="W793" s="13">
        <f ca="1">ROUNDDOWN($V793*VLOOKUP($B793+IF($C793=12,1,0),Paraméterek!$B$257:$D$267,IF($D$2="Egyszeri",3,2)),IF($D$4="Forint",0,2))</f>
        <v>-747886</v>
      </c>
      <c r="Y793" s="32">
        <v>774</v>
      </c>
      <c r="Z793" s="32">
        <v>65</v>
      </c>
      <c r="AA793" s="32">
        <v>6</v>
      </c>
      <c r="AB793" s="13">
        <f t="shared" si="191"/>
        <v>0</v>
      </c>
      <c r="AC793" s="33"/>
      <c r="AD793" s="13">
        <f t="shared" si="187"/>
        <v>0</v>
      </c>
      <c r="AE793" s="13">
        <f>ROUNDUP(($AB793+$AD793)*VLOOKUP($Z793,Paraméterek!$P$38:$Q$38,2)/12,IF($D$4="Forint",0,2))</f>
        <v>0</v>
      </c>
      <c r="AF793" s="13">
        <f>IF($D$2="Egyszeri",IF($D$7&gt;=IF($D$4="Forint",Paraméterek!$P$223,Paraméterek!$P$224),$D$7-IF($D$4="Forint",Paraméterek!$F$223,Paraméterek!$F$224),0),MIN(IF($AA793=12,AVERAGE($D$20:$D793)*12,0),SUM($D$20:$D$31)))</f>
        <v>0</v>
      </c>
      <c r="AG793" s="13">
        <f>IF(AND($Z793&gt;=10,MOD($Z793,5)=0),$AF793*IF($AA793=12,VLOOKUP($Z793,Paraméterek!$B$225:$F$240,IF($AF793&lt;IF($D$4="Forint",Paraméterek!$C$223,Paraméterek!$C$224),2,IF($AF793&lt;IF($D$4="Forint",Paraméterek!$D$223,Paraméterek!$D$224),3,4))),0),0)</f>
        <v>0</v>
      </c>
      <c r="AH793" s="13">
        <f>IF(AND($Z793&gt;=5,MOD($Z793,5)=0),IF($AA793=12,VLOOKUP($Z793,Paraméterek!$B$225:$F$240,5),0),IF(OR($Z793=3,$Z793=4),IF($AA793=12,VLOOKUP($Z793,Paraméterek!$B$225:$F$240,5,0),0),0))*$AF793</f>
        <v>0</v>
      </c>
      <c r="AI793" s="13">
        <f>ROUNDDOWN(IF(SUM($T$20:$U793)=0,IF($D$2="Egyszeri",$AH793,$AG793),0),IF($D$4="Forint",0,2))</f>
        <v>0</v>
      </c>
      <c r="AJ793" s="13">
        <f t="shared" si="192"/>
        <v>0</v>
      </c>
      <c r="AK793" s="13">
        <f t="shared" si="193"/>
        <v>0</v>
      </c>
      <c r="AM793" s="32">
        <v>774</v>
      </c>
      <c r="AN793" s="32">
        <v>65</v>
      </c>
      <c r="AO793" s="32">
        <v>6</v>
      </c>
      <c r="AP793" s="13"/>
      <c r="AQ793" s="32"/>
      <c r="AR793" s="13">
        <f t="shared" si="194"/>
        <v>0</v>
      </c>
      <c r="AS793" s="33"/>
      <c r="AT793" s="13">
        <f t="shared" si="188"/>
        <v>0</v>
      </c>
      <c r="AU793" s="13">
        <f>ROUNDUP(($AR793+$AT793)*VLOOKUP($AN793,Paraméterek!$P$38:$Q$38,2)/12,IF($D$4="Forint",0,2))</f>
        <v>0</v>
      </c>
      <c r="AV793" s="13"/>
      <c r="AW793" s="13"/>
      <c r="AX793" s="13">
        <f>ROUNDUP(IF(SUM($AV793:$AW793)=0,0,IF(IF(ISBLANK($AW793),$AV793,$AW793)*Paraméterek!$J$112&lt;IF($D$4="Forint",Paraméterek!$J$113,Paraméterek!$K$113),IF($D$4="Forint",Paraméterek!$J$113,Paraméterek!$K$113),IF(IF(ISBLANK($AW793),$AV793,$AW793)*Paraméterek!$J$112&gt;IF($D$4="Forint",Paraméterek!$J$114,Paraméterek!$K$114),IF($D$4="Forint",Paraméterek!$J$114,Paraméterek!$K$114),IF(ISBLANK($AW793),$AV793,$AW793)*Paraméterek!$J$112))),IF($D$4="Forint",0,2))</f>
        <v>0</v>
      </c>
      <c r="AY793" s="13">
        <f>$AR793+$AT793-$AU793-IF(ROUNDDOWN(IF(ISBLANK($AW793),$AV793,$AW793),IF($D$4="Forint",0,2))&gt;$AR793+$AT793-$AU793-IF($D$4="Forint",Paraméterek!$J$114,Paraméterek!$K$114),0,ROUNDDOWN(IF(ISBLANK($AW793),$AV793,$AW793),IF($D$4="Forint",0,2))-$AX793)</f>
        <v>0</v>
      </c>
      <c r="AZ793" s="13">
        <f t="shared" si="189"/>
        <v>0</v>
      </c>
    </row>
    <row r="794" spans="1:52" x14ac:dyDescent="0.2">
      <c r="A794" s="32">
        <v>775</v>
      </c>
      <c r="B794" s="32">
        <v>65</v>
      </c>
      <c r="C794" s="32">
        <v>7</v>
      </c>
      <c r="D794" s="13">
        <f t="shared" si="180"/>
        <v>0</v>
      </c>
      <c r="E794" s="13"/>
      <c r="F794" s="13"/>
      <c r="G794" s="13"/>
      <c r="H794" s="13">
        <f t="shared" si="181"/>
        <v>0</v>
      </c>
      <c r="I794" s="13">
        <f t="shared" si="182"/>
        <v>0</v>
      </c>
      <c r="J794" s="13">
        <f t="shared" si="183"/>
        <v>0</v>
      </c>
      <c r="K794" s="13">
        <f>ROUNDUP(IF($D$2="Egyszeri",$D794,IF($D$2="Havi",SUM($D$20:$D$31),IF(MOD($C794,$M$1)-1=0,SUM($D$20:$D$31),0))/12*$M$1)*VLOOKUP($B794,Paraméterek!$B$27:$D$30,IF($D$2="Egyszeri",3,2)),IF($D$4="Forint",0,2))</f>
        <v>0</v>
      </c>
      <c r="L794" s="13">
        <f t="shared" si="184"/>
        <v>0</v>
      </c>
      <c r="M794" s="13">
        <f t="shared" ca="1" si="190"/>
        <v>-747886</v>
      </c>
      <c r="N794" s="13">
        <f ca="1">IF($V793&gt;=VLOOKUP($M$4-1+$B794,Paraméterek!$B$121:$D$122,IF($D$4="Forint",2,3)),0,VLOOKUP($M$4-1+$B794,Paraméterek!$B$121:$D$122,IF($D$4="Forint",2,3))-$V793)</f>
        <v>757886</v>
      </c>
      <c r="O794" s="13">
        <f ca="1">ROUNDUP($N794*Paraméterek!$C$58/Paraméterek!$C$56,IF($D$4="Forint",0,2))</f>
        <v>121</v>
      </c>
      <c r="P794" s="13">
        <f t="shared" si="185"/>
        <v>3648</v>
      </c>
      <c r="Q794" s="33"/>
      <c r="R794" s="13">
        <f t="shared" ca="1" si="186"/>
        <v>0</v>
      </c>
      <c r="S794" s="13">
        <f ca="1">ROUNDUP(($M794-$O794-$P794+$R794)*VLOOKUP($B794,Paraméterek!$B$38:$D$39,IF($D$2="Egyszeri",3,2))/12,IF($D$4="Forint",0,2))</f>
        <v>-1836</v>
      </c>
      <c r="T794" s="13"/>
      <c r="U794" s="13"/>
      <c r="V794" s="13">
        <f ca="1">$M794-$O794-$P794+$R794-$S794-IF(ROUNDUP(IF(ISBLANK($U794),$T794,$U794)/IF(AND($B794=1,$D$2&lt;&gt;"Egyszeri"),1,VLOOKUP($B794+IF($C794=12,1,0),Paraméterek!$B$257:$D$267,IF($D$2="Egyszeri",3,2))),IF($D$4="Forint",0,2))&gt;$M794-$O794-$P794+$R794-$S794-IF($D$4="Forint",Paraméterek!$C$216,Paraméterek!$D$216),0,ROUNDUP(IF(ISBLANK($U794),$T794,$U794)/IF(AND($B794=1,$D$2&lt;&gt;"Egyszeri"),1,VLOOKUP($B794+IF($C794=12,1,0),Paraméterek!$B$257:$D$267,IF($D$2="Egyszeri",3,2))),IF($D$4="Forint",0,2)))</f>
        <v>-749819</v>
      </c>
      <c r="W794" s="13">
        <f ca="1">ROUNDDOWN($V794*VLOOKUP($B794+IF($C794=12,1,0),Paraméterek!$B$257:$D$267,IF($D$2="Egyszeri",3,2)),IF($D$4="Forint",0,2))</f>
        <v>-749819</v>
      </c>
      <c r="Y794" s="32">
        <v>775</v>
      </c>
      <c r="Z794" s="32">
        <v>65</v>
      </c>
      <c r="AA794" s="32">
        <v>7</v>
      </c>
      <c r="AB794" s="13">
        <f t="shared" si="191"/>
        <v>0</v>
      </c>
      <c r="AC794" s="33"/>
      <c r="AD794" s="13">
        <f t="shared" si="187"/>
        <v>0</v>
      </c>
      <c r="AE794" s="13">
        <f>ROUNDUP(($AB794+$AD794)*VLOOKUP($Z794,Paraméterek!$P$38:$Q$38,2)/12,IF($D$4="Forint",0,2))</f>
        <v>0</v>
      </c>
      <c r="AF794" s="13">
        <f>IF($D$2="Egyszeri",IF($D$7&gt;=IF($D$4="Forint",Paraméterek!$P$223,Paraméterek!$P$224),$D$7-IF($D$4="Forint",Paraméterek!$F$223,Paraméterek!$F$224),0),MIN(IF($AA794=12,AVERAGE($D$20:$D794)*12,0),SUM($D$20:$D$31)))</f>
        <v>0</v>
      </c>
      <c r="AG794" s="13">
        <f>IF(AND($Z794&gt;=10,MOD($Z794,5)=0),$AF794*IF($AA794=12,VLOOKUP($Z794,Paraméterek!$B$225:$F$240,IF($AF794&lt;IF($D$4="Forint",Paraméterek!$C$223,Paraméterek!$C$224),2,IF($AF794&lt;IF($D$4="Forint",Paraméterek!$D$223,Paraméterek!$D$224),3,4))),0),0)</f>
        <v>0</v>
      </c>
      <c r="AH794" s="13">
        <f>IF(AND($Z794&gt;=5,MOD($Z794,5)=0),IF($AA794=12,VLOOKUP($Z794,Paraméterek!$B$225:$F$240,5),0),IF(OR($Z794=3,$Z794=4),IF($AA794=12,VLOOKUP($Z794,Paraméterek!$B$225:$F$240,5,0),0),0))*$AF794</f>
        <v>0</v>
      </c>
      <c r="AI794" s="13">
        <f>ROUNDDOWN(IF(SUM($T$20:$U794)=0,IF($D$2="Egyszeri",$AH794,$AG794),0),IF($D$4="Forint",0,2))</f>
        <v>0</v>
      </c>
      <c r="AJ794" s="13">
        <f t="shared" si="192"/>
        <v>0</v>
      </c>
      <c r="AK794" s="13">
        <f t="shared" si="193"/>
        <v>0</v>
      </c>
      <c r="AM794" s="32">
        <v>775</v>
      </c>
      <c r="AN794" s="32">
        <v>65</v>
      </c>
      <c r="AO794" s="32">
        <v>7</v>
      </c>
      <c r="AP794" s="13"/>
      <c r="AQ794" s="32"/>
      <c r="AR794" s="13">
        <f t="shared" si="194"/>
        <v>0</v>
      </c>
      <c r="AS794" s="33"/>
      <c r="AT794" s="13">
        <f t="shared" si="188"/>
        <v>0</v>
      </c>
      <c r="AU794" s="13">
        <f>ROUNDUP(($AR794+$AT794)*VLOOKUP($AN794,Paraméterek!$P$38:$Q$38,2)/12,IF($D$4="Forint",0,2))</f>
        <v>0</v>
      </c>
      <c r="AV794" s="13"/>
      <c r="AW794" s="13"/>
      <c r="AX794" s="13">
        <f>ROUNDUP(IF(SUM($AV794:$AW794)=0,0,IF(IF(ISBLANK($AW794),$AV794,$AW794)*Paraméterek!$J$112&lt;IF($D$4="Forint",Paraméterek!$J$113,Paraméterek!$K$113),IF($D$4="Forint",Paraméterek!$J$113,Paraméterek!$K$113),IF(IF(ISBLANK($AW794),$AV794,$AW794)*Paraméterek!$J$112&gt;IF($D$4="Forint",Paraméterek!$J$114,Paraméterek!$K$114),IF($D$4="Forint",Paraméterek!$J$114,Paraméterek!$K$114),IF(ISBLANK($AW794),$AV794,$AW794)*Paraméterek!$J$112))),IF($D$4="Forint",0,2))</f>
        <v>0</v>
      </c>
      <c r="AY794" s="13">
        <f>$AR794+$AT794-$AU794-IF(ROUNDDOWN(IF(ISBLANK($AW794),$AV794,$AW794),IF($D$4="Forint",0,2))&gt;$AR794+$AT794-$AU794-IF($D$4="Forint",Paraméterek!$J$114,Paraméterek!$K$114),0,ROUNDDOWN(IF(ISBLANK($AW794),$AV794,$AW794),IF($D$4="Forint",0,2))-$AX794)</f>
        <v>0</v>
      </c>
      <c r="AZ794" s="13">
        <f t="shared" si="189"/>
        <v>0</v>
      </c>
    </row>
    <row r="795" spans="1:52" x14ac:dyDescent="0.2">
      <c r="A795" s="32">
        <v>776</v>
      </c>
      <c r="B795" s="32">
        <v>65</v>
      </c>
      <c r="C795" s="32">
        <v>8</v>
      </c>
      <c r="D795" s="13">
        <f t="shared" si="180"/>
        <v>0</v>
      </c>
      <c r="E795" s="13"/>
      <c r="F795" s="13"/>
      <c r="G795" s="13"/>
      <c r="H795" s="13">
        <f t="shared" si="181"/>
        <v>0</v>
      </c>
      <c r="I795" s="13">
        <f t="shared" si="182"/>
        <v>0</v>
      </c>
      <c r="J795" s="13">
        <f t="shared" si="183"/>
        <v>0</v>
      </c>
      <c r="K795" s="13">
        <f>ROUNDUP(IF($D$2="Egyszeri",$D795,IF($D$2="Havi",SUM($D$20:$D$31),IF(MOD($C795,$M$1)-1=0,SUM($D$20:$D$31),0))/12*$M$1)*VLOOKUP($B795,Paraméterek!$B$27:$D$30,IF($D$2="Egyszeri",3,2)),IF($D$4="Forint",0,2))</f>
        <v>0</v>
      </c>
      <c r="L795" s="13">
        <f t="shared" si="184"/>
        <v>0</v>
      </c>
      <c r="M795" s="13">
        <f t="shared" ca="1" si="190"/>
        <v>-749819</v>
      </c>
      <c r="N795" s="13">
        <f ca="1">IF($V794&gt;=VLOOKUP($M$4-1+$B795,Paraméterek!$B$121:$D$122,IF($D$4="Forint",2,3)),0,VLOOKUP($M$4-1+$B795,Paraméterek!$B$121:$D$122,IF($D$4="Forint",2,3))-$V794)</f>
        <v>759819</v>
      </c>
      <c r="O795" s="13">
        <f ca="1">ROUNDUP($N795*Paraméterek!$C$58/Paraméterek!$C$56,IF($D$4="Forint",0,2))</f>
        <v>121</v>
      </c>
      <c r="P795" s="13">
        <f t="shared" si="185"/>
        <v>3648</v>
      </c>
      <c r="Q795" s="33"/>
      <c r="R795" s="13">
        <f t="shared" ca="1" si="186"/>
        <v>0</v>
      </c>
      <c r="S795" s="13">
        <f ca="1">ROUNDUP(($M795-$O795-$P795+$R795)*VLOOKUP($B795,Paraméterek!$B$38:$D$39,IF($D$2="Egyszeri",3,2))/12,IF($D$4="Forint",0,2))</f>
        <v>-1841</v>
      </c>
      <c r="T795" s="13"/>
      <c r="U795" s="13"/>
      <c r="V795" s="13">
        <f ca="1">$M795-$O795-$P795+$R795-$S795-IF(ROUNDUP(IF(ISBLANK($U795),$T795,$U795)/IF(AND($B795=1,$D$2&lt;&gt;"Egyszeri"),1,VLOOKUP($B795+IF($C795=12,1,0),Paraméterek!$B$257:$D$267,IF($D$2="Egyszeri",3,2))),IF($D$4="Forint",0,2))&gt;$M795-$O795-$P795+$R795-$S795-IF($D$4="Forint",Paraméterek!$C$216,Paraméterek!$D$216),0,ROUNDUP(IF(ISBLANK($U795),$T795,$U795)/IF(AND($B795=1,$D$2&lt;&gt;"Egyszeri"),1,VLOOKUP($B795+IF($C795=12,1,0),Paraméterek!$B$257:$D$267,IF($D$2="Egyszeri",3,2))),IF($D$4="Forint",0,2)))</f>
        <v>-751747</v>
      </c>
      <c r="W795" s="13">
        <f ca="1">ROUNDDOWN($V795*VLOOKUP($B795+IF($C795=12,1,0),Paraméterek!$B$257:$D$267,IF($D$2="Egyszeri",3,2)),IF($D$4="Forint",0,2))</f>
        <v>-751747</v>
      </c>
      <c r="Y795" s="32">
        <v>776</v>
      </c>
      <c r="Z795" s="32">
        <v>65</v>
      </c>
      <c r="AA795" s="32">
        <v>8</v>
      </c>
      <c r="AB795" s="13">
        <f t="shared" si="191"/>
        <v>0</v>
      </c>
      <c r="AC795" s="33"/>
      <c r="AD795" s="13">
        <f t="shared" si="187"/>
        <v>0</v>
      </c>
      <c r="AE795" s="13">
        <f>ROUNDUP(($AB795+$AD795)*VLOOKUP($Z795,Paraméterek!$P$38:$Q$38,2)/12,IF($D$4="Forint",0,2))</f>
        <v>0</v>
      </c>
      <c r="AF795" s="13">
        <f>IF($D$2="Egyszeri",IF($D$7&gt;=IF($D$4="Forint",Paraméterek!$P$223,Paraméterek!$P$224),$D$7-IF($D$4="Forint",Paraméterek!$F$223,Paraméterek!$F$224),0),MIN(IF($AA795=12,AVERAGE($D$20:$D795)*12,0),SUM($D$20:$D$31)))</f>
        <v>0</v>
      </c>
      <c r="AG795" s="13">
        <f>IF(AND($Z795&gt;=10,MOD($Z795,5)=0),$AF795*IF($AA795=12,VLOOKUP($Z795,Paraméterek!$B$225:$F$240,IF($AF795&lt;IF($D$4="Forint",Paraméterek!$C$223,Paraméterek!$C$224),2,IF($AF795&lt;IF($D$4="Forint",Paraméterek!$D$223,Paraméterek!$D$224),3,4))),0),0)</f>
        <v>0</v>
      </c>
      <c r="AH795" s="13">
        <f>IF(AND($Z795&gt;=5,MOD($Z795,5)=0),IF($AA795=12,VLOOKUP($Z795,Paraméterek!$B$225:$F$240,5),0),IF(OR($Z795=3,$Z795=4),IF($AA795=12,VLOOKUP($Z795,Paraméterek!$B$225:$F$240,5,0),0),0))*$AF795</f>
        <v>0</v>
      </c>
      <c r="AI795" s="13">
        <f>ROUNDDOWN(IF(SUM($T$20:$U795)=0,IF($D$2="Egyszeri",$AH795,$AG795),0),IF($D$4="Forint",0,2))</f>
        <v>0</v>
      </c>
      <c r="AJ795" s="13">
        <f t="shared" si="192"/>
        <v>0</v>
      </c>
      <c r="AK795" s="13">
        <f t="shared" si="193"/>
        <v>0</v>
      </c>
      <c r="AM795" s="32">
        <v>776</v>
      </c>
      <c r="AN795" s="32">
        <v>65</v>
      </c>
      <c r="AO795" s="32">
        <v>8</v>
      </c>
      <c r="AP795" s="13"/>
      <c r="AQ795" s="32"/>
      <c r="AR795" s="13">
        <f t="shared" si="194"/>
        <v>0</v>
      </c>
      <c r="AS795" s="33"/>
      <c r="AT795" s="13">
        <f t="shared" si="188"/>
        <v>0</v>
      </c>
      <c r="AU795" s="13">
        <f>ROUNDUP(($AR795+$AT795)*VLOOKUP($AN795,Paraméterek!$P$38:$Q$38,2)/12,IF($D$4="Forint",0,2))</f>
        <v>0</v>
      </c>
      <c r="AV795" s="13"/>
      <c r="AW795" s="13"/>
      <c r="AX795" s="13">
        <f>ROUNDUP(IF(SUM($AV795:$AW795)=0,0,IF(IF(ISBLANK($AW795),$AV795,$AW795)*Paraméterek!$J$112&lt;IF($D$4="Forint",Paraméterek!$J$113,Paraméterek!$K$113),IF($D$4="Forint",Paraméterek!$J$113,Paraméterek!$K$113),IF(IF(ISBLANK($AW795),$AV795,$AW795)*Paraméterek!$J$112&gt;IF($D$4="Forint",Paraméterek!$J$114,Paraméterek!$K$114),IF($D$4="Forint",Paraméterek!$J$114,Paraméterek!$K$114),IF(ISBLANK($AW795),$AV795,$AW795)*Paraméterek!$J$112))),IF($D$4="Forint",0,2))</f>
        <v>0</v>
      </c>
      <c r="AY795" s="13">
        <f>$AR795+$AT795-$AU795-IF(ROUNDDOWN(IF(ISBLANK($AW795),$AV795,$AW795),IF($D$4="Forint",0,2))&gt;$AR795+$AT795-$AU795-IF($D$4="Forint",Paraméterek!$J$114,Paraméterek!$K$114),0,ROUNDDOWN(IF(ISBLANK($AW795),$AV795,$AW795),IF($D$4="Forint",0,2))-$AX795)</f>
        <v>0</v>
      </c>
      <c r="AZ795" s="13">
        <f t="shared" si="189"/>
        <v>0</v>
      </c>
    </row>
    <row r="796" spans="1:52" x14ac:dyDescent="0.2">
      <c r="A796" s="32">
        <v>777</v>
      </c>
      <c r="B796" s="32">
        <v>65</v>
      </c>
      <c r="C796" s="32">
        <v>9</v>
      </c>
      <c r="D796" s="13">
        <f t="shared" si="180"/>
        <v>0</v>
      </c>
      <c r="E796" s="13"/>
      <c r="F796" s="13"/>
      <c r="G796" s="13"/>
      <c r="H796" s="13">
        <f t="shared" si="181"/>
        <v>0</v>
      </c>
      <c r="I796" s="13">
        <f t="shared" si="182"/>
        <v>0</v>
      </c>
      <c r="J796" s="13">
        <f t="shared" si="183"/>
        <v>0</v>
      </c>
      <c r="K796" s="13">
        <f>ROUNDUP(IF($D$2="Egyszeri",$D796,IF($D$2="Havi",SUM($D$20:$D$31),IF(MOD($C796,$M$1)-1=0,SUM($D$20:$D$31),0))/12*$M$1)*VLOOKUP($B796,Paraméterek!$B$27:$D$30,IF($D$2="Egyszeri",3,2)),IF($D$4="Forint",0,2))</f>
        <v>0</v>
      </c>
      <c r="L796" s="13">
        <f t="shared" si="184"/>
        <v>0</v>
      </c>
      <c r="M796" s="13">
        <f t="shared" ca="1" si="190"/>
        <v>-751747</v>
      </c>
      <c r="N796" s="13">
        <f ca="1">IF($V795&gt;=VLOOKUP($M$4-1+$B796,Paraméterek!$B$121:$D$122,IF($D$4="Forint",2,3)),0,VLOOKUP($M$4-1+$B796,Paraméterek!$B$121:$D$122,IF($D$4="Forint",2,3))-$V795)</f>
        <v>761747</v>
      </c>
      <c r="O796" s="13">
        <f ca="1">ROUNDUP($N796*Paraméterek!$C$58/Paraméterek!$C$56,IF($D$4="Forint",0,2))</f>
        <v>122</v>
      </c>
      <c r="P796" s="13">
        <f t="shared" si="185"/>
        <v>3648</v>
      </c>
      <c r="Q796" s="33"/>
      <c r="R796" s="13">
        <f t="shared" ca="1" si="186"/>
        <v>0</v>
      </c>
      <c r="S796" s="13">
        <f ca="1">ROUNDUP(($M796-$O796-$P796+$R796)*VLOOKUP($B796,Paraméterek!$B$38:$D$39,IF($D$2="Egyszeri",3,2))/12,IF($D$4="Forint",0,2))</f>
        <v>-1845</v>
      </c>
      <c r="T796" s="13"/>
      <c r="U796" s="13"/>
      <c r="V796" s="13">
        <f ca="1">$M796-$O796-$P796+$R796-$S796-IF(ROUNDUP(IF(ISBLANK($U796),$T796,$U796)/IF(AND($B796=1,$D$2&lt;&gt;"Egyszeri"),1,VLOOKUP($B796+IF($C796=12,1,0),Paraméterek!$B$257:$D$267,IF($D$2="Egyszeri",3,2))),IF($D$4="Forint",0,2))&gt;$M796-$O796-$P796+$R796-$S796-IF($D$4="Forint",Paraméterek!$C$216,Paraméterek!$D$216),0,ROUNDUP(IF(ISBLANK($U796),$T796,$U796)/IF(AND($B796=1,$D$2&lt;&gt;"Egyszeri"),1,VLOOKUP($B796+IF($C796=12,1,0),Paraméterek!$B$257:$D$267,IF($D$2="Egyszeri",3,2))),IF($D$4="Forint",0,2)))</f>
        <v>-753672</v>
      </c>
      <c r="W796" s="13">
        <f ca="1">ROUNDDOWN($V796*VLOOKUP($B796+IF($C796=12,1,0),Paraméterek!$B$257:$D$267,IF($D$2="Egyszeri",3,2)),IF($D$4="Forint",0,2))</f>
        <v>-753672</v>
      </c>
      <c r="Y796" s="32">
        <v>777</v>
      </c>
      <c r="Z796" s="32">
        <v>65</v>
      </c>
      <c r="AA796" s="32">
        <v>9</v>
      </c>
      <c r="AB796" s="13">
        <f t="shared" si="191"/>
        <v>0</v>
      </c>
      <c r="AC796" s="33"/>
      <c r="AD796" s="13">
        <f t="shared" si="187"/>
        <v>0</v>
      </c>
      <c r="AE796" s="13">
        <f>ROUNDUP(($AB796+$AD796)*VLOOKUP($Z796,Paraméterek!$P$38:$Q$38,2)/12,IF($D$4="Forint",0,2))</f>
        <v>0</v>
      </c>
      <c r="AF796" s="13">
        <f>IF($D$2="Egyszeri",IF($D$7&gt;=IF($D$4="Forint",Paraméterek!$P$223,Paraméterek!$P$224),$D$7-IF($D$4="Forint",Paraméterek!$F$223,Paraméterek!$F$224),0),MIN(IF($AA796=12,AVERAGE($D$20:$D796)*12,0),SUM($D$20:$D$31)))</f>
        <v>0</v>
      </c>
      <c r="AG796" s="13">
        <f>IF(AND($Z796&gt;=10,MOD($Z796,5)=0),$AF796*IF($AA796=12,VLOOKUP($Z796,Paraméterek!$B$225:$F$240,IF($AF796&lt;IF($D$4="Forint",Paraméterek!$C$223,Paraméterek!$C$224),2,IF($AF796&lt;IF($D$4="Forint",Paraméterek!$D$223,Paraméterek!$D$224),3,4))),0),0)</f>
        <v>0</v>
      </c>
      <c r="AH796" s="13">
        <f>IF(AND($Z796&gt;=5,MOD($Z796,5)=0),IF($AA796=12,VLOOKUP($Z796,Paraméterek!$B$225:$F$240,5),0),IF(OR($Z796=3,$Z796=4),IF($AA796=12,VLOOKUP($Z796,Paraméterek!$B$225:$F$240,5,0),0),0))*$AF796</f>
        <v>0</v>
      </c>
      <c r="AI796" s="13">
        <f>ROUNDDOWN(IF(SUM($T$20:$U796)=0,IF($D$2="Egyszeri",$AH796,$AG796),0),IF($D$4="Forint",0,2))</f>
        <v>0</v>
      </c>
      <c r="AJ796" s="13">
        <f t="shared" si="192"/>
        <v>0</v>
      </c>
      <c r="AK796" s="13">
        <f t="shared" si="193"/>
        <v>0</v>
      </c>
      <c r="AM796" s="32">
        <v>777</v>
      </c>
      <c r="AN796" s="32">
        <v>65</v>
      </c>
      <c r="AO796" s="32">
        <v>9</v>
      </c>
      <c r="AP796" s="13"/>
      <c r="AQ796" s="32"/>
      <c r="AR796" s="13">
        <f t="shared" si="194"/>
        <v>0</v>
      </c>
      <c r="AS796" s="33"/>
      <c r="AT796" s="13">
        <f t="shared" si="188"/>
        <v>0</v>
      </c>
      <c r="AU796" s="13">
        <f>ROUNDUP(($AR796+$AT796)*VLOOKUP($AN796,Paraméterek!$P$38:$Q$38,2)/12,IF($D$4="Forint",0,2))</f>
        <v>0</v>
      </c>
      <c r="AV796" s="13"/>
      <c r="AW796" s="13"/>
      <c r="AX796" s="13">
        <f>ROUNDUP(IF(SUM($AV796:$AW796)=0,0,IF(IF(ISBLANK($AW796),$AV796,$AW796)*Paraméterek!$J$112&lt;IF($D$4="Forint",Paraméterek!$J$113,Paraméterek!$K$113),IF($D$4="Forint",Paraméterek!$J$113,Paraméterek!$K$113),IF(IF(ISBLANK($AW796),$AV796,$AW796)*Paraméterek!$J$112&gt;IF($D$4="Forint",Paraméterek!$J$114,Paraméterek!$K$114),IF($D$4="Forint",Paraméterek!$J$114,Paraméterek!$K$114),IF(ISBLANK($AW796),$AV796,$AW796)*Paraméterek!$J$112))),IF($D$4="Forint",0,2))</f>
        <v>0</v>
      </c>
      <c r="AY796" s="13">
        <f>$AR796+$AT796-$AU796-IF(ROUNDDOWN(IF(ISBLANK($AW796),$AV796,$AW796),IF($D$4="Forint",0,2))&gt;$AR796+$AT796-$AU796-IF($D$4="Forint",Paraméterek!$J$114,Paraméterek!$K$114),0,ROUNDDOWN(IF(ISBLANK($AW796),$AV796,$AW796),IF($D$4="Forint",0,2))-$AX796)</f>
        <v>0</v>
      </c>
      <c r="AZ796" s="13">
        <f t="shared" si="189"/>
        <v>0</v>
      </c>
    </row>
    <row r="797" spans="1:52" x14ac:dyDescent="0.2">
      <c r="A797" s="32">
        <v>778</v>
      </c>
      <c r="B797" s="32">
        <v>65</v>
      </c>
      <c r="C797" s="32">
        <v>10</v>
      </c>
      <c r="D797" s="13">
        <f t="shared" si="180"/>
        <v>0</v>
      </c>
      <c r="E797" s="13"/>
      <c r="F797" s="13"/>
      <c r="G797" s="13"/>
      <c r="H797" s="13">
        <f t="shared" si="181"/>
        <v>0</v>
      </c>
      <c r="I797" s="13">
        <f t="shared" si="182"/>
        <v>0</v>
      </c>
      <c r="J797" s="13">
        <f t="shared" si="183"/>
        <v>0</v>
      </c>
      <c r="K797" s="13">
        <f>ROUNDUP(IF($D$2="Egyszeri",$D797,IF($D$2="Havi",SUM($D$20:$D$31),IF(MOD($C797,$M$1)-1=0,SUM($D$20:$D$31),0))/12*$M$1)*VLOOKUP($B797,Paraméterek!$B$27:$D$30,IF($D$2="Egyszeri",3,2)),IF($D$4="Forint",0,2))</f>
        <v>0</v>
      </c>
      <c r="L797" s="13">
        <f t="shared" si="184"/>
        <v>0</v>
      </c>
      <c r="M797" s="13">
        <f t="shared" ca="1" si="190"/>
        <v>-753672</v>
      </c>
      <c r="N797" s="13">
        <f ca="1">IF($V796&gt;=VLOOKUP($M$4-1+$B797,Paraméterek!$B$121:$D$122,IF($D$4="Forint",2,3)),0,VLOOKUP($M$4-1+$B797,Paraméterek!$B$121:$D$122,IF($D$4="Forint",2,3))-$V796)</f>
        <v>763672</v>
      </c>
      <c r="O797" s="13">
        <f ca="1">ROUNDUP($N797*Paraméterek!$C$58/Paraméterek!$C$56,IF($D$4="Forint",0,2))</f>
        <v>122</v>
      </c>
      <c r="P797" s="13">
        <f t="shared" si="185"/>
        <v>3648</v>
      </c>
      <c r="Q797" s="33"/>
      <c r="R797" s="13">
        <f t="shared" ca="1" si="186"/>
        <v>0</v>
      </c>
      <c r="S797" s="13">
        <f ca="1">ROUNDUP(($M797-$O797-$P797+$R797)*VLOOKUP($B797,Paraméterek!$B$38:$D$39,IF($D$2="Egyszeri",3,2))/12,IF($D$4="Forint",0,2))</f>
        <v>-1850</v>
      </c>
      <c r="T797" s="13"/>
      <c r="U797" s="13"/>
      <c r="V797" s="13">
        <f ca="1">$M797-$O797-$P797+$R797-$S797-IF(ROUNDUP(IF(ISBLANK($U797),$T797,$U797)/IF(AND($B797=1,$D$2&lt;&gt;"Egyszeri"),1,VLOOKUP($B797+IF($C797=12,1,0),Paraméterek!$B$257:$D$267,IF($D$2="Egyszeri",3,2))),IF($D$4="Forint",0,2))&gt;$M797-$O797-$P797+$R797-$S797-IF($D$4="Forint",Paraméterek!$C$216,Paraméterek!$D$216),0,ROUNDUP(IF(ISBLANK($U797),$T797,$U797)/IF(AND($B797=1,$D$2&lt;&gt;"Egyszeri"),1,VLOOKUP($B797+IF($C797=12,1,0),Paraméterek!$B$257:$D$267,IF($D$2="Egyszeri",3,2))),IF($D$4="Forint",0,2)))</f>
        <v>-755592</v>
      </c>
      <c r="W797" s="13">
        <f ca="1">ROUNDDOWN($V797*VLOOKUP($B797+IF($C797=12,1,0),Paraméterek!$B$257:$D$267,IF($D$2="Egyszeri",3,2)),IF($D$4="Forint",0,2))</f>
        <v>-755592</v>
      </c>
      <c r="Y797" s="32">
        <v>778</v>
      </c>
      <c r="Z797" s="32">
        <v>65</v>
      </c>
      <c r="AA797" s="32">
        <v>10</v>
      </c>
      <c r="AB797" s="13">
        <f t="shared" si="191"/>
        <v>0</v>
      </c>
      <c r="AC797" s="33"/>
      <c r="AD797" s="13">
        <f t="shared" si="187"/>
        <v>0</v>
      </c>
      <c r="AE797" s="13">
        <f>ROUNDUP(($AB797+$AD797)*VLOOKUP($Z797,Paraméterek!$P$38:$Q$38,2)/12,IF($D$4="Forint",0,2))</f>
        <v>0</v>
      </c>
      <c r="AF797" s="13">
        <f>IF($D$2="Egyszeri",IF($D$7&gt;=IF($D$4="Forint",Paraméterek!$P$223,Paraméterek!$P$224),$D$7-IF($D$4="Forint",Paraméterek!$F$223,Paraméterek!$F$224),0),MIN(IF($AA797=12,AVERAGE($D$20:$D797)*12,0),SUM($D$20:$D$31)))</f>
        <v>0</v>
      </c>
      <c r="AG797" s="13">
        <f>IF(AND($Z797&gt;=10,MOD($Z797,5)=0),$AF797*IF($AA797=12,VLOOKUP($Z797,Paraméterek!$B$225:$F$240,IF($AF797&lt;IF($D$4="Forint",Paraméterek!$C$223,Paraméterek!$C$224),2,IF($AF797&lt;IF($D$4="Forint",Paraméterek!$D$223,Paraméterek!$D$224),3,4))),0),0)</f>
        <v>0</v>
      </c>
      <c r="AH797" s="13">
        <f>IF(AND($Z797&gt;=5,MOD($Z797,5)=0),IF($AA797=12,VLOOKUP($Z797,Paraméterek!$B$225:$F$240,5),0),IF(OR($Z797=3,$Z797=4),IF($AA797=12,VLOOKUP($Z797,Paraméterek!$B$225:$F$240,5,0),0),0))*$AF797</f>
        <v>0</v>
      </c>
      <c r="AI797" s="13">
        <f>ROUNDDOWN(IF(SUM($T$20:$U797)=0,IF($D$2="Egyszeri",$AH797,$AG797),0),IF($D$4="Forint",0,2))</f>
        <v>0</v>
      </c>
      <c r="AJ797" s="13">
        <f t="shared" si="192"/>
        <v>0</v>
      </c>
      <c r="AK797" s="13">
        <f t="shared" si="193"/>
        <v>0</v>
      </c>
      <c r="AM797" s="32">
        <v>778</v>
      </c>
      <c r="AN797" s="32">
        <v>65</v>
      </c>
      <c r="AO797" s="32">
        <v>10</v>
      </c>
      <c r="AP797" s="13"/>
      <c r="AQ797" s="32"/>
      <c r="AR797" s="13">
        <f t="shared" si="194"/>
        <v>0</v>
      </c>
      <c r="AS797" s="33"/>
      <c r="AT797" s="13">
        <f t="shared" si="188"/>
        <v>0</v>
      </c>
      <c r="AU797" s="13">
        <f>ROUNDUP(($AR797+$AT797)*VLOOKUP($AN797,Paraméterek!$P$38:$Q$38,2)/12,IF($D$4="Forint",0,2))</f>
        <v>0</v>
      </c>
      <c r="AV797" s="13"/>
      <c r="AW797" s="13"/>
      <c r="AX797" s="13">
        <f>ROUNDUP(IF(SUM($AV797:$AW797)=0,0,IF(IF(ISBLANK($AW797),$AV797,$AW797)*Paraméterek!$J$112&lt;IF($D$4="Forint",Paraméterek!$J$113,Paraméterek!$K$113),IF($D$4="Forint",Paraméterek!$J$113,Paraméterek!$K$113),IF(IF(ISBLANK($AW797),$AV797,$AW797)*Paraméterek!$J$112&gt;IF($D$4="Forint",Paraméterek!$J$114,Paraméterek!$K$114),IF($D$4="Forint",Paraméterek!$J$114,Paraméterek!$K$114),IF(ISBLANK($AW797),$AV797,$AW797)*Paraméterek!$J$112))),IF($D$4="Forint",0,2))</f>
        <v>0</v>
      </c>
      <c r="AY797" s="13">
        <f>$AR797+$AT797-$AU797-IF(ROUNDDOWN(IF(ISBLANK($AW797),$AV797,$AW797),IF($D$4="Forint",0,2))&gt;$AR797+$AT797-$AU797-IF($D$4="Forint",Paraméterek!$J$114,Paraméterek!$K$114),0,ROUNDDOWN(IF(ISBLANK($AW797),$AV797,$AW797),IF($D$4="Forint",0,2))-$AX797)</f>
        <v>0</v>
      </c>
      <c r="AZ797" s="13">
        <f t="shared" si="189"/>
        <v>0</v>
      </c>
    </row>
    <row r="798" spans="1:52" x14ac:dyDescent="0.2">
      <c r="A798" s="32">
        <v>779</v>
      </c>
      <c r="B798" s="32">
        <v>65</v>
      </c>
      <c r="C798" s="32">
        <v>11</v>
      </c>
      <c r="D798" s="13">
        <f t="shared" si="180"/>
        <v>0</v>
      </c>
      <c r="E798" s="13"/>
      <c r="F798" s="13"/>
      <c r="G798" s="13"/>
      <c r="H798" s="13">
        <f t="shared" si="181"/>
        <v>0</v>
      </c>
      <c r="I798" s="13">
        <f t="shared" si="182"/>
        <v>0</v>
      </c>
      <c r="J798" s="13">
        <f t="shared" si="183"/>
        <v>0</v>
      </c>
      <c r="K798" s="13">
        <f>ROUNDUP(IF($D$2="Egyszeri",$D798,IF($D$2="Havi",SUM($D$20:$D$31),IF(MOD($C798,$M$1)-1=0,SUM($D$20:$D$31),0))/12*$M$1)*VLOOKUP($B798,Paraméterek!$B$27:$D$30,IF($D$2="Egyszeri",3,2)),IF($D$4="Forint",0,2))</f>
        <v>0</v>
      </c>
      <c r="L798" s="13">
        <f t="shared" si="184"/>
        <v>0</v>
      </c>
      <c r="M798" s="13">
        <f t="shared" ca="1" si="190"/>
        <v>-755592</v>
      </c>
      <c r="N798" s="13">
        <f ca="1">IF($V797&gt;=VLOOKUP($M$4-1+$B798,Paraméterek!$B$121:$D$122,IF($D$4="Forint",2,3)),0,VLOOKUP($M$4-1+$B798,Paraméterek!$B$121:$D$122,IF($D$4="Forint",2,3))-$V797)</f>
        <v>765592</v>
      </c>
      <c r="O798" s="13">
        <f ca="1">ROUNDUP($N798*Paraméterek!$C$58/Paraméterek!$C$56,IF($D$4="Forint",0,2))</f>
        <v>122</v>
      </c>
      <c r="P798" s="13">
        <f t="shared" si="185"/>
        <v>3648</v>
      </c>
      <c r="Q798" s="33"/>
      <c r="R798" s="13">
        <f t="shared" ca="1" si="186"/>
        <v>0</v>
      </c>
      <c r="S798" s="13">
        <f ca="1">ROUNDUP(($M798-$O798-$P798+$R798)*VLOOKUP($B798,Paraméterek!$B$38:$D$39,IF($D$2="Egyszeri",3,2))/12,IF($D$4="Forint",0,2))</f>
        <v>-1855</v>
      </c>
      <c r="T798" s="13"/>
      <c r="U798" s="13"/>
      <c r="V798" s="13">
        <f ca="1">$M798-$O798-$P798+$R798-$S798-IF(ROUNDUP(IF(ISBLANK($U798),$T798,$U798)/IF(AND($B798=1,$D$2&lt;&gt;"Egyszeri"),1,VLOOKUP($B798+IF($C798=12,1,0),Paraméterek!$B$257:$D$267,IF($D$2="Egyszeri",3,2))),IF($D$4="Forint",0,2))&gt;$M798-$O798-$P798+$R798-$S798-IF($D$4="Forint",Paraméterek!$C$216,Paraméterek!$D$216),0,ROUNDUP(IF(ISBLANK($U798),$T798,$U798)/IF(AND($B798=1,$D$2&lt;&gt;"Egyszeri"),1,VLOOKUP($B798+IF($C798=12,1,0),Paraméterek!$B$257:$D$267,IF($D$2="Egyszeri",3,2))),IF($D$4="Forint",0,2)))</f>
        <v>-757507</v>
      </c>
      <c r="W798" s="13">
        <f ca="1">ROUNDDOWN($V798*VLOOKUP($B798+IF($C798=12,1,0),Paraméterek!$B$257:$D$267,IF($D$2="Egyszeri",3,2)),IF($D$4="Forint",0,2))</f>
        <v>-757507</v>
      </c>
      <c r="Y798" s="32">
        <v>779</v>
      </c>
      <c r="Z798" s="32">
        <v>65</v>
      </c>
      <c r="AA798" s="32">
        <v>11</v>
      </c>
      <c r="AB798" s="13">
        <f t="shared" si="191"/>
        <v>0</v>
      </c>
      <c r="AC798" s="33"/>
      <c r="AD798" s="13">
        <f t="shared" si="187"/>
        <v>0</v>
      </c>
      <c r="AE798" s="13">
        <f>ROUNDUP(($AB798+$AD798)*VLOOKUP($Z798,Paraméterek!$P$38:$Q$38,2)/12,IF($D$4="Forint",0,2))</f>
        <v>0</v>
      </c>
      <c r="AF798" s="13">
        <f>IF($D$2="Egyszeri",IF($D$7&gt;=IF($D$4="Forint",Paraméterek!$P$223,Paraméterek!$P$224),$D$7-IF($D$4="Forint",Paraméterek!$F$223,Paraméterek!$F$224),0),MIN(IF($AA798=12,AVERAGE($D$20:$D798)*12,0),SUM($D$20:$D$31)))</f>
        <v>0</v>
      </c>
      <c r="AG798" s="13">
        <f>IF(AND($Z798&gt;=10,MOD($Z798,5)=0),$AF798*IF($AA798=12,VLOOKUP($Z798,Paraméterek!$B$225:$F$240,IF($AF798&lt;IF($D$4="Forint",Paraméterek!$C$223,Paraméterek!$C$224),2,IF($AF798&lt;IF($D$4="Forint",Paraméterek!$D$223,Paraméterek!$D$224),3,4))),0),0)</f>
        <v>0</v>
      </c>
      <c r="AH798" s="13">
        <f>IF(AND($Z798&gt;=5,MOD($Z798,5)=0),IF($AA798=12,VLOOKUP($Z798,Paraméterek!$B$225:$F$240,5),0),IF(OR($Z798=3,$Z798=4),IF($AA798=12,VLOOKUP($Z798,Paraméterek!$B$225:$F$240,5,0),0),0))*$AF798</f>
        <v>0</v>
      </c>
      <c r="AI798" s="13">
        <f>ROUNDDOWN(IF(SUM($T$20:$U798)=0,IF($D$2="Egyszeri",$AH798,$AG798),0),IF($D$4="Forint",0,2))</f>
        <v>0</v>
      </c>
      <c r="AJ798" s="13">
        <f t="shared" si="192"/>
        <v>0</v>
      </c>
      <c r="AK798" s="13">
        <f t="shared" si="193"/>
        <v>0</v>
      </c>
      <c r="AM798" s="32">
        <v>779</v>
      </c>
      <c r="AN798" s="32">
        <v>65</v>
      </c>
      <c r="AO798" s="32">
        <v>11</v>
      </c>
      <c r="AP798" s="13"/>
      <c r="AQ798" s="32"/>
      <c r="AR798" s="13">
        <f t="shared" si="194"/>
        <v>0</v>
      </c>
      <c r="AS798" s="33"/>
      <c r="AT798" s="13">
        <f t="shared" si="188"/>
        <v>0</v>
      </c>
      <c r="AU798" s="13">
        <f>ROUNDUP(($AR798+$AT798)*VLOOKUP($AN798,Paraméterek!$P$38:$Q$38,2)/12,IF($D$4="Forint",0,2))</f>
        <v>0</v>
      </c>
      <c r="AV798" s="13"/>
      <c r="AW798" s="13"/>
      <c r="AX798" s="13">
        <f>ROUNDUP(IF(SUM($AV798:$AW798)=0,0,IF(IF(ISBLANK($AW798),$AV798,$AW798)*Paraméterek!$J$112&lt;IF($D$4="Forint",Paraméterek!$J$113,Paraméterek!$K$113),IF($D$4="Forint",Paraméterek!$J$113,Paraméterek!$K$113),IF(IF(ISBLANK($AW798),$AV798,$AW798)*Paraméterek!$J$112&gt;IF($D$4="Forint",Paraméterek!$J$114,Paraméterek!$K$114),IF($D$4="Forint",Paraméterek!$J$114,Paraméterek!$K$114),IF(ISBLANK($AW798),$AV798,$AW798)*Paraméterek!$J$112))),IF($D$4="Forint",0,2))</f>
        <v>0</v>
      </c>
      <c r="AY798" s="13">
        <f>$AR798+$AT798-$AU798-IF(ROUNDDOWN(IF(ISBLANK($AW798),$AV798,$AW798),IF($D$4="Forint",0,2))&gt;$AR798+$AT798-$AU798-IF($D$4="Forint",Paraméterek!$J$114,Paraméterek!$K$114),0,ROUNDDOWN(IF(ISBLANK($AW798),$AV798,$AW798),IF($D$4="Forint",0,2))-$AX798)</f>
        <v>0</v>
      </c>
      <c r="AZ798" s="13">
        <f t="shared" si="189"/>
        <v>0</v>
      </c>
    </row>
    <row r="799" spans="1:52" x14ac:dyDescent="0.2">
      <c r="A799" s="32">
        <v>780</v>
      </c>
      <c r="B799" s="32">
        <v>65</v>
      </c>
      <c r="C799" s="32">
        <v>12</v>
      </c>
      <c r="D799" s="13">
        <f t="shared" si="180"/>
        <v>0</v>
      </c>
      <c r="E799" s="13"/>
      <c r="F799" s="13"/>
      <c r="G799" s="13"/>
      <c r="H799" s="13">
        <f t="shared" si="181"/>
        <v>0</v>
      </c>
      <c r="I799" s="13">
        <f t="shared" si="182"/>
        <v>0</v>
      </c>
      <c r="J799" s="13">
        <f t="shared" si="183"/>
        <v>0</v>
      </c>
      <c r="K799" s="13">
        <f>ROUNDUP(IF($D$2="Egyszeri",$D799,IF($D$2="Havi",SUM($D$20:$D$31),IF(MOD($C799,$M$1)-1=0,SUM($D$20:$D$31),0))/12*$M$1)*VLOOKUP($B799,Paraméterek!$B$27:$D$30,IF($D$2="Egyszeri",3,2)),IF($D$4="Forint",0,2))</f>
        <v>0</v>
      </c>
      <c r="L799" s="13">
        <f t="shared" si="184"/>
        <v>0</v>
      </c>
      <c r="M799" s="13">
        <f t="shared" ca="1" si="190"/>
        <v>-757507</v>
      </c>
      <c r="N799" s="13">
        <f ca="1">IF($V798&gt;=VLOOKUP($M$4-1+$B799,Paraméterek!$B$121:$D$122,IF($D$4="Forint",2,3)),0,VLOOKUP($M$4-1+$B799,Paraméterek!$B$121:$D$122,IF($D$4="Forint",2,3))-$V798)</f>
        <v>767507</v>
      </c>
      <c r="O799" s="13">
        <f ca="1">ROUNDUP($N799*Paraméterek!$C$58/Paraméterek!$C$56,IF($D$4="Forint",0,2))</f>
        <v>123</v>
      </c>
      <c r="P799" s="13">
        <f t="shared" si="185"/>
        <v>3648</v>
      </c>
      <c r="Q799" s="33"/>
      <c r="R799" s="13">
        <f t="shared" ca="1" si="186"/>
        <v>0</v>
      </c>
      <c r="S799" s="13">
        <f ca="1">ROUNDUP(($M799-$O799-$P799+$R799)*VLOOKUP($B799,Paraméterek!$B$38:$D$39,IF($D$2="Egyszeri",3,2))/12,IF($D$4="Forint",0,2))</f>
        <v>-1859</v>
      </c>
      <c r="T799" s="13">
        <f>Tranzakciók!$F$96</f>
        <v>0</v>
      </c>
      <c r="U799" s="13"/>
      <c r="V799" s="13">
        <f ca="1">$M799-$O799-$P799+$R799-$S799-IF(ROUNDUP(IF(ISBLANK($U799),$T799,$U799)/IF(AND($B799=1,$D$2&lt;&gt;"Egyszeri"),1,VLOOKUP($B799+IF($C799=12,1,0),Paraméterek!$B$257:$D$267,IF($D$2="Egyszeri",3,2))),IF($D$4="Forint",0,2))&gt;$M799-$O799-$P799+$R799-$S799-IF($D$4="Forint",Paraméterek!$C$216,Paraméterek!$D$216),0,ROUNDUP(IF(ISBLANK($U799),$T799,$U799)/IF(AND($B799=1,$D$2&lt;&gt;"Egyszeri"),1,VLOOKUP($B799+IF($C799=12,1,0),Paraméterek!$B$257:$D$267,IF($D$2="Egyszeri",3,2))),IF($D$4="Forint",0,2)))</f>
        <v>-759419</v>
      </c>
      <c r="W799" s="13">
        <f ca="1">ROUNDDOWN($V799*VLOOKUP($B799+IF($C799=12,1,0),Paraméterek!$B$257:$D$267,IF($D$2="Egyszeri",3,2)),IF($D$4="Forint",0,2))</f>
        <v>-759419</v>
      </c>
      <c r="Y799" s="32">
        <v>780</v>
      </c>
      <c r="Z799" s="32">
        <v>65</v>
      </c>
      <c r="AA799" s="32">
        <v>12</v>
      </c>
      <c r="AB799" s="13">
        <f t="shared" si="191"/>
        <v>0</v>
      </c>
      <c r="AC799" s="33"/>
      <c r="AD799" s="13">
        <f t="shared" si="187"/>
        <v>0</v>
      </c>
      <c r="AE799" s="13">
        <f>ROUNDUP(($AB799+$AD799)*VLOOKUP($Z799,Paraméterek!$P$38:$Q$38,2)/12,IF($D$4="Forint",0,2))</f>
        <v>0</v>
      </c>
      <c r="AF799" s="13">
        <f>IF($D$2="Egyszeri",IF($D$7&gt;=IF($D$4="Forint",Paraméterek!$P$223,Paraméterek!$P$224),$D$7-IF($D$4="Forint",Paraméterek!$F$223,Paraméterek!$F$224),0),MIN(IF($AA799=12,AVERAGE($D$20:$D799)*12,0),SUM($D$20:$D$31)))</f>
        <v>0</v>
      </c>
      <c r="AG799" s="13">
        <f>IF(AND($Z799&gt;=10,MOD($Z799,5)=0),$AF799*IF($AA799=12,VLOOKUP($Z799,Paraméterek!$B$225:$F$240,IF($AF799&lt;IF($D$4="Forint",Paraméterek!$C$223,Paraméterek!$C$224),2,IF($AF799&lt;IF($D$4="Forint",Paraméterek!$D$223,Paraméterek!$D$224),3,4))),0),0)</f>
        <v>0</v>
      </c>
      <c r="AH799" s="13">
        <f>IF(AND($Z799&gt;=5,MOD($Z799,5)=0),IF($AA799=12,VLOOKUP($Z799,Paraméterek!$B$225:$F$240,5),0),IF(OR($Z799=3,$Z799=4),IF($AA799=12,VLOOKUP($Z799,Paraméterek!$B$225:$F$240,5,0),0),0))*$AF799</f>
        <v>0</v>
      </c>
      <c r="AI799" s="13">
        <f>ROUNDDOWN(IF(SUM($T$20:$U799)=0,IF($D$2="Egyszeri",$AH799,$AG799),0),IF($D$4="Forint",0,2))</f>
        <v>0</v>
      </c>
      <c r="AJ799" s="13">
        <f t="shared" si="192"/>
        <v>0</v>
      </c>
      <c r="AK799" s="13">
        <f t="shared" si="193"/>
        <v>0</v>
      </c>
      <c r="AM799" s="32">
        <v>780</v>
      </c>
      <c r="AN799" s="32">
        <v>65</v>
      </c>
      <c r="AO799" s="32">
        <v>12</v>
      </c>
      <c r="AP799" s="13"/>
      <c r="AQ799" s="32"/>
      <c r="AR799" s="13">
        <f t="shared" si="194"/>
        <v>0</v>
      </c>
      <c r="AS799" s="33"/>
      <c r="AT799" s="13">
        <f t="shared" si="188"/>
        <v>0</v>
      </c>
      <c r="AU799" s="13">
        <f>ROUNDUP(($AR799+$AT799)*VLOOKUP($AN799,Paraméterek!$P$38:$Q$38,2)/12,IF($D$4="Forint",0,2))</f>
        <v>0</v>
      </c>
      <c r="AV799" s="13">
        <f>Tranzakciók!$M$96</f>
        <v>0</v>
      </c>
      <c r="AW799" s="13"/>
      <c r="AX799" s="13">
        <f>ROUNDUP(IF(SUM($AV799:$AW799)=0,0,IF(IF(ISBLANK($AW799),$AV799,$AW799)*Paraméterek!$J$112&lt;IF($D$4="Forint",Paraméterek!$J$113,Paraméterek!$K$113),IF($D$4="Forint",Paraméterek!$J$113,Paraméterek!$K$113),IF(IF(ISBLANK($AW799),$AV799,$AW799)*Paraméterek!$J$112&gt;IF($D$4="Forint",Paraméterek!$J$114,Paraméterek!$K$114),IF($D$4="Forint",Paraméterek!$J$114,Paraméterek!$K$114),IF(ISBLANK($AW799),$AV799,$AW799)*Paraméterek!$J$112))),IF($D$4="Forint",0,2))</f>
        <v>0</v>
      </c>
      <c r="AY799" s="13">
        <f>$AR799+$AT799-$AU799-IF(ROUNDDOWN(IF(ISBLANK($AW799),$AV799,$AW799),IF($D$4="Forint",0,2))&gt;$AR799+$AT799-$AU799-IF($D$4="Forint",Paraméterek!$J$114,Paraméterek!$K$114),0,ROUNDDOWN(IF(ISBLANK($AW799),$AV799,$AW799),IF($D$4="Forint",0,2))-$AX799)</f>
        <v>0</v>
      </c>
      <c r="AZ799" s="13">
        <f t="shared" si="189"/>
        <v>0</v>
      </c>
    </row>
    <row r="800" spans="1:52" x14ac:dyDescent="0.2">
      <c r="A800" s="32">
        <v>781</v>
      </c>
      <c r="B800" s="32">
        <v>66</v>
      </c>
      <c r="C800" s="32">
        <v>1</v>
      </c>
      <c r="D800" s="13">
        <f t="shared" si="180"/>
        <v>0</v>
      </c>
      <c r="E800" s="13"/>
      <c r="F800" s="13">
        <f>Tranzakciók!$D$97</f>
        <v>0</v>
      </c>
      <c r="G800" s="13"/>
      <c r="H800" s="13">
        <f t="shared" si="181"/>
        <v>0</v>
      </c>
      <c r="I800" s="13">
        <f t="shared" si="182"/>
        <v>683</v>
      </c>
      <c r="J800" s="13">
        <f t="shared" si="183"/>
        <v>683</v>
      </c>
      <c r="K800" s="13">
        <f>ROUNDUP(IF($D$2="Egyszeri",$D800,IF($D$2="Havi",SUM($D$20:$D$31),IF(MOD($C800,$M$1)-1=0,SUM($D$20:$D$31),0))/12*$M$1)*VLOOKUP($B800,Paraméterek!$B$27:$D$30,IF($D$2="Egyszeri",3,2)),IF($D$4="Forint",0,2))</f>
        <v>0</v>
      </c>
      <c r="L800" s="13">
        <f t="shared" si="184"/>
        <v>0</v>
      </c>
      <c r="M800" s="13">
        <f t="shared" ca="1" si="190"/>
        <v>-759419</v>
      </c>
      <c r="N800" s="13">
        <f ca="1">IF($V799&gt;=VLOOKUP($M$4-1+$B800,Paraméterek!$B$121:$D$122,IF($D$4="Forint",2,3)),0,VLOOKUP($M$4-1+$B800,Paraméterek!$B$121:$D$122,IF($D$4="Forint",2,3))-$V799)</f>
        <v>769419</v>
      </c>
      <c r="O800" s="13">
        <f ca="1">ROUNDUP($N800*Paraméterek!$C$58/Paraméterek!$C$56,IF($D$4="Forint",0,2))</f>
        <v>123</v>
      </c>
      <c r="P800" s="13">
        <f t="shared" si="185"/>
        <v>3757</v>
      </c>
      <c r="Q800" s="33"/>
      <c r="R800" s="13">
        <f t="shared" ca="1" si="186"/>
        <v>0</v>
      </c>
      <c r="S800" s="13">
        <f ca="1">ROUNDUP(($M800-$O800-$P800+$R800)*VLOOKUP($B800,Paraméterek!$B$38:$D$39,IF($D$2="Egyszeri",3,2))/12,IF($D$4="Forint",0,2))</f>
        <v>-1864</v>
      </c>
      <c r="T800" s="13"/>
      <c r="U800" s="13"/>
      <c r="V800" s="13">
        <f ca="1">$M800-$O800-$P800+$R800-$S800-IF(ROUNDUP(IF(ISBLANK($U800),$T800,$U800)/IF(AND($B800=1,$D$2&lt;&gt;"Egyszeri"),1,VLOOKUP($B800+IF($C800=12,1,0),Paraméterek!$B$257:$D$267,IF($D$2="Egyszeri",3,2))),IF($D$4="Forint",0,2))&gt;$M800-$O800-$P800+$R800-$S800-IF($D$4="Forint",Paraméterek!$C$216,Paraméterek!$D$216),0,ROUNDUP(IF(ISBLANK($U800),$T800,$U800)/IF(AND($B800=1,$D$2&lt;&gt;"Egyszeri"),1,VLOOKUP($B800+IF($C800=12,1,0),Paraméterek!$B$257:$D$267,IF($D$2="Egyszeri",3,2))),IF($D$4="Forint",0,2)))</f>
        <v>-761435</v>
      </c>
      <c r="W800" s="13">
        <f ca="1">ROUNDDOWN($V800*VLOOKUP($B800+IF($C800=12,1,0),Paraméterek!$B$257:$D$267,IF($D$2="Egyszeri",3,2)),IF($D$4="Forint",0,2))</f>
        <v>-761435</v>
      </c>
      <c r="Y800" s="32">
        <v>781</v>
      </c>
      <c r="Z800" s="32">
        <v>66</v>
      </c>
      <c r="AA800" s="32">
        <v>1</v>
      </c>
      <c r="AB800" s="13">
        <f t="shared" si="191"/>
        <v>0</v>
      </c>
      <c r="AC800" s="33"/>
      <c r="AD800" s="13">
        <f t="shared" si="187"/>
        <v>0</v>
      </c>
      <c r="AE800" s="13">
        <f>ROUNDUP(($AB800+$AD800)*VLOOKUP($Z800,Paraméterek!$P$38:$Q$38,2)/12,IF($D$4="Forint",0,2))</f>
        <v>0</v>
      </c>
      <c r="AF800" s="13">
        <f>IF($D$2="Egyszeri",IF($D$7&gt;=IF($D$4="Forint",Paraméterek!$P$223,Paraméterek!$P$224),$D$7-IF($D$4="Forint",Paraméterek!$F$223,Paraméterek!$F$224),0),MIN(IF($AA800=12,AVERAGE($D$20:$D800)*12,0),SUM($D$20:$D$31)))</f>
        <v>0</v>
      </c>
      <c r="AG800" s="13">
        <f>IF(AND($Z800&gt;=10,MOD($Z800,5)=0),$AF800*IF($AA800=12,VLOOKUP($Z800,Paraméterek!$B$225:$F$240,IF($AF800&lt;IF($D$4="Forint",Paraméterek!$C$223,Paraméterek!$C$224),2,IF($AF800&lt;IF($D$4="Forint",Paraméterek!$D$223,Paraméterek!$D$224),3,4))),0),0)</f>
        <v>0</v>
      </c>
      <c r="AH800" s="13">
        <f>IF(AND($Z800&gt;=5,MOD($Z800,5)=0),IF($AA800=12,VLOOKUP($Z800,Paraméterek!$B$225:$F$240,5),0),IF(OR($Z800=3,$Z800=4),IF($AA800=12,VLOOKUP($Z800,Paraméterek!$B$225:$F$240,5,0),0),0))*$AF800</f>
        <v>0</v>
      </c>
      <c r="AI800" s="13">
        <f>ROUNDDOWN(IF(SUM($T$20:$U800)=0,IF($D$2="Egyszeri",$AH800,$AG800),0),IF($D$4="Forint",0,2))</f>
        <v>0</v>
      </c>
      <c r="AJ800" s="13">
        <f t="shared" si="192"/>
        <v>0</v>
      </c>
      <c r="AK800" s="13">
        <f t="shared" si="193"/>
        <v>0</v>
      </c>
      <c r="AM800" s="32">
        <v>781</v>
      </c>
      <c r="AN800" s="32">
        <v>66</v>
      </c>
      <c r="AO800" s="32">
        <v>1</v>
      </c>
      <c r="AP800" s="13">
        <f>Tranzakciók!$K$97</f>
        <v>0</v>
      </c>
      <c r="AQ800" s="32"/>
      <c r="AR800" s="13">
        <f t="shared" si="194"/>
        <v>0</v>
      </c>
      <c r="AS800" s="33"/>
      <c r="AT800" s="13">
        <f t="shared" si="188"/>
        <v>0</v>
      </c>
      <c r="AU800" s="13">
        <f>ROUNDUP(($AR800+$AT800)*VLOOKUP($AN800,Paraméterek!$P$38:$Q$38,2)/12,IF($D$4="Forint",0,2))</f>
        <v>0</v>
      </c>
      <c r="AV800" s="13"/>
      <c r="AW800" s="13"/>
      <c r="AX800" s="13">
        <f>ROUNDUP(IF(SUM($AV800:$AW800)=0,0,IF(IF(ISBLANK($AW800),$AV800,$AW800)*Paraméterek!$J$112&lt;IF($D$4="Forint",Paraméterek!$J$113,Paraméterek!$K$113),IF($D$4="Forint",Paraméterek!$J$113,Paraméterek!$K$113),IF(IF(ISBLANK($AW800),$AV800,$AW800)*Paraméterek!$J$112&gt;IF($D$4="Forint",Paraméterek!$J$114,Paraméterek!$K$114),IF($D$4="Forint",Paraméterek!$J$114,Paraméterek!$K$114),IF(ISBLANK($AW800),$AV800,$AW800)*Paraméterek!$J$112))),IF($D$4="Forint",0,2))</f>
        <v>0</v>
      </c>
      <c r="AY800" s="13">
        <f>$AR800+$AT800-$AU800-IF(ROUNDDOWN(IF(ISBLANK($AW800),$AV800,$AW800),IF($D$4="Forint",0,2))&gt;$AR800+$AT800-$AU800-IF($D$4="Forint",Paraméterek!$J$114,Paraméterek!$K$114),0,ROUNDDOWN(IF(ISBLANK($AW800),$AV800,$AW800),IF($D$4="Forint",0,2))-$AX800)</f>
        <v>0</v>
      </c>
      <c r="AZ800" s="13">
        <f t="shared" si="189"/>
        <v>0</v>
      </c>
    </row>
    <row r="801" spans="1:52" x14ac:dyDescent="0.2">
      <c r="A801" s="32">
        <v>782</v>
      </c>
      <c r="B801" s="32">
        <v>66</v>
      </c>
      <c r="C801" s="32">
        <v>2</v>
      </c>
      <c r="D801" s="13">
        <f t="shared" si="180"/>
        <v>0</v>
      </c>
      <c r="E801" s="13"/>
      <c r="F801" s="13"/>
      <c r="G801" s="13"/>
      <c r="H801" s="13">
        <f t="shared" si="181"/>
        <v>0</v>
      </c>
      <c r="I801" s="13">
        <f t="shared" si="182"/>
        <v>0</v>
      </c>
      <c r="J801" s="13">
        <f t="shared" si="183"/>
        <v>0</v>
      </c>
      <c r="K801" s="13">
        <f>ROUNDUP(IF($D$2="Egyszeri",$D801,IF($D$2="Havi",SUM($D$20:$D$31),IF(MOD($C801,$M$1)-1=0,SUM($D$20:$D$31),0))/12*$M$1)*VLOOKUP($B801,Paraméterek!$B$27:$D$30,IF($D$2="Egyszeri",3,2)),IF($D$4="Forint",0,2))</f>
        <v>0</v>
      </c>
      <c r="L801" s="13">
        <f t="shared" si="184"/>
        <v>0</v>
      </c>
      <c r="M801" s="13">
        <f t="shared" ca="1" si="190"/>
        <v>-761435</v>
      </c>
      <c r="N801" s="13">
        <f ca="1">IF($V800&gt;=VLOOKUP($M$4-1+$B801,Paraméterek!$B$121:$D$122,IF($D$4="Forint",2,3)),0,VLOOKUP($M$4-1+$B801,Paraméterek!$B$121:$D$122,IF($D$4="Forint",2,3))-$V800)</f>
        <v>771435</v>
      </c>
      <c r="O801" s="13">
        <f ca="1">ROUNDUP($N801*Paraméterek!$C$58/Paraméterek!$C$56,IF($D$4="Forint",0,2))</f>
        <v>123</v>
      </c>
      <c r="P801" s="13">
        <f t="shared" si="185"/>
        <v>3757</v>
      </c>
      <c r="Q801" s="33"/>
      <c r="R801" s="13">
        <f t="shared" ca="1" si="186"/>
        <v>0</v>
      </c>
      <c r="S801" s="13">
        <f ca="1">ROUNDUP(($M801-$O801-$P801+$R801)*VLOOKUP($B801,Paraméterek!$B$38:$D$39,IF($D$2="Egyszeri",3,2))/12,IF($D$4="Forint",0,2))</f>
        <v>-1869</v>
      </c>
      <c r="T801" s="13"/>
      <c r="U801" s="13"/>
      <c r="V801" s="13">
        <f ca="1">$M801-$O801-$P801+$R801-$S801-IF(ROUNDUP(IF(ISBLANK($U801),$T801,$U801)/IF(AND($B801=1,$D$2&lt;&gt;"Egyszeri"),1,VLOOKUP($B801+IF($C801=12,1,0),Paraméterek!$B$257:$D$267,IF($D$2="Egyszeri",3,2))),IF($D$4="Forint",0,2))&gt;$M801-$O801-$P801+$R801-$S801-IF($D$4="Forint",Paraméterek!$C$216,Paraméterek!$D$216),0,ROUNDUP(IF(ISBLANK($U801),$T801,$U801)/IF(AND($B801=1,$D$2&lt;&gt;"Egyszeri"),1,VLOOKUP($B801+IF($C801=12,1,0),Paraméterek!$B$257:$D$267,IF($D$2="Egyszeri",3,2))),IF($D$4="Forint",0,2)))</f>
        <v>-763446</v>
      </c>
      <c r="W801" s="13">
        <f ca="1">ROUNDDOWN($V801*VLOOKUP($B801+IF($C801=12,1,0),Paraméterek!$B$257:$D$267,IF($D$2="Egyszeri",3,2)),IF($D$4="Forint",0,2))</f>
        <v>-763446</v>
      </c>
      <c r="Y801" s="32">
        <v>782</v>
      </c>
      <c r="Z801" s="32">
        <v>66</v>
      </c>
      <c r="AA801" s="32">
        <v>2</v>
      </c>
      <c r="AB801" s="13">
        <f t="shared" si="191"/>
        <v>0</v>
      </c>
      <c r="AC801" s="33"/>
      <c r="AD801" s="13">
        <f t="shared" si="187"/>
        <v>0</v>
      </c>
      <c r="AE801" s="13">
        <f>ROUNDUP(($AB801+$AD801)*VLOOKUP($Z801,Paraméterek!$P$38:$Q$38,2)/12,IF($D$4="Forint",0,2))</f>
        <v>0</v>
      </c>
      <c r="AF801" s="13">
        <f>IF($D$2="Egyszeri",IF($D$7&gt;=IF($D$4="Forint",Paraméterek!$P$223,Paraméterek!$P$224),$D$7-IF($D$4="Forint",Paraméterek!$F$223,Paraméterek!$F$224),0),MIN(IF($AA801=12,AVERAGE($D$20:$D801)*12,0),SUM($D$20:$D$31)))</f>
        <v>0</v>
      </c>
      <c r="AG801" s="13">
        <f>IF(AND($Z801&gt;=10,MOD($Z801,5)=0),$AF801*IF($AA801=12,VLOOKUP($Z801,Paraméterek!$B$225:$F$240,IF($AF801&lt;IF($D$4="Forint",Paraméterek!$C$223,Paraméterek!$C$224),2,IF($AF801&lt;IF($D$4="Forint",Paraméterek!$D$223,Paraméterek!$D$224),3,4))),0),0)</f>
        <v>0</v>
      </c>
      <c r="AH801" s="13">
        <f>IF(AND($Z801&gt;=5,MOD($Z801,5)=0),IF($AA801=12,VLOOKUP($Z801,Paraméterek!$B$225:$F$240,5),0),IF(OR($Z801=3,$Z801=4),IF($AA801=12,VLOOKUP($Z801,Paraméterek!$B$225:$F$240,5,0),0),0))*$AF801</f>
        <v>0</v>
      </c>
      <c r="AI801" s="13">
        <f>ROUNDDOWN(IF(SUM($T$20:$U801)=0,IF($D$2="Egyszeri",$AH801,$AG801),0),IF($D$4="Forint",0,2))</f>
        <v>0</v>
      </c>
      <c r="AJ801" s="13">
        <f t="shared" si="192"/>
        <v>0</v>
      </c>
      <c r="AK801" s="13">
        <f t="shared" si="193"/>
        <v>0</v>
      </c>
      <c r="AM801" s="32">
        <v>782</v>
      </c>
      <c r="AN801" s="32">
        <v>66</v>
      </c>
      <c r="AO801" s="32">
        <v>2</v>
      </c>
      <c r="AP801" s="13"/>
      <c r="AQ801" s="32"/>
      <c r="AR801" s="13">
        <f t="shared" si="194"/>
        <v>0</v>
      </c>
      <c r="AS801" s="33"/>
      <c r="AT801" s="13">
        <f t="shared" si="188"/>
        <v>0</v>
      </c>
      <c r="AU801" s="13">
        <f>ROUNDUP(($AR801+$AT801)*VLOOKUP($AN801,Paraméterek!$P$38:$Q$38,2)/12,IF($D$4="Forint",0,2))</f>
        <v>0</v>
      </c>
      <c r="AV801" s="13"/>
      <c r="AW801" s="13"/>
      <c r="AX801" s="13">
        <f>ROUNDUP(IF(SUM($AV801:$AW801)=0,0,IF(IF(ISBLANK($AW801),$AV801,$AW801)*Paraméterek!$J$112&lt;IF($D$4="Forint",Paraméterek!$J$113,Paraméterek!$K$113),IF($D$4="Forint",Paraméterek!$J$113,Paraméterek!$K$113),IF(IF(ISBLANK($AW801),$AV801,$AW801)*Paraméterek!$J$112&gt;IF($D$4="Forint",Paraméterek!$J$114,Paraméterek!$K$114),IF($D$4="Forint",Paraméterek!$J$114,Paraméterek!$K$114),IF(ISBLANK($AW801),$AV801,$AW801)*Paraméterek!$J$112))),IF($D$4="Forint",0,2))</f>
        <v>0</v>
      </c>
      <c r="AY801" s="13">
        <f>$AR801+$AT801-$AU801-IF(ROUNDDOWN(IF(ISBLANK($AW801),$AV801,$AW801),IF($D$4="Forint",0,2))&gt;$AR801+$AT801-$AU801-IF($D$4="Forint",Paraméterek!$J$114,Paraméterek!$K$114),0,ROUNDDOWN(IF(ISBLANK($AW801),$AV801,$AW801),IF($D$4="Forint",0,2))-$AX801)</f>
        <v>0</v>
      </c>
      <c r="AZ801" s="13">
        <f t="shared" si="189"/>
        <v>0</v>
      </c>
    </row>
    <row r="802" spans="1:52" x14ac:dyDescent="0.2">
      <c r="A802" s="32">
        <v>783</v>
      </c>
      <c r="B802" s="32">
        <v>66</v>
      </c>
      <c r="C802" s="32">
        <v>3</v>
      </c>
      <c r="D802" s="13">
        <f t="shared" si="180"/>
        <v>0</v>
      </c>
      <c r="E802" s="13"/>
      <c r="F802" s="13"/>
      <c r="G802" s="13"/>
      <c r="H802" s="13">
        <f t="shared" si="181"/>
        <v>0</v>
      </c>
      <c r="I802" s="13">
        <f t="shared" si="182"/>
        <v>0</v>
      </c>
      <c r="J802" s="13">
        <f t="shared" si="183"/>
        <v>0</v>
      </c>
      <c r="K802" s="13">
        <f>ROUNDUP(IF($D$2="Egyszeri",$D802,IF($D$2="Havi",SUM($D$20:$D$31),IF(MOD($C802,$M$1)-1=0,SUM($D$20:$D$31),0))/12*$M$1)*VLOOKUP($B802,Paraméterek!$B$27:$D$30,IF($D$2="Egyszeri",3,2)),IF($D$4="Forint",0,2))</f>
        <v>0</v>
      </c>
      <c r="L802" s="13">
        <f t="shared" si="184"/>
        <v>0</v>
      </c>
      <c r="M802" s="13">
        <f t="shared" ca="1" si="190"/>
        <v>-763446</v>
      </c>
      <c r="N802" s="13">
        <f ca="1">IF($V801&gt;=VLOOKUP($M$4-1+$B802,Paraméterek!$B$121:$D$122,IF($D$4="Forint",2,3)),0,VLOOKUP($M$4-1+$B802,Paraméterek!$B$121:$D$122,IF($D$4="Forint",2,3))-$V801)</f>
        <v>773446</v>
      </c>
      <c r="O802" s="13">
        <f ca="1">ROUNDUP($N802*Paraméterek!$C$58/Paraméterek!$C$56,IF($D$4="Forint",0,2))</f>
        <v>124</v>
      </c>
      <c r="P802" s="13">
        <f t="shared" si="185"/>
        <v>3757</v>
      </c>
      <c r="Q802" s="33"/>
      <c r="R802" s="13">
        <f t="shared" ca="1" si="186"/>
        <v>0</v>
      </c>
      <c r="S802" s="13">
        <f ca="1">ROUNDUP(($M802-$O802-$P802+$R802)*VLOOKUP($B802,Paraméterek!$B$38:$D$39,IF($D$2="Egyszeri",3,2))/12,IF($D$4="Forint",0,2))</f>
        <v>-1874</v>
      </c>
      <c r="T802" s="13"/>
      <c r="U802" s="13"/>
      <c r="V802" s="13">
        <f ca="1">$M802-$O802-$P802+$R802-$S802-IF(ROUNDUP(IF(ISBLANK($U802),$T802,$U802)/IF(AND($B802=1,$D$2&lt;&gt;"Egyszeri"),1,VLOOKUP($B802+IF($C802=12,1,0),Paraméterek!$B$257:$D$267,IF($D$2="Egyszeri",3,2))),IF($D$4="Forint",0,2))&gt;$M802-$O802-$P802+$R802-$S802-IF($D$4="Forint",Paraméterek!$C$216,Paraméterek!$D$216),0,ROUNDUP(IF(ISBLANK($U802),$T802,$U802)/IF(AND($B802=1,$D$2&lt;&gt;"Egyszeri"),1,VLOOKUP($B802+IF($C802=12,1,0),Paraméterek!$B$257:$D$267,IF($D$2="Egyszeri",3,2))),IF($D$4="Forint",0,2)))</f>
        <v>-765453</v>
      </c>
      <c r="W802" s="13">
        <f ca="1">ROUNDDOWN($V802*VLOOKUP($B802+IF($C802=12,1,0),Paraméterek!$B$257:$D$267,IF($D$2="Egyszeri",3,2)),IF($D$4="Forint",0,2))</f>
        <v>-765453</v>
      </c>
      <c r="Y802" s="32">
        <v>783</v>
      </c>
      <c r="Z802" s="32">
        <v>66</v>
      </c>
      <c r="AA802" s="32">
        <v>3</v>
      </c>
      <c r="AB802" s="13">
        <f t="shared" si="191"/>
        <v>0</v>
      </c>
      <c r="AC802" s="33"/>
      <c r="AD802" s="13">
        <f t="shared" si="187"/>
        <v>0</v>
      </c>
      <c r="AE802" s="13">
        <f>ROUNDUP(($AB802+$AD802)*VLOOKUP($Z802,Paraméterek!$P$38:$Q$38,2)/12,IF($D$4="Forint",0,2))</f>
        <v>0</v>
      </c>
      <c r="AF802" s="13">
        <f>IF($D$2="Egyszeri",IF($D$7&gt;=IF($D$4="Forint",Paraméterek!$P$223,Paraméterek!$P$224),$D$7-IF($D$4="Forint",Paraméterek!$F$223,Paraméterek!$F$224),0),MIN(IF($AA802=12,AVERAGE($D$20:$D802)*12,0),SUM($D$20:$D$31)))</f>
        <v>0</v>
      </c>
      <c r="AG802" s="13">
        <f>IF(AND($Z802&gt;=10,MOD($Z802,5)=0),$AF802*IF($AA802=12,VLOOKUP($Z802,Paraméterek!$B$225:$F$240,IF($AF802&lt;IF($D$4="Forint",Paraméterek!$C$223,Paraméterek!$C$224),2,IF($AF802&lt;IF($D$4="Forint",Paraméterek!$D$223,Paraméterek!$D$224),3,4))),0),0)</f>
        <v>0</v>
      </c>
      <c r="AH802" s="13">
        <f>IF(AND($Z802&gt;=5,MOD($Z802,5)=0),IF($AA802=12,VLOOKUP($Z802,Paraméterek!$B$225:$F$240,5),0),IF(OR($Z802=3,$Z802=4),IF($AA802=12,VLOOKUP($Z802,Paraméterek!$B$225:$F$240,5,0),0),0))*$AF802</f>
        <v>0</v>
      </c>
      <c r="AI802" s="13">
        <f>ROUNDDOWN(IF(SUM($T$20:$U802)=0,IF($D$2="Egyszeri",$AH802,$AG802),0),IF($D$4="Forint",0,2))</f>
        <v>0</v>
      </c>
      <c r="AJ802" s="13">
        <f t="shared" si="192"/>
        <v>0</v>
      </c>
      <c r="AK802" s="13">
        <f t="shared" si="193"/>
        <v>0</v>
      </c>
      <c r="AM802" s="32">
        <v>783</v>
      </c>
      <c r="AN802" s="32">
        <v>66</v>
      </c>
      <c r="AO802" s="32">
        <v>3</v>
      </c>
      <c r="AP802" s="13"/>
      <c r="AQ802" s="32"/>
      <c r="AR802" s="13">
        <f t="shared" si="194"/>
        <v>0</v>
      </c>
      <c r="AS802" s="33"/>
      <c r="AT802" s="13">
        <f t="shared" si="188"/>
        <v>0</v>
      </c>
      <c r="AU802" s="13">
        <f>ROUNDUP(($AR802+$AT802)*VLOOKUP($AN802,Paraméterek!$P$38:$Q$38,2)/12,IF($D$4="Forint",0,2))</f>
        <v>0</v>
      </c>
      <c r="AV802" s="13"/>
      <c r="AW802" s="13"/>
      <c r="AX802" s="13">
        <f>ROUNDUP(IF(SUM($AV802:$AW802)=0,0,IF(IF(ISBLANK($AW802),$AV802,$AW802)*Paraméterek!$J$112&lt;IF($D$4="Forint",Paraméterek!$J$113,Paraméterek!$K$113),IF($D$4="Forint",Paraméterek!$J$113,Paraméterek!$K$113),IF(IF(ISBLANK($AW802),$AV802,$AW802)*Paraméterek!$J$112&gt;IF($D$4="Forint",Paraméterek!$J$114,Paraméterek!$K$114),IF($D$4="Forint",Paraméterek!$J$114,Paraméterek!$K$114),IF(ISBLANK($AW802),$AV802,$AW802)*Paraméterek!$J$112))),IF($D$4="Forint",0,2))</f>
        <v>0</v>
      </c>
      <c r="AY802" s="13">
        <f>$AR802+$AT802-$AU802-IF(ROUNDDOWN(IF(ISBLANK($AW802),$AV802,$AW802),IF($D$4="Forint",0,2))&gt;$AR802+$AT802-$AU802-IF($D$4="Forint",Paraméterek!$J$114,Paraméterek!$K$114),0,ROUNDDOWN(IF(ISBLANK($AW802),$AV802,$AW802),IF($D$4="Forint",0,2))-$AX802)</f>
        <v>0</v>
      </c>
      <c r="AZ802" s="13">
        <f t="shared" si="189"/>
        <v>0</v>
      </c>
    </row>
    <row r="803" spans="1:52" x14ac:dyDescent="0.2">
      <c r="A803" s="32">
        <v>784</v>
      </c>
      <c r="B803" s="32">
        <v>66</v>
      </c>
      <c r="C803" s="32">
        <v>4</v>
      </c>
      <c r="D803" s="13">
        <f t="shared" si="180"/>
        <v>0</v>
      </c>
      <c r="E803" s="13"/>
      <c r="F803" s="13"/>
      <c r="G803" s="13"/>
      <c r="H803" s="13">
        <f t="shared" si="181"/>
        <v>0</v>
      </c>
      <c r="I803" s="13">
        <f t="shared" si="182"/>
        <v>0</v>
      </c>
      <c r="J803" s="13">
        <f t="shared" si="183"/>
        <v>0</v>
      </c>
      <c r="K803" s="13">
        <f>ROUNDUP(IF($D$2="Egyszeri",$D803,IF($D$2="Havi",SUM($D$20:$D$31),IF(MOD($C803,$M$1)-1=0,SUM($D$20:$D$31),0))/12*$M$1)*VLOOKUP($B803,Paraméterek!$B$27:$D$30,IF($D$2="Egyszeri",3,2)),IF($D$4="Forint",0,2))</f>
        <v>0</v>
      </c>
      <c r="L803" s="13">
        <f t="shared" si="184"/>
        <v>0</v>
      </c>
      <c r="M803" s="13">
        <f t="shared" ca="1" si="190"/>
        <v>-765453</v>
      </c>
      <c r="N803" s="13">
        <f ca="1">IF($V802&gt;=VLOOKUP($M$4-1+$B803,Paraméterek!$B$121:$D$122,IF($D$4="Forint",2,3)),0,VLOOKUP($M$4-1+$B803,Paraméterek!$B$121:$D$122,IF($D$4="Forint",2,3))-$V802)</f>
        <v>775453</v>
      </c>
      <c r="O803" s="13">
        <f ca="1">ROUNDUP($N803*Paraméterek!$C$58/Paraméterek!$C$56,IF($D$4="Forint",0,2))</f>
        <v>124</v>
      </c>
      <c r="P803" s="13">
        <f t="shared" si="185"/>
        <v>3757</v>
      </c>
      <c r="Q803" s="33"/>
      <c r="R803" s="13">
        <f t="shared" ca="1" si="186"/>
        <v>0</v>
      </c>
      <c r="S803" s="13">
        <f ca="1">ROUNDUP(($M803-$O803-$P803+$R803)*VLOOKUP($B803,Paraméterek!$B$38:$D$39,IF($D$2="Egyszeri",3,2))/12,IF($D$4="Forint",0,2))</f>
        <v>-1879</v>
      </c>
      <c r="T803" s="13"/>
      <c r="U803" s="13"/>
      <c r="V803" s="13">
        <f ca="1">$M803-$O803-$P803+$R803-$S803-IF(ROUNDUP(IF(ISBLANK($U803),$T803,$U803)/IF(AND($B803=1,$D$2&lt;&gt;"Egyszeri"),1,VLOOKUP($B803+IF($C803=12,1,0),Paraméterek!$B$257:$D$267,IF($D$2="Egyszeri",3,2))),IF($D$4="Forint",0,2))&gt;$M803-$O803-$P803+$R803-$S803-IF($D$4="Forint",Paraméterek!$C$216,Paraméterek!$D$216),0,ROUNDUP(IF(ISBLANK($U803),$T803,$U803)/IF(AND($B803=1,$D$2&lt;&gt;"Egyszeri"),1,VLOOKUP($B803+IF($C803=12,1,0),Paraméterek!$B$257:$D$267,IF($D$2="Egyszeri",3,2))),IF($D$4="Forint",0,2)))</f>
        <v>-767455</v>
      </c>
      <c r="W803" s="13">
        <f ca="1">ROUNDDOWN($V803*VLOOKUP($B803+IF($C803=12,1,0),Paraméterek!$B$257:$D$267,IF($D$2="Egyszeri",3,2)),IF($D$4="Forint",0,2))</f>
        <v>-767455</v>
      </c>
      <c r="Y803" s="32">
        <v>784</v>
      </c>
      <c r="Z803" s="32">
        <v>66</v>
      </c>
      <c r="AA803" s="32">
        <v>4</v>
      </c>
      <c r="AB803" s="13">
        <f t="shared" si="191"/>
        <v>0</v>
      </c>
      <c r="AC803" s="33"/>
      <c r="AD803" s="13">
        <f t="shared" si="187"/>
        <v>0</v>
      </c>
      <c r="AE803" s="13">
        <f>ROUNDUP(($AB803+$AD803)*VLOOKUP($Z803,Paraméterek!$P$38:$Q$38,2)/12,IF($D$4="Forint",0,2))</f>
        <v>0</v>
      </c>
      <c r="AF803" s="13">
        <f>IF($D$2="Egyszeri",IF($D$7&gt;=IF($D$4="Forint",Paraméterek!$P$223,Paraméterek!$P$224),$D$7-IF($D$4="Forint",Paraméterek!$F$223,Paraméterek!$F$224),0),MIN(IF($AA803=12,AVERAGE($D$20:$D803)*12,0),SUM($D$20:$D$31)))</f>
        <v>0</v>
      </c>
      <c r="AG803" s="13">
        <f>IF(AND($Z803&gt;=10,MOD($Z803,5)=0),$AF803*IF($AA803=12,VLOOKUP($Z803,Paraméterek!$B$225:$F$240,IF($AF803&lt;IF($D$4="Forint",Paraméterek!$C$223,Paraméterek!$C$224),2,IF($AF803&lt;IF($D$4="Forint",Paraméterek!$D$223,Paraméterek!$D$224),3,4))),0),0)</f>
        <v>0</v>
      </c>
      <c r="AH803" s="13">
        <f>IF(AND($Z803&gt;=5,MOD($Z803,5)=0),IF($AA803=12,VLOOKUP($Z803,Paraméterek!$B$225:$F$240,5),0),IF(OR($Z803=3,$Z803=4),IF($AA803=12,VLOOKUP($Z803,Paraméterek!$B$225:$F$240,5,0),0),0))*$AF803</f>
        <v>0</v>
      </c>
      <c r="AI803" s="13">
        <f>ROUNDDOWN(IF(SUM($T$20:$U803)=0,IF($D$2="Egyszeri",$AH803,$AG803),0),IF($D$4="Forint",0,2))</f>
        <v>0</v>
      </c>
      <c r="AJ803" s="13">
        <f t="shared" si="192"/>
        <v>0</v>
      </c>
      <c r="AK803" s="13">
        <f t="shared" si="193"/>
        <v>0</v>
      </c>
      <c r="AM803" s="32">
        <v>784</v>
      </c>
      <c r="AN803" s="32">
        <v>66</v>
      </c>
      <c r="AO803" s="32">
        <v>4</v>
      </c>
      <c r="AP803" s="13"/>
      <c r="AQ803" s="32"/>
      <c r="AR803" s="13">
        <f t="shared" si="194"/>
        <v>0</v>
      </c>
      <c r="AS803" s="33"/>
      <c r="AT803" s="13">
        <f t="shared" si="188"/>
        <v>0</v>
      </c>
      <c r="AU803" s="13">
        <f>ROUNDUP(($AR803+$AT803)*VLOOKUP($AN803,Paraméterek!$P$38:$Q$38,2)/12,IF($D$4="Forint",0,2))</f>
        <v>0</v>
      </c>
      <c r="AV803" s="13"/>
      <c r="AW803" s="13"/>
      <c r="AX803" s="13">
        <f>ROUNDUP(IF(SUM($AV803:$AW803)=0,0,IF(IF(ISBLANK($AW803),$AV803,$AW803)*Paraméterek!$J$112&lt;IF($D$4="Forint",Paraméterek!$J$113,Paraméterek!$K$113),IF($D$4="Forint",Paraméterek!$J$113,Paraméterek!$K$113),IF(IF(ISBLANK($AW803),$AV803,$AW803)*Paraméterek!$J$112&gt;IF($D$4="Forint",Paraméterek!$J$114,Paraméterek!$K$114),IF($D$4="Forint",Paraméterek!$J$114,Paraméterek!$K$114),IF(ISBLANK($AW803),$AV803,$AW803)*Paraméterek!$J$112))),IF($D$4="Forint",0,2))</f>
        <v>0</v>
      </c>
      <c r="AY803" s="13">
        <f>$AR803+$AT803-$AU803-IF(ROUNDDOWN(IF(ISBLANK($AW803),$AV803,$AW803),IF($D$4="Forint",0,2))&gt;$AR803+$AT803-$AU803-IF($D$4="Forint",Paraméterek!$J$114,Paraméterek!$K$114),0,ROUNDDOWN(IF(ISBLANK($AW803),$AV803,$AW803),IF($D$4="Forint",0,2))-$AX803)</f>
        <v>0</v>
      </c>
      <c r="AZ803" s="13">
        <f t="shared" si="189"/>
        <v>0</v>
      </c>
    </row>
    <row r="804" spans="1:52" x14ac:dyDescent="0.2">
      <c r="A804" s="32">
        <v>785</v>
      </c>
      <c r="B804" s="32">
        <v>66</v>
      </c>
      <c r="C804" s="32">
        <v>5</v>
      </c>
      <c r="D804" s="13">
        <f t="shared" si="180"/>
        <v>0</v>
      </c>
      <c r="E804" s="13"/>
      <c r="F804" s="13"/>
      <c r="G804" s="13"/>
      <c r="H804" s="13">
        <f t="shared" si="181"/>
        <v>0</v>
      </c>
      <c r="I804" s="13">
        <f t="shared" si="182"/>
        <v>0</v>
      </c>
      <c r="J804" s="13">
        <f t="shared" si="183"/>
        <v>0</v>
      </c>
      <c r="K804" s="13">
        <f>ROUNDUP(IF($D$2="Egyszeri",$D804,IF($D$2="Havi",SUM($D$20:$D$31),IF(MOD($C804,$M$1)-1=0,SUM($D$20:$D$31),0))/12*$M$1)*VLOOKUP($B804,Paraméterek!$B$27:$D$30,IF($D$2="Egyszeri",3,2)),IF($D$4="Forint",0,2))</f>
        <v>0</v>
      </c>
      <c r="L804" s="13">
        <f t="shared" si="184"/>
        <v>0</v>
      </c>
      <c r="M804" s="13">
        <f t="shared" ca="1" si="190"/>
        <v>-767455</v>
      </c>
      <c r="N804" s="13">
        <f ca="1">IF($V803&gt;=VLOOKUP($M$4-1+$B804,Paraméterek!$B$121:$D$122,IF($D$4="Forint",2,3)),0,VLOOKUP($M$4-1+$B804,Paraméterek!$B$121:$D$122,IF($D$4="Forint",2,3))-$V803)</f>
        <v>777455</v>
      </c>
      <c r="O804" s="13">
        <f ca="1">ROUNDUP($N804*Paraméterek!$C$58/Paraméterek!$C$56,IF($D$4="Forint",0,2))</f>
        <v>124</v>
      </c>
      <c r="P804" s="13">
        <f t="shared" si="185"/>
        <v>3757</v>
      </c>
      <c r="Q804" s="33"/>
      <c r="R804" s="13">
        <f t="shared" ca="1" si="186"/>
        <v>0</v>
      </c>
      <c r="S804" s="13">
        <f ca="1">ROUNDUP(($M804-$O804-$P804+$R804)*VLOOKUP($B804,Paraméterek!$B$38:$D$39,IF($D$2="Egyszeri",3,2))/12,IF($D$4="Forint",0,2))</f>
        <v>-1884</v>
      </c>
      <c r="T804" s="13"/>
      <c r="U804" s="13"/>
      <c r="V804" s="13">
        <f ca="1">$M804-$O804-$P804+$R804-$S804-IF(ROUNDUP(IF(ISBLANK($U804),$T804,$U804)/IF(AND($B804=1,$D$2&lt;&gt;"Egyszeri"),1,VLOOKUP($B804+IF($C804=12,1,0),Paraméterek!$B$257:$D$267,IF($D$2="Egyszeri",3,2))),IF($D$4="Forint",0,2))&gt;$M804-$O804-$P804+$R804-$S804-IF($D$4="Forint",Paraméterek!$C$216,Paraméterek!$D$216),0,ROUNDUP(IF(ISBLANK($U804),$T804,$U804)/IF(AND($B804=1,$D$2&lt;&gt;"Egyszeri"),1,VLOOKUP($B804+IF($C804=12,1,0),Paraméterek!$B$257:$D$267,IF($D$2="Egyszeri",3,2))),IF($D$4="Forint",0,2)))</f>
        <v>-769452</v>
      </c>
      <c r="W804" s="13">
        <f ca="1">ROUNDDOWN($V804*VLOOKUP($B804+IF($C804=12,1,0),Paraméterek!$B$257:$D$267,IF($D$2="Egyszeri",3,2)),IF($D$4="Forint",0,2))</f>
        <v>-769452</v>
      </c>
      <c r="Y804" s="32">
        <v>785</v>
      </c>
      <c r="Z804" s="32">
        <v>66</v>
      </c>
      <c r="AA804" s="32">
        <v>5</v>
      </c>
      <c r="AB804" s="13">
        <f t="shared" si="191"/>
        <v>0</v>
      </c>
      <c r="AC804" s="33"/>
      <c r="AD804" s="13">
        <f t="shared" si="187"/>
        <v>0</v>
      </c>
      <c r="AE804" s="13">
        <f>ROUNDUP(($AB804+$AD804)*VLOOKUP($Z804,Paraméterek!$P$38:$Q$38,2)/12,IF($D$4="Forint",0,2))</f>
        <v>0</v>
      </c>
      <c r="AF804" s="13">
        <f>IF($D$2="Egyszeri",IF($D$7&gt;=IF($D$4="Forint",Paraméterek!$P$223,Paraméterek!$P$224),$D$7-IF($D$4="Forint",Paraméterek!$F$223,Paraméterek!$F$224),0),MIN(IF($AA804=12,AVERAGE($D$20:$D804)*12,0),SUM($D$20:$D$31)))</f>
        <v>0</v>
      </c>
      <c r="AG804" s="13">
        <f>IF(AND($Z804&gt;=10,MOD($Z804,5)=0),$AF804*IF($AA804=12,VLOOKUP($Z804,Paraméterek!$B$225:$F$240,IF($AF804&lt;IF($D$4="Forint",Paraméterek!$C$223,Paraméterek!$C$224),2,IF($AF804&lt;IF($D$4="Forint",Paraméterek!$D$223,Paraméterek!$D$224),3,4))),0),0)</f>
        <v>0</v>
      </c>
      <c r="AH804" s="13">
        <f>IF(AND($Z804&gt;=5,MOD($Z804,5)=0),IF($AA804=12,VLOOKUP($Z804,Paraméterek!$B$225:$F$240,5),0),IF(OR($Z804=3,$Z804=4),IF($AA804=12,VLOOKUP($Z804,Paraméterek!$B$225:$F$240,5,0),0),0))*$AF804</f>
        <v>0</v>
      </c>
      <c r="AI804" s="13">
        <f>ROUNDDOWN(IF(SUM($T$20:$U804)=0,IF($D$2="Egyszeri",$AH804,$AG804),0),IF($D$4="Forint",0,2))</f>
        <v>0</v>
      </c>
      <c r="AJ804" s="13">
        <f t="shared" si="192"/>
        <v>0</v>
      </c>
      <c r="AK804" s="13">
        <f t="shared" si="193"/>
        <v>0</v>
      </c>
      <c r="AM804" s="32">
        <v>785</v>
      </c>
      <c r="AN804" s="32">
        <v>66</v>
      </c>
      <c r="AO804" s="32">
        <v>5</v>
      </c>
      <c r="AP804" s="13"/>
      <c r="AQ804" s="32"/>
      <c r="AR804" s="13">
        <f t="shared" si="194"/>
        <v>0</v>
      </c>
      <c r="AS804" s="33"/>
      <c r="AT804" s="13">
        <f t="shared" si="188"/>
        <v>0</v>
      </c>
      <c r="AU804" s="13">
        <f>ROUNDUP(($AR804+$AT804)*VLOOKUP($AN804,Paraméterek!$P$38:$Q$38,2)/12,IF($D$4="Forint",0,2))</f>
        <v>0</v>
      </c>
      <c r="AV804" s="13"/>
      <c r="AW804" s="13"/>
      <c r="AX804" s="13">
        <f>ROUNDUP(IF(SUM($AV804:$AW804)=0,0,IF(IF(ISBLANK($AW804),$AV804,$AW804)*Paraméterek!$J$112&lt;IF($D$4="Forint",Paraméterek!$J$113,Paraméterek!$K$113),IF($D$4="Forint",Paraméterek!$J$113,Paraméterek!$K$113),IF(IF(ISBLANK($AW804),$AV804,$AW804)*Paraméterek!$J$112&gt;IF($D$4="Forint",Paraméterek!$J$114,Paraméterek!$K$114),IF($D$4="Forint",Paraméterek!$J$114,Paraméterek!$K$114),IF(ISBLANK($AW804),$AV804,$AW804)*Paraméterek!$J$112))),IF($D$4="Forint",0,2))</f>
        <v>0</v>
      </c>
      <c r="AY804" s="13">
        <f>$AR804+$AT804-$AU804-IF(ROUNDDOWN(IF(ISBLANK($AW804),$AV804,$AW804),IF($D$4="Forint",0,2))&gt;$AR804+$AT804-$AU804-IF($D$4="Forint",Paraméterek!$J$114,Paraméterek!$K$114),0,ROUNDDOWN(IF(ISBLANK($AW804),$AV804,$AW804),IF($D$4="Forint",0,2))-$AX804)</f>
        <v>0</v>
      </c>
      <c r="AZ804" s="13">
        <f t="shared" si="189"/>
        <v>0</v>
      </c>
    </row>
    <row r="805" spans="1:52" x14ac:dyDescent="0.2">
      <c r="A805" s="32">
        <v>786</v>
      </c>
      <c r="B805" s="32">
        <v>66</v>
      </c>
      <c r="C805" s="32">
        <v>6</v>
      </c>
      <c r="D805" s="13">
        <f t="shared" si="180"/>
        <v>0</v>
      </c>
      <c r="E805" s="13"/>
      <c r="F805" s="13"/>
      <c r="G805" s="13"/>
      <c r="H805" s="13">
        <f t="shared" si="181"/>
        <v>0</v>
      </c>
      <c r="I805" s="13">
        <f t="shared" si="182"/>
        <v>0</v>
      </c>
      <c r="J805" s="13">
        <f t="shared" si="183"/>
        <v>0</v>
      </c>
      <c r="K805" s="13">
        <f>ROUNDUP(IF($D$2="Egyszeri",$D805,IF($D$2="Havi",SUM($D$20:$D$31),IF(MOD($C805,$M$1)-1=0,SUM($D$20:$D$31),0))/12*$M$1)*VLOOKUP($B805,Paraméterek!$B$27:$D$30,IF($D$2="Egyszeri",3,2)),IF($D$4="Forint",0,2))</f>
        <v>0</v>
      </c>
      <c r="L805" s="13">
        <f t="shared" si="184"/>
        <v>0</v>
      </c>
      <c r="M805" s="13">
        <f t="shared" ca="1" si="190"/>
        <v>-769452</v>
      </c>
      <c r="N805" s="13">
        <f ca="1">IF($V804&gt;=VLOOKUP($M$4-1+$B805,Paraméterek!$B$121:$D$122,IF($D$4="Forint",2,3)),0,VLOOKUP($M$4-1+$B805,Paraméterek!$B$121:$D$122,IF($D$4="Forint",2,3))-$V804)</f>
        <v>779452</v>
      </c>
      <c r="O805" s="13">
        <f ca="1">ROUNDUP($N805*Paraméterek!$C$58/Paraméterek!$C$56,IF($D$4="Forint",0,2))</f>
        <v>125</v>
      </c>
      <c r="P805" s="13">
        <f t="shared" si="185"/>
        <v>3757</v>
      </c>
      <c r="Q805" s="33"/>
      <c r="R805" s="13">
        <f t="shared" ca="1" si="186"/>
        <v>0</v>
      </c>
      <c r="S805" s="13">
        <f ca="1">ROUNDUP(($M805-$O805-$P805+$R805)*VLOOKUP($B805,Paraméterek!$B$38:$D$39,IF($D$2="Egyszeri",3,2))/12,IF($D$4="Forint",0,2))</f>
        <v>-1889</v>
      </c>
      <c r="T805" s="13"/>
      <c r="U805" s="13"/>
      <c r="V805" s="13">
        <f ca="1">$M805-$O805-$P805+$R805-$S805-IF(ROUNDUP(IF(ISBLANK($U805),$T805,$U805)/IF(AND($B805=1,$D$2&lt;&gt;"Egyszeri"),1,VLOOKUP($B805+IF($C805=12,1,0),Paraméterek!$B$257:$D$267,IF($D$2="Egyszeri",3,2))),IF($D$4="Forint",0,2))&gt;$M805-$O805-$P805+$R805-$S805-IF($D$4="Forint",Paraméterek!$C$216,Paraméterek!$D$216),0,ROUNDUP(IF(ISBLANK($U805),$T805,$U805)/IF(AND($B805=1,$D$2&lt;&gt;"Egyszeri"),1,VLOOKUP($B805+IF($C805=12,1,0),Paraméterek!$B$257:$D$267,IF($D$2="Egyszeri",3,2))),IF($D$4="Forint",0,2)))</f>
        <v>-771445</v>
      </c>
      <c r="W805" s="13">
        <f ca="1">ROUNDDOWN($V805*VLOOKUP($B805+IF($C805=12,1,0),Paraméterek!$B$257:$D$267,IF($D$2="Egyszeri",3,2)),IF($D$4="Forint",0,2))</f>
        <v>-771445</v>
      </c>
      <c r="Y805" s="32">
        <v>786</v>
      </c>
      <c r="Z805" s="32">
        <v>66</v>
      </c>
      <c r="AA805" s="32">
        <v>6</v>
      </c>
      <c r="AB805" s="13">
        <f t="shared" si="191"/>
        <v>0</v>
      </c>
      <c r="AC805" s="33"/>
      <c r="AD805" s="13">
        <f t="shared" si="187"/>
        <v>0</v>
      </c>
      <c r="AE805" s="13">
        <f>ROUNDUP(($AB805+$AD805)*VLOOKUP($Z805,Paraméterek!$P$38:$Q$38,2)/12,IF($D$4="Forint",0,2))</f>
        <v>0</v>
      </c>
      <c r="AF805" s="13">
        <f>IF($D$2="Egyszeri",IF($D$7&gt;=IF($D$4="Forint",Paraméterek!$P$223,Paraméterek!$P$224),$D$7-IF($D$4="Forint",Paraméterek!$F$223,Paraméterek!$F$224),0),MIN(IF($AA805=12,AVERAGE($D$20:$D805)*12,0),SUM($D$20:$D$31)))</f>
        <v>0</v>
      </c>
      <c r="AG805" s="13">
        <f>IF(AND($Z805&gt;=10,MOD($Z805,5)=0),$AF805*IF($AA805=12,VLOOKUP($Z805,Paraméterek!$B$225:$F$240,IF($AF805&lt;IF($D$4="Forint",Paraméterek!$C$223,Paraméterek!$C$224),2,IF($AF805&lt;IF($D$4="Forint",Paraméterek!$D$223,Paraméterek!$D$224),3,4))),0),0)</f>
        <v>0</v>
      </c>
      <c r="AH805" s="13">
        <f>IF(AND($Z805&gt;=5,MOD($Z805,5)=0),IF($AA805=12,VLOOKUP($Z805,Paraméterek!$B$225:$F$240,5),0),IF(OR($Z805=3,$Z805=4),IF($AA805=12,VLOOKUP($Z805,Paraméterek!$B$225:$F$240,5,0),0),0))*$AF805</f>
        <v>0</v>
      </c>
      <c r="AI805" s="13">
        <f>ROUNDDOWN(IF(SUM($T$20:$U805)=0,IF($D$2="Egyszeri",$AH805,$AG805),0),IF($D$4="Forint",0,2))</f>
        <v>0</v>
      </c>
      <c r="AJ805" s="13">
        <f t="shared" si="192"/>
        <v>0</v>
      </c>
      <c r="AK805" s="13">
        <f t="shared" si="193"/>
        <v>0</v>
      </c>
      <c r="AM805" s="32">
        <v>786</v>
      </c>
      <c r="AN805" s="32">
        <v>66</v>
      </c>
      <c r="AO805" s="32">
        <v>6</v>
      </c>
      <c r="AP805" s="13"/>
      <c r="AQ805" s="32"/>
      <c r="AR805" s="13">
        <f t="shared" si="194"/>
        <v>0</v>
      </c>
      <c r="AS805" s="33"/>
      <c r="AT805" s="13">
        <f t="shared" si="188"/>
        <v>0</v>
      </c>
      <c r="AU805" s="13">
        <f>ROUNDUP(($AR805+$AT805)*VLOOKUP($AN805,Paraméterek!$P$38:$Q$38,2)/12,IF($D$4="Forint",0,2))</f>
        <v>0</v>
      </c>
      <c r="AV805" s="13"/>
      <c r="AW805" s="13"/>
      <c r="AX805" s="13">
        <f>ROUNDUP(IF(SUM($AV805:$AW805)=0,0,IF(IF(ISBLANK($AW805),$AV805,$AW805)*Paraméterek!$J$112&lt;IF($D$4="Forint",Paraméterek!$J$113,Paraméterek!$K$113),IF($D$4="Forint",Paraméterek!$J$113,Paraméterek!$K$113),IF(IF(ISBLANK($AW805),$AV805,$AW805)*Paraméterek!$J$112&gt;IF($D$4="Forint",Paraméterek!$J$114,Paraméterek!$K$114),IF($D$4="Forint",Paraméterek!$J$114,Paraméterek!$K$114),IF(ISBLANK($AW805),$AV805,$AW805)*Paraméterek!$J$112))),IF($D$4="Forint",0,2))</f>
        <v>0</v>
      </c>
      <c r="AY805" s="13">
        <f>$AR805+$AT805-$AU805-IF(ROUNDDOWN(IF(ISBLANK($AW805),$AV805,$AW805),IF($D$4="Forint",0,2))&gt;$AR805+$AT805-$AU805-IF($D$4="Forint",Paraméterek!$J$114,Paraméterek!$K$114),0,ROUNDDOWN(IF(ISBLANK($AW805),$AV805,$AW805),IF($D$4="Forint",0,2))-$AX805)</f>
        <v>0</v>
      </c>
      <c r="AZ805" s="13">
        <f t="shared" si="189"/>
        <v>0</v>
      </c>
    </row>
    <row r="806" spans="1:52" x14ac:dyDescent="0.2">
      <c r="A806" s="32">
        <v>787</v>
      </c>
      <c r="B806" s="32">
        <v>66</v>
      </c>
      <c r="C806" s="32">
        <v>7</v>
      </c>
      <c r="D806" s="13">
        <f t="shared" si="180"/>
        <v>0</v>
      </c>
      <c r="E806" s="13"/>
      <c r="F806" s="13"/>
      <c r="G806" s="13"/>
      <c r="H806" s="13">
        <f t="shared" si="181"/>
        <v>0</v>
      </c>
      <c r="I806" s="13">
        <f t="shared" si="182"/>
        <v>0</v>
      </c>
      <c r="J806" s="13">
        <f t="shared" si="183"/>
        <v>0</v>
      </c>
      <c r="K806" s="13">
        <f>ROUNDUP(IF($D$2="Egyszeri",$D806,IF($D$2="Havi",SUM($D$20:$D$31),IF(MOD($C806,$M$1)-1=0,SUM($D$20:$D$31),0))/12*$M$1)*VLOOKUP($B806,Paraméterek!$B$27:$D$30,IF($D$2="Egyszeri",3,2)),IF($D$4="Forint",0,2))</f>
        <v>0</v>
      </c>
      <c r="L806" s="13">
        <f t="shared" si="184"/>
        <v>0</v>
      </c>
      <c r="M806" s="13">
        <f t="shared" ca="1" si="190"/>
        <v>-771445</v>
      </c>
      <c r="N806" s="13">
        <f ca="1">IF($V805&gt;=VLOOKUP($M$4-1+$B806,Paraméterek!$B$121:$D$122,IF($D$4="Forint",2,3)),0,VLOOKUP($M$4-1+$B806,Paraméterek!$B$121:$D$122,IF($D$4="Forint",2,3))-$V805)</f>
        <v>781445</v>
      </c>
      <c r="O806" s="13">
        <f ca="1">ROUNDUP($N806*Paraméterek!$C$58/Paraméterek!$C$56,IF($D$4="Forint",0,2))</f>
        <v>125</v>
      </c>
      <c r="P806" s="13">
        <f t="shared" si="185"/>
        <v>3757</v>
      </c>
      <c r="Q806" s="33"/>
      <c r="R806" s="13">
        <f t="shared" ca="1" si="186"/>
        <v>0</v>
      </c>
      <c r="S806" s="13">
        <f ca="1">ROUNDUP(($M806-$O806-$P806+$R806)*VLOOKUP($B806,Paraméterek!$B$38:$D$39,IF($D$2="Egyszeri",3,2))/12,IF($D$4="Forint",0,2))</f>
        <v>-1894</v>
      </c>
      <c r="T806" s="13"/>
      <c r="U806" s="13"/>
      <c r="V806" s="13">
        <f ca="1">$M806-$O806-$P806+$R806-$S806-IF(ROUNDUP(IF(ISBLANK($U806),$T806,$U806)/IF(AND($B806=1,$D$2&lt;&gt;"Egyszeri"),1,VLOOKUP($B806+IF($C806=12,1,0),Paraméterek!$B$257:$D$267,IF($D$2="Egyszeri",3,2))),IF($D$4="Forint",0,2))&gt;$M806-$O806-$P806+$R806-$S806-IF($D$4="Forint",Paraméterek!$C$216,Paraméterek!$D$216),0,ROUNDUP(IF(ISBLANK($U806),$T806,$U806)/IF(AND($B806=1,$D$2&lt;&gt;"Egyszeri"),1,VLOOKUP($B806+IF($C806=12,1,0),Paraméterek!$B$257:$D$267,IF($D$2="Egyszeri",3,2))),IF($D$4="Forint",0,2)))</f>
        <v>-773433</v>
      </c>
      <c r="W806" s="13">
        <f ca="1">ROUNDDOWN($V806*VLOOKUP($B806+IF($C806=12,1,0),Paraméterek!$B$257:$D$267,IF($D$2="Egyszeri",3,2)),IF($D$4="Forint",0,2))</f>
        <v>-773433</v>
      </c>
      <c r="Y806" s="32">
        <v>787</v>
      </c>
      <c r="Z806" s="32">
        <v>66</v>
      </c>
      <c r="AA806" s="32">
        <v>7</v>
      </c>
      <c r="AB806" s="13">
        <f t="shared" si="191"/>
        <v>0</v>
      </c>
      <c r="AC806" s="33"/>
      <c r="AD806" s="13">
        <f t="shared" si="187"/>
        <v>0</v>
      </c>
      <c r="AE806" s="13">
        <f>ROUNDUP(($AB806+$AD806)*VLOOKUP($Z806,Paraméterek!$P$38:$Q$38,2)/12,IF($D$4="Forint",0,2))</f>
        <v>0</v>
      </c>
      <c r="AF806" s="13">
        <f>IF($D$2="Egyszeri",IF($D$7&gt;=IF($D$4="Forint",Paraméterek!$P$223,Paraméterek!$P$224),$D$7-IF($D$4="Forint",Paraméterek!$F$223,Paraméterek!$F$224),0),MIN(IF($AA806=12,AVERAGE($D$20:$D806)*12,0),SUM($D$20:$D$31)))</f>
        <v>0</v>
      </c>
      <c r="AG806" s="13">
        <f>IF(AND($Z806&gt;=10,MOD($Z806,5)=0),$AF806*IF($AA806=12,VLOOKUP($Z806,Paraméterek!$B$225:$F$240,IF($AF806&lt;IF($D$4="Forint",Paraméterek!$C$223,Paraméterek!$C$224),2,IF($AF806&lt;IF($D$4="Forint",Paraméterek!$D$223,Paraméterek!$D$224),3,4))),0),0)</f>
        <v>0</v>
      </c>
      <c r="AH806" s="13">
        <f>IF(AND($Z806&gt;=5,MOD($Z806,5)=0),IF($AA806=12,VLOOKUP($Z806,Paraméterek!$B$225:$F$240,5),0),IF(OR($Z806=3,$Z806=4),IF($AA806=12,VLOOKUP($Z806,Paraméterek!$B$225:$F$240,5,0),0),0))*$AF806</f>
        <v>0</v>
      </c>
      <c r="AI806" s="13">
        <f>ROUNDDOWN(IF(SUM($T$20:$U806)=0,IF($D$2="Egyszeri",$AH806,$AG806),0),IF($D$4="Forint",0,2))</f>
        <v>0</v>
      </c>
      <c r="AJ806" s="13">
        <f t="shared" si="192"/>
        <v>0</v>
      </c>
      <c r="AK806" s="13">
        <f t="shared" si="193"/>
        <v>0</v>
      </c>
      <c r="AM806" s="32">
        <v>787</v>
      </c>
      <c r="AN806" s="32">
        <v>66</v>
      </c>
      <c r="AO806" s="32">
        <v>7</v>
      </c>
      <c r="AP806" s="13"/>
      <c r="AQ806" s="32"/>
      <c r="AR806" s="13">
        <f t="shared" si="194"/>
        <v>0</v>
      </c>
      <c r="AS806" s="33"/>
      <c r="AT806" s="13">
        <f t="shared" si="188"/>
        <v>0</v>
      </c>
      <c r="AU806" s="13">
        <f>ROUNDUP(($AR806+$AT806)*VLOOKUP($AN806,Paraméterek!$P$38:$Q$38,2)/12,IF($D$4="Forint",0,2))</f>
        <v>0</v>
      </c>
      <c r="AV806" s="13"/>
      <c r="AW806" s="13"/>
      <c r="AX806" s="13">
        <f>ROUNDUP(IF(SUM($AV806:$AW806)=0,0,IF(IF(ISBLANK($AW806),$AV806,$AW806)*Paraméterek!$J$112&lt;IF($D$4="Forint",Paraméterek!$J$113,Paraméterek!$K$113),IF($D$4="Forint",Paraméterek!$J$113,Paraméterek!$K$113),IF(IF(ISBLANK($AW806),$AV806,$AW806)*Paraméterek!$J$112&gt;IF($D$4="Forint",Paraméterek!$J$114,Paraméterek!$K$114),IF($D$4="Forint",Paraméterek!$J$114,Paraméterek!$K$114),IF(ISBLANK($AW806),$AV806,$AW806)*Paraméterek!$J$112))),IF($D$4="Forint",0,2))</f>
        <v>0</v>
      </c>
      <c r="AY806" s="13">
        <f>$AR806+$AT806-$AU806-IF(ROUNDDOWN(IF(ISBLANK($AW806),$AV806,$AW806),IF($D$4="Forint",0,2))&gt;$AR806+$AT806-$AU806-IF($D$4="Forint",Paraméterek!$J$114,Paraméterek!$K$114),0,ROUNDDOWN(IF(ISBLANK($AW806),$AV806,$AW806),IF($D$4="Forint",0,2))-$AX806)</f>
        <v>0</v>
      </c>
      <c r="AZ806" s="13">
        <f t="shared" si="189"/>
        <v>0</v>
      </c>
    </row>
    <row r="807" spans="1:52" x14ac:dyDescent="0.2">
      <c r="A807" s="32">
        <v>788</v>
      </c>
      <c r="B807" s="32">
        <v>66</v>
      </c>
      <c r="C807" s="32">
        <v>8</v>
      </c>
      <c r="D807" s="13">
        <f t="shared" si="180"/>
        <v>0</v>
      </c>
      <c r="E807" s="13"/>
      <c r="F807" s="13"/>
      <c r="G807" s="13"/>
      <c r="H807" s="13">
        <f t="shared" si="181"/>
        <v>0</v>
      </c>
      <c r="I807" s="13">
        <f t="shared" si="182"/>
        <v>0</v>
      </c>
      <c r="J807" s="13">
        <f t="shared" si="183"/>
        <v>0</v>
      </c>
      <c r="K807" s="13">
        <f>ROUNDUP(IF($D$2="Egyszeri",$D807,IF($D$2="Havi",SUM($D$20:$D$31),IF(MOD($C807,$M$1)-1=0,SUM($D$20:$D$31),0))/12*$M$1)*VLOOKUP($B807,Paraméterek!$B$27:$D$30,IF($D$2="Egyszeri",3,2)),IF($D$4="Forint",0,2))</f>
        <v>0</v>
      </c>
      <c r="L807" s="13">
        <f t="shared" si="184"/>
        <v>0</v>
      </c>
      <c r="M807" s="13">
        <f t="shared" ca="1" si="190"/>
        <v>-773433</v>
      </c>
      <c r="N807" s="13">
        <f ca="1">IF($V806&gt;=VLOOKUP($M$4-1+$B807,Paraméterek!$B$121:$D$122,IF($D$4="Forint",2,3)),0,VLOOKUP($M$4-1+$B807,Paraméterek!$B$121:$D$122,IF($D$4="Forint",2,3))-$V806)</f>
        <v>783433</v>
      </c>
      <c r="O807" s="13">
        <f ca="1">ROUNDUP($N807*Paraméterek!$C$58/Paraméterek!$C$56,IF($D$4="Forint",0,2))</f>
        <v>125</v>
      </c>
      <c r="P807" s="13">
        <f t="shared" si="185"/>
        <v>3757</v>
      </c>
      <c r="Q807" s="33"/>
      <c r="R807" s="13">
        <f t="shared" ca="1" si="186"/>
        <v>0</v>
      </c>
      <c r="S807" s="13">
        <f ca="1">ROUNDUP(($M807-$O807-$P807+$R807)*VLOOKUP($B807,Paraméterek!$B$38:$D$39,IF($D$2="Egyszeri",3,2))/12,IF($D$4="Forint",0,2))</f>
        <v>-1898</v>
      </c>
      <c r="T807" s="13"/>
      <c r="U807" s="13"/>
      <c r="V807" s="13">
        <f ca="1">$M807-$O807-$P807+$R807-$S807-IF(ROUNDUP(IF(ISBLANK($U807),$T807,$U807)/IF(AND($B807=1,$D$2&lt;&gt;"Egyszeri"),1,VLOOKUP($B807+IF($C807=12,1,0),Paraméterek!$B$257:$D$267,IF($D$2="Egyszeri",3,2))),IF($D$4="Forint",0,2))&gt;$M807-$O807-$P807+$R807-$S807-IF($D$4="Forint",Paraméterek!$C$216,Paraméterek!$D$216),0,ROUNDUP(IF(ISBLANK($U807),$T807,$U807)/IF(AND($B807=1,$D$2&lt;&gt;"Egyszeri"),1,VLOOKUP($B807+IF($C807=12,1,0),Paraméterek!$B$257:$D$267,IF($D$2="Egyszeri",3,2))),IF($D$4="Forint",0,2)))</f>
        <v>-775417</v>
      </c>
      <c r="W807" s="13">
        <f ca="1">ROUNDDOWN($V807*VLOOKUP($B807+IF($C807=12,1,0),Paraméterek!$B$257:$D$267,IF($D$2="Egyszeri",3,2)),IF($D$4="Forint",0,2))</f>
        <v>-775417</v>
      </c>
      <c r="Y807" s="32">
        <v>788</v>
      </c>
      <c r="Z807" s="32">
        <v>66</v>
      </c>
      <c r="AA807" s="32">
        <v>8</v>
      </c>
      <c r="AB807" s="13">
        <f t="shared" si="191"/>
        <v>0</v>
      </c>
      <c r="AC807" s="33"/>
      <c r="AD807" s="13">
        <f t="shared" si="187"/>
        <v>0</v>
      </c>
      <c r="AE807" s="13">
        <f>ROUNDUP(($AB807+$AD807)*VLOOKUP($Z807,Paraméterek!$P$38:$Q$38,2)/12,IF($D$4="Forint",0,2))</f>
        <v>0</v>
      </c>
      <c r="AF807" s="13">
        <f>IF($D$2="Egyszeri",IF($D$7&gt;=IF($D$4="Forint",Paraméterek!$P$223,Paraméterek!$P$224),$D$7-IF($D$4="Forint",Paraméterek!$F$223,Paraméterek!$F$224),0),MIN(IF($AA807=12,AVERAGE($D$20:$D807)*12,0),SUM($D$20:$D$31)))</f>
        <v>0</v>
      </c>
      <c r="AG807" s="13">
        <f>IF(AND($Z807&gt;=10,MOD($Z807,5)=0),$AF807*IF($AA807=12,VLOOKUP($Z807,Paraméterek!$B$225:$F$240,IF($AF807&lt;IF($D$4="Forint",Paraméterek!$C$223,Paraméterek!$C$224),2,IF($AF807&lt;IF($D$4="Forint",Paraméterek!$D$223,Paraméterek!$D$224),3,4))),0),0)</f>
        <v>0</v>
      </c>
      <c r="AH807" s="13">
        <f>IF(AND($Z807&gt;=5,MOD($Z807,5)=0),IF($AA807=12,VLOOKUP($Z807,Paraméterek!$B$225:$F$240,5),0),IF(OR($Z807=3,$Z807=4),IF($AA807=12,VLOOKUP($Z807,Paraméterek!$B$225:$F$240,5,0),0),0))*$AF807</f>
        <v>0</v>
      </c>
      <c r="AI807" s="13">
        <f>ROUNDDOWN(IF(SUM($T$20:$U807)=0,IF($D$2="Egyszeri",$AH807,$AG807),0),IF($D$4="Forint",0,2))</f>
        <v>0</v>
      </c>
      <c r="AJ807" s="13">
        <f t="shared" si="192"/>
        <v>0</v>
      </c>
      <c r="AK807" s="13">
        <f t="shared" si="193"/>
        <v>0</v>
      </c>
      <c r="AM807" s="32">
        <v>788</v>
      </c>
      <c r="AN807" s="32">
        <v>66</v>
      </c>
      <c r="AO807" s="32">
        <v>8</v>
      </c>
      <c r="AP807" s="13"/>
      <c r="AQ807" s="32"/>
      <c r="AR807" s="13">
        <f t="shared" si="194"/>
        <v>0</v>
      </c>
      <c r="AS807" s="33"/>
      <c r="AT807" s="13">
        <f t="shared" si="188"/>
        <v>0</v>
      </c>
      <c r="AU807" s="13">
        <f>ROUNDUP(($AR807+$AT807)*VLOOKUP($AN807,Paraméterek!$P$38:$Q$38,2)/12,IF($D$4="Forint",0,2))</f>
        <v>0</v>
      </c>
      <c r="AV807" s="13"/>
      <c r="AW807" s="13"/>
      <c r="AX807" s="13">
        <f>ROUNDUP(IF(SUM($AV807:$AW807)=0,0,IF(IF(ISBLANK($AW807),$AV807,$AW807)*Paraméterek!$J$112&lt;IF($D$4="Forint",Paraméterek!$J$113,Paraméterek!$K$113),IF($D$4="Forint",Paraméterek!$J$113,Paraméterek!$K$113),IF(IF(ISBLANK($AW807),$AV807,$AW807)*Paraméterek!$J$112&gt;IF($D$4="Forint",Paraméterek!$J$114,Paraméterek!$K$114),IF($D$4="Forint",Paraméterek!$J$114,Paraméterek!$K$114),IF(ISBLANK($AW807),$AV807,$AW807)*Paraméterek!$J$112))),IF($D$4="Forint",0,2))</f>
        <v>0</v>
      </c>
      <c r="AY807" s="13">
        <f>$AR807+$AT807-$AU807-IF(ROUNDDOWN(IF(ISBLANK($AW807),$AV807,$AW807),IF($D$4="Forint",0,2))&gt;$AR807+$AT807-$AU807-IF($D$4="Forint",Paraméterek!$J$114,Paraméterek!$K$114),0,ROUNDDOWN(IF(ISBLANK($AW807),$AV807,$AW807),IF($D$4="Forint",0,2))-$AX807)</f>
        <v>0</v>
      </c>
      <c r="AZ807" s="13">
        <f t="shared" si="189"/>
        <v>0</v>
      </c>
    </row>
    <row r="808" spans="1:52" x14ac:dyDescent="0.2">
      <c r="A808" s="32">
        <v>789</v>
      </c>
      <c r="B808" s="32">
        <v>66</v>
      </c>
      <c r="C808" s="32">
        <v>9</v>
      </c>
      <c r="D808" s="13">
        <f t="shared" si="180"/>
        <v>0</v>
      </c>
      <c r="E808" s="13"/>
      <c r="F808" s="13"/>
      <c r="G808" s="13"/>
      <c r="H808" s="13">
        <f t="shared" si="181"/>
        <v>0</v>
      </c>
      <c r="I808" s="13">
        <f t="shared" si="182"/>
        <v>0</v>
      </c>
      <c r="J808" s="13">
        <f t="shared" si="183"/>
        <v>0</v>
      </c>
      <c r="K808" s="13">
        <f>ROUNDUP(IF($D$2="Egyszeri",$D808,IF($D$2="Havi",SUM($D$20:$D$31),IF(MOD($C808,$M$1)-1=0,SUM($D$20:$D$31),0))/12*$M$1)*VLOOKUP($B808,Paraméterek!$B$27:$D$30,IF($D$2="Egyszeri",3,2)),IF($D$4="Forint",0,2))</f>
        <v>0</v>
      </c>
      <c r="L808" s="13">
        <f t="shared" si="184"/>
        <v>0</v>
      </c>
      <c r="M808" s="13">
        <f t="shared" ca="1" si="190"/>
        <v>-775417</v>
      </c>
      <c r="N808" s="13">
        <f ca="1">IF($V807&gt;=VLOOKUP($M$4-1+$B808,Paraméterek!$B$121:$D$122,IF($D$4="Forint",2,3)),0,VLOOKUP($M$4-1+$B808,Paraméterek!$B$121:$D$122,IF($D$4="Forint",2,3))-$V807)</f>
        <v>785417</v>
      </c>
      <c r="O808" s="13">
        <f ca="1">ROUNDUP($N808*Paraméterek!$C$58/Paraméterek!$C$56,IF($D$4="Forint",0,2))</f>
        <v>126</v>
      </c>
      <c r="P808" s="13">
        <f t="shared" si="185"/>
        <v>3757</v>
      </c>
      <c r="Q808" s="33"/>
      <c r="R808" s="13">
        <f t="shared" ca="1" si="186"/>
        <v>0</v>
      </c>
      <c r="S808" s="13">
        <f ca="1">ROUNDUP(($M808-$O808-$P808+$R808)*VLOOKUP($B808,Paraméterek!$B$38:$D$39,IF($D$2="Egyszeri",3,2))/12,IF($D$4="Forint",0,2))</f>
        <v>-1903</v>
      </c>
      <c r="T808" s="13"/>
      <c r="U808" s="13"/>
      <c r="V808" s="13">
        <f ca="1">$M808-$O808-$P808+$R808-$S808-IF(ROUNDUP(IF(ISBLANK($U808),$T808,$U808)/IF(AND($B808=1,$D$2&lt;&gt;"Egyszeri"),1,VLOOKUP($B808+IF($C808=12,1,0),Paraméterek!$B$257:$D$267,IF($D$2="Egyszeri",3,2))),IF($D$4="Forint",0,2))&gt;$M808-$O808-$P808+$R808-$S808-IF($D$4="Forint",Paraméterek!$C$216,Paraméterek!$D$216),0,ROUNDUP(IF(ISBLANK($U808),$T808,$U808)/IF(AND($B808=1,$D$2&lt;&gt;"Egyszeri"),1,VLOOKUP($B808+IF($C808=12,1,0),Paraméterek!$B$257:$D$267,IF($D$2="Egyszeri",3,2))),IF($D$4="Forint",0,2)))</f>
        <v>-777397</v>
      </c>
      <c r="W808" s="13">
        <f ca="1">ROUNDDOWN($V808*VLOOKUP($B808+IF($C808=12,1,0),Paraméterek!$B$257:$D$267,IF($D$2="Egyszeri",3,2)),IF($D$4="Forint",0,2))</f>
        <v>-777397</v>
      </c>
      <c r="Y808" s="32">
        <v>789</v>
      </c>
      <c r="Z808" s="32">
        <v>66</v>
      </c>
      <c r="AA808" s="32">
        <v>9</v>
      </c>
      <c r="AB808" s="13">
        <f t="shared" si="191"/>
        <v>0</v>
      </c>
      <c r="AC808" s="33"/>
      <c r="AD808" s="13">
        <f t="shared" si="187"/>
        <v>0</v>
      </c>
      <c r="AE808" s="13">
        <f>ROUNDUP(($AB808+$AD808)*VLOOKUP($Z808,Paraméterek!$P$38:$Q$38,2)/12,IF($D$4="Forint",0,2))</f>
        <v>0</v>
      </c>
      <c r="AF808" s="13">
        <f>IF($D$2="Egyszeri",IF($D$7&gt;=IF($D$4="Forint",Paraméterek!$P$223,Paraméterek!$P$224),$D$7-IF($D$4="Forint",Paraméterek!$F$223,Paraméterek!$F$224),0),MIN(IF($AA808=12,AVERAGE($D$20:$D808)*12,0),SUM($D$20:$D$31)))</f>
        <v>0</v>
      </c>
      <c r="AG808" s="13">
        <f>IF(AND($Z808&gt;=10,MOD($Z808,5)=0),$AF808*IF($AA808=12,VLOOKUP($Z808,Paraméterek!$B$225:$F$240,IF($AF808&lt;IF($D$4="Forint",Paraméterek!$C$223,Paraméterek!$C$224),2,IF($AF808&lt;IF($D$4="Forint",Paraméterek!$D$223,Paraméterek!$D$224),3,4))),0),0)</f>
        <v>0</v>
      </c>
      <c r="AH808" s="13">
        <f>IF(AND($Z808&gt;=5,MOD($Z808,5)=0),IF($AA808=12,VLOOKUP($Z808,Paraméterek!$B$225:$F$240,5),0),IF(OR($Z808=3,$Z808=4),IF($AA808=12,VLOOKUP($Z808,Paraméterek!$B$225:$F$240,5,0),0),0))*$AF808</f>
        <v>0</v>
      </c>
      <c r="AI808" s="13">
        <f>ROUNDDOWN(IF(SUM($T$20:$U808)=0,IF($D$2="Egyszeri",$AH808,$AG808),0),IF($D$4="Forint",0,2))</f>
        <v>0</v>
      </c>
      <c r="AJ808" s="13">
        <f t="shared" si="192"/>
        <v>0</v>
      </c>
      <c r="AK808" s="13">
        <f t="shared" si="193"/>
        <v>0</v>
      </c>
      <c r="AM808" s="32">
        <v>789</v>
      </c>
      <c r="AN808" s="32">
        <v>66</v>
      </c>
      <c r="AO808" s="32">
        <v>9</v>
      </c>
      <c r="AP808" s="13"/>
      <c r="AQ808" s="32"/>
      <c r="AR808" s="13">
        <f t="shared" si="194"/>
        <v>0</v>
      </c>
      <c r="AS808" s="33"/>
      <c r="AT808" s="13">
        <f t="shared" si="188"/>
        <v>0</v>
      </c>
      <c r="AU808" s="13">
        <f>ROUNDUP(($AR808+$AT808)*VLOOKUP($AN808,Paraméterek!$P$38:$Q$38,2)/12,IF($D$4="Forint",0,2))</f>
        <v>0</v>
      </c>
      <c r="AV808" s="13"/>
      <c r="AW808" s="13"/>
      <c r="AX808" s="13">
        <f>ROUNDUP(IF(SUM($AV808:$AW808)=0,0,IF(IF(ISBLANK($AW808),$AV808,$AW808)*Paraméterek!$J$112&lt;IF($D$4="Forint",Paraméterek!$J$113,Paraméterek!$K$113),IF($D$4="Forint",Paraméterek!$J$113,Paraméterek!$K$113),IF(IF(ISBLANK($AW808),$AV808,$AW808)*Paraméterek!$J$112&gt;IF($D$4="Forint",Paraméterek!$J$114,Paraméterek!$K$114),IF($D$4="Forint",Paraméterek!$J$114,Paraméterek!$K$114),IF(ISBLANK($AW808),$AV808,$AW808)*Paraméterek!$J$112))),IF($D$4="Forint",0,2))</f>
        <v>0</v>
      </c>
      <c r="AY808" s="13">
        <f>$AR808+$AT808-$AU808-IF(ROUNDDOWN(IF(ISBLANK($AW808),$AV808,$AW808),IF($D$4="Forint",0,2))&gt;$AR808+$AT808-$AU808-IF($D$4="Forint",Paraméterek!$J$114,Paraméterek!$K$114),0,ROUNDDOWN(IF(ISBLANK($AW808),$AV808,$AW808),IF($D$4="Forint",0,2))-$AX808)</f>
        <v>0</v>
      </c>
      <c r="AZ808" s="13">
        <f t="shared" si="189"/>
        <v>0</v>
      </c>
    </row>
    <row r="809" spans="1:52" x14ac:dyDescent="0.2">
      <c r="A809" s="32">
        <v>790</v>
      </c>
      <c r="B809" s="32">
        <v>66</v>
      </c>
      <c r="C809" s="32">
        <v>10</v>
      </c>
      <c r="D809" s="13">
        <f t="shared" si="180"/>
        <v>0</v>
      </c>
      <c r="E809" s="13"/>
      <c r="F809" s="13"/>
      <c r="G809" s="13"/>
      <c r="H809" s="13">
        <f t="shared" si="181"/>
        <v>0</v>
      </c>
      <c r="I809" s="13">
        <f t="shared" si="182"/>
        <v>0</v>
      </c>
      <c r="J809" s="13">
        <f t="shared" si="183"/>
        <v>0</v>
      </c>
      <c r="K809" s="13">
        <f>ROUNDUP(IF($D$2="Egyszeri",$D809,IF($D$2="Havi",SUM($D$20:$D$31),IF(MOD($C809,$M$1)-1=0,SUM($D$20:$D$31),0))/12*$M$1)*VLOOKUP($B809,Paraméterek!$B$27:$D$30,IF($D$2="Egyszeri",3,2)),IF($D$4="Forint",0,2))</f>
        <v>0</v>
      </c>
      <c r="L809" s="13">
        <f t="shared" si="184"/>
        <v>0</v>
      </c>
      <c r="M809" s="13">
        <f t="shared" ca="1" si="190"/>
        <v>-777397</v>
      </c>
      <c r="N809" s="13">
        <f ca="1">IF($V808&gt;=VLOOKUP($M$4-1+$B809,Paraméterek!$B$121:$D$122,IF($D$4="Forint",2,3)),0,VLOOKUP($M$4-1+$B809,Paraméterek!$B$121:$D$122,IF($D$4="Forint",2,3))-$V808)</f>
        <v>787397</v>
      </c>
      <c r="O809" s="13">
        <f ca="1">ROUNDUP($N809*Paraméterek!$C$58/Paraméterek!$C$56,IF($D$4="Forint",0,2))</f>
        <v>126</v>
      </c>
      <c r="P809" s="13">
        <f t="shared" si="185"/>
        <v>3757</v>
      </c>
      <c r="Q809" s="33"/>
      <c r="R809" s="13">
        <f t="shared" ca="1" si="186"/>
        <v>0</v>
      </c>
      <c r="S809" s="13">
        <f ca="1">ROUNDUP(($M809-$O809-$P809+$R809)*VLOOKUP($B809,Paraméterek!$B$38:$D$39,IF($D$2="Egyszeri",3,2))/12,IF($D$4="Forint",0,2))</f>
        <v>-1908</v>
      </c>
      <c r="T809" s="13"/>
      <c r="U809" s="13"/>
      <c r="V809" s="13">
        <f ca="1">$M809-$O809-$P809+$R809-$S809-IF(ROUNDUP(IF(ISBLANK($U809),$T809,$U809)/IF(AND($B809=1,$D$2&lt;&gt;"Egyszeri"),1,VLOOKUP($B809+IF($C809=12,1,0),Paraméterek!$B$257:$D$267,IF($D$2="Egyszeri",3,2))),IF($D$4="Forint",0,2))&gt;$M809-$O809-$P809+$R809-$S809-IF($D$4="Forint",Paraméterek!$C$216,Paraméterek!$D$216),0,ROUNDUP(IF(ISBLANK($U809),$T809,$U809)/IF(AND($B809=1,$D$2&lt;&gt;"Egyszeri"),1,VLOOKUP($B809+IF($C809=12,1,0),Paraméterek!$B$257:$D$267,IF($D$2="Egyszeri",3,2))),IF($D$4="Forint",0,2)))</f>
        <v>-779372</v>
      </c>
      <c r="W809" s="13">
        <f ca="1">ROUNDDOWN($V809*VLOOKUP($B809+IF($C809=12,1,0),Paraméterek!$B$257:$D$267,IF($D$2="Egyszeri",3,2)),IF($D$4="Forint",0,2))</f>
        <v>-779372</v>
      </c>
      <c r="Y809" s="32">
        <v>790</v>
      </c>
      <c r="Z809" s="32">
        <v>66</v>
      </c>
      <c r="AA809" s="32">
        <v>10</v>
      </c>
      <c r="AB809" s="13">
        <f t="shared" si="191"/>
        <v>0</v>
      </c>
      <c r="AC809" s="33"/>
      <c r="AD809" s="13">
        <f t="shared" si="187"/>
        <v>0</v>
      </c>
      <c r="AE809" s="13">
        <f>ROUNDUP(($AB809+$AD809)*VLOOKUP($Z809,Paraméterek!$P$38:$Q$38,2)/12,IF($D$4="Forint",0,2))</f>
        <v>0</v>
      </c>
      <c r="AF809" s="13">
        <f>IF($D$2="Egyszeri",IF($D$7&gt;=IF($D$4="Forint",Paraméterek!$P$223,Paraméterek!$P$224),$D$7-IF($D$4="Forint",Paraméterek!$F$223,Paraméterek!$F$224),0),MIN(IF($AA809=12,AVERAGE($D$20:$D809)*12,0),SUM($D$20:$D$31)))</f>
        <v>0</v>
      </c>
      <c r="AG809" s="13">
        <f>IF(AND($Z809&gt;=10,MOD($Z809,5)=0),$AF809*IF($AA809=12,VLOOKUP($Z809,Paraméterek!$B$225:$F$240,IF($AF809&lt;IF($D$4="Forint",Paraméterek!$C$223,Paraméterek!$C$224),2,IF($AF809&lt;IF($D$4="Forint",Paraméterek!$D$223,Paraméterek!$D$224),3,4))),0),0)</f>
        <v>0</v>
      </c>
      <c r="AH809" s="13">
        <f>IF(AND($Z809&gt;=5,MOD($Z809,5)=0),IF($AA809=12,VLOOKUP($Z809,Paraméterek!$B$225:$F$240,5),0),IF(OR($Z809=3,$Z809=4),IF($AA809=12,VLOOKUP($Z809,Paraméterek!$B$225:$F$240,5,0),0),0))*$AF809</f>
        <v>0</v>
      </c>
      <c r="AI809" s="13">
        <f>ROUNDDOWN(IF(SUM($T$20:$U809)=0,IF($D$2="Egyszeri",$AH809,$AG809),0),IF($D$4="Forint",0,2))</f>
        <v>0</v>
      </c>
      <c r="AJ809" s="13">
        <f t="shared" si="192"/>
        <v>0</v>
      </c>
      <c r="AK809" s="13">
        <f t="shared" si="193"/>
        <v>0</v>
      </c>
      <c r="AM809" s="32">
        <v>790</v>
      </c>
      <c r="AN809" s="32">
        <v>66</v>
      </c>
      <c r="AO809" s="32">
        <v>10</v>
      </c>
      <c r="AP809" s="13"/>
      <c r="AQ809" s="32"/>
      <c r="AR809" s="13">
        <f t="shared" si="194"/>
        <v>0</v>
      </c>
      <c r="AS809" s="33"/>
      <c r="AT809" s="13">
        <f t="shared" si="188"/>
        <v>0</v>
      </c>
      <c r="AU809" s="13">
        <f>ROUNDUP(($AR809+$AT809)*VLOOKUP($AN809,Paraméterek!$P$38:$Q$38,2)/12,IF($D$4="Forint",0,2))</f>
        <v>0</v>
      </c>
      <c r="AV809" s="13"/>
      <c r="AW809" s="13"/>
      <c r="AX809" s="13">
        <f>ROUNDUP(IF(SUM($AV809:$AW809)=0,0,IF(IF(ISBLANK($AW809),$AV809,$AW809)*Paraméterek!$J$112&lt;IF($D$4="Forint",Paraméterek!$J$113,Paraméterek!$K$113),IF($D$4="Forint",Paraméterek!$J$113,Paraméterek!$K$113),IF(IF(ISBLANK($AW809),$AV809,$AW809)*Paraméterek!$J$112&gt;IF($D$4="Forint",Paraméterek!$J$114,Paraméterek!$K$114),IF($D$4="Forint",Paraméterek!$J$114,Paraméterek!$K$114),IF(ISBLANK($AW809),$AV809,$AW809)*Paraméterek!$J$112))),IF($D$4="Forint",0,2))</f>
        <v>0</v>
      </c>
      <c r="AY809" s="13">
        <f>$AR809+$AT809-$AU809-IF(ROUNDDOWN(IF(ISBLANK($AW809),$AV809,$AW809),IF($D$4="Forint",0,2))&gt;$AR809+$AT809-$AU809-IF($D$4="Forint",Paraméterek!$J$114,Paraméterek!$K$114),0,ROUNDDOWN(IF(ISBLANK($AW809),$AV809,$AW809),IF($D$4="Forint",0,2))-$AX809)</f>
        <v>0</v>
      </c>
      <c r="AZ809" s="13">
        <f t="shared" si="189"/>
        <v>0</v>
      </c>
    </row>
    <row r="810" spans="1:52" x14ac:dyDescent="0.2">
      <c r="A810" s="32">
        <v>791</v>
      </c>
      <c r="B810" s="32">
        <v>66</v>
      </c>
      <c r="C810" s="32">
        <v>11</v>
      </c>
      <c r="D810" s="13">
        <f t="shared" si="180"/>
        <v>0</v>
      </c>
      <c r="E810" s="13"/>
      <c r="F810" s="13"/>
      <c r="G810" s="13"/>
      <c r="H810" s="13">
        <f t="shared" si="181"/>
        <v>0</v>
      </c>
      <c r="I810" s="13">
        <f t="shared" si="182"/>
        <v>0</v>
      </c>
      <c r="J810" s="13">
        <f t="shared" si="183"/>
        <v>0</v>
      </c>
      <c r="K810" s="13">
        <f>ROUNDUP(IF($D$2="Egyszeri",$D810,IF($D$2="Havi",SUM($D$20:$D$31),IF(MOD($C810,$M$1)-1=0,SUM($D$20:$D$31),0))/12*$M$1)*VLOOKUP($B810,Paraméterek!$B$27:$D$30,IF($D$2="Egyszeri",3,2)),IF($D$4="Forint",0,2))</f>
        <v>0</v>
      </c>
      <c r="L810" s="13">
        <f t="shared" si="184"/>
        <v>0</v>
      </c>
      <c r="M810" s="13">
        <f t="shared" ca="1" si="190"/>
        <v>-779372</v>
      </c>
      <c r="N810" s="13">
        <f ca="1">IF($V809&gt;=VLOOKUP($M$4-1+$B810,Paraméterek!$B$121:$D$122,IF($D$4="Forint",2,3)),0,VLOOKUP($M$4-1+$B810,Paraméterek!$B$121:$D$122,IF($D$4="Forint",2,3))-$V809)</f>
        <v>789372</v>
      </c>
      <c r="O810" s="13">
        <f ca="1">ROUNDUP($N810*Paraméterek!$C$58/Paraméterek!$C$56,IF($D$4="Forint",0,2))</f>
        <v>126</v>
      </c>
      <c r="P810" s="13">
        <f t="shared" si="185"/>
        <v>3757</v>
      </c>
      <c r="Q810" s="33"/>
      <c r="R810" s="13">
        <f t="shared" ca="1" si="186"/>
        <v>0</v>
      </c>
      <c r="S810" s="13">
        <f ca="1">ROUNDUP(($M810-$O810-$P810+$R810)*VLOOKUP($B810,Paraméterek!$B$38:$D$39,IF($D$2="Egyszeri",3,2))/12,IF($D$4="Forint",0,2))</f>
        <v>-1913</v>
      </c>
      <c r="T810" s="13"/>
      <c r="U810" s="13"/>
      <c r="V810" s="13">
        <f ca="1">$M810-$O810-$P810+$R810-$S810-IF(ROUNDUP(IF(ISBLANK($U810),$T810,$U810)/IF(AND($B810=1,$D$2&lt;&gt;"Egyszeri"),1,VLOOKUP($B810+IF($C810=12,1,0),Paraméterek!$B$257:$D$267,IF($D$2="Egyszeri",3,2))),IF($D$4="Forint",0,2))&gt;$M810-$O810-$P810+$R810-$S810-IF($D$4="Forint",Paraméterek!$C$216,Paraméterek!$D$216),0,ROUNDUP(IF(ISBLANK($U810),$T810,$U810)/IF(AND($B810=1,$D$2&lt;&gt;"Egyszeri"),1,VLOOKUP($B810+IF($C810=12,1,0),Paraméterek!$B$257:$D$267,IF($D$2="Egyszeri",3,2))),IF($D$4="Forint",0,2)))</f>
        <v>-781342</v>
      </c>
      <c r="W810" s="13">
        <f ca="1">ROUNDDOWN($V810*VLOOKUP($B810+IF($C810=12,1,0),Paraméterek!$B$257:$D$267,IF($D$2="Egyszeri",3,2)),IF($D$4="Forint",0,2))</f>
        <v>-781342</v>
      </c>
      <c r="Y810" s="32">
        <v>791</v>
      </c>
      <c r="Z810" s="32">
        <v>66</v>
      </c>
      <c r="AA810" s="32">
        <v>11</v>
      </c>
      <c r="AB810" s="13">
        <f t="shared" si="191"/>
        <v>0</v>
      </c>
      <c r="AC810" s="33"/>
      <c r="AD810" s="13">
        <f t="shared" si="187"/>
        <v>0</v>
      </c>
      <c r="AE810" s="13">
        <f>ROUNDUP(($AB810+$AD810)*VLOOKUP($Z810,Paraméterek!$P$38:$Q$38,2)/12,IF($D$4="Forint",0,2))</f>
        <v>0</v>
      </c>
      <c r="AF810" s="13">
        <f>IF($D$2="Egyszeri",IF($D$7&gt;=IF($D$4="Forint",Paraméterek!$P$223,Paraméterek!$P$224),$D$7-IF($D$4="Forint",Paraméterek!$F$223,Paraméterek!$F$224),0),MIN(IF($AA810=12,AVERAGE($D$20:$D810)*12,0),SUM($D$20:$D$31)))</f>
        <v>0</v>
      </c>
      <c r="AG810" s="13">
        <f>IF(AND($Z810&gt;=10,MOD($Z810,5)=0),$AF810*IF($AA810=12,VLOOKUP($Z810,Paraméterek!$B$225:$F$240,IF($AF810&lt;IF($D$4="Forint",Paraméterek!$C$223,Paraméterek!$C$224),2,IF($AF810&lt;IF($D$4="Forint",Paraméterek!$D$223,Paraméterek!$D$224),3,4))),0),0)</f>
        <v>0</v>
      </c>
      <c r="AH810" s="13">
        <f>IF(AND($Z810&gt;=5,MOD($Z810,5)=0),IF($AA810=12,VLOOKUP($Z810,Paraméterek!$B$225:$F$240,5),0),IF(OR($Z810=3,$Z810=4),IF($AA810=12,VLOOKUP($Z810,Paraméterek!$B$225:$F$240,5,0),0),0))*$AF810</f>
        <v>0</v>
      </c>
      <c r="AI810" s="13">
        <f>ROUNDDOWN(IF(SUM($T$20:$U810)=0,IF($D$2="Egyszeri",$AH810,$AG810),0),IF($D$4="Forint",0,2))</f>
        <v>0</v>
      </c>
      <c r="AJ810" s="13">
        <f t="shared" si="192"/>
        <v>0</v>
      </c>
      <c r="AK810" s="13">
        <f t="shared" si="193"/>
        <v>0</v>
      </c>
      <c r="AM810" s="32">
        <v>791</v>
      </c>
      <c r="AN810" s="32">
        <v>66</v>
      </c>
      <c r="AO810" s="32">
        <v>11</v>
      </c>
      <c r="AP810" s="13"/>
      <c r="AQ810" s="32"/>
      <c r="AR810" s="13">
        <f t="shared" si="194"/>
        <v>0</v>
      </c>
      <c r="AS810" s="33"/>
      <c r="AT810" s="13">
        <f t="shared" si="188"/>
        <v>0</v>
      </c>
      <c r="AU810" s="13">
        <f>ROUNDUP(($AR810+$AT810)*VLOOKUP($AN810,Paraméterek!$P$38:$Q$38,2)/12,IF($D$4="Forint",0,2))</f>
        <v>0</v>
      </c>
      <c r="AV810" s="13"/>
      <c r="AW810" s="13"/>
      <c r="AX810" s="13">
        <f>ROUNDUP(IF(SUM($AV810:$AW810)=0,0,IF(IF(ISBLANK($AW810),$AV810,$AW810)*Paraméterek!$J$112&lt;IF($D$4="Forint",Paraméterek!$J$113,Paraméterek!$K$113),IF($D$4="Forint",Paraméterek!$J$113,Paraméterek!$K$113),IF(IF(ISBLANK($AW810),$AV810,$AW810)*Paraméterek!$J$112&gt;IF($D$4="Forint",Paraméterek!$J$114,Paraméterek!$K$114),IF($D$4="Forint",Paraméterek!$J$114,Paraméterek!$K$114),IF(ISBLANK($AW810),$AV810,$AW810)*Paraméterek!$J$112))),IF($D$4="Forint",0,2))</f>
        <v>0</v>
      </c>
      <c r="AY810" s="13">
        <f>$AR810+$AT810-$AU810-IF(ROUNDDOWN(IF(ISBLANK($AW810),$AV810,$AW810),IF($D$4="Forint",0,2))&gt;$AR810+$AT810-$AU810-IF($D$4="Forint",Paraméterek!$J$114,Paraméterek!$K$114),0,ROUNDDOWN(IF(ISBLANK($AW810),$AV810,$AW810),IF($D$4="Forint",0,2))-$AX810)</f>
        <v>0</v>
      </c>
      <c r="AZ810" s="13">
        <f t="shared" si="189"/>
        <v>0</v>
      </c>
    </row>
    <row r="811" spans="1:52" x14ac:dyDescent="0.2">
      <c r="A811" s="32">
        <v>792</v>
      </c>
      <c r="B811" s="32">
        <v>66</v>
      </c>
      <c r="C811" s="32">
        <v>12</v>
      </c>
      <c r="D811" s="13">
        <f t="shared" si="180"/>
        <v>0</v>
      </c>
      <c r="E811" s="13"/>
      <c r="F811" s="13"/>
      <c r="G811" s="13"/>
      <c r="H811" s="13">
        <f t="shared" si="181"/>
        <v>0</v>
      </c>
      <c r="I811" s="13">
        <f t="shared" si="182"/>
        <v>0</v>
      </c>
      <c r="J811" s="13">
        <f t="shared" si="183"/>
        <v>0</v>
      </c>
      <c r="K811" s="13">
        <f>ROUNDUP(IF($D$2="Egyszeri",$D811,IF($D$2="Havi",SUM($D$20:$D$31),IF(MOD($C811,$M$1)-1=0,SUM($D$20:$D$31),0))/12*$M$1)*VLOOKUP($B811,Paraméterek!$B$27:$D$30,IF($D$2="Egyszeri",3,2)),IF($D$4="Forint",0,2))</f>
        <v>0</v>
      </c>
      <c r="L811" s="13">
        <f t="shared" si="184"/>
        <v>0</v>
      </c>
      <c r="M811" s="13">
        <f t="shared" ca="1" si="190"/>
        <v>-781342</v>
      </c>
      <c r="N811" s="13">
        <f ca="1">IF($V810&gt;=VLOOKUP($M$4-1+$B811,Paraméterek!$B$121:$D$122,IF($D$4="Forint",2,3)),0,VLOOKUP($M$4-1+$B811,Paraméterek!$B$121:$D$122,IF($D$4="Forint",2,3))-$V810)</f>
        <v>791342</v>
      </c>
      <c r="O811" s="13">
        <f ca="1">ROUNDUP($N811*Paraméterek!$C$58/Paraméterek!$C$56,IF($D$4="Forint",0,2))</f>
        <v>126</v>
      </c>
      <c r="P811" s="13">
        <f t="shared" si="185"/>
        <v>3757</v>
      </c>
      <c r="Q811" s="33"/>
      <c r="R811" s="13">
        <f t="shared" ca="1" si="186"/>
        <v>0</v>
      </c>
      <c r="S811" s="13">
        <f ca="1">ROUNDUP(($M811-$O811-$P811+$R811)*VLOOKUP($B811,Paraméterek!$B$38:$D$39,IF($D$2="Egyszeri",3,2))/12,IF($D$4="Forint",0,2))</f>
        <v>-1918</v>
      </c>
      <c r="T811" s="13">
        <f>Tranzakciók!$F$97</f>
        <v>0</v>
      </c>
      <c r="U811" s="13"/>
      <c r="V811" s="13">
        <f ca="1">$M811-$O811-$P811+$R811-$S811-IF(ROUNDUP(IF(ISBLANK($U811),$T811,$U811)/IF(AND($B811=1,$D$2&lt;&gt;"Egyszeri"),1,VLOOKUP($B811+IF($C811=12,1,0),Paraméterek!$B$257:$D$267,IF($D$2="Egyszeri",3,2))),IF($D$4="Forint",0,2))&gt;$M811-$O811-$P811+$R811-$S811-IF($D$4="Forint",Paraméterek!$C$216,Paraméterek!$D$216),0,ROUNDUP(IF(ISBLANK($U811),$T811,$U811)/IF(AND($B811=1,$D$2&lt;&gt;"Egyszeri"),1,VLOOKUP($B811+IF($C811=12,1,0),Paraméterek!$B$257:$D$267,IF($D$2="Egyszeri",3,2))),IF($D$4="Forint",0,2)))</f>
        <v>-783307</v>
      </c>
      <c r="W811" s="13">
        <f ca="1">ROUNDDOWN($V811*VLOOKUP($B811+IF($C811=12,1,0),Paraméterek!$B$257:$D$267,IF($D$2="Egyszeri",3,2)),IF($D$4="Forint",0,2))</f>
        <v>-783307</v>
      </c>
      <c r="Y811" s="32">
        <v>792</v>
      </c>
      <c r="Z811" s="32">
        <v>66</v>
      </c>
      <c r="AA811" s="32">
        <v>12</v>
      </c>
      <c r="AB811" s="13">
        <f t="shared" si="191"/>
        <v>0</v>
      </c>
      <c r="AC811" s="33"/>
      <c r="AD811" s="13">
        <f t="shared" si="187"/>
        <v>0</v>
      </c>
      <c r="AE811" s="13">
        <f>ROUNDUP(($AB811+$AD811)*VLOOKUP($Z811,Paraméterek!$P$38:$Q$38,2)/12,IF($D$4="Forint",0,2))</f>
        <v>0</v>
      </c>
      <c r="AF811" s="13">
        <f>IF($D$2="Egyszeri",IF($D$7&gt;=IF($D$4="Forint",Paraméterek!$P$223,Paraméterek!$P$224),$D$7-IF($D$4="Forint",Paraméterek!$F$223,Paraméterek!$F$224),0),MIN(IF($AA811=12,AVERAGE($D$20:$D811)*12,0),SUM($D$20:$D$31)))</f>
        <v>0</v>
      </c>
      <c r="AG811" s="13">
        <f>IF(AND($Z811&gt;=10,MOD($Z811,5)=0),$AF811*IF($AA811=12,VLOOKUP($Z811,Paraméterek!$B$225:$F$240,IF($AF811&lt;IF($D$4="Forint",Paraméterek!$C$223,Paraméterek!$C$224),2,IF($AF811&lt;IF($D$4="Forint",Paraméterek!$D$223,Paraméterek!$D$224),3,4))),0),0)</f>
        <v>0</v>
      </c>
      <c r="AH811" s="13">
        <f>IF(AND($Z811&gt;=5,MOD($Z811,5)=0),IF($AA811=12,VLOOKUP($Z811,Paraméterek!$B$225:$F$240,5),0),IF(OR($Z811=3,$Z811=4),IF($AA811=12,VLOOKUP($Z811,Paraméterek!$B$225:$F$240,5,0),0),0))*$AF811</f>
        <v>0</v>
      </c>
      <c r="AI811" s="13">
        <f>ROUNDDOWN(IF(SUM($T$20:$U811)=0,IF($D$2="Egyszeri",$AH811,$AG811),0),IF($D$4="Forint",0,2))</f>
        <v>0</v>
      </c>
      <c r="AJ811" s="13">
        <f t="shared" si="192"/>
        <v>0</v>
      </c>
      <c r="AK811" s="13">
        <f t="shared" si="193"/>
        <v>0</v>
      </c>
      <c r="AM811" s="32">
        <v>792</v>
      </c>
      <c r="AN811" s="32">
        <v>66</v>
      </c>
      <c r="AO811" s="32">
        <v>12</v>
      </c>
      <c r="AP811" s="13"/>
      <c r="AQ811" s="32"/>
      <c r="AR811" s="13">
        <f t="shared" si="194"/>
        <v>0</v>
      </c>
      <c r="AS811" s="33"/>
      <c r="AT811" s="13">
        <f t="shared" si="188"/>
        <v>0</v>
      </c>
      <c r="AU811" s="13">
        <f>ROUNDUP(($AR811+$AT811)*VLOOKUP($AN811,Paraméterek!$P$38:$Q$38,2)/12,IF($D$4="Forint",0,2))</f>
        <v>0</v>
      </c>
      <c r="AV811" s="13">
        <f>Tranzakciók!$M$97</f>
        <v>0</v>
      </c>
      <c r="AW811" s="13"/>
      <c r="AX811" s="13">
        <f>ROUNDUP(IF(SUM($AV811:$AW811)=0,0,IF(IF(ISBLANK($AW811),$AV811,$AW811)*Paraméterek!$J$112&lt;IF($D$4="Forint",Paraméterek!$J$113,Paraméterek!$K$113),IF($D$4="Forint",Paraméterek!$J$113,Paraméterek!$K$113),IF(IF(ISBLANK($AW811),$AV811,$AW811)*Paraméterek!$J$112&gt;IF($D$4="Forint",Paraméterek!$J$114,Paraméterek!$K$114),IF($D$4="Forint",Paraméterek!$J$114,Paraméterek!$K$114),IF(ISBLANK($AW811),$AV811,$AW811)*Paraméterek!$J$112))),IF($D$4="Forint",0,2))</f>
        <v>0</v>
      </c>
      <c r="AY811" s="13">
        <f>$AR811+$AT811-$AU811-IF(ROUNDDOWN(IF(ISBLANK($AW811),$AV811,$AW811),IF($D$4="Forint",0,2))&gt;$AR811+$AT811-$AU811-IF($D$4="Forint",Paraméterek!$J$114,Paraméterek!$K$114),0,ROUNDDOWN(IF(ISBLANK($AW811),$AV811,$AW811),IF($D$4="Forint",0,2))-$AX811)</f>
        <v>0</v>
      </c>
      <c r="AZ811" s="13">
        <f t="shared" si="189"/>
        <v>0</v>
      </c>
    </row>
    <row r="812" spans="1:52" x14ac:dyDescent="0.2">
      <c r="A812" s="32">
        <v>793</v>
      </c>
      <c r="B812" s="32">
        <v>67</v>
      </c>
      <c r="C812" s="32">
        <v>1</v>
      </c>
      <c r="D812" s="13">
        <f t="shared" si="180"/>
        <v>0</v>
      </c>
      <c r="E812" s="13"/>
      <c r="F812" s="13">
        <f>Tranzakciók!$D$98</f>
        <v>0</v>
      </c>
      <c r="G812" s="13"/>
      <c r="H812" s="13">
        <f t="shared" si="181"/>
        <v>0</v>
      </c>
      <c r="I812" s="13">
        <f t="shared" si="182"/>
        <v>704</v>
      </c>
      <c r="J812" s="13">
        <f t="shared" si="183"/>
        <v>704</v>
      </c>
      <c r="K812" s="13">
        <f>ROUNDUP(IF($D$2="Egyszeri",$D812,IF($D$2="Havi",SUM($D$20:$D$31),IF(MOD($C812,$M$1)-1=0,SUM($D$20:$D$31),0))/12*$M$1)*VLOOKUP($B812,Paraméterek!$B$27:$D$30,IF($D$2="Egyszeri",3,2)),IF($D$4="Forint",0,2))</f>
        <v>0</v>
      </c>
      <c r="L812" s="13">
        <f t="shared" si="184"/>
        <v>0</v>
      </c>
      <c r="M812" s="13">
        <f t="shared" ca="1" si="190"/>
        <v>-783307</v>
      </c>
      <c r="N812" s="13">
        <f ca="1">IF($V811&gt;=VLOOKUP($M$4-1+$B812,Paraméterek!$B$121:$D$122,IF($D$4="Forint",2,3)),0,VLOOKUP($M$4-1+$B812,Paraméterek!$B$121:$D$122,IF($D$4="Forint",2,3))-$V811)</f>
        <v>793307</v>
      </c>
      <c r="O812" s="13">
        <f ca="1">ROUNDUP($N812*Paraméterek!$C$58/Paraméterek!$C$56,IF($D$4="Forint",0,2))</f>
        <v>127</v>
      </c>
      <c r="P812" s="13">
        <f t="shared" si="185"/>
        <v>3870</v>
      </c>
      <c r="Q812" s="33"/>
      <c r="R812" s="13">
        <f t="shared" ca="1" si="186"/>
        <v>0</v>
      </c>
      <c r="S812" s="13">
        <f ca="1">ROUNDUP(($M812-$O812-$P812+$R812)*VLOOKUP($B812,Paraméterek!$B$38:$D$39,IF($D$2="Egyszeri",3,2))/12,IF($D$4="Forint",0,2))</f>
        <v>-1923</v>
      </c>
      <c r="T812" s="13"/>
      <c r="U812" s="13"/>
      <c r="V812" s="13">
        <f ca="1">$M812-$O812-$P812+$R812-$S812-IF(ROUNDUP(IF(ISBLANK($U812),$T812,$U812)/IF(AND($B812=1,$D$2&lt;&gt;"Egyszeri"),1,VLOOKUP($B812+IF($C812=12,1,0),Paraméterek!$B$257:$D$267,IF($D$2="Egyszeri",3,2))),IF($D$4="Forint",0,2))&gt;$M812-$O812-$P812+$R812-$S812-IF($D$4="Forint",Paraméterek!$C$216,Paraméterek!$D$216),0,ROUNDUP(IF(ISBLANK($U812),$T812,$U812)/IF(AND($B812=1,$D$2&lt;&gt;"Egyszeri"),1,VLOOKUP($B812+IF($C812=12,1,0),Paraméterek!$B$257:$D$267,IF($D$2="Egyszeri",3,2))),IF($D$4="Forint",0,2)))</f>
        <v>-785381</v>
      </c>
      <c r="W812" s="13">
        <f ca="1">ROUNDDOWN($V812*VLOOKUP($B812+IF($C812=12,1,0),Paraméterek!$B$257:$D$267,IF($D$2="Egyszeri",3,2)),IF($D$4="Forint",0,2))</f>
        <v>-785381</v>
      </c>
      <c r="Y812" s="32">
        <v>793</v>
      </c>
      <c r="Z812" s="32">
        <v>67</v>
      </c>
      <c r="AA812" s="32">
        <v>1</v>
      </c>
      <c r="AB812" s="13">
        <f t="shared" si="191"/>
        <v>0</v>
      </c>
      <c r="AC812" s="33"/>
      <c r="AD812" s="13">
        <f t="shared" si="187"/>
        <v>0</v>
      </c>
      <c r="AE812" s="13">
        <f>ROUNDUP(($AB812+$AD812)*VLOOKUP($Z812,Paraméterek!$P$38:$Q$38,2)/12,IF($D$4="Forint",0,2))</f>
        <v>0</v>
      </c>
      <c r="AF812" s="13">
        <f>IF($D$2="Egyszeri",IF($D$7&gt;=IF($D$4="Forint",Paraméterek!$P$223,Paraméterek!$P$224),$D$7-IF($D$4="Forint",Paraméterek!$F$223,Paraméterek!$F$224),0),MIN(IF($AA812=12,AVERAGE($D$20:$D812)*12,0),SUM($D$20:$D$31)))</f>
        <v>0</v>
      </c>
      <c r="AG812" s="13">
        <f>IF(AND($Z812&gt;=10,MOD($Z812,5)=0),$AF812*IF($AA812=12,VLOOKUP($Z812,Paraméterek!$B$225:$F$240,IF($AF812&lt;IF($D$4="Forint",Paraméterek!$C$223,Paraméterek!$C$224),2,IF($AF812&lt;IF($D$4="Forint",Paraméterek!$D$223,Paraméterek!$D$224),3,4))),0),0)</f>
        <v>0</v>
      </c>
      <c r="AH812" s="13">
        <f>IF(AND($Z812&gt;=5,MOD($Z812,5)=0),IF($AA812=12,VLOOKUP($Z812,Paraméterek!$B$225:$F$240,5),0),IF(OR($Z812=3,$Z812=4),IF($AA812=12,VLOOKUP($Z812,Paraméterek!$B$225:$F$240,5,0),0),0))*$AF812</f>
        <v>0</v>
      </c>
      <c r="AI812" s="13">
        <f>ROUNDDOWN(IF(SUM($T$20:$U812)=0,IF($D$2="Egyszeri",$AH812,$AG812),0),IF($D$4="Forint",0,2))</f>
        <v>0</v>
      </c>
      <c r="AJ812" s="13">
        <f t="shared" si="192"/>
        <v>0</v>
      </c>
      <c r="AK812" s="13">
        <f t="shared" si="193"/>
        <v>0</v>
      </c>
      <c r="AM812" s="32">
        <v>793</v>
      </c>
      <c r="AN812" s="32">
        <v>67</v>
      </c>
      <c r="AO812" s="32">
        <v>1</v>
      </c>
      <c r="AP812" s="13">
        <f>Tranzakciók!$K$98</f>
        <v>0</v>
      </c>
      <c r="AQ812" s="32"/>
      <c r="AR812" s="13">
        <f t="shared" si="194"/>
        <v>0</v>
      </c>
      <c r="AS812" s="33"/>
      <c r="AT812" s="13">
        <f t="shared" si="188"/>
        <v>0</v>
      </c>
      <c r="AU812" s="13">
        <f>ROUNDUP(($AR812+$AT812)*VLOOKUP($AN812,Paraméterek!$P$38:$Q$38,2)/12,IF($D$4="Forint",0,2))</f>
        <v>0</v>
      </c>
      <c r="AV812" s="13"/>
      <c r="AW812" s="13"/>
      <c r="AX812" s="13">
        <f>ROUNDUP(IF(SUM($AV812:$AW812)=0,0,IF(IF(ISBLANK($AW812),$AV812,$AW812)*Paraméterek!$J$112&lt;IF($D$4="Forint",Paraméterek!$J$113,Paraméterek!$K$113),IF($D$4="Forint",Paraméterek!$J$113,Paraméterek!$K$113),IF(IF(ISBLANK($AW812),$AV812,$AW812)*Paraméterek!$J$112&gt;IF($D$4="Forint",Paraméterek!$J$114,Paraméterek!$K$114),IF($D$4="Forint",Paraméterek!$J$114,Paraméterek!$K$114),IF(ISBLANK($AW812),$AV812,$AW812)*Paraméterek!$J$112))),IF($D$4="Forint",0,2))</f>
        <v>0</v>
      </c>
      <c r="AY812" s="13">
        <f>$AR812+$AT812-$AU812-IF(ROUNDDOWN(IF(ISBLANK($AW812),$AV812,$AW812),IF($D$4="Forint",0,2))&gt;$AR812+$AT812-$AU812-IF($D$4="Forint",Paraméterek!$J$114,Paraméterek!$K$114),0,ROUNDDOWN(IF(ISBLANK($AW812),$AV812,$AW812),IF($D$4="Forint",0,2))-$AX812)</f>
        <v>0</v>
      </c>
      <c r="AZ812" s="13">
        <f t="shared" si="189"/>
        <v>0</v>
      </c>
    </row>
    <row r="813" spans="1:52" x14ac:dyDescent="0.2">
      <c r="A813" s="32">
        <v>794</v>
      </c>
      <c r="B813" s="32">
        <v>67</v>
      </c>
      <c r="C813" s="32">
        <v>2</v>
      </c>
      <c r="D813" s="13">
        <f t="shared" si="180"/>
        <v>0</v>
      </c>
      <c r="E813" s="13"/>
      <c r="F813" s="13"/>
      <c r="G813" s="13"/>
      <c r="H813" s="13">
        <f t="shared" si="181"/>
        <v>0</v>
      </c>
      <c r="I813" s="13">
        <f t="shared" si="182"/>
        <v>0</v>
      </c>
      <c r="J813" s="13">
        <f t="shared" si="183"/>
        <v>0</v>
      </c>
      <c r="K813" s="13">
        <f>ROUNDUP(IF($D$2="Egyszeri",$D813,IF($D$2="Havi",SUM($D$20:$D$31),IF(MOD($C813,$M$1)-1=0,SUM($D$20:$D$31),0))/12*$M$1)*VLOOKUP($B813,Paraméterek!$B$27:$D$30,IF($D$2="Egyszeri",3,2)),IF($D$4="Forint",0,2))</f>
        <v>0</v>
      </c>
      <c r="L813" s="13">
        <f t="shared" si="184"/>
        <v>0</v>
      </c>
      <c r="M813" s="13">
        <f t="shared" ca="1" si="190"/>
        <v>-785381</v>
      </c>
      <c r="N813" s="13">
        <f ca="1">IF($V812&gt;=VLOOKUP($M$4-1+$B813,Paraméterek!$B$121:$D$122,IF($D$4="Forint",2,3)),0,VLOOKUP($M$4-1+$B813,Paraméterek!$B$121:$D$122,IF($D$4="Forint",2,3))-$V812)</f>
        <v>795381</v>
      </c>
      <c r="O813" s="13">
        <f ca="1">ROUNDUP($N813*Paraméterek!$C$58/Paraméterek!$C$56,IF($D$4="Forint",0,2))</f>
        <v>127</v>
      </c>
      <c r="P813" s="13">
        <f t="shared" si="185"/>
        <v>3870</v>
      </c>
      <c r="Q813" s="33"/>
      <c r="R813" s="13">
        <f t="shared" ca="1" si="186"/>
        <v>0</v>
      </c>
      <c r="S813" s="13">
        <f ca="1">ROUNDUP(($M813-$O813-$P813+$R813)*VLOOKUP($B813,Paraméterek!$B$38:$D$39,IF($D$2="Egyszeri",3,2))/12,IF($D$4="Forint",0,2))</f>
        <v>-1928</v>
      </c>
      <c r="T813" s="13"/>
      <c r="U813" s="13"/>
      <c r="V813" s="13">
        <f ca="1">$M813-$O813-$P813+$R813-$S813-IF(ROUNDUP(IF(ISBLANK($U813),$T813,$U813)/IF(AND($B813=1,$D$2&lt;&gt;"Egyszeri"),1,VLOOKUP($B813+IF($C813=12,1,0),Paraméterek!$B$257:$D$267,IF($D$2="Egyszeri",3,2))),IF($D$4="Forint",0,2))&gt;$M813-$O813-$P813+$R813-$S813-IF($D$4="Forint",Paraméterek!$C$216,Paraméterek!$D$216),0,ROUNDUP(IF(ISBLANK($U813),$T813,$U813)/IF(AND($B813=1,$D$2&lt;&gt;"Egyszeri"),1,VLOOKUP($B813+IF($C813=12,1,0),Paraméterek!$B$257:$D$267,IF($D$2="Egyszeri",3,2))),IF($D$4="Forint",0,2)))</f>
        <v>-787450</v>
      </c>
      <c r="W813" s="13">
        <f ca="1">ROUNDDOWN($V813*VLOOKUP($B813+IF($C813=12,1,0),Paraméterek!$B$257:$D$267,IF($D$2="Egyszeri",3,2)),IF($D$4="Forint",0,2))</f>
        <v>-787450</v>
      </c>
      <c r="Y813" s="32">
        <v>794</v>
      </c>
      <c r="Z813" s="32">
        <v>67</v>
      </c>
      <c r="AA813" s="32">
        <v>2</v>
      </c>
      <c r="AB813" s="13">
        <f t="shared" si="191"/>
        <v>0</v>
      </c>
      <c r="AC813" s="33"/>
      <c r="AD813" s="13">
        <f t="shared" si="187"/>
        <v>0</v>
      </c>
      <c r="AE813" s="13">
        <f>ROUNDUP(($AB813+$AD813)*VLOOKUP($Z813,Paraméterek!$P$38:$Q$38,2)/12,IF($D$4="Forint",0,2))</f>
        <v>0</v>
      </c>
      <c r="AF813" s="13">
        <f>IF($D$2="Egyszeri",IF($D$7&gt;=IF($D$4="Forint",Paraméterek!$P$223,Paraméterek!$P$224),$D$7-IF($D$4="Forint",Paraméterek!$F$223,Paraméterek!$F$224),0),MIN(IF($AA813=12,AVERAGE($D$20:$D813)*12,0),SUM($D$20:$D$31)))</f>
        <v>0</v>
      </c>
      <c r="AG813" s="13">
        <f>IF(AND($Z813&gt;=10,MOD($Z813,5)=0),$AF813*IF($AA813=12,VLOOKUP($Z813,Paraméterek!$B$225:$F$240,IF($AF813&lt;IF($D$4="Forint",Paraméterek!$C$223,Paraméterek!$C$224),2,IF($AF813&lt;IF($D$4="Forint",Paraméterek!$D$223,Paraméterek!$D$224),3,4))),0),0)</f>
        <v>0</v>
      </c>
      <c r="AH813" s="13">
        <f>IF(AND($Z813&gt;=5,MOD($Z813,5)=0),IF($AA813=12,VLOOKUP($Z813,Paraméterek!$B$225:$F$240,5),0),IF(OR($Z813=3,$Z813=4),IF($AA813=12,VLOOKUP($Z813,Paraméterek!$B$225:$F$240,5,0),0),0))*$AF813</f>
        <v>0</v>
      </c>
      <c r="AI813" s="13">
        <f>ROUNDDOWN(IF(SUM($T$20:$U813)=0,IF($D$2="Egyszeri",$AH813,$AG813),0),IF($D$4="Forint",0,2))</f>
        <v>0</v>
      </c>
      <c r="AJ813" s="13">
        <f t="shared" si="192"/>
        <v>0</v>
      </c>
      <c r="AK813" s="13">
        <f t="shared" si="193"/>
        <v>0</v>
      </c>
      <c r="AM813" s="32">
        <v>794</v>
      </c>
      <c r="AN813" s="32">
        <v>67</v>
      </c>
      <c r="AO813" s="32">
        <v>2</v>
      </c>
      <c r="AP813" s="13"/>
      <c r="AQ813" s="32"/>
      <c r="AR813" s="13">
        <f t="shared" si="194"/>
        <v>0</v>
      </c>
      <c r="AS813" s="33"/>
      <c r="AT813" s="13">
        <f t="shared" si="188"/>
        <v>0</v>
      </c>
      <c r="AU813" s="13">
        <f>ROUNDUP(($AR813+$AT813)*VLOOKUP($AN813,Paraméterek!$P$38:$Q$38,2)/12,IF($D$4="Forint",0,2))</f>
        <v>0</v>
      </c>
      <c r="AV813" s="13"/>
      <c r="AW813" s="13"/>
      <c r="AX813" s="13">
        <f>ROUNDUP(IF(SUM($AV813:$AW813)=0,0,IF(IF(ISBLANK($AW813),$AV813,$AW813)*Paraméterek!$J$112&lt;IF($D$4="Forint",Paraméterek!$J$113,Paraméterek!$K$113),IF($D$4="Forint",Paraméterek!$J$113,Paraméterek!$K$113),IF(IF(ISBLANK($AW813),$AV813,$AW813)*Paraméterek!$J$112&gt;IF($D$4="Forint",Paraméterek!$J$114,Paraméterek!$K$114),IF($D$4="Forint",Paraméterek!$J$114,Paraméterek!$K$114),IF(ISBLANK($AW813),$AV813,$AW813)*Paraméterek!$J$112))),IF($D$4="Forint",0,2))</f>
        <v>0</v>
      </c>
      <c r="AY813" s="13">
        <f>$AR813+$AT813-$AU813-IF(ROUNDDOWN(IF(ISBLANK($AW813),$AV813,$AW813),IF($D$4="Forint",0,2))&gt;$AR813+$AT813-$AU813-IF($D$4="Forint",Paraméterek!$J$114,Paraméterek!$K$114),0,ROUNDDOWN(IF(ISBLANK($AW813),$AV813,$AW813),IF($D$4="Forint",0,2))-$AX813)</f>
        <v>0</v>
      </c>
      <c r="AZ813" s="13">
        <f t="shared" si="189"/>
        <v>0</v>
      </c>
    </row>
    <row r="814" spans="1:52" x14ac:dyDescent="0.2">
      <c r="A814" s="32">
        <v>795</v>
      </c>
      <c r="B814" s="32">
        <v>67</v>
      </c>
      <c r="C814" s="32">
        <v>3</v>
      </c>
      <c r="D814" s="13">
        <f t="shared" si="180"/>
        <v>0</v>
      </c>
      <c r="E814" s="13"/>
      <c r="F814" s="13"/>
      <c r="G814" s="13"/>
      <c r="H814" s="13">
        <f t="shared" si="181"/>
        <v>0</v>
      </c>
      <c r="I814" s="13">
        <f t="shared" si="182"/>
        <v>0</v>
      </c>
      <c r="J814" s="13">
        <f t="shared" si="183"/>
        <v>0</v>
      </c>
      <c r="K814" s="13">
        <f>ROUNDUP(IF($D$2="Egyszeri",$D814,IF($D$2="Havi",SUM($D$20:$D$31),IF(MOD($C814,$M$1)-1=0,SUM($D$20:$D$31),0))/12*$M$1)*VLOOKUP($B814,Paraméterek!$B$27:$D$30,IF($D$2="Egyszeri",3,2)),IF($D$4="Forint",0,2))</f>
        <v>0</v>
      </c>
      <c r="L814" s="13">
        <f t="shared" si="184"/>
        <v>0</v>
      </c>
      <c r="M814" s="13">
        <f t="shared" ca="1" si="190"/>
        <v>-787450</v>
      </c>
      <c r="N814" s="13">
        <f ca="1">IF($V813&gt;=VLOOKUP($M$4-1+$B814,Paraméterek!$B$121:$D$122,IF($D$4="Forint",2,3)),0,VLOOKUP($M$4-1+$B814,Paraméterek!$B$121:$D$122,IF($D$4="Forint",2,3))-$V813)</f>
        <v>797450</v>
      </c>
      <c r="O814" s="13">
        <f ca="1">ROUNDUP($N814*Paraméterek!$C$58/Paraméterek!$C$56,IF($D$4="Forint",0,2))</f>
        <v>127</v>
      </c>
      <c r="P814" s="13">
        <f t="shared" si="185"/>
        <v>3870</v>
      </c>
      <c r="Q814" s="33"/>
      <c r="R814" s="13">
        <f t="shared" ca="1" si="186"/>
        <v>0</v>
      </c>
      <c r="S814" s="13">
        <f ca="1">ROUNDUP(($M814-$O814-$P814+$R814)*VLOOKUP($B814,Paraméterek!$B$38:$D$39,IF($D$2="Egyszeri",3,2))/12,IF($D$4="Forint",0,2))</f>
        <v>-1933</v>
      </c>
      <c r="T814" s="13"/>
      <c r="U814" s="13"/>
      <c r="V814" s="13">
        <f ca="1">$M814-$O814-$P814+$R814-$S814-IF(ROUNDUP(IF(ISBLANK($U814),$T814,$U814)/IF(AND($B814=1,$D$2&lt;&gt;"Egyszeri"),1,VLOOKUP($B814+IF($C814=12,1,0),Paraméterek!$B$257:$D$267,IF($D$2="Egyszeri",3,2))),IF($D$4="Forint",0,2))&gt;$M814-$O814-$P814+$R814-$S814-IF($D$4="Forint",Paraméterek!$C$216,Paraméterek!$D$216),0,ROUNDUP(IF(ISBLANK($U814),$T814,$U814)/IF(AND($B814=1,$D$2&lt;&gt;"Egyszeri"),1,VLOOKUP($B814+IF($C814=12,1,0),Paraméterek!$B$257:$D$267,IF($D$2="Egyszeri",3,2))),IF($D$4="Forint",0,2)))</f>
        <v>-789514</v>
      </c>
      <c r="W814" s="13">
        <f ca="1">ROUNDDOWN($V814*VLOOKUP($B814+IF($C814=12,1,0),Paraméterek!$B$257:$D$267,IF($D$2="Egyszeri",3,2)),IF($D$4="Forint",0,2))</f>
        <v>-789514</v>
      </c>
      <c r="Y814" s="32">
        <v>795</v>
      </c>
      <c r="Z814" s="32">
        <v>67</v>
      </c>
      <c r="AA814" s="32">
        <v>3</v>
      </c>
      <c r="AB814" s="13">
        <f t="shared" si="191"/>
        <v>0</v>
      </c>
      <c r="AC814" s="33"/>
      <c r="AD814" s="13">
        <f t="shared" si="187"/>
        <v>0</v>
      </c>
      <c r="AE814" s="13">
        <f>ROUNDUP(($AB814+$AD814)*VLOOKUP($Z814,Paraméterek!$P$38:$Q$38,2)/12,IF($D$4="Forint",0,2))</f>
        <v>0</v>
      </c>
      <c r="AF814" s="13">
        <f>IF($D$2="Egyszeri",IF($D$7&gt;=IF($D$4="Forint",Paraméterek!$P$223,Paraméterek!$P$224),$D$7-IF($D$4="Forint",Paraméterek!$F$223,Paraméterek!$F$224),0),MIN(IF($AA814=12,AVERAGE($D$20:$D814)*12,0),SUM($D$20:$D$31)))</f>
        <v>0</v>
      </c>
      <c r="AG814" s="13">
        <f>IF(AND($Z814&gt;=10,MOD($Z814,5)=0),$AF814*IF($AA814=12,VLOOKUP($Z814,Paraméterek!$B$225:$F$240,IF($AF814&lt;IF($D$4="Forint",Paraméterek!$C$223,Paraméterek!$C$224),2,IF($AF814&lt;IF($D$4="Forint",Paraméterek!$D$223,Paraméterek!$D$224),3,4))),0),0)</f>
        <v>0</v>
      </c>
      <c r="AH814" s="13">
        <f>IF(AND($Z814&gt;=5,MOD($Z814,5)=0),IF($AA814=12,VLOOKUP($Z814,Paraméterek!$B$225:$F$240,5),0),IF(OR($Z814=3,$Z814=4),IF($AA814=12,VLOOKUP($Z814,Paraméterek!$B$225:$F$240,5,0),0),0))*$AF814</f>
        <v>0</v>
      </c>
      <c r="AI814" s="13">
        <f>ROUNDDOWN(IF(SUM($T$20:$U814)=0,IF($D$2="Egyszeri",$AH814,$AG814),0),IF($D$4="Forint",0,2))</f>
        <v>0</v>
      </c>
      <c r="AJ814" s="13">
        <f t="shared" si="192"/>
        <v>0</v>
      </c>
      <c r="AK814" s="13">
        <f t="shared" si="193"/>
        <v>0</v>
      </c>
      <c r="AM814" s="32">
        <v>795</v>
      </c>
      <c r="AN814" s="32">
        <v>67</v>
      </c>
      <c r="AO814" s="32">
        <v>3</v>
      </c>
      <c r="AP814" s="13"/>
      <c r="AQ814" s="32"/>
      <c r="AR814" s="13">
        <f t="shared" si="194"/>
        <v>0</v>
      </c>
      <c r="AS814" s="33"/>
      <c r="AT814" s="13">
        <f t="shared" si="188"/>
        <v>0</v>
      </c>
      <c r="AU814" s="13">
        <f>ROUNDUP(($AR814+$AT814)*VLOOKUP($AN814,Paraméterek!$P$38:$Q$38,2)/12,IF($D$4="Forint",0,2))</f>
        <v>0</v>
      </c>
      <c r="AV814" s="13"/>
      <c r="AW814" s="13"/>
      <c r="AX814" s="13">
        <f>ROUNDUP(IF(SUM($AV814:$AW814)=0,0,IF(IF(ISBLANK($AW814),$AV814,$AW814)*Paraméterek!$J$112&lt;IF($D$4="Forint",Paraméterek!$J$113,Paraméterek!$K$113),IF($D$4="Forint",Paraméterek!$J$113,Paraméterek!$K$113),IF(IF(ISBLANK($AW814),$AV814,$AW814)*Paraméterek!$J$112&gt;IF($D$4="Forint",Paraméterek!$J$114,Paraméterek!$K$114),IF($D$4="Forint",Paraméterek!$J$114,Paraméterek!$K$114),IF(ISBLANK($AW814),$AV814,$AW814)*Paraméterek!$J$112))),IF($D$4="Forint",0,2))</f>
        <v>0</v>
      </c>
      <c r="AY814" s="13">
        <f>$AR814+$AT814-$AU814-IF(ROUNDDOWN(IF(ISBLANK($AW814),$AV814,$AW814),IF($D$4="Forint",0,2))&gt;$AR814+$AT814-$AU814-IF($D$4="Forint",Paraméterek!$J$114,Paraméterek!$K$114),0,ROUNDDOWN(IF(ISBLANK($AW814),$AV814,$AW814),IF($D$4="Forint",0,2))-$AX814)</f>
        <v>0</v>
      </c>
      <c r="AZ814" s="13">
        <f t="shared" si="189"/>
        <v>0</v>
      </c>
    </row>
    <row r="815" spans="1:52" x14ac:dyDescent="0.2">
      <c r="A815" s="32">
        <v>796</v>
      </c>
      <c r="B815" s="32">
        <v>67</v>
      </c>
      <c r="C815" s="32">
        <v>4</v>
      </c>
      <c r="D815" s="13">
        <f t="shared" si="180"/>
        <v>0</v>
      </c>
      <c r="E815" s="13"/>
      <c r="F815" s="13"/>
      <c r="G815" s="13"/>
      <c r="H815" s="13">
        <f t="shared" si="181"/>
        <v>0</v>
      </c>
      <c r="I815" s="13">
        <f t="shared" si="182"/>
        <v>0</v>
      </c>
      <c r="J815" s="13">
        <f t="shared" si="183"/>
        <v>0</v>
      </c>
      <c r="K815" s="13">
        <f>ROUNDUP(IF($D$2="Egyszeri",$D815,IF($D$2="Havi",SUM($D$20:$D$31),IF(MOD($C815,$M$1)-1=0,SUM($D$20:$D$31),0))/12*$M$1)*VLOOKUP($B815,Paraméterek!$B$27:$D$30,IF($D$2="Egyszeri",3,2)),IF($D$4="Forint",0,2))</f>
        <v>0</v>
      </c>
      <c r="L815" s="13">
        <f t="shared" si="184"/>
        <v>0</v>
      </c>
      <c r="M815" s="13">
        <f t="shared" ca="1" si="190"/>
        <v>-789514</v>
      </c>
      <c r="N815" s="13">
        <f ca="1">IF($V814&gt;=VLOOKUP($M$4-1+$B815,Paraméterek!$B$121:$D$122,IF($D$4="Forint",2,3)),0,VLOOKUP($M$4-1+$B815,Paraméterek!$B$121:$D$122,IF($D$4="Forint",2,3))-$V814)</f>
        <v>799514</v>
      </c>
      <c r="O815" s="13">
        <f ca="1">ROUNDUP($N815*Paraméterek!$C$58/Paraméterek!$C$56,IF($D$4="Forint",0,2))</f>
        <v>128</v>
      </c>
      <c r="P815" s="13">
        <f t="shared" si="185"/>
        <v>3870</v>
      </c>
      <c r="Q815" s="33"/>
      <c r="R815" s="13">
        <f t="shared" ca="1" si="186"/>
        <v>0</v>
      </c>
      <c r="S815" s="13">
        <f ca="1">ROUNDUP(($M815-$O815-$P815+$R815)*VLOOKUP($B815,Paraméterek!$B$38:$D$39,IF($D$2="Egyszeri",3,2))/12,IF($D$4="Forint",0,2))</f>
        <v>-1938</v>
      </c>
      <c r="T815" s="13"/>
      <c r="U815" s="13"/>
      <c r="V815" s="13">
        <f ca="1">$M815-$O815-$P815+$R815-$S815-IF(ROUNDUP(IF(ISBLANK($U815),$T815,$U815)/IF(AND($B815=1,$D$2&lt;&gt;"Egyszeri"),1,VLOOKUP($B815+IF($C815=12,1,0),Paraméterek!$B$257:$D$267,IF($D$2="Egyszeri",3,2))),IF($D$4="Forint",0,2))&gt;$M815-$O815-$P815+$R815-$S815-IF($D$4="Forint",Paraméterek!$C$216,Paraméterek!$D$216),0,ROUNDUP(IF(ISBLANK($U815),$T815,$U815)/IF(AND($B815=1,$D$2&lt;&gt;"Egyszeri"),1,VLOOKUP($B815+IF($C815=12,1,0),Paraméterek!$B$257:$D$267,IF($D$2="Egyszeri",3,2))),IF($D$4="Forint",0,2)))</f>
        <v>-791574</v>
      </c>
      <c r="W815" s="13">
        <f ca="1">ROUNDDOWN($V815*VLOOKUP($B815+IF($C815=12,1,0),Paraméterek!$B$257:$D$267,IF($D$2="Egyszeri",3,2)),IF($D$4="Forint",0,2))</f>
        <v>-791574</v>
      </c>
      <c r="Y815" s="32">
        <v>796</v>
      </c>
      <c r="Z815" s="32">
        <v>67</v>
      </c>
      <c r="AA815" s="32">
        <v>4</v>
      </c>
      <c r="AB815" s="13">
        <f t="shared" si="191"/>
        <v>0</v>
      </c>
      <c r="AC815" s="33"/>
      <c r="AD815" s="13">
        <f t="shared" si="187"/>
        <v>0</v>
      </c>
      <c r="AE815" s="13">
        <f>ROUNDUP(($AB815+$AD815)*VLOOKUP($Z815,Paraméterek!$P$38:$Q$38,2)/12,IF($D$4="Forint",0,2))</f>
        <v>0</v>
      </c>
      <c r="AF815" s="13">
        <f>IF($D$2="Egyszeri",IF($D$7&gt;=IF($D$4="Forint",Paraméterek!$P$223,Paraméterek!$P$224),$D$7-IF($D$4="Forint",Paraméterek!$F$223,Paraméterek!$F$224),0),MIN(IF($AA815=12,AVERAGE($D$20:$D815)*12,0),SUM($D$20:$D$31)))</f>
        <v>0</v>
      </c>
      <c r="AG815" s="13">
        <f>IF(AND($Z815&gt;=10,MOD($Z815,5)=0),$AF815*IF($AA815=12,VLOOKUP($Z815,Paraméterek!$B$225:$F$240,IF($AF815&lt;IF($D$4="Forint",Paraméterek!$C$223,Paraméterek!$C$224),2,IF($AF815&lt;IF($D$4="Forint",Paraméterek!$D$223,Paraméterek!$D$224),3,4))),0),0)</f>
        <v>0</v>
      </c>
      <c r="AH815" s="13">
        <f>IF(AND($Z815&gt;=5,MOD($Z815,5)=0),IF($AA815=12,VLOOKUP($Z815,Paraméterek!$B$225:$F$240,5),0),IF(OR($Z815=3,$Z815=4),IF($AA815=12,VLOOKUP($Z815,Paraméterek!$B$225:$F$240,5,0),0),0))*$AF815</f>
        <v>0</v>
      </c>
      <c r="AI815" s="13">
        <f>ROUNDDOWN(IF(SUM($T$20:$U815)=0,IF($D$2="Egyszeri",$AH815,$AG815),0),IF($D$4="Forint",0,2))</f>
        <v>0</v>
      </c>
      <c r="AJ815" s="13">
        <f t="shared" si="192"/>
        <v>0</v>
      </c>
      <c r="AK815" s="13">
        <f t="shared" si="193"/>
        <v>0</v>
      </c>
      <c r="AM815" s="32">
        <v>796</v>
      </c>
      <c r="AN815" s="32">
        <v>67</v>
      </c>
      <c r="AO815" s="32">
        <v>4</v>
      </c>
      <c r="AP815" s="13"/>
      <c r="AQ815" s="32"/>
      <c r="AR815" s="13">
        <f t="shared" si="194"/>
        <v>0</v>
      </c>
      <c r="AS815" s="33"/>
      <c r="AT815" s="13">
        <f t="shared" si="188"/>
        <v>0</v>
      </c>
      <c r="AU815" s="13">
        <f>ROUNDUP(($AR815+$AT815)*VLOOKUP($AN815,Paraméterek!$P$38:$Q$38,2)/12,IF($D$4="Forint",0,2))</f>
        <v>0</v>
      </c>
      <c r="AV815" s="13"/>
      <c r="AW815" s="13"/>
      <c r="AX815" s="13">
        <f>ROUNDUP(IF(SUM($AV815:$AW815)=0,0,IF(IF(ISBLANK($AW815),$AV815,$AW815)*Paraméterek!$J$112&lt;IF($D$4="Forint",Paraméterek!$J$113,Paraméterek!$K$113),IF($D$4="Forint",Paraméterek!$J$113,Paraméterek!$K$113),IF(IF(ISBLANK($AW815),$AV815,$AW815)*Paraméterek!$J$112&gt;IF($D$4="Forint",Paraméterek!$J$114,Paraméterek!$K$114),IF($D$4="Forint",Paraméterek!$J$114,Paraméterek!$K$114),IF(ISBLANK($AW815),$AV815,$AW815)*Paraméterek!$J$112))),IF($D$4="Forint",0,2))</f>
        <v>0</v>
      </c>
      <c r="AY815" s="13">
        <f>$AR815+$AT815-$AU815-IF(ROUNDDOWN(IF(ISBLANK($AW815),$AV815,$AW815),IF($D$4="Forint",0,2))&gt;$AR815+$AT815-$AU815-IF($D$4="Forint",Paraméterek!$J$114,Paraméterek!$K$114),0,ROUNDDOWN(IF(ISBLANK($AW815),$AV815,$AW815),IF($D$4="Forint",0,2))-$AX815)</f>
        <v>0</v>
      </c>
      <c r="AZ815" s="13">
        <f t="shared" si="189"/>
        <v>0</v>
      </c>
    </row>
    <row r="816" spans="1:52" x14ac:dyDescent="0.2">
      <c r="A816" s="32">
        <v>797</v>
      </c>
      <c r="B816" s="32">
        <v>67</v>
      </c>
      <c r="C816" s="32">
        <v>5</v>
      </c>
      <c r="D816" s="13">
        <f t="shared" si="180"/>
        <v>0</v>
      </c>
      <c r="E816" s="13"/>
      <c r="F816" s="13"/>
      <c r="G816" s="13"/>
      <c r="H816" s="13">
        <f t="shared" si="181"/>
        <v>0</v>
      </c>
      <c r="I816" s="13">
        <f t="shared" si="182"/>
        <v>0</v>
      </c>
      <c r="J816" s="13">
        <f t="shared" si="183"/>
        <v>0</v>
      </c>
      <c r="K816" s="13">
        <f>ROUNDUP(IF($D$2="Egyszeri",$D816,IF($D$2="Havi",SUM($D$20:$D$31),IF(MOD($C816,$M$1)-1=0,SUM($D$20:$D$31),0))/12*$M$1)*VLOOKUP($B816,Paraméterek!$B$27:$D$30,IF($D$2="Egyszeri",3,2)),IF($D$4="Forint",0,2))</f>
        <v>0</v>
      </c>
      <c r="L816" s="13">
        <f t="shared" si="184"/>
        <v>0</v>
      </c>
      <c r="M816" s="13">
        <f t="shared" ca="1" si="190"/>
        <v>-791574</v>
      </c>
      <c r="N816" s="13">
        <f ca="1">IF($V815&gt;=VLOOKUP($M$4-1+$B816,Paraméterek!$B$121:$D$122,IF($D$4="Forint",2,3)),0,VLOOKUP($M$4-1+$B816,Paraméterek!$B$121:$D$122,IF($D$4="Forint",2,3))-$V815)</f>
        <v>801574</v>
      </c>
      <c r="O816" s="13">
        <f ca="1">ROUNDUP($N816*Paraméterek!$C$58/Paraméterek!$C$56,IF($D$4="Forint",0,2))</f>
        <v>128</v>
      </c>
      <c r="P816" s="13">
        <f t="shared" si="185"/>
        <v>3870</v>
      </c>
      <c r="Q816" s="33"/>
      <c r="R816" s="13">
        <f t="shared" ca="1" si="186"/>
        <v>0</v>
      </c>
      <c r="S816" s="13">
        <f ca="1">ROUNDUP(($M816-$O816-$P816+$R816)*VLOOKUP($B816,Paraméterek!$B$38:$D$39,IF($D$2="Egyszeri",3,2))/12,IF($D$4="Forint",0,2))</f>
        <v>-1943</v>
      </c>
      <c r="T816" s="13"/>
      <c r="U816" s="13"/>
      <c r="V816" s="13">
        <f ca="1">$M816-$O816-$P816+$R816-$S816-IF(ROUNDUP(IF(ISBLANK($U816),$T816,$U816)/IF(AND($B816=1,$D$2&lt;&gt;"Egyszeri"),1,VLOOKUP($B816+IF($C816=12,1,0),Paraméterek!$B$257:$D$267,IF($D$2="Egyszeri",3,2))),IF($D$4="Forint",0,2))&gt;$M816-$O816-$P816+$R816-$S816-IF($D$4="Forint",Paraméterek!$C$216,Paraméterek!$D$216),0,ROUNDUP(IF(ISBLANK($U816),$T816,$U816)/IF(AND($B816=1,$D$2&lt;&gt;"Egyszeri"),1,VLOOKUP($B816+IF($C816=12,1,0),Paraméterek!$B$257:$D$267,IF($D$2="Egyszeri",3,2))),IF($D$4="Forint",0,2)))</f>
        <v>-793629</v>
      </c>
      <c r="W816" s="13">
        <f ca="1">ROUNDDOWN($V816*VLOOKUP($B816+IF($C816=12,1,0),Paraméterek!$B$257:$D$267,IF($D$2="Egyszeri",3,2)),IF($D$4="Forint",0,2))</f>
        <v>-793629</v>
      </c>
      <c r="Y816" s="32">
        <v>797</v>
      </c>
      <c r="Z816" s="32">
        <v>67</v>
      </c>
      <c r="AA816" s="32">
        <v>5</v>
      </c>
      <c r="AB816" s="13">
        <f t="shared" si="191"/>
        <v>0</v>
      </c>
      <c r="AC816" s="33"/>
      <c r="AD816" s="13">
        <f t="shared" si="187"/>
        <v>0</v>
      </c>
      <c r="AE816" s="13">
        <f>ROUNDUP(($AB816+$AD816)*VLOOKUP($Z816,Paraméterek!$P$38:$Q$38,2)/12,IF($D$4="Forint",0,2))</f>
        <v>0</v>
      </c>
      <c r="AF816" s="13">
        <f>IF($D$2="Egyszeri",IF($D$7&gt;=IF($D$4="Forint",Paraméterek!$P$223,Paraméterek!$P$224),$D$7-IF($D$4="Forint",Paraméterek!$F$223,Paraméterek!$F$224),0),MIN(IF($AA816=12,AVERAGE($D$20:$D816)*12,0),SUM($D$20:$D$31)))</f>
        <v>0</v>
      </c>
      <c r="AG816" s="13">
        <f>IF(AND($Z816&gt;=10,MOD($Z816,5)=0),$AF816*IF($AA816=12,VLOOKUP($Z816,Paraméterek!$B$225:$F$240,IF($AF816&lt;IF($D$4="Forint",Paraméterek!$C$223,Paraméterek!$C$224),2,IF($AF816&lt;IF($D$4="Forint",Paraméterek!$D$223,Paraméterek!$D$224),3,4))),0),0)</f>
        <v>0</v>
      </c>
      <c r="AH816" s="13">
        <f>IF(AND($Z816&gt;=5,MOD($Z816,5)=0),IF($AA816=12,VLOOKUP($Z816,Paraméterek!$B$225:$F$240,5),0),IF(OR($Z816=3,$Z816=4),IF($AA816=12,VLOOKUP($Z816,Paraméterek!$B$225:$F$240,5,0),0),0))*$AF816</f>
        <v>0</v>
      </c>
      <c r="AI816" s="13">
        <f>ROUNDDOWN(IF(SUM($T$20:$U816)=0,IF($D$2="Egyszeri",$AH816,$AG816),0),IF($D$4="Forint",0,2))</f>
        <v>0</v>
      </c>
      <c r="AJ816" s="13">
        <f t="shared" si="192"/>
        <v>0</v>
      </c>
      <c r="AK816" s="13">
        <f t="shared" si="193"/>
        <v>0</v>
      </c>
      <c r="AM816" s="32">
        <v>797</v>
      </c>
      <c r="AN816" s="32">
        <v>67</v>
      </c>
      <c r="AO816" s="32">
        <v>5</v>
      </c>
      <c r="AP816" s="13"/>
      <c r="AQ816" s="32"/>
      <c r="AR816" s="13">
        <f t="shared" si="194"/>
        <v>0</v>
      </c>
      <c r="AS816" s="33"/>
      <c r="AT816" s="13">
        <f t="shared" si="188"/>
        <v>0</v>
      </c>
      <c r="AU816" s="13">
        <f>ROUNDUP(($AR816+$AT816)*VLOOKUP($AN816,Paraméterek!$P$38:$Q$38,2)/12,IF($D$4="Forint",0,2))</f>
        <v>0</v>
      </c>
      <c r="AV816" s="13"/>
      <c r="AW816" s="13"/>
      <c r="AX816" s="13">
        <f>ROUNDUP(IF(SUM($AV816:$AW816)=0,0,IF(IF(ISBLANK($AW816),$AV816,$AW816)*Paraméterek!$J$112&lt;IF($D$4="Forint",Paraméterek!$J$113,Paraméterek!$K$113),IF($D$4="Forint",Paraméterek!$J$113,Paraméterek!$K$113),IF(IF(ISBLANK($AW816),$AV816,$AW816)*Paraméterek!$J$112&gt;IF($D$4="Forint",Paraméterek!$J$114,Paraméterek!$K$114),IF($D$4="Forint",Paraméterek!$J$114,Paraméterek!$K$114),IF(ISBLANK($AW816),$AV816,$AW816)*Paraméterek!$J$112))),IF($D$4="Forint",0,2))</f>
        <v>0</v>
      </c>
      <c r="AY816" s="13">
        <f>$AR816+$AT816-$AU816-IF(ROUNDDOWN(IF(ISBLANK($AW816),$AV816,$AW816),IF($D$4="Forint",0,2))&gt;$AR816+$AT816-$AU816-IF($D$4="Forint",Paraméterek!$J$114,Paraméterek!$K$114),0,ROUNDDOWN(IF(ISBLANK($AW816),$AV816,$AW816),IF($D$4="Forint",0,2))-$AX816)</f>
        <v>0</v>
      </c>
      <c r="AZ816" s="13">
        <f t="shared" si="189"/>
        <v>0</v>
      </c>
    </row>
    <row r="817" spans="1:52" x14ac:dyDescent="0.2">
      <c r="A817" s="32">
        <v>798</v>
      </c>
      <c r="B817" s="32">
        <v>67</v>
      </c>
      <c r="C817" s="32">
        <v>6</v>
      </c>
      <c r="D817" s="13">
        <f t="shared" si="180"/>
        <v>0</v>
      </c>
      <c r="E817" s="13"/>
      <c r="F817" s="13"/>
      <c r="G817" s="13"/>
      <c r="H817" s="13">
        <f t="shared" si="181"/>
        <v>0</v>
      </c>
      <c r="I817" s="13">
        <f t="shared" si="182"/>
        <v>0</v>
      </c>
      <c r="J817" s="13">
        <f t="shared" si="183"/>
        <v>0</v>
      </c>
      <c r="K817" s="13">
        <f>ROUNDUP(IF($D$2="Egyszeri",$D817,IF($D$2="Havi",SUM($D$20:$D$31),IF(MOD($C817,$M$1)-1=0,SUM($D$20:$D$31),0))/12*$M$1)*VLOOKUP($B817,Paraméterek!$B$27:$D$30,IF($D$2="Egyszeri",3,2)),IF($D$4="Forint",0,2))</f>
        <v>0</v>
      </c>
      <c r="L817" s="13">
        <f t="shared" si="184"/>
        <v>0</v>
      </c>
      <c r="M817" s="13">
        <f t="shared" ca="1" si="190"/>
        <v>-793629</v>
      </c>
      <c r="N817" s="13">
        <f ca="1">IF($V816&gt;=VLOOKUP($M$4-1+$B817,Paraméterek!$B$121:$D$122,IF($D$4="Forint",2,3)),0,VLOOKUP($M$4-1+$B817,Paraméterek!$B$121:$D$122,IF($D$4="Forint",2,3))-$V816)</f>
        <v>803629</v>
      </c>
      <c r="O817" s="13">
        <f ca="1">ROUNDUP($N817*Paraméterek!$C$58/Paraméterek!$C$56,IF($D$4="Forint",0,2))</f>
        <v>128</v>
      </c>
      <c r="P817" s="13">
        <f t="shared" si="185"/>
        <v>3870</v>
      </c>
      <c r="Q817" s="33"/>
      <c r="R817" s="13">
        <f t="shared" ca="1" si="186"/>
        <v>0</v>
      </c>
      <c r="S817" s="13">
        <f ca="1">ROUNDUP(($M817-$O817-$P817+$R817)*VLOOKUP($B817,Paraméterek!$B$38:$D$39,IF($D$2="Egyszeri",3,2))/12,IF($D$4="Forint",0,2))</f>
        <v>-1948</v>
      </c>
      <c r="T817" s="13"/>
      <c r="U817" s="13"/>
      <c r="V817" s="13">
        <f ca="1">$M817-$O817-$P817+$R817-$S817-IF(ROUNDUP(IF(ISBLANK($U817),$T817,$U817)/IF(AND($B817=1,$D$2&lt;&gt;"Egyszeri"),1,VLOOKUP($B817+IF($C817=12,1,0),Paraméterek!$B$257:$D$267,IF($D$2="Egyszeri",3,2))),IF($D$4="Forint",0,2))&gt;$M817-$O817-$P817+$R817-$S817-IF($D$4="Forint",Paraméterek!$C$216,Paraméterek!$D$216),0,ROUNDUP(IF(ISBLANK($U817),$T817,$U817)/IF(AND($B817=1,$D$2&lt;&gt;"Egyszeri"),1,VLOOKUP($B817+IF($C817=12,1,0),Paraméterek!$B$257:$D$267,IF($D$2="Egyszeri",3,2))),IF($D$4="Forint",0,2)))</f>
        <v>-795679</v>
      </c>
      <c r="W817" s="13">
        <f ca="1">ROUNDDOWN($V817*VLOOKUP($B817+IF($C817=12,1,0),Paraméterek!$B$257:$D$267,IF($D$2="Egyszeri",3,2)),IF($D$4="Forint",0,2))</f>
        <v>-795679</v>
      </c>
      <c r="Y817" s="32">
        <v>798</v>
      </c>
      <c r="Z817" s="32">
        <v>67</v>
      </c>
      <c r="AA817" s="32">
        <v>6</v>
      </c>
      <c r="AB817" s="13">
        <f t="shared" si="191"/>
        <v>0</v>
      </c>
      <c r="AC817" s="33"/>
      <c r="AD817" s="13">
        <f t="shared" si="187"/>
        <v>0</v>
      </c>
      <c r="AE817" s="13">
        <f>ROUNDUP(($AB817+$AD817)*VLOOKUP($Z817,Paraméterek!$P$38:$Q$38,2)/12,IF($D$4="Forint",0,2))</f>
        <v>0</v>
      </c>
      <c r="AF817" s="13">
        <f>IF($D$2="Egyszeri",IF($D$7&gt;=IF($D$4="Forint",Paraméterek!$P$223,Paraméterek!$P$224),$D$7-IF($D$4="Forint",Paraméterek!$F$223,Paraméterek!$F$224),0),MIN(IF($AA817=12,AVERAGE($D$20:$D817)*12,0),SUM($D$20:$D$31)))</f>
        <v>0</v>
      </c>
      <c r="AG817" s="13">
        <f>IF(AND($Z817&gt;=10,MOD($Z817,5)=0),$AF817*IF($AA817=12,VLOOKUP($Z817,Paraméterek!$B$225:$F$240,IF($AF817&lt;IF($D$4="Forint",Paraméterek!$C$223,Paraméterek!$C$224),2,IF($AF817&lt;IF($D$4="Forint",Paraméterek!$D$223,Paraméterek!$D$224),3,4))),0),0)</f>
        <v>0</v>
      </c>
      <c r="AH817" s="13">
        <f>IF(AND($Z817&gt;=5,MOD($Z817,5)=0),IF($AA817=12,VLOOKUP($Z817,Paraméterek!$B$225:$F$240,5),0),IF(OR($Z817=3,$Z817=4),IF($AA817=12,VLOOKUP($Z817,Paraméterek!$B$225:$F$240,5,0),0),0))*$AF817</f>
        <v>0</v>
      </c>
      <c r="AI817" s="13">
        <f>ROUNDDOWN(IF(SUM($T$20:$U817)=0,IF($D$2="Egyszeri",$AH817,$AG817),0),IF($D$4="Forint",0,2))</f>
        <v>0</v>
      </c>
      <c r="AJ817" s="13">
        <f t="shared" si="192"/>
        <v>0</v>
      </c>
      <c r="AK817" s="13">
        <f t="shared" si="193"/>
        <v>0</v>
      </c>
      <c r="AM817" s="32">
        <v>798</v>
      </c>
      <c r="AN817" s="32">
        <v>67</v>
      </c>
      <c r="AO817" s="32">
        <v>6</v>
      </c>
      <c r="AP817" s="13"/>
      <c r="AQ817" s="32"/>
      <c r="AR817" s="13">
        <f t="shared" si="194"/>
        <v>0</v>
      </c>
      <c r="AS817" s="33"/>
      <c r="AT817" s="13">
        <f t="shared" si="188"/>
        <v>0</v>
      </c>
      <c r="AU817" s="13">
        <f>ROUNDUP(($AR817+$AT817)*VLOOKUP($AN817,Paraméterek!$P$38:$Q$38,2)/12,IF($D$4="Forint",0,2))</f>
        <v>0</v>
      </c>
      <c r="AV817" s="13"/>
      <c r="AW817" s="13"/>
      <c r="AX817" s="13">
        <f>ROUNDUP(IF(SUM($AV817:$AW817)=0,0,IF(IF(ISBLANK($AW817),$AV817,$AW817)*Paraméterek!$J$112&lt;IF($D$4="Forint",Paraméterek!$J$113,Paraméterek!$K$113),IF($D$4="Forint",Paraméterek!$J$113,Paraméterek!$K$113),IF(IF(ISBLANK($AW817),$AV817,$AW817)*Paraméterek!$J$112&gt;IF($D$4="Forint",Paraméterek!$J$114,Paraméterek!$K$114),IF($D$4="Forint",Paraméterek!$J$114,Paraméterek!$K$114),IF(ISBLANK($AW817),$AV817,$AW817)*Paraméterek!$J$112))),IF($D$4="Forint",0,2))</f>
        <v>0</v>
      </c>
      <c r="AY817" s="13">
        <f>$AR817+$AT817-$AU817-IF(ROUNDDOWN(IF(ISBLANK($AW817),$AV817,$AW817),IF($D$4="Forint",0,2))&gt;$AR817+$AT817-$AU817-IF($D$4="Forint",Paraméterek!$J$114,Paraméterek!$K$114),0,ROUNDDOWN(IF(ISBLANK($AW817),$AV817,$AW817),IF($D$4="Forint",0,2))-$AX817)</f>
        <v>0</v>
      </c>
      <c r="AZ817" s="13">
        <f t="shared" si="189"/>
        <v>0</v>
      </c>
    </row>
    <row r="818" spans="1:52" x14ac:dyDescent="0.2">
      <c r="A818" s="32">
        <v>799</v>
      </c>
      <c r="B818" s="32">
        <v>67</v>
      </c>
      <c r="C818" s="32">
        <v>7</v>
      </c>
      <c r="D818" s="13">
        <f t="shared" si="180"/>
        <v>0</v>
      </c>
      <c r="E818" s="13"/>
      <c r="F818" s="13"/>
      <c r="G818" s="13"/>
      <c r="H818" s="13">
        <f t="shared" si="181"/>
        <v>0</v>
      </c>
      <c r="I818" s="13">
        <f t="shared" si="182"/>
        <v>0</v>
      </c>
      <c r="J818" s="13">
        <f t="shared" si="183"/>
        <v>0</v>
      </c>
      <c r="K818" s="13">
        <f>ROUNDUP(IF($D$2="Egyszeri",$D818,IF($D$2="Havi",SUM($D$20:$D$31),IF(MOD($C818,$M$1)-1=0,SUM($D$20:$D$31),0))/12*$M$1)*VLOOKUP($B818,Paraméterek!$B$27:$D$30,IF($D$2="Egyszeri",3,2)),IF($D$4="Forint",0,2))</f>
        <v>0</v>
      </c>
      <c r="L818" s="13">
        <f t="shared" si="184"/>
        <v>0</v>
      </c>
      <c r="M818" s="13">
        <f t="shared" ca="1" si="190"/>
        <v>-795679</v>
      </c>
      <c r="N818" s="13">
        <f ca="1">IF($V817&gt;=VLOOKUP($M$4-1+$B818,Paraméterek!$B$121:$D$122,IF($D$4="Forint",2,3)),0,VLOOKUP($M$4-1+$B818,Paraméterek!$B$121:$D$122,IF($D$4="Forint",2,3))-$V817)</f>
        <v>805679</v>
      </c>
      <c r="O818" s="13">
        <f ca="1">ROUNDUP($N818*Paraméterek!$C$58/Paraméterek!$C$56,IF($D$4="Forint",0,2))</f>
        <v>129</v>
      </c>
      <c r="P818" s="13">
        <f t="shared" si="185"/>
        <v>3870</v>
      </c>
      <c r="Q818" s="33"/>
      <c r="R818" s="13">
        <f t="shared" ca="1" si="186"/>
        <v>0</v>
      </c>
      <c r="S818" s="13">
        <f ca="1">ROUNDUP(($M818-$O818-$P818+$R818)*VLOOKUP($B818,Paraméterek!$B$38:$D$39,IF($D$2="Egyszeri",3,2))/12,IF($D$4="Forint",0,2))</f>
        <v>-1953</v>
      </c>
      <c r="T818" s="13"/>
      <c r="U818" s="13"/>
      <c r="V818" s="13">
        <f ca="1">$M818-$O818-$P818+$R818-$S818-IF(ROUNDUP(IF(ISBLANK($U818),$T818,$U818)/IF(AND($B818=1,$D$2&lt;&gt;"Egyszeri"),1,VLOOKUP($B818+IF($C818=12,1,0),Paraméterek!$B$257:$D$267,IF($D$2="Egyszeri",3,2))),IF($D$4="Forint",0,2))&gt;$M818-$O818-$P818+$R818-$S818-IF($D$4="Forint",Paraméterek!$C$216,Paraméterek!$D$216),0,ROUNDUP(IF(ISBLANK($U818),$T818,$U818)/IF(AND($B818=1,$D$2&lt;&gt;"Egyszeri"),1,VLOOKUP($B818+IF($C818=12,1,0),Paraméterek!$B$257:$D$267,IF($D$2="Egyszeri",3,2))),IF($D$4="Forint",0,2)))</f>
        <v>-797725</v>
      </c>
      <c r="W818" s="13">
        <f ca="1">ROUNDDOWN($V818*VLOOKUP($B818+IF($C818=12,1,0),Paraméterek!$B$257:$D$267,IF($D$2="Egyszeri",3,2)),IF($D$4="Forint",0,2))</f>
        <v>-797725</v>
      </c>
      <c r="Y818" s="32">
        <v>799</v>
      </c>
      <c r="Z818" s="32">
        <v>67</v>
      </c>
      <c r="AA818" s="32">
        <v>7</v>
      </c>
      <c r="AB818" s="13">
        <f t="shared" si="191"/>
        <v>0</v>
      </c>
      <c r="AC818" s="33"/>
      <c r="AD818" s="13">
        <f t="shared" si="187"/>
        <v>0</v>
      </c>
      <c r="AE818" s="13">
        <f>ROUNDUP(($AB818+$AD818)*VLOOKUP($Z818,Paraméterek!$P$38:$Q$38,2)/12,IF($D$4="Forint",0,2))</f>
        <v>0</v>
      </c>
      <c r="AF818" s="13">
        <f>IF($D$2="Egyszeri",IF($D$7&gt;=IF($D$4="Forint",Paraméterek!$P$223,Paraméterek!$P$224),$D$7-IF($D$4="Forint",Paraméterek!$F$223,Paraméterek!$F$224),0),MIN(IF($AA818=12,AVERAGE($D$20:$D818)*12,0),SUM($D$20:$D$31)))</f>
        <v>0</v>
      </c>
      <c r="AG818" s="13">
        <f>IF(AND($Z818&gt;=10,MOD($Z818,5)=0),$AF818*IF($AA818=12,VLOOKUP($Z818,Paraméterek!$B$225:$F$240,IF($AF818&lt;IF($D$4="Forint",Paraméterek!$C$223,Paraméterek!$C$224),2,IF($AF818&lt;IF($D$4="Forint",Paraméterek!$D$223,Paraméterek!$D$224),3,4))),0),0)</f>
        <v>0</v>
      </c>
      <c r="AH818" s="13">
        <f>IF(AND($Z818&gt;=5,MOD($Z818,5)=0),IF($AA818=12,VLOOKUP($Z818,Paraméterek!$B$225:$F$240,5),0),IF(OR($Z818=3,$Z818=4),IF($AA818=12,VLOOKUP($Z818,Paraméterek!$B$225:$F$240,5,0),0),0))*$AF818</f>
        <v>0</v>
      </c>
      <c r="AI818" s="13">
        <f>ROUNDDOWN(IF(SUM($T$20:$U818)=0,IF($D$2="Egyszeri",$AH818,$AG818),0),IF($D$4="Forint",0,2))</f>
        <v>0</v>
      </c>
      <c r="AJ818" s="13">
        <f t="shared" si="192"/>
        <v>0</v>
      </c>
      <c r="AK818" s="13">
        <f t="shared" si="193"/>
        <v>0</v>
      </c>
      <c r="AM818" s="32">
        <v>799</v>
      </c>
      <c r="AN818" s="32">
        <v>67</v>
      </c>
      <c r="AO818" s="32">
        <v>7</v>
      </c>
      <c r="AP818" s="13"/>
      <c r="AQ818" s="32"/>
      <c r="AR818" s="13">
        <f t="shared" si="194"/>
        <v>0</v>
      </c>
      <c r="AS818" s="33"/>
      <c r="AT818" s="13">
        <f t="shared" si="188"/>
        <v>0</v>
      </c>
      <c r="AU818" s="13">
        <f>ROUNDUP(($AR818+$AT818)*VLOOKUP($AN818,Paraméterek!$P$38:$Q$38,2)/12,IF($D$4="Forint",0,2))</f>
        <v>0</v>
      </c>
      <c r="AV818" s="13"/>
      <c r="AW818" s="13"/>
      <c r="AX818" s="13">
        <f>ROUNDUP(IF(SUM($AV818:$AW818)=0,0,IF(IF(ISBLANK($AW818),$AV818,$AW818)*Paraméterek!$J$112&lt;IF($D$4="Forint",Paraméterek!$J$113,Paraméterek!$K$113),IF($D$4="Forint",Paraméterek!$J$113,Paraméterek!$K$113),IF(IF(ISBLANK($AW818),$AV818,$AW818)*Paraméterek!$J$112&gt;IF($D$4="Forint",Paraméterek!$J$114,Paraméterek!$K$114),IF($D$4="Forint",Paraméterek!$J$114,Paraméterek!$K$114),IF(ISBLANK($AW818),$AV818,$AW818)*Paraméterek!$J$112))),IF($D$4="Forint",0,2))</f>
        <v>0</v>
      </c>
      <c r="AY818" s="13">
        <f>$AR818+$AT818-$AU818-IF(ROUNDDOWN(IF(ISBLANK($AW818),$AV818,$AW818),IF($D$4="Forint",0,2))&gt;$AR818+$AT818-$AU818-IF($D$4="Forint",Paraméterek!$J$114,Paraméterek!$K$114),0,ROUNDDOWN(IF(ISBLANK($AW818),$AV818,$AW818),IF($D$4="Forint",0,2))-$AX818)</f>
        <v>0</v>
      </c>
      <c r="AZ818" s="13">
        <f t="shared" si="189"/>
        <v>0</v>
      </c>
    </row>
    <row r="819" spans="1:52" x14ac:dyDescent="0.2">
      <c r="A819" s="32">
        <v>800</v>
      </c>
      <c r="B819" s="32">
        <v>67</v>
      </c>
      <c r="C819" s="32">
        <v>8</v>
      </c>
      <c r="D819" s="13">
        <f t="shared" si="180"/>
        <v>0</v>
      </c>
      <c r="E819" s="13"/>
      <c r="F819" s="13"/>
      <c r="G819" s="13"/>
      <c r="H819" s="13">
        <f t="shared" si="181"/>
        <v>0</v>
      </c>
      <c r="I819" s="13">
        <f t="shared" si="182"/>
        <v>0</v>
      </c>
      <c r="J819" s="13">
        <f t="shared" si="183"/>
        <v>0</v>
      </c>
      <c r="K819" s="13">
        <f>ROUNDUP(IF($D$2="Egyszeri",$D819,IF($D$2="Havi",SUM($D$20:$D$31),IF(MOD($C819,$M$1)-1=0,SUM($D$20:$D$31),0))/12*$M$1)*VLOOKUP($B819,Paraméterek!$B$27:$D$30,IF($D$2="Egyszeri",3,2)),IF($D$4="Forint",0,2))</f>
        <v>0</v>
      </c>
      <c r="L819" s="13">
        <f t="shared" si="184"/>
        <v>0</v>
      </c>
      <c r="M819" s="13">
        <f t="shared" ca="1" si="190"/>
        <v>-797725</v>
      </c>
      <c r="N819" s="13">
        <f ca="1">IF($V818&gt;=VLOOKUP($M$4-1+$B819,Paraméterek!$B$121:$D$122,IF($D$4="Forint",2,3)),0,VLOOKUP($M$4-1+$B819,Paraméterek!$B$121:$D$122,IF($D$4="Forint",2,3))-$V818)</f>
        <v>807725</v>
      </c>
      <c r="O819" s="13">
        <f ca="1">ROUNDUP($N819*Paraméterek!$C$58/Paraméterek!$C$56,IF($D$4="Forint",0,2))</f>
        <v>129</v>
      </c>
      <c r="P819" s="13">
        <f t="shared" si="185"/>
        <v>3870</v>
      </c>
      <c r="Q819" s="33"/>
      <c r="R819" s="13">
        <f t="shared" ca="1" si="186"/>
        <v>0</v>
      </c>
      <c r="S819" s="13">
        <f ca="1">ROUNDUP(($M819-$O819-$P819+$R819)*VLOOKUP($B819,Paraméterek!$B$38:$D$39,IF($D$2="Egyszeri",3,2))/12,IF($D$4="Forint",0,2))</f>
        <v>-1958</v>
      </c>
      <c r="T819" s="13"/>
      <c r="U819" s="13"/>
      <c r="V819" s="13">
        <f ca="1">$M819-$O819-$P819+$R819-$S819-IF(ROUNDUP(IF(ISBLANK($U819),$T819,$U819)/IF(AND($B819=1,$D$2&lt;&gt;"Egyszeri"),1,VLOOKUP($B819+IF($C819=12,1,0),Paraméterek!$B$257:$D$267,IF($D$2="Egyszeri",3,2))),IF($D$4="Forint",0,2))&gt;$M819-$O819-$P819+$R819-$S819-IF($D$4="Forint",Paraméterek!$C$216,Paraméterek!$D$216),0,ROUNDUP(IF(ISBLANK($U819),$T819,$U819)/IF(AND($B819=1,$D$2&lt;&gt;"Egyszeri"),1,VLOOKUP($B819+IF($C819=12,1,0),Paraméterek!$B$257:$D$267,IF($D$2="Egyszeri",3,2))),IF($D$4="Forint",0,2)))</f>
        <v>-799766</v>
      </c>
      <c r="W819" s="13">
        <f ca="1">ROUNDDOWN($V819*VLOOKUP($B819+IF($C819=12,1,0),Paraméterek!$B$257:$D$267,IF($D$2="Egyszeri",3,2)),IF($D$4="Forint",0,2))</f>
        <v>-799766</v>
      </c>
      <c r="Y819" s="32">
        <v>800</v>
      </c>
      <c r="Z819" s="32">
        <v>67</v>
      </c>
      <c r="AA819" s="32">
        <v>8</v>
      </c>
      <c r="AB819" s="13">
        <f t="shared" si="191"/>
        <v>0</v>
      </c>
      <c r="AC819" s="33"/>
      <c r="AD819" s="13">
        <f t="shared" si="187"/>
        <v>0</v>
      </c>
      <c r="AE819" s="13">
        <f>ROUNDUP(($AB819+$AD819)*VLOOKUP($Z819,Paraméterek!$P$38:$Q$38,2)/12,IF($D$4="Forint",0,2))</f>
        <v>0</v>
      </c>
      <c r="AF819" s="13">
        <f>IF($D$2="Egyszeri",IF($D$7&gt;=IF($D$4="Forint",Paraméterek!$P$223,Paraméterek!$P$224),$D$7-IF($D$4="Forint",Paraméterek!$F$223,Paraméterek!$F$224),0),MIN(IF($AA819=12,AVERAGE($D$20:$D819)*12,0),SUM($D$20:$D$31)))</f>
        <v>0</v>
      </c>
      <c r="AG819" s="13">
        <f>IF(AND($Z819&gt;=10,MOD($Z819,5)=0),$AF819*IF($AA819=12,VLOOKUP($Z819,Paraméterek!$B$225:$F$240,IF($AF819&lt;IF($D$4="Forint",Paraméterek!$C$223,Paraméterek!$C$224),2,IF($AF819&lt;IF($D$4="Forint",Paraméterek!$D$223,Paraméterek!$D$224),3,4))),0),0)</f>
        <v>0</v>
      </c>
      <c r="AH819" s="13">
        <f>IF(AND($Z819&gt;=5,MOD($Z819,5)=0),IF($AA819=12,VLOOKUP($Z819,Paraméterek!$B$225:$F$240,5),0),IF(OR($Z819=3,$Z819=4),IF($AA819=12,VLOOKUP($Z819,Paraméterek!$B$225:$F$240,5,0),0),0))*$AF819</f>
        <v>0</v>
      </c>
      <c r="AI819" s="13">
        <f>ROUNDDOWN(IF(SUM($T$20:$U819)=0,IF($D$2="Egyszeri",$AH819,$AG819),0),IF($D$4="Forint",0,2))</f>
        <v>0</v>
      </c>
      <c r="AJ819" s="13">
        <f t="shared" si="192"/>
        <v>0</v>
      </c>
      <c r="AK819" s="13">
        <f t="shared" si="193"/>
        <v>0</v>
      </c>
      <c r="AM819" s="32">
        <v>800</v>
      </c>
      <c r="AN819" s="32">
        <v>67</v>
      </c>
      <c r="AO819" s="32">
        <v>8</v>
      </c>
      <c r="AP819" s="13"/>
      <c r="AQ819" s="32"/>
      <c r="AR819" s="13">
        <f t="shared" si="194"/>
        <v>0</v>
      </c>
      <c r="AS819" s="33"/>
      <c r="AT819" s="13">
        <f t="shared" si="188"/>
        <v>0</v>
      </c>
      <c r="AU819" s="13">
        <f>ROUNDUP(($AR819+$AT819)*VLOOKUP($AN819,Paraméterek!$P$38:$Q$38,2)/12,IF($D$4="Forint",0,2))</f>
        <v>0</v>
      </c>
      <c r="AV819" s="13"/>
      <c r="AW819" s="13"/>
      <c r="AX819" s="13">
        <f>ROUNDUP(IF(SUM($AV819:$AW819)=0,0,IF(IF(ISBLANK($AW819),$AV819,$AW819)*Paraméterek!$J$112&lt;IF($D$4="Forint",Paraméterek!$J$113,Paraméterek!$K$113),IF($D$4="Forint",Paraméterek!$J$113,Paraméterek!$K$113),IF(IF(ISBLANK($AW819),$AV819,$AW819)*Paraméterek!$J$112&gt;IF($D$4="Forint",Paraméterek!$J$114,Paraméterek!$K$114),IF($D$4="Forint",Paraméterek!$J$114,Paraméterek!$K$114),IF(ISBLANK($AW819),$AV819,$AW819)*Paraméterek!$J$112))),IF($D$4="Forint",0,2))</f>
        <v>0</v>
      </c>
      <c r="AY819" s="13">
        <f>$AR819+$AT819-$AU819-IF(ROUNDDOWN(IF(ISBLANK($AW819),$AV819,$AW819),IF($D$4="Forint",0,2))&gt;$AR819+$AT819-$AU819-IF($D$4="Forint",Paraméterek!$J$114,Paraméterek!$K$114),0,ROUNDDOWN(IF(ISBLANK($AW819),$AV819,$AW819),IF($D$4="Forint",0,2))-$AX819)</f>
        <v>0</v>
      </c>
      <c r="AZ819" s="13">
        <f t="shared" si="189"/>
        <v>0</v>
      </c>
    </row>
    <row r="820" spans="1:52" x14ac:dyDescent="0.2">
      <c r="A820" s="32">
        <v>801</v>
      </c>
      <c r="B820" s="32">
        <v>67</v>
      </c>
      <c r="C820" s="32">
        <v>9</v>
      </c>
      <c r="D820" s="13">
        <f t="shared" si="180"/>
        <v>0</v>
      </c>
      <c r="E820" s="13"/>
      <c r="F820" s="13"/>
      <c r="G820" s="13"/>
      <c r="H820" s="13">
        <f t="shared" si="181"/>
        <v>0</v>
      </c>
      <c r="I820" s="13">
        <f t="shared" si="182"/>
        <v>0</v>
      </c>
      <c r="J820" s="13">
        <f t="shared" si="183"/>
        <v>0</v>
      </c>
      <c r="K820" s="13">
        <f>ROUNDUP(IF($D$2="Egyszeri",$D820,IF($D$2="Havi",SUM($D$20:$D$31),IF(MOD($C820,$M$1)-1=0,SUM($D$20:$D$31),0))/12*$M$1)*VLOOKUP($B820,Paraméterek!$B$27:$D$30,IF($D$2="Egyszeri",3,2)),IF($D$4="Forint",0,2))</f>
        <v>0</v>
      </c>
      <c r="L820" s="13">
        <f t="shared" si="184"/>
        <v>0</v>
      </c>
      <c r="M820" s="13">
        <f t="shared" ca="1" si="190"/>
        <v>-799766</v>
      </c>
      <c r="N820" s="13">
        <f ca="1">IF($V819&gt;=VLOOKUP($M$4-1+$B820,Paraméterek!$B$121:$D$122,IF($D$4="Forint",2,3)),0,VLOOKUP($M$4-1+$B820,Paraméterek!$B$121:$D$122,IF($D$4="Forint",2,3))-$V819)</f>
        <v>809766</v>
      </c>
      <c r="O820" s="13">
        <f ca="1">ROUNDUP($N820*Paraméterek!$C$58/Paraméterek!$C$56,IF($D$4="Forint",0,2))</f>
        <v>129</v>
      </c>
      <c r="P820" s="13">
        <f t="shared" si="185"/>
        <v>3870</v>
      </c>
      <c r="Q820" s="33"/>
      <c r="R820" s="13">
        <f t="shared" ca="1" si="186"/>
        <v>0</v>
      </c>
      <c r="S820" s="13">
        <f ca="1">ROUNDUP(($M820-$O820-$P820+$R820)*VLOOKUP($B820,Paraméterek!$B$38:$D$39,IF($D$2="Egyszeri",3,2))/12,IF($D$4="Forint",0,2))</f>
        <v>-1963</v>
      </c>
      <c r="T820" s="13"/>
      <c r="U820" s="13"/>
      <c r="V820" s="13">
        <f ca="1">$M820-$O820-$P820+$R820-$S820-IF(ROUNDUP(IF(ISBLANK($U820),$T820,$U820)/IF(AND($B820=1,$D$2&lt;&gt;"Egyszeri"),1,VLOOKUP($B820+IF($C820=12,1,0),Paraméterek!$B$257:$D$267,IF($D$2="Egyszeri",3,2))),IF($D$4="Forint",0,2))&gt;$M820-$O820-$P820+$R820-$S820-IF($D$4="Forint",Paraméterek!$C$216,Paraméterek!$D$216),0,ROUNDUP(IF(ISBLANK($U820),$T820,$U820)/IF(AND($B820=1,$D$2&lt;&gt;"Egyszeri"),1,VLOOKUP($B820+IF($C820=12,1,0),Paraméterek!$B$257:$D$267,IF($D$2="Egyszeri",3,2))),IF($D$4="Forint",0,2)))</f>
        <v>-801802</v>
      </c>
      <c r="W820" s="13">
        <f ca="1">ROUNDDOWN($V820*VLOOKUP($B820+IF($C820=12,1,0),Paraméterek!$B$257:$D$267,IF($D$2="Egyszeri",3,2)),IF($D$4="Forint",0,2))</f>
        <v>-801802</v>
      </c>
      <c r="Y820" s="32">
        <v>801</v>
      </c>
      <c r="Z820" s="32">
        <v>67</v>
      </c>
      <c r="AA820" s="32">
        <v>9</v>
      </c>
      <c r="AB820" s="13">
        <f t="shared" si="191"/>
        <v>0</v>
      </c>
      <c r="AC820" s="33"/>
      <c r="AD820" s="13">
        <f t="shared" si="187"/>
        <v>0</v>
      </c>
      <c r="AE820" s="13">
        <f>ROUNDUP(($AB820+$AD820)*VLOOKUP($Z820,Paraméterek!$P$38:$Q$38,2)/12,IF($D$4="Forint",0,2))</f>
        <v>0</v>
      </c>
      <c r="AF820" s="13">
        <f>IF($D$2="Egyszeri",IF($D$7&gt;=IF($D$4="Forint",Paraméterek!$P$223,Paraméterek!$P$224),$D$7-IF($D$4="Forint",Paraméterek!$F$223,Paraméterek!$F$224),0),MIN(IF($AA820=12,AVERAGE($D$20:$D820)*12,0),SUM($D$20:$D$31)))</f>
        <v>0</v>
      </c>
      <c r="AG820" s="13">
        <f>IF(AND($Z820&gt;=10,MOD($Z820,5)=0),$AF820*IF($AA820=12,VLOOKUP($Z820,Paraméterek!$B$225:$F$240,IF($AF820&lt;IF($D$4="Forint",Paraméterek!$C$223,Paraméterek!$C$224),2,IF($AF820&lt;IF($D$4="Forint",Paraméterek!$D$223,Paraméterek!$D$224),3,4))),0),0)</f>
        <v>0</v>
      </c>
      <c r="AH820" s="13">
        <f>IF(AND($Z820&gt;=5,MOD($Z820,5)=0),IF($AA820=12,VLOOKUP($Z820,Paraméterek!$B$225:$F$240,5),0),IF(OR($Z820=3,$Z820=4),IF($AA820=12,VLOOKUP($Z820,Paraméterek!$B$225:$F$240,5,0),0),0))*$AF820</f>
        <v>0</v>
      </c>
      <c r="AI820" s="13">
        <f>ROUNDDOWN(IF(SUM($T$20:$U820)=0,IF($D$2="Egyszeri",$AH820,$AG820),0),IF($D$4="Forint",0,2))</f>
        <v>0</v>
      </c>
      <c r="AJ820" s="13">
        <f t="shared" si="192"/>
        <v>0</v>
      </c>
      <c r="AK820" s="13">
        <f t="shared" si="193"/>
        <v>0</v>
      </c>
      <c r="AM820" s="32">
        <v>801</v>
      </c>
      <c r="AN820" s="32">
        <v>67</v>
      </c>
      <c r="AO820" s="32">
        <v>9</v>
      </c>
      <c r="AP820" s="13"/>
      <c r="AQ820" s="32"/>
      <c r="AR820" s="13">
        <f t="shared" si="194"/>
        <v>0</v>
      </c>
      <c r="AS820" s="33"/>
      <c r="AT820" s="13">
        <f t="shared" si="188"/>
        <v>0</v>
      </c>
      <c r="AU820" s="13">
        <f>ROUNDUP(($AR820+$AT820)*VLOOKUP($AN820,Paraméterek!$P$38:$Q$38,2)/12,IF($D$4="Forint",0,2))</f>
        <v>0</v>
      </c>
      <c r="AV820" s="13"/>
      <c r="AW820" s="13"/>
      <c r="AX820" s="13">
        <f>ROUNDUP(IF(SUM($AV820:$AW820)=0,0,IF(IF(ISBLANK($AW820),$AV820,$AW820)*Paraméterek!$J$112&lt;IF($D$4="Forint",Paraméterek!$J$113,Paraméterek!$K$113),IF($D$4="Forint",Paraméterek!$J$113,Paraméterek!$K$113),IF(IF(ISBLANK($AW820),$AV820,$AW820)*Paraméterek!$J$112&gt;IF($D$4="Forint",Paraméterek!$J$114,Paraméterek!$K$114),IF($D$4="Forint",Paraméterek!$J$114,Paraméterek!$K$114),IF(ISBLANK($AW820),$AV820,$AW820)*Paraméterek!$J$112))),IF($D$4="Forint",0,2))</f>
        <v>0</v>
      </c>
      <c r="AY820" s="13">
        <f>$AR820+$AT820-$AU820-IF(ROUNDDOWN(IF(ISBLANK($AW820),$AV820,$AW820),IF($D$4="Forint",0,2))&gt;$AR820+$AT820-$AU820-IF($D$4="Forint",Paraméterek!$J$114,Paraméterek!$K$114),0,ROUNDDOWN(IF(ISBLANK($AW820),$AV820,$AW820),IF($D$4="Forint",0,2))-$AX820)</f>
        <v>0</v>
      </c>
      <c r="AZ820" s="13">
        <f t="shared" si="189"/>
        <v>0</v>
      </c>
    </row>
    <row r="821" spans="1:52" x14ac:dyDescent="0.2">
      <c r="A821" s="32">
        <v>802</v>
      </c>
      <c r="B821" s="32">
        <v>67</v>
      </c>
      <c r="C821" s="32">
        <v>10</v>
      </c>
      <c r="D821" s="13">
        <f t="shared" si="180"/>
        <v>0</v>
      </c>
      <c r="E821" s="13"/>
      <c r="F821" s="13"/>
      <c r="G821" s="13"/>
      <c r="H821" s="13">
        <f t="shared" si="181"/>
        <v>0</v>
      </c>
      <c r="I821" s="13">
        <f t="shared" si="182"/>
        <v>0</v>
      </c>
      <c r="J821" s="13">
        <f t="shared" si="183"/>
        <v>0</v>
      </c>
      <c r="K821" s="13">
        <f>ROUNDUP(IF($D$2="Egyszeri",$D821,IF($D$2="Havi",SUM($D$20:$D$31),IF(MOD($C821,$M$1)-1=0,SUM($D$20:$D$31),0))/12*$M$1)*VLOOKUP($B821,Paraméterek!$B$27:$D$30,IF($D$2="Egyszeri",3,2)),IF($D$4="Forint",0,2))</f>
        <v>0</v>
      </c>
      <c r="L821" s="13">
        <f t="shared" si="184"/>
        <v>0</v>
      </c>
      <c r="M821" s="13">
        <f t="shared" ca="1" si="190"/>
        <v>-801802</v>
      </c>
      <c r="N821" s="13">
        <f ca="1">IF($V820&gt;=VLOOKUP($M$4-1+$B821,Paraméterek!$B$121:$D$122,IF($D$4="Forint",2,3)),0,VLOOKUP($M$4-1+$B821,Paraméterek!$B$121:$D$122,IF($D$4="Forint",2,3))-$V820)</f>
        <v>811802</v>
      </c>
      <c r="O821" s="13">
        <f ca="1">ROUNDUP($N821*Paraméterek!$C$58/Paraméterek!$C$56,IF($D$4="Forint",0,2))</f>
        <v>130</v>
      </c>
      <c r="P821" s="13">
        <f t="shared" si="185"/>
        <v>3870</v>
      </c>
      <c r="Q821" s="33"/>
      <c r="R821" s="13">
        <f t="shared" ca="1" si="186"/>
        <v>0</v>
      </c>
      <c r="S821" s="13">
        <f ca="1">ROUNDUP(($M821-$O821-$P821+$R821)*VLOOKUP($B821,Paraméterek!$B$38:$D$39,IF($D$2="Egyszeri",3,2))/12,IF($D$4="Forint",0,2))</f>
        <v>-1968</v>
      </c>
      <c r="T821" s="13"/>
      <c r="U821" s="13"/>
      <c r="V821" s="13">
        <f ca="1">$M821-$O821-$P821+$R821-$S821-IF(ROUNDUP(IF(ISBLANK($U821),$T821,$U821)/IF(AND($B821=1,$D$2&lt;&gt;"Egyszeri"),1,VLOOKUP($B821+IF($C821=12,1,0),Paraméterek!$B$257:$D$267,IF($D$2="Egyszeri",3,2))),IF($D$4="Forint",0,2))&gt;$M821-$O821-$P821+$R821-$S821-IF($D$4="Forint",Paraméterek!$C$216,Paraméterek!$D$216),0,ROUNDUP(IF(ISBLANK($U821),$T821,$U821)/IF(AND($B821=1,$D$2&lt;&gt;"Egyszeri"),1,VLOOKUP($B821+IF($C821=12,1,0),Paraméterek!$B$257:$D$267,IF($D$2="Egyszeri",3,2))),IF($D$4="Forint",0,2)))</f>
        <v>-803834</v>
      </c>
      <c r="W821" s="13">
        <f ca="1">ROUNDDOWN($V821*VLOOKUP($B821+IF($C821=12,1,0),Paraméterek!$B$257:$D$267,IF($D$2="Egyszeri",3,2)),IF($D$4="Forint",0,2))</f>
        <v>-803834</v>
      </c>
      <c r="Y821" s="32">
        <v>802</v>
      </c>
      <c r="Z821" s="32">
        <v>67</v>
      </c>
      <c r="AA821" s="32">
        <v>10</v>
      </c>
      <c r="AB821" s="13">
        <f t="shared" si="191"/>
        <v>0</v>
      </c>
      <c r="AC821" s="33"/>
      <c r="AD821" s="13">
        <f t="shared" si="187"/>
        <v>0</v>
      </c>
      <c r="AE821" s="13">
        <f>ROUNDUP(($AB821+$AD821)*VLOOKUP($Z821,Paraméterek!$P$38:$Q$38,2)/12,IF($D$4="Forint",0,2))</f>
        <v>0</v>
      </c>
      <c r="AF821" s="13">
        <f>IF($D$2="Egyszeri",IF($D$7&gt;=IF($D$4="Forint",Paraméterek!$P$223,Paraméterek!$P$224),$D$7-IF($D$4="Forint",Paraméterek!$F$223,Paraméterek!$F$224),0),MIN(IF($AA821=12,AVERAGE($D$20:$D821)*12,0),SUM($D$20:$D$31)))</f>
        <v>0</v>
      </c>
      <c r="AG821" s="13">
        <f>IF(AND($Z821&gt;=10,MOD($Z821,5)=0),$AF821*IF($AA821=12,VLOOKUP($Z821,Paraméterek!$B$225:$F$240,IF($AF821&lt;IF($D$4="Forint",Paraméterek!$C$223,Paraméterek!$C$224),2,IF($AF821&lt;IF($D$4="Forint",Paraméterek!$D$223,Paraméterek!$D$224),3,4))),0),0)</f>
        <v>0</v>
      </c>
      <c r="AH821" s="13">
        <f>IF(AND($Z821&gt;=5,MOD($Z821,5)=0),IF($AA821=12,VLOOKUP($Z821,Paraméterek!$B$225:$F$240,5),0),IF(OR($Z821=3,$Z821=4),IF($AA821=12,VLOOKUP($Z821,Paraméterek!$B$225:$F$240,5,0),0),0))*$AF821</f>
        <v>0</v>
      </c>
      <c r="AI821" s="13">
        <f>ROUNDDOWN(IF(SUM($T$20:$U821)=0,IF($D$2="Egyszeri",$AH821,$AG821),0),IF($D$4="Forint",0,2))</f>
        <v>0</v>
      </c>
      <c r="AJ821" s="13">
        <f t="shared" si="192"/>
        <v>0</v>
      </c>
      <c r="AK821" s="13">
        <f t="shared" si="193"/>
        <v>0</v>
      </c>
      <c r="AM821" s="32">
        <v>802</v>
      </c>
      <c r="AN821" s="32">
        <v>67</v>
      </c>
      <c r="AO821" s="32">
        <v>10</v>
      </c>
      <c r="AP821" s="13"/>
      <c r="AQ821" s="32"/>
      <c r="AR821" s="13">
        <f t="shared" si="194"/>
        <v>0</v>
      </c>
      <c r="AS821" s="33"/>
      <c r="AT821" s="13">
        <f t="shared" si="188"/>
        <v>0</v>
      </c>
      <c r="AU821" s="13">
        <f>ROUNDUP(($AR821+$AT821)*VLOOKUP($AN821,Paraméterek!$P$38:$Q$38,2)/12,IF($D$4="Forint",0,2))</f>
        <v>0</v>
      </c>
      <c r="AV821" s="13"/>
      <c r="AW821" s="13"/>
      <c r="AX821" s="13">
        <f>ROUNDUP(IF(SUM($AV821:$AW821)=0,0,IF(IF(ISBLANK($AW821),$AV821,$AW821)*Paraméterek!$J$112&lt;IF($D$4="Forint",Paraméterek!$J$113,Paraméterek!$K$113),IF($D$4="Forint",Paraméterek!$J$113,Paraméterek!$K$113),IF(IF(ISBLANK($AW821),$AV821,$AW821)*Paraméterek!$J$112&gt;IF($D$4="Forint",Paraméterek!$J$114,Paraméterek!$K$114),IF($D$4="Forint",Paraméterek!$J$114,Paraméterek!$K$114),IF(ISBLANK($AW821),$AV821,$AW821)*Paraméterek!$J$112))),IF($D$4="Forint",0,2))</f>
        <v>0</v>
      </c>
      <c r="AY821" s="13">
        <f>$AR821+$AT821-$AU821-IF(ROUNDDOWN(IF(ISBLANK($AW821),$AV821,$AW821),IF($D$4="Forint",0,2))&gt;$AR821+$AT821-$AU821-IF($D$4="Forint",Paraméterek!$J$114,Paraméterek!$K$114),0,ROUNDDOWN(IF(ISBLANK($AW821),$AV821,$AW821),IF($D$4="Forint",0,2))-$AX821)</f>
        <v>0</v>
      </c>
      <c r="AZ821" s="13">
        <f t="shared" si="189"/>
        <v>0</v>
      </c>
    </row>
    <row r="822" spans="1:52" x14ac:dyDescent="0.2">
      <c r="A822" s="32">
        <v>803</v>
      </c>
      <c r="B822" s="32">
        <v>67</v>
      </c>
      <c r="C822" s="32">
        <v>11</v>
      </c>
      <c r="D822" s="13">
        <f t="shared" si="180"/>
        <v>0</v>
      </c>
      <c r="E822" s="13"/>
      <c r="F822" s="13"/>
      <c r="G822" s="13"/>
      <c r="H822" s="13">
        <f t="shared" si="181"/>
        <v>0</v>
      </c>
      <c r="I822" s="13">
        <f t="shared" si="182"/>
        <v>0</v>
      </c>
      <c r="J822" s="13">
        <f t="shared" si="183"/>
        <v>0</v>
      </c>
      <c r="K822" s="13">
        <f>ROUNDUP(IF($D$2="Egyszeri",$D822,IF($D$2="Havi",SUM($D$20:$D$31),IF(MOD($C822,$M$1)-1=0,SUM($D$20:$D$31),0))/12*$M$1)*VLOOKUP($B822,Paraméterek!$B$27:$D$30,IF($D$2="Egyszeri",3,2)),IF($D$4="Forint",0,2))</f>
        <v>0</v>
      </c>
      <c r="L822" s="13">
        <f t="shared" si="184"/>
        <v>0</v>
      </c>
      <c r="M822" s="13">
        <f t="shared" ca="1" si="190"/>
        <v>-803834</v>
      </c>
      <c r="N822" s="13">
        <f ca="1">IF($V821&gt;=VLOOKUP($M$4-1+$B822,Paraméterek!$B$121:$D$122,IF($D$4="Forint",2,3)),0,VLOOKUP($M$4-1+$B822,Paraméterek!$B$121:$D$122,IF($D$4="Forint",2,3))-$V821)</f>
        <v>813834</v>
      </c>
      <c r="O822" s="13">
        <f ca="1">ROUNDUP($N822*Paraméterek!$C$58/Paraméterek!$C$56,IF($D$4="Forint",0,2))</f>
        <v>130</v>
      </c>
      <c r="P822" s="13">
        <f t="shared" si="185"/>
        <v>3870</v>
      </c>
      <c r="Q822" s="33"/>
      <c r="R822" s="13">
        <f t="shared" ca="1" si="186"/>
        <v>0</v>
      </c>
      <c r="S822" s="13">
        <f ca="1">ROUNDUP(($M822-$O822-$P822+$R822)*VLOOKUP($B822,Paraméterek!$B$38:$D$39,IF($D$2="Egyszeri",3,2))/12,IF($D$4="Forint",0,2))</f>
        <v>-1973</v>
      </c>
      <c r="T822" s="13"/>
      <c r="U822" s="13"/>
      <c r="V822" s="13">
        <f ca="1">$M822-$O822-$P822+$R822-$S822-IF(ROUNDUP(IF(ISBLANK($U822),$T822,$U822)/IF(AND($B822=1,$D$2&lt;&gt;"Egyszeri"),1,VLOOKUP($B822+IF($C822=12,1,0),Paraméterek!$B$257:$D$267,IF($D$2="Egyszeri",3,2))),IF($D$4="Forint",0,2))&gt;$M822-$O822-$P822+$R822-$S822-IF($D$4="Forint",Paraméterek!$C$216,Paraméterek!$D$216),0,ROUNDUP(IF(ISBLANK($U822),$T822,$U822)/IF(AND($B822=1,$D$2&lt;&gt;"Egyszeri"),1,VLOOKUP($B822+IF($C822=12,1,0),Paraméterek!$B$257:$D$267,IF($D$2="Egyszeri",3,2))),IF($D$4="Forint",0,2)))</f>
        <v>-805861</v>
      </c>
      <c r="W822" s="13">
        <f ca="1">ROUNDDOWN($V822*VLOOKUP($B822+IF($C822=12,1,0),Paraméterek!$B$257:$D$267,IF($D$2="Egyszeri",3,2)),IF($D$4="Forint",0,2))</f>
        <v>-805861</v>
      </c>
      <c r="Y822" s="32">
        <v>803</v>
      </c>
      <c r="Z822" s="32">
        <v>67</v>
      </c>
      <c r="AA822" s="32">
        <v>11</v>
      </c>
      <c r="AB822" s="13">
        <f t="shared" si="191"/>
        <v>0</v>
      </c>
      <c r="AC822" s="33"/>
      <c r="AD822" s="13">
        <f t="shared" si="187"/>
        <v>0</v>
      </c>
      <c r="AE822" s="13">
        <f>ROUNDUP(($AB822+$AD822)*VLOOKUP($Z822,Paraméterek!$P$38:$Q$38,2)/12,IF($D$4="Forint",0,2))</f>
        <v>0</v>
      </c>
      <c r="AF822" s="13">
        <f>IF($D$2="Egyszeri",IF($D$7&gt;=IF($D$4="Forint",Paraméterek!$P$223,Paraméterek!$P$224),$D$7-IF($D$4="Forint",Paraméterek!$F$223,Paraméterek!$F$224),0),MIN(IF($AA822=12,AVERAGE($D$20:$D822)*12,0),SUM($D$20:$D$31)))</f>
        <v>0</v>
      </c>
      <c r="AG822" s="13">
        <f>IF(AND($Z822&gt;=10,MOD($Z822,5)=0),$AF822*IF($AA822=12,VLOOKUP($Z822,Paraméterek!$B$225:$F$240,IF($AF822&lt;IF($D$4="Forint",Paraméterek!$C$223,Paraméterek!$C$224),2,IF($AF822&lt;IF($D$4="Forint",Paraméterek!$D$223,Paraméterek!$D$224),3,4))),0),0)</f>
        <v>0</v>
      </c>
      <c r="AH822" s="13">
        <f>IF(AND($Z822&gt;=5,MOD($Z822,5)=0),IF($AA822=12,VLOOKUP($Z822,Paraméterek!$B$225:$F$240,5),0),IF(OR($Z822=3,$Z822=4),IF($AA822=12,VLOOKUP($Z822,Paraméterek!$B$225:$F$240,5,0),0),0))*$AF822</f>
        <v>0</v>
      </c>
      <c r="AI822" s="13">
        <f>ROUNDDOWN(IF(SUM($T$20:$U822)=0,IF($D$2="Egyszeri",$AH822,$AG822),0),IF($D$4="Forint",0,2))</f>
        <v>0</v>
      </c>
      <c r="AJ822" s="13">
        <f t="shared" si="192"/>
        <v>0</v>
      </c>
      <c r="AK822" s="13">
        <f t="shared" si="193"/>
        <v>0</v>
      </c>
      <c r="AM822" s="32">
        <v>803</v>
      </c>
      <c r="AN822" s="32">
        <v>67</v>
      </c>
      <c r="AO822" s="32">
        <v>11</v>
      </c>
      <c r="AP822" s="13"/>
      <c r="AQ822" s="32"/>
      <c r="AR822" s="13">
        <f t="shared" si="194"/>
        <v>0</v>
      </c>
      <c r="AS822" s="33"/>
      <c r="AT822" s="13">
        <f t="shared" si="188"/>
        <v>0</v>
      </c>
      <c r="AU822" s="13">
        <f>ROUNDUP(($AR822+$AT822)*VLOOKUP($AN822,Paraméterek!$P$38:$Q$38,2)/12,IF($D$4="Forint",0,2))</f>
        <v>0</v>
      </c>
      <c r="AV822" s="13"/>
      <c r="AW822" s="13"/>
      <c r="AX822" s="13">
        <f>ROUNDUP(IF(SUM($AV822:$AW822)=0,0,IF(IF(ISBLANK($AW822),$AV822,$AW822)*Paraméterek!$J$112&lt;IF($D$4="Forint",Paraméterek!$J$113,Paraméterek!$K$113),IF($D$4="Forint",Paraméterek!$J$113,Paraméterek!$K$113),IF(IF(ISBLANK($AW822),$AV822,$AW822)*Paraméterek!$J$112&gt;IF($D$4="Forint",Paraméterek!$J$114,Paraméterek!$K$114),IF($D$4="Forint",Paraméterek!$J$114,Paraméterek!$K$114),IF(ISBLANK($AW822),$AV822,$AW822)*Paraméterek!$J$112))),IF($D$4="Forint",0,2))</f>
        <v>0</v>
      </c>
      <c r="AY822" s="13">
        <f>$AR822+$AT822-$AU822-IF(ROUNDDOWN(IF(ISBLANK($AW822),$AV822,$AW822),IF($D$4="Forint",0,2))&gt;$AR822+$AT822-$AU822-IF($D$4="Forint",Paraméterek!$J$114,Paraméterek!$K$114),0,ROUNDDOWN(IF(ISBLANK($AW822),$AV822,$AW822),IF($D$4="Forint",0,2))-$AX822)</f>
        <v>0</v>
      </c>
      <c r="AZ822" s="13">
        <f t="shared" si="189"/>
        <v>0</v>
      </c>
    </row>
    <row r="823" spans="1:52" x14ac:dyDescent="0.2">
      <c r="A823" s="32">
        <v>804</v>
      </c>
      <c r="B823" s="32">
        <v>67</v>
      </c>
      <c r="C823" s="32">
        <v>12</v>
      </c>
      <c r="D823" s="13">
        <f t="shared" si="180"/>
        <v>0</v>
      </c>
      <c r="E823" s="13"/>
      <c r="F823" s="13"/>
      <c r="G823" s="13"/>
      <c r="H823" s="13">
        <f t="shared" si="181"/>
        <v>0</v>
      </c>
      <c r="I823" s="13">
        <f t="shared" si="182"/>
        <v>0</v>
      </c>
      <c r="J823" s="13">
        <f t="shared" si="183"/>
        <v>0</v>
      </c>
      <c r="K823" s="13">
        <f>ROUNDUP(IF($D$2="Egyszeri",$D823,IF($D$2="Havi",SUM($D$20:$D$31),IF(MOD($C823,$M$1)-1=0,SUM($D$20:$D$31),0))/12*$M$1)*VLOOKUP($B823,Paraméterek!$B$27:$D$30,IF($D$2="Egyszeri",3,2)),IF($D$4="Forint",0,2))</f>
        <v>0</v>
      </c>
      <c r="L823" s="13">
        <f t="shared" si="184"/>
        <v>0</v>
      </c>
      <c r="M823" s="13">
        <f t="shared" ca="1" si="190"/>
        <v>-805861</v>
      </c>
      <c r="N823" s="13">
        <f ca="1">IF($V822&gt;=VLOOKUP($M$4-1+$B823,Paraméterek!$B$121:$D$122,IF($D$4="Forint",2,3)),0,VLOOKUP($M$4-1+$B823,Paraméterek!$B$121:$D$122,IF($D$4="Forint",2,3))-$V822)</f>
        <v>815861</v>
      </c>
      <c r="O823" s="13">
        <f ca="1">ROUNDUP($N823*Paraméterek!$C$58/Paraméterek!$C$56,IF($D$4="Forint",0,2))</f>
        <v>130</v>
      </c>
      <c r="P823" s="13">
        <f t="shared" si="185"/>
        <v>3870</v>
      </c>
      <c r="Q823" s="33"/>
      <c r="R823" s="13">
        <f t="shared" ca="1" si="186"/>
        <v>0</v>
      </c>
      <c r="S823" s="13">
        <f ca="1">ROUNDUP(($M823-$O823-$P823+$R823)*VLOOKUP($B823,Paraméterek!$B$38:$D$39,IF($D$2="Egyszeri",3,2))/12,IF($D$4="Forint",0,2))</f>
        <v>-1978</v>
      </c>
      <c r="T823" s="13">
        <f>Tranzakciók!$F$98</f>
        <v>0</v>
      </c>
      <c r="U823" s="13"/>
      <c r="V823" s="13">
        <f ca="1">$M823-$O823-$P823+$R823-$S823-IF(ROUNDUP(IF(ISBLANK($U823),$T823,$U823)/IF(AND($B823=1,$D$2&lt;&gt;"Egyszeri"),1,VLOOKUP($B823+IF($C823=12,1,0),Paraméterek!$B$257:$D$267,IF($D$2="Egyszeri",3,2))),IF($D$4="Forint",0,2))&gt;$M823-$O823-$P823+$R823-$S823-IF($D$4="Forint",Paraméterek!$C$216,Paraméterek!$D$216),0,ROUNDUP(IF(ISBLANK($U823),$T823,$U823)/IF(AND($B823=1,$D$2&lt;&gt;"Egyszeri"),1,VLOOKUP($B823+IF($C823=12,1,0),Paraméterek!$B$257:$D$267,IF($D$2="Egyszeri",3,2))),IF($D$4="Forint",0,2)))</f>
        <v>-807883</v>
      </c>
      <c r="W823" s="13">
        <f ca="1">ROUNDDOWN($V823*VLOOKUP($B823+IF($C823=12,1,0),Paraméterek!$B$257:$D$267,IF($D$2="Egyszeri",3,2)),IF($D$4="Forint",0,2))</f>
        <v>-807883</v>
      </c>
      <c r="Y823" s="32">
        <v>804</v>
      </c>
      <c r="Z823" s="32">
        <v>67</v>
      </c>
      <c r="AA823" s="32">
        <v>12</v>
      </c>
      <c r="AB823" s="13">
        <f t="shared" si="191"/>
        <v>0</v>
      </c>
      <c r="AC823" s="33"/>
      <c r="AD823" s="13">
        <f t="shared" si="187"/>
        <v>0</v>
      </c>
      <c r="AE823" s="13">
        <f>ROUNDUP(($AB823+$AD823)*VLOOKUP($Z823,Paraméterek!$P$38:$Q$38,2)/12,IF($D$4="Forint",0,2))</f>
        <v>0</v>
      </c>
      <c r="AF823" s="13">
        <f>IF($D$2="Egyszeri",IF($D$7&gt;=IF($D$4="Forint",Paraméterek!$P$223,Paraméterek!$P$224),$D$7-IF($D$4="Forint",Paraméterek!$F$223,Paraméterek!$F$224),0),MIN(IF($AA823=12,AVERAGE($D$20:$D823)*12,0),SUM($D$20:$D$31)))</f>
        <v>0</v>
      </c>
      <c r="AG823" s="13">
        <f>IF(AND($Z823&gt;=10,MOD($Z823,5)=0),$AF823*IF($AA823=12,VLOOKUP($Z823,Paraméterek!$B$225:$F$240,IF($AF823&lt;IF($D$4="Forint",Paraméterek!$C$223,Paraméterek!$C$224),2,IF($AF823&lt;IF($D$4="Forint",Paraméterek!$D$223,Paraméterek!$D$224),3,4))),0),0)</f>
        <v>0</v>
      </c>
      <c r="AH823" s="13">
        <f>IF(AND($Z823&gt;=5,MOD($Z823,5)=0),IF($AA823=12,VLOOKUP($Z823,Paraméterek!$B$225:$F$240,5),0),IF(OR($Z823=3,$Z823=4),IF($AA823=12,VLOOKUP($Z823,Paraméterek!$B$225:$F$240,5,0),0),0))*$AF823</f>
        <v>0</v>
      </c>
      <c r="AI823" s="13">
        <f>ROUNDDOWN(IF(SUM($T$20:$U823)=0,IF($D$2="Egyszeri",$AH823,$AG823),0),IF($D$4="Forint",0,2))</f>
        <v>0</v>
      </c>
      <c r="AJ823" s="13">
        <f t="shared" si="192"/>
        <v>0</v>
      </c>
      <c r="AK823" s="13">
        <f t="shared" si="193"/>
        <v>0</v>
      </c>
      <c r="AM823" s="32">
        <v>804</v>
      </c>
      <c r="AN823" s="32">
        <v>67</v>
      </c>
      <c r="AO823" s="32">
        <v>12</v>
      </c>
      <c r="AP823" s="13"/>
      <c r="AQ823" s="32"/>
      <c r="AR823" s="13">
        <f t="shared" si="194"/>
        <v>0</v>
      </c>
      <c r="AS823" s="33"/>
      <c r="AT823" s="13">
        <f t="shared" si="188"/>
        <v>0</v>
      </c>
      <c r="AU823" s="13">
        <f>ROUNDUP(($AR823+$AT823)*VLOOKUP($AN823,Paraméterek!$P$38:$Q$38,2)/12,IF($D$4="Forint",0,2))</f>
        <v>0</v>
      </c>
      <c r="AV823" s="13">
        <f>Tranzakciók!$M$98</f>
        <v>0</v>
      </c>
      <c r="AW823" s="13"/>
      <c r="AX823" s="13">
        <f>ROUNDUP(IF(SUM($AV823:$AW823)=0,0,IF(IF(ISBLANK($AW823),$AV823,$AW823)*Paraméterek!$J$112&lt;IF($D$4="Forint",Paraméterek!$J$113,Paraméterek!$K$113),IF($D$4="Forint",Paraméterek!$J$113,Paraméterek!$K$113),IF(IF(ISBLANK($AW823),$AV823,$AW823)*Paraméterek!$J$112&gt;IF($D$4="Forint",Paraméterek!$J$114,Paraméterek!$K$114),IF($D$4="Forint",Paraméterek!$J$114,Paraméterek!$K$114),IF(ISBLANK($AW823),$AV823,$AW823)*Paraméterek!$J$112))),IF($D$4="Forint",0,2))</f>
        <v>0</v>
      </c>
      <c r="AY823" s="13">
        <f>$AR823+$AT823-$AU823-IF(ROUNDDOWN(IF(ISBLANK($AW823),$AV823,$AW823),IF($D$4="Forint",0,2))&gt;$AR823+$AT823-$AU823-IF($D$4="Forint",Paraméterek!$J$114,Paraméterek!$K$114),0,ROUNDDOWN(IF(ISBLANK($AW823),$AV823,$AW823),IF($D$4="Forint",0,2))-$AX823)</f>
        <v>0</v>
      </c>
      <c r="AZ823" s="13">
        <f t="shared" si="189"/>
        <v>0</v>
      </c>
    </row>
    <row r="824" spans="1:52" x14ac:dyDescent="0.2">
      <c r="A824" s="32">
        <v>805</v>
      </c>
      <c r="B824" s="32">
        <v>68</v>
      </c>
      <c r="C824" s="32">
        <v>1</v>
      </c>
      <c r="D824" s="13">
        <f t="shared" si="180"/>
        <v>0</v>
      </c>
      <c r="E824" s="13"/>
      <c r="F824" s="13">
        <f>Tranzakciók!$D$99</f>
        <v>0</v>
      </c>
      <c r="G824" s="13"/>
      <c r="H824" s="13">
        <f t="shared" si="181"/>
        <v>0</v>
      </c>
      <c r="I824" s="13">
        <f t="shared" si="182"/>
        <v>725</v>
      </c>
      <c r="J824" s="13">
        <f t="shared" si="183"/>
        <v>725</v>
      </c>
      <c r="K824" s="13">
        <f>ROUNDUP(IF($D$2="Egyszeri",$D824,IF($D$2="Havi",SUM($D$20:$D$31),IF(MOD($C824,$M$1)-1=0,SUM($D$20:$D$31),0))/12*$M$1)*VLOOKUP($B824,Paraméterek!$B$27:$D$30,IF($D$2="Egyszeri",3,2)),IF($D$4="Forint",0,2))</f>
        <v>0</v>
      </c>
      <c r="L824" s="13">
        <f t="shared" si="184"/>
        <v>0</v>
      </c>
      <c r="M824" s="13">
        <f t="shared" ca="1" si="190"/>
        <v>-807883</v>
      </c>
      <c r="N824" s="13">
        <f ca="1">IF($V823&gt;=VLOOKUP($M$4-1+$B824,Paraméterek!$B$121:$D$122,IF($D$4="Forint",2,3)),0,VLOOKUP($M$4-1+$B824,Paraméterek!$B$121:$D$122,IF($D$4="Forint",2,3))-$V823)</f>
        <v>817883</v>
      </c>
      <c r="O824" s="13">
        <f ca="1">ROUNDUP($N824*Paraméterek!$C$58/Paraméterek!$C$56,IF($D$4="Forint",0,2))</f>
        <v>131</v>
      </c>
      <c r="P824" s="13">
        <f t="shared" si="185"/>
        <v>3986</v>
      </c>
      <c r="Q824" s="33"/>
      <c r="R824" s="13">
        <f t="shared" ca="1" si="186"/>
        <v>0</v>
      </c>
      <c r="S824" s="13">
        <f ca="1">ROUNDUP(($M824-$O824-$P824+$R824)*VLOOKUP($B824,Paraméterek!$B$38:$D$39,IF($D$2="Egyszeri",3,2))/12,IF($D$4="Forint",0,2))</f>
        <v>-1983</v>
      </c>
      <c r="T824" s="13"/>
      <c r="U824" s="13"/>
      <c r="V824" s="13">
        <f ca="1">$M824-$O824-$P824+$R824-$S824-IF(ROUNDUP(IF(ISBLANK($U824),$T824,$U824)/IF(AND($B824=1,$D$2&lt;&gt;"Egyszeri"),1,VLOOKUP($B824+IF($C824=12,1,0),Paraméterek!$B$257:$D$267,IF($D$2="Egyszeri",3,2))),IF($D$4="Forint",0,2))&gt;$M824-$O824-$P824+$R824-$S824-IF($D$4="Forint",Paraméterek!$C$216,Paraméterek!$D$216),0,ROUNDUP(IF(ISBLANK($U824),$T824,$U824)/IF(AND($B824=1,$D$2&lt;&gt;"Egyszeri"),1,VLOOKUP($B824+IF($C824=12,1,0),Paraméterek!$B$257:$D$267,IF($D$2="Egyszeri",3,2))),IF($D$4="Forint",0,2)))</f>
        <v>-810017</v>
      </c>
      <c r="W824" s="13">
        <f ca="1">ROUNDDOWN($V824*VLOOKUP($B824+IF($C824=12,1,0),Paraméterek!$B$257:$D$267,IF($D$2="Egyszeri",3,2)),IF($D$4="Forint",0,2))</f>
        <v>-810017</v>
      </c>
      <c r="Y824" s="32">
        <v>805</v>
      </c>
      <c r="Z824" s="32">
        <v>68</v>
      </c>
      <c r="AA824" s="32">
        <v>1</v>
      </c>
      <c r="AB824" s="13">
        <f t="shared" si="191"/>
        <v>0</v>
      </c>
      <c r="AC824" s="33"/>
      <c r="AD824" s="13">
        <f t="shared" si="187"/>
        <v>0</v>
      </c>
      <c r="AE824" s="13">
        <f>ROUNDUP(($AB824+$AD824)*VLOOKUP($Z824,Paraméterek!$P$38:$Q$38,2)/12,IF($D$4="Forint",0,2))</f>
        <v>0</v>
      </c>
      <c r="AF824" s="13">
        <f>IF($D$2="Egyszeri",IF($D$7&gt;=IF($D$4="Forint",Paraméterek!$P$223,Paraméterek!$P$224),$D$7-IF($D$4="Forint",Paraméterek!$F$223,Paraméterek!$F$224),0),MIN(IF($AA824=12,AVERAGE($D$20:$D824)*12,0),SUM($D$20:$D$31)))</f>
        <v>0</v>
      </c>
      <c r="AG824" s="13">
        <f>IF(AND($Z824&gt;=10,MOD($Z824,5)=0),$AF824*IF($AA824=12,VLOOKUP($Z824,Paraméterek!$B$225:$F$240,IF($AF824&lt;IF($D$4="Forint",Paraméterek!$C$223,Paraméterek!$C$224),2,IF($AF824&lt;IF($D$4="Forint",Paraméterek!$D$223,Paraméterek!$D$224),3,4))),0),0)</f>
        <v>0</v>
      </c>
      <c r="AH824" s="13">
        <f>IF(AND($Z824&gt;=5,MOD($Z824,5)=0),IF($AA824=12,VLOOKUP($Z824,Paraméterek!$B$225:$F$240,5),0),IF(OR($Z824=3,$Z824=4),IF($AA824=12,VLOOKUP($Z824,Paraméterek!$B$225:$F$240,5,0),0),0))*$AF824</f>
        <v>0</v>
      </c>
      <c r="AI824" s="13">
        <f>ROUNDDOWN(IF(SUM($T$20:$U824)=0,IF($D$2="Egyszeri",$AH824,$AG824),0),IF($D$4="Forint",0,2))</f>
        <v>0</v>
      </c>
      <c r="AJ824" s="13">
        <f t="shared" si="192"/>
        <v>0</v>
      </c>
      <c r="AK824" s="13">
        <f t="shared" si="193"/>
        <v>0</v>
      </c>
      <c r="AM824" s="32">
        <v>805</v>
      </c>
      <c r="AN824" s="32">
        <v>68</v>
      </c>
      <c r="AO824" s="32">
        <v>1</v>
      </c>
      <c r="AP824" s="13">
        <f>Tranzakciók!$K$99</f>
        <v>0</v>
      </c>
      <c r="AQ824" s="32"/>
      <c r="AR824" s="13">
        <f t="shared" si="194"/>
        <v>0</v>
      </c>
      <c r="AS824" s="33"/>
      <c r="AT824" s="13">
        <f t="shared" si="188"/>
        <v>0</v>
      </c>
      <c r="AU824" s="13">
        <f>ROUNDUP(($AR824+$AT824)*VLOOKUP($AN824,Paraméterek!$P$38:$Q$38,2)/12,IF($D$4="Forint",0,2))</f>
        <v>0</v>
      </c>
      <c r="AV824" s="13"/>
      <c r="AW824" s="13"/>
      <c r="AX824" s="13">
        <f>ROUNDUP(IF(SUM($AV824:$AW824)=0,0,IF(IF(ISBLANK($AW824),$AV824,$AW824)*Paraméterek!$J$112&lt;IF($D$4="Forint",Paraméterek!$J$113,Paraméterek!$K$113),IF($D$4="Forint",Paraméterek!$J$113,Paraméterek!$K$113),IF(IF(ISBLANK($AW824),$AV824,$AW824)*Paraméterek!$J$112&gt;IF($D$4="Forint",Paraméterek!$J$114,Paraméterek!$K$114),IF($D$4="Forint",Paraméterek!$J$114,Paraméterek!$K$114),IF(ISBLANK($AW824),$AV824,$AW824)*Paraméterek!$J$112))),IF($D$4="Forint",0,2))</f>
        <v>0</v>
      </c>
      <c r="AY824" s="13">
        <f>$AR824+$AT824-$AU824-IF(ROUNDDOWN(IF(ISBLANK($AW824),$AV824,$AW824),IF($D$4="Forint",0,2))&gt;$AR824+$AT824-$AU824-IF($D$4="Forint",Paraméterek!$J$114,Paraméterek!$K$114),0,ROUNDDOWN(IF(ISBLANK($AW824),$AV824,$AW824),IF($D$4="Forint",0,2))-$AX824)</f>
        <v>0</v>
      </c>
      <c r="AZ824" s="13">
        <f t="shared" si="189"/>
        <v>0</v>
      </c>
    </row>
    <row r="825" spans="1:52" x14ac:dyDescent="0.2">
      <c r="A825" s="32">
        <v>806</v>
      </c>
      <c r="B825" s="32">
        <v>68</v>
      </c>
      <c r="C825" s="32">
        <v>2</v>
      </c>
      <c r="D825" s="13">
        <f t="shared" si="180"/>
        <v>0</v>
      </c>
      <c r="E825" s="13"/>
      <c r="F825" s="13"/>
      <c r="G825" s="13"/>
      <c r="H825" s="13">
        <f t="shared" si="181"/>
        <v>0</v>
      </c>
      <c r="I825" s="13">
        <f t="shared" si="182"/>
        <v>0</v>
      </c>
      <c r="J825" s="13">
        <f t="shared" si="183"/>
        <v>0</v>
      </c>
      <c r="K825" s="13">
        <f>ROUNDUP(IF($D$2="Egyszeri",$D825,IF($D$2="Havi",SUM($D$20:$D$31),IF(MOD($C825,$M$1)-1=0,SUM($D$20:$D$31),0))/12*$M$1)*VLOOKUP($B825,Paraméterek!$B$27:$D$30,IF($D$2="Egyszeri",3,2)),IF($D$4="Forint",0,2))</f>
        <v>0</v>
      </c>
      <c r="L825" s="13">
        <f t="shared" si="184"/>
        <v>0</v>
      </c>
      <c r="M825" s="13">
        <f t="shared" ca="1" si="190"/>
        <v>-810017</v>
      </c>
      <c r="N825" s="13">
        <f ca="1">IF($V824&gt;=VLOOKUP($M$4-1+$B825,Paraméterek!$B$121:$D$122,IF($D$4="Forint",2,3)),0,VLOOKUP($M$4-1+$B825,Paraméterek!$B$121:$D$122,IF($D$4="Forint",2,3))-$V824)</f>
        <v>820017</v>
      </c>
      <c r="O825" s="13">
        <f ca="1">ROUNDUP($N825*Paraméterek!$C$58/Paraméterek!$C$56,IF($D$4="Forint",0,2))</f>
        <v>131</v>
      </c>
      <c r="P825" s="13">
        <f t="shared" si="185"/>
        <v>3986</v>
      </c>
      <c r="Q825" s="33"/>
      <c r="R825" s="13">
        <f t="shared" ca="1" si="186"/>
        <v>0</v>
      </c>
      <c r="S825" s="13">
        <f ca="1">ROUNDUP(($M825-$O825-$P825+$R825)*VLOOKUP($B825,Paraméterek!$B$38:$D$39,IF($D$2="Egyszeri",3,2))/12,IF($D$4="Forint",0,2))</f>
        <v>-1988</v>
      </c>
      <c r="T825" s="13"/>
      <c r="U825" s="13"/>
      <c r="V825" s="13">
        <f ca="1">$M825-$O825-$P825+$R825-$S825-IF(ROUNDUP(IF(ISBLANK($U825),$T825,$U825)/IF(AND($B825=1,$D$2&lt;&gt;"Egyszeri"),1,VLOOKUP($B825+IF($C825=12,1,0),Paraméterek!$B$257:$D$267,IF($D$2="Egyszeri",3,2))),IF($D$4="Forint",0,2))&gt;$M825-$O825-$P825+$R825-$S825-IF($D$4="Forint",Paraméterek!$C$216,Paraméterek!$D$216),0,ROUNDUP(IF(ISBLANK($U825),$T825,$U825)/IF(AND($B825=1,$D$2&lt;&gt;"Egyszeri"),1,VLOOKUP($B825+IF($C825=12,1,0),Paraméterek!$B$257:$D$267,IF($D$2="Egyszeri",3,2))),IF($D$4="Forint",0,2)))</f>
        <v>-812146</v>
      </c>
      <c r="W825" s="13">
        <f ca="1">ROUNDDOWN($V825*VLOOKUP($B825+IF($C825=12,1,0),Paraméterek!$B$257:$D$267,IF($D$2="Egyszeri",3,2)),IF($D$4="Forint",0,2))</f>
        <v>-812146</v>
      </c>
      <c r="Y825" s="32">
        <v>806</v>
      </c>
      <c r="Z825" s="32">
        <v>68</v>
      </c>
      <c r="AA825" s="32">
        <v>2</v>
      </c>
      <c r="AB825" s="13">
        <f t="shared" si="191"/>
        <v>0</v>
      </c>
      <c r="AC825" s="33"/>
      <c r="AD825" s="13">
        <f t="shared" si="187"/>
        <v>0</v>
      </c>
      <c r="AE825" s="13">
        <f>ROUNDUP(($AB825+$AD825)*VLOOKUP($Z825,Paraméterek!$P$38:$Q$38,2)/12,IF($D$4="Forint",0,2))</f>
        <v>0</v>
      </c>
      <c r="AF825" s="13">
        <f>IF($D$2="Egyszeri",IF($D$7&gt;=IF($D$4="Forint",Paraméterek!$P$223,Paraméterek!$P$224),$D$7-IF($D$4="Forint",Paraméterek!$F$223,Paraméterek!$F$224),0),MIN(IF($AA825=12,AVERAGE($D$20:$D825)*12,0),SUM($D$20:$D$31)))</f>
        <v>0</v>
      </c>
      <c r="AG825" s="13">
        <f>IF(AND($Z825&gt;=10,MOD($Z825,5)=0),$AF825*IF($AA825=12,VLOOKUP($Z825,Paraméterek!$B$225:$F$240,IF($AF825&lt;IF($D$4="Forint",Paraméterek!$C$223,Paraméterek!$C$224),2,IF($AF825&lt;IF($D$4="Forint",Paraméterek!$D$223,Paraméterek!$D$224),3,4))),0),0)</f>
        <v>0</v>
      </c>
      <c r="AH825" s="13">
        <f>IF(AND($Z825&gt;=5,MOD($Z825,5)=0),IF($AA825=12,VLOOKUP($Z825,Paraméterek!$B$225:$F$240,5),0),IF(OR($Z825=3,$Z825=4),IF($AA825=12,VLOOKUP($Z825,Paraméterek!$B$225:$F$240,5,0),0),0))*$AF825</f>
        <v>0</v>
      </c>
      <c r="AI825" s="13">
        <f>ROUNDDOWN(IF(SUM($T$20:$U825)=0,IF($D$2="Egyszeri",$AH825,$AG825),0),IF($D$4="Forint",0,2))</f>
        <v>0</v>
      </c>
      <c r="AJ825" s="13">
        <f t="shared" si="192"/>
        <v>0</v>
      </c>
      <c r="AK825" s="13">
        <f t="shared" si="193"/>
        <v>0</v>
      </c>
      <c r="AM825" s="32">
        <v>806</v>
      </c>
      <c r="AN825" s="32">
        <v>68</v>
      </c>
      <c r="AO825" s="32">
        <v>2</v>
      </c>
      <c r="AP825" s="13"/>
      <c r="AQ825" s="32"/>
      <c r="AR825" s="13">
        <f t="shared" si="194"/>
        <v>0</v>
      </c>
      <c r="AS825" s="33"/>
      <c r="AT825" s="13">
        <f t="shared" si="188"/>
        <v>0</v>
      </c>
      <c r="AU825" s="13">
        <f>ROUNDUP(($AR825+$AT825)*VLOOKUP($AN825,Paraméterek!$P$38:$Q$38,2)/12,IF($D$4="Forint",0,2))</f>
        <v>0</v>
      </c>
      <c r="AV825" s="13"/>
      <c r="AW825" s="13"/>
      <c r="AX825" s="13">
        <f>ROUNDUP(IF(SUM($AV825:$AW825)=0,0,IF(IF(ISBLANK($AW825),$AV825,$AW825)*Paraméterek!$J$112&lt;IF($D$4="Forint",Paraméterek!$J$113,Paraméterek!$K$113),IF($D$4="Forint",Paraméterek!$J$113,Paraméterek!$K$113),IF(IF(ISBLANK($AW825),$AV825,$AW825)*Paraméterek!$J$112&gt;IF($D$4="Forint",Paraméterek!$J$114,Paraméterek!$K$114),IF($D$4="Forint",Paraméterek!$J$114,Paraméterek!$K$114),IF(ISBLANK($AW825),$AV825,$AW825)*Paraméterek!$J$112))),IF($D$4="Forint",0,2))</f>
        <v>0</v>
      </c>
      <c r="AY825" s="13">
        <f>$AR825+$AT825-$AU825-IF(ROUNDDOWN(IF(ISBLANK($AW825),$AV825,$AW825),IF($D$4="Forint",0,2))&gt;$AR825+$AT825-$AU825-IF($D$4="Forint",Paraméterek!$J$114,Paraméterek!$K$114),0,ROUNDDOWN(IF(ISBLANK($AW825),$AV825,$AW825),IF($D$4="Forint",0,2))-$AX825)</f>
        <v>0</v>
      </c>
      <c r="AZ825" s="13">
        <f t="shared" si="189"/>
        <v>0</v>
      </c>
    </row>
    <row r="826" spans="1:52" x14ac:dyDescent="0.2">
      <c r="A826" s="32">
        <v>807</v>
      </c>
      <c r="B826" s="32">
        <v>68</v>
      </c>
      <c r="C826" s="32">
        <v>3</v>
      </c>
      <c r="D826" s="13">
        <f t="shared" si="180"/>
        <v>0</v>
      </c>
      <c r="E826" s="13"/>
      <c r="F826" s="13"/>
      <c r="G826" s="13"/>
      <c r="H826" s="13">
        <f t="shared" si="181"/>
        <v>0</v>
      </c>
      <c r="I826" s="13">
        <f t="shared" si="182"/>
        <v>0</v>
      </c>
      <c r="J826" s="13">
        <f t="shared" si="183"/>
        <v>0</v>
      </c>
      <c r="K826" s="13">
        <f>ROUNDUP(IF($D$2="Egyszeri",$D826,IF($D$2="Havi",SUM($D$20:$D$31),IF(MOD($C826,$M$1)-1=0,SUM($D$20:$D$31),0))/12*$M$1)*VLOOKUP($B826,Paraméterek!$B$27:$D$30,IF($D$2="Egyszeri",3,2)),IF($D$4="Forint",0,2))</f>
        <v>0</v>
      </c>
      <c r="L826" s="13">
        <f t="shared" si="184"/>
        <v>0</v>
      </c>
      <c r="M826" s="13">
        <f t="shared" ca="1" si="190"/>
        <v>-812146</v>
      </c>
      <c r="N826" s="13">
        <f ca="1">IF($V825&gt;=VLOOKUP($M$4-1+$B826,Paraméterek!$B$121:$D$122,IF($D$4="Forint",2,3)),0,VLOOKUP($M$4-1+$B826,Paraméterek!$B$121:$D$122,IF($D$4="Forint",2,3))-$V825)</f>
        <v>822146</v>
      </c>
      <c r="O826" s="13">
        <f ca="1">ROUNDUP($N826*Paraméterek!$C$58/Paraméterek!$C$56,IF($D$4="Forint",0,2))</f>
        <v>131</v>
      </c>
      <c r="P826" s="13">
        <f t="shared" si="185"/>
        <v>3986</v>
      </c>
      <c r="Q826" s="33"/>
      <c r="R826" s="13">
        <f t="shared" ca="1" si="186"/>
        <v>0</v>
      </c>
      <c r="S826" s="13">
        <f ca="1">ROUNDUP(($M826-$O826-$P826+$R826)*VLOOKUP($B826,Paraméterek!$B$38:$D$39,IF($D$2="Egyszeri",3,2))/12,IF($D$4="Forint",0,2))</f>
        <v>-1994</v>
      </c>
      <c r="T826" s="13"/>
      <c r="U826" s="13"/>
      <c r="V826" s="13">
        <f ca="1">$M826-$O826-$P826+$R826-$S826-IF(ROUNDUP(IF(ISBLANK($U826),$T826,$U826)/IF(AND($B826=1,$D$2&lt;&gt;"Egyszeri"),1,VLOOKUP($B826+IF($C826=12,1,0),Paraméterek!$B$257:$D$267,IF($D$2="Egyszeri",3,2))),IF($D$4="Forint",0,2))&gt;$M826-$O826-$P826+$R826-$S826-IF($D$4="Forint",Paraméterek!$C$216,Paraméterek!$D$216),0,ROUNDUP(IF(ISBLANK($U826),$T826,$U826)/IF(AND($B826=1,$D$2&lt;&gt;"Egyszeri"),1,VLOOKUP($B826+IF($C826=12,1,0),Paraméterek!$B$257:$D$267,IF($D$2="Egyszeri",3,2))),IF($D$4="Forint",0,2)))</f>
        <v>-814269</v>
      </c>
      <c r="W826" s="13">
        <f ca="1">ROUNDDOWN($V826*VLOOKUP($B826+IF($C826=12,1,0),Paraméterek!$B$257:$D$267,IF($D$2="Egyszeri",3,2)),IF($D$4="Forint",0,2))</f>
        <v>-814269</v>
      </c>
      <c r="Y826" s="32">
        <v>807</v>
      </c>
      <c r="Z826" s="32">
        <v>68</v>
      </c>
      <c r="AA826" s="32">
        <v>3</v>
      </c>
      <c r="AB826" s="13">
        <f t="shared" si="191"/>
        <v>0</v>
      </c>
      <c r="AC826" s="33"/>
      <c r="AD826" s="13">
        <f t="shared" si="187"/>
        <v>0</v>
      </c>
      <c r="AE826" s="13">
        <f>ROUNDUP(($AB826+$AD826)*VLOOKUP($Z826,Paraméterek!$P$38:$Q$38,2)/12,IF($D$4="Forint",0,2))</f>
        <v>0</v>
      </c>
      <c r="AF826" s="13">
        <f>IF($D$2="Egyszeri",IF($D$7&gt;=IF($D$4="Forint",Paraméterek!$P$223,Paraméterek!$P$224),$D$7-IF($D$4="Forint",Paraméterek!$F$223,Paraméterek!$F$224),0),MIN(IF($AA826=12,AVERAGE($D$20:$D826)*12,0),SUM($D$20:$D$31)))</f>
        <v>0</v>
      </c>
      <c r="AG826" s="13">
        <f>IF(AND($Z826&gt;=10,MOD($Z826,5)=0),$AF826*IF($AA826=12,VLOOKUP($Z826,Paraméterek!$B$225:$F$240,IF($AF826&lt;IF($D$4="Forint",Paraméterek!$C$223,Paraméterek!$C$224),2,IF($AF826&lt;IF($D$4="Forint",Paraméterek!$D$223,Paraméterek!$D$224),3,4))),0),0)</f>
        <v>0</v>
      </c>
      <c r="AH826" s="13">
        <f>IF(AND($Z826&gt;=5,MOD($Z826,5)=0),IF($AA826=12,VLOOKUP($Z826,Paraméterek!$B$225:$F$240,5),0),IF(OR($Z826=3,$Z826=4),IF($AA826=12,VLOOKUP($Z826,Paraméterek!$B$225:$F$240,5,0),0),0))*$AF826</f>
        <v>0</v>
      </c>
      <c r="AI826" s="13">
        <f>ROUNDDOWN(IF(SUM($T$20:$U826)=0,IF($D$2="Egyszeri",$AH826,$AG826),0),IF($D$4="Forint",0,2))</f>
        <v>0</v>
      </c>
      <c r="AJ826" s="13">
        <f t="shared" si="192"/>
        <v>0</v>
      </c>
      <c r="AK826" s="13">
        <f t="shared" si="193"/>
        <v>0</v>
      </c>
      <c r="AM826" s="32">
        <v>807</v>
      </c>
      <c r="AN826" s="32">
        <v>68</v>
      </c>
      <c r="AO826" s="32">
        <v>3</v>
      </c>
      <c r="AP826" s="13"/>
      <c r="AQ826" s="32"/>
      <c r="AR826" s="13">
        <f t="shared" si="194"/>
        <v>0</v>
      </c>
      <c r="AS826" s="33"/>
      <c r="AT826" s="13">
        <f t="shared" si="188"/>
        <v>0</v>
      </c>
      <c r="AU826" s="13">
        <f>ROUNDUP(($AR826+$AT826)*VLOOKUP($AN826,Paraméterek!$P$38:$Q$38,2)/12,IF($D$4="Forint",0,2))</f>
        <v>0</v>
      </c>
      <c r="AV826" s="13"/>
      <c r="AW826" s="13"/>
      <c r="AX826" s="13">
        <f>ROUNDUP(IF(SUM($AV826:$AW826)=0,0,IF(IF(ISBLANK($AW826),$AV826,$AW826)*Paraméterek!$J$112&lt;IF($D$4="Forint",Paraméterek!$J$113,Paraméterek!$K$113),IF($D$4="Forint",Paraméterek!$J$113,Paraméterek!$K$113),IF(IF(ISBLANK($AW826),$AV826,$AW826)*Paraméterek!$J$112&gt;IF($D$4="Forint",Paraméterek!$J$114,Paraméterek!$K$114),IF($D$4="Forint",Paraméterek!$J$114,Paraméterek!$K$114),IF(ISBLANK($AW826),$AV826,$AW826)*Paraméterek!$J$112))),IF($D$4="Forint",0,2))</f>
        <v>0</v>
      </c>
      <c r="AY826" s="13">
        <f>$AR826+$AT826-$AU826-IF(ROUNDDOWN(IF(ISBLANK($AW826),$AV826,$AW826),IF($D$4="Forint",0,2))&gt;$AR826+$AT826-$AU826-IF($D$4="Forint",Paraméterek!$J$114,Paraméterek!$K$114),0,ROUNDDOWN(IF(ISBLANK($AW826),$AV826,$AW826),IF($D$4="Forint",0,2))-$AX826)</f>
        <v>0</v>
      </c>
      <c r="AZ826" s="13">
        <f t="shared" si="189"/>
        <v>0</v>
      </c>
    </row>
    <row r="827" spans="1:52" x14ac:dyDescent="0.2">
      <c r="A827" s="32">
        <v>808</v>
      </c>
      <c r="B827" s="32">
        <v>68</v>
      </c>
      <c r="C827" s="32">
        <v>4</v>
      </c>
      <c r="D827" s="13">
        <f t="shared" si="180"/>
        <v>0</v>
      </c>
      <c r="E827" s="13"/>
      <c r="F827" s="13"/>
      <c r="G827" s="13"/>
      <c r="H827" s="13">
        <f t="shared" si="181"/>
        <v>0</v>
      </c>
      <c r="I827" s="13">
        <f t="shared" si="182"/>
        <v>0</v>
      </c>
      <c r="J827" s="13">
        <f t="shared" si="183"/>
        <v>0</v>
      </c>
      <c r="K827" s="13">
        <f>ROUNDUP(IF($D$2="Egyszeri",$D827,IF($D$2="Havi",SUM($D$20:$D$31),IF(MOD($C827,$M$1)-1=0,SUM($D$20:$D$31),0))/12*$M$1)*VLOOKUP($B827,Paraméterek!$B$27:$D$30,IF($D$2="Egyszeri",3,2)),IF($D$4="Forint",0,2))</f>
        <v>0</v>
      </c>
      <c r="L827" s="13">
        <f t="shared" si="184"/>
        <v>0</v>
      </c>
      <c r="M827" s="13">
        <f t="shared" ca="1" si="190"/>
        <v>-814269</v>
      </c>
      <c r="N827" s="13">
        <f ca="1">IF($V826&gt;=VLOOKUP($M$4-1+$B827,Paraméterek!$B$121:$D$122,IF($D$4="Forint",2,3)),0,VLOOKUP($M$4-1+$B827,Paraméterek!$B$121:$D$122,IF($D$4="Forint",2,3))-$V826)</f>
        <v>824269</v>
      </c>
      <c r="O827" s="13">
        <f ca="1">ROUNDUP($N827*Paraméterek!$C$58/Paraméterek!$C$56,IF($D$4="Forint",0,2))</f>
        <v>132</v>
      </c>
      <c r="P827" s="13">
        <f t="shared" si="185"/>
        <v>3986</v>
      </c>
      <c r="Q827" s="33"/>
      <c r="R827" s="13">
        <f t="shared" ca="1" si="186"/>
        <v>0</v>
      </c>
      <c r="S827" s="13">
        <f ca="1">ROUNDUP(($M827-$O827-$P827+$R827)*VLOOKUP($B827,Paraméterek!$B$38:$D$39,IF($D$2="Egyszeri",3,2))/12,IF($D$4="Forint",0,2))</f>
        <v>-1999</v>
      </c>
      <c r="T827" s="13"/>
      <c r="U827" s="13"/>
      <c r="V827" s="13">
        <f ca="1">$M827-$O827-$P827+$R827-$S827-IF(ROUNDUP(IF(ISBLANK($U827),$T827,$U827)/IF(AND($B827=1,$D$2&lt;&gt;"Egyszeri"),1,VLOOKUP($B827+IF($C827=12,1,0),Paraméterek!$B$257:$D$267,IF($D$2="Egyszeri",3,2))),IF($D$4="Forint",0,2))&gt;$M827-$O827-$P827+$R827-$S827-IF($D$4="Forint",Paraméterek!$C$216,Paraméterek!$D$216),0,ROUNDUP(IF(ISBLANK($U827),$T827,$U827)/IF(AND($B827=1,$D$2&lt;&gt;"Egyszeri"),1,VLOOKUP($B827+IF($C827=12,1,0),Paraméterek!$B$257:$D$267,IF($D$2="Egyszeri",3,2))),IF($D$4="Forint",0,2)))</f>
        <v>-816388</v>
      </c>
      <c r="W827" s="13">
        <f ca="1">ROUNDDOWN($V827*VLOOKUP($B827+IF($C827=12,1,0),Paraméterek!$B$257:$D$267,IF($D$2="Egyszeri",3,2)),IF($D$4="Forint",0,2))</f>
        <v>-816388</v>
      </c>
      <c r="Y827" s="32">
        <v>808</v>
      </c>
      <c r="Z827" s="32">
        <v>68</v>
      </c>
      <c r="AA827" s="32">
        <v>4</v>
      </c>
      <c r="AB827" s="13">
        <f t="shared" si="191"/>
        <v>0</v>
      </c>
      <c r="AC827" s="33"/>
      <c r="AD827" s="13">
        <f t="shared" si="187"/>
        <v>0</v>
      </c>
      <c r="AE827" s="13">
        <f>ROUNDUP(($AB827+$AD827)*VLOOKUP($Z827,Paraméterek!$P$38:$Q$38,2)/12,IF($D$4="Forint",0,2))</f>
        <v>0</v>
      </c>
      <c r="AF827" s="13">
        <f>IF($D$2="Egyszeri",IF($D$7&gt;=IF($D$4="Forint",Paraméterek!$P$223,Paraméterek!$P$224),$D$7-IF($D$4="Forint",Paraméterek!$F$223,Paraméterek!$F$224),0),MIN(IF($AA827=12,AVERAGE($D$20:$D827)*12,0),SUM($D$20:$D$31)))</f>
        <v>0</v>
      </c>
      <c r="AG827" s="13">
        <f>IF(AND($Z827&gt;=10,MOD($Z827,5)=0),$AF827*IF($AA827=12,VLOOKUP($Z827,Paraméterek!$B$225:$F$240,IF($AF827&lt;IF($D$4="Forint",Paraméterek!$C$223,Paraméterek!$C$224),2,IF($AF827&lt;IF($D$4="Forint",Paraméterek!$D$223,Paraméterek!$D$224),3,4))),0),0)</f>
        <v>0</v>
      </c>
      <c r="AH827" s="13">
        <f>IF(AND($Z827&gt;=5,MOD($Z827,5)=0),IF($AA827=12,VLOOKUP($Z827,Paraméterek!$B$225:$F$240,5),0),IF(OR($Z827=3,$Z827=4),IF($AA827=12,VLOOKUP($Z827,Paraméterek!$B$225:$F$240,5,0),0),0))*$AF827</f>
        <v>0</v>
      </c>
      <c r="AI827" s="13">
        <f>ROUNDDOWN(IF(SUM($T$20:$U827)=0,IF($D$2="Egyszeri",$AH827,$AG827),0),IF($D$4="Forint",0,2))</f>
        <v>0</v>
      </c>
      <c r="AJ827" s="13">
        <f t="shared" si="192"/>
        <v>0</v>
      </c>
      <c r="AK827" s="13">
        <f t="shared" si="193"/>
        <v>0</v>
      </c>
      <c r="AM827" s="32">
        <v>808</v>
      </c>
      <c r="AN827" s="32">
        <v>68</v>
      </c>
      <c r="AO827" s="32">
        <v>4</v>
      </c>
      <c r="AP827" s="13"/>
      <c r="AQ827" s="32"/>
      <c r="AR827" s="13">
        <f t="shared" si="194"/>
        <v>0</v>
      </c>
      <c r="AS827" s="33"/>
      <c r="AT827" s="13">
        <f t="shared" si="188"/>
        <v>0</v>
      </c>
      <c r="AU827" s="13">
        <f>ROUNDUP(($AR827+$AT827)*VLOOKUP($AN827,Paraméterek!$P$38:$Q$38,2)/12,IF($D$4="Forint",0,2))</f>
        <v>0</v>
      </c>
      <c r="AV827" s="13"/>
      <c r="AW827" s="13"/>
      <c r="AX827" s="13">
        <f>ROUNDUP(IF(SUM($AV827:$AW827)=0,0,IF(IF(ISBLANK($AW827),$AV827,$AW827)*Paraméterek!$J$112&lt;IF($D$4="Forint",Paraméterek!$J$113,Paraméterek!$K$113),IF($D$4="Forint",Paraméterek!$J$113,Paraméterek!$K$113),IF(IF(ISBLANK($AW827),$AV827,$AW827)*Paraméterek!$J$112&gt;IF($D$4="Forint",Paraméterek!$J$114,Paraméterek!$K$114),IF($D$4="Forint",Paraméterek!$J$114,Paraméterek!$K$114),IF(ISBLANK($AW827),$AV827,$AW827)*Paraméterek!$J$112))),IF($D$4="Forint",0,2))</f>
        <v>0</v>
      </c>
      <c r="AY827" s="13">
        <f>$AR827+$AT827-$AU827-IF(ROUNDDOWN(IF(ISBLANK($AW827),$AV827,$AW827),IF($D$4="Forint",0,2))&gt;$AR827+$AT827-$AU827-IF($D$4="Forint",Paraméterek!$J$114,Paraméterek!$K$114),0,ROUNDDOWN(IF(ISBLANK($AW827),$AV827,$AW827),IF($D$4="Forint",0,2))-$AX827)</f>
        <v>0</v>
      </c>
      <c r="AZ827" s="13">
        <f t="shared" si="189"/>
        <v>0</v>
      </c>
    </row>
    <row r="828" spans="1:52" x14ac:dyDescent="0.2">
      <c r="A828" s="32">
        <v>809</v>
      </c>
      <c r="B828" s="32">
        <v>68</v>
      </c>
      <c r="C828" s="32">
        <v>5</v>
      </c>
      <c r="D828" s="13">
        <f t="shared" si="180"/>
        <v>0</v>
      </c>
      <c r="E828" s="13"/>
      <c r="F828" s="13"/>
      <c r="G828" s="13"/>
      <c r="H828" s="13">
        <f t="shared" si="181"/>
        <v>0</v>
      </c>
      <c r="I828" s="13">
        <f t="shared" si="182"/>
        <v>0</v>
      </c>
      <c r="J828" s="13">
        <f t="shared" si="183"/>
        <v>0</v>
      </c>
      <c r="K828" s="13">
        <f>ROUNDUP(IF($D$2="Egyszeri",$D828,IF($D$2="Havi",SUM($D$20:$D$31),IF(MOD($C828,$M$1)-1=0,SUM($D$20:$D$31),0))/12*$M$1)*VLOOKUP($B828,Paraméterek!$B$27:$D$30,IF($D$2="Egyszeri",3,2)),IF($D$4="Forint",0,2))</f>
        <v>0</v>
      </c>
      <c r="L828" s="13">
        <f t="shared" si="184"/>
        <v>0</v>
      </c>
      <c r="M828" s="13">
        <f t="shared" ca="1" si="190"/>
        <v>-816388</v>
      </c>
      <c r="N828" s="13">
        <f ca="1">IF($V827&gt;=VLOOKUP($M$4-1+$B828,Paraméterek!$B$121:$D$122,IF($D$4="Forint",2,3)),0,VLOOKUP($M$4-1+$B828,Paraméterek!$B$121:$D$122,IF($D$4="Forint",2,3))-$V827)</f>
        <v>826388</v>
      </c>
      <c r="O828" s="13">
        <f ca="1">ROUNDUP($N828*Paraméterek!$C$58/Paraméterek!$C$56,IF($D$4="Forint",0,2))</f>
        <v>132</v>
      </c>
      <c r="P828" s="13">
        <f t="shared" si="185"/>
        <v>3986</v>
      </c>
      <c r="Q828" s="33"/>
      <c r="R828" s="13">
        <f t="shared" ca="1" si="186"/>
        <v>0</v>
      </c>
      <c r="S828" s="13">
        <f ca="1">ROUNDUP(($M828-$O828-$P828+$R828)*VLOOKUP($B828,Paraméterek!$B$38:$D$39,IF($D$2="Egyszeri",3,2))/12,IF($D$4="Forint",0,2))</f>
        <v>-2004</v>
      </c>
      <c r="T828" s="13"/>
      <c r="U828" s="13"/>
      <c r="V828" s="13">
        <f ca="1">$M828-$O828-$P828+$R828-$S828-IF(ROUNDUP(IF(ISBLANK($U828),$T828,$U828)/IF(AND($B828=1,$D$2&lt;&gt;"Egyszeri"),1,VLOOKUP($B828+IF($C828=12,1,0),Paraméterek!$B$257:$D$267,IF($D$2="Egyszeri",3,2))),IF($D$4="Forint",0,2))&gt;$M828-$O828-$P828+$R828-$S828-IF($D$4="Forint",Paraméterek!$C$216,Paraméterek!$D$216),0,ROUNDUP(IF(ISBLANK($U828),$T828,$U828)/IF(AND($B828=1,$D$2&lt;&gt;"Egyszeri"),1,VLOOKUP($B828+IF($C828=12,1,0),Paraméterek!$B$257:$D$267,IF($D$2="Egyszeri",3,2))),IF($D$4="Forint",0,2)))</f>
        <v>-818502</v>
      </c>
      <c r="W828" s="13">
        <f ca="1">ROUNDDOWN($V828*VLOOKUP($B828+IF($C828=12,1,0),Paraméterek!$B$257:$D$267,IF($D$2="Egyszeri",3,2)),IF($D$4="Forint",0,2))</f>
        <v>-818502</v>
      </c>
      <c r="Y828" s="32">
        <v>809</v>
      </c>
      <c r="Z828" s="32">
        <v>68</v>
      </c>
      <c r="AA828" s="32">
        <v>5</v>
      </c>
      <c r="AB828" s="13">
        <f t="shared" si="191"/>
        <v>0</v>
      </c>
      <c r="AC828" s="33"/>
      <c r="AD828" s="13">
        <f t="shared" si="187"/>
        <v>0</v>
      </c>
      <c r="AE828" s="13">
        <f>ROUNDUP(($AB828+$AD828)*VLOOKUP($Z828,Paraméterek!$P$38:$Q$38,2)/12,IF($D$4="Forint",0,2))</f>
        <v>0</v>
      </c>
      <c r="AF828" s="13">
        <f>IF($D$2="Egyszeri",IF($D$7&gt;=IF($D$4="Forint",Paraméterek!$P$223,Paraméterek!$P$224),$D$7-IF($D$4="Forint",Paraméterek!$F$223,Paraméterek!$F$224),0),MIN(IF($AA828=12,AVERAGE($D$20:$D828)*12,0),SUM($D$20:$D$31)))</f>
        <v>0</v>
      </c>
      <c r="AG828" s="13">
        <f>IF(AND($Z828&gt;=10,MOD($Z828,5)=0),$AF828*IF($AA828=12,VLOOKUP($Z828,Paraméterek!$B$225:$F$240,IF($AF828&lt;IF($D$4="Forint",Paraméterek!$C$223,Paraméterek!$C$224),2,IF($AF828&lt;IF($D$4="Forint",Paraméterek!$D$223,Paraméterek!$D$224),3,4))),0),0)</f>
        <v>0</v>
      </c>
      <c r="AH828" s="13">
        <f>IF(AND($Z828&gt;=5,MOD($Z828,5)=0),IF($AA828=12,VLOOKUP($Z828,Paraméterek!$B$225:$F$240,5),0),IF(OR($Z828=3,$Z828=4),IF($AA828=12,VLOOKUP($Z828,Paraméterek!$B$225:$F$240,5,0),0),0))*$AF828</f>
        <v>0</v>
      </c>
      <c r="AI828" s="13">
        <f>ROUNDDOWN(IF(SUM($T$20:$U828)=0,IF($D$2="Egyszeri",$AH828,$AG828),0),IF($D$4="Forint",0,2))</f>
        <v>0</v>
      </c>
      <c r="AJ828" s="13">
        <f t="shared" si="192"/>
        <v>0</v>
      </c>
      <c r="AK828" s="13">
        <f t="shared" si="193"/>
        <v>0</v>
      </c>
      <c r="AM828" s="32">
        <v>809</v>
      </c>
      <c r="AN828" s="32">
        <v>68</v>
      </c>
      <c r="AO828" s="32">
        <v>5</v>
      </c>
      <c r="AP828" s="13"/>
      <c r="AQ828" s="32"/>
      <c r="AR828" s="13">
        <f t="shared" si="194"/>
        <v>0</v>
      </c>
      <c r="AS828" s="33"/>
      <c r="AT828" s="13">
        <f t="shared" si="188"/>
        <v>0</v>
      </c>
      <c r="AU828" s="13">
        <f>ROUNDUP(($AR828+$AT828)*VLOOKUP($AN828,Paraméterek!$P$38:$Q$38,2)/12,IF($D$4="Forint",0,2))</f>
        <v>0</v>
      </c>
      <c r="AV828" s="13"/>
      <c r="AW828" s="13"/>
      <c r="AX828" s="13">
        <f>ROUNDUP(IF(SUM($AV828:$AW828)=0,0,IF(IF(ISBLANK($AW828),$AV828,$AW828)*Paraméterek!$J$112&lt;IF($D$4="Forint",Paraméterek!$J$113,Paraméterek!$K$113),IF($D$4="Forint",Paraméterek!$J$113,Paraméterek!$K$113),IF(IF(ISBLANK($AW828),$AV828,$AW828)*Paraméterek!$J$112&gt;IF($D$4="Forint",Paraméterek!$J$114,Paraméterek!$K$114),IF($D$4="Forint",Paraméterek!$J$114,Paraméterek!$K$114),IF(ISBLANK($AW828),$AV828,$AW828)*Paraméterek!$J$112))),IF($D$4="Forint",0,2))</f>
        <v>0</v>
      </c>
      <c r="AY828" s="13">
        <f>$AR828+$AT828-$AU828-IF(ROUNDDOWN(IF(ISBLANK($AW828),$AV828,$AW828),IF($D$4="Forint",0,2))&gt;$AR828+$AT828-$AU828-IF($D$4="Forint",Paraméterek!$J$114,Paraméterek!$K$114),0,ROUNDDOWN(IF(ISBLANK($AW828),$AV828,$AW828),IF($D$4="Forint",0,2))-$AX828)</f>
        <v>0</v>
      </c>
      <c r="AZ828" s="13">
        <f t="shared" si="189"/>
        <v>0</v>
      </c>
    </row>
    <row r="829" spans="1:52" x14ac:dyDescent="0.2">
      <c r="A829" s="32">
        <v>810</v>
      </c>
      <c r="B829" s="32">
        <v>68</v>
      </c>
      <c r="C829" s="32">
        <v>6</v>
      </c>
      <c r="D829" s="13">
        <f t="shared" si="180"/>
        <v>0</v>
      </c>
      <c r="E829" s="13"/>
      <c r="F829" s="13"/>
      <c r="G829" s="13"/>
      <c r="H829" s="13">
        <f t="shared" si="181"/>
        <v>0</v>
      </c>
      <c r="I829" s="13">
        <f t="shared" si="182"/>
        <v>0</v>
      </c>
      <c r="J829" s="13">
        <f t="shared" si="183"/>
        <v>0</v>
      </c>
      <c r="K829" s="13">
        <f>ROUNDUP(IF($D$2="Egyszeri",$D829,IF($D$2="Havi",SUM($D$20:$D$31),IF(MOD($C829,$M$1)-1=0,SUM($D$20:$D$31),0))/12*$M$1)*VLOOKUP($B829,Paraméterek!$B$27:$D$30,IF($D$2="Egyszeri",3,2)),IF($D$4="Forint",0,2))</f>
        <v>0</v>
      </c>
      <c r="L829" s="13">
        <f t="shared" si="184"/>
        <v>0</v>
      </c>
      <c r="M829" s="13">
        <f t="shared" ca="1" si="190"/>
        <v>-818502</v>
      </c>
      <c r="N829" s="13">
        <f ca="1">IF($V828&gt;=VLOOKUP($M$4-1+$B829,Paraméterek!$B$121:$D$122,IF($D$4="Forint",2,3)),0,VLOOKUP($M$4-1+$B829,Paraméterek!$B$121:$D$122,IF($D$4="Forint",2,3))-$V828)</f>
        <v>828502</v>
      </c>
      <c r="O829" s="13">
        <f ca="1">ROUNDUP($N829*Paraméterek!$C$58/Paraméterek!$C$56,IF($D$4="Forint",0,2))</f>
        <v>132</v>
      </c>
      <c r="P829" s="13">
        <f t="shared" si="185"/>
        <v>3986</v>
      </c>
      <c r="Q829" s="33"/>
      <c r="R829" s="13">
        <f t="shared" ca="1" si="186"/>
        <v>0</v>
      </c>
      <c r="S829" s="13">
        <f ca="1">ROUNDUP(($M829-$O829-$P829+$R829)*VLOOKUP($B829,Paraméterek!$B$38:$D$39,IF($D$2="Egyszeri",3,2))/12,IF($D$4="Forint",0,2))</f>
        <v>-2009</v>
      </c>
      <c r="T829" s="13"/>
      <c r="U829" s="13"/>
      <c r="V829" s="13">
        <f ca="1">$M829-$O829-$P829+$R829-$S829-IF(ROUNDUP(IF(ISBLANK($U829),$T829,$U829)/IF(AND($B829=1,$D$2&lt;&gt;"Egyszeri"),1,VLOOKUP($B829+IF($C829=12,1,0),Paraméterek!$B$257:$D$267,IF($D$2="Egyszeri",3,2))),IF($D$4="Forint",0,2))&gt;$M829-$O829-$P829+$R829-$S829-IF($D$4="Forint",Paraméterek!$C$216,Paraméterek!$D$216),0,ROUNDUP(IF(ISBLANK($U829),$T829,$U829)/IF(AND($B829=1,$D$2&lt;&gt;"Egyszeri"),1,VLOOKUP($B829+IF($C829=12,1,0),Paraméterek!$B$257:$D$267,IF($D$2="Egyszeri",3,2))),IF($D$4="Forint",0,2)))</f>
        <v>-820611</v>
      </c>
      <c r="W829" s="13">
        <f ca="1">ROUNDDOWN($V829*VLOOKUP($B829+IF($C829=12,1,0),Paraméterek!$B$257:$D$267,IF($D$2="Egyszeri",3,2)),IF($D$4="Forint",0,2))</f>
        <v>-820611</v>
      </c>
      <c r="Y829" s="32">
        <v>810</v>
      </c>
      <c r="Z829" s="32">
        <v>68</v>
      </c>
      <c r="AA829" s="32">
        <v>6</v>
      </c>
      <c r="AB829" s="13">
        <f t="shared" si="191"/>
        <v>0</v>
      </c>
      <c r="AC829" s="33"/>
      <c r="AD829" s="13">
        <f t="shared" si="187"/>
        <v>0</v>
      </c>
      <c r="AE829" s="13">
        <f>ROUNDUP(($AB829+$AD829)*VLOOKUP($Z829,Paraméterek!$P$38:$Q$38,2)/12,IF($D$4="Forint",0,2))</f>
        <v>0</v>
      </c>
      <c r="AF829" s="13">
        <f>IF($D$2="Egyszeri",IF($D$7&gt;=IF($D$4="Forint",Paraméterek!$P$223,Paraméterek!$P$224),$D$7-IF($D$4="Forint",Paraméterek!$F$223,Paraméterek!$F$224),0),MIN(IF($AA829=12,AVERAGE($D$20:$D829)*12,0),SUM($D$20:$D$31)))</f>
        <v>0</v>
      </c>
      <c r="AG829" s="13">
        <f>IF(AND($Z829&gt;=10,MOD($Z829,5)=0),$AF829*IF($AA829=12,VLOOKUP($Z829,Paraméterek!$B$225:$F$240,IF($AF829&lt;IF($D$4="Forint",Paraméterek!$C$223,Paraméterek!$C$224),2,IF($AF829&lt;IF($D$4="Forint",Paraméterek!$D$223,Paraméterek!$D$224),3,4))),0),0)</f>
        <v>0</v>
      </c>
      <c r="AH829" s="13">
        <f>IF(AND($Z829&gt;=5,MOD($Z829,5)=0),IF($AA829=12,VLOOKUP($Z829,Paraméterek!$B$225:$F$240,5),0),IF(OR($Z829=3,$Z829=4),IF($AA829=12,VLOOKUP($Z829,Paraméterek!$B$225:$F$240,5,0),0),0))*$AF829</f>
        <v>0</v>
      </c>
      <c r="AI829" s="13">
        <f>ROUNDDOWN(IF(SUM($T$20:$U829)=0,IF($D$2="Egyszeri",$AH829,$AG829),0),IF($D$4="Forint",0,2))</f>
        <v>0</v>
      </c>
      <c r="AJ829" s="13">
        <f t="shared" si="192"/>
        <v>0</v>
      </c>
      <c r="AK829" s="13">
        <f t="shared" si="193"/>
        <v>0</v>
      </c>
      <c r="AM829" s="32">
        <v>810</v>
      </c>
      <c r="AN829" s="32">
        <v>68</v>
      </c>
      <c r="AO829" s="32">
        <v>6</v>
      </c>
      <c r="AP829" s="13"/>
      <c r="AQ829" s="32"/>
      <c r="AR829" s="13">
        <f t="shared" si="194"/>
        <v>0</v>
      </c>
      <c r="AS829" s="33"/>
      <c r="AT829" s="13">
        <f t="shared" si="188"/>
        <v>0</v>
      </c>
      <c r="AU829" s="13">
        <f>ROUNDUP(($AR829+$AT829)*VLOOKUP($AN829,Paraméterek!$P$38:$Q$38,2)/12,IF($D$4="Forint",0,2))</f>
        <v>0</v>
      </c>
      <c r="AV829" s="13"/>
      <c r="AW829" s="13"/>
      <c r="AX829" s="13">
        <f>ROUNDUP(IF(SUM($AV829:$AW829)=0,0,IF(IF(ISBLANK($AW829),$AV829,$AW829)*Paraméterek!$J$112&lt;IF($D$4="Forint",Paraméterek!$J$113,Paraméterek!$K$113),IF($D$4="Forint",Paraméterek!$J$113,Paraméterek!$K$113),IF(IF(ISBLANK($AW829),$AV829,$AW829)*Paraméterek!$J$112&gt;IF($D$4="Forint",Paraméterek!$J$114,Paraméterek!$K$114),IF($D$4="Forint",Paraméterek!$J$114,Paraméterek!$K$114),IF(ISBLANK($AW829),$AV829,$AW829)*Paraméterek!$J$112))),IF($D$4="Forint",0,2))</f>
        <v>0</v>
      </c>
      <c r="AY829" s="13">
        <f>$AR829+$AT829-$AU829-IF(ROUNDDOWN(IF(ISBLANK($AW829),$AV829,$AW829),IF($D$4="Forint",0,2))&gt;$AR829+$AT829-$AU829-IF($D$4="Forint",Paraméterek!$J$114,Paraméterek!$K$114),0,ROUNDDOWN(IF(ISBLANK($AW829),$AV829,$AW829),IF($D$4="Forint",0,2))-$AX829)</f>
        <v>0</v>
      </c>
      <c r="AZ829" s="13">
        <f t="shared" si="189"/>
        <v>0</v>
      </c>
    </row>
    <row r="830" spans="1:52" x14ac:dyDescent="0.2">
      <c r="A830" s="32">
        <v>811</v>
      </c>
      <c r="B830" s="32">
        <v>68</v>
      </c>
      <c r="C830" s="32">
        <v>7</v>
      </c>
      <c r="D830" s="13">
        <f t="shared" si="180"/>
        <v>0</v>
      </c>
      <c r="E830" s="13"/>
      <c r="F830" s="13"/>
      <c r="G830" s="13"/>
      <c r="H830" s="13">
        <f t="shared" si="181"/>
        <v>0</v>
      </c>
      <c r="I830" s="13">
        <f t="shared" si="182"/>
        <v>0</v>
      </c>
      <c r="J830" s="13">
        <f t="shared" si="183"/>
        <v>0</v>
      </c>
      <c r="K830" s="13">
        <f>ROUNDUP(IF($D$2="Egyszeri",$D830,IF($D$2="Havi",SUM($D$20:$D$31),IF(MOD($C830,$M$1)-1=0,SUM($D$20:$D$31),0))/12*$M$1)*VLOOKUP($B830,Paraméterek!$B$27:$D$30,IF($D$2="Egyszeri",3,2)),IF($D$4="Forint",0,2))</f>
        <v>0</v>
      </c>
      <c r="L830" s="13">
        <f t="shared" si="184"/>
        <v>0</v>
      </c>
      <c r="M830" s="13">
        <f t="shared" ca="1" si="190"/>
        <v>-820611</v>
      </c>
      <c r="N830" s="13">
        <f ca="1">IF($V829&gt;=VLOOKUP($M$4-1+$B830,Paraméterek!$B$121:$D$122,IF($D$4="Forint",2,3)),0,VLOOKUP($M$4-1+$B830,Paraméterek!$B$121:$D$122,IF($D$4="Forint",2,3))-$V829)</f>
        <v>830611</v>
      </c>
      <c r="O830" s="13">
        <f ca="1">ROUNDUP($N830*Paraméterek!$C$58/Paraméterek!$C$56,IF($D$4="Forint",0,2))</f>
        <v>133</v>
      </c>
      <c r="P830" s="13">
        <f t="shared" si="185"/>
        <v>3986</v>
      </c>
      <c r="Q830" s="33"/>
      <c r="R830" s="13">
        <f t="shared" ca="1" si="186"/>
        <v>0</v>
      </c>
      <c r="S830" s="13">
        <f ca="1">ROUNDUP(($M830-$O830-$P830+$R830)*VLOOKUP($B830,Paraméterek!$B$38:$D$39,IF($D$2="Egyszeri",3,2))/12,IF($D$4="Forint",0,2))</f>
        <v>-2014</v>
      </c>
      <c r="T830" s="13"/>
      <c r="U830" s="13"/>
      <c r="V830" s="13">
        <f ca="1">$M830-$O830-$P830+$R830-$S830-IF(ROUNDUP(IF(ISBLANK($U830),$T830,$U830)/IF(AND($B830=1,$D$2&lt;&gt;"Egyszeri"),1,VLOOKUP($B830+IF($C830=12,1,0),Paraméterek!$B$257:$D$267,IF($D$2="Egyszeri",3,2))),IF($D$4="Forint",0,2))&gt;$M830-$O830-$P830+$R830-$S830-IF($D$4="Forint",Paraméterek!$C$216,Paraméterek!$D$216),0,ROUNDUP(IF(ISBLANK($U830),$T830,$U830)/IF(AND($B830=1,$D$2&lt;&gt;"Egyszeri"),1,VLOOKUP($B830+IF($C830=12,1,0),Paraméterek!$B$257:$D$267,IF($D$2="Egyszeri",3,2))),IF($D$4="Forint",0,2)))</f>
        <v>-822716</v>
      </c>
      <c r="W830" s="13">
        <f ca="1">ROUNDDOWN($V830*VLOOKUP($B830+IF($C830=12,1,0),Paraméterek!$B$257:$D$267,IF($D$2="Egyszeri",3,2)),IF($D$4="Forint",0,2))</f>
        <v>-822716</v>
      </c>
      <c r="Y830" s="32">
        <v>811</v>
      </c>
      <c r="Z830" s="32">
        <v>68</v>
      </c>
      <c r="AA830" s="32">
        <v>7</v>
      </c>
      <c r="AB830" s="13">
        <f t="shared" si="191"/>
        <v>0</v>
      </c>
      <c r="AC830" s="33"/>
      <c r="AD830" s="13">
        <f t="shared" si="187"/>
        <v>0</v>
      </c>
      <c r="AE830" s="13">
        <f>ROUNDUP(($AB830+$AD830)*VLOOKUP($Z830,Paraméterek!$P$38:$Q$38,2)/12,IF($D$4="Forint",0,2))</f>
        <v>0</v>
      </c>
      <c r="AF830" s="13">
        <f>IF($D$2="Egyszeri",IF($D$7&gt;=IF($D$4="Forint",Paraméterek!$P$223,Paraméterek!$P$224),$D$7-IF($D$4="Forint",Paraméterek!$F$223,Paraméterek!$F$224),0),MIN(IF($AA830=12,AVERAGE($D$20:$D830)*12,0),SUM($D$20:$D$31)))</f>
        <v>0</v>
      </c>
      <c r="AG830" s="13">
        <f>IF(AND($Z830&gt;=10,MOD($Z830,5)=0),$AF830*IF($AA830=12,VLOOKUP($Z830,Paraméterek!$B$225:$F$240,IF($AF830&lt;IF($D$4="Forint",Paraméterek!$C$223,Paraméterek!$C$224),2,IF($AF830&lt;IF($D$4="Forint",Paraméterek!$D$223,Paraméterek!$D$224),3,4))),0),0)</f>
        <v>0</v>
      </c>
      <c r="AH830" s="13">
        <f>IF(AND($Z830&gt;=5,MOD($Z830,5)=0),IF($AA830=12,VLOOKUP($Z830,Paraméterek!$B$225:$F$240,5),0),IF(OR($Z830=3,$Z830=4),IF($AA830=12,VLOOKUP($Z830,Paraméterek!$B$225:$F$240,5,0),0),0))*$AF830</f>
        <v>0</v>
      </c>
      <c r="AI830" s="13">
        <f>ROUNDDOWN(IF(SUM($T$20:$U830)=0,IF($D$2="Egyszeri",$AH830,$AG830),0),IF($D$4="Forint",0,2))</f>
        <v>0</v>
      </c>
      <c r="AJ830" s="13">
        <f t="shared" si="192"/>
        <v>0</v>
      </c>
      <c r="AK830" s="13">
        <f t="shared" si="193"/>
        <v>0</v>
      </c>
      <c r="AM830" s="32">
        <v>811</v>
      </c>
      <c r="AN830" s="32">
        <v>68</v>
      </c>
      <c r="AO830" s="32">
        <v>7</v>
      </c>
      <c r="AP830" s="13"/>
      <c r="AQ830" s="32"/>
      <c r="AR830" s="13">
        <f t="shared" si="194"/>
        <v>0</v>
      </c>
      <c r="AS830" s="33"/>
      <c r="AT830" s="13">
        <f t="shared" si="188"/>
        <v>0</v>
      </c>
      <c r="AU830" s="13">
        <f>ROUNDUP(($AR830+$AT830)*VLOOKUP($AN830,Paraméterek!$P$38:$Q$38,2)/12,IF($D$4="Forint",0,2))</f>
        <v>0</v>
      </c>
      <c r="AV830" s="13"/>
      <c r="AW830" s="13"/>
      <c r="AX830" s="13">
        <f>ROUNDUP(IF(SUM($AV830:$AW830)=0,0,IF(IF(ISBLANK($AW830),$AV830,$AW830)*Paraméterek!$J$112&lt;IF($D$4="Forint",Paraméterek!$J$113,Paraméterek!$K$113),IF($D$4="Forint",Paraméterek!$J$113,Paraméterek!$K$113),IF(IF(ISBLANK($AW830),$AV830,$AW830)*Paraméterek!$J$112&gt;IF($D$4="Forint",Paraméterek!$J$114,Paraméterek!$K$114),IF($D$4="Forint",Paraméterek!$J$114,Paraméterek!$K$114),IF(ISBLANK($AW830),$AV830,$AW830)*Paraméterek!$J$112))),IF($D$4="Forint",0,2))</f>
        <v>0</v>
      </c>
      <c r="AY830" s="13">
        <f>$AR830+$AT830-$AU830-IF(ROUNDDOWN(IF(ISBLANK($AW830),$AV830,$AW830),IF($D$4="Forint",0,2))&gt;$AR830+$AT830-$AU830-IF($D$4="Forint",Paraméterek!$J$114,Paraméterek!$K$114),0,ROUNDDOWN(IF(ISBLANK($AW830),$AV830,$AW830),IF($D$4="Forint",0,2))-$AX830)</f>
        <v>0</v>
      </c>
      <c r="AZ830" s="13">
        <f t="shared" si="189"/>
        <v>0</v>
      </c>
    </row>
    <row r="831" spans="1:52" x14ac:dyDescent="0.2">
      <c r="A831" s="32">
        <v>812</v>
      </c>
      <c r="B831" s="32">
        <v>68</v>
      </c>
      <c r="C831" s="32">
        <v>8</v>
      </c>
      <c r="D831" s="13">
        <f t="shared" si="180"/>
        <v>0</v>
      </c>
      <c r="E831" s="13"/>
      <c r="F831" s="13"/>
      <c r="G831" s="13"/>
      <c r="H831" s="13">
        <f t="shared" si="181"/>
        <v>0</v>
      </c>
      <c r="I831" s="13">
        <f t="shared" si="182"/>
        <v>0</v>
      </c>
      <c r="J831" s="13">
        <f t="shared" si="183"/>
        <v>0</v>
      </c>
      <c r="K831" s="13">
        <f>ROUNDUP(IF($D$2="Egyszeri",$D831,IF($D$2="Havi",SUM($D$20:$D$31),IF(MOD($C831,$M$1)-1=0,SUM($D$20:$D$31),0))/12*$M$1)*VLOOKUP($B831,Paraméterek!$B$27:$D$30,IF($D$2="Egyszeri",3,2)),IF($D$4="Forint",0,2))</f>
        <v>0</v>
      </c>
      <c r="L831" s="13">
        <f t="shared" si="184"/>
        <v>0</v>
      </c>
      <c r="M831" s="13">
        <f t="shared" ca="1" si="190"/>
        <v>-822716</v>
      </c>
      <c r="N831" s="13">
        <f ca="1">IF($V830&gt;=VLOOKUP($M$4-1+$B831,Paraméterek!$B$121:$D$122,IF($D$4="Forint",2,3)),0,VLOOKUP($M$4-1+$B831,Paraméterek!$B$121:$D$122,IF($D$4="Forint",2,3))-$V830)</f>
        <v>832716</v>
      </c>
      <c r="O831" s="13">
        <f ca="1">ROUNDUP($N831*Paraméterek!$C$58/Paraméterek!$C$56,IF($D$4="Forint",0,2))</f>
        <v>133</v>
      </c>
      <c r="P831" s="13">
        <f t="shared" si="185"/>
        <v>3986</v>
      </c>
      <c r="Q831" s="33"/>
      <c r="R831" s="13">
        <f t="shared" ca="1" si="186"/>
        <v>0</v>
      </c>
      <c r="S831" s="13">
        <f ca="1">ROUNDUP(($M831-$O831-$P831+$R831)*VLOOKUP($B831,Paraméterek!$B$38:$D$39,IF($D$2="Egyszeri",3,2))/12,IF($D$4="Forint",0,2))</f>
        <v>-2019</v>
      </c>
      <c r="T831" s="13"/>
      <c r="U831" s="13"/>
      <c r="V831" s="13">
        <f ca="1">$M831-$O831-$P831+$R831-$S831-IF(ROUNDUP(IF(ISBLANK($U831),$T831,$U831)/IF(AND($B831=1,$D$2&lt;&gt;"Egyszeri"),1,VLOOKUP($B831+IF($C831=12,1,0),Paraméterek!$B$257:$D$267,IF($D$2="Egyszeri",3,2))),IF($D$4="Forint",0,2))&gt;$M831-$O831-$P831+$R831-$S831-IF($D$4="Forint",Paraméterek!$C$216,Paraméterek!$D$216),0,ROUNDUP(IF(ISBLANK($U831),$T831,$U831)/IF(AND($B831=1,$D$2&lt;&gt;"Egyszeri"),1,VLOOKUP($B831+IF($C831=12,1,0),Paraméterek!$B$257:$D$267,IF($D$2="Egyszeri",3,2))),IF($D$4="Forint",0,2)))</f>
        <v>-824816</v>
      </c>
      <c r="W831" s="13">
        <f ca="1">ROUNDDOWN($V831*VLOOKUP($B831+IF($C831=12,1,0),Paraméterek!$B$257:$D$267,IF($D$2="Egyszeri",3,2)),IF($D$4="Forint",0,2))</f>
        <v>-824816</v>
      </c>
      <c r="Y831" s="32">
        <v>812</v>
      </c>
      <c r="Z831" s="32">
        <v>68</v>
      </c>
      <c r="AA831" s="32">
        <v>8</v>
      </c>
      <c r="AB831" s="13">
        <f t="shared" si="191"/>
        <v>0</v>
      </c>
      <c r="AC831" s="33"/>
      <c r="AD831" s="13">
        <f t="shared" si="187"/>
        <v>0</v>
      </c>
      <c r="AE831" s="13">
        <f>ROUNDUP(($AB831+$AD831)*VLOOKUP($Z831,Paraméterek!$P$38:$Q$38,2)/12,IF($D$4="Forint",0,2))</f>
        <v>0</v>
      </c>
      <c r="AF831" s="13">
        <f>IF($D$2="Egyszeri",IF($D$7&gt;=IF($D$4="Forint",Paraméterek!$P$223,Paraméterek!$P$224),$D$7-IF($D$4="Forint",Paraméterek!$F$223,Paraméterek!$F$224),0),MIN(IF($AA831=12,AVERAGE($D$20:$D831)*12,0),SUM($D$20:$D$31)))</f>
        <v>0</v>
      </c>
      <c r="AG831" s="13">
        <f>IF(AND($Z831&gt;=10,MOD($Z831,5)=0),$AF831*IF($AA831=12,VLOOKUP($Z831,Paraméterek!$B$225:$F$240,IF($AF831&lt;IF($D$4="Forint",Paraméterek!$C$223,Paraméterek!$C$224),2,IF($AF831&lt;IF($D$4="Forint",Paraméterek!$D$223,Paraméterek!$D$224),3,4))),0),0)</f>
        <v>0</v>
      </c>
      <c r="AH831" s="13">
        <f>IF(AND($Z831&gt;=5,MOD($Z831,5)=0),IF($AA831=12,VLOOKUP($Z831,Paraméterek!$B$225:$F$240,5),0),IF(OR($Z831=3,$Z831=4),IF($AA831=12,VLOOKUP($Z831,Paraméterek!$B$225:$F$240,5,0),0),0))*$AF831</f>
        <v>0</v>
      </c>
      <c r="AI831" s="13">
        <f>ROUNDDOWN(IF(SUM($T$20:$U831)=0,IF($D$2="Egyszeri",$AH831,$AG831),0),IF($D$4="Forint",0,2))</f>
        <v>0</v>
      </c>
      <c r="AJ831" s="13">
        <f t="shared" si="192"/>
        <v>0</v>
      </c>
      <c r="AK831" s="13">
        <f t="shared" si="193"/>
        <v>0</v>
      </c>
      <c r="AM831" s="32">
        <v>812</v>
      </c>
      <c r="AN831" s="32">
        <v>68</v>
      </c>
      <c r="AO831" s="32">
        <v>8</v>
      </c>
      <c r="AP831" s="13"/>
      <c r="AQ831" s="32"/>
      <c r="AR831" s="13">
        <f t="shared" si="194"/>
        <v>0</v>
      </c>
      <c r="AS831" s="33"/>
      <c r="AT831" s="13">
        <f t="shared" si="188"/>
        <v>0</v>
      </c>
      <c r="AU831" s="13">
        <f>ROUNDUP(($AR831+$AT831)*VLOOKUP($AN831,Paraméterek!$P$38:$Q$38,2)/12,IF($D$4="Forint",0,2))</f>
        <v>0</v>
      </c>
      <c r="AV831" s="13"/>
      <c r="AW831" s="13"/>
      <c r="AX831" s="13">
        <f>ROUNDUP(IF(SUM($AV831:$AW831)=0,0,IF(IF(ISBLANK($AW831),$AV831,$AW831)*Paraméterek!$J$112&lt;IF($D$4="Forint",Paraméterek!$J$113,Paraméterek!$K$113),IF($D$4="Forint",Paraméterek!$J$113,Paraméterek!$K$113),IF(IF(ISBLANK($AW831),$AV831,$AW831)*Paraméterek!$J$112&gt;IF($D$4="Forint",Paraméterek!$J$114,Paraméterek!$K$114),IF($D$4="Forint",Paraméterek!$J$114,Paraméterek!$K$114),IF(ISBLANK($AW831),$AV831,$AW831)*Paraméterek!$J$112))),IF($D$4="Forint",0,2))</f>
        <v>0</v>
      </c>
      <c r="AY831" s="13">
        <f>$AR831+$AT831-$AU831-IF(ROUNDDOWN(IF(ISBLANK($AW831),$AV831,$AW831),IF($D$4="Forint",0,2))&gt;$AR831+$AT831-$AU831-IF($D$4="Forint",Paraméterek!$J$114,Paraméterek!$K$114),0,ROUNDDOWN(IF(ISBLANK($AW831),$AV831,$AW831),IF($D$4="Forint",0,2))-$AX831)</f>
        <v>0</v>
      </c>
      <c r="AZ831" s="13">
        <f t="shared" si="189"/>
        <v>0</v>
      </c>
    </row>
    <row r="832" spans="1:52" x14ac:dyDescent="0.2">
      <c r="A832" s="32">
        <v>813</v>
      </c>
      <c r="B832" s="32">
        <v>68</v>
      </c>
      <c r="C832" s="32">
        <v>9</v>
      </c>
      <c r="D832" s="13">
        <f t="shared" si="180"/>
        <v>0</v>
      </c>
      <c r="E832" s="13"/>
      <c r="F832" s="13"/>
      <c r="G832" s="13"/>
      <c r="H832" s="13">
        <f t="shared" si="181"/>
        <v>0</v>
      </c>
      <c r="I832" s="13">
        <f t="shared" si="182"/>
        <v>0</v>
      </c>
      <c r="J832" s="13">
        <f t="shared" si="183"/>
        <v>0</v>
      </c>
      <c r="K832" s="13">
        <f>ROUNDUP(IF($D$2="Egyszeri",$D832,IF($D$2="Havi",SUM($D$20:$D$31),IF(MOD($C832,$M$1)-1=0,SUM($D$20:$D$31),0))/12*$M$1)*VLOOKUP($B832,Paraméterek!$B$27:$D$30,IF($D$2="Egyszeri",3,2)),IF($D$4="Forint",0,2))</f>
        <v>0</v>
      </c>
      <c r="L832" s="13">
        <f t="shared" si="184"/>
        <v>0</v>
      </c>
      <c r="M832" s="13">
        <f t="shared" ca="1" si="190"/>
        <v>-824816</v>
      </c>
      <c r="N832" s="13">
        <f ca="1">IF($V831&gt;=VLOOKUP($M$4-1+$B832,Paraméterek!$B$121:$D$122,IF($D$4="Forint",2,3)),0,VLOOKUP($M$4-1+$B832,Paraméterek!$B$121:$D$122,IF($D$4="Forint",2,3))-$V831)</f>
        <v>834816</v>
      </c>
      <c r="O832" s="13">
        <f ca="1">ROUNDUP($N832*Paraméterek!$C$58/Paraméterek!$C$56,IF($D$4="Forint",0,2))</f>
        <v>133</v>
      </c>
      <c r="P832" s="13">
        <f t="shared" si="185"/>
        <v>3986</v>
      </c>
      <c r="Q832" s="33"/>
      <c r="R832" s="13">
        <f t="shared" ca="1" si="186"/>
        <v>0</v>
      </c>
      <c r="S832" s="13">
        <f ca="1">ROUNDUP(($M832-$O832-$P832+$R832)*VLOOKUP($B832,Paraméterek!$B$38:$D$39,IF($D$2="Egyszeri",3,2))/12,IF($D$4="Forint",0,2))</f>
        <v>-2024</v>
      </c>
      <c r="T832" s="13"/>
      <c r="U832" s="13"/>
      <c r="V832" s="13">
        <f ca="1">$M832-$O832-$P832+$R832-$S832-IF(ROUNDUP(IF(ISBLANK($U832),$T832,$U832)/IF(AND($B832=1,$D$2&lt;&gt;"Egyszeri"),1,VLOOKUP($B832+IF($C832=12,1,0),Paraméterek!$B$257:$D$267,IF($D$2="Egyszeri",3,2))),IF($D$4="Forint",0,2))&gt;$M832-$O832-$P832+$R832-$S832-IF($D$4="Forint",Paraméterek!$C$216,Paraméterek!$D$216),0,ROUNDUP(IF(ISBLANK($U832),$T832,$U832)/IF(AND($B832=1,$D$2&lt;&gt;"Egyszeri"),1,VLOOKUP($B832+IF($C832=12,1,0),Paraméterek!$B$257:$D$267,IF($D$2="Egyszeri",3,2))),IF($D$4="Forint",0,2)))</f>
        <v>-826911</v>
      </c>
      <c r="W832" s="13">
        <f ca="1">ROUNDDOWN($V832*VLOOKUP($B832+IF($C832=12,1,0),Paraméterek!$B$257:$D$267,IF($D$2="Egyszeri",3,2)),IF($D$4="Forint",0,2))</f>
        <v>-826911</v>
      </c>
      <c r="Y832" s="32">
        <v>813</v>
      </c>
      <c r="Z832" s="32">
        <v>68</v>
      </c>
      <c r="AA832" s="32">
        <v>9</v>
      </c>
      <c r="AB832" s="13">
        <f t="shared" si="191"/>
        <v>0</v>
      </c>
      <c r="AC832" s="33"/>
      <c r="AD832" s="13">
        <f t="shared" si="187"/>
        <v>0</v>
      </c>
      <c r="AE832" s="13">
        <f>ROUNDUP(($AB832+$AD832)*VLOOKUP($Z832,Paraméterek!$P$38:$Q$38,2)/12,IF($D$4="Forint",0,2))</f>
        <v>0</v>
      </c>
      <c r="AF832" s="13">
        <f>IF($D$2="Egyszeri",IF($D$7&gt;=IF($D$4="Forint",Paraméterek!$P$223,Paraméterek!$P$224),$D$7-IF($D$4="Forint",Paraméterek!$F$223,Paraméterek!$F$224),0),MIN(IF($AA832=12,AVERAGE($D$20:$D832)*12,0),SUM($D$20:$D$31)))</f>
        <v>0</v>
      </c>
      <c r="AG832" s="13">
        <f>IF(AND($Z832&gt;=10,MOD($Z832,5)=0),$AF832*IF($AA832=12,VLOOKUP($Z832,Paraméterek!$B$225:$F$240,IF($AF832&lt;IF($D$4="Forint",Paraméterek!$C$223,Paraméterek!$C$224),2,IF($AF832&lt;IF($D$4="Forint",Paraméterek!$D$223,Paraméterek!$D$224),3,4))),0),0)</f>
        <v>0</v>
      </c>
      <c r="AH832" s="13">
        <f>IF(AND($Z832&gt;=5,MOD($Z832,5)=0),IF($AA832=12,VLOOKUP($Z832,Paraméterek!$B$225:$F$240,5),0),IF(OR($Z832=3,$Z832=4),IF($AA832=12,VLOOKUP($Z832,Paraméterek!$B$225:$F$240,5,0),0),0))*$AF832</f>
        <v>0</v>
      </c>
      <c r="AI832" s="13">
        <f>ROUNDDOWN(IF(SUM($T$20:$U832)=0,IF($D$2="Egyszeri",$AH832,$AG832),0),IF($D$4="Forint",0,2))</f>
        <v>0</v>
      </c>
      <c r="AJ832" s="13">
        <f t="shared" si="192"/>
        <v>0</v>
      </c>
      <c r="AK832" s="13">
        <f t="shared" si="193"/>
        <v>0</v>
      </c>
      <c r="AM832" s="32">
        <v>813</v>
      </c>
      <c r="AN832" s="32">
        <v>68</v>
      </c>
      <c r="AO832" s="32">
        <v>9</v>
      </c>
      <c r="AP832" s="13"/>
      <c r="AQ832" s="32"/>
      <c r="AR832" s="13">
        <f t="shared" si="194"/>
        <v>0</v>
      </c>
      <c r="AS832" s="33"/>
      <c r="AT832" s="13">
        <f t="shared" si="188"/>
        <v>0</v>
      </c>
      <c r="AU832" s="13">
        <f>ROUNDUP(($AR832+$AT832)*VLOOKUP($AN832,Paraméterek!$P$38:$Q$38,2)/12,IF($D$4="Forint",0,2))</f>
        <v>0</v>
      </c>
      <c r="AV832" s="13"/>
      <c r="AW832" s="13"/>
      <c r="AX832" s="13">
        <f>ROUNDUP(IF(SUM($AV832:$AW832)=0,0,IF(IF(ISBLANK($AW832),$AV832,$AW832)*Paraméterek!$J$112&lt;IF($D$4="Forint",Paraméterek!$J$113,Paraméterek!$K$113),IF($D$4="Forint",Paraméterek!$J$113,Paraméterek!$K$113),IF(IF(ISBLANK($AW832),$AV832,$AW832)*Paraméterek!$J$112&gt;IF($D$4="Forint",Paraméterek!$J$114,Paraméterek!$K$114),IF($D$4="Forint",Paraméterek!$J$114,Paraméterek!$K$114),IF(ISBLANK($AW832),$AV832,$AW832)*Paraméterek!$J$112))),IF($D$4="Forint",0,2))</f>
        <v>0</v>
      </c>
      <c r="AY832" s="13">
        <f>$AR832+$AT832-$AU832-IF(ROUNDDOWN(IF(ISBLANK($AW832),$AV832,$AW832),IF($D$4="Forint",0,2))&gt;$AR832+$AT832-$AU832-IF($D$4="Forint",Paraméterek!$J$114,Paraméterek!$K$114),0,ROUNDDOWN(IF(ISBLANK($AW832),$AV832,$AW832),IF($D$4="Forint",0,2))-$AX832)</f>
        <v>0</v>
      </c>
      <c r="AZ832" s="13">
        <f t="shared" si="189"/>
        <v>0</v>
      </c>
    </row>
    <row r="833" spans="1:52" x14ac:dyDescent="0.2">
      <c r="A833" s="32">
        <v>814</v>
      </c>
      <c r="B833" s="32">
        <v>68</v>
      </c>
      <c r="C833" s="32">
        <v>10</v>
      </c>
      <c r="D833" s="13">
        <f t="shared" si="180"/>
        <v>0</v>
      </c>
      <c r="E833" s="13"/>
      <c r="F833" s="13"/>
      <c r="G833" s="13"/>
      <c r="H833" s="13">
        <f t="shared" si="181"/>
        <v>0</v>
      </c>
      <c r="I833" s="13">
        <f t="shared" si="182"/>
        <v>0</v>
      </c>
      <c r="J833" s="13">
        <f t="shared" si="183"/>
        <v>0</v>
      </c>
      <c r="K833" s="13">
        <f>ROUNDUP(IF($D$2="Egyszeri",$D833,IF($D$2="Havi",SUM($D$20:$D$31),IF(MOD($C833,$M$1)-1=0,SUM($D$20:$D$31),0))/12*$M$1)*VLOOKUP($B833,Paraméterek!$B$27:$D$30,IF($D$2="Egyszeri",3,2)),IF($D$4="Forint",0,2))</f>
        <v>0</v>
      </c>
      <c r="L833" s="13">
        <f t="shared" si="184"/>
        <v>0</v>
      </c>
      <c r="M833" s="13">
        <f t="shared" ca="1" si="190"/>
        <v>-826911</v>
      </c>
      <c r="N833" s="13">
        <f ca="1">IF($V832&gt;=VLOOKUP($M$4-1+$B833,Paraméterek!$B$121:$D$122,IF($D$4="Forint",2,3)),0,VLOOKUP($M$4-1+$B833,Paraméterek!$B$121:$D$122,IF($D$4="Forint",2,3))-$V832)</f>
        <v>836911</v>
      </c>
      <c r="O833" s="13">
        <f ca="1">ROUNDUP($N833*Paraméterek!$C$58/Paraméterek!$C$56,IF($D$4="Forint",0,2))</f>
        <v>134</v>
      </c>
      <c r="P833" s="13">
        <f t="shared" si="185"/>
        <v>3986</v>
      </c>
      <c r="Q833" s="33"/>
      <c r="R833" s="13">
        <f t="shared" ca="1" si="186"/>
        <v>0</v>
      </c>
      <c r="S833" s="13">
        <f ca="1">ROUNDUP(($M833-$O833-$P833+$R833)*VLOOKUP($B833,Paraméterek!$B$38:$D$39,IF($D$2="Egyszeri",3,2))/12,IF($D$4="Forint",0,2))</f>
        <v>-2030</v>
      </c>
      <c r="T833" s="13"/>
      <c r="U833" s="13"/>
      <c r="V833" s="13">
        <f ca="1">$M833-$O833-$P833+$R833-$S833-IF(ROUNDUP(IF(ISBLANK($U833),$T833,$U833)/IF(AND($B833=1,$D$2&lt;&gt;"Egyszeri"),1,VLOOKUP($B833+IF($C833=12,1,0),Paraméterek!$B$257:$D$267,IF($D$2="Egyszeri",3,2))),IF($D$4="Forint",0,2))&gt;$M833-$O833-$P833+$R833-$S833-IF($D$4="Forint",Paraméterek!$C$216,Paraméterek!$D$216),0,ROUNDUP(IF(ISBLANK($U833),$T833,$U833)/IF(AND($B833=1,$D$2&lt;&gt;"Egyszeri"),1,VLOOKUP($B833+IF($C833=12,1,0),Paraméterek!$B$257:$D$267,IF($D$2="Egyszeri",3,2))),IF($D$4="Forint",0,2)))</f>
        <v>-829001</v>
      </c>
      <c r="W833" s="13">
        <f ca="1">ROUNDDOWN($V833*VLOOKUP($B833+IF($C833=12,1,0),Paraméterek!$B$257:$D$267,IF($D$2="Egyszeri",3,2)),IF($D$4="Forint",0,2))</f>
        <v>-829001</v>
      </c>
      <c r="Y833" s="32">
        <v>814</v>
      </c>
      <c r="Z833" s="32">
        <v>68</v>
      </c>
      <c r="AA833" s="32">
        <v>10</v>
      </c>
      <c r="AB833" s="13">
        <f t="shared" si="191"/>
        <v>0</v>
      </c>
      <c r="AC833" s="33"/>
      <c r="AD833" s="13">
        <f t="shared" si="187"/>
        <v>0</v>
      </c>
      <c r="AE833" s="13">
        <f>ROUNDUP(($AB833+$AD833)*VLOOKUP($Z833,Paraméterek!$P$38:$Q$38,2)/12,IF($D$4="Forint",0,2))</f>
        <v>0</v>
      </c>
      <c r="AF833" s="13">
        <f>IF($D$2="Egyszeri",IF($D$7&gt;=IF($D$4="Forint",Paraméterek!$P$223,Paraméterek!$P$224),$D$7-IF($D$4="Forint",Paraméterek!$F$223,Paraméterek!$F$224),0),MIN(IF($AA833=12,AVERAGE($D$20:$D833)*12,0),SUM($D$20:$D$31)))</f>
        <v>0</v>
      </c>
      <c r="AG833" s="13">
        <f>IF(AND($Z833&gt;=10,MOD($Z833,5)=0),$AF833*IF($AA833=12,VLOOKUP($Z833,Paraméterek!$B$225:$F$240,IF($AF833&lt;IF($D$4="Forint",Paraméterek!$C$223,Paraméterek!$C$224),2,IF($AF833&lt;IF($D$4="Forint",Paraméterek!$D$223,Paraméterek!$D$224),3,4))),0),0)</f>
        <v>0</v>
      </c>
      <c r="AH833" s="13">
        <f>IF(AND($Z833&gt;=5,MOD($Z833,5)=0),IF($AA833=12,VLOOKUP($Z833,Paraméterek!$B$225:$F$240,5),0),IF(OR($Z833=3,$Z833=4),IF($AA833=12,VLOOKUP($Z833,Paraméterek!$B$225:$F$240,5,0),0),0))*$AF833</f>
        <v>0</v>
      </c>
      <c r="AI833" s="13">
        <f>ROUNDDOWN(IF(SUM($T$20:$U833)=0,IF($D$2="Egyszeri",$AH833,$AG833),0),IF($D$4="Forint",0,2))</f>
        <v>0</v>
      </c>
      <c r="AJ833" s="13">
        <f t="shared" si="192"/>
        <v>0</v>
      </c>
      <c r="AK833" s="13">
        <f t="shared" si="193"/>
        <v>0</v>
      </c>
      <c r="AM833" s="32">
        <v>814</v>
      </c>
      <c r="AN833" s="32">
        <v>68</v>
      </c>
      <c r="AO833" s="32">
        <v>10</v>
      </c>
      <c r="AP833" s="13"/>
      <c r="AQ833" s="32"/>
      <c r="AR833" s="13">
        <f t="shared" si="194"/>
        <v>0</v>
      </c>
      <c r="AS833" s="33"/>
      <c r="AT833" s="13">
        <f t="shared" si="188"/>
        <v>0</v>
      </c>
      <c r="AU833" s="13">
        <f>ROUNDUP(($AR833+$AT833)*VLOOKUP($AN833,Paraméterek!$P$38:$Q$38,2)/12,IF($D$4="Forint",0,2))</f>
        <v>0</v>
      </c>
      <c r="AV833" s="13"/>
      <c r="AW833" s="13"/>
      <c r="AX833" s="13">
        <f>ROUNDUP(IF(SUM($AV833:$AW833)=0,0,IF(IF(ISBLANK($AW833),$AV833,$AW833)*Paraméterek!$J$112&lt;IF($D$4="Forint",Paraméterek!$J$113,Paraméterek!$K$113),IF($D$4="Forint",Paraméterek!$J$113,Paraméterek!$K$113),IF(IF(ISBLANK($AW833),$AV833,$AW833)*Paraméterek!$J$112&gt;IF($D$4="Forint",Paraméterek!$J$114,Paraméterek!$K$114),IF($D$4="Forint",Paraméterek!$J$114,Paraméterek!$K$114),IF(ISBLANK($AW833),$AV833,$AW833)*Paraméterek!$J$112))),IF($D$4="Forint",0,2))</f>
        <v>0</v>
      </c>
      <c r="AY833" s="13">
        <f>$AR833+$AT833-$AU833-IF(ROUNDDOWN(IF(ISBLANK($AW833),$AV833,$AW833),IF($D$4="Forint",0,2))&gt;$AR833+$AT833-$AU833-IF($D$4="Forint",Paraméterek!$J$114,Paraméterek!$K$114),0,ROUNDDOWN(IF(ISBLANK($AW833),$AV833,$AW833),IF($D$4="Forint",0,2))-$AX833)</f>
        <v>0</v>
      </c>
      <c r="AZ833" s="13">
        <f t="shared" si="189"/>
        <v>0</v>
      </c>
    </row>
    <row r="834" spans="1:52" x14ac:dyDescent="0.2">
      <c r="A834" s="32">
        <v>815</v>
      </c>
      <c r="B834" s="32">
        <v>68</v>
      </c>
      <c r="C834" s="32">
        <v>11</v>
      </c>
      <c r="D834" s="13">
        <f t="shared" si="180"/>
        <v>0</v>
      </c>
      <c r="E834" s="13"/>
      <c r="F834" s="13"/>
      <c r="G834" s="13"/>
      <c r="H834" s="13">
        <f t="shared" si="181"/>
        <v>0</v>
      </c>
      <c r="I834" s="13">
        <f t="shared" si="182"/>
        <v>0</v>
      </c>
      <c r="J834" s="13">
        <f t="shared" si="183"/>
        <v>0</v>
      </c>
      <c r="K834" s="13">
        <f>ROUNDUP(IF($D$2="Egyszeri",$D834,IF($D$2="Havi",SUM($D$20:$D$31),IF(MOD($C834,$M$1)-1=0,SUM($D$20:$D$31),0))/12*$M$1)*VLOOKUP($B834,Paraméterek!$B$27:$D$30,IF($D$2="Egyszeri",3,2)),IF($D$4="Forint",0,2))</f>
        <v>0</v>
      </c>
      <c r="L834" s="13">
        <f t="shared" si="184"/>
        <v>0</v>
      </c>
      <c r="M834" s="13">
        <f t="shared" ca="1" si="190"/>
        <v>-829001</v>
      </c>
      <c r="N834" s="13">
        <f ca="1">IF($V833&gt;=VLOOKUP($M$4-1+$B834,Paraméterek!$B$121:$D$122,IF($D$4="Forint",2,3)),0,VLOOKUP($M$4-1+$B834,Paraméterek!$B$121:$D$122,IF($D$4="Forint",2,3))-$V833)</f>
        <v>839001</v>
      </c>
      <c r="O834" s="13">
        <f ca="1">ROUNDUP($N834*Paraméterek!$C$58/Paraméterek!$C$56,IF($D$4="Forint",0,2))</f>
        <v>134</v>
      </c>
      <c r="P834" s="13">
        <f t="shared" si="185"/>
        <v>3986</v>
      </c>
      <c r="Q834" s="33"/>
      <c r="R834" s="13">
        <f t="shared" ca="1" si="186"/>
        <v>0</v>
      </c>
      <c r="S834" s="13">
        <f ca="1">ROUNDUP(($M834-$O834-$P834+$R834)*VLOOKUP($B834,Paraméterek!$B$38:$D$39,IF($D$2="Egyszeri",3,2))/12,IF($D$4="Forint",0,2))</f>
        <v>-2035</v>
      </c>
      <c r="T834" s="13"/>
      <c r="U834" s="13"/>
      <c r="V834" s="13">
        <f ca="1">$M834-$O834-$P834+$R834-$S834-IF(ROUNDUP(IF(ISBLANK($U834),$T834,$U834)/IF(AND($B834=1,$D$2&lt;&gt;"Egyszeri"),1,VLOOKUP($B834+IF($C834=12,1,0),Paraméterek!$B$257:$D$267,IF($D$2="Egyszeri",3,2))),IF($D$4="Forint",0,2))&gt;$M834-$O834-$P834+$R834-$S834-IF($D$4="Forint",Paraméterek!$C$216,Paraméterek!$D$216),0,ROUNDUP(IF(ISBLANK($U834),$T834,$U834)/IF(AND($B834=1,$D$2&lt;&gt;"Egyszeri"),1,VLOOKUP($B834+IF($C834=12,1,0),Paraméterek!$B$257:$D$267,IF($D$2="Egyszeri",3,2))),IF($D$4="Forint",0,2)))</f>
        <v>-831086</v>
      </c>
      <c r="W834" s="13">
        <f ca="1">ROUNDDOWN($V834*VLOOKUP($B834+IF($C834=12,1,0),Paraméterek!$B$257:$D$267,IF($D$2="Egyszeri",3,2)),IF($D$4="Forint",0,2))</f>
        <v>-831086</v>
      </c>
      <c r="Y834" s="32">
        <v>815</v>
      </c>
      <c r="Z834" s="32">
        <v>68</v>
      </c>
      <c r="AA834" s="32">
        <v>11</v>
      </c>
      <c r="AB834" s="13">
        <f t="shared" si="191"/>
        <v>0</v>
      </c>
      <c r="AC834" s="33"/>
      <c r="AD834" s="13">
        <f t="shared" si="187"/>
        <v>0</v>
      </c>
      <c r="AE834" s="13">
        <f>ROUNDUP(($AB834+$AD834)*VLOOKUP($Z834,Paraméterek!$P$38:$Q$38,2)/12,IF($D$4="Forint",0,2))</f>
        <v>0</v>
      </c>
      <c r="AF834" s="13">
        <f>IF($D$2="Egyszeri",IF($D$7&gt;=IF($D$4="Forint",Paraméterek!$P$223,Paraméterek!$P$224),$D$7-IF($D$4="Forint",Paraméterek!$F$223,Paraméterek!$F$224),0),MIN(IF($AA834=12,AVERAGE($D$20:$D834)*12,0),SUM($D$20:$D$31)))</f>
        <v>0</v>
      </c>
      <c r="AG834" s="13">
        <f>IF(AND($Z834&gt;=10,MOD($Z834,5)=0),$AF834*IF($AA834=12,VLOOKUP($Z834,Paraméterek!$B$225:$F$240,IF($AF834&lt;IF($D$4="Forint",Paraméterek!$C$223,Paraméterek!$C$224),2,IF($AF834&lt;IF($D$4="Forint",Paraméterek!$D$223,Paraméterek!$D$224),3,4))),0),0)</f>
        <v>0</v>
      </c>
      <c r="AH834" s="13">
        <f>IF(AND($Z834&gt;=5,MOD($Z834,5)=0),IF($AA834=12,VLOOKUP($Z834,Paraméterek!$B$225:$F$240,5),0),IF(OR($Z834=3,$Z834=4),IF($AA834=12,VLOOKUP($Z834,Paraméterek!$B$225:$F$240,5,0),0),0))*$AF834</f>
        <v>0</v>
      </c>
      <c r="AI834" s="13">
        <f>ROUNDDOWN(IF(SUM($T$20:$U834)=0,IF($D$2="Egyszeri",$AH834,$AG834),0),IF($D$4="Forint",0,2))</f>
        <v>0</v>
      </c>
      <c r="AJ834" s="13">
        <f t="shared" si="192"/>
        <v>0</v>
      </c>
      <c r="AK834" s="13">
        <f t="shared" si="193"/>
        <v>0</v>
      </c>
      <c r="AM834" s="32">
        <v>815</v>
      </c>
      <c r="AN834" s="32">
        <v>68</v>
      </c>
      <c r="AO834" s="32">
        <v>11</v>
      </c>
      <c r="AP834" s="13"/>
      <c r="AQ834" s="32"/>
      <c r="AR834" s="13">
        <f t="shared" si="194"/>
        <v>0</v>
      </c>
      <c r="AS834" s="33"/>
      <c r="AT834" s="13">
        <f t="shared" si="188"/>
        <v>0</v>
      </c>
      <c r="AU834" s="13">
        <f>ROUNDUP(($AR834+$AT834)*VLOOKUP($AN834,Paraméterek!$P$38:$Q$38,2)/12,IF($D$4="Forint",0,2))</f>
        <v>0</v>
      </c>
      <c r="AV834" s="13"/>
      <c r="AW834" s="13"/>
      <c r="AX834" s="13">
        <f>ROUNDUP(IF(SUM($AV834:$AW834)=0,0,IF(IF(ISBLANK($AW834),$AV834,$AW834)*Paraméterek!$J$112&lt;IF($D$4="Forint",Paraméterek!$J$113,Paraméterek!$K$113),IF($D$4="Forint",Paraméterek!$J$113,Paraméterek!$K$113),IF(IF(ISBLANK($AW834),$AV834,$AW834)*Paraméterek!$J$112&gt;IF($D$4="Forint",Paraméterek!$J$114,Paraméterek!$K$114),IF($D$4="Forint",Paraméterek!$J$114,Paraméterek!$K$114),IF(ISBLANK($AW834),$AV834,$AW834)*Paraméterek!$J$112))),IF($D$4="Forint",0,2))</f>
        <v>0</v>
      </c>
      <c r="AY834" s="13">
        <f>$AR834+$AT834-$AU834-IF(ROUNDDOWN(IF(ISBLANK($AW834),$AV834,$AW834),IF($D$4="Forint",0,2))&gt;$AR834+$AT834-$AU834-IF($D$4="Forint",Paraméterek!$J$114,Paraméterek!$K$114),0,ROUNDDOWN(IF(ISBLANK($AW834),$AV834,$AW834),IF($D$4="Forint",0,2))-$AX834)</f>
        <v>0</v>
      </c>
      <c r="AZ834" s="13">
        <f t="shared" si="189"/>
        <v>0</v>
      </c>
    </row>
    <row r="835" spans="1:52" x14ac:dyDescent="0.2">
      <c r="A835" s="32">
        <v>816</v>
      </c>
      <c r="B835" s="32">
        <v>68</v>
      </c>
      <c r="C835" s="32">
        <v>12</v>
      </c>
      <c r="D835" s="13">
        <f t="shared" si="180"/>
        <v>0</v>
      </c>
      <c r="E835" s="13"/>
      <c r="F835" s="13"/>
      <c r="G835" s="13"/>
      <c r="H835" s="13">
        <f t="shared" si="181"/>
        <v>0</v>
      </c>
      <c r="I835" s="13">
        <f t="shared" si="182"/>
        <v>0</v>
      </c>
      <c r="J835" s="13">
        <f t="shared" si="183"/>
        <v>0</v>
      </c>
      <c r="K835" s="13">
        <f>ROUNDUP(IF($D$2="Egyszeri",$D835,IF($D$2="Havi",SUM($D$20:$D$31),IF(MOD($C835,$M$1)-1=0,SUM($D$20:$D$31),0))/12*$M$1)*VLOOKUP($B835,Paraméterek!$B$27:$D$30,IF($D$2="Egyszeri",3,2)),IF($D$4="Forint",0,2))</f>
        <v>0</v>
      </c>
      <c r="L835" s="13">
        <f t="shared" si="184"/>
        <v>0</v>
      </c>
      <c r="M835" s="13">
        <f t="shared" ca="1" si="190"/>
        <v>-831086</v>
      </c>
      <c r="N835" s="13">
        <f ca="1">IF($V834&gt;=VLOOKUP($M$4-1+$B835,Paraméterek!$B$121:$D$122,IF($D$4="Forint",2,3)),0,VLOOKUP($M$4-1+$B835,Paraméterek!$B$121:$D$122,IF($D$4="Forint",2,3))-$V834)</f>
        <v>841086</v>
      </c>
      <c r="O835" s="13">
        <f ca="1">ROUNDUP($N835*Paraméterek!$C$58/Paraméterek!$C$56,IF($D$4="Forint",0,2))</f>
        <v>134</v>
      </c>
      <c r="P835" s="13">
        <f t="shared" si="185"/>
        <v>3986</v>
      </c>
      <c r="Q835" s="33"/>
      <c r="R835" s="13">
        <f t="shared" ca="1" si="186"/>
        <v>0</v>
      </c>
      <c r="S835" s="13">
        <f ca="1">ROUNDUP(($M835-$O835-$P835+$R835)*VLOOKUP($B835,Paraméterek!$B$38:$D$39,IF($D$2="Egyszeri",3,2))/12,IF($D$4="Forint",0,2))</f>
        <v>-2040</v>
      </c>
      <c r="T835" s="13">
        <f>Tranzakciók!$F$99</f>
        <v>0</v>
      </c>
      <c r="U835" s="13"/>
      <c r="V835" s="13">
        <f ca="1">$M835-$O835-$P835+$R835-$S835-IF(ROUNDUP(IF(ISBLANK($U835),$T835,$U835)/IF(AND($B835=1,$D$2&lt;&gt;"Egyszeri"),1,VLOOKUP($B835+IF($C835=12,1,0),Paraméterek!$B$257:$D$267,IF($D$2="Egyszeri",3,2))),IF($D$4="Forint",0,2))&gt;$M835-$O835-$P835+$R835-$S835-IF($D$4="Forint",Paraméterek!$C$216,Paraméterek!$D$216),0,ROUNDUP(IF(ISBLANK($U835),$T835,$U835)/IF(AND($B835=1,$D$2&lt;&gt;"Egyszeri"),1,VLOOKUP($B835+IF($C835=12,1,0),Paraméterek!$B$257:$D$267,IF($D$2="Egyszeri",3,2))),IF($D$4="Forint",0,2)))</f>
        <v>-833166</v>
      </c>
      <c r="W835" s="13">
        <f ca="1">ROUNDDOWN($V835*VLOOKUP($B835+IF($C835=12,1,0),Paraméterek!$B$257:$D$267,IF($D$2="Egyszeri",3,2)),IF($D$4="Forint",0,2))</f>
        <v>-833166</v>
      </c>
      <c r="Y835" s="32">
        <v>816</v>
      </c>
      <c r="Z835" s="32">
        <v>68</v>
      </c>
      <c r="AA835" s="32">
        <v>12</v>
      </c>
      <c r="AB835" s="13">
        <f t="shared" si="191"/>
        <v>0</v>
      </c>
      <c r="AC835" s="33"/>
      <c r="AD835" s="13">
        <f t="shared" si="187"/>
        <v>0</v>
      </c>
      <c r="AE835" s="13">
        <f>ROUNDUP(($AB835+$AD835)*VLOOKUP($Z835,Paraméterek!$P$38:$Q$38,2)/12,IF($D$4="Forint",0,2))</f>
        <v>0</v>
      </c>
      <c r="AF835" s="13">
        <f>IF($D$2="Egyszeri",IF($D$7&gt;=IF($D$4="Forint",Paraméterek!$P$223,Paraméterek!$P$224),$D$7-IF($D$4="Forint",Paraméterek!$F$223,Paraméterek!$F$224),0),MIN(IF($AA835=12,AVERAGE($D$20:$D835)*12,0),SUM($D$20:$D$31)))</f>
        <v>0</v>
      </c>
      <c r="AG835" s="13">
        <f>IF(AND($Z835&gt;=10,MOD($Z835,5)=0),$AF835*IF($AA835=12,VLOOKUP($Z835,Paraméterek!$B$225:$F$240,IF($AF835&lt;IF($D$4="Forint",Paraméterek!$C$223,Paraméterek!$C$224),2,IF($AF835&lt;IF($D$4="Forint",Paraméterek!$D$223,Paraméterek!$D$224),3,4))),0),0)</f>
        <v>0</v>
      </c>
      <c r="AH835" s="13">
        <f>IF(AND($Z835&gt;=5,MOD($Z835,5)=0),IF($AA835=12,VLOOKUP($Z835,Paraméterek!$B$225:$F$240,5),0),IF(OR($Z835=3,$Z835=4),IF($AA835=12,VLOOKUP($Z835,Paraméterek!$B$225:$F$240,5,0),0),0))*$AF835</f>
        <v>0</v>
      </c>
      <c r="AI835" s="13">
        <f>ROUNDDOWN(IF(SUM($T$20:$U835)=0,IF($D$2="Egyszeri",$AH835,$AG835),0),IF($D$4="Forint",0,2))</f>
        <v>0</v>
      </c>
      <c r="AJ835" s="13">
        <f t="shared" si="192"/>
        <v>0</v>
      </c>
      <c r="AK835" s="13">
        <f t="shared" si="193"/>
        <v>0</v>
      </c>
      <c r="AM835" s="32">
        <v>816</v>
      </c>
      <c r="AN835" s="32">
        <v>68</v>
      </c>
      <c r="AO835" s="32">
        <v>12</v>
      </c>
      <c r="AP835" s="13"/>
      <c r="AQ835" s="32"/>
      <c r="AR835" s="13">
        <f t="shared" si="194"/>
        <v>0</v>
      </c>
      <c r="AS835" s="33"/>
      <c r="AT835" s="13">
        <f t="shared" si="188"/>
        <v>0</v>
      </c>
      <c r="AU835" s="13">
        <f>ROUNDUP(($AR835+$AT835)*VLOOKUP($AN835,Paraméterek!$P$38:$Q$38,2)/12,IF($D$4="Forint",0,2))</f>
        <v>0</v>
      </c>
      <c r="AV835" s="13">
        <f>Tranzakciók!$M$99</f>
        <v>0</v>
      </c>
      <c r="AW835" s="13"/>
      <c r="AX835" s="13">
        <f>ROUNDUP(IF(SUM($AV835:$AW835)=0,0,IF(IF(ISBLANK($AW835),$AV835,$AW835)*Paraméterek!$J$112&lt;IF($D$4="Forint",Paraméterek!$J$113,Paraméterek!$K$113),IF($D$4="Forint",Paraméterek!$J$113,Paraméterek!$K$113),IF(IF(ISBLANK($AW835),$AV835,$AW835)*Paraméterek!$J$112&gt;IF($D$4="Forint",Paraméterek!$J$114,Paraméterek!$K$114),IF($D$4="Forint",Paraméterek!$J$114,Paraméterek!$K$114),IF(ISBLANK($AW835),$AV835,$AW835)*Paraméterek!$J$112))),IF($D$4="Forint",0,2))</f>
        <v>0</v>
      </c>
      <c r="AY835" s="13">
        <f>$AR835+$AT835-$AU835-IF(ROUNDDOWN(IF(ISBLANK($AW835),$AV835,$AW835),IF($D$4="Forint",0,2))&gt;$AR835+$AT835-$AU835-IF($D$4="Forint",Paraméterek!$J$114,Paraméterek!$K$114),0,ROUNDDOWN(IF(ISBLANK($AW835),$AV835,$AW835),IF($D$4="Forint",0,2))-$AX835)</f>
        <v>0</v>
      </c>
      <c r="AZ835" s="13">
        <f t="shared" si="189"/>
        <v>0</v>
      </c>
    </row>
    <row r="836" spans="1:52" x14ac:dyDescent="0.2">
      <c r="A836" s="32">
        <v>817</v>
      </c>
      <c r="B836" s="32">
        <v>69</v>
      </c>
      <c r="C836" s="32">
        <v>1</v>
      </c>
      <c r="D836" s="13">
        <f t="shared" si="180"/>
        <v>0</v>
      </c>
      <c r="E836" s="13"/>
      <c r="F836" s="13">
        <f>Tranzakciók!$D$100</f>
        <v>0</v>
      </c>
      <c r="G836" s="13"/>
      <c r="H836" s="13">
        <f t="shared" si="181"/>
        <v>0</v>
      </c>
      <c r="I836" s="13">
        <f t="shared" si="182"/>
        <v>747</v>
      </c>
      <c r="J836" s="13">
        <f t="shared" si="183"/>
        <v>747</v>
      </c>
      <c r="K836" s="13">
        <f>ROUNDUP(IF($D$2="Egyszeri",$D836,IF($D$2="Havi",SUM($D$20:$D$31),IF(MOD($C836,$M$1)-1=0,SUM($D$20:$D$31),0))/12*$M$1)*VLOOKUP($B836,Paraméterek!$B$27:$D$30,IF($D$2="Egyszeri",3,2)),IF($D$4="Forint",0,2))</f>
        <v>0</v>
      </c>
      <c r="L836" s="13">
        <f t="shared" si="184"/>
        <v>0</v>
      </c>
      <c r="M836" s="13">
        <f t="shared" ca="1" si="190"/>
        <v>-833166</v>
      </c>
      <c r="N836" s="13">
        <f ca="1">IF($V835&gt;=VLOOKUP($M$4-1+$B836,Paraméterek!$B$121:$D$122,IF($D$4="Forint",2,3)),0,VLOOKUP($M$4-1+$B836,Paraméterek!$B$121:$D$122,IF($D$4="Forint",2,3))-$V835)</f>
        <v>843166</v>
      </c>
      <c r="O836" s="13">
        <f ca="1">ROUNDUP($N836*Paraméterek!$C$58/Paraméterek!$C$56,IF($D$4="Forint",0,2))</f>
        <v>135</v>
      </c>
      <c r="P836" s="13">
        <f t="shared" si="185"/>
        <v>4105</v>
      </c>
      <c r="Q836" s="33"/>
      <c r="R836" s="13">
        <f t="shared" ca="1" si="186"/>
        <v>0</v>
      </c>
      <c r="S836" s="13">
        <f ca="1">ROUNDUP(($M836-$O836-$P836+$R836)*VLOOKUP($B836,Paraméterek!$B$38:$D$39,IF($D$2="Egyszeri",3,2))/12,IF($D$4="Forint",0,2))</f>
        <v>-2045</v>
      </c>
      <c r="T836" s="13"/>
      <c r="U836" s="13"/>
      <c r="V836" s="13">
        <f ca="1">$M836-$O836-$P836+$R836-$S836-IF(ROUNDUP(IF(ISBLANK($U836),$T836,$U836)/IF(AND($B836=1,$D$2&lt;&gt;"Egyszeri"),1,VLOOKUP($B836+IF($C836=12,1,0),Paraméterek!$B$257:$D$267,IF($D$2="Egyszeri",3,2))),IF($D$4="Forint",0,2))&gt;$M836-$O836-$P836+$R836-$S836-IF($D$4="Forint",Paraméterek!$C$216,Paraméterek!$D$216),0,ROUNDUP(IF(ISBLANK($U836),$T836,$U836)/IF(AND($B836=1,$D$2&lt;&gt;"Egyszeri"),1,VLOOKUP($B836+IF($C836=12,1,0),Paraméterek!$B$257:$D$267,IF($D$2="Egyszeri",3,2))),IF($D$4="Forint",0,2)))</f>
        <v>-835361</v>
      </c>
      <c r="W836" s="13">
        <f ca="1">ROUNDDOWN($V836*VLOOKUP($B836+IF($C836=12,1,0),Paraméterek!$B$257:$D$267,IF($D$2="Egyszeri",3,2)),IF($D$4="Forint",0,2))</f>
        <v>-835361</v>
      </c>
      <c r="Y836" s="32">
        <v>817</v>
      </c>
      <c r="Z836" s="32">
        <v>69</v>
      </c>
      <c r="AA836" s="32">
        <v>1</v>
      </c>
      <c r="AB836" s="13">
        <f t="shared" si="191"/>
        <v>0</v>
      </c>
      <c r="AC836" s="33"/>
      <c r="AD836" s="13">
        <f t="shared" si="187"/>
        <v>0</v>
      </c>
      <c r="AE836" s="13">
        <f>ROUNDUP(($AB836+$AD836)*VLOOKUP($Z836,Paraméterek!$P$38:$Q$38,2)/12,IF($D$4="Forint",0,2))</f>
        <v>0</v>
      </c>
      <c r="AF836" s="13">
        <f>IF($D$2="Egyszeri",IF($D$7&gt;=IF($D$4="Forint",Paraméterek!$P$223,Paraméterek!$P$224),$D$7-IF($D$4="Forint",Paraméterek!$F$223,Paraméterek!$F$224),0),MIN(IF($AA836=12,AVERAGE($D$20:$D836)*12,0),SUM($D$20:$D$31)))</f>
        <v>0</v>
      </c>
      <c r="AG836" s="13">
        <f>IF(AND($Z836&gt;=10,MOD($Z836,5)=0),$AF836*IF($AA836=12,VLOOKUP($Z836,Paraméterek!$B$225:$F$240,IF($AF836&lt;IF($D$4="Forint",Paraméterek!$C$223,Paraméterek!$C$224),2,IF($AF836&lt;IF($D$4="Forint",Paraméterek!$D$223,Paraméterek!$D$224),3,4))),0),0)</f>
        <v>0</v>
      </c>
      <c r="AH836" s="13">
        <f>IF(AND($Z836&gt;=5,MOD($Z836,5)=0),IF($AA836=12,VLOOKUP($Z836,Paraméterek!$B$225:$F$240,5),0),IF(OR($Z836=3,$Z836=4),IF($AA836=12,VLOOKUP($Z836,Paraméterek!$B$225:$F$240,5,0),0),0))*$AF836</f>
        <v>0</v>
      </c>
      <c r="AI836" s="13">
        <f>ROUNDDOWN(IF(SUM($T$20:$U836)=0,IF($D$2="Egyszeri",$AH836,$AG836),0),IF($D$4="Forint",0,2))</f>
        <v>0</v>
      </c>
      <c r="AJ836" s="13">
        <f t="shared" si="192"/>
        <v>0</v>
      </c>
      <c r="AK836" s="13">
        <f t="shared" si="193"/>
        <v>0</v>
      </c>
      <c r="AM836" s="32">
        <v>817</v>
      </c>
      <c r="AN836" s="32">
        <v>69</v>
      </c>
      <c r="AO836" s="32">
        <v>1</v>
      </c>
      <c r="AP836" s="13">
        <f>Tranzakciók!$K$100</f>
        <v>0</v>
      </c>
      <c r="AQ836" s="32"/>
      <c r="AR836" s="13">
        <f t="shared" si="194"/>
        <v>0</v>
      </c>
      <c r="AS836" s="33"/>
      <c r="AT836" s="13">
        <f t="shared" si="188"/>
        <v>0</v>
      </c>
      <c r="AU836" s="13">
        <f>ROUNDUP(($AR836+$AT836)*VLOOKUP($AN836,Paraméterek!$P$38:$Q$38,2)/12,IF($D$4="Forint",0,2))</f>
        <v>0</v>
      </c>
      <c r="AV836" s="13"/>
      <c r="AW836" s="13"/>
      <c r="AX836" s="13">
        <f>ROUNDUP(IF(SUM($AV836:$AW836)=0,0,IF(IF(ISBLANK($AW836),$AV836,$AW836)*Paraméterek!$J$112&lt;IF($D$4="Forint",Paraméterek!$J$113,Paraméterek!$K$113),IF($D$4="Forint",Paraméterek!$J$113,Paraméterek!$K$113),IF(IF(ISBLANK($AW836),$AV836,$AW836)*Paraméterek!$J$112&gt;IF($D$4="Forint",Paraméterek!$J$114,Paraméterek!$K$114),IF($D$4="Forint",Paraméterek!$J$114,Paraméterek!$K$114),IF(ISBLANK($AW836),$AV836,$AW836)*Paraméterek!$J$112))),IF($D$4="Forint",0,2))</f>
        <v>0</v>
      </c>
      <c r="AY836" s="13">
        <f>$AR836+$AT836-$AU836-IF(ROUNDDOWN(IF(ISBLANK($AW836),$AV836,$AW836),IF($D$4="Forint",0,2))&gt;$AR836+$AT836-$AU836-IF($D$4="Forint",Paraméterek!$J$114,Paraméterek!$K$114),0,ROUNDDOWN(IF(ISBLANK($AW836),$AV836,$AW836),IF($D$4="Forint",0,2))-$AX836)</f>
        <v>0</v>
      </c>
      <c r="AZ836" s="13">
        <f t="shared" si="189"/>
        <v>0</v>
      </c>
    </row>
    <row r="837" spans="1:52" x14ac:dyDescent="0.2">
      <c r="A837" s="32">
        <v>818</v>
      </c>
      <c r="B837" s="32">
        <v>69</v>
      </c>
      <c r="C837" s="32">
        <v>2</v>
      </c>
      <c r="D837" s="13">
        <f t="shared" si="180"/>
        <v>0</v>
      </c>
      <c r="E837" s="13"/>
      <c r="F837" s="13"/>
      <c r="G837" s="13"/>
      <c r="H837" s="13">
        <f t="shared" si="181"/>
        <v>0</v>
      </c>
      <c r="I837" s="13">
        <f t="shared" si="182"/>
        <v>0</v>
      </c>
      <c r="J837" s="13">
        <f t="shared" si="183"/>
        <v>0</v>
      </c>
      <c r="K837" s="13">
        <f>ROUNDUP(IF($D$2="Egyszeri",$D837,IF($D$2="Havi",SUM($D$20:$D$31),IF(MOD($C837,$M$1)-1=0,SUM($D$20:$D$31),0))/12*$M$1)*VLOOKUP($B837,Paraméterek!$B$27:$D$30,IF($D$2="Egyszeri",3,2)),IF($D$4="Forint",0,2))</f>
        <v>0</v>
      </c>
      <c r="L837" s="13">
        <f t="shared" si="184"/>
        <v>0</v>
      </c>
      <c r="M837" s="13">
        <f t="shared" ca="1" si="190"/>
        <v>-835361</v>
      </c>
      <c r="N837" s="13">
        <f ca="1">IF($V836&gt;=VLOOKUP($M$4-1+$B837,Paraméterek!$B$121:$D$122,IF($D$4="Forint",2,3)),0,VLOOKUP($M$4-1+$B837,Paraméterek!$B$121:$D$122,IF($D$4="Forint",2,3))-$V836)</f>
        <v>845361</v>
      </c>
      <c r="O837" s="13">
        <f ca="1">ROUNDUP($N837*Paraméterek!$C$58/Paraméterek!$C$56,IF($D$4="Forint",0,2))</f>
        <v>135</v>
      </c>
      <c r="P837" s="13">
        <f t="shared" si="185"/>
        <v>4105</v>
      </c>
      <c r="Q837" s="33"/>
      <c r="R837" s="13">
        <f t="shared" ca="1" si="186"/>
        <v>0</v>
      </c>
      <c r="S837" s="13">
        <f ca="1">ROUNDUP(($M837-$O837-$P837+$R837)*VLOOKUP($B837,Paraméterek!$B$38:$D$39,IF($D$2="Egyszeri",3,2))/12,IF($D$4="Forint",0,2))</f>
        <v>-2051</v>
      </c>
      <c r="T837" s="13"/>
      <c r="U837" s="13"/>
      <c r="V837" s="13">
        <f ca="1">$M837-$O837-$P837+$R837-$S837-IF(ROUNDUP(IF(ISBLANK($U837),$T837,$U837)/IF(AND($B837=1,$D$2&lt;&gt;"Egyszeri"),1,VLOOKUP($B837+IF($C837=12,1,0),Paraméterek!$B$257:$D$267,IF($D$2="Egyszeri",3,2))),IF($D$4="Forint",0,2))&gt;$M837-$O837-$P837+$R837-$S837-IF($D$4="Forint",Paraméterek!$C$216,Paraméterek!$D$216),0,ROUNDUP(IF(ISBLANK($U837),$T837,$U837)/IF(AND($B837=1,$D$2&lt;&gt;"Egyszeri"),1,VLOOKUP($B837+IF($C837=12,1,0),Paraméterek!$B$257:$D$267,IF($D$2="Egyszeri",3,2))),IF($D$4="Forint",0,2)))</f>
        <v>-837550</v>
      </c>
      <c r="W837" s="13">
        <f ca="1">ROUNDDOWN($V837*VLOOKUP($B837+IF($C837=12,1,0),Paraméterek!$B$257:$D$267,IF($D$2="Egyszeri",3,2)),IF($D$4="Forint",0,2))</f>
        <v>-837550</v>
      </c>
      <c r="Y837" s="32">
        <v>818</v>
      </c>
      <c r="Z837" s="32">
        <v>69</v>
      </c>
      <c r="AA837" s="32">
        <v>2</v>
      </c>
      <c r="AB837" s="13">
        <f t="shared" si="191"/>
        <v>0</v>
      </c>
      <c r="AC837" s="33"/>
      <c r="AD837" s="13">
        <f t="shared" si="187"/>
        <v>0</v>
      </c>
      <c r="AE837" s="13">
        <f>ROUNDUP(($AB837+$AD837)*VLOOKUP($Z837,Paraméterek!$P$38:$Q$38,2)/12,IF($D$4="Forint",0,2))</f>
        <v>0</v>
      </c>
      <c r="AF837" s="13">
        <f>IF($D$2="Egyszeri",IF($D$7&gt;=IF($D$4="Forint",Paraméterek!$P$223,Paraméterek!$P$224),$D$7-IF($D$4="Forint",Paraméterek!$F$223,Paraméterek!$F$224),0),MIN(IF($AA837=12,AVERAGE($D$20:$D837)*12,0),SUM($D$20:$D$31)))</f>
        <v>0</v>
      </c>
      <c r="AG837" s="13">
        <f>IF(AND($Z837&gt;=10,MOD($Z837,5)=0),$AF837*IF($AA837=12,VLOOKUP($Z837,Paraméterek!$B$225:$F$240,IF($AF837&lt;IF($D$4="Forint",Paraméterek!$C$223,Paraméterek!$C$224),2,IF($AF837&lt;IF($D$4="Forint",Paraméterek!$D$223,Paraméterek!$D$224),3,4))),0),0)</f>
        <v>0</v>
      </c>
      <c r="AH837" s="13">
        <f>IF(AND($Z837&gt;=5,MOD($Z837,5)=0),IF($AA837=12,VLOOKUP($Z837,Paraméterek!$B$225:$F$240,5),0),IF(OR($Z837=3,$Z837=4),IF($AA837=12,VLOOKUP($Z837,Paraméterek!$B$225:$F$240,5,0),0),0))*$AF837</f>
        <v>0</v>
      </c>
      <c r="AI837" s="13">
        <f>ROUNDDOWN(IF(SUM($T$20:$U837)=0,IF($D$2="Egyszeri",$AH837,$AG837),0),IF($D$4="Forint",0,2))</f>
        <v>0</v>
      </c>
      <c r="AJ837" s="13">
        <f t="shared" si="192"/>
        <v>0</v>
      </c>
      <c r="AK837" s="13">
        <f t="shared" si="193"/>
        <v>0</v>
      </c>
      <c r="AM837" s="32">
        <v>818</v>
      </c>
      <c r="AN837" s="32">
        <v>69</v>
      </c>
      <c r="AO837" s="32">
        <v>2</v>
      </c>
      <c r="AP837" s="13"/>
      <c r="AQ837" s="32"/>
      <c r="AR837" s="13">
        <f t="shared" si="194"/>
        <v>0</v>
      </c>
      <c r="AS837" s="33"/>
      <c r="AT837" s="13">
        <f t="shared" si="188"/>
        <v>0</v>
      </c>
      <c r="AU837" s="13">
        <f>ROUNDUP(($AR837+$AT837)*VLOOKUP($AN837,Paraméterek!$P$38:$Q$38,2)/12,IF($D$4="Forint",0,2))</f>
        <v>0</v>
      </c>
      <c r="AV837" s="13"/>
      <c r="AW837" s="13"/>
      <c r="AX837" s="13">
        <f>ROUNDUP(IF(SUM($AV837:$AW837)=0,0,IF(IF(ISBLANK($AW837),$AV837,$AW837)*Paraméterek!$J$112&lt;IF($D$4="Forint",Paraméterek!$J$113,Paraméterek!$K$113),IF($D$4="Forint",Paraméterek!$J$113,Paraméterek!$K$113),IF(IF(ISBLANK($AW837),$AV837,$AW837)*Paraméterek!$J$112&gt;IF($D$4="Forint",Paraméterek!$J$114,Paraméterek!$K$114),IF($D$4="Forint",Paraméterek!$J$114,Paraméterek!$K$114),IF(ISBLANK($AW837),$AV837,$AW837)*Paraméterek!$J$112))),IF($D$4="Forint",0,2))</f>
        <v>0</v>
      </c>
      <c r="AY837" s="13">
        <f>$AR837+$AT837-$AU837-IF(ROUNDDOWN(IF(ISBLANK($AW837),$AV837,$AW837),IF($D$4="Forint",0,2))&gt;$AR837+$AT837-$AU837-IF($D$4="Forint",Paraméterek!$J$114,Paraméterek!$K$114),0,ROUNDDOWN(IF(ISBLANK($AW837),$AV837,$AW837),IF($D$4="Forint",0,2))-$AX837)</f>
        <v>0</v>
      </c>
      <c r="AZ837" s="13">
        <f t="shared" si="189"/>
        <v>0</v>
      </c>
    </row>
    <row r="838" spans="1:52" x14ac:dyDescent="0.2">
      <c r="A838" s="32">
        <v>819</v>
      </c>
      <c r="B838" s="32">
        <v>69</v>
      </c>
      <c r="C838" s="32">
        <v>3</v>
      </c>
      <c r="D838" s="13">
        <f t="shared" si="180"/>
        <v>0</v>
      </c>
      <c r="E838" s="13"/>
      <c r="F838" s="13"/>
      <c r="G838" s="13"/>
      <c r="H838" s="13">
        <f t="shared" si="181"/>
        <v>0</v>
      </c>
      <c r="I838" s="13">
        <f t="shared" si="182"/>
        <v>0</v>
      </c>
      <c r="J838" s="13">
        <f t="shared" si="183"/>
        <v>0</v>
      </c>
      <c r="K838" s="13">
        <f>ROUNDUP(IF($D$2="Egyszeri",$D838,IF($D$2="Havi",SUM($D$20:$D$31),IF(MOD($C838,$M$1)-1=0,SUM($D$20:$D$31),0))/12*$M$1)*VLOOKUP($B838,Paraméterek!$B$27:$D$30,IF($D$2="Egyszeri",3,2)),IF($D$4="Forint",0,2))</f>
        <v>0</v>
      </c>
      <c r="L838" s="13">
        <f t="shared" si="184"/>
        <v>0</v>
      </c>
      <c r="M838" s="13">
        <f t="shared" ca="1" si="190"/>
        <v>-837550</v>
      </c>
      <c r="N838" s="13">
        <f ca="1">IF($V837&gt;=VLOOKUP($M$4-1+$B838,Paraméterek!$B$121:$D$122,IF($D$4="Forint",2,3)),0,VLOOKUP($M$4-1+$B838,Paraméterek!$B$121:$D$122,IF($D$4="Forint",2,3))-$V837)</f>
        <v>847550</v>
      </c>
      <c r="O838" s="13">
        <f ca="1">ROUNDUP($N838*Paraméterek!$C$58/Paraméterek!$C$56,IF($D$4="Forint",0,2))</f>
        <v>135</v>
      </c>
      <c r="P838" s="13">
        <f t="shared" si="185"/>
        <v>4105</v>
      </c>
      <c r="Q838" s="33"/>
      <c r="R838" s="13">
        <f t="shared" ca="1" si="186"/>
        <v>0</v>
      </c>
      <c r="S838" s="13">
        <f ca="1">ROUNDUP(($M838-$O838-$P838+$R838)*VLOOKUP($B838,Paraméterek!$B$38:$D$39,IF($D$2="Egyszeri",3,2))/12,IF($D$4="Forint",0,2))</f>
        <v>-2056</v>
      </c>
      <c r="T838" s="13"/>
      <c r="U838" s="13"/>
      <c r="V838" s="13">
        <f ca="1">$M838-$O838-$P838+$R838-$S838-IF(ROUNDUP(IF(ISBLANK($U838),$T838,$U838)/IF(AND($B838=1,$D$2&lt;&gt;"Egyszeri"),1,VLOOKUP($B838+IF($C838=12,1,0),Paraméterek!$B$257:$D$267,IF($D$2="Egyszeri",3,2))),IF($D$4="Forint",0,2))&gt;$M838-$O838-$P838+$R838-$S838-IF($D$4="Forint",Paraméterek!$C$216,Paraméterek!$D$216),0,ROUNDUP(IF(ISBLANK($U838),$T838,$U838)/IF(AND($B838=1,$D$2&lt;&gt;"Egyszeri"),1,VLOOKUP($B838+IF($C838=12,1,0),Paraméterek!$B$257:$D$267,IF($D$2="Egyszeri",3,2))),IF($D$4="Forint",0,2)))</f>
        <v>-839734</v>
      </c>
      <c r="W838" s="13">
        <f ca="1">ROUNDDOWN($V838*VLOOKUP($B838+IF($C838=12,1,0),Paraméterek!$B$257:$D$267,IF($D$2="Egyszeri",3,2)),IF($D$4="Forint",0,2))</f>
        <v>-839734</v>
      </c>
      <c r="Y838" s="32">
        <v>819</v>
      </c>
      <c r="Z838" s="32">
        <v>69</v>
      </c>
      <c r="AA838" s="32">
        <v>3</v>
      </c>
      <c r="AB838" s="13">
        <f t="shared" si="191"/>
        <v>0</v>
      </c>
      <c r="AC838" s="33"/>
      <c r="AD838" s="13">
        <f t="shared" si="187"/>
        <v>0</v>
      </c>
      <c r="AE838" s="13">
        <f>ROUNDUP(($AB838+$AD838)*VLOOKUP($Z838,Paraméterek!$P$38:$Q$38,2)/12,IF($D$4="Forint",0,2))</f>
        <v>0</v>
      </c>
      <c r="AF838" s="13">
        <f>IF($D$2="Egyszeri",IF($D$7&gt;=IF($D$4="Forint",Paraméterek!$P$223,Paraméterek!$P$224),$D$7-IF($D$4="Forint",Paraméterek!$F$223,Paraméterek!$F$224),0),MIN(IF($AA838=12,AVERAGE($D$20:$D838)*12,0),SUM($D$20:$D$31)))</f>
        <v>0</v>
      </c>
      <c r="AG838" s="13">
        <f>IF(AND($Z838&gt;=10,MOD($Z838,5)=0),$AF838*IF($AA838=12,VLOOKUP($Z838,Paraméterek!$B$225:$F$240,IF($AF838&lt;IF($D$4="Forint",Paraméterek!$C$223,Paraméterek!$C$224),2,IF($AF838&lt;IF($D$4="Forint",Paraméterek!$D$223,Paraméterek!$D$224),3,4))),0),0)</f>
        <v>0</v>
      </c>
      <c r="AH838" s="13">
        <f>IF(AND($Z838&gt;=5,MOD($Z838,5)=0),IF($AA838=12,VLOOKUP($Z838,Paraméterek!$B$225:$F$240,5),0),IF(OR($Z838=3,$Z838=4),IF($AA838=12,VLOOKUP($Z838,Paraméterek!$B$225:$F$240,5,0),0),0))*$AF838</f>
        <v>0</v>
      </c>
      <c r="AI838" s="13">
        <f>ROUNDDOWN(IF(SUM($T$20:$U838)=0,IF($D$2="Egyszeri",$AH838,$AG838),0),IF($D$4="Forint",0,2))</f>
        <v>0</v>
      </c>
      <c r="AJ838" s="13">
        <f t="shared" si="192"/>
        <v>0</v>
      </c>
      <c r="AK838" s="13">
        <f t="shared" si="193"/>
        <v>0</v>
      </c>
      <c r="AM838" s="32">
        <v>819</v>
      </c>
      <c r="AN838" s="32">
        <v>69</v>
      </c>
      <c r="AO838" s="32">
        <v>3</v>
      </c>
      <c r="AP838" s="13"/>
      <c r="AQ838" s="32"/>
      <c r="AR838" s="13">
        <f t="shared" si="194"/>
        <v>0</v>
      </c>
      <c r="AS838" s="33"/>
      <c r="AT838" s="13">
        <f t="shared" si="188"/>
        <v>0</v>
      </c>
      <c r="AU838" s="13">
        <f>ROUNDUP(($AR838+$AT838)*VLOOKUP($AN838,Paraméterek!$P$38:$Q$38,2)/12,IF($D$4="Forint",0,2))</f>
        <v>0</v>
      </c>
      <c r="AV838" s="13"/>
      <c r="AW838" s="13"/>
      <c r="AX838" s="13">
        <f>ROUNDUP(IF(SUM($AV838:$AW838)=0,0,IF(IF(ISBLANK($AW838),$AV838,$AW838)*Paraméterek!$J$112&lt;IF($D$4="Forint",Paraméterek!$J$113,Paraméterek!$K$113),IF($D$4="Forint",Paraméterek!$J$113,Paraméterek!$K$113),IF(IF(ISBLANK($AW838),$AV838,$AW838)*Paraméterek!$J$112&gt;IF($D$4="Forint",Paraméterek!$J$114,Paraméterek!$K$114),IF($D$4="Forint",Paraméterek!$J$114,Paraméterek!$K$114),IF(ISBLANK($AW838),$AV838,$AW838)*Paraméterek!$J$112))),IF($D$4="Forint",0,2))</f>
        <v>0</v>
      </c>
      <c r="AY838" s="13">
        <f>$AR838+$AT838-$AU838-IF(ROUNDDOWN(IF(ISBLANK($AW838),$AV838,$AW838),IF($D$4="Forint",0,2))&gt;$AR838+$AT838-$AU838-IF($D$4="Forint",Paraméterek!$J$114,Paraméterek!$K$114),0,ROUNDDOWN(IF(ISBLANK($AW838),$AV838,$AW838),IF($D$4="Forint",0,2))-$AX838)</f>
        <v>0</v>
      </c>
      <c r="AZ838" s="13">
        <f t="shared" si="189"/>
        <v>0</v>
      </c>
    </row>
    <row r="839" spans="1:52" x14ac:dyDescent="0.2">
      <c r="A839" s="32">
        <v>820</v>
      </c>
      <c r="B839" s="32">
        <v>69</v>
      </c>
      <c r="C839" s="32">
        <v>4</v>
      </c>
      <c r="D839" s="13">
        <f t="shared" si="180"/>
        <v>0</v>
      </c>
      <c r="E839" s="13"/>
      <c r="F839" s="13"/>
      <c r="G839" s="13"/>
      <c r="H839" s="13">
        <f t="shared" si="181"/>
        <v>0</v>
      </c>
      <c r="I839" s="13">
        <f t="shared" si="182"/>
        <v>0</v>
      </c>
      <c r="J839" s="13">
        <f t="shared" si="183"/>
        <v>0</v>
      </c>
      <c r="K839" s="13">
        <f>ROUNDUP(IF($D$2="Egyszeri",$D839,IF($D$2="Havi",SUM($D$20:$D$31),IF(MOD($C839,$M$1)-1=0,SUM($D$20:$D$31),0))/12*$M$1)*VLOOKUP($B839,Paraméterek!$B$27:$D$30,IF($D$2="Egyszeri",3,2)),IF($D$4="Forint",0,2))</f>
        <v>0</v>
      </c>
      <c r="L839" s="13">
        <f t="shared" si="184"/>
        <v>0</v>
      </c>
      <c r="M839" s="13">
        <f t="shared" ca="1" si="190"/>
        <v>-839734</v>
      </c>
      <c r="N839" s="13">
        <f ca="1">IF($V838&gt;=VLOOKUP($M$4-1+$B839,Paraméterek!$B$121:$D$122,IF($D$4="Forint",2,3)),0,VLOOKUP($M$4-1+$B839,Paraméterek!$B$121:$D$122,IF($D$4="Forint",2,3))-$V838)</f>
        <v>849734</v>
      </c>
      <c r="O839" s="13">
        <f ca="1">ROUNDUP($N839*Paraméterek!$C$58/Paraméterek!$C$56,IF($D$4="Forint",0,2))</f>
        <v>136</v>
      </c>
      <c r="P839" s="13">
        <f t="shared" si="185"/>
        <v>4105</v>
      </c>
      <c r="Q839" s="33"/>
      <c r="R839" s="13">
        <f t="shared" ca="1" si="186"/>
        <v>0</v>
      </c>
      <c r="S839" s="13">
        <f ca="1">ROUNDUP(($M839-$O839-$P839+$R839)*VLOOKUP($B839,Paraméterek!$B$38:$D$39,IF($D$2="Egyszeri",3,2))/12,IF($D$4="Forint",0,2))</f>
        <v>-2061</v>
      </c>
      <c r="T839" s="13"/>
      <c r="U839" s="13"/>
      <c r="V839" s="13">
        <f ca="1">$M839-$O839-$P839+$R839-$S839-IF(ROUNDUP(IF(ISBLANK($U839),$T839,$U839)/IF(AND($B839=1,$D$2&lt;&gt;"Egyszeri"),1,VLOOKUP($B839+IF($C839=12,1,0),Paraméterek!$B$257:$D$267,IF($D$2="Egyszeri",3,2))),IF($D$4="Forint",0,2))&gt;$M839-$O839-$P839+$R839-$S839-IF($D$4="Forint",Paraméterek!$C$216,Paraméterek!$D$216),0,ROUNDUP(IF(ISBLANK($U839),$T839,$U839)/IF(AND($B839=1,$D$2&lt;&gt;"Egyszeri"),1,VLOOKUP($B839+IF($C839=12,1,0),Paraméterek!$B$257:$D$267,IF($D$2="Egyszeri",3,2))),IF($D$4="Forint",0,2)))</f>
        <v>-841914</v>
      </c>
      <c r="W839" s="13">
        <f ca="1">ROUNDDOWN($V839*VLOOKUP($B839+IF($C839=12,1,0),Paraméterek!$B$257:$D$267,IF($D$2="Egyszeri",3,2)),IF($D$4="Forint",0,2))</f>
        <v>-841914</v>
      </c>
      <c r="Y839" s="32">
        <v>820</v>
      </c>
      <c r="Z839" s="32">
        <v>69</v>
      </c>
      <c r="AA839" s="32">
        <v>4</v>
      </c>
      <c r="AB839" s="13">
        <f t="shared" si="191"/>
        <v>0</v>
      </c>
      <c r="AC839" s="33"/>
      <c r="AD839" s="13">
        <f t="shared" si="187"/>
        <v>0</v>
      </c>
      <c r="AE839" s="13">
        <f>ROUNDUP(($AB839+$AD839)*VLOOKUP($Z839,Paraméterek!$P$38:$Q$38,2)/12,IF($D$4="Forint",0,2))</f>
        <v>0</v>
      </c>
      <c r="AF839" s="13">
        <f>IF($D$2="Egyszeri",IF($D$7&gt;=IF($D$4="Forint",Paraméterek!$P$223,Paraméterek!$P$224),$D$7-IF($D$4="Forint",Paraméterek!$F$223,Paraméterek!$F$224),0),MIN(IF($AA839=12,AVERAGE($D$20:$D839)*12,0),SUM($D$20:$D$31)))</f>
        <v>0</v>
      </c>
      <c r="AG839" s="13">
        <f>IF(AND($Z839&gt;=10,MOD($Z839,5)=0),$AF839*IF($AA839=12,VLOOKUP($Z839,Paraméterek!$B$225:$F$240,IF($AF839&lt;IF($D$4="Forint",Paraméterek!$C$223,Paraméterek!$C$224),2,IF($AF839&lt;IF($D$4="Forint",Paraméterek!$D$223,Paraméterek!$D$224),3,4))),0),0)</f>
        <v>0</v>
      </c>
      <c r="AH839" s="13">
        <f>IF(AND($Z839&gt;=5,MOD($Z839,5)=0),IF($AA839=12,VLOOKUP($Z839,Paraméterek!$B$225:$F$240,5),0),IF(OR($Z839=3,$Z839=4),IF($AA839=12,VLOOKUP($Z839,Paraméterek!$B$225:$F$240,5,0),0),0))*$AF839</f>
        <v>0</v>
      </c>
      <c r="AI839" s="13">
        <f>ROUNDDOWN(IF(SUM($T$20:$U839)=0,IF($D$2="Egyszeri",$AH839,$AG839),0),IF($D$4="Forint",0,2))</f>
        <v>0</v>
      </c>
      <c r="AJ839" s="13">
        <f t="shared" si="192"/>
        <v>0</v>
      </c>
      <c r="AK839" s="13">
        <f t="shared" si="193"/>
        <v>0</v>
      </c>
      <c r="AM839" s="32">
        <v>820</v>
      </c>
      <c r="AN839" s="32">
        <v>69</v>
      </c>
      <c r="AO839" s="32">
        <v>4</v>
      </c>
      <c r="AP839" s="13"/>
      <c r="AQ839" s="32"/>
      <c r="AR839" s="13">
        <f t="shared" si="194"/>
        <v>0</v>
      </c>
      <c r="AS839" s="33"/>
      <c r="AT839" s="13">
        <f t="shared" si="188"/>
        <v>0</v>
      </c>
      <c r="AU839" s="13">
        <f>ROUNDUP(($AR839+$AT839)*VLOOKUP($AN839,Paraméterek!$P$38:$Q$38,2)/12,IF($D$4="Forint",0,2))</f>
        <v>0</v>
      </c>
      <c r="AV839" s="13"/>
      <c r="AW839" s="13"/>
      <c r="AX839" s="13">
        <f>ROUNDUP(IF(SUM($AV839:$AW839)=0,0,IF(IF(ISBLANK($AW839),$AV839,$AW839)*Paraméterek!$J$112&lt;IF($D$4="Forint",Paraméterek!$J$113,Paraméterek!$K$113),IF($D$4="Forint",Paraméterek!$J$113,Paraméterek!$K$113),IF(IF(ISBLANK($AW839),$AV839,$AW839)*Paraméterek!$J$112&gt;IF($D$4="Forint",Paraméterek!$J$114,Paraméterek!$K$114),IF($D$4="Forint",Paraméterek!$J$114,Paraméterek!$K$114),IF(ISBLANK($AW839),$AV839,$AW839)*Paraméterek!$J$112))),IF($D$4="Forint",0,2))</f>
        <v>0</v>
      </c>
      <c r="AY839" s="13">
        <f>$AR839+$AT839-$AU839-IF(ROUNDDOWN(IF(ISBLANK($AW839),$AV839,$AW839),IF($D$4="Forint",0,2))&gt;$AR839+$AT839-$AU839-IF($D$4="Forint",Paraméterek!$J$114,Paraméterek!$K$114),0,ROUNDDOWN(IF(ISBLANK($AW839),$AV839,$AW839),IF($D$4="Forint",0,2))-$AX839)</f>
        <v>0</v>
      </c>
      <c r="AZ839" s="13">
        <f t="shared" si="189"/>
        <v>0</v>
      </c>
    </row>
    <row r="840" spans="1:52" x14ac:dyDescent="0.2">
      <c r="A840" s="32">
        <v>821</v>
      </c>
      <c r="B840" s="32">
        <v>69</v>
      </c>
      <c r="C840" s="32">
        <v>5</v>
      </c>
      <c r="D840" s="13">
        <f t="shared" si="180"/>
        <v>0</v>
      </c>
      <c r="E840" s="13"/>
      <c r="F840" s="13"/>
      <c r="G840" s="13"/>
      <c r="H840" s="13">
        <f t="shared" si="181"/>
        <v>0</v>
      </c>
      <c r="I840" s="13">
        <f t="shared" si="182"/>
        <v>0</v>
      </c>
      <c r="J840" s="13">
        <f t="shared" si="183"/>
        <v>0</v>
      </c>
      <c r="K840" s="13">
        <f>ROUNDUP(IF($D$2="Egyszeri",$D840,IF($D$2="Havi",SUM($D$20:$D$31),IF(MOD($C840,$M$1)-1=0,SUM($D$20:$D$31),0))/12*$M$1)*VLOOKUP($B840,Paraméterek!$B$27:$D$30,IF($D$2="Egyszeri",3,2)),IF($D$4="Forint",0,2))</f>
        <v>0</v>
      </c>
      <c r="L840" s="13">
        <f t="shared" si="184"/>
        <v>0</v>
      </c>
      <c r="M840" s="13">
        <f t="shared" ca="1" si="190"/>
        <v>-841914</v>
      </c>
      <c r="N840" s="13">
        <f ca="1">IF($V839&gt;=VLOOKUP($M$4-1+$B840,Paraméterek!$B$121:$D$122,IF($D$4="Forint",2,3)),0,VLOOKUP($M$4-1+$B840,Paraméterek!$B$121:$D$122,IF($D$4="Forint",2,3))-$V839)</f>
        <v>851914</v>
      </c>
      <c r="O840" s="13">
        <f ca="1">ROUNDUP($N840*Paraméterek!$C$58/Paraméterek!$C$56,IF($D$4="Forint",0,2))</f>
        <v>136</v>
      </c>
      <c r="P840" s="13">
        <f t="shared" si="185"/>
        <v>4105</v>
      </c>
      <c r="Q840" s="33"/>
      <c r="R840" s="13">
        <f t="shared" ca="1" si="186"/>
        <v>0</v>
      </c>
      <c r="S840" s="13">
        <f ca="1">ROUNDUP(($M840-$O840-$P840+$R840)*VLOOKUP($B840,Paraméterek!$B$38:$D$39,IF($D$2="Egyszeri",3,2))/12,IF($D$4="Forint",0,2))</f>
        <v>-2067</v>
      </c>
      <c r="T840" s="13"/>
      <c r="U840" s="13"/>
      <c r="V840" s="13">
        <f ca="1">$M840-$O840-$P840+$R840-$S840-IF(ROUNDUP(IF(ISBLANK($U840),$T840,$U840)/IF(AND($B840=1,$D$2&lt;&gt;"Egyszeri"),1,VLOOKUP($B840+IF($C840=12,1,0),Paraméterek!$B$257:$D$267,IF($D$2="Egyszeri",3,2))),IF($D$4="Forint",0,2))&gt;$M840-$O840-$P840+$R840-$S840-IF($D$4="Forint",Paraméterek!$C$216,Paraméterek!$D$216),0,ROUNDUP(IF(ISBLANK($U840),$T840,$U840)/IF(AND($B840=1,$D$2&lt;&gt;"Egyszeri"),1,VLOOKUP($B840+IF($C840=12,1,0),Paraméterek!$B$257:$D$267,IF($D$2="Egyszeri",3,2))),IF($D$4="Forint",0,2)))</f>
        <v>-844088</v>
      </c>
      <c r="W840" s="13">
        <f ca="1">ROUNDDOWN($V840*VLOOKUP($B840+IF($C840=12,1,0),Paraméterek!$B$257:$D$267,IF($D$2="Egyszeri",3,2)),IF($D$4="Forint",0,2))</f>
        <v>-844088</v>
      </c>
      <c r="Y840" s="32">
        <v>821</v>
      </c>
      <c r="Z840" s="32">
        <v>69</v>
      </c>
      <c r="AA840" s="32">
        <v>5</v>
      </c>
      <c r="AB840" s="13">
        <f t="shared" si="191"/>
        <v>0</v>
      </c>
      <c r="AC840" s="33"/>
      <c r="AD840" s="13">
        <f t="shared" si="187"/>
        <v>0</v>
      </c>
      <c r="AE840" s="13">
        <f>ROUNDUP(($AB840+$AD840)*VLOOKUP($Z840,Paraméterek!$P$38:$Q$38,2)/12,IF($D$4="Forint",0,2))</f>
        <v>0</v>
      </c>
      <c r="AF840" s="13">
        <f>IF($D$2="Egyszeri",IF($D$7&gt;=IF($D$4="Forint",Paraméterek!$P$223,Paraméterek!$P$224),$D$7-IF($D$4="Forint",Paraméterek!$F$223,Paraméterek!$F$224),0),MIN(IF($AA840=12,AVERAGE($D$20:$D840)*12,0),SUM($D$20:$D$31)))</f>
        <v>0</v>
      </c>
      <c r="AG840" s="13">
        <f>IF(AND($Z840&gt;=10,MOD($Z840,5)=0),$AF840*IF($AA840=12,VLOOKUP($Z840,Paraméterek!$B$225:$F$240,IF($AF840&lt;IF($D$4="Forint",Paraméterek!$C$223,Paraméterek!$C$224),2,IF($AF840&lt;IF($D$4="Forint",Paraméterek!$D$223,Paraméterek!$D$224),3,4))),0),0)</f>
        <v>0</v>
      </c>
      <c r="AH840" s="13">
        <f>IF(AND($Z840&gt;=5,MOD($Z840,5)=0),IF($AA840=12,VLOOKUP($Z840,Paraméterek!$B$225:$F$240,5),0),IF(OR($Z840=3,$Z840=4),IF($AA840=12,VLOOKUP($Z840,Paraméterek!$B$225:$F$240,5,0),0),0))*$AF840</f>
        <v>0</v>
      </c>
      <c r="AI840" s="13">
        <f>ROUNDDOWN(IF(SUM($T$20:$U840)=0,IF($D$2="Egyszeri",$AH840,$AG840),0),IF($D$4="Forint",0,2))</f>
        <v>0</v>
      </c>
      <c r="AJ840" s="13">
        <f t="shared" si="192"/>
        <v>0</v>
      </c>
      <c r="AK840" s="13">
        <f t="shared" si="193"/>
        <v>0</v>
      </c>
      <c r="AM840" s="32">
        <v>821</v>
      </c>
      <c r="AN840" s="32">
        <v>69</v>
      </c>
      <c r="AO840" s="32">
        <v>5</v>
      </c>
      <c r="AP840" s="13"/>
      <c r="AQ840" s="32"/>
      <c r="AR840" s="13">
        <f t="shared" si="194"/>
        <v>0</v>
      </c>
      <c r="AS840" s="33"/>
      <c r="AT840" s="13">
        <f t="shared" si="188"/>
        <v>0</v>
      </c>
      <c r="AU840" s="13">
        <f>ROUNDUP(($AR840+$AT840)*VLOOKUP($AN840,Paraméterek!$P$38:$Q$38,2)/12,IF($D$4="Forint",0,2))</f>
        <v>0</v>
      </c>
      <c r="AV840" s="13"/>
      <c r="AW840" s="13"/>
      <c r="AX840" s="13">
        <f>ROUNDUP(IF(SUM($AV840:$AW840)=0,0,IF(IF(ISBLANK($AW840),$AV840,$AW840)*Paraméterek!$J$112&lt;IF($D$4="Forint",Paraméterek!$J$113,Paraméterek!$K$113),IF($D$4="Forint",Paraméterek!$J$113,Paraméterek!$K$113),IF(IF(ISBLANK($AW840),$AV840,$AW840)*Paraméterek!$J$112&gt;IF($D$4="Forint",Paraméterek!$J$114,Paraméterek!$K$114),IF($D$4="Forint",Paraméterek!$J$114,Paraméterek!$K$114),IF(ISBLANK($AW840),$AV840,$AW840)*Paraméterek!$J$112))),IF($D$4="Forint",0,2))</f>
        <v>0</v>
      </c>
      <c r="AY840" s="13">
        <f>$AR840+$AT840-$AU840-IF(ROUNDDOWN(IF(ISBLANK($AW840),$AV840,$AW840),IF($D$4="Forint",0,2))&gt;$AR840+$AT840-$AU840-IF($D$4="Forint",Paraméterek!$J$114,Paraméterek!$K$114),0,ROUNDDOWN(IF(ISBLANK($AW840),$AV840,$AW840),IF($D$4="Forint",0,2))-$AX840)</f>
        <v>0</v>
      </c>
      <c r="AZ840" s="13">
        <f t="shared" si="189"/>
        <v>0</v>
      </c>
    </row>
    <row r="841" spans="1:52" x14ac:dyDescent="0.2">
      <c r="A841" s="32">
        <v>822</v>
      </c>
      <c r="B841" s="32">
        <v>69</v>
      </c>
      <c r="C841" s="32">
        <v>6</v>
      </c>
      <c r="D841" s="13">
        <f t="shared" si="180"/>
        <v>0</v>
      </c>
      <c r="E841" s="13"/>
      <c r="F841" s="13"/>
      <c r="G841" s="13"/>
      <c r="H841" s="13">
        <f t="shared" si="181"/>
        <v>0</v>
      </c>
      <c r="I841" s="13">
        <f t="shared" si="182"/>
        <v>0</v>
      </c>
      <c r="J841" s="13">
        <f t="shared" si="183"/>
        <v>0</v>
      </c>
      <c r="K841" s="13">
        <f>ROUNDUP(IF($D$2="Egyszeri",$D841,IF($D$2="Havi",SUM($D$20:$D$31),IF(MOD($C841,$M$1)-1=0,SUM($D$20:$D$31),0))/12*$M$1)*VLOOKUP($B841,Paraméterek!$B$27:$D$30,IF($D$2="Egyszeri",3,2)),IF($D$4="Forint",0,2))</f>
        <v>0</v>
      </c>
      <c r="L841" s="13">
        <f t="shared" si="184"/>
        <v>0</v>
      </c>
      <c r="M841" s="13">
        <f t="shared" ca="1" si="190"/>
        <v>-844088</v>
      </c>
      <c r="N841" s="13">
        <f ca="1">IF($V840&gt;=VLOOKUP($M$4-1+$B841,Paraméterek!$B$121:$D$122,IF($D$4="Forint",2,3)),0,VLOOKUP($M$4-1+$B841,Paraméterek!$B$121:$D$122,IF($D$4="Forint",2,3))-$V840)</f>
        <v>854088</v>
      </c>
      <c r="O841" s="13">
        <f ca="1">ROUNDUP($N841*Paraméterek!$C$58/Paraméterek!$C$56,IF($D$4="Forint",0,2))</f>
        <v>136</v>
      </c>
      <c r="P841" s="13">
        <f t="shared" si="185"/>
        <v>4105</v>
      </c>
      <c r="Q841" s="33"/>
      <c r="R841" s="13">
        <f t="shared" ca="1" si="186"/>
        <v>0</v>
      </c>
      <c r="S841" s="13">
        <f ca="1">ROUNDUP(($M841-$O841-$P841+$R841)*VLOOKUP($B841,Paraméterek!$B$38:$D$39,IF($D$2="Egyszeri",3,2))/12,IF($D$4="Forint",0,2))</f>
        <v>-2072</v>
      </c>
      <c r="T841" s="13"/>
      <c r="U841" s="13"/>
      <c r="V841" s="13">
        <f ca="1">$M841-$O841-$P841+$R841-$S841-IF(ROUNDUP(IF(ISBLANK($U841),$T841,$U841)/IF(AND($B841=1,$D$2&lt;&gt;"Egyszeri"),1,VLOOKUP($B841+IF($C841=12,1,0),Paraméterek!$B$257:$D$267,IF($D$2="Egyszeri",3,2))),IF($D$4="Forint",0,2))&gt;$M841-$O841-$P841+$R841-$S841-IF($D$4="Forint",Paraméterek!$C$216,Paraméterek!$D$216),0,ROUNDUP(IF(ISBLANK($U841),$T841,$U841)/IF(AND($B841=1,$D$2&lt;&gt;"Egyszeri"),1,VLOOKUP($B841+IF($C841=12,1,0),Paraméterek!$B$257:$D$267,IF($D$2="Egyszeri",3,2))),IF($D$4="Forint",0,2)))</f>
        <v>-846257</v>
      </c>
      <c r="W841" s="13">
        <f ca="1">ROUNDDOWN($V841*VLOOKUP($B841+IF($C841=12,1,0),Paraméterek!$B$257:$D$267,IF($D$2="Egyszeri",3,2)),IF($D$4="Forint",0,2))</f>
        <v>-846257</v>
      </c>
      <c r="Y841" s="32">
        <v>822</v>
      </c>
      <c r="Z841" s="32">
        <v>69</v>
      </c>
      <c r="AA841" s="32">
        <v>6</v>
      </c>
      <c r="AB841" s="13">
        <f t="shared" si="191"/>
        <v>0</v>
      </c>
      <c r="AC841" s="33"/>
      <c r="AD841" s="13">
        <f t="shared" si="187"/>
        <v>0</v>
      </c>
      <c r="AE841" s="13">
        <f>ROUNDUP(($AB841+$AD841)*VLOOKUP($Z841,Paraméterek!$P$38:$Q$38,2)/12,IF($D$4="Forint",0,2))</f>
        <v>0</v>
      </c>
      <c r="AF841" s="13">
        <f>IF($D$2="Egyszeri",IF($D$7&gt;=IF($D$4="Forint",Paraméterek!$P$223,Paraméterek!$P$224),$D$7-IF($D$4="Forint",Paraméterek!$F$223,Paraméterek!$F$224),0),MIN(IF($AA841=12,AVERAGE($D$20:$D841)*12,0),SUM($D$20:$D$31)))</f>
        <v>0</v>
      </c>
      <c r="AG841" s="13">
        <f>IF(AND($Z841&gt;=10,MOD($Z841,5)=0),$AF841*IF($AA841=12,VLOOKUP($Z841,Paraméterek!$B$225:$F$240,IF($AF841&lt;IF($D$4="Forint",Paraméterek!$C$223,Paraméterek!$C$224),2,IF($AF841&lt;IF($D$4="Forint",Paraméterek!$D$223,Paraméterek!$D$224),3,4))),0),0)</f>
        <v>0</v>
      </c>
      <c r="AH841" s="13">
        <f>IF(AND($Z841&gt;=5,MOD($Z841,5)=0),IF($AA841=12,VLOOKUP($Z841,Paraméterek!$B$225:$F$240,5),0),IF(OR($Z841=3,$Z841=4),IF($AA841=12,VLOOKUP($Z841,Paraméterek!$B$225:$F$240,5,0),0),0))*$AF841</f>
        <v>0</v>
      </c>
      <c r="AI841" s="13">
        <f>ROUNDDOWN(IF(SUM($T$20:$U841)=0,IF($D$2="Egyszeri",$AH841,$AG841),0),IF($D$4="Forint",0,2))</f>
        <v>0</v>
      </c>
      <c r="AJ841" s="13">
        <f t="shared" si="192"/>
        <v>0</v>
      </c>
      <c r="AK841" s="13">
        <f t="shared" si="193"/>
        <v>0</v>
      </c>
      <c r="AM841" s="32">
        <v>822</v>
      </c>
      <c r="AN841" s="32">
        <v>69</v>
      </c>
      <c r="AO841" s="32">
        <v>6</v>
      </c>
      <c r="AP841" s="13"/>
      <c r="AQ841" s="32"/>
      <c r="AR841" s="13">
        <f t="shared" si="194"/>
        <v>0</v>
      </c>
      <c r="AS841" s="33"/>
      <c r="AT841" s="13">
        <f t="shared" si="188"/>
        <v>0</v>
      </c>
      <c r="AU841" s="13">
        <f>ROUNDUP(($AR841+$AT841)*VLOOKUP($AN841,Paraméterek!$P$38:$Q$38,2)/12,IF($D$4="Forint",0,2))</f>
        <v>0</v>
      </c>
      <c r="AV841" s="13"/>
      <c r="AW841" s="13"/>
      <c r="AX841" s="13">
        <f>ROUNDUP(IF(SUM($AV841:$AW841)=0,0,IF(IF(ISBLANK($AW841),$AV841,$AW841)*Paraméterek!$J$112&lt;IF($D$4="Forint",Paraméterek!$J$113,Paraméterek!$K$113),IF($D$4="Forint",Paraméterek!$J$113,Paraméterek!$K$113),IF(IF(ISBLANK($AW841),$AV841,$AW841)*Paraméterek!$J$112&gt;IF($D$4="Forint",Paraméterek!$J$114,Paraméterek!$K$114),IF($D$4="Forint",Paraméterek!$J$114,Paraméterek!$K$114),IF(ISBLANK($AW841),$AV841,$AW841)*Paraméterek!$J$112))),IF($D$4="Forint",0,2))</f>
        <v>0</v>
      </c>
      <c r="AY841" s="13">
        <f>$AR841+$AT841-$AU841-IF(ROUNDDOWN(IF(ISBLANK($AW841),$AV841,$AW841),IF($D$4="Forint",0,2))&gt;$AR841+$AT841-$AU841-IF($D$4="Forint",Paraméterek!$J$114,Paraméterek!$K$114),0,ROUNDDOWN(IF(ISBLANK($AW841),$AV841,$AW841),IF($D$4="Forint",0,2))-$AX841)</f>
        <v>0</v>
      </c>
      <c r="AZ841" s="13">
        <f t="shared" si="189"/>
        <v>0</v>
      </c>
    </row>
    <row r="842" spans="1:52" x14ac:dyDescent="0.2">
      <c r="A842" s="32">
        <v>823</v>
      </c>
      <c r="B842" s="32">
        <v>69</v>
      </c>
      <c r="C842" s="32">
        <v>7</v>
      </c>
      <c r="D842" s="13">
        <f t="shared" si="180"/>
        <v>0</v>
      </c>
      <c r="E842" s="13"/>
      <c r="F842" s="13"/>
      <c r="G842" s="13"/>
      <c r="H842" s="13">
        <f t="shared" si="181"/>
        <v>0</v>
      </c>
      <c r="I842" s="13">
        <f t="shared" si="182"/>
        <v>0</v>
      </c>
      <c r="J842" s="13">
        <f t="shared" si="183"/>
        <v>0</v>
      </c>
      <c r="K842" s="13">
        <f>ROUNDUP(IF($D$2="Egyszeri",$D842,IF($D$2="Havi",SUM($D$20:$D$31),IF(MOD($C842,$M$1)-1=0,SUM($D$20:$D$31),0))/12*$M$1)*VLOOKUP($B842,Paraméterek!$B$27:$D$30,IF($D$2="Egyszeri",3,2)),IF($D$4="Forint",0,2))</f>
        <v>0</v>
      </c>
      <c r="L842" s="13">
        <f t="shared" si="184"/>
        <v>0</v>
      </c>
      <c r="M842" s="13">
        <f t="shared" ca="1" si="190"/>
        <v>-846257</v>
      </c>
      <c r="N842" s="13">
        <f ca="1">IF($V841&gt;=VLOOKUP($M$4-1+$B842,Paraméterek!$B$121:$D$122,IF($D$4="Forint",2,3)),0,VLOOKUP($M$4-1+$B842,Paraméterek!$B$121:$D$122,IF($D$4="Forint",2,3))-$V841)</f>
        <v>856257</v>
      </c>
      <c r="O842" s="13">
        <f ca="1">ROUNDUP($N842*Paraméterek!$C$58/Paraméterek!$C$56,IF($D$4="Forint",0,2))</f>
        <v>137</v>
      </c>
      <c r="P842" s="13">
        <f t="shared" si="185"/>
        <v>4105</v>
      </c>
      <c r="Q842" s="33"/>
      <c r="R842" s="13">
        <f t="shared" ca="1" si="186"/>
        <v>0</v>
      </c>
      <c r="S842" s="13">
        <f ca="1">ROUNDUP(($M842-$O842-$P842+$R842)*VLOOKUP($B842,Paraméterek!$B$38:$D$39,IF($D$2="Egyszeri",3,2))/12,IF($D$4="Forint",0,2))</f>
        <v>-2077</v>
      </c>
      <c r="T842" s="13"/>
      <c r="U842" s="13"/>
      <c r="V842" s="13">
        <f ca="1">$M842-$O842-$P842+$R842-$S842-IF(ROUNDUP(IF(ISBLANK($U842),$T842,$U842)/IF(AND($B842=1,$D$2&lt;&gt;"Egyszeri"),1,VLOOKUP($B842+IF($C842=12,1,0),Paraméterek!$B$257:$D$267,IF($D$2="Egyszeri",3,2))),IF($D$4="Forint",0,2))&gt;$M842-$O842-$P842+$R842-$S842-IF($D$4="Forint",Paraméterek!$C$216,Paraméterek!$D$216),0,ROUNDUP(IF(ISBLANK($U842),$T842,$U842)/IF(AND($B842=1,$D$2&lt;&gt;"Egyszeri"),1,VLOOKUP($B842+IF($C842=12,1,0),Paraméterek!$B$257:$D$267,IF($D$2="Egyszeri",3,2))),IF($D$4="Forint",0,2)))</f>
        <v>-848422</v>
      </c>
      <c r="W842" s="13">
        <f ca="1">ROUNDDOWN($V842*VLOOKUP($B842+IF($C842=12,1,0),Paraméterek!$B$257:$D$267,IF($D$2="Egyszeri",3,2)),IF($D$4="Forint",0,2))</f>
        <v>-848422</v>
      </c>
      <c r="Y842" s="32">
        <v>823</v>
      </c>
      <c r="Z842" s="32">
        <v>69</v>
      </c>
      <c r="AA842" s="32">
        <v>7</v>
      </c>
      <c r="AB842" s="13">
        <f t="shared" si="191"/>
        <v>0</v>
      </c>
      <c r="AC842" s="33"/>
      <c r="AD842" s="13">
        <f t="shared" si="187"/>
        <v>0</v>
      </c>
      <c r="AE842" s="13">
        <f>ROUNDUP(($AB842+$AD842)*VLOOKUP($Z842,Paraméterek!$P$38:$Q$38,2)/12,IF($D$4="Forint",0,2))</f>
        <v>0</v>
      </c>
      <c r="AF842" s="13">
        <f>IF($D$2="Egyszeri",IF($D$7&gt;=IF($D$4="Forint",Paraméterek!$P$223,Paraméterek!$P$224),$D$7-IF($D$4="Forint",Paraméterek!$F$223,Paraméterek!$F$224),0),MIN(IF($AA842=12,AVERAGE($D$20:$D842)*12,0),SUM($D$20:$D$31)))</f>
        <v>0</v>
      </c>
      <c r="AG842" s="13">
        <f>IF(AND($Z842&gt;=10,MOD($Z842,5)=0),$AF842*IF($AA842=12,VLOOKUP($Z842,Paraméterek!$B$225:$F$240,IF($AF842&lt;IF($D$4="Forint",Paraméterek!$C$223,Paraméterek!$C$224),2,IF($AF842&lt;IF($D$4="Forint",Paraméterek!$D$223,Paraméterek!$D$224),3,4))),0),0)</f>
        <v>0</v>
      </c>
      <c r="AH842" s="13">
        <f>IF(AND($Z842&gt;=5,MOD($Z842,5)=0),IF($AA842=12,VLOOKUP($Z842,Paraméterek!$B$225:$F$240,5),0),IF(OR($Z842=3,$Z842=4),IF($AA842=12,VLOOKUP($Z842,Paraméterek!$B$225:$F$240,5,0),0),0))*$AF842</f>
        <v>0</v>
      </c>
      <c r="AI842" s="13">
        <f>ROUNDDOWN(IF(SUM($T$20:$U842)=0,IF($D$2="Egyszeri",$AH842,$AG842),0),IF($D$4="Forint",0,2))</f>
        <v>0</v>
      </c>
      <c r="AJ842" s="13">
        <f t="shared" si="192"/>
        <v>0</v>
      </c>
      <c r="AK842" s="13">
        <f t="shared" si="193"/>
        <v>0</v>
      </c>
      <c r="AM842" s="32">
        <v>823</v>
      </c>
      <c r="AN842" s="32">
        <v>69</v>
      </c>
      <c r="AO842" s="32">
        <v>7</v>
      </c>
      <c r="AP842" s="13"/>
      <c r="AQ842" s="32"/>
      <c r="AR842" s="13">
        <f t="shared" si="194"/>
        <v>0</v>
      </c>
      <c r="AS842" s="33"/>
      <c r="AT842" s="13">
        <f t="shared" si="188"/>
        <v>0</v>
      </c>
      <c r="AU842" s="13">
        <f>ROUNDUP(($AR842+$AT842)*VLOOKUP($AN842,Paraméterek!$P$38:$Q$38,2)/12,IF($D$4="Forint",0,2))</f>
        <v>0</v>
      </c>
      <c r="AV842" s="13"/>
      <c r="AW842" s="13"/>
      <c r="AX842" s="13">
        <f>ROUNDUP(IF(SUM($AV842:$AW842)=0,0,IF(IF(ISBLANK($AW842),$AV842,$AW842)*Paraméterek!$J$112&lt;IF($D$4="Forint",Paraméterek!$J$113,Paraméterek!$K$113),IF($D$4="Forint",Paraméterek!$J$113,Paraméterek!$K$113),IF(IF(ISBLANK($AW842),$AV842,$AW842)*Paraméterek!$J$112&gt;IF($D$4="Forint",Paraméterek!$J$114,Paraméterek!$K$114),IF($D$4="Forint",Paraméterek!$J$114,Paraméterek!$K$114),IF(ISBLANK($AW842),$AV842,$AW842)*Paraméterek!$J$112))),IF($D$4="Forint",0,2))</f>
        <v>0</v>
      </c>
      <c r="AY842" s="13">
        <f>$AR842+$AT842-$AU842-IF(ROUNDDOWN(IF(ISBLANK($AW842),$AV842,$AW842),IF($D$4="Forint",0,2))&gt;$AR842+$AT842-$AU842-IF($D$4="Forint",Paraméterek!$J$114,Paraméterek!$K$114),0,ROUNDDOWN(IF(ISBLANK($AW842),$AV842,$AW842),IF($D$4="Forint",0,2))-$AX842)</f>
        <v>0</v>
      </c>
      <c r="AZ842" s="13">
        <f t="shared" si="189"/>
        <v>0</v>
      </c>
    </row>
    <row r="843" spans="1:52" x14ac:dyDescent="0.2">
      <c r="A843" s="32">
        <v>824</v>
      </c>
      <c r="B843" s="32">
        <v>69</v>
      </c>
      <c r="C843" s="32">
        <v>8</v>
      </c>
      <c r="D843" s="13">
        <f t="shared" si="180"/>
        <v>0</v>
      </c>
      <c r="E843" s="13"/>
      <c r="F843" s="13"/>
      <c r="G843" s="13"/>
      <c r="H843" s="13">
        <f t="shared" si="181"/>
        <v>0</v>
      </c>
      <c r="I843" s="13">
        <f t="shared" si="182"/>
        <v>0</v>
      </c>
      <c r="J843" s="13">
        <f t="shared" si="183"/>
        <v>0</v>
      </c>
      <c r="K843" s="13">
        <f>ROUNDUP(IF($D$2="Egyszeri",$D843,IF($D$2="Havi",SUM($D$20:$D$31),IF(MOD($C843,$M$1)-1=0,SUM($D$20:$D$31),0))/12*$M$1)*VLOOKUP($B843,Paraméterek!$B$27:$D$30,IF($D$2="Egyszeri",3,2)),IF($D$4="Forint",0,2))</f>
        <v>0</v>
      </c>
      <c r="L843" s="13">
        <f t="shared" si="184"/>
        <v>0</v>
      </c>
      <c r="M843" s="13">
        <f t="shared" ca="1" si="190"/>
        <v>-848422</v>
      </c>
      <c r="N843" s="13">
        <f ca="1">IF($V842&gt;=VLOOKUP($M$4-1+$B843,Paraméterek!$B$121:$D$122,IF($D$4="Forint",2,3)),0,VLOOKUP($M$4-1+$B843,Paraméterek!$B$121:$D$122,IF($D$4="Forint",2,3))-$V842)</f>
        <v>858422</v>
      </c>
      <c r="O843" s="13">
        <f ca="1">ROUNDUP($N843*Paraméterek!$C$58/Paraméterek!$C$56,IF($D$4="Forint",0,2))</f>
        <v>137</v>
      </c>
      <c r="P843" s="13">
        <f t="shared" si="185"/>
        <v>4105</v>
      </c>
      <c r="Q843" s="33"/>
      <c r="R843" s="13">
        <f t="shared" ca="1" si="186"/>
        <v>0</v>
      </c>
      <c r="S843" s="13">
        <f ca="1">ROUNDUP(($M843-$O843-$P843+$R843)*VLOOKUP($B843,Paraméterek!$B$38:$D$39,IF($D$2="Egyszeri",3,2))/12,IF($D$4="Forint",0,2))</f>
        <v>-2082</v>
      </c>
      <c r="T843" s="13"/>
      <c r="U843" s="13"/>
      <c r="V843" s="13">
        <f ca="1">$M843-$O843-$P843+$R843-$S843-IF(ROUNDUP(IF(ISBLANK($U843),$T843,$U843)/IF(AND($B843=1,$D$2&lt;&gt;"Egyszeri"),1,VLOOKUP($B843+IF($C843=12,1,0),Paraméterek!$B$257:$D$267,IF($D$2="Egyszeri",3,2))),IF($D$4="Forint",0,2))&gt;$M843-$O843-$P843+$R843-$S843-IF($D$4="Forint",Paraméterek!$C$216,Paraméterek!$D$216),0,ROUNDUP(IF(ISBLANK($U843),$T843,$U843)/IF(AND($B843=1,$D$2&lt;&gt;"Egyszeri"),1,VLOOKUP($B843+IF($C843=12,1,0),Paraméterek!$B$257:$D$267,IF($D$2="Egyszeri",3,2))),IF($D$4="Forint",0,2)))</f>
        <v>-850582</v>
      </c>
      <c r="W843" s="13">
        <f ca="1">ROUNDDOWN($V843*VLOOKUP($B843+IF($C843=12,1,0),Paraméterek!$B$257:$D$267,IF($D$2="Egyszeri",3,2)),IF($D$4="Forint",0,2))</f>
        <v>-850582</v>
      </c>
      <c r="Y843" s="32">
        <v>824</v>
      </c>
      <c r="Z843" s="32">
        <v>69</v>
      </c>
      <c r="AA843" s="32">
        <v>8</v>
      </c>
      <c r="AB843" s="13">
        <f t="shared" si="191"/>
        <v>0</v>
      </c>
      <c r="AC843" s="33"/>
      <c r="AD843" s="13">
        <f t="shared" si="187"/>
        <v>0</v>
      </c>
      <c r="AE843" s="13">
        <f>ROUNDUP(($AB843+$AD843)*VLOOKUP($Z843,Paraméterek!$P$38:$Q$38,2)/12,IF($D$4="Forint",0,2))</f>
        <v>0</v>
      </c>
      <c r="AF843" s="13">
        <f>IF($D$2="Egyszeri",IF($D$7&gt;=IF($D$4="Forint",Paraméterek!$P$223,Paraméterek!$P$224),$D$7-IF($D$4="Forint",Paraméterek!$F$223,Paraméterek!$F$224),0),MIN(IF($AA843=12,AVERAGE($D$20:$D843)*12,0),SUM($D$20:$D$31)))</f>
        <v>0</v>
      </c>
      <c r="AG843" s="13">
        <f>IF(AND($Z843&gt;=10,MOD($Z843,5)=0),$AF843*IF($AA843=12,VLOOKUP($Z843,Paraméterek!$B$225:$F$240,IF($AF843&lt;IF($D$4="Forint",Paraméterek!$C$223,Paraméterek!$C$224),2,IF($AF843&lt;IF($D$4="Forint",Paraméterek!$D$223,Paraméterek!$D$224),3,4))),0),0)</f>
        <v>0</v>
      </c>
      <c r="AH843" s="13">
        <f>IF(AND($Z843&gt;=5,MOD($Z843,5)=0),IF($AA843=12,VLOOKUP($Z843,Paraméterek!$B$225:$F$240,5),0),IF(OR($Z843=3,$Z843=4),IF($AA843=12,VLOOKUP($Z843,Paraméterek!$B$225:$F$240,5,0),0),0))*$AF843</f>
        <v>0</v>
      </c>
      <c r="AI843" s="13">
        <f>ROUNDDOWN(IF(SUM($T$20:$U843)=0,IF($D$2="Egyszeri",$AH843,$AG843),0),IF($D$4="Forint",0,2))</f>
        <v>0</v>
      </c>
      <c r="AJ843" s="13">
        <f t="shared" si="192"/>
        <v>0</v>
      </c>
      <c r="AK843" s="13">
        <f t="shared" si="193"/>
        <v>0</v>
      </c>
      <c r="AM843" s="32">
        <v>824</v>
      </c>
      <c r="AN843" s="32">
        <v>69</v>
      </c>
      <c r="AO843" s="32">
        <v>8</v>
      </c>
      <c r="AP843" s="13"/>
      <c r="AQ843" s="32"/>
      <c r="AR843" s="13">
        <f t="shared" si="194"/>
        <v>0</v>
      </c>
      <c r="AS843" s="33"/>
      <c r="AT843" s="13">
        <f t="shared" si="188"/>
        <v>0</v>
      </c>
      <c r="AU843" s="13">
        <f>ROUNDUP(($AR843+$AT843)*VLOOKUP($AN843,Paraméterek!$P$38:$Q$38,2)/12,IF($D$4="Forint",0,2))</f>
        <v>0</v>
      </c>
      <c r="AV843" s="13"/>
      <c r="AW843" s="13"/>
      <c r="AX843" s="13">
        <f>ROUNDUP(IF(SUM($AV843:$AW843)=0,0,IF(IF(ISBLANK($AW843),$AV843,$AW843)*Paraméterek!$J$112&lt;IF($D$4="Forint",Paraméterek!$J$113,Paraméterek!$K$113),IF($D$4="Forint",Paraméterek!$J$113,Paraméterek!$K$113),IF(IF(ISBLANK($AW843),$AV843,$AW843)*Paraméterek!$J$112&gt;IF($D$4="Forint",Paraméterek!$J$114,Paraméterek!$K$114),IF($D$4="Forint",Paraméterek!$J$114,Paraméterek!$K$114),IF(ISBLANK($AW843),$AV843,$AW843)*Paraméterek!$J$112))),IF($D$4="Forint",0,2))</f>
        <v>0</v>
      </c>
      <c r="AY843" s="13">
        <f>$AR843+$AT843-$AU843-IF(ROUNDDOWN(IF(ISBLANK($AW843),$AV843,$AW843),IF($D$4="Forint",0,2))&gt;$AR843+$AT843-$AU843-IF($D$4="Forint",Paraméterek!$J$114,Paraméterek!$K$114),0,ROUNDDOWN(IF(ISBLANK($AW843),$AV843,$AW843),IF($D$4="Forint",0,2))-$AX843)</f>
        <v>0</v>
      </c>
      <c r="AZ843" s="13">
        <f t="shared" si="189"/>
        <v>0</v>
      </c>
    </row>
    <row r="844" spans="1:52" x14ac:dyDescent="0.2">
      <c r="A844" s="32">
        <v>825</v>
      </c>
      <c r="B844" s="32">
        <v>69</v>
      </c>
      <c r="C844" s="32">
        <v>9</v>
      </c>
      <c r="D844" s="13">
        <f t="shared" si="180"/>
        <v>0</v>
      </c>
      <c r="E844" s="13"/>
      <c r="F844" s="13"/>
      <c r="G844" s="13"/>
      <c r="H844" s="13">
        <f t="shared" si="181"/>
        <v>0</v>
      </c>
      <c r="I844" s="13">
        <f t="shared" si="182"/>
        <v>0</v>
      </c>
      <c r="J844" s="13">
        <f t="shared" si="183"/>
        <v>0</v>
      </c>
      <c r="K844" s="13">
        <f>ROUNDUP(IF($D$2="Egyszeri",$D844,IF($D$2="Havi",SUM($D$20:$D$31),IF(MOD($C844,$M$1)-1=0,SUM($D$20:$D$31),0))/12*$M$1)*VLOOKUP($B844,Paraméterek!$B$27:$D$30,IF($D$2="Egyszeri",3,2)),IF($D$4="Forint",0,2))</f>
        <v>0</v>
      </c>
      <c r="L844" s="13">
        <f t="shared" si="184"/>
        <v>0</v>
      </c>
      <c r="M844" s="13">
        <f t="shared" ca="1" si="190"/>
        <v>-850582</v>
      </c>
      <c r="N844" s="13">
        <f ca="1">IF($V843&gt;=VLOOKUP($M$4-1+$B844,Paraméterek!$B$121:$D$122,IF($D$4="Forint",2,3)),0,VLOOKUP($M$4-1+$B844,Paraméterek!$B$121:$D$122,IF($D$4="Forint",2,3))-$V843)</f>
        <v>860582</v>
      </c>
      <c r="O844" s="13">
        <f ca="1">ROUNDUP($N844*Paraméterek!$C$58/Paraméterek!$C$56,IF($D$4="Forint",0,2))</f>
        <v>137</v>
      </c>
      <c r="P844" s="13">
        <f t="shared" si="185"/>
        <v>4105</v>
      </c>
      <c r="Q844" s="33"/>
      <c r="R844" s="13">
        <f t="shared" ca="1" si="186"/>
        <v>0</v>
      </c>
      <c r="S844" s="13">
        <f ca="1">ROUNDUP(($M844-$O844-$P844+$R844)*VLOOKUP($B844,Paraméterek!$B$38:$D$39,IF($D$2="Egyszeri",3,2))/12,IF($D$4="Forint",0,2))</f>
        <v>-2088</v>
      </c>
      <c r="T844" s="13"/>
      <c r="U844" s="13"/>
      <c r="V844" s="13">
        <f ca="1">$M844-$O844-$P844+$R844-$S844-IF(ROUNDUP(IF(ISBLANK($U844),$T844,$U844)/IF(AND($B844=1,$D$2&lt;&gt;"Egyszeri"),1,VLOOKUP($B844+IF($C844=12,1,0),Paraméterek!$B$257:$D$267,IF($D$2="Egyszeri",3,2))),IF($D$4="Forint",0,2))&gt;$M844-$O844-$P844+$R844-$S844-IF($D$4="Forint",Paraméterek!$C$216,Paraméterek!$D$216),0,ROUNDUP(IF(ISBLANK($U844),$T844,$U844)/IF(AND($B844=1,$D$2&lt;&gt;"Egyszeri"),1,VLOOKUP($B844+IF($C844=12,1,0),Paraméterek!$B$257:$D$267,IF($D$2="Egyszeri",3,2))),IF($D$4="Forint",0,2)))</f>
        <v>-852736</v>
      </c>
      <c r="W844" s="13">
        <f ca="1">ROUNDDOWN($V844*VLOOKUP($B844+IF($C844=12,1,0),Paraméterek!$B$257:$D$267,IF($D$2="Egyszeri",3,2)),IF($D$4="Forint",0,2))</f>
        <v>-852736</v>
      </c>
      <c r="Y844" s="32">
        <v>825</v>
      </c>
      <c r="Z844" s="32">
        <v>69</v>
      </c>
      <c r="AA844" s="32">
        <v>9</v>
      </c>
      <c r="AB844" s="13">
        <f t="shared" si="191"/>
        <v>0</v>
      </c>
      <c r="AC844" s="33"/>
      <c r="AD844" s="13">
        <f t="shared" si="187"/>
        <v>0</v>
      </c>
      <c r="AE844" s="13">
        <f>ROUNDUP(($AB844+$AD844)*VLOOKUP($Z844,Paraméterek!$P$38:$Q$38,2)/12,IF($D$4="Forint",0,2))</f>
        <v>0</v>
      </c>
      <c r="AF844" s="13">
        <f>IF($D$2="Egyszeri",IF($D$7&gt;=IF($D$4="Forint",Paraméterek!$P$223,Paraméterek!$P$224),$D$7-IF($D$4="Forint",Paraméterek!$F$223,Paraméterek!$F$224),0),MIN(IF($AA844=12,AVERAGE($D$20:$D844)*12,0),SUM($D$20:$D$31)))</f>
        <v>0</v>
      </c>
      <c r="AG844" s="13">
        <f>IF(AND($Z844&gt;=10,MOD($Z844,5)=0),$AF844*IF($AA844=12,VLOOKUP($Z844,Paraméterek!$B$225:$F$240,IF($AF844&lt;IF($D$4="Forint",Paraméterek!$C$223,Paraméterek!$C$224),2,IF($AF844&lt;IF($D$4="Forint",Paraméterek!$D$223,Paraméterek!$D$224),3,4))),0),0)</f>
        <v>0</v>
      </c>
      <c r="AH844" s="13">
        <f>IF(AND($Z844&gt;=5,MOD($Z844,5)=0),IF($AA844=12,VLOOKUP($Z844,Paraméterek!$B$225:$F$240,5),0),IF(OR($Z844=3,$Z844=4),IF($AA844=12,VLOOKUP($Z844,Paraméterek!$B$225:$F$240,5,0),0),0))*$AF844</f>
        <v>0</v>
      </c>
      <c r="AI844" s="13">
        <f>ROUNDDOWN(IF(SUM($T$20:$U844)=0,IF($D$2="Egyszeri",$AH844,$AG844),0),IF($D$4="Forint",0,2))</f>
        <v>0</v>
      </c>
      <c r="AJ844" s="13">
        <f t="shared" si="192"/>
        <v>0</v>
      </c>
      <c r="AK844" s="13">
        <f t="shared" si="193"/>
        <v>0</v>
      </c>
      <c r="AM844" s="32">
        <v>825</v>
      </c>
      <c r="AN844" s="32">
        <v>69</v>
      </c>
      <c r="AO844" s="32">
        <v>9</v>
      </c>
      <c r="AP844" s="13"/>
      <c r="AQ844" s="32"/>
      <c r="AR844" s="13">
        <f t="shared" si="194"/>
        <v>0</v>
      </c>
      <c r="AS844" s="33"/>
      <c r="AT844" s="13">
        <f t="shared" si="188"/>
        <v>0</v>
      </c>
      <c r="AU844" s="13">
        <f>ROUNDUP(($AR844+$AT844)*VLOOKUP($AN844,Paraméterek!$P$38:$Q$38,2)/12,IF($D$4="Forint",0,2))</f>
        <v>0</v>
      </c>
      <c r="AV844" s="13"/>
      <c r="AW844" s="13"/>
      <c r="AX844" s="13">
        <f>ROUNDUP(IF(SUM($AV844:$AW844)=0,0,IF(IF(ISBLANK($AW844),$AV844,$AW844)*Paraméterek!$J$112&lt;IF($D$4="Forint",Paraméterek!$J$113,Paraméterek!$K$113),IF($D$4="Forint",Paraméterek!$J$113,Paraméterek!$K$113),IF(IF(ISBLANK($AW844),$AV844,$AW844)*Paraméterek!$J$112&gt;IF($D$4="Forint",Paraméterek!$J$114,Paraméterek!$K$114),IF($D$4="Forint",Paraméterek!$J$114,Paraméterek!$K$114),IF(ISBLANK($AW844),$AV844,$AW844)*Paraméterek!$J$112))),IF($D$4="Forint",0,2))</f>
        <v>0</v>
      </c>
      <c r="AY844" s="13">
        <f>$AR844+$AT844-$AU844-IF(ROUNDDOWN(IF(ISBLANK($AW844),$AV844,$AW844),IF($D$4="Forint",0,2))&gt;$AR844+$AT844-$AU844-IF($D$4="Forint",Paraméterek!$J$114,Paraméterek!$K$114),0,ROUNDDOWN(IF(ISBLANK($AW844),$AV844,$AW844),IF($D$4="Forint",0,2))-$AX844)</f>
        <v>0</v>
      </c>
      <c r="AZ844" s="13">
        <f t="shared" si="189"/>
        <v>0</v>
      </c>
    </row>
    <row r="845" spans="1:52" x14ac:dyDescent="0.2">
      <c r="A845" s="32">
        <v>826</v>
      </c>
      <c r="B845" s="32">
        <v>69</v>
      </c>
      <c r="C845" s="32">
        <v>10</v>
      </c>
      <c r="D845" s="13">
        <f t="shared" si="180"/>
        <v>0</v>
      </c>
      <c r="E845" s="13"/>
      <c r="F845" s="13"/>
      <c r="G845" s="13"/>
      <c r="H845" s="13">
        <f t="shared" si="181"/>
        <v>0</v>
      </c>
      <c r="I845" s="13">
        <f t="shared" si="182"/>
        <v>0</v>
      </c>
      <c r="J845" s="13">
        <f t="shared" si="183"/>
        <v>0</v>
      </c>
      <c r="K845" s="13">
        <f>ROUNDUP(IF($D$2="Egyszeri",$D845,IF($D$2="Havi",SUM($D$20:$D$31),IF(MOD($C845,$M$1)-1=0,SUM($D$20:$D$31),0))/12*$M$1)*VLOOKUP($B845,Paraméterek!$B$27:$D$30,IF($D$2="Egyszeri",3,2)),IF($D$4="Forint",0,2))</f>
        <v>0</v>
      </c>
      <c r="L845" s="13">
        <f t="shared" si="184"/>
        <v>0</v>
      </c>
      <c r="M845" s="13">
        <f t="shared" ca="1" si="190"/>
        <v>-852736</v>
      </c>
      <c r="N845" s="13">
        <f ca="1">IF($V844&gt;=VLOOKUP($M$4-1+$B845,Paraméterek!$B$121:$D$122,IF($D$4="Forint",2,3)),0,VLOOKUP($M$4-1+$B845,Paraméterek!$B$121:$D$122,IF($D$4="Forint",2,3))-$V844)</f>
        <v>862736</v>
      </c>
      <c r="O845" s="13">
        <f ca="1">ROUNDUP($N845*Paraméterek!$C$58/Paraméterek!$C$56,IF($D$4="Forint",0,2))</f>
        <v>138</v>
      </c>
      <c r="P845" s="13">
        <f t="shared" si="185"/>
        <v>4105</v>
      </c>
      <c r="Q845" s="33"/>
      <c r="R845" s="13">
        <f t="shared" ca="1" si="186"/>
        <v>0</v>
      </c>
      <c r="S845" s="13">
        <f ca="1">ROUNDUP(($M845-$O845-$P845+$R845)*VLOOKUP($B845,Paraméterek!$B$38:$D$39,IF($D$2="Egyszeri",3,2))/12,IF($D$4="Forint",0,2))</f>
        <v>-2093</v>
      </c>
      <c r="T845" s="13"/>
      <c r="U845" s="13"/>
      <c r="V845" s="13">
        <f ca="1">$M845-$O845-$P845+$R845-$S845-IF(ROUNDUP(IF(ISBLANK($U845),$T845,$U845)/IF(AND($B845=1,$D$2&lt;&gt;"Egyszeri"),1,VLOOKUP($B845+IF($C845=12,1,0),Paraméterek!$B$257:$D$267,IF($D$2="Egyszeri",3,2))),IF($D$4="Forint",0,2))&gt;$M845-$O845-$P845+$R845-$S845-IF($D$4="Forint",Paraméterek!$C$216,Paraméterek!$D$216),0,ROUNDUP(IF(ISBLANK($U845),$T845,$U845)/IF(AND($B845=1,$D$2&lt;&gt;"Egyszeri"),1,VLOOKUP($B845+IF($C845=12,1,0),Paraméterek!$B$257:$D$267,IF($D$2="Egyszeri",3,2))),IF($D$4="Forint",0,2)))</f>
        <v>-854886</v>
      </c>
      <c r="W845" s="13">
        <f ca="1">ROUNDDOWN($V845*VLOOKUP($B845+IF($C845=12,1,0),Paraméterek!$B$257:$D$267,IF($D$2="Egyszeri",3,2)),IF($D$4="Forint",0,2))</f>
        <v>-854886</v>
      </c>
      <c r="Y845" s="32">
        <v>826</v>
      </c>
      <c r="Z845" s="32">
        <v>69</v>
      </c>
      <c r="AA845" s="32">
        <v>10</v>
      </c>
      <c r="AB845" s="13">
        <f t="shared" si="191"/>
        <v>0</v>
      </c>
      <c r="AC845" s="33"/>
      <c r="AD845" s="13">
        <f t="shared" si="187"/>
        <v>0</v>
      </c>
      <c r="AE845" s="13">
        <f>ROUNDUP(($AB845+$AD845)*VLOOKUP($Z845,Paraméterek!$P$38:$Q$38,2)/12,IF($D$4="Forint",0,2))</f>
        <v>0</v>
      </c>
      <c r="AF845" s="13">
        <f>IF($D$2="Egyszeri",IF($D$7&gt;=IF($D$4="Forint",Paraméterek!$P$223,Paraméterek!$P$224),$D$7-IF($D$4="Forint",Paraméterek!$F$223,Paraméterek!$F$224),0),MIN(IF($AA845=12,AVERAGE($D$20:$D845)*12,0),SUM($D$20:$D$31)))</f>
        <v>0</v>
      </c>
      <c r="AG845" s="13">
        <f>IF(AND($Z845&gt;=10,MOD($Z845,5)=0),$AF845*IF($AA845=12,VLOOKUP($Z845,Paraméterek!$B$225:$F$240,IF($AF845&lt;IF($D$4="Forint",Paraméterek!$C$223,Paraméterek!$C$224),2,IF($AF845&lt;IF($D$4="Forint",Paraméterek!$D$223,Paraméterek!$D$224),3,4))),0),0)</f>
        <v>0</v>
      </c>
      <c r="AH845" s="13">
        <f>IF(AND($Z845&gt;=5,MOD($Z845,5)=0),IF($AA845=12,VLOOKUP($Z845,Paraméterek!$B$225:$F$240,5),0),IF(OR($Z845=3,$Z845=4),IF($AA845=12,VLOOKUP($Z845,Paraméterek!$B$225:$F$240,5,0),0),0))*$AF845</f>
        <v>0</v>
      </c>
      <c r="AI845" s="13">
        <f>ROUNDDOWN(IF(SUM($T$20:$U845)=0,IF($D$2="Egyszeri",$AH845,$AG845),0),IF($D$4="Forint",0,2))</f>
        <v>0</v>
      </c>
      <c r="AJ845" s="13">
        <f t="shared" si="192"/>
        <v>0</v>
      </c>
      <c r="AK845" s="13">
        <f t="shared" si="193"/>
        <v>0</v>
      </c>
      <c r="AM845" s="32">
        <v>826</v>
      </c>
      <c r="AN845" s="32">
        <v>69</v>
      </c>
      <c r="AO845" s="32">
        <v>10</v>
      </c>
      <c r="AP845" s="13"/>
      <c r="AQ845" s="32"/>
      <c r="AR845" s="13">
        <f t="shared" si="194"/>
        <v>0</v>
      </c>
      <c r="AS845" s="33"/>
      <c r="AT845" s="13">
        <f t="shared" si="188"/>
        <v>0</v>
      </c>
      <c r="AU845" s="13">
        <f>ROUNDUP(($AR845+$AT845)*VLOOKUP($AN845,Paraméterek!$P$38:$Q$38,2)/12,IF($D$4="Forint",0,2))</f>
        <v>0</v>
      </c>
      <c r="AV845" s="13"/>
      <c r="AW845" s="13"/>
      <c r="AX845" s="13">
        <f>ROUNDUP(IF(SUM($AV845:$AW845)=0,0,IF(IF(ISBLANK($AW845),$AV845,$AW845)*Paraméterek!$J$112&lt;IF($D$4="Forint",Paraméterek!$J$113,Paraméterek!$K$113),IF($D$4="Forint",Paraméterek!$J$113,Paraméterek!$K$113),IF(IF(ISBLANK($AW845),$AV845,$AW845)*Paraméterek!$J$112&gt;IF($D$4="Forint",Paraméterek!$J$114,Paraméterek!$K$114),IF($D$4="Forint",Paraméterek!$J$114,Paraméterek!$K$114),IF(ISBLANK($AW845),$AV845,$AW845)*Paraméterek!$J$112))),IF($D$4="Forint",0,2))</f>
        <v>0</v>
      </c>
      <c r="AY845" s="13">
        <f>$AR845+$AT845-$AU845-IF(ROUNDDOWN(IF(ISBLANK($AW845),$AV845,$AW845),IF($D$4="Forint",0,2))&gt;$AR845+$AT845-$AU845-IF($D$4="Forint",Paraméterek!$J$114,Paraméterek!$K$114),0,ROUNDDOWN(IF(ISBLANK($AW845),$AV845,$AW845),IF($D$4="Forint",0,2))-$AX845)</f>
        <v>0</v>
      </c>
      <c r="AZ845" s="13">
        <f t="shared" si="189"/>
        <v>0</v>
      </c>
    </row>
    <row r="846" spans="1:52" x14ac:dyDescent="0.2">
      <c r="A846" s="32">
        <v>827</v>
      </c>
      <c r="B846" s="32">
        <v>69</v>
      </c>
      <c r="C846" s="32">
        <v>11</v>
      </c>
      <c r="D846" s="13">
        <f t="shared" si="180"/>
        <v>0</v>
      </c>
      <c r="E846" s="13"/>
      <c r="F846" s="13"/>
      <c r="G846" s="13"/>
      <c r="H846" s="13">
        <f t="shared" si="181"/>
        <v>0</v>
      </c>
      <c r="I846" s="13">
        <f t="shared" si="182"/>
        <v>0</v>
      </c>
      <c r="J846" s="13">
        <f t="shared" si="183"/>
        <v>0</v>
      </c>
      <c r="K846" s="13">
        <f>ROUNDUP(IF($D$2="Egyszeri",$D846,IF($D$2="Havi",SUM($D$20:$D$31),IF(MOD($C846,$M$1)-1=0,SUM($D$20:$D$31),0))/12*$M$1)*VLOOKUP($B846,Paraméterek!$B$27:$D$30,IF($D$2="Egyszeri",3,2)),IF($D$4="Forint",0,2))</f>
        <v>0</v>
      </c>
      <c r="L846" s="13">
        <f t="shared" si="184"/>
        <v>0</v>
      </c>
      <c r="M846" s="13">
        <f t="shared" ca="1" si="190"/>
        <v>-854886</v>
      </c>
      <c r="N846" s="13">
        <f ca="1">IF($V845&gt;=VLOOKUP($M$4-1+$B846,Paraméterek!$B$121:$D$122,IF($D$4="Forint",2,3)),0,VLOOKUP($M$4-1+$B846,Paraméterek!$B$121:$D$122,IF($D$4="Forint",2,3))-$V845)</f>
        <v>864886</v>
      </c>
      <c r="O846" s="13">
        <f ca="1">ROUNDUP($N846*Paraméterek!$C$58/Paraméterek!$C$56,IF($D$4="Forint",0,2))</f>
        <v>138</v>
      </c>
      <c r="P846" s="13">
        <f t="shared" si="185"/>
        <v>4105</v>
      </c>
      <c r="Q846" s="33"/>
      <c r="R846" s="13">
        <f t="shared" ca="1" si="186"/>
        <v>0</v>
      </c>
      <c r="S846" s="13">
        <f ca="1">ROUNDUP(($M846-$O846-$P846+$R846)*VLOOKUP($B846,Paraméterek!$B$38:$D$39,IF($D$2="Egyszeri",3,2))/12,IF($D$4="Forint",0,2))</f>
        <v>-2098</v>
      </c>
      <c r="T846" s="13"/>
      <c r="U846" s="13"/>
      <c r="V846" s="13">
        <f ca="1">$M846-$O846-$P846+$R846-$S846-IF(ROUNDUP(IF(ISBLANK($U846),$T846,$U846)/IF(AND($B846=1,$D$2&lt;&gt;"Egyszeri"),1,VLOOKUP($B846+IF($C846=12,1,0),Paraméterek!$B$257:$D$267,IF($D$2="Egyszeri",3,2))),IF($D$4="Forint",0,2))&gt;$M846-$O846-$P846+$R846-$S846-IF($D$4="Forint",Paraméterek!$C$216,Paraméterek!$D$216),0,ROUNDUP(IF(ISBLANK($U846),$T846,$U846)/IF(AND($B846=1,$D$2&lt;&gt;"Egyszeri"),1,VLOOKUP($B846+IF($C846=12,1,0),Paraméterek!$B$257:$D$267,IF($D$2="Egyszeri",3,2))),IF($D$4="Forint",0,2)))</f>
        <v>-857031</v>
      </c>
      <c r="W846" s="13">
        <f ca="1">ROUNDDOWN($V846*VLOOKUP($B846+IF($C846=12,1,0),Paraméterek!$B$257:$D$267,IF($D$2="Egyszeri",3,2)),IF($D$4="Forint",0,2))</f>
        <v>-857031</v>
      </c>
      <c r="Y846" s="32">
        <v>827</v>
      </c>
      <c r="Z846" s="32">
        <v>69</v>
      </c>
      <c r="AA846" s="32">
        <v>11</v>
      </c>
      <c r="AB846" s="13">
        <f t="shared" si="191"/>
        <v>0</v>
      </c>
      <c r="AC846" s="33"/>
      <c r="AD846" s="13">
        <f t="shared" si="187"/>
        <v>0</v>
      </c>
      <c r="AE846" s="13">
        <f>ROUNDUP(($AB846+$AD846)*VLOOKUP($Z846,Paraméterek!$P$38:$Q$38,2)/12,IF($D$4="Forint",0,2))</f>
        <v>0</v>
      </c>
      <c r="AF846" s="13">
        <f>IF($D$2="Egyszeri",IF($D$7&gt;=IF($D$4="Forint",Paraméterek!$P$223,Paraméterek!$P$224),$D$7-IF($D$4="Forint",Paraméterek!$F$223,Paraméterek!$F$224),0),MIN(IF($AA846=12,AVERAGE($D$20:$D846)*12,0),SUM($D$20:$D$31)))</f>
        <v>0</v>
      </c>
      <c r="AG846" s="13">
        <f>IF(AND($Z846&gt;=10,MOD($Z846,5)=0),$AF846*IF($AA846=12,VLOOKUP($Z846,Paraméterek!$B$225:$F$240,IF($AF846&lt;IF($D$4="Forint",Paraméterek!$C$223,Paraméterek!$C$224),2,IF($AF846&lt;IF($D$4="Forint",Paraméterek!$D$223,Paraméterek!$D$224),3,4))),0),0)</f>
        <v>0</v>
      </c>
      <c r="AH846" s="13">
        <f>IF(AND($Z846&gt;=5,MOD($Z846,5)=0),IF($AA846=12,VLOOKUP($Z846,Paraméterek!$B$225:$F$240,5),0),IF(OR($Z846=3,$Z846=4),IF($AA846=12,VLOOKUP($Z846,Paraméterek!$B$225:$F$240,5,0),0),0))*$AF846</f>
        <v>0</v>
      </c>
      <c r="AI846" s="13">
        <f>ROUNDDOWN(IF(SUM($T$20:$U846)=0,IF($D$2="Egyszeri",$AH846,$AG846),0),IF($D$4="Forint",0,2))</f>
        <v>0</v>
      </c>
      <c r="AJ846" s="13">
        <f t="shared" si="192"/>
        <v>0</v>
      </c>
      <c r="AK846" s="13">
        <f t="shared" si="193"/>
        <v>0</v>
      </c>
      <c r="AM846" s="32">
        <v>827</v>
      </c>
      <c r="AN846" s="32">
        <v>69</v>
      </c>
      <c r="AO846" s="32">
        <v>11</v>
      </c>
      <c r="AP846" s="13"/>
      <c r="AQ846" s="32"/>
      <c r="AR846" s="13">
        <f t="shared" si="194"/>
        <v>0</v>
      </c>
      <c r="AS846" s="33"/>
      <c r="AT846" s="13">
        <f t="shared" si="188"/>
        <v>0</v>
      </c>
      <c r="AU846" s="13">
        <f>ROUNDUP(($AR846+$AT846)*VLOOKUP($AN846,Paraméterek!$P$38:$Q$38,2)/12,IF($D$4="Forint",0,2))</f>
        <v>0</v>
      </c>
      <c r="AV846" s="13"/>
      <c r="AW846" s="13"/>
      <c r="AX846" s="13">
        <f>ROUNDUP(IF(SUM($AV846:$AW846)=0,0,IF(IF(ISBLANK($AW846),$AV846,$AW846)*Paraméterek!$J$112&lt;IF($D$4="Forint",Paraméterek!$J$113,Paraméterek!$K$113),IF($D$4="Forint",Paraméterek!$J$113,Paraméterek!$K$113),IF(IF(ISBLANK($AW846),$AV846,$AW846)*Paraméterek!$J$112&gt;IF($D$4="Forint",Paraméterek!$J$114,Paraméterek!$K$114),IF($D$4="Forint",Paraméterek!$J$114,Paraméterek!$K$114),IF(ISBLANK($AW846),$AV846,$AW846)*Paraméterek!$J$112))),IF($D$4="Forint",0,2))</f>
        <v>0</v>
      </c>
      <c r="AY846" s="13">
        <f>$AR846+$AT846-$AU846-IF(ROUNDDOWN(IF(ISBLANK($AW846),$AV846,$AW846),IF($D$4="Forint",0,2))&gt;$AR846+$AT846-$AU846-IF($D$4="Forint",Paraméterek!$J$114,Paraméterek!$K$114),0,ROUNDDOWN(IF(ISBLANK($AW846),$AV846,$AW846),IF($D$4="Forint",0,2))-$AX846)</f>
        <v>0</v>
      </c>
      <c r="AZ846" s="13">
        <f t="shared" si="189"/>
        <v>0</v>
      </c>
    </row>
    <row r="847" spans="1:52" x14ac:dyDescent="0.2">
      <c r="A847" s="32">
        <v>828</v>
      </c>
      <c r="B847" s="32">
        <v>69</v>
      </c>
      <c r="C847" s="32">
        <v>12</v>
      </c>
      <c r="D847" s="13">
        <f t="shared" si="180"/>
        <v>0</v>
      </c>
      <c r="E847" s="13"/>
      <c r="F847" s="13"/>
      <c r="G847" s="13"/>
      <c r="H847" s="13">
        <f t="shared" si="181"/>
        <v>0</v>
      </c>
      <c r="I847" s="13">
        <f t="shared" si="182"/>
        <v>0</v>
      </c>
      <c r="J847" s="13">
        <f t="shared" si="183"/>
        <v>0</v>
      </c>
      <c r="K847" s="13">
        <f>ROUNDUP(IF($D$2="Egyszeri",$D847,IF($D$2="Havi",SUM($D$20:$D$31),IF(MOD($C847,$M$1)-1=0,SUM($D$20:$D$31),0))/12*$M$1)*VLOOKUP($B847,Paraméterek!$B$27:$D$30,IF($D$2="Egyszeri",3,2)),IF($D$4="Forint",0,2))</f>
        <v>0</v>
      </c>
      <c r="L847" s="13">
        <f t="shared" si="184"/>
        <v>0</v>
      </c>
      <c r="M847" s="13">
        <f t="shared" ca="1" si="190"/>
        <v>-857031</v>
      </c>
      <c r="N847" s="13">
        <f ca="1">IF($V846&gt;=VLOOKUP($M$4-1+$B847,Paraméterek!$B$121:$D$122,IF($D$4="Forint",2,3)),0,VLOOKUP($M$4-1+$B847,Paraméterek!$B$121:$D$122,IF($D$4="Forint",2,3))-$V846)</f>
        <v>867031</v>
      </c>
      <c r="O847" s="13">
        <f ca="1">ROUNDUP($N847*Paraméterek!$C$58/Paraméterek!$C$56,IF($D$4="Forint",0,2))</f>
        <v>139</v>
      </c>
      <c r="P847" s="13">
        <f t="shared" si="185"/>
        <v>4105</v>
      </c>
      <c r="Q847" s="33"/>
      <c r="R847" s="13">
        <f t="shared" ca="1" si="186"/>
        <v>0</v>
      </c>
      <c r="S847" s="13">
        <f ca="1">ROUNDUP(($M847-$O847-$P847+$R847)*VLOOKUP($B847,Paraméterek!$B$38:$D$39,IF($D$2="Egyszeri",3,2))/12,IF($D$4="Forint",0,2))</f>
        <v>-2103</v>
      </c>
      <c r="T847" s="13">
        <f>Tranzakciók!$F$100</f>
        <v>0</v>
      </c>
      <c r="U847" s="13"/>
      <c r="V847" s="13">
        <f ca="1">$M847-$O847-$P847+$R847-$S847-IF(ROUNDUP(IF(ISBLANK($U847),$T847,$U847)/IF(AND($B847=1,$D$2&lt;&gt;"Egyszeri"),1,VLOOKUP($B847+IF($C847=12,1,0),Paraméterek!$B$257:$D$267,IF($D$2="Egyszeri",3,2))),IF($D$4="Forint",0,2))&gt;$M847-$O847-$P847+$R847-$S847-IF($D$4="Forint",Paraméterek!$C$216,Paraméterek!$D$216),0,ROUNDUP(IF(ISBLANK($U847),$T847,$U847)/IF(AND($B847=1,$D$2&lt;&gt;"Egyszeri"),1,VLOOKUP($B847+IF($C847=12,1,0),Paraméterek!$B$257:$D$267,IF($D$2="Egyszeri",3,2))),IF($D$4="Forint",0,2)))</f>
        <v>-859172</v>
      </c>
      <c r="W847" s="13">
        <f ca="1">ROUNDDOWN($V847*VLOOKUP($B847+IF($C847=12,1,0),Paraméterek!$B$257:$D$267,IF($D$2="Egyszeri",3,2)),IF($D$4="Forint",0,2))</f>
        <v>-859172</v>
      </c>
      <c r="Y847" s="32">
        <v>828</v>
      </c>
      <c r="Z847" s="32">
        <v>69</v>
      </c>
      <c r="AA847" s="32">
        <v>12</v>
      </c>
      <c r="AB847" s="13">
        <f t="shared" si="191"/>
        <v>0</v>
      </c>
      <c r="AC847" s="33"/>
      <c r="AD847" s="13">
        <f t="shared" si="187"/>
        <v>0</v>
      </c>
      <c r="AE847" s="13">
        <f>ROUNDUP(($AB847+$AD847)*VLOOKUP($Z847,Paraméterek!$P$38:$Q$38,2)/12,IF($D$4="Forint",0,2))</f>
        <v>0</v>
      </c>
      <c r="AF847" s="13">
        <f>IF($D$2="Egyszeri",IF($D$7&gt;=IF($D$4="Forint",Paraméterek!$P$223,Paraméterek!$P$224),$D$7-IF($D$4="Forint",Paraméterek!$F$223,Paraméterek!$F$224),0),MIN(IF($AA847=12,AVERAGE($D$20:$D847)*12,0),SUM($D$20:$D$31)))</f>
        <v>0</v>
      </c>
      <c r="AG847" s="13">
        <f>IF(AND($Z847&gt;=10,MOD($Z847,5)=0),$AF847*IF($AA847=12,VLOOKUP($Z847,Paraméterek!$B$225:$F$240,IF($AF847&lt;IF($D$4="Forint",Paraméterek!$C$223,Paraméterek!$C$224),2,IF($AF847&lt;IF($D$4="Forint",Paraméterek!$D$223,Paraméterek!$D$224),3,4))),0),0)</f>
        <v>0</v>
      </c>
      <c r="AH847" s="13">
        <f>IF(AND($Z847&gt;=5,MOD($Z847,5)=0),IF($AA847=12,VLOOKUP($Z847,Paraméterek!$B$225:$F$240,5),0),IF(OR($Z847=3,$Z847=4),IF($AA847=12,VLOOKUP($Z847,Paraméterek!$B$225:$F$240,5,0),0),0))*$AF847</f>
        <v>0</v>
      </c>
      <c r="AI847" s="13">
        <f>ROUNDDOWN(IF(SUM($T$20:$U847)=0,IF($D$2="Egyszeri",$AH847,$AG847),0),IF($D$4="Forint",0,2))</f>
        <v>0</v>
      </c>
      <c r="AJ847" s="13">
        <f t="shared" si="192"/>
        <v>0</v>
      </c>
      <c r="AK847" s="13">
        <f t="shared" si="193"/>
        <v>0</v>
      </c>
      <c r="AM847" s="32">
        <v>828</v>
      </c>
      <c r="AN847" s="32">
        <v>69</v>
      </c>
      <c r="AO847" s="32">
        <v>12</v>
      </c>
      <c r="AP847" s="13"/>
      <c r="AQ847" s="32"/>
      <c r="AR847" s="13">
        <f t="shared" si="194"/>
        <v>0</v>
      </c>
      <c r="AS847" s="33"/>
      <c r="AT847" s="13">
        <f t="shared" si="188"/>
        <v>0</v>
      </c>
      <c r="AU847" s="13">
        <f>ROUNDUP(($AR847+$AT847)*VLOOKUP($AN847,Paraméterek!$P$38:$Q$38,2)/12,IF($D$4="Forint",0,2))</f>
        <v>0</v>
      </c>
      <c r="AV847" s="13">
        <f>Tranzakciók!$M$100</f>
        <v>0</v>
      </c>
      <c r="AW847" s="13"/>
      <c r="AX847" s="13">
        <f>ROUNDUP(IF(SUM($AV847:$AW847)=0,0,IF(IF(ISBLANK($AW847),$AV847,$AW847)*Paraméterek!$J$112&lt;IF($D$4="Forint",Paraméterek!$J$113,Paraméterek!$K$113),IF($D$4="Forint",Paraméterek!$J$113,Paraméterek!$K$113),IF(IF(ISBLANK($AW847),$AV847,$AW847)*Paraméterek!$J$112&gt;IF($D$4="Forint",Paraméterek!$J$114,Paraméterek!$K$114),IF($D$4="Forint",Paraméterek!$J$114,Paraméterek!$K$114),IF(ISBLANK($AW847),$AV847,$AW847)*Paraméterek!$J$112))),IF($D$4="Forint",0,2))</f>
        <v>0</v>
      </c>
      <c r="AY847" s="13">
        <f>$AR847+$AT847-$AU847-IF(ROUNDDOWN(IF(ISBLANK($AW847),$AV847,$AW847),IF($D$4="Forint",0,2))&gt;$AR847+$AT847-$AU847-IF($D$4="Forint",Paraméterek!$J$114,Paraméterek!$K$114),0,ROUNDDOWN(IF(ISBLANK($AW847),$AV847,$AW847),IF($D$4="Forint",0,2))-$AX847)</f>
        <v>0</v>
      </c>
      <c r="AZ847" s="13">
        <f t="shared" si="189"/>
        <v>0</v>
      </c>
    </row>
    <row r="848" spans="1:52" x14ac:dyDescent="0.2">
      <c r="A848" s="32">
        <v>829</v>
      </c>
      <c r="B848" s="32">
        <v>70</v>
      </c>
      <c r="C848" s="32">
        <v>1</v>
      </c>
      <c r="D848" s="13">
        <f t="shared" si="180"/>
        <v>0</v>
      </c>
      <c r="E848" s="13"/>
      <c r="F848" s="13">
        <f>Tranzakciók!$D$101</f>
        <v>0</v>
      </c>
      <c r="G848" s="13"/>
      <c r="H848" s="13">
        <f t="shared" si="181"/>
        <v>0</v>
      </c>
      <c r="I848" s="13">
        <f t="shared" si="182"/>
        <v>769</v>
      </c>
      <c r="J848" s="13">
        <f t="shared" si="183"/>
        <v>769</v>
      </c>
      <c r="K848" s="13">
        <f>ROUNDUP(IF($D$2="Egyszeri",$D848,IF($D$2="Havi",SUM($D$20:$D$31),IF(MOD($C848,$M$1)-1=0,SUM($D$20:$D$31),0))/12*$M$1)*VLOOKUP($B848,Paraméterek!$B$27:$D$30,IF($D$2="Egyszeri",3,2)),IF($D$4="Forint",0,2))</f>
        <v>0</v>
      </c>
      <c r="L848" s="13">
        <f t="shared" si="184"/>
        <v>0</v>
      </c>
      <c r="M848" s="13">
        <f t="shared" ca="1" si="190"/>
        <v>-859172</v>
      </c>
      <c r="N848" s="13">
        <f ca="1">IF($V847&gt;=VLOOKUP($M$4-1+$B848,Paraméterek!$B$121:$D$122,IF($D$4="Forint",2,3)),0,VLOOKUP($M$4-1+$B848,Paraméterek!$B$121:$D$122,IF($D$4="Forint",2,3))-$V847)</f>
        <v>869172</v>
      </c>
      <c r="O848" s="13">
        <f ca="1">ROUNDUP($N848*Paraméterek!$C$58/Paraméterek!$C$56,IF($D$4="Forint",0,2))</f>
        <v>139</v>
      </c>
      <c r="P848" s="13">
        <f t="shared" si="185"/>
        <v>4228</v>
      </c>
      <c r="Q848" s="33"/>
      <c r="R848" s="13">
        <f t="shared" ca="1" si="186"/>
        <v>0</v>
      </c>
      <c r="S848" s="13">
        <f ca="1">ROUNDUP(($M848-$O848-$P848+$R848)*VLOOKUP($B848,Paraméterek!$B$38:$D$39,IF($D$2="Egyszeri",3,2))/12,IF($D$4="Forint",0,2))</f>
        <v>-2109</v>
      </c>
      <c r="T848" s="13"/>
      <c r="U848" s="13"/>
      <c r="V848" s="13">
        <f ca="1">$M848-$O848-$P848+$R848-$S848-IF(ROUNDUP(IF(ISBLANK($U848),$T848,$U848)/IF(AND($B848=1,$D$2&lt;&gt;"Egyszeri"),1,VLOOKUP($B848+IF($C848=12,1,0),Paraméterek!$B$257:$D$267,IF($D$2="Egyszeri",3,2))),IF($D$4="Forint",0,2))&gt;$M848-$O848-$P848+$R848-$S848-IF($D$4="Forint",Paraméterek!$C$216,Paraméterek!$D$216),0,ROUNDUP(IF(ISBLANK($U848),$T848,$U848)/IF(AND($B848=1,$D$2&lt;&gt;"Egyszeri"),1,VLOOKUP($B848+IF($C848=12,1,0),Paraméterek!$B$257:$D$267,IF($D$2="Egyszeri",3,2))),IF($D$4="Forint",0,2)))</f>
        <v>-861430</v>
      </c>
      <c r="W848" s="13">
        <f ca="1">ROUNDDOWN($V848*VLOOKUP($B848+IF($C848=12,1,0),Paraméterek!$B$257:$D$267,IF($D$2="Egyszeri",3,2)),IF($D$4="Forint",0,2))</f>
        <v>-861430</v>
      </c>
      <c r="Y848" s="32">
        <v>829</v>
      </c>
      <c r="Z848" s="32">
        <v>70</v>
      </c>
      <c r="AA848" s="32">
        <v>1</v>
      </c>
      <c r="AB848" s="13">
        <f t="shared" si="191"/>
        <v>0</v>
      </c>
      <c r="AC848" s="33"/>
      <c r="AD848" s="13">
        <f t="shared" si="187"/>
        <v>0</v>
      </c>
      <c r="AE848" s="13">
        <f>ROUNDUP(($AB848+$AD848)*VLOOKUP($Z848,Paraméterek!$P$38:$Q$38,2)/12,IF($D$4="Forint",0,2))</f>
        <v>0</v>
      </c>
      <c r="AF848" s="13">
        <f>IF($D$2="Egyszeri",IF($D$7&gt;=IF($D$4="Forint",Paraméterek!$P$223,Paraméterek!$P$224),$D$7-IF($D$4="Forint",Paraméterek!$F$223,Paraméterek!$F$224),0),MIN(IF($AA848=12,AVERAGE($D$20:$D848)*12,0),SUM($D$20:$D$31)))</f>
        <v>0</v>
      </c>
      <c r="AG848" s="13">
        <f>IF(AND($Z848&gt;=10,MOD($Z848,5)=0),$AF848*IF($AA848=12,VLOOKUP($Z848,Paraméterek!$B$225:$F$240,IF($AF848&lt;IF($D$4="Forint",Paraméterek!$C$223,Paraméterek!$C$224),2,IF($AF848&lt;IF($D$4="Forint",Paraméterek!$D$223,Paraméterek!$D$224),3,4))),0),0)</f>
        <v>0</v>
      </c>
      <c r="AH848" s="13">
        <f>IF(AND($Z848&gt;=5,MOD($Z848,5)=0),IF($AA848=12,VLOOKUP($Z848,Paraméterek!$B$225:$F$240,5),0),IF(OR($Z848=3,$Z848=4),IF($AA848=12,VLOOKUP($Z848,Paraméterek!$B$225:$F$240,5,0),0),0))*$AF848</f>
        <v>0</v>
      </c>
      <c r="AI848" s="13">
        <f>ROUNDDOWN(IF(SUM($T$20:$U848)=0,IF($D$2="Egyszeri",$AH848,$AG848),0),IF($D$4="Forint",0,2))</f>
        <v>0</v>
      </c>
      <c r="AJ848" s="13">
        <f t="shared" si="192"/>
        <v>0</v>
      </c>
      <c r="AK848" s="13">
        <f t="shared" si="193"/>
        <v>0</v>
      </c>
      <c r="AM848" s="32">
        <v>829</v>
      </c>
      <c r="AN848" s="32">
        <v>70</v>
      </c>
      <c r="AO848" s="32">
        <v>1</v>
      </c>
      <c r="AP848" s="13">
        <f>Tranzakciók!$K$101</f>
        <v>0</v>
      </c>
      <c r="AQ848" s="32"/>
      <c r="AR848" s="13">
        <f t="shared" si="194"/>
        <v>0</v>
      </c>
      <c r="AS848" s="33"/>
      <c r="AT848" s="13">
        <f t="shared" si="188"/>
        <v>0</v>
      </c>
      <c r="AU848" s="13">
        <f>ROUNDUP(($AR848+$AT848)*VLOOKUP($AN848,Paraméterek!$P$38:$Q$38,2)/12,IF($D$4="Forint",0,2))</f>
        <v>0</v>
      </c>
      <c r="AV848" s="13"/>
      <c r="AW848" s="13"/>
      <c r="AX848" s="13">
        <f>ROUNDUP(IF(SUM($AV848:$AW848)=0,0,IF(IF(ISBLANK($AW848),$AV848,$AW848)*Paraméterek!$J$112&lt;IF($D$4="Forint",Paraméterek!$J$113,Paraméterek!$K$113),IF($D$4="Forint",Paraméterek!$J$113,Paraméterek!$K$113),IF(IF(ISBLANK($AW848),$AV848,$AW848)*Paraméterek!$J$112&gt;IF($D$4="Forint",Paraméterek!$J$114,Paraméterek!$K$114),IF($D$4="Forint",Paraméterek!$J$114,Paraméterek!$K$114),IF(ISBLANK($AW848),$AV848,$AW848)*Paraméterek!$J$112))),IF($D$4="Forint",0,2))</f>
        <v>0</v>
      </c>
      <c r="AY848" s="13">
        <f>$AR848+$AT848-$AU848-IF(ROUNDDOWN(IF(ISBLANK($AW848),$AV848,$AW848),IF($D$4="Forint",0,2))&gt;$AR848+$AT848-$AU848-IF($D$4="Forint",Paraméterek!$J$114,Paraméterek!$K$114),0,ROUNDDOWN(IF(ISBLANK($AW848),$AV848,$AW848),IF($D$4="Forint",0,2))-$AX848)</f>
        <v>0</v>
      </c>
      <c r="AZ848" s="13">
        <f t="shared" si="189"/>
        <v>0</v>
      </c>
    </row>
    <row r="849" spans="1:52" x14ac:dyDescent="0.2">
      <c r="A849" s="32">
        <v>830</v>
      </c>
      <c r="B849" s="32">
        <v>70</v>
      </c>
      <c r="C849" s="32">
        <v>2</v>
      </c>
      <c r="D849" s="13">
        <f t="shared" si="180"/>
        <v>0</v>
      </c>
      <c r="E849" s="13"/>
      <c r="F849" s="13"/>
      <c r="G849" s="13"/>
      <c r="H849" s="13">
        <f t="shared" si="181"/>
        <v>0</v>
      </c>
      <c r="I849" s="13">
        <f t="shared" si="182"/>
        <v>0</v>
      </c>
      <c r="J849" s="13">
        <f t="shared" si="183"/>
        <v>0</v>
      </c>
      <c r="K849" s="13">
        <f>ROUNDUP(IF($D$2="Egyszeri",$D849,IF($D$2="Havi",SUM($D$20:$D$31),IF(MOD($C849,$M$1)-1=0,SUM($D$20:$D$31),0))/12*$M$1)*VLOOKUP($B849,Paraméterek!$B$27:$D$30,IF($D$2="Egyszeri",3,2)),IF($D$4="Forint",0,2))</f>
        <v>0</v>
      </c>
      <c r="L849" s="13">
        <f t="shared" si="184"/>
        <v>0</v>
      </c>
      <c r="M849" s="13">
        <f t="shared" ca="1" si="190"/>
        <v>-861430</v>
      </c>
      <c r="N849" s="13">
        <f ca="1">IF($V848&gt;=VLOOKUP($M$4-1+$B849,Paraméterek!$B$121:$D$122,IF($D$4="Forint",2,3)),0,VLOOKUP($M$4-1+$B849,Paraméterek!$B$121:$D$122,IF($D$4="Forint",2,3))-$V848)</f>
        <v>871430</v>
      </c>
      <c r="O849" s="13">
        <f ca="1">ROUNDUP($N849*Paraméterek!$C$58/Paraméterek!$C$56,IF($D$4="Forint",0,2))</f>
        <v>139</v>
      </c>
      <c r="P849" s="13">
        <f t="shared" si="185"/>
        <v>4228</v>
      </c>
      <c r="Q849" s="33"/>
      <c r="R849" s="13">
        <f t="shared" ca="1" si="186"/>
        <v>0</v>
      </c>
      <c r="S849" s="13">
        <f ca="1">ROUNDUP(($M849-$O849-$P849+$R849)*VLOOKUP($B849,Paraméterek!$B$38:$D$39,IF($D$2="Egyszeri",3,2))/12,IF($D$4="Forint",0,2))</f>
        <v>-2114</v>
      </c>
      <c r="T849" s="13"/>
      <c r="U849" s="13"/>
      <c r="V849" s="13">
        <f ca="1">$M849-$O849-$P849+$R849-$S849-IF(ROUNDUP(IF(ISBLANK($U849),$T849,$U849)/IF(AND($B849=1,$D$2&lt;&gt;"Egyszeri"),1,VLOOKUP($B849+IF($C849=12,1,0),Paraméterek!$B$257:$D$267,IF($D$2="Egyszeri",3,2))),IF($D$4="Forint",0,2))&gt;$M849-$O849-$P849+$R849-$S849-IF($D$4="Forint",Paraméterek!$C$216,Paraméterek!$D$216),0,ROUNDUP(IF(ISBLANK($U849),$T849,$U849)/IF(AND($B849=1,$D$2&lt;&gt;"Egyszeri"),1,VLOOKUP($B849+IF($C849=12,1,0),Paraméterek!$B$257:$D$267,IF($D$2="Egyszeri",3,2))),IF($D$4="Forint",0,2)))</f>
        <v>-863683</v>
      </c>
      <c r="W849" s="13">
        <f ca="1">ROUNDDOWN($V849*VLOOKUP($B849+IF($C849=12,1,0),Paraméterek!$B$257:$D$267,IF($D$2="Egyszeri",3,2)),IF($D$4="Forint",0,2))</f>
        <v>-863683</v>
      </c>
      <c r="Y849" s="32">
        <v>830</v>
      </c>
      <c r="Z849" s="32">
        <v>70</v>
      </c>
      <c r="AA849" s="32">
        <v>2</v>
      </c>
      <c r="AB849" s="13">
        <f t="shared" si="191"/>
        <v>0</v>
      </c>
      <c r="AC849" s="33"/>
      <c r="AD849" s="13">
        <f t="shared" si="187"/>
        <v>0</v>
      </c>
      <c r="AE849" s="13">
        <f>ROUNDUP(($AB849+$AD849)*VLOOKUP($Z849,Paraméterek!$P$38:$Q$38,2)/12,IF($D$4="Forint",0,2))</f>
        <v>0</v>
      </c>
      <c r="AF849" s="13">
        <f>IF($D$2="Egyszeri",IF($D$7&gt;=IF($D$4="Forint",Paraméterek!$P$223,Paraméterek!$P$224),$D$7-IF($D$4="Forint",Paraméterek!$F$223,Paraméterek!$F$224),0),MIN(IF($AA849=12,AVERAGE($D$20:$D849)*12,0),SUM($D$20:$D$31)))</f>
        <v>0</v>
      </c>
      <c r="AG849" s="13">
        <f>IF(AND($Z849&gt;=10,MOD($Z849,5)=0),$AF849*IF($AA849=12,VLOOKUP($Z849,Paraméterek!$B$225:$F$240,IF($AF849&lt;IF($D$4="Forint",Paraméterek!$C$223,Paraméterek!$C$224),2,IF($AF849&lt;IF($D$4="Forint",Paraméterek!$D$223,Paraméterek!$D$224),3,4))),0),0)</f>
        <v>0</v>
      </c>
      <c r="AH849" s="13">
        <f>IF(AND($Z849&gt;=5,MOD($Z849,5)=0),IF($AA849=12,VLOOKUP($Z849,Paraméterek!$B$225:$F$240,5),0),IF(OR($Z849=3,$Z849=4),IF($AA849=12,VLOOKUP($Z849,Paraméterek!$B$225:$F$240,5,0),0),0))*$AF849</f>
        <v>0</v>
      </c>
      <c r="AI849" s="13">
        <f>ROUNDDOWN(IF(SUM($T$20:$U849)=0,IF($D$2="Egyszeri",$AH849,$AG849),0),IF($D$4="Forint",0,2))</f>
        <v>0</v>
      </c>
      <c r="AJ849" s="13">
        <f t="shared" si="192"/>
        <v>0</v>
      </c>
      <c r="AK849" s="13">
        <f t="shared" si="193"/>
        <v>0</v>
      </c>
      <c r="AM849" s="32">
        <v>830</v>
      </c>
      <c r="AN849" s="32">
        <v>70</v>
      </c>
      <c r="AO849" s="32">
        <v>2</v>
      </c>
      <c r="AP849" s="13"/>
      <c r="AQ849" s="32"/>
      <c r="AR849" s="13">
        <f t="shared" si="194"/>
        <v>0</v>
      </c>
      <c r="AS849" s="33"/>
      <c r="AT849" s="13">
        <f t="shared" si="188"/>
        <v>0</v>
      </c>
      <c r="AU849" s="13">
        <f>ROUNDUP(($AR849+$AT849)*VLOOKUP($AN849,Paraméterek!$P$38:$Q$38,2)/12,IF($D$4="Forint",0,2))</f>
        <v>0</v>
      </c>
      <c r="AV849" s="13"/>
      <c r="AW849" s="13"/>
      <c r="AX849" s="13">
        <f>ROUNDUP(IF(SUM($AV849:$AW849)=0,0,IF(IF(ISBLANK($AW849),$AV849,$AW849)*Paraméterek!$J$112&lt;IF($D$4="Forint",Paraméterek!$J$113,Paraméterek!$K$113),IF($D$4="Forint",Paraméterek!$J$113,Paraméterek!$K$113),IF(IF(ISBLANK($AW849),$AV849,$AW849)*Paraméterek!$J$112&gt;IF($D$4="Forint",Paraméterek!$J$114,Paraméterek!$K$114),IF($D$4="Forint",Paraméterek!$J$114,Paraméterek!$K$114),IF(ISBLANK($AW849),$AV849,$AW849)*Paraméterek!$J$112))),IF($D$4="Forint",0,2))</f>
        <v>0</v>
      </c>
      <c r="AY849" s="13">
        <f>$AR849+$AT849-$AU849-IF(ROUNDDOWN(IF(ISBLANK($AW849),$AV849,$AW849),IF($D$4="Forint",0,2))&gt;$AR849+$AT849-$AU849-IF($D$4="Forint",Paraméterek!$J$114,Paraméterek!$K$114),0,ROUNDDOWN(IF(ISBLANK($AW849),$AV849,$AW849),IF($D$4="Forint",0,2))-$AX849)</f>
        <v>0</v>
      </c>
      <c r="AZ849" s="13">
        <f t="shared" si="189"/>
        <v>0</v>
      </c>
    </row>
    <row r="850" spans="1:52" x14ac:dyDescent="0.2">
      <c r="A850" s="32">
        <v>831</v>
      </c>
      <c r="B850" s="32">
        <v>70</v>
      </c>
      <c r="C850" s="32">
        <v>3</v>
      </c>
      <c r="D850" s="13">
        <f t="shared" si="180"/>
        <v>0</v>
      </c>
      <c r="E850" s="13"/>
      <c r="F850" s="13"/>
      <c r="G850" s="13"/>
      <c r="H850" s="13">
        <f t="shared" si="181"/>
        <v>0</v>
      </c>
      <c r="I850" s="13">
        <f t="shared" si="182"/>
        <v>0</v>
      </c>
      <c r="J850" s="13">
        <f t="shared" si="183"/>
        <v>0</v>
      </c>
      <c r="K850" s="13">
        <f>ROUNDUP(IF($D$2="Egyszeri",$D850,IF($D$2="Havi",SUM($D$20:$D$31),IF(MOD($C850,$M$1)-1=0,SUM($D$20:$D$31),0))/12*$M$1)*VLOOKUP($B850,Paraméterek!$B$27:$D$30,IF($D$2="Egyszeri",3,2)),IF($D$4="Forint",0,2))</f>
        <v>0</v>
      </c>
      <c r="L850" s="13">
        <f t="shared" si="184"/>
        <v>0</v>
      </c>
      <c r="M850" s="13">
        <f t="shared" ca="1" si="190"/>
        <v>-863683</v>
      </c>
      <c r="N850" s="13">
        <f ca="1">IF($V849&gt;=VLOOKUP($M$4-1+$B850,Paraméterek!$B$121:$D$122,IF($D$4="Forint",2,3)),0,VLOOKUP($M$4-1+$B850,Paraméterek!$B$121:$D$122,IF($D$4="Forint",2,3))-$V849)</f>
        <v>873683</v>
      </c>
      <c r="O850" s="13">
        <f ca="1">ROUNDUP($N850*Paraméterek!$C$58/Paraméterek!$C$56,IF($D$4="Forint",0,2))</f>
        <v>140</v>
      </c>
      <c r="P850" s="13">
        <f t="shared" si="185"/>
        <v>4228</v>
      </c>
      <c r="Q850" s="33"/>
      <c r="R850" s="13">
        <f t="shared" ca="1" si="186"/>
        <v>0</v>
      </c>
      <c r="S850" s="13">
        <f ca="1">ROUNDUP(($M850-$O850-$P850+$R850)*VLOOKUP($B850,Paraméterek!$B$38:$D$39,IF($D$2="Egyszeri",3,2))/12,IF($D$4="Forint",0,2))</f>
        <v>-2120</v>
      </c>
      <c r="T850" s="13"/>
      <c r="U850" s="13"/>
      <c r="V850" s="13">
        <f ca="1">$M850-$O850-$P850+$R850-$S850-IF(ROUNDUP(IF(ISBLANK($U850),$T850,$U850)/IF(AND($B850=1,$D$2&lt;&gt;"Egyszeri"),1,VLOOKUP($B850+IF($C850=12,1,0),Paraméterek!$B$257:$D$267,IF($D$2="Egyszeri",3,2))),IF($D$4="Forint",0,2))&gt;$M850-$O850-$P850+$R850-$S850-IF($D$4="Forint",Paraméterek!$C$216,Paraméterek!$D$216),0,ROUNDUP(IF(ISBLANK($U850),$T850,$U850)/IF(AND($B850=1,$D$2&lt;&gt;"Egyszeri"),1,VLOOKUP($B850+IF($C850=12,1,0),Paraméterek!$B$257:$D$267,IF($D$2="Egyszeri",3,2))),IF($D$4="Forint",0,2)))</f>
        <v>-865931</v>
      </c>
      <c r="W850" s="13">
        <f ca="1">ROUNDDOWN($V850*VLOOKUP($B850+IF($C850=12,1,0),Paraméterek!$B$257:$D$267,IF($D$2="Egyszeri",3,2)),IF($D$4="Forint",0,2))</f>
        <v>-865931</v>
      </c>
      <c r="Y850" s="32">
        <v>831</v>
      </c>
      <c r="Z850" s="32">
        <v>70</v>
      </c>
      <c r="AA850" s="32">
        <v>3</v>
      </c>
      <c r="AB850" s="13">
        <f t="shared" si="191"/>
        <v>0</v>
      </c>
      <c r="AC850" s="33"/>
      <c r="AD850" s="13">
        <f t="shared" si="187"/>
        <v>0</v>
      </c>
      <c r="AE850" s="13">
        <f>ROUNDUP(($AB850+$AD850)*VLOOKUP($Z850,Paraméterek!$P$38:$Q$38,2)/12,IF($D$4="Forint",0,2))</f>
        <v>0</v>
      </c>
      <c r="AF850" s="13">
        <f>IF($D$2="Egyszeri",IF($D$7&gt;=IF($D$4="Forint",Paraméterek!$P$223,Paraméterek!$P$224),$D$7-IF($D$4="Forint",Paraméterek!$F$223,Paraméterek!$F$224),0),MIN(IF($AA850=12,AVERAGE($D$20:$D850)*12,0),SUM($D$20:$D$31)))</f>
        <v>0</v>
      </c>
      <c r="AG850" s="13">
        <f>IF(AND($Z850&gt;=10,MOD($Z850,5)=0),$AF850*IF($AA850=12,VLOOKUP($Z850,Paraméterek!$B$225:$F$240,IF($AF850&lt;IF($D$4="Forint",Paraméterek!$C$223,Paraméterek!$C$224),2,IF($AF850&lt;IF($D$4="Forint",Paraméterek!$D$223,Paraméterek!$D$224),3,4))),0),0)</f>
        <v>0</v>
      </c>
      <c r="AH850" s="13">
        <f>IF(AND($Z850&gt;=5,MOD($Z850,5)=0),IF($AA850=12,VLOOKUP($Z850,Paraméterek!$B$225:$F$240,5),0),IF(OR($Z850=3,$Z850=4),IF($AA850=12,VLOOKUP($Z850,Paraméterek!$B$225:$F$240,5,0),0),0))*$AF850</f>
        <v>0</v>
      </c>
      <c r="AI850" s="13">
        <f>ROUNDDOWN(IF(SUM($T$20:$U850)=0,IF($D$2="Egyszeri",$AH850,$AG850),0),IF($D$4="Forint",0,2))</f>
        <v>0</v>
      </c>
      <c r="AJ850" s="13">
        <f t="shared" si="192"/>
        <v>0</v>
      </c>
      <c r="AK850" s="13">
        <f t="shared" si="193"/>
        <v>0</v>
      </c>
      <c r="AM850" s="32">
        <v>831</v>
      </c>
      <c r="AN850" s="32">
        <v>70</v>
      </c>
      <c r="AO850" s="32">
        <v>3</v>
      </c>
      <c r="AP850" s="13"/>
      <c r="AQ850" s="32"/>
      <c r="AR850" s="13">
        <f t="shared" si="194"/>
        <v>0</v>
      </c>
      <c r="AS850" s="33"/>
      <c r="AT850" s="13">
        <f t="shared" si="188"/>
        <v>0</v>
      </c>
      <c r="AU850" s="13">
        <f>ROUNDUP(($AR850+$AT850)*VLOOKUP($AN850,Paraméterek!$P$38:$Q$38,2)/12,IF($D$4="Forint",0,2))</f>
        <v>0</v>
      </c>
      <c r="AV850" s="13"/>
      <c r="AW850" s="13"/>
      <c r="AX850" s="13">
        <f>ROUNDUP(IF(SUM($AV850:$AW850)=0,0,IF(IF(ISBLANK($AW850),$AV850,$AW850)*Paraméterek!$J$112&lt;IF($D$4="Forint",Paraméterek!$J$113,Paraméterek!$K$113),IF($D$4="Forint",Paraméterek!$J$113,Paraméterek!$K$113),IF(IF(ISBLANK($AW850),$AV850,$AW850)*Paraméterek!$J$112&gt;IF($D$4="Forint",Paraméterek!$J$114,Paraméterek!$K$114),IF($D$4="Forint",Paraméterek!$J$114,Paraméterek!$K$114),IF(ISBLANK($AW850),$AV850,$AW850)*Paraméterek!$J$112))),IF($D$4="Forint",0,2))</f>
        <v>0</v>
      </c>
      <c r="AY850" s="13">
        <f>$AR850+$AT850-$AU850-IF(ROUNDDOWN(IF(ISBLANK($AW850),$AV850,$AW850),IF($D$4="Forint",0,2))&gt;$AR850+$AT850-$AU850-IF($D$4="Forint",Paraméterek!$J$114,Paraméterek!$K$114),0,ROUNDDOWN(IF(ISBLANK($AW850),$AV850,$AW850),IF($D$4="Forint",0,2))-$AX850)</f>
        <v>0</v>
      </c>
      <c r="AZ850" s="13">
        <f t="shared" si="189"/>
        <v>0</v>
      </c>
    </row>
    <row r="851" spans="1:52" x14ac:dyDescent="0.2">
      <c r="A851" s="32">
        <v>832</v>
      </c>
      <c r="B851" s="32">
        <v>70</v>
      </c>
      <c r="C851" s="32">
        <v>4</v>
      </c>
      <c r="D851" s="13">
        <f t="shared" si="180"/>
        <v>0</v>
      </c>
      <c r="E851" s="13"/>
      <c r="F851" s="13"/>
      <c r="G851" s="13"/>
      <c r="H851" s="13">
        <f t="shared" si="181"/>
        <v>0</v>
      </c>
      <c r="I851" s="13">
        <f t="shared" si="182"/>
        <v>0</v>
      </c>
      <c r="J851" s="13">
        <f t="shared" si="183"/>
        <v>0</v>
      </c>
      <c r="K851" s="13">
        <f>ROUNDUP(IF($D$2="Egyszeri",$D851,IF($D$2="Havi",SUM($D$20:$D$31),IF(MOD($C851,$M$1)-1=0,SUM($D$20:$D$31),0))/12*$M$1)*VLOOKUP($B851,Paraméterek!$B$27:$D$30,IF($D$2="Egyszeri",3,2)),IF($D$4="Forint",0,2))</f>
        <v>0</v>
      </c>
      <c r="L851" s="13">
        <f t="shared" si="184"/>
        <v>0</v>
      </c>
      <c r="M851" s="13">
        <f t="shared" ca="1" si="190"/>
        <v>-865931</v>
      </c>
      <c r="N851" s="13">
        <f ca="1">IF($V850&gt;=VLOOKUP($M$4-1+$B851,Paraméterek!$B$121:$D$122,IF($D$4="Forint",2,3)),0,VLOOKUP($M$4-1+$B851,Paraméterek!$B$121:$D$122,IF($D$4="Forint",2,3))-$V850)</f>
        <v>875931</v>
      </c>
      <c r="O851" s="13">
        <f ca="1">ROUNDUP($N851*Paraméterek!$C$58/Paraméterek!$C$56,IF($D$4="Forint",0,2))</f>
        <v>140</v>
      </c>
      <c r="P851" s="13">
        <f t="shared" si="185"/>
        <v>4228</v>
      </c>
      <c r="Q851" s="33"/>
      <c r="R851" s="13">
        <f t="shared" ca="1" si="186"/>
        <v>0</v>
      </c>
      <c r="S851" s="13">
        <f ca="1">ROUNDUP(($M851-$O851-$P851+$R851)*VLOOKUP($B851,Paraméterek!$B$38:$D$39,IF($D$2="Egyszeri",3,2))/12,IF($D$4="Forint",0,2))</f>
        <v>-2125</v>
      </c>
      <c r="T851" s="13"/>
      <c r="U851" s="13"/>
      <c r="V851" s="13">
        <f ca="1">$M851-$O851-$P851+$R851-$S851-IF(ROUNDUP(IF(ISBLANK($U851),$T851,$U851)/IF(AND($B851=1,$D$2&lt;&gt;"Egyszeri"),1,VLOOKUP($B851+IF($C851=12,1,0),Paraméterek!$B$257:$D$267,IF($D$2="Egyszeri",3,2))),IF($D$4="Forint",0,2))&gt;$M851-$O851-$P851+$R851-$S851-IF($D$4="Forint",Paraméterek!$C$216,Paraméterek!$D$216),0,ROUNDUP(IF(ISBLANK($U851),$T851,$U851)/IF(AND($B851=1,$D$2&lt;&gt;"Egyszeri"),1,VLOOKUP($B851+IF($C851=12,1,0),Paraméterek!$B$257:$D$267,IF($D$2="Egyszeri",3,2))),IF($D$4="Forint",0,2)))</f>
        <v>-868174</v>
      </c>
      <c r="W851" s="13">
        <f ca="1">ROUNDDOWN($V851*VLOOKUP($B851+IF($C851=12,1,0),Paraméterek!$B$257:$D$267,IF($D$2="Egyszeri",3,2)),IF($D$4="Forint",0,2))</f>
        <v>-868174</v>
      </c>
      <c r="Y851" s="32">
        <v>832</v>
      </c>
      <c r="Z851" s="32">
        <v>70</v>
      </c>
      <c r="AA851" s="32">
        <v>4</v>
      </c>
      <c r="AB851" s="13">
        <f t="shared" si="191"/>
        <v>0</v>
      </c>
      <c r="AC851" s="33"/>
      <c r="AD851" s="13">
        <f t="shared" si="187"/>
        <v>0</v>
      </c>
      <c r="AE851" s="13">
        <f>ROUNDUP(($AB851+$AD851)*VLOOKUP($Z851,Paraméterek!$P$38:$Q$38,2)/12,IF($D$4="Forint",0,2))</f>
        <v>0</v>
      </c>
      <c r="AF851" s="13">
        <f>IF($D$2="Egyszeri",IF($D$7&gt;=IF($D$4="Forint",Paraméterek!$P$223,Paraméterek!$P$224),$D$7-IF($D$4="Forint",Paraméterek!$F$223,Paraméterek!$F$224),0),MIN(IF($AA851=12,AVERAGE($D$20:$D851)*12,0),SUM($D$20:$D$31)))</f>
        <v>0</v>
      </c>
      <c r="AG851" s="13">
        <f>IF(AND($Z851&gt;=10,MOD($Z851,5)=0),$AF851*IF($AA851=12,VLOOKUP($Z851,Paraméterek!$B$225:$F$240,IF($AF851&lt;IF($D$4="Forint",Paraméterek!$C$223,Paraméterek!$C$224),2,IF($AF851&lt;IF($D$4="Forint",Paraméterek!$D$223,Paraméterek!$D$224),3,4))),0),0)</f>
        <v>0</v>
      </c>
      <c r="AH851" s="13">
        <f>IF(AND($Z851&gt;=5,MOD($Z851,5)=0),IF($AA851=12,VLOOKUP($Z851,Paraméterek!$B$225:$F$240,5),0),IF(OR($Z851=3,$Z851=4),IF($AA851=12,VLOOKUP($Z851,Paraméterek!$B$225:$F$240,5,0),0),0))*$AF851</f>
        <v>0</v>
      </c>
      <c r="AI851" s="13">
        <f>ROUNDDOWN(IF(SUM($T$20:$U851)=0,IF($D$2="Egyszeri",$AH851,$AG851),0),IF($D$4="Forint",0,2))</f>
        <v>0</v>
      </c>
      <c r="AJ851" s="13">
        <f t="shared" si="192"/>
        <v>0</v>
      </c>
      <c r="AK851" s="13">
        <f t="shared" si="193"/>
        <v>0</v>
      </c>
      <c r="AM851" s="32">
        <v>832</v>
      </c>
      <c r="AN851" s="32">
        <v>70</v>
      </c>
      <c r="AO851" s="32">
        <v>4</v>
      </c>
      <c r="AP851" s="13"/>
      <c r="AQ851" s="32"/>
      <c r="AR851" s="13">
        <f t="shared" si="194"/>
        <v>0</v>
      </c>
      <c r="AS851" s="33"/>
      <c r="AT851" s="13">
        <f t="shared" si="188"/>
        <v>0</v>
      </c>
      <c r="AU851" s="13">
        <f>ROUNDUP(($AR851+$AT851)*VLOOKUP($AN851,Paraméterek!$P$38:$Q$38,2)/12,IF($D$4="Forint",0,2))</f>
        <v>0</v>
      </c>
      <c r="AV851" s="13"/>
      <c r="AW851" s="13"/>
      <c r="AX851" s="13">
        <f>ROUNDUP(IF(SUM($AV851:$AW851)=0,0,IF(IF(ISBLANK($AW851),$AV851,$AW851)*Paraméterek!$J$112&lt;IF($D$4="Forint",Paraméterek!$J$113,Paraméterek!$K$113),IF($D$4="Forint",Paraméterek!$J$113,Paraméterek!$K$113),IF(IF(ISBLANK($AW851),$AV851,$AW851)*Paraméterek!$J$112&gt;IF($D$4="Forint",Paraméterek!$J$114,Paraméterek!$K$114),IF($D$4="Forint",Paraméterek!$J$114,Paraméterek!$K$114),IF(ISBLANK($AW851),$AV851,$AW851)*Paraméterek!$J$112))),IF($D$4="Forint",0,2))</f>
        <v>0</v>
      </c>
      <c r="AY851" s="13">
        <f>$AR851+$AT851-$AU851-IF(ROUNDDOWN(IF(ISBLANK($AW851),$AV851,$AW851),IF($D$4="Forint",0,2))&gt;$AR851+$AT851-$AU851-IF($D$4="Forint",Paraméterek!$J$114,Paraméterek!$K$114),0,ROUNDDOWN(IF(ISBLANK($AW851),$AV851,$AW851),IF($D$4="Forint",0,2))-$AX851)</f>
        <v>0</v>
      </c>
      <c r="AZ851" s="13">
        <f t="shared" si="189"/>
        <v>0</v>
      </c>
    </row>
    <row r="852" spans="1:52" x14ac:dyDescent="0.2">
      <c r="A852" s="32">
        <v>833</v>
      </c>
      <c r="B852" s="32">
        <v>70</v>
      </c>
      <c r="C852" s="32">
        <v>5</v>
      </c>
      <c r="D852" s="13">
        <f t="shared" si="180"/>
        <v>0</v>
      </c>
      <c r="E852" s="13"/>
      <c r="F852" s="13"/>
      <c r="G852" s="13"/>
      <c r="H852" s="13">
        <f t="shared" si="181"/>
        <v>0</v>
      </c>
      <c r="I852" s="13">
        <f t="shared" si="182"/>
        <v>0</v>
      </c>
      <c r="J852" s="13">
        <f t="shared" si="183"/>
        <v>0</v>
      </c>
      <c r="K852" s="13">
        <f>ROUNDUP(IF($D$2="Egyszeri",$D852,IF($D$2="Havi",SUM($D$20:$D$31),IF(MOD($C852,$M$1)-1=0,SUM($D$20:$D$31),0))/12*$M$1)*VLOOKUP($B852,Paraméterek!$B$27:$D$30,IF($D$2="Egyszeri",3,2)),IF($D$4="Forint",0,2))</f>
        <v>0</v>
      </c>
      <c r="L852" s="13">
        <f t="shared" si="184"/>
        <v>0</v>
      </c>
      <c r="M852" s="13">
        <f t="shared" ca="1" si="190"/>
        <v>-868174</v>
      </c>
      <c r="N852" s="13">
        <f ca="1">IF($V851&gt;=VLOOKUP($M$4-1+$B852,Paraméterek!$B$121:$D$122,IF($D$4="Forint",2,3)),0,VLOOKUP($M$4-1+$B852,Paraméterek!$B$121:$D$122,IF($D$4="Forint",2,3))-$V851)</f>
        <v>878174</v>
      </c>
      <c r="O852" s="13">
        <f ca="1">ROUNDUP($N852*Paraméterek!$C$58/Paraméterek!$C$56,IF($D$4="Forint",0,2))</f>
        <v>140</v>
      </c>
      <c r="P852" s="13">
        <f t="shared" si="185"/>
        <v>4228</v>
      </c>
      <c r="Q852" s="33"/>
      <c r="R852" s="13">
        <f t="shared" ca="1" si="186"/>
        <v>0</v>
      </c>
      <c r="S852" s="13">
        <f ca="1">ROUNDUP(($M852-$O852-$P852+$R852)*VLOOKUP($B852,Paraméterek!$B$38:$D$39,IF($D$2="Egyszeri",3,2))/12,IF($D$4="Forint",0,2))</f>
        <v>-2131</v>
      </c>
      <c r="T852" s="13"/>
      <c r="U852" s="13"/>
      <c r="V852" s="13">
        <f ca="1">$M852-$O852-$P852+$R852-$S852-IF(ROUNDUP(IF(ISBLANK($U852),$T852,$U852)/IF(AND($B852=1,$D$2&lt;&gt;"Egyszeri"),1,VLOOKUP($B852+IF($C852=12,1,0),Paraméterek!$B$257:$D$267,IF($D$2="Egyszeri",3,2))),IF($D$4="Forint",0,2))&gt;$M852-$O852-$P852+$R852-$S852-IF($D$4="Forint",Paraméterek!$C$216,Paraméterek!$D$216),0,ROUNDUP(IF(ISBLANK($U852),$T852,$U852)/IF(AND($B852=1,$D$2&lt;&gt;"Egyszeri"),1,VLOOKUP($B852+IF($C852=12,1,0),Paraméterek!$B$257:$D$267,IF($D$2="Egyszeri",3,2))),IF($D$4="Forint",0,2)))</f>
        <v>-870411</v>
      </c>
      <c r="W852" s="13">
        <f ca="1">ROUNDDOWN($V852*VLOOKUP($B852+IF($C852=12,1,0),Paraméterek!$B$257:$D$267,IF($D$2="Egyszeri",3,2)),IF($D$4="Forint",0,2))</f>
        <v>-870411</v>
      </c>
      <c r="Y852" s="32">
        <v>833</v>
      </c>
      <c r="Z852" s="32">
        <v>70</v>
      </c>
      <c r="AA852" s="32">
        <v>5</v>
      </c>
      <c r="AB852" s="13">
        <f t="shared" si="191"/>
        <v>0</v>
      </c>
      <c r="AC852" s="33"/>
      <c r="AD852" s="13">
        <f t="shared" si="187"/>
        <v>0</v>
      </c>
      <c r="AE852" s="13">
        <f>ROUNDUP(($AB852+$AD852)*VLOOKUP($Z852,Paraméterek!$P$38:$Q$38,2)/12,IF($D$4="Forint",0,2))</f>
        <v>0</v>
      </c>
      <c r="AF852" s="13">
        <f>IF($D$2="Egyszeri",IF($D$7&gt;=IF($D$4="Forint",Paraméterek!$P$223,Paraméterek!$P$224),$D$7-IF($D$4="Forint",Paraméterek!$F$223,Paraméterek!$F$224),0),MIN(IF($AA852=12,AVERAGE($D$20:$D852)*12,0),SUM($D$20:$D$31)))</f>
        <v>0</v>
      </c>
      <c r="AG852" s="13">
        <f>IF(AND($Z852&gt;=10,MOD($Z852,5)=0),$AF852*IF($AA852=12,VLOOKUP($Z852,Paraméterek!$B$225:$F$240,IF($AF852&lt;IF($D$4="Forint",Paraméterek!$C$223,Paraméterek!$C$224),2,IF($AF852&lt;IF($D$4="Forint",Paraméterek!$D$223,Paraméterek!$D$224),3,4))),0),0)</f>
        <v>0</v>
      </c>
      <c r="AH852" s="13">
        <f>IF(AND($Z852&gt;=5,MOD($Z852,5)=0),IF($AA852=12,VLOOKUP($Z852,Paraméterek!$B$225:$F$240,5),0),IF(OR($Z852=3,$Z852=4),IF($AA852=12,VLOOKUP($Z852,Paraméterek!$B$225:$F$240,5,0),0),0))*$AF852</f>
        <v>0</v>
      </c>
      <c r="AI852" s="13">
        <f>ROUNDDOWN(IF(SUM($T$20:$U852)=0,IF($D$2="Egyszeri",$AH852,$AG852),0),IF($D$4="Forint",0,2))</f>
        <v>0</v>
      </c>
      <c r="AJ852" s="13">
        <f t="shared" si="192"/>
        <v>0</v>
      </c>
      <c r="AK852" s="13">
        <f t="shared" si="193"/>
        <v>0</v>
      </c>
      <c r="AM852" s="32">
        <v>833</v>
      </c>
      <c r="AN852" s="32">
        <v>70</v>
      </c>
      <c r="AO852" s="32">
        <v>5</v>
      </c>
      <c r="AP852" s="13"/>
      <c r="AQ852" s="32"/>
      <c r="AR852" s="13">
        <f t="shared" si="194"/>
        <v>0</v>
      </c>
      <c r="AS852" s="33"/>
      <c r="AT852" s="13">
        <f t="shared" si="188"/>
        <v>0</v>
      </c>
      <c r="AU852" s="13">
        <f>ROUNDUP(($AR852+$AT852)*VLOOKUP($AN852,Paraméterek!$P$38:$Q$38,2)/12,IF($D$4="Forint",0,2))</f>
        <v>0</v>
      </c>
      <c r="AV852" s="13"/>
      <c r="AW852" s="13"/>
      <c r="AX852" s="13">
        <f>ROUNDUP(IF(SUM($AV852:$AW852)=0,0,IF(IF(ISBLANK($AW852),$AV852,$AW852)*Paraméterek!$J$112&lt;IF($D$4="Forint",Paraméterek!$J$113,Paraméterek!$K$113),IF($D$4="Forint",Paraméterek!$J$113,Paraméterek!$K$113),IF(IF(ISBLANK($AW852),$AV852,$AW852)*Paraméterek!$J$112&gt;IF($D$4="Forint",Paraméterek!$J$114,Paraméterek!$K$114),IF($D$4="Forint",Paraméterek!$J$114,Paraméterek!$K$114),IF(ISBLANK($AW852),$AV852,$AW852)*Paraméterek!$J$112))),IF($D$4="Forint",0,2))</f>
        <v>0</v>
      </c>
      <c r="AY852" s="13">
        <f>$AR852+$AT852-$AU852-IF(ROUNDDOWN(IF(ISBLANK($AW852),$AV852,$AW852),IF($D$4="Forint",0,2))&gt;$AR852+$AT852-$AU852-IF($D$4="Forint",Paraméterek!$J$114,Paraméterek!$K$114),0,ROUNDDOWN(IF(ISBLANK($AW852),$AV852,$AW852),IF($D$4="Forint",0,2))-$AX852)</f>
        <v>0</v>
      </c>
      <c r="AZ852" s="13">
        <f t="shared" si="189"/>
        <v>0</v>
      </c>
    </row>
    <row r="853" spans="1:52" x14ac:dyDescent="0.2">
      <c r="A853" s="32">
        <v>834</v>
      </c>
      <c r="B853" s="32">
        <v>70</v>
      </c>
      <c r="C853" s="32">
        <v>6</v>
      </c>
      <c r="D853" s="13">
        <f t="shared" ref="D853:D916" si="195">IF($D$2="Egyszeri",IF($A853=1,$D$7,0),ROUNDUP(IF($D$2="Havi",$D$7,IF(MOD($C853,$M$1)-1=0,$D$7,0))*(1+$D$6)^($B853-1),IF($D$4="Forint",0,2)))</f>
        <v>0</v>
      </c>
      <c r="E853" s="13"/>
      <c r="F853" s="13"/>
      <c r="G853" s="13"/>
      <c r="H853" s="13">
        <f t="shared" ref="H853:H916" si="196">ROUNDUP(IF(AND($D$8="Nincs",$D$2&lt;&gt;"Egyszeri"),$D853*10%,0),IF($D$4="Forint",0,2))</f>
        <v>0</v>
      </c>
      <c r="I853" s="13">
        <f t="shared" ref="I853:I916" si="197">IF($D$2="Egyszeri",IF($A853=1,$M$3,0),ROUNDUP(IF($D$2="Havi",$M$3,IF(MOD($C853,$M$1)-1=0,$M$3,0))*(1+$M$2)^($B853-1),IF($D$4="Forint",0,2)))</f>
        <v>0</v>
      </c>
      <c r="J853" s="13">
        <f t="shared" ref="J853:J916" si="198">IF(ISBLANK($E853),$D853,$E853)+IF(ISBLANK($G853),$F853,$G853)+$H853+$I853</f>
        <v>0</v>
      </c>
      <c r="K853" s="13">
        <f>ROUNDUP(IF($D$2="Egyszeri",$D853,IF($D$2="Havi",SUM($D$20:$D$31),IF(MOD($C853,$M$1)-1=0,SUM($D$20:$D$31),0))/12*$M$1)*VLOOKUP($B853,Paraméterek!$B$27:$D$30,IF($D$2="Egyszeri",3,2)),IF($D$4="Forint",0,2))</f>
        <v>0</v>
      </c>
      <c r="L853" s="13">
        <f t="shared" ref="L853:L916" si="199">$D853-$K853+IF(ISBLANK($G853),$F853,$G853)</f>
        <v>0</v>
      </c>
      <c r="M853" s="13">
        <f t="shared" ca="1" si="190"/>
        <v>-870411</v>
      </c>
      <c r="N853" s="13">
        <f ca="1">IF($V852&gt;=VLOOKUP($M$4-1+$B853,Paraméterek!$B$121:$D$122,IF($D$4="Forint",2,3)),0,VLOOKUP($M$4-1+$B853,Paraméterek!$B$121:$D$122,IF($D$4="Forint",2,3))-$V852)</f>
        <v>880411</v>
      </c>
      <c r="O853" s="13">
        <f ca="1">ROUNDUP($N853*Paraméterek!$C$58/Paraméterek!$C$56,IF($D$4="Forint",0,2))</f>
        <v>141</v>
      </c>
      <c r="P853" s="13">
        <f t="shared" ref="P853:P916" si="200">ROUNDUP($M$5*(1+$M$2)^($B853-1),IF($D$4="Forint",0,2))</f>
        <v>4228</v>
      </c>
      <c r="Q853" s="33"/>
      <c r="R853" s="13">
        <f t="shared" ref="R853:R916" ca="1" si="201">ROUNDDOWN(($M853-$O853-$P853)*IF(ISBLANK($Q853),$M$6,$Q853),IF($D$4="Forint",0,2))</f>
        <v>0</v>
      </c>
      <c r="S853" s="13">
        <f ca="1">ROUNDUP(($M853-$O853-$P853+$R853)*VLOOKUP($B853,Paraméterek!$B$38:$D$39,IF($D$2="Egyszeri",3,2))/12,IF($D$4="Forint",0,2))</f>
        <v>-2136</v>
      </c>
      <c r="T853" s="13"/>
      <c r="U853" s="13"/>
      <c r="V853" s="13">
        <f ca="1">$M853-$O853-$P853+$R853-$S853-IF(ROUNDUP(IF(ISBLANK($U853),$T853,$U853)/IF(AND($B853=1,$D$2&lt;&gt;"Egyszeri"),1,VLOOKUP($B853+IF($C853=12,1,0),Paraméterek!$B$257:$D$267,IF($D$2="Egyszeri",3,2))),IF($D$4="Forint",0,2))&gt;$M853-$O853-$P853+$R853-$S853-IF($D$4="Forint",Paraméterek!$C$216,Paraméterek!$D$216),0,ROUNDUP(IF(ISBLANK($U853),$T853,$U853)/IF(AND($B853=1,$D$2&lt;&gt;"Egyszeri"),1,VLOOKUP($B853+IF($C853=12,1,0),Paraméterek!$B$257:$D$267,IF($D$2="Egyszeri",3,2))),IF($D$4="Forint",0,2)))</f>
        <v>-872644</v>
      </c>
      <c r="W853" s="13">
        <f ca="1">ROUNDDOWN($V853*VLOOKUP($B853+IF($C853=12,1,0),Paraméterek!$B$257:$D$267,IF($D$2="Egyszeri",3,2)),IF($D$4="Forint",0,2))</f>
        <v>-872644</v>
      </c>
      <c r="Y853" s="32">
        <v>834</v>
      </c>
      <c r="Z853" s="32">
        <v>70</v>
      </c>
      <c r="AA853" s="32">
        <v>6</v>
      </c>
      <c r="AB853" s="13">
        <f t="shared" si="191"/>
        <v>0</v>
      </c>
      <c r="AC853" s="33"/>
      <c r="AD853" s="13">
        <f t="shared" ref="AD853:AD916" si="202">ROUNDDOWN($AB853*IF(ISBLANK($AC853),$M$8,$AC853),IF($D$4="Forint",0,2))</f>
        <v>0</v>
      </c>
      <c r="AE853" s="13">
        <f>ROUNDUP(($AB853+$AD853)*VLOOKUP($Z853,Paraméterek!$P$38:$Q$38,2)/12,IF($D$4="Forint",0,2))</f>
        <v>0</v>
      </c>
      <c r="AF853" s="13">
        <f>IF($D$2="Egyszeri",IF($D$7&gt;=IF($D$4="Forint",Paraméterek!$P$223,Paraméterek!$P$224),$D$7-IF($D$4="Forint",Paraméterek!$F$223,Paraméterek!$F$224),0),MIN(IF($AA853=12,AVERAGE($D$20:$D853)*12,0),SUM($D$20:$D$31)))</f>
        <v>0</v>
      </c>
      <c r="AG853" s="13">
        <f>IF(AND($Z853&gt;=10,MOD($Z853,5)=0),$AF853*IF($AA853=12,VLOOKUP($Z853,Paraméterek!$B$225:$F$240,IF($AF853&lt;IF($D$4="Forint",Paraméterek!$C$223,Paraméterek!$C$224),2,IF($AF853&lt;IF($D$4="Forint",Paraméterek!$D$223,Paraméterek!$D$224),3,4))),0),0)</f>
        <v>0</v>
      </c>
      <c r="AH853" s="13">
        <f>IF(AND($Z853&gt;=5,MOD($Z853,5)=0),IF($AA853=12,VLOOKUP($Z853,Paraméterek!$B$225:$F$240,5),0),IF(OR($Z853=3,$Z853=4),IF($AA853=12,VLOOKUP($Z853,Paraméterek!$B$225:$F$240,5,0),0),0))*$AF853</f>
        <v>0</v>
      </c>
      <c r="AI853" s="13">
        <f>ROUNDDOWN(IF(SUM($T$20:$U853)=0,IF($D$2="Egyszeri",$AH853,$AG853),0),IF($D$4="Forint",0,2))</f>
        <v>0</v>
      </c>
      <c r="AJ853" s="13">
        <f t="shared" si="192"/>
        <v>0</v>
      </c>
      <c r="AK853" s="13">
        <f t="shared" si="193"/>
        <v>0</v>
      </c>
      <c r="AM853" s="32">
        <v>834</v>
      </c>
      <c r="AN853" s="32">
        <v>70</v>
      </c>
      <c r="AO853" s="32">
        <v>6</v>
      </c>
      <c r="AP853" s="13"/>
      <c r="AQ853" s="32"/>
      <c r="AR853" s="13">
        <f t="shared" si="194"/>
        <v>0</v>
      </c>
      <c r="AS853" s="33"/>
      <c r="AT853" s="13">
        <f t="shared" ref="AT853:AT916" si="203">ROUNDDOWN($AR853*IF(ISBLANK($AS853),$M$7,$AS853),IF($D$4="Forint",0,2))</f>
        <v>0</v>
      </c>
      <c r="AU853" s="13">
        <f>ROUNDUP(($AR853+$AT853)*VLOOKUP($AN853,Paraméterek!$P$38:$Q$38,2)/12,IF($D$4="Forint",0,2))</f>
        <v>0</v>
      </c>
      <c r="AV853" s="13"/>
      <c r="AW853" s="13"/>
      <c r="AX853" s="13">
        <f>ROUNDUP(IF(SUM($AV853:$AW853)=0,0,IF(IF(ISBLANK($AW853),$AV853,$AW853)*Paraméterek!$J$112&lt;IF($D$4="Forint",Paraméterek!$J$113,Paraméterek!$K$113),IF($D$4="Forint",Paraméterek!$J$113,Paraméterek!$K$113),IF(IF(ISBLANK($AW853),$AV853,$AW853)*Paraméterek!$J$112&gt;IF($D$4="Forint",Paraméterek!$J$114,Paraméterek!$K$114),IF($D$4="Forint",Paraméterek!$J$114,Paraméterek!$K$114),IF(ISBLANK($AW853),$AV853,$AW853)*Paraméterek!$J$112))),IF($D$4="Forint",0,2))</f>
        <v>0</v>
      </c>
      <c r="AY853" s="13">
        <f>$AR853+$AT853-$AU853-IF(ROUNDDOWN(IF(ISBLANK($AW853),$AV853,$AW853),IF($D$4="Forint",0,2))&gt;$AR853+$AT853-$AU853-IF($D$4="Forint",Paraméterek!$J$114,Paraméterek!$K$114),0,ROUNDDOWN(IF(ISBLANK($AW853),$AV853,$AW853),IF($D$4="Forint",0,2))-$AX853)</f>
        <v>0</v>
      </c>
      <c r="AZ853" s="13">
        <f t="shared" ref="AZ853:AZ916" si="204">$AY853</f>
        <v>0</v>
      </c>
    </row>
    <row r="854" spans="1:52" x14ac:dyDescent="0.2">
      <c r="A854" s="32">
        <v>835</v>
      </c>
      <c r="B854" s="32">
        <v>70</v>
      </c>
      <c r="C854" s="32">
        <v>7</v>
      </c>
      <c r="D854" s="13">
        <f t="shared" si="195"/>
        <v>0</v>
      </c>
      <c r="E854" s="13"/>
      <c r="F854" s="13"/>
      <c r="G854" s="13"/>
      <c r="H854" s="13">
        <f t="shared" si="196"/>
        <v>0</v>
      </c>
      <c r="I854" s="13">
        <f t="shared" si="197"/>
        <v>0</v>
      </c>
      <c r="J854" s="13">
        <f t="shared" si="198"/>
        <v>0</v>
      </c>
      <c r="K854" s="13">
        <f>ROUNDUP(IF($D$2="Egyszeri",$D854,IF($D$2="Havi",SUM($D$20:$D$31),IF(MOD($C854,$M$1)-1=0,SUM($D$20:$D$31),0))/12*$M$1)*VLOOKUP($B854,Paraméterek!$B$27:$D$30,IF($D$2="Egyszeri",3,2)),IF($D$4="Forint",0,2))</f>
        <v>0</v>
      </c>
      <c r="L854" s="13">
        <f t="shared" si="199"/>
        <v>0</v>
      </c>
      <c r="M854" s="13">
        <f t="shared" ref="M854:M917" ca="1" si="205">$L854+$V853</f>
        <v>-872644</v>
      </c>
      <c r="N854" s="13">
        <f ca="1">IF($V853&gt;=VLOOKUP($M$4-1+$B854,Paraméterek!$B$121:$D$122,IF($D$4="Forint",2,3)),0,VLOOKUP($M$4-1+$B854,Paraméterek!$B$121:$D$122,IF($D$4="Forint",2,3))-$V853)</f>
        <v>882644</v>
      </c>
      <c r="O854" s="13">
        <f ca="1">ROUNDUP($N854*Paraméterek!$C$58/Paraméterek!$C$56,IF($D$4="Forint",0,2))</f>
        <v>141</v>
      </c>
      <c r="P854" s="13">
        <f t="shared" si="200"/>
        <v>4228</v>
      </c>
      <c r="Q854" s="33"/>
      <c r="R854" s="13">
        <f t="shared" ca="1" si="201"/>
        <v>0</v>
      </c>
      <c r="S854" s="13">
        <f ca="1">ROUNDUP(($M854-$O854-$P854+$R854)*VLOOKUP($B854,Paraméterek!$B$38:$D$39,IF($D$2="Egyszeri",3,2))/12,IF($D$4="Forint",0,2))</f>
        <v>-2142</v>
      </c>
      <c r="T854" s="13"/>
      <c r="U854" s="13"/>
      <c r="V854" s="13">
        <f ca="1">$M854-$O854-$P854+$R854-$S854-IF(ROUNDUP(IF(ISBLANK($U854),$T854,$U854)/IF(AND($B854=1,$D$2&lt;&gt;"Egyszeri"),1,VLOOKUP($B854+IF($C854=12,1,0),Paraméterek!$B$257:$D$267,IF($D$2="Egyszeri",3,2))),IF($D$4="Forint",0,2))&gt;$M854-$O854-$P854+$R854-$S854-IF($D$4="Forint",Paraméterek!$C$216,Paraméterek!$D$216),0,ROUNDUP(IF(ISBLANK($U854),$T854,$U854)/IF(AND($B854=1,$D$2&lt;&gt;"Egyszeri"),1,VLOOKUP($B854+IF($C854=12,1,0),Paraméterek!$B$257:$D$267,IF($D$2="Egyszeri",3,2))),IF($D$4="Forint",0,2)))</f>
        <v>-874871</v>
      </c>
      <c r="W854" s="13">
        <f ca="1">ROUNDDOWN($V854*VLOOKUP($B854+IF($C854=12,1,0),Paraméterek!$B$257:$D$267,IF($D$2="Egyszeri",3,2)),IF($D$4="Forint",0,2))</f>
        <v>-874871</v>
      </c>
      <c r="Y854" s="32">
        <v>835</v>
      </c>
      <c r="Z854" s="32">
        <v>70</v>
      </c>
      <c r="AA854" s="32">
        <v>7</v>
      </c>
      <c r="AB854" s="13">
        <f t="shared" ref="AB854:AB917" si="206">$AJ853</f>
        <v>0</v>
      </c>
      <c r="AC854" s="33"/>
      <c r="AD854" s="13">
        <f t="shared" si="202"/>
        <v>0</v>
      </c>
      <c r="AE854" s="13">
        <f>ROUNDUP(($AB854+$AD854)*VLOOKUP($Z854,Paraméterek!$P$38:$Q$38,2)/12,IF($D$4="Forint",0,2))</f>
        <v>0</v>
      </c>
      <c r="AF854" s="13">
        <f>IF($D$2="Egyszeri",IF($D$7&gt;=IF($D$4="Forint",Paraméterek!$P$223,Paraméterek!$P$224),$D$7-IF($D$4="Forint",Paraméterek!$F$223,Paraméterek!$F$224),0),MIN(IF($AA854=12,AVERAGE($D$20:$D854)*12,0),SUM($D$20:$D$31)))</f>
        <v>0</v>
      </c>
      <c r="AG854" s="13">
        <f>IF(AND($Z854&gt;=10,MOD($Z854,5)=0),$AF854*IF($AA854=12,VLOOKUP($Z854,Paraméterek!$B$225:$F$240,IF($AF854&lt;IF($D$4="Forint",Paraméterek!$C$223,Paraméterek!$C$224),2,IF($AF854&lt;IF($D$4="Forint",Paraméterek!$D$223,Paraméterek!$D$224),3,4))),0),0)</f>
        <v>0</v>
      </c>
      <c r="AH854" s="13">
        <f>IF(AND($Z854&gt;=5,MOD($Z854,5)=0),IF($AA854=12,VLOOKUP($Z854,Paraméterek!$B$225:$F$240,5),0),IF(OR($Z854=3,$Z854=4),IF($AA854=12,VLOOKUP($Z854,Paraméterek!$B$225:$F$240,5,0),0),0))*$AF854</f>
        <v>0</v>
      </c>
      <c r="AI854" s="13">
        <f>ROUNDDOWN(IF(SUM($T$20:$U854)=0,IF($D$2="Egyszeri",$AH854,$AG854),0),IF($D$4="Forint",0,2))</f>
        <v>0</v>
      </c>
      <c r="AJ854" s="13">
        <f t="shared" ref="AJ854:AJ917" si="207">$AB854+$AD854-$AE854+$AI854</f>
        <v>0</v>
      </c>
      <c r="AK854" s="13">
        <f t="shared" ref="AK854:AK917" si="208">$AJ854</f>
        <v>0</v>
      </c>
      <c r="AM854" s="32">
        <v>835</v>
      </c>
      <c r="AN854" s="32">
        <v>70</v>
      </c>
      <c r="AO854" s="32">
        <v>7</v>
      </c>
      <c r="AP854" s="13"/>
      <c r="AQ854" s="32"/>
      <c r="AR854" s="13">
        <f t="shared" ref="AR854:AR917" si="209">IF(ISBLANK($AQ854),$AP854,$AQ854)+$AY853</f>
        <v>0</v>
      </c>
      <c r="AS854" s="33"/>
      <c r="AT854" s="13">
        <f t="shared" si="203"/>
        <v>0</v>
      </c>
      <c r="AU854" s="13">
        <f>ROUNDUP(($AR854+$AT854)*VLOOKUP($AN854,Paraméterek!$P$38:$Q$38,2)/12,IF($D$4="Forint",0,2))</f>
        <v>0</v>
      </c>
      <c r="AV854" s="13"/>
      <c r="AW854" s="13"/>
      <c r="AX854" s="13">
        <f>ROUNDUP(IF(SUM($AV854:$AW854)=0,0,IF(IF(ISBLANK($AW854),$AV854,$AW854)*Paraméterek!$J$112&lt;IF($D$4="Forint",Paraméterek!$J$113,Paraméterek!$K$113),IF($D$4="Forint",Paraméterek!$J$113,Paraméterek!$K$113),IF(IF(ISBLANK($AW854),$AV854,$AW854)*Paraméterek!$J$112&gt;IF($D$4="Forint",Paraméterek!$J$114,Paraméterek!$K$114),IF($D$4="Forint",Paraméterek!$J$114,Paraméterek!$K$114),IF(ISBLANK($AW854),$AV854,$AW854)*Paraméterek!$J$112))),IF($D$4="Forint",0,2))</f>
        <v>0</v>
      </c>
      <c r="AY854" s="13">
        <f>$AR854+$AT854-$AU854-IF(ROUNDDOWN(IF(ISBLANK($AW854),$AV854,$AW854),IF($D$4="Forint",0,2))&gt;$AR854+$AT854-$AU854-IF($D$4="Forint",Paraméterek!$J$114,Paraméterek!$K$114),0,ROUNDDOWN(IF(ISBLANK($AW854),$AV854,$AW854),IF($D$4="Forint",0,2))-$AX854)</f>
        <v>0</v>
      </c>
      <c r="AZ854" s="13">
        <f t="shared" si="204"/>
        <v>0</v>
      </c>
    </row>
    <row r="855" spans="1:52" x14ac:dyDescent="0.2">
      <c r="A855" s="32">
        <v>836</v>
      </c>
      <c r="B855" s="32">
        <v>70</v>
      </c>
      <c r="C855" s="32">
        <v>8</v>
      </c>
      <c r="D855" s="13">
        <f t="shared" si="195"/>
        <v>0</v>
      </c>
      <c r="E855" s="13"/>
      <c r="F855" s="13"/>
      <c r="G855" s="13"/>
      <c r="H855" s="13">
        <f t="shared" si="196"/>
        <v>0</v>
      </c>
      <c r="I855" s="13">
        <f t="shared" si="197"/>
        <v>0</v>
      </c>
      <c r="J855" s="13">
        <f t="shared" si="198"/>
        <v>0</v>
      </c>
      <c r="K855" s="13">
        <f>ROUNDUP(IF($D$2="Egyszeri",$D855,IF($D$2="Havi",SUM($D$20:$D$31),IF(MOD($C855,$M$1)-1=0,SUM($D$20:$D$31),0))/12*$M$1)*VLOOKUP($B855,Paraméterek!$B$27:$D$30,IF($D$2="Egyszeri",3,2)),IF($D$4="Forint",0,2))</f>
        <v>0</v>
      </c>
      <c r="L855" s="13">
        <f t="shared" si="199"/>
        <v>0</v>
      </c>
      <c r="M855" s="13">
        <f t="shared" ca="1" si="205"/>
        <v>-874871</v>
      </c>
      <c r="N855" s="13">
        <f ca="1">IF($V854&gt;=VLOOKUP($M$4-1+$B855,Paraméterek!$B$121:$D$122,IF($D$4="Forint",2,3)),0,VLOOKUP($M$4-1+$B855,Paraméterek!$B$121:$D$122,IF($D$4="Forint",2,3))-$V854)</f>
        <v>884871</v>
      </c>
      <c r="O855" s="13">
        <f ca="1">ROUNDUP($N855*Paraméterek!$C$58/Paraméterek!$C$56,IF($D$4="Forint",0,2))</f>
        <v>141</v>
      </c>
      <c r="P855" s="13">
        <f t="shared" si="200"/>
        <v>4228</v>
      </c>
      <c r="Q855" s="33"/>
      <c r="R855" s="13">
        <f t="shared" ca="1" si="201"/>
        <v>0</v>
      </c>
      <c r="S855" s="13">
        <f ca="1">ROUNDUP(($M855-$O855-$P855+$R855)*VLOOKUP($B855,Paraméterek!$B$38:$D$39,IF($D$2="Egyszeri",3,2))/12,IF($D$4="Forint",0,2))</f>
        <v>-2147</v>
      </c>
      <c r="T855" s="13"/>
      <c r="U855" s="13"/>
      <c r="V855" s="13">
        <f ca="1">$M855-$O855-$P855+$R855-$S855-IF(ROUNDUP(IF(ISBLANK($U855),$T855,$U855)/IF(AND($B855=1,$D$2&lt;&gt;"Egyszeri"),1,VLOOKUP($B855+IF($C855=12,1,0),Paraméterek!$B$257:$D$267,IF($D$2="Egyszeri",3,2))),IF($D$4="Forint",0,2))&gt;$M855-$O855-$P855+$R855-$S855-IF($D$4="Forint",Paraméterek!$C$216,Paraméterek!$D$216),0,ROUNDUP(IF(ISBLANK($U855),$T855,$U855)/IF(AND($B855=1,$D$2&lt;&gt;"Egyszeri"),1,VLOOKUP($B855+IF($C855=12,1,0),Paraméterek!$B$257:$D$267,IF($D$2="Egyszeri",3,2))),IF($D$4="Forint",0,2)))</f>
        <v>-877093</v>
      </c>
      <c r="W855" s="13">
        <f ca="1">ROUNDDOWN($V855*VLOOKUP($B855+IF($C855=12,1,0),Paraméterek!$B$257:$D$267,IF($D$2="Egyszeri",3,2)),IF($D$4="Forint",0,2))</f>
        <v>-877093</v>
      </c>
      <c r="Y855" s="32">
        <v>836</v>
      </c>
      <c r="Z855" s="32">
        <v>70</v>
      </c>
      <c r="AA855" s="32">
        <v>8</v>
      </c>
      <c r="AB855" s="13">
        <f t="shared" si="206"/>
        <v>0</v>
      </c>
      <c r="AC855" s="33"/>
      <c r="AD855" s="13">
        <f t="shared" si="202"/>
        <v>0</v>
      </c>
      <c r="AE855" s="13">
        <f>ROUNDUP(($AB855+$AD855)*VLOOKUP($Z855,Paraméterek!$P$38:$Q$38,2)/12,IF($D$4="Forint",0,2))</f>
        <v>0</v>
      </c>
      <c r="AF855" s="13">
        <f>IF($D$2="Egyszeri",IF($D$7&gt;=IF($D$4="Forint",Paraméterek!$P$223,Paraméterek!$P$224),$D$7-IF($D$4="Forint",Paraméterek!$F$223,Paraméterek!$F$224),0),MIN(IF($AA855=12,AVERAGE($D$20:$D855)*12,0),SUM($D$20:$D$31)))</f>
        <v>0</v>
      </c>
      <c r="AG855" s="13">
        <f>IF(AND($Z855&gt;=10,MOD($Z855,5)=0),$AF855*IF($AA855=12,VLOOKUP($Z855,Paraméterek!$B$225:$F$240,IF($AF855&lt;IF($D$4="Forint",Paraméterek!$C$223,Paraméterek!$C$224),2,IF($AF855&lt;IF($D$4="Forint",Paraméterek!$D$223,Paraméterek!$D$224),3,4))),0),0)</f>
        <v>0</v>
      </c>
      <c r="AH855" s="13">
        <f>IF(AND($Z855&gt;=5,MOD($Z855,5)=0),IF($AA855=12,VLOOKUP($Z855,Paraméterek!$B$225:$F$240,5),0),IF(OR($Z855=3,$Z855=4),IF($AA855=12,VLOOKUP($Z855,Paraméterek!$B$225:$F$240,5,0),0),0))*$AF855</f>
        <v>0</v>
      </c>
      <c r="AI855" s="13">
        <f>ROUNDDOWN(IF(SUM($T$20:$U855)=0,IF($D$2="Egyszeri",$AH855,$AG855),0),IF($D$4="Forint",0,2))</f>
        <v>0</v>
      </c>
      <c r="AJ855" s="13">
        <f t="shared" si="207"/>
        <v>0</v>
      </c>
      <c r="AK855" s="13">
        <f t="shared" si="208"/>
        <v>0</v>
      </c>
      <c r="AM855" s="32">
        <v>836</v>
      </c>
      <c r="AN855" s="32">
        <v>70</v>
      </c>
      <c r="AO855" s="32">
        <v>8</v>
      </c>
      <c r="AP855" s="13"/>
      <c r="AQ855" s="32"/>
      <c r="AR855" s="13">
        <f t="shared" si="209"/>
        <v>0</v>
      </c>
      <c r="AS855" s="33"/>
      <c r="AT855" s="13">
        <f t="shared" si="203"/>
        <v>0</v>
      </c>
      <c r="AU855" s="13">
        <f>ROUNDUP(($AR855+$AT855)*VLOOKUP($AN855,Paraméterek!$P$38:$Q$38,2)/12,IF($D$4="Forint",0,2))</f>
        <v>0</v>
      </c>
      <c r="AV855" s="13"/>
      <c r="AW855" s="13"/>
      <c r="AX855" s="13">
        <f>ROUNDUP(IF(SUM($AV855:$AW855)=0,0,IF(IF(ISBLANK($AW855),$AV855,$AW855)*Paraméterek!$J$112&lt;IF($D$4="Forint",Paraméterek!$J$113,Paraméterek!$K$113),IF($D$4="Forint",Paraméterek!$J$113,Paraméterek!$K$113),IF(IF(ISBLANK($AW855),$AV855,$AW855)*Paraméterek!$J$112&gt;IF($D$4="Forint",Paraméterek!$J$114,Paraméterek!$K$114),IF($D$4="Forint",Paraméterek!$J$114,Paraméterek!$K$114),IF(ISBLANK($AW855),$AV855,$AW855)*Paraméterek!$J$112))),IF($D$4="Forint",0,2))</f>
        <v>0</v>
      </c>
      <c r="AY855" s="13">
        <f>$AR855+$AT855-$AU855-IF(ROUNDDOWN(IF(ISBLANK($AW855),$AV855,$AW855),IF($D$4="Forint",0,2))&gt;$AR855+$AT855-$AU855-IF($D$4="Forint",Paraméterek!$J$114,Paraméterek!$K$114),0,ROUNDDOWN(IF(ISBLANK($AW855),$AV855,$AW855),IF($D$4="Forint",0,2))-$AX855)</f>
        <v>0</v>
      </c>
      <c r="AZ855" s="13">
        <f t="shared" si="204"/>
        <v>0</v>
      </c>
    </row>
    <row r="856" spans="1:52" x14ac:dyDescent="0.2">
      <c r="A856" s="32">
        <v>837</v>
      </c>
      <c r="B856" s="32">
        <v>70</v>
      </c>
      <c r="C856" s="32">
        <v>9</v>
      </c>
      <c r="D856" s="13">
        <f t="shared" si="195"/>
        <v>0</v>
      </c>
      <c r="E856" s="13"/>
      <c r="F856" s="13"/>
      <c r="G856" s="13"/>
      <c r="H856" s="13">
        <f t="shared" si="196"/>
        <v>0</v>
      </c>
      <c r="I856" s="13">
        <f t="shared" si="197"/>
        <v>0</v>
      </c>
      <c r="J856" s="13">
        <f t="shared" si="198"/>
        <v>0</v>
      </c>
      <c r="K856" s="13">
        <f>ROUNDUP(IF($D$2="Egyszeri",$D856,IF($D$2="Havi",SUM($D$20:$D$31),IF(MOD($C856,$M$1)-1=0,SUM($D$20:$D$31),0))/12*$M$1)*VLOOKUP($B856,Paraméterek!$B$27:$D$30,IF($D$2="Egyszeri",3,2)),IF($D$4="Forint",0,2))</f>
        <v>0</v>
      </c>
      <c r="L856" s="13">
        <f t="shared" si="199"/>
        <v>0</v>
      </c>
      <c r="M856" s="13">
        <f t="shared" ca="1" si="205"/>
        <v>-877093</v>
      </c>
      <c r="N856" s="13">
        <f ca="1">IF($V855&gt;=VLOOKUP($M$4-1+$B856,Paraméterek!$B$121:$D$122,IF($D$4="Forint",2,3)),0,VLOOKUP($M$4-1+$B856,Paraméterek!$B$121:$D$122,IF($D$4="Forint",2,3))-$V855)</f>
        <v>887093</v>
      </c>
      <c r="O856" s="13">
        <f ca="1">ROUNDUP($N856*Paraméterek!$C$58/Paraméterek!$C$56,IF($D$4="Forint",0,2))</f>
        <v>142</v>
      </c>
      <c r="P856" s="13">
        <f t="shared" si="200"/>
        <v>4228</v>
      </c>
      <c r="Q856" s="33"/>
      <c r="R856" s="13">
        <f t="shared" ca="1" si="201"/>
        <v>0</v>
      </c>
      <c r="S856" s="13">
        <f ca="1">ROUNDUP(($M856-$O856-$P856+$R856)*VLOOKUP($B856,Paraméterek!$B$38:$D$39,IF($D$2="Egyszeri",3,2))/12,IF($D$4="Forint",0,2))</f>
        <v>-2153</v>
      </c>
      <c r="T856" s="13"/>
      <c r="U856" s="13"/>
      <c r="V856" s="13">
        <f ca="1">$M856-$O856-$P856+$R856-$S856-IF(ROUNDUP(IF(ISBLANK($U856),$T856,$U856)/IF(AND($B856=1,$D$2&lt;&gt;"Egyszeri"),1,VLOOKUP($B856+IF($C856=12,1,0),Paraméterek!$B$257:$D$267,IF($D$2="Egyszeri",3,2))),IF($D$4="Forint",0,2))&gt;$M856-$O856-$P856+$R856-$S856-IF($D$4="Forint",Paraméterek!$C$216,Paraméterek!$D$216),0,ROUNDUP(IF(ISBLANK($U856),$T856,$U856)/IF(AND($B856=1,$D$2&lt;&gt;"Egyszeri"),1,VLOOKUP($B856+IF($C856=12,1,0),Paraméterek!$B$257:$D$267,IF($D$2="Egyszeri",3,2))),IF($D$4="Forint",0,2)))</f>
        <v>-879310</v>
      </c>
      <c r="W856" s="13">
        <f ca="1">ROUNDDOWN($V856*VLOOKUP($B856+IF($C856=12,1,0),Paraméterek!$B$257:$D$267,IF($D$2="Egyszeri",3,2)),IF($D$4="Forint",0,2))</f>
        <v>-879310</v>
      </c>
      <c r="Y856" s="32">
        <v>837</v>
      </c>
      <c r="Z856" s="32">
        <v>70</v>
      </c>
      <c r="AA856" s="32">
        <v>9</v>
      </c>
      <c r="AB856" s="13">
        <f t="shared" si="206"/>
        <v>0</v>
      </c>
      <c r="AC856" s="33"/>
      <c r="AD856" s="13">
        <f t="shared" si="202"/>
        <v>0</v>
      </c>
      <c r="AE856" s="13">
        <f>ROUNDUP(($AB856+$AD856)*VLOOKUP($Z856,Paraméterek!$P$38:$Q$38,2)/12,IF($D$4="Forint",0,2))</f>
        <v>0</v>
      </c>
      <c r="AF856" s="13">
        <f>IF($D$2="Egyszeri",IF($D$7&gt;=IF($D$4="Forint",Paraméterek!$P$223,Paraméterek!$P$224),$D$7-IF($D$4="Forint",Paraméterek!$F$223,Paraméterek!$F$224),0),MIN(IF($AA856=12,AVERAGE($D$20:$D856)*12,0),SUM($D$20:$D$31)))</f>
        <v>0</v>
      </c>
      <c r="AG856" s="13">
        <f>IF(AND($Z856&gt;=10,MOD($Z856,5)=0),$AF856*IF($AA856=12,VLOOKUP($Z856,Paraméterek!$B$225:$F$240,IF($AF856&lt;IF($D$4="Forint",Paraméterek!$C$223,Paraméterek!$C$224),2,IF($AF856&lt;IF($D$4="Forint",Paraméterek!$D$223,Paraméterek!$D$224),3,4))),0),0)</f>
        <v>0</v>
      </c>
      <c r="AH856" s="13">
        <f>IF(AND($Z856&gt;=5,MOD($Z856,5)=0),IF($AA856=12,VLOOKUP($Z856,Paraméterek!$B$225:$F$240,5),0),IF(OR($Z856=3,$Z856=4),IF($AA856=12,VLOOKUP($Z856,Paraméterek!$B$225:$F$240,5,0),0),0))*$AF856</f>
        <v>0</v>
      </c>
      <c r="AI856" s="13">
        <f>ROUNDDOWN(IF(SUM($T$20:$U856)=0,IF($D$2="Egyszeri",$AH856,$AG856),0),IF($D$4="Forint",0,2))</f>
        <v>0</v>
      </c>
      <c r="AJ856" s="13">
        <f t="shared" si="207"/>
        <v>0</v>
      </c>
      <c r="AK856" s="13">
        <f t="shared" si="208"/>
        <v>0</v>
      </c>
      <c r="AM856" s="32">
        <v>837</v>
      </c>
      <c r="AN856" s="32">
        <v>70</v>
      </c>
      <c r="AO856" s="32">
        <v>9</v>
      </c>
      <c r="AP856" s="13"/>
      <c r="AQ856" s="32"/>
      <c r="AR856" s="13">
        <f t="shared" si="209"/>
        <v>0</v>
      </c>
      <c r="AS856" s="33"/>
      <c r="AT856" s="13">
        <f t="shared" si="203"/>
        <v>0</v>
      </c>
      <c r="AU856" s="13">
        <f>ROUNDUP(($AR856+$AT856)*VLOOKUP($AN856,Paraméterek!$P$38:$Q$38,2)/12,IF($D$4="Forint",0,2))</f>
        <v>0</v>
      </c>
      <c r="AV856" s="13"/>
      <c r="AW856" s="13"/>
      <c r="AX856" s="13">
        <f>ROUNDUP(IF(SUM($AV856:$AW856)=0,0,IF(IF(ISBLANK($AW856),$AV856,$AW856)*Paraméterek!$J$112&lt;IF($D$4="Forint",Paraméterek!$J$113,Paraméterek!$K$113),IF($D$4="Forint",Paraméterek!$J$113,Paraméterek!$K$113),IF(IF(ISBLANK($AW856),$AV856,$AW856)*Paraméterek!$J$112&gt;IF($D$4="Forint",Paraméterek!$J$114,Paraméterek!$K$114),IF($D$4="Forint",Paraméterek!$J$114,Paraméterek!$K$114),IF(ISBLANK($AW856),$AV856,$AW856)*Paraméterek!$J$112))),IF($D$4="Forint",0,2))</f>
        <v>0</v>
      </c>
      <c r="AY856" s="13">
        <f>$AR856+$AT856-$AU856-IF(ROUNDDOWN(IF(ISBLANK($AW856),$AV856,$AW856),IF($D$4="Forint",0,2))&gt;$AR856+$AT856-$AU856-IF($D$4="Forint",Paraméterek!$J$114,Paraméterek!$K$114),0,ROUNDDOWN(IF(ISBLANK($AW856),$AV856,$AW856),IF($D$4="Forint",0,2))-$AX856)</f>
        <v>0</v>
      </c>
      <c r="AZ856" s="13">
        <f t="shared" si="204"/>
        <v>0</v>
      </c>
    </row>
    <row r="857" spans="1:52" x14ac:dyDescent="0.2">
      <c r="A857" s="32">
        <v>838</v>
      </c>
      <c r="B857" s="32">
        <v>70</v>
      </c>
      <c r="C857" s="32">
        <v>10</v>
      </c>
      <c r="D857" s="13">
        <f t="shared" si="195"/>
        <v>0</v>
      </c>
      <c r="E857" s="13"/>
      <c r="F857" s="13"/>
      <c r="G857" s="13"/>
      <c r="H857" s="13">
        <f t="shared" si="196"/>
        <v>0</v>
      </c>
      <c r="I857" s="13">
        <f t="shared" si="197"/>
        <v>0</v>
      </c>
      <c r="J857" s="13">
        <f t="shared" si="198"/>
        <v>0</v>
      </c>
      <c r="K857" s="13">
        <f>ROUNDUP(IF($D$2="Egyszeri",$D857,IF($D$2="Havi",SUM($D$20:$D$31),IF(MOD($C857,$M$1)-1=0,SUM($D$20:$D$31),0))/12*$M$1)*VLOOKUP($B857,Paraméterek!$B$27:$D$30,IF($D$2="Egyszeri",3,2)),IF($D$4="Forint",0,2))</f>
        <v>0</v>
      </c>
      <c r="L857" s="13">
        <f t="shared" si="199"/>
        <v>0</v>
      </c>
      <c r="M857" s="13">
        <f t="shared" ca="1" si="205"/>
        <v>-879310</v>
      </c>
      <c r="N857" s="13">
        <f ca="1">IF($V856&gt;=VLOOKUP($M$4-1+$B857,Paraméterek!$B$121:$D$122,IF($D$4="Forint",2,3)),0,VLOOKUP($M$4-1+$B857,Paraméterek!$B$121:$D$122,IF($D$4="Forint",2,3))-$V856)</f>
        <v>889310</v>
      </c>
      <c r="O857" s="13">
        <f ca="1">ROUNDUP($N857*Paraméterek!$C$58/Paraméterek!$C$56,IF($D$4="Forint",0,2))</f>
        <v>142</v>
      </c>
      <c r="P857" s="13">
        <f t="shared" si="200"/>
        <v>4228</v>
      </c>
      <c r="Q857" s="33"/>
      <c r="R857" s="13">
        <f t="shared" ca="1" si="201"/>
        <v>0</v>
      </c>
      <c r="S857" s="13">
        <f ca="1">ROUNDUP(($M857-$O857-$P857+$R857)*VLOOKUP($B857,Paraméterek!$B$38:$D$39,IF($D$2="Egyszeri",3,2))/12,IF($D$4="Forint",0,2))</f>
        <v>-2158</v>
      </c>
      <c r="T857" s="13"/>
      <c r="U857" s="13"/>
      <c r="V857" s="13">
        <f ca="1">$M857-$O857-$P857+$R857-$S857-IF(ROUNDUP(IF(ISBLANK($U857),$T857,$U857)/IF(AND($B857=1,$D$2&lt;&gt;"Egyszeri"),1,VLOOKUP($B857+IF($C857=12,1,0),Paraméterek!$B$257:$D$267,IF($D$2="Egyszeri",3,2))),IF($D$4="Forint",0,2))&gt;$M857-$O857-$P857+$R857-$S857-IF($D$4="Forint",Paraméterek!$C$216,Paraméterek!$D$216),0,ROUNDUP(IF(ISBLANK($U857),$T857,$U857)/IF(AND($B857=1,$D$2&lt;&gt;"Egyszeri"),1,VLOOKUP($B857+IF($C857=12,1,0),Paraméterek!$B$257:$D$267,IF($D$2="Egyszeri",3,2))),IF($D$4="Forint",0,2)))</f>
        <v>-881522</v>
      </c>
      <c r="W857" s="13">
        <f ca="1">ROUNDDOWN($V857*VLOOKUP($B857+IF($C857=12,1,0),Paraméterek!$B$257:$D$267,IF($D$2="Egyszeri",3,2)),IF($D$4="Forint",0,2))</f>
        <v>-881522</v>
      </c>
      <c r="Y857" s="32">
        <v>838</v>
      </c>
      <c r="Z857" s="32">
        <v>70</v>
      </c>
      <c r="AA857" s="32">
        <v>10</v>
      </c>
      <c r="AB857" s="13">
        <f t="shared" si="206"/>
        <v>0</v>
      </c>
      <c r="AC857" s="33"/>
      <c r="AD857" s="13">
        <f t="shared" si="202"/>
        <v>0</v>
      </c>
      <c r="AE857" s="13">
        <f>ROUNDUP(($AB857+$AD857)*VLOOKUP($Z857,Paraméterek!$P$38:$Q$38,2)/12,IF($D$4="Forint",0,2))</f>
        <v>0</v>
      </c>
      <c r="AF857" s="13">
        <f>IF($D$2="Egyszeri",IF($D$7&gt;=IF($D$4="Forint",Paraméterek!$P$223,Paraméterek!$P$224),$D$7-IF($D$4="Forint",Paraméterek!$F$223,Paraméterek!$F$224),0),MIN(IF($AA857=12,AVERAGE($D$20:$D857)*12,0),SUM($D$20:$D$31)))</f>
        <v>0</v>
      </c>
      <c r="AG857" s="13">
        <f>IF(AND($Z857&gt;=10,MOD($Z857,5)=0),$AF857*IF($AA857=12,VLOOKUP($Z857,Paraméterek!$B$225:$F$240,IF($AF857&lt;IF($D$4="Forint",Paraméterek!$C$223,Paraméterek!$C$224),2,IF($AF857&lt;IF($D$4="Forint",Paraméterek!$D$223,Paraméterek!$D$224),3,4))),0),0)</f>
        <v>0</v>
      </c>
      <c r="AH857" s="13">
        <f>IF(AND($Z857&gt;=5,MOD($Z857,5)=0),IF($AA857=12,VLOOKUP($Z857,Paraméterek!$B$225:$F$240,5),0),IF(OR($Z857=3,$Z857=4),IF($AA857=12,VLOOKUP($Z857,Paraméterek!$B$225:$F$240,5,0),0),0))*$AF857</f>
        <v>0</v>
      </c>
      <c r="AI857" s="13">
        <f>ROUNDDOWN(IF(SUM($T$20:$U857)=0,IF($D$2="Egyszeri",$AH857,$AG857),0),IF($D$4="Forint",0,2))</f>
        <v>0</v>
      </c>
      <c r="AJ857" s="13">
        <f t="shared" si="207"/>
        <v>0</v>
      </c>
      <c r="AK857" s="13">
        <f t="shared" si="208"/>
        <v>0</v>
      </c>
      <c r="AM857" s="32">
        <v>838</v>
      </c>
      <c r="AN857" s="32">
        <v>70</v>
      </c>
      <c r="AO857" s="32">
        <v>10</v>
      </c>
      <c r="AP857" s="13"/>
      <c r="AQ857" s="32"/>
      <c r="AR857" s="13">
        <f t="shared" si="209"/>
        <v>0</v>
      </c>
      <c r="AS857" s="33"/>
      <c r="AT857" s="13">
        <f t="shared" si="203"/>
        <v>0</v>
      </c>
      <c r="AU857" s="13">
        <f>ROUNDUP(($AR857+$AT857)*VLOOKUP($AN857,Paraméterek!$P$38:$Q$38,2)/12,IF($D$4="Forint",0,2))</f>
        <v>0</v>
      </c>
      <c r="AV857" s="13"/>
      <c r="AW857" s="13"/>
      <c r="AX857" s="13">
        <f>ROUNDUP(IF(SUM($AV857:$AW857)=0,0,IF(IF(ISBLANK($AW857),$AV857,$AW857)*Paraméterek!$J$112&lt;IF($D$4="Forint",Paraméterek!$J$113,Paraméterek!$K$113),IF($D$4="Forint",Paraméterek!$J$113,Paraméterek!$K$113),IF(IF(ISBLANK($AW857),$AV857,$AW857)*Paraméterek!$J$112&gt;IF($D$4="Forint",Paraméterek!$J$114,Paraméterek!$K$114),IF($D$4="Forint",Paraméterek!$J$114,Paraméterek!$K$114),IF(ISBLANK($AW857),$AV857,$AW857)*Paraméterek!$J$112))),IF($D$4="Forint",0,2))</f>
        <v>0</v>
      </c>
      <c r="AY857" s="13">
        <f>$AR857+$AT857-$AU857-IF(ROUNDDOWN(IF(ISBLANK($AW857),$AV857,$AW857),IF($D$4="Forint",0,2))&gt;$AR857+$AT857-$AU857-IF($D$4="Forint",Paraméterek!$J$114,Paraméterek!$K$114),0,ROUNDDOWN(IF(ISBLANK($AW857),$AV857,$AW857),IF($D$4="Forint",0,2))-$AX857)</f>
        <v>0</v>
      </c>
      <c r="AZ857" s="13">
        <f t="shared" si="204"/>
        <v>0</v>
      </c>
    </row>
    <row r="858" spans="1:52" x14ac:dyDescent="0.2">
      <c r="A858" s="32">
        <v>839</v>
      </c>
      <c r="B858" s="32">
        <v>70</v>
      </c>
      <c r="C858" s="32">
        <v>11</v>
      </c>
      <c r="D858" s="13">
        <f t="shared" si="195"/>
        <v>0</v>
      </c>
      <c r="E858" s="13"/>
      <c r="F858" s="13"/>
      <c r="G858" s="13"/>
      <c r="H858" s="13">
        <f t="shared" si="196"/>
        <v>0</v>
      </c>
      <c r="I858" s="13">
        <f t="shared" si="197"/>
        <v>0</v>
      </c>
      <c r="J858" s="13">
        <f t="shared" si="198"/>
        <v>0</v>
      </c>
      <c r="K858" s="13">
        <f>ROUNDUP(IF($D$2="Egyszeri",$D858,IF($D$2="Havi",SUM($D$20:$D$31),IF(MOD($C858,$M$1)-1=0,SUM($D$20:$D$31),0))/12*$M$1)*VLOOKUP($B858,Paraméterek!$B$27:$D$30,IF($D$2="Egyszeri",3,2)),IF($D$4="Forint",0,2))</f>
        <v>0</v>
      </c>
      <c r="L858" s="13">
        <f t="shared" si="199"/>
        <v>0</v>
      </c>
      <c r="M858" s="13">
        <f t="shared" ca="1" si="205"/>
        <v>-881522</v>
      </c>
      <c r="N858" s="13">
        <f ca="1">IF($V857&gt;=VLOOKUP($M$4-1+$B858,Paraméterek!$B$121:$D$122,IF($D$4="Forint",2,3)),0,VLOOKUP($M$4-1+$B858,Paraméterek!$B$121:$D$122,IF($D$4="Forint",2,3))-$V857)</f>
        <v>891522</v>
      </c>
      <c r="O858" s="13">
        <f ca="1">ROUNDUP($N858*Paraméterek!$C$58/Paraméterek!$C$56,IF($D$4="Forint",0,2))</f>
        <v>142</v>
      </c>
      <c r="P858" s="13">
        <f t="shared" si="200"/>
        <v>4228</v>
      </c>
      <c r="Q858" s="33"/>
      <c r="R858" s="13">
        <f t="shared" ca="1" si="201"/>
        <v>0</v>
      </c>
      <c r="S858" s="13">
        <f ca="1">ROUNDUP(($M858-$O858-$P858+$R858)*VLOOKUP($B858,Paraméterek!$B$38:$D$39,IF($D$2="Egyszeri",3,2))/12,IF($D$4="Forint",0,2))</f>
        <v>-2164</v>
      </c>
      <c r="T858" s="13"/>
      <c r="U858" s="13"/>
      <c r="V858" s="13">
        <f ca="1">$M858-$O858-$P858+$R858-$S858-IF(ROUNDUP(IF(ISBLANK($U858),$T858,$U858)/IF(AND($B858=1,$D$2&lt;&gt;"Egyszeri"),1,VLOOKUP($B858+IF($C858=12,1,0),Paraméterek!$B$257:$D$267,IF($D$2="Egyszeri",3,2))),IF($D$4="Forint",0,2))&gt;$M858-$O858-$P858+$R858-$S858-IF($D$4="Forint",Paraméterek!$C$216,Paraméterek!$D$216),0,ROUNDUP(IF(ISBLANK($U858),$T858,$U858)/IF(AND($B858=1,$D$2&lt;&gt;"Egyszeri"),1,VLOOKUP($B858+IF($C858=12,1,0),Paraméterek!$B$257:$D$267,IF($D$2="Egyszeri",3,2))),IF($D$4="Forint",0,2)))</f>
        <v>-883728</v>
      </c>
      <c r="W858" s="13">
        <f ca="1">ROUNDDOWN($V858*VLOOKUP($B858+IF($C858=12,1,0),Paraméterek!$B$257:$D$267,IF($D$2="Egyszeri",3,2)),IF($D$4="Forint",0,2))</f>
        <v>-883728</v>
      </c>
      <c r="Y858" s="32">
        <v>839</v>
      </c>
      <c r="Z858" s="32">
        <v>70</v>
      </c>
      <c r="AA858" s="32">
        <v>11</v>
      </c>
      <c r="AB858" s="13">
        <f t="shared" si="206"/>
        <v>0</v>
      </c>
      <c r="AC858" s="33"/>
      <c r="AD858" s="13">
        <f t="shared" si="202"/>
        <v>0</v>
      </c>
      <c r="AE858" s="13">
        <f>ROUNDUP(($AB858+$AD858)*VLOOKUP($Z858,Paraméterek!$P$38:$Q$38,2)/12,IF($D$4="Forint",0,2))</f>
        <v>0</v>
      </c>
      <c r="AF858" s="13">
        <f>IF($D$2="Egyszeri",IF($D$7&gt;=IF($D$4="Forint",Paraméterek!$P$223,Paraméterek!$P$224),$D$7-IF($D$4="Forint",Paraméterek!$F$223,Paraméterek!$F$224),0),MIN(IF($AA858=12,AVERAGE($D$20:$D858)*12,0),SUM($D$20:$D$31)))</f>
        <v>0</v>
      </c>
      <c r="AG858" s="13">
        <f>IF(AND($Z858&gt;=10,MOD($Z858,5)=0),$AF858*IF($AA858=12,VLOOKUP($Z858,Paraméterek!$B$225:$F$240,IF($AF858&lt;IF($D$4="Forint",Paraméterek!$C$223,Paraméterek!$C$224),2,IF($AF858&lt;IF($D$4="Forint",Paraméterek!$D$223,Paraméterek!$D$224),3,4))),0),0)</f>
        <v>0</v>
      </c>
      <c r="AH858" s="13">
        <f>IF(AND($Z858&gt;=5,MOD($Z858,5)=0),IF($AA858=12,VLOOKUP($Z858,Paraméterek!$B$225:$F$240,5),0),IF(OR($Z858=3,$Z858=4),IF($AA858=12,VLOOKUP($Z858,Paraméterek!$B$225:$F$240,5,0),0),0))*$AF858</f>
        <v>0</v>
      </c>
      <c r="AI858" s="13">
        <f>ROUNDDOWN(IF(SUM($T$20:$U858)=0,IF($D$2="Egyszeri",$AH858,$AG858),0),IF($D$4="Forint",0,2))</f>
        <v>0</v>
      </c>
      <c r="AJ858" s="13">
        <f t="shared" si="207"/>
        <v>0</v>
      </c>
      <c r="AK858" s="13">
        <f t="shared" si="208"/>
        <v>0</v>
      </c>
      <c r="AM858" s="32">
        <v>839</v>
      </c>
      <c r="AN858" s="32">
        <v>70</v>
      </c>
      <c r="AO858" s="32">
        <v>11</v>
      </c>
      <c r="AP858" s="13"/>
      <c r="AQ858" s="32"/>
      <c r="AR858" s="13">
        <f t="shared" si="209"/>
        <v>0</v>
      </c>
      <c r="AS858" s="33"/>
      <c r="AT858" s="13">
        <f t="shared" si="203"/>
        <v>0</v>
      </c>
      <c r="AU858" s="13">
        <f>ROUNDUP(($AR858+$AT858)*VLOOKUP($AN858,Paraméterek!$P$38:$Q$38,2)/12,IF($D$4="Forint",0,2))</f>
        <v>0</v>
      </c>
      <c r="AV858" s="13"/>
      <c r="AW858" s="13"/>
      <c r="AX858" s="13">
        <f>ROUNDUP(IF(SUM($AV858:$AW858)=0,0,IF(IF(ISBLANK($AW858),$AV858,$AW858)*Paraméterek!$J$112&lt;IF($D$4="Forint",Paraméterek!$J$113,Paraméterek!$K$113),IF($D$4="Forint",Paraméterek!$J$113,Paraméterek!$K$113),IF(IF(ISBLANK($AW858),$AV858,$AW858)*Paraméterek!$J$112&gt;IF($D$4="Forint",Paraméterek!$J$114,Paraméterek!$K$114),IF($D$4="Forint",Paraméterek!$J$114,Paraméterek!$K$114),IF(ISBLANK($AW858),$AV858,$AW858)*Paraméterek!$J$112))),IF($D$4="Forint",0,2))</f>
        <v>0</v>
      </c>
      <c r="AY858" s="13">
        <f>$AR858+$AT858-$AU858-IF(ROUNDDOWN(IF(ISBLANK($AW858),$AV858,$AW858),IF($D$4="Forint",0,2))&gt;$AR858+$AT858-$AU858-IF($D$4="Forint",Paraméterek!$J$114,Paraméterek!$K$114),0,ROUNDDOWN(IF(ISBLANK($AW858),$AV858,$AW858),IF($D$4="Forint",0,2))-$AX858)</f>
        <v>0</v>
      </c>
      <c r="AZ858" s="13">
        <f t="shared" si="204"/>
        <v>0</v>
      </c>
    </row>
    <row r="859" spans="1:52" x14ac:dyDescent="0.2">
      <c r="A859" s="32">
        <v>840</v>
      </c>
      <c r="B859" s="32">
        <v>70</v>
      </c>
      <c r="C859" s="32">
        <v>12</v>
      </c>
      <c r="D859" s="13">
        <f t="shared" si="195"/>
        <v>0</v>
      </c>
      <c r="E859" s="13"/>
      <c r="F859" s="13"/>
      <c r="G859" s="13"/>
      <c r="H859" s="13">
        <f t="shared" si="196"/>
        <v>0</v>
      </c>
      <c r="I859" s="13">
        <f t="shared" si="197"/>
        <v>0</v>
      </c>
      <c r="J859" s="13">
        <f t="shared" si="198"/>
        <v>0</v>
      </c>
      <c r="K859" s="13">
        <f>ROUNDUP(IF($D$2="Egyszeri",$D859,IF($D$2="Havi",SUM($D$20:$D$31),IF(MOD($C859,$M$1)-1=0,SUM($D$20:$D$31),0))/12*$M$1)*VLOOKUP($B859,Paraméterek!$B$27:$D$30,IF($D$2="Egyszeri",3,2)),IF($D$4="Forint",0,2))</f>
        <v>0</v>
      </c>
      <c r="L859" s="13">
        <f t="shared" si="199"/>
        <v>0</v>
      </c>
      <c r="M859" s="13">
        <f t="shared" ca="1" si="205"/>
        <v>-883728</v>
      </c>
      <c r="N859" s="13">
        <f ca="1">IF($V858&gt;=VLOOKUP($M$4-1+$B859,Paraméterek!$B$121:$D$122,IF($D$4="Forint",2,3)),0,VLOOKUP($M$4-1+$B859,Paraméterek!$B$121:$D$122,IF($D$4="Forint",2,3))-$V858)</f>
        <v>893728</v>
      </c>
      <c r="O859" s="13">
        <f ca="1">ROUNDUP($N859*Paraméterek!$C$58/Paraméterek!$C$56,IF($D$4="Forint",0,2))</f>
        <v>143</v>
      </c>
      <c r="P859" s="13">
        <f t="shared" si="200"/>
        <v>4228</v>
      </c>
      <c r="Q859" s="33"/>
      <c r="R859" s="13">
        <f t="shared" ca="1" si="201"/>
        <v>0</v>
      </c>
      <c r="S859" s="13">
        <f ca="1">ROUNDUP(($M859-$O859-$P859+$R859)*VLOOKUP($B859,Paraméterek!$B$38:$D$39,IF($D$2="Egyszeri",3,2))/12,IF($D$4="Forint",0,2))</f>
        <v>-2169</v>
      </c>
      <c r="T859" s="13">
        <f>Tranzakciók!$F$101</f>
        <v>0</v>
      </c>
      <c r="U859" s="13"/>
      <c r="V859" s="13">
        <f ca="1">$M859-$O859-$P859+$R859-$S859-IF(ROUNDUP(IF(ISBLANK($U859),$T859,$U859)/IF(AND($B859=1,$D$2&lt;&gt;"Egyszeri"),1,VLOOKUP($B859+IF($C859=12,1,0),Paraméterek!$B$257:$D$267,IF($D$2="Egyszeri",3,2))),IF($D$4="Forint",0,2))&gt;$M859-$O859-$P859+$R859-$S859-IF($D$4="Forint",Paraméterek!$C$216,Paraméterek!$D$216),0,ROUNDUP(IF(ISBLANK($U859),$T859,$U859)/IF(AND($B859=1,$D$2&lt;&gt;"Egyszeri"),1,VLOOKUP($B859+IF($C859=12,1,0),Paraméterek!$B$257:$D$267,IF($D$2="Egyszeri",3,2))),IF($D$4="Forint",0,2)))</f>
        <v>-885930</v>
      </c>
      <c r="W859" s="13">
        <f ca="1">ROUNDDOWN($V859*VLOOKUP($B859+IF($C859=12,1,0),Paraméterek!$B$257:$D$267,IF($D$2="Egyszeri",3,2)),IF($D$4="Forint",0,2))</f>
        <v>-885930</v>
      </c>
      <c r="Y859" s="32">
        <v>840</v>
      </c>
      <c r="Z859" s="32">
        <v>70</v>
      </c>
      <c r="AA859" s="32">
        <v>12</v>
      </c>
      <c r="AB859" s="13">
        <f t="shared" si="206"/>
        <v>0</v>
      </c>
      <c r="AC859" s="33"/>
      <c r="AD859" s="13">
        <f t="shared" si="202"/>
        <v>0</v>
      </c>
      <c r="AE859" s="13">
        <f>ROUNDUP(($AB859+$AD859)*VLOOKUP($Z859,Paraméterek!$P$38:$Q$38,2)/12,IF($D$4="Forint",0,2))</f>
        <v>0</v>
      </c>
      <c r="AF859" s="13">
        <f>IF($D$2="Egyszeri",IF($D$7&gt;=IF($D$4="Forint",Paraméterek!$P$223,Paraméterek!$P$224),$D$7-IF($D$4="Forint",Paraméterek!$F$223,Paraméterek!$F$224),0),MIN(IF($AA859=12,AVERAGE($D$20:$D859)*12,0),SUM($D$20:$D$31)))</f>
        <v>0</v>
      </c>
      <c r="AG859" s="13">
        <f>IF(AND($Z859&gt;=10,MOD($Z859,5)=0),$AF859*IF($AA859=12,VLOOKUP($Z859,Paraméterek!$B$225:$F$240,IF($AF859&lt;IF($D$4="Forint",Paraméterek!$C$223,Paraméterek!$C$224),2,IF($AF859&lt;IF($D$4="Forint",Paraméterek!$D$223,Paraméterek!$D$224),3,4))),0),0)</f>
        <v>0</v>
      </c>
      <c r="AH859" s="13">
        <f>IF(AND($Z859&gt;=5,MOD($Z859,5)=0),IF($AA859=12,VLOOKUP($Z859,Paraméterek!$B$225:$F$240,5),0),IF(OR($Z859=3,$Z859=4),IF($AA859=12,VLOOKUP($Z859,Paraméterek!$B$225:$F$240,5,0),0),0))*$AF859</f>
        <v>0</v>
      </c>
      <c r="AI859" s="13">
        <f>ROUNDDOWN(IF(SUM($T$20:$U859)=0,IF($D$2="Egyszeri",$AH859,$AG859),0),IF($D$4="Forint",0,2))</f>
        <v>0</v>
      </c>
      <c r="AJ859" s="13">
        <f t="shared" si="207"/>
        <v>0</v>
      </c>
      <c r="AK859" s="13">
        <f t="shared" si="208"/>
        <v>0</v>
      </c>
      <c r="AM859" s="32">
        <v>840</v>
      </c>
      <c r="AN859" s="32">
        <v>70</v>
      </c>
      <c r="AO859" s="32">
        <v>12</v>
      </c>
      <c r="AP859" s="13"/>
      <c r="AQ859" s="32"/>
      <c r="AR859" s="13">
        <f t="shared" si="209"/>
        <v>0</v>
      </c>
      <c r="AS859" s="33"/>
      <c r="AT859" s="13">
        <f t="shared" si="203"/>
        <v>0</v>
      </c>
      <c r="AU859" s="13">
        <f>ROUNDUP(($AR859+$AT859)*VLOOKUP($AN859,Paraméterek!$P$38:$Q$38,2)/12,IF($D$4="Forint",0,2))</f>
        <v>0</v>
      </c>
      <c r="AV859" s="13">
        <f>Tranzakciók!$M$101</f>
        <v>0</v>
      </c>
      <c r="AW859" s="13"/>
      <c r="AX859" s="13">
        <f>ROUNDUP(IF(SUM($AV859:$AW859)=0,0,IF(IF(ISBLANK($AW859),$AV859,$AW859)*Paraméterek!$J$112&lt;IF($D$4="Forint",Paraméterek!$J$113,Paraméterek!$K$113),IF($D$4="Forint",Paraméterek!$J$113,Paraméterek!$K$113),IF(IF(ISBLANK($AW859),$AV859,$AW859)*Paraméterek!$J$112&gt;IF($D$4="Forint",Paraméterek!$J$114,Paraméterek!$K$114),IF($D$4="Forint",Paraméterek!$J$114,Paraméterek!$K$114),IF(ISBLANK($AW859),$AV859,$AW859)*Paraméterek!$J$112))),IF($D$4="Forint",0,2))</f>
        <v>0</v>
      </c>
      <c r="AY859" s="13">
        <f>$AR859+$AT859-$AU859-IF(ROUNDDOWN(IF(ISBLANK($AW859),$AV859,$AW859),IF($D$4="Forint",0,2))&gt;$AR859+$AT859-$AU859-IF($D$4="Forint",Paraméterek!$J$114,Paraméterek!$K$114),0,ROUNDDOWN(IF(ISBLANK($AW859),$AV859,$AW859),IF($D$4="Forint",0,2))-$AX859)</f>
        <v>0</v>
      </c>
      <c r="AZ859" s="13">
        <f t="shared" si="204"/>
        <v>0</v>
      </c>
    </row>
    <row r="860" spans="1:52" x14ac:dyDescent="0.2">
      <c r="A860" s="32">
        <v>841</v>
      </c>
      <c r="B860" s="32">
        <v>71</v>
      </c>
      <c r="C860" s="32">
        <v>1</v>
      </c>
      <c r="D860" s="13">
        <f t="shared" si="195"/>
        <v>0</v>
      </c>
      <c r="E860" s="13"/>
      <c r="F860" s="13">
        <f>Tranzakciók!$D$102</f>
        <v>0</v>
      </c>
      <c r="G860" s="13"/>
      <c r="H860" s="13">
        <f t="shared" si="196"/>
        <v>0</v>
      </c>
      <c r="I860" s="13">
        <f t="shared" si="197"/>
        <v>792</v>
      </c>
      <c r="J860" s="13">
        <f t="shared" si="198"/>
        <v>792</v>
      </c>
      <c r="K860" s="13">
        <f>ROUNDUP(IF($D$2="Egyszeri",$D860,IF($D$2="Havi",SUM($D$20:$D$31),IF(MOD($C860,$M$1)-1=0,SUM($D$20:$D$31),0))/12*$M$1)*VLOOKUP($B860,Paraméterek!$B$27:$D$30,IF($D$2="Egyszeri",3,2)),IF($D$4="Forint",0,2))</f>
        <v>0</v>
      </c>
      <c r="L860" s="13">
        <f t="shared" si="199"/>
        <v>0</v>
      </c>
      <c r="M860" s="13">
        <f t="shared" ca="1" si="205"/>
        <v>-885930</v>
      </c>
      <c r="N860" s="13">
        <f ca="1">IF($V859&gt;=VLOOKUP($M$4-1+$B860,Paraméterek!$B$121:$D$122,IF($D$4="Forint",2,3)),0,VLOOKUP($M$4-1+$B860,Paraméterek!$B$121:$D$122,IF($D$4="Forint",2,3))-$V859)</f>
        <v>895930</v>
      </c>
      <c r="O860" s="13">
        <f ca="1">ROUNDUP($N860*Paraméterek!$C$58/Paraméterek!$C$56,IF($D$4="Forint",0,2))</f>
        <v>143</v>
      </c>
      <c r="P860" s="13">
        <f t="shared" si="200"/>
        <v>4355</v>
      </c>
      <c r="Q860" s="33"/>
      <c r="R860" s="13">
        <f t="shared" ca="1" si="201"/>
        <v>0</v>
      </c>
      <c r="S860" s="13">
        <f ca="1">ROUNDUP(($M860-$O860-$P860+$R860)*VLOOKUP($B860,Paraméterek!$B$38:$D$39,IF($D$2="Egyszeri",3,2))/12,IF($D$4="Forint",0,2))</f>
        <v>-2175</v>
      </c>
      <c r="T860" s="13"/>
      <c r="U860" s="13"/>
      <c r="V860" s="13">
        <f ca="1">$M860-$O860-$P860+$R860-$S860-IF(ROUNDUP(IF(ISBLANK($U860),$T860,$U860)/IF(AND($B860=1,$D$2&lt;&gt;"Egyszeri"),1,VLOOKUP($B860+IF($C860=12,1,0),Paraméterek!$B$257:$D$267,IF($D$2="Egyszeri",3,2))),IF($D$4="Forint",0,2))&gt;$M860-$O860-$P860+$R860-$S860-IF($D$4="Forint",Paraméterek!$C$216,Paraméterek!$D$216),0,ROUNDUP(IF(ISBLANK($U860),$T860,$U860)/IF(AND($B860=1,$D$2&lt;&gt;"Egyszeri"),1,VLOOKUP($B860+IF($C860=12,1,0),Paraméterek!$B$257:$D$267,IF($D$2="Egyszeri",3,2))),IF($D$4="Forint",0,2)))</f>
        <v>-888253</v>
      </c>
      <c r="W860" s="13">
        <f ca="1">ROUNDDOWN($V860*VLOOKUP($B860+IF($C860=12,1,0),Paraméterek!$B$257:$D$267,IF($D$2="Egyszeri",3,2)),IF($D$4="Forint",0,2))</f>
        <v>-888253</v>
      </c>
      <c r="Y860" s="32">
        <v>841</v>
      </c>
      <c r="Z860" s="32">
        <v>71</v>
      </c>
      <c r="AA860" s="32">
        <v>1</v>
      </c>
      <c r="AB860" s="13">
        <f t="shared" si="206"/>
        <v>0</v>
      </c>
      <c r="AC860" s="33"/>
      <c r="AD860" s="13">
        <f t="shared" si="202"/>
        <v>0</v>
      </c>
      <c r="AE860" s="13">
        <f>ROUNDUP(($AB860+$AD860)*VLOOKUP($Z860,Paraméterek!$P$38:$Q$38,2)/12,IF($D$4="Forint",0,2))</f>
        <v>0</v>
      </c>
      <c r="AF860" s="13">
        <f>IF($D$2="Egyszeri",IF($D$7&gt;=IF($D$4="Forint",Paraméterek!$P$223,Paraméterek!$P$224),$D$7-IF($D$4="Forint",Paraméterek!$F$223,Paraméterek!$F$224),0),MIN(IF($AA860=12,AVERAGE($D$20:$D860)*12,0),SUM($D$20:$D$31)))</f>
        <v>0</v>
      </c>
      <c r="AG860" s="13">
        <f>IF(AND($Z860&gt;=10,MOD($Z860,5)=0),$AF860*IF($AA860=12,VLOOKUP($Z860,Paraméterek!$B$225:$F$240,IF($AF860&lt;IF($D$4="Forint",Paraméterek!$C$223,Paraméterek!$C$224),2,IF($AF860&lt;IF($D$4="Forint",Paraméterek!$D$223,Paraméterek!$D$224),3,4))),0),0)</f>
        <v>0</v>
      </c>
      <c r="AH860" s="13">
        <f>IF(AND($Z860&gt;=5,MOD($Z860,5)=0),IF($AA860=12,VLOOKUP($Z860,Paraméterek!$B$225:$F$240,5),0),IF(OR($Z860=3,$Z860=4),IF($AA860=12,VLOOKUP($Z860,Paraméterek!$B$225:$F$240,5,0),0),0))*$AF860</f>
        <v>0</v>
      </c>
      <c r="AI860" s="13">
        <f>ROUNDDOWN(IF(SUM($T$20:$U860)=0,IF($D$2="Egyszeri",$AH860,$AG860),0),IF($D$4="Forint",0,2))</f>
        <v>0</v>
      </c>
      <c r="AJ860" s="13">
        <f t="shared" si="207"/>
        <v>0</v>
      </c>
      <c r="AK860" s="13">
        <f t="shared" si="208"/>
        <v>0</v>
      </c>
      <c r="AM860" s="32">
        <v>841</v>
      </c>
      <c r="AN860" s="32">
        <v>71</v>
      </c>
      <c r="AO860" s="32">
        <v>1</v>
      </c>
      <c r="AP860" s="13">
        <f>Tranzakciók!$K$102</f>
        <v>0</v>
      </c>
      <c r="AQ860" s="32"/>
      <c r="AR860" s="13">
        <f t="shared" si="209"/>
        <v>0</v>
      </c>
      <c r="AS860" s="33"/>
      <c r="AT860" s="13">
        <f t="shared" si="203"/>
        <v>0</v>
      </c>
      <c r="AU860" s="13">
        <f>ROUNDUP(($AR860+$AT860)*VLOOKUP($AN860,Paraméterek!$P$38:$Q$38,2)/12,IF($D$4="Forint",0,2))</f>
        <v>0</v>
      </c>
      <c r="AV860" s="13"/>
      <c r="AW860" s="13"/>
      <c r="AX860" s="13">
        <f>ROUNDUP(IF(SUM($AV860:$AW860)=0,0,IF(IF(ISBLANK($AW860),$AV860,$AW860)*Paraméterek!$J$112&lt;IF($D$4="Forint",Paraméterek!$J$113,Paraméterek!$K$113),IF($D$4="Forint",Paraméterek!$J$113,Paraméterek!$K$113),IF(IF(ISBLANK($AW860),$AV860,$AW860)*Paraméterek!$J$112&gt;IF($D$4="Forint",Paraméterek!$J$114,Paraméterek!$K$114),IF($D$4="Forint",Paraméterek!$J$114,Paraméterek!$K$114),IF(ISBLANK($AW860),$AV860,$AW860)*Paraméterek!$J$112))),IF($D$4="Forint",0,2))</f>
        <v>0</v>
      </c>
      <c r="AY860" s="13">
        <f>$AR860+$AT860-$AU860-IF(ROUNDDOWN(IF(ISBLANK($AW860),$AV860,$AW860),IF($D$4="Forint",0,2))&gt;$AR860+$AT860-$AU860-IF($D$4="Forint",Paraméterek!$J$114,Paraméterek!$K$114),0,ROUNDDOWN(IF(ISBLANK($AW860),$AV860,$AW860),IF($D$4="Forint",0,2))-$AX860)</f>
        <v>0</v>
      </c>
      <c r="AZ860" s="13">
        <f t="shared" si="204"/>
        <v>0</v>
      </c>
    </row>
    <row r="861" spans="1:52" x14ac:dyDescent="0.2">
      <c r="A861" s="32">
        <v>842</v>
      </c>
      <c r="B861" s="32">
        <v>71</v>
      </c>
      <c r="C861" s="32">
        <v>2</v>
      </c>
      <c r="D861" s="13">
        <f t="shared" si="195"/>
        <v>0</v>
      </c>
      <c r="E861" s="13"/>
      <c r="F861" s="13"/>
      <c r="G861" s="13"/>
      <c r="H861" s="13">
        <f t="shared" si="196"/>
        <v>0</v>
      </c>
      <c r="I861" s="13">
        <f t="shared" si="197"/>
        <v>0</v>
      </c>
      <c r="J861" s="13">
        <f t="shared" si="198"/>
        <v>0</v>
      </c>
      <c r="K861" s="13">
        <f>ROUNDUP(IF($D$2="Egyszeri",$D861,IF($D$2="Havi",SUM($D$20:$D$31),IF(MOD($C861,$M$1)-1=0,SUM($D$20:$D$31),0))/12*$M$1)*VLOOKUP($B861,Paraméterek!$B$27:$D$30,IF($D$2="Egyszeri",3,2)),IF($D$4="Forint",0,2))</f>
        <v>0</v>
      </c>
      <c r="L861" s="13">
        <f t="shared" si="199"/>
        <v>0</v>
      </c>
      <c r="M861" s="13">
        <f t="shared" ca="1" si="205"/>
        <v>-888253</v>
      </c>
      <c r="N861" s="13">
        <f ca="1">IF($V860&gt;=VLOOKUP($M$4-1+$B861,Paraméterek!$B$121:$D$122,IF($D$4="Forint",2,3)),0,VLOOKUP($M$4-1+$B861,Paraméterek!$B$121:$D$122,IF($D$4="Forint",2,3))-$V860)</f>
        <v>898253</v>
      </c>
      <c r="O861" s="13">
        <f ca="1">ROUNDUP($N861*Paraméterek!$C$58/Paraméterek!$C$56,IF($D$4="Forint",0,2))</f>
        <v>143</v>
      </c>
      <c r="P861" s="13">
        <f t="shared" si="200"/>
        <v>4355</v>
      </c>
      <c r="Q861" s="33"/>
      <c r="R861" s="13">
        <f t="shared" ca="1" si="201"/>
        <v>0</v>
      </c>
      <c r="S861" s="13">
        <f ca="1">ROUNDUP(($M861-$O861-$P861+$R861)*VLOOKUP($B861,Paraméterek!$B$38:$D$39,IF($D$2="Egyszeri",3,2))/12,IF($D$4="Forint",0,2))</f>
        <v>-2180</v>
      </c>
      <c r="T861" s="13"/>
      <c r="U861" s="13"/>
      <c r="V861" s="13">
        <f ca="1">$M861-$O861-$P861+$R861-$S861-IF(ROUNDUP(IF(ISBLANK($U861),$T861,$U861)/IF(AND($B861=1,$D$2&lt;&gt;"Egyszeri"),1,VLOOKUP($B861+IF($C861=12,1,0),Paraméterek!$B$257:$D$267,IF($D$2="Egyszeri",3,2))),IF($D$4="Forint",0,2))&gt;$M861-$O861-$P861+$R861-$S861-IF($D$4="Forint",Paraméterek!$C$216,Paraméterek!$D$216),0,ROUNDUP(IF(ISBLANK($U861),$T861,$U861)/IF(AND($B861=1,$D$2&lt;&gt;"Egyszeri"),1,VLOOKUP($B861+IF($C861=12,1,0),Paraméterek!$B$257:$D$267,IF($D$2="Egyszeri",3,2))),IF($D$4="Forint",0,2)))</f>
        <v>-890571</v>
      </c>
      <c r="W861" s="13">
        <f ca="1">ROUNDDOWN($V861*VLOOKUP($B861+IF($C861=12,1,0),Paraméterek!$B$257:$D$267,IF($D$2="Egyszeri",3,2)),IF($D$4="Forint",0,2))</f>
        <v>-890571</v>
      </c>
      <c r="Y861" s="32">
        <v>842</v>
      </c>
      <c r="Z861" s="32">
        <v>71</v>
      </c>
      <c r="AA861" s="32">
        <v>2</v>
      </c>
      <c r="AB861" s="13">
        <f t="shared" si="206"/>
        <v>0</v>
      </c>
      <c r="AC861" s="33"/>
      <c r="AD861" s="13">
        <f t="shared" si="202"/>
        <v>0</v>
      </c>
      <c r="AE861" s="13">
        <f>ROUNDUP(($AB861+$AD861)*VLOOKUP($Z861,Paraméterek!$P$38:$Q$38,2)/12,IF($D$4="Forint",0,2))</f>
        <v>0</v>
      </c>
      <c r="AF861" s="13">
        <f>IF($D$2="Egyszeri",IF($D$7&gt;=IF($D$4="Forint",Paraméterek!$P$223,Paraméterek!$P$224),$D$7-IF($D$4="Forint",Paraméterek!$F$223,Paraméterek!$F$224),0),MIN(IF($AA861=12,AVERAGE($D$20:$D861)*12,0),SUM($D$20:$D$31)))</f>
        <v>0</v>
      </c>
      <c r="AG861" s="13">
        <f>IF(AND($Z861&gt;=10,MOD($Z861,5)=0),$AF861*IF($AA861=12,VLOOKUP($Z861,Paraméterek!$B$225:$F$240,IF($AF861&lt;IF($D$4="Forint",Paraméterek!$C$223,Paraméterek!$C$224),2,IF($AF861&lt;IF($D$4="Forint",Paraméterek!$D$223,Paraméterek!$D$224),3,4))),0),0)</f>
        <v>0</v>
      </c>
      <c r="AH861" s="13">
        <f>IF(AND($Z861&gt;=5,MOD($Z861,5)=0),IF($AA861=12,VLOOKUP($Z861,Paraméterek!$B$225:$F$240,5),0),IF(OR($Z861=3,$Z861=4),IF($AA861=12,VLOOKUP($Z861,Paraméterek!$B$225:$F$240,5,0),0),0))*$AF861</f>
        <v>0</v>
      </c>
      <c r="AI861" s="13">
        <f>ROUNDDOWN(IF(SUM($T$20:$U861)=0,IF($D$2="Egyszeri",$AH861,$AG861),0),IF($D$4="Forint",0,2))</f>
        <v>0</v>
      </c>
      <c r="AJ861" s="13">
        <f t="shared" si="207"/>
        <v>0</v>
      </c>
      <c r="AK861" s="13">
        <f t="shared" si="208"/>
        <v>0</v>
      </c>
      <c r="AM861" s="32">
        <v>842</v>
      </c>
      <c r="AN861" s="32">
        <v>71</v>
      </c>
      <c r="AO861" s="32">
        <v>2</v>
      </c>
      <c r="AP861" s="13"/>
      <c r="AQ861" s="32"/>
      <c r="AR861" s="13">
        <f t="shared" si="209"/>
        <v>0</v>
      </c>
      <c r="AS861" s="33"/>
      <c r="AT861" s="13">
        <f t="shared" si="203"/>
        <v>0</v>
      </c>
      <c r="AU861" s="13">
        <f>ROUNDUP(($AR861+$AT861)*VLOOKUP($AN861,Paraméterek!$P$38:$Q$38,2)/12,IF($D$4="Forint",0,2))</f>
        <v>0</v>
      </c>
      <c r="AV861" s="13"/>
      <c r="AW861" s="13"/>
      <c r="AX861" s="13">
        <f>ROUNDUP(IF(SUM($AV861:$AW861)=0,0,IF(IF(ISBLANK($AW861),$AV861,$AW861)*Paraméterek!$J$112&lt;IF($D$4="Forint",Paraméterek!$J$113,Paraméterek!$K$113),IF($D$4="Forint",Paraméterek!$J$113,Paraméterek!$K$113),IF(IF(ISBLANK($AW861),$AV861,$AW861)*Paraméterek!$J$112&gt;IF($D$4="Forint",Paraméterek!$J$114,Paraméterek!$K$114),IF($D$4="Forint",Paraméterek!$J$114,Paraméterek!$K$114),IF(ISBLANK($AW861),$AV861,$AW861)*Paraméterek!$J$112))),IF($D$4="Forint",0,2))</f>
        <v>0</v>
      </c>
      <c r="AY861" s="13">
        <f>$AR861+$AT861-$AU861-IF(ROUNDDOWN(IF(ISBLANK($AW861),$AV861,$AW861),IF($D$4="Forint",0,2))&gt;$AR861+$AT861-$AU861-IF($D$4="Forint",Paraméterek!$J$114,Paraméterek!$K$114),0,ROUNDDOWN(IF(ISBLANK($AW861),$AV861,$AW861),IF($D$4="Forint",0,2))-$AX861)</f>
        <v>0</v>
      </c>
      <c r="AZ861" s="13">
        <f t="shared" si="204"/>
        <v>0</v>
      </c>
    </row>
    <row r="862" spans="1:52" x14ac:dyDescent="0.2">
      <c r="A862" s="32">
        <v>843</v>
      </c>
      <c r="B862" s="32">
        <v>71</v>
      </c>
      <c r="C862" s="32">
        <v>3</v>
      </c>
      <c r="D862" s="13">
        <f t="shared" si="195"/>
        <v>0</v>
      </c>
      <c r="E862" s="13"/>
      <c r="F862" s="13"/>
      <c r="G862" s="13"/>
      <c r="H862" s="13">
        <f t="shared" si="196"/>
        <v>0</v>
      </c>
      <c r="I862" s="13">
        <f t="shared" si="197"/>
        <v>0</v>
      </c>
      <c r="J862" s="13">
        <f t="shared" si="198"/>
        <v>0</v>
      </c>
      <c r="K862" s="13">
        <f>ROUNDUP(IF($D$2="Egyszeri",$D862,IF($D$2="Havi",SUM($D$20:$D$31),IF(MOD($C862,$M$1)-1=0,SUM($D$20:$D$31),0))/12*$M$1)*VLOOKUP($B862,Paraméterek!$B$27:$D$30,IF($D$2="Egyszeri",3,2)),IF($D$4="Forint",0,2))</f>
        <v>0</v>
      </c>
      <c r="L862" s="13">
        <f t="shared" si="199"/>
        <v>0</v>
      </c>
      <c r="M862" s="13">
        <f t="shared" ca="1" si="205"/>
        <v>-890571</v>
      </c>
      <c r="N862" s="13">
        <f ca="1">IF($V861&gt;=VLOOKUP($M$4-1+$B862,Paraméterek!$B$121:$D$122,IF($D$4="Forint",2,3)),0,VLOOKUP($M$4-1+$B862,Paraméterek!$B$121:$D$122,IF($D$4="Forint",2,3))-$V861)</f>
        <v>900571</v>
      </c>
      <c r="O862" s="13">
        <f ca="1">ROUNDUP($N862*Paraméterek!$C$58/Paraméterek!$C$56,IF($D$4="Forint",0,2))</f>
        <v>144</v>
      </c>
      <c r="P862" s="13">
        <f t="shared" si="200"/>
        <v>4355</v>
      </c>
      <c r="Q862" s="33"/>
      <c r="R862" s="13">
        <f t="shared" ca="1" si="201"/>
        <v>0</v>
      </c>
      <c r="S862" s="13">
        <f ca="1">ROUNDUP(($M862-$O862-$P862+$R862)*VLOOKUP($B862,Paraméterek!$B$38:$D$39,IF($D$2="Egyszeri",3,2))/12,IF($D$4="Forint",0,2))</f>
        <v>-2186</v>
      </c>
      <c r="T862" s="13"/>
      <c r="U862" s="13"/>
      <c r="V862" s="13">
        <f ca="1">$M862-$O862-$P862+$R862-$S862-IF(ROUNDUP(IF(ISBLANK($U862),$T862,$U862)/IF(AND($B862=1,$D$2&lt;&gt;"Egyszeri"),1,VLOOKUP($B862+IF($C862=12,1,0),Paraméterek!$B$257:$D$267,IF($D$2="Egyszeri",3,2))),IF($D$4="Forint",0,2))&gt;$M862-$O862-$P862+$R862-$S862-IF($D$4="Forint",Paraméterek!$C$216,Paraméterek!$D$216),0,ROUNDUP(IF(ISBLANK($U862),$T862,$U862)/IF(AND($B862=1,$D$2&lt;&gt;"Egyszeri"),1,VLOOKUP($B862+IF($C862=12,1,0),Paraméterek!$B$257:$D$267,IF($D$2="Egyszeri",3,2))),IF($D$4="Forint",0,2)))</f>
        <v>-892884</v>
      </c>
      <c r="W862" s="13">
        <f ca="1">ROUNDDOWN($V862*VLOOKUP($B862+IF($C862=12,1,0),Paraméterek!$B$257:$D$267,IF($D$2="Egyszeri",3,2)),IF($D$4="Forint",0,2))</f>
        <v>-892884</v>
      </c>
      <c r="Y862" s="32">
        <v>843</v>
      </c>
      <c r="Z862" s="32">
        <v>71</v>
      </c>
      <c r="AA862" s="32">
        <v>3</v>
      </c>
      <c r="AB862" s="13">
        <f t="shared" si="206"/>
        <v>0</v>
      </c>
      <c r="AC862" s="33"/>
      <c r="AD862" s="13">
        <f t="shared" si="202"/>
        <v>0</v>
      </c>
      <c r="AE862" s="13">
        <f>ROUNDUP(($AB862+$AD862)*VLOOKUP($Z862,Paraméterek!$P$38:$Q$38,2)/12,IF($D$4="Forint",0,2))</f>
        <v>0</v>
      </c>
      <c r="AF862" s="13">
        <f>IF($D$2="Egyszeri",IF($D$7&gt;=IF($D$4="Forint",Paraméterek!$P$223,Paraméterek!$P$224),$D$7-IF($D$4="Forint",Paraméterek!$F$223,Paraméterek!$F$224),0),MIN(IF($AA862=12,AVERAGE($D$20:$D862)*12,0),SUM($D$20:$D$31)))</f>
        <v>0</v>
      </c>
      <c r="AG862" s="13">
        <f>IF(AND($Z862&gt;=10,MOD($Z862,5)=0),$AF862*IF($AA862=12,VLOOKUP($Z862,Paraméterek!$B$225:$F$240,IF($AF862&lt;IF($D$4="Forint",Paraméterek!$C$223,Paraméterek!$C$224),2,IF($AF862&lt;IF($D$4="Forint",Paraméterek!$D$223,Paraméterek!$D$224),3,4))),0),0)</f>
        <v>0</v>
      </c>
      <c r="AH862" s="13">
        <f>IF(AND($Z862&gt;=5,MOD($Z862,5)=0),IF($AA862=12,VLOOKUP($Z862,Paraméterek!$B$225:$F$240,5),0),IF(OR($Z862=3,$Z862=4),IF($AA862=12,VLOOKUP($Z862,Paraméterek!$B$225:$F$240,5,0),0),0))*$AF862</f>
        <v>0</v>
      </c>
      <c r="AI862" s="13">
        <f>ROUNDDOWN(IF(SUM($T$20:$U862)=0,IF($D$2="Egyszeri",$AH862,$AG862),0),IF($D$4="Forint",0,2))</f>
        <v>0</v>
      </c>
      <c r="AJ862" s="13">
        <f t="shared" si="207"/>
        <v>0</v>
      </c>
      <c r="AK862" s="13">
        <f t="shared" si="208"/>
        <v>0</v>
      </c>
      <c r="AM862" s="32">
        <v>843</v>
      </c>
      <c r="AN862" s="32">
        <v>71</v>
      </c>
      <c r="AO862" s="32">
        <v>3</v>
      </c>
      <c r="AP862" s="13"/>
      <c r="AQ862" s="32"/>
      <c r="AR862" s="13">
        <f t="shared" si="209"/>
        <v>0</v>
      </c>
      <c r="AS862" s="33"/>
      <c r="AT862" s="13">
        <f t="shared" si="203"/>
        <v>0</v>
      </c>
      <c r="AU862" s="13">
        <f>ROUNDUP(($AR862+$AT862)*VLOOKUP($AN862,Paraméterek!$P$38:$Q$38,2)/12,IF($D$4="Forint",0,2))</f>
        <v>0</v>
      </c>
      <c r="AV862" s="13"/>
      <c r="AW862" s="13"/>
      <c r="AX862" s="13">
        <f>ROUNDUP(IF(SUM($AV862:$AW862)=0,0,IF(IF(ISBLANK($AW862),$AV862,$AW862)*Paraméterek!$J$112&lt;IF($D$4="Forint",Paraméterek!$J$113,Paraméterek!$K$113),IF($D$4="Forint",Paraméterek!$J$113,Paraméterek!$K$113),IF(IF(ISBLANK($AW862),$AV862,$AW862)*Paraméterek!$J$112&gt;IF($D$4="Forint",Paraméterek!$J$114,Paraméterek!$K$114),IF($D$4="Forint",Paraméterek!$J$114,Paraméterek!$K$114),IF(ISBLANK($AW862),$AV862,$AW862)*Paraméterek!$J$112))),IF($D$4="Forint",0,2))</f>
        <v>0</v>
      </c>
      <c r="AY862" s="13">
        <f>$AR862+$AT862-$AU862-IF(ROUNDDOWN(IF(ISBLANK($AW862),$AV862,$AW862),IF($D$4="Forint",0,2))&gt;$AR862+$AT862-$AU862-IF($D$4="Forint",Paraméterek!$J$114,Paraméterek!$K$114),0,ROUNDDOWN(IF(ISBLANK($AW862),$AV862,$AW862),IF($D$4="Forint",0,2))-$AX862)</f>
        <v>0</v>
      </c>
      <c r="AZ862" s="13">
        <f t="shared" si="204"/>
        <v>0</v>
      </c>
    </row>
    <row r="863" spans="1:52" x14ac:dyDescent="0.2">
      <c r="A863" s="32">
        <v>844</v>
      </c>
      <c r="B863" s="32">
        <v>71</v>
      </c>
      <c r="C863" s="32">
        <v>4</v>
      </c>
      <c r="D863" s="13">
        <f t="shared" si="195"/>
        <v>0</v>
      </c>
      <c r="E863" s="13"/>
      <c r="F863" s="13"/>
      <c r="G863" s="13"/>
      <c r="H863" s="13">
        <f t="shared" si="196"/>
        <v>0</v>
      </c>
      <c r="I863" s="13">
        <f t="shared" si="197"/>
        <v>0</v>
      </c>
      <c r="J863" s="13">
        <f t="shared" si="198"/>
        <v>0</v>
      </c>
      <c r="K863" s="13">
        <f>ROUNDUP(IF($D$2="Egyszeri",$D863,IF($D$2="Havi",SUM($D$20:$D$31),IF(MOD($C863,$M$1)-1=0,SUM($D$20:$D$31),0))/12*$M$1)*VLOOKUP($B863,Paraméterek!$B$27:$D$30,IF($D$2="Egyszeri",3,2)),IF($D$4="Forint",0,2))</f>
        <v>0</v>
      </c>
      <c r="L863" s="13">
        <f t="shared" si="199"/>
        <v>0</v>
      </c>
      <c r="M863" s="13">
        <f t="shared" ca="1" si="205"/>
        <v>-892884</v>
      </c>
      <c r="N863" s="13">
        <f ca="1">IF($V862&gt;=VLOOKUP($M$4-1+$B863,Paraméterek!$B$121:$D$122,IF($D$4="Forint",2,3)),0,VLOOKUP($M$4-1+$B863,Paraméterek!$B$121:$D$122,IF($D$4="Forint",2,3))-$V862)</f>
        <v>902884</v>
      </c>
      <c r="O863" s="13">
        <f ca="1">ROUNDUP($N863*Paraméterek!$C$58/Paraméterek!$C$56,IF($D$4="Forint",0,2))</f>
        <v>144</v>
      </c>
      <c r="P863" s="13">
        <f t="shared" si="200"/>
        <v>4355</v>
      </c>
      <c r="Q863" s="33"/>
      <c r="R863" s="13">
        <f t="shared" ca="1" si="201"/>
        <v>0</v>
      </c>
      <c r="S863" s="13">
        <f ca="1">ROUNDUP(($M863-$O863-$P863+$R863)*VLOOKUP($B863,Paraméterek!$B$38:$D$39,IF($D$2="Egyszeri",3,2))/12,IF($D$4="Forint",0,2))</f>
        <v>-2192</v>
      </c>
      <c r="T863" s="13"/>
      <c r="U863" s="13"/>
      <c r="V863" s="13">
        <f ca="1">$M863-$O863-$P863+$R863-$S863-IF(ROUNDUP(IF(ISBLANK($U863),$T863,$U863)/IF(AND($B863=1,$D$2&lt;&gt;"Egyszeri"),1,VLOOKUP($B863+IF($C863=12,1,0),Paraméterek!$B$257:$D$267,IF($D$2="Egyszeri",3,2))),IF($D$4="Forint",0,2))&gt;$M863-$O863-$P863+$R863-$S863-IF($D$4="Forint",Paraméterek!$C$216,Paraméterek!$D$216),0,ROUNDUP(IF(ISBLANK($U863),$T863,$U863)/IF(AND($B863=1,$D$2&lt;&gt;"Egyszeri"),1,VLOOKUP($B863+IF($C863=12,1,0),Paraméterek!$B$257:$D$267,IF($D$2="Egyszeri",3,2))),IF($D$4="Forint",0,2)))</f>
        <v>-895191</v>
      </c>
      <c r="W863" s="13">
        <f ca="1">ROUNDDOWN($V863*VLOOKUP($B863+IF($C863=12,1,0),Paraméterek!$B$257:$D$267,IF($D$2="Egyszeri",3,2)),IF($D$4="Forint",0,2))</f>
        <v>-895191</v>
      </c>
      <c r="Y863" s="32">
        <v>844</v>
      </c>
      <c r="Z863" s="32">
        <v>71</v>
      </c>
      <c r="AA863" s="32">
        <v>4</v>
      </c>
      <c r="AB863" s="13">
        <f t="shared" si="206"/>
        <v>0</v>
      </c>
      <c r="AC863" s="33"/>
      <c r="AD863" s="13">
        <f t="shared" si="202"/>
        <v>0</v>
      </c>
      <c r="AE863" s="13">
        <f>ROUNDUP(($AB863+$AD863)*VLOOKUP($Z863,Paraméterek!$P$38:$Q$38,2)/12,IF($D$4="Forint",0,2))</f>
        <v>0</v>
      </c>
      <c r="AF863" s="13">
        <f>IF($D$2="Egyszeri",IF($D$7&gt;=IF($D$4="Forint",Paraméterek!$P$223,Paraméterek!$P$224),$D$7-IF($D$4="Forint",Paraméterek!$F$223,Paraméterek!$F$224),0),MIN(IF($AA863=12,AVERAGE($D$20:$D863)*12,0),SUM($D$20:$D$31)))</f>
        <v>0</v>
      </c>
      <c r="AG863" s="13">
        <f>IF(AND($Z863&gt;=10,MOD($Z863,5)=0),$AF863*IF($AA863=12,VLOOKUP($Z863,Paraméterek!$B$225:$F$240,IF($AF863&lt;IF($D$4="Forint",Paraméterek!$C$223,Paraméterek!$C$224),2,IF($AF863&lt;IF($D$4="Forint",Paraméterek!$D$223,Paraméterek!$D$224),3,4))),0),0)</f>
        <v>0</v>
      </c>
      <c r="AH863" s="13">
        <f>IF(AND($Z863&gt;=5,MOD($Z863,5)=0),IF($AA863=12,VLOOKUP($Z863,Paraméterek!$B$225:$F$240,5),0),IF(OR($Z863=3,$Z863=4),IF($AA863=12,VLOOKUP($Z863,Paraméterek!$B$225:$F$240,5,0),0),0))*$AF863</f>
        <v>0</v>
      </c>
      <c r="AI863" s="13">
        <f>ROUNDDOWN(IF(SUM($T$20:$U863)=0,IF($D$2="Egyszeri",$AH863,$AG863),0),IF($D$4="Forint",0,2))</f>
        <v>0</v>
      </c>
      <c r="AJ863" s="13">
        <f t="shared" si="207"/>
        <v>0</v>
      </c>
      <c r="AK863" s="13">
        <f t="shared" si="208"/>
        <v>0</v>
      </c>
      <c r="AM863" s="32">
        <v>844</v>
      </c>
      <c r="AN863" s="32">
        <v>71</v>
      </c>
      <c r="AO863" s="32">
        <v>4</v>
      </c>
      <c r="AP863" s="13"/>
      <c r="AQ863" s="32"/>
      <c r="AR863" s="13">
        <f t="shared" si="209"/>
        <v>0</v>
      </c>
      <c r="AS863" s="33"/>
      <c r="AT863" s="13">
        <f t="shared" si="203"/>
        <v>0</v>
      </c>
      <c r="AU863" s="13">
        <f>ROUNDUP(($AR863+$AT863)*VLOOKUP($AN863,Paraméterek!$P$38:$Q$38,2)/12,IF($D$4="Forint",0,2))</f>
        <v>0</v>
      </c>
      <c r="AV863" s="13"/>
      <c r="AW863" s="13"/>
      <c r="AX863" s="13">
        <f>ROUNDUP(IF(SUM($AV863:$AW863)=0,0,IF(IF(ISBLANK($AW863),$AV863,$AW863)*Paraméterek!$J$112&lt;IF($D$4="Forint",Paraméterek!$J$113,Paraméterek!$K$113),IF($D$4="Forint",Paraméterek!$J$113,Paraméterek!$K$113),IF(IF(ISBLANK($AW863),$AV863,$AW863)*Paraméterek!$J$112&gt;IF($D$4="Forint",Paraméterek!$J$114,Paraméterek!$K$114),IF($D$4="Forint",Paraméterek!$J$114,Paraméterek!$K$114),IF(ISBLANK($AW863),$AV863,$AW863)*Paraméterek!$J$112))),IF($D$4="Forint",0,2))</f>
        <v>0</v>
      </c>
      <c r="AY863" s="13">
        <f>$AR863+$AT863-$AU863-IF(ROUNDDOWN(IF(ISBLANK($AW863),$AV863,$AW863),IF($D$4="Forint",0,2))&gt;$AR863+$AT863-$AU863-IF($D$4="Forint",Paraméterek!$J$114,Paraméterek!$K$114),0,ROUNDDOWN(IF(ISBLANK($AW863),$AV863,$AW863),IF($D$4="Forint",0,2))-$AX863)</f>
        <v>0</v>
      </c>
      <c r="AZ863" s="13">
        <f t="shared" si="204"/>
        <v>0</v>
      </c>
    </row>
    <row r="864" spans="1:52" x14ac:dyDescent="0.2">
      <c r="A864" s="32">
        <v>845</v>
      </c>
      <c r="B864" s="32">
        <v>71</v>
      </c>
      <c r="C864" s="32">
        <v>5</v>
      </c>
      <c r="D864" s="13">
        <f t="shared" si="195"/>
        <v>0</v>
      </c>
      <c r="E864" s="13"/>
      <c r="F864" s="13"/>
      <c r="G864" s="13"/>
      <c r="H864" s="13">
        <f t="shared" si="196"/>
        <v>0</v>
      </c>
      <c r="I864" s="13">
        <f t="shared" si="197"/>
        <v>0</v>
      </c>
      <c r="J864" s="13">
        <f t="shared" si="198"/>
        <v>0</v>
      </c>
      <c r="K864" s="13">
        <f>ROUNDUP(IF($D$2="Egyszeri",$D864,IF($D$2="Havi",SUM($D$20:$D$31),IF(MOD($C864,$M$1)-1=0,SUM($D$20:$D$31),0))/12*$M$1)*VLOOKUP($B864,Paraméterek!$B$27:$D$30,IF($D$2="Egyszeri",3,2)),IF($D$4="Forint",0,2))</f>
        <v>0</v>
      </c>
      <c r="L864" s="13">
        <f t="shared" si="199"/>
        <v>0</v>
      </c>
      <c r="M864" s="13">
        <f t="shared" ca="1" si="205"/>
        <v>-895191</v>
      </c>
      <c r="N864" s="13">
        <f ca="1">IF($V863&gt;=VLOOKUP($M$4-1+$B864,Paraméterek!$B$121:$D$122,IF($D$4="Forint",2,3)),0,VLOOKUP($M$4-1+$B864,Paraméterek!$B$121:$D$122,IF($D$4="Forint",2,3))-$V863)</f>
        <v>905191</v>
      </c>
      <c r="O864" s="13">
        <f ca="1">ROUNDUP($N864*Paraméterek!$C$58/Paraméterek!$C$56,IF($D$4="Forint",0,2))</f>
        <v>145</v>
      </c>
      <c r="P864" s="13">
        <f t="shared" si="200"/>
        <v>4355</v>
      </c>
      <c r="Q864" s="33"/>
      <c r="R864" s="13">
        <f t="shared" ca="1" si="201"/>
        <v>0</v>
      </c>
      <c r="S864" s="13">
        <f ca="1">ROUNDUP(($M864-$O864-$P864+$R864)*VLOOKUP($B864,Paraméterek!$B$38:$D$39,IF($D$2="Egyszeri",3,2))/12,IF($D$4="Forint",0,2))</f>
        <v>-2197</v>
      </c>
      <c r="T864" s="13"/>
      <c r="U864" s="13"/>
      <c r="V864" s="13">
        <f ca="1">$M864-$O864-$P864+$R864-$S864-IF(ROUNDUP(IF(ISBLANK($U864),$T864,$U864)/IF(AND($B864=1,$D$2&lt;&gt;"Egyszeri"),1,VLOOKUP($B864+IF($C864=12,1,0),Paraméterek!$B$257:$D$267,IF($D$2="Egyszeri",3,2))),IF($D$4="Forint",0,2))&gt;$M864-$O864-$P864+$R864-$S864-IF($D$4="Forint",Paraméterek!$C$216,Paraméterek!$D$216),0,ROUNDUP(IF(ISBLANK($U864),$T864,$U864)/IF(AND($B864=1,$D$2&lt;&gt;"Egyszeri"),1,VLOOKUP($B864+IF($C864=12,1,0),Paraméterek!$B$257:$D$267,IF($D$2="Egyszeri",3,2))),IF($D$4="Forint",0,2)))</f>
        <v>-897494</v>
      </c>
      <c r="W864" s="13">
        <f ca="1">ROUNDDOWN($V864*VLOOKUP($B864+IF($C864=12,1,0),Paraméterek!$B$257:$D$267,IF($D$2="Egyszeri",3,2)),IF($D$4="Forint",0,2))</f>
        <v>-897494</v>
      </c>
      <c r="Y864" s="32">
        <v>845</v>
      </c>
      <c r="Z864" s="32">
        <v>71</v>
      </c>
      <c r="AA864" s="32">
        <v>5</v>
      </c>
      <c r="AB864" s="13">
        <f t="shared" si="206"/>
        <v>0</v>
      </c>
      <c r="AC864" s="33"/>
      <c r="AD864" s="13">
        <f t="shared" si="202"/>
        <v>0</v>
      </c>
      <c r="AE864" s="13">
        <f>ROUNDUP(($AB864+$AD864)*VLOOKUP($Z864,Paraméterek!$P$38:$Q$38,2)/12,IF($D$4="Forint",0,2))</f>
        <v>0</v>
      </c>
      <c r="AF864" s="13">
        <f>IF($D$2="Egyszeri",IF($D$7&gt;=IF($D$4="Forint",Paraméterek!$P$223,Paraméterek!$P$224),$D$7-IF($D$4="Forint",Paraméterek!$F$223,Paraméterek!$F$224),0),MIN(IF($AA864=12,AVERAGE($D$20:$D864)*12,0),SUM($D$20:$D$31)))</f>
        <v>0</v>
      </c>
      <c r="AG864" s="13">
        <f>IF(AND($Z864&gt;=10,MOD($Z864,5)=0),$AF864*IF($AA864=12,VLOOKUP($Z864,Paraméterek!$B$225:$F$240,IF($AF864&lt;IF($D$4="Forint",Paraméterek!$C$223,Paraméterek!$C$224),2,IF($AF864&lt;IF($D$4="Forint",Paraméterek!$D$223,Paraméterek!$D$224),3,4))),0),0)</f>
        <v>0</v>
      </c>
      <c r="AH864" s="13">
        <f>IF(AND($Z864&gt;=5,MOD($Z864,5)=0),IF($AA864=12,VLOOKUP($Z864,Paraméterek!$B$225:$F$240,5),0),IF(OR($Z864=3,$Z864=4),IF($AA864=12,VLOOKUP($Z864,Paraméterek!$B$225:$F$240,5,0),0),0))*$AF864</f>
        <v>0</v>
      </c>
      <c r="AI864" s="13">
        <f>ROUNDDOWN(IF(SUM($T$20:$U864)=0,IF($D$2="Egyszeri",$AH864,$AG864),0),IF($D$4="Forint",0,2))</f>
        <v>0</v>
      </c>
      <c r="AJ864" s="13">
        <f t="shared" si="207"/>
        <v>0</v>
      </c>
      <c r="AK864" s="13">
        <f t="shared" si="208"/>
        <v>0</v>
      </c>
      <c r="AM864" s="32">
        <v>845</v>
      </c>
      <c r="AN864" s="32">
        <v>71</v>
      </c>
      <c r="AO864" s="32">
        <v>5</v>
      </c>
      <c r="AP864" s="13"/>
      <c r="AQ864" s="32"/>
      <c r="AR864" s="13">
        <f t="shared" si="209"/>
        <v>0</v>
      </c>
      <c r="AS864" s="33"/>
      <c r="AT864" s="13">
        <f t="shared" si="203"/>
        <v>0</v>
      </c>
      <c r="AU864" s="13">
        <f>ROUNDUP(($AR864+$AT864)*VLOOKUP($AN864,Paraméterek!$P$38:$Q$38,2)/12,IF($D$4="Forint",0,2))</f>
        <v>0</v>
      </c>
      <c r="AV864" s="13"/>
      <c r="AW864" s="13"/>
      <c r="AX864" s="13">
        <f>ROUNDUP(IF(SUM($AV864:$AW864)=0,0,IF(IF(ISBLANK($AW864),$AV864,$AW864)*Paraméterek!$J$112&lt;IF($D$4="Forint",Paraméterek!$J$113,Paraméterek!$K$113),IF($D$4="Forint",Paraméterek!$J$113,Paraméterek!$K$113),IF(IF(ISBLANK($AW864),$AV864,$AW864)*Paraméterek!$J$112&gt;IF($D$4="Forint",Paraméterek!$J$114,Paraméterek!$K$114),IF($D$4="Forint",Paraméterek!$J$114,Paraméterek!$K$114),IF(ISBLANK($AW864),$AV864,$AW864)*Paraméterek!$J$112))),IF($D$4="Forint",0,2))</f>
        <v>0</v>
      </c>
      <c r="AY864" s="13">
        <f>$AR864+$AT864-$AU864-IF(ROUNDDOWN(IF(ISBLANK($AW864),$AV864,$AW864),IF($D$4="Forint",0,2))&gt;$AR864+$AT864-$AU864-IF($D$4="Forint",Paraméterek!$J$114,Paraméterek!$K$114),0,ROUNDDOWN(IF(ISBLANK($AW864),$AV864,$AW864),IF($D$4="Forint",0,2))-$AX864)</f>
        <v>0</v>
      </c>
      <c r="AZ864" s="13">
        <f t="shared" si="204"/>
        <v>0</v>
      </c>
    </row>
    <row r="865" spans="1:52" x14ac:dyDescent="0.2">
      <c r="A865" s="32">
        <v>846</v>
      </c>
      <c r="B865" s="32">
        <v>71</v>
      </c>
      <c r="C865" s="32">
        <v>6</v>
      </c>
      <c r="D865" s="13">
        <f t="shared" si="195"/>
        <v>0</v>
      </c>
      <c r="E865" s="13"/>
      <c r="F865" s="13"/>
      <c r="G865" s="13"/>
      <c r="H865" s="13">
        <f t="shared" si="196"/>
        <v>0</v>
      </c>
      <c r="I865" s="13">
        <f t="shared" si="197"/>
        <v>0</v>
      </c>
      <c r="J865" s="13">
        <f t="shared" si="198"/>
        <v>0</v>
      </c>
      <c r="K865" s="13">
        <f>ROUNDUP(IF($D$2="Egyszeri",$D865,IF($D$2="Havi",SUM($D$20:$D$31),IF(MOD($C865,$M$1)-1=0,SUM($D$20:$D$31),0))/12*$M$1)*VLOOKUP($B865,Paraméterek!$B$27:$D$30,IF($D$2="Egyszeri",3,2)),IF($D$4="Forint",0,2))</f>
        <v>0</v>
      </c>
      <c r="L865" s="13">
        <f t="shared" si="199"/>
        <v>0</v>
      </c>
      <c r="M865" s="13">
        <f t="shared" ca="1" si="205"/>
        <v>-897494</v>
      </c>
      <c r="N865" s="13">
        <f ca="1">IF($V864&gt;=VLOOKUP($M$4-1+$B865,Paraméterek!$B$121:$D$122,IF($D$4="Forint",2,3)),0,VLOOKUP($M$4-1+$B865,Paraméterek!$B$121:$D$122,IF($D$4="Forint",2,3))-$V864)</f>
        <v>907494</v>
      </c>
      <c r="O865" s="13">
        <f ca="1">ROUNDUP($N865*Paraméterek!$C$58/Paraméterek!$C$56,IF($D$4="Forint",0,2))</f>
        <v>145</v>
      </c>
      <c r="P865" s="13">
        <f t="shared" si="200"/>
        <v>4355</v>
      </c>
      <c r="Q865" s="33"/>
      <c r="R865" s="13">
        <f t="shared" ca="1" si="201"/>
        <v>0</v>
      </c>
      <c r="S865" s="13">
        <f ca="1">ROUNDUP(($M865-$O865-$P865+$R865)*VLOOKUP($B865,Paraméterek!$B$38:$D$39,IF($D$2="Egyszeri",3,2))/12,IF($D$4="Forint",0,2))</f>
        <v>-2203</v>
      </c>
      <c r="T865" s="13"/>
      <c r="U865" s="13"/>
      <c r="V865" s="13">
        <f ca="1">$M865-$O865-$P865+$R865-$S865-IF(ROUNDUP(IF(ISBLANK($U865),$T865,$U865)/IF(AND($B865=1,$D$2&lt;&gt;"Egyszeri"),1,VLOOKUP($B865+IF($C865=12,1,0),Paraméterek!$B$257:$D$267,IF($D$2="Egyszeri",3,2))),IF($D$4="Forint",0,2))&gt;$M865-$O865-$P865+$R865-$S865-IF($D$4="Forint",Paraméterek!$C$216,Paraméterek!$D$216),0,ROUNDUP(IF(ISBLANK($U865),$T865,$U865)/IF(AND($B865=1,$D$2&lt;&gt;"Egyszeri"),1,VLOOKUP($B865+IF($C865=12,1,0),Paraméterek!$B$257:$D$267,IF($D$2="Egyszeri",3,2))),IF($D$4="Forint",0,2)))</f>
        <v>-899791</v>
      </c>
      <c r="W865" s="13">
        <f ca="1">ROUNDDOWN($V865*VLOOKUP($B865+IF($C865=12,1,0),Paraméterek!$B$257:$D$267,IF($D$2="Egyszeri",3,2)),IF($D$4="Forint",0,2))</f>
        <v>-899791</v>
      </c>
      <c r="Y865" s="32">
        <v>846</v>
      </c>
      <c r="Z865" s="32">
        <v>71</v>
      </c>
      <c r="AA865" s="32">
        <v>6</v>
      </c>
      <c r="AB865" s="13">
        <f t="shared" si="206"/>
        <v>0</v>
      </c>
      <c r="AC865" s="33"/>
      <c r="AD865" s="13">
        <f t="shared" si="202"/>
        <v>0</v>
      </c>
      <c r="AE865" s="13">
        <f>ROUNDUP(($AB865+$AD865)*VLOOKUP($Z865,Paraméterek!$P$38:$Q$38,2)/12,IF($D$4="Forint",0,2))</f>
        <v>0</v>
      </c>
      <c r="AF865" s="13">
        <f>IF($D$2="Egyszeri",IF($D$7&gt;=IF($D$4="Forint",Paraméterek!$P$223,Paraméterek!$P$224),$D$7-IF($D$4="Forint",Paraméterek!$F$223,Paraméterek!$F$224),0),MIN(IF($AA865=12,AVERAGE($D$20:$D865)*12,0),SUM($D$20:$D$31)))</f>
        <v>0</v>
      </c>
      <c r="AG865" s="13">
        <f>IF(AND($Z865&gt;=10,MOD($Z865,5)=0),$AF865*IF($AA865=12,VLOOKUP($Z865,Paraméterek!$B$225:$F$240,IF($AF865&lt;IF($D$4="Forint",Paraméterek!$C$223,Paraméterek!$C$224),2,IF($AF865&lt;IF($D$4="Forint",Paraméterek!$D$223,Paraméterek!$D$224),3,4))),0),0)</f>
        <v>0</v>
      </c>
      <c r="AH865" s="13">
        <f>IF(AND($Z865&gt;=5,MOD($Z865,5)=0),IF($AA865=12,VLOOKUP($Z865,Paraméterek!$B$225:$F$240,5),0),IF(OR($Z865=3,$Z865=4),IF($AA865=12,VLOOKUP($Z865,Paraméterek!$B$225:$F$240,5,0),0),0))*$AF865</f>
        <v>0</v>
      </c>
      <c r="AI865" s="13">
        <f>ROUNDDOWN(IF(SUM($T$20:$U865)=0,IF($D$2="Egyszeri",$AH865,$AG865),0),IF($D$4="Forint",0,2))</f>
        <v>0</v>
      </c>
      <c r="AJ865" s="13">
        <f t="shared" si="207"/>
        <v>0</v>
      </c>
      <c r="AK865" s="13">
        <f t="shared" si="208"/>
        <v>0</v>
      </c>
      <c r="AM865" s="32">
        <v>846</v>
      </c>
      <c r="AN865" s="32">
        <v>71</v>
      </c>
      <c r="AO865" s="32">
        <v>6</v>
      </c>
      <c r="AP865" s="13"/>
      <c r="AQ865" s="32"/>
      <c r="AR865" s="13">
        <f t="shared" si="209"/>
        <v>0</v>
      </c>
      <c r="AS865" s="33"/>
      <c r="AT865" s="13">
        <f t="shared" si="203"/>
        <v>0</v>
      </c>
      <c r="AU865" s="13">
        <f>ROUNDUP(($AR865+$AT865)*VLOOKUP($AN865,Paraméterek!$P$38:$Q$38,2)/12,IF($D$4="Forint",0,2))</f>
        <v>0</v>
      </c>
      <c r="AV865" s="13"/>
      <c r="AW865" s="13"/>
      <c r="AX865" s="13">
        <f>ROUNDUP(IF(SUM($AV865:$AW865)=0,0,IF(IF(ISBLANK($AW865),$AV865,$AW865)*Paraméterek!$J$112&lt;IF($D$4="Forint",Paraméterek!$J$113,Paraméterek!$K$113),IF($D$4="Forint",Paraméterek!$J$113,Paraméterek!$K$113),IF(IF(ISBLANK($AW865),$AV865,$AW865)*Paraméterek!$J$112&gt;IF($D$4="Forint",Paraméterek!$J$114,Paraméterek!$K$114),IF($D$4="Forint",Paraméterek!$J$114,Paraméterek!$K$114),IF(ISBLANK($AW865),$AV865,$AW865)*Paraméterek!$J$112))),IF($D$4="Forint",0,2))</f>
        <v>0</v>
      </c>
      <c r="AY865" s="13">
        <f>$AR865+$AT865-$AU865-IF(ROUNDDOWN(IF(ISBLANK($AW865),$AV865,$AW865),IF($D$4="Forint",0,2))&gt;$AR865+$AT865-$AU865-IF($D$4="Forint",Paraméterek!$J$114,Paraméterek!$K$114),0,ROUNDDOWN(IF(ISBLANK($AW865),$AV865,$AW865),IF($D$4="Forint",0,2))-$AX865)</f>
        <v>0</v>
      </c>
      <c r="AZ865" s="13">
        <f t="shared" si="204"/>
        <v>0</v>
      </c>
    </row>
    <row r="866" spans="1:52" x14ac:dyDescent="0.2">
      <c r="A866" s="32">
        <v>847</v>
      </c>
      <c r="B866" s="32">
        <v>71</v>
      </c>
      <c r="C866" s="32">
        <v>7</v>
      </c>
      <c r="D866" s="13">
        <f t="shared" si="195"/>
        <v>0</v>
      </c>
      <c r="E866" s="13"/>
      <c r="F866" s="13"/>
      <c r="G866" s="13"/>
      <c r="H866" s="13">
        <f t="shared" si="196"/>
        <v>0</v>
      </c>
      <c r="I866" s="13">
        <f t="shared" si="197"/>
        <v>0</v>
      </c>
      <c r="J866" s="13">
        <f t="shared" si="198"/>
        <v>0</v>
      </c>
      <c r="K866" s="13">
        <f>ROUNDUP(IF($D$2="Egyszeri",$D866,IF($D$2="Havi",SUM($D$20:$D$31),IF(MOD($C866,$M$1)-1=0,SUM($D$20:$D$31),0))/12*$M$1)*VLOOKUP($B866,Paraméterek!$B$27:$D$30,IF($D$2="Egyszeri",3,2)),IF($D$4="Forint",0,2))</f>
        <v>0</v>
      </c>
      <c r="L866" s="13">
        <f t="shared" si="199"/>
        <v>0</v>
      </c>
      <c r="M866" s="13">
        <f t="shared" ca="1" si="205"/>
        <v>-899791</v>
      </c>
      <c r="N866" s="13">
        <f ca="1">IF($V865&gt;=VLOOKUP($M$4-1+$B866,Paraméterek!$B$121:$D$122,IF($D$4="Forint",2,3)),0,VLOOKUP($M$4-1+$B866,Paraméterek!$B$121:$D$122,IF($D$4="Forint",2,3))-$V865)</f>
        <v>909791</v>
      </c>
      <c r="O866" s="13">
        <f ca="1">ROUNDUP($N866*Paraméterek!$C$58/Paraméterek!$C$56,IF($D$4="Forint",0,2))</f>
        <v>145</v>
      </c>
      <c r="P866" s="13">
        <f t="shared" si="200"/>
        <v>4355</v>
      </c>
      <c r="Q866" s="33"/>
      <c r="R866" s="13">
        <f t="shared" ca="1" si="201"/>
        <v>0</v>
      </c>
      <c r="S866" s="13">
        <f ca="1">ROUNDUP(($M866-$O866-$P866+$R866)*VLOOKUP($B866,Paraméterek!$B$38:$D$39,IF($D$2="Egyszeri",3,2))/12,IF($D$4="Forint",0,2))</f>
        <v>-2208</v>
      </c>
      <c r="T866" s="13"/>
      <c r="U866" s="13"/>
      <c r="V866" s="13">
        <f ca="1">$M866-$O866-$P866+$R866-$S866-IF(ROUNDUP(IF(ISBLANK($U866),$T866,$U866)/IF(AND($B866=1,$D$2&lt;&gt;"Egyszeri"),1,VLOOKUP($B866+IF($C866=12,1,0),Paraméterek!$B$257:$D$267,IF($D$2="Egyszeri",3,2))),IF($D$4="Forint",0,2))&gt;$M866-$O866-$P866+$R866-$S866-IF($D$4="Forint",Paraméterek!$C$216,Paraméterek!$D$216),0,ROUNDUP(IF(ISBLANK($U866),$T866,$U866)/IF(AND($B866=1,$D$2&lt;&gt;"Egyszeri"),1,VLOOKUP($B866+IF($C866=12,1,0),Paraméterek!$B$257:$D$267,IF($D$2="Egyszeri",3,2))),IF($D$4="Forint",0,2)))</f>
        <v>-902083</v>
      </c>
      <c r="W866" s="13">
        <f ca="1">ROUNDDOWN($V866*VLOOKUP($B866+IF($C866=12,1,0),Paraméterek!$B$257:$D$267,IF($D$2="Egyszeri",3,2)),IF($D$4="Forint",0,2))</f>
        <v>-902083</v>
      </c>
      <c r="Y866" s="32">
        <v>847</v>
      </c>
      <c r="Z866" s="32">
        <v>71</v>
      </c>
      <c r="AA866" s="32">
        <v>7</v>
      </c>
      <c r="AB866" s="13">
        <f t="shared" si="206"/>
        <v>0</v>
      </c>
      <c r="AC866" s="33"/>
      <c r="AD866" s="13">
        <f t="shared" si="202"/>
        <v>0</v>
      </c>
      <c r="AE866" s="13">
        <f>ROUNDUP(($AB866+$AD866)*VLOOKUP($Z866,Paraméterek!$P$38:$Q$38,2)/12,IF($D$4="Forint",0,2))</f>
        <v>0</v>
      </c>
      <c r="AF866" s="13">
        <f>IF($D$2="Egyszeri",IF($D$7&gt;=IF($D$4="Forint",Paraméterek!$P$223,Paraméterek!$P$224),$D$7-IF($D$4="Forint",Paraméterek!$F$223,Paraméterek!$F$224),0),MIN(IF($AA866=12,AVERAGE($D$20:$D866)*12,0),SUM($D$20:$D$31)))</f>
        <v>0</v>
      </c>
      <c r="AG866" s="13">
        <f>IF(AND($Z866&gt;=10,MOD($Z866,5)=0),$AF866*IF($AA866=12,VLOOKUP($Z866,Paraméterek!$B$225:$F$240,IF($AF866&lt;IF($D$4="Forint",Paraméterek!$C$223,Paraméterek!$C$224),2,IF($AF866&lt;IF($D$4="Forint",Paraméterek!$D$223,Paraméterek!$D$224),3,4))),0),0)</f>
        <v>0</v>
      </c>
      <c r="AH866" s="13">
        <f>IF(AND($Z866&gt;=5,MOD($Z866,5)=0),IF($AA866=12,VLOOKUP($Z866,Paraméterek!$B$225:$F$240,5),0),IF(OR($Z866=3,$Z866=4),IF($AA866=12,VLOOKUP($Z866,Paraméterek!$B$225:$F$240,5,0),0),0))*$AF866</f>
        <v>0</v>
      </c>
      <c r="AI866" s="13">
        <f>ROUNDDOWN(IF(SUM($T$20:$U866)=0,IF($D$2="Egyszeri",$AH866,$AG866),0),IF($D$4="Forint",0,2))</f>
        <v>0</v>
      </c>
      <c r="AJ866" s="13">
        <f t="shared" si="207"/>
        <v>0</v>
      </c>
      <c r="AK866" s="13">
        <f t="shared" si="208"/>
        <v>0</v>
      </c>
      <c r="AM866" s="32">
        <v>847</v>
      </c>
      <c r="AN866" s="32">
        <v>71</v>
      </c>
      <c r="AO866" s="32">
        <v>7</v>
      </c>
      <c r="AP866" s="13"/>
      <c r="AQ866" s="32"/>
      <c r="AR866" s="13">
        <f t="shared" si="209"/>
        <v>0</v>
      </c>
      <c r="AS866" s="33"/>
      <c r="AT866" s="13">
        <f t="shared" si="203"/>
        <v>0</v>
      </c>
      <c r="AU866" s="13">
        <f>ROUNDUP(($AR866+$AT866)*VLOOKUP($AN866,Paraméterek!$P$38:$Q$38,2)/12,IF($D$4="Forint",0,2))</f>
        <v>0</v>
      </c>
      <c r="AV866" s="13"/>
      <c r="AW866" s="13"/>
      <c r="AX866" s="13">
        <f>ROUNDUP(IF(SUM($AV866:$AW866)=0,0,IF(IF(ISBLANK($AW866),$AV866,$AW866)*Paraméterek!$J$112&lt;IF($D$4="Forint",Paraméterek!$J$113,Paraméterek!$K$113),IF($D$4="Forint",Paraméterek!$J$113,Paraméterek!$K$113),IF(IF(ISBLANK($AW866),$AV866,$AW866)*Paraméterek!$J$112&gt;IF($D$4="Forint",Paraméterek!$J$114,Paraméterek!$K$114),IF($D$4="Forint",Paraméterek!$J$114,Paraméterek!$K$114),IF(ISBLANK($AW866),$AV866,$AW866)*Paraméterek!$J$112))),IF($D$4="Forint",0,2))</f>
        <v>0</v>
      </c>
      <c r="AY866" s="13">
        <f>$AR866+$AT866-$AU866-IF(ROUNDDOWN(IF(ISBLANK($AW866),$AV866,$AW866),IF($D$4="Forint",0,2))&gt;$AR866+$AT866-$AU866-IF($D$4="Forint",Paraméterek!$J$114,Paraméterek!$K$114),0,ROUNDDOWN(IF(ISBLANK($AW866),$AV866,$AW866),IF($D$4="Forint",0,2))-$AX866)</f>
        <v>0</v>
      </c>
      <c r="AZ866" s="13">
        <f t="shared" si="204"/>
        <v>0</v>
      </c>
    </row>
    <row r="867" spans="1:52" x14ac:dyDescent="0.2">
      <c r="A867" s="32">
        <v>848</v>
      </c>
      <c r="B867" s="32">
        <v>71</v>
      </c>
      <c r="C867" s="32">
        <v>8</v>
      </c>
      <c r="D867" s="13">
        <f t="shared" si="195"/>
        <v>0</v>
      </c>
      <c r="E867" s="13"/>
      <c r="F867" s="13"/>
      <c r="G867" s="13"/>
      <c r="H867" s="13">
        <f t="shared" si="196"/>
        <v>0</v>
      </c>
      <c r="I867" s="13">
        <f t="shared" si="197"/>
        <v>0</v>
      </c>
      <c r="J867" s="13">
        <f t="shared" si="198"/>
        <v>0</v>
      </c>
      <c r="K867" s="13">
        <f>ROUNDUP(IF($D$2="Egyszeri",$D867,IF($D$2="Havi",SUM($D$20:$D$31),IF(MOD($C867,$M$1)-1=0,SUM($D$20:$D$31),0))/12*$M$1)*VLOOKUP($B867,Paraméterek!$B$27:$D$30,IF($D$2="Egyszeri",3,2)),IF($D$4="Forint",0,2))</f>
        <v>0</v>
      </c>
      <c r="L867" s="13">
        <f t="shared" si="199"/>
        <v>0</v>
      </c>
      <c r="M867" s="13">
        <f t="shared" ca="1" si="205"/>
        <v>-902083</v>
      </c>
      <c r="N867" s="13">
        <f ca="1">IF($V866&gt;=VLOOKUP($M$4-1+$B867,Paraméterek!$B$121:$D$122,IF($D$4="Forint",2,3)),0,VLOOKUP($M$4-1+$B867,Paraméterek!$B$121:$D$122,IF($D$4="Forint",2,3))-$V866)</f>
        <v>912083</v>
      </c>
      <c r="O867" s="13">
        <f ca="1">ROUNDUP($N867*Paraméterek!$C$58/Paraméterek!$C$56,IF($D$4="Forint",0,2))</f>
        <v>146</v>
      </c>
      <c r="P867" s="13">
        <f t="shared" si="200"/>
        <v>4355</v>
      </c>
      <c r="Q867" s="33"/>
      <c r="R867" s="13">
        <f t="shared" ca="1" si="201"/>
        <v>0</v>
      </c>
      <c r="S867" s="13">
        <f ca="1">ROUNDUP(($M867-$O867-$P867+$R867)*VLOOKUP($B867,Paraméterek!$B$38:$D$39,IF($D$2="Egyszeri",3,2))/12,IF($D$4="Forint",0,2))</f>
        <v>-2214</v>
      </c>
      <c r="T867" s="13"/>
      <c r="U867" s="13"/>
      <c r="V867" s="13">
        <f ca="1">$M867-$O867-$P867+$R867-$S867-IF(ROUNDUP(IF(ISBLANK($U867),$T867,$U867)/IF(AND($B867=1,$D$2&lt;&gt;"Egyszeri"),1,VLOOKUP($B867+IF($C867=12,1,0),Paraméterek!$B$257:$D$267,IF($D$2="Egyszeri",3,2))),IF($D$4="Forint",0,2))&gt;$M867-$O867-$P867+$R867-$S867-IF($D$4="Forint",Paraméterek!$C$216,Paraméterek!$D$216),0,ROUNDUP(IF(ISBLANK($U867),$T867,$U867)/IF(AND($B867=1,$D$2&lt;&gt;"Egyszeri"),1,VLOOKUP($B867+IF($C867=12,1,0),Paraméterek!$B$257:$D$267,IF($D$2="Egyszeri",3,2))),IF($D$4="Forint",0,2)))</f>
        <v>-904370</v>
      </c>
      <c r="W867" s="13">
        <f ca="1">ROUNDDOWN($V867*VLOOKUP($B867+IF($C867=12,1,0),Paraméterek!$B$257:$D$267,IF($D$2="Egyszeri",3,2)),IF($D$4="Forint",0,2))</f>
        <v>-904370</v>
      </c>
      <c r="Y867" s="32">
        <v>848</v>
      </c>
      <c r="Z867" s="32">
        <v>71</v>
      </c>
      <c r="AA867" s="32">
        <v>8</v>
      </c>
      <c r="AB867" s="13">
        <f t="shared" si="206"/>
        <v>0</v>
      </c>
      <c r="AC867" s="33"/>
      <c r="AD867" s="13">
        <f t="shared" si="202"/>
        <v>0</v>
      </c>
      <c r="AE867" s="13">
        <f>ROUNDUP(($AB867+$AD867)*VLOOKUP($Z867,Paraméterek!$P$38:$Q$38,2)/12,IF($D$4="Forint",0,2))</f>
        <v>0</v>
      </c>
      <c r="AF867" s="13">
        <f>IF($D$2="Egyszeri",IF($D$7&gt;=IF($D$4="Forint",Paraméterek!$P$223,Paraméterek!$P$224),$D$7-IF($D$4="Forint",Paraméterek!$F$223,Paraméterek!$F$224),0),MIN(IF($AA867=12,AVERAGE($D$20:$D867)*12,0),SUM($D$20:$D$31)))</f>
        <v>0</v>
      </c>
      <c r="AG867" s="13">
        <f>IF(AND($Z867&gt;=10,MOD($Z867,5)=0),$AF867*IF($AA867=12,VLOOKUP($Z867,Paraméterek!$B$225:$F$240,IF($AF867&lt;IF($D$4="Forint",Paraméterek!$C$223,Paraméterek!$C$224),2,IF($AF867&lt;IF($D$4="Forint",Paraméterek!$D$223,Paraméterek!$D$224),3,4))),0),0)</f>
        <v>0</v>
      </c>
      <c r="AH867" s="13">
        <f>IF(AND($Z867&gt;=5,MOD($Z867,5)=0),IF($AA867=12,VLOOKUP($Z867,Paraméterek!$B$225:$F$240,5),0),IF(OR($Z867=3,$Z867=4),IF($AA867=12,VLOOKUP($Z867,Paraméterek!$B$225:$F$240,5,0),0),0))*$AF867</f>
        <v>0</v>
      </c>
      <c r="AI867" s="13">
        <f>ROUNDDOWN(IF(SUM($T$20:$U867)=0,IF($D$2="Egyszeri",$AH867,$AG867),0),IF($D$4="Forint",0,2))</f>
        <v>0</v>
      </c>
      <c r="AJ867" s="13">
        <f t="shared" si="207"/>
        <v>0</v>
      </c>
      <c r="AK867" s="13">
        <f t="shared" si="208"/>
        <v>0</v>
      </c>
      <c r="AM867" s="32">
        <v>848</v>
      </c>
      <c r="AN867" s="32">
        <v>71</v>
      </c>
      <c r="AO867" s="32">
        <v>8</v>
      </c>
      <c r="AP867" s="13"/>
      <c r="AQ867" s="32"/>
      <c r="AR867" s="13">
        <f t="shared" si="209"/>
        <v>0</v>
      </c>
      <c r="AS867" s="33"/>
      <c r="AT867" s="13">
        <f t="shared" si="203"/>
        <v>0</v>
      </c>
      <c r="AU867" s="13">
        <f>ROUNDUP(($AR867+$AT867)*VLOOKUP($AN867,Paraméterek!$P$38:$Q$38,2)/12,IF($D$4="Forint",0,2))</f>
        <v>0</v>
      </c>
      <c r="AV867" s="13"/>
      <c r="AW867" s="13"/>
      <c r="AX867" s="13">
        <f>ROUNDUP(IF(SUM($AV867:$AW867)=0,0,IF(IF(ISBLANK($AW867),$AV867,$AW867)*Paraméterek!$J$112&lt;IF($D$4="Forint",Paraméterek!$J$113,Paraméterek!$K$113),IF($D$4="Forint",Paraméterek!$J$113,Paraméterek!$K$113),IF(IF(ISBLANK($AW867),$AV867,$AW867)*Paraméterek!$J$112&gt;IF($D$4="Forint",Paraméterek!$J$114,Paraméterek!$K$114),IF($D$4="Forint",Paraméterek!$J$114,Paraméterek!$K$114),IF(ISBLANK($AW867),$AV867,$AW867)*Paraméterek!$J$112))),IF($D$4="Forint",0,2))</f>
        <v>0</v>
      </c>
      <c r="AY867" s="13">
        <f>$AR867+$AT867-$AU867-IF(ROUNDDOWN(IF(ISBLANK($AW867),$AV867,$AW867),IF($D$4="Forint",0,2))&gt;$AR867+$AT867-$AU867-IF($D$4="Forint",Paraméterek!$J$114,Paraméterek!$K$114),0,ROUNDDOWN(IF(ISBLANK($AW867),$AV867,$AW867),IF($D$4="Forint",0,2))-$AX867)</f>
        <v>0</v>
      </c>
      <c r="AZ867" s="13">
        <f t="shared" si="204"/>
        <v>0</v>
      </c>
    </row>
    <row r="868" spans="1:52" x14ac:dyDescent="0.2">
      <c r="A868" s="32">
        <v>849</v>
      </c>
      <c r="B868" s="32">
        <v>71</v>
      </c>
      <c r="C868" s="32">
        <v>9</v>
      </c>
      <c r="D868" s="13">
        <f t="shared" si="195"/>
        <v>0</v>
      </c>
      <c r="E868" s="13"/>
      <c r="F868" s="13"/>
      <c r="G868" s="13"/>
      <c r="H868" s="13">
        <f t="shared" si="196"/>
        <v>0</v>
      </c>
      <c r="I868" s="13">
        <f t="shared" si="197"/>
        <v>0</v>
      </c>
      <c r="J868" s="13">
        <f t="shared" si="198"/>
        <v>0</v>
      </c>
      <c r="K868" s="13">
        <f>ROUNDUP(IF($D$2="Egyszeri",$D868,IF($D$2="Havi",SUM($D$20:$D$31),IF(MOD($C868,$M$1)-1=0,SUM($D$20:$D$31),0))/12*$M$1)*VLOOKUP($B868,Paraméterek!$B$27:$D$30,IF($D$2="Egyszeri",3,2)),IF($D$4="Forint",0,2))</f>
        <v>0</v>
      </c>
      <c r="L868" s="13">
        <f t="shared" si="199"/>
        <v>0</v>
      </c>
      <c r="M868" s="13">
        <f t="shared" ca="1" si="205"/>
        <v>-904370</v>
      </c>
      <c r="N868" s="13">
        <f ca="1">IF($V867&gt;=VLOOKUP($M$4-1+$B868,Paraméterek!$B$121:$D$122,IF($D$4="Forint",2,3)),0,VLOOKUP($M$4-1+$B868,Paraméterek!$B$121:$D$122,IF($D$4="Forint",2,3))-$V867)</f>
        <v>914370</v>
      </c>
      <c r="O868" s="13">
        <f ca="1">ROUNDUP($N868*Paraméterek!$C$58/Paraméterek!$C$56,IF($D$4="Forint",0,2))</f>
        <v>146</v>
      </c>
      <c r="P868" s="13">
        <f t="shared" si="200"/>
        <v>4355</v>
      </c>
      <c r="Q868" s="33"/>
      <c r="R868" s="13">
        <f t="shared" ca="1" si="201"/>
        <v>0</v>
      </c>
      <c r="S868" s="13">
        <f ca="1">ROUNDUP(($M868-$O868-$P868+$R868)*VLOOKUP($B868,Paraméterek!$B$38:$D$39,IF($D$2="Egyszeri",3,2))/12,IF($D$4="Forint",0,2))</f>
        <v>-2220</v>
      </c>
      <c r="T868" s="13"/>
      <c r="U868" s="13"/>
      <c r="V868" s="13">
        <f ca="1">$M868-$O868-$P868+$R868-$S868-IF(ROUNDUP(IF(ISBLANK($U868),$T868,$U868)/IF(AND($B868=1,$D$2&lt;&gt;"Egyszeri"),1,VLOOKUP($B868+IF($C868=12,1,0),Paraméterek!$B$257:$D$267,IF($D$2="Egyszeri",3,2))),IF($D$4="Forint",0,2))&gt;$M868-$O868-$P868+$R868-$S868-IF($D$4="Forint",Paraméterek!$C$216,Paraméterek!$D$216),0,ROUNDUP(IF(ISBLANK($U868),$T868,$U868)/IF(AND($B868=1,$D$2&lt;&gt;"Egyszeri"),1,VLOOKUP($B868+IF($C868=12,1,0),Paraméterek!$B$257:$D$267,IF($D$2="Egyszeri",3,2))),IF($D$4="Forint",0,2)))</f>
        <v>-906651</v>
      </c>
      <c r="W868" s="13">
        <f ca="1">ROUNDDOWN($V868*VLOOKUP($B868+IF($C868=12,1,0),Paraméterek!$B$257:$D$267,IF($D$2="Egyszeri",3,2)),IF($D$4="Forint",0,2))</f>
        <v>-906651</v>
      </c>
      <c r="Y868" s="32">
        <v>849</v>
      </c>
      <c r="Z868" s="32">
        <v>71</v>
      </c>
      <c r="AA868" s="32">
        <v>9</v>
      </c>
      <c r="AB868" s="13">
        <f t="shared" si="206"/>
        <v>0</v>
      </c>
      <c r="AC868" s="33"/>
      <c r="AD868" s="13">
        <f t="shared" si="202"/>
        <v>0</v>
      </c>
      <c r="AE868" s="13">
        <f>ROUNDUP(($AB868+$AD868)*VLOOKUP($Z868,Paraméterek!$P$38:$Q$38,2)/12,IF($D$4="Forint",0,2))</f>
        <v>0</v>
      </c>
      <c r="AF868" s="13">
        <f>IF($D$2="Egyszeri",IF($D$7&gt;=IF($D$4="Forint",Paraméterek!$P$223,Paraméterek!$P$224),$D$7-IF($D$4="Forint",Paraméterek!$F$223,Paraméterek!$F$224),0),MIN(IF($AA868=12,AVERAGE($D$20:$D868)*12,0),SUM($D$20:$D$31)))</f>
        <v>0</v>
      </c>
      <c r="AG868" s="13">
        <f>IF(AND($Z868&gt;=10,MOD($Z868,5)=0),$AF868*IF($AA868=12,VLOOKUP($Z868,Paraméterek!$B$225:$F$240,IF($AF868&lt;IF($D$4="Forint",Paraméterek!$C$223,Paraméterek!$C$224),2,IF($AF868&lt;IF($D$4="Forint",Paraméterek!$D$223,Paraméterek!$D$224),3,4))),0),0)</f>
        <v>0</v>
      </c>
      <c r="AH868" s="13">
        <f>IF(AND($Z868&gt;=5,MOD($Z868,5)=0),IF($AA868=12,VLOOKUP($Z868,Paraméterek!$B$225:$F$240,5),0),IF(OR($Z868=3,$Z868=4),IF($AA868=12,VLOOKUP($Z868,Paraméterek!$B$225:$F$240,5,0),0),0))*$AF868</f>
        <v>0</v>
      </c>
      <c r="AI868" s="13">
        <f>ROUNDDOWN(IF(SUM($T$20:$U868)=0,IF($D$2="Egyszeri",$AH868,$AG868),0),IF($D$4="Forint",0,2))</f>
        <v>0</v>
      </c>
      <c r="AJ868" s="13">
        <f t="shared" si="207"/>
        <v>0</v>
      </c>
      <c r="AK868" s="13">
        <f t="shared" si="208"/>
        <v>0</v>
      </c>
      <c r="AM868" s="32">
        <v>849</v>
      </c>
      <c r="AN868" s="32">
        <v>71</v>
      </c>
      <c r="AO868" s="32">
        <v>9</v>
      </c>
      <c r="AP868" s="13"/>
      <c r="AQ868" s="32"/>
      <c r="AR868" s="13">
        <f t="shared" si="209"/>
        <v>0</v>
      </c>
      <c r="AS868" s="33"/>
      <c r="AT868" s="13">
        <f t="shared" si="203"/>
        <v>0</v>
      </c>
      <c r="AU868" s="13">
        <f>ROUNDUP(($AR868+$AT868)*VLOOKUP($AN868,Paraméterek!$P$38:$Q$38,2)/12,IF($D$4="Forint",0,2))</f>
        <v>0</v>
      </c>
      <c r="AV868" s="13"/>
      <c r="AW868" s="13"/>
      <c r="AX868" s="13">
        <f>ROUNDUP(IF(SUM($AV868:$AW868)=0,0,IF(IF(ISBLANK($AW868),$AV868,$AW868)*Paraméterek!$J$112&lt;IF($D$4="Forint",Paraméterek!$J$113,Paraméterek!$K$113),IF($D$4="Forint",Paraméterek!$J$113,Paraméterek!$K$113),IF(IF(ISBLANK($AW868),$AV868,$AW868)*Paraméterek!$J$112&gt;IF($D$4="Forint",Paraméterek!$J$114,Paraméterek!$K$114),IF($D$4="Forint",Paraméterek!$J$114,Paraméterek!$K$114),IF(ISBLANK($AW868),$AV868,$AW868)*Paraméterek!$J$112))),IF($D$4="Forint",0,2))</f>
        <v>0</v>
      </c>
      <c r="AY868" s="13">
        <f>$AR868+$AT868-$AU868-IF(ROUNDDOWN(IF(ISBLANK($AW868),$AV868,$AW868),IF($D$4="Forint",0,2))&gt;$AR868+$AT868-$AU868-IF($D$4="Forint",Paraméterek!$J$114,Paraméterek!$K$114),0,ROUNDDOWN(IF(ISBLANK($AW868),$AV868,$AW868),IF($D$4="Forint",0,2))-$AX868)</f>
        <v>0</v>
      </c>
      <c r="AZ868" s="13">
        <f t="shared" si="204"/>
        <v>0</v>
      </c>
    </row>
    <row r="869" spans="1:52" x14ac:dyDescent="0.2">
      <c r="A869" s="32">
        <v>850</v>
      </c>
      <c r="B869" s="32">
        <v>71</v>
      </c>
      <c r="C869" s="32">
        <v>10</v>
      </c>
      <c r="D869" s="13">
        <f t="shared" si="195"/>
        <v>0</v>
      </c>
      <c r="E869" s="13"/>
      <c r="F869" s="13"/>
      <c r="G869" s="13"/>
      <c r="H869" s="13">
        <f t="shared" si="196"/>
        <v>0</v>
      </c>
      <c r="I869" s="13">
        <f t="shared" si="197"/>
        <v>0</v>
      </c>
      <c r="J869" s="13">
        <f t="shared" si="198"/>
        <v>0</v>
      </c>
      <c r="K869" s="13">
        <f>ROUNDUP(IF($D$2="Egyszeri",$D869,IF($D$2="Havi",SUM($D$20:$D$31),IF(MOD($C869,$M$1)-1=0,SUM($D$20:$D$31),0))/12*$M$1)*VLOOKUP($B869,Paraméterek!$B$27:$D$30,IF($D$2="Egyszeri",3,2)),IF($D$4="Forint",0,2))</f>
        <v>0</v>
      </c>
      <c r="L869" s="13">
        <f t="shared" si="199"/>
        <v>0</v>
      </c>
      <c r="M869" s="13">
        <f t="shared" ca="1" si="205"/>
        <v>-906651</v>
      </c>
      <c r="N869" s="13">
        <f ca="1">IF($V868&gt;=VLOOKUP($M$4-1+$B869,Paraméterek!$B$121:$D$122,IF($D$4="Forint",2,3)),0,VLOOKUP($M$4-1+$B869,Paraméterek!$B$121:$D$122,IF($D$4="Forint",2,3))-$V868)</f>
        <v>916651</v>
      </c>
      <c r="O869" s="13">
        <f ca="1">ROUNDUP($N869*Paraméterek!$C$58/Paraméterek!$C$56,IF($D$4="Forint",0,2))</f>
        <v>146</v>
      </c>
      <c r="P869" s="13">
        <f t="shared" si="200"/>
        <v>4355</v>
      </c>
      <c r="Q869" s="33"/>
      <c r="R869" s="13">
        <f t="shared" ca="1" si="201"/>
        <v>0</v>
      </c>
      <c r="S869" s="13">
        <f ca="1">ROUNDUP(($M869-$O869-$P869+$R869)*VLOOKUP($B869,Paraméterek!$B$38:$D$39,IF($D$2="Egyszeri",3,2))/12,IF($D$4="Forint",0,2))</f>
        <v>-2225</v>
      </c>
      <c r="T869" s="13"/>
      <c r="U869" s="13"/>
      <c r="V869" s="13">
        <f ca="1">$M869-$O869-$P869+$R869-$S869-IF(ROUNDUP(IF(ISBLANK($U869),$T869,$U869)/IF(AND($B869=1,$D$2&lt;&gt;"Egyszeri"),1,VLOOKUP($B869+IF($C869=12,1,0),Paraméterek!$B$257:$D$267,IF($D$2="Egyszeri",3,2))),IF($D$4="Forint",0,2))&gt;$M869-$O869-$P869+$R869-$S869-IF($D$4="Forint",Paraméterek!$C$216,Paraméterek!$D$216),0,ROUNDUP(IF(ISBLANK($U869),$T869,$U869)/IF(AND($B869=1,$D$2&lt;&gt;"Egyszeri"),1,VLOOKUP($B869+IF($C869=12,1,0),Paraméterek!$B$257:$D$267,IF($D$2="Egyszeri",3,2))),IF($D$4="Forint",0,2)))</f>
        <v>-908927</v>
      </c>
      <c r="W869" s="13">
        <f ca="1">ROUNDDOWN($V869*VLOOKUP($B869+IF($C869=12,1,0),Paraméterek!$B$257:$D$267,IF($D$2="Egyszeri",3,2)),IF($D$4="Forint",0,2))</f>
        <v>-908927</v>
      </c>
      <c r="Y869" s="32">
        <v>850</v>
      </c>
      <c r="Z869" s="32">
        <v>71</v>
      </c>
      <c r="AA869" s="32">
        <v>10</v>
      </c>
      <c r="AB869" s="13">
        <f t="shared" si="206"/>
        <v>0</v>
      </c>
      <c r="AC869" s="33"/>
      <c r="AD869" s="13">
        <f t="shared" si="202"/>
        <v>0</v>
      </c>
      <c r="AE869" s="13">
        <f>ROUNDUP(($AB869+$AD869)*VLOOKUP($Z869,Paraméterek!$P$38:$Q$38,2)/12,IF($D$4="Forint",0,2))</f>
        <v>0</v>
      </c>
      <c r="AF869" s="13">
        <f>IF($D$2="Egyszeri",IF($D$7&gt;=IF($D$4="Forint",Paraméterek!$P$223,Paraméterek!$P$224),$D$7-IF($D$4="Forint",Paraméterek!$F$223,Paraméterek!$F$224),0),MIN(IF($AA869=12,AVERAGE($D$20:$D869)*12,0),SUM($D$20:$D$31)))</f>
        <v>0</v>
      </c>
      <c r="AG869" s="13">
        <f>IF(AND($Z869&gt;=10,MOD($Z869,5)=0),$AF869*IF($AA869=12,VLOOKUP($Z869,Paraméterek!$B$225:$F$240,IF($AF869&lt;IF($D$4="Forint",Paraméterek!$C$223,Paraméterek!$C$224),2,IF($AF869&lt;IF($D$4="Forint",Paraméterek!$D$223,Paraméterek!$D$224),3,4))),0),0)</f>
        <v>0</v>
      </c>
      <c r="AH869" s="13">
        <f>IF(AND($Z869&gt;=5,MOD($Z869,5)=0),IF($AA869=12,VLOOKUP($Z869,Paraméterek!$B$225:$F$240,5),0),IF(OR($Z869=3,$Z869=4),IF($AA869=12,VLOOKUP($Z869,Paraméterek!$B$225:$F$240,5,0),0),0))*$AF869</f>
        <v>0</v>
      </c>
      <c r="AI869" s="13">
        <f>ROUNDDOWN(IF(SUM($T$20:$U869)=0,IF($D$2="Egyszeri",$AH869,$AG869),0),IF($D$4="Forint",0,2))</f>
        <v>0</v>
      </c>
      <c r="AJ869" s="13">
        <f t="shared" si="207"/>
        <v>0</v>
      </c>
      <c r="AK869" s="13">
        <f t="shared" si="208"/>
        <v>0</v>
      </c>
      <c r="AM869" s="32">
        <v>850</v>
      </c>
      <c r="AN869" s="32">
        <v>71</v>
      </c>
      <c r="AO869" s="32">
        <v>10</v>
      </c>
      <c r="AP869" s="13"/>
      <c r="AQ869" s="32"/>
      <c r="AR869" s="13">
        <f t="shared" si="209"/>
        <v>0</v>
      </c>
      <c r="AS869" s="33"/>
      <c r="AT869" s="13">
        <f t="shared" si="203"/>
        <v>0</v>
      </c>
      <c r="AU869" s="13">
        <f>ROUNDUP(($AR869+$AT869)*VLOOKUP($AN869,Paraméterek!$P$38:$Q$38,2)/12,IF($D$4="Forint",0,2))</f>
        <v>0</v>
      </c>
      <c r="AV869" s="13"/>
      <c r="AW869" s="13"/>
      <c r="AX869" s="13">
        <f>ROUNDUP(IF(SUM($AV869:$AW869)=0,0,IF(IF(ISBLANK($AW869),$AV869,$AW869)*Paraméterek!$J$112&lt;IF($D$4="Forint",Paraméterek!$J$113,Paraméterek!$K$113),IF($D$4="Forint",Paraméterek!$J$113,Paraméterek!$K$113),IF(IF(ISBLANK($AW869),$AV869,$AW869)*Paraméterek!$J$112&gt;IF($D$4="Forint",Paraméterek!$J$114,Paraméterek!$K$114),IF($D$4="Forint",Paraméterek!$J$114,Paraméterek!$K$114),IF(ISBLANK($AW869),$AV869,$AW869)*Paraméterek!$J$112))),IF($D$4="Forint",0,2))</f>
        <v>0</v>
      </c>
      <c r="AY869" s="13">
        <f>$AR869+$AT869-$AU869-IF(ROUNDDOWN(IF(ISBLANK($AW869),$AV869,$AW869),IF($D$4="Forint",0,2))&gt;$AR869+$AT869-$AU869-IF($D$4="Forint",Paraméterek!$J$114,Paraméterek!$K$114),0,ROUNDDOWN(IF(ISBLANK($AW869),$AV869,$AW869),IF($D$4="Forint",0,2))-$AX869)</f>
        <v>0</v>
      </c>
      <c r="AZ869" s="13">
        <f t="shared" si="204"/>
        <v>0</v>
      </c>
    </row>
    <row r="870" spans="1:52" x14ac:dyDescent="0.2">
      <c r="A870" s="32">
        <v>851</v>
      </c>
      <c r="B870" s="32">
        <v>71</v>
      </c>
      <c r="C870" s="32">
        <v>11</v>
      </c>
      <c r="D870" s="13">
        <f t="shared" si="195"/>
        <v>0</v>
      </c>
      <c r="E870" s="13"/>
      <c r="F870" s="13"/>
      <c r="G870" s="13"/>
      <c r="H870" s="13">
        <f t="shared" si="196"/>
        <v>0</v>
      </c>
      <c r="I870" s="13">
        <f t="shared" si="197"/>
        <v>0</v>
      </c>
      <c r="J870" s="13">
        <f t="shared" si="198"/>
        <v>0</v>
      </c>
      <c r="K870" s="13">
        <f>ROUNDUP(IF($D$2="Egyszeri",$D870,IF($D$2="Havi",SUM($D$20:$D$31),IF(MOD($C870,$M$1)-1=0,SUM($D$20:$D$31),0))/12*$M$1)*VLOOKUP($B870,Paraméterek!$B$27:$D$30,IF($D$2="Egyszeri",3,2)),IF($D$4="Forint",0,2))</f>
        <v>0</v>
      </c>
      <c r="L870" s="13">
        <f t="shared" si="199"/>
        <v>0</v>
      </c>
      <c r="M870" s="13">
        <f t="shared" ca="1" si="205"/>
        <v>-908927</v>
      </c>
      <c r="N870" s="13">
        <f ca="1">IF($V869&gt;=VLOOKUP($M$4-1+$B870,Paraméterek!$B$121:$D$122,IF($D$4="Forint",2,3)),0,VLOOKUP($M$4-1+$B870,Paraméterek!$B$121:$D$122,IF($D$4="Forint",2,3))-$V869)</f>
        <v>918927</v>
      </c>
      <c r="O870" s="13">
        <f ca="1">ROUNDUP($N870*Paraméterek!$C$58/Paraméterek!$C$56,IF($D$4="Forint",0,2))</f>
        <v>147</v>
      </c>
      <c r="P870" s="13">
        <f t="shared" si="200"/>
        <v>4355</v>
      </c>
      <c r="Q870" s="33"/>
      <c r="R870" s="13">
        <f t="shared" ca="1" si="201"/>
        <v>0</v>
      </c>
      <c r="S870" s="13">
        <f ca="1">ROUNDUP(($M870-$O870-$P870+$R870)*VLOOKUP($B870,Paraméterek!$B$38:$D$39,IF($D$2="Egyszeri",3,2))/12,IF($D$4="Forint",0,2))</f>
        <v>-2231</v>
      </c>
      <c r="T870" s="13"/>
      <c r="U870" s="13"/>
      <c r="V870" s="13">
        <f ca="1">$M870-$O870-$P870+$R870-$S870-IF(ROUNDUP(IF(ISBLANK($U870),$T870,$U870)/IF(AND($B870=1,$D$2&lt;&gt;"Egyszeri"),1,VLOOKUP($B870+IF($C870=12,1,0),Paraméterek!$B$257:$D$267,IF($D$2="Egyszeri",3,2))),IF($D$4="Forint",0,2))&gt;$M870-$O870-$P870+$R870-$S870-IF($D$4="Forint",Paraméterek!$C$216,Paraméterek!$D$216),0,ROUNDUP(IF(ISBLANK($U870),$T870,$U870)/IF(AND($B870=1,$D$2&lt;&gt;"Egyszeri"),1,VLOOKUP($B870+IF($C870=12,1,0),Paraméterek!$B$257:$D$267,IF($D$2="Egyszeri",3,2))),IF($D$4="Forint",0,2)))</f>
        <v>-911198</v>
      </c>
      <c r="W870" s="13">
        <f ca="1">ROUNDDOWN($V870*VLOOKUP($B870+IF($C870=12,1,0),Paraméterek!$B$257:$D$267,IF($D$2="Egyszeri",3,2)),IF($D$4="Forint",0,2))</f>
        <v>-911198</v>
      </c>
      <c r="Y870" s="32">
        <v>851</v>
      </c>
      <c r="Z870" s="32">
        <v>71</v>
      </c>
      <c r="AA870" s="32">
        <v>11</v>
      </c>
      <c r="AB870" s="13">
        <f t="shared" si="206"/>
        <v>0</v>
      </c>
      <c r="AC870" s="33"/>
      <c r="AD870" s="13">
        <f t="shared" si="202"/>
        <v>0</v>
      </c>
      <c r="AE870" s="13">
        <f>ROUNDUP(($AB870+$AD870)*VLOOKUP($Z870,Paraméterek!$P$38:$Q$38,2)/12,IF($D$4="Forint",0,2))</f>
        <v>0</v>
      </c>
      <c r="AF870" s="13">
        <f>IF($D$2="Egyszeri",IF($D$7&gt;=IF($D$4="Forint",Paraméterek!$P$223,Paraméterek!$P$224),$D$7-IF($D$4="Forint",Paraméterek!$F$223,Paraméterek!$F$224),0),MIN(IF($AA870=12,AVERAGE($D$20:$D870)*12,0),SUM($D$20:$D$31)))</f>
        <v>0</v>
      </c>
      <c r="AG870" s="13">
        <f>IF(AND($Z870&gt;=10,MOD($Z870,5)=0),$AF870*IF($AA870=12,VLOOKUP($Z870,Paraméterek!$B$225:$F$240,IF($AF870&lt;IF($D$4="Forint",Paraméterek!$C$223,Paraméterek!$C$224),2,IF($AF870&lt;IF($D$4="Forint",Paraméterek!$D$223,Paraméterek!$D$224),3,4))),0),0)</f>
        <v>0</v>
      </c>
      <c r="AH870" s="13">
        <f>IF(AND($Z870&gt;=5,MOD($Z870,5)=0),IF($AA870=12,VLOOKUP($Z870,Paraméterek!$B$225:$F$240,5),0),IF(OR($Z870=3,$Z870=4),IF($AA870=12,VLOOKUP($Z870,Paraméterek!$B$225:$F$240,5,0),0),0))*$AF870</f>
        <v>0</v>
      </c>
      <c r="AI870" s="13">
        <f>ROUNDDOWN(IF(SUM($T$20:$U870)=0,IF($D$2="Egyszeri",$AH870,$AG870),0),IF($D$4="Forint",0,2))</f>
        <v>0</v>
      </c>
      <c r="AJ870" s="13">
        <f t="shared" si="207"/>
        <v>0</v>
      </c>
      <c r="AK870" s="13">
        <f t="shared" si="208"/>
        <v>0</v>
      </c>
      <c r="AM870" s="32">
        <v>851</v>
      </c>
      <c r="AN870" s="32">
        <v>71</v>
      </c>
      <c r="AO870" s="32">
        <v>11</v>
      </c>
      <c r="AP870" s="13"/>
      <c r="AQ870" s="32"/>
      <c r="AR870" s="13">
        <f t="shared" si="209"/>
        <v>0</v>
      </c>
      <c r="AS870" s="33"/>
      <c r="AT870" s="13">
        <f t="shared" si="203"/>
        <v>0</v>
      </c>
      <c r="AU870" s="13">
        <f>ROUNDUP(($AR870+$AT870)*VLOOKUP($AN870,Paraméterek!$P$38:$Q$38,2)/12,IF($D$4="Forint",0,2))</f>
        <v>0</v>
      </c>
      <c r="AV870" s="13"/>
      <c r="AW870" s="13"/>
      <c r="AX870" s="13">
        <f>ROUNDUP(IF(SUM($AV870:$AW870)=0,0,IF(IF(ISBLANK($AW870),$AV870,$AW870)*Paraméterek!$J$112&lt;IF($D$4="Forint",Paraméterek!$J$113,Paraméterek!$K$113),IF($D$4="Forint",Paraméterek!$J$113,Paraméterek!$K$113),IF(IF(ISBLANK($AW870),$AV870,$AW870)*Paraméterek!$J$112&gt;IF($D$4="Forint",Paraméterek!$J$114,Paraméterek!$K$114),IF($D$4="Forint",Paraméterek!$J$114,Paraméterek!$K$114),IF(ISBLANK($AW870),$AV870,$AW870)*Paraméterek!$J$112))),IF($D$4="Forint",0,2))</f>
        <v>0</v>
      </c>
      <c r="AY870" s="13">
        <f>$AR870+$AT870-$AU870-IF(ROUNDDOWN(IF(ISBLANK($AW870),$AV870,$AW870),IF($D$4="Forint",0,2))&gt;$AR870+$AT870-$AU870-IF($D$4="Forint",Paraméterek!$J$114,Paraméterek!$K$114),0,ROUNDDOWN(IF(ISBLANK($AW870),$AV870,$AW870),IF($D$4="Forint",0,2))-$AX870)</f>
        <v>0</v>
      </c>
      <c r="AZ870" s="13">
        <f t="shared" si="204"/>
        <v>0</v>
      </c>
    </row>
    <row r="871" spans="1:52" x14ac:dyDescent="0.2">
      <c r="A871" s="32">
        <v>852</v>
      </c>
      <c r="B871" s="32">
        <v>71</v>
      </c>
      <c r="C871" s="32">
        <v>12</v>
      </c>
      <c r="D871" s="13">
        <f t="shared" si="195"/>
        <v>0</v>
      </c>
      <c r="E871" s="13"/>
      <c r="F871" s="13"/>
      <c r="G871" s="13"/>
      <c r="H871" s="13">
        <f t="shared" si="196"/>
        <v>0</v>
      </c>
      <c r="I871" s="13">
        <f t="shared" si="197"/>
        <v>0</v>
      </c>
      <c r="J871" s="13">
        <f t="shared" si="198"/>
        <v>0</v>
      </c>
      <c r="K871" s="13">
        <f>ROUNDUP(IF($D$2="Egyszeri",$D871,IF($D$2="Havi",SUM($D$20:$D$31),IF(MOD($C871,$M$1)-1=0,SUM($D$20:$D$31),0))/12*$M$1)*VLOOKUP($B871,Paraméterek!$B$27:$D$30,IF($D$2="Egyszeri",3,2)),IF($D$4="Forint",0,2))</f>
        <v>0</v>
      </c>
      <c r="L871" s="13">
        <f t="shared" si="199"/>
        <v>0</v>
      </c>
      <c r="M871" s="13">
        <f t="shared" ca="1" si="205"/>
        <v>-911198</v>
      </c>
      <c r="N871" s="13">
        <f ca="1">IF($V870&gt;=VLOOKUP($M$4-1+$B871,Paraméterek!$B$121:$D$122,IF($D$4="Forint",2,3)),0,VLOOKUP($M$4-1+$B871,Paraméterek!$B$121:$D$122,IF($D$4="Forint",2,3))-$V870)</f>
        <v>921198</v>
      </c>
      <c r="O871" s="13">
        <f ca="1">ROUNDUP($N871*Paraméterek!$C$58/Paraméterek!$C$56,IF($D$4="Forint",0,2))</f>
        <v>147</v>
      </c>
      <c r="P871" s="13">
        <f t="shared" si="200"/>
        <v>4355</v>
      </c>
      <c r="Q871" s="33"/>
      <c r="R871" s="13">
        <f t="shared" ca="1" si="201"/>
        <v>0</v>
      </c>
      <c r="S871" s="13">
        <f ca="1">ROUNDUP(($M871-$O871-$P871+$R871)*VLOOKUP($B871,Paraméterek!$B$38:$D$39,IF($D$2="Egyszeri",3,2))/12,IF($D$4="Forint",0,2))</f>
        <v>-2236</v>
      </c>
      <c r="T871" s="13">
        <f>Tranzakciók!$F$102</f>
        <v>0</v>
      </c>
      <c r="U871" s="13"/>
      <c r="V871" s="13">
        <f ca="1">$M871-$O871-$P871+$R871-$S871-IF(ROUNDUP(IF(ISBLANK($U871),$T871,$U871)/IF(AND($B871=1,$D$2&lt;&gt;"Egyszeri"),1,VLOOKUP($B871+IF($C871=12,1,0),Paraméterek!$B$257:$D$267,IF($D$2="Egyszeri",3,2))),IF($D$4="Forint",0,2))&gt;$M871-$O871-$P871+$R871-$S871-IF($D$4="Forint",Paraméterek!$C$216,Paraméterek!$D$216),0,ROUNDUP(IF(ISBLANK($U871),$T871,$U871)/IF(AND($B871=1,$D$2&lt;&gt;"Egyszeri"),1,VLOOKUP($B871+IF($C871=12,1,0),Paraméterek!$B$257:$D$267,IF($D$2="Egyszeri",3,2))),IF($D$4="Forint",0,2)))</f>
        <v>-913464</v>
      </c>
      <c r="W871" s="13">
        <f ca="1">ROUNDDOWN($V871*VLOOKUP($B871+IF($C871=12,1,0),Paraméterek!$B$257:$D$267,IF($D$2="Egyszeri",3,2)),IF($D$4="Forint",0,2))</f>
        <v>-913464</v>
      </c>
      <c r="Y871" s="32">
        <v>852</v>
      </c>
      <c r="Z871" s="32">
        <v>71</v>
      </c>
      <c r="AA871" s="32">
        <v>12</v>
      </c>
      <c r="AB871" s="13">
        <f t="shared" si="206"/>
        <v>0</v>
      </c>
      <c r="AC871" s="33"/>
      <c r="AD871" s="13">
        <f t="shared" si="202"/>
        <v>0</v>
      </c>
      <c r="AE871" s="13">
        <f>ROUNDUP(($AB871+$AD871)*VLOOKUP($Z871,Paraméterek!$P$38:$Q$38,2)/12,IF($D$4="Forint",0,2))</f>
        <v>0</v>
      </c>
      <c r="AF871" s="13">
        <f>IF($D$2="Egyszeri",IF($D$7&gt;=IF($D$4="Forint",Paraméterek!$P$223,Paraméterek!$P$224),$D$7-IF($D$4="Forint",Paraméterek!$F$223,Paraméterek!$F$224),0),MIN(IF($AA871=12,AVERAGE($D$20:$D871)*12,0),SUM($D$20:$D$31)))</f>
        <v>0</v>
      </c>
      <c r="AG871" s="13">
        <f>IF(AND($Z871&gt;=10,MOD($Z871,5)=0),$AF871*IF($AA871=12,VLOOKUP($Z871,Paraméterek!$B$225:$F$240,IF($AF871&lt;IF($D$4="Forint",Paraméterek!$C$223,Paraméterek!$C$224),2,IF($AF871&lt;IF($D$4="Forint",Paraméterek!$D$223,Paraméterek!$D$224),3,4))),0),0)</f>
        <v>0</v>
      </c>
      <c r="AH871" s="13">
        <f>IF(AND($Z871&gt;=5,MOD($Z871,5)=0),IF($AA871=12,VLOOKUP($Z871,Paraméterek!$B$225:$F$240,5),0),IF(OR($Z871=3,$Z871=4),IF($AA871=12,VLOOKUP($Z871,Paraméterek!$B$225:$F$240,5,0),0),0))*$AF871</f>
        <v>0</v>
      </c>
      <c r="AI871" s="13">
        <f>ROUNDDOWN(IF(SUM($T$20:$U871)=0,IF($D$2="Egyszeri",$AH871,$AG871),0),IF($D$4="Forint",0,2))</f>
        <v>0</v>
      </c>
      <c r="AJ871" s="13">
        <f t="shared" si="207"/>
        <v>0</v>
      </c>
      <c r="AK871" s="13">
        <f t="shared" si="208"/>
        <v>0</v>
      </c>
      <c r="AM871" s="32">
        <v>852</v>
      </c>
      <c r="AN871" s="32">
        <v>71</v>
      </c>
      <c r="AO871" s="32">
        <v>12</v>
      </c>
      <c r="AP871" s="13"/>
      <c r="AQ871" s="32"/>
      <c r="AR871" s="13">
        <f t="shared" si="209"/>
        <v>0</v>
      </c>
      <c r="AS871" s="33"/>
      <c r="AT871" s="13">
        <f t="shared" si="203"/>
        <v>0</v>
      </c>
      <c r="AU871" s="13">
        <f>ROUNDUP(($AR871+$AT871)*VLOOKUP($AN871,Paraméterek!$P$38:$Q$38,2)/12,IF($D$4="Forint",0,2))</f>
        <v>0</v>
      </c>
      <c r="AV871" s="13">
        <f>Tranzakciók!$M$102</f>
        <v>0</v>
      </c>
      <c r="AW871" s="13"/>
      <c r="AX871" s="13">
        <f>ROUNDUP(IF(SUM($AV871:$AW871)=0,0,IF(IF(ISBLANK($AW871),$AV871,$AW871)*Paraméterek!$J$112&lt;IF($D$4="Forint",Paraméterek!$J$113,Paraméterek!$K$113),IF($D$4="Forint",Paraméterek!$J$113,Paraméterek!$K$113),IF(IF(ISBLANK($AW871),$AV871,$AW871)*Paraméterek!$J$112&gt;IF($D$4="Forint",Paraméterek!$J$114,Paraméterek!$K$114),IF($D$4="Forint",Paraméterek!$J$114,Paraméterek!$K$114),IF(ISBLANK($AW871),$AV871,$AW871)*Paraméterek!$J$112))),IF($D$4="Forint",0,2))</f>
        <v>0</v>
      </c>
      <c r="AY871" s="13">
        <f>$AR871+$AT871-$AU871-IF(ROUNDDOWN(IF(ISBLANK($AW871),$AV871,$AW871),IF($D$4="Forint",0,2))&gt;$AR871+$AT871-$AU871-IF($D$4="Forint",Paraméterek!$J$114,Paraméterek!$K$114),0,ROUNDDOWN(IF(ISBLANK($AW871),$AV871,$AW871),IF($D$4="Forint",0,2))-$AX871)</f>
        <v>0</v>
      </c>
      <c r="AZ871" s="13">
        <f t="shared" si="204"/>
        <v>0</v>
      </c>
    </row>
    <row r="872" spans="1:52" x14ac:dyDescent="0.2">
      <c r="A872" s="32">
        <v>853</v>
      </c>
      <c r="B872" s="32">
        <v>72</v>
      </c>
      <c r="C872" s="32">
        <v>1</v>
      </c>
      <c r="D872" s="13">
        <f t="shared" si="195"/>
        <v>0</v>
      </c>
      <c r="E872" s="13"/>
      <c r="F872" s="13">
        <f>Tranzakciók!$D$103</f>
        <v>0</v>
      </c>
      <c r="G872" s="13"/>
      <c r="H872" s="13">
        <f t="shared" si="196"/>
        <v>0</v>
      </c>
      <c r="I872" s="13">
        <f t="shared" si="197"/>
        <v>816</v>
      </c>
      <c r="J872" s="13">
        <f t="shared" si="198"/>
        <v>816</v>
      </c>
      <c r="K872" s="13">
        <f>ROUNDUP(IF($D$2="Egyszeri",$D872,IF($D$2="Havi",SUM($D$20:$D$31),IF(MOD($C872,$M$1)-1=0,SUM($D$20:$D$31),0))/12*$M$1)*VLOOKUP($B872,Paraméterek!$B$27:$D$30,IF($D$2="Egyszeri",3,2)),IF($D$4="Forint",0,2))</f>
        <v>0</v>
      </c>
      <c r="L872" s="13">
        <f t="shared" si="199"/>
        <v>0</v>
      </c>
      <c r="M872" s="13">
        <f t="shared" ca="1" si="205"/>
        <v>-913464</v>
      </c>
      <c r="N872" s="13">
        <f ca="1">IF($V871&gt;=VLOOKUP($M$4-1+$B872,Paraméterek!$B$121:$D$122,IF($D$4="Forint",2,3)),0,VLOOKUP($M$4-1+$B872,Paraméterek!$B$121:$D$122,IF($D$4="Forint",2,3))-$V871)</f>
        <v>923464</v>
      </c>
      <c r="O872" s="13">
        <f ca="1">ROUNDUP($N872*Paraméterek!$C$58/Paraméterek!$C$56,IF($D$4="Forint",0,2))</f>
        <v>147</v>
      </c>
      <c r="P872" s="13">
        <f t="shared" si="200"/>
        <v>4486</v>
      </c>
      <c r="Q872" s="33"/>
      <c r="R872" s="13">
        <f t="shared" ca="1" si="201"/>
        <v>0</v>
      </c>
      <c r="S872" s="13">
        <f ca="1">ROUNDUP(($M872-$O872-$P872+$R872)*VLOOKUP($B872,Paraméterek!$B$38:$D$39,IF($D$2="Egyszeri",3,2))/12,IF($D$4="Forint",0,2))</f>
        <v>-2242</v>
      </c>
      <c r="T872" s="13"/>
      <c r="U872" s="13"/>
      <c r="V872" s="13">
        <f ca="1">$M872-$O872-$P872+$R872-$S872-IF(ROUNDUP(IF(ISBLANK($U872),$T872,$U872)/IF(AND($B872=1,$D$2&lt;&gt;"Egyszeri"),1,VLOOKUP($B872+IF($C872=12,1,0),Paraméterek!$B$257:$D$267,IF($D$2="Egyszeri",3,2))),IF($D$4="Forint",0,2))&gt;$M872-$O872-$P872+$R872-$S872-IF($D$4="Forint",Paraméterek!$C$216,Paraméterek!$D$216),0,ROUNDUP(IF(ISBLANK($U872),$T872,$U872)/IF(AND($B872=1,$D$2&lt;&gt;"Egyszeri"),1,VLOOKUP($B872+IF($C872=12,1,0),Paraméterek!$B$257:$D$267,IF($D$2="Egyszeri",3,2))),IF($D$4="Forint",0,2)))</f>
        <v>-915855</v>
      </c>
      <c r="W872" s="13">
        <f ca="1">ROUNDDOWN($V872*VLOOKUP($B872+IF($C872=12,1,0),Paraméterek!$B$257:$D$267,IF($D$2="Egyszeri",3,2)),IF($D$4="Forint",0,2))</f>
        <v>-915855</v>
      </c>
      <c r="Y872" s="32">
        <v>853</v>
      </c>
      <c r="Z872" s="32">
        <v>72</v>
      </c>
      <c r="AA872" s="32">
        <v>1</v>
      </c>
      <c r="AB872" s="13">
        <f t="shared" si="206"/>
        <v>0</v>
      </c>
      <c r="AC872" s="33"/>
      <c r="AD872" s="13">
        <f t="shared" si="202"/>
        <v>0</v>
      </c>
      <c r="AE872" s="13">
        <f>ROUNDUP(($AB872+$AD872)*VLOOKUP($Z872,Paraméterek!$P$38:$Q$38,2)/12,IF($D$4="Forint",0,2))</f>
        <v>0</v>
      </c>
      <c r="AF872" s="13">
        <f>IF($D$2="Egyszeri",IF($D$7&gt;=IF($D$4="Forint",Paraméterek!$P$223,Paraméterek!$P$224),$D$7-IF($D$4="Forint",Paraméterek!$F$223,Paraméterek!$F$224),0),MIN(IF($AA872=12,AVERAGE($D$20:$D872)*12,0),SUM($D$20:$D$31)))</f>
        <v>0</v>
      </c>
      <c r="AG872" s="13">
        <f>IF(AND($Z872&gt;=10,MOD($Z872,5)=0),$AF872*IF($AA872=12,VLOOKUP($Z872,Paraméterek!$B$225:$F$240,IF($AF872&lt;IF($D$4="Forint",Paraméterek!$C$223,Paraméterek!$C$224),2,IF($AF872&lt;IF($D$4="Forint",Paraméterek!$D$223,Paraméterek!$D$224),3,4))),0),0)</f>
        <v>0</v>
      </c>
      <c r="AH872" s="13">
        <f>IF(AND($Z872&gt;=5,MOD($Z872,5)=0),IF($AA872=12,VLOOKUP($Z872,Paraméterek!$B$225:$F$240,5),0),IF(OR($Z872=3,$Z872=4),IF($AA872=12,VLOOKUP($Z872,Paraméterek!$B$225:$F$240,5,0),0),0))*$AF872</f>
        <v>0</v>
      </c>
      <c r="AI872" s="13">
        <f>ROUNDDOWN(IF(SUM($T$20:$U872)=0,IF($D$2="Egyszeri",$AH872,$AG872),0),IF($D$4="Forint",0,2))</f>
        <v>0</v>
      </c>
      <c r="AJ872" s="13">
        <f t="shared" si="207"/>
        <v>0</v>
      </c>
      <c r="AK872" s="13">
        <f t="shared" si="208"/>
        <v>0</v>
      </c>
      <c r="AM872" s="32">
        <v>853</v>
      </c>
      <c r="AN872" s="32">
        <v>72</v>
      </c>
      <c r="AO872" s="32">
        <v>1</v>
      </c>
      <c r="AP872" s="13">
        <f>Tranzakciók!$K$103</f>
        <v>0</v>
      </c>
      <c r="AQ872" s="32"/>
      <c r="AR872" s="13">
        <f t="shared" si="209"/>
        <v>0</v>
      </c>
      <c r="AS872" s="33"/>
      <c r="AT872" s="13">
        <f t="shared" si="203"/>
        <v>0</v>
      </c>
      <c r="AU872" s="13">
        <f>ROUNDUP(($AR872+$AT872)*VLOOKUP($AN872,Paraméterek!$P$38:$Q$38,2)/12,IF($D$4="Forint",0,2))</f>
        <v>0</v>
      </c>
      <c r="AV872" s="13"/>
      <c r="AW872" s="13"/>
      <c r="AX872" s="13">
        <f>ROUNDUP(IF(SUM($AV872:$AW872)=0,0,IF(IF(ISBLANK($AW872),$AV872,$AW872)*Paraméterek!$J$112&lt;IF($D$4="Forint",Paraméterek!$J$113,Paraméterek!$K$113),IF($D$4="Forint",Paraméterek!$J$113,Paraméterek!$K$113),IF(IF(ISBLANK($AW872),$AV872,$AW872)*Paraméterek!$J$112&gt;IF($D$4="Forint",Paraméterek!$J$114,Paraméterek!$K$114),IF($D$4="Forint",Paraméterek!$J$114,Paraméterek!$K$114),IF(ISBLANK($AW872),$AV872,$AW872)*Paraméterek!$J$112))),IF($D$4="Forint",0,2))</f>
        <v>0</v>
      </c>
      <c r="AY872" s="13">
        <f>$AR872+$AT872-$AU872-IF(ROUNDDOWN(IF(ISBLANK($AW872),$AV872,$AW872),IF($D$4="Forint",0,2))&gt;$AR872+$AT872-$AU872-IF($D$4="Forint",Paraméterek!$J$114,Paraméterek!$K$114),0,ROUNDDOWN(IF(ISBLANK($AW872),$AV872,$AW872),IF($D$4="Forint",0,2))-$AX872)</f>
        <v>0</v>
      </c>
      <c r="AZ872" s="13">
        <f t="shared" si="204"/>
        <v>0</v>
      </c>
    </row>
    <row r="873" spans="1:52" x14ac:dyDescent="0.2">
      <c r="A873" s="32">
        <v>854</v>
      </c>
      <c r="B873" s="32">
        <v>72</v>
      </c>
      <c r="C873" s="32">
        <v>2</v>
      </c>
      <c r="D873" s="13">
        <f t="shared" si="195"/>
        <v>0</v>
      </c>
      <c r="E873" s="13"/>
      <c r="F873" s="13"/>
      <c r="G873" s="13"/>
      <c r="H873" s="13">
        <f t="shared" si="196"/>
        <v>0</v>
      </c>
      <c r="I873" s="13">
        <f t="shared" si="197"/>
        <v>0</v>
      </c>
      <c r="J873" s="13">
        <f t="shared" si="198"/>
        <v>0</v>
      </c>
      <c r="K873" s="13">
        <f>ROUNDUP(IF($D$2="Egyszeri",$D873,IF($D$2="Havi",SUM($D$20:$D$31),IF(MOD($C873,$M$1)-1=0,SUM($D$20:$D$31),0))/12*$M$1)*VLOOKUP($B873,Paraméterek!$B$27:$D$30,IF($D$2="Egyszeri",3,2)),IF($D$4="Forint",0,2))</f>
        <v>0</v>
      </c>
      <c r="L873" s="13">
        <f t="shared" si="199"/>
        <v>0</v>
      </c>
      <c r="M873" s="13">
        <f t="shared" ca="1" si="205"/>
        <v>-915855</v>
      </c>
      <c r="N873" s="13">
        <f ca="1">IF($V872&gt;=VLOOKUP($M$4-1+$B873,Paraméterek!$B$121:$D$122,IF($D$4="Forint",2,3)),0,VLOOKUP($M$4-1+$B873,Paraméterek!$B$121:$D$122,IF($D$4="Forint",2,3))-$V872)</f>
        <v>925855</v>
      </c>
      <c r="O873" s="13">
        <f ca="1">ROUNDUP($N873*Paraméterek!$C$58/Paraméterek!$C$56,IF($D$4="Forint",0,2))</f>
        <v>148</v>
      </c>
      <c r="P873" s="13">
        <f t="shared" si="200"/>
        <v>4486</v>
      </c>
      <c r="Q873" s="33"/>
      <c r="R873" s="13">
        <f t="shared" ca="1" si="201"/>
        <v>0</v>
      </c>
      <c r="S873" s="13">
        <f ca="1">ROUNDUP(($M873-$O873-$P873+$R873)*VLOOKUP($B873,Paraméterek!$B$38:$D$39,IF($D$2="Egyszeri",3,2))/12,IF($D$4="Forint",0,2))</f>
        <v>-2248</v>
      </c>
      <c r="T873" s="13"/>
      <c r="U873" s="13"/>
      <c r="V873" s="13">
        <f ca="1">$M873-$O873-$P873+$R873-$S873-IF(ROUNDUP(IF(ISBLANK($U873),$T873,$U873)/IF(AND($B873=1,$D$2&lt;&gt;"Egyszeri"),1,VLOOKUP($B873+IF($C873=12,1,0),Paraméterek!$B$257:$D$267,IF($D$2="Egyszeri",3,2))),IF($D$4="Forint",0,2))&gt;$M873-$O873-$P873+$R873-$S873-IF($D$4="Forint",Paraméterek!$C$216,Paraméterek!$D$216),0,ROUNDUP(IF(ISBLANK($U873),$T873,$U873)/IF(AND($B873=1,$D$2&lt;&gt;"Egyszeri"),1,VLOOKUP($B873+IF($C873=12,1,0),Paraméterek!$B$257:$D$267,IF($D$2="Egyszeri",3,2))),IF($D$4="Forint",0,2)))</f>
        <v>-918241</v>
      </c>
      <c r="W873" s="13">
        <f ca="1">ROUNDDOWN($V873*VLOOKUP($B873+IF($C873=12,1,0),Paraméterek!$B$257:$D$267,IF($D$2="Egyszeri",3,2)),IF($D$4="Forint",0,2))</f>
        <v>-918241</v>
      </c>
      <c r="Y873" s="32">
        <v>854</v>
      </c>
      <c r="Z873" s="32">
        <v>72</v>
      </c>
      <c r="AA873" s="32">
        <v>2</v>
      </c>
      <c r="AB873" s="13">
        <f t="shared" si="206"/>
        <v>0</v>
      </c>
      <c r="AC873" s="33"/>
      <c r="AD873" s="13">
        <f t="shared" si="202"/>
        <v>0</v>
      </c>
      <c r="AE873" s="13">
        <f>ROUNDUP(($AB873+$AD873)*VLOOKUP($Z873,Paraméterek!$P$38:$Q$38,2)/12,IF($D$4="Forint",0,2))</f>
        <v>0</v>
      </c>
      <c r="AF873" s="13">
        <f>IF($D$2="Egyszeri",IF($D$7&gt;=IF($D$4="Forint",Paraméterek!$P$223,Paraméterek!$P$224),$D$7-IF($D$4="Forint",Paraméterek!$F$223,Paraméterek!$F$224),0),MIN(IF($AA873=12,AVERAGE($D$20:$D873)*12,0),SUM($D$20:$D$31)))</f>
        <v>0</v>
      </c>
      <c r="AG873" s="13">
        <f>IF(AND($Z873&gt;=10,MOD($Z873,5)=0),$AF873*IF($AA873=12,VLOOKUP($Z873,Paraméterek!$B$225:$F$240,IF($AF873&lt;IF($D$4="Forint",Paraméterek!$C$223,Paraméterek!$C$224),2,IF($AF873&lt;IF($D$4="Forint",Paraméterek!$D$223,Paraméterek!$D$224),3,4))),0),0)</f>
        <v>0</v>
      </c>
      <c r="AH873" s="13">
        <f>IF(AND($Z873&gt;=5,MOD($Z873,5)=0),IF($AA873=12,VLOOKUP($Z873,Paraméterek!$B$225:$F$240,5),0),IF(OR($Z873=3,$Z873=4),IF($AA873=12,VLOOKUP($Z873,Paraméterek!$B$225:$F$240,5,0),0),0))*$AF873</f>
        <v>0</v>
      </c>
      <c r="AI873" s="13">
        <f>ROUNDDOWN(IF(SUM($T$20:$U873)=0,IF($D$2="Egyszeri",$AH873,$AG873),0),IF($D$4="Forint",0,2))</f>
        <v>0</v>
      </c>
      <c r="AJ873" s="13">
        <f t="shared" si="207"/>
        <v>0</v>
      </c>
      <c r="AK873" s="13">
        <f t="shared" si="208"/>
        <v>0</v>
      </c>
      <c r="AM873" s="32">
        <v>854</v>
      </c>
      <c r="AN873" s="32">
        <v>72</v>
      </c>
      <c r="AO873" s="32">
        <v>2</v>
      </c>
      <c r="AP873" s="13"/>
      <c r="AQ873" s="32"/>
      <c r="AR873" s="13">
        <f t="shared" si="209"/>
        <v>0</v>
      </c>
      <c r="AS873" s="33"/>
      <c r="AT873" s="13">
        <f t="shared" si="203"/>
        <v>0</v>
      </c>
      <c r="AU873" s="13">
        <f>ROUNDUP(($AR873+$AT873)*VLOOKUP($AN873,Paraméterek!$P$38:$Q$38,2)/12,IF($D$4="Forint",0,2))</f>
        <v>0</v>
      </c>
      <c r="AV873" s="13"/>
      <c r="AW873" s="13"/>
      <c r="AX873" s="13">
        <f>ROUNDUP(IF(SUM($AV873:$AW873)=0,0,IF(IF(ISBLANK($AW873),$AV873,$AW873)*Paraméterek!$J$112&lt;IF($D$4="Forint",Paraméterek!$J$113,Paraméterek!$K$113),IF($D$4="Forint",Paraméterek!$J$113,Paraméterek!$K$113),IF(IF(ISBLANK($AW873),$AV873,$AW873)*Paraméterek!$J$112&gt;IF($D$4="Forint",Paraméterek!$J$114,Paraméterek!$K$114),IF($D$4="Forint",Paraméterek!$J$114,Paraméterek!$K$114),IF(ISBLANK($AW873),$AV873,$AW873)*Paraméterek!$J$112))),IF($D$4="Forint",0,2))</f>
        <v>0</v>
      </c>
      <c r="AY873" s="13">
        <f>$AR873+$AT873-$AU873-IF(ROUNDDOWN(IF(ISBLANK($AW873),$AV873,$AW873),IF($D$4="Forint",0,2))&gt;$AR873+$AT873-$AU873-IF($D$4="Forint",Paraméterek!$J$114,Paraméterek!$K$114),0,ROUNDDOWN(IF(ISBLANK($AW873),$AV873,$AW873),IF($D$4="Forint",0,2))-$AX873)</f>
        <v>0</v>
      </c>
      <c r="AZ873" s="13">
        <f t="shared" si="204"/>
        <v>0</v>
      </c>
    </row>
    <row r="874" spans="1:52" x14ac:dyDescent="0.2">
      <c r="A874" s="32">
        <v>855</v>
      </c>
      <c r="B874" s="32">
        <v>72</v>
      </c>
      <c r="C874" s="32">
        <v>3</v>
      </c>
      <c r="D874" s="13">
        <f t="shared" si="195"/>
        <v>0</v>
      </c>
      <c r="E874" s="13"/>
      <c r="F874" s="13"/>
      <c r="G874" s="13"/>
      <c r="H874" s="13">
        <f t="shared" si="196"/>
        <v>0</v>
      </c>
      <c r="I874" s="13">
        <f t="shared" si="197"/>
        <v>0</v>
      </c>
      <c r="J874" s="13">
        <f t="shared" si="198"/>
        <v>0</v>
      </c>
      <c r="K874" s="13">
        <f>ROUNDUP(IF($D$2="Egyszeri",$D874,IF($D$2="Havi",SUM($D$20:$D$31),IF(MOD($C874,$M$1)-1=0,SUM($D$20:$D$31),0))/12*$M$1)*VLOOKUP($B874,Paraméterek!$B$27:$D$30,IF($D$2="Egyszeri",3,2)),IF($D$4="Forint",0,2))</f>
        <v>0</v>
      </c>
      <c r="L874" s="13">
        <f t="shared" si="199"/>
        <v>0</v>
      </c>
      <c r="M874" s="13">
        <f t="shared" ca="1" si="205"/>
        <v>-918241</v>
      </c>
      <c r="N874" s="13">
        <f ca="1">IF($V873&gt;=VLOOKUP($M$4-1+$B874,Paraméterek!$B$121:$D$122,IF($D$4="Forint",2,3)),0,VLOOKUP($M$4-1+$B874,Paraméterek!$B$121:$D$122,IF($D$4="Forint",2,3))-$V873)</f>
        <v>928241</v>
      </c>
      <c r="O874" s="13">
        <f ca="1">ROUNDUP($N874*Paraméterek!$C$58/Paraméterek!$C$56,IF($D$4="Forint",0,2))</f>
        <v>148</v>
      </c>
      <c r="P874" s="13">
        <f t="shared" si="200"/>
        <v>4486</v>
      </c>
      <c r="Q874" s="33"/>
      <c r="R874" s="13">
        <f t="shared" ca="1" si="201"/>
        <v>0</v>
      </c>
      <c r="S874" s="13">
        <f ca="1">ROUNDUP(($M874-$O874-$P874+$R874)*VLOOKUP($B874,Paraméterek!$B$38:$D$39,IF($D$2="Egyszeri",3,2))/12,IF($D$4="Forint",0,2))</f>
        <v>-2254</v>
      </c>
      <c r="T874" s="13"/>
      <c r="U874" s="13"/>
      <c r="V874" s="13">
        <f ca="1">$M874-$O874-$P874+$R874-$S874-IF(ROUNDUP(IF(ISBLANK($U874),$T874,$U874)/IF(AND($B874=1,$D$2&lt;&gt;"Egyszeri"),1,VLOOKUP($B874+IF($C874=12,1,0),Paraméterek!$B$257:$D$267,IF($D$2="Egyszeri",3,2))),IF($D$4="Forint",0,2))&gt;$M874-$O874-$P874+$R874-$S874-IF($D$4="Forint",Paraméterek!$C$216,Paraméterek!$D$216),0,ROUNDUP(IF(ISBLANK($U874),$T874,$U874)/IF(AND($B874=1,$D$2&lt;&gt;"Egyszeri"),1,VLOOKUP($B874+IF($C874=12,1,0),Paraméterek!$B$257:$D$267,IF($D$2="Egyszeri",3,2))),IF($D$4="Forint",0,2)))</f>
        <v>-920621</v>
      </c>
      <c r="W874" s="13">
        <f ca="1">ROUNDDOWN($V874*VLOOKUP($B874+IF($C874=12,1,0),Paraméterek!$B$257:$D$267,IF($D$2="Egyszeri",3,2)),IF($D$4="Forint",0,2))</f>
        <v>-920621</v>
      </c>
      <c r="Y874" s="32">
        <v>855</v>
      </c>
      <c r="Z874" s="32">
        <v>72</v>
      </c>
      <c r="AA874" s="32">
        <v>3</v>
      </c>
      <c r="AB874" s="13">
        <f t="shared" si="206"/>
        <v>0</v>
      </c>
      <c r="AC874" s="33"/>
      <c r="AD874" s="13">
        <f t="shared" si="202"/>
        <v>0</v>
      </c>
      <c r="AE874" s="13">
        <f>ROUNDUP(($AB874+$AD874)*VLOOKUP($Z874,Paraméterek!$P$38:$Q$38,2)/12,IF($D$4="Forint",0,2))</f>
        <v>0</v>
      </c>
      <c r="AF874" s="13">
        <f>IF($D$2="Egyszeri",IF($D$7&gt;=IF($D$4="Forint",Paraméterek!$P$223,Paraméterek!$P$224),$D$7-IF($D$4="Forint",Paraméterek!$F$223,Paraméterek!$F$224),0),MIN(IF($AA874=12,AVERAGE($D$20:$D874)*12,0),SUM($D$20:$D$31)))</f>
        <v>0</v>
      </c>
      <c r="AG874" s="13">
        <f>IF(AND($Z874&gt;=10,MOD($Z874,5)=0),$AF874*IF($AA874=12,VLOOKUP($Z874,Paraméterek!$B$225:$F$240,IF($AF874&lt;IF($D$4="Forint",Paraméterek!$C$223,Paraméterek!$C$224),2,IF($AF874&lt;IF($D$4="Forint",Paraméterek!$D$223,Paraméterek!$D$224),3,4))),0),0)</f>
        <v>0</v>
      </c>
      <c r="AH874" s="13">
        <f>IF(AND($Z874&gt;=5,MOD($Z874,5)=0),IF($AA874=12,VLOOKUP($Z874,Paraméterek!$B$225:$F$240,5),0),IF(OR($Z874=3,$Z874=4),IF($AA874=12,VLOOKUP($Z874,Paraméterek!$B$225:$F$240,5,0),0),0))*$AF874</f>
        <v>0</v>
      </c>
      <c r="AI874" s="13">
        <f>ROUNDDOWN(IF(SUM($T$20:$U874)=0,IF($D$2="Egyszeri",$AH874,$AG874),0),IF($D$4="Forint",0,2))</f>
        <v>0</v>
      </c>
      <c r="AJ874" s="13">
        <f t="shared" si="207"/>
        <v>0</v>
      </c>
      <c r="AK874" s="13">
        <f t="shared" si="208"/>
        <v>0</v>
      </c>
      <c r="AM874" s="32">
        <v>855</v>
      </c>
      <c r="AN874" s="32">
        <v>72</v>
      </c>
      <c r="AO874" s="32">
        <v>3</v>
      </c>
      <c r="AP874" s="13"/>
      <c r="AQ874" s="32"/>
      <c r="AR874" s="13">
        <f t="shared" si="209"/>
        <v>0</v>
      </c>
      <c r="AS874" s="33"/>
      <c r="AT874" s="13">
        <f t="shared" si="203"/>
        <v>0</v>
      </c>
      <c r="AU874" s="13">
        <f>ROUNDUP(($AR874+$AT874)*VLOOKUP($AN874,Paraméterek!$P$38:$Q$38,2)/12,IF($D$4="Forint",0,2))</f>
        <v>0</v>
      </c>
      <c r="AV874" s="13"/>
      <c r="AW874" s="13"/>
      <c r="AX874" s="13">
        <f>ROUNDUP(IF(SUM($AV874:$AW874)=0,0,IF(IF(ISBLANK($AW874),$AV874,$AW874)*Paraméterek!$J$112&lt;IF($D$4="Forint",Paraméterek!$J$113,Paraméterek!$K$113),IF($D$4="Forint",Paraméterek!$J$113,Paraméterek!$K$113),IF(IF(ISBLANK($AW874),$AV874,$AW874)*Paraméterek!$J$112&gt;IF($D$4="Forint",Paraméterek!$J$114,Paraméterek!$K$114),IF($D$4="Forint",Paraméterek!$J$114,Paraméterek!$K$114),IF(ISBLANK($AW874),$AV874,$AW874)*Paraméterek!$J$112))),IF($D$4="Forint",0,2))</f>
        <v>0</v>
      </c>
      <c r="AY874" s="13">
        <f>$AR874+$AT874-$AU874-IF(ROUNDDOWN(IF(ISBLANK($AW874),$AV874,$AW874),IF($D$4="Forint",0,2))&gt;$AR874+$AT874-$AU874-IF($D$4="Forint",Paraméterek!$J$114,Paraméterek!$K$114),0,ROUNDDOWN(IF(ISBLANK($AW874),$AV874,$AW874),IF($D$4="Forint",0,2))-$AX874)</f>
        <v>0</v>
      </c>
      <c r="AZ874" s="13">
        <f t="shared" si="204"/>
        <v>0</v>
      </c>
    </row>
    <row r="875" spans="1:52" x14ac:dyDescent="0.2">
      <c r="A875" s="32">
        <v>856</v>
      </c>
      <c r="B875" s="32">
        <v>72</v>
      </c>
      <c r="C875" s="32">
        <v>4</v>
      </c>
      <c r="D875" s="13">
        <f t="shared" si="195"/>
        <v>0</v>
      </c>
      <c r="E875" s="13"/>
      <c r="F875" s="13"/>
      <c r="G875" s="13"/>
      <c r="H875" s="13">
        <f t="shared" si="196"/>
        <v>0</v>
      </c>
      <c r="I875" s="13">
        <f t="shared" si="197"/>
        <v>0</v>
      </c>
      <c r="J875" s="13">
        <f t="shared" si="198"/>
        <v>0</v>
      </c>
      <c r="K875" s="13">
        <f>ROUNDUP(IF($D$2="Egyszeri",$D875,IF($D$2="Havi",SUM($D$20:$D$31),IF(MOD($C875,$M$1)-1=0,SUM($D$20:$D$31),0))/12*$M$1)*VLOOKUP($B875,Paraméterek!$B$27:$D$30,IF($D$2="Egyszeri",3,2)),IF($D$4="Forint",0,2))</f>
        <v>0</v>
      </c>
      <c r="L875" s="13">
        <f t="shared" si="199"/>
        <v>0</v>
      </c>
      <c r="M875" s="13">
        <f t="shared" ca="1" si="205"/>
        <v>-920621</v>
      </c>
      <c r="N875" s="13">
        <f ca="1">IF($V874&gt;=VLOOKUP($M$4-1+$B875,Paraméterek!$B$121:$D$122,IF($D$4="Forint",2,3)),0,VLOOKUP($M$4-1+$B875,Paraméterek!$B$121:$D$122,IF($D$4="Forint",2,3))-$V874)</f>
        <v>930621</v>
      </c>
      <c r="O875" s="13">
        <f ca="1">ROUNDUP($N875*Paraméterek!$C$58/Paraméterek!$C$56,IF($D$4="Forint",0,2))</f>
        <v>149</v>
      </c>
      <c r="P875" s="13">
        <f t="shared" si="200"/>
        <v>4486</v>
      </c>
      <c r="Q875" s="33"/>
      <c r="R875" s="13">
        <f t="shared" ca="1" si="201"/>
        <v>0</v>
      </c>
      <c r="S875" s="13">
        <f ca="1">ROUNDUP(($M875-$O875-$P875+$R875)*VLOOKUP($B875,Paraméterek!$B$38:$D$39,IF($D$2="Egyszeri",3,2))/12,IF($D$4="Forint",0,2))</f>
        <v>-2260</v>
      </c>
      <c r="T875" s="13"/>
      <c r="U875" s="13"/>
      <c r="V875" s="13">
        <f ca="1">$M875-$O875-$P875+$R875-$S875-IF(ROUNDUP(IF(ISBLANK($U875),$T875,$U875)/IF(AND($B875=1,$D$2&lt;&gt;"Egyszeri"),1,VLOOKUP($B875+IF($C875=12,1,0),Paraméterek!$B$257:$D$267,IF($D$2="Egyszeri",3,2))),IF($D$4="Forint",0,2))&gt;$M875-$O875-$P875+$R875-$S875-IF($D$4="Forint",Paraméterek!$C$216,Paraméterek!$D$216),0,ROUNDUP(IF(ISBLANK($U875),$T875,$U875)/IF(AND($B875=1,$D$2&lt;&gt;"Egyszeri"),1,VLOOKUP($B875+IF($C875=12,1,0),Paraméterek!$B$257:$D$267,IF($D$2="Egyszeri",3,2))),IF($D$4="Forint",0,2)))</f>
        <v>-922996</v>
      </c>
      <c r="W875" s="13">
        <f ca="1">ROUNDDOWN($V875*VLOOKUP($B875+IF($C875=12,1,0),Paraméterek!$B$257:$D$267,IF($D$2="Egyszeri",3,2)),IF($D$4="Forint",0,2))</f>
        <v>-922996</v>
      </c>
      <c r="Y875" s="32">
        <v>856</v>
      </c>
      <c r="Z875" s="32">
        <v>72</v>
      </c>
      <c r="AA875" s="32">
        <v>4</v>
      </c>
      <c r="AB875" s="13">
        <f t="shared" si="206"/>
        <v>0</v>
      </c>
      <c r="AC875" s="33"/>
      <c r="AD875" s="13">
        <f t="shared" si="202"/>
        <v>0</v>
      </c>
      <c r="AE875" s="13">
        <f>ROUNDUP(($AB875+$AD875)*VLOOKUP($Z875,Paraméterek!$P$38:$Q$38,2)/12,IF($D$4="Forint",0,2))</f>
        <v>0</v>
      </c>
      <c r="AF875" s="13">
        <f>IF($D$2="Egyszeri",IF($D$7&gt;=IF($D$4="Forint",Paraméterek!$P$223,Paraméterek!$P$224),$D$7-IF($D$4="Forint",Paraméterek!$F$223,Paraméterek!$F$224),0),MIN(IF($AA875=12,AVERAGE($D$20:$D875)*12,0),SUM($D$20:$D$31)))</f>
        <v>0</v>
      </c>
      <c r="AG875" s="13">
        <f>IF(AND($Z875&gt;=10,MOD($Z875,5)=0),$AF875*IF($AA875=12,VLOOKUP($Z875,Paraméterek!$B$225:$F$240,IF($AF875&lt;IF($D$4="Forint",Paraméterek!$C$223,Paraméterek!$C$224),2,IF($AF875&lt;IF($D$4="Forint",Paraméterek!$D$223,Paraméterek!$D$224),3,4))),0),0)</f>
        <v>0</v>
      </c>
      <c r="AH875" s="13">
        <f>IF(AND($Z875&gt;=5,MOD($Z875,5)=0),IF($AA875=12,VLOOKUP($Z875,Paraméterek!$B$225:$F$240,5),0),IF(OR($Z875=3,$Z875=4),IF($AA875=12,VLOOKUP($Z875,Paraméterek!$B$225:$F$240,5,0),0),0))*$AF875</f>
        <v>0</v>
      </c>
      <c r="AI875" s="13">
        <f>ROUNDDOWN(IF(SUM($T$20:$U875)=0,IF($D$2="Egyszeri",$AH875,$AG875),0),IF($D$4="Forint",0,2))</f>
        <v>0</v>
      </c>
      <c r="AJ875" s="13">
        <f t="shared" si="207"/>
        <v>0</v>
      </c>
      <c r="AK875" s="13">
        <f t="shared" si="208"/>
        <v>0</v>
      </c>
      <c r="AM875" s="32">
        <v>856</v>
      </c>
      <c r="AN875" s="32">
        <v>72</v>
      </c>
      <c r="AO875" s="32">
        <v>4</v>
      </c>
      <c r="AP875" s="13"/>
      <c r="AQ875" s="32"/>
      <c r="AR875" s="13">
        <f t="shared" si="209"/>
        <v>0</v>
      </c>
      <c r="AS875" s="33"/>
      <c r="AT875" s="13">
        <f t="shared" si="203"/>
        <v>0</v>
      </c>
      <c r="AU875" s="13">
        <f>ROUNDUP(($AR875+$AT875)*VLOOKUP($AN875,Paraméterek!$P$38:$Q$38,2)/12,IF($D$4="Forint",0,2))</f>
        <v>0</v>
      </c>
      <c r="AV875" s="13"/>
      <c r="AW875" s="13"/>
      <c r="AX875" s="13">
        <f>ROUNDUP(IF(SUM($AV875:$AW875)=0,0,IF(IF(ISBLANK($AW875),$AV875,$AW875)*Paraméterek!$J$112&lt;IF($D$4="Forint",Paraméterek!$J$113,Paraméterek!$K$113),IF($D$4="Forint",Paraméterek!$J$113,Paraméterek!$K$113),IF(IF(ISBLANK($AW875),$AV875,$AW875)*Paraméterek!$J$112&gt;IF($D$4="Forint",Paraméterek!$J$114,Paraméterek!$K$114),IF($D$4="Forint",Paraméterek!$J$114,Paraméterek!$K$114),IF(ISBLANK($AW875),$AV875,$AW875)*Paraméterek!$J$112))),IF($D$4="Forint",0,2))</f>
        <v>0</v>
      </c>
      <c r="AY875" s="13">
        <f>$AR875+$AT875-$AU875-IF(ROUNDDOWN(IF(ISBLANK($AW875),$AV875,$AW875),IF($D$4="Forint",0,2))&gt;$AR875+$AT875-$AU875-IF($D$4="Forint",Paraméterek!$J$114,Paraméterek!$K$114),0,ROUNDDOWN(IF(ISBLANK($AW875),$AV875,$AW875),IF($D$4="Forint",0,2))-$AX875)</f>
        <v>0</v>
      </c>
      <c r="AZ875" s="13">
        <f t="shared" si="204"/>
        <v>0</v>
      </c>
    </row>
    <row r="876" spans="1:52" x14ac:dyDescent="0.2">
      <c r="A876" s="32">
        <v>857</v>
      </c>
      <c r="B876" s="32">
        <v>72</v>
      </c>
      <c r="C876" s="32">
        <v>5</v>
      </c>
      <c r="D876" s="13">
        <f t="shared" si="195"/>
        <v>0</v>
      </c>
      <c r="E876" s="13"/>
      <c r="F876" s="13"/>
      <c r="G876" s="13"/>
      <c r="H876" s="13">
        <f t="shared" si="196"/>
        <v>0</v>
      </c>
      <c r="I876" s="13">
        <f t="shared" si="197"/>
        <v>0</v>
      </c>
      <c r="J876" s="13">
        <f t="shared" si="198"/>
        <v>0</v>
      </c>
      <c r="K876" s="13">
        <f>ROUNDUP(IF($D$2="Egyszeri",$D876,IF($D$2="Havi",SUM($D$20:$D$31),IF(MOD($C876,$M$1)-1=0,SUM($D$20:$D$31),0))/12*$M$1)*VLOOKUP($B876,Paraméterek!$B$27:$D$30,IF($D$2="Egyszeri",3,2)),IF($D$4="Forint",0,2))</f>
        <v>0</v>
      </c>
      <c r="L876" s="13">
        <f t="shared" si="199"/>
        <v>0</v>
      </c>
      <c r="M876" s="13">
        <f t="shared" ca="1" si="205"/>
        <v>-922996</v>
      </c>
      <c r="N876" s="13">
        <f ca="1">IF($V875&gt;=VLOOKUP($M$4-1+$B876,Paraméterek!$B$121:$D$122,IF($D$4="Forint",2,3)),0,VLOOKUP($M$4-1+$B876,Paraméterek!$B$121:$D$122,IF($D$4="Forint",2,3))-$V875)</f>
        <v>932996</v>
      </c>
      <c r="O876" s="13">
        <f ca="1">ROUNDUP($N876*Paraméterek!$C$58/Paraméterek!$C$56,IF($D$4="Forint",0,2))</f>
        <v>149</v>
      </c>
      <c r="P876" s="13">
        <f t="shared" si="200"/>
        <v>4486</v>
      </c>
      <c r="Q876" s="33"/>
      <c r="R876" s="13">
        <f t="shared" ca="1" si="201"/>
        <v>0</v>
      </c>
      <c r="S876" s="13">
        <f ca="1">ROUNDUP(($M876-$O876-$P876+$R876)*VLOOKUP($B876,Paraméterek!$B$38:$D$39,IF($D$2="Egyszeri",3,2))/12,IF($D$4="Forint",0,2))</f>
        <v>-2265</v>
      </c>
      <c r="T876" s="13"/>
      <c r="U876" s="13"/>
      <c r="V876" s="13">
        <f ca="1">$M876-$O876-$P876+$R876-$S876-IF(ROUNDUP(IF(ISBLANK($U876),$T876,$U876)/IF(AND($B876=1,$D$2&lt;&gt;"Egyszeri"),1,VLOOKUP($B876+IF($C876=12,1,0),Paraméterek!$B$257:$D$267,IF($D$2="Egyszeri",3,2))),IF($D$4="Forint",0,2))&gt;$M876-$O876-$P876+$R876-$S876-IF($D$4="Forint",Paraméterek!$C$216,Paraméterek!$D$216),0,ROUNDUP(IF(ISBLANK($U876),$T876,$U876)/IF(AND($B876=1,$D$2&lt;&gt;"Egyszeri"),1,VLOOKUP($B876+IF($C876=12,1,0),Paraméterek!$B$257:$D$267,IF($D$2="Egyszeri",3,2))),IF($D$4="Forint",0,2)))</f>
        <v>-925366</v>
      </c>
      <c r="W876" s="13">
        <f ca="1">ROUNDDOWN($V876*VLOOKUP($B876+IF($C876=12,1,0),Paraméterek!$B$257:$D$267,IF($D$2="Egyszeri",3,2)),IF($D$4="Forint",0,2))</f>
        <v>-925366</v>
      </c>
      <c r="Y876" s="32">
        <v>857</v>
      </c>
      <c r="Z876" s="32">
        <v>72</v>
      </c>
      <c r="AA876" s="32">
        <v>5</v>
      </c>
      <c r="AB876" s="13">
        <f t="shared" si="206"/>
        <v>0</v>
      </c>
      <c r="AC876" s="33"/>
      <c r="AD876" s="13">
        <f t="shared" si="202"/>
        <v>0</v>
      </c>
      <c r="AE876" s="13">
        <f>ROUNDUP(($AB876+$AD876)*VLOOKUP($Z876,Paraméterek!$P$38:$Q$38,2)/12,IF($D$4="Forint",0,2))</f>
        <v>0</v>
      </c>
      <c r="AF876" s="13">
        <f>IF($D$2="Egyszeri",IF($D$7&gt;=IF($D$4="Forint",Paraméterek!$P$223,Paraméterek!$P$224),$D$7-IF($D$4="Forint",Paraméterek!$F$223,Paraméterek!$F$224),0),MIN(IF($AA876=12,AVERAGE($D$20:$D876)*12,0),SUM($D$20:$D$31)))</f>
        <v>0</v>
      </c>
      <c r="AG876" s="13">
        <f>IF(AND($Z876&gt;=10,MOD($Z876,5)=0),$AF876*IF($AA876=12,VLOOKUP($Z876,Paraméterek!$B$225:$F$240,IF($AF876&lt;IF($D$4="Forint",Paraméterek!$C$223,Paraméterek!$C$224),2,IF($AF876&lt;IF($D$4="Forint",Paraméterek!$D$223,Paraméterek!$D$224),3,4))),0),0)</f>
        <v>0</v>
      </c>
      <c r="AH876" s="13">
        <f>IF(AND($Z876&gt;=5,MOD($Z876,5)=0),IF($AA876=12,VLOOKUP($Z876,Paraméterek!$B$225:$F$240,5),0),IF(OR($Z876=3,$Z876=4),IF($AA876=12,VLOOKUP($Z876,Paraméterek!$B$225:$F$240,5,0),0),0))*$AF876</f>
        <v>0</v>
      </c>
      <c r="AI876" s="13">
        <f>ROUNDDOWN(IF(SUM($T$20:$U876)=0,IF($D$2="Egyszeri",$AH876,$AG876),0),IF($D$4="Forint",0,2))</f>
        <v>0</v>
      </c>
      <c r="AJ876" s="13">
        <f t="shared" si="207"/>
        <v>0</v>
      </c>
      <c r="AK876" s="13">
        <f t="shared" si="208"/>
        <v>0</v>
      </c>
      <c r="AM876" s="32">
        <v>857</v>
      </c>
      <c r="AN876" s="32">
        <v>72</v>
      </c>
      <c r="AO876" s="32">
        <v>5</v>
      </c>
      <c r="AP876" s="13"/>
      <c r="AQ876" s="32"/>
      <c r="AR876" s="13">
        <f t="shared" si="209"/>
        <v>0</v>
      </c>
      <c r="AS876" s="33"/>
      <c r="AT876" s="13">
        <f t="shared" si="203"/>
        <v>0</v>
      </c>
      <c r="AU876" s="13">
        <f>ROUNDUP(($AR876+$AT876)*VLOOKUP($AN876,Paraméterek!$P$38:$Q$38,2)/12,IF($D$4="Forint",0,2))</f>
        <v>0</v>
      </c>
      <c r="AV876" s="13"/>
      <c r="AW876" s="13"/>
      <c r="AX876" s="13">
        <f>ROUNDUP(IF(SUM($AV876:$AW876)=0,0,IF(IF(ISBLANK($AW876),$AV876,$AW876)*Paraméterek!$J$112&lt;IF($D$4="Forint",Paraméterek!$J$113,Paraméterek!$K$113),IF($D$4="Forint",Paraméterek!$J$113,Paraméterek!$K$113),IF(IF(ISBLANK($AW876),$AV876,$AW876)*Paraméterek!$J$112&gt;IF($D$4="Forint",Paraméterek!$J$114,Paraméterek!$K$114),IF($D$4="Forint",Paraméterek!$J$114,Paraméterek!$K$114),IF(ISBLANK($AW876),$AV876,$AW876)*Paraméterek!$J$112))),IF($D$4="Forint",0,2))</f>
        <v>0</v>
      </c>
      <c r="AY876" s="13">
        <f>$AR876+$AT876-$AU876-IF(ROUNDDOWN(IF(ISBLANK($AW876),$AV876,$AW876),IF($D$4="Forint",0,2))&gt;$AR876+$AT876-$AU876-IF($D$4="Forint",Paraméterek!$J$114,Paraméterek!$K$114),0,ROUNDDOWN(IF(ISBLANK($AW876),$AV876,$AW876),IF($D$4="Forint",0,2))-$AX876)</f>
        <v>0</v>
      </c>
      <c r="AZ876" s="13">
        <f t="shared" si="204"/>
        <v>0</v>
      </c>
    </row>
    <row r="877" spans="1:52" x14ac:dyDescent="0.2">
      <c r="A877" s="32">
        <v>858</v>
      </c>
      <c r="B877" s="32">
        <v>72</v>
      </c>
      <c r="C877" s="32">
        <v>6</v>
      </c>
      <c r="D877" s="13">
        <f t="shared" si="195"/>
        <v>0</v>
      </c>
      <c r="E877" s="13"/>
      <c r="F877" s="13"/>
      <c r="G877" s="13"/>
      <c r="H877" s="13">
        <f t="shared" si="196"/>
        <v>0</v>
      </c>
      <c r="I877" s="13">
        <f t="shared" si="197"/>
        <v>0</v>
      </c>
      <c r="J877" s="13">
        <f t="shared" si="198"/>
        <v>0</v>
      </c>
      <c r="K877" s="13">
        <f>ROUNDUP(IF($D$2="Egyszeri",$D877,IF($D$2="Havi",SUM($D$20:$D$31),IF(MOD($C877,$M$1)-1=0,SUM($D$20:$D$31),0))/12*$M$1)*VLOOKUP($B877,Paraméterek!$B$27:$D$30,IF($D$2="Egyszeri",3,2)),IF($D$4="Forint",0,2))</f>
        <v>0</v>
      </c>
      <c r="L877" s="13">
        <f t="shared" si="199"/>
        <v>0</v>
      </c>
      <c r="M877" s="13">
        <f t="shared" ca="1" si="205"/>
        <v>-925366</v>
      </c>
      <c r="N877" s="13">
        <f ca="1">IF($V876&gt;=VLOOKUP($M$4-1+$B877,Paraméterek!$B$121:$D$122,IF($D$4="Forint",2,3)),0,VLOOKUP($M$4-1+$B877,Paraméterek!$B$121:$D$122,IF($D$4="Forint",2,3))-$V876)</f>
        <v>935366</v>
      </c>
      <c r="O877" s="13">
        <f ca="1">ROUNDUP($N877*Paraméterek!$C$58/Paraméterek!$C$56,IF($D$4="Forint",0,2))</f>
        <v>149</v>
      </c>
      <c r="P877" s="13">
        <f t="shared" si="200"/>
        <v>4486</v>
      </c>
      <c r="Q877" s="33"/>
      <c r="R877" s="13">
        <f t="shared" ca="1" si="201"/>
        <v>0</v>
      </c>
      <c r="S877" s="13">
        <f ca="1">ROUNDUP(($M877-$O877-$P877+$R877)*VLOOKUP($B877,Paraméterek!$B$38:$D$39,IF($D$2="Egyszeri",3,2))/12,IF($D$4="Forint",0,2))</f>
        <v>-2271</v>
      </c>
      <c r="T877" s="13"/>
      <c r="U877" s="13"/>
      <c r="V877" s="13">
        <f ca="1">$M877-$O877-$P877+$R877-$S877-IF(ROUNDUP(IF(ISBLANK($U877),$T877,$U877)/IF(AND($B877=1,$D$2&lt;&gt;"Egyszeri"),1,VLOOKUP($B877+IF($C877=12,1,0),Paraméterek!$B$257:$D$267,IF($D$2="Egyszeri",3,2))),IF($D$4="Forint",0,2))&gt;$M877-$O877-$P877+$R877-$S877-IF($D$4="Forint",Paraméterek!$C$216,Paraméterek!$D$216),0,ROUNDUP(IF(ISBLANK($U877),$T877,$U877)/IF(AND($B877=1,$D$2&lt;&gt;"Egyszeri"),1,VLOOKUP($B877+IF($C877=12,1,0),Paraméterek!$B$257:$D$267,IF($D$2="Egyszeri",3,2))),IF($D$4="Forint",0,2)))</f>
        <v>-927730</v>
      </c>
      <c r="W877" s="13">
        <f ca="1">ROUNDDOWN($V877*VLOOKUP($B877+IF($C877=12,1,0),Paraméterek!$B$257:$D$267,IF($D$2="Egyszeri",3,2)),IF($D$4="Forint",0,2))</f>
        <v>-927730</v>
      </c>
      <c r="Y877" s="32">
        <v>858</v>
      </c>
      <c r="Z877" s="32">
        <v>72</v>
      </c>
      <c r="AA877" s="32">
        <v>6</v>
      </c>
      <c r="AB877" s="13">
        <f t="shared" si="206"/>
        <v>0</v>
      </c>
      <c r="AC877" s="33"/>
      <c r="AD877" s="13">
        <f t="shared" si="202"/>
        <v>0</v>
      </c>
      <c r="AE877" s="13">
        <f>ROUNDUP(($AB877+$AD877)*VLOOKUP($Z877,Paraméterek!$P$38:$Q$38,2)/12,IF($D$4="Forint",0,2))</f>
        <v>0</v>
      </c>
      <c r="AF877" s="13">
        <f>IF($D$2="Egyszeri",IF($D$7&gt;=IF($D$4="Forint",Paraméterek!$P$223,Paraméterek!$P$224),$D$7-IF($D$4="Forint",Paraméterek!$F$223,Paraméterek!$F$224),0),MIN(IF($AA877=12,AVERAGE($D$20:$D877)*12,0),SUM($D$20:$D$31)))</f>
        <v>0</v>
      </c>
      <c r="AG877" s="13">
        <f>IF(AND($Z877&gt;=10,MOD($Z877,5)=0),$AF877*IF($AA877=12,VLOOKUP($Z877,Paraméterek!$B$225:$F$240,IF($AF877&lt;IF($D$4="Forint",Paraméterek!$C$223,Paraméterek!$C$224),2,IF($AF877&lt;IF($D$4="Forint",Paraméterek!$D$223,Paraméterek!$D$224),3,4))),0),0)</f>
        <v>0</v>
      </c>
      <c r="AH877" s="13">
        <f>IF(AND($Z877&gt;=5,MOD($Z877,5)=0),IF($AA877=12,VLOOKUP($Z877,Paraméterek!$B$225:$F$240,5),0),IF(OR($Z877=3,$Z877=4),IF($AA877=12,VLOOKUP($Z877,Paraméterek!$B$225:$F$240,5,0),0),0))*$AF877</f>
        <v>0</v>
      </c>
      <c r="AI877" s="13">
        <f>ROUNDDOWN(IF(SUM($T$20:$U877)=0,IF($D$2="Egyszeri",$AH877,$AG877),0),IF($D$4="Forint",0,2))</f>
        <v>0</v>
      </c>
      <c r="AJ877" s="13">
        <f t="shared" si="207"/>
        <v>0</v>
      </c>
      <c r="AK877" s="13">
        <f t="shared" si="208"/>
        <v>0</v>
      </c>
      <c r="AM877" s="32">
        <v>858</v>
      </c>
      <c r="AN877" s="32">
        <v>72</v>
      </c>
      <c r="AO877" s="32">
        <v>6</v>
      </c>
      <c r="AP877" s="13"/>
      <c r="AQ877" s="32"/>
      <c r="AR877" s="13">
        <f t="shared" si="209"/>
        <v>0</v>
      </c>
      <c r="AS877" s="33"/>
      <c r="AT877" s="13">
        <f t="shared" si="203"/>
        <v>0</v>
      </c>
      <c r="AU877" s="13">
        <f>ROUNDUP(($AR877+$AT877)*VLOOKUP($AN877,Paraméterek!$P$38:$Q$38,2)/12,IF($D$4="Forint",0,2))</f>
        <v>0</v>
      </c>
      <c r="AV877" s="13"/>
      <c r="AW877" s="13"/>
      <c r="AX877" s="13">
        <f>ROUNDUP(IF(SUM($AV877:$AW877)=0,0,IF(IF(ISBLANK($AW877),$AV877,$AW877)*Paraméterek!$J$112&lt;IF($D$4="Forint",Paraméterek!$J$113,Paraméterek!$K$113),IF($D$4="Forint",Paraméterek!$J$113,Paraméterek!$K$113),IF(IF(ISBLANK($AW877),$AV877,$AW877)*Paraméterek!$J$112&gt;IF($D$4="Forint",Paraméterek!$J$114,Paraméterek!$K$114),IF($D$4="Forint",Paraméterek!$J$114,Paraméterek!$K$114),IF(ISBLANK($AW877),$AV877,$AW877)*Paraméterek!$J$112))),IF($D$4="Forint",0,2))</f>
        <v>0</v>
      </c>
      <c r="AY877" s="13">
        <f>$AR877+$AT877-$AU877-IF(ROUNDDOWN(IF(ISBLANK($AW877),$AV877,$AW877),IF($D$4="Forint",0,2))&gt;$AR877+$AT877-$AU877-IF($D$4="Forint",Paraméterek!$J$114,Paraméterek!$K$114),0,ROUNDDOWN(IF(ISBLANK($AW877),$AV877,$AW877),IF($D$4="Forint",0,2))-$AX877)</f>
        <v>0</v>
      </c>
      <c r="AZ877" s="13">
        <f t="shared" si="204"/>
        <v>0</v>
      </c>
    </row>
    <row r="878" spans="1:52" x14ac:dyDescent="0.2">
      <c r="A878" s="32">
        <v>859</v>
      </c>
      <c r="B878" s="32">
        <v>72</v>
      </c>
      <c r="C878" s="32">
        <v>7</v>
      </c>
      <c r="D878" s="13">
        <f t="shared" si="195"/>
        <v>0</v>
      </c>
      <c r="E878" s="13"/>
      <c r="F878" s="13"/>
      <c r="G878" s="13"/>
      <c r="H878" s="13">
        <f t="shared" si="196"/>
        <v>0</v>
      </c>
      <c r="I878" s="13">
        <f t="shared" si="197"/>
        <v>0</v>
      </c>
      <c r="J878" s="13">
        <f t="shared" si="198"/>
        <v>0</v>
      </c>
      <c r="K878" s="13">
        <f>ROUNDUP(IF($D$2="Egyszeri",$D878,IF($D$2="Havi",SUM($D$20:$D$31),IF(MOD($C878,$M$1)-1=0,SUM($D$20:$D$31),0))/12*$M$1)*VLOOKUP($B878,Paraméterek!$B$27:$D$30,IF($D$2="Egyszeri",3,2)),IF($D$4="Forint",0,2))</f>
        <v>0</v>
      </c>
      <c r="L878" s="13">
        <f t="shared" si="199"/>
        <v>0</v>
      </c>
      <c r="M878" s="13">
        <f t="shared" ca="1" si="205"/>
        <v>-927730</v>
      </c>
      <c r="N878" s="13">
        <f ca="1">IF($V877&gt;=VLOOKUP($M$4-1+$B878,Paraméterek!$B$121:$D$122,IF($D$4="Forint",2,3)),0,VLOOKUP($M$4-1+$B878,Paraméterek!$B$121:$D$122,IF($D$4="Forint",2,3))-$V877)</f>
        <v>937730</v>
      </c>
      <c r="O878" s="13">
        <f ca="1">ROUNDUP($N878*Paraméterek!$C$58/Paraméterek!$C$56,IF($D$4="Forint",0,2))</f>
        <v>150</v>
      </c>
      <c r="P878" s="13">
        <f t="shared" si="200"/>
        <v>4486</v>
      </c>
      <c r="Q878" s="33"/>
      <c r="R878" s="13">
        <f t="shared" ca="1" si="201"/>
        <v>0</v>
      </c>
      <c r="S878" s="13">
        <f ca="1">ROUNDUP(($M878-$O878-$P878+$R878)*VLOOKUP($B878,Paraméterek!$B$38:$D$39,IF($D$2="Egyszeri",3,2))/12,IF($D$4="Forint",0,2))</f>
        <v>-2277</v>
      </c>
      <c r="T878" s="13"/>
      <c r="U878" s="13"/>
      <c r="V878" s="13">
        <f ca="1">$M878-$O878-$P878+$R878-$S878-IF(ROUNDUP(IF(ISBLANK($U878),$T878,$U878)/IF(AND($B878=1,$D$2&lt;&gt;"Egyszeri"),1,VLOOKUP($B878+IF($C878=12,1,0),Paraméterek!$B$257:$D$267,IF($D$2="Egyszeri",3,2))),IF($D$4="Forint",0,2))&gt;$M878-$O878-$P878+$R878-$S878-IF($D$4="Forint",Paraméterek!$C$216,Paraméterek!$D$216),0,ROUNDUP(IF(ISBLANK($U878),$T878,$U878)/IF(AND($B878=1,$D$2&lt;&gt;"Egyszeri"),1,VLOOKUP($B878+IF($C878=12,1,0),Paraméterek!$B$257:$D$267,IF($D$2="Egyszeri",3,2))),IF($D$4="Forint",0,2)))</f>
        <v>-930089</v>
      </c>
      <c r="W878" s="13">
        <f ca="1">ROUNDDOWN($V878*VLOOKUP($B878+IF($C878=12,1,0),Paraméterek!$B$257:$D$267,IF($D$2="Egyszeri",3,2)),IF($D$4="Forint",0,2))</f>
        <v>-930089</v>
      </c>
      <c r="Y878" s="32">
        <v>859</v>
      </c>
      <c r="Z878" s="32">
        <v>72</v>
      </c>
      <c r="AA878" s="32">
        <v>7</v>
      </c>
      <c r="AB878" s="13">
        <f t="shared" si="206"/>
        <v>0</v>
      </c>
      <c r="AC878" s="33"/>
      <c r="AD878" s="13">
        <f t="shared" si="202"/>
        <v>0</v>
      </c>
      <c r="AE878" s="13">
        <f>ROUNDUP(($AB878+$AD878)*VLOOKUP($Z878,Paraméterek!$P$38:$Q$38,2)/12,IF($D$4="Forint",0,2))</f>
        <v>0</v>
      </c>
      <c r="AF878" s="13">
        <f>IF($D$2="Egyszeri",IF($D$7&gt;=IF($D$4="Forint",Paraméterek!$P$223,Paraméterek!$P$224),$D$7-IF($D$4="Forint",Paraméterek!$F$223,Paraméterek!$F$224),0),MIN(IF($AA878=12,AVERAGE($D$20:$D878)*12,0),SUM($D$20:$D$31)))</f>
        <v>0</v>
      </c>
      <c r="AG878" s="13">
        <f>IF(AND($Z878&gt;=10,MOD($Z878,5)=0),$AF878*IF($AA878=12,VLOOKUP($Z878,Paraméterek!$B$225:$F$240,IF($AF878&lt;IF($D$4="Forint",Paraméterek!$C$223,Paraméterek!$C$224),2,IF($AF878&lt;IF($D$4="Forint",Paraméterek!$D$223,Paraméterek!$D$224),3,4))),0),0)</f>
        <v>0</v>
      </c>
      <c r="AH878" s="13">
        <f>IF(AND($Z878&gt;=5,MOD($Z878,5)=0),IF($AA878=12,VLOOKUP($Z878,Paraméterek!$B$225:$F$240,5),0),IF(OR($Z878=3,$Z878=4),IF($AA878=12,VLOOKUP($Z878,Paraméterek!$B$225:$F$240,5,0),0),0))*$AF878</f>
        <v>0</v>
      </c>
      <c r="AI878" s="13">
        <f>ROUNDDOWN(IF(SUM($T$20:$U878)=0,IF($D$2="Egyszeri",$AH878,$AG878),0),IF($D$4="Forint",0,2))</f>
        <v>0</v>
      </c>
      <c r="AJ878" s="13">
        <f t="shared" si="207"/>
        <v>0</v>
      </c>
      <c r="AK878" s="13">
        <f t="shared" si="208"/>
        <v>0</v>
      </c>
      <c r="AM878" s="32">
        <v>859</v>
      </c>
      <c r="AN878" s="32">
        <v>72</v>
      </c>
      <c r="AO878" s="32">
        <v>7</v>
      </c>
      <c r="AP878" s="13"/>
      <c r="AQ878" s="32"/>
      <c r="AR878" s="13">
        <f t="shared" si="209"/>
        <v>0</v>
      </c>
      <c r="AS878" s="33"/>
      <c r="AT878" s="13">
        <f t="shared" si="203"/>
        <v>0</v>
      </c>
      <c r="AU878" s="13">
        <f>ROUNDUP(($AR878+$AT878)*VLOOKUP($AN878,Paraméterek!$P$38:$Q$38,2)/12,IF($D$4="Forint",0,2))</f>
        <v>0</v>
      </c>
      <c r="AV878" s="13"/>
      <c r="AW878" s="13"/>
      <c r="AX878" s="13">
        <f>ROUNDUP(IF(SUM($AV878:$AW878)=0,0,IF(IF(ISBLANK($AW878),$AV878,$AW878)*Paraméterek!$J$112&lt;IF($D$4="Forint",Paraméterek!$J$113,Paraméterek!$K$113),IF($D$4="Forint",Paraméterek!$J$113,Paraméterek!$K$113),IF(IF(ISBLANK($AW878),$AV878,$AW878)*Paraméterek!$J$112&gt;IF($D$4="Forint",Paraméterek!$J$114,Paraméterek!$K$114),IF($D$4="Forint",Paraméterek!$J$114,Paraméterek!$K$114),IF(ISBLANK($AW878),$AV878,$AW878)*Paraméterek!$J$112))),IF($D$4="Forint",0,2))</f>
        <v>0</v>
      </c>
      <c r="AY878" s="13">
        <f>$AR878+$AT878-$AU878-IF(ROUNDDOWN(IF(ISBLANK($AW878),$AV878,$AW878),IF($D$4="Forint",0,2))&gt;$AR878+$AT878-$AU878-IF($D$4="Forint",Paraméterek!$J$114,Paraméterek!$K$114),0,ROUNDDOWN(IF(ISBLANK($AW878),$AV878,$AW878),IF($D$4="Forint",0,2))-$AX878)</f>
        <v>0</v>
      </c>
      <c r="AZ878" s="13">
        <f t="shared" si="204"/>
        <v>0</v>
      </c>
    </row>
    <row r="879" spans="1:52" x14ac:dyDescent="0.2">
      <c r="A879" s="32">
        <v>860</v>
      </c>
      <c r="B879" s="32">
        <v>72</v>
      </c>
      <c r="C879" s="32">
        <v>8</v>
      </c>
      <c r="D879" s="13">
        <f t="shared" si="195"/>
        <v>0</v>
      </c>
      <c r="E879" s="13"/>
      <c r="F879" s="13"/>
      <c r="G879" s="13"/>
      <c r="H879" s="13">
        <f t="shared" si="196"/>
        <v>0</v>
      </c>
      <c r="I879" s="13">
        <f t="shared" si="197"/>
        <v>0</v>
      </c>
      <c r="J879" s="13">
        <f t="shared" si="198"/>
        <v>0</v>
      </c>
      <c r="K879" s="13">
        <f>ROUNDUP(IF($D$2="Egyszeri",$D879,IF($D$2="Havi",SUM($D$20:$D$31),IF(MOD($C879,$M$1)-1=0,SUM($D$20:$D$31),0))/12*$M$1)*VLOOKUP($B879,Paraméterek!$B$27:$D$30,IF($D$2="Egyszeri",3,2)),IF($D$4="Forint",0,2))</f>
        <v>0</v>
      </c>
      <c r="L879" s="13">
        <f t="shared" si="199"/>
        <v>0</v>
      </c>
      <c r="M879" s="13">
        <f t="shared" ca="1" si="205"/>
        <v>-930089</v>
      </c>
      <c r="N879" s="13">
        <f ca="1">IF($V878&gt;=VLOOKUP($M$4-1+$B879,Paraméterek!$B$121:$D$122,IF($D$4="Forint",2,3)),0,VLOOKUP($M$4-1+$B879,Paraméterek!$B$121:$D$122,IF($D$4="Forint",2,3))-$V878)</f>
        <v>940089</v>
      </c>
      <c r="O879" s="13">
        <f ca="1">ROUNDUP($N879*Paraméterek!$C$58/Paraméterek!$C$56,IF($D$4="Forint",0,2))</f>
        <v>150</v>
      </c>
      <c r="P879" s="13">
        <f t="shared" si="200"/>
        <v>4486</v>
      </c>
      <c r="Q879" s="33"/>
      <c r="R879" s="13">
        <f t="shared" ca="1" si="201"/>
        <v>0</v>
      </c>
      <c r="S879" s="13">
        <f ca="1">ROUNDUP(($M879-$O879-$P879+$R879)*VLOOKUP($B879,Paraméterek!$B$38:$D$39,IF($D$2="Egyszeri",3,2))/12,IF($D$4="Forint",0,2))</f>
        <v>-2283</v>
      </c>
      <c r="T879" s="13"/>
      <c r="U879" s="13"/>
      <c r="V879" s="13">
        <f ca="1">$M879-$O879-$P879+$R879-$S879-IF(ROUNDUP(IF(ISBLANK($U879),$T879,$U879)/IF(AND($B879=1,$D$2&lt;&gt;"Egyszeri"),1,VLOOKUP($B879+IF($C879=12,1,0),Paraméterek!$B$257:$D$267,IF($D$2="Egyszeri",3,2))),IF($D$4="Forint",0,2))&gt;$M879-$O879-$P879+$R879-$S879-IF($D$4="Forint",Paraméterek!$C$216,Paraméterek!$D$216),0,ROUNDUP(IF(ISBLANK($U879),$T879,$U879)/IF(AND($B879=1,$D$2&lt;&gt;"Egyszeri"),1,VLOOKUP($B879+IF($C879=12,1,0),Paraméterek!$B$257:$D$267,IF($D$2="Egyszeri",3,2))),IF($D$4="Forint",0,2)))</f>
        <v>-932442</v>
      </c>
      <c r="W879" s="13">
        <f ca="1">ROUNDDOWN($V879*VLOOKUP($B879+IF($C879=12,1,0),Paraméterek!$B$257:$D$267,IF($D$2="Egyszeri",3,2)),IF($D$4="Forint",0,2))</f>
        <v>-932442</v>
      </c>
      <c r="Y879" s="32">
        <v>860</v>
      </c>
      <c r="Z879" s="32">
        <v>72</v>
      </c>
      <c r="AA879" s="32">
        <v>8</v>
      </c>
      <c r="AB879" s="13">
        <f t="shared" si="206"/>
        <v>0</v>
      </c>
      <c r="AC879" s="33"/>
      <c r="AD879" s="13">
        <f t="shared" si="202"/>
        <v>0</v>
      </c>
      <c r="AE879" s="13">
        <f>ROUNDUP(($AB879+$AD879)*VLOOKUP($Z879,Paraméterek!$P$38:$Q$38,2)/12,IF($D$4="Forint",0,2))</f>
        <v>0</v>
      </c>
      <c r="AF879" s="13">
        <f>IF($D$2="Egyszeri",IF($D$7&gt;=IF($D$4="Forint",Paraméterek!$P$223,Paraméterek!$P$224),$D$7-IF($D$4="Forint",Paraméterek!$F$223,Paraméterek!$F$224),0),MIN(IF($AA879=12,AVERAGE($D$20:$D879)*12,0),SUM($D$20:$D$31)))</f>
        <v>0</v>
      </c>
      <c r="AG879" s="13">
        <f>IF(AND($Z879&gt;=10,MOD($Z879,5)=0),$AF879*IF($AA879=12,VLOOKUP($Z879,Paraméterek!$B$225:$F$240,IF($AF879&lt;IF($D$4="Forint",Paraméterek!$C$223,Paraméterek!$C$224),2,IF($AF879&lt;IF($D$4="Forint",Paraméterek!$D$223,Paraméterek!$D$224),3,4))),0),0)</f>
        <v>0</v>
      </c>
      <c r="AH879" s="13">
        <f>IF(AND($Z879&gt;=5,MOD($Z879,5)=0),IF($AA879=12,VLOOKUP($Z879,Paraméterek!$B$225:$F$240,5),0),IF(OR($Z879=3,$Z879=4),IF($AA879=12,VLOOKUP($Z879,Paraméterek!$B$225:$F$240,5,0),0),0))*$AF879</f>
        <v>0</v>
      </c>
      <c r="AI879" s="13">
        <f>ROUNDDOWN(IF(SUM($T$20:$U879)=0,IF($D$2="Egyszeri",$AH879,$AG879),0),IF($D$4="Forint",0,2))</f>
        <v>0</v>
      </c>
      <c r="AJ879" s="13">
        <f t="shared" si="207"/>
        <v>0</v>
      </c>
      <c r="AK879" s="13">
        <f t="shared" si="208"/>
        <v>0</v>
      </c>
      <c r="AM879" s="32">
        <v>860</v>
      </c>
      <c r="AN879" s="32">
        <v>72</v>
      </c>
      <c r="AO879" s="32">
        <v>8</v>
      </c>
      <c r="AP879" s="13"/>
      <c r="AQ879" s="32"/>
      <c r="AR879" s="13">
        <f t="shared" si="209"/>
        <v>0</v>
      </c>
      <c r="AS879" s="33"/>
      <c r="AT879" s="13">
        <f t="shared" si="203"/>
        <v>0</v>
      </c>
      <c r="AU879" s="13">
        <f>ROUNDUP(($AR879+$AT879)*VLOOKUP($AN879,Paraméterek!$P$38:$Q$38,2)/12,IF($D$4="Forint",0,2))</f>
        <v>0</v>
      </c>
      <c r="AV879" s="13"/>
      <c r="AW879" s="13"/>
      <c r="AX879" s="13">
        <f>ROUNDUP(IF(SUM($AV879:$AW879)=0,0,IF(IF(ISBLANK($AW879),$AV879,$AW879)*Paraméterek!$J$112&lt;IF($D$4="Forint",Paraméterek!$J$113,Paraméterek!$K$113),IF($D$4="Forint",Paraméterek!$J$113,Paraméterek!$K$113),IF(IF(ISBLANK($AW879),$AV879,$AW879)*Paraméterek!$J$112&gt;IF($D$4="Forint",Paraméterek!$J$114,Paraméterek!$K$114),IF($D$4="Forint",Paraméterek!$J$114,Paraméterek!$K$114),IF(ISBLANK($AW879),$AV879,$AW879)*Paraméterek!$J$112))),IF($D$4="Forint",0,2))</f>
        <v>0</v>
      </c>
      <c r="AY879" s="13">
        <f>$AR879+$AT879-$AU879-IF(ROUNDDOWN(IF(ISBLANK($AW879),$AV879,$AW879),IF($D$4="Forint",0,2))&gt;$AR879+$AT879-$AU879-IF($D$4="Forint",Paraméterek!$J$114,Paraméterek!$K$114),0,ROUNDDOWN(IF(ISBLANK($AW879),$AV879,$AW879),IF($D$4="Forint",0,2))-$AX879)</f>
        <v>0</v>
      </c>
      <c r="AZ879" s="13">
        <f t="shared" si="204"/>
        <v>0</v>
      </c>
    </row>
    <row r="880" spans="1:52" x14ac:dyDescent="0.2">
      <c r="A880" s="32">
        <v>861</v>
      </c>
      <c r="B880" s="32">
        <v>72</v>
      </c>
      <c r="C880" s="32">
        <v>9</v>
      </c>
      <c r="D880" s="13">
        <f t="shared" si="195"/>
        <v>0</v>
      </c>
      <c r="E880" s="13"/>
      <c r="F880" s="13"/>
      <c r="G880" s="13"/>
      <c r="H880" s="13">
        <f t="shared" si="196"/>
        <v>0</v>
      </c>
      <c r="I880" s="13">
        <f t="shared" si="197"/>
        <v>0</v>
      </c>
      <c r="J880" s="13">
        <f t="shared" si="198"/>
        <v>0</v>
      </c>
      <c r="K880" s="13">
        <f>ROUNDUP(IF($D$2="Egyszeri",$D880,IF($D$2="Havi",SUM($D$20:$D$31),IF(MOD($C880,$M$1)-1=0,SUM($D$20:$D$31),0))/12*$M$1)*VLOOKUP($B880,Paraméterek!$B$27:$D$30,IF($D$2="Egyszeri",3,2)),IF($D$4="Forint",0,2))</f>
        <v>0</v>
      </c>
      <c r="L880" s="13">
        <f t="shared" si="199"/>
        <v>0</v>
      </c>
      <c r="M880" s="13">
        <f t="shared" ca="1" si="205"/>
        <v>-932442</v>
      </c>
      <c r="N880" s="13">
        <f ca="1">IF($V879&gt;=VLOOKUP($M$4-1+$B880,Paraméterek!$B$121:$D$122,IF($D$4="Forint",2,3)),0,VLOOKUP($M$4-1+$B880,Paraméterek!$B$121:$D$122,IF($D$4="Forint",2,3))-$V879)</f>
        <v>942442</v>
      </c>
      <c r="O880" s="13">
        <f ca="1">ROUNDUP($N880*Paraméterek!$C$58/Paraméterek!$C$56,IF($D$4="Forint",0,2))</f>
        <v>151</v>
      </c>
      <c r="P880" s="13">
        <f t="shared" si="200"/>
        <v>4486</v>
      </c>
      <c r="Q880" s="33"/>
      <c r="R880" s="13">
        <f t="shared" ca="1" si="201"/>
        <v>0</v>
      </c>
      <c r="S880" s="13">
        <f ca="1">ROUNDUP(($M880-$O880-$P880+$R880)*VLOOKUP($B880,Paraméterek!$B$38:$D$39,IF($D$2="Egyszeri",3,2))/12,IF($D$4="Forint",0,2))</f>
        <v>-2289</v>
      </c>
      <c r="T880" s="13"/>
      <c r="U880" s="13"/>
      <c r="V880" s="13">
        <f ca="1">$M880-$O880-$P880+$R880-$S880-IF(ROUNDUP(IF(ISBLANK($U880),$T880,$U880)/IF(AND($B880=1,$D$2&lt;&gt;"Egyszeri"),1,VLOOKUP($B880+IF($C880=12,1,0),Paraméterek!$B$257:$D$267,IF($D$2="Egyszeri",3,2))),IF($D$4="Forint",0,2))&gt;$M880-$O880-$P880+$R880-$S880-IF($D$4="Forint",Paraméterek!$C$216,Paraméterek!$D$216),0,ROUNDUP(IF(ISBLANK($U880),$T880,$U880)/IF(AND($B880=1,$D$2&lt;&gt;"Egyszeri"),1,VLOOKUP($B880+IF($C880=12,1,0),Paraméterek!$B$257:$D$267,IF($D$2="Egyszeri",3,2))),IF($D$4="Forint",0,2)))</f>
        <v>-934790</v>
      </c>
      <c r="W880" s="13">
        <f ca="1">ROUNDDOWN($V880*VLOOKUP($B880+IF($C880=12,1,0),Paraméterek!$B$257:$D$267,IF($D$2="Egyszeri",3,2)),IF($D$4="Forint",0,2))</f>
        <v>-934790</v>
      </c>
      <c r="Y880" s="32">
        <v>861</v>
      </c>
      <c r="Z880" s="32">
        <v>72</v>
      </c>
      <c r="AA880" s="32">
        <v>9</v>
      </c>
      <c r="AB880" s="13">
        <f t="shared" si="206"/>
        <v>0</v>
      </c>
      <c r="AC880" s="33"/>
      <c r="AD880" s="13">
        <f t="shared" si="202"/>
        <v>0</v>
      </c>
      <c r="AE880" s="13">
        <f>ROUNDUP(($AB880+$AD880)*VLOOKUP($Z880,Paraméterek!$P$38:$Q$38,2)/12,IF($D$4="Forint",0,2))</f>
        <v>0</v>
      </c>
      <c r="AF880" s="13">
        <f>IF($D$2="Egyszeri",IF($D$7&gt;=IF($D$4="Forint",Paraméterek!$P$223,Paraméterek!$P$224),$D$7-IF($D$4="Forint",Paraméterek!$F$223,Paraméterek!$F$224),0),MIN(IF($AA880=12,AVERAGE($D$20:$D880)*12,0),SUM($D$20:$D$31)))</f>
        <v>0</v>
      </c>
      <c r="AG880" s="13">
        <f>IF(AND($Z880&gt;=10,MOD($Z880,5)=0),$AF880*IF($AA880=12,VLOOKUP($Z880,Paraméterek!$B$225:$F$240,IF($AF880&lt;IF($D$4="Forint",Paraméterek!$C$223,Paraméterek!$C$224),2,IF($AF880&lt;IF($D$4="Forint",Paraméterek!$D$223,Paraméterek!$D$224),3,4))),0),0)</f>
        <v>0</v>
      </c>
      <c r="AH880" s="13">
        <f>IF(AND($Z880&gt;=5,MOD($Z880,5)=0),IF($AA880=12,VLOOKUP($Z880,Paraméterek!$B$225:$F$240,5),0),IF(OR($Z880=3,$Z880=4),IF($AA880=12,VLOOKUP($Z880,Paraméterek!$B$225:$F$240,5,0),0),0))*$AF880</f>
        <v>0</v>
      </c>
      <c r="AI880" s="13">
        <f>ROUNDDOWN(IF(SUM($T$20:$U880)=0,IF($D$2="Egyszeri",$AH880,$AG880),0),IF($D$4="Forint",0,2))</f>
        <v>0</v>
      </c>
      <c r="AJ880" s="13">
        <f t="shared" si="207"/>
        <v>0</v>
      </c>
      <c r="AK880" s="13">
        <f t="shared" si="208"/>
        <v>0</v>
      </c>
      <c r="AM880" s="32">
        <v>861</v>
      </c>
      <c r="AN880" s="32">
        <v>72</v>
      </c>
      <c r="AO880" s="32">
        <v>9</v>
      </c>
      <c r="AP880" s="13"/>
      <c r="AQ880" s="32"/>
      <c r="AR880" s="13">
        <f t="shared" si="209"/>
        <v>0</v>
      </c>
      <c r="AS880" s="33"/>
      <c r="AT880" s="13">
        <f t="shared" si="203"/>
        <v>0</v>
      </c>
      <c r="AU880" s="13">
        <f>ROUNDUP(($AR880+$AT880)*VLOOKUP($AN880,Paraméterek!$P$38:$Q$38,2)/12,IF($D$4="Forint",0,2))</f>
        <v>0</v>
      </c>
      <c r="AV880" s="13"/>
      <c r="AW880" s="13"/>
      <c r="AX880" s="13">
        <f>ROUNDUP(IF(SUM($AV880:$AW880)=0,0,IF(IF(ISBLANK($AW880),$AV880,$AW880)*Paraméterek!$J$112&lt;IF($D$4="Forint",Paraméterek!$J$113,Paraméterek!$K$113),IF($D$4="Forint",Paraméterek!$J$113,Paraméterek!$K$113),IF(IF(ISBLANK($AW880),$AV880,$AW880)*Paraméterek!$J$112&gt;IF($D$4="Forint",Paraméterek!$J$114,Paraméterek!$K$114),IF($D$4="Forint",Paraméterek!$J$114,Paraméterek!$K$114),IF(ISBLANK($AW880),$AV880,$AW880)*Paraméterek!$J$112))),IF($D$4="Forint",0,2))</f>
        <v>0</v>
      </c>
      <c r="AY880" s="13">
        <f>$AR880+$AT880-$AU880-IF(ROUNDDOWN(IF(ISBLANK($AW880),$AV880,$AW880),IF($D$4="Forint",0,2))&gt;$AR880+$AT880-$AU880-IF($D$4="Forint",Paraméterek!$J$114,Paraméterek!$K$114),0,ROUNDDOWN(IF(ISBLANK($AW880),$AV880,$AW880),IF($D$4="Forint",0,2))-$AX880)</f>
        <v>0</v>
      </c>
      <c r="AZ880" s="13">
        <f t="shared" si="204"/>
        <v>0</v>
      </c>
    </row>
    <row r="881" spans="1:52" x14ac:dyDescent="0.2">
      <c r="A881" s="32">
        <v>862</v>
      </c>
      <c r="B881" s="32">
        <v>72</v>
      </c>
      <c r="C881" s="32">
        <v>10</v>
      </c>
      <c r="D881" s="13">
        <f t="shared" si="195"/>
        <v>0</v>
      </c>
      <c r="E881" s="13"/>
      <c r="F881" s="13"/>
      <c r="G881" s="13"/>
      <c r="H881" s="13">
        <f t="shared" si="196"/>
        <v>0</v>
      </c>
      <c r="I881" s="13">
        <f t="shared" si="197"/>
        <v>0</v>
      </c>
      <c r="J881" s="13">
        <f t="shared" si="198"/>
        <v>0</v>
      </c>
      <c r="K881" s="13">
        <f>ROUNDUP(IF($D$2="Egyszeri",$D881,IF($D$2="Havi",SUM($D$20:$D$31),IF(MOD($C881,$M$1)-1=0,SUM($D$20:$D$31),0))/12*$M$1)*VLOOKUP($B881,Paraméterek!$B$27:$D$30,IF($D$2="Egyszeri",3,2)),IF($D$4="Forint",0,2))</f>
        <v>0</v>
      </c>
      <c r="L881" s="13">
        <f t="shared" si="199"/>
        <v>0</v>
      </c>
      <c r="M881" s="13">
        <f t="shared" ca="1" si="205"/>
        <v>-934790</v>
      </c>
      <c r="N881" s="13">
        <f ca="1">IF($V880&gt;=VLOOKUP($M$4-1+$B881,Paraméterek!$B$121:$D$122,IF($D$4="Forint",2,3)),0,VLOOKUP($M$4-1+$B881,Paraméterek!$B$121:$D$122,IF($D$4="Forint",2,3))-$V880)</f>
        <v>944790</v>
      </c>
      <c r="O881" s="13">
        <f ca="1">ROUNDUP($N881*Paraméterek!$C$58/Paraméterek!$C$56,IF($D$4="Forint",0,2))</f>
        <v>151</v>
      </c>
      <c r="P881" s="13">
        <f t="shared" si="200"/>
        <v>4486</v>
      </c>
      <c r="Q881" s="33"/>
      <c r="R881" s="13">
        <f t="shared" ca="1" si="201"/>
        <v>0</v>
      </c>
      <c r="S881" s="13">
        <f ca="1">ROUNDUP(($M881-$O881-$P881+$R881)*VLOOKUP($B881,Paraméterek!$B$38:$D$39,IF($D$2="Egyszeri",3,2))/12,IF($D$4="Forint",0,2))</f>
        <v>-2294</v>
      </c>
      <c r="T881" s="13"/>
      <c r="U881" s="13"/>
      <c r="V881" s="13">
        <f ca="1">$M881-$O881-$P881+$R881-$S881-IF(ROUNDUP(IF(ISBLANK($U881),$T881,$U881)/IF(AND($B881=1,$D$2&lt;&gt;"Egyszeri"),1,VLOOKUP($B881+IF($C881=12,1,0),Paraméterek!$B$257:$D$267,IF($D$2="Egyszeri",3,2))),IF($D$4="Forint",0,2))&gt;$M881-$O881-$P881+$R881-$S881-IF($D$4="Forint",Paraméterek!$C$216,Paraméterek!$D$216),0,ROUNDUP(IF(ISBLANK($U881),$T881,$U881)/IF(AND($B881=1,$D$2&lt;&gt;"Egyszeri"),1,VLOOKUP($B881+IF($C881=12,1,0),Paraméterek!$B$257:$D$267,IF($D$2="Egyszeri",3,2))),IF($D$4="Forint",0,2)))</f>
        <v>-937133</v>
      </c>
      <c r="W881" s="13">
        <f ca="1">ROUNDDOWN($V881*VLOOKUP($B881+IF($C881=12,1,0),Paraméterek!$B$257:$D$267,IF($D$2="Egyszeri",3,2)),IF($D$4="Forint",0,2))</f>
        <v>-937133</v>
      </c>
      <c r="Y881" s="32">
        <v>862</v>
      </c>
      <c r="Z881" s="32">
        <v>72</v>
      </c>
      <c r="AA881" s="32">
        <v>10</v>
      </c>
      <c r="AB881" s="13">
        <f t="shared" si="206"/>
        <v>0</v>
      </c>
      <c r="AC881" s="33"/>
      <c r="AD881" s="13">
        <f t="shared" si="202"/>
        <v>0</v>
      </c>
      <c r="AE881" s="13">
        <f>ROUNDUP(($AB881+$AD881)*VLOOKUP($Z881,Paraméterek!$P$38:$Q$38,2)/12,IF($D$4="Forint",0,2))</f>
        <v>0</v>
      </c>
      <c r="AF881" s="13">
        <f>IF($D$2="Egyszeri",IF($D$7&gt;=IF($D$4="Forint",Paraméterek!$P$223,Paraméterek!$P$224),$D$7-IF($D$4="Forint",Paraméterek!$F$223,Paraméterek!$F$224),0),MIN(IF($AA881=12,AVERAGE($D$20:$D881)*12,0),SUM($D$20:$D$31)))</f>
        <v>0</v>
      </c>
      <c r="AG881" s="13">
        <f>IF(AND($Z881&gt;=10,MOD($Z881,5)=0),$AF881*IF($AA881=12,VLOOKUP($Z881,Paraméterek!$B$225:$F$240,IF($AF881&lt;IF($D$4="Forint",Paraméterek!$C$223,Paraméterek!$C$224),2,IF($AF881&lt;IF($D$4="Forint",Paraméterek!$D$223,Paraméterek!$D$224),3,4))),0),0)</f>
        <v>0</v>
      </c>
      <c r="AH881" s="13">
        <f>IF(AND($Z881&gt;=5,MOD($Z881,5)=0),IF($AA881=12,VLOOKUP($Z881,Paraméterek!$B$225:$F$240,5),0),IF(OR($Z881=3,$Z881=4),IF($AA881=12,VLOOKUP($Z881,Paraméterek!$B$225:$F$240,5,0),0),0))*$AF881</f>
        <v>0</v>
      </c>
      <c r="AI881" s="13">
        <f>ROUNDDOWN(IF(SUM($T$20:$U881)=0,IF($D$2="Egyszeri",$AH881,$AG881),0),IF($D$4="Forint",0,2))</f>
        <v>0</v>
      </c>
      <c r="AJ881" s="13">
        <f t="shared" si="207"/>
        <v>0</v>
      </c>
      <c r="AK881" s="13">
        <f t="shared" si="208"/>
        <v>0</v>
      </c>
      <c r="AM881" s="32">
        <v>862</v>
      </c>
      <c r="AN881" s="32">
        <v>72</v>
      </c>
      <c r="AO881" s="32">
        <v>10</v>
      </c>
      <c r="AP881" s="13"/>
      <c r="AQ881" s="32"/>
      <c r="AR881" s="13">
        <f t="shared" si="209"/>
        <v>0</v>
      </c>
      <c r="AS881" s="33"/>
      <c r="AT881" s="13">
        <f t="shared" si="203"/>
        <v>0</v>
      </c>
      <c r="AU881" s="13">
        <f>ROUNDUP(($AR881+$AT881)*VLOOKUP($AN881,Paraméterek!$P$38:$Q$38,2)/12,IF($D$4="Forint",0,2))</f>
        <v>0</v>
      </c>
      <c r="AV881" s="13"/>
      <c r="AW881" s="13"/>
      <c r="AX881" s="13">
        <f>ROUNDUP(IF(SUM($AV881:$AW881)=0,0,IF(IF(ISBLANK($AW881),$AV881,$AW881)*Paraméterek!$J$112&lt;IF($D$4="Forint",Paraméterek!$J$113,Paraméterek!$K$113),IF($D$4="Forint",Paraméterek!$J$113,Paraméterek!$K$113),IF(IF(ISBLANK($AW881),$AV881,$AW881)*Paraméterek!$J$112&gt;IF($D$4="Forint",Paraméterek!$J$114,Paraméterek!$K$114),IF($D$4="Forint",Paraméterek!$J$114,Paraméterek!$K$114),IF(ISBLANK($AW881),$AV881,$AW881)*Paraméterek!$J$112))),IF($D$4="Forint",0,2))</f>
        <v>0</v>
      </c>
      <c r="AY881" s="13">
        <f>$AR881+$AT881-$AU881-IF(ROUNDDOWN(IF(ISBLANK($AW881),$AV881,$AW881),IF($D$4="Forint",0,2))&gt;$AR881+$AT881-$AU881-IF($D$4="Forint",Paraméterek!$J$114,Paraméterek!$K$114),0,ROUNDDOWN(IF(ISBLANK($AW881),$AV881,$AW881),IF($D$4="Forint",0,2))-$AX881)</f>
        <v>0</v>
      </c>
      <c r="AZ881" s="13">
        <f t="shared" si="204"/>
        <v>0</v>
      </c>
    </row>
    <row r="882" spans="1:52" x14ac:dyDescent="0.2">
      <c r="A882" s="32">
        <v>863</v>
      </c>
      <c r="B882" s="32">
        <v>72</v>
      </c>
      <c r="C882" s="32">
        <v>11</v>
      </c>
      <c r="D882" s="13">
        <f t="shared" si="195"/>
        <v>0</v>
      </c>
      <c r="E882" s="13"/>
      <c r="F882" s="13"/>
      <c r="G882" s="13"/>
      <c r="H882" s="13">
        <f t="shared" si="196"/>
        <v>0</v>
      </c>
      <c r="I882" s="13">
        <f t="shared" si="197"/>
        <v>0</v>
      </c>
      <c r="J882" s="13">
        <f t="shared" si="198"/>
        <v>0</v>
      </c>
      <c r="K882" s="13">
        <f>ROUNDUP(IF($D$2="Egyszeri",$D882,IF($D$2="Havi",SUM($D$20:$D$31),IF(MOD($C882,$M$1)-1=0,SUM($D$20:$D$31),0))/12*$M$1)*VLOOKUP($B882,Paraméterek!$B$27:$D$30,IF($D$2="Egyszeri",3,2)),IF($D$4="Forint",0,2))</f>
        <v>0</v>
      </c>
      <c r="L882" s="13">
        <f t="shared" si="199"/>
        <v>0</v>
      </c>
      <c r="M882" s="13">
        <f t="shared" ca="1" si="205"/>
        <v>-937133</v>
      </c>
      <c r="N882" s="13">
        <f ca="1">IF($V881&gt;=VLOOKUP($M$4-1+$B882,Paraméterek!$B$121:$D$122,IF($D$4="Forint",2,3)),0,VLOOKUP($M$4-1+$B882,Paraméterek!$B$121:$D$122,IF($D$4="Forint",2,3))-$V881)</f>
        <v>947133</v>
      </c>
      <c r="O882" s="13">
        <f ca="1">ROUNDUP($N882*Paraméterek!$C$58/Paraméterek!$C$56,IF($D$4="Forint",0,2))</f>
        <v>151</v>
      </c>
      <c r="P882" s="13">
        <f t="shared" si="200"/>
        <v>4486</v>
      </c>
      <c r="Q882" s="33"/>
      <c r="R882" s="13">
        <f t="shared" ca="1" si="201"/>
        <v>0</v>
      </c>
      <c r="S882" s="13">
        <f ca="1">ROUNDUP(($M882-$O882-$P882+$R882)*VLOOKUP($B882,Paraméterek!$B$38:$D$39,IF($D$2="Egyszeri",3,2))/12,IF($D$4="Forint",0,2))</f>
        <v>-2300</v>
      </c>
      <c r="T882" s="13"/>
      <c r="U882" s="13"/>
      <c r="V882" s="13">
        <f ca="1">$M882-$O882-$P882+$R882-$S882-IF(ROUNDUP(IF(ISBLANK($U882),$T882,$U882)/IF(AND($B882=1,$D$2&lt;&gt;"Egyszeri"),1,VLOOKUP($B882+IF($C882=12,1,0),Paraméterek!$B$257:$D$267,IF($D$2="Egyszeri",3,2))),IF($D$4="Forint",0,2))&gt;$M882-$O882-$P882+$R882-$S882-IF($D$4="Forint",Paraméterek!$C$216,Paraméterek!$D$216),0,ROUNDUP(IF(ISBLANK($U882),$T882,$U882)/IF(AND($B882=1,$D$2&lt;&gt;"Egyszeri"),1,VLOOKUP($B882+IF($C882=12,1,0),Paraméterek!$B$257:$D$267,IF($D$2="Egyszeri",3,2))),IF($D$4="Forint",0,2)))</f>
        <v>-939470</v>
      </c>
      <c r="W882" s="13">
        <f ca="1">ROUNDDOWN($V882*VLOOKUP($B882+IF($C882=12,1,0),Paraméterek!$B$257:$D$267,IF($D$2="Egyszeri",3,2)),IF($D$4="Forint",0,2))</f>
        <v>-939470</v>
      </c>
      <c r="Y882" s="32">
        <v>863</v>
      </c>
      <c r="Z882" s="32">
        <v>72</v>
      </c>
      <c r="AA882" s="32">
        <v>11</v>
      </c>
      <c r="AB882" s="13">
        <f t="shared" si="206"/>
        <v>0</v>
      </c>
      <c r="AC882" s="33"/>
      <c r="AD882" s="13">
        <f t="shared" si="202"/>
        <v>0</v>
      </c>
      <c r="AE882" s="13">
        <f>ROUNDUP(($AB882+$AD882)*VLOOKUP($Z882,Paraméterek!$P$38:$Q$38,2)/12,IF($D$4="Forint",0,2))</f>
        <v>0</v>
      </c>
      <c r="AF882" s="13">
        <f>IF($D$2="Egyszeri",IF($D$7&gt;=IF($D$4="Forint",Paraméterek!$P$223,Paraméterek!$P$224),$D$7-IF($D$4="Forint",Paraméterek!$F$223,Paraméterek!$F$224),0),MIN(IF($AA882=12,AVERAGE($D$20:$D882)*12,0),SUM($D$20:$D$31)))</f>
        <v>0</v>
      </c>
      <c r="AG882" s="13">
        <f>IF(AND($Z882&gt;=10,MOD($Z882,5)=0),$AF882*IF($AA882=12,VLOOKUP($Z882,Paraméterek!$B$225:$F$240,IF($AF882&lt;IF($D$4="Forint",Paraméterek!$C$223,Paraméterek!$C$224),2,IF($AF882&lt;IF($D$4="Forint",Paraméterek!$D$223,Paraméterek!$D$224),3,4))),0),0)</f>
        <v>0</v>
      </c>
      <c r="AH882" s="13">
        <f>IF(AND($Z882&gt;=5,MOD($Z882,5)=0),IF($AA882=12,VLOOKUP($Z882,Paraméterek!$B$225:$F$240,5),0),IF(OR($Z882=3,$Z882=4),IF($AA882=12,VLOOKUP($Z882,Paraméterek!$B$225:$F$240,5,0),0),0))*$AF882</f>
        <v>0</v>
      </c>
      <c r="AI882" s="13">
        <f>ROUNDDOWN(IF(SUM($T$20:$U882)=0,IF($D$2="Egyszeri",$AH882,$AG882),0),IF($D$4="Forint",0,2))</f>
        <v>0</v>
      </c>
      <c r="AJ882" s="13">
        <f t="shared" si="207"/>
        <v>0</v>
      </c>
      <c r="AK882" s="13">
        <f t="shared" si="208"/>
        <v>0</v>
      </c>
      <c r="AM882" s="32">
        <v>863</v>
      </c>
      <c r="AN882" s="32">
        <v>72</v>
      </c>
      <c r="AO882" s="32">
        <v>11</v>
      </c>
      <c r="AP882" s="13"/>
      <c r="AQ882" s="32"/>
      <c r="AR882" s="13">
        <f t="shared" si="209"/>
        <v>0</v>
      </c>
      <c r="AS882" s="33"/>
      <c r="AT882" s="13">
        <f t="shared" si="203"/>
        <v>0</v>
      </c>
      <c r="AU882" s="13">
        <f>ROUNDUP(($AR882+$AT882)*VLOOKUP($AN882,Paraméterek!$P$38:$Q$38,2)/12,IF($D$4="Forint",0,2))</f>
        <v>0</v>
      </c>
      <c r="AV882" s="13"/>
      <c r="AW882" s="13"/>
      <c r="AX882" s="13">
        <f>ROUNDUP(IF(SUM($AV882:$AW882)=0,0,IF(IF(ISBLANK($AW882),$AV882,$AW882)*Paraméterek!$J$112&lt;IF($D$4="Forint",Paraméterek!$J$113,Paraméterek!$K$113),IF($D$4="Forint",Paraméterek!$J$113,Paraméterek!$K$113),IF(IF(ISBLANK($AW882),$AV882,$AW882)*Paraméterek!$J$112&gt;IF($D$4="Forint",Paraméterek!$J$114,Paraméterek!$K$114),IF($D$4="Forint",Paraméterek!$J$114,Paraméterek!$K$114),IF(ISBLANK($AW882),$AV882,$AW882)*Paraméterek!$J$112))),IF($D$4="Forint",0,2))</f>
        <v>0</v>
      </c>
      <c r="AY882" s="13">
        <f>$AR882+$AT882-$AU882-IF(ROUNDDOWN(IF(ISBLANK($AW882),$AV882,$AW882),IF($D$4="Forint",0,2))&gt;$AR882+$AT882-$AU882-IF($D$4="Forint",Paraméterek!$J$114,Paraméterek!$K$114),0,ROUNDDOWN(IF(ISBLANK($AW882),$AV882,$AW882),IF($D$4="Forint",0,2))-$AX882)</f>
        <v>0</v>
      </c>
      <c r="AZ882" s="13">
        <f t="shared" si="204"/>
        <v>0</v>
      </c>
    </row>
    <row r="883" spans="1:52" x14ac:dyDescent="0.2">
      <c r="A883" s="32">
        <v>864</v>
      </c>
      <c r="B883" s="32">
        <v>72</v>
      </c>
      <c r="C883" s="32">
        <v>12</v>
      </c>
      <c r="D883" s="13">
        <f t="shared" si="195"/>
        <v>0</v>
      </c>
      <c r="E883" s="13"/>
      <c r="F883" s="13"/>
      <c r="G883" s="13"/>
      <c r="H883" s="13">
        <f t="shared" si="196"/>
        <v>0</v>
      </c>
      <c r="I883" s="13">
        <f t="shared" si="197"/>
        <v>0</v>
      </c>
      <c r="J883" s="13">
        <f t="shared" si="198"/>
        <v>0</v>
      </c>
      <c r="K883" s="13">
        <f>ROUNDUP(IF($D$2="Egyszeri",$D883,IF($D$2="Havi",SUM($D$20:$D$31),IF(MOD($C883,$M$1)-1=0,SUM($D$20:$D$31),0))/12*$M$1)*VLOOKUP($B883,Paraméterek!$B$27:$D$30,IF($D$2="Egyszeri",3,2)),IF($D$4="Forint",0,2))</f>
        <v>0</v>
      </c>
      <c r="L883" s="13">
        <f t="shared" si="199"/>
        <v>0</v>
      </c>
      <c r="M883" s="13">
        <f t="shared" ca="1" si="205"/>
        <v>-939470</v>
      </c>
      <c r="N883" s="13">
        <f ca="1">IF($V882&gt;=VLOOKUP($M$4-1+$B883,Paraméterek!$B$121:$D$122,IF($D$4="Forint",2,3)),0,VLOOKUP($M$4-1+$B883,Paraméterek!$B$121:$D$122,IF($D$4="Forint",2,3))-$V882)</f>
        <v>949470</v>
      </c>
      <c r="O883" s="13">
        <f ca="1">ROUNDUP($N883*Paraméterek!$C$58/Paraméterek!$C$56,IF($D$4="Forint",0,2))</f>
        <v>152</v>
      </c>
      <c r="P883" s="13">
        <f t="shared" si="200"/>
        <v>4486</v>
      </c>
      <c r="Q883" s="33"/>
      <c r="R883" s="13">
        <f t="shared" ca="1" si="201"/>
        <v>0</v>
      </c>
      <c r="S883" s="13">
        <f ca="1">ROUNDUP(($M883-$O883-$P883+$R883)*VLOOKUP($B883,Paraméterek!$B$38:$D$39,IF($D$2="Egyszeri",3,2))/12,IF($D$4="Forint",0,2))</f>
        <v>-2306</v>
      </c>
      <c r="T883" s="13">
        <f>Tranzakciók!$F$103</f>
        <v>0</v>
      </c>
      <c r="U883" s="13"/>
      <c r="V883" s="13">
        <f ca="1">$M883-$O883-$P883+$R883-$S883-IF(ROUNDUP(IF(ISBLANK($U883),$T883,$U883)/IF(AND($B883=1,$D$2&lt;&gt;"Egyszeri"),1,VLOOKUP($B883+IF($C883=12,1,0),Paraméterek!$B$257:$D$267,IF($D$2="Egyszeri",3,2))),IF($D$4="Forint",0,2))&gt;$M883-$O883-$P883+$R883-$S883-IF($D$4="Forint",Paraméterek!$C$216,Paraméterek!$D$216),0,ROUNDUP(IF(ISBLANK($U883),$T883,$U883)/IF(AND($B883=1,$D$2&lt;&gt;"Egyszeri"),1,VLOOKUP($B883+IF($C883=12,1,0),Paraméterek!$B$257:$D$267,IF($D$2="Egyszeri",3,2))),IF($D$4="Forint",0,2)))</f>
        <v>-941802</v>
      </c>
      <c r="W883" s="13">
        <f ca="1">ROUNDDOWN($V883*VLOOKUP($B883+IF($C883=12,1,0),Paraméterek!$B$257:$D$267,IF($D$2="Egyszeri",3,2)),IF($D$4="Forint",0,2))</f>
        <v>-941802</v>
      </c>
      <c r="Y883" s="32">
        <v>864</v>
      </c>
      <c r="Z883" s="32">
        <v>72</v>
      </c>
      <c r="AA883" s="32">
        <v>12</v>
      </c>
      <c r="AB883" s="13">
        <f t="shared" si="206"/>
        <v>0</v>
      </c>
      <c r="AC883" s="33"/>
      <c r="AD883" s="13">
        <f t="shared" si="202"/>
        <v>0</v>
      </c>
      <c r="AE883" s="13">
        <f>ROUNDUP(($AB883+$AD883)*VLOOKUP($Z883,Paraméterek!$P$38:$Q$38,2)/12,IF($D$4="Forint",0,2))</f>
        <v>0</v>
      </c>
      <c r="AF883" s="13">
        <f>IF($D$2="Egyszeri",IF($D$7&gt;=IF($D$4="Forint",Paraméterek!$P$223,Paraméterek!$P$224),$D$7-IF($D$4="Forint",Paraméterek!$F$223,Paraméterek!$F$224),0),MIN(IF($AA883=12,AVERAGE($D$20:$D883)*12,0),SUM($D$20:$D$31)))</f>
        <v>0</v>
      </c>
      <c r="AG883" s="13">
        <f>IF(AND($Z883&gt;=10,MOD($Z883,5)=0),$AF883*IF($AA883=12,VLOOKUP($Z883,Paraméterek!$B$225:$F$240,IF($AF883&lt;IF($D$4="Forint",Paraméterek!$C$223,Paraméterek!$C$224),2,IF($AF883&lt;IF($D$4="Forint",Paraméterek!$D$223,Paraméterek!$D$224),3,4))),0),0)</f>
        <v>0</v>
      </c>
      <c r="AH883" s="13">
        <f>IF(AND($Z883&gt;=5,MOD($Z883,5)=0),IF($AA883=12,VLOOKUP($Z883,Paraméterek!$B$225:$F$240,5),0),IF(OR($Z883=3,$Z883=4),IF($AA883=12,VLOOKUP($Z883,Paraméterek!$B$225:$F$240,5,0),0),0))*$AF883</f>
        <v>0</v>
      </c>
      <c r="AI883" s="13">
        <f>ROUNDDOWN(IF(SUM($T$20:$U883)=0,IF($D$2="Egyszeri",$AH883,$AG883),0),IF($D$4="Forint",0,2))</f>
        <v>0</v>
      </c>
      <c r="AJ883" s="13">
        <f t="shared" si="207"/>
        <v>0</v>
      </c>
      <c r="AK883" s="13">
        <f t="shared" si="208"/>
        <v>0</v>
      </c>
      <c r="AM883" s="32">
        <v>864</v>
      </c>
      <c r="AN883" s="32">
        <v>72</v>
      </c>
      <c r="AO883" s="32">
        <v>12</v>
      </c>
      <c r="AP883" s="13"/>
      <c r="AQ883" s="32"/>
      <c r="AR883" s="13">
        <f t="shared" si="209"/>
        <v>0</v>
      </c>
      <c r="AS883" s="33"/>
      <c r="AT883" s="13">
        <f t="shared" si="203"/>
        <v>0</v>
      </c>
      <c r="AU883" s="13">
        <f>ROUNDUP(($AR883+$AT883)*VLOOKUP($AN883,Paraméterek!$P$38:$Q$38,2)/12,IF($D$4="Forint",0,2))</f>
        <v>0</v>
      </c>
      <c r="AV883" s="13">
        <f>Tranzakciók!$M$103</f>
        <v>0</v>
      </c>
      <c r="AW883" s="13"/>
      <c r="AX883" s="13">
        <f>ROUNDUP(IF(SUM($AV883:$AW883)=0,0,IF(IF(ISBLANK($AW883),$AV883,$AW883)*Paraméterek!$J$112&lt;IF($D$4="Forint",Paraméterek!$J$113,Paraméterek!$K$113),IF($D$4="Forint",Paraméterek!$J$113,Paraméterek!$K$113),IF(IF(ISBLANK($AW883),$AV883,$AW883)*Paraméterek!$J$112&gt;IF($D$4="Forint",Paraméterek!$J$114,Paraméterek!$K$114),IF($D$4="Forint",Paraméterek!$J$114,Paraméterek!$K$114),IF(ISBLANK($AW883),$AV883,$AW883)*Paraméterek!$J$112))),IF($D$4="Forint",0,2))</f>
        <v>0</v>
      </c>
      <c r="AY883" s="13">
        <f>$AR883+$AT883-$AU883-IF(ROUNDDOWN(IF(ISBLANK($AW883),$AV883,$AW883),IF($D$4="Forint",0,2))&gt;$AR883+$AT883-$AU883-IF($D$4="Forint",Paraméterek!$J$114,Paraméterek!$K$114),0,ROUNDDOWN(IF(ISBLANK($AW883),$AV883,$AW883),IF($D$4="Forint",0,2))-$AX883)</f>
        <v>0</v>
      </c>
      <c r="AZ883" s="13">
        <f t="shared" si="204"/>
        <v>0</v>
      </c>
    </row>
    <row r="884" spans="1:52" x14ac:dyDescent="0.2">
      <c r="A884" s="32">
        <v>865</v>
      </c>
      <c r="B884" s="32">
        <v>73</v>
      </c>
      <c r="C884" s="32">
        <v>1</v>
      </c>
      <c r="D884" s="13">
        <f t="shared" si="195"/>
        <v>0</v>
      </c>
      <c r="E884" s="13"/>
      <c r="F884" s="13">
        <f>Tranzakciók!$D$104</f>
        <v>0</v>
      </c>
      <c r="G884" s="13"/>
      <c r="H884" s="13">
        <f t="shared" si="196"/>
        <v>0</v>
      </c>
      <c r="I884" s="13">
        <f t="shared" si="197"/>
        <v>841</v>
      </c>
      <c r="J884" s="13">
        <f t="shared" si="198"/>
        <v>841</v>
      </c>
      <c r="K884" s="13">
        <f>ROUNDUP(IF($D$2="Egyszeri",$D884,IF($D$2="Havi",SUM($D$20:$D$31),IF(MOD($C884,$M$1)-1=0,SUM($D$20:$D$31),0))/12*$M$1)*VLOOKUP($B884,Paraméterek!$B$27:$D$30,IF($D$2="Egyszeri",3,2)),IF($D$4="Forint",0,2))</f>
        <v>0</v>
      </c>
      <c r="L884" s="13">
        <f t="shared" si="199"/>
        <v>0</v>
      </c>
      <c r="M884" s="13">
        <f t="shared" ca="1" si="205"/>
        <v>-941802</v>
      </c>
      <c r="N884" s="13">
        <f ca="1">IF($V883&gt;=VLOOKUP($M$4-1+$B884,Paraméterek!$B$121:$D$122,IF($D$4="Forint",2,3)),0,VLOOKUP($M$4-1+$B884,Paraméterek!$B$121:$D$122,IF($D$4="Forint",2,3))-$V883)</f>
        <v>951802</v>
      </c>
      <c r="O884" s="13">
        <f ca="1">ROUNDUP($N884*Paraméterek!$C$58/Paraméterek!$C$56,IF($D$4="Forint",0,2))</f>
        <v>152</v>
      </c>
      <c r="P884" s="13">
        <f t="shared" si="200"/>
        <v>4621</v>
      </c>
      <c r="Q884" s="33"/>
      <c r="R884" s="13">
        <f t="shared" ca="1" si="201"/>
        <v>0</v>
      </c>
      <c r="S884" s="13">
        <f ca="1">ROUNDUP(($M884-$O884-$P884+$R884)*VLOOKUP($B884,Paraméterek!$B$38:$D$39,IF($D$2="Egyszeri",3,2))/12,IF($D$4="Forint",0,2))</f>
        <v>-2312</v>
      </c>
      <c r="T884" s="13"/>
      <c r="U884" s="13"/>
      <c r="V884" s="13">
        <f ca="1">$M884-$O884-$P884+$R884-$S884-IF(ROUNDUP(IF(ISBLANK($U884),$T884,$U884)/IF(AND($B884=1,$D$2&lt;&gt;"Egyszeri"),1,VLOOKUP($B884+IF($C884=12,1,0),Paraméterek!$B$257:$D$267,IF($D$2="Egyszeri",3,2))),IF($D$4="Forint",0,2))&gt;$M884-$O884-$P884+$R884-$S884-IF($D$4="Forint",Paraméterek!$C$216,Paraméterek!$D$216),0,ROUNDUP(IF(ISBLANK($U884),$T884,$U884)/IF(AND($B884=1,$D$2&lt;&gt;"Egyszeri"),1,VLOOKUP($B884+IF($C884=12,1,0),Paraméterek!$B$257:$D$267,IF($D$2="Egyszeri",3,2))),IF($D$4="Forint",0,2)))</f>
        <v>-944263</v>
      </c>
      <c r="W884" s="13">
        <f ca="1">ROUNDDOWN($V884*VLOOKUP($B884+IF($C884=12,1,0),Paraméterek!$B$257:$D$267,IF($D$2="Egyszeri",3,2)),IF($D$4="Forint",0,2))</f>
        <v>-944263</v>
      </c>
      <c r="Y884" s="32">
        <v>865</v>
      </c>
      <c r="Z884" s="32">
        <v>73</v>
      </c>
      <c r="AA884" s="32">
        <v>1</v>
      </c>
      <c r="AB884" s="13">
        <f t="shared" si="206"/>
        <v>0</v>
      </c>
      <c r="AC884" s="33"/>
      <c r="AD884" s="13">
        <f t="shared" si="202"/>
        <v>0</v>
      </c>
      <c r="AE884" s="13">
        <f>ROUNDUP(($AB884+$AD884)*VLOOKUP($Z884,Paraméterek!$P$38:$Q$38,2)/12,IF($D$4="Forint",0,2))</f>
        <v>0</v>
      </c>
      <c r="AF884" s="13">
        <f>IF($D$2="Egyszeri",IF($D$7&gt;=IF($D$4="Forint",Paraméterek!$P$223,Paraméterek!$P$224),$D$7-IF($D$4="Forint",Paraméterek!$F$223,Paraméterek!$F$224),0),MIN(IF($AA884=12,AVERAGE($D$20:$D884)*12,0),SUM($D$20:$D$31)))</f>
        <v>0</v>
      </c>
      <c r="AG884" s="13">
        <f>IF(AND($Z884&gt;=10,MOD($Z884,5)=0),$AF884*IF($AA884=12,VLOOKUP($Z884,Paraméterek!$B$225:$F$240,IF($AF884&lt;IF($D$4="Forint",Paraméterek!$C$223,Paraméterek!$C$224),2,IF($AF884&lt;IF($D$4="Forint",Paraméterek!$D$223,Paraméterek!$D$224),3,4))),0),0)</f>
        <v>0</v>
      </c>
      <c r="AH884" s="13">
        <f>IF(AND($Z884&gt;=5,MOD($Z884,5)=0),IF($AA884=12,VLOOKUP($Z884,Paraméterek!$B$225:$F$240,5),0),IF(OR($Z884=3,$Z884=4),IF($AA884=12,VLOOKUP($Z884,Paraméterek!$B$225:$F$240,5,0),0),0))*$AF884</f>
        <v>0</v>
      </c>
      <c r="AI884" s="13">
        <f>ROUNDDOWN(IF(SUM($T$20:$U884)=0,IF($D$2="Egyszeri",$AH884,$AG884),0),IF($D$4="Forint",0,2))</f>
        <v>0</v>
      </c>
      <c r="AJ884" s="13">
        <f t="shared" si="207"/>
        <v>0</v>
      </c>
      <c r="AK884" s="13">
        <f t="shared" si="208"/>
        <v>0</v>
      </c>
      <c r="AM884" s="32">
        <v>865</v>
      </c>
      <c r="AN884" s="32">
        <v>73</v>
      </c>
      <c r="AO884" s="32">
        <v>1</v>
      </c>
      <c r="AP884" s="13">
        <f>Tranzakciók!$K$104</f>
        <v>0</v>
      </c>
      <c r="AQ884" s="32"/>
      <c r="AR884" s="13">
        <f t="shared" si="209"/>
        <v>0</v>
      </c>
      <c r="AS884" s="33"/>
      <c r="AT884" s="13">
        <f t="shared" si="203"/>
        <v>0</v>
      </c>
      <c r="AU884" s="13">
        <f>ROUNDUP(($AR884+$AT884)*VLOOKUP($AN884,Paraméterek!$P$38:$Q$38,2)/12,IF($D$4="Forint",0,2))</f>
        <v>0</v>
      </c>
      <c r="AV884" s="13"/>
      <c r="AW884" s="13"/>
      <c r="AX884" s="13">
        <f>ROUNDUP(IF(SUM($AV884:$AW884)=0,0,IF(IF(ISBLANK($AW884),$AV884,$AW884)*Paraméterek!$J$112&lt;IF($D$4="Forint",Paraméterek!$J$113,Paraméterek!$K$113),IF($D$4="Forint",Paraméterek!$J$113,Paraméterek!$K$113),IF(IF(ISBLANK($AW884),$AV884,$AW884)*Paraméterek!$J$112&gt;IF($D$4="Forint",Paraméterek!$J$114,Paraméterek!$K$114),IF($D$4="Forint",Paraméterek!$J$114,Paraméterek!$K$114),IF(ISBLANK($AW884),$AV884,$AW884)*Paraméterek!$J$112))),IF($D$4="Forint",0,2))</f>
        <v>0</v>
      </c>
      <c r="AY884" s="13">
        <f>$AR884+$AT884-$AU884-IF(ROUNDDOWN(IF(ISBLANK($AW884),$AV884,$AW884),IF($D$4="Forint",0,2))&gt;$AR884+$AT884-$AU884-IF($D$4="Forint",Paraméterek!$J$114,Paraméterek!$K$114),0,ROUNDDOWN(IF(ISBLANK($AW884),$AV884,$AW884),IF($D$4="Forint",0,2))-$AX884)</f>
        <v>0</v>
      </c>
      <c r="AZ884" s="13">
        <f t="shared" si="204"/>
        <v>0</v>
      </c>
    </row>
    <row r="885" spans="1:52" x14ac:dyDescent="0.2">
      <c r="A885" s="32">
        <v>866</v>
      </c>
      <c r="B885" s="32">
        <v>73</v>
      </c>
      <c r="C885" s="32">
        <v>2</v>
      </c>
      <c r="D885" s="13">
        <f t="shared" si="195"/>
        <v>0</v>
      </c>
      <c r="E885" s="13"/>
      <c r="F885" s="13"/>
      <c r="G885" s="13"/>
      <c r="H885" s="13">
        <f t="shared" si="196"/>
        <v>0</v>
      </c>
      <c r="I885" s="13">
        <f t="shared" si="197"/>
        <v>0</v>
      </c>
      <c r="J885" s="13">
        <f t="shared" si="198"/>
        <v>0</v>
      </c>
      <c r="K885" s="13">
        <f>ROUNDUP(IF($D$2="Egyszeri",$D885,IF($D$2="Havi",SUM($D$20:$D$31),IF(MOD($C885,$M$1)-1=0,SUM($D$20:$D$31),0))/12*$M$1)*VLOOKUP($B885,Paraméterek!$B$27:$D$30,IF($D$2="Egyszeri",3,2)),IF($D$4="Forint",0,2))</f>
        <v>0</v>
      </c>
      <c r="L885" s="13">
        <f t="shared" si="199"/>
        <v>0</v>
      </c>
      <c r="M885" s="13">
        <f t="shared" ca="1" si="205"/>
        <v>-944263</v>
      </c>
      <c r="N885" s="13">
        <f ca="1">IF($V884&gt;=VLOOKUP($M$4-1+$B885,Paraméterek!$B$121:$D$122,IF($D$4="Forint",2,3)),0,VLOOKUP($M$4-1+$B885,Paraméterek!$B$121:$D$122,IF($D$4="Forint",2,3))-$V884)</f>
        <v>954263</v>
      </c>
      <c r="O885" s="13">
        <f ca="1">ROUNDUP($N885*Paraméterek!$C$58/Paraméterek!$C$56,IF($D$4="Forint",0,2))</f>
        <v>152</v>
      </c>
      <c r="P885" s="13">
        <f t="shared" si="200"/>
        <v>4621</v>
      </c>
      <c r="Q885" s="33"/>
      <c r="R885" s="13">
        <f t="shared" ca="1" si="201"/>
        <v>0</v>
      </c>
      <c r="S885" s="13">
        <f ca="1">ROUNDUP(($M885-$O885-$P885+$R885)*VLOOKUP($B885,Paraméterek!$B$38:$D$39,IF($D$2="Egyszeri",3,2))/12,IF($D$4="Forint",0,2))</f>
        <v>-2318</v>
      </c>
      <c r="T885" s="13"/>
      <c r="U885" s="13"/>
      <c r="V885" s="13">
        <f ca="1">$M885-$O885-$P885+$R885-$S885-IF(ROUNDUP(IF(ISBLANK($U885),$T885,$U885)/IF(AND($B885=1,$D$2&lt;&gt;"Egyszeri"),1,VLOOKUP($B885+IF($C885=12,1,0),Paraméterek!$B$257:$D$267,IF($D$2="Egyszeri",3,2))),IF($D$4="Forint",0,2))&gt;$M885-$O885-$P885+$R885-$S885-IF($D$4="Forint",Paraméterek!$C$216,Paraméterek!$D$216),0,ROUNDUP(IF(ISBLANK($U885),$T885,$U885)/IF(AND($B885=1,$D$2&lt;&gt;"Egyszeri"),1,VLOOKUP($B885+IF($C885=12,1,0),Paraméterek!$B$257:$D$267,IF($D$2="Egyszeri",3,2))),IF($D$4="Forint",0,2)))</f>
        <v>-946718</v>
      </c>
      <c r="W885" s="13">
        <f ca="1">ROUNDDOWN($V885*VLOOKUP($B885+IF($C885=12,1,0),Paraméterek!$B$257:$D$267,IF($D$2="Egyszeri",3,2)),IF($D$4="Forint",0,2))</f>
        <v>-946718</v>
      </c>
      <c r="Y885" s="32">
        <v>866</v>
      </c>
      <c r="Z885" s="32">
        <v>73</v>
      </c>
      <c r="AA885" s="32">
        <v>2</v>
      </c>
      <c r="AB885" s="13">
        <f t="shared" si="206"/>
        <v>0</v>
      </c>
      <c r="AC885" s="33"/>
      <c r="AD885" s="13">
        <f t="shared" si="202"/>
        <v>0</v>
      </c>
      <c r="AE885" s="13">
        <f>ROUNDUP(($AB885+$AD885)*VLOOKUP($Z885,Paraméterek!$P$38:$Q$38,2)/12,IF($D$4="Forint",0,2))</f>
        <v>0</v>
      </c>
      <c r="AF885" s="13">
        <f>IF($D$2="Egyszeri",IF($D$7&gt;=IF($D$4="Forint",Paraméterek!$P$223,Paraméterek!$P$224),$D$7-IF($D$4="Forint",Paraméterek!$F$223,Paraméterek!$F$224),0),MIN(IF($AA885=12,AVERAGE($D$20:$D885)*12,0),SUM($D$20:$D$31)))</f>
        <v>0</v>
      </c>
      <c r="AG885" s="13">
        <f>IF(AND($Z885&gt;=10,MOD($Z885,5)=0),$AF885*IF($AA885=12,VLOOKUP($Z885,Paraméterek!$B$225:$F$240,IF($AF885&lt;IF($D$4="Forint",Paraméterek!$C$223,Paraméterek!$C$224),2,IF($AF885&lt;IF($D$4="Forint",Paraméterek!$D$223,Paraméterek!$D$224),3,4))),0),0)</f>
        <v>0</v>
      </c>
      <c r="AH885" s="13">
        <f>IF(AND($Z885&gt;=5,MOD($Z885,5)=0),IF($AA885=12,VLOOKUP($Z885,Paraméterek!$B$225:$F$240,5),0),IF(OR($Z885=3,$Z885=4),IF($AA885=12,VLOOKUP($Z885,Paraméterek!$B$225:$F$240,5,0),0),0))*$AF885</f>
        <v>0</v>
      </c>
      <c r="AI885" s="13">
        <f>ROUNDDOWN(IF(SUM($T$20:$U885)=0,IF($D$2="Egyszeri",$AH885,$AG885),0),IF($D$4="Forint",0,2))</f>
        <v>0</v>
      </c>
      <c r="AJ885" s="13">
        <f t="shared" si="207"/>
        <v>0</v>
      </c>
      <c r="AK885" s="13">
        <f t="shared" si="208"/>
        <v>0</v>
      </c>
      <c r="AM885" s="32">
        <v>866</v>
      </c>
      <c r="AN885" s="32">
        <v>73</v>
      </c>
      <c r="AO885" s="32">
        <v>2</v>
      </c>
      <c r="AP885" s="13"/>
      <c r="AQ885" s="32"/>
      <c r="AR885" s="13">
        <f t="shared" si="209"/>
        <v>0</v>
      </c>
      <c r="AS885" s="33"/>
      <c r="AT885" s="13">
        <f t="shared" si="203"/>
        <v>0</v>
      </c>
      <c r="AU885" s="13">
        <f>ROUNDUP(($AR885+$AT885)*VLOOKUP($AN885,Paraméterek!$P$38:$Q$38,2)/12,IF($D$4="Forint",0,2))</f>
        <v>0</v>
      </c>
      <c r="AV885" s="13"/>
      <c r="AW885" s="13"/>
      <c r="AX885" s="13">
        <f>ROUNDUP(IF(SUM($AV885:$AW885)=0,0,IF(IF(ISBLANK($AW885),$AV885,$AW885)*Paraméterek!$J$112&lt;IF($D$4="Forint",Paraméterek!$J$113,Paraméterek!$K$113),IF($D$4="Forint",Paraméterek!$J$113,Paraméterek!$K$113),IF(IF(ISBLANK($AW885),$AV885,$AW885)*Paraméterek!$J$112&gt;IF($D$4="Forint",Paraméterek!$J$114,Paraméterek!$K$114),IF($D$4="Forint",Paraméterek!$J$114,Paraméterek!$K$114),IF(ISBLANK($AW885),$AV885,$AW885)*Paraméterek!$J$112))),IF($D$4="Forint",0,2))</f>
        <v>0</v>
      </c>
      <c r="AY885" s="13">
        <f>$AR885+$AT885-$AU885-IF(ROUNDDOWN(IF(ISBLANK($AW885),$AV885,$AW885),IF($D$4="Forint",0,2))&gt;$AR885+$AT885-$AU885-IF($D$4="Forint",Paraméterek!$J$114,Paraméterek!$K$114),0,ROUNDDOWN(IF(ISBLANK($AW885),$AV885,$AW885),IF($D$4="Forint",0,2))-$AX885)</f>
        <v>0</v>
      </c>
      <c r="AZ885" s="13">
        <f t="shared" si="204"/>
        <v>0</v>
      </c>
    </row>
    <row r="886" spans="1:52" x14ac:dyDescent="0.2">
      <c r="A886" s="32">
        <v>867</v>
      </c>
      <c r="B886" s="32">
        <v>73</v>
      </c>
      <c r="C886" s="32">
        <v>3</v>
      </c>
      <c r="D886" s="13">
        <f t="shared" si="195"/>
        <v>0</v>
      </c>
      <c r="E886" s="13"/>
      <c r="F886" s="13"/>
      <c r="G886" s="13"/>
      <c r="H886" s="13">
        <f t="shared" si="196"/>
        <v>0</v>
      </c>
      <c r="I886" s="13">
        <f t="shared" si="197"/>
        <v>0</v>
      </c>
      <c r="J886" s="13">
        <f t="shared" si="198"/>
        <v>0</v>
      </c>
      <c r="K886" s="13">
        <f>ROUNDUP(IF($D$2="Egyszeri",$D886,IF($D$2="Havi",SUM($D$20:$D$31),IF(MOD($C886,$M$1)-1=0,SUM($D$20:$D$31),0))/12*$M$1)*VLOOKUP($B886,Paraméterek!$B$27:$D$30,IF($D$2="Egyszeri",3,2)),IF($D$4="Forint",0,2))</f>
        <v>0</v>
      </c>
      <c r="L886" s="13">
        <f t="shared" si="199"/>
        <v>0</v>
      </c>
      <c r="M886" s="13">
        <f t="shared" ca="1" si="205"/>
        <v>-946718</v>
      </c>
      <c r="N886" s="13">
        <f ca="1">IF($V885&gt;=VLOOKUP($M$4-1+$B886,Paraméterek!$B$121:$D$122,IF($D$4="Forint",2,3)),0,VLOOKUP($M$4-1+$B886,Paraméterek!$B$121:$D$122,IF($D$4="Forint",2,3))-$V885)</f>
        <v>956718</v>
      </c>
      <c r="O886" s="13">
        <f ca="1">ROUNDUP($N886*Paraméterek!$C$58/Paraméterek!$C$56,IF($D$4="Forint",0,2))</f>
        <v>153</v>
      </c>
      <c r="P886" s="13">
        <f t="shared" si="200"/>
        <v>4621</v>
      </c>
      <c r="Q886" s="33"/>
      <c r="R886" s="13">
        <f t="shared" ca="1" si="201"/>
        <v>0</v>
      </c>
      <c r="S886" s="13">
        <f ca="1">ROUNDUP(($M886-$O886-$P886+$R886)*VLOOKUP($B886,Paraméterek!$B$38:$D$39,IF($D$2="Egyszeri",3,2))/12,IF($D$4="Forint",0,2))</f>
        <v>-2324</v>
      </c>
      <c r="T886" s="13"/>
      <c r="U886" s="13"/>
      <c r="V886" s="13">
        <f ca="1">$M886-$O886-$P886+$R886-$S886-IF(ROUNDUP(IF(ISBLANK($U886),$T886,$U886)/IF(AND($B886=1,$D$2&lt;&gt;"Egyszeri"),1,VLOOKUP($B886+IF($C886=12,1,0),Paraméterek!$B$257:$D$267,IF($D$2="Egyszeri",3,2))),IF($D$4="Forint",0,2))&gt;$M886-$O886-$P886+$R886-$S886-IF($D$4="Forint",Paraméterek!$C$216,Paraméterek!$D$216),0,ROUNDUP(IF(ISBLANK($U886),$T886,$U886)/IF(AND($B886=1,$D$2&lt;&gt;"Egyszeri"),1,VLOOKUP($B886+IF($C886=12,1,0),Paraméterek!$B$257:$D$267,IF($D$2="Egyszeri",3,2))),IF($D$4="Forint",0,2)))</f>
        <v>-949168</v>
      </c>
      <c r="W886" s="13">
        <f ca="1">ROUNDDOWN($V886*VLOOKUP($B886+IF($C886=12,1,0),Paraméterek!$B$257:$D$267,IF($D$2="Egyszeri",3,2)),IF($D$4="Forint",0,2))</f>
        <v>-949168</v>
      </c>
      <c r="Y886" s="32">
        <v>867</v>
      </c>
      <c r="Z886" s="32">
        <v>73</v>
      </c>
      <c r="AA886" s="32">
        <v>3</v>
      </c>
      <c r="AB886" s="13">
        <f t="shared" si="206"/>
        <v>0</v>
      </c>
      <c r="AC886" s="33"/>
      <c r="AD886" s="13">
        <f t="shared" si="202"/>
        <v>0</v>
      </c>
      <c r="AE886" s="13">
        <f>ROUNDUP(($AB886+$AD886)*VLOOKUP($Z886,Paraméterek!$P$38:$Q$38,2)/12,IF($D$4="Forint",0,2))</f>
        <v>0</v>
      </c>
      <c r="AF886" s="13">
        <f>IF($D$2="Egyszeri",IF($D$7&gt;=IF($D$4="Forint",Paraméterek!$P$223,Paraméterek!$P$224),$D$7-IF($D$4="Forint",Paraméterek!$F$223,Paraméterek!$F$224),0),MIN(IF($AA886=12,AVERAGE($D$20:$D886)*12,0),SUM($D$20:$D$31)))</f>
        <v>0</v>
      </c>
      <c r="AG886" s="13">
        <f>IF(AND($Z886&gt;=10,MOD($Z886,5)=0),$AF886*IF($AA886=12,VLOOKUP($Z886,Paraméterek!$B$225:$F$240,IF($AF886&lt;IF($D$4="Forint",Paraméterek!$C$223,Paraméterek!$C$224),2,IF($AF886&lt;IF($D$4="Forint",Paraméterek!$D$223,Paraméterek!$D$224),3,4))),0),0)</f>
        <v>0</v>
      </c>
      <c r="AH886" s="13">
        <f>IF(AND($Z886&gt;=5,MOD($Z886,5)=0),IF($AA886=12,VLOOKUP($Z886,Paraméterek!$B$225:$F$240,5),0),IF(OR($Z886=3,$Z886=4),IF($AA886=12,VLOOKUP($Z886,Paraméterek!$B$225:$F$240,5,0),0),0))*$AF886</f>
        <v>0</v>
      </c>
      <c r="AI886" s="13">
        <f>ROUNDDOWN(IF(SUM($T$20:$U886)=0,IF($D$2="Egyszeri",$AH886,$AG886),0),IF($D$4="Forint",0,2))</f>
        <v>0</v>
      </c>
      <c r="AJ886" s="13">
        <f t="shared" si="207"/>
        <v>0</v>
      </c>
      <c r="AK886" s="13">
        <f t="shared" si="208"/>
        <v>0</v>
      </c>
      <c r="AM886" s="32">
        <v>867</v>
      </c>
      <c r="AN886" s="32">
        <v>73</v>
      </c>
      <c r="AO886" s="32">
        <v>3</v>
      </c>
      <c r="AP886" s="13"/>
      <c r="AQ886" s="32"/>
      <c r="AR886" s="13">
        <f t="shared" si="209"/>
        <v>0</v>
      </c>
      <c r="AS886" s="33"/>
      <c r="AT886" s="13">
        <f t="shared" si="203"/>
        <v>0</v>
      </c>
      <c r="AU886" s="13">
        <f>ROUNDUP(($AR886+$AT886)*VLOOKUP($AN886,Paraméterek!$P$38:$Q$38,2)/12,IF($D$4="Forint",0,2))</f>
        <v>0</v>
      </c>
      <c r="AV886" s="13"/>
      <c r="AW886" s="13"/>
      <c r="AX886" s="13">
        <f>ROUNDUP(IF(SUM($AV886:$AW886)=0,0,IF(IF(ISBLANK($AW886),$AV886,$AW886)*Paraméterek!$J$112&lt;IF($D$4="Forint",Paraméterek!$J$113,Paraméterek!$K$113),IF($D$4="Forint",Paraméterek!$J$113,Paraméterek!$K$113),IF(IF(ISBLANK($AW886),$AV886,$AW886)*Paraméterek!$J$112&gt;IF($D$4="Forint",Paraméterek!$J$114,Paraméterek!$K$114),IF($D$4="Forint",Paraméterek!$J$114,Paraméterek!$K$114),IF(ISBLANK($AW886),$AV886,$AW886)*Paraméterek!$J$112))),IF($D$4="Forint",0,2))</f>
        <v>0</v>
      </c>
      <c r="AY886" s="13">
        <f>$AR886+$AT886-$AU886-IF(ROUNDDOWN(IF(ISBLANK($AW886),$AV886,$AW886),IF($D$4="Forint",0,2))&gt;$AR886+$AT886-$AU886-IF($D$4="Forint",Paraméterek!$J$114,Paraméterek!$K$114),0,ROUNDDOWN(IF(ISBLANK($AW886),$AV886,$AW886),IF($D$4="Forint",0,2))-$AX886)</f>
        <v>0</v>
      </c>
      <c r="AZ886" s="13">
        <f t="shared" si="204"/>
        <v>0</v>
      </c>
    </row>
    <row r="887" spans="1:52" x14ac:dyDescent="0.2">
      <c r="A887" s="32">
        <v>868</v>
      </c>
      <c r="B887" s="32">
        <v>73</v>
      </c>
      <c r="C887" s="32">
        <v>4</v>
      </c>
      <c r="D887" s="13">
        <f t="shared" si="195"/>
        <v>0</v>
      </c>
      <c r="E887" s="13"/>
      <c r="F887" s="13"/>
      <c r="G887" s="13"/>
      <c r="H887" s="13">
        <f t="shared" si="196"/>
        <v>0</v>
      </c>
      <c r="I887" s="13">
        <f t="shared" si="197"/>
        <v>0</v>
      </c>
      <c r="J887" s="13">
        <f t="shared" si="198"/>
        <v>0</v>
      </c>
      <c r="K887" s="13">
        <f>ROUNDUP(IF($D$2="Egyszeri",$D887,IF($D$2="Havi",SUM($D$20:$D$31),IF(MOD($C887,$M$1)-1=0,SUM($D$20:$D$31),0))/12*$M$1)*VLOOKUP($B887,Paraméterek!$B$27:$D$30,IF($D$2="Egyszeri",3,2)),IF($D$4="Forint",0,2))</f>
        <v>0</v>
      </c>
      <c r="L887" s="13">
        <f t="shared" si="199"/>
        <v>0</v>
      </c>
      <c r="M887" s="13">
        <f t="shared" ca="1" si="205"/>
        <v>-949168</v>
      </c>
      <c r="N887" s="13">
        <f ca="1">IF($V886&gt;=VLOOKUP($M$4-1+$B887,Paraméterek!$B$121:$D$122,IF($D$4="Forint",2,3)),0,VLOOKUP($M$4-1+$B887,Paraméterek!$B$121:$D$122,IF($D$4="Forint",2,3))-$V886)</f>
        <v>959168</v>
      </c>
      <c r="O887" s="13">
        <f ca="1">ROUNDUP($N887*Paraméterek!$C$58/Paraméterek!$C$56,IF($D$4="Forint",0,2))</f>
        <v>153</v>
      </c>
      <c r="P887" s="13">
        <f t="shared" si="200"/>
        <v>4621</v>
      </c>
      <c r="Q887" s="33"/>
      <c r="R887" s="13">
        <f t="shared" ca="1" si="201"/>
        <v>0</v>
      </c>
      <c r="S887" s="13">
        <f ca="1">ROUNDUP(($M887-$O887-$P887+$R887)*VLOOKUP($B887,Paraméterek!$B$38:$D$39,IF($D$2="Egyszeri",3,2))/12,IF($D$4="Forint",0,2))</f>
        <v>-2330</v>
      </c>
      <c r="T887" s="13"/>
      <c r="U887" s="13"/>
      <c r="V887" s="13">
        <f ca="1">$M887-$O887-$P887+$R887-$S887-IF(ROUNDUP(IF(ISBLANK($U887),$T887,$U887)/IF(AND($B887=1,$D$2&lt;&gt;"Egyszeri"),1,VLOOKUP($B887+IF($C887=12,1,0),Paraméterek!$B$257:$D$267,IF($D$2="Egyszeri",3,2))),IF($D$4="Forint",0,2))&gt;$M887-$O887-$P887+$R887-$S887-IF($D$4="Forint",Paraméterek!$C$216,Paraméterek!$D$216),0,ROUNDUP(IF(ISBLANK($U887),$T887,$U887)/IF(AND($B887=1,$D$2&lt;&gt;"Egyszeri"),1,VLOOKUP($B887+IF($C887=12,1,0),Paraméterek!$B$257:$D$267,IF($D$2="Egyszeri",3,2))),IF($D$4="Forint",0,2)))</f>
        <v>-951612</v>
      </c>
      <c r="W887" s="13">
        <f ca="1">ROUNDDOWN($V887*VLOOKUP($B887+IF($C887=12,1,0),Paraméterek!$B$257:$D$267,IF($D$2="Egyszeri",3,2)),IF($D$4="Forint",0,2))</f>
        <v>-951612</v>
      </c>
      <c r="Y887" s="32">
        <v>868</v>
      </c>
      <c r="Z887" s="32">
        <v>73</v>
      </c>
      <c r="AA887" s="32">
        <v>4</v>
      </c>
      <c r="AB887" s="13">
        <f t="shared" si="206"/>
        <v>0</v>
      </c>
      <c r="AC887" s="33"/>
      <c r="AD887" s="13">
        <f t="shared" si="202"/>
        <v>0</v>
      </c>
      <c r="AE887" s="13">
        <f>ROUNDUP(($AB887+$AD887)*VLOOKUP($Z887,Paraméterek!$P$38:$Q$38,2)/12,IF($D$4="Forint",0,2))</f>
        <v>0</v>
      </c>
      <c r="AF887" s="13">
        <f>IF($D$2="Egyszeri",IF($D$7&gt;=IF($D$4="Forint",Paraméterek!$P$223,Paraméterek!$P$224),$D$7-IF($D$4="Forint",Paraméterek!$F$223,Paraméterek!$F$224),0),MIN(IF($AA887=12,AVERAGE($D$20:$D887)*12,0),SUM($D$20:$D$31)))</f>
        <v>0</v>
      </c>
      <c r="AG887" s="13">
        <f>IF(AND($Z887&gt;=10,MOD($Z887,5)=0),$AF887*IF($AA887=12,VLOOKUP($Z887,Paraméterek!$B$225:$F$240,IF($AF887&lt;IF($D$4="Forint",Paraméterek!$C$223,Paraméterek!$C$224),2,IF($AF887&lt;IF($D$4="Forint",Paraméterek!$D$223,Paraméterek!$D$224),3,4))),0),0)</f>
        <v>0</v>
      </c>
      <c r="AH887" s="13">
        <f>IF(AND($Z887&gt;=5,MOD($Z887,5)=0),IF($AA887=12,VLOOKUP($Z887,Paraméterek!$B$225:$F$240,5),0),IF(OR($Z887=3,$Z887=4),IF($AA887=12,VLOOKUP($Z887,Paraméterek!$B$225:$F$240,5,0),0),0))*$AF887</f>
        <v>0</v>
      </c>
      <c r="AI887" s="13">
        <f>ROUNDDOWN(IF(SUM($T$20:$U887)=0,IF($D$2="Egyszeri",$AH887,$AG887),0),IF($D$4="Forint",0,2))</f>
        <v>0</v>
      </c>
      <c r="AJ887" s="13">
        <f t="shared" si="207"/>
        <v>0</v>
      </c>
      <c r="AK887" s="13">
        <f t="shared" si="208"/>
        <v>0</v>
      </c>
      <c r="AM887" s="32">
        <v>868</v>
      </c>
      <c r="AN887" s="32">
        <v>73</v>
      </c>
      <c r="AO887" s="32">
        <v>4</v>
      </c>
      <c r="AP887" s="13"/>
      <c r="AQ887" s="32"/>
      <c r="AR887" s="13">
        <f t="shared" si="209"/>
        <v>0</v>
      </c>
      <c r="AS887" s="33"/>
      <c r="AT887" s="13">
        <f t="shared" si="203"/>
        <v>0</v>
      </c>
      <c r="AU887" s="13">
        <f>ROUNDUP(($AR887+$AT887)*VLOOKUP($AN887,Paraméterek!$P$38:$Q$38,2)/12,IF($D$4="Forint",0,2))</f>
        <v>0</v>
      </c>
      <c r="AV887" s="13"/>
      <c r="AW887" s="13"/>
      <c r="AX887" s="13">
        <f>ROUNDUP(IF(SUM($AV887:$AW887)=0,0,IF(IF(ISBLANK($AW887),$AV887,$AW887)*Paraméterek!$J$112&lt;IF($D$4="Forint",Paraméterek!$J$113,Paraméterek!$K$113),IF($D$4="Forint",Paraméterek!$J$113,Paraméterek!$K$113),IF(IF(ISBLANK($AW887),$AV887,$AW887)*Paraméterek!$J$112&gt;IF($D$4="Forint",Paraméterek!$J$114,Paraméterek!$K$114),IF($D$4="Forint",Paraméterek!$J$114,Paraméterek!$K$114),IF(ISBLANK($AW887),$AV887,$AW887)*Paraméterek!$J$112))),IF($D$4="Forint",0,2))</f>
        <v>0</v>
      </c>
      <c r="AY887" s="13">
        <f>$AR887+$AT887-$AU887-IF(ROUNDDOWN(IF(ISBLANK($AW887),$AV887,$AW887),IF($D$4="Forint",0,2))&gt;$AR887+$AT887-$AU887-IF($D$4="Forint",Paraméterek!$J$114,Paraméterek!$K$114),0,ROUNDDOWN(IF(ISBLANK($AW887),$AV887,$AW887),IF($D$4="Forint",0,2))-$AX887)</f>
        <v>0</v>
      </c>
      <c r="AZ887" s="13">
        <f t="shared" si="204"/>
        <v>0</v>
      </c>
    </row>
    <row r="888" spans="1:52" x14ac:dyDescent="0.2">
      <c r="A888" s="32">
        <v>869</v>
      </c>
      <c r="B888" s="32">
        <v>73</v>
      </c>
      <c r="C888" s="32">
        <v>5</v>
      </c>
      <c r="D888" s="13">
        <f t="shared" si="195"/>
        <v>0</v>
      </c>
      <c r="E888" s="13"/>
      <c r="F888" s="13"/>
      <c r="G888" s="13"/>
      <c r="H888" s="13">
        <f t="shared" si="196"/>
        <v>0</v>
      </c>
      <c r="I888" s="13">
        <f t="shared" si="197"/>
        <v>0</v>
      </c>
      <c r="J888" s="13">
        <f t="shared" si="198"/>
        <v>0</v>
      </c>
      <c r="K888" s="13">
        <f>ROUNDUP(IF($D$2="Egyszeri",$D888,IF($D$2="Havi",SUM($D$20:$D$31),IF(MOD($C888,$M$1)-1=0,SUM($D$20:$D$31),0))/12*$M$1)*VLOOKUP($B888,Paraméterek!$B$27:$D$30,IF($D$2="Egyszeri",3,2)),IF($D$4="Forint",0,2))</f>
        <v>0</v>
      </c>
      <c r="L888" s="13">
        <f t="shared" si="199"/>
        <v>0</v>
      </c>
      <c r="M888" s="13">
        <f t="shared" ca="1" si="205"/>
        <v>-951612</v>
      </c>
      <c r="N888" s="13">
        <f ca="1">IF($V887&gt;=VLOOKUP($M$4-1+$B888,Paraméterek!$B$121:$D$122,IF($D$4="Forint",2,3)),0,VLOOKUP($M$4-1+$B888,Paraméterek!$B$121:$D$122,IF($D$4="Forint",2,3))-$V887)</f>
        <v>961612</v>
      </c>
      <c r="O888" s="13">
        <f ca="1">ROUNDUP($N888*Paraméterek!$C$58/Paraméterek!$C$56,IF($D$4="Forint",0,2))</f>
        <v>154</v>
      </c>
      <c r="P888" s="13">
        <f t="shared" si="200"/>
        <v>4621</v>
      </c>
      <c r="Q888" s="33"/>
      <c r="R888" s="13">
        <f t="shared" ca="1" si="201"/>
        <v>0</v>
      </c>
      <c r="S888" s="13">
        <f ca="1">ROUNDUP(($M888-$O888-$P888+$R888)*VLOOKUP($B888,Paraméterek!$B$38:$D$39,IF($D$2="Egyszeri",3,2))/12,IF($D$4="Forint",0,2))</f>
        <v>-2336</v>
      </c>
      <c r="T888" s="13"/>
      <c r="U888" s="13"/>
      <c r="V888" s="13">
        <f ca="1">$M888-$O888-$P888+$R888-$S888-IF(ROUNDUP(IF(ISBLANK($U888),$T888,$U888)/IF(AND($B888=1,$D$2&lt;&gt;"Egyszeri"),1,VLOOKUP($B888+IF($C888=12,1,0),Paraméterek!$B$257:$D$267,IF($D$2="Egyszeri",3,2))),IF($D$4="Forint",0,2))&gt;$M888-$O888-$P888+$R888-$S888-IF($D$4="Forint",Paraméterek!$C$216,Paraméterek!$D$216),0,ROUNDUP(IF(ISBLANK($U888),$T888,$U888)/IF(AND($B888=1,$D$2&lt;&gt;"Egyszeri"),1,VLOOKUP($B888+IF($C888=12,1,0),Paraméterek!$B$257:$D$267,IF($D$2="Egyszeri",3,2))),IF($D$4="Forint",0,2)))</f>
        <v>-954051</v>
      </c>
      <c r="W888" s="13">
        <f ca="1">ROUNDDOWN($V888*VLOOKUP($B888+IF($C888=12,1,0),Paraméterek!$B$257:$D$267,IF($D$2="Egyszeri",3,2)),IF($D$4="Forint",0,2))</f>
        <v>-954051</v>
      </c>
      <c r="Y888" s="32">
        <v>869</v>
      </c>
      <c r="Z888" s="32">
        <v>73</v>
      </c>
      <c r="AA888" s="32">
        <v>5</v>
      </c>
      <c r="AB888" s="13">
        <f t="shared" si="206"/>
        <v>0</v>
      </c>
      <c r="AC888" s="33"/>
      <c r="AD888" s="13">
        <f t="shared" si="202"/>
        <v>0</v>
      </c>
      <c r="AE888" s="13">
        <f>ROUNDUP(($AB888+$AD888)*VLOOKUP($Z888,Paraméterek!$P$38:$Q$38,2)/12,IF($D$4="Forint",0,2))</f>
        <v>0</v>
      </c>
      <c r="AF888" s="13">
        <f>IF($D$2="Egyszeri",IF($D$7&gt;=IF($D$4="Forint",Paraméterek!$P$223,Paraméterek!$P$224),$D$7-IF($D$4="Forint",Paraméterek!$F$223,Paraméterek!$F$224),0),MIN(IF($AA888=12,AVERAGE($D$20:$D888)*12,0),SUM($D$20:$D$31)))</f>
        <v>0</v>
      </c>
      <c r="AG888" s="13">
        <f>IF(AND($Z888&gt;=10,MOD($Z888,5)=0),$AF888*IF($AA888=12,VLOOKUP($Z888,Paraméterek!$B$225:$F$240,IF($AF888&lt;IF($D$4="Forint",Paraméterek!$C$223,Paraméterek!$C$224),2,IF($AF888&lt;IF($D$4="Forint",Paraméterek!$D$223,Paraméterek!$D$224),3,4))),0),0)</f>
        <v>0</v>
      </c>
      <c r="AH888" s="13">
        <f>IF(AND($Z888&gt;=5,MOD($Z888,5)=0),IF($AA888=12,VLOOKUP($Z888,Paraméterek!$B$225:$F$240,5),0),IF(OR($Z888=3,$Z888=4),IF($AA888=12,VLOOKUP($Z888,Paraméterek!$B$225:$F$240,5,0),0),0))*$AF888</f>
        <v>0</v>
      </c>
      <c r="AI888" s="13">
        <f>ROUNDDOWN(IF(SUM($T$20:$U888)=0,IF($D$2="Egyszeri",$AH888,$AG888),0),IF($D$4="Forint",0,2))</f>
        <v>0</v>
      </c>
      <c r="AJ888" s="13">
        <f t="shared" si="207"/>
        <v>0</v>
      </c>
      <c r="AK888" s="13">
        <f t="shared" si="208"/>
        <v>0</v>
      </c>
      <c r="AM888" s="32">
        <v>869</v>
      </c>
      <c r="AN888" s="32">
        <v>73</v>
      </c>
      <c r="AO888" s="32">
        <v>5</v>
      </c>
      <c r="AP888" s="13"/>
      <c r="AQ888" s="32"/>
      <c r="AR888" s="13">
        <f t="shared" si="209"/>
        <v>0</v>
      </c>
      <c r="AS888" s="33"/>
      <c r="AT888" s="13">
        <f t="shared" si="203"/>
        <v>0</v>
      </c>
      <c r="AU888" s="13">
        <f>ROUNDUP(($AR888+$AT888)*VLOOKUP($AN888,Paraméterek!$P$38:$Q$38,2)/12,IF($D$4="Forint",0,2))</f>
        <v>0</v>
      </c>
      <c r="AV888" s="13"/>
      <c r="AW888" s="13"/>
      <c r="AX888" s="13">
        <f>ROUNDUP(IF(SUM($AV888:$AW888)=0,0,IF(IF(ISBLANK($AW888),$AV888,$AW888)*Paraméterek!$J$112&lt;IF($D$4="Forint",Paraméterek!$J$113,Paraméterek!$K$113),IF($D$4="Forint",Paraméterek!$J$113,Paraméterek!$K$113),IF(IF(ISBLANK($AW888),$AV888,$AW888)*Paraméterek!$J$112&gt;IF($D$4="Forint",Paraméterek!$J$114,Paraméterek!$K$114),IF($D$4="Forint",Paraméterek!$J$114,Paraméterek!$K$114),IF(ISBLANK($AW888),$AV888,$AW888)*Paraméterek!$J$112))),IF($D$4="Forint",0,2))</f>
        <v>0</v>
      </c>
      <c r="AY888" s="13">
        <f>$AR888+$AT888-$AU888-IF(ROUNDDOWN(IF(ISBLANK($AW888),$AV888,$AW888),IF($D$4="Forint",0,2))&gt;$AR888+$AT888-$AU888-IF($D$4="Forint",Paraméterek!$J$114,Paraméterek!$K$114),0,ROUNDDOWN(IF(ISBLANK($AW888),$AV888,$AW888),IF($D$4="Forint",0,2))-$AX888)</f>
        <v>0</v>
      </c>
      <c r="AZ888" s="13">
        <f t="shared" si="204"/>
        <v>0</v>
      </c>
    </row>
    <row r="889" spans="1:52" x14ac:dyDescent="0.2">
      <c r="A889" s="32">
        <v>870</v>
      </c>
      <c r="B889" s="32">
        <v>73</v>
      </c>
      <c r="C889" s="32">
        <v>6</v>
      </c>
      <c r="D889" s="13">
        <f t="shared" si="195"/>
        <v>0</v>
      </c>
      <c r="E889" s="13"/>
      <c r="F889" s="13"/>
      <c r="G889" s="13"/>
      <c r="H889" s="13">
        <f t="shared" si="196"/>
        <v>0</v>
      </c>
      <c r="I889" s="13">
        <f t="shared" si="197"/>
        <v>0</v>
      </c>
      <c r="J889" s="13">
        <f t="shared" si="198"/>
        <v>0</v>
      </c>
      <c r="K889" s="13">
        <f>ROUNDUP(IF($D$2="Egyszeri",$D889,IF($D$2="Havi",SUM($D$20:$D$31),IF(MOD($C889,$M$1)-1=0,SUM($D$20:$D$31),0))/12*$M$1)*VLOOKUP($B889,Paraméterek!$B$27:$D$30,IF($D$2="Egyszeri",3,2)),IF($D$4="Forint",0,2))</f>
        <v>0</v>
      </c>
      <c r="L889" s="13">
        <f t="shared" si="199"/>
        <v>0</v>
      </c>
      <c r="M889" s="13">
        <f t="shared" ca="1" si="205"/>
        <v>-954051</v>
      </c>
      <c r="N889" s="13">
        <f ca="1">IF($V888&gt;=VLOOKUP($M$4-1+$B889,Paraméterek!$B$121:$D$122,IF($D$4="Forint",2,3)),0,VLOOKUP($M$4-1+$B889,Paraméterek!$B$121:$D$122,IF($D$4="Forint",2,3))-$V888)</f>
        <v>964051</v>
      </c>
      <c r="O889" s="13">
        <f ca="1">ROUNDUP($N889*Paraméterek!$C$58/Paraméterek!$C$56,IF($D$4="Forint",0,2))</f>
        <v>154</v>
      </c>
      <c r="P889" s="13">
        <f t="shared" si="200"/>
        <v>4621</v>
      </c>
      <c r="Q889" s="33"/>
      <c r="R889" s="13">
        <f t="shared" ca="1" si="201"/>
        <v>0</v>
      </c>
      <c r="S889" s="13">
        <f ca="1">ROUNDUP(($M889-$O889-$P889+$R889)*VLOOKUP($B889,Paraméterek!$B$38:$D$39,IF($D$2="Egyszeri",3,2))/12,IF($D$4="Forint",0,2))</f>
        <v>-2342</v>
      </c>
      <c r="T889" s="13"/>
      <c r="U889" s="13"/>
      <c r="V889" s="13">
        <f ca="1">$M889-$O889-$P889+$R889-$S889-IF(ROUNDUP(IF(ISBLANK($U889),$T889,$U889)/IF(AND($B889=1,$D$2&lt;&gt;"Egyszeri"),1,VLOOKUP($B889+IF($C889=12,1,0),Paraméterek!$B$257:$D$267,IF($D$2="Egyszeri",3,2))),IF($D$4="Forint",0,2))&gt;$M889-$O889-$P889+$R889-$S889-IF($D$4="Forint",Paraméterek!$C$216,Paraméterek!$D$216),0,ROUNDUP(IF(ISBLANK($U889),$T889,$U889)/IF(AND($B889=1,$D$2&lt;&gt;"Egyszeri"),1,VLOOKUP($B889+IF($C889=12,1,0),Paraméterek!$B$257:$D$267,IF($D$2="Egyszeri",3,2))),IF($D$4="Forint",0,2)))</f>
        <v>-956484</v>
      </c>
      <c r="W889" s="13">
        <f ca="1">ROUNDDOWN($V889*VLOOKUP($B889+IF($C889=12,1,0),Paraméterek!$B$257:$D$267,IF($D$2="Egyszeri",3,2)),IF($D$4="Forint",0,2))</f>
        <v>-956484</v>
      </c>
      <c r="Y889" s="32">
        <v>870</v>
      </c>
      <c r="Z889" s="32">
        <v>73</v>
      </c>
      <c r="AA889" s="32">
        <v>6</v>
      </c>
      <c r="AB889" s="13">
        <f t="shared" si="206"/>
        <v>0</v>
      </c>
      <c r="AC889" s="33"/>
      <c r="AD889" s="13">
        <f t="shared" si="202"/>
        <v>0</v>
      </c>
      <c r="AE889" s="13">
        <f>ROUNDUP(($AB889+$AD889)*VLOOKUP($Z889,Paraméterek!$P$38:$Q$38,2)/12,IF($D$4="Forint",0,2))</f>
        <v>0</v>
      </c>
      <c r="AF889" s="13">
        <f>IF($D$2="Egyszeri",IF($D$7&gt;=IF($D$4="Forint",Paraméterek!$P$223,Paraméterek!$P$224),$D$7-IF($D$4="Forint",Paraméterek!$F$223,Paraméterek!$F$224),0),MIN(IF($AA889=12,AVERAGE($D$20:$D889)*12,0),SUM($D$20:$D$31)))</f>
        <v>0</v>
      </c>
      <c r="AG889" s="13">
        <f>IF(AND($Z889&gt;=10,MOD($Z889,5)=0),$AF889*IF($AA889=12,VLOOKUP($Z889,Paraméterek!$B$225:$F$240,IF($AF889&lt;IF($D$4="Forint",Paraméterek!$C$223,Paraméterek!$C$224),2,IF($AF889&lt;IF($D$4="Forint",Paraméterek!$D$223,Paraméterek!$D$224),3,4))),0),0)</f>
        <v>0</v>
      </c>
      <c r="AH889" s="13">
        <f>IF(AND($Z889&gt;=5,MOD($Z889,5)=0),IF($AA889=12,VLOOKUP($Z889,Paraméterek!$B$225:$F$240,5),0),IF(OR($Z889=3,$Z889=4),IF($AA889=12,VLOOKUP($Z889,Paraméterek!$B$225:$F$240,5,0),0),0))*$AF889</f>
        <v>0</v>
      </c>
      <c r="AI889" s="13">
        <f>ROUNDDOWN(IF(SUM($T$20:$U889)=0,IF($D$2="Egyszeri",$AH889,$AG889),0),IF($D$4="Forint",0,2))</f>
        <v>0</v>
      </c>
      <c r="AJ889" s="13">
        <f t="shared" si="207"/>
        <v>0</v>
      </c>
      <c r="AK889" s="13">
        <f t="shared" si="208"/>
        <v>0</v>
      </c>
      <c r="AM889" s="32">
        <v>870</v>
      </c>
      <c r="AN889" s="32">
        <v>73</v>
      </c>
      <c r="AO889" s="32">
        <v>6</v>
      </c>
      <c r="AP889" s="13"/>
      <c r="AQ889" s="32"/>
      <c r="AR889" s="13">
        <f t="shared" si="209"/>
        <v>0</v>
      </c>
      <c r="AS889" s="33"/>
      <c r="AT889" s="13">
        <f t="shared" si="203"/>
        <v>0</v>
      </c>
      <c r="AU889" s="13">
        <f>ROUNDUP(($AR889+$AT889)*VLOOKUP($AN889,Paraméterek!$P$38:$Q$38,2)/12,IF($D$4="Forint",0,2))</f>
        <v>0</v>
      </c>
      <c r="AV889" s="13"/>
      <c r="AW889" s="13"/>
      <c r="AX889" s="13">
        <f>ROUNDUP(IF(SUM($AV889:$AW889)=0,0,IF(IF(ISBLANK($AW889),$AV889,$AW889)*Paraméterek!$J$112&lt;IF($D$4="Forint",Paraméterek!$J$113,Paraméterek!$K$113),IF($D$4="Forint",Paraméterek!$J$113,Paraméterek!$K$113),IF(IF(ISBLANK($AW889),$AV889,$AW889)*Paraméterek!$J$112&gt;IF($D$4="Forint",Paraméterek!$J$114,Paraméterek!$K$114),IF($D$4="Forint",Paraméterek!$J$114,Paraméterek!$K$114),IF(ISBLANK($AW889),$AV889,$AW889)*Paraméterek!$J$112))),IF($D$4="Forint",0,2))</f>
        <v>0</v>
      </c>
      <c r="AY889" s="13">
        <f>$AR889+$AT889-$AU889-IF(ROUNDDOWN(IF(ISBLANK($AW889),$AV889,$AW889),IF($D$4="Forint",0,2))&gt;$AR889+$AT889-$AU889-IF($D$4="Forint",Paraméterek!$J$114,Paraméterek!$K$114),0,ROUNDDOWN(IF(ISBLANK($AW889),$AV889,$AW889),IF($D$4="Forint",0,2))-$AX889)</f>
        <v>0</v>
      </c>
      <c r="AZ889" s="13">
        <f t="shared" si="204"/>
        <v>0</v>
      </c>
    </row>
    <row r="890" spans="1:52" x14ac:dyDescent="0.2">
      <c r="A890" s="32">
        <v>871</v>
      </c>
      <c r="B890" s="32">
        <v>73</v>
      </c>
      <c r="C890" s="32">
        <v>7</v>
      </c>
      <c r="D890" s="13">
        <f t="shared" si="195"/>
        <v>0</v>
      </c>
      <c r="E890" s="13"/>
      <c r="F890" s="13"/>
      <c r="G890" s="13"/>
      <c r="H890" s="13">
        <f t="shared" si="196"/>
        <v>0</v>
      </c>
      <c r="I890" s="13">
        <f t="shared" si="197"/>
        <v>0</v>
      </c>
      <c r="J890" s="13">
        <f t="shared" si="198"/>
        <v>0</v>
      </c>
      <c r="K890" s="13">
        <f>ROUNDUP(IF($D$2="Egyszeri",$D890,IF($D$2="Havi",SUM($D$20:$D$31),IF(MOD($C890,$M$1)-1=0,SUM($D$20:$D$31),0))/12*$M$1)*VLOOKUP($B890,Paraméterek!$B$27:$D$30,IF($D$2="Egyszeri",3,2)),IF($D$4="Forint",0,2))</f>
        <v>0</v>
      </c>
      <c r="L890" s="13">
        <f t="shared" si="199"/>
        <v>0</v>
      </c>
      <c r="M890" s="13">
        <f t="shared" ca="1" si="205"/>
        <v>-956484</v>
      </c>
      <c r="N890" s="13">
        <f ca="1">IF($V889&gt;=VLOOKUP($M$4-1+$B890,Paraméterek!$B$121:$D$122,IF($D$4="Forint",2,3)),0,VLOOKUP($M$4-1+$B890,Paraméterek!$B$121:$D$122,IF($D$4="Forint",2,3))-$V889)</f>
        <v>966484</v>
      </c>
      <c r="O890" s="13">
        <f ca="1">ROUNDUP($N890*Paraméterek!$C$58/Paraméterek!$C$56,IF($D$4="Forint",0,2))</f>
        <v>154</v>
      </c>
      <c r="P890" s="13">
        <f t="shared" si="200"/>
        <v>4621</v>
      </c>
      <c r="Q890" s="33"/>
      <c r="R890" s="13">
        <f t="shared" ca="1" si="201"/>
        <v>0</v>
      </c>
      <c r="S890" s="13">
        <f ca="1">ROUNDUP(($M890-$O890-$P890+$R890)*VLOOKUP($B890,Paraméterek!$B$38:$D$39,IF($D$2="Egyszeri",3,2))/12,IF($D$4="Forint",0,2))</f>
        <v>-2348</v>
      </c>
      <c r="T890" s="13"/>
      <c r="U890" s="13"/>
      <c r="V890" s="13">
        <f ca="1">$M890-$O890-$P890+$R890-$S890-IF(ROUNDUP(IF(ISBLANK($U890),$T890,$U890)/IF(AND($B890=1,$D$2&lt;&gt;"Egyszeri"),1,VLOOKUP($B890+IF($C890=12,1,0),Paraméterek!$B$257:$D$267,IF($D$2="Egyszeri",3,2))),IF($D$4="Forint",0,2))&gt;$M890-$O890-$P890+$R890-$S890-IF($D$4="Forint",Paraméterek!$C$216,Paraméterek!$D$216),0,ROUNDUP(IF(ISBLANK($U890),$T890,$U890)/IF(AND($B890=1,$D$2&lt;&gt;"Egyszeri"),1,VLOOKUP($B890+IF($C890=12,1,0),Paraméterek!$B$257:$D$267,IF($D$2="Egyszeri",3,2))),IF($D$4="Forint",0,2)))</f>
        <v>-958911</v>
      </c>
      <c r="W890" s="13">
        <f ca="1">ROUNDDOWN($V890*VLOOKUP($B890+IF($C890=12,1,0),Paraméterek!$B$257:$D$267,IF($D$2="Egyszeri",3,2)),IF($D$4="Forint",0,2))</f>
        <v>-958911</v>
      </c>
      <c r="Y890" s="32">
        <v>871</v>
      </c>
      <c r="Z890" s="32">
        <v>73</v>
      </c>
      <c r="AA890" s="32">
        <v>7</v>
      </c>
      <c r="AB890" s="13">
        <f t="shared" si="206"/>
        <v>0</v>
      </c>
      <c r="AC890" s="33"/>
      <c r="AD890" s="13">
        <f t="shared" si="202"/>
        <v>0</v>
      </c>
      <c r="AE890" s="13">
        <f>ROUNDUP(($AB890+$AD890)*VLOOKUP($Z890,Paraméterek!$P$38:$Q$38,2)/12,IF($D$4="Forint",0,2))</f>
        <v>0</v>
      </c>
      <c r="AF890" s="13">
        <f>IF($D$2="Egyszeri",IF($D$7&gt;=IF($D$4="Forint",Paraméterek!$P$223,Paraméterek!$P$224),$D$7-IF($D$4="Forint",Paraméterek!$F$223,Paraméterek!$F$224),0),MIN(IF($AA890=12,AVERAGE($D$20:$D890)*12,0),SUM($D$20:$D$31)))</f>
        <v>0</v>
      </c>
      <c r="AG890" s="13">
        <f>IF(AND($Z890&gt;=10,MOD($Z890,5)=0),$AF890*IF($AA890=12,VLOOKUP($Z890,Paraméterek!$B$225:$F$240,IF($AF890&lt;IF($D$4="Forint",Paraméterek!$C$223,Paraméterek!$C$224),2,IF($AF890&lt;IF($D$4="Forint",Paraméterek!$D$223,Paraméterek!$D$224),3,4))),0),0)</f>
        <v>0</v>
      </c>
      <c r="AH890" s="13">
        <f>IF(AND($Z890&gt;=5,MOD($Z890,5)=0),IF($AA890=12,VLOOKUP($Z890,Paraméterek!$B$225:$F$240,5),0),IF(OR($Z890=3,$Z890=4),IF($AA890=12,VLOOKUP($Z890,Paraméterek!$B$225:$F$240,5,0),0),0))*$AF890</f>
        <v>0</v>
      </c>
      <c r="AI890" s="13">
        <f>ROUNDDOWN(IF(SUM($T$20:$U890)=0,IF($D$2="Egyszeri",$AH890,$AG890),0),IF($D$4="Forint",0,2))</f>
        <v>0</v>
      </c>
      <c r="AJ890" s="13">
        <f t="shared" si="207"/>
        <v>0</v>
      </c>
      <c r="AK890" s="13">
        <f t="shared" si="208"/>
        <v>0</v>
      </c>
      <c r="AM890" s="32">
        <v>871</v>
      </c>
      <c r="AN890" s="32">
        <v>73</v>
      </c>
      <c r="AO890" s="32">
        <v>7</v>
      </c>
      <c r="AP890" s="13"/>
      <c r="AQ890" s="32"/>
      <c r="AR890" s="13">
        <f t="shared" si="209"/>
        <v>0</v>
      </c>
      <c r="AS890" s="33"/>
      <c r="AT890" s="13">
        <f t="shared" si="203"/>
        <v>0</v>
      </c>
      <c r="AU890" s="13">
        <f>ROUNDUP(($AR890+$AT890)*VLOOKUP($AN890,Paraméterek!$P$38:$Q$38,2)/12,IF($D$4="Forint",0,2))</f>
        <v>0</v>
      </c>
      <c r="AV890" s="13"/>
      <c r="AW890" s="13"/>
      <c r="AX890" s="13">
        <f>ROUNDUP(IF(SUM($AV890:$AW890)=0,0,IF(IF(ISBLANK($AW890),$AV890,$AW890)*Paraméterek!$J$112&lt;IF($D$4="Forint",Paraméterek!$J$113,Paraméterek!$K$113),IF($D$4="Forint",Paraméterek!$J$113,Paraméterek!$K$113),IF(IF(ISBLANK($AW890),$AV890,$AW890)*Paraméterek!$J$112&gt;IF($D$4="Forint",Paraméterek!$J$114,Paraméterek!$K$114),IF($D$4="Forint",Paraméterek!$J$114,Paraméterek!$K$114),IF(ISBLANK($AW890),$AV890,$AW890)*Paraméterek!$J$112))),IF($D$4="Forint",0,2))</f>
        <v>0</v>
      </c>
      <c r="AY890" s="13">
        <f>$AR890+$AT890-$AU890-IF(ROUNDDOWN(IF(ISBLANK($AW890),$AV890,$AW890),IF($D$4="Forint",0,2))&gt;$AR890+$AT890-$AU890-IF($D$4="Forint",Paraméterek!$J$114,Paraméterek!$K$114),0,ROUNDDOWN(IF(ISBLANK($AW890),$AV890,$AW890),IF($D$4="Forint",0,2))-$AX890)</f>
        <v>0</v>
      </c>
      <c r="AZ890" s="13">
        <f t="shared" si="204"/>
        <v>0</v>
      </c>
    </row>
    <row r="891" spans="1:52" x14ac:dyDescent="0.2">
      <c r="A891" s="32">
        <v>872</v>
      </c>
      <c r="B891" s="32">
        <v>73</v>
      </c>
      <c r="C891" s="32">
        <v>8</v>
      </c>
      <c r="D891" s="13">
        <f t="shared" si="195"/>
        <v>0</v>
      </c>
      <c r="E891" s="13"/>
      <c r="F891" s="13"/>
      <c r="G891" s="13"/>
      <c r="H891" s="13">
        <f t="shared" si="196"/>
        <v>0</v>
      </c>
      <c r="I891" s="13">
        <f t="shared" si="197"/>
        <v>0</v>
      </c>
      <c r="J891" s="13">
        <f t="shared" si="198"/>
        <v>0</v>
      </c>
      <c r="K891" s="13">
        <f>ROUNDUP(IF($D$2="Egyszeri",$D891,IF($D$2="Havi",SUM($D$20:$D$31),IF(MOD($C891,$M$1)-1=0,SUM($D$20:$D$31),0))/12*$M$1)*VLOOKUP($B891,Paraméterek!$B$27:$D$30,IF($D$2="Egyszeri",3,2)),IF($D$4="Forint",0,2))</f>
        <v>0</v>
      </c>
      <c r="L891" s="13">
        <f t="shared" si="199"/>
        <v>0</v>
      </c>
      <c r="M891" s="13">
        <f t="shared" ca="1" si="205"/>
        <v>-958911</v>
      </c>
      <c r="N891" s="13">
        <f ca="1">IF($V890&gt;=VLOOKUP($M$4-1+$B891,Paraméterek!$B$121:$D$122,IF($D$4="Forint",2,3)),0,VLOOKUP($M$4-1+$B891,Paraméterek!$B$121:$D$122,IF($D$4="Forint",2,3))-$V890)</f>
        <v>968911</v>
      </c>
      <c r="O891" s="13">
        <f ca="1">ROUNDUP($N891*Paraméterek!$C$58/Paraméterek!$C$56,IF($D$4="Forint",0,2))</f>
        <v>155</v>
      </c>
      <c r="P891" s="13">
        <f t="shared" si="200"/>
        <v>4621</v>
      </c>
      <c r="Q891" s="33"/>
      <c r="R891" s="13">
        <f t="shared" ca="1" si="201"/>
        <v>0</v>
      </c>
      <c r="S891" s="13">
        <f ca="1">ROUNDUP(($M891-$O891-$P891+$R891)*VLOOKUP($B891,Paraméterek!$B$38:$D$39,IF($D$2="Egyszeri",3,2))/12,IF($D$4="Forint",0,2))</f>
        <v>-2354</v>
      </c>
      <c r="T891" s="13"/>
      <c r="U891" s="13"/>
      <c r="V891" s="13">
        <f ca="1">$M891-$O891-$P891+$R891-$S891-IF(ROUNDUP(IF(ISBLANK($U891),$T891,$U891)/IF(AND($B891=1,$D$2&lt;&gt;"Egyszeri"),1,VLOOKUP($B891+IF($C891=12,1,0),Paraméterek!$B$257:$D$267,IF($D$2="Egyszeri",3,2))),IF($D$4="Forint",0,2))&gt;$M891-$O891-$P891+$R891-$S891-IF($D$4="Forint",Paraméterek!$C$216,Paraméterek!$D$216),0,ROUNDUP(IF(ISBLANK($U891),$T891,$U891)/IF(AND($B891=1,$D$2&lt;&gt;"Egyszeri"),1,VLOOKUP($B891+IF($C891=12,1,0),Paraméterek!$B$257:$D$267,IF($D$2="Egyszeri",3,2))),IF($D$4="Forint",0,2)))</f>
        <v>-961333</v>
      </c>
      <c r="W891" s="13">
        <f ca="1">ROUNDDOWN($V891*VLOOKUP($B891+IF($C891=12,1,0),Paraméterek!$B$257:$D$267,IF($D$2="Egyszeri",3,2)),IF($D$4="Forint",0,2))</f>
        <v>-961333</v>
      </c>
      <c r="Y891" s="32">
        <v>872</v>
      </c>
      <c r="Z891" s="32">
        <v>73</v>
      </c>
      <c r="AA891" s="32">
        <v>8</v>
      </c>
      <c r="AB891" s="13">
        <f t="shared" si="206"/>
        <v>0</v>
      </c>
      <c r="AC891" s="33"/>
      <c r="AD891" s="13">
        <f t="shared" si="202"/>
        <v>0</v>
      </c>
      <c r="AE891" s="13">
        <f>ROUNDUP(($AB891+$AD891)*VLOOKUP($Z891,Paraméterek!$P$38:$Q$38,2)/12,IF($D$4="Forint",0,2))</f>
        <v>0</v>
      </c>
      <c r="AF891" s="13">
        <f>IF($D$2="Egyszeri",IF($D$7&gt;=IF($D$4="Forint",Paraméterek!$P$223,Paraméterek!$P$224),$D$7-IF($D$4="Forint",Paraméterek!$F$223,Paraméterek!$F$224),0),MIN(IF($AA891=12,AVERAGE($D$20:$D891)*12,0),SUM($D$20:$D$31)))</f>
        <v>0</v>
      </c>
      <c r="AG891" s="13">
        <f>IF(AND($Z891&gt;=10,MOD($Z891,5)=0),$AF891*IF($AA891=12,VLOOKUP($Z891,Paraméterek!$B$225:$F$240,IF($AF891&lt;IF($D$4="Forint",Paraméterek!$C$223,Paraméterek!$C$224),2,IF($AF891&lt;IF($D$4="Forint",Paraméterek!$D$223,Paraméterek!$D$224),3,4))),0),0)</f>
        <v>0</v>
      </c>
      <c r="AH891" s="13">
        <f>IF(AND($Z891&gt;=5,MOD($Z891,5)=0),IF($AA891=12,VLOOKUP($Z891,Paraméterek!$B$225:$F$240,5),0),IF(OR($Z891=3,$Z891=4),IF($AA891=12,VLOOKUP($Z891,Paraméterek!$B$225:$F$240,5,0),0),0))*$AF891</f>
        <v>0</v>
      </c>
      <c r="AI891" s="13">
        <f>ROUNDDOWN(IF(SUM($T$20:$U891)=0,IF($D$2="Egyszeri",$AH891,$AG891),0),IF($D$4="Forint",0,2))</f>
        <v>0</v>
      </c>
      <c r="AJ891" s="13">
        <f t="shared" si="207"/>
        <v>0</v>
      </c>
      <c r="AK891" s="13">
        <f t="shared" si="208"/>
        <v>0</v>
      </c>
      <c r="AM891" s="32">
        <v>872</v>
      </c>
      <c r="AN891" s="32">
        <v>73</v>
      </c>
      <c r="AO891" s="32">
        <v>8</v>
      </c>
      <c r="AP891" s="13"/>
      <c r="AQ891" s="32"/>
      <c r="AR891" s="13">
        <f t="shared" si="209"/>
        <v>0</v>
      </c>
      <c r="AS891" s="33"/>
      <c r="AT891" s="13">
        <f t="shared" si="203"/>
        <v>0</v>
      </c>
      <c r="AU891" s="13">
        <f>ROUNDUP(($AR891+$AT891)*VLOOKUP($AN891,Paraméterek!$P$38:$Q$38,2)/12,IF($D$4="Forint",0,2))</f>
        <v>0</v>
      </c>
      <c r="AV891" s="13"/>
      <c r="AW891" s="13"/>
      <c r="AX891" s="13">
        <f>ROUNDUP(IF(SUM($AV891:$AW891)=0,0,IF(IF(ISBLANK($AW891),$AV891,$AW891)*Paraméterek!$J$112&lt;IF($D$4="Forint",Paraméterek!$J$113,Paraméterek!$K$113),IF($D$4="Forint",Paraméterek!$J$113,Paraméterek!$K$113),IF(IF(ISBLANK($AW891),$AV891,$AW891)*Paraméterek!$J$112&gt;IF($D$4="Forint",Paraméterek!$J$114,Paraméterek!$K$114),IF($D$4="Forint",Paraméterek!$J$114,Paraméterek!$K$114),IF(ISBLANK($AW891),$AV891,$AW891)*Paraméterek!$J$112))),IF($D$4="Forint",0,2))</f>
        <v>0</v>
      </c>
      <c r="AY891" s="13">
        <f>$AR891+$AT891-$AU891-IF(ROUNDDOWN(IF(ISBLANK($AW891),$AV891,$AW891),IF($D$4="Forint",0,2))&gt;$AR891+$AT891-$AU891-IF($D$4="Forint",Paraméterek!$J$114,Paraméterek!$K$114),0,ROUNDDOWN(IF(ISBLANK($AW891),$AV891,$AW891),IF($D$4="Forint",0,2))-$AX891)</f>
        <v>0</v>
      </c>
      <c r="AZ891" s="13">
        <f t="shared" si="204"/>
        <v>0</v>
      </c>
    </row>
    <row r="892" spans="1:52" x14ac:dyDescent="0.2">
      <c r="A892" s="32">
        <v>873</v>
      </c>
      <c r="B892" s="32">
        <v>73</v>
      </c>
      <c r="C892" s="32">
        <v>9</v>
      </c>
      <c r="D892" s="13">
        <f t="shared" si="195"/>
        <v>0</v>
      </c>
      <c r="E892" s="13"/>
      <c r="F892" s="13"/>
      <c r="G892" s="13"/>
      <c r="H892" s="13">
        <f t="shared" si="196"/>
        <v>0</v>
      </c>
      <c r="I892" s="13">
        <f t="shared" si="197"/>
        <v>0</v>
      </c>
      <c r="J892" s="13">
        <f t="shared" si="198"/>
        <v>0</v>
      </c>
      <c r="K892" s="13">
        <f>ROUNDUP(IF($D$2="Egyszeri",$D892,IF($D$2="Havi",SUM($D$20:$D$31),IF(MOD($C892,$M$1)-1=0,SUM($D$20:$D$31),0))/12*$M$1)*VLOOKUP($B892,Paraméterek!$B$27:$D$30,IF($D$2="Egyszeri",3,2)),IF($D$4="Forint",0,2))</f>
        <v>0</v>
      </c>
      <c r="L892" s="13">
        <f t="shared" si="199"/>
        <v>0</v>
      </c>
      <c r="M892" s="13">
        <f t="shared" ca="1" si="205"/>
        <v>-961333</v>
      </c>
      <c r="N892" s="13">
        <f ca="1">IF($V891&gt;=VLOOKUP($M$4-1+$B892,Paraméterek!$B$121:$D$122,IF($D$4="Forint",2,3)),0,VLOOKUP($M$4-1+$B892,Paraméterek!$B$121:$D$122,IF($D$4="Forint",2,3))-$V891)</f>
        <v>971333</v>
      </c>
      <c r="O892" s="13">
        <f ca="1">ROUNDUP($N892*Paraméterek!$C$58/Paraméterek!$C$56,IF($D$4="Forint",0,2))</f>
        <v>155</v>
      </c>
      <c r="P892" s="13">
        <f t="shared" si="200"/>
        <v>4621</v>
      </c>
      <c r="Q892" s="33"/>
      <c r="R892" s="13">
        <f t="shared" ca="1" si="201"/>
        <v>0</v>
      </c>
      <c r="S892" s="13">
        <f ca="1">ROUNDUP(($M892-$O892-$P892+$R892)*VLOOKUP($B892,Paraméterek!$B$38:$D$39,IF($D$2="Egyszeri",3,2))/12,IF($D$4="Forint",0,2))</f>
        <v>-2359</v>
      </c>
      <c r="T892" s="13"/>
      <c r="U892" s="13"/>
      <c r="V892" s="13">
        <f ca="1">$M892-$O892-$P892+$R892-$S892-IF(ROUNDUP(IF(ISBLANK($U892),$T892,$U892)/IF(AND($B892=1,$D$2&lt;&gt;"Egyszeri"),1,VLOOKUP($B892+IF($C892=12,1,0),Paraméterek!$B$257:$D$267,IF($D$2="Egyszeri",3,2))),IF($D$4="Forint",0,2))&gt;$M892-$O892-$P892+$R892-$S892-IF($D$4="Forint",Paraméterek!$C$216,Paraméterek!$D$216),0,ROUNDUP(IF(ISBLANK($U892),$T892,$U892)/IF(AND($B892=1,$D$2&lt;&gt;"Egyszeri"),1,VLOOKUP($B892+IF($C892=12,1,0),Paraméterek!$B$257:$D$267,IF($D$2="Egyszeri",3,2))),IF($D$4="Forint",0,2)))</f>
        <v>-963750</v>
      </c>
      <c r="W892" s="13">
        <f ca="1">ROUNDDOWN($V892*VLOOKUP($B892+IF($C892=12,1,0),Paraméterek!$B$257:$D$267,IF($D$2="Egyszeri",3,2)),IF($D$4="Forint",0,2))</f>
        <v>-963750</v>
      </c>
      <c r="Y892" s="32">
        <v>873</v>
      </c>
      <c r="Z892" s="32">
        <v>73</v>
      </c>
      <c r="AA892" s="32">
        <v>9</v>
      </c>
      <c r="AB892" s="13">
        <f t="shared" si="206"/>
        <v>0</v>
      </c>
      <c r="AC892" s="33"/>
      <c r="AD892" s="13">
        <f t="shared" si="202"/>
        <v>0</v>
      </c>
      <c r="AE892" s="13">
        <f>ROUNDUP(($AB892+$AD892)*VLOOKUP($Z892,Paraméterek!$P$38:$Q$38,2)/12,IF($D$4="Forint",0,2))</f>
        <v>0</v>
      </c>
      <c r="AF892" s="13">
        <f>IF($D$2="Egyszeri",IF($D$7&gt;=IF($D$4="Forint",Paraméterek!$P$223,Paraméterek!$P$224),$D$7-IF($D$4="Forint",Paraméterek!$F$223,Paraméterek!$F$224),0),MIN(IF($AA892=12,AVERAGE($D$20:$D892)*12,0),SUM($D$20:$D$31)))</f>
        <v>0</v>
      </c>
      <c r="AG892" s="13">
        <f>IF(AND($Z892&gt;=10,MOD($Z892,5)=0),$AF892*IF($AA892=12,VLOOKUP($Z892,Paraméterek!$B$225:$F$240,IF($AF892&lt;IF($D$4="Forint",Paraméterek!$C$223,Paraméterek!$C$224),2,IF($AF892&lt;IF($D$4="Forint",Paraméterek!$D$223,Paraméterek!$D$224),3,4))),0),0)</f>
        <v>0</v>
      </c>
      <c r="AH892" s="13">
        <f>IF(AND($Z892&gt;=5,MOD($Z892,5)=0),IF($AA892=12,VLOOKUP($Z892,Paraméterek!$B$225:$F$240,5),0),IF(OR($Z892=3,$Z892=4),IF($AA892=12,VLOOKUP($Z892,Paraméterek!$B$225:$F$240,5,0),0),0))*$AF892</f>
        <v>0</v>
      </c>
      <c r="AI892" s="13">
        <f>ROUNDDOWN(IF(SUM($T$20:$U892)=0,IF($D$2="Egyszeri",$AH892,$AG892),0),IF($D$4="Forint",0,2))</f>
        <v>0</v>
      </c>
      <c r="AJ892" s="13">
        <f t="shared" si="207"/>
        <v>0</v>
      </c>
      <c r="AK892" s="13">
        <f t="shared" si="208"/>
        <v>0</v>
      </c>
      <c r="AM892" s="32">
        <v>873</v>
      </c>
      <c r="AN892" s="32">
        <v>73</v>
      </c>
      <c r="AO892" s="32">
        <v>9</v>
      </c>
      <c r="AP892" s="13"/>
      <c r="AQ892" s="32"/>
      <c r="AR892" s="13">
        <f t="shared" si="209"/>
        <v>0</v>
      </c>
      <c r="AS892" s="33"/>
      <c r="AT892" s="13">
        <f t="shared" si="203"/>
        <v>0</v>
      </c>
      <c r="AU892" s="13">
        <f>ROUNDUP(($AR892+$AT892)*VLOOKUP($AN892,Paraméterek!$P$38:$Q$38,2)/12,IF($D$4="Forint",0,2))</f>
        <v>0</v>
      </c>
      <c r="AV892" s="13"/>
      <c r="AW892" s="13"/>
      <c r="AX892" s="13">
        <f>ROUNDUP(IF(SUM($AV892:$AW892)=0,0,IF(IF(ISBLANK($AW892),$AV892,$AW892)*Paraméterek!$J$112&lt;IF($D$4="Forint",Paraméterek!$J$113,Paraméterek!$K$113),IF($D$4="Forint",Paraméterek!$J$113,Paraméterek!$K$113),IF(IF(ISBLANK($AW892),$AV892,$AW892)*Paraméterek!$J$112&gt;IF($D$4="Forint",Paraméterek!$J$114,Paraméterek!$K$114),IF($D$4="Forint",Paraméterek!$J$114,Paraméterek!$K$114),IF(ISBLANK($AW892),$AV892,$AW892)*Paraméterek!$J$112))),IF($D$4="Forint",0,2))</f>
        <v>0</v>
      </c>
      <c r="AY892" s="13">
        <f>$AR892+$AT892-$AU892-IF(ROUNDDOWN(IF(ISBLANK($AW892),$AV892,$AW892),IF($D$4="Forint",0,2))&gt;$AR892+$AT892-$AU892-IF($D$4="Forint",Paraméterek!$J$114,Paraméterek!$K$114),0,ROUNDDOWN(IF(ISBLANK($AW892),$AV892,$AW892),IF($D$4="Forint",0,2))-$AX892)</f>
        <v>0</v>
      </c>
      <c r="AZ892" s="13">
        <f t="shared" si="204"/>
        <v>0</v>
      </c>
    </row>
    <row r="893" spans="1:52" x14ac:dyDescent="0.2">
      <c r="A893" s="32">
        <v>874</v>
      </c>
      <c r="B893" s="32">
        <v>73</v>
      </c>
      <c r="C893" s="32">
        <v>10</v>
      </c>
      <c r="D893" s="13">
        <f t="shared" si="195"/>
        <v>0</v>
      </c>
      <c r="E893" s="13"/>
      <c r="F893" s="13"/>
      <c r="G893" s="13"/>
      <c r="H893" s="13">
        <f t="shared" si="196"/>
        <v>0</v>
      </c>
      <c r="I893" s="13">
        <f t="shared" si="197"/>
        <v>0</v>
      </c>
      <c r="J893" s="13">
        <f t="shared" si="198"/>
        <v>0</v>
      </c>
      <c r="K893" s="13">
        <f>ROUNDUP(IF($D$2="Egyszeri",$D893,IF($D$2="Havi",SUM($D$20:$D$31),IF(MOD($C893,$M$1)-1=0,SUM($D$20:$D$31),0))/12*$M$1)*VLOOKUP($B893,Paraméterek!$B$27:$D$30,IF($D$2="Egyszeri",3,2)),IF($D$4="Forint",0,2))</f>
        <v>0</v>
      </c>
      <c r="L893" s="13">
        <f t="shared" si="199"/>
        <v>0</v>
      </c>
      <c r="M893" s="13">
        <f t="shared" ca="1" si="205"/>
        <v>-963750</v>
      </c>
      <c r="N893" s="13">
        <f ca="1">IF($V892&gt;=VLOOKUP($M$4-1+$B893,Paraméterek!$B$121:$D$122,IF($D$4="Forint",2,3)),0,VLOOKUP($M$4-1+$B893,Paraméterek!$B$121:$D$122,IF($D$4="Forint",2,3))-$V892)</f>
        <v>973750</v>
      </c>
      <c r="O893" s="13">
        <f ca="1">ROUNDUP($N893*Paraméterek!$C$58/Paraméterek!$C$56,IF($D$4="Forint",0,2))</f>
        <v>155</v>
      </c>
      <c r="P893" s="13">
        <f t="shared" si="200"/>
        <v>4621</v>
      </c>
      <c r="Q893" s="33"/>
      <c r="R893" s="13">
        <f t="shared" ca="1" si="201"/>
        <v>0</v>
      </c>
      <c r="S893" s="13">
        <f ca="1">ROUNDUP(($M893-$O893-$P893+$R893)*VLOOKUP($B893,Paraméterek!$B$38:$D$39,IF($D$2="Egyszeri",3,2))/12,IF($D$4="Forint",0,2))</f>
        <v>-2365</v>
      </c>
      <c r="T893" s="13"/>
      <c r="U893" s="13"/>
      <c r="V893" s="13">
        <f ca="1">$M893-$O893-$P893+$R893-$S893-IF(ROUNDUP(IF(ISBLANK($U893),$T893,$U893)/IF(AND($B893=1,$D$2&lt;&gt;"Egyszeri"),1,VLOOKUP($B893+IF($C893=12,1,0),Paraméterek!$B$257:$D$267,IF($D$2="Egyszeri",3,2))),IF($D$4="Forint",0,2))&gt;$M893-$O893-$P893+$R893-$S893-IF($D$4="Forint",Paraméterek!$C$216,Paraméterek!$D$216),0,ROUNDUP(IF(ISBLANK($U893),$T893,$U893)/IF(AND($B893=1,$D$2&lt;&gt;"Egyszeri"),1,VLOOKUP($B893+IF($C893=12,1,0),Paraméterek!$B$257:$D$267,IF($D$2="Egyszeri",3,2))),IF($D$4="Forint",0,2)))</f>
        <v>-966161</v>
      </c>
      <c r="W893" s="13">
        <f ca="1">ROUNDDOWN($V893*VLOOKUP($B893+IF($C893=12,1,0),Paraméterek!$B$257:$D$267,IF($D$2="Egyszeri",3,2)),IF($D$4="Forint",0,2))</f>
        <v>-966161</v>
      </c>
      <c r="Y893" s="32">
        <v>874</v>
      </c>
      <c r="Z893" s="32">
        <v>73</v>
      </c>
      <c r="AA893" s="32">
        <v>10</v>
      </c>
      <c r="AB893" s="13">
        <f t="shared" si="206"/>
        <v>0</v>
      </c>
      <c r="AC893" s="33"/>
      <c r="AD893" s="13">
        <f t="shared" si="202"/>
        <v>0</v>
      </c>
      <c r="AE893" s="13">
        <f>ROUNDUP(($AB893+$AD893)*VLOOKUP($Z893,Paraméterek!$P$38:$Q$38,2)/12,IF($D$4="Forint",0,2))</f>
        <v>0</v>
      </c>
      <c r="AF893" s="13">
        <f>IF($D$2="Egyszeri",IF($D$7&gt;=IF($D$4="Forint",Paraméterek!$P$223,Paraméterek!$P$224),$D$7-IF($D$4="Forint",Paraméterek!$F$223,Paraméterek!$F$224),0),MIN(IF($AA893=12,AVERAGE($D$20:$D893)*12,0),SUM($D$20:$D$31)))</f>
        <v>0</v>
      </c>
      <c r="AG893" s="13">
        <f>IF(AND($Z893&gt;=10,MOD($Z893,5)=0),$AF893*IF($AA893=12,VLOOKUP($Z893,Paraméterek!$B$225:$F$240,IF($AF893&lt;IF($D$4="Forint",Paraméterek!$C$223,Paraméterek!$C$224),2,IF($AF893&lt;IF($D$4="Forint",Paraméterek!$D$223,Paraméterek!$D$224),3,4))),0),0)</f>
        <v>0</v>
      </c>
      <c r="AH893" s="13">
        <f>IF(AND($Z893&gt;=5,MOD($Z893,5)=0),IF($AA893=12,VLOOKUP($Z893,Paraméterek!$B$225:$F$240,5),0),IF(OR($Z893=3,$Z893=4),IF($AA893=12,VLOOKUP($Z893,Paraméterek!$B$225:$F$240,5,0),0),0))*$AF893</f>
        <v>0</v>
      </c>
      <c r="AI893" s="13">
        <f>ROUNDDOWN(IF(SUM($T$20:$U893)=0,IF($D$2="Egyszeri",$AH893,$AG893),0),IF($D$4="Forint",0,2))</f>
        <v>0</v>
      </c>
      <c r="AJ893" s="13">
        <f t="shared" si="207"/>
        <v>0</v>
      </c>
      <c r="AK893" s="13">
        <f t="shared" si="208"/>
        <v>0</v>
      </c>
      <c r="AM893" s="32">
        <v>874</v>
      </c>
      <c r="AN893" s="32">
        <v>73</v>
      </c>
      <c r="AO893" s="32">
        <v>10</v>
      </c>
      <c r="AP893" s="13"/>
      <c r="AQ893" s="32"/>
      <c r="AR893" s="13">
        <f t="shared" si="209"/>
        <v>0</v>
      </c>
      <c r="AS893" s="33"/>
      <c r="AT893" s="13">
        <f t="shared" si="203"/>
        <v>0</v>
      </c>
      <c r="AU893" s="13">
        <f>ROUNDUP(($AR893+$AT893)*VLOOKUP($AN893,Paraméterek!$P$38:$Q$38,2)/12,IF($D$4="Forint",0,2))</f>
        <v>0</v>
      </c>
      <c r="AV893" s="13"/>
      <c r="AW893" s="13"/>
      <c r="AX893" s="13">
        <f>ROUNDUP(IF(SUM($AV893:$AW893)=0,0,IF(IF(ISBLANK($AW893),$AV893,$AW893)*Paraméterek!$J$112&lt;IF($D$4="Forint",Paraméterek!$J$113,Paraméterek!$K$113),IF($D$4="Forint",Paraméterek!$J$113,Paraméterek!$K$113),IF(IF(ISBLANK($AW893),$AV893,$AW893)*Paraméterek!$J$112&gt;IF($D$4="Forint",Paraméterek!$J$114,Paraméterek!$K$114),IF($D$4="Forint",Paraméterek!$J$114,Paraméterek!$K$114),IF(ISBLANK($AW893),$AV893,$AW893)*Paraméterek!$J$112))),IF($D$4="Forint",0,2))</f>
        <v>0</v>
      </c>
      <c r="AY893" s="13">
        <f>$AR893+$AT893-$AU893-IF(ROUNDDOWN(IF(ISBLANK($AW893),$AV893,$AW893),IF($D$4="Forint",0,2))&gt;$AR893+$AT893-$AU893-IF($D$4="Forint",Paraméterek!$J$114,Paraméterek!$K$114),0,ROUNDDOWN(IF(ISBLANK($AW893),$AV893,$AW893),IF($D$4="Forint",0,2))-$AX893)</f>
        <v>0</v>
      </c>
      <c r="AZ893" s="13">
        <f t="shared" si="204"/>
        <v>0</v>
      </c>
    </row>
    <row r="894" spans="1:52" x14ac:dyDescent="0.2">
      <c r="A894" s="32">
        <v>875</v>
      </c>
      <c r="B894" s="32">
        <v>73</v>
      </c>
      <c r="C894" s="32">
        <v>11</v>
      </c>
      <c r="D894" s="13">
        <f t="shared" si="195"/>
        <v>0</v>
      </c>
      <c r="E894" s="13"/>
      <c r="F894" s="13"/>
      <c r="G894" s="13"/>
      <c r="H894" s="13">
        <f t="shared" si="196"/>
        <v>0</v>
      </c>
      <c r="I894" s="13">
        <f t="shared" si="197"/>
        <v>0</v>
      </c>
      <c r="J894" s="13">
        <f t="shared" si="198"/>
        <v>0</v>
      </c>
      <c r="K894" s="13">
        <f>ROUNDUP(IF($D$2="Egyszeri",$D894,IF($D$2="Havi",SUM($D$20:$D$31),IF(MOD($C894,$M$1)-1=0,SUM($D$20:$D$31),0))/12*$M$1)*VLOOKUP($B894,Paraméterek!$B$27:$D$30,IF($D$2="Egyszeri",3,2)),IF($D$4="Forint",0,2))</f>
        <v>0</v>
      </c>
      <c r="L894" s="13">
        <f t="shared" si="199"/>
        <v>0</v>
      </c>
      <c r="M894" s="13">
        <f t="shared" ca="1" si="205"/>
        <v>-966161</v>
      </c>
      <c r="N894" s="13">
        <f ca="1">IF($V893&gt;=VLOOKUP($M$4-1+$B894,Paraméterek!$B$121:$D$122,IF($D$4="Forint",2,3)),0,VLOOKUP($M$4-1+$B894,Paraméterek!$B$121:$D$122,IF($D$4="Forint",2,3))-$V893)</f>
        <v>976161</v>
      </c>
      <c r="O894" s="13">
        <f ca="1">ROUNDUP($N894*Paraméterek!$C$58/Paraméterek!$C$56,IF($D$4="Forint",0,2))</f>
        <v>156</v>
      </c>
      <c r="P894" s="13">
        <f t="shared" si="200"/>
        <v>4621</v>
      </c>
      <c r="Q894" s="33"/>
      <c r="R894" s="13">
        <f t="shared" ca="1" si="201"/>
        <v>0</v>
      </c>
      <c r="S894" s="13">
        <f ca="1">ROUNDUP(($M894-$O894-$P894+$R894)*VLOOKUP($B894,Paraméterek!$B$38:$D$39,IF($D$2="Egyszeri",3,2))/12,IF($D$4="Forint",0,2))</f>
        <v>-2371</v>
      </c>
      <c r="T894" s="13"/>
      <c r="U894" s="13"/>
      <c r="V894" s="13">
        <f ca="1">$M894-$O894-$P894+$R894-$S894-IF(ROUNDUP(IF(ISBLANK($U894),$T894,$U894)/IF(AND($B894=1,$D$2&lt;&gt;"Egyszeri"),1,VLOOKUP($B894+IF($C894=12,1,0),Paraméterek!$B$257:$D$267,IF($D$2="Egyszeri",3,2))),IF($D$4="Forint",0,2))&gt;$M894-$O894-$P894+$R894-$S894-IF($D$4="Forint",Paraméterek!$C$216,Paraméterek!$D$216),0,ROUNDUP(IF(ISBLANK($U894),$T894,$U894)/IF(AND($B894=1,$D$2&lt;&gt;"Egyszeri"),1,VLOOKUP($B894+IF($C894=12,1,0),Paraméterek!$B$257:$D$267,IF($D$2="Egyszeri",3,2))),IF($D$4="Forint",0,2)))</f>
        <v>-968567</v>
      </c>
      <c r="W894" s="13">
        <f ca="1">ROUNDDOWN($V894*VLOOKUP($B894+IF($C894=12,1,0),Paraméterek!$B$257:$D$267,IF($D$2="Egyszeri",3,2)),IF($D$4="Forint",0,2))</f>
        <v>-968567</v>
      </c>
      <c r="Y894" s="32">
        <v>875</v>
      </c>
      <c r="Z894" s="32">
        <v>73</v>
      </c>
      <c r="AA894" s="32">
        <v>11</v>
      </c>
      <c r="AB894" s="13">
        <f t="shared" si="206"/>
        <v>0</v>
      </c>
      <c r="AC894" s="33"/>
      <c r="AD894" s="13">
        <f t="shared" si="202"/>
        <v>0</v>
      </c>
      <c r="AE894" s="13">
        <f>ROUNDUP(($AB894+$AD894)*VLOOKUP($Z894,Paraméterek!$P$38:$Q$38,2)/12,IF($D$4="Forint",0,2))</f>
        <v>0</v>
      </c>
      <c r="AF894" s="13">
        <f>IF($D$2="Egyszeri",IF($D$7&gt;=IF($D$4="Forint",Paraméterek!$P$223,Paraméterek!$P$224),$D$7-IF($D$4="Forint",Paraméterek!$F$223,Paraméterek!$F$224),0),MIN(IF($AA894=12,AVERAGE($D$20:$D894)*12,0),SUM($D$20:$D$31)))</f>
        <v>0</v>
      </c>
      <c r="AG894" s="13">
        <f>IF(AND($Z894&gt;=10,MOD($Z894,5)=0),$AF894*IF($AA894=12,VLOOKUP($Z894,Paraméterek!$B$225:$F$240,IF($AF894&lt;IF($D$4="Forint",Paraméterek!$C$223,Paraméterek!$C$224),2,IF($AF894&lt;IF($D$4="Forint",Paraméterek!$D$223,Paraméterek!$D$224),3,4))),0),0)</f>
        <v>0</v>
      </c>
      <c r="AH894" s="13">
        <f>IF(AND($Z894&gt;=5,MOD($Z894,5)=0),IF($AA894=12,VLOOKUP($Z894,Paraméterek!$B$225:$F$240,5),0),IF(OR($Z894=3,$Z894=4),IF($AA894=12,VLOOKUP($Z894,Paraméterek!$B$225:$F$240,5,0),0),0))*$AF894</f>
        <v>0</v>
      </c>
      <c r="AI894" s="13">
        <f>ROUNDDOWN(IF(SUM($T$20:$U894)=0,IF($D$2="Egyszeri",$AH894,$AG894),0),IF($D$4="Forint",0,2))</f>
        <v>0</v>
      </c>
      <c r="AJ894" s="13">
        <f t="shared" si="207"/>
        <v>0</v>
      </c>
      <c r="AK894" s="13">
        <f t="shared" si="208"/>
        <v>0</v>
      </c>
      <c r="AM894" s="32">
        <v>875</v>
      </c>
      <c r="AN894" s="32">
        <v>73</v>
      </c>
      <c r="AO894" s="32">
        <v>11</v>
      </c>
      <c r="AP894" s="13"/>
      <c r="AQ894" s="32"/>
      <c r="AR894" s="13">
        <f t="shared" si="209"/>
        <v>0</v>
      </c>
      <c r="AS894" s="33"/>
      <c r="AT894" s="13">
        <f t="shared" si="203"/>
        <v>0</v>
      </c>
      <c r="AU894" s="13">
        <f>ROUNDUP(($AR894+$AT894)*VLOOKUP($AN894,Paraméterek!$P$38:$Q$38,2)/12,IF($D$4="Forint",0,2))</f>
        <v>0</v>
      </c>
      <c r="AV894" s="13"/>
      <c r="AW894" s="13"/>
      <c r="AX894" s="13">
        <f>ROUNDUP(IF(SUM($AV894:$AW894)=0,0,IF(IF(ISBLANK($AW894),$AV894,$AW894)*Paraméterek!$J$112&lt;IF($D$4="Forint",Paraméterek!$J$113,Paraméterek!$K$113),IF($D$4="Forint",Paraméterek!$J$113,Paraméterek!$K$113),IF(IF(ISBLANK($AW894),$AV894,$AW894)*Paraméterek!$J$112&gt;IF($D$4="Forint",Paraméterek!$J$114,Paraméterek!$K$114),IF($D$4="Forint",Paraméterek!$J$114,Paraméterek!$K$114),IF(ISBLANK($AW894),$AV894,$AW894)*Paraméterek!$J$112))),IF($D$4="Forint",0,2))</f>
        <v>0</v>
      </c>
      <c r="AY894" s="13">
        <f>$AR894+$AT894-$AU894-IF(ROUNDDOWN(IF(ISBLANK($AW894),$AV894,$AW894),IF($D$4="Forint",0,2))&gt;$AR894+$AT894-$AU894-IF($D$4="Forint",Paraméterek!$J$114,Paraméterek!$K$114),0,ROUNDDOWN(IF(ISBLANK($AW894),$AV894,$AW894),IF($D$4="Forint",0,2))-$AX894)</f>
        <v>0</v>
      </c>
      <c r="AZ894" s="13">
        <f t="shared" si="204"/>
        <v>0</v>
      </c>
    </row>
    <row r="895" spans="1:52" x14ac:dyDescent="0.2">
      <c r="A895" s="32">
        <v>876</v>
      </c>
      <c r="B895" s="32">
        <v>73</v>
      </c>
      <c r="C895" s="32">
        <v>12</v>
      </c>
      <c r="D895" s="13">
        <f t="shared" si="195"/>
        <v>0</v>
      </c>
      <c r="E895" s="13"/>
      <c r="F895" s="13"/>
      <c r="G895" s="13"/>
      <c r="H895" s="13">
        <f t="shared" si="196"/>
        <v>0</v>
      </c>
      <c r="I895" s="13">
        <f t="shared" si="197"/>
        <v>0</v>
      </c>
      <c r="J895" s="13">
        <f t="shared" si="198"/>
        <v>0</v>
      </c>
      <c r="K895" s="13">
        <f>ROUNDUP(IF($D$2="Egyszeri",$D895,IF($D$2="Havi",SUM($D$20:$D$31),IF(MOD($C895,$M$1)-1=0,SUM($D$20:$D$31),0))/12*$M$1)*VLOOKUP($B895,Paraméterek!$B$27:$D$30,IF($D$2="Egyszeri",3,2)),IF($D$4="Forint",0,2))</f>
        <v>0</v>
      </c>
      <c r="L895" s="13">
        <f t="shared" si="199"/>
        <v>0</v>
      </c>
      <c r="M895" s="13">
        <f t="shared" ca="1" si="205"/>
        <v>-968567</v>
      </c>
      <c r="N895" s="13">
        <f ca="1">IF($V894&gt;=VLOOKUP($M$4-1+$B895,Paraméterek!$B$121:$D$122,IF($D$4="Forint",2,3)),0,VLOOKUP($M$4-1+$B895,Paraméterek!$B$121:$D$122,IF($D$4="Forint",2,3))-$V894)</f>
        <v>978567</v>
      </c>
      <c r="O895" s="13">
        <f ca="1">ROUNDUP($N895*Paraméterek!$C$58/Paraméterek!$C$56,IF($D$4="Forint",0,2))</f>
        <v>156</v>
      </c>
      <c r="P895" s="13">
        <f t="shared" si="200"/>
        <v>4621</v>
      </c>
      <c r="Q895" s="33"/>
      <c r="R895" s="13">
        <f t="shared" ca="1" si="201"/>
        <v>0</v>
      </c>
      <c r="S895" s="13">
        <f ca="1">ROUNDUP(($M895-$O895-$P895+$R895)*VLOOKUP($B895,Paraméterek!$B$38:$D$39,IF($D$2="Egyszeri",3,2))/12,IF($D$4="Forint",0,2))</f>
        <v>-2377</v>
      </c>
      <c r="T895" s="13">
        <f>Tranzakciók!$F$104</f>
        <v>0</v>
      </c>
      <c r="U895" s="13"/>
      <c r="V895" s="13">
        <f ca="1">$M895-$O895-$P895+$R895-$S895-IF(ROUNDUP(IF(ISBLANK($U895),$T895,$U895)/IF(AND($B895=1,$D$2&lt;&gt;"Egyszeri"),1,VLOOKUP($B895+IF($C895=12,1,0),Paraméterek!$B$257:$D$267,IF($D$2="Egyszeri",3,2))),IF($D$4="Forint",0,2))&gt;$M895-$O895-$P895+$R895-$S895-IF($D$4="Forint",Paraméterek!$C$216,Paraméterek!$D$216),0,ROUNDUP(IF(ISBLANK($U895),$T895,$U895)/IF(AND($B895=1,$D$2&lt;&gt;"Egyszeri"),1,VLOOKUP($B895+IF($C895=12,1,0),Paraméterek!$B$257:$D$267,IF($D$2="Egyszeri",3,2))),IF($D$4="Forint",0,2)))</f>
        <v>-970967</v>
      </c>
      <c r="W895" s="13">
        <f ca="1">ROUNDDOWN($V895*VLOOKUP($B895+IF($C895=12,1,0),Paraméterek!$B$257:$D$267,IF($D$2="Egyszeri",3,2)),IF($D$4="Forint",0,2))</f>
        <v>-970967</v>
      </c>
      <c r="Y895" s="32">
        <v>876</v>
      </c>
      <c r="Z895" s="32">
        <v>73</v>
      </c>
      <c r="AA895" s="32">
        <v>12</v>
      </c>
      <c r="AB895" s="13">
        <f t="shared" si="206"/>
        <v>0</v>
      </c>
      <c r="AC895" s="33"/>
      <c r="AD895" s="13">
        <f t="shared" si="202"/>
        <v>0</v>
      </c>
      <c r="AE895" s="13">
        <f>ROUNDUP(($AB895+$AD895)*VLOOKUP($Z895,Paraméterek!$P$38:$Q$38,2)/12,IF($D$4="Forint",0,2))</f>
        <v>0</v>
      </c>
      <c r="AF895" s="13">
        <f>IF($D$2="Egyszeri",IF($D$7&gt;=IF($D$4="Forint",Paraméterek!$P$223,Paraméterek!$P$224),$D$7-IF($D$4="Forint",Paraméterek!$F$223,Paraméterek!$F$224),0),MIN(IF($AA895=12,AVERAGE($D$20:$D895)*12,0),SUM($D$20:$D$31)))</f>
        <v>0</v>
      </c>
      <c r="AG895" s="13">
        <f>IF(AND($Z895&gt;=10,MOD($Z895,5)=0),$AF895*IF($AA895=12,VLOOKUP($Z895,Paraméterek!$B$225:$F$240,IF($AF895&lt;IF($D$4="Forint",Paraméterek!$C$223,Paraméterek!$C$224),2,IF($AF895&lt;IF($D$4="Forint",Paraméterek!$D$223,Paraméterek!$D$224),3,4))),0),0)</f>
        <v>0</v>
      </c>
      <c r="AH895" s="13">
        <f>IF(AND($Z895&gt;=5,MOD($Z895,5)=0),IF($AA895=12,VLOOKUP($Z895,Paraméterek!$B$225:$F$240,5),0),IF(OR($Z895=3,$Z895=4),IF($AA895=12,VLOOKUP($Z895,Paraméterek!$B$225:$F$240,5,0),0),0))*$AF895</f>
        <v>0</v>
      </c>
      <c r="AI895" s="13">
        <f>ROUNDDOWN(IF(SUM($T$20:$U895)=0,IF($D$2="Egyszeri",$AH895,$AG895),0),IF($D$4="Forint",0,2))</f>
        <v>0</v>
      </c>
      <c r="AJ895" s="13">
        <f t="shared" si="207"/>
        <v>0</v>
      </c>
      <c r="AK895" s="13">
        <f t="shared" si="208"/>
        <v>0</v>
      </c>
      <c r="AM895" s="32">
        <v>876</v>
      </c>
      <c r="AN895" s="32">
        <v>73</v>
      </c>
      <c r="AO895" s="32">
        <v>12</v>
      </c>
      <c r="AP895" s="13"/>
      <c r="AQ895" s="32"/>
      <c r="AR895" s="13">
        <f t="shared" si="209"/>
        <v>0</v>
      </c>
      <c r="AS895" s="33"/>
      <c r="AT895" s="13">
        <f t="shared" si="203"/>
        <v>0</v>
      </c>
      <c r="AU895" s="13">
        <f>ROUNDUP(($AR895+$AT895)*VLOOKUP($AN895,Paraméterek!$P$38:$Q$38,2)/12,IF($D$4="Forint",0,2))</f>
        <v>0</v>
      </c>
      <c r="AV895" s="13">
        <f>Tranzakciók!$M$104</f>
        <v>0</v>
      </c>
      <c r="AW895" s="13"/>
      <c r="AX895" s="13">
        <f>ROUNDUP(IF(SUM($AV895:$AW895)=0,0,IF(IF(ISBLANK($AW895),$AV895,$AW895)*Paraméterek!$J$112&lt;IF($D$4="Forint",Paraméterek!$J$113,Paraméterek!$K$113),IF($D$4="Forint",Paraméterek!$J$113,Paraméterek!$K$113),IF(IF(ISBLANK($AW895),$AV895,$AW895)*Paraméterek!$J$112&gt;IF($D$4="Forint",Paraméterek!$J$114,Paraméterek!$K$114),IF($D$4="Forint",Paraméterek!$J$114,Paraméterek!$K$114),IF(ISBLANK($AW895),$AV895,$AW895)*Paraméterek!$J$112))),IF($D$4="Forint",0,2))</f>
        <v>0</v>
      </c>
      <c r="AY895" s="13">
        <f>$AR895+$AT895-$AU895-IF(ROUNDDOWN(IF(ISBLANK($AW895),$AV895,$AW895),IF($D$4="Forint",0,2))&gt;$AR895+$AT895-$AU895-IF($D$4="Forint",Paraméterek!$J$114,Paraméterek!$K$114),0,ROUNDDOWN(IF(ISBLANK($AW895),$AV895,$AW895),IF($D$4="Forint",0,2))-$AX895)</f>
        <v>0</v>
      </c>
      <c r="AZ895" s="13">
        <f t="shared" si="204"/>
        <v>0</v>
      </c>
    </row>
    <row r="896" spans="1:52" x14ac:dyDescent="0.2">
      <c r="A896" s="32">
        <v>877</v>
      </c>
      <c r="B896" s="32">
        <v>74</v>
      </c>
      <c r="C896" s="32">
        <v>1</v>
      </c>
      <c r="D896" s="13">
        <f t="shared" si="195"/>
        <v>0</v>
      </c>
      <c r="E896" s="13"/>
      <c r="F896" s="13">
        <f>Tranzakciók!$D$105</f>
        <v>0</v>
      </c>
      <c r="G896" s="13"/>
      <c r="H896" s="13">
        <f t="shared" si="196"/>
        <v>0</v>
      </c>
      <c r="I896" s="13">
        <f t="shared" si="197"/>
        <v>866</v>
      </c>
      <c r="J896" s="13">
        <f t="shared" si="198"/>
        <v>866</v>
      </c>
      <c r="K896" s="13">
        <f>ROUNDUP(IF($D$2="Egyszeri",$D896,IF($D$2="Havi",SUM($D$20:$D$31),IF(MOD($C896,$M$1)-1=0,SUM($D$20:$D$31),0))/12*$M$1)*VLOOKUP($B896,Paraméterek!$B$27:$D$30,IF($D$2="Egyszeri",3,2)),IF($D$4="Forint",0,2))</f>
        <v>0</v>
      </c>
      <c r="L896" s="13">
        <f t="shared" si="199"/>
        <v>0</v>
      </c>
      <c r="M896" s="13">
        <f t="shared" ca="1" si="205"/>
        <v>-970967</v>
      </c>
      <c r="N896" s="13">
        <f ca="1">IF($V895&gt;=VLOOKUP($M$4-1+$B896,Paraméterek!$B$121:$D$122,IF($D$4="Forint",2,3)),0,VLOOKUP($M$4-1+$B896,Paraméterek!$B$121:$D$122,IF($D$4="Forint",2,3))-$V895)</f>
        <v>980967</v>
      </c>
      <c r="O896" s="13">
        <f ca="1">ROUNDUP($N896*Paraméterek!$C$58/Paraméterek!$C$56,IF($D$4="Forint",0,2))</f>
        <v>157</v>
      </c>
      <c r="P896" s="13">
        <f t="shared" si="200"/>
        <v>4759</v>
      </c>
      <c r="Q896" s="33"/>
      <c r="R896" s="13">
        <f t="shared" ca="1" si="201"/>
        <v>0</v>
      </c>
      <c r="S896" s="13">
        <f ca="1">ROUNDUP(($M896-$O896-$P896+$R896)*VLOOKUP($B896,Paraméterek!$B$38:$D$39,IF($D$2="Egyszeri",3,2))/12,IF($D$4="Forint",0,2))</f>
        <v>-2383</v>
      </c>
      <c r="T896" s="13"/>
      <c r="U896" s="13"/>
      <c r="V896" s="13">
        <f ca="1">$M896-$O896-$P896+$R896-$S896-IF(ROUNDUP(IF(ISBLANK($U896),$T896,$U896)/IF(AND($B896=1,$D$2&lt;&gt;"Egyszeri"),1,VLOOKUP($B896+IF($C896=12,1,0),Paraméterek!$B$257:$D$267,IF($D$2="Egyszeri",3,2))),IF($D$4="Forint",0,2))&gt;$M896-$O896-$P896+$R896-$S896-IF($D$4="Forint",Paraméterek!$C$216,Paraméterek!$D$216),0,ROUNDUP(IF(ISBLANK($U896),$T896,$U896)/IF(AND($B896=1,$D$2&lt;&gt;"Egyszeri"),1,VLOOKUP($B896+IF($C896=12,1,0),Paraméterek!$B$257:$D$267,IF($D$2="Egyszeri",3,2))),IF($D$4="Forint",0,2)))</f>
        <v>-973500</v>
      </c>
      <c r="W896" s="13">
        <f ca="1">ROUNDDOWN($V896*VLOOKUP($B896+IF($C896=12,1,0),Paraméterek!$B$257:$D$267,IF($D$2="Egyszeri",3,2)),IF($D$4="Forint",0,2))</f>
        <v>-973500</v>
      </c>
      <c r="Y896" s="32">
        <v>877</v>
      </c>
      <c r="Z896" s="32">
        <v>74</v>
      </c>
      <c r="AA896" s="32">
        <v>1</v>
      </c>
      <c r="AB896" s="13">
        <f t="shared" si="206"/>
        <v>0</v>
      </c>
      <c r="AC896" s="33"/>
      <c r="AD896" s="13">
        <f t="shared" si="202"/>
        <v>0</v>
      </c>
      <c r="AE896" s="13">
        <f>ROUNDUP(($AB896+$AD896)*VLOOKUP($Z896,Paraméterek!$P$38:$Q$38,2)/12,IF($D$4="Forint",0,2))</f>
        <v>0</v>
      </c>
      <c r="AF896" s="13">
        <f>IF($D$2="Egyszeri",IF($D$7&gt;=IF($D$4="Forint",Paraméterek!$P$223,Paraméterek!$P$224),$D$7-IF($D$4="Forint",Paraméterek!$F$223,Paraméterek!$F$224),0),MIN(IF($AA896=12,AVERAGE($D$20:$D896)*12,0),SUM($D$20:$D$31)))</f>
        <v>0</v>
      </c>
      <c r="AG896" s="13">
        <f>IF(AND($Z896&gt;=10,MOD($Z896,5)=0),$AF896*IF($AA896=12,VLOOKUP($Z896,Paraméterek!$B$225:$F$240,IF($AF896&lt;IF($D$4="Forint",Paraméterek!$C$223,Paraméterek!$C$224),2,IF($AF896&lt;IF($D$4="Forint",Paraméterek!$D$223,Paraméterek!$D$224),3,4))),0),0)</f>
        <v>0</v>
      </c>
      <c r="AH896" s="13">
        <f>IF(AND($Z896&gt;=5,MOD($Z896,5)=0),IF($AA896=12,VLOOKUP($Z896,Paraméterek!$B$225:$F$240,5),0),IF(OR($Z896=3,$Z896=4),IF($AA896=12,VLOOKUP($Z896,Paraméterek!$B$225:$F$240,5,0),0),0))*$AF896</f>
        <v>0</v>
      </c>
      <c r="AI896" s="13">
        <f>ROUNDDOWN(IF(SUM($T$20:$U896)=0,IF($D$2="Egyszeri",$AH896,$AG896),0),IF($D$4="Forint",0,2))</f>
        <v>0</v>
      </c>
      <c r="AJ896" s="13">
        <f t="shared" si="207"/>
        <v>0</v>
      </c>
      <c r="AK896" s="13">
        <f t="shared" si="208"/>
        <v>0</v>
      </c>
      <c r="AM896" s="32">
        <v>877</v>
      </c>
      <c r="AN896" s="32">
        <v>74</v>
      </c>
      <c r="AO896" s="32">
        <v>1</v>
      </c>
      <c r="AP896" s="13">
        <f>Tranzakciók!$K$105</f>
        <v>0</v>
      </c>
      <c r="AQ896" s="32"/>
      <c r="AR896" s="13">
        <f t="shared" si="209"/>
        <v>0</v>
      </c>
      <c r="AS896" s="33"/>
      <c r="AT896" s="13">
        <f t="shared" si="203"/>
        <v>0</v>
      </c>
      <c r="AU896" s="13">
        <f>ROUNDUP(($AR896+$AT896)*VLOOKUP($AN896,Paraméterek!$P$38:$Q$38,2)/12,IF($D$4="Forint",0,2))</f>
        <v>0</v>
      </c>
      <c r="AV896" s="13"/>
      <c r="AW896" s="13"/>
      <c r="AX896" s="13">
        <f>ROUNDUP(IF(SUM($AV896:$AW896)=0,0,IF(IF(ISBLANK($AW896),$AV896,$AW896)*Paraméterek!$J$112&lt;IF($D$4="Forint",Paraméterek!$J$113,Paraméterek!$K$113),IF($D$4="Forint",Paraméterek!$J$113,Paraméterek!$K$113),IF(IF(ISBLANK($AW896),$AV896,$AW896)*Paraméterek!$J$112&gt;IF($D$4="Forint",Paraméterek!$J$114,Paraméterek!$K$114),IF($D$4="Forint",Paraméterek!$J$114,Paraméterek!$K$114),IF(ISBLANK($AW896),$AV896,$AW896)*Paraméterek!$J$112))),IF($D$4="Forint",0,2))</f>
        <v>0</v>
      </c>
      <c r="AY896" s="13">
        <f>$AR896+$AT896-$AU896-IF(ROUNDDOWN(IF(ISBLANK($AW896),$AV896,$AW896),IF($D$4="Forint",0,2))&gt;$AR896+$AT896-$AU896-IF($D$4="Forint",Paraméterek!$J$114,Paraméterek!$K$114),0,ROUNDDOWN(IF(ISBLANK($AW896),$AV896,$AW896),IF($D$4="Forint",0,2))-$AX896)</f>
        <v>0</v>
      </c>
      <c r="AZ896" s="13">
        <f t="shared" si="204"/>
        <v>0</v>
      </c>
    </row>
    <row r="897" spans="1:52" x14ac:dyDescent="0.2">
      <c r="A897" s="32">
        <v>878</v>
      </c>
      <c r="B897" s="32">
        <v>74</v>
      </c>
      <c r="C897" s="32">
        <v>2</v>
      </c>
      <c r="D897" s="13">
        <f t="shared" si="195"/>
        <v>0</v>
      </c>
      <c r="E897" s="13"/>
      <c r="F897" s="13"/>
      <c r="G897" s="13"/>
      <c r="H897" s="13">
        <f t="shared" si="196"/>
        <v>0</v>
      </c>
      <c r="I897" s="13">
        <f t="shared" si="197"/>
        <v>0</v>
      </c>
      <c r="J897" s="13">
        <f t="shared" si="198"/>
        <v>0</v>
      </c>
      <c r="K897" s="13">
        <f>ROUNDUP(IF($D$2="Egyszeri",$D897,IF($D$2="Havi",SUM($D$20:$D$31),IF(MOD($C897,$M$1)-1=0,SUM($D$20:$D$31),0))/12*$M$1)*VLOOKUP($B897,Paraméterek!$B$27:$D$30,IF($D$2="Egyszeri",3,2)),IF($D$4="Forint",0,2))</f>
        <v>0</v>
      </c>
      <c r="L897" s="13">
        <f t="shared" si="199"/>
        <v>0</v>
      </c>
      <c r="M897" s="13">
        <f t="shared" ca="1" si="205"/>
        <v>-973500</v>
      </c>
      <c r="N897" s="13">
        <f ca="1">IF($V896&gt;=VLOOKUP($M$4-1+$B897,Paraméterek!$B$121:$D$122,IF($D$4="Forint",2,3)),0,VLOOKUP($M$4-1+$B897,Paraméterek!$B$121:$D$122,IF($D$4="Forint",2,3))-$V896)</f>
        <v>983500</v>
      </c>
      <c r="O897" s="13">
        <f ca="1">ROUNDUP($N897*Paraméterek!$C$58/Paraméterek!$C$56,IF($D$4="Forint",0,2))</f>
        <v>157</v>
      </c>
      <c r="P897" s="13">
        <f t="shared" si="200"/>
        <v>4759</v>
      </c>
      <c r="Q897" s="33"/>
      <c r="R897" s="13">
        <f t="shared" ca="1" si="201"/>
        <v>0</v>
      </c>
      <c r="S897" s="13">
        <f ca="1">ROUNDUP(($M897-$O897-$P897+$R897)*VLOOKUP($B897,Paraméterek!$B$38:$D$39,IF($D$2="Egyszeri",3,2))/12,IF($D$4="Forint",0,2))</f>
        <v>-2389</v>
      </c>
      <c r="T897" s="13"/>
      <c r="U897" s="13"/>
      <c r="V897" s="13">
        <f ca="1">$M897-$O897-$P897+$R897-$S897-IF(ROUNDUP(IF(ISBLANK($U897),$T897,$U897)/IF(AND($B897=1,$D$2&lt;&gt;"Egyszeri"),1,VLOOKUP($B897+IF($C897=12,1,0),Paraméterek!$B$257:$D$267,IF($D$2="Egyszeri",3,2))),IF($D$4="Forint",0,2))&gt;$M897-$O897-$P897+$R897-$S897-IF($D$4="Forint",Paraméterek!$C$216,Paraméterek!$D$216),0,ROUNDUP(IF(ISBLANK($U897),$T897,$U897)/IF(AND($B897=1,$D$2&lt;&gt;"Egyszeri"),1,VLOOKUP($B897+IF($C897=12,1,0),Paraméterek!$B$257:$D$267,IF($D$2="Egyszeri",3,2))),IF($D$4="Forint",0,2)))</f>
        <v>-976027</v>
      </c>
      <c r="W897" s="13">
        <f ca="1">ROUNDDOWN($V897*VLOOKUP($B897+IF($C897=12,1,0),Paraméterek!$B$257:$D$267,IF($D$2="Egyszeri",3,2)),IF($D$4="Forint",0,2))</f>
        <v>-976027</v>
      </c>
      <c r="Y897" s="32">
        <v>878</v>
      </c>
      <c r="Z897" s="32">
        <v>74</v>
      </c>
      <c r="AA897" s="32">
        <v>2</v>
      </c>
      <c r="AB897" s="13">
        <f t="shared" si="206"/>
        <v>0</v>
      </c>
      <c r="AC897" s="33"/>
      <c r="AD897" s="13">
        <f t="shared" si="202"/>
        <v>0</v>
      </c>
      <c r="AE897" s="13">
        <f>ROUNDUP(($AB897+$AD897)*VLOOKUP($Z897,Paraméterek!$P$38:$Q$38,2)/12,IF($D$4="Forint",0,2))</f>
        <v>0</v>
      </c>
      <c r="AF897" s="13">
        <f>IF($D$2="Egyszeri",IF($D$7&gt;=IF($D$4="Forint",Paraméterek!$P$223,Paraméterek!$P$224),$D$7-IF($D$4="Forint",Paraméterek!$F$223,Paraméterek!$F$224),0),MIN(IF($AA897=12,AVERAGE($D$20:$D897)*12,0),SUM($D$20:$D$31)))</f>
        <v>0</v>
      </c>
      <c r="AG897" s="13">
        <f>IF(AND($Z897&gt;=10,MOD($Z897,5)=0),$AF897*IF($AA897=12,VLOOKUP($Z897,Paraméterek!$B$225:$F$240,IF($AF897&lt;IF($D$4="Forint",Paraméterek!$C$223,Paraméterek!$C$224),2,IF($AF897&lt;IF($D$4="Forint",Paraméterek!$D$223,Paraméterek!$D$224),3,4))),0),0)</f>
        <v>0</v>
      </c>
      <c r="AH897" s="13">
        <f>IF(AND($Z897&gt;=5,MOD($Z897,5)=0),IF($AA897=12,VLOOKUP($Z897,Paraméterek!$B$225:$F$240,5),0),IF(OR($Z897=3,$Z897=4),IF($AA897=12,VLOOKUP($Z897,Paraméterek!$B$225:$F$240,5,0),0),0))*$AF897</f>
        <v>0</v>
      </c>
      <c r="AI897" s="13">
        <f>ROUNDDOWN(IF(SUM($T$20:$U897)=0,IF($D$2="Egyszeri",$AH897,$AG897),0),IF($D$4="Forint",0,2))</f>
        <v>0</v>
      </c>
      <c r="AJ897" s="13">
        <f t="shared" si="207"/>
        <v>0</v>
      </c>
      <c r="AK897" s="13">
        <f t="shared" si="208"/>
        <v>0</v>
      </c>
      <c r="AM897" s="32">
        <v>878</v>
      </c>
      <c r="AN897" s="32">
        <v>74</v>
      </c>
      <c r="AO897" s="32">
        <v>2</v>
      </c>
      <c r="AP897" s="13"/>
      <c r="AQ897" s="32"/>
      <c r="AR897" s="13">
        <f t="shared" si="209"/>
        <v>0</v>
      </c>
      <c r="AS897" s="33"/>
      <c r="AT897" s="13">
        <f t="shared" si="203"/>
        <v>0</v>
      </c>
      <c r="AU897" s="13">
        <f>ROUNDUP(($AR897+$AT897)*VLOOKUP($AN897,Paraméterek!$P$38:$Q$38,2)/12,IF($D$4="Forint",0,2))</f>
        <v>0</v>
      </c>
      <c r="AV897" s="13"/>
      <c r="AW897" s="13"/>
      <c r="AX897" s="13">
        <f>ROUNDUP(IF(SUM($AV897:$AW897)=0,0,IF(IF(ISBLANK($AW897),$AV897,$AW897)*Paraméterek!$J$112&lt;IF($D$4="Forint",Paraméterek!$J$113,Paraméterek!$K$113),IF($D$4="Forint",Paraméterek!$J$113,Paraméterek!$K$113),IF(IF(ISBLANK($AW897),$AV897,$AW897)*Paraméterek!$J$112&gt;IF($D$4="Forint",Paraméterek!$J$114,Paraméterek!$K$114),IF($D$4="Forint",Paraméterek!$J$114,Paraméterek!$K$114),IF(ISBLANK($AW897),$AV897,$AW897)*Paraméterek!$J$112))),IF($D$4="Forint",0,2))</f>
        <v>0</v>
      </c>
      <c r="AY897" s="13">
        <f>$AR897+$AT897-$AU897-IF(ROUNDDOWN(IF(ISBLANK($AW897),$AV897,$AW897),IF($D$4="Forint",0,2))&gt;$AR897+$AT897-$AU897-IF($D$4="Forint",Paraméterek!$J$114,Paraméterek!$K$114),0,ROUNDDOWN(IF(ISBLANK($AW897),$AV897,$AW897),IF($D$4="Forint",0,2))-$AX897)</f>
        <v>0</v>
      </c>
      <c r="AZ897" s="13">
        <f t="shared" si="204"/>
        <v>0</v>
      </c>
    </row>
    <row r="898" spans="1:52" x14ac:dyDescent="0.2">
      <c r="A898" s="32">
        <v>879</v>
      </c>
      <c r="B898" s="32">
        <v>74</v>
      </c>
      <c r="C898" s="32">
        <v>3</v>
      </c>
      <c r="D898" s="13">
        <f t="shared" si="195"/>
        <v>0</v>
      </c>
      <c r="E898" s="13"/>
      <c r="F898" s="13"/>
      <c r="G898" s="13"/>
      <c r="H898" s="13">
        <f t="shared" si="196"/>
        <v>0</v>
      </c>
      <c r="I898" s="13">
        <f t="shared" si="197"/>
        <v>0</v>
      </c>
      <c r="J898" s="13">
        <f t="shared" si="198"/>
        <v>0</v>
      </c>
      <c r="K898" s="13">
        <f>ROUNDUP(IF($D$2="Egyszeri",$D898,IF($D$2="Havi",SUM($D$20:$D$31),IF(MOD($C898,$M$1)-1=0,SUM($D$20:$D$31),0))/12*$M$1)*VLOOKUP($B898,Paraméterek!$B$27:$D$30,IF($D$2="Egyszeri",3,2)),IF($D$4="Forint",0,2))</f>
        <v>0</v>
      </c>
      <c r="L898" s="13">
        <f t="shared" si="199"/>
        <v>0</v>
      </c>
      <c r="M898" s="13">
        <f t="shared" ca="1" si="205"/>
        <v>-976027</v>
      </c>
      <c r="N898" s="13">
        <f ca="1">IF($V897&gt;=VLOOKUP($M$4-1+$B898,Paraméterek!$B$121:$D$122,IF($D$4="Forint",2,3)),0,VLOOKUP($M$4-1+$B898,Paraméterek!$B$121:$D$122,IF($D$4="Forint",2,3))-$V897)</f>
        <v>986027</v>
      </c>
      <c r="O898" s="13">
        <f ca="1">ROUNDUP($N898*Paraméterek!$C$58/Paraméterek!$C$56,IF($D$4="Forint",0,2))</f>
        <v>157</v>
      </c>
      <c r="P898" s="13">
        <f t="shared" si="200"/>
        <v>4759</v>
      </c>
      <c r="Q898" s="33"/>
      <c r="R898" s="13">
        <f t="shared" ca="1" si="201"/>
        <v>0</v>
      </c>
      <c r="S898" s="13">
        <f ca="1">ROUNDUP(($M898-$O898-$P898+$R898)*VLOOKUP($B898,Paraméterek!$B$38:$D$39,IF($D$2="Egyszeri",3,2))/12,IF($D$4="Forint",0,2))</f>
        <v>-2396</v>
      </c>
      <c r="T898" s="13"/>
      <c r="U898" s="13"/>
      <c r="V898" s="13">
        <f ca="1">$M898-$O898-$P898+$R898-$S898-IF(ROUNDUP(IF(ISBLANK($U898),$T898,$U898)/IF(AND($B898=1,$D$2&lt;&gt;"Egyszeri"),1,VLOOKUP($B898+IF($C898=12,1,0),Paraméterek!$B$257:$D$267,IF($D$2="Egyszeri",3,2))),IF($D$4="Forint",0,2))&gt;$M898-$O898-$P898+$R898-$S898-IF($D$4="Forint",Paraméterek!$C$216,Paraméterek!$D$216),0,ROUNDUP(IF(ISBLANK($U898),$T898,$U898)/IF(AND($B898=1,$D$2&lt;&gt;"Egyszeri"),1,VLOOKUP($B898+IF($C898=12,1,0),Paraméterek!$B$257:$D$267,IF($D$2="Egyszeri",3,2))),IF($D$4="Forint",0,2)))</f>
        <v>-978547</v>
      </c>
      <c r="W898" s="13">
        <f ca="1">ROUNDDOWN($V898*VLOOKUP($B898+IF($C898=12,1,0),Paraméterek!$B$257:$D$267,IF($D$2="Egyszeri",3,2)),IF($D$4="Forint",0,2))</f>
        <v>-978547</v>
      </c>
      <c r="Y898" s="32">
        <v>879</v>
      </c>
      <c r="Z898" s="32">
        <v>74</v>
      </c>
      <c r="AA898" s="32">
        <v>3</v>
      </c>
      <c r="AB898" s="13">
        <f t="shared" si="206"/>
        <v>0</v>
      </c>
      <c r="AC898" s="33"/>
      <c r="AD898" s="13">
        <f t="shared" si="202"/>
        <v>0</v>
      </c>
      <c r="AE898" s="13">
        <f>ROUNDUP(($AB898+$AD898)*VLOOKUP($Z898,Paraméterek!$P$38:$Q$38,2)/12,IF($D$4="Forint",0,2))</f>
        <v>0</v>
      </c>
      <c r="AF898" s="13">
        <f>IF($D$2="Egyszeri",IF($D$7&gt;=IF($D$4="Forint",Paraméterek!$P$223,Paraméterek!$P$224),$D$7-IF($D$4="Forint",Paraméterek!$F$223,Paraméterek!$F$224),0),MIN(IF($AA898=12,AVERAGE($D$20:$D898)*12,0),SUM($D$20:$D$31)))</f>
        <v>0</v>
      </c>
      <c r="AG898" s="13">
        <f>IF(AND($Z898&gt;=10,MOD($Z898,5)=0),$AF898*IF($AA898=12,VLOOKUP($Z898,Paraméterek!$B$225:$F$240,IF($AF898&lt;IF($D$4="Forint",Paraméterek!$C$223,Paraméterek!$C$224),2,IF($AF898&lt;IF($D$4="Forint",Paraméterek!$D$223,Paraméterek!$D$224),3,4))),0),0)</f>
        <v>0</v>
      </c>
      <c r="AH898" s="13">
        <f>IF(AND($Z898&gt;=5,MOD($Z898,5)=0),IF($AA898=12,VLOOKUP($Z898,Paraméterek!$B$225:$F$240,5),0),IF(OR($Z898=3,$Z898=4),IF($AA898=12,VLOOKUP($Z898,Paraméterek!$B$225:$F$240,5,0),0),0))*$AF898</f>
        <v>0</v>
      </c>
      <c r="AI898" s="13">
        <f>ROUNDDOWN(IF(SUM($T$20:$U898)=0,IF($D$2="Egyszeri",$AH898,$AG898),0),IF($D$4="Forint",0,2))</f>
        <v>0</v>
      </c>
      <c r="AJ898" s="13">
        <f t="shared" si="207"/>
        <v>0</v>
      </c>
      <c r="AK898" s="13">
        <f t="shared" si="208"/>
        <v>0</v>
      </c>
      <c r="AM898" s="32">
        <v>879</v>
      </c>
      <c r="AN898" s="32">
        <v>74</v>
      </c>
      <c r="AO898" s="32">
        <v>3</v>
      </c>
      <c r="AP898" s="13"/>
      <c r="AQ898" s="32"/>
      <c r="AR898" s="13">
        <f t="shared" si="209"/>
        <v>0</v>
      </c>
      <c r="AS898" s="33"/>
      <c r="AT898" s="13">
        <f t="shared" si="203"/>
        <v>0</v>
      </c>
      <c r="AU898" s="13">
        <f>ROUNDUP(($AR898+$AT898)*VLOOKUP($AN898,Paraméterek!$P$38:$Q$38,2)/12,IF($D$4="Forint",0,2))</f>
        <v>0</v>
      </c>
      <c r="AV898" s="13"/>
      <c r="AW898" s="13"/>
      <c r="AX898" s="13">
        <f>ROUNDUP(IF(SUM($AV898:$AW898)=0,0,IF(IF(ISBLANK($AW898),$AV898,$AW898)*Paraméterek!$J$112&lt;IF($D$4="Forint",Paraméterek!$J$113,Paraméterek!$K$113),IF($D$4="Forint",Paraméterek!$J$113,Paraméterek!$K$113),IF(IF(ISBLANK($AW898),$AV898,$AW898)*Paraméterek!$J$112&gt;IF($D$4="Forint",Paraméterek!$J$114,Paraméterek!$K$114),IF($D$4="Forint",Paraméterek!$J$114,Paraméterek!$K$114),IF(ISBLANK($AW898),$AV898,$AW898)*Paraméterek!$J$112))),IF($D$4="Forint",0,2))</f>
        <v>0</v>
      </c>
      <c r="AY898" s="13">
        <f>$AR898+$AT898-$AU898-IF(ROUNDDOWN(IF(ISBLANK($AW898),$AV898,$AW898),IF($D$4="Forint",0,2))&gt;$AR898+$AT898-$AU898-IF($D$4="Forint",Paraméterek!$J$114,Paraméterek!$K$114),0,ROUNDDOWN(IF(ISBLANK($AW898),$AV898,$AW898),IF($D$4="Forint",0,2))-$AX898)</f>
        <v>0</v>
      </c>
      <c r="AZ898" s="13">
        <f t="shared" si="204"/>
        <v>0</v>
      </c>
    </row>
    <row r="899" spans="1:52" x14ac:dyDescent="0.2">
      <c r="A899" s="32">
        <v>880</v>
      </c>
      <c r="B899" s="32">
        <v>74</v>
      </c>
      <c r="C899" s="32">
        <v>4</v>
      </c>
      <c r="D899" s="13">
        <f t="shared" si="195"/>
        <v>0</v>
      </c>
      <c r="E899" s="13"/>
      <c r="F899" s="13"/>
      <c r="G899" s="13"/>
      <c r="H899" s="13">
        <f t="shared" si="196"/>
        <v>0</v>
      </c>
      <c r="I899" s="13">
        <f t="shared" si="197"/>
        <v>0</v>
      </c>
      <c r="J899" s="13">
        <f t="shared" si="198"/>
        <v>0</v>
      </c>
      <c r="K899" s="13">
        <f>ROUNDUP(IF($D$2="Egyszeri",$D899,IF($D$2="Havi",SUM($D$20:$D$31),IF(MOD($C899,$M$1)-1=0,SUM($D$20:$D$31),0))/12*$M$1)*VLOOKUP($B899,Paraméterek!$B$27:$D$30,IF($D$2="Egyszeri",3,2)),IF($D$4="Forint",0,2))</f>
        <v>0</v>
      </c>
      <c r="L899" s="13">
        <f t="shared" si="199"/>
        <v>0</v>
      </c>
      <c r="M899" s="13">
        <f t="shared" ca="1" si="205"/>
        <v>-978547</v>
      </c>
      <c r="N899" s="13">
        <f ca="1">IF($V898&gt;=VLOOKUP($M$4-1+$B899,Paraméterek!$B$121:$D$122,IF($D$4="Forint",2,3)),0,VLOOKUP($M$4-1+$B899,Paraméterek!$B$121:$D$122,IF($D$4="Forint",2,3))-$V898)</f>
        <v>988547</v>
      </c>
      <c r="O899" s="13">
        <f ca="1">ROUNDUP($N899*Paraméterek!$C$58/Paraméterek!$C$56,IF($D$4="Forint",0,2))</f>
        <v>158</v>
      </c>
      <c r="P899" s="13">
        <f t="shared" si="200"/>
        <v>4759</v>
      </c>
      <c r="Q899" s="33"/>
      <c r="R899" s="13">
        <f t="shared" ca="1" si="201"/>
        <v>0</v>
      </c>
      <c r="S899" s="13">
        <f ca="1">ROUNDUP(($M899-$O899-$P899+$R899)*VLOOKUP($B899,Paraméterek!$B$38:$D$39,IF($D$2="Egyszeri",3,2))/12,IF($D$4="Forint",0,2))</f>
        <v>-2402</v>
      </c>
      <c r="T899" s="13"/>
      <c r="U899" s="13"/>
      <c r="V899" s="13">
        <f ca="1">$M899-$O899-$P899+$R899-$S899-IF(ROUNDUP(IF(ISBLANK($U899),$T899,$U899)/IF(AND($B899=1,$D$2&lt;&gt;"Egyszeri"),1,VLOOKUP($B899+IF($C899=12,1,0),Paraméterek!$B$257:$D$267,IF($D$2="Egyszeri",3,2))),IF($D$4="Forint",0,2))&gt;$M899-$O899-$P899+$R899-$S899-IF($D$4="Forint",Paraméterek!$C$216,Paraméterek!$D$216),0,ROUNDUP(IF(ISBLANK($U899),$T899,$U899)/IF(AND($B899=1,$D$2&lt;&gt;"Egyszeri"),1,VLOOKUP($B899+IF($C899=12,1,0),Paraméterek!$B$257:$D$267,IF($D$2="Egyszeri",3,2))),IF($D$4="Forint",0,2)))</f>
        <v>-981062</v>
      </c>
      <c r="W899" s="13">
        <f ca="1">ROUNDDOWN($V899*VLOOKUP($B899+IF($C899=12,1,0),Paraméterek!$B$257:$D$267,IF($D$2="Egyszeri",3,2)),IF($D$4="Forint",0,2))</f>
        <v>-981062</v>
      </c>
      <c r="Y899" s="32">
        <v>880</v>
      </c>
      <c r="Z899" s="32">
        <v>74</v>
      </c>
      <c r="AA899" s="32">
        <v>4</v>
      </c>
      <c r="AB899" s="13">
        <f t="shared" si="206"/>
        <v>0</v>
      </c>
      <c r="AC899" s="33"/>
      <c r="AD899" s="13">
        <f t="shared" si="202"/>
        <v>0</v>
      </c>
      <c r="AE899" s="13">
        <f>ROUNDUP(($AB899+$AD899)*VLOOKUP($Z899,Paraméterek!$P$38:$Q$38,2)/12,IF($D$4="Forint",0,2))</f>
        <v>0</v>
      </c>
      <c r="AF899" s="13">
        <f>IF($D$2="Egyszeri",IF($D$7&gt;=IF($D$4="Forint",Paraméterek!$P$223,Paraméterek!$P$224),$D$7-IF($D$4="Forint",Paraméterek!$F$223,Paraméterek!$F$224),0),MIN(IF($AA899=12,AVERAGE($D$20:$D899)*12,0),SUM($D$20:$D$31)))</f>
        <v>0</v>
      </c>
      <c r="AG899" s="13">
        <f>IF(AND($Z899&gt;=10,MOD($Z899,5)=0),$AF899*IF($AA899=12,VLOOKUP($Z899,Paraméterek!$B$225:$F$240,IF($AF899&lt;IF($D$4="Forint",Paraméterek!$C$223,Paraméterek!$C$224),2,IF($AF899&lt;IF($D$4="Forint",Paraméterek!$D$223,Paraméterek!$D$224),3,4))),0),0)</f>
        <v>0</v>
      </c>
      <c r="AH899" s="13">
        <f>IF(AND($Z899&gt;=5,MOD($Z899,5)=0),IF($AA899=12,VLOOKUP($Z899,Paraméterek!$B$225:$F$240,5),0),IF(OR($Z899=3,$Z899=4),IF($AA899=12,VLOOKUP($Z899,Paraméterek!$B$225:$F$240,5,0),0),0))*$AF899</f>
        <v>0</v>
      </c>
      <c r="AI899" s="13">
        <f>ROUNDDOWN(IF(SUM($T$20:$U899)=0,IF($D$2="Egyszeri",$AH899,$AG899),0),IF($D$4="Forint",0,2))</f>
        <v>0</v>
      </c>
      <c r="AJ899" s="13">
        <f t="shared" si="207"/>
        <v>0</v>
      </c>
      <c r="AK899" s="13">
        <f t="shared" si="208"/>
        <v>0</v>
      </c>
      <c r="AM899" s="32">
        <v>880</v>
      </c>
      <c r="AN899" s="32">
        <v>74</v>
      </c>
      <c r="AO899" s="32">
        <v>4</v>
      </c>
      <c r="AP899" s="13"/>
      <c r="AQ899" s="32"/>
      <c r="AR899" s="13">
        <f t="shared" si="209"/>
        <v>0</v>
      </c>
      <c r="AS899" s="33"/>
      <c r="AT899" s="13">
        <f t="shared" si="203"/>
        <v>0</v>
      </c>
      <c r="AU899" s="13">
        <f>ROUNDUP(($AR899+$AT899)*VLOOKUP($AN899,Paraméterek!$P$38:$Q$38,2)/12,IF($D$4="Forint",0,2))</f>
        <v>0</v>
      </c>
      <c r="AV899" s="13"/>
      <c r="AW899" s="13"/>
      <c r="AX899" s="13">
        <f>ROUNDUP(IF(SUM($AV899:$AW899)=0,0,IF(IF(ISBLANK($AW899),$AV899,$AW899)*Paraméterek!$J$112&lt;IF($D$4="Forint",Paraméterek!$J$113,Paraméterek!$K$113),IF($D$4="Forint",Paraméterek!$J$113,Paraméterek!$K$113),IF(IF(ISBLANK($AW899),$AV899,$AW899)*Paraméterek!$J$112&gt;IF($D$4="Forint",Paraméterek!$J$114,Paraméterek!$K$114),IF($D$4="Forint",Paraméterek!$J$114,Paraméterek!$K$114),IF(ISBLANK($AW899),$AV899,$AW899)*Paraméterek!$J$112))),IF($D$4="Forint",0,2))</f>
        <v>0</v>
      </c>
      <c r="AY899" s="13">
        <f>$AR899+$AT899-$AU899-IF(ROUNDDOWN(IF(ISBLANK($AW899),$AV899,$AW899),IF($D$4="Forint",0,2))&gt;$AR899+$AT899-$AU899-IF($D$4="Forint",Paraméterek!$J$114,Paraméterek!$K$114),0,ROUNDDOWN(IF(ISBLANK($AW899),$AV899,$AW899),IF($D$4="Forint",0,2))-$AX899)</f>
        <v>0</v>
      </c>
      <c r="AZ899" s="13">
        <f t="shared" si="204"/>
        <v>0</v>
      </c>
    </row>
    <row r="900" spans="1:52" x14ac:dyDescent="0.2">
      <c r="A900" s="32">
        <v>881</v>
      </c>
      <c r="B900" s="32">
        <v>74</v>
      </c>
      <c r="C900" s="32">
        <v>5</v>
      </c>
      <c r="D900" s="13">
        <f t="shared" si="195"/>
        <v>0</v>
      </c>
      <c r="E900" s="13"/>
      <c r="F900" s="13"/>
      <c r="G900" s="13"/>
      <c r="H900" s="13">
        <f t="shared" si="196"/>
        <v>0</v>
      </c>
      <c r="I900" s="13">
        <f t="shared" si="197"/>
        <v>0</v>
      </c>
      <c r="J900" s="13">
        <f t="shared" si="198"/>
        <v>0</v>
      </c>
      <c r="K900" s="13">
        <f>ROUNDUP(IF($D$2="Egyszeri",$D900,IF($D$2="Havi",SUM($D$20:$D$31),IF(MOD($C900,$M$1)-1=0,SUM($D$20:$D$31),0))/12*$M$1)*VLOOKUP($B900,Paraméterek!$B$27:$D$30,IF($D$2="Egyszeri",3,2)),IF($D$4="Forint",0,2))</f>
        <v>0</v>
      </c>
      <c r="L900" s="13">
        <f t="shared" si="199"/>
        <v>0</v>
      </c>
      <c r="M900" s="13">
        <f t="shared" ca="1" si="205"/>
        <v>-981062</v>
      </c>
      <c r="N900" s="13">
        <f ca="1">IF($V899&gt;=VLOOKUP($M$4-1+$B900,Paraméterek!$B$121:$D$122,IF($D$4="Forint",2,3)),0,VLOOKUP($M$4-1+$B900,Paraméterek!$B$121:$D$122,IF($D$4="Forint",2,3))-$V899)</f>
        <v>991062</v>
      </c>
      <c r="O900" s="13">
        <f ca="1">ROUNDUP($N900*Paraméterek!$C$58/Paraméterek!$C$56,IF($D$4="Forint",0,2))</f>
        <v>158</v>
      </c>
      <c r="P900" s="13">
        <f t="shared" si="200"/>
        <v>4759</v>
      </c>
      <c r="Q900" s="33"/>
      <c r="R900" s="13">
        <f t="shared" ca="1" si="201"/>
        <v>0</v>
      </c>
      <c r="S900" s="13">
        <f ca="1">ROUNDUP(($M900-$O900-$P900+$R900)*VLOOKUP($B900,Paraméterek!$B$38:$D$39,IF($D$2="Egyszeri",3,2))/12,IF($D$4="Forint",0,2))</f>
        <v>-2408</v>
      </c>
      <c r="T900" s="13"/>
      <c r="U900" s="13"/>
      <c r="V900" s="13">
        <f ca="1">$M900-$O900-$P900+$R900-$S900-IF(ROUNDUP(IF(ISBLANK($U900),$T900,$U900)/IF(AND($B900=1,$D$2&lt;&gt;"Egyszeri"),1,VLOOKUP($B900+IF($C900=12,1,0),Paraméterek!$B$257:$D$267,IF($D$2="Egyszeri",3,2))),IF($D$4="Forint",0,2))&gt;$M900-$O900-$P900+$R900-$S900-IF($D$4="Forint",Paraméterek!$C$216,Paraméterek!$D$216),0,ROUNDUP(IF(ISBLANK($U900),$T900,$U900)/IF(AND($B900=1,$D$2&lt;&gt;"Egyszeri"),1,VLOOKUP($B900+IF($C900=12,1,0),Paraméterek!$B$257:$D$267,IF($D$2="Egyszeri",3,2))),IF($D$4="Forint",0,2)))</f>
        <v>-983571</v>
      </c>
      <c r="W900" s="13">
        <f ca="1">ROUNDDOWN($V900*VLOOKUP($B900+IF($C900=12,1,0),Paraméterek!$B$257:$D$267,IF($D$2="Egyszeri",3,2)),IF($D$4="Forint",0,2))</f>
        <v>-983571</v>
      </c>
      <c r="Y900" s="32">
        <v>881</v>
      </c>
      <c r="Z900" s="32">
        <v>74</v>
      </c>
      <c r="AA900" s="32">
        <v>5</v>
      </c>
      <c r="AB900" s="13">
        <f t="shared" si="206"/>
        <v>0</v>
      </c>
      <c r="AC900" s="33"/>
      <c r="AD900" s="13">
        <f t="shared" si="202"/>
        <v>0</v>
      </c>
      <c r="AE900" s="13">
        <f>ROUNDUP(($AB900+$AD900)*VLOOKUP($Z900,Paraméterek!$P$38:$Q$38,2)/12,IF($D$4="Forint",0,2))</f>
        <v>0</v>
      </c>
      <c r="AF900" s="13">
        <f>IF($D$2="Egyszeri",IF($D$7&gt;=IF($D$4="Forint",Paraméterek!$P$223,Paraméterek!$P$224),$D$7-IF($D$4="Forint",Paraméterek!$F$223,Paraméterek!$F$224),0),MIN(IF($AA900=12,AVERAGE($D$20:$D900)*12,0),SUM($D$20:$D$31)))</f>
        <v>0</v>
      </c>
      <c r="AG900" s="13">
        <f>IF(AND($Z900&gt;=10,MOD($Z900,5)=0),$AF900*IF($AA900=12,VLOOKUP($Z900,Paraméterek!$B$225:$F$240,IF($AF900&lt;IF($D$4="Forint",Paraméterek!$C$223,Paraméterek!$C$224),2,IF($AF900&lt;IF($D$4="Forint",Paraméterek!$D$223,Paraméterek!$D$224),3,4))),0),0)</f>
        <v>0</v>
      </c>
      <c r="AH900" s="13">
        <f>IF(AND($Z900&gt;=5,MOD($Z900,5)=0),IF($AA900=12,VLOOKUP($Z900,Paraméterek!$B$225:$F$240,5),0),IF(OR($Z900=3,$Z900=4),IF($AA900=12,VLOOKUP($Z900,Paraméterek!$B$225:$F$240,5,0),0),0))*$AF900</f>
        <v>0</v>
      </c>
      <c r="AI900" s="13">
        <f>ROUNDDOWN(IF(SUM($T$20:$U900)=0,IF($D$2="Egyszeri",$AH900,$AG900),0),IF($D$4="Forint",0,2))</f>
        <v>0</v>
      </c>
      <c r="AJ900" s="13">
        <f t="shared" si="207"/>
        <v>0</v>
      </c>
      <c r="AK900" s="13">
        <f t="shared" si="208"/>
        <v>0</v>
      </c>
      <c r="AM900" s="32">
        <v>881</v>
      </c>
      <c r="AN900" s="32">
        <v>74</v>
      </c>
      <c r="AO900" s="32">
        <v>5</v>
      </c>
      <c r="AP900" s="13"/>
      <c r="AQ900" s="32"/>
      <c r="AR900" s="13">
        <f t="shared" si="209"/>
        <v>0</v>
      </c>
      <c r="AS900" s="33"/>
      <c r="AT900" s="13">
        <f t="shared" si="203"/>
        <v>0</v>
      </c>
      <c r="AU900" s="13">
        <f>ROUNDUP(($AR900+$AT900)*VLOOKUP($AN900,Paraméterek!$P$38:$Q$38,2)/12,IF($D$4="Forint",0,2))</f>
        <v>0</v>
      </c>
      <c r="AV900" s="13"/>
      <c r="AW900" s="13"/>
      <c r="AX900" s="13">
        <f>ROUNDUP(IF(SUM($AV900:$AW900)=0,0,IF(IF(ISBLANK($AW900),$AV900,$AW900)*Paraméterek!$J$112&lt;IF($D$4="Forint",Paraméterek!$J$113,Paraméterek!$K$113),IF($D$4="Forint",Paraméterek!$J$113,Paraméterek!$K$113),IF(IF(ISBLANK($AW900),$AV900,$AW900)*Paraméterek!$J$112&gt;IF($D$4="Forint",Paraméterek!$J$114,Paraméterek!$K$114),IF($D$4="Forint",Paraméterek!$J$114,Paraméterek!$K$114),IF(ISBLANK($AW900),$AV900,$AW900)*Paraméterek!$J$112))),IF($D$4="Forint",0,2))</f>
        <v>0</v>
      </c>
      <c r="AY900" s="13">
        <f>$AR900+$AT900-$AU900-IF(ROUNDDOWN(IF(ISBLANK($AW900),$AV900,$AW900),IF($D$4="Forint",0,2))&gt;$AR900+$AT900-$AU900-IF($D$4="Forint",Paraméterek!$J$114,Paraméterek!$K$114),0,ROUNDDOWN(IF(ISBLANK($AW900),$AV900,$AW900),IF($D$4="Forint",0,2))-$AX900)</f>
        <v>0</v>
      </c>
      <c r="AZ900" s="13">
        <f t="shared" si="204"/>
        <v>0</v>
      </c>
    </row>
    <row r="901" spans="1:52" x14ac:dyDescent="0.2">
      <c r="A901" s="32">
        <v>882</v>
      </c>
      <c r="B901" s="32">
        <v>74</v>
      </c>
      <c r="C901" s="32">
        <v>6</v>
      </c>
      <c r="D901" s="13">
        <f t="shared" si="195"/>
        <v>0</v>
      </c>
      <c r="E901" s="13"/>
      <c r="F901" s="13"/>
      <c r="G901" s="13"/>
      <c r="H901" s="13">
        <f t="shared" si="196"/>
        <v>0</v>
      </c>
      <c r="I901" s="13">
        <f t="shared" si="197"/>
        <v>0</v>
      </c>
      <c r="J901" s="13">
        <f t="shared" si="198"/>
        <v>0</v>
      </c>
      <c r="K901" s="13">
        <f>ROUNDUP(IF($D$2="Egyszeri",$D901,IF($D$2="Havi",SUM($D$20:$D$31),IF(MOD($C901,$M$1)-1=0,SUM($D$20:$D$31),0))/12*$M$1)*VLOOKUP($B901,Paraméterek!$B$27:$D$30,IF($D$2="Egyszeri",3,2)),IF($D$4="Forint",0,2))</f>
        <v>0</v>
      </c>
      <c r="L901" s="13">
        <f t="shared" si="199"/>
        <v>0</v>
      </c>
      <c r="M901" s="13">
        <f t="shared" ca="1" si="205"/>
        <v>-983571</v>
      </c>
      <c r="N901" s="13">
        <f ca="1">IF($V900&gt;=VLOOKUP($M$4-1+$B901,Paraméterek!$B$121:$D$122,IF($D$4="Forint",2,3)),0,VLOOKUP($M$4-1+$B901,Paraméterek!$B$121:$D$122,IF($D$4="Forint",2,3))-$V900)</f>
        <v>993571</v>
      </c>
      <c r="O901" s="13">
        <f ca="1">ROUNDUP($N901*Paraméterek!$C$58/Paraméterek!$C$56,IF($D$4="Forint",0,2))</f>
        <v>159</v>
      </c>
      <c r="P901" s="13">
        <f t="shared" si="200"/>
        <v>4759</v>
      </c>
      <c r="Q901" s="33"/>
      <c r="R901" s="13">
        <f t="shared" ca="1" si="201"/>
        <v>0</v>
      </c>
      <c r="S901" s="13">
        <f ca="1">ROUNDUP(($M901-$O901-$P901+$R901)*VLOOKUP($B901,Paraméterek!$B$38:$D$39,IF($D$2="Egyszeri",3,2))/12,IF($D$4="Forint",0,2))</f>
        <v>-2414</v>
      </c>
      <c r="T901" s="13"/>
      <c r="U901" s="13"/>
      <c r="V901" s="13">
        <f ca="1">$M901-$O901-$P901+$R901-$S901-IF(ROUNDUP(IF(ISBLANK($U901),$T901,$U901)/IF(AND($B901=1,$D$2&lt;&gt;"Egyszeri"),1,VLOOKUP($B901+IF($C901=12,1,0),Paraméterek!$B$257:$D$267,IF($D$2="Egyszeri",3,2))),IF($D$4="Forint",0,2))&gt;$M901-$O901-$P901+$R901-$S901-IF($D$4="Forint",Paraméterek!$C$216,Paraméterek!$D$216),0,ROUNDUP(IF(ISBLANK($U901),$T901,$U901)/IF(AND($B901=1,$D$2&lt;&gt;"Egyszeri"),1,VLOOKUP($B901+IF($C901=12,1,0),Paraméterek!$B$257:$D$267,IF($D$2="Egyszeri",3,2))),IF($D$4="Forint",0,2)))</f>
        <v>-986075</v>
      </c>
      <c r="W901" s="13">
        <f ca="1">ROUNDDOWN($V901*VLOOKUP($B901+IF($C901=12,1,0),Paraméterek!$B$257:$D$267,IF($D$2="Egyszeri",3,2)),IF($D$4="Forint",0,2))</f>
        <v>-986075</v>
      </c>
      <c r="Y901" s="32">
        <v>882</v>
      </c>
      <c r="Z901" s="32">
        <v>74</v>
      </c>
      <c r="AA901" s="32">
        <v>6</v>
      </c>
      <c r="AB901" s="13">
        <f t="shared" si="206"/>
        <v>0</v>
      </c>
      <c r="AC901" s="33"/>
      <c r="AD901" s="13">
        <f t="shared" si="202"/>
        <v>0</v>
      </c>
      <c r="AE901" s="13">
        <f>ROUNDUP(($AB901+$AD901)*VLOOKUP($Z901,Paraméterek!$P$38:$Q$38,2)/12,IF($D$4="Forint",0,2))</f>
        <v>0</v>
      </c>
      <c r="AF901" s="13">
        <f>IF($D$2="Egyszeri",IF($D$7&gt;=IF($D$4="Forint",Paraméterek!$P$223,Paraméterek!$P$224),$D$7-IF($D$4="Forint",Paraméterek!$F$223,Paraméterek!$F$224),0),MIN(IF($AA901=12,AVERAGE($D$20:$D901)*12,0),SUM($D$20:$D$31)))</f>
        <v>0</v>
      </c>
      <c r="AG901" s="13">
        <f>IF(AND($Z901&gt;=10,MOD($Z901,5)=0),$AF901*IF($AA901=12,VLOOKUP($Z901,Paraméterek!$B$225:$F$240,IF($AF901&lt;IF($D$4="Forint",Paraméterek!$C$223,Paraméterek!$C$224),2,IF($AF901&lt;IF($D$4="Forint",Paraméterek!$D$223,Paraméterek!$D$224),3,4))),0),0)</f>
        <v>0</v>
      </c>
      <c r="AH901" s="13">
        <f>IF(AND($Z901&gt;=5,MOD($Z901,5)=0),IF($AA901=12,VLOOKUP($Z901,Paraméterek!$B$225:$F$240,5),0),IF(OR($Z901=3,$Z901=4),IF($AA901=12,VLOOKUP($Z901,Paraméterek!$B$225:$F$240,5,0),0),0))*$AF901</f>
        <v>0</v>
      </c>
      <c r="AI901" s="13">
        <f>ROUNDDOWN(IF(SUM($T$20:$U901)=0,IF($D$2="Egyszeri",$AH901,$AG901),0),IF($D$4="Forint",0,2))</f>
        <v>0</v>
      </c>
      <c r="AJ901" s="13">
        <f t="shared" si="207"/>
        <v>0</v>
      </c>
      <c r="AK901" s="13">
        <f t="shared" si="208"/>
        <v>0</v>
      </c>
      <c r="AM901" s="32">
        <v>882</v>
      </c>
      <c r="AN901" s="32">
        <v>74</v>
      </c>
      <c r="AO901" s="32">
        <v>6</v>
      </c>
      <c r="AP901" s="13"/>
      <c r="AQ901" s="32"/>
      <c r="AR901" s="13">
        <f t="shared" si="209"/>
        <v>0</v>
      </c>
      <c r="AS901" s="33"/>
      <c r="AT901" s="13">
        <f t="shared" si="203"/>
        <v>0</v>
      </c>
      <c r="AU901" s="13">
        <f>ROUNDUP(($AR901+$AT901)*VLOOKUP($AN901,Paraméterek!$P$38:$Q$38,2)/12,IF($D$4="Forint",0,2))</f>
        <v>0</v>
      </c>
      <c r="AV901" s="13"/>
      <c r="AW901" s="13"/>
      <c r="AX901" s="13">
        <f>ROUNDUP(IF(SUM($AV901:$AW901)=0,0,IF(IF(ISBLANK($AW901),$AV901,$AW901)*Paraméterek!$J$112&lt;IF($D$4="Forint",Paraméterek!$J$113,Paraméterek!$K$113),IF($D$4="Forint",Paraméterek!$J$113,Paraméterek!$K$113),IF(IF(ISBLANK($AW901),$AV901,$AW901)*Paraméterek!$J$112&gt;IF($D$4="Forint",Paraméterek!$J$114,Paraméterek!$K$114),IF($D$4="Forint",Paraméterek!$J$114,Paraméterek!$K$114),IF(ISBLANK($AW901),$AV901,$AW901)*Paraméterek!$J$112))),IF($D$4="Forint",0,2))</f>
        <v>0</v>
      </c>
      <c r="AY901" s="13">
        <f>$AR901+$AT901-$AU901-IF(ROUNDDOWN(IF(ISBLANK($AW901),$AV901,$AW901),IF($D$4="Forint",0,2))&gt;$AR901+$AT901-$AU901-IF($D$4="Forint",Paraméterek!$J$114,Paraméterek!$K$114),0,ROUNDDOWN(IF(ISBLANK($AW901),$AV901,$AW901),IF($D$4="Forint",0,2))-$AX901)</f>
        <v>0</v>
      </c>
      <c r="AZ901" s="13">
        <f t="shared" si="204"/>
        <v>0</v>
      </c>
    </row>
    <row r="902" spans="1:52" x14ac:dyDescent="0.2">
      <c r="A902" s="32">
        <v>883</v>
      </c>
      <c r="B902" s="32">
        <v>74</v>
      </c>
      <c r="C902" s="32">
        <v>7</v>
      </c>
      <c r="D902" s="13">
        <f t="shared" si="195"/>
        <v>0</v>
      </c>
      <c r="E902" s="13"/>
      <c r="F902" s="13"/>
      <c r="G902" s="13"/>
      <c r="H902" s="13">
        <f t="shared" si="196"/>
        <v>0</v>
      </c>
      <c r="I902" s="13">
        <f t="shared" si="197"/>
        <v>0</v>
      </c>
      <c r="J902" s="13">
        <f t="shared" si="198"/>
        <v>0</v>
      </c>
      <c r="K902" s="13">
        <f>ROUNDUP(IF($D$2="Egyszeri",$D902,IF($D$2="Havi",SUM($D$20:$D$31),IF(MOD($C902,$M$1)-1=0,SUM($D$20:$D$31),0))/12*$M$1)*VLOOKUP($B902,Paraméterek!$B$27:$D$30,IF($D$2="Egyszeri",3,2)),IF($D$4="Forint",0,2))</f>
        <v>0</v>
      </c>
      <c r="L902" s="13">
        <f t="shared" si="199"/>
        <v>0</v>
      </c>
      <c r="M902" s="13">
        <f t="shared" ca="1" si="205"/>
        <v>-986075</v>
      </c>
      <c r="N902" s="13">
        <f ca="1">IF($V901&gt;=VLOOKUP($M$4-1+$B902,Paraméterek!$B$121:$D$122,IF($D$4="Forint",2,3)),0,VLOOKUP($M$4-1+$B902,Paraméterek!$B$121:$D$122,IF($D$4="Forint",2,3))-$V901)</f>
        <v>996075</v>
      </c>
      <c r="O902" s="13">
        <f ca="1">ROUNDUP($N902*Paraméterek!$C$58/Paraméterek!$C$56,IF($D$4="Forint",0,2))</f>
        <v>159</v>
      </c>
      <c r="P902" s="13">
        <f t="shared" si="200"/>
        <v>4759</v>
      </c>
      <c r="Q902" s="33"/>
      <c r="R902" s="13">
        <f t="shared" ca="1" si="201"/>
        <v>0</v>
      </c>
      <c r="S902" s="13">
        <f ca="1">ROUNDUP(($M902-$O902-$P902+$R902)*VLOOKUP($B902,Paraméterek!$B$38:$D$39,IF($D$2="Egyszeri",3,2))/12,IF($D$4="Forint",0,2))</f>
        <v>-2420</v>
      </c>
      <c r="T902" s="13"/>
      <c r="U902" s="13"/>
      <c r="V902" s="13">
        <f ca="1">$M902-$O902-$P902+$R902-$S902-IF(ROUNDUP(IF(ISBLANK($U902),$T902,$U902)/IF(AND($B902=1,$D$2&lt;&gt;"Egyszeri"),1,VLOOKUP($B902+IF($C902=12,1,0),Paraméterek!$B$257:$D$267,IF($D$2="Egyszeri",3,2))),IF($D$4="Forint",0,2))&gt;$M902-$O902-$P902+$R902-$S902-IF($D$4="Forint",Paraméterek!$C$216,Paraméterek!$D$216),0,ROUNDUP(IF(ISBLANK($U902),$T902,$U902)/IF(AND($B902=1,$D$2&lt;&gt;"Egyszeri"),1,VLOOKUP($B902+IF($C902=12,1,0),Paraméterek!$B$257:$D$267,IF($D$2="Egyszeri",3,2))),IF($D$4="Forint",0,2)))</f>
        <v>-988573</v>
      </c>
      <c r="W902" s="13">
        <f ca="1">ROUNDDOWN($V902*VLOOKUP($B902+IF($C902=12,1,0),Paraméterek!$B$257:$D$267,IF($D$2="Egyszeri",3,2)),IF($D$4="Forint",0,2))</f>
        <v>-988573</v>
      </c>
      <c r="Y902" s="32">
        <v>883</v>
      </c>
      <c r="Z902" s="32">
        <v>74</v>
      </c>
      <c r="AA902" s="32">
        <v>7</v>
      </c>
      <c r="AB902" s="13">
        <f t="shared" si="206"/>
        <v>0</v>
      </c>
      <c r="AC902" s="33"/>
      <c r="AD902" s="13">
        <f t="shared" si="202"/>
        <v>0</v>
      </c>
      <c r="AE902" s="13">
        <f>ROUNDUP(($AB902+$AD902)*VLOOKUP($Z902,Paraméterek!$P$38:$Q$38,2)/12,IF($D$4="Forint",0,2))</f>
        <v>0</v>
      </c>
      <c r="AF902" s="13">
        <f>IF($D$2="Egyszeri",IF($D$7&gt;=IF($D$4="Forint",Paraméterek!$P$223,Paraméterek!$P$224),$D$7-IF($D$4="Forint",Paraméterek!$F$223,Paraméterek!$F$224),0),MIN(IF($AA902=12,AVERAGE($D$20:$D902)*12,0),SUM($D$20:$D$31)))</f>
        <v>0</v>
      </c>
      <c r="AG902" s="13">
        <f>IF(AND($Z902&gt;=10,MOD($Z902,5)=0),$AF902*IF($AA902=12,VLOOKUP($Z902,Paraméterek!$B$225:$F$240,IF($AF902&lt;IF($D$4="Forint",Paraméterek!$C$223,Paraméterek!$C$224),2,IF($AF902&lt;IF($D$4="Forint",Paraméterek!$D$223,Paraméterek!$D$224),3,4))),0),0)</f>
        <v>0</v>
      </c>
      <c r="AH902" s="13">
        <f>IF(AND($Z902&gt;=5,MOD($Z902,5)=0),IF($AA902=12,VLOOKUP($Z902,Paraméterek!$B$225:$F$240,5),0),IF(OR($Z902=3,$Z902=4),IF($AA902=12,VLOOKUP($Z902,Paraméterek!$B$225:$F$240,5,0),0),0))*$AF902</f>
        <v>0</v>
      </c>
      <c r="AI902" s="13">
        <f>ROUNDDOWN(IF(SUM($T$20:$U902)=0,IF($D$2="Egyszeri",$AH902,$AG902),0),IF($D$4="Forint",0,2))</f>
        <v>0</v>
      </c>
      <c r="AJ902" s="13">
        <f t="shared" si="207"/>
        <v>0</v>
      </c>
      <c r="AK902" s="13">
        <f t="shared" si="208"/>
        <v>0</v>
      </c>
      <c r="AM902" s="32">
        <v>883</v>
      </c>
      <c r="AN902" s="32">
        <v>74</v>
      </c>
      <c r="AO902" s="32">
        <v>7</v>
      </c>
      <c r="AP902" s="13"/>
      <c r="AQ902" s="32"/>
      <c r="AR902" s="13">
        <f t="shared" si="209"/>
        <v>0</v>
      </c>
      <c r="AS902" s="33"/>
      <c r="AT902" s="13">
        <f t="shared" si="203"/>
        <v>0</v>
      </c>
      <c r="AU902" s="13">
        <f>ROUNDUP(($AR902+$AT902)*VLOOKUP($AN902,Paraméterek!$P$38:$Q$38,2)/12,IF($D$4="Forint",0,2))</f>
        <v>0</v>
      </c>
      <c r="AV902" s="13"/>
      <c r="AW902" s="13"/>
      <c r="AX902" s="13">
        <f>ROUNDUP(IF(SUM($AV902:$AW902)=0,0,IF(IF(ISBLANK($AW902),$AV902,$AW902)*Paraméterek!$J$112&lt;IF($D$4="Forint",Paraméterek!$J$113,Paraméterek!$K$113),IF($D$4="Forint",Paraméterek!$J$113,Paraméterek!$K$113),IF(IF(ISBLANK($AW902),$AV902,$AW902)*Paraméterek!$J$112&gt;IF($D$4="Forint",Paraméterek!$J$114,Paraméterek!$K$114),IF($D$4="Forint",Paraméterek!$J$114,Paraméterek!$K$114),IF(ISBLANK($AW902),$AV902,$AW902)*Paraméterek!$J$112))),IF($D$4="Forint",0,2))</f>
        <v>0</v>
      </c>
      <c r="AY902" s="13">
        <f>$AR902+$AT902-$AU902-IF(ROUNDDOWN(IF(ISBLANK($AW902),$AV902,$AW902),IF($D$4="Forint",0,2))&gt;$AR902+$AT902-$AU902-IF($D$4="Forint",Paraméterek!$J$114,Paraméterek!$K$114),0,ROUNDDOWN(IF(ISBLANK($AW902),$AV902,$AW902),IF($D$4="Forint",0,2))-$AX902)</f>
        <v>0</v>
      </c>
      <c r="AZ902" s="13">
        <f t="shared" si="204"/>
        <v>0</v>
      </c>
    </row>
    <row r="903" spans="1:52" x14ac:dyDescent="0.2">
      <c r="A903" s="32">
        <v>884</v>
      </c>
      <c r="B903" s="32">
        <v>74</v>
      </c>
      <c r="C903" s="32">
        <v>8</v>
      </c>
      <c r="D903" s="13">
        <f t="shared" si="195"/>
        <v>0</v>
      </c>
      <c r="E903" s="13"/>
      <c r="F903" s="13"/>
      <c r="G903" s="13"/>
      <c r="H903" s="13">
        <f t="shared" si="196"/>
        <v>0</v>
      </c>
      <c r="I903" s="13">
        <f t="shared" si="197"/>
        <v>0</v>
      </c>
      <c r="J903" s="13">
        <f t="shared" si="198"/>
        <v>0</v>
      </c>
      <c r="K903" s="13">
        <f>ROUNDUP(IF($D$2="Egyszeri",$D903,IF($D$2="Havi",SUM($D$20:$D$31),IF(MOD($C903,$M$1)-1=0,SUM($D$20:$D$31),0))/12*$M$1)*VLOOKUP($B903,Paraméterek!$B$27:$D$30,IF($D$2="Egyszeri",3,2)),IF($D$4="Forint",0,2))</f>
        <v>0</v>
      </c>
      <c r="L903" s="13">
        <f t="shared" si="199"/>
        <v>0</v>
      </c>
      <c r="M903" s="13">
        <f t="shared" ca="1" si="205"/>
        <v>-988573</v>
      </c>
      <c r="N903" s="13">
        <f ca="1">IF($V902&gt;=VLOOKUP($M$4-1+$B903,Paraméterek!$B$121:$D$122,IF($D$4="Forint",2,3)),0,VLOOKUP($M$4-1+$B903,Paraméterek!$B$121:$D$122,IF($D$4="Forint",2,3))-$V902)</f>
        <v>998573</v>
      </c>
      <c r="O903" s="13">
        <f ca="1">ROUNDUP($N903*Paraméterek!$C$58/Paraméterek!$C$56,IF($D$4="Forint",0,2))</f>
        <v>159</v>
      </c>
      <c r="P903" s="13">
        <f t="shared" si="200"/>
        <v>4759</v>
      </c>
      <c r="Q903" s="33"/>
      <c r="R903" s="13">
        <f t="shared" ca="1" si="201"/>
        <v>0</v>
      </c>
      <c r="S903" s="13">
        <f ca="1">ROUNDUP(($M903-$O903-$P903+$R903)*VLOOKUP($B903,Paraméterek!$B$38:$D$39,IF($D$2="Egyszeri",3,2))/12,IF($D$4="Forint",0,2))</f>
        <v>-2426</v>
      </c>
      <c r="T903" s="13"/>
      <c r="U903" s="13"/>
      <c r="V903" s="13">
        <f ca="1">$M903-$O903-$P903+$R903-$S903-IF(ROUNDUP(IF(ISBLANK($U903),$T903,$U903)/IF(AND($B903=1,$D$2&lt;&gt;"Egyszeri"),1,VLOOKUP($B903+IF($C903=12,1,0),Paraméterek!$B$257:$D$267,IF($D$2="Egyszeri",3,2))),IF($D$4="Forint",0,2))&gt;$M903-$O903-$P903+$R903-$S903-IF($D$4="Forint",Paraméterek!$C$216,Paraméterek!$D$216),0,ROUNDUP(IF(ISBLANK($U903),$T903,$U903)/IF(AND($B903=1,$D$2&lt;&gt;"Egyszeri"),1,VLOOKUP($B903+IF($C903=12,1,0),Paraméterek!$B$257:$D$267,IF($D$2="Egyszeri",3,2))),IF($D$4="Forint",0,2)))</f>
        <v>-991065</v>
      </c>
      <c r="W903" s="13">
        <f ca="1">ROUNDDOWN($V903*VLOOKUP($B903+IF($C903=12,1,0),Paraméterek!$B$257:$D$267,IF($D$2="Egyszeri",3,2)),IF($D$4="Forint",0,2))</f>
        <v>-991065</v>
      </c>
      <c r="Y903" s="32">
        <v>884</v>
      </c>
      <c r="Z903" s="32">
        <v>74</v>
      </c>
      <c r="AA903" s="32">
        <v>8</v>
      </c>
      <c r="AB903" s="13">
        <f t="shared" si="206"/>
        <v>0</v>
      </c>
      <c r="AC903" s="33"/>
      <c r="AD903" s="13">
        <f t="shared" si="202"/>
        <v>0</v>
      </c>
      <c r="AE903" s="13">
        <f>ROUNDUP(($AB903+$AD903)*VLOOKUP($Z903,Paraméterek!$P$38:$Q$38,2)/12,IF($D$4="Forint",0,2))</f>
        <v>0</v>
      </c>
      <c r="AF903" s="13">
        <f>IF($D$2="Egyszeri",IF($D$7&gt;=IF($D$4="Forint",Paraméterek!$P$223,Paraméterek!$P$224),$D$7-IF($D$4="Forint",Paraméterek!$F$223,Paraméterek!$F$224),0),MIN(IF($AA903=12,AVERAGE($D$20:$D903)*12,0),SUM($D$20:$D$31)))</f>
        <v>0</v>
      </c>
      <c r="AG903" s="13">
        <f>IF(AND($Z903&gt;=10,MOD($Z903,5)=0),$AF903*IF($AA903=12,VLOOKUP($Z903,Paraméterek!$B$225:$F$240,IF($AF903&lt;IF($D$4="Forint",Paraméterek!$C$223,Paraméterek!$C$224),2,IF($AF903&lt;IF($D$4="Forint",Paraméterek!$D$223,Paraméterek!$D$224),3,4))),0),0)</f>
        <v>0</v>
      </c>
      <c r="AH903" s="13">
        <f>IF(AND($Z903&gt;=5,MOD($Z903,5)=0),IF($AA903=12,VLOOKUP($Z903,Paraméterek!$B$225:$F$240,5),0),IF(OR($Z903=3,$Z903=4),IF($AA903=12,VLOOKUP($Z903,Paraméterek!$B$225:$F$240,5,0),0),0))*$AF903</f>
        <v>0</v>
      </c>
      <c r="AI903" s="13">
        <f>ROUNDDOWN(IF(SUM($T$20:$U903)=0,IF($D$2="Egyszeri",$AH903,$AG903),0),IF($D$4="Forint",0,2))</f>
        <v>0</v>
      </c>
      <c r="AJ903" s="13">
        <f t="shared" si="207"/>
        <v>0</v>
      </c>
      <c r="AK903" s="13">
        <f t="shared" si="208"/>
        <v>0</v>
      </c>
      <c r="AM903" s="32">
        <v>884</v>
      </c>
      <c r="AN903" s="32">
        <v>74</v>
      </c>
      <c r="AO903" s="32">
        <v>8</v>
      </c>
      <c r="AP903" s="13"/>
      <c r="AQ903" s="32"/>
      <c r="AR903" s="13">
        <f t="shared" si="209"/>
        <v>0</v>
      </c>
      <c r="AS903" s="33"/>
      <c r="AT903" s="13">
        <f t="shared" si="203"/>
        <v>0</v>
      </c>
      <c r="AU903" s="13">
        <f>ROUNDUP(($AR903+$AT903)*VLOOKUP($AN903,Paraméterek!$P$38:$Q$38,2)/12,IF($D$4="Forint",0,2))</f>
        <v>0</v>
      </c>
      <c r="AV903" s="13"/>
      <c r="AW903" s="13"/>
      <c r="AX903" s="13">
        <f>ROUNDUP(IF(SUM($AV903:$AW903)=0,0,IF(IF(ISBLANK($AW903),$AV903,$AW903)*Paraméterek!$J$112&lt;IF($D$4="Forint",Paraméterek!$J$113,Paraméterek!$K$113),IF($D$4="Forint",Paraméterek!$J$113,Paraméterek!$K$113),IF(IF(ISBLANK($AW903),$AV903,$AW903)*Paraméterek!$J$112&gt;IF($D$4="Forint",Paraméterek!$J$114,Paraméterek!$K$114),IF($D$4="Forint",Paraméterek!$J$114,Paraméterek!$K$114),IF(ISBLANK($AW903),$AV903,$AW903)*Paraméterek!$J$112))),IF($D$4="Forint",0,2))</f>
        <v>0</v>
      </c>
      <c r="AY903" s="13">
        <f>$AR903+$AT903-$AU903-IF(ROUNDDOWN(IF(ISBLANK($AW903),$AV903,$AW903),IF($D$4="Forint",0,2))&gt;$AR903+$AT903-$AU903-IF($D$4="Forint",Paraméterek!$J$114,Paraméterek!$K$114),0,ROUNDDOWN(IF(ISBLANK($AW903),$AV903,$AW903),IF($D$4="Forint",0,2))-$AX903)</f>
        <v>0</v>
      </c>
      <c r="AZ903" s="13">
        <f t="shared" si="204"/>
        <v>0</v>
      </c>
    </row>
    <row r="904" spans="1:52" x14ac:dyDescent="0.2">
      <c r="A904" s="32">
        <v>885</v>
      </c>
      <c r="B904" s="32">
        <v>74</v>
      </c>
      <c r="C904" s="32">
        <v>9</v>
      </c>
      <c r="D904" s="13">
        <f t="shared" si="195"/>
        <v>0</v>
      </c>
      <c r="E904" s="13"/>
      <c r="F904" s="13"/>
      <c r="G904" s="13"/>
      <c r="H904" s="13">
        <f t="shared" si="196"/>
        <v>0</v>
      </c>
      <c r="I904" s="13">
        <f t="shared" si="197"/>
        <v>0</v>
      </c>
      <c r="J904" s="13">
        <f t="shared" si="198"/>
        <v>0</v>
      </c>
      <c r="K904" s="13">
        <f>ROUNDUP(IF($D$2="Egyszeri",$D904,IF($D$2="Havi",SUM($D$20:$D$31),IF(MOD($C904,$M$1)-1=0,SUM($D$20:$D$31),0))/12*$M$1)*VLOOKUP($B904,Paraméterek!$B$27:$D$30,IF($D$2="Egyszeri",3,2)),IF($D$4="Forint",0,2))</f>
        <v>0</v>
      </c>
      <c r="L904" s="13">
        <f t="shared" si="199"/>
        <v>0</v>
      </c>
      <c r="M904" s="13">
        <f t="shared" ca="1" si="205"/>
        <v>-991065</v>
      </c>
      <c r="N904" s="13">
        <f ca="1">IF($V903&gt;=VLOOKUP($M$4-1+$B904,Paraméterek!$B$121:$D$122,IF($D$4="Forint",2,3)),0,VLOOKUP($M$4-1+$B904,Paraméterek!$B$121:$D$122,IF($D$4="Forint",2,3))-$V903)</f>
        <v>1001065</v>
      </c>
      <c r="O904" s="13">
        <f ca="1">ROUNDUP($N904*Paraméterek!$C$58/Paraméterek!$C$56,IF($D$4="Forint",0,2))</f>
        <v>160</v>
      </c>
      <c r="P904" s="13">
        <f t="shared" si="200"/>
        <v>4759</v>
      </c>
      <c r="Q904" s="33"/>
      <c r="R904" s="13">
        <f t="shared" ca="1" si="201"/>
        <v>0</v>
      </c>
      <c r="S904" s="13">
        <f ca="1">ROUNDUP(($M904-$O904-$P904+$R904)*VLOOKUP($B904,Paraméterek!$B$38:$D$39,IF($D$2="Egyszeri",3,2))/12,IF($D$4="Forint",0,2))</f>
        <v>-2432</v>
      </c>
      <c r="T904" s="13"/>
      <c r="U904" s="13"/>
      <c r="V904" s="13">
        <f ca="1">$M904-$O904-$P904+$R904-$S904-IF(ROUNDUP(IF(ISBLANK($U904),$T904,$U904)/IF(AND($B904=1,$D$2&lt;&gt;"Egyszeri"),1,VLOOKUP($B904+IF($C904=12,1,0),Paraméterek!$B$257:$D$267,IF($D$2="Egyszeri",3,2))),IF($D$4="Forint",0,2))&gt;$M904-$O904-$P904+$R904-$S904-IF($D$4="Forint",Paraméterek!$C$216,Paraméterek!$D$216),0,ROUNDUP(IF(ISBLANK($U904),$T904,$U904)/IF(AND($B904=1,$D$2&lt;&gt;"Egyszeri"),1,VLOOKUP($B904+IF($C904=12,1,0),Paraméterek!$B$257:$D$267,IF($D$2="Egyszeri",3,2))),IF($D$4="Forint",0,2)))</f>
        <v>-993552</v>
      </c>
      <c r="W904" s="13">
        <f ca="1">ROUNDDOWN($V904*VLOOKUP($B904+IF($C904=12,1,0),Paraméterek!$B$257:$D$267,IF($D$2="Egyszeri",3,2)),IF($D$4="Forint",0,2))</f>
        <v>-993552</v>
      </c>
      <c r="Y904" s="32">
        <v>885</v>
      </c>
      <c r="Z904" s="32">
        <v>74</v>
      </c>
      <c r="AA904" s="32">
        <v>9</v>
      </c>
      <c r="AB904" s="13">
        <f t="shared" si="206"/>
        <v>0</v>
      </c>
      <c r="AC904" s="33"/>
      <c r="AD904" s="13">
        <f t="shared" si="202"/>
        <v>0</v>
      </c>
      <c r="AE904" s="13">
        <f>ROUNDUP(($AB904+$AD904)*VLOOKUP($Z904,Paraméterek!$P$38:$Q$38,2)/12,IF($D$4="Forint",0,2))</f>
        <v>0</v>
      </c>
      <c r="AF904" s="13">
        <f>IF($D$2="Egyszeri",IF($D$7&gt;=IF($D$4="Forint",Paraméterek!$P$223,Paraméterek!$P$224),$D$7-IF($D$4="Forint",Paraméterek!$F$223,Paraméterek!$F$224),0),MIN(IF($AA904=12,AVERAGE($D$20:$D904)*12,0),SUM($D$20:$D$31)))</f>
        <v>0</v>
      </c>
      <c r="AG904" s="13">
        <f>IF(AND($Z904&gt;=10,MOD($Z904,5)=0),$AF904*IF($AA904=12,VLOOKUP($Z904,Paraméterek!$B$225:$F$240,IF($AF904&lt;IF($D$4="Forint",Paraméterek!$C$223,Paraméterek!$C$224),2,IF($AF904&lt;IF($D$4="Forint",Paraméterek!$D$223,Paraméterek!$D$224),3,4))),0),0)</f>
        <v>0</v>
      </c>
      <c r="AH904" s="13">
        <f>IF(AND($Z904&gt;=5,MOD($Z904,5)=0),IF($AA904=12,VLOOKUP($Z904,Paraméterek!$B$225:$F$240,5),0),IF(OR($Z904=3,$Z904=4),IF($AA904=12,VLOOKUP($Z904,Paraméterek!$B$225:$F$240,5,0),0),0))*$AF904</f>
        <v>0</v>
      </c>
      <c r="AI904" s="13">
        <f>ROUNDDOWN(IF(SUM($T$20:$U904)=0,IF($D$2="Egyszeri",$AH904,$AG904),0),IF($D$4="Forint",0,2))</f>
        <v>0</v>
      </c>
      <c r="AJ904" s="13">
        <f t="shared" si="207"/>
        <v>0</v>
      </c>
      <c r="AK904" s="13">
        <f t="shared" si="208"/>
        <v>0</v>
      </c>
      <c r="AM904" s="32">
        <v>885</v>
      </c>
      <c r="AN904" s="32">
        <v>74</v>
      </c>
      <c r="AO904" s="32">
        <v>9</v>
      </c>
      <c r="AP904" s="13"/>
      <c r="AQ904" s="32"/>
      <c r="AR904" s="13">
        <f t="shared" si="209"/>
        <v>0</v>
      </c>
      <c r="AS904" s="33"/>
      <c r="AT904" s="13">
        <f t="shared" si="203"/>
        <v>0</v>
      </c>
      <c r="AU904" s="13">
        <f>ROUNDUP(($AR904+$AT904)*VLOOKUP($AN904,Paraméterek!$P$38:$Q$38,2)/12,IF($D$4="Forint",0,2))</f>
        <v>0</v>
      </c>
      <c r="AV904" s="13"/>
      <c r="AW904" s="13"/>
      <c r="AX904" s="13">
        <f>ROUNDUP(IF(SUM($AV904:$AW904)=0,0,IF(IF(ISBLANK($AW904),$AV904,$AW904)*Paraméterek!$J$112&lt;IF($D$4="Forint",Paraméterek!$J$113,Paraméterek!$K$113),IF($D$4="Forint",Paraméterek!$J$113,Paraméterek!$K$113),IF(IF(ISBLANK($AW904),$AV904,$AW904)*Paraméterek!$J$112&gt;IF($D$4="Forint",Paraméterek!$J$114,Paraméterek!$K$114),IF($D$4="Forint",Paraméterek!$J$114,Paraméterek!$K$114),IF(ISBLANK($AW904),$AV904,$AW904)*Paraméterek!$J$112))),IF($D$4="Forint",0,2))</f>
        <v>0</v>
      </c>
      <c r="AY904" s="13">
        <f>$AR904+$AT904-$AU904-IF(ROUNDDOWN(IF(ISBLANK($AW904),$AV904,$AW904),IF($D$4="Forint",0,2))&gt;$AR904+$AT904-$AU904-IF($D$4="Forint",Paraméterek!$J$114,Paraméterek!$K$114),0,ROUNDDOWN(IF(ISBLANK($AW904),$AV904,$AW904),IF($D$4="Forint",0,2))-$AX904)</f>
        <v>0</v>
      </c>
      <c r="AZ904" s="13">
        <f t="shared" si="204"/>
        <v>0</v>
      </c>
    </row>
    <row r="905" spans="1:52" x14ac:dyDescent="0.2">
      <c r="A905" s="32">
        <v>886</v>
      </c>
      <c r="B905" s="32">
        <v>74</v>
      </c>
      <c r="C905" s="32">
        <v>10</v>
      </c>
      <c r="D905" s="13">
        <f t="shared" si="195"/>
        <v>0</v>
      </c>
      <c r="E905" s="13"/>
      <c r="F905" s="13"/>
      <c r="G905" s="13"/>
      <c r="H905" s="13">
        <f t="shared" si="196"/>
        <v>0</v>
      </c>
      <c r="I905" s="13">
        <f t="shared" si="197"/>
        <v>0</v>
      </c>
      <c r="J905" s="13">
        <f t="shared" si="198"/>
        <v>0</v>
      </c>
      <c r="K905" s="13">
        <f>ROUNDUP(IF($D$2="Egyszeri",$D905,IF($D$2="Havi",SUM($D$20:$D$31),IF(MOD($C905,$M$1)-1=0,SUM($D$20:$D$31),0))/12*$M$1)*VLOOKUP($B905,Paraméterek!$B$27:$D$30,IF($D$2="Egyszeri",3,2)),IF($D$4="Forint",0,2))</f>
        <v>0</v>
      </c>
      <c r="L905" s="13">
        <f t="shared" si="199"/>
        <v>0</v>
      </c>
      <c r="M905" s="13">
        <f t="shared" ca="1" si="205"/>
        <v>-993552</v>
      </c>
      <c r="N905" s="13">
        <f ca="1">IF($V904&gt;=VLOOKUP($M$4-1+$B905,Paraméterek!$B$121:$D$122,IF($D$4="Forint",2,3)),0,VLOOKUP($M$4-1+$B905,Paraméterek!$B$121:$D$122,IF($D$4="Forint",2,3))-$V904)</f>
        <v>1003552</v>
      </c>
      <c r="O905" s="13">
        <f ca="1">ROUNDUP($N905*Paraméterek!$C$58/Paraméterek!$C$56,IF($D$4="Forint",0,2))</f>
        <v>160</v>
      </c>
      <c r="P905" s="13">
        <f t="shared" si="200"/>
        <v>4759</v>
      </c>
      <c r="Q905" s="33"/>
      <c r="R905" s="13">
        <f t="shared" ca="1" si="201"/>
        <v>0</v>
      </c>
      <c r="S905" s="13">
        <f ca="1">ROUNDUP(($M905-$O905-$P905+$R905)*VLOOKUP($B905,Paraméterek!$B$38:$D$39,IF($D$2="Egyszeri",3,2))/12,IF($D$4="Forint",0,2))</f>
        <v>-2438</v>
      </c>
      <c r="T905" s="13"/>
      <c r="U905" s="13"/>
      <c r="V905" s="13">
        <f ca="1">$M905-$O905-$P905+$R905-$S905-IF(ROUNDUP(IF(ISBLANK($U905),$T905,$U905)/IF(AND($B905=1,$D$2&lt;&gt;"Egyszeri"),1,VLOOKUP($B905+IF($C905=12,1,0),Paraméterek!$B$257:$D$267,IF($D$2="Egyszeri",3,2))),IF($D$4="Forint",0,2))&gt;$M905-$O905-$P905+$R905-$S905-IF($D$4="Forint",Paraméterek!$C$216,Paraméterek!$D$216),0,ROUNDUP(IF(ISBLANK($U905),$T905,$U905)/IF(AND($B905=1,$D$2&lt;&gt;"Egyszeri"),1,VLOOKUP($B905+IF($C905=12,1,0),Paraméterek!$B$257:$D$267,IF($D$2="Egyszeri",3,2))),IF($D$4="Forint",0,2)))</f>
        <v>-996033</v>
      </c>
      <c r="W905" s="13">
        <f ca="1">ROUNDDOWN($V905*VLOOKUP($B905+IF($C905=12,1,0),Paraméterek!$B$257:$D$267,IF($D$2="Egyszeri",3,2)),IF($D$4="Forint",0,2))</f>
        <v>-996033</v>
      </c>
      <c r="Y905" s="32">
        <v>886</v>
      </c>
      <c r="Z905" s="32">
        <v>74</v>
      </c>
      <c r="AA905" s="32">
        <v>10</v>
      </c>
      <c r="AB905" s="13">
        <f t="shared" si="206"/>
        <v>0</v>
      </c>
      <c r="AC905" s="33"/>
      <c r="AD905" s="13">
        <f t="shared" si="202"/>
        <v>0</v>
      </c>
      <c r="AE905" s="13">
        <f>ROUNDUP(($AB905+$AD905)*VLOOKUP($Z905,Paraméterek!$P$38:$Q$38,2)/12,IF($D$4="Forint",0,2))</f>
        <v>0</v>
      </c>
      <c r="AF905" s="13">
        <f>IF($D$2="Egyszeri",IF($D$7&gt;=IF($D$4="Forint",Paraméterek!$P$223,Paraméterek!$P$224),$D$7-IF($D$4="Forint",Paraméterek!$F$223,Paraméterek!$F$224),0),MIN(IF($AA905=12,AVERAGE($D$20:$D905)*12,0),SUM($D$20:$D$31)))</f>
        <v>0</v>
      </c>
      <c r="AG905" s="13">
        <f>IF(AND($Z905&gt;=10,MOD($Z905,5)=0),$AF905*IF($AA905=12,VLOOKUP($Z905,Paraméterek!$B$225:$F$240,IF($AF905&lt;IF($D$4="Forint",Paraméterek!$C$223,Paraméterek!$C$224),2,IF($AF905&lt;IF($D$4="Forint",Paraméterek!$D$223,Paraméterek!$D$224),3,4))),0),0)</f>
        <v>0</v>
      </c>
      <c r="AH905" s="13">
        <f>IF(AND($Z905&gt;=5,MOD($Z905,5)=0),IF($AA905=12,VLOOKUP($Z905,Paraméterek!$B$225:$F$240,5),0),IF(OR($Z905=3,$Z905=4),IF($AA905=12,VLOOKUP($Z905,Paraméterek!$B$225:$F$240,5,0),0),0))*$AF905</f>
        <v>0</v>
      </c>
      <c r="AI905" s="13">
        <f>ROUNDDOWN(IF(SUM($T$20:$U905)=0,IF($D$2="Egyszeri",$AH905,$AG905),0),IF($D$4="Forint",0,2))</f>
        <v>0</v>
      </c>
      <c r="AJ905" s="13">
        <f t="shared" si="207"/>
        <v>0</v>
      </c>
      <c r="AK905" s="13">
        <f t="shared" si="208"/>
        <v>0</v>
      </c>
      <c r="AM905" s="32">
        <v>886</v>
      </c>
      <c r="AN905" s="32">
        <v>74</v>
      </c>
      <c r="AO905" s="32">
        <v>10</v>
      </c>
      <c r="AP905" s="13"/>
      <c r="AQ905" s="32"/>
      <c r="AR905" s="13">
        <f t="shared" si="209"/>
        <v>0</v>
      </c>
      <c r="AS905" s="33"/>
      <c r="AT905" s="13">
        <f t="shared" si="203"/>
        <v>0</v>
      </c>
      <c r="AU905" s="13">
        <f>ROUNDUP(($AR905+$AT905)*VLOOKUP($AN905,Paraméterek!$P$38:$Q$38,2)/12,IF($D$4="Forint",0,2))</f>
        <v>0</v>
      </c>
      <c r="AV905" s="13"/>
      <c r="AW905" s="13"/>
      <c r="AX905" s="13">
        <f>ROUNDUP(IF(SUM($AV905:$AW905)=0,0,IF(IF(ISBLANK($AW905),$AV905,$AW905)*Paraméterek!$J$112&lt;IF($D$4="Forint",Paraméterek!$J$113,Paraméterek!$K$113),IF($D$4="Forint",Paraméterek!$J$113,Paraméterek!$K$113),IF(IF(ISBLANK($AW905),$AV905,$AW905)*Paraméterek!$J$112&gt;IF($D$4="Forint",Paraméterek!$J$114,Paraméterek!$K$114),IF($D$4="Forint",Paraméterek!$J$114,Paraméterek!$K$114),IF(ISBLANK($AW905),$AV905,$AW905)*Paraméterek!$J$112))),IF($D$4="Forint",0,2))</f>
        <v>0</v>
      </c>
      <c r="AY905" s="13">
        <f>$AR905+$AT905-$AU905-IF(ROUNDDOWN(IF(ISBLANK($AW905),$AV905,$AW905),IF($D$4="Forint",0,2))&gt;$AR905+$AT905-$AU905-IF($D$4="Forint",Paraméterek!$J$114,Paraméterek!$K$114),0,ROUNDDOWN(IF(ISBLANK($AW905),$AV905,$AW905),IF($D$4="Forint",0,2))-$AX905)</f>
        <v>0</v>
      </c>
      <c r="AZ905" s="13">
        <f t="shared" si="204"/>
        <v>0</v>
      </c>
    </row>
    <row r="906" spans="1:52" x14ac:dyDescent="0.2">
      <c r="A906" s="32">
        <v>887</v>
      </c>
      <c r="B906" s="32">
        <v>74</v>
      </c>
      <c r="C906" s="32">
        <v>11</v>
      </c>
      <c r="D906" s="13">
        <f t="shared" si="195"/>
        <v>0</v>
      </c>
      <c r="E906" s="13"/>
      <c r="F906" s="13"/>
      <c r="G906" s="13"/>
      <c r="H906" s="13">
        <f t="shared" si="196"/>
        <v>0</v>
      </c>
      <c r="I906" s="13">
        <f t="shared" si="197"/>
        <v>0</v>
      </c>
      <c r="J906" s="13">
        <f t="shared" si="198"/>
        <v>0</v>
      </c>
      <c r="K906" s="13">
        <f>ROUNDUP(IF($D$2="Egyszeri",$D906,IF($D$2="Havi",SUM($D$20:$D$31),IF(MOD($C906,$M$1)-1=0,SUM($D$20:$D$31),0))/12*$M$1)*VLOOKUP($B906,Paraméterek!$B$27:$D$30,IF($D$2="Egyszeri",3,2)),IF($D$4="Forint",0,2))</f>
        <v>0</v>
      </c>
      <c r="L906" s="13">
        <f t="shared" si="199"/>
        <v>0</v>
      </c>
      <c r="M906" s="13">
        <f t="shared" ca="1" si="205"/>
        <v>-996033</v>
      </c>
      <c r="N906" s="13">
        <f ca="1">IF($V905&gt;=VLOOKUP($M$4-1+$B906,Paraméterek!$B$121:$D$122,IF($D$4="Forint",2,3)),0,VLOOKUP($M$4-1+$B906,Paraméterek!$B$121:$D$122,IF($D$4="Forint",2,3))-$V905)</f>
        <v>1006033</v>
      </c>
      <c r="O906" s="13">
        <f ca="1">ROUNDUP($N906*Paraméterek!$C$58/Paraméterek!$C$56,IF($D$4="Forint",0,2))</f>
        <v>161</v>
      </c>
      <c r="P906" s="13">
        <f t="shared" si="200"/>
        <v>4759</v>
      </c>
      <c r="Q906" s="33"/>
      <c r="R906" s="13">
        <f t="shared" ca="1" si="201"/>
        <v>0</v>
      </c>
      <c r="S906" s="13">
        <f ca="1">ROUNDUP(($M906-$O906-$P906+$R906)*VLOOKUP($B906,Paraméterek!$B$38:$D$39,IF($D$2="Egyszeri",3,2))/12,IF($D$4="Forint",0,2))</f>
        <v>-2444</v>
      </c>
      <c r="T906" s="13"/>
      <c r="U906" s="13"/>
      <c r="V906" s="13">
        <f ca="1">$M906-$O906-$P906+$R906-$S906-IF(ROUNDUP(IF(ISBLANK($U906),$T906,$U906)/IF(AND($B906=1,$D$2&lt;&gt;"Egyszeri"),1,VLOOKUP($B906+IF($C906=12,1,0),Paraméterek!$B$257:$D$267,IF($D$2="Egyszeri",3,2))),IF($D$4="Forint",0,2))&gt;$M906-$O906-$P906+$R906-$S906-IF($D$4="Forint",Paraméterek!$C$216,Paraméterek!$D$216),0,ROUNDUP(IF(ISBLANK($U906),$T906,$U906)/IF(AND($B906=1,$D$2&lt;&gt;"Egyszeri"),1,VLOOKUP($B906+IF($C906=12,1,0),Paraméterek!$B$257:$D$267,IF($D$2="Egyszeri",3,2))),IF($D$4="Forint",0,2)))</f>
        <v>-998509</v>
      </c>
      <c r="W906" s="13">
        <f ca="1">ROUNDDOWN($V906*VLOOKUP($B906+IF($C906=12,1,0),Paraméterek!$B$257:$D$267,IF($D$2="Egyszeri",3,2)),IF($D$4="Forint",0,2))</f>
        <v>-998509</v>
      </c>
      <c r="Y906" s="32">
        <v>887</v>
      </c>
      <c r="Z906" s="32">
        <v>74</v>
      </c>
      <c r="AA906" s="32">
        <v>11</v>
      </c>
      <c r="AB906" s="13">
        <f t="shared" si="206"/>
        <v>0</v>
      </c>
      <c r="AC906" s="33"/>
      <c r="AD906" s="13">
        <f t="shared" si="202"/>
        <v>0</v>
      </c>
      <c r="AE906" s="13">
        <f>ROUNDUP(($AB906+$AD906)*VLOOKUP($Z906,Paraméterek!$P$38:$Q$38,2)/12,IF($D$4="Forint",0,2))</f>
        <v>0</v>
      </c>
      <c r="AF906" s="13">
        <f>IF($D$2="Egyszeri",IF($D$7&gt;=IF($D$4="Forint",Paraméterek!$P$223,Paraméterek!$P$224),$D$7-IF($D$4="Forint",Paraméterek!$F$223,Paraméterek!$F$224),0),MIN(IF($AA906=12,AVERAGE($D$20:$D906)*12,0),SUM($D$20:$D$31)))</f>
        <v>0</v>
      </c>
      <c r="AG906" s="13">
        <f>IF(AND($Z906&gt;=10,MOD($Z906,5)=0),$AF906*IF($AA906=12,VLOOKUP($Z906,Paraméterek!$B$225:$F$240,IF($AF906&lt;IF($D$4="Forint",Paraméterek!$C$223,Paraméterek!$C$224),2,IF($AF906&lt;IF($D$4="Forint",Paraméterek!$D$223,Paraméterek!$D$224),3,4))),0),0)</f>
        <v>0</v>
      </c>
      <c r="AH906" s="13">
        <f>IF(AND($Z906&gt;=5,MOD($Z906,5)=0),IF($AA906=12,VLOOKUP($Z906,Paraméterek!$B$225:$F$240,5),0),IF(OR($Z906=3,$Z906=4),IF($AA906=12,VLOOKUP($Z906,Paraméterek!$B$225:$F$240,5,0),0),0))*$AF906</f>
        <v>0</v>
      </c>
      <c r="AI906" s="13">
        <f>ROUNDDOWN(IF(SUM($T$20:$U906)=0,IF($D$2="Egyszeri",$AH906,$AG906),0),IF($D$4="Forint",0,2))</f>
        <v>0</v>
      </c>
      <c r="AJ906" s="13">
        <f t="shared" si="207"/>
        <v>0</v>
      </c>
      <c r="AK906" s="13">
        <f t="shared" si="208"/>
        <v>0</v>
      </c>
      <c r="AM906" s="32">
        <v>887</v>
      </c>
      <c r="AN906" s="32">
        <v>74</v>
      </c>
      <c r="AO906" s="32">
        <v>11</v>
      </c>
      <c r="AP906" s="13"/>
      <c r="AQ906" s="32"/>
      <c r="AR906" s="13">
        <f t="shared" si="209"/>
        <v>0</v>
      </c>
      <c r="AS906" s="33"/>
      <c r="AT906" s="13">
        <f t="shared" si="203"/>
        <v>0</v>
      </c>
      <c r="AU906" s="13">
        <f>ROUNDUP(($AR906+$AT906)*VLOOKUP($AN906,Paraméterek!$P$38:$Q$38,2)/12,IF($D$4="Forint",0,2))</f>
        <v>0</v>
      </c>
      <c r="AV906" s="13"/>
      <c r="AW906" s="13"/>
      <c r="AX906" s="13">
        <f>ROUNDUP(IF(SUM($AV906:$AW906)=0,0,IF(IF(ISBLANK($AW906),$AV906,$AW906)*Paraméterek!$J$112&lt;IF($D$4="Forint",Paraméterek!$J$113,Paraméterek!$K$113),IF($D$4="Forint",Paraméterek!$J$113,Paraméterek!$K$113),IF(IF(ISBLANK($AW906),$AV906,$AW906)*Paraméterek!$J$112&gt;IF($D$4="Forint",Paraméterek!$J$114,Paraméterek!$K$114),IF($D$4="Forint",Paraméterek!$J$114,Paraméterek!$K$114),IF(ISBLANK($AW906),$AV906,$AW906)*Paraméterek!$J$112))),IF($D$4="Forint",0,2))</f>
        <v>0</v>
      </c>
      <c r="AY906" s="13">
        <f>$AR906+$AT906-$AU906-IF(ROUNDDOWN(IF(ISBLANK($AW906),$AV906,$AW906),IF($D$4="Forint",0,2))&gt;$AR906+$AT906-$AU906-IF($D$4="Forint",Paraméterek!$J$114,Paraméterek!$K$114),0,ROUNDDOWN(IF(ISBLANK($AW906),$AV906,$AW906),IF($D$4="Forint",0,2))-$AX906)</f>
        <v>0</v>
      </c>
      <c r="AZ906" s="13">
        <f t="shared" si="204"/>
        <v>0</v>
      </c>
    </row>
    <row r="907" spans="1:52" x14ac:dyDescent="0.2">
      <c r="A907" s="32">
        <v>888</v>
      </c>
      <c r="B907" s="32">
        <v>74</v>
      </c>
      <c r="C907" s="32">
        <v>12</v>
      </c>
      <c r="D907" s="13">
        <f t="shared" si="195"/>
        <v>0</v>
      </c>
      <c r="E907" s="13"/>
      <c r="F907" s="13"/>
      <c r="G907" s="13"/>
      <c r="H907" s="13">
        <f t="shared" si="196"/>
        <v>0</v>
      </c>
      <c r="I907" s="13">
        <f t="shared" si="197"/>
        <v>0</v>
      </c>
      <c r="J907" s="13">
        <f t="shared" si="198"/>
        <v>0</v>
      </c>
      <c r="K907" s="13">
        <f>ROUNDUP(IF($D$2="Egyszeri",$D907,IF($D$2="Havi",SUM($D$20:$D$31),IF(MOD($C907,$M$1)-1=0,SUM($D$20:$D$31),0))/12*$M$1)*VLOOKUP($B907,Paraméterek!$B$27:$D$30,IF($D$2="Egyszeri",3,2)),IF($D$4="Forint",0,2))</f>
        <v>0</v>
      </c>
      <c r="L907" s="13">
        <f t="shared" si="199"/>
        <v>0</v>
      </c>
      <c r="M907" s="13">
        <f t="shared" ca="1" si="205"/>
        <v>-998509</v>
      </c>
      <c r="N907" s="13">
        <f ca="1">IF($V906&gt;=VLOOKUP($M$4-1+$B907,Paraméterek!$B$121:$D$122,IF($D$4="Forint",2,3)),0,VLOOKUP($M$4-1+$B907,Paraméterek!$B$121:$D$122,IF($D$4="Forint",2,3))-$V906)</f>
        <v>1008509</v>
      </c>
      <c r="O907" s="13">
        <f ca="1">ROUNDUP($N907*Paraméterek!$C$58/Paraméterek!$C$56,IF($D$4="Forint",0,2))</f>
        <v>161</v>
      </c>
      <c r="P907" s="13">
        <f t="shared" si="200"/>
        <v>4759</v>
      </c>
      <c r="Q907" s="33"/>
      <c r="R907" s="13">
        <f t="shared" ca="1" si="201"/>
        <v>0</v>
      </c>
      <c r="S907" s="13">
        <f ca="1">ROUNDUP(($M907-$O907-$P907+$R907)*VLOOKUP($B907,Paraméterek!$B$38:$D$39,IF($D$2="Egyszeri",3,2))/12,IF($D$4="Forint",0,2))</f>
        <v>-2451</v>
      </c>
      <c r="T907" s="13">
        <f>Tranzakciók!$F$105</f>
        <v>0</v>
      </c>
      <c r="U907" s="13"/>
      <c r="V907" s="13">
        <f ca="1">$M907-$O907-$P907+$R907-$S907-IF(ROUNDUP(IF(ISBLANK($U907),$T907,$U907)/IF(AND($B907=1,$D$2&lt;&gt;"Egyszeri"),1,VLOOKUP($B907+IF($C907=12,1,0),Paraméterek!$B$257:$D$267,IF($D$2="Egyszeri",3,2))),IF($D$4="Forint",0,2))&gt;$M907-$O907-$P907+$R907-$S907-IF($D$4="Forint",Paraméterek!$C$216,Paraméterek!$D$216),0,ROUNDUP(IF(ISBLANK($U907),$T907,$U907)/IF(AND($B907=1,$D$2&lt;&gt;"Egyszeri"),1,VLOOKUP($B907+IF($C907=12,1,0),Paraméterek!$B$257:$D$267,IF($D$2="Egyszeri",3,2))),IF($D$4="Forint",0,2)))</f>
        <v>-1000978</v>
      </c>
      <c r="W907" s="13">
        <f ca="1">ROUNDDOWN($V907*VLOOKUP($B907+IF($C907=12,1,0),Paraméterek!$B$257:$D$267,IF($D$2="Egyszeri",3,2)),IF($D$4="Forint",0,2))</f>
        <v>-1000978</v>
      </c>
      <c r="Y907" s="32">
        <v>888</v>
      </c>
      <c r="Z907" s="32">
        <v>74</v>
      </c>
      <c r="AA907" s="32">
        <v>12</v>
      </c>
      <c r="AB907" s="13">
        <f t="shared" si="206"/>
        <v>0</v>
      </c>
      <c r="AC907" s="33"/>
      <c r="AD907" s="13">
        <f t="shared" si="202"/>
        <v>0</v>
      </c>
      <c r="AE907" s="13">
        <f>ROUNDUP(($AB907+$AD907)*VLOOKUP($Z907,Paraméterek!$P$38:$Q$38,2)/12,IF($D$4="Forint",0,2))</f>
        <v>0</v>
      </c>
      <c r="AF907" s="13">
        <f>IF($D$2="Egyszeri",IF($D$7&gt;=IF($D$4="Forint",Paraméterek!$P$223,Paraméterek!$P$224),$D$7-IF($D$4="Forint",Paraméterek!$F$223,Paraméterek!$F$224),0),MIN(IF($AA907=12,AVERAGE($D$20:$D907)*12,0),SUM($D$20:$D$31)))</f>
        <v>0</v>
      </c>
      <c r="AG907" s="13">
        <f>IF(AND($Z907&gt;=10,MOD($Z907,5)=0),$AF907*IF($AA907=12,VLOOKUP($Z907,Paraméterek!$B$225:$F$240,IF($AF907&lt;IF($D$4="Forint",Paraméterek!$C$223,Paraméterek!$C$224),2,IF($AF907&lt;IF($D$4="Forint",Paraméterek!$D$223,Paraméterek!$D$224),3,4))),0),0)</f>
        <v>0</v>
      </c>
      <c r="AH907" s="13">
        <f>IF(AND($Z907&gt;=5,MOD($Z907,5)=0),IF($AA907=12,VLOOKUP($Z907,Paraméterek!$B$225:$F$240,5),0),IF(OR($Z907=3,$Z907=4),IF($AA907=12,VLOOKUP($Z907,Paraméterek!$B$225:$F$240,5,0),0),0))*$AF907</f>
        <v>0</v>
      </c>
      <c r="AI907" s="13">
        <f>ROUNDDOWN(IF(SUM($T$20:$U907)=0,IF($D$2="Egyszeri",$AH907,$AG907),0),IF($D$4="Forint",0,2))</f>
        <v>0</v>
      </c>
      <c r="AJ907" s="13">
        <f t="shared" si="207"/>
        <v>0</v>
      </c>
      <c r="AK907" s="13">
        <f t="shared" si="208"/>
        <v>0</v>
      </c>
      <c r="AM907" s="32">
        <v>888</v>
      </c>
      <c r="AN907" s="32">
        <v>74</v>
      </c>
      <c r="AO907" s="32">
        <v>12</v>
      </c>
      <c r="AP907" s="13"/>
      <c r="AQ907" s="32"/>
      <c r="AR907" s="13">
        <f t="shared" si="209"/>
        <v>0</v>
      </c>
      <c r="AS907" s="33"/>
      <c r="AT907" s="13">
        <f t="shared" si="203"/>
        <v>0</v>
      </c>
      <c r="AU907" s="13">
        <f>ROUNDUP(($AR907+$AT907)*VLOOKUP($AN907,Paraméterek!$P$38:$Q$38,2)/12,IF($D$4="Forint",0,2))</f>
        <v>0</v>
      </c>
      <c r="AV907" s="13">
        <f>Tranzakciók!$M$105</f>
        <v>0</v>
      </c>
      <c r="AW907" s="13"/>
      <c r="AX907" s="13">
        <f>ROUNDUP(IF(SUM($AV907:$AW907)=0,0,IF(IF(ISBLANK($AW907),$AV907,$AW907)*Paraméterek!$J$112&lt;IF($D$4="Forint",Paraméterek!$J$113,Paraméterek!$K$113),IF($D$4="Forint",Paraméterek!$J$113,Paraméterek!$K$113),IF(IF(ISBLANK($AW907),$AV907,$AW907)*Paraméterek!$J$112&gt;IF($D$4="Forint",Paraméterek!$J$114,Paraméterek!$K$114),IF($D$4="Forint",Paraméterek!$J$114,Paraméterek!$K$114),IF(ISBLANK($AW907),$AV907,$AW907)*Paraméterek!$J$112))),IF($D$4="Forint",0,2))</f>
        <v>0</v>
      </c>
      <c r="AY907" s="13">
        <f>$AR907+$AT907-$AU907-IF(ROUNDDOWN(IF(ISBLANK($AW907),$AV907,$AW907),IF($D$4="Forint",0,2))&gt;$AR907+$AT907-$AU907-IF($D$4="Forint",Paraméterek!$J$114,Paraméterek!$K$114),0,ROUNDDOWN(IF(ISBLANK($AW907),$AV907,$AW907),IF($D$4="Forint",0,2))-$AX907)</f>
        <v>0</v>
      </c>
      <c r="AZ907" s="13">
        <f t="shared" si="204"/>
        <v>0</v>
      </c>
    </row>
    <row r="908" spans="1:52" x14ac:dyDescent="0.2">
      <c r="A908" s="32">
        <v>889</v>
      </c>
      <c r="B908" s="32">
        <v>75</v>
      </c>
      <c r="C908" s="32">
        <v>1</v>
      </c>
      <c r="D908" s="13">
        <f t="shared" si="195"/>
        <v>0</v>
      </c>
      <c r="E908" s="13"/>
      <c r="F908" s="13">
        <f>Tranzakciók!$D$106</f>
        <v>0</v>
      </c>
      <c r="G908" s="13"/>
      <c r="H908" s="13">
        <f t="shared" si="196"/>
        <v>0</v>
      </c>
      <c r="I908" s="13">
        <f t="shared" si="197"/>
        <v>892</v>
      </c>
      <c r="J908" s="13">
        <f t="shared" si="198"/>
        <v>892</v>
      </c>
      <c r="K908" s="13">
        <f>ROUNDUP(IF($D$2="Egyszeri",$D908,IF($D$2="Havi",SUM($D$20:$D$31),IF(MOD($C908,$M$1)-1=0,SUM($D$20:$D$31),0))/12*$M$1)*VLOOKUP($B908,Paraméterek!$B$27:$D$30,IF($D$2="Egyszeri",3,2)),IF($D$4="Forint",0,2))</f>
        <v>0</v>
      </c>
      <c r="L908" s="13">
        <f t="shared" si="199"/>
        <v>0</v>
      </c>
      <c r="M908" s="13">
        <f t="shared" ca="1" si="205"/>
        <v>-1000978</v>
      </c>
      <c r="N908" s="13">
        <f ca="1">IF($V907&gt;=VLOOKUP($M$4-1+$B908,Paraméterek!$B$121:$D$122,IF($D$4="Forint",2,3)),0,VLOOKUP($M$4-1+$B908,Paraméterek!$B$121:$D$122,IF($D$4="Forint",2,3))-$V907)</f>
        <v>1010978</v>
      </c>
      <c r="O908" s="13">
        <f ca="1">ROUNDUP($N908*Paraméterek!$C$58/Paraméterek!$C$56,IF($D$4="Forint",0,2))</f>
        <v>161</v>
      </c>
      <c r="P908" s="13">
        <f t="shared" si="200"/>
        <v>4902</v>
      </c>
      <c r="Q908" s="33"/>
      <c r="R908" s="13">
        <f t="shared" ca="1" si="201"/>
        <v>0</v>
      </c>
      <c r="S908" s="13">
        <f ca="1">ROUNDUP(($M908-$O908-$P908+$R908)*VLOOKUP($B908,Paraméterek!$B$38:$D$39,IF($D$2="Egyszeri",3,2))/12,IF($D$4="Forint",0,2))</f>
        <v>-2457</v>
      </c>
      <c r="T908" s="13"/>
      <c r="U908" s="13"/>
      <c r="V908" s="13">
        <f ca="1">$M908-$O908-$P908+$R908-$S908-IF(ROUNDUP(IF(ISBLANK($U908),$T908,$U908)/IF(AND($B908=1,$D$2&lt;&gt;"Egyszeri"),1,VLOOKUP($B908+IF($C908=12,1,0),Paraméterek!$B$257:$D$267,IF($D$2="Egyszeri",3,2))),IF($D$4="Forint",0,2))&gt;$M908-$O908-$P908+$R908-$S908-IF($D$4="Forint",Paraméterek!$C$216,Paraméterek!$D$216),0,ROUNDUP(IF(ISBLANK($U908),$T908,$U908)/IF(AND($B908=1,$D$2&lt;&gt;"Egyszeri"),1,VLOOKUP($B908+IF($C908=12,1,0),Paraméterek!$B$257:$D$267,IF($D$2="Egyszeri",3,2))),IF($D$4="Forint",0,2)))</f>
        <v>-1003584</v>
      </c>
      <c r="W908" s="13">
        <f ca="1">ROUNDDOWN($V908*VLOOKUP($B908+IF($C908=12,1,0),Paraméterek!$B$257:$D$267,IF($D$2="Egyszeri",3,2)),IF($D$4="Forint",0,2))</f>
        <v>-1003584</v>
      </c>
      <c r="Y908" s="32">
        <v>889</v>
      </c>
      <c r="Z908" s="32">
        <v>75</v>
      </c>
      <c r="AA908" s="32">
        <v>1</v>
      </c>
      <c r="AB908" s="13">
        <f t="shared" si="206"/>
        <v>0</v>
      </c>
      <c r="AC908" s="33"/>
      <c r="AD908" s="13">
        <f t="shared" si="202"/>
        <v>0</v>
      </c>
      <c r="AE908" s="13">
        <f>ROUNDUP(($AB908+$AD908)*VLOOKUP($Z908,Paraméterek!$P$38:$Q$38,2)/12,IF($D$4="Forint",0,2))</f>
        <v>0</v>
      </c>
      <c r="AF908" s="13">
        <f>IF($D$2="Egyszeri",IF($D$7&gt;=IF($D$4="Forint",Paraméterek!$P$223,Paraméterek!$P$224),$D$7-IF($D$4="Forint",Paraméterek!$F$223,Paraméterek!$F$224),0),MIN(IF($AA908=12,AVERAGE($D$20:$D908)*12,0),SUM($D$20:$D$31)))</f>
        <v>0</v>
      </c>
      <c r="AG908" s="13">
        <f>IF(AND($Z908&gt;=10,MOD($Z908,5)=0),$AF908*IF($AA908=12,VLOOKUP($Z908,Paraméterek!$B$225:$F$240,IF($AF908&lt;IF($D$4="Forint",Paraméterek!$C$223,Paraméterek!$C$224),2,IF($AF908&lt;IF($D$4="Forint",Paraméterek!$D$223,Paraméterek!$D$224),3,4))),0),0)</f>
        <v>0</v>
      </c>
      <c r="AH908" s="13">
        <f>IF(AND($Z908&gt;=5,MOD($Z908,5)=0),IF($AA908=12,VLOOKUP($Z908,Paraméterek!$B$225:$F$240,5),0),IF(OR($Z908=3,$Z908=4),IF($AA908=12,VLOOKUP($Z908,Paraméterek!$B$225:$F$240,5,0),0),0))*$AF908</f>
        <v>0</v>
      </c>
      <c r="AI908" s="13">
        <f>ROUNDDOWN(IF(SUM($T$20:$U908)=0,IF($D$2="Egyszeri",$AH908,$AG908),0),IF($D$4="Forint",0,2))</f>
        <v>0</v>
      </c>
      <c r="AJ908" s="13">
        <f t="shared" si="207"/>
        <v>0</v>
      </c>
      <c r="AK908" s="13">
        <f t="shared" si="208"/>
        <v>0</v>
      </c>
      <c r="AM908" s="32">
        <v>889</v>
      </c>
      <c r="AN908" s="32">
        <v>75</v>
      </c>
      <c r="AO908" s="32">
        <v>1</v>
      </c>
      <c r="AP908" s="13">
        <f>Tranzakciók!$K$106</f>
        <v>0</v>
      </c>
      <c r="AQ908" s="32"/>
      <c r="AR908" s="13">
        <f t="shared" si="209"/>
        <v>0</v>
      </c>
      <c r="AS908" s="33"/>
      <c r="AT908" s="13">
        <f t="shared" si="203"/>
        <v>0</v>
      </c>
      <c r="AU908" s="13">
        <f>ROUNDUP(($AR908+$AT908)*VLOOKUP($AN908,Paraméterek!$P$38:$Q$38,2)/12,IF($D$4="Forint",0,2))</f>
        <v>0</v>
      </c>
      <c r="AV908" s="13"/>
      <c r="AW908" s="13"/>
      <c r="AX908" s="13">
        <f>ROUNDUP(IF(SUM($AV908:$AW908)=0,0,IF(IF(ISBLANK($AW908),$AV908,$AW908)*Paraméterek!$J$112&lt;IF($D$4="Forint",Paraméterek!$J$113,Paraméterek!$K$113),IF($D$4="Forint",Paraméterek!$J$113,Paraméterek!$K$113),IF(IF(ISBLANK($AW908),$AV908,$AW908)*Paraméterek!$J$112&gt;IF($D$4="Forint",Paraméterek!$J$114,Paraméterek!$K$114),IF($D$4="Forint",Paraméterek!$J$114,Paraméterek!$K$114),IF(ISBLANK($AW908),$AV908,$AW908)*Paraméterek!$J$112))),IF($D$4="Forint",0,2))</f>
        <v>0</v>
      </c>
      <c r="AY908" s="13">
        <f>$AR908+$AT908-$AU908-IF(ROUNDDOWN(IF(ISBLANK($AW908),$AV908,$AW908),IF($D$4="Forint",0,2))&gt;$AR908+$AT908-$AU908-IF($D$4="Forint",Paraméterek!$J$114,Paraméterek!$K$114),0,ROUNDDOWN(IF(ISBLANK($AW908),$AV908,$AW908),IF($D$4="Forint",0,2))-$AX908)</f>
        <v>0</v>
      </c>
      <c r="AZ908" s="13">
        <f t="shared" si="204"/>
        <v>0</v>
      </c>
    </row>
    <row r="909" spans="1:52" x14ac:dyDescent="0.2">
      <c r="A909" s="32">
        <v>890</v>
      </c>
      <c r="B909" s="32">
        <v>75</v>
      </c>
      <c r="C909" s="32">
        <v>2</v>
      </c>
      <c r="D909" s="13">
        <f t="shared" si="195"/>
        <v>0</v>
      </c>
      <c r="E909" s="13"/>
      <c r="F909" s="13"/>
      <c r="G909" s="13"/>
      <c r="H909" s="13">
        <f t="shared" si="196"/>
        <v>0</v>
      </c>
      <c r="I909" s="13">
        <f t="shared" si="197"/>
        <v>0</v>
      </c>
      <c r="J909" s="13">
        <f t="shared" si="198"/>
        <v>0</v>
      </c>
      <c r="K909" s="13">
        <f>ROUNDUP(IF($D$2="Egyszeri",$D909,IF($D$2="Havi",SUM($D$20:$D$31),IF(MOD($C909,$M$1)-1=0,SUM($D$20:$D$31),0))/12*$M$1)*VLOOKUP($B909,Paraméterek!$B$27:$D$30,IF($D$2="Egyszeri",3,2)),IF($D$4="Forint",0,2))</f>
        <v>0</v>
      </c>
      <c r="L909" s="13">
        <f t="shared" si="199"/>
        <v>0</v>
      </c>
      <c r="M909" s="13">
        <f t="shared" ca="1" si="205"/>
        <v>-1003584</v>
      </c>
      <c r="N909" s="13">
        <f ca="1">IF($V908&gt;=VLOOKUP($M$4-1+$B909,Paraméterek!$B$121:$D$122,IF($D$4="Forint",2,3)),0,VLOOKUP($M$4-1+$B909,Paraméterek!$B$121:$D$122,IF($D$4="Forint",2,3))-$V908)</f>
        <v>1013584</v>
      </c>
      <c r="O909" s="13">
        <f ca="1">ROUNDUP($N909*Paraméterek!$C$58/Paraméterek!$C$56,IF($D$4="Forint",0,2))</f>
        <v>162</v>
      </c>
      <c r="P909" s="13">
        <f t="shared" si="200"/>
        <v>4902</v>
      </c>
      <c r="Q909" s="33"/>
      <c r="R909" s="13">
        <f t="shared" ca="1" si="201"/>
        <v>0</v>
      </c>
      <c r="S909" s="13">
        <f ca="1">ROUNDUP(($M909-$O909-$P909+$R909)*VLOOKUP($B909,Paraméterek!$B$38:$D$39,IF($D$2="Egyszeri",3,2))/12,IF($D$4="Forint",0,2))</f>
        <v>-2463</v>
      </c>
      <c r="T909" s="13"/>
      <c r="U909" s="13"/>
      <c r="V909" s="13">
        <f ca="1">$M909-$O909-$P909+$R909-$S909-IF(ROUNDUP(IF(ISBLANK($U909),$T909,$U909)/IF(AND($B909=1,$D$2&lt;&gt;"Egyszeri"),1,VLOOKUP($B909+IF($C909=12,1,0),Paraméterek!$B$257:$D$267,IF($D$2="Egyszeri",3,2))),IF($D$4="Forint",0,2))&gt;$M909-$O909-$P909+$R909-$S909-IF($D$4="Forint",Paraméterek!$C$216,Paraméterek!$D$216),0,ROUNDUP(IF(ISBLANK($U909),$T909,$U909)/IF(AND($B909=1,$D$2&lt;&gt;"Egyszeri"),1,VLOOKUP($B909+IF($C909=12,1,0),Paraméterek!$B$257:$D$267,IF($D$2="Egyszeri",3,2))),IF($D$4="Forint",0,2)))</f>
        <v>-1006185</v>
      </c>
      <c r="W909" s="13">
        <f ca="1">ROUNDDOWN($V909*VLOOKUP($B909+IF($C909=12,1,0),Paraméterek!$B$257:$D$267,IF($D$2="Egyszeri",3,2)),IF($D$4="Forint",0,2))</f>
        <v>-1006185</v>
      </c>
      <c r="Y909" s="32">
        <v>890</v>
      </c>
      <c r="Z909" s="32">
        <v>75</v>
      </c>
      <c r="AA909" s="32">
        <v>2</v>
      </c>
      <c r="AB909" s="13">
        <f t="shared" si="206"/>
        <v>0</v>
      </c>
      <c r="AC909" s="33"/>
      <c r="AD909" s="13">
        <f t="shared" si="202"/>
        <v>0</v>
      </c>
      <c r="AE909" s="13">
        <f>ROUNDUP(($AB909+$AD909)*VLOOKUP($Z909,Paraméterek!$P$38:$Q$38,2)/12,IF($D$4="Forint",0,2))</f>
        <v>0</v>
      </c>
      <c r="AF909" s="13">
        <f>IF($D$2="Egyszeri",IF($D$7&gt;=IF($D$4="Forint",Paraméterek!$P$223,Paraméterek!$P$224),$D$7-IF($D$4="Forint",Paraméterek!$F$223,Paraméterek!$F$224),0),MIN(IF($AA909=12,AVERAGE($D$20:$D909)*12,0),SUM($D$20:$D$31)))</f>
        <v>0</v>
      </c>
      <c r="AG909" s="13">
        <f>IF(AND($Z909&gt;=10,MOD($Z909,5)=0),$AF909*IF($AA909=12,VLOOKUP($Z909,Paraméterek!$B$225:$F$240,IF($AF909&lt;IF($D$4="Forint",Paraméterek!$C$223,Paraméterek!$C$224),2,IF($AF909&lt;IF($D$4="Forint",Paraméterek!$D$223,Paraméterek!$D$224),3,4))),0),0)</f>
        <v>0</v>
      </c>
      <c r="AH909" s="13">
        <f>IF(AND($Z909&gt;=5,MOD($Z909,5)=0),IF($AA909=12,VLOOKUP($Z909,Paraméterek!$B$225:$F$240,5),0),IF(OR($Z909=3,$Z909=4),IF($AA909=12,VLOOKUP($Z909,Paraméterek!$B$225:$F$240,5,0),0),0))*$AF909</f>
        <v>0</v>
      </c>
      <c r="AI909" s="13">
        <f>ROUNDDOWN(IF(SUM($T$20:$U909)=0,IF($D$2="Egyszeri",$AH909,$AG909),0),IF($D$4="Forint",0,2))</f>
        <v>0</v>
      </c>
      <c r="AJ909" s="13">
        <f t="shared" si="207"/>
        <v>0</v>
      </c>
      <c r="AK909" s="13">
        <f t="shared" si="208"/>
        <v>0</v>
      </c>
      <c r="AM909" s="32">
        <v>890</v>
      </c>
      <c r="AN909" s="32">
        <v>75</v>
      </c>
      <c r="AO909" s="32">
        <v>2</v>
      </c>
      <c r="AP909" s="13"/>
      <c r="AQ909" s="32"/>
      <c r="AR909" s="13">
        <f t="shared" si="209"/>
        <v>0</v>
      </c>
      <c r="AS909" s="33"/>
      <c r="AT909" s="13">
        <f t="shared" si="203"/>
        <v>0</v>
      </c>
      <c r="AU909" s="13">
        <f>ROUNDUP(($AR909+$AT909)*VLOOKUP($AN909,Paraméterek!$P$38:$Q$38,2)/12,IF($D$4="Forint",0,2))</f>
        <v>0</v>
      </c>
      <c r="AV909" s="13"/>
      <c r="AW909" s="13"/>
      <c r="AX909" s="13">
        <f>ROUNDUP(IF(SUM($AV909:$AW909)=0,0,IF(IF(ISBLANK($AW909),$AV909,$AW909)*Paraméterek!$J$112&lt;IF($D$4="Forint",Paraméterek!$J$113,Paraméterek!$K$113),IF($D$4="Forint",Paraméterek!$J$113,Paraméterek!$K$113),IF(IF(ISBLANK($AW909),$AV909,$AW909)*Paraméterek!$J$112&gt;IF($D$4="Forint",Paraméterek!$J$114,Paraméterek!$K$114),IF($D$4="Forint",Paraméterek!$J$114,Paraméterek!$K$114),IF(ISBLANK($AW909),$AV909,$AW909)*Paraméterek!$J$112))),IF($D$4="Forint",0,2))</f>
        <v>0</v>
      </c>
      <c r="AY909" s="13">
        <f>$AR909+$AT909-$AU909-IF(ROUNDDOWN(IF(ISBLANK($AW909),$AV909,$AW909),IF($D$4="Forint",0,2))&gt;$AR909+$AT909-$AU909-IF($D$4="Forint",Paraméterek!$J$114,Paraméterek!$K$114),0,ROUNDDOWN(IF(ISBLANK($AW909),$AV909,$AW909),IF($D$4="Forint",0,2))-$AX909)</f>
        <v>0</v>
      </c>
      <c r="AZ909" s="13">
        <f t="shared" si="204"/>
        <v>0</v>
      </c>
    </row>
    <row r="910" spans="1:52" x14ac:dyDescent="0.2">
      <c r="A910" s="32">
        <v>891</v>
      </c>
      <c r="B910" s="32">
        <v>75</v>
      </c>
      <c r="C910" s="32">
        <v>3</v>
      </c>
      <c r="D910" s="13">
        <f t="shared" si="195"/>
        <v>0</v>
      </c>
      <c r="E910" s="13"/>
      <c r="F910" s="13"/>
      <c r="G910" s="13"/>
      <c r="H910" s="13">
        <f t="shared" si="196"/>
        <v>0</v>
      </c>
      <c r="I910" s="13">
        <f t="shared" si="197"/>
        <v>0</v>
      </c>
      <c r="J910" s="13">
        <f t="shared" si="198"/>
        <v>0</v>
      </c>
      <c r="K910" s="13">
        <f>ROUNDUP(IF($D$2="Egyszeri",$D910,IF($D$2="Havi",SUM($D$20:$D$31),IF(MOD($C910,$M$1)-1=0,SUM($D$20:$D$31),0))/12*$M$1)*VLOOKUP($B910,Paraméterek!$B$27:$D$30,IF($D$2="Egyszeri",3,2)),IF($D$4="Forint",0,2))</f>
        <v>0</v>
      </c>
      <c r="L910" s="13">
        <f t="shared" si="199"/>
        <v>0</v>
      </c>
      <c r="M910" s="13">
        <f t="shared" ca="1" si="205"/>
        <v>-1006185</v>
      </c>
      <c r="N910" s="13">
        <f ca="1">IF($V909&gt;=VLOOKUP($M$4-1+$B910,Paraméterek!$B$121:$D$122,IF($D$4="Forint",2,3)),0,VLOOKUP($M$4-1+$B910,Paraméterek!$B$121:$D$122,IF($D$4="Forint",2,3))-$V909)</f>
        <v>1016185</v>
      </c>
      <c r="O910" s="13">
        <f ca="1">ROUNDUP($N910*Paraméterek!$C$58/Paraméterek!$C$56,IF($D$4="Forint",0,2))</f>
        <v>162</v>
      </c>
      <c r="P910" s="13">
        <f t="shared" si="200"/>
        <v>4902</v>
      </c>
      <c r="Q910" s="33"/>
      <c r="R910" s="13">
        <f t="shared" ca="1" si="201"/>
        <v>0</v>
      </c>
      <c r="S910" s="13">
        <f ca="1">ROUNDUP(($M910-$O910-$P910+$R910)*VLOOKUP($B910,Paraméterek!$B$38:$D$39,IF($D$2="Egyszeri",3,2))/12,IF($D$4="Forint",0,2))</f>
        <v>-2470</v>
      </c>
      <c r="T910" s="13"/>
      <c r="U910" s="13"/>
      <c r="V910" s="13">
        <f ca="1">$M910-$O910-$P910+$R910-$S910-IF(ROUNDUP(IF(ISBLANK($U910),$T910,$U910)/IF(AND($B910=1,$D$2&lt;&gt;"Egyszeri"),1,VLOOKUP($B910+IF($C910=12,1,0),Paraméterek!$B$257:$D$267,IF($D$2="Egyszeri",3,2))),IF($D$4="Forint",0,2))&gt;$M910-$O910-$P910+$R910-$S910-IF($D$4="Forint",Paraméterek!$C$216,Paraméterek!$D$216),0,ROUNDUP(IF(ISBLANK($U910),$T910,$U910)/IF(AND($B910=1,$D$2&lt;&gt;"Egyszeri"),1,VLOOKUP($B910+IF($C910=12,1,0),Paraméterek!$B$257:$D$267,IF($D$2="Egyszeri",3,2))),IF($D$4="Forint",0,2)))</f>
        <v>-1008779</v>
      </c>
      <c r="W910" s="13">
        <f ca="1">ROUNDDOWN($V910*VLOOKUP($B910+IF($C910=12,1,0),Paraméterek!$B$257:$D$267,IF($D$2="Egyszeri",3,2)),IF($D$4="Forint",0,2))</f>
        <v>-1008779</v>
      </c>
      <c r="Y910" s="32">
        <v>891</v>
      </c>
      <c r="Z910" s="32">
        <v>75</v>
      </c>
      <c r="AA910" s="32">
        <v>3</v>
      </c>
      <c r="AB910" s="13">
        <f t="shared" si="206"/>
        <v>0</v>
      </c>
      <c r="AC910" s="33"/>
      <c r="AD910" s="13">
        <f t="shared" si="202"/>
        <v>0</v>
      </c>
      <c r="AE910" s="13">
        <f>ROUNDUP(($AB910+$AD910)*VLOOKUP($Z910,Paraméterek!$P$38:$Q$38,2)/12,IF($D$4="Forint",0,2))</f>
        <v>0</v>
      </c>
      <c r="AF910" s="13">
        <f>IF($D$2="Egyszeri",IF($D$7&gt;=IF($D$4="Forint",Paraméterek!$P$223,Paraméterek!$P$224),$D$7-IF($D$4="Forint",Paraméterek!$F$223,Paraméterek!$F$224),0),MIN(IF($AA910=12,AVERAGE($D$20:$D910)*12,0),SUM($D$20:$D$31)))</f>
        <v>0</v>
      </c>
      <c r="AG910" s="13">
        <f>IF(AND($Z910&gt;=10,MOD($Z910,5)=0),$AF910*IF($AA910=12,VLOOKUP($Z910,Paraméterek!$B$225:$F$240,IF($AF910&lt;IF($D$4="Forint",Paraméterek!$C$223,Paraméterek!$C$224),2,IF($AF910&lt;IF($D$4="Forint",Paraméterek!$D$223,Paraméterek!$D$224),3,4))),0),0)</f>
        <v>0</v>
      </c>
      <c r="AH910" s="13">
        <f>IF(AND($Z910&gt;=5,MOD($Z910,5)=0),IF($AA910=12,VLOOKUP($Z910,Paraméterek!$B$225:$F$240,5),0),IF(OR($Z910=3,$Z910=4),IF($AA910=12,VLOOKUP($Z910,Paraméterek!$B$225:$F$240,5,0),0),0))*$AF910</f>
        <v>0</v>
      </c>
      <c r="AI910" s="13">
        <f>ROUNDDOWN(IF(SUM($T$20:$U910)=0,IF($D$2="Egyszeri",$AH910,$AG910),0),IF($D$4="Forint",0,2))</f>
        <v>0</v>
      </c>
      <c r="AJ910" s="13">
        <f t="shared" si="207"/>
        <v>0</v>
      </c>
      <c r="AK910" s="13">
        <f t="shared" si="208"/>
        <v>0</v>
      </c>
      <c r="AM910" s="32">
        <v>891</v>
      </c>
      <c r="AN910" s="32">
        <v>75</v>
      </c>
      <c r="AO910" s="32">
        <v>3</v>
      </c>
      <c r="AP910" s="13"/>
      <c r="AQ910" s="32"/>
      <c r="AR910" s="13">
        <f t="shared" si="209"/>
        <v>0</v>
      </c>
      <c r="AS910" s="33"/>
      <c r="AT910" s="13">
        <f t="shared" si="203"/>
        <v>0</v>
      </c>
      <c r="AU910" s="13">
        <f>ROUNDUP(($AR910+$AT910)*VLOOKUP($AN910,Paraméterek!$P$38:$Q$38,2)/12,IF($D$4="Forint",0,2))</f>
        <v>0</v>
      </c>
      <c r="AV910" s="13"/>
      <c r="AW910" s="13"/>
      <c r="AX910" s="13">
        <f>ROUNDUP(IF(SUM($AV910:$AW910)=0,0,IF(IF(ISBLANK($AW910),$AV910,$AW910)*Paraméterek!$J$112&lt;IF($D$4="Forint",Paraméterek!$J$113,Paraméterek!$K$113),IF($D$4="Forint",Paraméterek!$J$113,Paraméterek!$K$113),IF(IF(ISBLANK($AW910),$AV910,$AW910)*Paraméterek!$J$112&gt;IF($D$4="Forint",Paraméterek!$J$114,Paraméterek!$K$114),IF($D$4="Forint",Paraméterek!$J$114,Paraméterek!$K$114),IF(ISBLANK($AW910),$AV910,$AW910)*Paraméterek!$J$112))),IF($D$4="Forint",0,2))</f>
        <v>0</v>
      </c>
      <c r="AY910" s="13">
        <f>$AR910+$AT910-$AU910-IF(ROUNDDOWN(IF(ISBLANK($AW910),$AV910,$AW910),IF($D$4="Forint",0,2))&gt;$AR910+$AT910-$AU910-IF($D$4="Forint",Paraméterek!$J$114,Paraméterek!$K$114),0,ROUNDDOWN(IF(ISBLANK($AW910),$AV910,$AW910),IF($D$4="Forint",0,2))-$AX910)</f>
        <v>0</v>
      </c>
      <c r="AZ910" s="13">
        <f t="shared" si="204"/>
        <v>0</v>
      </c>
    </row>
    <row r="911" spans="1:52" x14ac:dyDescent="0.2">
      <c r="A911" s="32">
        <v>892</v>
      </c>
      <c r="B911" s="32">
        <v>75</v>
      </c>
      <c r="C911" s="32">
        <v>4</v>
      </c>
      <c r="D911" s="13">
        <f t="shared" si="195"/>
        <v>0</v>
      </c>
      <c r="E911" s="13"/>
      <c r="F911" s="13"/>
      <c r="G911" s="13"/>
      <c r="H911" s="13">
        <f t="shared" si="196"/>
        <v>0</v>
      </c>
      <c r="I911" s="13">
        <f t="shared" si="197"/>
        <v>0</v>
      </c>
      <c r="J911" s="13">
        <f t="shared" si="198"/>
        <v>0</v>
      </c>
      <c r="K911" s="13">
        <f>ROUNDUP(IF($D$2="Egyszeri",$D911,IF($D$2="Havi",SUM($D$20:$D$31),IF(MOD($C911,$M$1)-1=0,SUM($D$20:$D$31),0))/12*$M$1)*VLOOKUP($B911,Paraméterek!$B$27:$D$30,IF($D$2="Egyszeri",3,2)),IF($D$4="Forint",0,2))</f>
        <v>0</v>
      </c>
      <c r="L911" s="13">
        <f t="shared" si="199"/>
        <v>0</v>
      </c>
      <c r="M911" s="13">
        <f t="shared" ca="1" si="205"/>
        <v>-1008779</v>
      </c>
      <c r="N911" s="13">
        <f ca="1">IF($V910&gt;=VLOOKUP($M$4-1+$B911,Paraméterek!$B$121:$D$122,IF($D$4="Forint",2,3)),0,VLOOKUP($M$4-1+$B911,Paraméterek!$B$121:$D$122,IF($D$4="Forint",2,3))-$V910)</f>
        <v>1018779</v>
      </c>
      <c r="O911" s="13">
        <f ca="1">ROUNDUP($N911*Paraméterek!$C$58/Paraméterek!$C$56,IF($D$4="Forint",0,2))</f>
        <v>163</v>
      </c>
      <c r="P911" s="13">
        <f t="shared" si="200"/>
        <v>4902</v>
      </c>
      <c r="Q911" s="33"/>
      <c r="R911" s="13">
        <f t="shared" ca="1" si="201"/>
        <v>0</v>
      </c>
      <c r="S911" s="13">
        <f ca="1">ROUNDUP(($M911-$O911-$P911+$R911)*VLOOKUP($B911,Paraméterek!$B$38:$D$39,IF($D$2="Egyszeri",3,2))/12,IF($D$4="Forint",0,2))</f>
        <v>-2476</v>
      </c>
      <c r="T911" s="13"/>
      <c r="U911" s="13"/>
      <c r="V911" s="13">
        <f ca="1">$M911-$O911-$P911+$R911-$S911-IF(ROUNDUP(IF(ISBLANK($U911),$T911,$U911)/IF(AND($B911=1,$D$2&lt;&gt;"Egyszeri"),1,VLOOKUP($B911+IF($C911=12,1,0),Paraméterek!$B$257:$D$267,IF($D$2="Egyszeri",3,2))),IF($D$4="Forint",0,2))&gt;$M911-$O911-$P911+$R911-$S911-IF($D$4="Forint",Paraméterek!$C$216,Paraméterek!$D$216),0,ROUNDUP(IF(ISBLANK($U911),$T911,$U911)/IF(AND($B911=1,$D$2&lt;&gt;"Egyszeri"),1,VLOOKUP($B911+IF($C911=12,1,0),Paraméterek!$B$257:$D$267,IF($D$2="Egyszeri",3,2))),IF($D$4="Forint",0,2)))</f>
        <v>-1011368</v>
      </c>
      <c r="W911" s="13">
        <f ca="1">ROUNDDOWN($V911*VLOOKUP($B911+IF($C911=12,1,0),Paraméterek!$B$257:$D$267,IF($D$2="Egyszeri",3,2)),IF($D$4="Forint",0,2))</f>
        <v>-1011368</v>
      </c>
      <c r="Y911" s="32">
        <v>892</v>
      </c>
      <c r="Z911" s="32">
        <v>75</v>
      </c>
      <c r="AA911" s="32">
        <v>4</v>
      </c>
      <c r="AB911" s="13">
        <f t="shared" si="206"/>
        <v>0</v>
      </c>
      <c r="AC911" s="33"/>
      <c r="AD911" s="13">
        <f t="shared" si="202"/>
        <v>0</v>
      </c>
      <c r="AE911" s="13">
        <f>ROUNDUP(($AB911+$AD911)*VLOOKUP($Z911,Paraméterek!$P$38:$Q$38,2)/12,IF($D$4="Forint",0,2))</f>
        <v>0</v>
      </c>
      <c r="AF911" s="13">
        <f>IF($D$2="Egyszeri",IF($D$7&gt;=IF($D$4="Forint",Paraméterek!$P$223,Paraméterek!$P$224),$D$7-IF($D$4="Forint",Paraméterek!$F$223,Paraméterek!$F$224),0),MIN(IF($AA911=12,AVERAGE($D$20:$D911)*12,0),SUM($D$20:$D$31)))</f>
        <v>0</v>
      </c>
      <c r="AG911" s="13">
        <f>IF(AND($Z911&gt;=10,MOD($Z911,5)=0),$AF911*IF($AA911=12,VLOOKUP($Z911,Paraméterek!$B$225:$F$240,IF($AF911&lt;IF($D$4="Forint",Paraméterek!$C$223,Paraméterek!$C$224),2,IF($AF911&lt;IF($D$4="Forint",Paraméterek!$D$223,Paraméterek!$D$224),3,4))),0),0)</f>
        <v>0</v>
      </c>
      <c r="AH911" s="13">
        <f>IF(AND($Z911&gt;=5,MOD($Z911,5)=0),IF($AA911=12,VLOOKUP($Z911,Paraméterek!$B$225:$F$240,5),0),IF(OR($Z911=3,$Z911=4),IF($AA911=12,VLOOKUP($Z911,Paraméterek!$B$225:$F$240,5,0),0),0))*$AF911</f>
        <v>0</v>
      </c>
      <c r="AI911" s="13">
        <f>ROUNDDOWN(IF(SUM($T$20:$U911)=0,IF($D$2="Egyszeri",$AH911,$AG911),0),IF($D$4="Forint",0,2))</f>
        <v>0</v>
      </c>
      <c r="AJ911" s="13">
        <f t="shared" si="207"/>
        <v>0</v>
      </c>
      <c r="AK911" s="13">
        <f t="shared" si="208"/>
        <v>0</v>
      </c>
      <c r="AM911" s="32">
        <v>892</v>
      </c>
      <c r="AN911" s="32">
        <v>75</v>
      </c>
      <c r="AO911" s="32">
        <v>4</v>
      </c>
      <c r="AP911" s="13"/>
      <c r="AQ911" s="32"/>
      <c r="AR911" s="13">
        <f t="shared" si="209"/>
        <v>0</v>
      </c>
      <c r="AS911" s="33"/>
      <c r="AT911" s="13">
        <f t="shared" si="203"/>
        <v>0</v>
      </c>
      <c r="AU911" s="13">
        <f>ROUNDUP(($AR911+$AT911)*VLOOKUP($AN911,Paraméterek!$P$38:$Q$38,2)/12,IF($D$4="Forint",0,2))</f>
        <v>0</v>
      </c>
      <c r="AV911" s="13"/>
      <c r="AW911" s="13"/>
      <c r="AX911" s="13">
        <f>ROUNDUP(IF(SUM($AV911:$AW911)=0,0,IF(IF(ISBLANK($AW911),$AV911,$AW911)*Paraméterek!$J$112&lt;IF($D$4="Forint",Paraméterek!$J$113,Paraméterek!$K$113),IF($D$4="Forint",Paraméterek!$J$113,Paraméterek!$K$113),IF(IF(ISBLANK($AW911),$AV911,$AW911)*Paraméterek!$J$112&gt;IF($D$4="Forint",Paraméterek!$J$114,Paraméterek!$K$114),IF($D$4="Forint",Paraméterek!$J$114,Paraméterek!$K$114),IF(ISBLANK($AW911),$AV911,$AW911)*Paraméterek!$J$112))),IF($D$4="Forint",0,2))</f>
        <v>0</v>
      </c>
      <c r="AY911" s="13">
        <f>$AR911+$AT911-$AU911-IF(ROUNDDOWN(IF(ISBLANK($AW911),$AV911,$AW911),IF($D$4="Forint",0,2))&gt;$AR911+$AT911-$AU911-IF($D$4="Forint",Paraméterek!$J$114,Paraméterek!$K$114),0,ROUNDDOWN(IF(ISBLANK($AW911),$AV911,$AW911),IF($D$4="Forint",0,2))-$AX911)</f>
        <v>0</v>
      </c>
      <c r="AZ911" s="13">
        <f t="shared" si="204"/>
        <v>0</v>
      </c>
    </row>
    <row r="912" spans="1:52" x14ac:dyDescent="0.2">
      <c r="A912" s="32">
        <v>893</v>
      </c>
      <c r="B912" s="32">
        <v>75</v>
      </c>
      <c r="C912" s="32">
        <v>5</v>
      </c>
      <c r="D912" s="13">
        <f t="shared" si="195"/>
        <v>0</v>
      </c>
      <c r="E912" s="13"/>
      <c r="F912" s="13"/>
      <c r="G912" s="13"/>
      <c r="H912" s="13">
        <f t="shared" si="196"/>
        <v>0</v>
      </c>
      <c r="I912" s="13">
        <f t="shared" si="197"/>
        <v>0</v>
      </c>
      <c r="J912" s="13">
        <f t="shared" si="198"/>
        <v>0</v>
      </c>
      <c r="K912" s="13">
        <f>ROUNDUP(IF($D$2="Egyszeri",$D912,IF($D$2="Havi",SUM($D$20:$D$31),IF(MOD($C912,$M$1)-1=0,SUM($D$20:$D$31),0))/12*$M$1)*VLOOKUP($B912,Paraméterek!$B$27:$D$30,IF($D$2="Egyszeri",3,2)),IF($D$4="Forint",0,2))</f>
        <v>0</v>
      </c>
      <c r="L912" s="13">
        <f t="shared" si="199"/>
        <v>0</v>
      </c>
      <c r="M912" s="13">
        <f t="shared" ca="1" si="205"/>
        <v>-1011368</v>
      </c>
      <c r="N912" s="13">
        <f ca="1">IF($V911&gt;=VLOOKUP($M$4-1+$B912,Paraméterek!$B$121:$D$122,IF($D$4="Forint",2,3)),0,VLOOKUP($M$4-1+$B912,Paraméterek!$B$121:$D$122,IF($D$4="Forint",2,3))-$V911)</f>
        <v>1021368</v>
      </c>
      <c r="O912" s="13">
        <f ca="1">ROUNDUP($N912*Paraméterek!$C$58/Paraméterek!$C$56,IF($D$4="Forint",0,2))</f>
        <v>163</v>
      </c>
      <c r="P912" s="13">
        <f t="shared" si="200"/>
        <v>4902</v>
      </c>
      <c r="Q912" s="33"/>
      <c r="R912" s="13">
        <f t="shared" ca="1" si="201"/>
        <v>0</v>
      </c>
      <c r="S912" s="13">
        <f ca="1">ROUNDUP(($M912-$O912-$P912+$R912)*VLOOKUP($B912,Paraméterek!$B$38:$D$39,IF($D$2="Egyszeri",3,2))/12,IF($D$4="Forint",0,2))</f>
        <v>-2482</v>
      </c>
      <c r="T912" s="13"/>
      <c r="U912" s="13"/>
      <c r="V912" s="13">
        <f ca="1">$M912-$O912-$P912+$R912-$S912-IF(ROUNDUP(IF(ISBLANK($U912),$T912,$U912)/IF(AND($B912=1,$D$2&lt;&gt;"Egyszeri"),1,VLOOKUP($B912+IF($C912=12,1,0),Paraméterek!$B$257:$D$267,IF($D$2="Egyszeri",3,2))),IF($D$4="Forint",0,2))&gt;$M912-$O912-$P912+$R912-$S912-IF($D$4="Forint",Paraméterek!$C$216,Paraméterek!$D$216),0,ROUNDUP(IF(ISBLANK($U912),$T912,$U912)/IF(AND($B912=1,$D$2&lt;&gt;"Egyszeri"),1,VLOOKUP($B912+IF($C912=12,1,0),Paraméterek!$B$257:$D$267,IF($D$2="Egyszeri",3,2))),IF($D$4="Forint",0,2)))</f>
        <v>-1013951</v>
      </c>
      <c r="W912" s="13">
        <f ca="1">ROUNDDOWN($V912*VLOOKUP($B912+IF($C912=12,1,0),Paraméterek!$B$257:$D$267,IF($D$2="Egyszeri",3,2)),IF($D$4="Forint",0,2))</f>
        <v>-1013951</v>
      </c>
      <c r="Y912" s="32">
        <v>893</v>
      </c>
      <c r="Z912" s="32">
        <v>75</v>
      </c>
      <c r="AA912" s="32">
        <v>5</v>
      </c>
      <c r="AB912" s="13">
        <f t="shared" si="206"/>
        <v>0</v>
      </c>
      <c r="AC912" s="33"/>
      <c r="AD912" s="13">
        <f t="shared" si="202"/>
        <v>0</v>
      </c>
      <c r="AE912" s="13">
        <f>ROUNDUP(($AB912+$AD912)*VLOOKUP($Z912,Paraméterek!$P$38:$Q$38,2)/12,IF($D$4="Forint",0,2))</f>
        <v>0</v>
      </c>
      <c r="AF912" s="13">
        <f>IF($D$2="Egyszeri",IF($D$7&gt;=IF($D$4="Forint",Paraméterek!$P$223,Paraméterek!$P$224),$D$7-IF($D$4="Forint",Paraméterek!$F$223,Paraméterek!$F$224),0),MIN(IF($AA912=12,AVERAGE($D$20:$D912)*12,0),SUM($D$20:$D$31)))</f>
        <v>0</v>
      </c>
      <c r="AG912" s="13">
        <f>IF(AND($Z912&gt;=10,MOD($Z912,5)=0),$AF912*IF($AA912=12,VLOOKUP($Z912,Paraméterek!$B$225:$F$240,IF($AF912&lt;IF($D$4="Forint",Paraméterek!$C$223,Paraméterek!$C$224),2,IF($AF912&lt;IF($D$4="Forint",Paraméterek!$D$223,Paraméterek!$D$224),3,4))),0),0)</f>
        <v>0</v>
      </c>
      <c r="AH912" s="13">
        <f>IF(AND($Z912&gt;=5,MOD($Z912,5)=0),IF($AA912=12,VLOOKUP($Z912,Paraméterek!$B$225:$F$240,5),0),IF(OR($Z912=3,$Z912=4),IF($AA912=12,VLOOKUP($Z912,Paraméterek!$B$225:$F$240,5,0),0),0))*$AF912</f>
        <v>0</v>
      </c>
      <c r="AI912" s="13">
        <f>ROUNDDOWN(IF(SUM($T$20:$U912)=0,IF($D$2="Egyszeri",$AH912,$AG912),0),IF($D$4="Forint",0,2))</f>
        <v>0</v>
      </c>
      <c r="AJ912" s="13">
        <f t="shared" si="207"/>
        <v>0</v>
      </c>
      <c r="AK912" s="13">
        <f t="shared" si="208"/>
        <v>0</v>
      </c>
      <c r="AM912" s="32">
        <v>893</v>
      </c>
      <c r="AN912" s="32">
        <v>75</v>
      </c>
      <c r="AO912" s="32">
        <v>5</v>
      </c>
      <c r="AP912" s="13"/>
      <c r="AQ912" s="32"/>
      <c r="AR912" s="13">
        <f t="shared" si="209"/>
        <v>0</v>
      </c>
      <c r="AS912" s="33"/>
      <c r="AT912" s="13">
        <f t="shared" si="203"/>
        <v>0</v>
      </c>
      <c r="AU912" s="13">
        <f>ROUNDUP(($AR912+$AT912)*VLOOKUP($AN912,Paraméterek!$P$38:$Q$38,2)/12,IF($D$4="Forint",0,2))</f>
        <v>0</v>
      </c>
      <c r="AV912" s="13"/>
      <c r="AW912" s="13"/>
      <c r="AX912" s="13">
        <f>ROUNDUP(IF(SUM($AV912:$AW912)=0,0,IF(IF(ISBLANK($AW912),$AV912,$AW912)*Paraméterek!$J$112&lt;IF($D$4="Forint",Paraméterek!$J$113,Paraméterek!$K$113),IF($D$4="Forint",Paraméterek!$J$113,Paraméterek!$K$113),IF(IF(ISBLANK($AW912),$AV912,$AW912)*Paraméterek!$J$112&gt;IF($D$4="Forint",Paraméterek!$J$114,Paraméterek!$K$114),IF($D$4="Forint",Paraméterek!$J$114,Paraméterek!$K$114),IF(ISBLANK($AW912),$AV912,$AW912)*Paraméterek!$J$112))),IF($D$4="Forint",0,2))</f>
        <v>0</v>
      </c>
      <c r="AY912" s="13">
        <f>$AR912+$AT912-$AU912-IF(ROUNDDOWN(IF(ISBLANK($AW912),$AV912,$AW912),IF($D$4="Forint",0,2))&gt;$AR912+$AT912-$AU912-IF($D$4="Forint",Paraméterek!$J$114,Paraméterek!$K$114),0,ROUNDDOWN(IF(ISBLANK($AW912),$AV912,$AW912),IF($D$4="Forint",0,2))-$AX912)</f>
        <v>0</v>
      </c>
      <c r="AZ912" s="13">
        <f t="shared" si="204"/>
        <v>0</v>
      </c>
    </row>
    <row r="913" spans="1:52" x14ac:dyDescent="0.2">
      <c r="A913" s="32">
        <v>894</v>
      </c>
      <c r="B913" s="32">
        <v>75</v>
      </c>
      <c r="C913" s="32">
        <v>6</v>
      </c>
      <c r="D913" s="13">
        <f t="shared" si="195"/>
        <v>0</v>
      </c>
      <c r="E913" s="13"/>
      <c r="F913" s="13"/>
      <c r="G913" s="13"/>
      <c r="H913" s="13">
        <f t="shared" si="196"/>
        <v>0</v>
      </c>
      <c r="I913" s="13">
        <f t="shared" si="197"/>
        <v>0</v>
      </c>
      <c r="J913" s="13">
        <f t="shared" si="198"/>
        <v>0</v>
      </c>
      <c r="K913" s="13">
        <f>ROUNDUP(IF($D$2="Egyszeri",$D913,IF($D$2="Havi",SUM($D$20:$D$31),IF(MOD($C913,$M$1)-1=0,SUM($D$20:$D$31),0))/12*$M$1)*VLOOKUP($B913,Paraméterek!$B$27:$D$30,IF($D$2="Egyszeri",3,2)),IF($D$4="Forint",0,2))</f>
        <v>0</v>
      </c>
      <c r="L913" s="13">
        <f t="shared" si="199"/>
        <v>0</v>
      </c>
      <c r="M913" s="13">
        <f t="shared" ca="1" si="205"/>
        <v>-1013951</v>
      </c>
      <c r="N913" s="13">
        <f ca="1">IF($V912&gt;=VLOOKUP($M$4-1+$B913,Paraméterek!$B$121:$D$122,IF($D$4="Forint",2,3)),0,VLOOKUP($M$4-1+$B913,Paraméterek!$B$121:$D$122,IF($D$4="Forint",2,3))-$V912)</f>
        <v>1023951</v>
      </c>
      <c r="O913" s="13">
        <f ca="1">ROUNDUP($N913*Paraméterek!$C$58/Paraméterek!$C$56,IF($D$4="Forint",0,2))</f>
        <v>163</v>
      </c>
      <c r="P913" s="13">
        <f t="shared" si="200"/>
        <v>4902</v>
      </c>
      <c r="Q913" s="33"/>
      <c r="R913" s="13">
        <f t="shared" ca="1" si="201"/>
        <v>0</v>
      </c>
      <c r="S913" s="13">
        <f ca="1">ROUNDUP(($M913-$O913-$P913+$R913)*VLOOKUP($B913,Paraméterek!$B$38:$D$39,IF($D$2="Egyszeri",3,2))/12,IF($D$4="Forint",0,2))</f>
        <v>-2489</v>
      </c>
      <c r="T913" s="13"/>
      <c r="U913" s="13"/>
      <c r="V913" s="13">
        <f ca="1">$M913-$O913-$P913+$R913-$S913-IF(ROUNDUP(IF(ISBLANK($U913),$T913,$U913)/IF(AND($B913=1,$D$2&lt;&gt;"Egyszeri"),1,VLOOKUP($B913+IF($C913=12,1,0),Paraméterek!$B$257:$D$267,IF($D$2="Egyszeri",3,2))),IF($D$4="Forint",0,2))&gt;$M913-$O913-$P913+$R913-$S913-IF($D$4="Forint",Paraméterek!$C$216,Paraméterek!$D$216),0,ROUNDUP(IF(ISBLANK($U913),$T913,$U913)/IF(AND($B913=1,$D$2&lt;&gt;"Egyszeri"),1,VLOOKUP($B913+IF($C913=12,1,0),Paraméterek!$B$257:$D$267,IF($D$2="Egyszeri",3,2))),IF($D$4="Forint",0,2)))</f>
        <v>-1016527</v>
      </c>
      <c r="W913" s="13">
        <f ca="1">ROUNDDOWN($V913*VLOOKUP($B913+IF($C913=12,1,0),Paraméterek!$B$257:$D$267,IF($D$2="Egyszeri",3,2)),IF($D$4="Forint",0,2))</f>
        <v>-1016527</v>
      </c>
      <c r="Y913" s="32">
        <v>894</v>
      </c>
      <c r="Z913" s="32">
        <v>75</v>
      </c>
      <c r="AA913" s="32">
        <v>6</v>
      </c>
      <c r="AB913" s="13">
        <f t="shared" si="206"/>
        <v>0</v>
      </c>
      <c r="AC913" s="33"/>
      <c r="AD913" s="13">
        <f t="shared" si="202"/>
        <v>0</v>
      </c>
      <c r="AE913" s="13">
        <f>ROUNDUP(($AB913+$AD913)*VLOOKUP($Z913,Paraméterek!$P$38:$Q$38,2)/12,IF($D$4="Forint",0,2))</f>
        <v>0</v>
      </c>
      <c r="AF913" s="13">
        <f>IF($D$2="Egyszeri",IF($D$7&gt;=IF($D$4="Forint",Paraméterek!$P$223,Paraméterek!$P$224),$D$7-IF($D$4="Forint",Paraméterek!$F$223,Paraméterek!$F$224),0),MIN(IF($AA913=12,AVERAGE($D$20:$D913)*12,0),SUM($D$20:$D$31)))</f>
        <v>0</v>
      </c>
      <c r="AG913" s="13">
        <f>IF(AND($Z913&gt;=10,MOD($Z913,5)=0),$AF913*IF($AA913=12,VLOOKUP($Z913,Paraméterek!$B$225:$F$240,IF($AF913&lt;IF($D$4="Forint",Paraméterek!$C$223,Paraméterek!$C$224),2,IF($AF913&lt;IF($D$4="Forint",Paraméterek!$D$223,Paraméterek!$D$224),3,4))),0),0)</f>
        <v>0</v>
      </c>
      <c r="AH913" s="13">
        <f>IF(AND($Z913&gt;=5,MOD($Z913,5)=0),IF($AA913=12,VLOOKUP($Z913,Paraméterek!$B$225:$F$240,5),0),IF(OR($Z913=3,$Z913=4),IF($AA913=12,VLOOKUP($Z913,Paraméterek!$B$225:$F$240,5,0),0),0))*$AF913</f>
        <v>0</v>
      </c>
      <c r="AI913" s="13">
        <f>ROUNDDOWN(IF(SUM($T$20:$U913)=0,IF($D$2="Egyszeri",$AH913,$AG913),0),IF($D$4="Forint",0,2))</f>
        <v>0</v>
      </c>
      <c r="AJ913" s="13">
        <f t="shared" si="207"/>
        <v>0</v>
      </c>
      <c r="AK913" s="13">
        <f t="shared" si="208"/>
        <v>0</v>
      </c>
      <c r="AM913" s="32">
        <v>894</v>
      </c>
      <c r="AN913" s="32">
        <v>75</v>
      </c>
      <c r="AO913" s="32">
        <v>6</v>
      </c>
      <c r="AP913" s="13"/>
      <c r="AQ913" s="32"/>
      <c r="AR913" s="13">
        <f t="shared" si="209"/>
        <v>0</v>
      </c>
      <c r="AS913" s="33"/>
      <c r="AT913" s="13">
        <f t="shared" si="203"/>
        <v>0</v>
      </c>
      <c r="AU913" s="13">
        <f>ROUNDUP(($AR913+$AT913)*VLOOKUP($AN913,Paraméterek!$P$38:$Q$38,2)/12,IF($D$4="Forint",0,2))</f>
        <v>0</v>
      </c>
      <c r="AV913" s="13"/>
      <c r="AW913" s="13"/>
      <c r="AX913" s="13">
        <f>ROUNDUP(IF(SUM($AV913:$AW913)=0,0,IF(IF(ISBLANK($AW913),$AV913,$AW913)*Paraméterek!$J$112&lt;IF($D$4="Forint",Paraméterek!$J$113,Paraméterek!$K$113),IF($D$4="Forint",Paraméterek!$J$113,Paraméterek!$K$113),IF(IF(ISBLANK($AW913),$AV913,$AW913)*Paraméterek!$J$112&gt;IF($D$4="Forint",Paraméterek!$J$114,Paraméterek!$K$114),IF($D$4="Forint",Paraméterek!$J$114,Paraméterek!$K$114),IF(ISBLANK($AW913),$AV913,$AW913)*Paraméterek!$J$112))),IF($D$4="Forint",0,2))</f>
        <v>0</v>
      </c>
      <c r="AY913" s="13">
        <f>$AR913+$AT913-$AU913-IF(ROUNDDOWN(IF(ISBLANK($AW913),$AV913,$AW913),IF($D$4="Forint",0,2))&gt;$AR913+$AT913-$AU913-IF($D$4="Forint",Paraméterek!$J$114,Paraméterek!$K$114),0,ROUNDDOWN(IF(ISBLANK($AW913),$AV913,$AW913),IF($D$4="Forint",0,2))-$AX913)</f>
        <v>0</v>
      </c>
      <c r="AZ913" s="13">
        <f t="shared" si="204"/>
        <v>0</v>
      </c>
    </row>
    <row r="914" spans="1:52" x14ac:dyDescent="0.2">
      <c r="A914" s="32">
        <v>895</v>
      </c>
      <c r="B914" s="32">
        <v>75</v>
      </c>
      <c r="C914" s="32">
        <v>7</v>
      </c>
      <c r="D914" s="13">
        <f t="shared" si="195"/>
        <v>0</v>
      </c>
      <c r="E914" s="13"/>
      <c r="F914" s="13"/>
      <c r="G914" s="13"/>
      <c r="H914" s="13">
        <f t="shared" si="196"/>
        <v>0</v>
      </c>
      <c r="I914" s="13">
        <f t="shared" si="197"/>
        <v>0</v>
      </c>
      <c r="J914" s="13">
        <f t="shared" si="198"/>
        <v>0</v>
      </c>
      <c r="K914" s="13">
        <f>ROUNDUP(IF($D$2="Egyszeri",$D914,IF($D$2="Havi",SUM($D$20:$D$31),IF(MOD($C914,$M$1)-1=0,SUM($D$20:$D$31),0))/12*$M$1)*VLOOKUP($B914,Paraméterek!$B$27:$D$30,IF($D$2="Egyszeri",3,2)),IF($D$4="Forint",0,2))</f>
        <v>0</v>
      </c>
      <c r="L914" s="13">
        <f t="shared" si="199"/>
        <v>0</v>
      </c>
      <c r="M914" s="13">
        <f t="shared" ca="1" si="205"/>
        <v>-1016527</v>
      </c>
      <c r="N914" s="13">
        <f ca="1">IF($V913&gt;=VLOOKUP($M$4-1+$B914,Paraméterek!$B$121:$D$122,IF($D$4="Forint",2,3)),0,VLOOKUP($M$4-1+$B914,Paraméterek!$B$121:$D$122,IF($D$4="Forint",2,3))-$V913)</f>
        <v>1026527</v>
      </c>
      <c r="O914" s="13">
        <f ca="1">ROUNDUP($N914*Paraméterek!$C$58/Paraméterek!$C$56,IF($D$4="Forint",0,2))</f>
        <v>164</v>
      </c>
      <c r="P914" s="13">
        <f t="shared" si="200"/>
        <v>4902</v>
      </c>
      <c r="Q914" s="33"/>
      <c r="R914" s="13">
        <f t="shared" ca="1" si="201"/>
        <v>0</v>
      </c>
      <c r="S914" s="13">
        <f ca="1">ROUNDUP(($M914-$O914-$P914+$R914)*VLOOKUP($B914,Paraméterek!$B$38:$D$39,IF($D$2="Egyszeri",3,2))/12,IF($D$4="Forint",0,2))</f>
        <v>-2495</v>
      </c>
      <c r="T914" s="13"/>
      <c r="U914" s="13"/>
      <c r="V914" s="13">
        <f ca="1">$M914-$O914-$P914+$R914-$S914-IF(ROUNDUP(IF(ISBLANK($U914),$T914,$U914)/IF(AND($B914=1,$D$2&lt;&gt;"Egyszeri"),1,VLOOKUP($B914+IF($C914=12,1,0),Paraméterek!$B$257:$D$267,IF($D$2="Egyszeri",3,2))),IF($D$4="Forint",0,2))&gt;$M914-$O914-$P914+$R914-$S914-IF($D$4="Forint",Paraméterek!$C$216,Paraméterek!$D$216),0,ROUNDUP(IF(ISBLANK($U914),$T914,$U914)/IF(AND($B914=1,$D$2&lt;&gt;"Egyszeri"),1,VLOOKUP($B914+IF($C914=12,1,0),Paraméterek!$B$257:$D$267,IF($D$2="Egyszeri",3,2))),IF($D$4="Forint",0,2)))</f>
        <v>-1019098</v>
      </c>
      <c r="W914" s="13">
        <f ca="1">ROUNDDOWN($V914*VLOOKUP($B914+IF($C914=12,1,0),Paraméterek!$B$257:$D$267,IF($D$2="Egyszeri",3,2)),IF($D$4="Forint",0,2))</f>
        <v>-1019098</v>
      </c>
      <c r="Y914" s="32">
        <v>895</v>
      </c>
      <c r="Z914" s="32">
        <v>75</v>
      </c>
      <c r="AA914" s="32">
        <v>7</v>
      </c>
      <c r="AB914" s="13">
        <f t="shared" si="206"/>
        <v>0</v>
      </c>
      <c r="AC914" s="33"/>
      <c r="AD914" s="13">
        <f t="shared" si="202"/>
        <v>0</v>
      </c>
      <c r="AE914" s="13">
        <f>ROUNDUP(($AB914+$AD914)*VLOOKUP($Z914,Paraméterek!$P$38:$Q$38,2)/12,IF($D$4="Forint",0,2))</f>
        <v>0</v>
      </c>
      <c r="AF914" s="13">
        <f>IF($D$2="Egyszeri",IF($D$7&gt;=IF($D$4="Forint",Paraméterek!$P$223,Paraméterek!$P$224),$D$7-IF($D$4="Forint",Paraméterek!$F$223,Paraméterek!$F$224),0),MIN(IF($AA914=12,AVERAGE($D$20:$D914)*12,0),SUM($D$20:$D$31)))</f>
        <v>0</v>
      </c>
      <c r="AG914" s="13">
        <f>IF(AND($Z914&gt;=10,MOD($Z914,5)=0),$AF914*IF($AA914=12,VLOOKUP($Z914,Paraméterek!$B$225:$F$240,IF($AF914&lt;IF($D$4="Forint",Paraméterek!$C$223,Paraméterek!$C$224),2,IF($AF914&lt;IF($D$4="Forint",Paraméterek!$D$223,Paraméterek!$D$224),3,4))),0),0)</f>
        <v>0</v>
      </c>
      <c r="AH914" s="13">
        <f>IF(AND($Z914&gt;=5,MOD($Z914,5)=0),IF($AA914=12,VLOOKUP($Z914,Paraméterek!$B$225:$F$240,5),0),IF(OR($Z914=3,$Z914=4),IF($AA914=12,VLOOKUP($Z914,Paraméterek!$B$225:$F$240,5,0),0),0))*$AF914</f>
        <v>0</v>
      </c>
      <c r="AI914" s="13">
        <f>ROUNDDOWN(IF(SUM($T$20:$U914)=0,IF($D$2="Egyszeri",$AH914,$AG914),0),IF($D$4="Forint",0,2))</f>
        <v>0</v>
      </c>
      <c r="AJ914" s="13">
        <f t="shared" si="207"/>
        <v>0</v>
      </c>
      <c r="AK914" s="13">
        <f t="shared" si="208"/>
        <v>0</v>
      </c>
      <c r="AM914" s="32">
        <v>895</v>
      </c>
      <c r="AN914" s="32">
        <v>75</v>
      </c>
      <c r="AO914" s="32">
        <v>7</v>
      </c>
      <c r="AP914" s="13"/>
      <c r="AQ914" s="32"/>
      <c r="AR914" s="13">
        <f t="shared" si="209"/>
        <v>0</v>
      </c>
      <c r="AS914" s="33"/>
      <c r="AT914" s="13">
        <f t="shared" si="203"/>
        <v>0</v>
      </c>
      <c r="AU914" s="13">
        <f>ROUNDUP(($AR914+$AT914)*VLOOKUP($AN914,Paraméterek!$P$38:$Q$38,2)/12,IF($D$4="Forint",0,2))</f>
        <v>0</v>
      </c>
      <c r="AV914" s="13"/>
      <c r="AW914" s="13"/>
      <c r="AX914" s="13">
        <f>ROUNDUP(IF(SUM($AV914:$AW914)=0,0,IF(IF(ISBLANK($AW914),$AV914,$AW914)*Paraméterek!$J$112&lt;IF($D$4="Forint",Paraméterek!$J$113,Paraméterek!$K$113),IF($D$4="Forint",Paraméterek!$J$113,Paraméterek!$K$113),IF(IF(ISBLANK($AW914),$AV914,$AW914)*Paraméterek!$J$112&gt;IF($D$4="Forint",Paraméterek!$J$114,Paraméterek!$K$114),IF($D$4="Forint",Paraméterek!$J$114,Paraméterek!$K$114),IF(ISBLANK($AW914),$AV914,$AW914)*Paraméterek!$J$112))),IF($D$4="Forint",0,2))</f>
        <v>0</v>
      </c>
      <c r="AY914" s="13">
        <f>$AR914+$AT914-$AU914-IF(ROUNDDOWN(IF(ISBLANK($AW914),$AV914,$AW914),IF($D$4="Forint",0,2))&gt;$AR914+$AT914-$AU914-IF($D$4="Forint",Paraméterek!$J$114,Paraméterek!$K$114),0,ROUNDDOWN(IF(ISBLANK($AW914),$AV914,$AW914),IF($D$4="Forint",0,2))-$AX914)</f>
        <v>0</v>
      </c>
      <c r="AZ914" s="13">
        <f t="shared" si="204"/>
        <v>0</v>
      </c>
    </row>
    <row r="915" spans="1:52" x14ac:dyDescent="0.2">
      <c r="A915" s="32">
        <v>896</v>
      </c>
      <c r="B915" s="32">
        <v>75</v>
      </c>
      <c r="C915" s="32">
        <v>8</v>
      </c>
      <c r="D915" s="13">
        <f t="shared" si="195"/>
        <v>0</v>
      </c>
      <c r="E915" s="13"/>
      <c r="F915" s="13"/>
      <c r="G915" s="13"/>
      <c r="H915" s="13">
        <f t="shared" si="196"/>
        <v>0</v>
      </c>
      <c r="I915" s="13">
        <f t="shared" si="197"/>
        <v>0</v>
      </c>
      <c r="J915" s="13">
        <f t="shared" si="198"/>
        <v>0</v>
      </c>
      <c r="K915" s="13">
        <f>ROUNDUP(IF($D$2="Egyszeri",$D915,IF($D$2="Havi",SUM($D$20:$D$31),IF(MOD($C915,$M$1)-1=0,SUM($D$20:$D$31),0))/12*$M$1)*VLOOKUP($B915,Paraméterek!$B$27:$D$30,IF($D$2="Egyszeri",3,2)),IF($D$4="Forint",0,2))</f>
        <v>0</v>
      </c>
      <c r="L915" s="13">
        <f t="shared" si="199"/>
        <v>0</v>
      </c>
      <c r="M915" s="13">
        <f t="shared" ca="1" si="205"/>
        <v>-1019098</v>
      </c>
      <c r="N915" s="13">
        <f ca="1">IF($V914&gt;=VLOOKUP($M$4-1+$B915,Paraméterek!$B$121:$D$122,IF($D$4="Forint",2,3)),0,VLOOKUP($M$4-1+$B915,Paraméterek!$B$121:$D$122,IF($D$4="Forint",2,3))-$V914)</f>
        <v>1029098</v>
      </c>
      <c r="O915" s="13">
        <f ca="1">ROUNDUP($N915*Paraméterek!$C$58/Paraméterek!$C$56,IF($D$4="Forint",0,2))</f>
        <v>164</v>
      </c>
      <c r="P915" s="13">
        <f t="shared" si="200"/>
        <v>4902</v>
      </c>
      <c r="Q915" s="33"/>
      <c r="R915" s="13">
        <f t="shared" ca="1" si="201"/>
        <v>0</v>
      </c>
      <c r="S915" s="13">
        <f ca="1">ROUNDUP(($M915-$O915-$P915+$R915)*VLOOKUP($B915,Paraméterek!$B$38:$D$39,IF($D$2="Egyszeri",3,2))/12,IF($D$4="Forint",0,2))</f>
        <v>-2501</v>
      </c>
      <c r="T915" s="13"/>
      <c r="U915" s="13"/>
      <c r="V915" s="13">
        <f ca="1">$M915-$O915-$P915+$R915-$S915-IF(ROUNDUP(IF(ISBLANK($U915),$T915,$U915)/IF(AND($B915=1,$D$2&lt;&gt;"Egyszeri"),1,VLOOKUP($B915+IF($C915=12,1,0),Paraméterek!$B$257:$D$267,IF($D$2="Egyszeri",3,2))),IF($D$4="Forint",0,2))&gt;$M915-$O915-$P915+$R915-$S915-IF($D$4="Forint",Paraméterek!$C$216,Paraméterek!$D$216),0,ROUNDUP(IF(ISBLANK($U915),$T915,$U915)/IF(AND($B915=1,$D$2&lt;&gt;"Egyszeri"),1,VLOOKUP($B915+IF($C915=12,1,0),Paraméterek!$B$257:$D$267,IF($D$2="Egyszeri",3,2))),IF($D$4="Forint",0,2)))</f>
        <v>-1021663</v>
      </c>
      <c r="W915" s="13">
        <f ca="1">ROUNDDOWN($V915*VLOOKUP($B915+IF($C915=12,1,0),Paraméterek!$B$257:$D$267,IF($D$2="Egyszeri",3,2)),IF($D$4="Forint",0,2))</f>
        <v>-1021663</v>
      </c>
      <c r="Y915" s="32">
        <v>896</v>
      </c>
      <c r="Z915" s="32">
        <v>75</v>
      </c>
      <c r="AA915" s="32">
        <v>8</v>
      </c>
      <c r="AB915" s="13">
        <f t="shared" si="206"/>
        <v>0</v>
      </c>
      <c r="AC915" s="33"/>
      <c r="AD915" s="13">
        <f t="shared" si="202"/>
        <v>0</v>
      </c>
      <c r="AE915" s="13">
        <f>ROUNDUP(($AB915+$AD915)*VLOOKUP($Z915,Paraméterek!$P$38:$Q$38,2)/12,IF($D$4="Forint",0,2))</f>
        <v>0</v>
      </c>
      <c r="AF915" s="13">
        <f>IF($D$2="Egyszeri",IF($D$7&gt;=IF($D$4="Forint",Paraméterek!$P$223,Paraméterek!$P$224),$D$7-IF($D$4="Forint",Paraméterek!$F$223,Paraméterek!$F$224),0),MIN(IF($AA915=12,AVERAGE($D$20:$D915)*12,0),SUM($D$20:$D$31)))</f>
        <v>0</v>
      </c>
      <c r="AG915" s="13">
        <f>IF(AND($Z915&gt;=10,MOD($Z915,5)=0),$AF915*IF($AA915=12,VLOOKUP($Z915,Paraméterek!$B$225:$F$240,IF($AF915&lt;IF($D$4="Forint",Paraméterek!$C$223,Paraméterek!$C$224),2,IF($AF915&lt;IF($D$4="Forint",Paraméterek!$D$223,Paraméterek!$D$224),3,4))),0),0)</f>
        <v>0</v>
      </c>
      <c r="AH915" s="13">
        <f>IF(AND($Z915&gt;=5,MOD($Z915,5)=0),IF($AA915=12,VLOOKUP($Z915,Paraméterek!$B$225:$F$240,5),0),IF(OR($Z915=3,$Z915=4),IF($AA915=12,VLOOKUP($Z915,Paraméterek!$B$225:$F$240,5,0),0),0))*$AF915</f>
        <v>0</v>
      </c>
      <c r="AI915" s="13">
        <f>ROUNDDOWN(IF(SUM($T$20:$U915)=0,IF($D$2="Egyszeri",$AH915,$AG915),0),IF($D$4="Forint",0,2))</f>
        <v>0</v>
      </c>
      <c r="AJ915" s="13">
        <f t="shared" si="207"/>
        <v>0</v>
      </c>
      <c r="AK915" s="13">
        <f t="shared" si="208"/>
        <v>0</v>
      </c>
      <c r="AM915" s="32">
        <v>896</v>
      </c>
      <c r="AN915" s="32">
        <v>75</v>
      </c>
      <c r="AO915" s="32">
        <v>8</v>
      </c>
      <c r="AP915" s="13"/>
      <c r="AQ915" s="32"/>
      <c r="AR915" s="13">
        <f t="shared" si="209"/>
        <v>0</v>
      </c>
      <c r="AS915" s="33"/>
      <c r="AT915" s="13">
        <f t="shared" si="203"/>
        <v>0</v>
      </c>
      <c r="AU915" s="13">
        <f>ROUNDUP(($AR915+$AT915)*VLOOKUP($AN915,Paraméterek!$P$38:$Q$38,2)/12,IF($D$4="Forint",0,2))</f>
        <v>0</v>
      </c>
      <c r="AV915" s="13"/>
      <c r="AW915" s="13"/>
      <c r="AX915" s="13">
        <f>ROUNDUP(IF(SUM($AV915:$AW915)=0,0,IF(IF(ISBLANK($AW915),$AV915,$AW915)*Paraméterek!$J$112&lt;IF($D$4="Forint",Paraméterek!$J$113,Paraméterek!$K$113),IF($D$4="Forint",Paraméterek!$J$113,Paraméterek!$K$113),IF(IF(ISBLANK($AW915),$AV915,$AW915)*Paraméterek!$J$112&gt;IF($D$4="Forint",Paraméterek!$J$114,Paraméterek!$K$114),IF($D$4="Forint",Paraméterek!$J$114,Paraméterek!$K$114),IF(ISBLANK($AW915),$AV915,$AW915)*Paraméterek!$J$112))),IF($D$4="Forint",0,2))</f>
        <v>0</v>
      </c>
      <c r="AY915" s="13">
        <f>$AR915+$AT915-$AU915-IF(ROUNDDOWN(IF(ISBLANK($AW915),$AV915,$AW915),IF($D$4="Forint",0,2))&gt;$AR915+$AT915-$AU915-IF($D$4="Forint",Paraméterek!$J$114,Paraméterek!$K$114),0,ROUNDDOWN(IF(ISBLANK($AW915),$AV915,$AW915),IF($D$4="Forint",0,2))-$AX915)</f>
        <v>0</v>
      </c>
      <c r="AZ915" s="13">
        <f t="shared" si="204"/>
        <v>0</v>
      </c>
    </row>
    <row r="916" spans="1:52" x14ac:dyDescent="0.2">
      <c r="A916" s="32">
        <v>897</v>
      </c>
      <c r="B916" s="32">
        <v>75</v>
      </c>
      <c r="C916" s="32">
        <v>9</v>
      </c>
      <c r="D916" s="13">
        <f t="shared" si="195"/>
        <v>0</v>
      </c>
      <c r="E916" s="13"/>
      <c r="F916" s="13"/>
      <c r="G916" s="13"/>
      <c r="H916" s="13">
        <f t="shared" si="196"/>
        <v>0</v>
      </c>
      <c r="I916" s="13">
        <f t="shared" si="197"/>
        <v>0</v>
      </c>
      <c r="J916" s="13">
        <f t="shared" si="198"/>
        <v>0</v>
      </c>
      <c r="K916" s="13">
        <f>ROUNDUP(IF($D$2="Egyszeri",$D916,IF($D$2="Havi",SUM($D$20:$D$31),IF(MOD($C916,$M$1)-1=0,SUM($D$20:$D$31),0))/12*$M$1)*VLOOKUP($B916,Paraméterek!$B$27:$D$30,IF($D$2="Egyszeri",3,2)),IF($D$4="Forint",0,2))</f>
        <v>0</v>
      </c>
      <c r="L916" s="13">
        <f t="shared" si="199"/>
        <v>0</v>
      </c>
      <c r="M916" s="13">
        <f t="shared" ca="1" si="205"/>
        <v>-1021663</v>
      </c>
      <c r="N916" s="13">
        <f ca="1">IF($V915&gt;=VLOOKUP($M$4-1+$B916,Paraméterek!$B$121:$D$122,IF($D$4="Forint",2,3)),0,VLOOKUP($M$4-1+$B916,Paraméterek!$B$121:$D$122,IF($D$4="Forint",2,3))-$V915)</f>
        <v>1031663</v>
      </c>
      <c r="O916" s="13">
        <f ca="1">ROUNDUP($N916*Paraméterek!$C$58/Paraméterek!$C$56,IF($D$4="Forint",0,2))</f>
        <v>165</v>
      </c>
      <c r="P916" s="13">
        <f t="shared" si="200"/>
        <v>4902</v>
      </c>
      <c r="Q916" s="33"/>
      <c r="R916" s="13">
        <f t="shared" ca="1" si="201"/>
        <v>0</v>
      </c>
      <c r="S916" s="13">
        <f ca="1">ROUNDUP(($M916-$O916-$P916+$R916)*VLOOKUP($B916,Paraméterek!$B$38:$D$39,IF($D$2="Egyszeri",3,2))/12,IF($D$4="Forint",0,2))</f>
        <v>-2507</v>
      </c>
      <c r="T916" s="13"/>
      <c r="U916" s="13"/>
      <c r="V916" s="13">
        <f ca="1">$M916-$O916-$P916+$R916-$S916-IF(ROUNDUP(IF(ISBLANK($U916),$T916,$U916)/IF(AND($B916=1,$D$2&lt;&gt;"Egyszeri"),1,VLOOKUP($B916+IF($C916=12,1,0),Paraméterek!$B$257:$D$267,IF($D$2="Egyszeri",3,2))),IF($D$4="Forint",0,2))&gt;$M916-$O916-$P916+$R916-$S916-IF($D$4="Forint",Paraméterek!$C$216,Paraméterek!$D$216),0,ROUNDUP(IF(ISBLANK($U916),$T916,$U916)/IF(AND($B916=1,$D$2&lt;&gt;"Egyszeri"),1,VLOOKUP($B916+IF($C916=12,1,0),Paraméterek!$B$257:$D$267,IF($D$2="Egyszeri",3,2))),IF($D$4="Forint",0,2)))</f>
        <v>-1024223</v>
      </c>
      <c r="W916" s="13">
        <f ca="1">ROUNDDOWN($V916*VLOOKUP($B916+IF($C916=12,1,0),Paraméterek!$B$257:$D$267,IF($D$2="Egyszeri",3,2)),IF($D$4="Forint",0,2))</f>
        <v>-1024223</v>
      </c>
      <c r="Y916" s="32">
        <v>897</v>
      </c>
      <c r="Z916" s="32">
        <v>75</v>
      </c>
      <c r="AA916" s="32">
        <v>9</v>
      </c>
      <c r="AB916" s="13">
        <f t="shared" si="206"/>
        <v>0</v>
      </c>
      <c r="AC916" s="33"/>
      <c r="AD916" s="13">
        <f t="shared" si="202"/>
        <v>0</v>
      </c>
      <c r="AE916" s="13">
        <f>ROUNDUP(($AB916+$AD916)*VLOOKUP($Z916,Paraméterek!$P$38:$Q$38,2)/12,IF($D$4="Forint",0,2))</f>
        <v>0</v>
      </c>
      <c r="AF916" s="13">
        <f>IF($D$2="Egyszeri",IF($D$7&gt;=IF($D$4="Forint",Paraméterek!$P$223,Paraméterek!$P$224),$D$7-IF($D$4="Forint",Paraméterek!$F$223,Paraméterek!$F$224),0),MIN(IF($AA916=12,AVERAGE($D$20:$D916)*12,0),SUM($D$20:$D$31)))</f>
        <v>0</v>
      </c>
      <c r="AG916" s="13">
        <f>IF(AND($Z916&gt;=10,MOD($Z916,5)=0),$AF916*IF($AA916=12,VLOOKUP($Z916,Paraméterek!$B$225:$F$240,IF($AF916&lt;IF($D$4="Forint",Paraméterek!$C$223,Paraméterek!$C$224),2,IF($AF916&lt;IF($D$4="Forint",Paraméterek!$D$223,Paraméterek!$D$224),3,4))),0),0)</f>
        <v>0</v>
      </c>
      <c r="AH916" s="13">
        <f>IF(AND($Z916&gt;=5,MOD($Z916,5)=0),IF($AA916=12,VLOOKUP($Z916,Paraméterek!$B$225:$F$240,5),0),IF(OR($Z916=3,$Z916=4),IF($AA916=12,VLOOKUP($Z916,Paraméterek!$B$225:$F$240,5,0),0),0))*$AF916</f>
        <v>0</v>
      </c>
      <c r="AI916" s="13">
        <f>ROUNDDOWN(IF(SUM($T$20:$U916)=0,IF($D$2="Egyszeri",$AH916,$AG916),0),IF($D$4="Forint",0,2))</f>
        <v>0</v>
      </c>
      <c r="AJ916" s="13">
        <f t="shared" si="207"/>
        <v>0</v>
      </c>
      <c r="AK916" s="13">
        <f t="shared" si="208"/>
        <v>0</v>
      </c>
      <c r="AM916" s="32">
        <v>897</v>
      </c>
      <c r="AN916" s="32">
        <v>75</v>
      </c>
      <c r="AO916" s="32">
        <v>9</v>
      </c>
      <c r="AP916" s="13"/>
      <c r="AQ916" s="32"/>
      <c r="AR916" s="13">
        <f t="shared" si="209"/>
        <v>0</v>
      </c>
      <c r="AS916" s="33"/>
      <c r="AT916" s="13">
        <f t="shared" si="203"/>
        <v>0</v>
      </c>
      <c r="AU916" s="13">
        <f>ROUNDUP(($AR916+$AT916)*VLOOKUP($AN916,Paraméterek!$P$38:$Q$38,2)/12,IF($D$4="Forint",0,2))</f>
        <v>0</v>
      </c>
      <c r="AV916" s="13"/>
      <c r="AW916" s="13"/>
      <c r="AX916" s="13">
        <f>ROUNDUP(IF(SUM($AV916:$AW916)=0,0,IF(IF(ISBLANK($AW916),$AV916,$AW916)*Paraméterek!$J$112&lt;IF($D$4="Forint",Paraméterek!$J$113,Paraméterek!$K$113),IF($D$4="Forint",Paraméterek!$J$113,Paraméterek!$K$113),IF(IF(ISBLANK($AW916),$AV916,$AW916)*Paraméterek!$J$112&gt;IF($D$4="Forint",Paraméterek!$J$114,Paraméterek!$K$114),IF($D$4="Forint",Paraméterek!$J$114,Paraméterek!$K$114),IF(ISBLANK($AW916),$AV916,$AW916)*Paraméterek!$J$112))),IF($D$4="Forint",0,2))</f>
        <v>0</v>
      </c>
      <c r="AY916" s="13">
        <f>$AR916+$AT916-$AU916-IF(ROUNDDOWN(IF(ISBLANK($AW916),$AV916,$AW916),IF($D$4="Forint",0,2))&gt;$AR916+$AT916-$AU916-IF($D$4="Forint",Paraméterek!$J$114,Paraméterek!$K$114),0,ROUNDDOWN(IF(ISBLANK($AW916),$AV916,$AW916),IF($D$4="Forint",0,2))-$AX916)</f>
        <v>0</v>
      </c>
      <c r="AZ916" s="13">
        <f t="shared" si="204"/>
        <v>0</v>
      </c>
    </row>
    <row r="917" spans="1:52" x14ac:dyDescent="0.2">
      <c r="A917" s="32">
        <v>898</v>
      </c>
      <c r="B917" s="32">
        <v>75</v>
      </c>
      <c r="C917" s="32">
        <v>10</v>
      </c>
      <c r="D917" s="13">
        <f t="shared" ref="D917:D980" si="210">IF($D$2="Egyszeri",IF($A917=1,$D$7,0),ROUNDUP(IF($D$2="Havi",$D$7,IF(MOD($C917,$M$1)-1=0,$D$7,0))*(1+$D$6)^($B917-1),IF($D$4="Forint",0,2)))</f>
        <v>0</v>
      </c>
      <c r="E917" s="13"/>
      <c r="F917" s="13"/>
      <c r="G917" s="13"/>
      <c r="H917" s="13">
        <f t="shared" ref="H917:H980" si="211">ROUNDUP(IF(AND($D$8="Nincs",$D$2&lt;&gt;"Egyszeri"),$D917*10%,0),IF($D$4="Forint",0,2))</f>
        <v>0</v>
      </c>
      <c r="I917" s="13">
        <f t="shared" ref="I917:I980" si="212">IF($D$2="Egyszeri",IF($A917=1,$M$3,0),ROUNDUP(IF($D$2="Havi",$M$3,IF(MOD($C917,$M$1)-1=0,$M$3,0))*(1+$M$2)^($B917-1),IF($D$4="Forint",0,2)))</f>
        <v>0</v>
      </c>
      <c r="J917" s="13">
        <f t="shared" ref="J917:J980" si="213">IF(ISBLANK($E917),$D917,$E917)+IF(ISBLANK($G917),$F917,$G917)+$H917+$I917</f>
        <v>0</v>
      </c>
      <c r="K917" s="13">
        <f>ROUNDUP(IF($D$2="Egyszeri",$D917,IF($D$2="Havi",SUM($D$20:$D$31),IF(MOD($C917,$M$1)-1=0,SUM($D$20:$D$31),0))/12*$M$1)*VLOOKUP($B917,Paraméterek!$B$27:$D$30,IF($D$2="Egyszeri",3,2)),IF($D$4="Forint",0,2))</f>
        <v>0</v>
      </c>
      <c r="L917" s="13">
        <f t="shared" ref="L917:L980" si="214">$D917-$K917+IF(ISBLANK($G917),$F917,$G917)</f>
        <v>0</v>
      </c>
      <c r="M917" s="13">
        <f t="shared" ca="1" si="205"/>
        <v>-1024223</v>
      </c>
      <c r="N917" s="13">
        <f ca="1">IF($V916&gt;=VLOOKUP($M$4-1+$B917,Paraméterek!$B$121:$D$122,IF($D$4="Forint",2,3)),0,VLOOKUP($M$4-1+$B917,Paraméterek!$B$121:$D$122,IF($D$4="Forint",2,3))-$V916)</f>
        <v>1034223</v>
      </c>
      <c r="O917" s="13">
        <f ca="1">ROUNDUP($N917*Paraméterek!$C$58/Paraméterek!$C$56,IF($D$4="Forint",0,2))</f>
        <v>165</v>
      </c>
      <c r="P917" s="13">
        <f t="shared" ref="P917:P980" si="215">ROUNDUP($M$5*(1+$M$2)^($B917-1),IF($D$4="Forint",0,2))</f>
        <v>4902</v>
      </c>
      <c r="Q917" s="33"/>
      <c r="R917" s="13">
        <f t="shared" ref="R917:R980" ca="1" si="216">ROUNDDOWN(($M917-$O917-$P917)*IF(ISBLANK($Q917),$M$6,$Q917),IF($D$4="Forint",0,2))</f>
        <v>0</v>
      </c>
      <c r="S917" s="13">
        <f ca="1">ROUNDUP(($M917-$O917-$P917+$R917)*VLOOKUP($B917,Paraméterek!$B$38:$D$39,IF($D$2="Egyszeri",3,2))/12,IF($D$4="Forint",0,2))</f>
        <v>-2514</v>
      </c>
      <c r="T917" s="13"/>
      <c r="U917" s="13"/>
      <c r="V917" s="13">
        <f ca="1">$M917-$O917-$P917+$R917-$S917-IF(ROUNDUP(IF(ISBLANK($U917),$T917,$U917)/IF(AND($B917=1,$D$2&lt;&gt;"Egyszeri"),1,VLOOKUP($B917+IF($C917=12,1,0),Paraméterek!$B$257:$D$267,IF($D$2="Egyszeri",3,2))),IF($D$4="Forint",0,2))&gt;$M917-$O917-$P917+$R917-$S917-IF($D$4="Forint",Paraméterek!$C$216,Paraméterek!$D$216),0,ROUNDUP(IF(ISBLANK($U917),$T917,$U917)/IF(AND($B917=1,$D$2&lt;&gt;"Egyszeri"),1,VLOOKUP($B917+IF($C917=12,1,0),Paraméterek!$B$257:$D$267,IF($D$2="Egyszeri",3,2))),IF($D$4="Forint",0,2)))</f>
        <v>-1026776</v>
      </c>
      <c r="W917" s="13">
        <f ca="1">ROUNDDOWN($V917*VLOOKUP($B917+IF($C917=12,1,0),Paraméterek!$B$257:$D$267,IF($D$2="Egyszeri",3,2)),IF($D$4="Forint",0,2))</f>
        <v>-1026776</v>
      </c>
      <c r="Y917" s="32">
        <v>898</v>
      </c>
      <c r="Z917" s="32">
        <v>75</v>
      </c>
      <c r="AA917" s="32">
        <v>10</v>
      </c>
      <c r="AB917" s="13">
        <f t="shared" si="206"/>
        <v>0</v>
      </c>
      <c r="AC917" s="33"/>
      <c r="AD917" s="13">
        <f t="shared" ref="AD917:AD980" si="217">ROUNDDOWN($AB917*IF(ISBLANK($AC917),$M$8,$AC917),IF($D$4="Forint",0,2))</f>
        <v>0</v>
      </c>
      <c r="AE917" s="13">
        <f>ROUNDUP(($AB917+$AD917)*VLOOKUP($Z917,Paraméterek!$P$38:$Q$38,2)/12,IF($D$4="Forint",0,2))</f>
        <v>0</v>
      </c>
      <c r="AF917" s="13">
        <f>IF($D$2="Egyszeri",IF($D$7&gt;=IF($D$4="Forint",Paraméterek!$P$223,Paraméterek!$P$224),$D$7-IF($D$4="Forint",Paraméterek!$F$223,Paraméterek!$F$224),0),MIN(IF($AA917=12,AVERAGE($D$20:$D917)*12,0),SUM($D$20:$D$31)))</f>
        <v>0</v>
      </c>
      <c r="AG917" s="13">
        <f>IF(AND($Z917&gt;=10,MOD($Z917,5)=0),$AF917*IF($AA917=12,VLOOKUP($Z917,Paraméterek!$B$225:$F$240,IF($AF917&lt;IF($D$4="Forint",Paraméterek!$C$223,Paraméterek!$C$224),2,IF($AF917&lt;IF($D$4="Forint",Paraméterek!$D$223,Paraméterek!$D$224),3,4))),0),0)</f>
        <v>0</v>
      </c>
      <c r="AH917" s="13">
        <f>IF(AND($Z917&gt;=5,MOD($Z917,5)=0),IF($AA917=12,VLOOKUP($Z917,Paraméterek!$B$225:$F$240,5),0),IF(OR($Z917=3,$Z917=4),IF($AA917=12,VLOOKUP($Z917,Paraméterek!$B$225:$F$240,5,0),0),0))*$AF917</f>
        <v>0</v>
      </c>
      <c r="AI917" s="13">
        <f>ROUNDDOWN(IF(SUM($T$20:$U917)=0,IF($D$2="Egyszeri",$AH917,$AG917),0),IF($D$4="Forint",0,2))</f>
        <v>0</v>
      </c>
      <c r="AJ917" s="13">
        <f t="shared" si="207"/>
        <v>0</v>
      </c>
      <c r="AK917" s="13">
        <f t="shared" si="208"/>
        <v>0</v>
      </c>
      <c r="AM917" s="32">
        <v>898</v>
      </c>
      <c r="AN917" s="32">
        <v>75</v>
      </c>
      <c r="AO917" s="32">
        <v>10</v>
      </c>
      <c r="AP917" s="13"/>
      <c r="AQ917" s="32"/>
      <c r="AR917" s="13">
        <f t="shared" si="209"/>
        <v>0</v>
      </c>
      <c r="AS917" s="33"/>
      <c r="AT917" s="13">
        <f t="shared" ref="AT917:AT980" si="218">ROUNDDOWN($AR917*IF(ISBLANK($AS917),$M$7,$AS917),IF($D$4="Forint",0,2))</f>
        <v>0</v>
      </c>
      <c r="AU917" s="13">
        <f>ROUNDUP(($AR917+$AT917)*VLOOKUP($AN917,Paraméterek!$P$38:$Q$38,2)/12,IF($D$4="Forint",0,2))</f>
        <v>0</v>
      </c>
      <c r="AV917" s="13"/>
      <c r="AW917" s="13"/>
      <c r="AX917" s="13">
        <f>ROUNDUP(IF(SUM($AV917:$AW917)=0,0,IF(IF(ISBLANK($AW917),$AV917,$AW917)*Paraméterek!$J$112&lt;IF($D$4="Forint",Paraméterek!$J$113,Paraméterek!$K$113),IF($D$4="Forint",Paraméterek!$J$113,Paraméterek!$K$113),IF(IF(ISBLANK($AW917),$AV917,$AW917)*Paraméterek!$J$112&gt;IF($D$4="Forint",Paraméterek!$J$114,Paraméterek!$K$114),IF($D$4="Forint",Paraméterek!$J$114,Paraméterek!$K$114),IF(ISBLANK($AW917),$AV917,$AW917)*Paraméterek!$J$112))),IF($D$4="Forint",0,2))</f>
        <v>0</v>
      </c>
      <c r="AY917" s="13">
        <f>$AR917+$AT917-$AU917-IF(ROUNDDOWN(IF(ISBLANK($AW917),$AV917,$AW917),IF($D$4="Forint",0,2))&gt;$AR917+$AT917-$AU917-IF($D$4="Forint",Paraméterek!$J$114,Paraméterek!$K$114),0,ROUNDDOWN(IF(ISBLANK($AW917),$AV917,$AW917),IF($D$4="Forint",0,2))-$AX917)</f>
        <v>0</v>
      </c>
      <c r="AZ917" s="13">
        <f t="shared" ref="AZ917:AZ980" si="219">$AY917</f>
        <v>0</v>
      </c>
    </row>
    <row r="918" spans="1:52" x14ac:dyDescent="0.2">
      <c r="A918" s="32">
        <v>899</v>
      </c>
      <c r="B918" s="32">
        <v>75</v>
      </c>
      <c r="C918" s="32">
        <v>11</v>
      </c>
      <c r="D918" s="13">
        <f t="shared" si="210"/>
        <v>0</v>
      </c>
      <c r="E918" s="13"/>
      <c r="F918" s="13"/>
      <c r="G918" s="13"/>
      <c r="H918" s="13">
        <f t="shared" si="211"/>
        <v>0</v>
      </c>
      <c r="I918" s="13">
        <f t="shared" si="212"/>
        <v>0</v>
      </c>
      <c r="J918" s="13">
        <f t="shared" si="213"/>
        <v>0</v>
      </c>
      <c r="K918" s="13">
        <f>ROUNDUP(IF($D$2="Egyszeri",$D918,IF($D$2="Havi",SUM($D$20:$D$31),IF(MOD($C918,$M$1)-1=0,SUM($D$20:$D$31),0))/12*$M$1)*VLOOKUP($B918,Paraméterek!$B$27:$D$30,IF($D$2="Egyszeri",3,2)),IF($D$4="Forint",0,2))</f>
        <v>0</v>
      </c>
      <c r="L918" s="13">
        <f t="shared" si="214"/>
        <v>0</v>
      </c>
      <c r="M918" s="13">
        <f t="shared" ref="M918:M981" ca="1" si="220">$L918+$V917</f>
        <v>-1026776</v>
      </c>
      <c r="N918" s="13">
        <f ca="1">IF($V917&gt;=VLOOKUP($M$4-1+$B918,Paraméterek!$B$121:$D$122,IF($D$4="Forint",2,3)),0,VLOOKUP($M$4-1+$B918,Paraméterek!$B$121:$D$122,IF($D$4="Forint",2,3))-$V917)</f>
        <v>1036776</v>
      </c>
      <c r="O918" s="13">
        <f ca="1">ROUNDUP($N918*Paraméterek!$C$58/Paraméterek!$C$56,IF($D$4="Forint",0,2))</f>
        <v>166</v>
      </c>
      <c r="P918" s="13">
        <f t="shared" si="215"/>
        <v>4902</v>
      </c>
      <c r="Q918" s="33"/>
      <c r="R918" s="13">
        <f t="shared" ca="1" si="216"/>
        <v>0</v>
      </c>
      <c r="S918" s="13">
        <f ca="1">ROUNDUP(($M918-$O918-$P918+$R918)*VLOOKUP($B918,Paraméterek!$B$38:$D$39,IF($D$2="Egyszeri",3,2))/12,IF($D$4="Forint",0,2))</f>
        <v>-2520</v>
      </c>
      <c r="T918" s="13"/>
      <c r="U918" s="13"/>
      <c r="V918" s="13">
        <f ca="1">$M918-$O918-$P918+$R918-$S918-IF(ROUNDUP(IF(ISBLANK($U918),$T918,$U918)/IF(AND($B918=1,$D$2&lt;&gt;"Egyszeri"),1,VLOOKUP($B918+IF($C918=12,1,0),Paraméterek!$B$257:$D$267,IF($D$2="Egyszeri",3,2))),IF($D$4="Forint",0,2))&gt;$M918-$O918-$P918+$R918-$S918-IF($D$4="Forint",Paraméterek!$C$216,Paraméterek!$D$216),0,ROUNDUP(IF(ISBLANK($U918),$T918,$U918)/IF(AND($B918=1,$D$2&lt;&gt;"Egyszeri"),1,VLOOKUP($B918+IF($C918=12,1,0),Paraméterek!$B$257:$D$267,IF($D$2="Egyszeri",3,2))),IF($D$4="Forint",0,2)))</f>
        <v>-1029324</v>
      </c>
      <c r="W918" s="13">
        <f ca="1">ROUNDDOWN($V918*VLOOKUP($B918+IF($C918=12,1,0),Paraméterek!$B$257:$D$267,IF($D$2="Egyszeri",3,2)),IF($D$4="Forint",0,2))</f>
        <v>-1029324</v>
      </c>
      <c r="Y918" s="32">
        <v>899</v>
      </c>
      <c r="Z918" s="32">
        <v>75</v>
      </c>
      <c r="AA918" s="32">
        <v>11</v>
      </c>
      <c r="AB918" s="13">
        <f t="shared" ref="AB918:AB981" si="221">$AJ917</f>
        <v>0</v>
      </c>
      <c r="AC918" s="33"/>
      <c r="AD918" s="13">
        <f t="shared" si="217"/>
        <v>0</v>
      </c>
      <c r="AE918" s="13">
        <f>ROUNDUP(($AB918+$AD918)*VLOOKUP($Z918,Paraméterek!$P$38:$Q$38,2)/12,IF($D$4="Forint",0,2))</f>
        <v>0</v>
      </c>
      <c r="AF918" s="13">
        <f>IF($D$2="Egyszeri",IF($D$7&gt;=IF($D$4="Forint",Paraméterek!$P$223,Paraméterek!$P$224),$D$7-IF($D$4="Forint",Paraméterek!$F$223,Paraméterek!$F$224),0),MIN(IF($AA918=12,AVERAGE($D$20:$D918)*12,0),SUM($D$20:$D$31)))</f>
        <v>0</v>
      </c>
      <c r="AG918" s="13">
        <f>IF(AND($Z918&gt;=10,MOD($Z918,5)=0),$AF918*IF($AA918=12,VLOOKUP($Z918,Paraméterek!$B$225:$F$240,IF($AF918&lt;IF($D$4="Forint",Paraméterek!$C$223,Paraméterek!$C$224),2,IF($AF918&lt;IF($D$4="Forint",Paraméterek!$D$223,Paraméterek!$D$224),3,4))),0),0)</f>
        <v>0</v>
      </c>
      <c r="AH918" s="13">
        <f>IF(AND($Z918&gt;=5,MOD($Z918,5)=0),IF($AA918=12,VLOOKUP($Z918,Paraméterek!$B$225:$F$240,5),0),IF(OR($Z918=3,$Z918=4),IF($AA918=12,VLOOKUP($Z918,Paraméterek!$B$225:$F$240,5,0),0),0))*$AF918</f>
        <v>0</v>
      </c>
      <c r="AI918" s="13">
        <f>ROUNDDOWN(IF(SUM($T$20:$U918)=0,IF($D$2="Egyszeri",$AH918,$AG918),0),IF($D$4="Forint",0,2))</f>
        <v>0</v>
      </c>
      <c r="AJ918" s="13">
        <f t="shared" ref="AJ918:AJ981" si="222">$AB918+$AD918-$AE918+$AI918</f>
        <v>0</v>
      </c>
      <c r="AK918" s="13">
        <f t="shared" ref="AK918:AK981" si="223">$AJ918</f>
        <v>0</v>
      </c>
      <c r="AM918" s="32">
        <v>899</v>
      </c>
      <c r="AN918" s="32">
        <v>75</v>
      </c>
      <c r="AO918" s="32">
        <v>11</v>
      </c>
      <c r="AP918" s="13"/>
      <c r="AQ918" s="32"/>
      <c r="AR918" s="13">
        <f t="shared" ref="AR918:AR981" si="224">IF(ISBLANK($AQ918),$AP918,$AQ918)+$AY917</f>
        <v>0</v>
      </c>
      <c r="AS918" s="33"/>
      <c r="AT918" s="13">
        <f t="shared" si="218"/>
        <v>0</v>
      </c>
      <c r="AU918" s="13">
        <f>ROUNDUP(($AR918+$AT918)*VLOOKUP($AN918,Paraméterek!$P$38:$Q$38,2)/12,IF($D$4="Forint",0,2))</f>
        <v>0</v>
      </c>
      <c r="AV918" s="13"/>
      <c r="AW918" s="13"/>
      <c r="AX918" s="13">
        <f>ROUNDUP(IF(SUM($AV918:$AW918)=0,0,IF(IF(ISBLANK($AW918),$AV918,$AW918)*Paraméterek!$J$112&lt;IF($D$4="Forint",Paraméterek!$J$113,Paraméterek!$K$113),IF($D$4="Forint",Paraméterek!$J$113,Paraméterek!$K$113),IF(IF(ISBLANK($AW918),$AV918,$AW918)*Paraméterek!$J$112&gt;IF($D$4="Forint",Paraméterek!$J$114,Paraméterek!$K$114),IF($D$4="Forint",Paraméterek!$J$114,Paraméterek!$K$114),IF(ISBLANK($AW918),$AV918,$AW918)*Paraméterek!$J$112))),IF($D$4="Forint",0,2))</f>
        <v>0</v>
      </c>
      <c r="AY918" s="13">
        <f>$AR918+$AT918-$AU918-IF(ROUNDDOWN(IF(ISBLANK($AW918),$AV918,$AW918),IF($D$4="Forint",0,2))&gt;$AR918+$AT918-$AU918-IF($D$4="Forint",Paraméterek!$J$114,Paraméterek!$K$114),0,ROUNDDOWN(IF(ISBLANK($AW918),$AV918,$AW918),IF($D$4="Forint",0,2))-$AX918)</f>
        <v>0</v>
      </c>
      <c r="AZ918" s="13">
        <f t="shared" si="219"/>
        <v>0</v>
      </c>
    </row>
    <row r="919" spans="1:52" x14ac:dyDescent="0.2">
      <c r="A919" s="32">
        <v>900</v>
      </c>
      <c r="B919" s="32">
        <v>75</v>
      </c>
      <c r="C919" s="32">
        <v>12</v>
      </c>
      <c r="D919" s="13">
        <f t="shared" si="210"/>
        <v>0</v>
      </c>
      <c r="E919" s="13"/>
      <c r="F919" s="13"/>
      <c r="G919" s="13"/>
      <c r="H919" s="13">
        <f t="shared" si="211"/>
        <v>0</v>
      </c>
      <c r="I919" s="13">
        <f t="shared" si="212"/>
        <v>0</v>
      </c>
      <c r="J919" s="13">
        <f t="shared" si="213"/>
        <v>0</v>
      </c>
      <c r="K919" s="13">
        <f>ROUNDUP(IF($D$2="Egyszeri",$D919,IF($D$2="Havi",SUM($D$20:$D$31),IF(MOD($C919,$M$1)-1=0,SUM($D$20:$D$31),0))/12*$M$1)*VLOOKUP($B919,Paraméterek!$B$27:$D$30,IF($D$2="Egyszeri",3,2)),IF($D$4="Forint",0,2))</f>
        <v>0</v>
      </c>
      <c r="L919" s="13">
        <f t="shared" si="214"/>
        <v>0</v>
      </c>
      <c r="M919" s="13">
        <f t="shared" ca="1" si="220"/>
        <v>-1029324</v>
      </c>
      <c r="N919" s="13">
        <f ca="1">IF($V918&gt;=VLOOKUP($M$4-1+$B919,Paraméterek!$B$121:$D$122,IF($D$4="Forint",2,3)),0,VLOOKUP($M$4-1+$B919,Paraméterek!$B$121:$D$122,IF($D$4="Forint",2,3))-$V918)</f>
        <v>1039324</v>
      </c>
      <c r="O919" s="13">
        <f ca="1">ROUNDUP($N919*Paraméterek!$C$58/Paraméterek!$C$56,IF($D$4="Forint",0,2))</f>
        <v>166</v>
      </c>
      <c r="P919" s="13">
        <f t="shared" si="215"/>
        <v>4902</v>
      </c>
      <c r="Q919" s="33"/>
      <c r="R919" s="13">
        <f t="shared" ca="1" si="216"/>
        <v>0</v>
      </c>
      <c r="S919" s="13">
        <f ca="1">ROUNDUP(($M919-$O919-$P919+$R919)*VLOOKUP($B919,Paraméterek!$B$38:$D$39,IF($D$2="Egyszeri",3,2))/12,IF($D$4="Forint",0,2))</f>
        <v>-2526</v>
      </c>
      <c r="T919" s="13">
        <f>Tranzakciók!$F$106</f>
        <v>0</v>
      </c>
      <c r="U919" s="13"/>
      <c r="V919" s="13">
        <f ca="1">$M919-$O919-$P919+$R919-$S919-IF(ROUNDUP(IF(ISBLANK($U919),$T919,$U919)/IF(AND($B919=1,$D$2&lt;&gt;"Egyszeri"),1,VLOOKUP($B919+IF($C919=12,1,0),Paraméterek!$B$257:$D$267,IF($D$2="Egyszeri",3,2))),IF($D$4="Forint",0,2))&gt;$M919-$O919-$P919+$R919-$S919-IF($D$4="Forint",Paraméterek!$C$216,Paraméterek!$D$216),0,ROUNDUP(IF(ISBLANK($U919),$T919,$U919)/IF(AND($B919=1,$D$2&lt;&gt;"Egyszeri"),1,VLOOKUP($B919+IF($C919=12,1,0),Paraméterek!$B$257:$D$267,IF($D$2="Egyszeri",3,2))),IF($D$4="Forint",0,2)))</f>
        <v>-1031866</v>
      </c>
      <c r="W919" s="13">
        <f ca="1">ROUNDDOWN($V919*VLOOKUP($B919+IF($C919=12,1,0),Paraméterek!$B$257:$D$267,IF($D$2="Egyszeri",3,2)),IF($D$4="Forint",0,2))</f>
        <v>-1031866</v>
      </c>
      <c r="Y919" s="32">
        <v>900</v>
      </c>
      <c r="Z919" s="32">
        <v>75</v>
      </c>
      <c r="AA919" s="32">
        <v>12</v>
      </c>
      <c r="AB919" s="13">
        <f t="shared" si="221"/>
        <v>0</v>
      </c>
      <c r="AC919" s="33"/>
      <c r="AD919" s="13">
        <f t="shared" si="217"/>
        <v>0</v>
      </c>
      <c r="AE919" s="13">
        <f>ROUNDUP(($AB919+$AD919)*VLOOKUP($Z919,Paraméterek!$P$38:$Q$38,2)/12,IF($D$4="Forint",0,2))</f>
        <v>0</v>
      </c>
      <c r="AF919" s="13">
        <f>IF($D$2="Egyszeri",IF($D$7&gt;=IF($D$4="Forint",Paraméterek!$P$223,Paraméterek!$P$224),$D$7-IF($D$4="Forint",Paraméterek!$F$223,Paraméterek!$F$224),0),MIN(IF($AA919=12,AVERAGE($D$20:$D919)*12,0),SUM($D$20:$D$31)))</f>
        <v>0</v>
      </c>
      <c r="AG919" s="13">
        <f>IF(AND($Z919&gt;=10,MOD($Z919,5)=0),$AF919*IF($AA919=12,VLOOKUP($Z919,Paraméterek!$B$225:$F$240,IF($AF919&lt;IF($D$4="Forint",Paraméterek!$C$223,Paraméterek!$C$224),2,IF($AF919&lt;IF($D$4="Forint",Paraméterek!$D$223,Paraméterek!$D$224),3,4))),0),0)</f>
        <v>0</v>
      </c>
      <c r="AH919" s="13">
        <f>IF(AND($Z919&gt;=5,MOD($Z919,5)=0),IF($AA919=12,VLOOKUP($Z919,Paraméterek!$B$225:$F$240,5),0),IF(OR($Z919=3,$Z919=4),IF($AA919=12,VLOOKUP($Z919,Paraméterek!$B$225:$F$240,5,0),0),0))*$AF919</f>
        <v>0</v>
      </c>
      <c r="AI919" s="13">
        <f>ROUNDDOWN(IF(SUM($T$20:$U919)=0,IF($D$2="Egyszeri",$AH919,$AG919),0),IF($D$4="Forint",0,2))</f>
        <v>0</v>
      </c>
      <c r="AJ919" s="13">
        <f t="shared" si="222"/>
        <v>0</v>
      </c>
      <c r="AK919" s="13">
        <f t="shared" si="223"/>
        <v>0</v>
      </c>
      <c r="AM919" s="32">
        <v>900</v>
      </c>
      <c r="AN919" s="32">
        <v>75</v>
      </c>
      <c r="AO919" s="32">
        <v>12</v>
      </c>
      <c r="AP919" s="13"/>
      <c r="AQ919" s="32"/>
      <c r="AR919" s="13">
        <f t="shared" si="224"/>
        <v>0</v>
      </c>
      <c r="AS919" s="33"/>
      <c r="AT919" s="13">
        <f t="shared" si="218"/>
        <v>0</v>
      </c>
      <c r="AU919" s="13">
        <f>ROUNDUP(($AR919+$AT919)*VLOOKUP($AN919,Paraméterek!$P$38:$Q$38,2)/12,IF($D$4="Forint",0,2))</f>
        <v>0</v>
      </c>
      <c r="AV919" s="13">
        <f>Tranzakciók!$M$106</f>
        <v>0</v>
      </c>
      <c r="AW919" s="13"/>
      <c r="AX919" s="13">
        <f>ROUNDUP(IF(SUM($AV919:$AW919)=0,0,IF(IF(ISBLANK($AW919),$AV919,$AW919)*Paraméterek!$J$112&lt;IF($D$4="Forint",Paraméterek!$J$113,Paraméterek!$K$113),IF($D$4="Forint",Paraméterek!$J$113,Paraméterek!$K$113),IF(IF(ISBLANK($AW919),$AV919,$AW919)*Paraméterek!$J$112&gt;IF($D$4="Forint",Paraméterek!$J$114,Paraméterek!$K$114),IF($D$4="Forint",Paraméterek!$J$114,Paraméterek!$K$114),IF(ISBLANK($AW919),$AV919,$AW919)*Paraméterek!$J$112))),IF($D$4="Forint",0,2))</f>
        <v>0</v>
      </c>
      <c r="AY919" s="13">
        <f>$AR919+$AT919-$AU919-IF(ROUNDDOWN(IF(ISBLANK($AW919),$AV919,$AW919),IF($D$4="Forint",0,2))&gt;$AR919+$AT919-$AU919-IF($D$4="Forint",Paraméterek!$J$114,Paraméterek!$K$114),0,ROUNDDOWN(IF(ISBLANK($AW919),$AV919,$AW919),IF($D$4="Forint",0,2))-$AX919)</f>
        <v>0</v>
      </c>
      <c r="AZ919" s="13">
        <f t="shared" si="219"/>
        <v>0</v>
      </c>
    </row>
    <row r="920" spans="1:52" x14ac:dyDescent="0.2">
      <c r="A920" s="32">
        <v>901</v>
      </c>
      <c r="B920" s="32">
        <v>76</v>
      </c>
      <c r="C920" s="32">
        <v>1</v>
      </c>
      <c r="D920" s="13">
        <f t="shared" si="210"/>
        <v>0</v>
      </c>
      <c r="E920" s="13"/>
      <c r="F920" s="13">
        <f>Tranzakciók!$D$107</f>
        <v>0</v>
      </c>
      <c r="G920" s="13"/>
      <c r="H920" s="13">
        <f t="shared" si="211"/>
        <v>0</v>
      </c>
      <c r="I920" s="13">
        <f t="shared" si="212"/>
        <v>918</v>
      </c>
      <c r="J920" s="13">
        <f t="shared" si="213"/>
        <v>918</v>
      </c>
      <c r="K920" s="13">
        <f>ROUNDUP(IF($D$2="Egyszeri",$D920,IF($D$2="Havi",SUM($D$20:$D$31),IF(MOD($C920,$M$1)-1=0,SUM($D$20:$D$31),0))/12*$M$1)*VLOOKUP($B920,Paraméterek!$B$27:$D$30,IF($D$2="Egyszeri",3,2)),IF($D$4="Forint",0,2))</f>
        <v>0</v>
      </c>
      <c r="L920" s="13">
        <f t="shared" si="214"/>
        <v>0</v>
      </c>
      <c r="M920" s="13">
        <f t="shared" ca="1" si="220"/>
        <v>-1031866</v>
      </c>
      <c r="N920" s="13">
        <f ca="1">IF($V919&gt;=VLOOKUP($M$4-1+$B920,Paraméterek!$B$121:$D$122,IF($D$4="Forint",2,3)),0,VLOOKUP($M$4-1+$B920,Paraméterek!$B$121:$D$122,IF($D$4="Forint",2,3))-$V919)</f>
        <v>1041866</v>
      </c>
      <c r="O920" s="13">
        <f ca="1">ROUNDUP($N920*Paraméterek!$C$58/Paraméterek!$C$56,IF($D$4="Forint",0,2))</f>
        <v>166</v>
      </c>
      <c r="P920" s="13">
        <f t="shared" si="215"/>
        <v>5049</v>
      </c>
      <c r="Q920" s="33"/>
      <c r="R920" s="13">
        <f t="shared" ca="1" si="216"/>
        <v>0</v>
      </c>
      <c r="S920" s="13">
        <f ca="1">ROUNDUP(($M920-$O920-$P920+$R920)*VLOOKUP($B920,Paraméterek!$B$38:$D$39,IF($D$2="Egyszeri",3,2))/12,IF($D$4="Forint",0,2))</f>
        <v>-2533</v>
      </c>
      <c r="T920" s="13"/>
      <c r="U920" s="13"/>
      <c r="V920" s="13">
        <f ca="1">$M920-$O920-$P920+$R920-$S920-IF(ROUNDUP(IF(ISBLANK($U920),$T920,$U920)/IF(AND($B920=1,$D$2&lt;&gt;"Egyszeri"),1,VLOOKUP($B920+IF($C920=12,1,0),Paraméterek!$B$257:$D$267,IF($D$2="Egyszeri",3,2))),IF($D$4="Forint",0,2))&gt;$M920-$O920-$P920+$R920-$S920-IF($D$4="Forint",Paraméterek!$C$216,Paraméterek!$D$216),0,ROUNDUP(IF(ISBLANK($U920),$T920,$U920)/IF(AND($B920=1,$D$2&lt;&gt;"Egyszeri"),1,VLOOKUP($B920+IF($C920=12,1,0),Paraméterek!$B$257:$D$267,IF($D$2="Egyszeri",3,2))),IF($D$4="Forint",0,2)))</f>
        <v>-1034548</v>
      </c>
      <c r="W920" s="13">
        <f ca="1">ROUNDDOWN($V920*VLOOKUP($B920+IF($C920=12,1,0),Paraméterek!$B$257:$D$267,IF($D$2="Egyszeri",3,2)),IF($D$4="Forint",0,2))</f>
        <v>-1034548</v>
      </c>
      <c r="Y920" s="32">
        <v>901</v>
      </c>
      <c r="Z920" s="32">
        <v>76</v>
      </c>
      <c r="AA920" s="32">
        <v>1</v>
      </c>
      <c r="AB920" s="13">
        <f t="shared" si="221"/>
        <v>0</v>
      </c>
      <c r="AC920" s="33"/>
      <c r="AD920" s="13">
        <f t="shared" si="217"/>
        <v>0</v>
      </c>
      <c r="AE920" s="13">
        <f>ROUNDUP(($AB920+$AD920)*VLOOKUP($Z920,Paraméterek!$P$38:$Q$38,2)/12,IF($D$4="Forint",0,2))</f>
        <v>0</v>
      </c>
      <c r="AF920" s="13">
        <f>IF($D$2="Egyszeri",IF($D$7&gt;=IF($D$4="Forint",Paraméterek!$P$223,Paraméterek!$P$224),$D$7-IF($D$4="Forint",Paraméterek!$F$223,Paraméterek!$F$224),0),MIN(IF($AA920=12,AVERAGE($D$20:$D920)*12,0),SUM($D$20:$D$31)))</f>
        <v>0</v>
      </c>
      <c r="AG920" s="13">
        <f>IF(AND($Z920&gt;=10,MOD($Z920,5)=0),$AF920*IF($AA920=12,VLOOKUP($Z920,Paraméterek!$B$225:$F$240,IF($AF920&lt;IF($D$4="Forint",Paraméterek!$C$223,Paraméterek!$C$224),2,IF($AF920&lt;IF($D$4="Forint",Paraméterek!$D$223,Paraméterek!$D$224),3,4))),0),0)</f>
        <v>0</v>
      </c>
      <c r="AH920" s="13">
        <f>IF(AND($Z920&gt;=5,MOD($Z920,5)=0),IF($AA920=12,VLOOKUP($Z920,Paraméterek!$B$225:$F$240,5),0),IF(OR($Z920=3,$Z920=4),IF($AA920=12,VLOOKUP($Z920,Paraméterek!$B$225:$F$240,5,0),0),0))*$AF920</f>
        <v>0</v>
      </c>
      <c r="AI920" s="13">
        <f>ROUNDDOWN(IF(SUM($T$20:$U920)=0,IF($D$2="Egyszeri",$AH920,$AG920),0),IF($D$4="Forint",0,2))</f>
        <v>0</v>
      </c>
      <c r="AJ920" s="13">
        <f t="shared" si="222"/>
        <v>0</v>
      </c>
      <c r="AK920" s="13">
        <f t="shared" si="223"/>
        <v>0</v>
      </c>
      <c r="AM920" s="32">
        <v>901</v>
      </c>
      <c r="AN920" s="32">
        <v>76</v>
      </c>
      <c r="AO920" s="32">
        <v>1</v>
      </c>
      <c r="AP920" s="13">
        <f>Tranzakciók!$K$107</f>
        <v>0</v>
      </c>
      <c r="AQ920" s="32"/>
      <c r="AR920" s="13">
        <f t="shared" si="224"/>
        <v>0</v>
      </c>
      <c r="AS920" s="33"/>
      <c r="AT920" s="13">
        <f t="shared" si="218"/>
        <v>0</v>
      </c>
      <c r="AU920" s="13">
        <f>ROUNDUP(($AR920+$AT920)*VLOOKUP($AN920,Paraméterek!$P$38:$Q$38,2)/12,IF($D$4="Forint",0,2))</f>
        <v>0</v>
      </c>
      <c r="AV920" s="13"/>
      <c r="AW920" s="13"/>
      <c r="AX920" s="13">
        <f>ROUNDUP(IF(SUM($AV920:$AW920)=0,0,IF(IF(ISBLANK($AW920),$AV920,$AW920)*Paraméterek!$J$112&lt;IF($D$4="Forint",Paraméterek!$J$113,Paraméterek!$K$113),IF($D$4="Forint",Paraméterek!$J$113,Paraméterek!$K$113),IF(IF(ISBLANK($AW920),$AV920,$AW920)*Paraméterek!$J$112&gt;IF($D$4="Forint",Paraméterek!$J$114,Paraméterek!$K$114),IF($D$4="Forint",Paraméterek!$J$114,Paraméterek!$K$114),IF(ISBLANK($AW920),$AV920,$AW920)*Paraméterek!$J$112))),IF($D$4="Forint",0,2))</f>
        <v>0</v>
      </c>
      <c r="AY920" s="13">
        <f>$AR920+$AT920-$AU920-IF(ROUNDDOWN(IF(ISBLANK($AW920),$AV920,$AW920),IF($D$4="Forint",0,2))&gt;$AR920+$AT920-$AU920-IF($D$4="Forint",Paraméterek!$J$114,Paraméterek!$K$114),0,ROUNDDOWN(IF(ISBLANK($AW920),$AV920,$AW920),IF($D$4="Forint",0,2))-$AX920)</f>
        <v>0</v>
      </c>
      <c r="AZ920" s="13">
        <f t="shared" si="219"/>
        <v>0</v>
      </c>
    </row>
    <row r="921" spans="1:52" x14ac:dyDescent="0.2">
      <c r="A921" s="32">
        <v>902</v>
      </c>
      <c r="B921" s="32">
        <v>76</v>
      </c>
      <c r="C921" s="32">
        <v>2</v>
      </c>
      <c r="D921" s="13">
        <f t="shared" si="210"/>
        <v>0</v>
      </c>
      <c r="E921" s="13"/>
      <c r="F921" s="13"/>
      <c r="G921" s="13"/>
      <c r="H921" s="13">
        <f t="shared" si="211"/>
        <v>0</v>
      </c>
      <c r="I921" s="13">
        <f t="shared" si="212"/>
        <v>0</v>
      </c>
      <c r="J921" s="13">
        <f t="shared" si="213"/>
        <v>0</v>
      </c>
      <c r="K921" s="13">
        <f>ROUNDUP(IF($D$2="Egyszeri",$D921,IF($D$2="Havi",SUM($D$20:$D$31),IF(MOD($C921,$M$1)-1=0,SUM($D$20:$D$31),0))/12*$M$1)*VLOOKUP($B921,Paraméterek!$B$27:$D$30,IF($D$2="Egyszeri",3,2)),IF($D$4="Forint",0,2))</f>
        <v>0</v>
      </c>
      <c r="L921" s="13">
        <f t="shared" si="214"/>
        <v>0</v>
      </c>
      <c r="M921" s="13">
        <f t="shared" ca="1" si="220"/>
        <v>-1034548</v>
      </c>
      <c r="N921" s="13">
        <f ca="1">IF($V920&gt;=VLOOKUP($M$4-1+$B921,Paraméterek!$B$121:$D$122,IF($D$4="Forint",2,3)),0,VLOOKUP($M$4-1+$B921,Paraméterek!$B$121:$D$122,IF($D$4="Forint",2,3))-$V920)</f>
        <v>1044548</v>
      </c>
      <c r="O921" s="13">
        <f ca="1">ROUNDUP($N921*Paraméterek!$C$58/Paraméterek!$C$56,IF($D$4="Forint",0,2))</f>
        <v>167</v>
      </c>
      <c r="P921" s="13">
        <f t="shared" si="215"/>
        <v>5049</v>
      </c>
      <c r="Q921" s="33"/>
      <c r="R921" s="13">
        <f t="shared" ca="1" si="216"/>
        <v>0</v>
      </c>
      <c r="S921" s="13">
        <f ca="1">ROUNDUP(($M921-$O921-$P921+$R921)*VLOOKUP($B921,Paraméterek!$B$38:$D$39,IF($D$2="Egyszeri",3,2))/12,IF($D$4="Forint",0,2))</f>
        <v>-2539</v>
      </c>
      <c r="T921" s="13"/>
      <c r="U921" s="13"/>
      <c r="V921" s="13">
        <f ca="1">$M921-$O921-$P921+$R921-$S921-IF(ROUNDUP(IF(ISBLANK($U921),$T921,$U921)/IF(AND($B921=1,$D$2&lt;&gt;"Egyszeri"),1,VLOOKUP($B921+IF($C921=12,1,0),Paraméterek!$B$257:$D$267,IF($D$2="Egyszeri",3,2))),IF($D$4="Forint",0,2))&gt;$M921-$O921-$P921+$R921-$S921-IF($D$4="Forint",Paraméterek!$C$216,Paraméterek!$D$216),0,ROUNDUP(IF(ISBLANK($U921),$T921,$U921)/IF(AND($B921=1,$D$2&lt;&gt;"Egyszeri"),1,VLOOKUP($B921+IF($C921=12,1,0),Paraméterek!$B$257:$D$267,IF($D$2="Egyszeri",3,2))),IF($D$4="Forint",0,2)))</f>
        <v>-1037225</v>
      </c>
      <c r="W921" s="13">
        <f ca="1">ROUNDDOWN($V921*VLOOKUP($B921+IF($C921=12,1,0),Paraméterek!$B$257:$D$267,IF($D$2="Egyszeri",3,2)),IF($D$4="Forint",0,2))</f>
        <v>-1037225</v>
      </c>
      <c r="Y921" s="32">
        <v>902</v>
      </c>
      <c r="Z921" s="32">
        <v>76</v>
      </c>
      <c r="AA921" s="32">
        <v>2</v>
      </c>
      <c r="AB921" s="13">
        <f t="shared" si="221"/>
        <v>0</v>
      </c>
      <c r="AC921" s="33"/>
      <c r="AD921" s="13">
        <f t="shared" si="217"/>
        <v>0</v>
      </c>
      <c r="AE921" s="13">
        <f>ROUNDUP(($AB921+$AD921)*VLOOKUP($Z921,Paraméterek!$P$38:$Q$38,2)/12,IF($D$4="Forint",0,2))</f>
        <v>0</v>
      </c>
      <c r="AF921" s="13">
        <f>IF($D$2="Egyszeri",IF($D$7&gt;=IF($D$4="Forint",Paraméterek!$P$223,Paraméterek!$P$224),$D$7-IF($D$4="Forint",Paraméterek!$F$223,Paraméterek!$F$224),0),MIN(IF($AA921=12,AVERAGE($D$20:$D921)*12,0),SUM($D$20:$D$31)))</f>
        <v>0</v>
      </c>
      <c r="AG921" s="13">
        <f>IF(AND($Z921&gt;=10,MOD($Z921,5)=0),$AF921*IF($AA921=12,VLOOKUP($Z921,Paraméterek!$B$225:$F$240,IF($AF921&lt;IF($D$4="Forint",Paraméterek!$C$223,Paraméterek!$C$224),2,IF($AF921&lt;IF($D$4="Forint",Paraméterek!$D$223,Paraméterek!$D$224),3,4))),0),0)</f>
        <v>0</v>
      </c>
      <c r="AH921" s="13">
        <f>IF(AND($Z921&gt;=5,MOD($Z921,5)=0),IF($AA921=12,VLOOKUP($Z921,Paraméterek!$B$225:$F$240,5),0),IF(OR($Z921=3,$Z921=4),IF($AA921=12,VLOOKUP($Z921,Paraméterek!$B$225:$F$240,5,0),0),0))*$AF921</f>
        <v>0</v>
      </c>
      <c r="AI921" s="13">
        <f>ROUNDDOWN(IF(SUM($T$20:$U921)=0,IF($D$2="Egyszeri",$AH921,$AG921),0),IF($D$4="Forint",0,2))</f>
        <v>0</v>
      </c>
      <c r="AJ921" s="13">
        <f t="shared" si="222"/>
        <v>0</v>
      </c>
      <c r="AK921" s="13">
        <f t="shared" si="223"/>
        <v>0</v>
      </c>
      <c r="AM921" s="32">
        <v>902</v>
      </c>
      <c r="AN921" s="32">
        <v>76</v>
      </c>
      <c r="AO921" s="32">
        <v>2</v>
      </c>
      <c r="AP921" s="13"/>
      <c r="AQ921" s="32"/>
      <c r="AR921" s="13">
        <f t="shared" si="224"/>
        <v>0</v>
      </c>
      <c r="AS921" s="33"/>
      <c r="AT921" s="13">
        <f t="shared" si="218"/>
        <v>0</v>
      </c>
      <c r="AU921" s="13">
        <f>ROUNDUP(($AR921+$AT921)*VLOOKUP($AN921,Paraméterek!$P$38:$Q$38,2)/12,IF($D$4="Forint",0,2))</f>
        <v>0</v>
      </c>
      <c r="AV921" s="13"/>
      <c r="AW921" s="13"/>
      <c r="AX921" s="13">
        <f>ROUNDUP(IF(SUM($AV921:$AW921)=0,0,IF(IF(ISBLANK($AW921),$AV921,$AW921)*Paraméterek!$J$112&lt;IF($D$4="Forint",Paraméterek!$J$113,Paraméterek!$K$113),IF($D$4="Forint",Paraméterek!$J$113,Paraméterek!$K$113),IF(IF(ISBLANK($AW921),$AV921,$AW921)*Paraméterek!$J$112&gt;IF($D$4="Forint",Paraméterek!$J$114,Paraméterek!$K$114),IF($D$4="Forint",Paraméterek!$J$114,Paraméterek!$K$114),IF(ISBLANK($AW921),$AV921,$AW921)*Paraméterek!$J$112))),IF($D$4="Forint",0,2))</f>
        <v>0</v>
      </c>
      <c r="AY921" s="13">
        <f>$AR921+$AT921-$AU921-IF(ROUNDDOWN(IF(ISBLANK($AW921),$AV921,$AW921),IF($D$4="Forint",0,2))&gt;$AR921+$AT921-$AU921-IF($D$4="Forint",Paraméterek!$J$114,Paraméterek!$K$114),0,ROUNDDOWN(IF(ISBLANK($AW921),$AV921,$AW921),IF($D$4="Forint",0,2))-$AX921)</f>
        <v>0</v>
      </c>
      <c r="AZ921" s="13">
        <f t="shared" si="219"/>
        <v>0</v>
      </c>
    </row>
    <row r="922" spans="1:52" x14ac:dyDescent="0.2">
      <c r="A922" s="32">
        <v>903</v>
      </c>
      <c r="B922" s="32">
        <v>76</v>
      </c>
      <c r="C922" s="32">
        <v>3</v>
      </c>
      <c r="D922" s="13">
        <f t="shared" si="210"/>
        <v>0</v>
      </c>
      <c r="E922" s="13"/>
      <c r="F922" s="13"/>
      <c r="G922" s="13"/>
      <c r="H922" s="13">
        <f t="shared" si="211"/>
        <v>0</v>
      </c>
      <c r="I922" s="13">
        <f t="shared" si="212"/>
        <v>0</v>
      </c>
      <c r="J922" s="13">
        <f t="shared" si="213"/>
        <v>0</v>
      </c>
      <c r="K922" s="13">
        <f>ROUNDUP(IF($D$2="Egyszeri",$D922,IF($D$2="Havi",SUM($D$20:$D$31),IF(MOD($C922,$M$1)-1=0,SUM($D$20:$D$31),0))/12*$M$1)*VLOOKUP($B922,Paraméterek!$B$27:$D$30,IF($D$2="Egyszeri",3,2)),IF($D$4="Forint",0,2))</f>
        <v>0</v>
      </c>
      <c r="L922" s="13">
        <f t="shared" si="214"/>
        <v>0</v>
      </c>
      <c r="M922" s="13">
        <f t="shared" ca="1" si="220"/>
        <v>-1037225</v>
      </c>
      <c r="N922" s="13">
        <f ca="1">IF($V921&gt;=VLOOKUP($M$4-1+$B922,Paraméterek!$B$121:$D$122,IF($D$4="Forint",2,3)),0,VLOOKUP($M$4-1+$B922,Paraméterek!$B$121:$D$122,IF($D$4="Forint",2,3))-$V921)</f>
        <v>1047225</v>
      </c>
      <c r="O922" s="13">
        <f ca="1">ROUNDUP($N922*Paraméterek!$C$58/Paraméterek!$C$56,IF($D$4="Forint",0,2))</f>
        <v>167</v>
      </c>
      <c r="P922" s="13">
        <f t="shared" si="215"/>
        <v>5049</v>
      </c>
      <c r="Q922" s="33"/>
      <c r="R922" s="13">
        <f t="shared" ca="1" si="216"/>
        <v>0</v>
      </c>
      <c r="S922" s="13">
        <f ca="1">ROUNDUP(($M922-$O922-$P922+$R922)*VLOOKUP($B922,Paraméterek!$B$38:$D$39,IF($D$2="Egyszeri",3,2))/12,IF($D$4="Forint",0,2))</f>
        <v>-2546</v>
      </c>
      <c r="T922" s="13"/>
      <c r="U922" s="13"/>
      <c r="V922" s="13">
        <f ca="1">$M922-$O922-$P922+$R922-$S922-IF(ROUNDUP(IF(ISBLANK($U922),$T922,$U922)/IF(AND($B922=1,$D$2&lt;&gt;"Egyszeri"),1,VLOOKUP($B922+IF($C922=12,1,0),Paraméterek!$B$257:$D$267,IF($D$2="Egyszeri",3,2))),IF($D$4="Forint",0,2))&gt;$M922-$O922-$P922+$R922-$S922-IF($D$4="Forint",Paraméterek!$C$216,Paraméterek!$D$216),0,ROUNDUP(IF(ISBLANK($U922),$T922,$U922)/IF(AND($B922=1,$D$2&lt;&gt;"Egyszeri"),1,VLOOKUP($B922+IF($C922=12,1,0),Paraméterek!$B$257:$D$267,IF($D$2="Egyszeri",3,2))),IF($D$4="Forint",0,2)))</f>
        <v>-1039895</v>
      </c>
      <c r="W922" s="13">
        <f ca="1">ROUNDDOWN($V922*VLOOKUP($B922+IF($C922=12,1,0),Paraméterek!$B$257:$D$267,IF($D$2="Egyszeri",3,2)),IF($D$4="Forint",0,2))</f>
        <v>-1039895</v>
      </c>
      <c r="Y922" s="32">
        <v>903</v>
      </c>
      <c r="Z922" s="32">
        <v>76</v>
      </c>
      <c r="AA922" s="32">
        <v>3</v>
      </c>
      <c r="AB922" s="13">
        <f t="shared" si="221"/>
        <v>0</v>
      </c>
      <c r="AC922" s="33"/>
      <c r="AD922" s="13">
        <f t="shared" si="217"/>
        <v>0</v>
      </c>
      <c r="AE922" s="13">
        <f>ROUNDUP(($AB922+$AD922)*VLOOKUP($Z922,Paraméterek!$P$38:$Q$38,2)/12,IF($D$4="Forint",0,2))</f>
        <v>0</v>
      </c>
      <c r="AF922" s="13">
        <f>IF($D$2="Egyszeri",IF($D$7&gt;=IF($D$4="Forint",Paraméterek!$P$223,Paraméterek!$P$224),$D$7-IF($D$4="Forint",Paraméterek!$F$223,Paraméterek!$F$224),0),MIN(IF($AA922=12,AVERAGE($D$20:$D922)*12,0),SUM($D$20:$D$31)))</f>
        <v>0</v>
      </c>
      <c r="AG922" s="13">
        <f>IF(AND($Z922&gt;=10,MOD($Z922,5)=0),$AF922*IF($AA922=12,VLOOKUP($Z922,Paraméterek!$B$225:$F$240,IF($AF922&lt;IF($D$4="Forint",Paraméterek!$C$223,Paraméterek!$C$224),2,IF($AF922&lt;IF($D$4="Forint",Paraméterek!$D$223,Paraméterek!$D$224),3,4))),0),0)</f>
        <v>0</v>
      </c>
      <c r="AH922" s="13">
        <f>IF(AND($Z922&gt;=5,MOD($Z922,5)=0),IF($AA922=12,VLOOKUP($Z922,Paraméterek!$B$225:$F$240,5),0),IF(OR($Z922=3,$Z922=4),IF($AA922=12,VLOOKUP($Z922,Paraméterek!$B$225:$F$240,5,0),0),0))*$AF922</f>
        <v>0</v>
      </c>
      <c r="AI922" s="13">
        <f>ROUNDDOWN(IF(SUM($T$20:$U922)=0,IF($D$2="Egyszeri",$AH922,$AG922),0),IF($D$4="Forint",0,2))</f>
        <v>0</v>
      </c>
      <c r="AJ922" s="13">
        <f t="shared" si="222"/>
        <v>0</v>
      </c>
      <c r="AK922" s="13">
        <f t="shared" si="223"/>
        <v>0</v>
      </c>
      <c r="AM922" s="32">
        <v>903</v>
      </c>
      <c r="AN922" s="32">
        <v>76</v>
      </c>
      <c r="AO922" s="32">
        <v>3</v>
      </c>
      <c r="AP922" s="13"/>
      <c r="AQ922" s="32"/>
      <c r="AR922" s="13">
        <f t="shared" si="224"/>
        <v>0</v>
      </c>
      <c r="AS922" s="33"/>
      <c r="AT922" s="13">
        <f t="shared" si="218"/>
        <v>0</v>
      </c>
      <c r="AU922" s="13">
        <f>ROUNDUP(($AR922+$AT922)*VLOOKUP($AN922,Paraméterek!$P$38:$Q$38,2)/12,IF($D$4="Forint",0,2))</f>
        <v>0</v>
      </c>
      <c r="AV922" s="13"/>
      <c r="AW922" s="13"/>
      <c r="AX922" s="13">
        <f>ROUNDUP(IF(SUM($AV922:$AW922)=0,0,IF(IF(ISBLANK($AW922),$AV922,$AW922)*Paraméterek!$J$112&lt;IF($D$4="Forint",Paraméterek!$J$113,Paraméterek!$K$113),IF($D$4="Forint",Paraméterek!$J$113,Paraméterek!$K$113),IF(IF(ISBLANK($AW922),$AV922,$AW922)*Paraméterek!$J$112&gt;IF($D$4="Forint",Paraméterek!$J$114,Paraméterek!$K$114),IF($D$4="Forint",Paraméterek!$J$114,Paraméterek!$K$114),IF(ISBLANK($AW922),$AV922,$AW922)*Paraméterek!$J$112))),IF($D$4="Forint",0,2))</f>
        <v>0</v>
      </c>
      <c r="AY922" s="13">
        <f>$AR922+$AT922-$AU922-IF(ROUNDDOWN(IF(ISBLANK($AW922),$AV922,$AW922),IF($D$4="Forint",0,2))&gt;$AR922+$AT922-$AU922-IF($D$4="Forint",Paraméterek!$J$114,Paraméterek!$K$114),0,ROUNDDOWN(IF(ISBLANK($AW922),$AV922,$AW922),IF($D$4="Forint",0,2))-$AX922)</f>
        <v>0</v>
      </c>
      <c r="AZ922" s="13">
        <f t="shared" si="219"/>
        <v>0</v>
      </c>
    </row>
    <row r="923" spans="1:52" x14ac:dyDescent="0.2">
      <c r="A923" s="32">
        <v>904</v>
      </c>
      <c r="B923" s="32">
        <v>76</v>
      </c>
      <c r="C923" s="32">
        <v>4</v>
      </c>
      <c r="D923" s="13">
        <f t="shared" si="210"/>
        <v>0</v>
      </c>
      <c r="E923" s="13"/>
      <c r="F923" s="13"/>
      <c r="G923" s="13"/>
      <c r="H923" s="13">
        <f t="shared" si="211"/>
        <v>0</v>
      </c>
      <c r="I923" s="13">
        <f t="shared" si="212"/>
        <v>0</v>
      </c>
      <c r="J923" s="13">
        <f t="shared" si="213"/>
        <v>0</v>
      </c>
      <c r="K923" s="13">
        <f>ROUNDUP(IF($D$2="Egyszeri",$D923,IF($D$2="Havi",SUM($D$20:$D$31),IF(MOD($C923,$M$1)-1=0,SUM($D$20:$D$31),0))/12*$M$1)*VLOOKUP($B923,Paraméterek!$B$27:$D$30,IF($D$2="Egyszeri",3,2)),IF($D$4="Forint",0,2))</f>
        <v>0</v>
      </c>
      <c r="L923" s="13">
        <f t="shared" si="214"/>
        <v>0</v>
      </c>
      <c r="M923" s="13">
        <f t="shared" ca="1" si="220"/>
        <v>-1039895</v>
      </c>
      <c r="N923" s="13">
        <f ca="1">IF($V922&gt;=VLOOKUP($M$4-1+$B923,Paraméterek!$B$121:$D$122,IF($D$4="Forint",2,3)),0,VLOOKUP($M$4-1+$B923,Paraméterek!$B$121:$D$122,IF($D$4="Forint",2,3))-$V922)</f>
        <v>1049895</v>
      </c>
      <c r="O923" s="13">
        <f ca="1">ROUNDUP($N923*Paraméterek!$C$58/Paraméterek!$C$56,IF($D$4="Forint",0,2))</f>
        <v>168</v>
      </c>
      <c r="P923" s="13">
        <f t="shared" si="215"/>
        <v>5049</v>
      </c>
      <c r="Q923" s="33"/>
      <c r="R923" s="13">
        <f t="shared" ca="1" si="216"/>
        <v>0</v>
      </c>
      <c r="S923" s="13">
        <f ca="1">ROUNDUP(($M923-$O923-$P923+$R923)*VLOOKUP($B923,Paraméterek!$B$38:$D$39,IF($D$2="Egyszeri",3,2))/12,IF($D$4="Forint",0,2))</f>
        <v>-2552</v>
      </c>
      <c r="T923" s="13"/>
      <c r="U923" s="13"/>
      <c r="V923" s="13">
        <f ca="1">$M923-$O923-$P923+$R923-$S923-IF(ROUNDUP(IF(ISBLANK($U923),$T923,$U923)/IF(AND($B923=1,$D$2&lt;&gt;"Egyszeri"),1,VLOOKUP($B923+IF($C923=12,1,0),Paraméterek!$B$257:$D$267,IF($D$2="Egyszeri",3,2))),IF($D$4="Forint",0,2))&gt;$M923-$O923-$P923+$R923-$S923-IF($D$4="Forint",Paraméterek!$C$216,Paraméterek!$D$216),0,ROUNDUP(IF(ISBLANK($U923),$T923,$U923)/IF(AND($B923=1,$D$2&lt;&gt;"Egyszeri"),1,VLOOKUP($B923+IF($C923=12,1,0),Paraméterek!$B$257:$D$267,IF($D$2="Egyszeri",3,2))),IF($D$4="Forint",0,2)))</f>
        <v>-1042560</v>
      </c>
      <c r="W923" s="13">
        <f ca="1">ROUNDDOWN($V923*VLOOKUP($B923+IF($C923=12,1,0),Paraméterek!$B$257:$D$267,IF($D$2="Egyszeri",3,2)),IF($D$4="Forint",0,2))</f>
        <v>-1042560</v>
      </c>
      <c r="Y923" s="32">
        <v>904</v>
      </c>
      <c r="Z923" s="32">
        <v>76</v>
      </c>
      <c r="AA923" s="32">
        <v>4</v>
      </c>
      <c r="AB923" s="13">
        <f t="shared" si="221"/>
        <v>0</v>
      </c>
      <c r="AC923" s="33"/>
      <c r="AD923" s="13">
        <f t="shared" si="217"/>
        <v>0</v>
      </c>
      <c r="AE923" s="13">
        <f>ROUNDUP(($AB923+$AD923)*VLOOKUP($Z923,Paraméterek!$P$38:$Q$38,2)/12,IF($D$4="Forint",0,2))</f>
        <v>0</v>
      </c>
      <c r="AF923" s="13">
        <f>IF($D$2="Egyszeri",IF($D$7&gt;=IF($D$4="Forint",Paraméterek!$P$223,Paraméterek!$P$224),$D$7-IF($D$4="Forint",Paraméterek!$F$223,Paraméterek!$F$224),0),MIN(IF($AA923=12,AVERAGE($D$20:$D923)*12,0),SUM($D$20:$D$31)))</f>
        <v>0</v>
      </c>
      <c r="AG923" s="13">
        <f>IF(AND($Z923&gt;=10,MOD($Z923,5)=0),$AF923*IF($AA923=12,VLOOKUP($Z923,Paraméterek!$B$225:$F$240,IF($AF923&lt;IF($D$4="Forint",Paraméterek!$C$223,Paraméterek!$C$224),2,IF($AF923&lt;IF($D$4="Forint",Paraméterek!$D$223,Paraméterek!$D$224),3,4))),0),0)</f>
        <v>0</v>
      </c>
      <c r="AH923" s="13">
        <f>IF(AND($Z923&gt;=5,MOD($Z923,5)=0),IF($AA923=12,VLOOKUP($Z923,Paraméterek!$B$225:$F$240,5),0),IF(OR($Z923=3,$Z923=4),IF($AA923=12,VLOOKUP($Z923,Paraméterek!$B$225:$F$240,5,0),0),0))*$AF923</f>
        <v>0</v>
      </c>
      <c r="AI923" s="13">
        <f>ROUNDDOWN(IF(SUM($T$20:$U923)=0,IF($D$2="Egyszeri",$AH923,$AG923),0),IF($D$4="Forint",0,2))</f>
        <v>0</v>
      </c>
      <c r="AJ923" s="13">
        <f t="shared" si="222"/>
        <v>0</v>
      </c>
      <c r="AK923" s="13">
        <f t="shared" si="223"/>
        <v>0</v>
      </c>
      <c r="AM923" s="32">
        <v>904</v>
      </c>
      <c r="AN923" s="32">
        <v>76</v>
      </c>
      <c r="AO923" s="32">
        <v>4</v>
      </c>
      <c r="AP923" s="13"/>
      <c r="AQ923" s="32"/>
      <c r="AR923" s="13">
        <f t="shared" si="224"/>
        <v>0</v>
      </c>
      <c r="AS923" s="33"/>
      <c r="AT923" s="13">
        <f t="shared" si="218"/>
        <v>0</v>
      </c>
      <c r="AU923" s="13">
        <f>ROUNDUP(($AR923+$AT923)*VLOOKUP($AN923,Paraméterek!$P$38:$Q$38,2)/12,IF($D$4="Forint",0,2))</f>
        <v>0</v>
      </c>
      <c r="AV923" s="13"/>
      <c r="AW923" s="13"/>
      <c r="AX923" s="13">
        <f>ROUNDUP(IF(SUM($AV923:$AW923)=0,0,IF(IF(ISBLANK($AW923),$AV923,$AW923)*Paraméterek!$J$112&lt;IF($D$4="Forint",Paraméterek!$J$113,Paraméterek!$K$113),IF($D$4="Forint",Paraméterek!$J$113,Paraméterek!$K$113),IF(IF(ISBLANK($AW923),$AV923,$AW923)*Paraméterek!$J$112&gt;IF($D$4="Forint",Paraméterek!$J$114,Paraméterek!$K$114),IF($D$4="Forint",Paraméterek!$J$114,Paraméterek!$K$114),IF(ISBLANK($AW923),$AV923,$AW923)*Paraméterek!$J$112))),IF($D$4="Forint",0,2))</f>
        <v>0</v>
      </c>
      <c r="AY923" s="13">
        <f>$AR923+$AT923-$AU923-IF(ROUNDDOWN(IF(ISBLANK($AW923),$AV923,$AW923),IF($D$4="Forint",0,2))&gt;$AR923+$AT923-$AU923-IF($D$4="Forint",Paraméterek!$J$114,Paraméterek!$K$114),0,ROUNDDOWN(IF(ISBLANK($AW923),$AV923,$AW923),IF($D$4="Forint",0,2))-$AX923)</f>
        <v>0</v>
      </c>
      <c r="AZ923" s="13">
        <f t="shared" si="219"/>
        <v>0</v>
      </c>
    </row>
    <row r="924" spans="1:52" x14ac:dyDescent="0.2">
      <c r="A924" s="32">
        <v>905</v>
      </c>
      <c r="B924" s="32">
        <v>76</v>
      </c>
      <c r="C924" s="32">
        <v>5</v>
      </c>
      <c r="D924" s="13">
        <f t="shared" si="210"/>
        <v>0</v>
      </c>
      <c r="E924" s="13"/>
      <c r="F924" s="13"/>
      <c r="G924" s="13"/>
      <c r="H924" s="13">
        <f t="shared" si="211"/>
        <v>0</v>
      </c>
      <c r="I924" s="13">
        <f t="shared" si="212"/>
        <v>0</v>
      </c>
      <c r="J924" s="13">
        <f t="shared" si="213"/>
        <v>0</v>
      </c>
      <c r="K924" s="13">
        <f>ROUNDUP(IF($D$2="Egyszeri",$D924,IF($D$2="Havi",SUM($D$20:$D$31),IF(MOD($C924,$M$1)-1=0,SUM($D$20:$D$31),0))/12*$M$1)*VLOOKUP($B924,Paraméterek!$B$27:$D$30,IF($D$2="Egyszeri",3,2)),IF($D$4="Forint",0,2))</f>
        <v>0</v>
      </c>
      <c r="L924" s="13">
        <f t="shared" si="214"/>
        <v>0</v>
      </c>
      <c r="M924" s="13">
        <f t="shared" ca="1" si="220"/>
        <v>-1042560</v>
      </c>
      <c r="N924" s="13">
        <f ca="1">IF($V923&gt;=VLOOKUP($M$4-1+$B924,Paraméterek!$B$121:$D$122,IF($D$4="Forint",2,3)),0,VLOOKUP($M$4-1+$B924,Paraméterek!$B$121:$D$122,IF($D$4="Forint",2,3))-$V923)</f>
        <v>1052560</v>
      </c>
      <c r="O924" s="13">
        <f ca="1">ROUNDUP($N924*Paraméterek!$C$58/Paraméterek!$C$56,IF($D$4="Forint",0,2))</f>
        <v>168</v>
      </c>
      <c r="P924" s="13">
        <f t="shared" si="215"/>
        <v>5049</v>
      </c>
      <c r="Q924" s="33"/>
      <c r="R924" s="13">
        <f t="shared" ca="1" si="216"/>
        <v>0</v>
      </c>
      <c r="S924" s="13">
        <f ca="1">ROUNDUP(($M924-$O924-$P924+$R924)*VLOOKUP($B924,Paraméterek!$B$38:$D$39,IF($D$2="Egyszeri",3,2))/12,IF($D$4="Forint",0,2))</f>
        <v>-2559</v>
      </c>
      <c r="T924" s="13"/>
      <c r="U924" s="13"/>
      <c r="V924" s="13">
        <f ca="1">$M924-$O924-$P924+$R924-$S924-IF(ROUNDUP(IF(ISBLANK($U924),$T924,$U924)/IF(AND($B924=1,$D$2&lt;&gt;"Egyszeri"),1,VLOOKUP($B924+IF($C924=12,1,0),Paraméterek!$B$257:$D$267,IF($D$2="Egyszeri",3,2))),IF($D$4="Forint",0,2))&gt;$M924-$O924-$P924+$R924-$S924-IF($D$4="Forint",Paraméterek!$C$216,Paraméterek!$D$216),0,ROUNDUP(IF(ISBLANK($U924),$T924,$U924)/IF(AND($B924=1,$D$2&lt;&gt;"Egyszeri"),1,VLOOKUP($B924+IF($C924=12,1,0),Paraméterek!$B$257:$D$267,IF($D$2="Egyszeri",3,2))),IF($D$4="Forint",0,2)))</f>
        <v>-1045218</v>
      </c>
      <c r="W924" s="13">
        <f ca="1">ROUNDDOWN($V924*VLOOKUP($B924+IF($C924=12,1,0),Paraméterek!$B$257:$D$267,IF($D$2="Egyszeri",3,2)),IF($D$4="Forint",0,2))</f>
        <v>-1045218</v>
      </c>
      <c r="Y924" s="32">
        <v>905</v>
      </c>
      <c r="Z924" s="32">
        <v>76</v>
      </c>
      <c r="AA924" s="32">
        <v>5</v>
      </c>
      <c r="AB924" s="13">
        <f t="shared" si="221"/>
        <v>0</v>
      </c>
      <c r="AC924" s="33"/>
      <c r="AD924" s="13">
        <f t="shared" si="217"/>
        <v>0</v>
      </c>
      <c r="AE924" s="13">
        <f>ROUNDUP(($AB924+$AD924)*VLOOKUP($Z924,Paraméterek!$P$38:$Q$38,2)/12,IF($D$4="Forint",0,2))</f>
        <v>0</v>
      </c>
      <c r="AF924" s="13">
        <f>IF($D$2="Egyszeri",IF($D$7&gt;=IF($D$4="Forint",Paraméterek!$P$223,Paraméterek!$P$224),$D$7-IF($D$4="Forint",Paraméterek!$F$223,Paraméterek!$F$224),0),MIN(IF($AA924=12,AVERAGE($D$20:$D924)*12,0),SUM($D$20:$D$31)))</f>
        <v>0</v>
      </c>
      <c r="AG924" s="13">
        <f>IF(AND($Z924&gt;=10,MOD($Z924,5)=0),$AF924*IF($AA924=12,VLOOKUP($Z924,Paraméterek!$B$225:$F$240,IF($AF924&lt;IF($D$4="Forint",Paraméterek!$C$223,Paraméterek!$C$224),2,IF($AF924&lt;IF($D$4="Forint",Paraméterek!$D$223,Paraméterek!$D$224),3,4))),0),0)</f>
        <v>0</v>
      </c>
      <c r="AH924" s="13">
        <f>IF(AND($Z924&gt;=5,MOD($Z924,5)=0),IF($AA924=12,VLOOKUP($Z924,Paraméterek!$B$225:$F$240,5),0),IF(OR($Z924=3,$Z924=4),IF($AA924=12,VLOOKUP($Z924,Paraméterek!$B$225:$F$240,5,0),0),0))*$AF924</f>
        <v>0</v>
      </c>
      <c r="AI924" s="13">
        <f>ROUNDDOWN(IF(SUM($T$20:$U924)=0,IF($D$2="Egyszeri",$AH924,$AG924),0),IF($D$4="Forint",0,2))</f>
        <v>0</v>
      </c>
      <c r="AJ924" s="13">
        <f t="shared" si="222"/>
        <v>0</v>
      </c>
      <c r="AK924" s="13">
        <f t="shared" si="223"/>
        <v>0</v>
      </c>
      <c r="AM924" s="32">
        <v>905</v>
      </c>
      <c r="AN924" s="32">
        <v>76</v>
      </c>
      <c r="AO924" s="32">
        <v>5</v>
      </c>
      <c r="AP924" s="13"/>
      <c r="AQ924" s="32"/>
      <c r="AR924" s="13">
        <f t="shared" si="224"/>
        <v>0</v>
      </c>
      <c r="AS924" s="33"/>
      <c r="AT924" s="13">
        <f t="shared" si="218"/>
        <v>0</v>
      </c>
      <c r="AU924" s="13">
        <f>ROUNDUP(($AR924+$AT924)*VLOOKUP($AN924,Paraméterek!$P$38:$Q$38,2)/12,IF($D$4="Forint",0,2))</f>
        <v>0</v>
      </c>
      <c r="AV924" s="13"/>
      <c r="AW924" s="13"/>
      <c r="AX924" s="13">
        <f>ROUNDUP(IF(SUM($AV924:$AW924)=0,0,IF(IF(ISBLANK($AW924),$AV924,$AW924)*Paraméterek!$J$112&lt;IF($D$4="Forint",Paraméterek!$J$113,Paraméterek!$K$113),IF($D$4="Forint",Paraméterek!$J$113,Paraméterek!$K$113),IF(IF(ISBLANK($AW924),$AV924,$AW924)*Paraméterek!$J$112&gt;IF($D$4="Forint",Paraméterek!$J$114,Paraméterek!$K$114),IF($D$4="Forint",Paraméterek!$J$114,Paraméterek!$K$114),IF(ISBLANK($AW924),$AV924,$AW924)*Paraméterek!$J$112))),IF($D$4="Forint",0,2))</f>
        <v>0</v>
      </c>
      <c r="AY924" s="13">
        <f>$AR924+$AT924-$AU924-IF(ROUNDDOWN(IF(ISBLANK($AW924),$AV924,$AW924),IF($D$4="Forint",0,2))&gt;$AR924+$AT924-$AU924-IF($D$4="Forint",Paraméterek!$J$114,Paraméterek!$K$114),0,ROUNDDOWN(IF(ISBLANK($AW924),$AV924,$AW924),IF($D$4="Forint",0,2))-$AX924)</f>
        <v>0</v>
      </c>
      <c r="AZ924" s="13">
        <f t="shared" si="219"/>
        <v>0</v>
      </c>
    </row>
    <row r="925" spans="1:52" x14ac:dyDescent="0.2">
      <c r="A925" s="32">
        <v>906</v>
      </c>
      <c r="B925" s="32">
        <v>76</v>
      </c>
      <c r="C925" s="32">
        <v>6</v>
      </c>
      <c r="D925" s="13">
        <f t="shared" si="210"/>
        <v>0</v>
      </c>
      <c r="E925" s="13"/>
      <c r="F925" s="13"/>
      <c r="G925" s="13"/>
      <c r="H925" s="13">
        <f t="shared" si="211"/>
        <v>0</v>
      </c>
      <c r="I925" s="13">
        <f t="shared" si="212"/>
        <v>0</v>
      </c>
      <c r="J925" s="13">
        <f t="shared" si="213"/>
        <v>0</v>
      </c>
      <c r="K925" s="13">
        <f>ROUNDUP(IF($D$2="Egyszeri",$D925,IF($D$2="Havi",SUM($D$20:$D$31),IF(MOD($C925,$M$1)-1=0,SUM($D$20:$D$31),0))/12*$M$1)*VLOOKUP($B925,Paraméterek!$B$27:$D$30,IF($D$2="Egyszeri",3,2)),IF($D$4="Forint",0,2))</f>
        <v>0</v>
      </c>
      <c r="L925" s="13">
        <f t="shared" si="214"/>
        <v>0</v>
      </c>
      <c r="M925" s="13">
        <f t="shared" ca="1" si="220"/>
        <v>-1045218</v>
      </c>
      <c r="N925" s="13">
        <f ca="1">IF($V924&gt;=VLOOKUP($M$4-1+$B925,Paraméterek!$B$121:$D$122,IF($D$4="Forint",2,3)),0,VLOOKUP($M$4-1+$B925,Paraméterek!$B$121:$D$122,IF($D$4="Forint",2,3))-$V924)</f>
        <v>1055218</v>
      </c>
      <c r="O925" s="13">
        <f ca="1">ROUNDUP($N925*Paraméterek!$C$58/Paraméterek!$C$56,IF($D$4="Forint",0,2))</f>
        <v>168</v>
      </c>
      <c r="P925" s="13">
        <f t="shared" si="215"/>
        <v>5049</v>
      </c>
      <c r="Q925" s="33"/>
      <c r="R925" s="13">
        <f t="shared" ca="1" si="216"/>
        <v>0</v>
      </c>
      <c r="S925" s="13">
        <f ca="1">ROUNDUP(($M925-$O925-$P925+$R925)*VLOOKUP($B925,Paraméterek!$B$38:$D$39,IF($D$2="Egyszeri",3,2))/12,IF($D$4="Forint",0,2))</f>
        <v>-2565</v>
      </c>
      <c r="T925" s="13"/>
      <c r="U925" s="13"/>
      <c r="V925" s="13">
        <f ca="1">$M925-$O925-$P925+$R925-$S925-IF(ROUNDUP(IF(ISBLANK($U925),$T925,$U925)/IF(AND($B925=1,$D$2&lt;&gt;"Egyszeri"),1,VLOOKUP($B925+IF($C925=12,1,0),Paraméterek!$B$257:$D$267,IF($D$2="Egyszeri",3,2))),IF($D$4="Forint",0,2))&gt;$M925-$O925-$P925+$R925-$S925-IF($D$4="Forint",Paraméterek!$C$216,Paraméterek!$D$216),0,ROUNDUP(IF(ISBLANK($U925),$T925,$U925)/IF(AND($B925=1,$D$2&lt;&gt;"Egyszeri"),1,VLOOKUP($B925+IF($C925=12,1,0),Paraméterek!$B$257:$D$267,IF($D$2="Egyszeri",3,2))),IF($D$4="Forint",0,2)))</f>
        <v>-1047870</v>
      </c>
      <c r="W925" s="13">
        <f ca="1">ROUNDDOWN($V925*VLOOKUP($B925+IF($C925=12,1,0),Paraméterek!$B$257:$D$267,IF($D$2="Egyszeri",3,2)),IF($D$4="Forint",0,2))</f>
        <v>-1047870</v>
      </c>
      <c r="Y925" s="32">
        <v>906</v>
      </c>
      <c r="Z925" s="32">
        <v>76</v>
      </c>
      <c r="AA925" s="32">
        <v>6</v>
      </c>
      <c r="AB925" s="13">
        <f t="shared" si="221"/>
        <v>0</v>
      </c>
      <c r="AC925" s="33"/>
      <c r="AD925" s="13">
        <f t="shared" si="217"/>
        <v>0</v>
      </c>
      <c r="AE925" s="13">
        <f>ROUNDUP(($AB925+$AD925)*VLOOKUP($Z925,Paraméterek!$P$38:$Q$38,2)/12,IF($D$4="Forint",0,2))</f>
        <v>0</v>
      </c>
      <c r="AF925" s="13">
        <f>IF($D$2="Egyszeri",IF($D$7&gt;=IF($D$4="Forint",Paraméterek!$P$223,Paraméterek!$P$224),$D$7-IF($D$4="Forint",Paraméterek!$F$223,Paraméterek!$F$224),0),MIN(IF($AA925=12,AVERAGE($D$20:$D925)*12,0),SUM($D$20:$D$31)))</f>
        <v>0</v>
      </c>
      <c r="AG925" s="13">
        <f>IF(AND($Z925&gt;=10,MOD($Z925,5)=0),$AF925*IF($AA925=12,VLOOKUP($Z925,Paraméterek!$B$225:$F$240,IF($AF925&lt;IF($D$4="Forint",Paraméterek!$C$223,Paraméterek!$C$224),2,IF($AF925&lt;IF($D$4="Forint",Paraméterek!$D$223,Paraméterek!$D$224),3,4))),0),0)</f>
        <v>0</v>
      </c>
      <c r="AH925" s="13">
        <f>IF(AND($Z925&gt;=5,MOD($Z925,5)=0),IF($AA925=12,VLOOKUP($Z925,Paraméterek!$B$225:$F$240,5),0),IF(OR($Z925=3,$Z925=4),IF($AA925=12,VLOOKUP($Z925,Paraméterek!$B$225:$F$240,5,0),0),0))*$AF925</f>
        <v>0</v>
      </c>
      <c r="AI925" s="13">
        <f>ROUNDDOWN(IF(SUM($T$20:$U925)=0,IF($D$2="Egyszeri",$AH925,$AG925),0),IF($D$4="Forint",0,2))</f>
        <v>0</v>
      </c>
      <c r="AJ925" s="13">
        <f t="shared" si="222"/>
        <v>0</v>
      </c>
      <c r="AK925" s="13">
        <f t="shared" si="223"/>
        <v>0</v>
      </c>
      <c r="AM925" s="32">
        <v>906</v>
      </c>
      <c r="AN925" s="32">
        <v>76</v>
      </c>
      <c r="AO925" s="32">
        <v>6</v>
      </c>
      <c r="AP925" s="13"/>
      <c r="AQ925" s="32"/>
      <c r="AR925" s="13">
        <f t="shared" si="224"/>
        <v>0</v>
      </c>
      <c r="AS925" s="33"/>
      <c r="AT925" s="13">
        <f t="shared" si="218"/>
        <v>0</v>
      </c>
      <c r="AU925" s="13">
        <f>ROUNDUP(($AR925+$AT925)*VLOOKUP($AN925,Paraméterek!$P$38:$Q$38,2)/12,IF($D$4="Forint",0,2))</f>
        <v>0</v>
      </c>
      <c r="AV925" s="13"/>
      <c r="AW925" s="13"/>
      <c r="AX925" s="13">
        <f>ROUNDUP(IF(SUM($AV925:$AW925)=0,0,IF(IF(ISBLANK($AW925),$AV925,$AW925)*Paraméterek!$J$112&lt;IF($D$4="Forint",Paraméterek!$J$113,Paraméterek!$K$113),IF($D$4="Forint",Paraméterek!$J$113,Paraméterek!$K$113),IF(IF(ISBLANK($AW925),$AV925,$AW925)*Paraméterek!$J$112&gt;IF($D$4="Forint",Paraméterek!$J$114,Paraméterek!$K$114),IF($D$4="Forint",Paraméterek!$J$114,Paraméterek!$K$114),IF(ISBLANK($AW925),$AV925,$AW925)*Paraméterek!$J$112))),IF($D$4="Forint",0,2))</f>
        <v>0</v>
      </c>
      <c r="AY925" s="13">
        <f>$AR925+$AT925-$AU925-IF(ROUNDDOWN(IF(ISBLANK($AW925),$AV925,$AW925),IF($D$4="Forint",0,2))&gt;$AR925+$AT925-$AU925-IF($D$4="Forint",Paraméterek!$J$114,Paraméterek!$K$114),0,ROUNDDOWN(IF(ISBLANK($AW925),$AV925,$AW925),IF($D$4="Forint",0,2))-$AX925)</f>
        <v>0</v>
      </c>
      <c r="AZ925" s="13">
        <f t="shared" si="219"/>
        <v>0</v>
      </c>
    </row>
    <row r="926" spans="1:52" x14ac:dyDescent="0.2">
      <c r="A926" s="32">
        <v>907</v>
      </c>
      <c r="B926" s="32">
        <v>76</v>
      </c>
      <c r="C926" s="32">
        <v>7</v>
      </c>
      <c r="D926" s="13">
        <f t="shared" si="210"/>
        <v>0</v>
      </c>
      <c r="E926" s="13"/>
      <c r="F926" s="13"/>
      <c r="G926" s="13"/>
      <c r="H926" s="13">
        <f t="shared" si="211"/>
        <v>0</v>
      </c>
      <c r="I926" s="13">
        <f t="shared" si="212"/>
        <v>0</v>
      </c>
      <c r="J926" s="13">
        <f t="shared" si="213"/>
        <v>0</v>
      </c>
      <c r="K926" s="13">
        <f>ROUNDUP(IF($D$2="Egyszeri",$D926,IF($D$2="Havi",SUM($D$20:$D$31),IF(MOD($C926,$M$1)-1=0,SUM($D$20:$D$31),0))/12*$M$1)*VLOOKUP($B926,Paraméterek!$B$27:$D$30,IF($D$2="Egyszeri",3,2)),IF($D$4="Forint",0,2))</f>
        <v>0</v>
      </c>
      <c r="L926" s="13">
        <f t="shared" si="214"/>
        <v>0</v>
      </c>
      <c r="M926" s="13">
        <f t="shared" ca="1" si="220"/>
        <v>-1047870</v>
      </c>
      <c r="N926" s="13">
        <f ca="1">IF($V925&gt;=VLOOKUP($M$4-1+$B926,Paraméterek!$B$121:$D$122,IF($D$4="Forint",2,3)),0,VLOOKUP($M$4-1+$B926,Paraméterek!$B$121:$D$122,IF($D$4="Forint",2,3))-$V925)</f>
        <v>1057870</v>
      </c>
      <c r="O926" s="13">
        <f ca="1">ROUNDUP($N926*Paraméterek!$C$58/Paraméterek!$C$56,IF($D$4="Forint",0,2))</f>
        <v>169</v>
      </c>
      <c r="P926" s="13">
        <f t="shared" si="215"/>
        <v>5049</v>
      </c>
      <c r="Q926" s="33"/>
      <c r="R926" s="13">
        <f t="shared" ca="1" si="216"/>
        <v>0</v>
      </c>
      <c r="S926" s="13">
        <f ca="1">ROUNDUP(($M926-$O926-$P926+$R926)*VLOOKUP($B926,Paraméterek!$B$38:$D$39,IF($D$2="Egyszeri",3,2))/12,IF($D$4="Forint",0,2))</f>
        <v>-2572</v>
      </c>
      <c r="T926" s="13"/>
      <c r="U926" s="13"/>
      <c r="V926" s="13">
        <f ca="1">$M926-$O926-$P926+$R926-$S926-IF(ROUNDUP(IF(ISBLANK($U926),$T926,$U926)/IF(AND($B926=1,$D$2&lt;&gt;"Egyszeri"),1,VLOOKUP($B926+IF($C926=12,1,0),Paraméterek!$B$257:$D$267,IF($D$2="Egyszeri",3,2))),IF($D$4="Forint",0,2))&gt;$M926-$O926-$P926+$R926-$S926-IF($D$4="Forint",Paraméterek!$C$216,Paraméterek!$D$216),0,ROUNDUP(IF(ISBLANK($U926),$T926,$U926)/IF(AND($B926=1,$D$2&lt;&gt;"Egyszeri"),1,VLOOKUP($B926+IF($C926=12,1,0),Paraméterek!$B$257:$D$267,IF($D$2="Egyszeri",3,2))),IF($D$4="Forint",0,2)))</f>
        <v>-1050516</v>
      </c>
      <c r="W926" s="13">
        <f ca="1">ROUNDDOWN($V926*VLOOKUP($B926+IF($C926=12,1,0),Paraméterek!$B$257:$D$267,IF($D$2="Egyszeri",3,2)),IF($D$4="Forint",0,2))</f>
        <v>-1050516</v>
      </c>
      <c r="Y926" s="32">
        <v>907</v>
      </c>
      <c r="Z926" s="32">
        <v>76</v>
      </c>
      <c r="AA926" s="32">
        <v>7</v>
      </c>
      <c r="AB926" s="13">
        <f t="shared" si="221"/>
        <v>0</v>
      </c>
      <c r="AC926" s="33"/>
      <c r="AD926" s="13">
        <f t="shared" si="217"/>
        <v>0</v>
      </c>
      <c r="AE926" s="13">
        <f>ROUNDUP(($AB926+$AD926)*VLOOKUP($Z926,Paraméterek!$P$38:$Q$38,2)/12,IF($D$4="Forint",0,2))</f>
        <v>0</v>
      </c>
      <c r="AF926" s="13">
        <f>IF($D$2="Egyszeri",IF($D$7&gt;=IF($D$4="Forint",Paraméterek!$P$223,Paraméterek!$P$224),$D$7-IF($D$4="Forint",Paraméterek!$F$223,Paraméterek!$F$224),0),MIN(IF($AA926=12,AVERAGE($D$20:$D926)*12,0),SUM($D$20:$D$31)))</f>
        <v>0</v>
      </c>
      <c r="AG926" s="13">
        <f>IF(AND($Z926&gt;=10,MOD($Z926,5)=0),$AF926*IF($AA926=12,VLOOKUP($Z926,Paraméterek!$B$225:$F$240,IF($AF926&lt;IF($D$4="Forint",Paraméterek!$C$223,Paraméterek!$C$224),2,IF($AF926&lt;IF($D$4="Forint",Paraméterek!$D$223,Paraméterek!$D$224),3,4))),0),0)</f>
        <v>0</v>
      </c>
      <c r="AH926" s="13">
        <f>IF(AND($Z926&gt;=5,MOD($Z926,5)=0),IF($AA926=12,VLOOKUP($Z926,Paraméterek!$B$225:$F$240,5),0),IF(OR($Z926=3,$Z926=4),IF($AA926=12,VLOOKUP($Z926,Paraméterek!$B$225:$F$240,5,0),0),0))*$AF926</f>
        <v>0</v>
      </c>
      <c r="AI926" s="13">
        <f>ROUNDDOWN(IF(SUM($T$20:$U926)=0,IF($D$2="Egyszeri",$AH926,$AG926),0),IF($D$4="Forint",0,2))</f>
        <v>0</v>
      </c>
      <c r="AJ926" s="13">
        <f t="shared" si="222"/>
        <v>0</v>
      </c>
      <c r="AK926" s="13">
        <f t="shared" si="223"/>
        <v>0</v>
      </c>
      <c r="AM926" s="32">
        <v>907</v>
      </c>
      <c r="AN926" s="32">
        <v>76</v>
      </c>
      <c r="AO926" s="32">
        <v>7</v>
      </c>
      <c r="AP926" s="13"/>
      <c r="AQ926" s="32"/>
      <c r="AR926" s="13">
        <f t="shared" si="224"/>
        <v>0</v>
      </c>
      <c r="AS926" s="33"/>
      <c r="AT926" s="13">
        <f t="shared" si="218"/>
        <v>0</v>
      </c>
      <c r="AU926" s="13">
        <f>ROUNDUP(($AR926+$AT926)*VLOOKUP($AN926,Paraméterek!$P$38:$Q$38,2)/12,IF($D$4="Forint",0,2))</f>
        <v>0</v>
      </c>
      <c r="AV926" s="13"/>
      <c r="AW926" s="13"/>
      <c r="AX926" s="13">
        <f>ROUNDUP(IF(SUM($AV926:$AW926)=0,0,IF(IF(ISBLANK($AW926),$AV926,$AW926)*Paraméterek!$J$112&lt;IF($D$4="Forint",Paraméterek!$J$113,Paraméterek!$K$113),IF($D$4="Forint",Paraméterek!$J$113,Paraméterek!$K$113),IF(IF(ISBLANK($AW926),$AV926,$AW926)*Paraméterek!$J$112&gt;IF($D$4="Forint",Paraméterek!$J$114,Paraméterek!$K$114),IF($D$4="Forint",Paraméterek!$J$114,Paraméterek!$K$114),IF(ISBLANK($AW926),$AV926,$AW926)*Paraméterek!$J$112))),IF($D$4="Forint",0,2))</f>
        <v>0</v>
      </c>
      <c r="AY926" s="13">
        <f>$AR926+$AT926-$AU926-IF(ROUNDDOWN(IF(ISBLANK($AW926),$AV926,$AW926),IF($D$4="Forint",0,2))&gt;$AR926+$AT926-$AU926-IF($D$4="Forint",Paraméterek!$J$114,Paraméterek!$K$114),0,ROUNDDOWN(IF(ISBLANK($AW926),$AV926,$AW926),IF($D$4="Forint",0,2))-$AX926)</f>
        <v>0</v>
      </c>
      <c r="AZ926" s="13">
        <f t="shared" si="219"/>
        <v>0</v>
      </c>
    </row>
    <row r="927" spans="1:52" x14ac:dyDescent="0.2">
      <c r="A927" s="32">
        <v>908</v>
      </c>
      <c r="B927" s="32">
        <v>76</v>
      </c>
      <c r="C927" s="32">
        <v>8</v>
      </c>
      <c r="D927" s="13">
        <f t="shared" si="210"/>
        <v>0</v>
      </c>
      <c r="E927" s="13"/>
      <c r="F927" s="13"/>
      <c r="G927" s="13"/>
      <c r="H927" s="13">
        <f t="shared" si="211"/>
        <v>0</v>
      </c>
      <c r="I927" s="13">
        <f t="shared" si="212"/>
        <v>0</v>
      </c>
      <c r="J927" s="13">
        <f t="shared" si="213"/>
        <v>0</v>
      </c>
      <c r="K927" s="13">
        <f>ROUNDUP(IF($D$2="Egyszeri",$D927,IF($D$2="Havi",SUM($D$20:$D$31),IF(MOD($C927,$M$1)-1=0,SUM($D$20:$D$31),0))/12*$M$1)*VLOOKUP($B927,Paraméterek!$B$27:$D$30,IF($D$2="Egyszeri",3,2)),IF($D$4="Forint",0,2))</f>
        <v>0</v>
      </c>
      <c r="L927" s="13">
        <f t="shared" si="214"/>
        <v>0</v>
      </c>
      <c r="M927" s="13">
        <f t="shared" ca="1" si="220"/>
        <v>-1050516</v>
      </c>
      <c r="N927" s="13">
        <f ca="1">IF($V926&gt;=VLOOKUP($M$4-1+$B927,Paraméterek!$B$121:$D$122,IF($D$4="Forint",2,3)),0,VLOOKUP($M$4-1+$B927,Paraméterek!$B$121:$D$122,IF($D$4="Forint",2,3))-$V926)</f>
        <v>1060516</v>
      </c>
      <c r="O927" s="13">
        <f ca="1">ROUNDUP($N927*Paraméterek!$C$58/Paraméterek!$C$56,IF($D$4="Forint",0,2))</f>
        <v>169</v>
      </c>
      <c r="P927" s="13">
        <f t="shared" si="215"/>
        <v>5049</v>
      </c>
      <c r="Q927" s="33"/>
      <c r="R927" s="13">
        <f t="shared" ca="1" si="216"/>
        <v>0</v>
      </c>
      <c r="S927" s="13">
        <f ca="1">ROUNDUP(($M927-$O927-$P927+$R927)*VLOOKUP($B927,Paraméterek!$B$38:$D$39,IF($D$2="Egyszeri",3,2))/12,IF($D$4="Forint",0,2))</f>
        <v>-2578</v>
      </c>
      <c r="T927" s="13"/>
      <c r="U927" s="13"/>
      <c r="V927" s="13">
        <f ca="1">$M927-$O927-$P927+$R927-$S927-IF(ROUNDUP(IF(ISBLANK($U927),$T927,$U927)/IF(AND($B927=1,$D$2&lt;&gt;"Egyszeri"),1,VLOOKUP($B927+IF($C927=12,1,0),Paraméterek!$B$257:$D$267,IF($D$2="Egyszeri",3,2))),IF($D$4="Forint",0,2))&gt;$M927-$O927-$P927+$R927-$S927-IF($D$4="Forint",Paraméterek!$C$216,Paraméterek!$D$216),0,ROUNDUP(IF(ISBLANK($U927),$T927,$U927)/IF(AND($B927=1,$D$2&lt;&gt;"Egyszeri"),1,VLOOKUP($B927+IF($C927=12,1,0),Paraméterek!$B$257:$D$267,IF($D$2="Egyszeri",3,2))),IF($D$4="Forint",0,2)))</f>
        <v>-1053156</v>
      </c>
      <c r="W927" s="13">
        <f ca="1">ROUNDDOWN($V927*VLOOKUP($B927+IF($C927=12,1,0),Paraméterek!$B$257:$D$267,IF($D$2="Egyszeri",3,2)),IF($D$4="Forint",0,2))</f>
        <v>-1053156</v>
      </c>
      <c r="Y927" s="32">
        <v>908</v>
      </c>
      <c r="Z927" s="32">
        <v>76</v>
      </c>
      <c r="AA927" s="32">
        <v>8</v>
      </c>
      <c r="AB927" s="13">
        <f t="shared" si="221"/>
        <v>0</v>
      </c>
      <c r="AC927" s="33"/>
      <c r="AD927" s="13">
        <f t="shared" si="217"/>
        <v>0</v>
      </c>
      <c r="AE927" s="13">
        <f>ROUNDUP(($AB927+$AD927)*VLOOKUP($Z927,Paraméterek!$P$38:$Q$38,2)/12,IF($D$4="Forint",0,2))</f>
        <v>0</v>
      </c>
      <c r="AF927" s="13">
        <f>IF($D$2="Egyszeri",IF($D$7&gt;=IF($D$4="Forint",Paraméterek!$P$223,Paraméterek!$P$224),$D$7-IF($D$4="Forint",Paraméterek!$F$223,Paraméterek!$F$224),0),MIN(IF($AA927=12,AVERAGE($D$20:$D927)*12,0),SUM($D$20:$D$31)))</f>
        <v>0</v>
      </c>
      <c r="AG927" s="13">
        <f>IF(AND($Z927&gt;=10,MOD($Z927,5)=0),$AF927*IF($AA927=12,VLOOKUP($Z927,Paraméterek!$B$225:$F$240,IF($AF927&lt;IF($D$4="Forint",Paraméterek!$C$223,Paraméterek!$C$224),2,IF($AF927&lt;IF($D$4="Forint",Paraméterek!$D$223,Paraméterek!$D$224),3,4))),0),0)</f>
        <v>0</v>
      </c>
      <c r="AH927" s="13">
        <f>IF(AND($Z927&gt;=5,MOD($Z927,5)=0),IF($AA927=12,VLOOKUP($Z927,Paraméterek!$B$225:$F$240,5),0),IF(OR($Z927=3,$Z927=4),IF($AA927=12,VLOOKUP($Z927,Paraméterek!$B$225:$F$240,5,0),0),0))*$AF927</f>
        <v>0</v>
      </c>
      <c r="AI927" s="13">
        <f>ROUNDDOWN(IF(SUM($T$20:$U927)=0,IF($D$2="Egyszeri",$AH927,$AG927),0),IF($D$4="Forint",0,2))</f>
        <v>0</v>
      </c>
      <c r="AJ927" s="13">
        <f t="shared" si="222"/>
        <v>0</v>
      </c>
      <c r="AK927" s="13">
        <f t="shared" si="223"/>
        <v>0</v>
      </c>
      <c r="AM927" s="32">
        <v>908</v>
      </c>
      <c r="AN927" s="32">
        <v>76</v>
      </c>
      <c r="AO927" s="32">
        <v>8</v>
      </c>
      <c r="AP927" s="13"/>
      <c r="AQ927" s="32"/>
      <c r="AR927" s="13">
        <f t="shared" si="224"/>
        <v>0</v>
      </c>
      <c r="AS927" s="33"/>
      <c r="AT927" s="13">
        <f t="shared" si="218"/>
        <v>0</v>
      </c>
      <c r="AU927" s="13">
        <f>ROUNDUP(($AR927+$AT927)*VLOOKUP($AN927,Paraméterek!$P$38:$Q$38,2)/12,IF($D$4="Forint",0,2))</f>
        <v>0</v>
      </c>
      <c r="AV927" s="13"/>
      <c r="AW927" s="13"/>
      <c r="AX927" s="13">
        <f>ROUNDUP(IF(SUM($AV927:$AW927)=0,0,IF(IF(ISBLANK($AW927),$AV927,$AW927)*Paraméterek!$J$112&lt;IF($D$4="Forint",Paraméterek!$J$113,Paraméterek!$K$113),IF($D$4="Forint",Paraméterek!$J$113,Paraméterek!$K$113),IF(IF(ISBLANK($AW927),$AV927,$AW927)*Paraméterek!$J$112&gt;IF($D$4="Forint",Paraméterek!$J$114,Paraméterek!$K$114),IF($D$4="Forint",Paraméterek!$J$114,Paraméterek!$K$114),IF(ISBLANK($AW927),$AV927,$AW927)*Paraméterek!$J$112))),IF($D$4="Forint",0,2))</f>
        <v>0</v>
      </c>
      <c r="AY927" s="13">
        <f>$AR927+$AT927-$AU927-IF(ROUNDDOWN(IF(ISBLANK($AW927),$AV927,$AW927),IF($D$4="Forint",0,2))&gt;$AR927+$AT927-$AU927-IF($D$4="Forint",Paraméterek!$J$114,Paraméterek!$K$114),0,ROUNDDOWN(IF(ISBLANK($AW927),$AV927,$AW927),IF($D$4="Forint",0,2))-$AX927)</f>
        <v>0</v>
      </c>
      <c r="AZ927" s="13">
        <f t="shared" si="219"/>
        <v>0</v>
      </c>
    </row>
    <row r="928" spans="1:52" x14ac:dyDescent="0.2">
      <c r="A928" s="32">
        <v>909</v>
      </c>
      <c r="B928" s="32">
        <v>76</v>
      </c>
      <c r="C928" s="32">
        <v>9</v>
      </c>
      <c r="D928" s="13">
        <f t="shared" si="210"/>
        <v>0</v>
      </c>
      <c r="E928" s="13"/>
      <c r="F928" s="13"/>
      <c r="G928" s="13"/>
      <c r="H928" s="13">
        <f t="shared" si="211"/>
        <v>0</v>
      </c>
      <c r="I928" s="13">
        <f t="shared" si="212"/>
        <v>0</v>
      </c>
      <c r="J928" s="13">
        <f t="shared" si="213"/>
        <v>0</v>
      </c>
      <c r="K928" s="13">
        <f>ROUNDUP(IF($D$2="Egyszeri",$D928,IF($D$2="Havi",SUM($D$20:$D$31),IF(MOD($C928,$M$1)-1=0,SUM($D$20:$D$31),0))/12*$M$1)*VLOOKUP($B928,Paraméterek!$B$27:$D$30,IF($D$2="Egyszeri",3,2)),IF($D$4="Forint",0,2))</f>
        <v>0</v>
      </c>
      <c r="L928" s="13">
        <f t="shared" si="214"/>
        <v>0</v>
      </c>
      <c r="M928" s="13">
        <f t="shared" ca="1" si="220"/>
        <v>-1053156</v>
      </c>
      <c r="N928" s="13">
        <f ca="1">IF($V927&gt;=VLOOKUP($M$4-1+$B928,Paraméterek!$B$121:$D$122,IF($D$4="Forint",2,3)),0,VLOOKUP($M$4-1+$B928,Paraméterek!$B$121:$D$122,IF($D$4="Forint",2,3))-$V927)</f>
        <v>1063156</v>
      </c>
      <c r="O928" s="13">
        <f ca="1">ROUNDUP($N928*Paraméterek!$C$58/Paraméterek!$C$56,IF($D$4="Forint",0,2))</f>
        <v>170</v>
      </c>
      <c r="P928" s="13">
        <f t="shared" si="215"/>
        <v>5049</v>
      </c>
      <c r="Q928" s="33"/>
      <c r="R928" s="13">
        <f t="shared" ca="1" si="216"/>
        <v>0</v>
      </c>
      <c r="S928" s="13">
        <f ca="1">ROUNDUP(($M928-$O928-$P928+$R928)*VLOOKUP($B928,Paraméterek!$B$38:$D$39,IF($D$2="Egyszeri",3,2))/12,IF($D$4="Forint",0,2))</f>
        <v>-2585</v>
      </c>
      <c r="T928" s="13"/>
      <c r="U928" s="13"/>
      <c r="V928" s="13">
        <f ca="1">$M928-$O928-$P928+$R928-$S928-IF(ROUNDUP(IF(ISBLANK($U928),$T928,$U928)/IF(AND($B928=1,$D$2&lt;&gt;"Egyszeri"),1,VLOOKUP($B928+IF($C928=12,1,0),Paraméterek!$B$257:$D$267,IF($D$2="Egyszeri",3,2))),IF($D$4="Forint",0,2))&gt;$M928-$O928-$P928+$R928-$S928-IF($D$4="Forint",Paraméterek!$C$216,Paraméterek!$D$216),0,ROUNDUP(IF(ISBLANK($U928),$T928,$U928)/IF(AND($B928=1,$D$2&lt;&gt;"Egyszeri"),1,VLOOKUP($B928+IF($C928=12,1,0),Paraméterek!$B$257:$D$267,IF($D$2="Egyszeri",3,2))),IF($D$4="Forint",0,2)))</f>
        <v>-1055790</v>
      </c>
      <c r="W928" s="13">
        <f ca="1">ROUNDDOWN($V928*VLOOKUP($B928+IF($C928=12,1,0),Paraméterek!$B$257:$D$267,IF($D$2="Egyszeri",3,2)),IF($D$4="Forint",0,2))</f>
        <v>-1055790</v>
      </c>
      <c r="Y928" s="32">
        <v>909</v>
      </c>
      <c r="Z928" s="32">
        <v>76</v>
      </c>
      <c r="AA928" s="32">
        <v>9</v>
      </c>
      <c r="AB928" s="13">
        <f t="shared" si="221"/>
        <v>0</v>
      </c>
      <c r="AC928" s="33"/>
      <c r="AD928" s="13">
        <f t="shared" si="217"/>
        <v>0</v>
      </c>
      <c r="AE928" s="13">
        <f>ROUNDUP(($AB928+$AD928)*VLOOKUP($Z928,Paraméterek!$P$38:$Q$38,2)/12,IF($D$4="Forint",0,2))</f>
        <v>0</v>
      </c>
      <c r="AF928" s="13">
        <f>IF($D$2="Egyszeri",IF($D$7&gt;=IF($D$4="Forint",Paraméterek!$P$223,Paraméterek!$P$224),$D$7-IF($D$4="Forint",Paraméterek!$F$223,Paraméterek!$F$224),0),MIN(IF($AA928=12,AVERAGE($D$20:$D928)*12,0),SUM($D$20:$D$31)))</f>
        <v>0</v>
      </c>
      <c r="AG928" s="13">
        <f>IF(AND($Z928&gt;=10,MOD($Z928,5)=0),$AF928*IF($AA928=12,VLOOKUP($Z928,Paraméterek!$B$225:$F$240,IF($AF928&lt;IF($D$4="Forint",Paraméterek!$C$223,Paraméterek!$C$224),2,IF($AF928&lt;IF($D$4="Forint",Paraméterek!$D$223,Paraméterek!$D$224),3,4))),0),0)</f>
        <v>0</v>
      </c>
      <c r="AH928" s="13">
        <f>IF(AND($Z928&gt;=5,MOD($Z928,5)=0),IF($AA928=12,VLOOKUP($Z928,Paraméterek!$B$225:$F$240,5),0),IF(OR($Z928=3,$Z928=4),IF($AA928=12,VLOOKUP($Z928,Paraméterek!$B$225:$F$240,5,0),0),0))*$AF928</f>
        <v>0</v>
      </c>
      <c r="AI928" s="13">
        <f>ROUNDDOWN(IF(SUM($T$20:$U928)=0,IF($D$2="Egyszeri",$AH928,$AG928),0),IF($D$4="Forint",0,2))</f>
        <v>0</v>
      </c>
      <c r="AJ928" s="13">
        <f t="shared" si="222"/>
        <v>0</v>
      </c>
      <c r="AK928" s="13">
        <f t="shared" si="223"/>
        <v>0</v>
      </c>
      <c r="AM928" s="32">
        <v>909</v>
      </c>
      <c r="AN928" s="32">
        <v>76</v>
      </c>
      <c r="AO928" s="32">
        <v>9</v>
      </c>
      <c r="AP928" s="13"/>
      <c r="AQ928" s="32"/>
      <c r="AR928" s="13">
        <f t="shared" si="224"/>
        <v>0</v>
      </c>
      <c r="AS928" s="33"/>
      <c r="AT928" s="13">
        <f t="shared" si="218"/>
        <v>0</v>
      </c>
      <c r="AU928" s="13">
        <f>ROUNDUP(($AR928+$AT928)*VLOOKUP($AN928,Paraméterek!$P$38:$Q$38,2)/12,IF($D$4="Forint",0,2))</f>
        <v>0</v>
      </c>
      <c r="AV928" s="13"/>
      <c r="AW928" s="13"/>
      <c r="AX928" s="13">
        <f>ROUNDUP(IF(SUM($AV928:$AW928)=0,0,IF(IF(ISBLANK($AW928),$AV928,$AW928)*Paraméterek!$J$112&lt;IF($D$4="Forint",Paraméterek!$J$113,Paraméterek!$K$113),IF($D$4="Forint",Paraméterek!$J$113,Paraméterek!$K$113),IF(IF(ISBLANK($AW928),$AV928,$AW928)*Paraméterek!$J$112&gt;IF($D$4="Forint",Paraméterek!$J$114,Paraméterek!$K$114),IF($D$4="Forint",Paraméterek!$J$114,Paraméterek!$K$114),IF(ISBLANK($AW928),$AV928,$AW928)*Paraméterek!$J$112))),IF($D$4="Forint",0,2))</f>
        <v>0</v>
      </c>
      <c r="AY928" s="13">
        <f>$AR928+$AT928-$AU928-IF(ROUNDDOWN(IF(ISBLANK($AW928),$AV928,$AW928),IF($D$4="Forint",0,2))&gt;$AR928+$AT928-$AU928-IF($D$4="Forint",Paraméterek!$J$114,Paraméterek!$K$114),0,ROUNDDOWN(IF(ISBLANK($AW928),$AV928,$AW928),IF($D$4="Forint",0,2))-$AX928)</f>
        <v>0</v>
      </c>
      <c r="AZ928" s="13">
        <f t="shared" si="219"/>
        <v>0</v>
      </c>
    </row>
    <row r="929" spans="1:52" x14ac:dyDescent="0.2">
      <c r="A929" s="32">
        <v>910</v>
      </c>
      <c r="B929" s="32">
        <v>76</v>
      </c>
      <c r="C929" s="32">
        <v>10</v>
      </c>
      <c r="D929" s="13">
        <f t="shared" si="210"/>
        <v>0</v>
      </c>
      <c r="E929" s="13"/>
      <c r="F929" s="13"/>
      <c r="G929" s="13"/>
      <c r="H929" s="13">
        <f t="shared" si="211"/>
        <v>0</v>
      </c>
      <c r="I929" s="13">
        <f t="shared" si="212"/>
        <v>0</v>
      </c>
      <c r="J929" s="13">
        <f t="shared" si="213"/>
        <v>0</v>
      </c>
      <c r="K929" s="13">
        <f>ROUNDUP(IF($D$2="Egyszeri",$D929,IF($D$2="Havi",SUM($D$20:$D$31),IF(MOD($C929,$M$1)-1=0,SUM($D$20:$D$31),0))/12*$M$1)*VLOOKUP($B929,Paraméterek!$B$27:$D$30,IF($D$2="Egyszeri",3,2)),IF($D$4="Forint",0,2))</f>
        <v>0</v>
      </c>
      <c r="L929" s="13">
        <f t="shared" si="214"/>
        <v>0</v>
      </c>
      <c r="M929" s="13">
        <f t="shared" ca="1" si="220"/>
        <v>-1055790</v>
      </c>
      <c r="N929" s="13">
        <f ca="1">IF($V928&gt;=VLOOKUP($M$4-1+$B929,Paraméterek!$B$121:$D$122,IF($D$4="Forint",2,3)),0,VLOOKUP($M$4-1+$B929,Paraméterek!$B$121:$D$122,IF($D$4="Forint",2,3))-$V928)</f>
        <v>1065790</v>
      </c>
      <c r="O929" s="13">
        <f ca="1">ROUNDUP($N929*Paraméterek!$C$58/Paraméterek!$C$56,IF($D$4="Forint",0,2))</f>
        <v>170</v>
      </c>
      <c r="P929" s="13">
        <f t="shared" si="215"/>
        <v>5049</v>
      </c>
      <c r="Q929" s="33"/>
      <c r="R929" s="13">
        <f t="shared" ca="1" si="216"/>
        <v>0</v>
      </c>
      <c r="S929" s="13">
        <f ca="1">ROUNDUP(($M929-$O929-$P929+$R929)*VLOOKUP($B929,Paraméterek!$B$38:$D$39,IF($D$2="Egyszeri",3,2))/12,IF($D$4="Forint",0,2))</f>
        <v>-2591</v>
      </c>
      <c r="T929" s="13"/>
      <c r="U929" s="13"/>
      <c r="V929" s="13">
        <f ca="1">$M929-$O929-$P929+$R929-$S929-IF(ROUNDUP(IF(ISBLANK($U929),$T929,$U929)/IF(AND($B929=1,$D$2&lt;&gt;"Egyszeri"),1,VLOOKUP($B929+IF($C929=12,1,0),Paraméterek!$B$257:$D$267,IF($D$2="Egyszeri",3,2))),IF($D$4="Forint",0,2))&gt;$M929-$O929-$P929+$R929-$S929-IF($D$4="Forint",Paraméterek!$C$216,Paraméterek!$D$216),0,ROUNDUP(IF(ISBLANK($U929),$T929,$U929)/IF(AND($B929=1,$D$2&lt;&gt;"Egyszeri"),1,VLOOKUP($B929+IF($C929=12,1,0),Paraméterek!$B$257:$D$267,IF($D$2="Egyszeri",3,2))),IF($D$4="Forint",0,2)))</f>
        <v>-1058418</v>
      </c>
      <c r="W929" s="13">
        <f ca="1">ROUNDDOWN($V929*VLOOKUP($B929+IF($C929=12,1,0),Paraméterek!$B$257:$D$267,IF($D$2="Egyszeri",3,2)),IF($D$4="Forint",0,2))</f>
        <v>-1058418</v>
      </c>
      <c r="Y929" s="32">
        <v>910</v>
      </c>
      <c r="Z929" s="32">
        <v>76</v>
      </c>
      <c r="AA929" s="32">
        <v>10</v>
      </c>
      <c r="AB929" s="13">
        <f t="shared" si="221"/>
        <v>0</v>
      </c>
      <c r="AC929" s="33"/>
      <c r="AD929" s="13">
        <f t="shared" si="217"/>
        <v>0</v>
      </c>
      <c r="AE929" s="13">
        <f>ROUNDUP(($AB929+$AD929)*VLOOKUP($Z929,Paraméterek!$P$38:$Q$38,2)/12,IF($D$4="Forint",0,2))</f>
        <v>0</v>
      </c>
      <c r="AF929" s="13">
        <f>IF($D$2="Egyszeri",IF($D$7&gt;=IF($D$4="Forint",Paraméterek!$P$223,Paraméterek!$P$224),$D$7-IF($D$4="Forint",Paraméterek!$F$223,Paraméterek!$F$224),0),MIN(IF($AA929=12,AVERAGE($D$20:$D929)*12,0),SUM($D$20:$D$31)))</f>
        <v>0</v>
      </c>
      <c r="AG929" s="13">
        <f>IF(AND($Z929&gt;=10,MOD($Z929,5)=0),$AF929*IF($AA929=12,VLOOKUP($Z929,Paraméterek!$B$225:$F$240,IF($AF929&lt;IF($D$4="Forint",Paraméterek!$C$223,Paraméterek!$C$224),2,IF($AF929&lt;IF($D$4="Forint",Paraméterek!$D$223,Paraméterek!$D$224),3,4))),0),0)</f>
        <v>0</v>
      </c>
      <c r="AH929" s="13">
        <f>IF(AND($Z929&gt;=5,MOD($Z929,5)=0),IF($AA929=12,VLOOKUP($Z929,Paraméterek!$B$225:$F$240,5),0),IF(OR($Z929=3,$Z929=4),IF($AA929=12,VLOOKUP($Z929,Paraméterek!$B$225:$F$240,5,0),0),0))*$AF929</f>
        <v>0</v>
      </c>
      <c r="AI929" s="13">
        <f>ROUNDDOWN(IF(SUM($T$20:$U929)=0,IF($D$2="Egyszeri",$AH929,$AG929),0),IF($D$4="Forint",0,2))</f>
        <v>0</v>
      </c>
      <c r="AJ929" s="13">
        <f t="shared" si="222"/>
        <v>0</v>
      </c>
      <c r="AK929" s="13">
        <f t="shared" si="223"/>
        <v>0</v>
      </c>
      <c r="AM929" s="32">
        <v>910</v>
      </c>
      <c r="AN929" s="32">
        <v>76</v>
      </c>
      <c r="AO929" s="32">
        <v>10</v>
      </c>
      <c r="AP929" s="13"/>
      <c r="AQ929" s="32"/>
      <c r="AR929" s="13">
        <f t="shared" si="224"/>
        <v>0</v>
      </c>
      <c r="AS929" s="33"/>
      <c r="AT929" s="13">
        <f t="shared" si="218"/>
        <v>0</v>
      </c>
      <c r="AU929" s="13">
        <f>ROUNDUP(($AR929+$AT929)*VLOOKUP($AN929,Paraméterek!$P$38:$Q$38,2)/12,IF($D$4="Forint",0,2))</f>
        <v>0</v>
      </c>
      <c r="AV929" s="13"/>
      <c r="AW929" s="13"/>
      <c r="AX929" s="13">
        <f>ROUNDUP(IF(SUM($AV929:$AW929)=0,0,IF(IF(ISBLANK($AW929),$AV929,$AW929)*Paraméterek!$J$112&lt;IF($D$4="Forint",Paraméterek!$J$113,Paraméterek!$K$113),IF($D$4="Forint",Paraméterek!$J$113,Paraméterek!$K$113),IF(IF(ISBLANK($AW929),$AV929,$AW929)*Paraméterek!$J$112&gt;IF($D$4="Forint",Paraméterek!$J$114,Paraméterek!$K$114),IF($D$4="Forint",Paraméterek!$J$114,Paraméterek!$K$114),IF(ISBLANK($AW929),$AV929,$AW929)*Paraméterek!$J$112))),IF($D$4="Forint",0,2))</f>
        <v>0</v>
      </c>
      <c r="AY929" s="13">
        <f>$AR929+$AT929-$AU929-IF(ROUNDDOWN(IF(ISBLANK($AW929),$AV929,$AW929),IF($D$4="Forint",0,2))&gt;$AR929+$AT929-$AU929-IF($D$4="Forint",Paraméterek!$J$114,Paraméterek!$K$114),0,ROUNDDOWN(IF(ISBLANK($AW929),$AV929,$AW929),IF($D$4="Forint",0,2))-$AX929)</f>
        <v>0</v>
      </c>
      <c r="AZ929" s="13">
        <f t="shared" si="219"/>
        <v>0</v>
      </c>
    </row>
    <row r="930" spans="1:52" x14ac:dyDescent="0.2">
      <c r="A930" s="32">
        <v>911</v>
      </c>
      <c r="B930" s="32">
        <v>76</v>
      </c>
      <c r="C930" s="32">
        <v>11</v>
      </c>
      <c r="D930" s="13">
        <f t="shared" si="210"/>
        <v>0</v>
      </c>
      <c r="E930" s="13"/>
      <c r="F930" s="13"/>
      <c r="G930" s="13"/>
      <c r="H930" s="13">
        <f t="shared" si="211"/>
        <v>0</v>
      </c>
      <c r="I930" s="13">
        <f t="shared" si="212"/>
        <v>0</v>
      </c>
      <c r="J930" s="13">
        <f t="shared" si="213"/>
        <v>0</v>
      </c>
      <c r="K930" s="13">
        <f>ROUNDUP(IF($D$2="Egyszeri",$D930,IF($D$2="Havi",SUM($D$20:$D$31),IF(MOD($C930,$M$1)-1=0,SUM($D$20:$D$31),0))/12*$M$1)*VLOOKUP($B930,Paraméterek!$B$27:$D$30,IF($D$2="Egyszeri",3,2)),IF($D$4="Forint",0,2))</f>
        <v>0</v>
      </c>
      <c r="L930" s="13">
        <f t="shared" si="214"/>
        <v>0</v>
      </c>
      <c r="M930" s="13">
        <f t="shared" ca="1" si="220"/>
        <v>-1058418</v>
      </c>
      <c r="N930" s="13">
        <f ca="1">IF($V929&gt;=VLOOKUP($M$4-1+$B930,Paraméterek!$B$121:$D$122,IF($D$4="Forint",2,3)),0,VLOOKUP($M$4-1+$B930,Paraméterek!$B$121:$D$122,IF($D$4="Forint",2,3))-$V929)</f>
        <v>1068418</v>
      </c>
      <c r="O930" s="13">
        <f ca="1">ROUNDUP($N930*Paraméterek!$C$58/Paraméterek!$C$56,IF($D$4="Forint",0,2))</f>
        <v>171</v>
      </c>
      <c r="P930" s="13">
        <f t="shared" si="215"/>
        <v>5049</v>
      </c>
      <c r="Q930" s="33"/>
      <c r="R930" s="13">
        <f t="shared" ca="1" si="216"/>
        <v>0</v>
      </c>
      <c r="S930" s="13">
        <f ca="1">ROUNDUP(($M930-$O930-$P930+$R930)*VLOOKUP($B930,Paraméterek!$B$38:$D$39,IF($D$2="Egyszeri",3,2))/12,IF($D$4="Forint",0,2))</f>
        <v>-2598</v>
      </c>
      <c r="T930" s="13"/>
      <c r="U930" s="13"/>
      <c r="V930" s="13">
        <f ca="1">$M930-$O930-$P930+$R930-$S930-IF(ROUNDUP(IF(ISBLANK($U930),$T930,$U930)/IF(AND($B930=1,$D$2&lt;&gt;"Egyszeri"),1,VLOOKUP($B930+IF($C930=12,1,0),Paraméterek!$B$257:$D$267,IF($D$2="Egyszeri",3,2))),IF($D$4="Forint",0,2))&gt;$M930-$O930-$P930+$R930-$S930-IF($D$4="Forint",Paraméterek!$C$216,Paraméterek!$D$216),0,ROUNDUP(IF(ISBLANK($U930),$T930,$U930)/IF(AND($B930=1,$D$2&lt;&gt;"Egyszeri"),1,VLOOKUP($B930+IF($C930=12,1,0),Paraméterek!$B$257:$D$267,IF($D$2="Egyszeri",3,2))),IF($D$4="Forint",0,2)))</f>
        <v>-1061040</v>
      </c>
      <c r="W930" s="13">
        <f ca="1">ROUNDDOWN($V930*VLOOKUP($B930+IF($C930=12,1,0),Paraméterek!$B$257:$D$267,IF($D$2="Egyszeri",3,2)),IF($D$4="Forint",0,2))</f>
        <v>-1061040</v>
      </c>
      <c r="Y930" s="32">
        <v>911</v>
      </c>
      <c r="Z930" s="32">
        <v>76</v>
      </c>
      <c r="AA930" s="32">
        <v>11</v>
      </c>
      <c r="AB930" s="13">
        <f t="shared" si="221"/>
        <v>0</v>
      </c>
      <c r="AC930" s="33"/>
      <c r="AD930" s="13">
        <f t="shared" si="217"/>
        <v>0</v>
      </c>
      <c r="AE930" s="13">
        <f>ROUNDUP(($AB930+$AD930)*VLOOKUP($Z930,Paraméterek!$P$38:$Q$38,2)/12,IF($D$4="Forint",0,2))</f>
        <v>0</v>
      </c>
      <c r="AF930" s="13">
        <f>IF($D$2="Egyszeri",IF($D$7&gt;=IF($D$4="Forint",Paraméterek!$P$223,Paraméterek!$P$224),$D$7-IF($D$4="Forint",Paraméterek!$F$223,Paraméterek!$F$224),0),MIN(IF($AA930=12,AVERAGE($D$20:$D930)*12,0),SUM($D$20:$D$31)))</f>
        <v>0</v>
      </c>
      <c r="AG930" s="13">
        <f>IF(AND($Z930&gt;=10,MOD($Z930,5)=0),$AF930*IF($AA930=12,VLOOKUP($Z930,Paraméterek!$B$225:$F$240,IF($AF930&lt;IF($D$4="Forint",Paraméterek!$C$223,Paraméterek!$C$224),2,IF($AF930&lt;IF($D$4="Forint",Paraméterek!$D$223,Paraméterek!$D$224),3,4))),0),0)</f>
        <v>0</v>
      </c>
      <c r="AH930" s="13">
        <f>IF(AND($Z930&gt;=5,MOD($Z930,5)=0),IF($AA930=12,VLOOKUP($Z930,Paraméterek!$B$225:$F$240,5),0),IF(OR($Z930=3,$Z930=4),IF($AA930=12,VLOOKUP($Z930,Paraméterek!$B$225:$F$240,5,0),0),0))*$AF930</f>
        <v>0</v>
      </c>
      <c r="AI930" s="13">
        <f>ROUNDDOWN(IF(SUM($T$20:$U930)=0,IF($D$2="Egyszeri",$AH930,$AG930),0),IF($D$4="Forint",0,2))</f>
        <v>0</v>
      </c>
      <c r="AJ930" s="13">
        <f t="shared" si="222"/>
        <v>0</v>
      </c>
      <c r="AK930" s="13">
        <f t="shared" si="223"/>
        <v>0</v>
      </c>
      <c r="AM930" s="32">
        <v>911</v>
      </c>
      <c r="AN930" s="32">
        <v>76</v>
      </c>
      <c r="AO930" s="32">
        <v>11</v>
      </c>
      <c r="AP930" s="13"/>
      <c r="AQ930" s="32"/>
      <c r="AR930" s="13">
        <f t="shared" si="224"/>
        <v>0</v>
      </c>
      <c r="AS930" s="33"/>
      <c r="AT930" s="13">
        <f t="shared" si="218"/>
        <v>0</v>
      </c>
      <c r="AU930" s="13">
        <f>ROUNDUP(($AR930+$AT930)*VLOOKUP($AN930,Paraméterek!$P$38:$Q$38,2)/12,IF($D$4="Forint",0,2))</f>
        <v>0</v>
      </c>
      <c r="AV930" s="13"/>
      <c r="AW930" s="13"/>
      <c r="AX930" s="13">
        <f>ROUNDUP(IF(SUM($AV930:$AW930)=0,0,IF(IF(ISBLANK($AW930),$AV930,$AW930)*Paraméterek!$J$112&lt;IF($D$4="Forint",Paraméterek!$J$113,Paraméterek!$K$113),IF($D$4="Forint",Paraméterek!$J$113,Paraméterek!$K$113),IF(IF(ISBLANK($AW930),$AV930,$AW930)*Paraméterek!$J$112&gt;IF($D$4="Forint",Paraméterek!$J$114,Paraméterek!$K$114),IF($D$4="Forint",Paraméterek!$J$114,Paraméterek!$K$114),IF(ISBLANK($AW930),$AV930,$AW930)*Paraméterek!$J$112))),IF($D$4="Forint",0,2))</f>
        <v>0</v>
      </c>
      <c r="AY930" s="13">
        <f>$AR930+$AT930-$AU930-IF(ROUNDDOWN(IF(ISBLANK($AW930),$AV930,$AW930),IF($D$4="Forint",0,2))&gt;$AR930+$AT930-$AU930-IF($D$4="Forint",Paraméterek!$J$114,Paraméterek!$K$114),0,ROUNDDOWN(IF(ISBLANK($AW930),$AV930,$AW930),IF($D$4="Forint",0,2))-$AX930)</f>
        <v>0</v>
      </c>
      <c r="AZ930" s="13">
        <f t="shared" si="219"/>
        <v>0</v>
      </c>
    </row>
    <row r="931" spans="1:52" x14ac:dyDescent="0.2">
      <c r="A931" s="32">
        <v>912</v>
      </c>
      <c r="B931" s="32">
        <v>76</v>
      </c>
      <c r="C931" s="32">
        <v>12</v>
      </c>
      <c r="D931" s="13">
        <f t="shared" si="210"/>
        <v>0</v>
      </c>
      <c r="E931" s="13"/>
      <c r="F931" s="13"/>
      <c r="G931" s="13"/>
      <c r="H931" s="13">
        <f t="shared" si="211"/>
        <v>0</v>
      </c>
      <c r="I931" s="13">
        <f t="shared" si="212"/>
        <v>0</v>
      </c>
      <c r="J931" s="13">
        <f t="shared" si="213"/>
        <v>0</v>
      </c>
      <c r="K931" s="13">
        <f>ROUNDUP(IF($D$2="Egyszeri",$D931,IF($D$2="Havi",SUM($D$20:$D$31),IF(MOD($C931,$M$1)-1=0,SUM($D$20:$D$31),0))/12*$M$1)*VLOOKUP($B931,Paraméterek!$B$27:$D$30,IF($D$2="Egyszeri",3,2)),IF($D$4="Forint",0,2))</f>
        <v>0</v>
      </c>
      <c r="L931" s="13">
        <f t="shared" si="214"/>
        <v>0</v>
      </c>
      <c r="M931" s="13">
        <f t="shared" ca="1" si="220"/>
        <v>-1061040</v>
      </c>
      <c r="N931" s="13">
        <f ca="1">IF($V930&gt;=VLOOKUP($M$4-1+$B931,Paraméterek!$B$121:$D$122,IF($D$4="Forint",2,3)),0,VLOOKUP($M$4-1+$B931,Paraméterek!$B$121:$D$122,IF($D$4="Forint",2,3))-$V930)</f>
        <v>1071040</v>
      </c>
      <c r="O931" s="13">
        <f ca="1">ROUNDUP($N931*Paraméterek!$C$58/Paraméterek!$C$56,IF($D$4="Forint",0,2))</f>
        <v>171</v>
      </c>
      <c r="P931" s="13">
        <f t="shared" si="215"/>
        <v>5049</v>
      </c>
      <c r="Q931" s="33"/>
      <c r="R931" s="13">
        <f t="shared" ca="1" si="216"/>
        <v>0</v>
      </c>
      <c r="S931" s="13">
        <f ca="1">ROUNDUP(($M931-$O931-$P931+$R931)*VLOOKUP($B931,Paraméterek!$B$38:$D$39,IF($D$2="Egyszeri",3,2))/12,IF($D$4="Forint",0,2))</f>
        <v>-2604</v>
      </c>
      <c r="T931" s="13">
        <f>Tranzakciók!$F$107</f>
        <v>0</v>
      </c>
      <c r="U931" s="13"/>
      <c r="V931" s="13">
        <f ca="1">$M931-$O931-$P931+$R931-$S931-IF(ROUNDUP(IF(ISBLANK($U931),$T931,$U931)/IF(AND($B931=1,$D$2&lt;&gt;"Egyszeri"),1,VLOOKUP($B931+IF($C931=12,1,0),Paraméterek!$B$257:$D$267,IF($D$2="Egyszeri",3,2))),IF($D$4="Forint",0,2))&gt;$M931-$O931-$P931+$R931-$S931-IF($D$4="Forint",Paraméterek!$C$216,Paraméterek!$D$216),0,ROUNDUP(IF(ISBLANK($U931),$T931,$U931)/IF(AND($B931=1,$D$2&lt;&gt;"Egyszeri"),1,VLOOKUP($B931+IF($C931=12,1,0),Paraméterek!$B$257:$D$267,IF($D$2="Egyszeri",3,2))),IF($D$4="Forint",0,2)))</f>
        <v>-1063656</v>
      </c>
      <c r="W931" s="13">
        <f ca="1">ROUNDDOWN($V931*VLOOKUP($B931+IF($C931=12,1,0),Paraméterek!$B$257:$D$267,IF($D$2="Egyszeri",3,2)),IF($D$4="Forint",0,2))</f>
        <v>-1063656</v>
      </c>
      <c r="Y931" s="32">
        <v>912</v>
      </c>
      <c r="Z931" s="32">
        <v>76</v>
      </c>
      <c r="AA931" s="32">
        <v>12</v>
      </c>
      <c r="AB931" s="13">
        <f t="shared" si="221"/>
        <v>0</v>
      </c>
      <c r="AC931" s="33"/>
      <c r="AD931" s="13">
        <f t="shared" si="217"/>
        <v>0</v>
      </c>
      <c r="AE931" s="13">
        <f>ROUNDUP(($AB931+$AD931)*VLOOKUP($Z931,Paraméterek!$P$38:$Q$38,2)/12,IF($D$4="Forint",0,2))</f>
        <v>0</v>
      </c>
      <c r="AF931" s="13">
        <f>IF($D$2="Egyszeri",IF($D$7&gt;=IF($D$4="Forint",Paraméterek!$P$223,Paraméterek!$P$224),$D$7-IF($D$4="Forint",Paraméterek!$F$223,Paraméterek!$F$224),0),MIN(IF($AA931=12,AVERAGE($D$20:$D931)*12,0),SUM($D$20:$D$31)))</f>
        <v>0</v>
      </c>
      <c r="AG931" s="13">
        <f>IF(AND($Z931&gt;=10,MOD($Z931,5)=0),$AF931*IF($AA931=12,VLOOKUP($Z931,Paraméterek!$B$225:$F$240,IF($AF931&lt;IF($D$4="Forint",Paraméterek!$C$223,Paraméterek!$C$224),2,IF($AF931&lt;IF($D$4="Forint",Paraméterek!$D$223,Paraméterek!$D$224),3,4))),0),0)</f>
        <v>0</v>
      </c>
      <c r="AH931" s="13">
        <f>IF(AND($Z931&gt;=5,MOD($Z931,5)=0),IF($AA931=12,VLOOKUP($Z931,Paraméterek!$B$225:$F$240,5),0),IF(OR($Z931=3,$Z931=4),IF($AA931=12,VLOOKUP($Z931,Paraméterek!$B$225:$F$240,5,0),0),0))*$AF931</f>
        <v>0</v>
      </c>
      <c r="AI931" s="13">
        <f>ROUNDDOWN(IF(SUM($T$20:$U931)=0,IF($D$2="Egyszeri",$AH931,$AG931),0),IF($D$4="Forint",0,2))</f>
        <v>0</v>
      </c>
      <c r="AJ931" s="13">
        <f t="shared" si="222"/>
        <v>0</v>
      </c>
      <c r="AK931" s="13">
        <f t="shared" si="223"/>
        <v>0</v>
      </c>
      <c r="AM931" s="32">
        <v>912</v>
      </c>
      <c r="AN931" s="32">
        <v>76</v>
      </c>
      <c r="AO931" s="32">
        <v>12</v>
      </c>
      <c r="AP931" s="13"/>
      <c r="AQ931" s="32"/>
      <c r="AR931" s="13">
        <f t="shared" si="224"/>
        <v>0</v>
      </c>
      <c r="AS931" s="33"/>
      <c r="AT931" s="13">
        <f t="shared" si="218"/>
        <v>0</v>
      </c>
      <c r="AU931" s="13">
        <f>ROUNDUP(($AR931+$AT931)*VLOOKUP($AN931,Paraméterek!$P$38:$Q$38,2)/12,IF($D$4="Forint",0,2))</f>
        <v>0</v>
      </c>
      <c r="AV931" s="13">
        <f>Tranzakciók!$M$107</f>
        <v>0</v>
      </c>
      <c r="AW931" s="13"/>
      <c r="AX931" s="13">
        <f>ROUNDUP(IF(SUM($AV931:$AW931)=0,0,IF(IF(ISBLANK($AW931),$AV931,$AW931)*Paraméterek!$J$112&lt;IF($D$4="Forint",Paraméterek!$J$113,Paraméterek!$K$113),IF($D$4="Forint",Paraméterek!$J$113,Paraméterek!$K$113),IF(IF(ISBLANK($AW931),$AV931,$AW931)*Paraméterek!$J$112&gt;IF($D$4="Forint",Paraméterek!$J$114,Paraméterek!$K$114),IF($D$4="Forint",Paraméterek!$J$114,Paraméterek!$K$114),IF(ISBLANK($AW931),$AV931,$AW931)*Paraméterek!$J$112))),IF($D$4="Forint",0,2))</f>
        <v>0</v>
      </c>
      <c r="AY931" s="13">
        <f>$AR931+$AT931-$AU931-IF(ROUNDDOWN(IF(ISBLANK($AW931),$AV931,$AW931),IF($D$4="Forint",0,2))&gt;$AR931+$AT931-$AU931-IF($D$4="Forint",Paraméterek!$J$114,Paraméterek!$K$114),0,ROUNDDOWN(IF(ISBLANK($AW931),$AV931,$AW931),IF($D$4="Forint",0,2))-$AX931)</f>
        <v>0</v>
      </c>
      <c r="AZ931" s="13">
        <f t="shared" si="219"/>
        <v>0</v>
      </c>
    </row>
    <row r="932" spans="1:52" x14ac:dyDescent="0.2">
      <c r="A932" s="32">
        <v>913</v>
      </c>
      <c r="B932" s="32">
        <v>77</v>
      </c>
      <c r="C932" s="32">
        <v>1</v>
      </c>
      <c r="D932" s="13">
        <f t="shared" si="210"/>
        <v>0</v>
      </c>
      <c r="E932" s="13"/>
      <c r="F932" s="13">
        <f>Tranzakciók!$D$108</f>
        <v>0</v>
      </c>
      <c r="G932" s="13"/>
      <c r="H932" s="13">
        <f t="shared" si="211"/>
        <v>0</v>
      </c>
      <c r="I932" s="13">
        <f t="shared" si="212"/>
        <v>946</v>
      </c>
      <c r="J932" s="13">
        <f t="shared" si="213"/>
        <v>946</v>
      </c>
      <c r="K932" s="13">
        <f>ROUNDUP(IF($D$2="Egyszeri",$D932,IF($D$2="Havi",SUM($D$20:$D$31),IF(MOD($C932,$M$1)-1=0,SUM($D$20:$D$31),0))/12*$M$1)*VLOOKUP($B932,Paraméterek!$B$27:$D$30,IF($D$2="Egyszeri",3,2)),IF($D$4="Forint",0,2))</f>
        <v>0</v>
      </c>
      <c r="L932" s="13">
        <f t="shared" si="214"/>
        <v>0</v>
      </c>
      <c r="M932" s="13">
        <f t="shared" ca="1" si="220"/>
        <v>-1063656</v>
      </c>
      <c r="N932" s="13">
        <f ca="1">IF($V931&gt;=VLOOKUP($M$4-1+$B932,Paraméterek!$B$121:$D$122,IF($D$4="Forint",2,3)),0,VLOOKUP($M$4-1+$B932,Paraméterek!$B$121:$D$122,IF($D$4="Forint",2,3))-$V931)</f>
        <v>1073656</v>
      </c>
      <c r="O932" s="13">
        <f ca="1">ROUNDUP($N932*Paraméterek!$C$58/Paraméterek!$C$56,IF($D$4="Forint",0,2))</f>
        <v>171</v>
      </c>
      <c r="P932" s="13">
        <f t="shared" si="215"/>
        <v>5200</v>
      </c>
      <c r="Q932" s="33"/>
      <c r="R932" s="13">
        <f t="shared" ca="1" si="216"/>
        <v>0</v>
      </c>
      <c r="S932" s="13">
        <f ca="1">ROUNDUP(($M932-$O932-$P932+$R932)*VLOOKUP($B932,Paraméterek!$B$38:$D$39,IF($D$2="Egyszeri",3,2))/12,IF($D$4="Forint",0,2))</f>
        <v>-2611</v>
      </c>
      <c r="T932" s="13"/>
      <c r="U932" s="13"/>
      <c r="V932" s="13">
        <f ca="1">$M932-$O932-$P932+$R932-$S932-IF(ROUNDUP(IF(ISBLANK($U932),$T932,$U932)/IF(AND($B932=1,$D$2&lt;&gt;"Egyszeri"),1,VLOOKUP($B932+IF($C932=12,1,0),Paraméterek!$B$257:$D$267,IF($D$2="Egyszeri",3,2))),IF($D$4="Forint",0,2))&gt;$M932-$O932-$P932+$R932-$S932-IF($D$4="Forint",Paraméterek!$C$216,Paraméterek!$D$216),0,ROUNDUP(IF(ISBLANK($U932),$T932,$U932)/IF(AND($B932=1,$D$2&lt;&gt;"Egyszeri"),1,VLOOKUP($B932+IF($C932=12,1,0),Paraméterek!$B$257:$D$267,IF($D$2="Egyszeri",3,2))),IF($D$4="Forint",0,2)))</f>
        <v>-1066416</v>
      </c>
      <c r="W932" s="13">
        <f ca="1">ROUNDDOWN($V932*VLOOKUP($B932+IF($C932=12,1,0),Paraméterek!$B$257:$D$267,IF($D$2="Egyszeri",3,2)),IF($D$4="Forint",0,2))</f>
        <v>-1066416</v>
      </c>
      <c r="Y932" s="32">
        <v>913</v>
      </c>
      <c r="Z932" s="32">
        <v>77</v>
      </c>
      <c r="AA932" s="32">
        <v>1</v>
      </c>
      <c r="AB932" s="13">
        <f t="shared" si="221"/>
        <v>0</v>
      </c>
      <c r="AC932" s="33"/>
      <c r="AD932" s="13">
        <f t="shared" si="217"/>
        <v>0</v>
      </c>
      <c r="AE932" s="13">
        <f>ROUNDUP(($AB932+$AD932)*VLOOKUP($Z932,Paraméterek!$P$38:$Q$38,2)/12,IF($D$4="Forint",0,2))</f>
        <v>0</v>
      </c>
      <c r="AF932" s="13">
        <f>IF($D$2="Egyszeri",IF($D$7&gt;=IF($D$4="Forint",Paraméterek!$P$223,Paraméterek!$P$224),$D$7-IF($D$4="Forint",Paraméterek!$F$223,Paraméterek!$F$224),0),MIN(IF($AA932=12,AVERAGE($D$20:$D932)*12,0),SUM($D$20:$D$31)))</f>
        <v>0</v>
      </c>
      <c r="AG932" s="13">
        <f>IF(AND($Z932&gt;=10,MOD($Z932,5)=0),$AF932*IF($AA932=12,VLOOKUP($Z932,Paraméterek!$B$225:$F$240,IF($AF932&lt;IF($D$4="Forint",Paraméterek!$C$223,Paraméterek!$C$224),2,IF($AF932&lt;IF($D$4="Forint",Paraméterek!$D$223,Paraméterek!$D$224),3,4))),0),0)</f>
        <v>0</v>
      </c>
      <c r="AH932" s="13">
        <f>IF(AND($Z932&gt;=5,MOD($Z932,5)=0),IF($AA932=12,VLOOKUP($Z932,Paraméterek!$B$225:$F$240,5),0),IF(OR($Z932=3,$Z932=4),IF($AA932=12,VLOOKUP($Z932,Paraméterek!$B$225:$F$240,5,0),0),0))*$AF932</f>
        <v>0</v>
      </c>
      <c r="AI932" s="13">
        <f>ROUNDDOWN(IF(SUM($T$20:$U932)=0,IF($D$2="Egyszeri",$AH932,$AG932),0),IF($D$4="Forint",0,2))</f>
        <v>0</v>
      </c>
      <c r="AJ932" s="13">
        <f t="shared" si="222"/>
        <v>0</v>
      </c>
      <c r="AK932" s="13">
        <f t="shared" si="223"/>
        <v>0</v>
      </c>
      <c r="AM932" s="32">
        <v>913</v>
      </c>
      <c r="AN932" s="32">
        <v>77</v>
      </c>
      <c r="AO932" s="32">
        <v>1</v>
      </c>
      <c r="AP932" s="13">
        <f>Tranzakciók!$K$108</f>
        <v>0</v>
      </c>
      <c r="AQ932" s="32"/>
      <c r="AR932" s="13">
        <f t="shared" si="224"/>
        <v>0</v>
      </c>
      <c r="AS932" s="33"/>
      <c r="AT932" s="13">
        <f t="shared" si="218"/>
        <v>0</v>
      </c>
      <c r="AU932" s="13">
        <f>ROUNDUP(($AR932+$AT932)*VLOOKUP($AN932,Paraméterek!$P$38:$Q$38,2)/12,IF($D$4="Forint",0,2))</f>
        <v>0</v>
      </c>
      <c r="AV932" s="13"/>
      <c r="AW932" s="13"/>
      <c r="AX932" s="13">
        <f>ROUNDUP(IF(SUM($AV932:$AW932)=0,0,IF(IF(ISBLANK($AW932),$AV932,$AW932)*Paraméterek!$J$112&lt;IF($D$4="Forint",Paraméterek!$J$113,Paraméterek!$K$113),IF($D$4="Forint",Paraméterek!$J$113,Paraméterek!$K$113),IF(IF(ISBLANK($AW932),$AV932,$AW932)*Paraméterek!$J$112&gt;IF($D$4="Forint",Paraméterek!$J$114,Paraméterek!$K$114),IF($D$4="Forint",Paraméterek!$J$114,Paraméterek!$K$114),IF(ISBLANK($AW932),$AV932,$AW932)*Paraméterek!$J$112))),IF($D$4="Forint",0,2))</f>
        <v>0</v>
      </c>
      <c r="AY932" s="13">
        <f>$AR932+$AT932-$AU932-IF(ROUNDDOWN(IF(ISBLANK($AW932),$AV932,$AW932),IF($D$4="Forint",0,2))&gt;$AR932+$AT932-$AU932-IF($D$4="Forint",Paraméterek!$J$114,Paraméterek!$K$114),0,ROUNDDOWN(IF(ISBLANK($AW932),$AV932,$AW932),IF($D$4="Forint",0,2))-$AX932)</f>
        <v>0</v>
      </c>
      <c r="AZ932" s="13">
        <f t="shared" si="219"/>
        <v>0</v>
      </c>
    </row>
    <row r="933" spans="1:52" x14ac:dyDescent="0.2">
      <c r="A933" s="32">
        <v>914</v>
      </c>
      <c r="B933" s="32">
        <v>77</v>
      </c>
      <c r="C933" s="32">
        <v>2</v>
      </c>
      <c r="D933" s="13">
        <f t="shared" si="210"/>
        <v>0</v>
      </c>
      <c r="E933" s="13"/>
      <c r="F933" s="13"/>
      <c r="G933" s="13"/>
      <c r="H933" s="13">
        <f t="shared" si="211"/>
        <v>0</v>
      </c>
      <c r="I933" s="13">
        <f t="shared" si="212"/>
        <v>0</v>
      </c>
      <c r="J933" s="13">
        <f t="shared" si="213"/>
        <v>0</v>
      </c>
      <c r="K933" s="13">
        <f>ROUNDUP(IF($D$2="Egyszeri",$D933,IF($D$2="Havi",SUM($D$20:$D$31),IF(MOD($C933,$M$1)-1=0,SUM($D$20:$D$31),0))/12*$M$1)*VLOOKUP($B933,Paraméterek!$B$27:$D$30,IF($D$2="Egyszeri",3,2)),IF($D$4="Forint",0,2))</f>
        <v>0</v>
      </c>
      <c r="L933" s="13">
        <f t="shared" si="214"/>
        <v>0</v>
      </c>
      <c r="M933" s="13">
        <f t="shared" ca="1" si="220"/>
        <v>-1066416</v>
      </c>
      <c r="N933" s="13">
        <f ca="1">IF($V932&gt;=VLOOKUP($M$4-1+$B933,Paraméterek!$B$121:$D$122,IF($D$4="Forint",2,3)),0,VLOOKUP($M$4-1+$B933,Paraméterek!$B$121:$D$122,IF($D$4="Forint",2,3))-$V932)</f>
        <v>1076416</v>
      </c>
      <c r="O933" s="13">
        <f ca="1">ROUNDUP($N933*Paraméterek!$C$58/Paraméterek!$C$56,IF($D$4="Forint",0,2))</f>
        <v>172</v>
      </c>
      <c r="P933" s="13">
        <f t="shared" si="215"/>
        <v>5200</v>
      </c>
      <c r="Q933" s="33"/>
      <c r="R933" s="13">
        <f t="shared" ca="1" si="216"/>
        <v>0</v>
      </c>
      <c r="S933" s="13">
        <f ca="1">ROUNDUP(($M933-$O933-$P933+$R933)*VLOOKUP($B933,Paraméterek!$B$38:$D$39,IF($D$2="Egyszeri",3,2))/12,IF($D$4="Forint",0,2))</f>
        <v>-2617</v>
      </c>
      <c r="T933" s="13"/>
      <c r="U933" s="13"/>
      <c r="V933" s="13">
        <f ca="1">$M933-$O933-$P933+$R933-$S933-IF(ROUNDUP(IF(ISBLANK($U933),$T933,$U933)/IF(AND($B933=1,$D$2&lt;&gt;"Egyszeri"),1,VLOOKUP($B933+IF($C933=12,1,0),Paraméterek!$B$257:$D$267,IF($D$2="Egyszeri",3,2))),IF($D$4="Forint",0,2))&gt;$M933-$O933-$P933+$R933-$S933-IF($D$4="Forint",Paraméterek!$C$216,Paraméterek!$D$216),0,ROUNDUP(IF(ISBLANK($U933),$T933,$U933)/IF(AND($B933=1,$D$2&lt;&gt;"Egyszeri"),1,VLOOKUP($B933+IF($C933=12,1,0),Paraméterek!$B$257:$D$267,IF($D$2="Egyszeri",3,2))),IF($D$4="Forint",0,2)))</f>
        <v>-1069171</v>
      </c>
      <c r="W933" s="13">
        <f ca="1">ROUNDDOWN($V933*VLOOKUP($B933+IF($C933=12,1,0),Paraméterek!$B$257:$D$267,IF($D$2="Egyszeri",3,2)),IF($D$4="Forint",0,2))</f>
        <v>-1069171</v>
      </c>
      <c r="Y933" s="32">
        <v>914</v>
      </c>
      <c r="Z933" s="32">
        <v>77</v>
      </c>
      <c r="AA933" s="32">
        <v>2</v>
      </c>
      <c r="AB933" s="13">
        <f t="shared" si="221"/>
        <v>0</v>
      </c>
      <c r="AC933" s="33"/>
      <c r="AD933" s="13">
        <f t="shared" si="217"/>
        <v>0</v>
      </c>
      <c r="AE933" s="13">
        <f>ROUNDUP(($AB933+$AD933)*VLOOKUP($Z933,Paraméterek!$P$38:$Q$38,2)/12,IF($D$4="Forint",0,2))</f>
        <v>0</v>
      </c>
      <c r="AF933" s="13">
        <f>IF($D$2="Egyszeri",IF($D$7&gt;=IF($D$4="Forint",Paraméterek!$P$223,Paraméterek!$P$224),$D$7-IF($D$4="Forint",Paraméterek!$F$223,Paraméterek!$F$224),0),MIN(IF($AA933=12,AVERAGE($D$20:$D933)*12,0),SUM($D$20:$D$31)))</f>
        <v>0</v>
      </c>
      <c r="AG933" s="13">
        <f>IF(AND($Z933&gt;=10,MOD($Z933,5)=0),$AF933*IF($AA933=12,VLOOKUP($Z933,Paraméterek!$B$225:$F$240,IF($AF933&lt;IF($D$4="Forint",Paraméterek!$C$223,Paraméterek!$C$224),2,IF($AF933&lt;IF($D$4="Forint",Paraméterek!$D$223,Paraméterek!$D$224),3,4))),0),0)</f>
        <v>0</v>
      </c>
      <c r="AH933" s="13">
        <f>IF(AND($Z933&gt;=5,MOD($Z933,5)=0),IF($AA933=12,VLOOKUP($Z933,Paraméterek!$B$225:$F$240,5),0),IF(OR($Z933=3,$Z933=4),IF($AA933=12,VLOOKUP($Z933,Paraméterek!$B$225:$F$240,5,0),0),0))*$AF933</f>
        <v>0</v>
      </c>
      <c r="AI933" s="13">
        <f>ROUNDDOWN(IF(SUM($T$20:$U933)=0,IF($D$2="Egyszeri",$AH933,$AG933),0),IF($D$4="Forint",0,2))</f>
        <v>0</v>
      </c>
      <c r="AJ933" s="13">
        <f t="shared" si="222"/>
        <v>0</v>
      </c>
      <c r="AK933" s="13">
        <f t="shared" si="223"/>
        <v>0</v>
      </c>
      <c r="AM933" s="32">
        <v>914</v>
      </c>
      <c r="AN933" s="32">
        <v>77</v>
      </c>
      <c r="AO933" s="32">
        <v>2</v>
      </c>
      <c r="AP933" s="13"/>
      <c r="AQ933" s="32"/>
      <c r="AR933" s="13">
        <f t="shared" si="224"/>
        <v>0</v>
      </c>
      <c r="AS933" s="33"/>
      <c r="AT933" s="13">
        <f t="shared" si="218"/>
        <v>0</v>
      </c>
      <c r="AU933" s="13">
        <f>ROUNDUP(($AR933+$AT933)*VLOOKUP($AN933,Paraméterek!$P$38:$Q$38,2)/12,IF($D$4="Forint",0,2))</f>
        <v>0</v>
      </c>
      <c r="AV933" s="13"/>
      <c r="AW933" s="13"/>
      <c r="AX933" s="13">
        <f>ROUNDUP(IF(SUM($AV933:$AW933)=0,0,IF(IF(ISBLANK($AW933),$AV933,$AW933)*Paraméterek!$J$112&lt;IF($D$4="Forint",Paraméterek!$J$113,Paraméterek!$K$113),IF($D$4="Forint",Paraméterek!$J$113,Paraméterek!$K$113),IF(IF(ISBLANK($AW933),$AV933,$AW933)*Paraméterek!$J$112&gt;IF($D$4="Forint",Paraméterek!$J$114,Paraméterek!$K$114),IF($D$4="Forint",Paraméterek!$J$114,Paraméterek!$K$114),IF(ISBLANK($AW933),$AV933,$AW933)*Paraméterek!$J$112))),IF($D$4="Forint",0,2))</f>
        <v>0</v>
      </c>
      <c r="AY933" s="13">
        <f>$AR933+$AT933-$AU933-IF(ROUNDDOWN(IF(ISBLANK($AW933),$AV933,$AW933),IF($D$4="Forint",0,2))&gt;$AR933+$AT933-$AU933-IF($D$4="Forint",Paraméterek!$J$114,Paraméterek!$K$114),0,ROUNDDOWN(IF(ISBLANK($AW933),$AV933,$AW933),IF($D$4="Forint",0,2))-$AX933)</f>
        <v>0</v>
      </c>
      <c r="AZ933" s="13">
        <f t="shared" si="219"/>
        <v>0</v>
      </c>
    </row>
    <row r="934" spans="1:52" x14ac:dyDescent="0.2">
      <c r="A934" s="32">
        <v>915</v>
      </c>
      <c r="B934" s="32">
        <v>77</v>
      </c>
      <c r="C934" s="32">
        <v>3</v>
      </c>
      <c r="D934" s="13">
        <f t="shared" si="210"/>
        <v>0</v>
      </c>
      <c r="E934" s="13"/>
      <c r="F934" s="13"/>
      <c r="G934" s="13"/>
      <c r="H934" s="13">
        <f t="shared" si="211"/>
        <v>0</v>
      </c>
      <c r="I934" s="13">
        <f t="shared" si="212"/>
        <v>0</v>
      </c>
      <c r="J934" s="13">
        <f t="shared" si="213"/>
        <v>0</v>
      </c>
      <c r="K934" s="13">
        <f>ROUNDUP(IF($D$2="Egyszeri",$D934,IF($D$2="Havi",SUM($D$20:$D$31),IF(MOD($C934,$M$1)-1=0,SUM($D$20:$D$31),0))/12*$M$1)*VLOOKUP($B934,Paraméterek!$B$27:$D$30,IF($D$2="Egyszeri",3,2)),IF($D$4="Forint",0,2))</f>
        <v>0</v>
      </c>
      <c r="L934" s="13">
        <f t="shared" si="214"/>
        <v>0</v>
      </c>
      <c r="M934" s="13">
        <f t="shared" ca="1" si="220"/>
        <v>-1069171</v>
      </c>
      <c r="N934" s="13">
        <f ca="1">IF($V933&gt;=VLOOKUP($M$4-1+$B934,Paraméterek!$B$121:$D$122,IF($D$4="Forint",2,3)),0,VLOOKUP($M$4-1+$B934,Paraméterek!$B$121:$D$122,IF($D$4="Forint",2,3))-$V933)</f>
        <v>1079171</v>
      </c>
      <c r="O934" s="13">
        <f ca="1">ROUNDUP($N934*Paraméterek!$C$58/Paraméterek!$C$56,IF($D$4="Forint",0,2))</f>
        <v>172</v>
      </c>
      <c r="P934" s="13">
        <f t="shared" si="215"/>
        <v>5200</v>
      </c>
      <c r="Q934" s="33"/>
      <c r="R934" s="13">
        <f t="shared" ca="1" si="216"/>
        <v>0</v>
      </c>
      <c r="S934" s="13">
        <f ca="1">ROUNDUP(($M934-$O934-$P934+$R934)*VLOOKUP($B934,Paraméterek!$B$38:$D$39,IF($D$2="Egyszeri",3,2))/12,IF($D$4="Forint",0,2))</f>
        <v>-2624</v>
      </c>
      <c r="T934" s="13"/>
      <c r="U934" s="13"/>
      <c r="V934" s="13">
        <f ca="1">$M934-$O934-$P934+$R934-$S934-IF(ROUNDUP(IF(ISBLANK($U934),$T934,$U934)/IF(AND($B934=1,$D$2&lt;&gt;"Egyszeri"),1,VLOOKUP($B934+IF($C934=12,1,0),Paraméterek!$B$257:$D$267,IF($D$2="Egyszeri",3,2))),IF($D$4="Forint",0,2))&gt;$M934-$O934-$P934+$R934-$S934-IF($D$4="Forint",Paraméterek!$C$216,Paraméterek!$D$216),0,ROUNDUP(IF(ISBLANK($U934),$T934,$U934)/IF(AND($B934=1,$D$2&lt;&gt;"Egyszeri"),1,VLOOKUP($B934+IF($C934=12,1,0),Paraméterek!$B$257:$D$267,IF($D$2="Egyszeri",3,2))),IF($D$4="Forint",0,2)))</f>
        <v>-1071919</v>
      </c>
      <c r="W934" s="13">
        <f ca="1">ROUNDDOWN($V934*VLOOKUP($B934+IF($C934=12,1,0),Paraméterek!$B$257:$D$267,IF($D$2="Egyszeri",3,2)),IF($D$4="Forint",0,2))</f>
        <v>-1071919</v>
      </c>
      <c r="Y934" s="32">
        <v>915</v>
      </c>
      <c r="Z934" s="32">
        <v>77</v>
      </c>
      <c r="AA934" s="32">
        <v>3</v>
      </c>
      <c r="AB934" s="13">
        <f t="shared" si="221"/>
        <v>0</v>
      </c>
      <c r="AC934" s="33"/>
      <c r="AD934" s="13">
        <f t="shared" si="217"/>
        <v>0</v>
      </c>
      <c r="AE934" s="13">
        <f>ROUNDUP(($AB934+$AD934)*VLOOKUP($Z934,Paraméterek!$P$38:$Q$38,2)/12,IF($D$4="Forint",0,2))</f>
        <v>0</v>
      </c>
      <c r="AF934" s="13">
        <f>IF($D$2="Egyszeri",IF($D$7&gt;=IF($D$4="Forint",Paraméterek!$P$223,Paraméterek!$P$224),$D$7-IF($D$4="Forint",Paraméterek!$F$223,Paraméterek!$F$224),0),MIN(IF($AA934=12,AVERAGE($D$20:$D934)*12,0),SUM($D$20:$D$31)))</f>
        <v>0</v>
      </c>
      <c r="AG934" s="13">
        <f>IF(AND($Z934&gt;=10,MOD($Z934,5)=0),$AF934*IF($AA934=12,VLOOKUP($Z934,Paraméterek!$B$225:$F$240,IF($AF934&lt;IF($D$4="Forint",Paraméterek!$C$223,Paraméterek!$C$224),2,IF($AF934&lt;IF($D$4="Forint",Paraméterek!$D$223,Paraméterek!$D$224),3,4))),0),0)</f>
        <v>0</v>
      </c>
      <c r="AH934" s="13">
        <f>IF(AND($Z934&gt;=5,MOD($Z934,5)=0),IF($AA934=12,VLOOKUP($Z934,Paraméterek!$B$225:$F$240,5),0),IF(OR($Z934=3,$Z934=4),IF($AA934=12,VLOOKUP($Z934,Paraméterek!$B$225:$F$240,5,0),0),0))*$AF934</f>
        <v>0</v>
      </c>
      <c r="AI934" s="13">
        <f>ROUNDDOWN(IF(SUM($T$20:$U934)=0,IF($D$2="Egyszeri",$AH934,$AG934),0),IF($D$4="Forint",0,2))</f>
        <v>0</v>
      </c>
      <c r="AJ934" s="13">
        <f t="shared" si="222"/>
        <v>0</v>
      </c>
      <c r="AK934" s="13">
        <f t="shared" si="223"/>
        <v>0</v>
      </c>
      <c r="AM934" s="32">
        <v>915</v>
      </c>
      <c r="AN934" s="32">
        <v>77</v>
      </c>
      <c r="AO934" s="32">
        <v>3</v>
      </c>
      <c r="AP934" s="13"/>
      <c r="AQ934" s="32"/>
      <c r="AR934" s="13">
        <f t="shared" si="224"/>
        <v>0</v>
      </c>
      <c r="AS934" s="33"/>
      <c r="AT934" s="13">
        <f t="shared" si="218"/>
        <v>0</v>
      </c>
      <c r="AU934" s="13">
        <f>ROUNDUP(($AR934+$AT934)*VLOOKUP($AN934,Paraméterek!$P$38:$Q$38,2)/12,IF($D$4="Forint",0,2))</f>
        <v>0</v>
      </c>
      <c r="AV934" s="13"/>
      <c r="AW934" s="13"/>
      <c r="AX934" s="13">
        <f>ROUNDUP(IF(SUM($AV934:$AW934)=0,0,IF(IF(ISBLANK($AW934),$AV934,$AW934)*Paraméterek!$J$112&lt;IF($D$4="Forint",Paraméterek!$J$113,Paraméterek!$K$113),IF($D$4="Forint",Paraméterek!$J$113,Paraméterek!$K$113),IF(IF(ISBLANK($AW934),$AV934,$AW934)*Paraméterek!$J$112&gt;IF($D$4="Forint",Paraméterek!$J$114,Paraméterek!$K$114),IF($D$4="Forint",Paraméterek!$J$114,Paraméterek!$K$114),IF(ISBLANK($AW934),$AV934,$AW934)*Paraméterek!$J$112))),IF($D$4="Forint",0,2))</f>
        <v>0</v>
      </c>
      <c r="AY934" s="13">
        <f>$AR934+$AT934-$AU934-IF(ROUNDDOWN(IF(ISBLANK($AW934),$AV934,$AW934),IF($D$4="Forint",0,2))&gt;$AR934+$AT934-$AU934-IF($D$4="Forint",Paraméterek!$J$114,Paraméterek!$K$114),0,ROUNDDOWN(IF(ISBLANK($AW934),$AV934,$AW934),IF($D$4="Forint",0,2))-$AX934)</f>
        <v>0</v>
      </c>
      <c r="AZ934" s="13">
        <f t="shared" si="219"/>
        <v>0</v>
      </c>
    </row>
    <row r="935" spans="1:52" x14ac:dyDescent="0.2">
      <c r="A935" s="32">
        <v>916</v>
      </c>
      <c r="B935" s="32">
        <v>77</v>
      </c>
      <c r="C935" s="32">
        <v>4</v>
      </c>
      <c r="D935" s="13">
        <f t="shared" si="210"/>
        <v>0</v>
      </c>
      <c r="E935" s="13"/>
      <c r="F935" s="13"/>
      <c r="G935" s="13"/>
      <c r="H935" s="13">
        <f t="shared" si="211"/>
        <v>0</v>
      </c>
      <c r="I935" s="13">
        <f t="shared" si="212"/>
        <v>0</v>
      </c>
      <c r="J935" s="13">
        <f t="shared" si="213"/>
        <v>0</v>
      </c>
      <c r="K935" s="13">
        <f>ROUNDUP(IF($D$2="Egyszeri",$D935,IF($D$2="Havi",SUM($D$20:$D$31),IF(MOD($C935,$M$1)-1=0,SUM($D$20:$D$31),0))/12*$M$1)*VLOOKUP($B935,Paraméterek!$B$27:$D$30,IF($D$2="Egyszeri",3,2)),IF($D$4="Forint",0,2))</f>
        <v>0</v>
      </c>
      <c r="L935" s="13">
        <f t="shared" si="214"/>
        <v>0</v>
      </c>
      <c r="M935" s="13">
        <f t="shared" ca="1" si="220"/>
        <v>-1071919</v>
      </c>
      <c r="N935" s="13">
        <f ca="1">IF($V934&gt;=VLOOKUP($M$4-1+$B935,Paraméterek!$B$121:$D$122,IF($D$4="Forint",2,3)),0,VLOOKUP($M$4-1+$B935,Paraméterek!$B$121:$D$122,IF($D$4="Forint",2,3))-$V934)</f>
        <v>1081919</v>
      </c>
      <c r="O935" s="13">
        <f ca="1">ROUNDUP($N935*Paraméterek!$C$58/Paraméterek!$C$56,IF($D$4="Forint",0,2))</f>
        <v>173</v>
      </c>
      <c r="P935" s="13">
        <f t="shared" si="215"/>
        <v>5200</v>
      </c>
      <c r="Q935" s="33"/>
      <c r="R935" s="13">
        <f t="shared" ca="1" si="216"/>
        <v>0</v>
      </c>
      <c r="S935" s="13">
        <f ca="1">ROUNDUP(($M935-$O935-$P935+$R935)*VLOOKUP($B935,Paraméterek!$B$38:$D$39,IF($D$2="Egyszeri",3,2))/12,IF($D$4="Forint",0,2))</f>
        <v>-2631</v>
      </c>
      <c r="T935" s="13"/>
      <c r="U935" s="13"/>
      <c r="V935" s="13">
        <f ca="1">$M935-$O935-$P935+$R935-$S935-IF(ROUNDUP(IF(ISBLANK($U935),$T935,$U935)/IF(AND($B935=1,$D$2&lt;&gt;"Egyszeri"),1,VLOOKUP($B935+IF($C935=12,1,0),Paraméterek!$B$257:$D$267,IF($D$2="Egyszeri",3,2))),IF($D$4="Forint",0,2))&gt;$M935-$O935-$P935+$R935-$S935-IF($D$4="Forint",Paraméterek!$C$216,Paraméterek!$D$216),0,ROUNDUP(IF(ISBLANK($U935),$T935,$U935)/IF(AND($B935=1,$D$2&lt;&gt;"Egyszeri"),1,VLOOKUP($B935+IF($C935=12,1,0),Paraméterek!$B$257:$D$267,IF($D$2="Egyszeri",3,2))),IF($D$4="Forint",0,2)))</f>
        <v>-1074661</v>
      </c>
      <c r="W935" s="13">
        <f ca="1">ROUNDDOWN($V935*VLOOKUP($B935+IF($C935=12,1,0),Paraméterek!$B$257:$D$267,IF($D$2="Egyszeri",3,2)),IF($D$4="Forint",0,2))</f>
        <v>-1074661</v>
      </c>
      <c r="Y935" s="32">
        <v>916</v>
      </c>
      <c r="Z935" s="32">
        <v>77</v>
      </c>
      <c r="AA935" s="32">
        <v>4</v>
      </c>
      <c r="AB935" s="13">
        <f t="shared" si="221"/>
        <v>0</v>
      </c>
      <c r="AC935" s="33"/>
      <c r="AD935" s="13">
        <f t="shared" si="217"/>
        <v>0</v>
      </c>
      <c r="AE935" s="13">
        <f>ROUNDUP(($AB935+$AD935)*VLOOKUP($Z935,Paraméterek!$P$38:$Q$38,2)/12,IF($D$4="Forint",0,2))</f>
        <v>0</v>
      </c>
      <c r="AF935" s="13">
        <f>IF($D$2="Egyszeri",IF($D$7&gt;=IF($D$4="Forint",Paraméterek!$P$223,Paraméterek!$P$224),$D$7-IF($D$4="Forint",Paraméterek!$F$223,Paraméterek!$F$224),0),MIN(IF($AA935=12,AVERAGE($D$20:$D935)*12,0),SUM($D$20:$D$31)))</f>
        <v>0</v>
      </c>
      <c r="AG935" s="13">
        <f>IF(AND($Z935&gt;=10,MOD($Z935,5)=0),$AF935*IF($AA935=12,VLOOKUP($Z935,Paraméterek!$B$225:$F$240,IF($AF935&lt;IF($D$4="Forint",Paraméterek!$C$223,Paraméterek!$C$224),2,IF($AF935&lt;IF($D$4="Forint",Paraméterek!$D$223,Paraméterek!$D$224),3,4))),0),0)</f>
        <v>0</v>
      </c>
      <c r="AH935" s="13">
        <f>IF(AND($Z935&gt;=5,MOD($Z935,5)=0),IF($AA935=12,VLOOKUP($Z935,Paraméterek!$B$225:$F$240,5),0),IF(OR($Z935=3,$Z935=4),IF($AA935=12,VLOOKUP($Z935,Paraméterek!$B$225:$F$240,5,0),0),0))*$AF935</f>
        <v>0</v>
      </c>
      <c r="AI935" s="13">
        <f>ROUNDDOWN(IF(SUM($T$20:$U935)=0,IF($D$2="Egyszeri",$AH935,$AG935),0),IF($D$4="Forint",0,2))</f>
        <v>0</v>
      </c>
      <c r="AJ935" s="13">
        <f t="shared" si="222"/>
        <v>0</v>
      </c>
      <c r="AK935" s="13">
        <f t="shared" si="223"/>
        <v>0</v>
      </c>
      <c r="AM935" s="32">
        <v>916</v>
      </c>
      <c r="AN935" s="32">
        <v>77</v>
      </c>
      <c r="AO935" s="32">
        <v>4</v>
      </c>
      <c r="AP935" s="13"/>
      <c r="AQ935" s="32"/>
      <c r="AR935" s="13">
        <f t="shared" si="224"/>
        <v>0</v>
      </c>
      <c r="AS935" s="33"/>
      <c r="AT935" s="13">
        <f t="shared" si="218"/>
        <v>0</v>
      </c>
      <c r="AU935" s="13">
        <f>ROUNDUP(($AR935+$AT935)*VLOOKUP($AN935,Paraméterek!$P$38:$Q$38,2)/12,IF($D$4="Forint",0,2))</f>
        <v>0</v>
      </c>
      <c r="AV935" s="13"/>
      <c r="AW935" s="13"/>
      <c r="AX935" s="13">
        <f>ROUNDUP(IF(SUM($AV935:$AW935)=0,0,IF(IF(ISBLANK($AW935),$AV935,$AW935)*Paraméterek!$J$112&lt;IF($D$4="Forint",Paraméterek!$J$113,Paraméterek!$K$113),IF($D$4="Forint",Paraméterek!$J$113,Paraméterek!$K$113),IF(IF(ISBLANK($AW935),$AV935,$AW935)*Paraméterek!$J$112&gt;IF($D$4="Forint",Paraméterek!$J$114,Paraméterek!$K$114),IF($D$4="Forint",Paraméterek!$J$114,Paraméterek!$K$114),IF(ISBLANK($AW935),$AV935,$AW935)*Paraméterek!$J$112))),IF($D$4="Forint",0,2))</f>
        <v>0</v>
      </c>
      <c r="AY935" s="13">
        <f>$AR935+$AT935-$AU935-IF(ROUNDDOWN(IF(ISBLANK($AW935),$AV935,$AW935),IF($D$4="Forint",0,2))&gt;$AR935+$AT935-$AU935-IF($D$4="Forint",Paraméterek!$J$114,Paraméterek!$K$114),0,ROUNDDOWN(IF(ISBLANK($AW935),$AV935,$AW935),IF($D$4="Forint",0,2))-$AX935)</f>
        <v>0</v>
      </c>
      <c r="AZ935" s="13">
        <f t="shared" si="219"/>
        <v>0</v>
      </c>
    </row>
    <row r="936" spans="1:52" x14ac:dyDescent="0.2">
      <c r="A936" s="32">
        <v>917</v>
      </c>
      <c r="B936" s="32">
        <v>77</v>
      </c>
      <c r="C936" s="32">
        <v>5</v>
      </c>
      <c r="D936" s="13">
        <f t="shared" si="210"/>
        <v>0</v>
      </c>
      <c r="E936" s="13"/>
      <c r="F936" s="13"/>
      <c r="G936" s="13"/>
      <c r="H936" s="13">
        <f t="shared" si="211"/>
        <v>0</v>
      </c>
      <c r="I936" s="13">
        <f t="shared" si="212"/>
        <v>0</v>
      </c>
      <c r="J936" s="13">
        <f t="shared" si="213"/>
        <v>0</v>
      </c>
      <c r="K936" s="13">
        <f>ROUNDUP(IF($D$2="Egyszeri",$D936,IF($D$2="Havi",SUM($D$20:$D$31),IF(MOD($C936,$M$1)-1=0,SUM($D$20:$D$31),0))/12*$M$1)*VLOOKUP($B936,Paraméterek!$B$27:$D$30,IF($D$2="Egyszeri",3,2)),IF($D$4="Forint",0,2))</f>
        <v>0</v>
      </c>
      <c r="L936" s="13">
        <f t="shared" si="214"/>
        <v>0</v>
      </c>
      <c r="M936" s="13">
        <f t="shared" ca="1" si="220"/>
        <v>-1074661</v>
      </c>
      <c r="N936" s="13">
        <f ca="1">IF($V935&gt;=VLOOKUP($M$4-1+$B936,Paraméterek!$B$121:$D$122,IF($D$4="Forint",2,3)),0,VLOOKUP($M$4-1+$B936,Paraméterek!$B$121:$D$122,IF($D$4="Forint",2,3))-$V935)</f>
        <v>1084661</v>
      </c>
      <c r="O936" s="13">
        <f ca="1">ROUNDUP($N936*Paraméterek!$C$58/Paraméterek!$C$56,IF($D$4="Forint",0,2))</f>
        <v>173</v>
      </c>
      <c r="P936" s="13">
        <f t="shared" si="215"/>
        <v>5200</v>
      </c>
      <c r="Q936" s="33"/>
      <c r="R936" s="13">
        <f t="shared" ca="1" si="216"/>
        <v>0</v>
      </c>
      <c r="S936" s="13">
        <f ca="1">ROUNDUP(($M936-$O936-$P936+$R936)*VLOOKUP($B936,Paraméterek!$B$38:$D$39,IF($D$2="Egyszeri",3,2))/12,IF($D$4="Forint",0,2))</f>
        <v>-2638</v>
      </c>
      <c r="T936" s="13"/>
      <c r="U936" s="13"/>
      <c r="V936" s="13">
        <f ca="1">$M936-$O936-$P936+$R936-$S936-IF(ROUNDUP(IF(ISBLANK($U936),$T936,$U936)/IF(AND($B936=1,$D$2&lt;&gt;"Egyszeri"),1,VLOOKUP($B936+IF($C936=12,1,0),Paraméterek!$B$257:$D$267,IF($D$2="Egyszeri",3,2))),IF($D$4="Forint",0,2))&gt;$M936-$O936-$P936+$R936-$S936-IF($D$4="Forint",Paraméterek!$C$216,Paraméterek!$D$216),0,ROUNDUP(IF(ISBLANK($U936),$T936,$U936)/IF(AND($B936=1,$D$2&lt;&gt;"Egyszeri"),1,VLOOKUP($B936+IF($C936=12,1,0),Paraméterek!$B$257:$D$267,IF($D$2="Egyszeri",3,2))),IF($D$4="Forint",0,2)))</f>
        <v>-1077396</v>
      </c>
      <c r="W936" s="13">
        <f ca="1">ROUNDDOWN($V936*VLOOKUP($B936+IF($C936=12,1,0),Paraméterek!$B$257:$D$267,IF($D$2="Egyszeri",3,2)),IF($D$4="Forint",0,2))</f>
        <v>-1077396</v>
      </c>
      <c r="Y936" s="32">
        <v>917</v>
      </c>
      <c r="Z936" s="32">
        <v>77</v>
      </c>
      <c r="AA936" s="32">
        <v>5</v>
      </c>
      <c r="AB936" s="13">
        <f t="shared" si="221"/>
        <v>0</v>
      </c>
      <c r="AC936" s="33"/>
      <c r="AD936" s="13">
        <f t="shared" si="217"/>
        <v>0</v>
      </c>
      <c r="AE936" s="13">
        <f>ROUNDUP(($AB936+$AD936)*VLOOKUP($Z936,Paraméterek!$P$38:$Q$38,2)/12,IF($D$4="Forint",0,2))</f>
        <v>0</v>
      </c>
      <c r="AF936" s="13">
        <f>IF($D$2="Egyszeri",IF($D$7&gt;=IF($D$4="Forint",Paraméterek!$P$223,Paraméterek!$P$224),$D$7-IF($D$4="Forint",Paraméterek!$F$223,Paraméterek!$F$224),0),MIN(IF($AA936=12,AVERAGE($D$20:$D936)*12,0),SUM($D$20:$D$31)))</f>
        <v>0</v>
      </c>
      <c r="AG936" s="13">
        <f>IF(AND($Z936&gt;=10,MOD($Z936,5)=0),$AF936*IF($AA936=12,VLOOKUP($Z936,Paraméterek!$B$225:$F$240,IF($AF936&lt;IF($D$4="Forint",Paraméterek!$C$223,Paraméterek!$C$224),2,IF($AF936&lt;IF($D$4="Forint",Paraméterek!$D$223,Paraméterek!$D$224),3,4))),0),0)</f>
        <v>0</v>
      </c>
      <c r="AH936" s="13">
        <f>IF(AND($Z936&gt;=5,MOD($Z936,5)=0),IF($AA936=12,VLOOKUP($Z936,Paraméterek!$B$225:$F$240,5),0),IF(OR($Z936=3,$Z936=4),IF($AA936=12,VLOOKUP($Z936,Paraméterek!$B$225:$F$240,5,0),0),0))*$AF936</f>
        <v>0</v>
      </c>
      <c r="AI936" s="13">
        <f>ROUNDDOWN(IF(SUM($T$20:$U936)=0,IF($D$2="Egyszeri",$AH936,$AG936),0),IF($D$4="Forint",0,2))</f>
        <v>0</v>
      </c>
      <c r="AJ936" s="13">
        <f t="shared" si="222"/>
        <v>0</v>
      </c>
      <c r="AK936" s="13">
        <f t="shared" si="223"/>
        <v>0</v>
      </c>
      <c r="AM936" s="32">
        <v>917</v>
      </c>
      <c r="AN936" s="32">
        <v>77</v>
      </c>
      <c r="AO936" s="32">
        <v>5</v>
      </c>
      <c r="AP936" s="13"/>
      <c r="AQ936" s="32"/>
      <c r="AR936" s="13">
        <f t="shared" si="224"/>
        <v>0</v>
      </c>
      <c r="AS936" s="33"/>
      <c r="AT936" s="13">
        <f t="shared" si="218"/>
        <v>0</v>
      </c>
      <c r="AU936" s="13">
        <f>ROUNDUP(($AR936+$AT936)*VLOOKUP($AN936,Paraméterek!$P$38:$Q$38,2)/12,IF($D$4="Forint",0,2))</f>
        <v>0</v>
      </c>
      <c r="AV936" s="13"/>
      <c r="AW936" s="13"/>
      <c r="AX936" s="13">
        <f>ROUNDUP(IF(SUM($AV936:$AW936)=0,0,IF(IF(ISBLANK($AW936),$AV936,$AW936)*Paraméterek!$J$112&lt;IF($D$4="Forint",Paraméterek!$J$113,Paraméterek!$K$113),IF($D$4="Forint",Paraméterek!$J$113,Paraméterek!$K$113),IF(IF(ISBLANK($AW936),$AV936,$AW936)*Paraméterek!$J$112&gt;IF($D$4="Forint",Paraméterek!$J$114,Paraméterek!$K$114),IF($D$4="Forint",Paraméterek!$J$114,Paraméterek!$K$114),IF(ISBLANK($AW936),$AV936,$AW936)*Paraméterek!$J$112))),IF($D$4="Forint",0,2))</f>
        <v>0</v>
      </c>
      <c r="AY936" s="13">
        <f>$AR936+$AT936-$AU936-IF(ROUNDDOWN(IF(ISBLANK($AW936),$AV936,$AW936),IF($D$4="Forint",0,2))&gt;$AR936+$AT936-$AU936-IF($D$4="Forint",Paraméterek!$J$114,Paraméterek!$K$114),0,ROUNDDOWN(IF(ISBLANK($AW936),$AV936,$AW936),IF($D$4="Forint",0,2))-$AX936)</f>
        <v>0</v>
      </c>
      <c r="AZ936" s="13">
        <f t="shared" si="219"/>
        <v>0</v>
      </c>
    </row>
    <row r="937" spans="1:52" x14ac:dyDescent="0.2">
      <c r="A937" s="32">
        <v>918</v>
      </c>
      <c r="B937" s="32">
        <v>77</v>
      </c>
      <c r="C937" s="32">
        <v>6</v>
      </c>
      <c r="D937" s="13">
        <f t="shared" si="210"/>
        <v>0</v>
      </c>
      <c r="E937" s="13"/>
      <c r="F937" s="13"/>
      <c r="G937" s="13"/>
      <c r="H937" s="13">
        <f t="shared" si="211"/>
        <v>0</v>
      </c>
      <c r="I937" s="13">
        <f t="shared" si="212"/>
        <v>0</v>
      </c>
      <c r="J937" s="13">
        <f t="shared" si="213"/>
        <v>0</v>
      </c>
      <c r="K937" s="13">
        <f>ROUNDUP(IF($D$2="Egyszeri",$D937,IF($D$2="Havi",SUM($D$20:$D$31),IF(MOD($C937,$M$1)-1=0,SUM($D$20:$D$31),0))/12*$M$1)*VLOOKUP($B937,Paraméterek!$B$27:$D$30,IF($D$2="Egyszeri",3,2)),IF($D$4="Forint",0,2))</f>
        <v>0</v>
      </c>
      <c r="L937" s="13">
        <f t="shared" si="214"/>
        <v>0</v>
      </c>
      <c r="M937" s="13">
        <f t="shared" ca="1" si="220"/>
        <v>-1077396</v>
      </c>
      <c r="N937" s="13">
        <f ca="1">IF($V936&gt;=VLOOKUP($M$4-1+$B937,Paraméterek!$B$121:$D$122,IF($D$4="Forint",2,3)),0,VLOOKUP($M$4-1+$B937,Paraméterek!$B$121:$D$122,IF($D$4="Forint",2,3))-$V936)</f>
        <v>1087396</v>
      </c>
      <c r="O937" s="13">
        <f ca="1">ROUNDUP($N937*Paraméterek!$C$58/Paraméterek!$C$56,IF($D$4="Forint",0,2))</f>
        <v>174</v>
      </c>
      <c r="P937" s="13">
        <f t="shared" si="215"/>
        <v>5200</v>
      </c>
      <c r="Q937" s="33"/>
      <c r="R937" s="13">
        <f t="shared" ca="1" si="216"/>
        <v>0</v>
      </c>
      <c r="S937" s="13">
        <f ca="1">ROUNDUP(($M937-$O937-$P937+$R937)*VLOOKUP($B937,Paraméterek!$B$38:$D$39,IF($D$2="Egyszeri",3,2))/12,IF($D$4="Forint",0,2))</f>
        <v>-2644</v>
      </c>
      <c r="T937" s="13"/>
      <c r="U937" s="13"/>
      <c r="V937" s="13">
        <f ca="1">$M937-$O937-$P937+$R937-$S937-IF(ROUNDUP(IF(ISBLANK($U937),$T937,$U937)/IF(AND($B937=1,$D$2&lt;&gt;"Egyszeri"),1,VLOOKUP($B937+IF($C937=12,1,0),Paraméterek!$B$257:$D$267,IF($D$2="Egyszeri",3,2))),IF($D$4="Forint",0,2))&gt;$M937-$O937-$P937+$R937-$S937-IF($D$4="Forint",Paraméterek!$C$216,Paraméterek!$D$216),0,ROUNDUP(IF(ISBLANK($U937),$T937,$U937)/IF(AND($B937=1,$D$2&lt;&gt;"Egyszeri"),1,VLOOKUP($B937+IF($C937=12,1,0),Paraméterek!$B$257:$D$267,IF($D$2="Egyszeri",3,2))),IF($D$4="Forint",0,2)))</f>
        <v>-1080126</v>
      </c>
      <c r="W937" s="13">
        <f ca="1">ROUNDDOWN($V937*VLOOKUP($B937+IF($C937=12,1,0),Paraméterek!$B$257:$D$267,IF($D$2="Egyszeri",3,2)),IF($D$4="Forint",0,2))</f>
        <v>-1080126</v>
      </c>
      <c r="Y937" s="32">
        <v>918</v>
      </c>
      <c r="Z937" s="32">
        <v>77</v>
      </c>
      <c r="AA937" s="32">
        <v>6</v>
      </c>
      <c r="AB937" s="13">
        <f t="shared" si="221"/>
        <v>0</v>
      </c>
      <c r="AC937" s="33"/>
      <c r="AD937" s="13">
        <f t="shared" si="217"/>
        <v>0</v>
      </c>
      <c r="AE937" s="13">
        <f>ROUNDUP(($AB937+$AD937)*VLOOKUP($Z937,Paraméterek!$P$38:$Q$38,2)/12,IF($D$4="Forint",0,2))</f>
        <v>0</v>
      </c>
      <c r="AF937" s="13">
        <f>IF($D$2="Egyszeri",IF($D$7&gt;=IF($D$4="Forint",Paraméterek!$P$223,Paraméterek!$P$224),$D$7-IF($D$4="Forint",Paraméterek!$F$223,Paraméterek!$F$224),0),MIN(IF($AA937=12,AVERAGE($D$20:$D937)*12,0),SUM($D$20:$D$31)))</f>
        <v>0</v>
      </c>
      <c r="AG937" s="13">
        <f>IF(AND($Z937&gt;=10,MOD($Z937,5)=0),$AF937*IF($AA937=12,VLOOKUP($Z937,Paraméterek!$B$225:$F$240,IF($AF937&lt;IF($D$4="Forint",Paraméterek!$C$223,Paraméterek!$C$224),2,IF($AF937&lt;IF($D$4="Forint",Paraméterek!$D$223,Paraméterek!$D$224),3,4))),0),0)</f>
        <v>0</v>
      </c>
      <c r="AH937" s="13">
        <f>IF(AND($Z937&gt;=5,MOD($Z937,5)=0),IF($AA937=12,VLOOKUP($Z937,Paraméterek!$B$225:$F$240,5),0),IF(OR($Z937=3,$Z937=4),IF($AA937=12,VLOOKUP($Z937,Paraméterek!$B$225:$F$240,5,0),0),0))*$AF937</f>
        <v>0</v>
      </c>
      <c r="AI937" s="13">
        <f>ROUNDDOWN(IF(SUM($T$20:$U937)=0,IF($D$2="Egyszeri",$AH937,$AG937),0),IF($D$4="Forint",0,2))</f>
        <v>0</v>
      </c>
      <c r="AJ937" s="13">
        <f t="shared" si="222"/>
        <v>0</v>
      </c>
      <c r="AK937" s="13">
        <f t="shared" si="223"/>
        <v>0</v>
      </c>
      <c r="AM937" s="32">
        <v>918</v>
      </c>
      <c r="AN937" s="32">
        <v>77</v>
      </c>
      <c r="AO937" s="32">
        <v>6</v>
      </c>
      <c r="AP937" s="13"/>
      <c r="AQ937" s="32"/>
      <c r="AR937" s="13">
        <f t="shared" si="224"/>
        <v>0</v>
      </c>
      <c r="AS937" s="33"/>
      <c r="AT937" s="13">
        <f t="shared" si="218"/>
        <v>0</v>
      </c>
      <c r="AU937" s="13">
        <f>ROUNDUP(($AR937+$AT937)*VLOOKUP($AN937,Paraméterek!$P$38:$Q$38,2)/12,IF($D$4="Forint",0,2))</f>
        <v>0</v>
      </c>
      <c r="AV937" s="13"/>
      <c r="AW937" s="13"/>
      <c r="AX937" s="13">
        <f>ROUNDUP(IF(SUM($AV937:$AW937)=0,0,IF(IF(ISBLANK($AW937),$AV937,$AW937)*Paraméterek!$J$112&lt;IF($D$4="Forint",Paraméterek!$J$113,Paraméterek!$K$113),IF($D$4="Forint",Paraméterek!$J$113,Paraméterek!$K$113),IF(IF(ISBLANK($AW937),$AV937,$AW937)*Paraméterek!$J$112&gt;IF($D$4="Forint",Paraméterek!$J$114,Paraméterek!$K$114),IF($D$4="Forint",Paraméterek!$J$114,Paraméterek!$K$114),IF(ISBLANK($AW937),$AV937,$AW937)*Paraméterek!$J$112))),IF($D$4="Forint",0,2))</f>
        <v>0</v>
      </c>
      <c r="AY937" s="13">
        <f>$AR937+$AT937-$AU937-IF(ROUNDDOWN(IF(ISBLANK($AW937),$AV937,$AW937),IF($D$4="Forint",0,2))&gt;$AR937+$AT937-$AU937-IF($D$4="Forint",Paraméterek!$J$114,Paraméterek!$K$114),0,ROUNDDOWN(IF(ISBLANK($AW937),$AV937,$AW937),IF($D$4="Forint",0,2))-$AX937)</f>
        <v>0</v>
      </c>
      <c r="AZ937" s="13">
        <f t="shared" si="219"/>
        <v>0</v>
      </c>
    </row>
    <row r="938" spans="1:52" x14ac:dyDescent="0.2">
      <c r="A938" s="32">
        <v>919</v>
      </c>
      <c r="B938" s="32">
        <v>77</v>
      </c>
      <c r="C938" s="32">
        <v>7</v>
      </c>
      <c r="D938" s="13">
        <f t="shared" si="210"/>
        <v>0</v>
      </c>
      <c r="E938" s="13"/>
      <c r="F938" s="13"/>
      <c r="G938" s="13"/>
      <c r="H938" s="13">
        <f t="shared" si="211"/>
        <v>0</v>
      </c>
      <c r="I938" s="13">
        <f t="shared" si="212"/>
        <v>0</v>
      </c>
      <c r="J938" s="13">
        <f t="shared" si="213"/>
        <v>0</v>
      </c>
      <c r="K938" s="13">
        <f>ROUNDUP(IF($D$2="Egyszeri",$D938,IF($D$2="Havi",SUM($D$20:$D$31),IF(MOD($C938,$M$1)-1=0,SUM($D$20:$D$31),0))/12*$M$1)*VLOOKUP($B938,Paraméterek!$B$27:$D$30,IF($D$2="Egyszeri",3,2)),IF($D$4="Forint",0,2))</f>
        <v>0</v>
      </c>
      <c r="L938" s="13">
        <f t="shared" si="214"/>
        <v>0</v>
      </c>
      <c r="M938" s="13">
        <f t="shared" ca="1" si="220"/>
        <v>-1080126</v>
      </c>
      <c r="N938" s="13">
        <f ca="1">IF($V937&gt;=VLOOKUP($M$4-1+$B938,Paraméterek!$B$121:$D$122,IF($D$4="Forint",2,3)),0,VLOOKUP($M$4-1+$B938,Paraméterek!$B$121:$D$122,IF($D$4="Forint",2,3))-$V937)</f>
        <v>1090126</v>
      </c>
      <c r="O938" s="13">
        <f ca="1">ROUNDUP($N938*Paraméterek!$C$58/Paraméterek!$C$56,IF($D$4="Forint",0,2))</f>
        <v>174</v>
      </c>
      <c r="P938" s="13">
        <f t="shared" si="215"/>
        <v>5200</v>
      </c>
      <c r="Q938" s="33"/>
      <c r="R938" s="13">
        <f t="shared" ca="1" si="216"/>
        <v>0</v>
      </c>
      <c r="S938" s="13">
        <f ca="1">ROUNDUP(($M938-$O938-$P938+$R938)*VLOOKUP($B938,Paraméterek!$B$38:$D$39,IF($D$2="Egyszeri",3,2))/12,IF($D$4="Forint",0,2))</f>
        <v>-2651</v>
      </c>
      <c r="T938" s="13"/>
      <c r="U938" s="13"/>
      <c r="V938" s="13">
        <f ca="1">$M938-$O938-$P938+$R938-$S938-IF(ROUNDUP(IF(ISBLANK($U938),$T938,$U938)/IF(AND($B938=1,$D$2&lt;&gt;"Egyszeri"),1,VLOOKUP($B938+IF($C938=12,1,0),Paraméterek!$B$257:$D$267,IF($D$2="Egyszeri",3,2))),IF($D$4="Forint",0,2))&gt;$M938-$O938-$P938+$R938-$S938-IF($D$4="Forint",Paraméterek!$C$216,Paraméterek!$D$216),0,ROUNDUP(IF(ISBLANK($U938),$T938,$U938)/IF(AND($B938=1,$D$2&lt;&gt;"Egyszeri"),1,VLOOKUP($B938+IF($C938=12,1,0),Paraméterek!$B$257:$D$267,IF($D$2="Egyszeri",3,2))),IF($D$4="Forint",0,2)))</f>
        <v>-1082849</v>
      </c>
      <c r="W938" s="13">
        <f ca="1">ROUNDDOWN($V938*VLOOKUP($B938+IF($C938=12,1,0),Paraméterek!$B$257:$D$267,IF($D$2="Egyszeri",3,2)),IF($D$4="Forint",0,2))</f>
        <v>-1082849</v>
      </c>
      <c r="Y938" s="32">
        <v>919</v>
      </c>
      <c r="Z938" s="32">
        <v>77</v>
      </c>
      <c r="AA938" s="32">
        <v>7</v>
      </c>
      <c r="AB938" s="13">
        <f t="shared" si="221"/>
        <v>0</v>
      </c>
      <c r="AC938" s="33"/>
      <c r="AD938" s="13">
        <f t="shared" si="217"/>
        <v>0</v>
      </c>
      <c r="AE938" s="13">
        <f>ROUNDUP(($AB938+$AD938)*VLOOKUP($Z938,Paraméterek!$P$38:$Q$38,2)/12,IF($D$4="Forint",0,2))</f>
        <v>0</v>
      </c>
      <c r="AF938" s="13">
        <f>IF($D$2="Egyszeri",IF($D$7&gt;=IF($D$4="Forint",Paraméterek!$P$223,Paraméterek!$P$224),$D$7-IF($D$4="Forint",Paraméterek!$F$223,Paraméterek!$F$224),0),MIN(IF($AA938=12,AVERAGE($D$20:$D938)*12,0),SUM($D$20:$D$31)))</f>
        <v>0</v>
      </c>
      <c r="AG938" s="13">
        <f>IF(AND($Z938&gt;=10,MOD($Z938,5)=0),$AF938*IF($AA938=12,VLOOKUP($Z938,Paraméterek!$B$225:$F$240,IF($AF938&lt;IF($D$4="Forint",Paraméterek!$C$223,Paraméterek!$C$224),2,IF($AF938&lt;IF($D$4="Forint",Paraméterek!$D$223,Paraméterek!$D$224),3,4))),0),0)</f>
        <v>0</v>
      </c>
      <c r="AH938" s="13">
        <f>IF(AND($Z938&gt;=5,MOD($Z938,5)=0),IF($AA938=12,VLOOKUP($Z938,Paraméterek!$B$225:$F$240,5),0),IF(OR($Z938=3,$Z938=4),IF($AA938=12,VLOOKUP($Z938,Paraméterek!$B$225:$F$240,5,0),0),0))*$AF938</f>
        <v>0</v>
      </c>
      <c r="AI938" s="13">
        <f>ROUNDDOWN(IF(SUM($T$20:$U938)=0,IF($D$2="Egyszeri",$AH938,$AG938),0),IF($D$4="Forint",0,2))</f>
        <v>0</v>
      </c>
      <c r="AJ938" s="13">
        <f t="shared" si="222"/>
        <v>0</v>
      </c>
      <c r="AK938" s="13">
        <f t="shared" si="223"/>
        <v>0</v>
      </c>
      <c r="AM938" s="32">
        <v>919</v>
      </c>
      <c r="AN938" s="32">
        <v>77</v>
      </c>
      <c r="AO938" s="32">
        <v>7</v>
      </c>
      <c r="AP938" s="13"/>
      <c r="AQ938" s="32"/>
      <c r="AR938" s="13">
        <f t="shared" si="224"/>
        <v>0</v>
      </c>
      <c r="AS938" s="33"/>
      <c r="AT938" s="13">
        <f t="shared" si="218"/>
        <v>0</v>
      </c>
      <c r="AU938" s="13">
        <f>ROUNDUP(($AR938+$AT938)*VLOOKUP($AN938,Paraméterek!$P$38:$Q$38,2)/12,IF($D$4="Forint",0,2))</f>
        <v>0</v>
      </c>
      <c r="AV938" s="13"/>
      <c r="AW938" s="13"/>
      <c r="AX938" s="13">
        <f>ROUNDUP(IF(SUM($AV938:$AW938)=0,0,IF(IF(ISBLANK($AW938),$AV938,$AW938)*Paraméterek!$J$112&lt;IF($D$4="Forint",Paraméterek!$J$113,Paraméterek!$K$113),IF($D$4="Forint",Paraméterek!$J$113,Paraméterek!$K$113),IF(IF(ISBLANK($AW938),$AV938,$AW938)*Paraméterek!$J$112&gt;IF($D$4="Forint",Paraméterek!$J$114,Paraméterek!$K$114),IF($D$4="Forint",Paraméterek!$J$114,Paraméterek!$K$114),IF(ISBLANK($AW938),$AV938,$AW938)*Paraméterek!$J$112))),IF($D$4="Forint",0,2))</f>
        <v>0</v>
      </c>
      <c r="AY938" s="13">
        <f>$AR938+$AT938-$AU938-IF(ROUNDDOWN(IF(ISBLANK($AW938),$AV938,$AW938),IF($D$4="Forint",0,2))&gt;$AR938+$AT938-$AU938-IF($D$4="Forint",Paraméterek!$J$114,Paraméterek!$K$114),0,ROUNDDOWN(IF(ISBLANK($AW938),$AV938,$AW938),IF($D$4="Forint",0,2))-$AX938)</f>
        <v>0</v>
      </c>
      <c r="AZ938" s="13">
        <f t="shared" si="219"/>
        <v>0</v>
      </c>
    </row>
    <row r="939" spans="1:52" x14ac:dyDescent="0.2">
      <c r="A939" s="32">
        <v>920</v>
      </c>
      <c r="B939" s="32">
        <v>77</v>
      </c>
      <c r="C939" s="32">
        <v>8</v>
      </c>
      <c r="D939" s="13">
        <f t="shared" si="210"/>
        <v>0</v>
      </c>
      <c r="E939" s="13"/>
      <c r="F939" s="13"/>
      <c r="G939" s="13"/>
      <c r="H939" s="13">
        <f t="shared" si="211"/>
        <v>0</v>
      </c>
      <c r="I939" s="13">
        <f t="shared" si="212"/>
        <v>0</v>
      </c>
      <c r="J939" s="13">
        <f t="shared" si="213"/>
        <v>0</v>
      </c>
      <c r="K939" s="13">
        <f>ROUNDUP(IF($D$2="Egyszeri",$D939,IF($D$2="Havi",SUM($D$20:$D$31),IF(MOD($C939,$M$1)-1=0,SUM($D$20:$D$31),0))/12*$M$1)*VLOOKUP($B939,Paraméterek!$B$27:$D$30,IF($D$2="Egyszeri",3,2)),IF($D$4="Forint",0,2))</f>
        <v>0</v>
      </c>
      <c r="L939" s="13">
        <f t="shared" si="214"/>
        <v>0</v>
      </c>
      <c r="M939" s="13">
        <f t="shared" ca="1" si="220"/>
        <v>-1082849</v>
      </c>
      <c r="N939" s="13">
        <f ca="1">IF($V938&gt;=VLOOKUP($M$4-1+$B939,Paraméterek!$B$121:$D$122,IF($D$4="Forint",2,3)),0,VLOOKUP($M$4-1+$B939,Paraméterek!$B$121:$D$122,IF($D$4="Forint",2,3))-$V938)</f>
        <v>1092849</v>
      </c>
      <c r="O939" s="13">
        <f ca="1">ROUNDUP($N939*Paraméterek!$C$58/Paraméterek!$C$56,IF($D$4="Forint",0,2))</f>
        <v>174</v>
      </c>
      <c r="P939" s="13">
        <f t="shared" si="215"/>
        <v>5200</v>
      </c>
      <c r="Q939" s="33"/>
      <c r="R939" s="13">
        <f t="shared" ca="1" si="216"/>
        <v>0</v>
      </c>
      <c r="S939" s="13">
        <f ca="1">ROUNDUP(($M939-$O939-$P939+$R939)*VLOOKUP($B939,Paraméterek!$B$38:$D$39,IF($D$2="Egyszeri",3,2))/12,IF($D$4="Forint",0,2))</f>
        <v>-2658</v>
      </c>
      <c r="T939" s="13"/>
      <c r="U939" s="13"/>
      <c r="V939" s="13">
        <f ca="1">$M939-$O939-$P939+$R939-$S939-IF(ROUNDUP(IF(ISBLANK($U939),$T939,$U939)/IF(AND($B939=1,$D$2&lt;&gt;"Egyszeri"),1,VLOOKUP($B939+IF($C939=12,1,0),Paraméterek!$B$257:$D$267,IF($D$2="Egyszeri",3,2))),IF($D$4="Forint",0,2))&gt;$M939-$O939-$P939+$R939-$S939-IF($D$4="Forint",Paraméterek!$C$216,Paraméterek!$D$216),0,ROUNDUP(IF(ISBLANK($U939),$T939,$U939)/IF(AND($B939=1,$D$2&lt;&gt;"Egyszeri"),1,VLOOKUP($B939+IF($C939=12,1,0),Paraméterek!$B$257:$D$267,IF($D$2="Egyszeri",3,2))),IF($D$4="Forint",0,2)))</f>
        <v>-1085565</v>
      </c>
      <c r="W939" s="13">
        <f ca="1">ROUNDDOWN($V939*VLOOKUP($B939+IF($C939=12,1,0),Paraméterek!$B$257:$D$267,IF($D$2="Egyszeri",3,2)),IF($D$4="Forint",0,2))</f>
        <v>-1085565</v>
      </c>
      <c r="Y939" s="32">
        <v>920</v>
      </c>
      <c r="Z939" s="32">
        <v>77</v>
      </c>
      <c r="AA939" s="32">
        <v>8</v>
      </c>
      <c r="AB939" s="13">
        <f t="shared" si="221"/>
        <v>0</v>
      </c>
      <c r="AC939" s="33"/>
      <c r="AD939" s="13">
        <f t="shared" si="217"/>
        <v>0</v>
      </c>
      <c r="AE939" s="13">
        <f>ROUNDUP(($AB939+$AD939)*VLOOKUP($Z939,Paraméterek!$P$38:$Q$38,2)/12,IF($D$4="Forint",0,2))</f>
        <v>0</v>
      </c>
      <c r="AF939" s="13">
        <f>IF($D$2="Egyszeri",IF($D$7&gt;=IF($D$4="Forint",Paraméterek!$P$223,Paraméterek!$P$224),$D$7-IF($D$4="Forint",Paraméterek!$F$223,Paraméterek!$F$224),0),MIN(IF($AA939=12,AVERAGE($D$20:$D939)*12,0),SUM($D$20:$D$31)))</f>
        <v>0</v>
      </c>
      <c r="AG939" s="13">
        <f>IF(AND($Z939&gt;=10,MOD($Z939,5)=0),$AF939*IF($AA939=12,VLOOKUP($Z939,Paraméterek!$B$225:$F$240,IF($AF939&lt;IF($D$4="Forint",Paraméterek!$C$223,Paraméterek!$C$224),2,IF($AF939&lt;IF($D$4="Forint",Paraméterek!$D$223,Paraméterek!$D$224),3,4))),0),0)</f>
        <v>0</v>
      </c>
      <c r="AH939" s="13">
        <f>IF(AND($Z939&gt;=5,MOD($Z939,5)=0),IF($AA939=12,VLOOKUP($Z939,Paraméterek!$B$225:$F$240,5),0),IF(OR($Z939=3,$Z939=4),IF($AA939=12,VLOOKUP($Z939,Paraméterek!$B$225:$F$240,5,0),0),0))*$AF939</f>
        <v>0</v>
      </c>
      <c r="AI939" s="13">
        <f>ROUNDDOWN(IF(SUM($T$20:$U939)=0,IF($D$2="Egyszeri",$AH939,$AG939),0),IF($D$4="Forint",0,2))</f>
        <v>0</v>
      </c>
      <c r="AJ939" s="13">
        <f t="shared" si="222"/>
        <v>0</v>
      </c>
      <c r="AK939" s="13">
        <f t="shared" si="223"/>
        <v>0</v>
      </c>
      <c r="AM939" s="32">
        <v>920</v>
      </c>
      <c r="AN939" s="32">
        <v>77</v>
      </c>
      <c r="AO939" s="32">
        <v>8</v>
      </c>
      <c r="AP939" s="13"/>
      <c r="AQ939" s="32"/>
      <c r="AR939" s="13">
        <f t="shared" si="224"/>
        <v>0</v>
      </c>
      <c r="AS939" s="33"/>
      <c r="AT939" s="13">
        <f t="shared" si="218"/>
        <v>0</v>
      </c>
      <c r="AU939" s="13">
        <f>ROUNDUP(($AR939+$AT939)*VLOOKUP($AN939,Paraméterek!$P$38:$Q$38,2)/12,IF($D$4="Forint",0,2))</f>
        <v>0</v>
      </c>
      <c r="AV939" s="13"/>
      <c r="AW939" s="13"/>
      <c r="AX939" s="13">
        <f>ROUNDUP(IF(SUM($AV939:$AW939)=0,0,IF(IF(ISBLANK($AW939),$AV939,$AW939)*Paraméterek!$J$112&lt;IF($D$4="Forint",Paraméterek!$J$113,Paraméterek!$K$113),IF($D$4="Forint",Paraméterek!$J$113,Paraméterek!$K$113),IF(IF(ISBLANK($AW939),$AV939,$AW939)*Paraméterek!$J$112&gt;IF($D$4="Forint",Paraméterek!$J$114,Paraméterek!$K$114),IF($D$4="Forint",Paraméterek!$J$114,Paraméterek!$K$114),IF(ISBLANK($AW939),$AV939,$AW939)*Paraméterek!$J$112))),IF($D$4="Forint",0,2))</f>
        <v>0</v>
      </c>
      <c r="AY939" s="13">
        <f>$AR939+$AT939-$AU939-IF(ROUNDDOWN(IF(ISBLANK($AW939),$AV939,$AW939),IF($D$4="Forint",0,2))&gt;$AR939+$AT939-$AU939-IF($D$4="Forint",Paraméterek!$J$114,Paraméterek!$K$114),0,ROUNDDOWN(IF(ISBLANK($AW939),$AV939,$AW939),IF($D$4="Forint",0,2))-$AX939)</f>
        <v>0</v>
      </c>
      <c r="AZ939" s="13">
        <f t="shared" si="219"/>
        <v>0</v>
      </c>
    </row>
    <row r="940" spans="1:52" x14ac:dyDescent="0.2">
      <c r="A940" s="32">
        <v>921</v>
      </c>
      <c r="B940" s="32">
        <v>77</v>
      </c>
      <c r="C940" s="32">
        <v>9</v>
      </c>
      <c r="D940" s="13">
        <f t="shared" si="210"/>
        <v>0</v>
      </c>
      <c r="E940" s="13"/>
      <c r="F940" s="13"/>
      <c r="G940" s="13"/>
      <c r="H940" s="13">
        <f t="shared" si="211"/>
        <v>0</v>
      </c>
      <c r="I940" s="13">
        <f t="shared" si="212"/>
        <v>0</v>
      </c>
      <c r="J940" s="13">
        <f t="shared" si="213"/>
        <v>0</v>
      </c>
      <c r="K940" s="13">
        <f>ROUNDUP(IF($D$2="Egyszeri",$D940,IF($D$2="Havi",SUM($D$20:$D$31),IF(MOD($C940,$M$1)-1=0,SUM($D$20:$D$31),0))/12*$M$1)*VLOOKUP($B940,Paraméterek!$B$27:$D$30,IF($D$2="Egyszeri",3,2)),IF($D$4="Forint",0,2))</f>
        <v>0</v>
      </c>
      <c r="L940" s="13">
        <f t="shared" si="214"/>
        <v>0</v>
      </c>
      <c r="M940" s="13">
        <f t="shared" ca="1" si="220"/>
        <v>-1085565</v>
      </c>
      <c r="N940" s="13">
        <f ca="1">IF($V939&gt;=VLOOKUP($M$4-1+$B940,Paraméterek!$B$121:$D$122,IF($D$4="Forint",2,3)),0,VLOOKUP($M$4-1+$B940,Paraméterek!$B$121:$D$122,IF($D$4="Forint",2,3))-$V939)</f>
        <v>1095565</v>
      </c>
      <c r="O940" s="13">
        <f ca="1">ROUNDUP($N940*Paraméterek!$C$58/Paraméterek!$C$56,IF($D$4="Forint",0,2))</f>
        <v>175</v>
      </c>
      <c r="P940" s="13">
        <f t="shared" si="215"/>
        <v>5200</v>
      </c>
      <c r="Q940" s="33"/>
      <c r="R940" s="13">
        <f t="shared" ca="1" si="216"/>
        <v>0</v>
      </c>
      <c r="S940" s="13">
        <f ca="1">ROUNDUP(($M940-$O940-$P940+$R940)*VLOOKUP($B940,Paraméterek!$B$38:$D$39,IF($D$2="Egyszeri",3,2))/12,IF($D$4="Forint",0,2))</f>
        <v>-2664</v>
      </c>
      <c r="T940" s="13"/>
      <c r="U940" s="13"/>
      <c r="V940" s="13">
        <f ca="1">$M940-$O940-$P940+$R940-$S940-IF(ROUNDUP(IF(ISBLANK($U940),$T940,$U940)/IF(AND($B940=1,$D$2&lt;&gt;"Egyszeri"),1,VLOOKUP($B940+IF($C940=12,1,0),Paraméterek!$B$257:$D$267,IF($D$2="Egyszeri",3,2))),IF($D$4="Forint",0,2))&gt;$M940-$O940-$P940+$R940-$S940-IF($D$4="Forint",Paraméterek!$C$216,Paraméterek!$D$216),0,ROUNDUP(IF(ISBLANK($U940),$T940,$U940)/IF(AND($B940=1,$D$2&lt;&gt;"Egyszeri"),1,VLOOKUP($B940+IF($C940=12,1,0),Paraméterek!$B$257:$D$267,IF($D$2="Egyszeri",3,2))),IF($D$4="Forint",0,2)))</f>
        <v>-1088276</v>
      </c>
      <c r="W940" s="13">
        <f ca="1">ROUNDDOWN($V940*VLOOKUP($B940+IF($C940=12,1,0),Paraméterek!$B$257:$D$267,IF($D$2="Egyszeri",3,2)),IF($D$4="Forint",0,2))</f>
        <v>-1088276</v>
      </c>
      <c r="Y940" s="32">
        <v>921</v>
      </c>
      <c r="Z940" s="32">
        <v>77</v>
      </c>
      <c r="AA940" s="32">
        <v>9</v>
      </c>
      <c r="AB940" s="13">
        <f t="shared" si="221"/>
        <v>0</v>
      </c>
      <c r="AC940" s="33"/>
      <c r="AD940" s="13">
        <f t="shared" si="217"/>
        <v>0</v>
      </c>
      <c r="AE940" s="13">
        <f>ROUNDUP(($AB940+$AD940)*VLOOKUP($Z940,Paraméterek!$P$38:$Q$38,2)/12,IF($D$4="Forint",0,2))</f>
        <v>0</v>
      </c>
      <c r="AF940" s="13">
        <f>IF($D$2="Egyszeri",IF($D$7&gt;=IF($D$4="Forint",Paraméterek!$P$223,Paraméterek!$P$224),$D$7-IF($D$4="Forint",Paraméterek!$F$223,Paraméterek!$F$224),0),MIN(IF($AA940=12,AVERAGE($D$20:$D940)*12,0),SUM($D$20:$D$31)))</f>
        <v>0</v>
      </c>
      <c r="AG940" s="13">
        <f>IF(AND($Z940&gt;=10,MOD($Z940,5)=0),$AF940*IF($AA940=12,VLOOKUP($Z940,Paraméterek!$B$225:$F$240,IF($AF940&lt;IF($D$4="Forint",Paraméterek!$C$223,Paraméterek!$C$224),2,IF($AF940&lt;IF($D$4="Forint",Paraméterek!$D$223,Paraméterek!$D$224),3,4))),0),0)</f>
        <v>0</v>
      </c>
      <c r="AH940" s="13">
        <f>IF(AND($Z940&gt;=5,MOD($Z940,5)=0),IF($AA940=12,VLOOKUP($Z940,Paraméterek!$B$225:$F$240,5),0),IF(OR($Z940=3,$Z940=4),IF($AA940=12,VLOOKUP($Z940,Paraméterek!$B$225:$F$240,5,0),0),0))*$AF940</f>
        <v>0</v>
      </c>
      <c r="AI940" s="13">
        <f>ROUNDDOWN(IF(SUM($T$20:$U940)=0,IF($D$2="Egyszeri",$AH940,$AG940),0),IF($D$4="Forint",0,2))</f>
        <v>0</v>
      </c>
      <c r="AJ940" s="13">
        <f t="shared" si="222"/>
        <v>0</v>
      </c>
      <c r="AK940" s="13">
        <f t="shared" si="223"/>
        <v>0</v>
      </c>
      <c r="AM940" s="32">
        <v>921</v>
      </c>
      <c r="AN940" s="32">
        <v>77</v>
      </c>
      <c r="AO940" s="32">
        <v>9</v>
      </c>
      <c r="AP940" s="13"/>
      <c r="AQ940" s="32"/>
      <c r="AR940" s="13">
        <f t="shared" si="224"/>
        <v>0</v>
      </c>
      <c r="AS940" s="33"/>
      <c r="AT940" s="13">
        <f t="shared" si="218"/>
        <v>0</v>
      </c>
      <c r="AU940" s="13">
        <f>ROUNDUP(($AR940+$AT940)*VLOOKUP($AN940,Paraméterek!$P$38:$Q$38,2)/12,IF($D$4="Forint",0,2))</f>
        <v>0</v>
      </c>
      <c r="AV940" s="13"/>
      <c r="AW940" s="13"/>
      <c r="AX940" s="13">
        <f>ROUNDUP(IF(SUM($AV940:$AW940)=0,0,IF(IF(ISBLANK($AW940),$AV940,$AW940)*Paraméterek!$J$112&lt;IF($D$4="Forint",Paraméterek!$J$113,Paraméterek!$K$113),IF($D$4="Forint",Paraméterek!$J$113,Paraméterek!$K$113),IF(IF(ISBLANK($AW940),$AV940,$AW940)*Paraméterek!$J$112&gt;IF($D$4="Forint",Paraméterek!$J$114,Paraméterek!$K$114),IF($D$4="Forint",Paraméterek!$J$114,Paraméterek!$K$114),IF(ISBLANK($AW940),$AV940,$AW940)*Paraméterek!$J$112))),IF($D$4="Forint",0,2))</f>
        <v>0</v>
      </c>
      <c r="AY940" s="13">
        <f>$AR940+$AT940-$AU940-IF(ROUNDDOWN(IF(ISBLANK($AW940),$AV940,$AW940),IF($D$4="Forint",0,2))&gt;$AR940+$AT940-$AU940-IF($D$4="Forint",Paraméterek!$J$114,Paraméterek!$K$114),0,ROUNDDOWN(IF(ISBLANK($AW940),$AV940,$AW940),IF($D$4="Forint",0,2))-$AX940)</f>
        <v>0</v>
      </c>
      <c r="AZ940" s="13">
        <f t="shared" si="219"/>
        <v>0</v>
      </c>
    </row>
    <row r="941" spans="1:52" x14ac:dyDescent="0.2">
      <c r="A941" s="32">
        <v>922</v>
      </c>
      <c r="B941" s="32">
        <v>77</v>
      </c>
      <c r="C941" s="32">
        <v>10</v>
      </c>
      <c r="D941" s="13">
        <f t="shared" si="210"/>
        <v>0</v>
      </c>
      <c r="E941" s="13"/>
      <c r="F941" s="13"/>
      <c r="G941" s="13"/>
      <c r="H941" s="13">
        <f t="shared" si="211"/>
        <v>0</v>
      </c>
      <c r="I941" s="13">
        <f t="shared" si="212"/>
        <v>0</v>
      </c>
      <c r="J941" s="13">
        <f t="shared" si="213"/>
        <v>0</v>
      </c>
      <c r="K941" s="13">
        <f>ROUNDUP(IF($D$2="Egyszeri",$D941,IF($D$2="Havi",SUM($D$20:$D$31),IF(MOD($C941,$M$1)-1=0,SUM($D$20:$D$31),0))/12*$M$1)*VLOOKUP($B941,Paraméterek!$B$27:$D$30,IF($D$2="Egyszeri",3,2)),IF($D$4="Forint",0,2))</f>
        <v>0</v>
      </c>
      <c r="L941" s="13">
        <f t="shared" si="214"/>
        <v>0</v>
      </c>
      <c r="M941" s="13">
        <f t="shared" ca="1" si="220"/>
        <v>-1088276</v>
      </c>
      <c r="N941" s="13">
        <f ca="1">IF($V940&gt;=VLOOKUP($M$4-1+$B941,Paraméterek!$B$121:$D$122,IF($D$4="Forint",2,3)),0,VLOOKUP($M$4-1+$B941,Paraméterek!$B$121:$D$122,IF($D$4="Forint",2,3))-$V940)</f>
        <v>1098276</v>
      </c>
      <c r="O941" s="13">
        <f ca="1">ROUNDUP($N941*Paraméterek!$C$58/Paraméterek!$C$56,IF($D$4="Forint",0,2))</f>
        <v>175</v>
      </c>
      <c r="P941" s="13">
        <f t="shared" si="215"/>
        <v>5200</v>
      </c>
      <c r="Q941" s="33"/>
      <c r="R941" s="13">
        <f t="shared" ca="1" si="216"/>
        <v>0</v>
      </c>
      <c r="S941" s="13">
        <f ca="1">ROUNDUP(($M941-$O941-$P941+$R941)*VLOOKUP($B941,Paraméterek!$B$38:$D$39,IF($D$2="Egyszeri",3,2))/12,IF($D$4="Forint",0,2))</f>
        <v>-2671</v>
      </c>
      <c r="T941" s="13"/>
      <c r="U941" s="13"/>
      <c r="V941" s="13">
        <f ca="1">$M941-$O941-$P941+$R941-$S941-IF(ROUNDUP(IF(ISBLANK($U941),$T941,$U941)/IF(AND($B941=1,$D$2&lt;&gt;"Egyszeri"),1,VLOOKUP($B941+IF($C941=12,1,0),Paraméterek!$B$257:$D$267,IF($D$2="Egyszeri",3,2))),IF($D$4="Forint",0,2))&gt;$M941-$O941-$P941+$R941-$S941-IF($D$4="Forint",Paraméterek!$C$216,Paraméterek!$D$216),0,ROUNDUP(IF(ISBLANK($U941),$T941,$U941)/IF(AND($B941=1,$D$2&lt;&gt;"Egyszeri"),1,VLOOKUP($B941+IF($C941=12,1,0),Paraméterek!$B$257:$D$267,IF($D$2="Egyszeri",3,2))),IF($D$4="Forint",0,2)))</f>
        <v>-1090980</v>
      </c>
      <c r="W941" s="13">
        <f ca="1">ROUNDDOWN($V941*VLOOKUP($B941+IF($C941=12,1,0),Paraméterek!$B$257:$D$267,IF($D$2="Egyszeri",3,2)),IF($D$4="Forint",0,2))</f>
        <v>-1090980</v>
      </c>
      <c r="Y941" s="32">
        <v>922</v>
      </c>
      <c r="Z941" s="32">
        <v>77</v>
      </c>
      <c r="AA941" s="32">
        <v>10</v>
      </c>
      <c r="AB941" s="13">
        <f t="shared" si="221"/>
        <v>0</v>
      </c>
      <c r="AC941" s="33"/>
      <c r="AD941" s="13">
        <f t="shared" si="217"/>
        <v>0</v>
      </c>
      <c r="AE941" s="13">
        <f>ROUNDUP(($AB941+$AD941)*VLOOKUP($Z941,Paraméterek!$P$38:$Q$38,2)/12,IF($D$4="Forint",0,2))</f>
        <v>0</v>
      </c>
      <c r="AF941" s="13">
        <f>IF($D$2="Egyszeri",IF($D$7&gt;=IF($D$4="Forint",Paraméterek!$P$223,Paraméterek!$P$224),$D$7-IF($D$4="Forint",Paraméterek!$F$223,Paraméterek!$F$224),0),MIN(IF($AA941=12,AVERAGE($D$20:$D941)*12,0),SUM($D$20:$D$31)))</f>
        <v>0</v>
      </c>
      <c r="AG941" s="13">
        <f>IF(AND($Z941&gt;=10,MOD($Z941,5)=0),$AF941*IF($AA941=12,VLOOKUP($Z941,Paraméterek!$B$225:$F$240,IF($AF941&lt;IF($D$4="Forint",Paraméterek!$C$223,Paraméterek!$C$224),2,IF($AF941&lt;IF($D$4="Forint",Paraméterek!$D$223,Paraméterek!$D$224),3,4))),0),0)</f>
        <v>0</v>
      </c>
      <c r="AH941" s="13">
        <f>IF(AND($Z941&gt;=5,MOD($Z941,5)=0),IF($AA941=12,VLOOKUP($Z941,Paraméterek!$B$225:$F$240,5),0),IF(OR($Z941=3,$Z941=4),IF($AA941=12,VLOOKUP($Z941,Paraméterek!$B$225:$F$240,5,0),0),0))*$AF941</f>
        <v>0</v>
      </c>
      <c r="AI941" s="13">
        <f>ROUNDDOWN(IF(SUM($T$20:$U941)=0,IF($D$2="Egyszeri",$AH941,$AG941),0),IF($D$4="Forint",0,2))</f>
        <v>0</v>
      </c>
      <c r="AJ941" s="13">
        <f t="shared" si="222"/>
        <v>0</v>
      </c>
      <c r="AK941" s="13">
        <f t="shared" si="223"/>
        <v>0</v>
      </c>
      <c r="AM941" s="32">
        <v>922</v>
      </c>
      <c r="AN941" s="32">
        <v>77</v>
      </c>
      <c r="AO941" s="32">
        <v>10</v>
      </c>
      <c r="AP941" s="13"/>
      <c r="AQ941" s="32"/>
      <c r="AR941" s="13">
        <f t="shared" si="224"/>
        <v>0</v>
      </c>
      <c r="AS941" s="33"/>
      <c r="AT941" s="13">
        <f t="shared" si="218"/>
        <v>0</v>
      </c>
      <c r="AU941" s="13">
        <f>ROUNDUP(($AR941+$AT941)*VLOOKUP($AN941,Paraméterek!$P$38:$Q$38,2)/12,IF($D$4="Forint",0,2))</f>
        <v>0</v>
      </c>
      <c r="AV941" s="13"/>
      <c r="AW941" s="13"/>
      <c r="AX941" s="13">
        <f>ROUNDUP(IF(SUM($AV941:$AW941)=0,0,IF(IF(ISBLANK($AW941),$AV941,$AW941)*Paraméterek!$J$112&lt;IF($D$4="Forint",Paraméterek!$J$113,Paraméterek!$K$113),IF($D$4="Forint",Paraméterek!$J$113,Paraméterek!$K$113),IF(IF(ISBLANK($AW941),$AV941,$AW941)*Paraméterek!$J$112&gt;IF($D$4="Forint",Paraméterek!$J$114,Paraméterek!$K$114),IF($D$4="Forint",Paraméterek!$J$114,Paraméterek!$K$114),IF(ISBLANK($AW941),$AV941,$AW941)*Paraméterek!$J$112))),IF($D$4="Forint",0,2))</f>
        <v>0</v>
      </c>
      <c r="AY941" s="13">
        <f>$AR941+$AT941-$AU941-IF(ROUNDDOWN(IF(ISBLANK($AW941),$AV941,$AW941),IF($D$4="Forint",0,2))&gt;$AR941+$AT941-$AU941-IF($D$4="Forint",Paraméterek!$J$114,Paraméterek!$K$114),0,ROUNDDOWN(IF(ISBLANK($AW941),$AV941,$AW941),IF($D$4="Forint",0,2))-$AX941)</f>
        <v>0</v>
      </c>
      <c r="AZ941" s="13">
        <f t="shared" si="219"/>
        <v>0</v>
      </c>
    </row>
    <row r="942" spans="1:52" x14ac:dyDescent="0.2">
      <c r="A942" s="32">
        <v>923</v>
      </c>
      <c r="B942" s="32">
        <v>77</v>
      </c>
      <c r="C942" s="32">
        <v>11</v>
      </c>
      <c r="D942" s="13">
        <f t="shared" si="210"/>
        <v>0</v>
      </c>
      <c r="E942" s="13"/>
      <c r="F942" s="13"/>
      <c r="G942" s="13"/>
      <c r="H942" s="13">
        <f t="shared" si="211"/>
        <v>0</v>
      </c>
      <c r="I942" s="13">
        <f t="shared" si="212"/>
        <v>0</v>
      </c>
      <c r="J942" s="13">
        <f t="shared" si="213"/>
        <v>0</v>
      </c>
      <c r="K942" s="13">
        <f>ROUNDUP(IF($D$2="Egyszeri",$D942,IF($D$2="Havi",SUM($D$20:$D$31),IF(MOD($C942,$M$1)-1=0,SUM($D$20:$D$31),0))/12*$M$1)*VLOOKUP($B942,Paraméterek!$B$27:$D$30,IF($D$2="Egyszeri",3,2)),IF($D$4="Forint",0,2))</f>
        <v>0</v>
      </c>
      <c r="L942" s="13">
        <f t="shared" si="214"/>
        <v>0</v>
      </c>
      <c r="M942" s="13">
        <f t="shared" ca="1" si="220"/>
        <v>-1090980</v>
      </c>
      <c r="N942" s="13">
        <f ca="1">IF($V941&gt;=VLOOKUP($M$4-1+$B942,Paraméterek!$B$121:$D$122,IF($D$4="Forint",2,3)),0,VLOOKUP($M$4-1+$B942,Paraméterek!$B$121:$D$122,IF($D$4="Forint",2,3))-$V941)</f>
        <v>1100980</v>
      </c>
      <c r="O942" s="13">
        <f ca="1">ROUNDUP($N942*Paraméterek!$C$58/Paraméterek!$C$56,IF($D$4="Forint",0,2))</f>
        <v>176</v>
      </c>
      <c r="P942" s="13">
        <f t="shared" si="215"/>
        <v>5200</v>
      </c>
      <c r="Q942" s="33"/>
      <c r="R942" s="13">
        <f t="shared" ca="1" si="216"/>
        <v>0</v>
      </c>
      <c r="S942" s="13">
        <f ca="1">ROUNDUP(($M942-$O942-$P942+$R942)*VLOOKUP($B942,Paraméterek!$B$38:$D$39,IF($D$2="Egyszeri",3,2))/12,IF($D$4="Forint",0,2))</f>
        <v>-2677</v>
      </c>
      <c r="T942" s="13"/>
      <c r="U942" s="13"/>
      <c r="V942" s="13">
        <f ca="1">$M942-$O942-$P942+$R942-$S942-IF(ROUNDUP(IF(ISBLANK($U942),$T942,$U942)/IF(AND($B942=1,$D$2&lt;&gt;"Egyszeri"),1,VLOOKUP($B942+IF($C942=12,1,0),Paraméterek!$B$257:$D$267,IF($D$2="Egyszeri",3,2))),IF($D$4="Forint",0,2))&gt;$M942-$O942-$P942+$R942-$S942-IF($D$4="Forint",Paraméterek!$C$216,Paraméterek!$D$216),0,ROUNDUP(IF(ISBLANK($U942),$T942,$U942)/IF(AND($B942=1,$D$2&lt;&gt;"Egyszeri"),1,VLOOKUP($B942+IF($C942=12,1,0),Paraméterek!$B$257:$D$267,IF($D$2="Egyszeri",3,2))),IF($D$4="Forint",0,2)))</f>
        <v>-1093679</v>
      </c>
      <c r="W942" s="13">
        <f ca="1">ROUNDDOWN($V942*VLOOKUP($B942+IF($C942=12,1,0),Paraméterek!$B$257:$D$267,IF($D$2="Egyszeri",3,2)),IF($D$4="Forint",0,2))</f>
        <v>-1093679</v>
      </c>
      <c r="Y942" s="32">
        <v>923</v>
      </c>
      <c r="Z942" s="32">
        <v>77</v>
      </c>
      <c r="AA942" s="32">
        <v>11</v>
      </c>
      <c r="AB942" s="13">
        <f t="shared" si="221"/>
        <v>0</v>
      </c>
      <c r="AC942" s="33"/>
      <c r="AD942" s="13">
        <f t="shared" si="217"/>
        <v>0</v>
      </c>
      <c r="AE942" s="13">
        <f>ROUNDUP(($AB942+$AD942)*VLOOKUP($Z942,Paraméterek!$P$38:$Q$38,2)/12,IF($D$4="Forint",0,2))</f>
        <v>0</v>
      </c>
      <c r="AF942" s="13">
        <f>IF($D$2="Egyszeri",IF($D$7&gt;=IF($D$4="Forint",Paraméterek!$P$223,Paraméterek!$P$224),$D$7-IF($D$4="Forint",Paraméterek!$F$223,Paraméterek!$F$224),0),MIN(IF($AA942=12,AVERAGE($D$20:$D942)*12,0),SUM($D$20:$D$31)))</f>
        <v>0</v>
      </c>
      <c r="AG942" s="13">
        <f>IF(AND($Z942&gt;=10,MOD($Z942,5)=0),$AF942*IF($AA942=12,VLOOKUP($Z942,Paraméterek!$B$225:$F$240,IF($AF942&lt;IF($D$4="Forint",Paraméterek!$C$223,Paraméterek!$C$224),2,IF($AF942&lt;IF($D$4="Forint",Paraméterek!$D$223,Paraméterek!$D$224),3,4))),0),0)</f>
        <v>0</v>
      </c>
      <c r="AH942" s="13">
        <f>IF(AND($Z942&gt;=5,MOD($Z942,5)=0),IF($AA942=12,VLOOKUP($Z942,Paraméterek!$B$225:$F$240,5),0),IF(OR($Z942=3,$Z942=4),IF($AA942=12,VLOOKUP($Z942,Paraméterek!$B$225:$F$240,5,0),0),0))*$AF942</f>
        <v>0</v>
      </c>
      <c r="AI942" s="13">
        <f>ROUNDDOWN(IF(SUM($T$20:$U942)=0,IF($D$2="Egyszeri",$AH942,$AG942),0),IF($D$4="Forint",0,2))</f>
        <v>0</v>
      </c>
      <c r="AJ942" s="13">
        <f t="shared" si="222"/>
        <v>0</v>
      </c>
      <c r="AK942" s="13">
        <f t="shared" si="223"/>
        <v>0</v>
      </c>
      <c r="AM942" s="32">
        <v>923</v>
      </c>
      <c r="AN942" s="32">
        <v>77</v>
      </c>
      <c r="AO942" s="32">
        <v>11</v>
      </c>
      <c r="AP942" s="13"/>
      <c r="AQ942" s="32"/>
      <c r="AR942" s="13">
        <f t="shared" si="224"/>
        <v>0</v>
      </c>
      <c r="AS942" s="33"/>
      <c r="AT942" s="13">
        <f t="shared" si="218"/>
        <v>0</v>
      </c>
      <c r="AU942" s="13">
        <f>ROUNDUP(($AR942+$AT942)*VLOOKUP($AN942,Paraméterek!$P$38:$Q$38,2)/12,IF($D$4="Forint",0,2))</f>
        <v>0</v>
      </c>
      <c r="AV942" s="13"/>
      <c r="AW942" s="13"/>
      <c r="AX942" s="13">
        <f>ROUNDUP(IF(SUM($AV942:$AW942)=0,0,IF(IF(ISBLANK($AW942),$AV942,$AW942)*Paraméterek!$J$112&lt;IF($D$4="Forint",Paraméterek!$J$113,Paraméterek!$K$113),IF($D$4="Forint",Paraméterek!$J$113,Paraméterek!$K$113),IF(IF(ISBLANK($AW942),$AV942,$AW942)*Paraméterek!$J$112&gt;IF($D$4="Forint",Paraméterek!$J$114,Paraméterek!$K$114),IF($D$4="Forint",Paraméterek!$J$114,Paraméterek!$K$114),IF(ISBLANK($AW942),$AV942,$AW942)*Paraméterek!$J$112))),IF($D$4="Forint",0,2))</f>
        <v>0</v>
      </c>
      <c r="AY942" s="13">
        <f>$AR942+$AT942-$AU942-IF(ROUNDDOWN(IF(ISBLANK($AW942),$AV942,$AW942),IF($D$4="Forint",0,2))&gt;$AR942+$AT942-$AU942-IF($D$4="Forint",Paraméterek!$J$114,Paraméterek!$K$114),0,ROUNDDOWN(IF(ISBLANK($AW942),$AV942,$AW942),IF($D$4="Forint",0,2))-$AX942)</f>
        <v>0</v>
      </c>
      <c r="AZ942" s="13">
        <f t="shared" si="219"/>
        <v>0</v>
      </c>
    </row>
    <row r="943" spans="1:52" x14ac:dyDescent="0.2">
      <c r="A943" s="32">
        <v>924</v>
      </c>
      <c r="B943" s="32">
        <v>77</v>
      </c>
      <c r="C943" s="32">
        <v>12</v>
      </c>
      <c r="D943" s="13">
        <f t="shared" si="210"/>
        <v>0</v>
      </c>
      <c r="E943" s="13"/>
      <c r="F943" s="13"/>
      <c r="G943" s="13"/>
      <c r="H943" s="13">
        <f t="shared" si="211"/>
        <v>0</v>
      </c>
      <c r="I943" s="13">
        <f t="shared" si="212"/>
        <v>0</v>
      </c>
      <c r="J943" s="13">
        <f t="shared" si="213"/>
        <v>0</v>
      </c>
      <c r="K943" s="13">
        <f>ROUNDUP(IF($D$2="Egyszeri",$D943,IF($D$2="Havi",SUM($D$20:$D$31),IF(MOD($C943,$M$1)-1=0,SUM($D$20:$D$31),0))/12*$M$1)*VLOOKUP($B943,Paraméterek!$B$27:$D$30,IF($D$2="Egyszeri",3,2)),IF($D$4="Forint",0,2))</f>
        <v>0</v>
      </c>
      <c r="L943" s="13">
        <f t="shared" si="214"/>
        <v>0</v>
      </c>
      <c r="M943" s="13">
        <f t="shared" ca="1" si="220"/>
        <v>-1093679</v>
      </c>
      <c r="N943" s="13">
        <f ca="1">IF($V942&gt;=VLOOKUP($M$4-1+$B943,Paraméterek!$B$121:$D$122,IF($D$4="Forint",2,3)),0,VLOOKUP($M$4-1+$B943,Paraméterek!$B$121:$D$122,IF($D$4="Forint",2,3))-$V942)</f>
        <v>1103679</v>
      </c>
      <c r="O943" s="13">
        <f ca="1">ROUNDUP($N943*Paraméterek!$C$58/Paraméterek!$C$56,IF($D$4="Forint",0,2))</f>
        <v>176</v>
      </c>
      <c r="P943" s="13">
        <f t="shared" si="215"/>
        <v>5200</v>
      </c>
      <c r="Q943" s="33"/>
      <c r="R943" s="13">
        <f t="shared" ca="1" si="216"/>
        <v>0</v>
      </c>
      <c r="S943" s="13">
        <f ca="1">ROUNDUP(($M943-$O943-$P943+$R943)*VLOOKUP($B943,Paraméterek!$B$38:$D$39,IF($D$2="Egyszeri",3,2))/12,IF($D$4="Forint",0,2))</f>
        <v>-2684</v>
      </c>
      <c r="T943" s="13">
        <f>Tranzakciók!$F$108</f>
        <v>0</v>
      </c>
      <c r="U943" s="13"/>
      <c r="V943" s="13">
        <f ca="1">$M943-$O943-$P943+$R943-$S943-IF(ROUNDUP(IF(ISBLANK($U943),$T943,$U943)/IF(AND($B943=1,$D$2&lt;&gt;"Egyszeri"),1,VLOOKUP($B943+IF($C943=12,1,0),Paraméterek!$B$257:$D$267,IF($D$2="Egyszeri",3,2))),IF($D$4="Forint",0,2))&gt;$M943-$O943-$P943+$R943-$S943-IF($D$4="Forint",Paraméterek!$C$216,Paraméterek!$D$216),0,ROUNDUP(IF(ISBLANK($U943),$T943,$U943)/IF(AND($B943=1,$D$2&lt;&gt;"Egyszeri"),1,VLOOKUP($B943+IF($C943=12,1,0),Paraméterek!$B$257:$D$267,IF($D$2="Egyszeri",3,2))),IF($D$4="Forint",0,2)))</f>
        <v>-1096371</v>
      </c>
      <c r="W943" s="13">
        <f ca="1">ROUNDDOWN($V943*VLOOKUP($B943+IF($C943=12,1,0),Paraméterek!$B$257:$D$267,IF($D$2="Egyszeri",3,2)),IF($D$4="Forint",0,2))</f>
        <v>-1096371</v>
      </c>
      <c r="Y943" s="32">
        <v>924</v>
      </c>
      <c r="Z943" s="32">
        <v>77</v>
      </c>
      <c r="AA943" s="32">
        <v>12</v>
      </c>
      <c r="AB943" s="13">
        <f t="shared" si="221"/>
        <v>0</v>
      </c>
      <c r="AC943" s="33"/>
      <c r="AD943" s="13">
        <f t="shared" si="217"/>
        <v>0</v>
      </c>
      <c r="AE943" s="13">
        <f>ROUNDUP(($AB943+$AD943)*VLOOKUP($Z943,Paraméterek!$P$38:$Q$38,2)/12,IF($D$4="Forint",0,2))</f>
        <v>0</v>
      </c>
      <c r="AF943" s="13">
        <f>IF($D$2="Egyszeri",IF($D$7&gt;=IF($D$4="Forint",Paraméterek!$P$223,Paraméterek!$P$224),$D$7-IF($D$4="Forint",Paraméterek!$F$223,Paraméterek!$F$224),0),MIN(IF($AA943=12,AVERAGE($D$20:$D943)*12,0),SUM($D$20:$D$31)))</f>
        <v>0</v>
      </c>
      <c r="AG943" s="13">
        <f>IF(AND($Z943&gt;=10,MOD($Z943,5)=0),$AF943*IF($AA943=12,VLOOKUP($Z943,Paraméterek!$B$225:$F$240,IF($AF943&lt;IF($D$4="Forint",Paraméterek!$C$223,Paraméterek!$C$224),2,IF($AF943&lt;IF($D$4="Forint",Paraméterek!$D$223,Paraméterek!$D$224),3,4))),0),0)</f>
        <v>0</v>
      </c>
      <c r="AH943" s="13">
        <f>IF(AND($Z943&gt;=5,MOD($Z943,5)=0),IF($AA943=12,VLOOKUP($Z943,Paraméterek!$B$225:$F$240,5),0),IF(OR($Z943=3,$Z943=4),IF($AA943=12,VLOOKUP($Z943,Paraméterek!$B$225:$F$240,5,0),0),0))*$AF943</f>
        <v>0</v>
      </c>
      <c r="AI943" s="13">
        <f>ROUNDDOWN(IF(SUM($T$20:$U943)=0,IF($D$2="Egyszeri",$AH943,$AG943),0),IF($D$4="Forint",0,2))</f>
        <v>0</v>
      </c>
      <c r="AJ943" s="13">
        <f t="shared" si="222"/>
        <v>0</v>
      </c>
      <c r="AK943" s="13">
        <f t="shared" si="223"/>
        <v>0</v>
      </c>
      <c r="AM943" s="32">
        <v>924</v>
      </c>
      <c r="AN943" s="32">
        <v>77</v>
      </c>
      <c r="AO943" s="32">
        <v>12</v>
      </c>
      <c r="AP943" s="13"/>
      <c r="AQ943" s="32"/>
      <c r="AR943" s="13">
        <f t="shared" si="224"/>
        <v>0</v>
      </c>
      <c r="AS943" s="33"/>
      <c r="AT943" s="13">
        <f t="shared" si="218"/>
        <v>0</v>
      </c>
      <c r="AU943" s="13">
        <f>ROUNDUP(($AR943+$AT943)*VLOOKUP($AN943,Paraméterek!$P$38:$Q$38,2)/12,IF($D$4="Forint",0,2))</f>
        <v>0</v>
      </c>
      <c r="AV943" s="13">
        <f>Tranzakciók!$M$108</f>
        <v>0</v>
      </c>
      <c r="AW943" s="13"/>
      <c r="AX943" s="13">
        <f>ROUNDUP(IF(SUM($AV943:$AW943)=0,0,IF(IF(ISBLANK($AW943),$AV943,$AW943)*Paraméterek!$J$112&lt;IF($D$4="Forint",Paraméterek!$J$113,Paraméterek!$K$113),IF($D$4="Forint",Paraméterek!$J$113,Paraméterek!$K$113),IF(IF(ISBLANK($AW943),$AV943,$AW943)*Paraméterek!$J$112&gt;IF($D$4="Forint",Paraméterek!$J$114,Paraméterek!$K$114),IF($D$4="Forint",Paraméterek!$J$114,Paraméterek!$K$114),IF(ISBLANK($AW943),$AV943,$AW943)*Paraméterek!$J$112))),IF($D$4="Forint",0,2))</f>
        <v>0</v>
      </c>
      <c r="AY943" s="13">
        <f>$AR943+$AT943-$AU943-IF(ROUNDDOWN(IF(ISBLANK($AW943),$AV943,$AW943),IF($D$4="Forint",0,2))&gt;$AR943+$AT943-$AU943-IF($D$4="Forint",Paraméterek!$J$114,Paraméterek!$K$114),0,ROUNDDOWN(IF(ISBLANK($AW943),$AV943,$AW943),IF($D$4="Forint",0,2))-$AX943)</f>
        <v>0</v>
      </c>
      <c r="AZ943" s="13">
        <f t="shared" si="219"/>
        <v>0</v>
      </c>
    </row>
    <row r="944" spans="1:52" x14ac:dyDescent="0.2">
      <c r="A944" s="32">
        <v>925</v>
      </c>
      <c r="B944" s="32">
        <v>78</v>
      </c>
      <c r="C944" s="32">
        <v>1</v>
      </c>
      <c r="D944" s="13">
        <f t="shared" si="210"/>
        <v>0</v>
      </c>
      <c r="E944" s="13"/>
      <c r="F944" s="13">
        <f>Tranzakciók!$D$109</f>
        <v>0</v>
      </c>
      <c r="G944" s="13"/>
      <c r="H944" s="13">
        <f t="shared" si="211"/>
        <v>0</v>
      </c>
      <c r="I944" s="13">
        <f t="shared" si="212"/>
        <v>974</v>
      </c>
      <c r="J944" s="13">
        <f t="shared" si="213"/>
        <v>974</v>
      </c>
      <c r="K944" s="13">
        <f>ROUNDUP(IF($D$2="Egyszeri",$D944,IF($D$2="Havi",SUM($D$20:$D$31),IF(MOD($C944,$M$1)-1=0,SUM($D$20:$D$31),0))/12*$M$1)*VLOOKUP($B944,Paraméterek!$B$27:$D$30,IF($D$2="Egyszeri",3,2)),IF($D$4="Forint",0,2))</f>
        <v>0</v>
      </c>
      <c r="L944" s="13">
        <f t="shared" si="214"/>
        <v>0</v>
      </c>
      <c r="M944" s="13">
        <f t="shared" ca="1" si="220"/>
        <v>-1096371</v>
      </c>
      <c r="N944" s="13">
        <f ca="1">IF($V943&gt;=VLOOKUP($M$4-1+$B944,Paraméterek!$B$121:$D$122,IF($D$4="Forint",2,3)),0,VLOOKUP($M$4-1+$B944,Paraméterek!$B$121:$D$122,IF($D$4="Forint",2,3))-$V943)</f>
        <v>1106371</v>
      </c>
      <c r="O944" s="13">
        <f ca="1">ROUNDUP($N944*Paraméterek!$C$58/Paraméterek!$C$56,IF($D$4="Forint",0,2))</f>
        <v>177</v>
      </c>
      <c r="P944" s="13">
        <f t="shared" si="215"/>
        <v>5356</v>
      </c>
      <c r="Q944" s="33"/>
      <c r="R944" s="13">
        <f t="shared" ca="1" si="216"/>
        <v>0</v>
      </c>
      <c r="S944" s="13">
        <f ca="1">ROUNDUP(($M944-$O944-$P944+$R944)*VLOOKUP($B944,Paraméterek!$B$38:$D$39,IF($D$2="Egyszeri",3,2))/12,IF($D$4="Forint",0,2))</f>
        <v>-2691</v>
      </c>
      <c r="T944" s="13"/>
      <c r="U944" s="13"/>
      <c r="V944" s="13">
        <f ca="1">$M944-$O944-$P944+$R944-$S944-IF(ROUNDUP(IF(ISBLANK($U944),$T944,$U944)/IF(AND($B944=1,$D$2&lt;&gt;"Egyszeri"),1,VLOOKUP($B944+IF($C944=12,1,0),Paraméterek!$B$257:$D$267,IF($D$2="Egyszeri",3,2))),IF($D$4="Forint",0,2))&gt;$M944-$O944-$P944+$R944-$S944-IF($D$4="Forint",Paraméterek!$C$216,Paraméterek!$D$216),0,ROUNDUP(IF(ISBLANK($U944),$T944,$U944)/IF(AND($B944=1,$D$2&lt;&gt;"Egyszeri"),1,VLOOKUP($B944+IF($C944=12,1,0),Paraméterek!$B$257:$D$267,IF($D$2="Egyszeri",3,2))),IF($D$4="Forint",0,2)))</f>
        <v>-1099213</v>
      </c>
      <c r="W944" s="13">
        <f ca="1">ROUNDDOWN($V944*VLOOKUP($B944+IF($C944=12,1,0),Paraméterek!$B$257:$D$267,IF($D$2="Egyszeri",3,2)),IF($D$4="Forint",0,2))</f>
        <v>-1099213</v>
      </c>
      <c r="Y944" s="32">
        <v>925</v>
      </c>
      <c r="Z944" s="32">
        <v>78</v>
      </c>
      <c r="AA944" s="32">
        <v>1</v>
      </c>
      <c r="AB944" s="13">
        <f t="shared" si="221"/>
        <v>0</v>
      </c>
      <c r="AC944" s="33"/>
      <c r="AD944" s="13">
        <f t="shared" si="217"/>
        <v>0</v>
      </c>
      <c r="AE944" s="13">
        <f>ROUNDUP(($AB944+$AD944)*VLOOKUP($Z944,Paraméterek!$P$38:$Q$38,2)/12,IF($D$4="Forint",0,2))</f>
        <v>0</v>
      </c>
      <c r="AF944" s="13">
        <f>IF($D$2="Egyszeri",IF($D$7&gt;=IF($D$4="Forint",Paraméterek!$P$223,Paraméterek!$P$224),$D$7-IF($D$4="Forint",Paraméterek!$F$223,Paraméterek!$F$224),0),MIN(IF($AA944=12,AVERAGE($D$20:$D944)*12,0),SUM($D$20:$D$31)))</f>
        <v>0</v>
      </c>
      <c r="AG944" s="13">
        <f>IF(AND($Z944&gt;=10,MOD($Z944,5)=0),$AF944*IF($AA944=12,VLOOKUP($Z944,Paraméterek!$B$225:$F$240,IF($AF944&lt;IF($D$4="Forint",Paraméterek!$C$223,Paraméterek!$C$224),2,IF($AF944&lt;IF($D$4="Forint",Paraméterek!$D$223,Paraméterek!$D$224),3,4))),0),0)</f>
        <v>0</v>
      </c>
      <c r="AH944" s="13">
        <f>IF(AND($Z944&gt;=5,MOD($Z944,5)=0),IF($AA944=12,VLOOKUP($Z944,Paraméterek!$B$225:$F$240,5),0),IF(OR($Z944=3,$Z944=4),IF($AA944=12,VLOOKUP($Z944,Paraméterek!$B$225:$F$240,5,0),0),0))*$AF944</f>
        <v>0</v>
      </c>
      <c r="AI944" s="13">
        <f>ROUNDDOWN(IF(SUM($T$20:$U944)=0,IF($D$2="Egyszeri",$AH944,$AG944),0),IF($D$4="Forint",0,2))</f>
        <v>0</v>
      </c>
      <c r="AJ944" s="13">
        <f t="shared" si="222"/>
        <v>0</v>
      </c>
      <c r="AK944" s="13">
        <f t="shared" si="223"/>
        <v>0</v>
      </c>
      <c r="AM944" s="32">
        <v>925</v>
      </c>
      <c r="AN944" s="32">
        <v>78</v>
      </c>
      <c r="AO944" s="32">
        <v>1</v>
      </c>
      <c r="AP944" s="13">
        <f>Tranzakciók!$K$109</f>
        <v>0</v>
      </c>
      <c r="AQ944" s="32"/>
      <c r="AR944" s="13">
        <f t="shared" si="224"/>
        <v>0</v>
      </c>
      <c r="AS944" s="33"/>
      <c r="AT944" s="13">
        <f t="shared" si="218"/>
        <v>0</v>
      </c>
      <c r="AU944" s="13">
        <f>ROUNDUP(($AR944+$AT944)*VLOOKUP($AN944,Paraméterek!$P$38:$Q$38,2)/12,IF($D$4="Forint",0,2))</f>
        <v>0</v>
      </c>
      <c r="AV944" s="13"/>
      <c r="AW944" s="13"/>
      <c r="AX944" s="13">
        <f>ROUNDUP(IF(SUM($AV944:$AW944)=0,0,IF(IF(ISBLANK($AW944),$AV944,$AW944)*Paraméterek!$J$112&lt;IF($D$4="Forint",Paraméterek!$J$113,Paraméterek!$K$113),IF($D$4="Forint",Paraméterek!$J$113,Paraméterek!$K$113),IF(IF(ISBLANK($AW944),$AV944,$AW944)*Paraméterek!$J$112&gt;IF($D$4="Forint",Paraméterek!$J$114,Paraméterek!$K$114),IF($D$4="Forint",Paraméterek!$J$114,Paraméterek!$K$114),IF(ISBLANK($AW944),$AV944,$AW944)*Paraméterek!$J$112))),IF($D$4="Forint",0,2))</f>
        <v>0</v>
      </c>
      <c r="AY944" s="13">
        <f>$AR944+$AT944-$AU944-IF(ROUNDDOWN(IF(ISBLANK($AW944),$AV944,$AW944),IF($D$4="Forint",0,2))&gt;$AR944+$AT944-$AU944-IF($D$4="Forint",Paraméterek!$J$114,Paraméterek!$K$114),0,ROUNDDOWN(IF(ISBLANK($AW944),$AV944,$AW944),IF($D$4="Forint",0,2))-$AX944)</f>
        <v>0</v>
      </c>
      <c r="AZ944" s="13">
        <f t="shared" si="219"/>
        <v>0</v>
      </c>
    </row>
    <row r="945" spans="1:52" x14ac:dyDescent="0.2">
      <c r="A945" s="32">
        <v>926</v>
      </c>
      <c r="B945" s="32">
        <v>78</v>
      </c>
      <c r="C945" s="32">
        <v>2</v>
      </c>
      <c r="D945" s="13">
        <f t="shared" si="210"/>
        <v>0</v>
      </c>
      <c r="E945" s="13"/>
      <c r="F945" s="13"/>
      <c r="G945" s="13"/>
      <c r="H945" s="13">
        <f t="shared" si="211"/>
        <v>0</v>
      </c>
      <c r="I945" s="13">
        <f t="shared" si="212"/>
        <v>0</v>
      </c>
      <c r="J945" s="13">
        <f t="shared" si="213"/>
        <v>0</v>
      </c>
      <c r="K945" s="13">
        <f>ROUNDUP(IF($D$2="Egyszeri",$D945,IF($D$2="Havi",SUM($D$20:$D$31),IF(MOD($C945,$M$1)-1=0,SUM($D$20:$D$31),0))/12*$M$1)*VLOOKUP($B945,Paraméterek!$B$27:$D$30,IF($D$2="Egyszeri",3,2)),IF($D$4="Forint",0,2))</f>
        <v>0</v>
      </c>
      <c r="L945" s="13">
        <f t="shared" si="214"/>
        <v>0</v>
      </c>
      <c r="M945" s="13">
        <f t="shared" ca="1" si="220"/>
        <v>-1099213</v>
      </c>
      <c r="N945" s="13">
        <f ca="1">IF($V944&gt;=VLOOKUP($M$4-1+$B945,Paraméterek!$B$121:$D$122,IF($D$4="Forint",2,3)),0,VLOOKUP($M$4-1+$B945,Paraméterek!$B$121:$D$122,IF($D$4="Forint",2,3))-$V944)</f>
        <v>1109213</v>
      </c>
      <c r="O945" s="13">
        <f ca="1">ROUNDUP($N945*Paraméterek!$C$58/Paraméterek!$C$56,IF($D$4="Forint",0,2))</f>
        <v>177</v>
      </c>
      <c r="P945" s="13">
        <f t="shared" si="215"/>
        <v>5356</v>
      </c>
      <c r="Q945" s="33"/>
      <c r="R945" s="13">
        <f t="shared" ca="1" si="216"/>
        <v>0</v>
      </c>
      <c r="S945" s="13">
        <f ca="1">ROUNDUP(($M945-$O945-$P945+$R945)*VLOOKUP($B945,Paraméterek!$B$38:$D$39,IF($D$2="Egyszeri",3,2))/12,IF($D$4="Forint",0,2))</f>
        <v>-2698</v>
      </c>
      <c r="T945" s="13"/>
      <c r="U945" s="13"/>
      <c r="V945" s="13">
        <f ca="1">$M945-$O945-$P945+$R945-$S945-IF(ROUNDUP(IF(ISBLANK($U945),$T945,$U945)/IF(AND($B945=1,$D$2&lt;&gt;"Egyszeri"),1,VLOOKUP($B945+IF($C945=12,1,0),Paraméterek!$B$257:$D$267,IF($D$2="Egyszeri",3,2))),IF($D$4="Forint",0,2))&gt;$M945-$O945-$P945+$R945-$S945-IF($D$4="Forint",Paraméterek!$C$216,Paraméterek!$D$216),0,ROUNDUP(IF(ISBLANK($U945),$T945,$U945)/IF(AND($B945=1,$D$2&lt;&gt;"Egyszeri"),1,VLOOKUP($B945+IF($C945=12,1,0),Paraméterek!$B$257:$D$267,IF($D$2="Egyszeri",3,2))),IF($D$4="Forint",0,2)))</f>
        <v>-1102048</v>
      </c>
      <c r="W945" s="13">
        <f ca="1">ROUNDDOWN($V945*VLOOKUP($B945+IF($C945=12,1,0),Paraméterek!$B$257:$D$267,IF($D$2="Egyszeri",3,2)),IF($D$4="Forint",0,2))</f>
        <v>-1102048</v>
      </c>
      <c r="Y945" s="32">
        <v>926</v>
      </c>
      <c r="Z945" s="32">
        <v>78</v>
      </c>
      <c r="AA945" s="32">
        <v>2</v>
      </c>
      <c r="AB945" s="13">
        <f t="shared" si="221"/>
        <v>0</v>
      </c>
      <c r="AC945" s="33"/>
      <c r="AD945" s="13">
        <f t="shared" si="217"/>
        <v>0</v>
      </c>
      <c r="AE945" s="13">
        <f>ROUNDUP(($AB945+$AD945)*VLOOKUP($Z945,Paraméterek!$P$38:$Q$38,2)/12,IF($D$4="Forint",0,2))</f>
        <v>0</v>
      </c>
      <c r="AF945" s="13">
        <f>IF($D$2="Egyszeri",IF($D$7&gt;=IF($D$4="Forint",Paraméterek!$P$223,Paraméterek!$P$224),$D$7-IF($D$4="Forint",Paraméterek!$F$223,Paraméterek!$F$224),0),MIN(IF($AA945=12,AVERAGE($D$20:$D945)*12,0),SUM($D$20:$D$31)))</f>
        <v>0</v>
      </c>
      <c r="AG945" s="13">
        <f>IF(AND($Z945&gt;=10,MOD($Z945,5)=0),$AF945*IF($AA945=12,VLOOKUP($Z945,Paraméterek!$B$225:$F$240,IF($AF945&lt;IF($D$4="Forint",Paraméterek!$C$223,Paraméterek!$C$224),2,IF($AF945&lt;IF($D$4="Forint",Paraméterek!$D$223,Paraméterek!$D$224),3,4))),0),0)</f>
        <v>0</v>
      </c>
      <c r="AH945" s="13">
        <f>IF(AND($Z945&gt;=5,MOD($Z945,5)=0),IF($AA945=12,VLOOKUP($Z945,Paraméterek!$B$225:$F$240,5),0),IF(OR($Z945=3,$Z945=4),IF($AA945=12,VLOOKUP($Z945,Paraméterek!$B$225:$F$240,5,0),0),0))*$AF945</f>
        <v>0</v>
      </c>
      <c r="AI945" s="13">
        <f>ROUNDDOWN(IF(SUM($T$20:$U945)=0,IF($D$2="Egyszeri",$AH945,$AG945),0),IF($D$4="Forint",0,2))</f>
        <v>0</v>
      </c>
      <c r="AJ945" s="13">
        <f t="shared" si="222"/>
        <v>0</v>
      </c>
      <c r="AK945" s="13">
        <f t="shared" si="223"/>
        <v>0</v>
      </c>
      <c r="AM945" s="32">
        <v>926</v>
      </c>
      <c r="AN945" s="32">
        <v>78</v>
      </c>
      <c r="AO945" s="32">
        <v>2</v>
      </c>
      <c r="AP945" s="13"/>
      <c r="AQ945" s="32"/>
      <c r="AR945" s="13">
        <f t="shared" si="224"/>
        <v>0</v>
      </c>
      <c r="AS945" s="33"/>
      <c r="AT945" s="13">
        <f t="shared" si="218"/>
        <v>0</v>
      </c>
      <c r="AU945" s="13">
        <f>ROUNDUP(($AR945+$AT945)*VLOOKUP($AN945,Paraméterek!$P$38:$Q$38,2)/12,IF($D$4="Forint",0,2))</f>
        <v>0</v>
      </c>
      <c r="AV945" s="13"/>
      <c r="AW945" s="13"/>
      <c r="AX945" s="13">
        <f>ROUNDUP(IF(SUM($AV945:$AW945)=0,0,IF(IF(ISBLANK($AW945),$AV945,$AW945)*Paraméterek!$J$112&lt;IF($D$4="Forint",Paraméterek!$J$113,Paraméterek!$K$113),IF($D$4="Forint",Paraméterek!$J$113,Paraméterek!$K$113),IF(IF(ISBLANK($AW945),$AV945,$AW945)*Paraméterek!$J$112&gt;IF($D$4="Forint",Paraméterek!$J$114,Paraméterek!$K$114),IF($D$4="Forint",Paraméterek!$J$114,Paraméterek!$K$114),IF(ISBLANK($AW945),$AV945,$AW945)*Paraméterek!$J$112))),IF($D$4="Forint",0,2))</f>
        <v>0</v>
      </c>
      <c r="AY945" s="13">
        <f>$AR945+$AT945-$AU945-IF(ROUNDDOWN(IF(ISBLANK($AW945),$AV945,$AW945),IF($D$4="Forint",0,2))&gt;$AR945+$AT945-$AU945-IF($D$4="Forint",Paraméterek!$J$114,Paraméterek!$K$114),0,ROUNDDOWN(IF(ISBLANK($AW945),$AV945,$AW945),IF($D$4="Forint",0,2))-$AX945)</f>
        <v>0</v>
      </c>
      <c r="AZ945" s="13">
        <f t="shared" si="219"/>
        <v>0</v>
      </c>
    </row>
    <row r="946" spans="1:52" x14ac:dyDescent="0.2">
      <c r="A946" s="32">
        <v>927</v>
      </c>
      <c r="B946" s="32">
        <v>78</v>
      </c>
      <c r="C946" s="32">
        <v>3</v>
      </c>
      <c r="D946" s="13">
        <f t="shared" si="210"/>
        <v>0</v>
      </c>
      <c r="E946" s="13"/>
      <c r="F946" s="13"/>
      <c r="G946" s="13"/>
      <c r="H946" s="13">
        <f t="shared" si="211"/>
        <v>0</v>
      </c>
      <c r="I946" s="13">
        <f t="shared" si="212"/>
        <v>0</v>
      </c>
      <c r="J946" s="13">
        <f t="shared" si="213"/>
        <v>0</v>
      </c>
      <c r="K946" s="13">
        <f>ROUNDUP(IF($D$2="Egyszeri",$D946,IF($D$2="Havi",SUM($D$20:$D$31),IF(MOD($C946,$M$1)-1=0,SUM($D$20:$D$31),0))/12*$M$1)*VLOOKUP($B946,Paraméterek!$B$27:$D$30,IF($D$2="Egyszeri",3,2)),IF($D$4="Forint",0,2))</f>
        <v>0</v>
      </c>
      <c r="L946" s="13">
        <f t="shared" si="214"/>
        <v>0</v>
      </c>
      <c r="M946" s="13">
        <f t="shared" ca="1" si="220"/>
        <v>-1102048</v>
      </c>
      <c r="N946" s="13">
        <f ca="1">IF($V945&gt;=VLOOKUP($M$4-1+$B946,Paraméterek!$B$121:$D$122,IF($D$4="Forint",2,3)),0,VLOOKUP($M$4-1+$B946,Paraméterek!$B$121:$D$122,IF($D$4="Forint",2,3))-$V945)</f>
        <v>1112048</v>
      </c>
      <c r="O946" s="13">
        <f ca="1">ROUNDUP($N946*Paraméterek!$C$58/Paraméterek!$C$56,IF($D$4="Forint",0,2))</f>
        <v>178</v>
      </c>
      <c r="P946" s="13">
        <f t="shared" si="215"/>
        <v>5356</v>
      </c>
      <c r="Q946" s="33"/>
      <c r="R946" s="13">
        <f t="shared" ca="1" si="216"/>
        <v>0</v>
      </c>
      <c r="S946" s="13">
        <f ca="1">ROUNDUP(($M946-$O946-$P946+$R946)*VLOOKUP($B946,Paraméterek!$B$38:$D$39,IF($D$2="Egyszeri",3,2))/12,IF($D$4="Forint",0,2))</f>
        <v>-2705</v>
      </c>
      <c r="T946" s="13"/>
      <c r="U946" s="13"/>
      <c r="V946" s="13">
        <f ca="1">$M946-$O946-$P946+$R946-$S946-IF(ROUNDUP(IF(ISBLANK($U946),$T946,$U946)/IF(AND($B946=1,$D$2&lt;&gt;"Egyszeri"),1,VLOOKUP($B946+IF($C946=12,1,0),Paraméterek!$B$257:$D$267,IF($D$2="Egyszeri",3,2))),IF($D$4="Forint",0,2))&gt;$M946-$O946-$P946+$R946-$S946-IF($D$4="Forint",Paraméterek!$C$216,Paraméterek!$D$216),0,ROUNDUP(IF(ISBLANK($U946),$T946,$U946)/IF(AND($B946=1,$D$2&lt;&gt;"Egyszeri"),1,VLOOKUP($B946+IF($C946=12,1,0),Paraméterek!$B$257:$D$267,IF($D$2="Egyszeri",3,2))),IF($D$4="Forint",0,2)))</f>
        <v>-1104877</v>
      </c>
      <c r="W946" s="13">
        <f ca="1">ROUNDDOWN($V946*VLOOKUP($B946+IF($C946=12,1,0),Paraméterek!$B$257:$D$267,IF($D$2="Egyszeri",3,2)),IF($D$4="Forint",0,2))</f>
        <v>-1104877</v>
      </c>
      <c r="Y946" s="32">
        <v>927</v>
      </c>
      <c r="Z946" s="32">
        <v>78</v>
      </c>
      <c r="AA946" s="32">
        <v>3</v>
      </c>
      <c r="AB946" s="13">
        <f t="shared" si="221"/>
        <v>0</v>
      </c>
      <c r="AC946" s="33"/>
      <c r="AD946" s="13">
        <f t="shared" si="217"/>
        <v>0</v>
      </c>
      <c r="AE946" s="13">
        <f>ROUNDUP(($AB946+$AD946)*VLOOKUP($Z946,Paraméterek!$P$38:$Q$38,2)/12,IF($D$4="Forint",0,2))</f>
        <v>0</v>
      </c>
      <c r="AF946" s="13">
        <f>IF($D$2="Egyszeri",IF($D$7&gt;=IF($D$4="Forint",Paraméterek!$P$223,Paraméterek!$P$224),$D$7-IF($D$4="Forint",Paraméterek!$F$223,Paraméterek!$F$224),0),MIN(IF($AA946=12,AVERAGE($D$20:$D946)*12,0),SUM($D$20:$D$31)))</f>
        <v>0</v>
      </c>
      <c r="AG946" s="13">
        <f>IF(AND($Z946&gt;=10,MOD($Z946,5)=0),$AF946*IF($AA946=12,VLOOKUP($Z946,Paraméterek!$B$225:$F$240,IF($AF946&lt;IF($D$4="Forint",Paraméterek!$C$223,Paraméterek!$C$224),2,IF($AF946&lt;IF($D$4="Forint",Paraméterek!$D$223,Paraméterek!$D$224),3,4))),0),0)</f>
        <v>0</v>
      </c>
      <c r="AH946" s="13">
        <f>IF(AND($Z946&gt;=5,MOD($Z946,5)=0),IF($AA946=12,VLOOKUP($Z946,Paraméterek!$B$225:$F$240,5),0),IF(OR($Z946=3,$Z946=4),IF($AA946=12,VLOOKUP($Z946,Paraméterek!$B$225:$F$240,5,0),0),0))*$AF946</f>
        <v>0</v>
      </c>
      <c r="AI946" s="13">
        <f>ROUNDDOWN(IF(SUM($T$20:$U946)=0,IF($D$2="Egyszeri",$AH946,$AG946),0),IF($D$4="Forint",0,2))</f>
        <v>0</v>
      </c>
      <c r="AJ946" s="13">
        <f t="shared" si="222"/>
        <v>0</v>
      </c>
      <c r="AK946" s="13">
        <f t="shared" si="223"/>
        <v>0</v>
      </c>
      <c r="AM946" s="32">
        <v>927</v>
      </c>
      <c r="AN946" s="32">
        <v>78</v>
      </c>
      <c r="AO946" s="32">
        <v>3</v>
      </c>
      <c r="AP946" s="13"/>
      <c r="AQ946" s="32"/>
      <c r="AR946" s="13">
        <f t="shared" si="224"/>
        <v>0</v>
      </c>
      <c r="AS946" s="33"/>
      <c r="AT946" s="13">
        <f t="shared" si="218"/>
        <v>0</v>
      </c>
      <c r="AU946" s="13">
        <f>ROUNDUP(($AR946+$AT946)*VLOOKUP($AN946,Paraméterek!$P$38:$Q$38,2)/12,IF($D$4="Forint",0,2))</f>
        <v>0</v>
      </c>
      <c r="AV946" s="13"/>
      <c r="AW946" s="13"/>
      <c r="AX946" s="13">
        <f>ROUNDUP(IF(SUM($AV946:$AW946)=0,0,IF(IF(ISBLANK($AW946),$AV946,$AW946)*Paraméterek!$J$112&lt;IF($D$4="Forint",Paraméterek!$J$113,Paraméterek!$K$113),IF($D$4="Forint",Paraméterek!$J$113,Paraméterek!$K$113),IF(IF(ISBLANK($AW946),$AV946,$AW946)*Paraméterek!$J$112&gt;IF($D$4="Forint",Paraméterek!$J$114,Paraméterek!$K$114),IF($D$4="Forint",Paraméterek!$J$114,Paraméterek!$K$114),IF(ISBLANK($AW946),$AV946,$AW946)*Paraméterek!$J$112))),IF($D$4="Forint",0,2))</f>
        <v>0</v>
      </c>
      <c r="AY946" s="13">
        <f>$AR946+$AT946-$AU946-IF(ROUNDDOWN(IF(ISBLANK($AW946),$AV946,$AW946),IF($D$4="Forint",0,2))&gt;$AR946+$AT946-$AU946-IF($D$4="Forint",Paraméterek!$J$114,Paraméterek!$K$114),0,ROUNDDOWN(IF(ISBLANK($AW946),$AV946,$AW946),IF($D$4="Forint",0,2))-$AX946)</f>
        <v>0</v>
      </c>
      <c r="AZ946" s="13">
        <f t="shared" si="219"/>
        <v>0</v>
      </c>
    </row>
    <row r="947" spans="1:52" x14ac:dyDescent="0.2">
      <c r="A947" s="32">
        <v>928</v>
      </c>
      <c r="B947" s="32">
        <v>78</v>
      </c>
      <c r="C947" s="32">
        <v>4</v>
      </c>
      <c r="D947" s="13">
        <f t="shared" si="210"/>
        <v>0</v>
      </c>
      <c r="E947" s="13"/>
      <c r="F947" s="13"/>
      <c r="G947" s="13"/>
      <c r="H947" s="13">
        <f t="shared" si="211"/>
        <v>0</v>
      </c>
      <c r="I947" s="13">
        <f t="shared" si="212"/>
        <v>0</v>
      </c>
      <c r="J947" s="13">
        <f t="shared" si="213"/>
        <v>0</v>
      </c>
      <c r="K947" s="13">
        <f>ROUNDUP(IF($D$2="Egyszeri",$D947,IF($D$2="Havi",SUM($D$20:$D$31),IF(MOD($C947,$M$1)-1=0,SUM($D$20:$D$31),0))/12*$M$1)*VLOOKUP($B947,Paraméterek!$B$27:$D$30,IF($D$2="Egyszeri",3,2)),IF($D$4="Forint",0,2))</f>
        <v>0</v>
      </c>
      <c r="L947" s="13">
        <f t="shared" si="214"/>
        <v>0</v>
      </c>
      <c r="M947" s="13">
        <f t="shared" ca="1" si="220"/>
        <v>-1104877</v>
      </c>
      <c r="N947" s="13">
        <f ca="1">IF($V946&gt;=VLOOKUP($M$4-1+$B947,Paraméterek!$B$121:$D$122,IF($D$4="Forint",2,3)),0,VLOOKUP($M$4-1+$B947,Paraméterek!$B$121:$D$122,IF($D$4="Forint",2,3))-$V946)</f>
        <v>1114877</v>
      </c>
      <c r="O947" s="13">
        <f ca="1">ROUNDUP($N947*Paraméterek!$C$58/Paraméterek!$C$56,IF($D$4="Forint",0,2))</f>
        <v>178</v>
      </c>
      <c r="P947" s="13">
        <f t="shared" si="215"/>
        <v>5356</v>
      </c>
      <c r="Q947" s="33"/>
      <c r="R947" s="13">
        <f t="shared" ca="1" si="216"/>
        <v>0</v>
      </c>
      <c r="S947" s="13">
        <f ca="1">ROUNDUP(($M947-$O947-$P947+$R947)*VLOOKUP($B947,Paraméterek!$B$38:$D$39,IF($D$2="Egyszeri",3,2))/12,IF($D$4="Forint",0,2))</f>
        <v>-2712</v>
      </c>
      <c r="T947" s="13"/>
      <c r="U947" s="13"/>
      <c r="V947" s="13">
        <f ca="1">$M947-$O947-$P947+$R947-$S947-IF(ROUNDUP(IF(ISBLANK($U947),$T947,$U947)/IF(AND($B947=1,$D$2&lt;&gt;"Egyszeri"),1,VLOOKUP($B947+IF($C947=12,1,0),Paraméterek!$B$257:$D$267,IF($D$2="Egyszeri",3,2))),IF($D$4="Forint",0,2))&gt;$M947-$O947-$P947+$R947-$S947-IF($D$4="Forint",Paraméterek!$C$216,Paraméterek!$D$216),0,ROUNDUP(IF(ISBLANK($U947),$T947,$U947)/IF(AND($B947=1,$D$2&lt;&gt;"Egyszeri"),1,VLOOKUP($B947+IF($C947=12,1,0),Paraméterek!$B$257:$D$267,IF($D$2="Egyszeri",3,2))),IF($D$4="Forint",0,2)))</f>
        <v>-1107699</v>
      </c>
      <c r="W947" s="13">
        <f ca="1">ROUNDDOWN($V947*VLOOKUP($B947+IF($C947=12,1,0),Paraméterek!$B$257:$D$267,IF($D$2="Egyszeri",3,2)),IF($D$4="Forint",0,2))</f>
        <v>-1107699</v>
      </c>
      <c r="Y947" s="32">
        <v>928</v>
      </c>
      <c r="Z947" s="32">
        <v>78</v>
      </c>
      <c r="AA947" s="32">
        <v>4</v>
      </c>
      <c r="AB947" s="13">
        <f t="shared" si="221"/>
        <v>0</v>
      </c>
      <c r="AC947" s="33"/>
      <c r="AD947" s="13">
        <f t="shared" si="217"/>
        <v>0</v>
      </c>
      <c r="AE947" s="13">
        <f>ROUNDUP(($AB947+$AD947)*VLOOKUP($Z947,Paraméterek!$P$38:$Q$38,2)/12,IF($D$4="Forint",0,2))</f>
        <v>0</v>
      </c>
      <c r="AF947" s="13">
        <f>IF($D$2="Egyszeri",IF($D$7&gt;=IF($D$4="Forint",Paraméterek!$P$223,Paraméterek!$P$224),$D$7-IF($D$4="Forint",Paraméterek!$F$223,Paraméterek!$F$224),0),MIN(IF($AA947=12,AVERAGE($D$20:$D947)*12,0),SUM($D$20:$D$31)))</f>
        <v>0</v>
      </c>
      <c r="AG947" s="13">
        <f>IF(AND($Z947&gt;=10,MOD($Z947,5)=0),$AF947*IF($AA947=12,VLOOKUP($Z947,Paraméterek!$B$225:$F$240,IF($AF947&lt;IF($D$4="Forint",Paraméterek!$C$223,Paraméterek!$C$224),2,IF($AF947&lt;IF($D$4="Forint",Paraméterek!$D$223,Paraméterek!$D$224),3,4))),0),0)</f>
        <v>0</v>
      </c>
      <c r="AH947" s="13">
        <f>IF(AND($Z947&gt;=5,MOD($Z947,5)=0),IF($AA947=12,VLOOKUP($Z947,Paraméterek!$B$225:$F$240,5),0),IF(OR($Z947=3,$Z947=4),IF($AA947=12,VLOOKUP($Z947,Paraméterek!$B$225:$F$240,5,0),0),0))*$AF947</f>
        <v>0</v>
      </c>
      <c r="AI947" s="13">
        <f>ROUNDDOWN(IF(SUM($T$20:$U947)=0,IF($D$2="Egyszeri",$AH947,$AG947),0),IF($D$4="Forint",0,2))</f>
        <v>0</v>
      </c>
      <c r="AJ947" s="13">
        <f t="shared" si="222"/>
        <v>0</v>
      </c>
      <c r="AK947" s="13">
        <f t="shared" si="223"/>
        <v>0</v>
      </c>
      <c r="AM947" s="32">
        <v>928</v>
      </c>
      <c r="AN947" s="32">
        <v>78</v>
      </c>
      <c r="AO947" s="32">
        <v>4</v>
      </c>
      <c r="AP947" s="13"/>
      <c r="AQ947" s="32"/>
      <c r="AR947" s="13">
        <f t="shared" si="224"/>
        <v>0</v>
      </c>
      <c r="AS947" s="33"/>
      <c r="AT947" s="13">
        <f t="shared" si="218"/>
        <v>0</v>
      </c>
      <c r="AU947" s="13">
        <f>ROUNDUP(($AR947+$AT947)*VLOOKUP($AN947,Paraméterek!$P$38:$Q$38,2)/12,IF($D$4="Forint",0,2))</f>
        <v>0</v>
      </c>
      <c r="AV947" s="13"/>
      <c r="AW947" s="13"/>
      <c r="AX947" s="13">
        <f>ROUNDUP(IF(SUM($AV947:$AW947)=0,0,IF(IF(ISBLANK($AW947),$AV947,$AW947)*Paraméterek!$J$112&lt;IF($D$4="Forint",Paraméterek!$J$113,Paraméterek!$K$113),IF($D$4="Forint",Paraméterek!$J$113,Paraméterek!$K$113),IF(IF(ISBLANK($AW947),$AV947,$AW947)*Paraméterek!$J$112&gt;IF($D$4="Forint",Paraméterek!$J$114,Paraméterek!$K$114),IF($D$4="Forint",Paraméterek!$J$114,Paraméterek!$K$114),IF(ISBLANK($AW947),$AV947,$AW947)*Paraméterek!$J$112))),IF($D$4="Forint",0,2))</f>
        <v>0</v>
      </c>
      <c r="AY947" s="13">
        <f>$AR947+$AT947-$AU947-IF(ROUNDDOWN(IF(ISBLANK($AW947),$AV947,$AW947),IF($D$4="Forint",0,2))&gt;$AR947+$AT947-$AU947-IF($D$4="Forint",Paraméterek!$J$114,Paraméterek!$K$114),0,ROUNDDOWN(IF(ISBLANK($AW947),$AV947,$AW947),IF($D$4="Forint",0,2))-$AX947)</f>
        <v>0</v>
      </c>
      <c r="AZ947" s="13">
        <f t="shared" si="219"/>
        <v>0</v>
      </c>
    </row>
    <row r="948" spans="1:52" x14ac:dyDescent="0.2">
      <c r="A948" s="32">
        <v>929</v>
      </c>
      <c r="B948" s="32">
        <v>78</v>
      </c>
      <c r="C948" s="32">
        <v>5</v>
      </c>
      <c r="D948" s="13">
        <f t="shared" si="210"/>
        <v>0</v>
      </c>
      <c r="E948" s="13"/>
      <c r="F948" s="13"/>
      <c r="G948" s="13"/>
      <c r="H948" s="13">
        <f t="shared" si="211"/>
        <v>0</v>
      </c>
      <c r="I948" s="13">
        <f t="shared" si="212"/>
        <v>0</v>
      </c>
      <c r="J948" s="13">
        <f t="shared" si="213"/>
        <v>0</v>
      </c>
      <c r="K948" s="13">
        <f>ROUNDUP(IF($D$2="Egyszeri",$D948,IF($D$2="Havi",SUM($D$20:$D$31),IF(MOD($C948,$M$1)-1=0,SUM($D$20:$D$31),0))/12*$M$1)*VLOOKUP($B948,Paraméterek!$B$27:$D$30,IF($D$2="Egyszeri",3,2)),IF($D$4="Forint",0,2))</f>
        <v>0</v>
      </c>
      <c r="L948" s="13">
        <f t="shared" si="214"/>
        <v>0</v>
      </c>
      <c r="M948" s="13">
        <f t="shared" ca="1" si="220"/>
        <v>-1107699</v>
      </c>
      <c r="N948" s="13">
        <f ca="1">IF($V947&gt;=VLOOKUP($M$4-1+$B948,Paraméterek!$B$121:$D$122,IF($D$4="Forint",2,3)),0,VLOOKUP($M$4-1+$B948,Paraméterek!$B$121:$D$122,IF($D$4="Forint",2,3))-$V947)</f>
        <v>1117699</v>
      </c>
      <c r="O948" s="13">
        <f ca="1">ROUNDUP($N948*Paraméterek!$C$58/Paraméterek!$C$56,IF($D$4="Forint",0,2))</f>
        <v>178</v>
      </c>
      <c r="P948" s="13">
        <f t="shared" si="215"/>
        <v>5356</v>
      </c>
      <c r="Q948" s="33"/>
      <c r="R948" s="13">
        <f t="shared" ca="1" si="216"/>
        <v>0</v>
      </c>
      <c r="S948" s="13">
        <f ca="1">ROUNDUP(($M948-$O948-$P948+$R948)*VLOOKUP($B948,Paraméterek!$B$38:$D$39,IF($D$2="Egyszeri",3,2))/12,IF($D$4="Forint",0,2))</f>
        <v>-2719</v>
      </c>
      <c r="T948" s="13"/>
      <c r="U948" s="13"/>
      <c r="V948" s="13">
        <f ca="1">$M948-$O948-$P948+$R948-$S948-IF(ROUNDUP(IF(ISBLANK($U948),$T948,$U948)/IF(AND($B948=1,$D$2&lt;&gt;"Egyszeri"),1,VLOOKUP($B948+IF($C948=12,1,0),Paraméterek!$B$257:$D$267,IF($D$2="Egyszeri",3,2))),IF($D$4="Forint",0,2))&gt;$M948-$O948-$P948+$R948-$S948-IF($D$4="Forint",Paraméterek!$C$216,Paraméterek!$D$216),0,ROUNDUP(IF(ISBLANK($U948),$T948,$U948)/IF(AND($B948=1,$D$2&lt;&gt;"Egyszeri"),1,VLOOKUP($B948+IF($C948=12,1,0),Paraméterek!$B$257:$D$267,IF($D$2="Egyszeri",3,2))),IF($D$4="Forint",0,2)))</f>
        <v>-1110514</v>
      </c>
      <c r="W948" s="13">
        <f ca="1">ROUNDDOWN($V948*VLOOKUP($B948+IF($C948=12,1,0),Paraméterek!$B$257:$D$267,IF($D$2="Egyszeri",3,2)),IF($D$4="Forint",0,2))</f>
        <v>-1110514</v>
      </c>
      <c r="Y948" s="32">
        <v>929</v>
      </c>
      <c r="Z948" s="32">
        <v>78</v>
      </c>
      <c r="AA948" s="32">
        <v>5</v>
      </c>
      <c r="AB948" s="13">
        <f t="shared" si="221"/>
        <v>0</v>
      </c>
      <c r="AC948" s="33"/>
      <c r="AD948" s="13">
        <f t="shared" si="217"/>
        <v>0</v>
      </c>
      <c r="AE948" s="13">
        <f>ROUNDUP(($AB948+$AD948)*VLOOKUP($Z948,Paraméterek!$P$38:$Q$38,2)/12,IF($D$4="Forint",0,2))</f>
        <v>0</v>
      </c>
      <c r="AF948" s="13">
        <f>IF($D$2="Egyszeri",IF($D$7&gt;=IF($D$4="Forint",Paraméterek!$P$223,Paraméterek!$P$224),$D$7-IF($D$4="Forint",Paraméterek!$F$223,Paraméterek!$F$224),0),MIN(IF($AA948=12,AVERAGE($D$20:$D948)*12,0),SUM($D$20:$D$31)))</f>
        <v>0</v>
      </c>
      <c r="AG948" s="13">
        <f>IF(AND($Z948&gt;=10,MOD($Z948,5)=0),$AF948*IF($AA948=12,VLOOKUP($Z948,Paraméterek!$B$225:$F$240,IF($AF948&lt;IF($D$4="Forint",Paraméterek!$C$223,Paraméterek!$C$224),2,IF($AF948&lt;IF($D$4="Forint",Paraméterek!$D$223,Paraméterek!$D$224),3,4))),0),0)</f>
        <v>0</v>
      </c>
      <c r="AH948" s="13">
        <f>IF(AND($Z948&gt;=5,MOD($Z948,5)=0),IF($AA948=12,VLOOKUP($Z948,Paraméterek!$B$225:$F$240,5),0),IF(OR($Z948=3,$Z948=4),IF($AA948=12,VLOOKUP($Z948,Paraméterek!$B$225:$F$240,5,0),0),0))*$AF948</f>
        <v>0</v>
      </c>
      <c r="AI948" s="13">
        <f>ROUNDDOWN(IF(SUM($T$20:$U948)=0,IF($D$2="Egyszeri",$AH948,$AG948),0),IF($D$4="Forint",0,2))</f>
        <v>0</v>
      </c>
      <c r="AJ948" s="13">
        <f t="shared" si="222"/>
        <v>0</v>
      </c>
      <c r="AK948" s="13">
        <f t="shared" si="223"/>
        <v>0</v>
      </c>
      <c r="AM948" s="32">
        <v>929</v>
      </c>
      <c r="AN948" s="32">
        <v>78</v>
      </c>
      <c r="AO948" s="32">
        <v>5</v>
      </c>
      <c r="AP948" s="13"/>
      <c r="AQ948" s="32"/>
      <c r="AR948" s="13">
        <f t="shared" si="224"/>
        <v>0</v>
      </c>
      <c r="AS948" s="33"/>
      <c r="AT948" s="13">
        <f t="shared" si="218"/>
        <v>0</v>
      </c>
      <c r="AU948" s="13">
        <f>ROUNDUP(($AR948+$AT948)*VLOOKUP($AN948,Paraméterek!$P$38:$Q$38,2)/12,IF($D$4="Forint",0,2))</f>
        <v>0</v>
      </c>
      <c r="AV948" s="13"/>
      <c r="AW948" s="13"/>
      <c r="AX948" s="13">
        <f>ROUNDUP(IF(SUM($AV948:$AW948)=0,0,IF(IF(ISBLANK($AW948),$AV948,$AW948)*Paraméterek!$J$112&lt;IF($D$4="Forint",Paraméterek!$J$113,Paraméterek!$K$113),IF($D$4="Forint",Paraméterek!$J$113,Paraméterek!$K$113),IF(IF(ISBLANK($AW948),$AV948,$AW948)*Paraméterek!$J$112&gt;IF($D$4="Forint",Paraméterek!$J$114,Paraméterek!$K$114),IF($D$4="Forint",Paraméterek!$J$114,Paraméterek!$K$114),IF(ISBLANK($AW948),$AV948,$AW948)*Paraméterek!$J$112))),IF($D$4="Forint",0,2))</f>
        <v>0</v>
      </c>
      <c r="AY948" s="13">
        <f>$AR948+$AT948-$AU948-IF(ROUNDDOWN(IF(ISBLANK($AW948),$AV948,$AW948),IF($D$4="Forint",0,2))&gt;$AR948+$AT948-$AU948-IF($D$4="Forint",Paraméterek!$J$114,Paraméterek!$K$114),0,ROUNDDOWN(IF(ISBLANK($AW948),$AV948,$AW948),IF($D$4="Forint",0,2))-$AX948)</f>
        <v>0</v>
      </c>
      <c r="AZ948" s="13">
        <f t="shared" si="219"/>
        <v>0</v>
      </c>
    </row>
    <row r="949" spans="1:52" x14ac:dyDescent="0.2">
      <c r="A949" s="32">
        <v>930</v>
      </c>
      <c r="B949" s="32">
        <v>78</v>
      </c>
      <c r="C949" s="32">
        <v>6</v>
      </c>
      <c r="D949" s="13">
        <f t="shared" si="210"/>
        <v>0</v>
      </c>
      <c r="E949" s="13"/>
      <c r="F949" s="13"/>
      <c r="G949" s="13"/>
      <c r="H949" s="13">
        <f t="shared" si="211"/>
        <v>0</v>
      </c>
      <c r="I949" s="13">
        <f t="shared" si="212"/>
        <v>0</v>
      </c>
      <c r="J949" s="13">
        <f t="shared" si="213"/>
        <v>0</v>
      </c>
      <c r="K949" s="13">
        <f>ROUNDUP(IF($D$2="Egyszeri",$D949,IF($D$2="Havi",SUM($D$20:$D$31),IF(MOD($C949,$M$1)-1=0,SUM($D$20:$D$31),0))/12*$M$1)*VLOOKUP($B949,Paraméterek!$B$27:$D$30,IF($D$2="Egyszeri",3,2)),IF($D$4="Forint",0,2))</f>
        <v>0</v>
      </c>
      <c r="L949" s="13">
        <f t="shared" si="214"/>
        <v>0</v>
      </c>
      <c r="M949" s="13">
        <f t="shared" ca="1" si="220"/>
        <v>-1110514</v>
      </c>
      <c r="N949" s="13">
        <f ca="1">IF($V948&gt;=VLOOKUP($M$4-1+$B949,Paraméterek!$B$121:$D$122,IF($D$4="Forint",2,3)),0,VLOOKUP($M$4-1+$B949,Paraméterek!$B$121:$D$122,IF($D$4="Forint",2,3))-$V948)</f>
        <v>1120514</v>
      </c>
      <c r="O949" s="13">
        <f ca="1">ROUNDUP($N949*Paraméterek!$C$58/Paraméterek!$C$56,IF($D$4="Forint",0,2))</f>
        <v>179</v>
      </c>
      <c r="P949" s="13">
        <f t="shared" si="215"/>
        <v>5356</v>
      </c>
      <c r="Q949" s="33"/>
      <c r="R949" s="13">
        <f t="shared" ca="1" si="216"/>
        <v>0</v>
      </c>
      <c r="S949" s="13">
        <f ca="1">ROUNDUP(($M949-$O949-$P949+$R949)*VLOOKUP($B949,Paraméterek!$B$38:$D$39,IF($D$2="Egyszeri",3,2))/12,IF($D$4="Forint",0,2))</f>
        <v>-2726</v>
      </c>
      <c r="T949" s="13"/>
      <c r="U949" s="13"/>
      <c r="V949" s="13">
        <f ca="1">$M949-$O949-$P949+$R949-$S949-IF(ROUNDUP(IF(ISBLANK($U949),$T949,$U949)/IF(AND($B949=1,$D$2&lt;&gt;"Egyszeri"),1,VLOOKUP($B949+IF($C949=12,1,0),Paraméterek!$B$257:$D$267,IF($D$2="Egyszeri",3,2))),IF($D$4="Forint",0,2))&gt;$M949-$O949-$P949+$R949-$S949-IF($D$4="Forint",Paraméterek!$C$216,Paraméterek!$D$216),0,ROUNDUP(IF(ISBLANK($U949),$T949,$U949)/IF(AND($B949=1,$D$2&lt;&gt;"Egyszeri"),1,VLOOKUP($B949+IF($C949=12,1,0),Paraméterek!$B$257:$D$267,IF($D$2="Egyszeri",3,2))),IF($D$4="Forint",0,2)))</f>
        <v>-1113323</v>
      </c>
      <c r="W949" s="13">
        <f ca="1">ROUNDDOWN($V949*VLOOKUP($B949+IF($C949=12,1,0),Paraméterek!$B$257:$D$267,IF($D$2="Egyszeri",3,2)),IF($D$4="Forint",0,2))</f>
        <v>-1113323</v>
      </c>
      <c r="Y949" s="32">
        <v>930</v>
      </c>
      <c r="Z949" s="32">
        <v>78</v>
      </c>
      <c r="AA949" s="32">
        <v>6</v>
      </c>
      <c r="AB949" s="13">
        <f t="shared" si="221"/>
        <v>0</v>
      </c>
      <c r="AC949" s="33"/>
      <c r="AD949" s="13">
        <f t="shared" si="217"/>
        <v>0</v>
      </c>
      <c r="AE949" s="13">
        <f>ROUNDUP(($AB949+$AD949)*VLOOKUP($Z949,Paraméterek!$P$38:$Q$38,2)/12,IF($D$4="Forint",0,2))</f>
        <v>0</v>
      </c>
      <c r="AF949" s="13">
        <f>IF($D$2="Egyszeri",IF($D$7&gt;=IF($D$4="Forint",Paraméterek!$P$223,Paraméterek!$P$224),$D$7-IF($D$4="Forint",Paraméterek!$F$223,Paraméterek!$F$224),0),MIN(IF($AA949=12,AVERAGE($D$20:$D949)*12,0),SUM($D$20:$D$31)))</f>
        <v>0</v>
      </c>
      <c r="AG949" s="13">
        <f>IF(AND($Z949&gt;=10,MOD($Z949,5)=0),$AF949*IF($AA949=12,VLOOKUP($Z949,Paraméterek!$B$225:$F$240,IF($AF949&lt;IF($D$4="Forint",Paraméterek!$C$223,Paraméterek!$C$224),2,IF($AF949&lt;IF($D$4="Forint",Paraméterek!$D$223,Paraméterek!$D$224),3,4))),0),0)</f>
        <v>0</v>
      </c>
      <c r="AH949" s="13">
        <f>IF(AND($Z949&gt;=5,MOD($Z949,5)=0),IF($AA949=12,VLOOKUP($Z949,Paraméterek!$B$225:$F$240,5),0),IF(OR($Z949=3,$Z949=4),IF($AA949=12,VLOOKUP($Z949,Paraméterek!$B$225:$F$240,5,0),0),0))*$AF949</f>
        <v>0</v>
      </c>
      <c r="AI949" s="13">
        <f>ROUNDDOWN(IF(SUM($T$20:$U949)=0,IF($D$2="Egyszeri",$AH949,$AG949),0),IF($D$4="Forint",0,2))</f>
        <v>0</v>
      </c>
      <c r="AJ949" s="13">
        <f t="shared" si="222"/>
        <v>0</v>
      </c>
      <c r="AK949" s="13">
        <f t="shared" si="223"/>
        <v>0</v>
      </c>
      <c r="AM949" s="32">
        <v>930</v>
      </c>
      <c r="AN949" s="32">
        <v>78</v>
      </c>
      <c r="AO949" s="32">
        <v>6</v>
      </c>
      <c r="AP949" s="13"/>
      <c r="AQ949" s="32"/>
      <c r="AR949" s="13">
        <f t="shared" si="224"/>
        <v>0</v>
      </c>
      <c r="AS949" s="33"/>
      <c r="AT949" s="13">
        <f t="shared" si="218"/>
        <v>0</v>
      </c>
      <c r="AU949" s="13">
        <f>ROUNDUP(($AR949+$AT949)*VLOOKUP($AN949,Paraméterek!$P$38:$Q$38,2)/12,IF($D$4="Forint",0,2))</f>
        <v>0</v>
      </c>
      <c r="AV949" s="13"/>
      <c r="AW949" s="13"/>
      <c r="AX949" s="13">
        <f>ROUNDUP(IF(SUM($AV949:$AW949)=0,0,IF(IF(ISBLANK($AW949),$AV949,$AW949)*Paraméterek!$J$112&lt;IF($D$4="Forint",Paraméterek!$J$113,Paraméterek!$K$113),IF($D$4="Forint",Paraméterek!$J$113,Paraméterek!$K$113),IF(IF(ISBLANK($AW949),$AV949,$AW949)*Paraméterek!$J$112&gt;IF($D$4="Forint",Paraméterek!$J$114,Paraméterek!$K$114),IF($D$4="Forint",Paraméterek!$J$114,Paraméterek!$K$114),IF(ISBLANK($AW949),$AV949,$AW949)*Paraméterek!$J$112))),IF($D$4="Forint",0,2))</f>
        <v>0</v>
      </c>
      <c r="AY949" s="13">
        <f>$AR949+$AT949-$AU949-IF(ROUNDDOWN(IF(ISBLANK($AW949),$AV949,$AW949),IF($D$4="Forint",0,2))&gt;$AR949+$AT949-$AU949-IF($D$4="Forint",Paraméterek!$J$114,Paraméterek!$K$114),0,ROUNDDOWN(IF(ISBLANK($AW949),$AV949,$AW949),IF($D$4="Forint",0,2))-$AX949)</f>
        <v>0</v>
      </c>
      <c r="AZ949" s="13">
        <f t="shared" si="219"/>
        <v>0</v>
      </c>
    </row>
    <row r="950" spans="1:52" x14ac:dyDescent="0.2">
      <c r="A950" s="32">
        <v>931</v>
      </c>
      <c r="B950" s="32">
        <v>78</v>
      </c>
      <c r="C950" s="32">
        <v>7</v>
      </c>
      <c r="D950" s="13">
        <f t="shared" si="210"/>
        <v>0</v>
      </c>
      <c r="E950" s="13"/>
      <c r="F950" s="13"/>
      <c r="G950" s="13"/>
      <c r="H950" s="13">
        <f t="shared" si="211"/>
        <v>0</v>
      </c>
      <c r="I950" s="13">
        <f t="shared" si="212"/>
        <v>0</v>
      </c>
      <c r="J950" s="13">
        <f t="shared" si="213"/>
        <v>0</v>
      </c>
      <c r="K950" s="13">
        <f>ROUNDUP(IF($D$2="Egyszeri",$D950,IF($D$2="Havi",SUM($D$20:$D$31),IF(MOD($C950,$M$1)-1=0,SUM($D$20:$D$31),0))/12*$M$1)*VLOOKUP($B950,Paraméterek!$B$27:$D$30,IF($D$2="Egyszeri",3,2)),IF($D$4="Forint",0,2))</f>
        <v>0</v>
      </c>
      <c r="L950" s="13">
        <f t="shared" si="214"/>
        <v>0</v>
      </c>
      <c r="M950" s="13">
        <f t="shared" ca="1" si="220"/>
        <v>-1113323</v>
      </c>
      <c r="N950" s="13">
        <f ca="1">IF($V949&gt;=VLOOKUP($M$4-1+$B950,Paraméterek!$B$121:$D$122,IF($D$4="Forint",2,3)),0,VLOOKUP($M$4-1+$B950,Paraméterek!$B$121:$D$122,IF($D$4="Forint",2,3))-$V949)</f>
        <v>1123323</v>
      </c>
      <c r="O950" s="13">
        <f ca="1">ROUNDUP($N950*Paraméterek!$C$58/Paraméterek!$C$56,IF($D$4="Forint",0,2))</f>
        <v>179</v>
      </c>
      <c r="P950" s="13">
        <f t="shared" si="215"/>
        <v>5356</v>
      </c>
      <c r="Q950" s="33"/>
      <c r="R950" s="13">
        <f t="shared" ca="1" si="216"/>
        <v>0</v>
      </c>
      <c r="S950" s="13">
        <f ca="1">ROUNDUP(($M950-$O950-$P950+$R950)*VLOOKUP($B950,Paraméterek!$B$38:$D$39,IF($D$2="Egyszeri",3,2))/12,IF($D$4="Forint",0,2))</f>
        <v>-2732</v>
      </c>
      <c r="T950" s="13"/>
      <c r="U950" s="13"/>
      <c r="V950" s="13">
        <f ca="1">$M950-$O950-$P950+$R950-$S950-IF(ROUNDUP(IF(ISBLANK($U950),$T950,$U950)/IF(AND($B950=1,$D$2&lt;&gt;"Egyszeri"),1,VLOOKUP($B950+IF($C950=12,1,0),Paraméterek!$B$257:$D$267,IF($D$2="Egyszeri",3,2))),IF($D$4="Forint",0,2))&gt;$M950-$O950-$P950+$R950-$S950-IF($D$4="Forint",Paraméterek!$C$216,Paraméterek!$D$216),0,ROUNDUP(IF(ISBLANK($U950),$T950,$U950)/IF(AND($B950=1,$D$2&lt;&gt;"Egyszeri"),1,VLOOKUP($B950+IF($C950=12,1,0),Paraméterek!$B$257:$D$267,IF($D$2="Egyszeri",3,2))),IF($D$4="Forint",0,2)))</f>
        <v>-1116126</v>
      </c>
      <c r="W950" s="13">
        <f ca="1">ROUNDDOWN($V950*VLOOKUP($B950+IF($C950=12,1,0),Paraméterek!$B$257:$D$267,IF($D$2="Egyszeri",3,2)),IF($D$4="Forint",0,2))</f>
        <v>-1116126</v>
      </c>
      <c r="Y950" s="32">
        <v>931</v>
      </c>
      <c r="Z950" s="32">
        <v>78</v>
      </c>
      <c r="AA950" s="32">
        <v>7</v>
      </c>
      <c r="AB950" s="13">
        <f t="shared" si="221"/>
        <v>0</v>
      </c>
      <c r="AC950" s="33"/>
      <c r="AD950" s="13">
        <f t="shared" si="217"/>
        <v>0</v>
      </c>
      <c r="AE950" s="13">
        <f>ROUNDUP(($AB950+$AD950)*VLOOKUP($Z950,Paraméterek!$P$38:$Q$38,2)/12,IF($D$4="Forint",0,2))</f>
        <v>0</v>
      </c>
      <c r="AF950" s="13">
        <f>IF($D$2="Egyszeri",IF($D$7&gt;=IF($D$4="Forint",Paraméterek!$P$223,Paraméterek!$P$224),$D$7-IF($D$4="Forint",Paraméterek!$F$223,Paraméterek!$F$224),0),MIN(IF($AA950=12,AVERAGE($D$20:$D950)*12,0),SUM($D$20:$D$31)))</f>
        <v>0</v>
      </c>
      <c r="AG950" s="13">
        <f>IF(AND($Z950&gt;=10,MOD($Z950,5)=0),$AF950*IF($AA950=12,VLOOKUP($Z950,Paraméterek!$B$225:$F$240,IF($AF950&lt;IF($D$4="Forint",Paraméterek!$C$223,Paraméterek!$C$224),2,IF($AF950&lt;IF($D$4="Forint",Paraméterek!$D$223,Paraméterek!$D$224),3,4))),0),0)</f>
        <v>0</v>
      </c>
      <c r="AH950" s="13">
        <f>IF(AND($Z950&gt;=5,MOD($Z950,5)=0),IF($AA950=12,VLOOKUP($Z950,Paraméterek!$B$225:$F$240,5),0),IF(OR($Z950=3,$Z950=4),IF($AA950=12,VLOOKUP($Z950,Paraméterek!$B$225:$F$240,5,0),0),0))*$AF950</f>
        <v>0</v>
      </c>
      <c r="AI950" s="13">
        <f>ROUNDDOWN(IF(SUM($T$20:$U950)=0,IF($D$2="Egyszeri",$AH950,$AG950),0),IF($D$4="Forint",0,2))</f>
        <v>0</v>
      </c>
      <c r="AJ950" s="13">
        <f t="shared" si="222"/>
        <v>0</v>
      </c>
      <c r="AK950" s="13">
        <f t="shared" si="223"/>
        <v>0</v>
      </c>
      <c r="AM950" s="32">
        <v>931</v>
      </c>
      <c r="AN950" s="32">
        <v>78</v>
      </c>
      <c r="AO950" s="32">
        <v>7</v>
      </c>
      <c r="AP950" s="13"/>
      <c r="AQ950" s="32"/>
      <c r="AR950" s="13">
        <f t="shared" si="224"/>
        <v>0</v>
      </c>
      <c r="AS950" s="33"/>
      <c r="AT950" s="13">
        <f t="shared" si="218"/>
        <v>0</v>
      </c>
      <c r="AU950" s="13">
        <f>ROUNDUP(($AR950+$AT950)*VLOOKUP($AN950,Paraméterek!$P$38:$Q$38,2)/12,IF($D$4="Forint",0,2))</f>
        <v>0</v>
      </c>
      <c r="AV950" s="13"/>
      <c r="AW950" s="13"/>
      <c r="AX950" s="13">
        <f>ROUNDUP(IF(SUM($AV950:$AW950)=0,0,IF(IF(ISBLANK($AW950),$AV950,$AW950)*Paraméterek!$J$112&lt;IF($D$4="Forint",Paraméterek!$J$113,Paraméterek!$K$113),IF($D$4="Forint",Paraméterek!$J$113,Paraméterek!$K$113),IF(IF(ISBLANK($AW950),$AV950,$AW950)*Paraméterek!$J$112&gt;IF($D$4="Forint",Paraméterek!$J$114,Paraméterek!$K$114),IF($D$4="Forint",Paraméterek!$J$114,Paraméterek!$K$114),IF(ISBLANK($AW950),$AV950,$AW950)*Paraméterek!$J$112))),IF($D$4="Forint",0,2))</f>
        <v>0</v>
      </c>
      <c r="AY950" s="13">
        <f>$AR950+$AT950-$AU950-IF(ROUNDDOWN(IF(ISBLANK($AW950),$AV950,$AW950),IF($D$4="Forint",0,2))&gt;$AR950+$AT950-$AU950-IF($D$4="Forint",Paraméterek!$J$114,Paraméterek!$K$114),0,ROUNDDOWN(IF(ISBLANK($AW950),$AV950,$AW950),IF($D$4="Forint",0,2))-$AX950)</f>
        <v>0</v>
      </c>
      <c r="AZ950" s="13">
        <f t="shared" si="219"/>
        <v>0</v>
      </c>
    </row>
    <row r="951" spans="1:52" x14ac:dyDescent="0.2">
      <c r="A951" s="32">
        <v>932</v>
      </c>
      <c r="B951" s="32">
        <v>78</v>
      </c>
      <c r="C951" s="32">
        <v>8</v>
      </c>
      <c r="D951" s="13">
        <f t="shared" si="210"/>
        <v>0</v>
      </c>
      <c r="E951" s="13"/>
      <c r="F951" s="13"/>
      <c r="G951" s="13"/>
      <c r="H951" s="13">
        <f t="shared" si="211"/>
        <v>0</v>
      </c>
      <c r="I951" s="13">
        <f t="shared" si="212"/>
        <v>0</v>
      </c>
      <c r="J951" s="13">
        <f t="shared" si="213"/>
        <v>0</v>
      </c>
      <c r="K951" s="13">
        <f>ROUNDUP(IF($D$2="Egyszeri",$D951,IF($D$2="Havi",SUM($D$20:$D$31),IF(MOD($C951,$M$1)-1=0,SUM($D$20:$D$31),0))/12*$M$1)*VLOOKUP($B951,Paraméterek!$B$27:$D$30,IF($D$2="Egyszeri",3,2)),IF($D$4="Forint",0,2))</f>
        <v>0</v>
      </c>
      <c r="L951" s="13">
        <f t="shared" si="214"/>
        <v>0</v>
      </c>
      <c r="M951" s="13">
        <f t="shared" ca="1" si="220"/>
        <v>-1116126</v>
      </c>
      <c r="N951" s="13">
        <f ca="1">IF($V950&gt;=VLOOKUP($M$4-1+$B951,Paraméterek!$B$121:$D$122,IF($D$4="Forint",2,3)),0,VLOOKUP($M$4-1+$B951,Paraméterek!$B$121:$D$122,IF($D$4="Forint",2,3))-$V950)</f>
        <v>1126126</v>
      </c>
      <c r="O951" s="13">
        <f ca="1">ROUNDUP($N951*Paraméterek!$C$58/Paraméterek!$C$56,IF($D$4="Forint",0,2))</f>
        <v>180</v>
      </c>
      <c r="P951" s="13">
        <f t="shared" si="215"/>
        <v>5356</v>
      </c>
      <c r="Q951" s="33"/>
      <c r="R951" s="13">
        <f t="shared" ca="1" si="216"/>
        <v>0</v>
      </c>
      <c r="S951" s="13">
        <f ca="1">ROUNDUP(($M951-$O951-$P951+$R951)*VLOOKUP($B951,Paraméterek!$B$38:$D$39,IF($D$2="Egyszeri",3,2))/12,IF($D$4="Forint",0,2))</f>
        <v>-2739</v>
      </c>
      <c r="T951" s="13"/>
      <c r="U951" s="13"/>
      <c r="V951" s="13">
        <f ca="1">$M951-$O951-$P951+$R951-$S951-IF(ROUNDUP(IF(ISBLANK($U951),$T951,$U951)/IF(AND($B951=1,$D$2&lt;&gt;"Egyszeri"),1,VLOOKUP($B951+IF($C951=12,1,0),Paraméterek!$B$257:$D$267,IF($D$2="Egyszeri",3,2))),IF($D$4="Forint",0,2))&gt;$M951-$O951-$P951+$R951-$S951-IF($D$4="Forint",Paraméterek!$C$216,Paraméterek!$D$216),0,ROUNDUP(IF(ISBLANK($U951),$T951,$U951)/IF(AND($B951=1,$D$2&lt;&gt;"Egyszeri"),1,VLOOKUP($B951+IF($C951=12,1,0),Paraméterek!$B$257:$D$267,IF($D$2="Egyszeri",3,2))),IF($D$4="Forint",0,2)))</f>
        <v>-1118923</v>
      </c>
      <c r="W951" s="13">
        <f ca="1">ROUNDDOWN($V951*VLOOKUP($B951+IF($C951=12,1,0),Paraméterek!$B$257:$D$267,IF($D$2="Egyszeri",3,2)),IF($D$4="Forint",0,2))</f>
        <v>-1118923</v>
      </c>
      <c r="Y951" s="32">
        <v>932</v>
      </c>
      <c r="Z951" s="32">
        <v>78</v>
      </c>
      <c r="AA951" s="32">
        <v>8</v>
      </c>
      <c r="AB951" s="13">
        <f t="shared" si="221"/>
        <v>0</v>
      </c>
      <c r="AC951" s="33"/>
      <c r="AD951" s="13">
        <f t="shared" si="217"/>
        <v>0</v>
      </c>
      <c r="AE951" s="13">
        <f>ROUNDUP(($AB951+$AD951)*VLOOKUP($Z951,Paraméterek!$P$38:$Q$38,2)/12,IF($D$4="Forint",0,2))</f>
        <v>0</v>
      </c>
      <c r="AF951" s="13">
        <f>IF($D$2="Egyszeri",IF($D$7&gt;=IF($D$4="Forint",Paraméterek!$P$223,Paraméterek!$P$224),$D$7-IF($D$4="Forint",Paraméterek!$F$223,Paraméterek!$F$224),0),MIN(IF($AA951=12,AVERAGE($D$20:$D951)*12,0),SUM($D$20:$D$31)))</f>
        <v>0</v>
      </c>
      <c r="AG951" s="13">
        <f>IF(AND($Z951&gt;=10,MOD($Z951,5)=0),$AF951*IF($AA951=12,VLOOKUP($Z951,Paraméterek!$B$225:$F$240,IF($AF951&lt;IF($D$4="Forint",Paraméterek!$C$223,Paraméterek!$C$224),2,IF($AF951&lt;IF($D$4="Forint",Paraméterek!$D$223,Paraméterek!$D$224),3,4))),0),0)</f>
        <v>0</v>
      </c>
      <c r="AH951" s="13">
        <f>IF(AND($Z951&gt;=5,MOD($Z951,5)=0),IF($AA951=12,VLOOKUP($Z951,Paraméterek!$B$225:$F$240,5),0),IF(OR($Z951=3,$Z951=4),IF($AA951=12,VLOOKUP($Z951,Paraméterek!$B$225:$F$240,5,0),0),0))*$AF951</f>
        <v>0</v>
      </c>
      <c r="AI951" s="13">
        <f>ROUNDDOWN(IF(SUM($T$20:$U951)=0,IF($D$2="Egyszeri",$AH951,$AG951),0),IF($D$4="Forint",0,2))</f>
        <v>0</v>
      </c>
      <c r="AJ951" s="13">
        <f t="shared" si="222"/>
        <v>0</v>
      </c>
      <c r="AK951" s="13">
        <f t="shared" si="223"/>
        <v>0</v>
      </c>
      <c r="AM951" s="32">
        <v>932</v>
      </c>
      <c r="AN951" s="32">
        <v>78</v>
      </c>
      <c r="AO951" s="32">
        <v>8</v>
      </c>
      <c r="AP951" s="13"/>
      <c r="AQ951" s="32"/>
      <c r="AR951" s="13">
        <f t="shared" si="224"/>
        <v>0</v>
      </c>
      <c r="AS951" s="33"/>
      <c r="AT951" s="13">
        <f t="shared" si="218"/>
        <v>0</v>
      </c>
      <c r="AU951" s="13">
        <f>ROUNDUP(($AR951+$AT951)*VLOOKUP($AN951,Paraméterek!$P$38:$Q$38,2)/12,IF($D$4="Forint",0,2))</f>
        <v>0</v>
      </c>
      <c r="AV951" s="13"/>
      <c r="AW951" s="13"/>
      <c r="AX951" s="13">
        <f>ROUNDUP(IF(SUM($AV951:$AW951)=0,0,IF(IF(ISBLANK($AW951),$AV951,$AW951)*Paraméterek!$J$112&lt;IF($D$4="Forint",Paraméterek!$J$113,Paraméterek!$K$113),IF($D$4="Forint",Paraméterek!$J$113,Paraméterek!$K$113),IF(IF(ISBLANK($AW951),$AV951,$AW951)*Paraméterek!$J$112&gt;IF($D$4="Forint",Paraméterek!$J$114,Paraméterek!$K$114),IF($D$4="Forint",Paraméterek!$J$114,Paraméterek!$K$114),IF(ISBLANK($AW951),$AV951,$AW951)*Paraméterek!$J$112))),IF($D$4="Forint",0,2))</f>
        <v>0</v>
      </c>
      <c r="AY951" s="13">
        <f>$AR951+$AT951-$AU951-IF(ROUNDDOWN(IF(ISBLANK($AW951),$AV951,$AW951),IF($D$4="Forint",0,2))&gt;$AR951+$AT951-$AU951-IF($D$4="Forint",Paraméterek!$J$114,Paraméterek!$K$114),0,ROUNDDOWN(IF(ISBLANK($AW951),$AV951,$AW951),IF($D$4="Forint",0,2))-$AX951)</f>
        <v>0</v>
      </c>
      <c r="AZ951" s="13">
        <f t="shared" si="219"/>
        <v>0</v>
      </c>
    </row>
    <row r="952" spans="1:52" x14ac:dyDescent="0.2">
      <c r="A952" s="32">
        <v>933</v>
      </c>
      <c r="B952" s="32">
        <v>78</v>
      </c>
      <c r="C952" s="32">
        <v>9</v>
      </c>
      <c r="D952" s="13">
        <f t="shared" si="210"/>
        <v>0</v>
      </c>
      <c r="E952" s="13"/>
      <c r="F952" s="13"/>
      <c r="G952" s="13"/>
      <c r="H952" s="13">
        <f t="shared" si="211"/>
        <v>0</v>
      </c>
      <c r="I952" s="13">
        <f t="shared" si="212"/>
        <v>0</v>
      </c>
      <c r="J952" s="13">
        <f t="shared" si="213"/>
        <v>0</v>
      </c>
      <c r="K952" s="13">
        <f>ROUNDUP(IF($D$2="Egyszeri",$D952,IF($D$2="Havi",SUM($D$20:$D$31),IF(MOD($C952,$M$1)-1=0,SUM($D$20:$D$31),0))/12*$M$1)*VLOOKUP($B952,Paraméterek!$B$27:$D$30,IF($D$2="Egyszeri",3,2)),IF($D$4="Forint",0,2))</f>
        <v>0</v>
      </c>
      <c r="L952" s="13">
        <f t="shared" si="214"/>
        <v>0</v>
      </c>
      <c r="M952" s="13">
        <f t="shared" ca="1" si="220"/>
        <v>-1118923</v>
      </c>
      <c r="N952" s="13">
        <f ca="1">IF($V951&gt;=VLOOKUP($M$4-1+$B952,Paraméterek!$B$121:$D$122,IF($D$4="Forint",2,3)),0,VLOOKUP($M$4-1+$B952,Paraméterek!$B$121:$D$122,IF($D$4="Forint",2,3))-$V951)</f>
        <v>1128923</v>
      </c>
      <c r="O952" s="13">
        <f ca="1">ROUNDUP($N952*Paraméterek!$C$58/Paraméterek!$C$56,IF($D$4="Forint",0,2))</f>
        <v>180</v>
      </c>
      <c r="P952" s="13">
        <f t="shared" si="215"/>
        <v>5356</v>
      </c>
      <c r="Q952" s="33"/>
      <c r="R952" s="13">
        <f t="shared" ca="1" si="216"/>
        <v>0</v>
      </c>
      <c r="S952" s="13">
        <f ca="1">ROUNDUP(($M952-$O952-$P952+$R952)*VLOOKUP($B952,Paraméterek!$B$38:$D$39,IF($D$2="Egyszeri",3,2))/12,IF($D$4="Forint",0,2))</f>
        <v>-2746</v>
      </c>
      <c r="T952" s="13"/>
      <c r="U952" s="13"/>
      <c r="V952" s="13">
        <f ca="1">$M952-$O952-$P952+$R952-$S952-IF(ROUNDUP(IF(ISBLANK($U952),$T952,$U952)/IF(AND($B952=1,$D$2&lt;&gt;"Egyszeri"),1,VLOOKUP($B952+IF($C952=12,1,0),Paraméterek!$B$257:$D$267,IF($D$2="Egyszeri",3,2))),IF($D$4="Forint",0,2))&gt;$M952-$O952-$P952+$R952-$S952-IF($D$4="Forint",Paraméterek!$C$216,Paraméterek!$D$216),0,ROUNDUP(IF(ISBLANK($U952),$T952,$U952)/IF(AND($B952=1,$D$2&lt;&gt;"Egyszeri"),1,VLOOKUP($B952+IF($C952=12,1,0),Paraméterek!$B$257:$D$267,IF($D$2="Egyszeri",3,2))),IF($D$4="Forint",0,2)))</f>
        <v>-1121713</v>
      </c>
      <c r="W952" s="13">
        <f ca="1">ROUNDDOWN($V952*VLOOKUP($B952+IF($C952=12,1,0),Paraméterek!$B$257:$D$267,IF($D$2="Egyszeri",3,2)),IF($D$4="Forint",0,2))</f>
        <v>-1121713</v>
      </c>
      <c r="Y952" s="32">
        <v>933</v>
      </c>
      <c r="Z952" s="32">
        <v>78</v>
      </c>
      <c r="AA952" s="32">
        <v>9</v>
      </c>
      <c r="AB952" s="13">
        <f t="shared" si="221"/>
        <v>0</v>
      </c>
      <c r="AC952" s="33"/>
      <c r="AD952" s="13">
        <f t="shared" si="217"/>
        <v>0</v>
      </c>
      <c r="AE952" s="13">
        <f>ROUNDUP(($AB952+$AD952)*VLOOKUP($Z952,Paraméterek!$P$38:$Q$38,2)/12,IF($D$4="Forint",0,2))</f>
        <v>0</v>
      </c>
      <c r="AF952" s="13">
        <f>IF($D$2="Egyszeri",IF($D$7&gt;=IF($D$4="Forint",Paraméterek!$P$223,Paraméterek!$P$224),$D$7-IF($D$4="Forint",Paraméterek!$F$223,Paraméterek!$F$224),0),MIN(IF($AA952=12,AVERAGE($D$20:$D952)*12,0),SUM($D$20:$D$31)))</f>
        <v>0</v>
      </c>
      <c r="AG952" s="13">
        <f>IF(AND($Z952&gt;=10,MOD($Z952,5)=0),$AF952*IF($AA952=12,VLOOKUP($Z952,Paraméterek!$B$225:$F$240,IF($AF952&lt;IF($D$4="Forint",Paraméterek!$C$223,Paraméterek!$C$224),2,IF($AF952&lt;IF($D$4="Forint",Paraméterek!$D$223,Paraméterek!$D$224),3,4))),0),0)</f>
        <v>0</v>
      </c>
      <c r="AH952" s="13">
        <f>IF(AND($Z952&gt;=5,MOD($Z952,5)=0),IF($AA952=12,VLOOKUP($Z952,Paraméterek!$B$225:$F$240,5),0),IF(OR($Z952=3,$Z952=4),IF($AA952=12,VLOOKUP($Z952,Paraméterek!$B$225:$F$240,5,0),0),0))*$AF952</f>
        <v>0</v>
      </c>
      <c r="AI952" s="13">
        <f>ROUNDDOWN(IF(SUM($T$20:$U952)=0,IF($D$2="Egyszeri",$AH952,$AG952),0),IF($D$4="Forint",0,2))</f>
        <v>0</v>
      </c>
      <c r="AJ952" s="13">
        <f t="shared" si="222"/>
        <v>0</v>
      </c>
      <c r="AK952" s="13">
        <f t="shared" si="223"/>
        <v>0</v>
      </c>
      <c r="AM952" s="32">
        <v>933</v>
      </c>
      <c r="AN952" s="32">
        <v>78</v>
      </c>
      <c r="AO952" s="32">
        <v>9</v>
      </c>
      <c r="AP952" s="13"/>
      <c r="AQ952" s="32"/>
      <c r="AR952" s="13">
        <f t="shared" si="224"/>
        <v>0</v>
      </c>
      <c r="AS952" s="33"/>
      <c r="AT952" s="13">
        <f t="shared" si="218"/>
        <v>0</v>
      </c>
      <c r="AU952" s="13">
        <f>ROUNDUP(($AR952+$AT952)*VLOOKUP($AN952,Paraméterek!$P$38:$Q$38,2)/12,IF($D$4="Forint",0,2))</f>
        <v>0</v>
      </c>
      <c r="AV952" s="13"/>
      <c r="AW952" s="13"/>
      <c r="AX952" s="13">
        <f>ROUNDUP(IF(SUM($AV952:$AW952)=0,0,IF(IF(ISBLANK($AW952),$AV952,$AW952)*Paraméterek!$J$112&lt;IF($D$4="Forint",Paraméterek!$J$113,Paraméterek!$K$113),IF($D$4="Forint",Paraméterek!$J$113,Paraméterek!$K$113),IF(IF(ISBLANK($AW952),$AV952,$AW952)*Paraméterek!$J$112&gt;IF($D$4="Forint",Paraméterek!$J$114,Paraméterek!$K$114),IF($D$4="Forint",Paraméterek!$J$114,Paraméterek!$K$114),IF(ISBLANK($AW952),$AV952,$AW952)*Paraméterek!$J$112))),IF($D$4="Forint",0,2))</f>
        <v>0</v>
      </c>
      <c r="AY952" s="13">
        <f>$AR952+$AT952-$AU952-IF(ROUNDDOWN(IF(ISBLANK($AW952),$AV952,$AW952),IF($D$4="Forint",0,2))&gt;$AR952+$AT952-$AU952-IF($D$4="Forint",Paraméterek!$J$114,Paraméterek!$K$114),0,ROUNDDOWN(IF(ISBLANK($AW952),$AV952,$AW952),IF($D$4="Forint",0,2))-$AX952)</f>
        <v>0</v>
      </c>
      <c r="AZ952" s="13">
        <f t="shared" si="219"/>
        <v>0</v>
      </c>
    </row>
    <row r="953" spans="1:52" x14ac:dyDescent="0.2">
      <c r="A953" s="32">
        <v>934</v>
      </c>
      <c r="B953" s="32">
        <v>78</v>
      </c>
      <c r="C953" s="32">
        <v>10</v>
      </c>
      <c r="D953" s="13">
        <f t="shared" si="210"/>
        <v>0</v>
      </c>
      <c r="E953" s="13"/>
      <c r="F953" s="13"/>
      <c r="G953" s="13"/>
      <c r="H953" s="13">
        <f t="shared" si="211"/>
        <v>0</v>
      </c>
      <c r="I953" s="13">
        <f t="shared" si="212"/>
        <v>0</v>
      </c>
      <c r="J953" s="13">
        <f t="shared" si="213"/>
        <v>0</v>
      </c>
      <c r="K953" s="13">
        <f>ROUNDUP(IF($D$2="Egyszeri",$D953,IF($D$2="Havi",SUM($D$20:$D$31),IF(MOD($C953,$M$1)-1=0,SUM($D$20:$D$31),0))/12*$M$1)*VLOOKUP($B953,Paraméterek!$B$27:$D$30,IF($D$2="Egyszeri",3,2)),IF($D$4="Forint",0,2))</f>
        <v>0</v>
      </c>
      <c r="L953" s="13">
        <f t="shared" si="214"/>
        <v>0</v>
      </c>
      <c r="M953" s="13">
        <f t="shared" ca="1" si="220"/>
        <v>-1121713</v>
      </c>
      <c r="N953" s="13">
        <f ca="1">IF($V952&gt;=VLOOKUP($M$4-1+$B953,Paraméterek!$B$121:$D$122,IF($D$4="Forint",2,3)),0,VLOOKUP($M$4-1+$B953,Paraméterek!$B$121:$D$122,IF($D$4="Forint",2,3))-$V952)</f>
        <v>1131713</v>
      </c>
      <c r="O953" s="13">
        <f ca="1">ROUNDUP($N953*Paraméterek!$C$58/Paraméterek!$C$56,IF($D$4="Forint",0,2))</f>
        <v>181</v>
      </c>
      <c r="P953" s="13">
        <f t="shared" si="215"/>
        <v>5356</v>
      </c>
      <c r="Q953" s="33"/>
      <c r="R953" s="13">
        <f t="shared" ca="1" si="216"/>
        <v>0</v>
      </c>
      <c r="S953" s="13">
        <f ca="1">ROUNDUP(($M953-$O953-$P953+$R953)*VLOOKUP($B953,Paraméterek!$B$38:$D$39,IF($D$2="Egyszeri",3,2))/12,IF($D$4="Forint",0,2))</f>
        <v>-2753</v>
      </c>
      <c r="T953" s="13"/>
      <c r="U953" s="13"/>
      <c r="V953" s="13">
        <f ca="1">$M953-$O953-$P953+$R953-$S953-IF(ROUNDUP(IF(ISBLANK($U953),$T953,$U953)/IF(AND($B953=1,$D$2&lt;&gt;"Egyszeri"),1,VLOOKUP($B953+IF($C953=12,1,0),Paraméterek!$B$257:$D$267,IF($D$2="Egyszeri",3,2))),IF($D$4="Forint",0,2))&gt;$M953-$O953-$P953+$R953-$S953-IF($D$4="Forint",Paraméterek!$C$216,Paraméterek!$D$216),0,ROUNDUP(IF(ISBLANK($U953),$T953,$U953)/IF(AND($B953=1,$D$2&lt;&gt;"Egyszeri"),1,VLOOKUP($B953+IF($C953=12,1,0),Paraméterek!$B$257:$D$267,IF($D$2="Egyszeri",3,2))),IF($D$4="Forint",0,2)))</f>
        <v>-1124497</v>
      </c>
      <c r="W953" s="13">
        <f ca="1">ROUNDDOWN($V953*VLOOKUP($B953+IF($C953=12,1,0),Paraméterek!$B$257:$D$267,IF($D$2="Egyszeri",3,2)),IF($D$4="Forint",0,2))</f>
        <v>-1124497</v>
      </c>
      <c r="Y953" s="32">
        <v>934</v>
      </c>
      <c r="Z953" s="32">
        <v>78</v>
      </c>
      <c r="AA953" s="32">
        <v>10</v>
      </c>
      <c r="AB953" s="13">
        <f t="shared" si="221"/>
        <v>0</v>
      </c>
      <c r="AC953" s="33"/>
      <c r="AD953" s="13">
        <f t="shared" si="217"/>
        <v>0</v>
      </c>
      <c r="AE953" s="13">
        <f>ROUNDUP(($AB953+$AD953)*VLOOKUP($Z953,Paraméterek!$P$38:$Q$38,2)/12,IF($D$4="Forint",0,2))</f>
        <v>0</v>
      </c>
      <c r="AF953" s="13">
        <f>IF($D$2="Egyszeri",IF($D$7&gt;=IF($D$4="Forint",Paraméterek!$P$223,Paraméterek!$P$224),$D$7-IF($D$4="Forint",Paraméterek!$F$223,Paraméterek!$F$224),0),MIN(IF($AA953=12,AVERAGE($D$20:$D953)*12,0),SUM($D$20:$D$31)))</f>
        <v>0</v>
      </c>
      <c r="AG953" s="13">
        <f>IF(AND($Z953&gt;=10,MOD($Z953,5)=0),$AF953*IF($AA953=12,VLOOKUP($Z953,Paraméterek!$B$225:$F$240,IF($AF953&lt;IF($D$4="Forint",Paraméterek!$C$223,Paraméterek!$C$224),2,IF($AF953&lt;IF($D$4="Forint",Paraméterek!$D$223,Paraméterek!$D$224),3,4))),0),0)</f>
        <v>0</v>
      </c>
      <c r="AH953" s="13">
        <f>IF(AND($Z953&gt;=5,MOD($Z953,5)=0),IF($AA953=12,VLOOKUP($Z953,Paraméterek!$B$225:$F$240,5),0),IF(OR($Z953=3,$Z953=4),IF($AA953=12,VLOOKUP($Z953,Paraméterek!$B$225:$F$240,5,0),0),0))*$AF953</f>
        <v>0</v>
      </c>
      <c r="AI953" s="13">
        <f>ROUNDDOWN(IF(SUM($T$20:$U953)=0,IF($D$2="Egyszeri",$AH953,$AG953),0),IF($D$4="Forint",0,2))</f>
        <v>0</v>
      </c>
      <c r="AJ953" s="13">
        <f t="shared" si="222"/>
        <v>0</v>
      </c>
      <c r="AK953" s="13">
        <f t="shared" si="223"/>
        <v>0</v>
      </c>
      <c r="AM953" s="32">
        <v>934</v>
      </c>
      <c r="AN953" s="32">
        <v>78</v>
      </c>
      <c r="AO953" s="32">
        <v>10</v>
      </c>
      <c r="AP953" s="13"/>
      <c r="AQ953" s="32"/>
      <c r="AR953" s="13">
        <f t="shared" si="224"/>
        <v>0</v>
      </c>
      <c r="AS953" s="33"/>
      <c r="AT953" s="13">
        <f t="shared" si="218"/>
        <v>0</v>
      </c>
      <c r="AU953" s="13">
        <f>ROUNDUP(($AR953+$AT953)*VLOOKUP($AN953,Paraméterek!$P$38:$Q$38,2)/12,IF($D$4="Forint",0,2))</f>
        <v>0</v>
      </c>
      <c r="AV953" s="13"/>
      <c r="AW953" s="13"/>
      <c r="AX953" s="13">
        <f>ROUNDUP(IF(SUM($AV953:$AW953)=0,0,IF(IF(ISBLANK($AW953),$AV953,$AW953)*Paraméterek!$J$112&lt;IF($D$4="Forint",Paraméterek!$J$113,Paraméterek!$K$113),IF($D$4="Forint",Paraméterek!$J$113,Paraméterek!$K$113),IF(IF(ISBLANK($AW953),$AV953,$AW953)*Paraméterek!$J$112&gt;IF($D$4="Forint",Paraméterek!$J$114,Paraméterek!$K$114),IF($D$4="Forint",Paraméterek!$J$114,Paraméterek!$K$114),IF(ISBLANK($AW953),$AV953,$AW953)*Paraméterek!$J$112))),IF($D$4="Forint",0,2))</f>
        <v>0</v>
      </c>
      <c r="AY953" s="13">
        <f>$AR953+$AT953-$AU953-IF(ROUNDDOWN(IF(ISBLANK($AW953),$AV953,$AW953),IF($D$4="Forint",0,2))&gt;$AR953+$AT953-$AU953-IF($D$4="Forint",Paraméterek!$J$114,Paraméterek!$K$114),0,ROUNDDOWN(IF(ISBLANK($AW953),$AV953,$AW953),IF($D$4="Forint",0,2))-$AX953)</f>
        <v>0</v>
      </c>
      <c r="AZ953" s="13">
        <f t="shared" si="219"/>
        <v>0</v>
      </c>
    </row>
    <row r="954" spans="1:52" x14ac:dyDescent="0.2">
      <c r="A954" s="32">
        <v>935</v>
      </c>
      <c r="B954" s="32">
        <v>78</v>
      </c>
      <c r="C954" s="32">
        <v>11</v>
      </c>
      <c r="D954" s="13">
        <f t="shared" si="210"/>
        <v>0</v>
      </c>
      <c r="E954" s="13"/>
      <c r="F954" s="13"/>
      <c r="G954" s="13"/>
      <c r="H954" s="13">
        <f t="shared" si="211"/>
        <v>0</v>
      </c>
      <c r="I954" s="13">
        <f t="shared" si="212"/>
        <v>0</v>
      </c>
      <c r="J954" s="13">
        <f t="shared" si="213"/>
        <v>0</v>
      </c>
      <c r="K954" s="13">
        <f>ROUNDUP(IF($D$2="Egyszeri",$D954,IF($D$2="Havi",SUM($D$20:$D$31),IF(MOD($C954,$M$1)-1=0,SUM($D$20:$D$31),0))/12*$M$1)*VLOOKUP($B954,Paraméterek!$B$27:$D$30,IF($D$2="Egyszeri",3,2)),IF($D$4="Forint",0,2))</f>
        <v>0</v>
      </c>
      <c r="L954" s="13">
        <f t="shared" si="214"/>
        <v>0</v>
      </c>
      <c r="M954" s="13">
        <f t="shared" ca="1" si="220"/>
        <v>-1124497</v>
      </c>
      <c r="N954" s="13">
        <f ca="1">IF($V953&gt;=VLOOKUP($M$4-1+$B954,Paraméterek!$B$121:$D$122,IF($D$4="Forint",2,3)),0,VLOOKUP($M$4-1+$B954,Paraméterek!$B$121:$D$122,IF($D$4="Forint",2,3))-$V953)</f>
        <v>1134497</v>
      </c>
      <c r="O954" s="13">
        <f ca="1">ROUNDUP($N954*Paraméterek!$C$58/Paraméterek!$C$56,IF($D$4="Forint",0,2))</f>
        <v>181</v>
      </c>
      <c r="P954" s="13">
        <f t="shared" si="215"/>
        <v>5356</v>
      </c>
      <c r="Q954" s="33"/>
      <c r="R954" s="13">
        <f t="shared" ca="1" si="216"/>
        <v>0</v>
      </c>
      <c r="S954" s="13">
        <f ca="1">ROUNDUP(($M954-$O954-$P954+$R954)*VLOOKUP($B954,Paraméterek!$B$38:$D$39,IF($D$2="Egyszeri",3,2))/12,IF($D$4="Forint",0,2))</f>
        <v>-2760</v>
      </c>
      <c r="T954" s="13"/>
      <c r="U954" s="13"/>
      <c r="V954" s="13">
        <f ca="1">$M954-$O954-$P954+$R954-$S954-IF(ROUNDUP(IF(ISBLANK($U954),$T954,$U954)/IF(AND($B954=1,$D$2&lt;&gt;"Egyszeri"),1,VLOOKUP($B954+IF($C954=12,1,0),Paraméterek!$B$257:$D$267,IF($D$2="Egyszeri",3,2))),IF($D$4="Forint",0,2))&gt;$M954-$O954-$P954+$R954-$S954-IF($D$4="Forint",Paraméterek!$C$216,Paraméterek!$D$216),0,ROUNDUP(IF(ISBLANK($U954),$T954,$U954)/IF(AND($B954=1,$D$2&lt;&gt;"Egyszeri"),1,VLOOKUP($B954+IF($C954=12,1,0),Paraméterek!$B$257:$D$267,IF($D$2="Egyszeri",3,2))),IF($D$4="Forint",0,2)))</f>
        <v>-1127274</v>
      </c>
      <c r="W954" s="13">
        <f ca="1">ROUNDDOWN($V954*VLOOKUP($B954+IF($C954=12,1,0),Paraméterek!$B$257:$D$267,IF($D$2="Egyszeri",3,2)),IF($D$4="Forint",0,2))</f>
        <v>-1127274</v>
      </c>
      <c r="Y954" s="32">
        <v>935</v>
      </c>
      <c r="Z954" s="32">
        <v>78</v>
      </c>
      <c r="AA954" s="32">
        <v>11</v>
      </c>
      <c r="AB954" s="13">
        <f t="shared" si="221"/>
        <v>0</v>
      </c>
      <c r="AC954" s="33"/>
      <c r="AD954" s="13">
        <f t="shared" si="217"/>
        <v>0</v>
      </c>
      <c r="AE954" s="13">
        <f>ROUNDUP(($AB954+$AD954)*VLOOKUP($Z954,Paraméterek!$P$38:$Q$38,2)/12,IF($D$4="Forint",0,2))</f>
        <v>0</v>
      </c>
      <c r="AF954" s="13">
        <f>IF($D$2="Egyszeri",IF($D$7&gt;=IF($D$4="Forint",Paraméterek!$P$223,Paraméterek!$P$224),$D$7-IF($D$4="Forint",Paraméterek!$F$223,Paraméterek!$F$224),0),MIN(IF($AA954=12,AVERAGE($D$20:$D954)*12,0),SUM($D$20:$D$31)))</f>
        <v>0</v>
      </c>
      <c r="AG954" s="13">
        <f>IF(AND($Z954&gt;=10,MOD($Z954,5)=0),$AF954*IF($AA954=12,VLOOKUP($Z954,Paraméterek!$B$225:$F$240,IF($AF954&lt;IF($D$4="Forint",Paraméterek!$C$223,Paraméterek!$C$224),2,IF($AF954&lt;IF($D$4="Forint",Paraméterek!$D$223,Paraméterek!$D$224),3,4))),0),0)</f>
        <v>0</v>
      </c>
      <c r="AH954" s="13">
        <f>IF(AND($Z954&gt;=5,MOD($Z954,5)=0),IF($AA954=12,VLOOKUP($Z954,Paraméterek!$B$225:$F$240,5),0),IF(OR($Z954=3,$Z954=4),IF($AA954=12,VLOOKUP($Z954,Paraméterek!$B$225:$F$240,5,0),0),0))*$AF954</f>
        <v>0</v>
      </c>
      <c r="AI954" s="13">
        <f>ROUNDDOWN(IF(SUM($T$20:$U954)=0,IF($D$2="Egyszeri",$AH954,$AG954),0),IF($D$4="Forint",0,2))</f>
        <v>0</v>
      </c>
      <c r="AJ954" s="13">
        <f t="shared" si="222"/>
        <v>0</v>
      </c>
      <c r="AK954" s="13">
        <f t="shared" si="223"/>
        <v>0</v>
      </c>
      <c r="AM954" s="32">
        <v>935</v>
      </c>
      <c r="AN954" s="32">
        <v>78</v>
      </c>
      <c r="AO954" s="32">
        <v>11</v>
      </c>
      <c r="AP954" s="13"/>
      <c r="AQ954" s="32"/>
      <c r="AR954" s="13">
        <f t="shared" si="224"/>
        <v>0</v>
      </c>
      <c r="AS954" s="33"/>
      <c r="AT954" s="13">
        <f t="shared" si="218"/>
        <v>0</v>
      </c>
      <c r="AU954" s="13">
        <f>ROUNDUP(($AR954+$AT954)*VLOOKUP($AN954,Paraméterek!$P$38:$Q$38,2)/12,IF($D$4="Forint",0,2))</f>
        <v>0</v>
      </c>
      <c r="AV954" s="13"/>
      <c r="AW954" s="13"/>
      <c r="AX954" s="13">
        <f>ROUNDUP(IF(SUM($AV954:$AW954)=0,0,IF(IF(ISBLANK($AW954),$AV954,$AW954)*Paraméterek!$J$112&lt;IF($D$4="Forint",Paraméterek!$J$113,Paraméterek!$K$113),IF($D$4="Forint",Paraméterek!$J$113,Paraméterek!$K$113),IF(IF(ISBLANK($AW954),$AV954,$AW954)*Paraméterek!$J$112&gt;IF($D$4="Forint",Paraméterek!$J$114,Paraméterek!$K$114),IF($D$4="Forint",Paraméterek!$J$114,Paraméterek!$K$114),IF(ISBLANK($AW954),$AV954,$AW954)*Paraméterek!$J$112))),IF($D$4="Forint",0,2))</f>
        <v>0</v>
      </c>
      <c r="AY954" s="13">
        <f>$AR954+$AT954-$AU954-IF(ROUNDDOWN(IF(ISBLANK($AW954),$AV954,$AW954),IF($D$4="Forint",0,2))&gt;$AR954+$AT954-$AU954-IF($D$4="Forint",Paraméterek!$J$114,Paraméterek!$K$114),0,ROUNDDOWN(IF(ISBLANK($AW954),$AV954,$AW954),IF($D$4="Forint",0,2))-$AX954)</f>
        <v>0</v>
      </c>
      <c r="AZ954" s="13">
        <f t="shared" si="219"/>
        <v>0</v>
      </c>
    </row>
    <row r="955" spans="1:52" x14ac:dyDescent="0.2">
      <c r="A955" s="32">
        <v>936</v>
      </c>
      <c r="B955" s="32">
        <v>78</v>
      </c>
      <c r="C955" s="32">
        <v>12</v>
      </c>
      <c r="D955" s="13">
        <f t="shared" si="210"/>
        <v>0</v>
      </c>
      <c r="E955" s="13"/>
      <c r="F955" s="13"/>
      <c r="G955" s="13"/>
      <c r="H955" s="13">
        <f t="shared" si="211"/>
        <v>0</v>
      </c>
      <c r="I955" s="13">
        <f t="shared" si="212"/>
        <v>0</v>
      </c>
      <c r="J955" s="13">
        <f t="shared" si="213"/>
        <v>0</v>
      </c>
      <c r="K955" s="13">
        <f>ROUNDUP(IF($D$2="Egyszeri",$D955,IF($D$2="Havi",SUM($D$20:$D$31),IF(MOD($C955,$M$1)-1=0,SUM($D$20:$D$31),0))/12*$M$1)*VLOOKUP($B955,Paraméterek!$B$27:$D$30,IF($D$2="Egyszeri",3,2)),IF($D$4="Forint",0,2))</f>
        <v>0</v>
      </c>
      <c r="L955" s="13">
        <f t="shared" si="214"/>
        <v>0</v>
      </c>
      <c r="M955" s="13">
        <f t="shared" ca="1" si="220"/>
        <v>-1127274</v>
      </c>
      <c r="N955" s="13">
        <f ca="1">IF($V954&gt;=VLOOKUP($M$4-1+$B955,Paraméterek!$B$121:$D$122,IF($D$4="Forint",2,3)),0,VLOOKUP($M$4-1+$B955,Paraméterek!$B$121:$D$122,IF($D$4="Forint",2,3))-$V954)</f>
        <v>1137274</v>
      </c>
      <c r="O955" s="13">
        <f ca="1">ROUNDUP($N955*Paraméterek!$C$58/Paraméterek!$C$56,IF($D$4="Forint",0,2))</f>
        <v>182</v>
      </c>
      <c r="P955" s="13">
        <f t="shared" si="215"/>
        <v>5356</v>
      </c>
      <c r="Q955" s="33"/>
      <c r="R955" s="13">
        <f t="shared" ca="1" si="216"/>
        <v>0</v>
      </c>
      <c r="S955" s="13">
        <f ca="1">ROUNDUP(($M955-$O955-$P955+$R955)*VLOOKUP($B955,Paraméterek!$B$38:$D$39,IF($D$2="Egyszeri",3,2))/12,IF($D$4="Forint",0,2))</f>
        <v>-2766</v>
      </c>
      <c r="T955" s="13">
        <f>Tranzakciók!$F$109</f>
        <v>0</v>
      </c>
      <c r="U955" s="13"/>
      <c r="V955" s="13">
        <f ca="1">$M955-$O955-$P955+$R955-$S955-IF(ROUNDUP(IF(ISBLANK($U955),$T955,$U955)/IF(AND($B955=1,$D$2&lt;&gt;"Egyszeri"),1,VLOOKUP($B955+IF($C955=12,1,0),Paraméterek!$B$257:$D$267,IF($D$2="Egyszeri",3,2))),IF($D$4="Forint",0,2))&gt;$M955-$O955-$P955+$R955-$S955-IF($D$4="Forint",Paraméterek!$C$216,Paraméterek!$D$216),0,ROUNDUP(IF(ISBLANK($U955),$T955,$U955)/IF(AND($B955=1,$D$2&lt;&gt;"Egyszeri"),1,VLOOKUP($B955+IF($C955=12,1,0),Paraméterek!$B$257:$D$267,IF($D$2="Egyszeri",3,2))),IF($D$4="Forint",0,2)))</f>
        <v>-1130046</v>
      </c>
      <c r="W955" s="13">
        <f ca="1">ROUNDDOWN($V955*VLOOKUP($B955+IF($C955=12,1,0),Paraméterek!$B$257:$D$267,IF($D$2="Egyszeri",3,2)),IF($D$4="Forint",0,2))</f>
        <v>-1130046</v>
      </c>
      <c r="Y955" s="32">
        <v>936</v>
      </c>
      <c r="Z955" s="32">
        <v>78</v>
      </c>
      <c r="AA955" s="32">
        <v>12</v>
      </c>
      <c r="AB955" s="13">
        <f t="shared" si="221"/>
        <v>0</v>
      </c>
      <c r="AC955" s="33"/>
      <c r="AD955" s="13">
        <f t="shared" si="217"/>
        <v>0</v>
      </c>
      <c r="AE955" s="13">
        <f>ROUNDUP(($AB955+$AD955)*VLOOKUP($Z955,Paraméterek!$P$38:$Q$38,2)/12,IF($D$4="Forint",0,2))</f>
        <v>0</v>
      </c>
      <c r="AF955" s="13">
        <f>IF($D$2="Egyszeri",IF($D$7&gt;=IF($D$4="Forint",Paraméterek!$P$223,Paraméterek!$P$224),$D$7-IF($D$4="Forint",Paraméterek!$F$223,Paraméterek!$F$224),0),MIN(IF($AA955=12,AVERAGE($D$20:$D955)*12,0),SUM($D$20:$D$31)))</f>
        <v>0</v>
      </c>
      <c r="AG955" s="13">
        <f>IF(AND($Z955&gt;=10,MOD($Z955,5)=0),$AF955*IF($AA955=12,VLOOKUP($Z955,Paraméterek!$B$225:$F$240,IF($AF955&lt;IF($D$4="Forint",Paraméterek!$C$223,Paraméterek!$C$224),2,IF($AF955&lt;IF($D$4="Forint",Paraméterek!$D$223,Paraméterek!$D$224),3,4))),0),0)</f>
        <v>0</v>
      </c>
      <c r="AH955" s="13">
        <f>IF(AND($Z955&gt;=5,MOD($Z955,5)=0),IF($AA955=12,VLOOKUP($Z955,Paraméterek!$B$225:$F$240,5),0),IF(OR($Z955=3,$Z955=4),IF($AA955=12,VLOOKUP($Z955,Paraméterek!$B$225:$F$240,5,0),0),0))*$AF955</f>
        <v>0</v>
      </c>
      <c r="AI955" s="13">
        <f>ROUNDDOWN(IF(SUM($T$20:$U955)=0,IF($D$2="Egyszeri",$AH955,$AG955),0),IF($D$4="Forint",0,2))</f>
        <v>0</v>
      </c>
      <c r="AJ955" s="13">
        <f t="shared" si="222"/>
        <v>0</v>
      </c>
      <c r="AK955" s="13">
        <f t="shared" si="223"/>
        <v>0</v>
      </c>
      <c r="AM955" s="32">
        <v>936</v>
      </c>
      <c r="AN955" s="32">
        <v>78</v>
      </c>
      <c r="AO955" s="32">
        <v>12</v>
      </c>
      <c r="AP955" s="13"/>
      <c r="AQ955" s="32"/>
      <c r="AR955" s="13">
        <f t="shared" si="224"/>
        <v>0</v>
      </c>
      <c r="AS955" s="33"/>
      <c r="AT955" s="13">
        <f t="shared" si="218"/>
        <v>0</v>
      </c>
      <c r="AU955" s="13">
        <f>ROUNDUP(($AR955+$AT955)*VLOOKUP($AN955,Paraméterek!$P$38:$Q$38,2)/12,IF($D$4="Forint",0,2))</f>
        <v>0</v>
      </c>
      <c r="AV955" s="13">
        <f>Tranzakciók!$M$109</f>
        <v>0</v>
      </c>
      <c r="AW955" s="13"/>
      <c r="AX955" s="13">
        <f>ROUNDUP(IF(SUM($AV955:$AW955)=0,0,IF(IF(ISBLANK($AW955),$AV955,$AW955)*Paraméterek!$J$112&lt;IF($D$4="Forint",Paraméterek!$J$113,Paraméterek!$K$113),IF($D$4="Forint",Paraméterek!$J$113,Paraméterek!$K$113),IF(IF(ISBLANK($AW955),$AV955,$AW955)*Paraméterek!$J$112&gt;IF($D$4="Forint",Paraméterek!$J$114,Paraméterek!$K$114),IF($D$4="Forint",Paraméterek!$J$114,Paraméterek!$K$114),IF(ISBLANK($AW955),$AV955,$AW955)*Paraméterek!$J$112))),IF($D$4="Forint",0,2))</f>
        <v>0</v>
      </c>
      <c r="AY955" s="13">
        <f>$AR955+$AT955-$AU955-IF(ROUNDDOWN(IF(ISBLANK($AW955),$AV955,$AW955),IF($D$4="Forint",0,2))&gt;$AR955+$AT955-$AU955-IF($D$4="Forint",Paraméterek!$J$114,Paraméterek!$K$114),0,ROUNDDOWN(IF(ISBLANK($AW955),$AV955,$AW955),IF($D$4="Forint",0,2))-$AX955)</f>
        <v>0</v>
      </c>
      <c r="AZ955" s="13">
        <f t="shared" si="219"/>
        <v>0</v>
      </c>
    </row>
    <row r="956" spans="1:52" x14ac:dyDescent="0.2">
      <c r="A956" s="32">
        <v>937</v>
      </c>
      <c r="B956" s="32">
        <v>79</v>
      </c>
      <c r="C956" s="32">
        <v>1</v>
      </c>
      <c r="D956" s="13">
        <f t="shared" si="210"/>
        <v>0</v>
      </c>
      <c r="E956" s="13"/>
      <c r="F956" s="13">
        <f>Tranzakciók!$D$110</f>
        <v>0</v>
      </c>
      <c r="G956" s="13"/>
      <c r="H956" s="13">
        <f t="shared" si="211"/>
        <v>0</v>
      </c>
      <c r="I956" s="13">
        <f t="shared" si="212"/>
        <v>1004</v>
      </c>
      <c r="J956" s="13">
        <f t="shared" si="213"/>
        <v>1004</v>
      </c>
      <c r="K956" s="13">
        <f>ROUNDUP(IF($D$2="Egyszeri",$D956,IF($D$2="Havi",SUM($D$20:$D$31),IF(MOD($C956,$M$1)-1=0,SUM($D$20:$D$31),0))/12*$M$1)*VLOOKUP($B956,Paraméterek!$B$27:$D$30,IF($D$2="Egyszeri",3,2)),IF($D$4="Forint",0,2))</f>
        <v>0</v>
      </c>
      <c r="L956" s="13">
        <f t="shared" si="214"/>
        <v>0</v>
      </c>
      <c r="M956" s="13">
        <f t="shared" ca="1" si="220"/>
        <v>-1130046</v>
      </c>
      <c r="N956" s="13">
        <f ca="1">IF($V955&gt;=VLOOKUP($M$4-1+$B956,Paraméterek!$B$121:$D$122,IF($D$4="Forint",2,3)),0,VLOOKUP($M$4-1+$B956,Paraméterek!$B$121:$D$122,IF($D$4="Forint",2,3))-$V955)</f>
        <v>1140046</v>
      </c>
      <c r="O956" s="13">
        <f ca="1">ROUNDUP($N956*Paraméterek!$C$58/Paraméterek!$C$56,IF($D$4="Forint",0,2))</f>
        <v>182</v>
      </c>
      <c r="P956" s="13">
        <f t="shared" si="215"/>
        <v>5517</v>
      </c>
      <c r="Q956" s="33"/>
      <c r="R956" s="13">
        <f t="shared" ca="1" si="216"/>
        <v>0</v>
      </c>
      <c r="S956" s="13">
        <f ca="1">ROUNDUP(($M956-$O956-$P956+$R956)*VLOOKUP($B956,Paraméterek!$B$38:$D$39,IF($D$2="Egyszeri",3,2))/12,IF($D$4="Forint",0,2))</f>
        <v>-2774</v>
      </c>
      <c r="T956" s="13"/>
      <c r="U956" s="13"/>
      <c r="V956" s="13">
        <f ca="1">$M956-$O956-$P956+$R956-$S956-IF(ROUNDUP(IF(ISBLANK($U956),$T956,$U956)/IF(AND($B956=1,$D$2&lt;&gt;"Egyszeri"),1,VLOOKUP($B956+IF($C956=12,1,0),Paraméterek!$B$257:$D$267,IF($D$2="Egyszeri",3,2))),IF($D$4="Forint",0,2))&gt;$M956-$O956-$P956+$R956-$S956-IF($D$4="Forint",Paraméterek!$C$216,Paraméterek!$D$216),0,ROUNDUP(IF(ISBLANK($U956),$T956,$U956)/IF(AND($B956=1,$D$2&lt;&gt;"Egyszeri"),1,VLOOKUP($B956+IF($C956=12,1,0),Paraméterek!$B$257:$D$267,IF($D$2="Egyszeri",3,2))),IF($D$4="Forint",0,2)))</f>
        <v>-1132971</v>
      </c>
      <c r="W956" s="13">
        <f ca="1">ROUNDDOWN($V956*VLOOKUP($B956+IF($C956=12,1,0),Paraméterek!$B$257:$D$267,IF($D$2="Egyszeri",3,2)),IF($D$4="Forint",0,2))</f>
        <v>-1132971</v>
      </c>
      <c r="Y956" s="32">
        <v>937</v>
      </c>
      <c r="Z956" s="32">
        <v>79</v>
      </c>
      <c r="AA956" s="32">
        <v>1</v>
      </c>
      <c r="AB956" s="13">
        <f t="shared" si="221"/>
        <v>0</v>
      </c>
      <c r="AC956" s="33"/>
      <c r="AD956" s="13">
        <f t="shared" si="217"/>
        <v>0</v>
      </c>
      <c r="AE956" s="13">
        <f>ROUNDUP(($AB956+$AD956)*VLOOKUP($Z956,Paraméterek!$P$38:$Q$38,2)/12,IF($D$4="Forint",0,2))</f>
        <v>0</v>
      </c>
      <c r="AF956" s="13">
        <f>IF($D$2="Egyszeri",IF($D$7&gt;=IF($D$4="Forint",Paraméterek!$P$223,Paraméterek!$P$224),$D$7-IF($D$4="Forint",Paraméterek!$F$223,Paraméterek!$F$224),0),MIN(IF($AA956=12,AVERAGE($D$20:$D956)*12,0),SUM($D$20:$D$31)))</f>
        <v>0</v>
      </c>
      <c r="AG956" s="13">
        <f>IF(AND($Z956&gt;=10,MOD($Z956,5)=0),$AF956*IF($AA956=12,VLOOKUP($Z956,Paraméterek!$B$225:$F$240,IF($AF956&lt;IF($D$4="Forint",Paraméterek!$C$223,Paraméterek!$C$224),2,IF($AF956&lt;IF($D$4="Forint",Paraméterek!$D$223,Paraméterek!$D$224),3,4))),0),0)</f>
        <v>0</v>
      </c>
      <c r="AH956" s="13">
        <f>IF(AND($Z956&gt;=5,MOD($Z956,5)=0),IF($AA956=12,VLOOKUP($Z956,Paraméterek!$B$225:$F$240,5),0),IF(OR($Z956=3,$Z956=4),IF($AA956=12,VLOOKUP($Z956,Paraméterek!$B$225:$F$240,5,0),0),0))*$AF956</f>
        <v>0</v>
      </c>
      <c r="AI956" s="13">
        <f>ROUNDDOWN(IF(SUM($T$20:$U956)=0,IF($D$2="Egyszeri",$AH956,$AG956),0),IF($D$4="Forint",0,2))</f>
        <v>0</v>
      </c>
      <c r="AJ956" s="13">
        <f t="shared" si="222"/>
        <v>0</v>
      </c>
      <c r="AK956" s="13">
        <f t="shared" si="223"/>
        <v>0</v>
      </c>
      <c r="AM956" s="32">
        <v>937</v>
      </c>
      <c r="AN956" s="32">
        <v>79</v>
      </c>
      <c r="AO956" s="32">
        <v>1</v>
      </c>
      <c r="AP956" s="13">
        <f>Tranzakciók!$K$110</f>
        <v>0</v>
      </c>
      <c r="AQ956" s="32"/>
      <c r="AR956" s="13">
        <f t="shared" si="224"/>
        <v>0</v>
      </c>
      <c r="AS956" s="33"/>
      <c r="AT956" s="13">
        <f t="shared" si="218"/>
        <v>0</v>
      </c>
      <c r="AU956" s="13">
        <f>ROUNDUP(($AR956+$AT956)*VLOOKUP($AN956,Paraméterek!$P$38:$Q$38,2)/12,IF($D$4="Forint",0,2))</f>
        <v>0</v>
      </c>
      <c r="AV956" s="13"/>
      <c r="AW956" s="13"/>
      <c r="AX956" s="13">
        <f>ROUNDUP(IF(SUM($AV956:$AW956)=0,0,IF(IF(ISBLANK($AW956),$AV956,$AW956)*Paraméterek!$J$112&lt;IF($D$4="Forint",Paraméterek!$J$113,Paraméterek!$K$113),IF($D$4="Forint",Paraméterek!$J$113,Paraméterek!$K$113),IF(IF(ISBLANK($AW956),$AV956,$AW956)*Paraméterek!$J$112&gt;IF($D$4="Forint",Paraméterek!$J$114,Paraméterek!$K$114),IF($D$4="Forint",Paraméterek!$J$114,Paraméterek!$K$114),IF(ISBLANK($AW956),$AV956,$AW956)*Paraméterek!$J$112))),IF($D$4="Forint",0,2))</f>
        <v>0</v>
      </c>
      <c r="AY956" s="13">
        <f>$AR956+$AT956-$AU956-IF(ROUNDDOWN(IF(ISBLANK($AW956),$AV956,$AW956),IF($D$4="Forint",0,2))&gt;$AR956+$AT956-$AU956-IF($D$4="Forint",Paraméterek!$J$114,Paraméterek!$K$114),0,ROUNDDOWN(IF(ISBLANK($AW956),$AV956,$AW956),IF($D$4="Forint",0,2))-$AX956)</f>
        <v>0</v>
      </c>
      <c r="AZ956" s="13">
        <f t="shared" si="219"/>
        <v>0</v>
      </c>
    </row>
    <row r="957" spans="1:52" x14ac:dyDescent="0.2">
      <c r="A957" s="32">
        <v>938</v>
      </c>
      <c r="B957" s="32">
        <v>79</v>
      </c>
      <c r="C957" s="32">
        <v>2</v>
      </c>
      <c r="D957" s="13">
        <f t="shared" si="210"/>
        <v>0</v>
      </c>
      <c r="E957" s="13"/>
      <c r="F957" s="13"/>
      <c r="G957" s="13"/>
      <c r="H957" s="13">
        <f t="shared" si="211"/>
        <v>0</v>
      </c>
      <c r="I957" s="13">
        <f t="shared" si="212"/>
        <v>0</v>
      </c>
      <c r="J957" s="13">
        <f t="shared" si="213"/>
        <v>0</v>
      </c>
      <c r="K957" s="13">
        <f>ROUNDUP(IF($D$2="Egyszeri",$D957,IF($D$2="Havi",SUM($D$20:$D$31),IF(MOD($C957,$M$1)-1=0,SUM($D$20:$D$31),0))/12*$M$1)*VLOOKUP($B957,Paraméterek!$B$27:$D$30,IF($D$2="Egyszeri",3,2)),IF($D$4="Forint",0,2))</f>
        <v>0</v>
      </c>
      <c r="L957" s="13">
        <f t="shared" si="214"/>
        <v>0</v>
      </c>
      <c r="M957" s="13">
        <f t="shared" ca="1" si="220"/>
        <v>-1132971</v>
      </c>
      <c r="N957" s="13">
        <f ca="1">IF($V956&gt;=VLOOKUP($M$4-1+$B957,Paraméterek!$B$121:$D$122,IF($D$4="Forint",2,3)),0,VLOOKUP($M$4-1+$B957,Paraméterek!$B$121:$D$122,IF($D$4="Forint",2,3))-$V956)</f>
        <v>1142971</v>
      </c>
      <c r="O957" s="13">
        <f ca="1">ROUNDUP($N957*Paraméterek!$C$58/Paraméterek!$C$56,IF($D$4="Forint",0,2))</f>
        <v>182</v>
      </c>
      <c r="P957" s="13">
        <f t="shared" si="215"/>
        <v>5517</v>
      </c>
      <c r="Q957" s="33"/>
      <c r="R957" s="13">
        <f t="shared" ca="1" si="216"/>
        <v>0</v>
      </c>
      <c r="S957" s="13">
        <f ca="1">ROUNDUP(($M957-$O957-$P957+$R957)*VLOOKUP($B957,Paraméterek!$B$38:$D$39,IF($D$2="Egyszeri",3,2))/12,IF($D$4="Forint",0,2))</f>
        <v>-2781</v>
      </c>
      <c r="T957" s="13"/>
      <c r="U957" s="13"/>
      <c r="V957" s="13">
        <f ca="1">$M957-$O957-$P957+$R957-$S957-IF(ROUNDUP(IF(ISBLANK($U957),$T957,$U957)/IF(AND($B957=1,$D$2&lt;&gt;"Egyszeri"),1,VLOOKUP($B957+IF($C957=12,1,0),Paraméterek!$B$257:$D$267,IF($D$2="Egyszeri",3,2))),IF($D$4="Forint",0,2))&gt;$M957-$O957-$P957+$R957-$S957-IF($D$4="Forint",Paraméterek!$C$216,Paraméterek!$D$216),0,ROUNDUP(IF(ISBLANK($U957),$T957,$U957)/IF(AND($B957=1,$D$2&lt;&gt;"Egyszeri"),1,VLOOKUP($B957+IF($C957=12,1,0),Paraméterek!$B$257:$D$267,IF($D$2="Egyszeri",3,2))),IF($D$4="Forint",0,2)))</f>
        <v>-1135889</v>
      </c>
      <c r="W957" s="13">
        <f ca="1">ROUNDDOWN($V957*VLOOKUP($B957+IF($C957=12,1,0),Paraméterek!$B$257:$D$267,IF($D$2="Egyszeri",3,2)),IF($D$4="Forint",0,2))</f>
        <v>-1135889</v>
      </c>
      <c r="Y957" s="32">
        <v>938</v>
      </c>
      <c r="Z957" s="32">
        <v>79</v>
      </c>
      <c r="AA957" s="32">
        <v>2</v>
      </c>
      <c r="AB957" s="13">
        <f t="shared" si="221"/>
        <v>0</v>
      </c>
      <c r="AC957" s="33"/>
      <c r="AD957" s="13">
        <f t="shared" si="217"/>
        <v>0</v>
      </c>
      <c r="AE957" s="13">
        <f>ROUNDUP(($AB957+$AD957)*VLOOKUP($Z957,Paraméterek!$P$38:$Q$38,2)/12,IF($D$4="Forint",0,2))</f>
        <v>0</v>
      </c>
      <c r="AF957" s="13">
        <f>IF($D$2="Egyszeri",IF($D$7&gt;=IF($D$4="Forint",Paraméterek!$P$223,Paraméterek!$P$224),$D$7-IF($D$4="Forint",Paraméterek!$F$223,Paraméterek!$F$224),0),MIN(IF($AA957=12,AVERAGE($D$20:$D957)*12,0),SUM($D$20:$D$31)))</f>
        <v>0</v>
      </c>
      <c r="AG957" s="13">
        <f>IF(AND($Z957&gt;=10,MOD($Z957,5)=0),$AF957*IF($AA957=12,VLOOKUP($Z957,Paraméterek!$B$225:$F$240,IF($AF957&lt;IF($D$4="Forint",Paraméterek!$C$223,Paraméterek!$C$224),2,IF($AF957&lt;IF($D$4="Forint",Paraméterek!$D$223,Paraméterek!$D$224),3,4))),0),0)</f>
        <v>0</v>
      </c>
      <c r="AH957" s="13">
        <f>IF(AND($Z957&gt;=5,MOD($Z957,5)=0),IF($AA957=12,VLOOKUP($Z957,Paraméterek!$B$225:$F$240,5),0),IF(OR($Z957=3,$Z957=4),IF($AA957=12,VLOOKUP($Z957,Paraméterek!$B$225:$F$240,5,0),0),0))*$AF957</f>
        <v>0</v>
      </c>
      <c r="AI957" s="13">
        <f>ROUNDDOWN(IF(SUM($T$20:$U957)=0,IF($D$2="Egyszeri",$AH957,$AG957),0),IF($D$4="Forint",0,2))</f>
        <v>0</v>
      </c>
      <c r="AJ957" s="13">
        <f t="shared" si="222"/>
        <v>0</v>
      </c>
      <c r="AK957" s="13">
        <f t="shared" si="223"/>
        <v>0</v>
      </c>
      <c r="AM957" s="32">
        <v>938</v>
      </c>
      <c r="AN957" s="32">
        <v>79</v>
      </c>
      <c r="AO957" s="32">
        <v>2</v>
      </c>
      <c r="AP957" s="13"/>
      <c r="AQ957" s="32"/>
      <c r="AR957" s="13">
        <f t="shared" si="224"/>
        <v>0</v>
      </c>
      <c r="AS957" s="33"/>
      <c r="AT957" s="13">
        <f t="shared" si="218"/>
        <v>0</v>
      </c>
      <c r="AU957" s="13">
        <f>ROUNDUP(($AR957+$AT957)*VLOOKUP($AN957,Paraméterek!$P$38:$Q$38,2)/12,IF($D$4="Forint",0,2))</f>
        <v>0</v>
      </c>
      <c r="AV957" s="13"/>
      <c r="AW957" s="13"/>
      <c r="AX957" s="13">
        <f>ROUNDUP(IF(SUM($AV957:$AW957)=0,0,IF(IF(ISBLANK($AW957),$AV957,$AW957)*Paraméterek!$J$112&lt;IF($D$4="Forint",Paraméterek!$J$113,Paraméterek!$K$113),IF($D$4="Forint",Paraméterek!$J$113,Paraméterek!$K$113),IF(IF(ISBLANK($AW957),$AV957,$AW957)*Paraméterek!$J$112&gt;IF($D$4="Forint",Paraméterek!$J$114,Paraméterek!$K$114),IF($D$4="Forint",Paraméterek!$J$114,Paraméterek!$K$114),IF(ISBLANK($AW957),$AV957,$AW957)*Paraméterek!$J$112))),IF($D$4="Forint",0,2))</f>
        <v>0</v>
      </c>
      <c r="AY957" s="13">
        <f>$AR957+$AT957-$AU957-IF(ROUNDDOWN(IF(ISBLANK($AW957),$AV957,$AW957),IF($D$4="Forint",0,2))&gt;$AR957+$AT957-$AU957-IF($D$4="Forint",Paraméterek!$J$114,Paraméterek!$K$114),0,ROUNDDOWN(IF(ISBLANK($AW957),$AV957,$AW957),IF($D$4="Forint",0,2))-$AX957)</f>
        <v>0</v>
      </c>
      <c r="AZ957" s="13">
        <f t="shared" si="219"/>
        <v>0</v>
      </c>
    </row>
    <row r="958" spans="1:52" x14ac:dyDescent="0.2">
      <c r="A958" s="32">
        <v>939</v>
      </c>
      <c r="B958" s="32">
        <v>79</v>
      </c>
      <c r="C958" s="32">
        <v>3</v>
      </c>
      <c r="D958" s="13">
        <f t="shared" si="210"/>
        <v>0</v>
      </c>
      <c r="E958" s="13"/>
      <c r="F958" s="13"/>
      <c r="G958" s="13"/>
      <c r="H958" s="13">
        <f t="shared" si="211"/>
        <v>0</v>
      </c>
      <c r="I958" s="13">
        <f t="shared" si="212"/>
        <v>0</v>
      </c>
      <c r="J958" s="13">
        <f t="shared" si="213"/>
        <v>0</v>
      </c>
      <c r="K958" s="13">
        <f>ROUNDUP(IF($D$2="Egyszeri",$D958,IF($D$2="Havi",SUM($D$20:$D$31),IF(MOD($C958,$M$1)-1=0,SUM($D$20:$D$31),0))/12*$M$1)*VLOOKUP($B958,Paraméterek!$B$27:$D$30,IF($D$2="Egyszeri",3,2)),IF($D$4="Forint",0,2))</f>
        <v>0</v>
      </c>
      <c r="L958" s="13">
        <f t="shared" si="214"/>
        <v>0</v>
      </c>
      <c r="M958" s="13">
        <f t="shared" ca="1" si="220"/>
        <v>-1135889</v>
      </c>
      <c r="N958" s="13">
        <f ca="1">IF($V957&gt;=VLOOKUP($M$4-1+$B958,Paraméterek!$B$121:$D$122,IF($D$4="Forint",2,3)),0,VLOOKUP($M$4-1+$B958,Paraméterek!$B$121:$D$122,IF($D$4="Forint",2,3))-$V957)</f>
        <v>1145889</v>
      </c>
      <c r="O958" s="13">
        <f ca="1">ROUNDUP($N958*Paraméterek!$C$58/Paraméterek!$C$56,IF($D$4="Forint",0,2))</f>
        <v>183</v>
      </c>
      <c r="P958" s="13">
        <f t="shared" si="215"/>
        <v>5517</v>
      </c>
      <c r="Q958" s="33"/>
      <c r="R958" s="13">
        <f t="shared" ca="1" si="216"/>
        <v>0</v>
      </c>
      <c r="S958" s="13">
        <f ca="1">ROUNDUP(($M958-$O958-$P958+$R958)*VLOOKUP($B958,Paraméterek!$B$38:$D$39,IF($D$2="Egyszeri",3,2))/12,IF($D$4="Forint",0,2))</f>
        <v>-2788</v>
      </c>
      <c r="T958" s="13"/>
      <c r="U958" s="13"/>
      <c r="V958" s="13">
        <f ca="1">$M958-$O958-$P958+$R958-$S958-IF(ROUNDUP(IF(ISBLANK($U958),$T958,$U958)/IF(AND($B958=1,$D$2&lt;&gt;"Egyszeri"),1,VLOOKUP($B958+IF($C958=12,1,0),Paraméterek!$B$257:$D$267,IF($D$2="Egyszeri",3,2))),IF($D$4="Forint",0,2))&gt;$M958-$O958-$P958+$R958-$S958-IF($D$4="Forint",Paraméterek!$C$216,Paraméterek!$D$216),0,ROUNDUP(IF(ISBLANK($U958),$T958,$U958)/IF(AND($B958=1,$D$2&lt;&gt;"Egyszeri"),1,VLOOKUP($B958+IF($C958=12,1,0),Paraméterek!$B$257:$D$267,IF($D$2="Egyszeri",3,2))),IF($D$4="Forint",0,2)))</f>
        <v>-1138801</v>
      </c>
      <c r="W958" s="13">
        <f ca="1">ROUNDDOWN($V958*VLOOKUP($B958+IF($C958=12,1,0),Paraméterek!$B$257:$D$267,IF($D$2="Egyszeri",3,2)),IF($D$4="Forint",0,2))</f>
        <v>-1138801</v>
      </c>
      <c r="Y958" s="32">
        <v>939</v>
      </c>
      <c r="Z958" s="32">
        <v>79</v>
      </c>
      <c r="AA958" s="32">
        <v>3</v>
      </c>
      <c r="AB958" s="13">
        <f t="shared" si="221"/>
        <v>0</v>
      </c>
      <c r="AC958" s="33"/>
      <c r="AD958" s="13">
        <f t="shared" si="217"/>
        <v>0</v>
      </c>
      <c r="AE958" s="13">
        <f>ROUNDUP(($AB958+$AD958)*VLOOKUP($Z958,Paraméterek!$P$38:$Q$38,2)/12,IF($D$4="Forint",0,2))</f>
        <v>0</v>
      </c>
      <c r="AF958" s="13">
        <f>IF($D$2="Egyszeri",IF($D$7&gt;=IF($D$4="Forint",Paraméterek!$P$223,Paraméterek!$P$224),$D$7-IF($D$4="Forint",Paraméterek!$F$223,Paraméterek!$F$224),0),MIN(IF($AA958=12,AVERAGE($D$20:$D958)*12,0),SUM($D$20:$D$31)))</f>
        <v>0</v>
      </c>
      <c r="AG958" s="13">
        <f>IF(AND($Z958&gt;=10,MOD($Z958,5)=0),$AF958*IF($AA958=12,VLOOKUP($Z958,Paraméterek!$B$225:$F$240,IF($AF958&lt;IF($D$4="Forint",Paraméterek!$C$223,Paraméterek!$C$224),2,IF($AF958&lt;IF($D$4="Forint",Paraméterek!$D$223,Paraméterek!$D$224),3,4))),0),0)</f>
        <v>0</v>
      </c>
      <c r="AH958" s="13">
        <f>IF(AND($Z958&gt;=5,MOD($Z958,5)=0),IF($AA958=12,VLOOKUP($Z958,Paraméterek!$B$225:$F$240,5),0),IF(OR($Z958=3,$Z958=4),IF($AA958=12,VLOOKUP($Z958,Paraméterek!$B$225:$F$240,5,0),0),0))*$AF958</f>
        <v>0</v>
      </c>
      <c r="AI958" s="13">
        <f>ROUNDDOWN(IF(SUM($T$20:$U958)=0,IF($D$2="Egyszeri",$AH958,$AG958),0),IF($D$4="Forint",0,2))</f>
        <v>0</v>
      </c>
      <c r="AJ958" s="13">
        <f t="shared" si="222"/>
        <v>0</v>
      </c>
      <c r="AK958" s="13">
        <f t="shared" si="223"/>
        <v>0</v>
      </c>
      <c r="AM958" s="32">
        <v>939</v>
      </c>
      <c r="AN958" s="32">
        <v>79</v>
      </c>
      <c r="AO958" s="32">
        <v>3</v>
      </c>
      <c r="AP958" s="13"/>
      <c r="AQ958" s="32"/>
      <c r="AR958" s="13">
        <f t="shared" si="224"/>
        <v>0</v>
      </c>
      <c r="AS958" s="33"/>
      <c r="AT958" s="13">
        <f t="shared" si="218"/>
        <v>0</v>
      </c>
      <c r="AU958" s="13">
        <f>ROUNDUP(($AR958+$AT958)*VLOOKUP($AN958,Paraméterek!$P$38:$Q$38,2)/12,IF($D$4="Forint",0,2))</f>
        <v>0</v>
      </c>
      <c r="AV958" s="13"/>
      <c r="AW958" s="13"/>
      <c r="AX958" s="13">
        <f>ROUNDUP(IF(SUM($AV958:$AW958)=0,0,IF(IF(ISBLANK($AW958),$AV958,$AW958)*Paraméterek!$J$112&lt;IF($D$4="Forint",Paraméterek!$J$113,Paraméterek!$K$113),IF($D$4="Forint",Paraméterek!$J$113,Paraméterek!$K$113),IF(IF(ISBLANK($AW958),$AV958,$AW958)*Paraméterek!$J$112&gt;IF($D$4="Forint",Paraméterek!$J$114,Paraméterek!$K$114),IF($D$4="Forint",Paraméterek!$J$114,Paraméterek!$K$114),IF(ISBLANK($AW958),$AV958,$AW958)*Paraméterek!$J$112))),IF($D$4="Forint",0,2))</f>
        <v>0</v>
      </c>
      <c r="AY958" s="13">
        <f>$AR958+$AT958-$AU958-IF(ROUNDDOWN(IF(ISBLANK($AW958),$AV958,$AW958),IF($D$4="Forint",0,2))&gt;$AR958+$AT958-$AU958-IF($D$4="Forint",Paraméterek!$J$114,Paraméterek!$K$114),0,ROUNDDOWN(IF(ISBLANK($AW958),$AV958,$AW958),IF($D$4="Forint",0,2))-$AX958)</f>
        <v>0</v>
      </c>
      <c r="AZ958" s="13">
        <f t="shared" si="219"/>
        <v>0</v>
      </c>
    </row>
    <row r="959" spans="1:52" x14ac:dyDescent="0.2">
      <c r="A959" s="32">
        <v>940</v>
      </c>
      <c r="B959" s="32">
        <v>79</v>
      </c>
      <c r="C959" s="32">
        <v>4</v>
      </c>
      <c r="D959" s="13">
        <f t="shared" si="210"/>
        <v>0</v>
      </c>
      <c r="E959" s="13"/>
      <c r="F959" s="13"/>
      <c r="G959" s="13"/>
      <c r="H959" s="13">
        <f t="shared" si="211"/>
        <v>0</v>
      </c>
      <c r="I959" s="13">
        <f t="shared" si="212"/>
        <v>0</v>
      </c>
      <c r="J959" s="13">
        <f t="shared" si="213"/>
        <v>0</v>
      </c>
      <c r="K959" s="13">
        <f>ROUNDUP(IF($D$2="Egyszeri",$D959,IF($D$2="Havi",SUM($D$20:$D$31),IF(MOD($C959,$M$1)-1=0,SUM($D$20:$D$31),0))/12*$M$1)*VLOOKUP($B959,Paraméterek!$B$27:$D$30,IF($D$2="Egyszeri",3,2)),IF($D$4="Forint",0,2))</f>
        <v>0</v>
      </c>
      <c r="L959" s="13">
        <f t="shared" si="214"/>
        <v>0</v>
      </c>
      <c r="M959" s="13">
        <f t="shared" ca="1" si="220"/>
        <v>-1138801</v>
      </c>
      <c r="N959" s="13">
        <f ca="1">IF($V958&gt;=VLOOKUP($M$4-1+$B959,Paraméterek!$B$121:$D$122,IF($D$4="Forint",2,3)),0,VLOOKUP($M$4-1+$B959,Paraméterek!$B$121:$D$122,IF($D$4="Forint",2,3))-$V958)</f>
        <v>1148801</v>
      </c>
      <c r="O959" s="13">
        <f ca="1">ROUNDUP($N959*Paraméterek!$C$58/Paraméterek!$C$56,IF($D$4="Forint",0,2))</f>
        <v>183</v>
      </c>
      <c r="P959" s="13">
        <f t="shared" si="215"/>
        <v>5517</v>
      </c>
      <c r="Q959" s="33"/>
      <c r="R959" s="13">
        <f t="shared" ca="1" si="216"/>
        <v>0</v>
      </c>
      <c r="S959" s="13">
        <f ca="1">ROUNDUP(($M959-$O959-$P959+$R959)*VLOOKUP($B959,Paraméterek!$B$38:$D$39,IF($D$2="Egyszeri",3,2))/12,IF($D$4="Forint",0,2))</f>
        <v>-2795</v>
      </c>
      <c r="T959" s="13"/>
      <c r="U959" s="13"/>
      <c r="V959" s="13">
        <f ca="1">$M959-$O959-$P959+$R959-$S959-IF(ROUNDUP(IF(ISBLANK($U959),$T959,$U959)/IF(AND($B959=1,$D$2&lt;&gt;"Egyszeri"),1,VLOOKUP($B959+IF($C959=12,1,0),Paraméterek!$B$257:$D$267,IF($D$2="Egyszeri",3,2))),IF($D$4="Forint",0,2))&gt;$M959-$O959-$P959+$R959-$S959-IF($D$4="Forint",Paraméterek!$C$216,Paraméterek!$D$216),0,ROUNDUP(IF(ISBLANK($U959),$T959,$U959)/IF(AND($B959=1,$D$2&lt;&gt;"Egyszeri"),1,VLOOKUP($B959+IF($C959=12,1,0),Paraméterek!$B$257:$D$267,IF($D$2="Egyszeri",3,2))),IF($D$4="Forint",0,2)))</f>
        <v>-1141706</v>
      </c>
      <c r="W959" s="13">
        <f ca="1">ROUNDDOWN($V959*VLOOKUP($B959+IF($C959=12,1,0),Paraméterek!$B$257:$D$267,IF($D$2="Egyszeri",3,2)),IF($D$4="Forint",0,2))</f>
        <v>-1141706</v>
      </c>
      <c r="Y959" s="32">
        <v>940</v>
      </c>
      <c r="Z959" s="32">
        <v>79</v>
      </c>
      <c r="AA959" s="32">
        <v>4</v>
      </c>
      <c r="AB959" s="13">
        <f t="shared" si="221"/>
        <v>0</v>
      </c>
      <c r="AC959" s="33"/>
      <c r="AD959" s="13">
        <f t="shared" si="217"/>
        <v>0</v>
      </c>
      <c r="AE959" s="13">
        <f>ROUNDUP(($AB959+$AD959)*VLOOKUP($Z959,Paraméterek!$P$38:$Q$38,2)/12,IF($D$4="Forint",0,2))</f>
        <v>0</v>
      </c>
      <c r="AF959" s="13">
        <f>IF($D$2="Egyszeri",IF($D$7&gt;=IF($D$4="Forint",Paraméterek!$P$223,Paraméterek!$P$224),$D$7-IF($D$4="Forint",Paraméterek!$F$223,Paraméterek!$F$224),0),MIN(IF($AA959=12,AVERAGE($D$20:$D959)*12,0),SUM($D$20:$D$31)))</f>
        <v>0</v>
      </c>
      <c r="AG959" s="13">
        <f>IF(AND($Z959&gt;=10,MOD($Z959,5)=0),$AF959*IF($AA959=12,VLOOKUP($Z959,Paraméterek!$B$225:$F$240,IF($AF959&lt;IF($D$4="Forint",Paraméterek!$C$223,Paraméterek!$C$224),2,IF($AF959&lt;IF($D$4="Forint",Paraméterek!$D$223,Paraméterek!$D$224),3,4))),0),0)</f>
        <v>0</v>
      </c>
      <c r="AH959" s="13">
        <f>IF(AND($Z959&gt;=5,MOD($Z959,5)=0),IF($AA959=12,VLOOKUP($Z959,Paraméterek!$B$225:$F$240,5),0),IF(OR($Z959=3,$Z959=4),IF($AA959=12,VLOOKUP($Z959,Paraméterek!$B$225:$F$240,5,0),0),0))*$AF959</f>
        <v>0</v>
      </c>
      <c r="AI959" s="13">
        <f>ROUNDDOWN(IF(SUM($T$20:$U959)=0,IF($D$2="Egyszeri",$AH959,$AG959),0),IF($D$4="Forint",0,2))</f>
        <v>0</v>
      </c>
      <c r="AJ959" s="13">
        <f t="shared" si="222"/>
        <v>0</v>
      </c>
      <c r="AK959" s="13">
        <f t="shared" si="223"/>
        <v>0</v>
      </c>
      <c r="AM959" s="32">
        <v>940</v>
      </c>
      <c r="AN959" s="32">
        <v>79</v>
      </c>
      <c r="AO959" s="32">
        <v>4</v>
      </c>
      <c r="AP959" s="13"/>
      <c r="AQ959" s="32"/>
      <c r="AR959" s="13">
        <f t="shared" si="224"/>
        <v>0</v>
      </c>
      <c r="AS959" s="33"/>
      <c r="AT959" s="13">
        <f t="shared" si="218"/>
        <v>0</v>
      </c>
      <c r="AU959" s="13">
        <f>ROUNDUP(($AR959+$AT959)*VLOOKUP($AN959,Paraméterek!$P$38:$Q$38,2)/12,IF($D$4="Forint",0,2))</f>
        <v>0</v>
      </c>
      <c r="AV959" s="13"/>
      <c r="AW959" s="13"/>
      <c r="AX959" s="13">
        <f>ROUNDUP(IF(SUM($AV959:$AW959)=0,0,IF(IF(ISBLANK($AW959),$AV959,$AW959)*Paraméterek!$J$112&lt;IF($D$4="Forint",Paraméterek!$J$113,Paraméterek!$K$113),IF($D$4="Forint",Paraméterek!$J$113,Paraméterek!$K$113),IF(IF(ISBLANK($AW959),$AV959,$AW959)*Paraméterek!$J$112&gt;IF($D$4="Forint",Paraméterek!$J$114,Paraméterek!$K$114),IF($D$4="Forint",Paraméterek!$J$114,Paraméterek!$K$114),IF(ISBLANK($AW959),$AV959,$AW959)*Paraméterek!$J$112))),IF($D$4="Forint",0,2))</f>
        <v>0</v>
      </c>
      <c r="AY959" s="13">
        <f>$AR959+$AT959-$AU959-IF(ROUNDDOWN(IF(ISBLANK($AW959),$AV959,$AW959),IF($D$4="Forint",0,2))&gt;$AR959+$AT959-$AU959-IF($D$4="Forint",Paraméterek!$J$114,Paraméterek!$K$114),0,ROUNDDOWN(IF(ISBLANK($AW959),$AV959,$AW959),IF($D$4="Forint",0,2))-$AX959)</f>
        <v>0</v>
      </c>
      <c r="AZ959" s="13">
        <f t="shared" si="219"/>
        <v>0</v>
      </c>
    </row>
    <row r="960" spans="1:52" x14ac:dyDescent="0.2">
      <c r="A960" s="32">
        <v>941</v>
      </c>
      <c r="B960" s="32">
        <v>79</v>
      </c>
      <c r="C960" s="32">
        <v>5</v>
      </c>
      <c r="D960" s="13">
        <f t="shared" si="210"/>
        <v>0</v>
      </c>
      <c r="E960" s="13"/>
      <c r="F960" s="13"/>
      <c r="G960" s="13"/>
      <c r="H960" s="13">
        <f t="shared" si="211"/>
        <v>0</v>
      </c>
      <c r="I960" s="13">
        <f t="shared" si="212"/>
        <v>0</v>
      </c>
      <c r="J960" s="13">
        <f t="shared" si="213"/>
        <v>0</v>
      </c>
      <c r="K960" s="13">
        <f>ROUNDUP(IF($D$2="Egyszeri",$D960,IF($D$2="Havi",SUM($D$20:$D$31),IF(MOD($C960,$M$1)-1=0,SUM($D$20:$D$31),0))/12*$M$1)*VLOOKUP($B960,Paraméterek!$B$27:$D$30,IF($D$2="Egyszeri",3,2)),IF($D$4="Forint",0,2))</f>
        <v>0</v>
      </c>
      <c r="L960" s="13">
        <f t="shared" si="214"/>
        <v>0</v>
      </c>
      <c r="M960" s="13">
        <f t="shared" ca="1" si="220"/>
        <v>-1141706</v>
      </c>
      <c r="N960" s="13">
        <f ca="1">IF($V959&gt;=VLOOKUP($M$4-1+$B960,Paraméterek!$B$121:$D$122,IF($D$4="Forint",2,3)),0,VLOOKUP($M$4-1+$B960,Paraméterek!$B$121:$D$122,IF($D$4="Forint",2,3))-$V959)</f>
        <v>1151706</v>
      </c>
      <c r="O960" s="13">
        <f ca="1">ROUNDUP($N960*Paraméterek!$C$58/Paraméterek!$C$56,IF($D$4="Forint",0,2))</f>
        <v>184</v>
      </c>
      <c r="P960" s="13">
        <f t="shared" si="215"/>
        <v>5517</v>
      </c>
      <c r="Q960" s="33"/>
      <c r="R960" s="13">
        <f t="shared" ca="1" si="216"/>
        <v>0</v>
      </c>
      <c r="S960" s="13">
        <f ca="1">ROUNDUP(($M960-$O960-$P960+$R960)*VLOOKUP($B960,Paraméterek!$B$38:$D$39,IF($D$2="Egyszeri",3,2))/12,IF($D$4="Forint",0,2))</f>
        <v>-2802</v>
      </c>
      <c r="T960" s="13"/>
      <c r="U960" s="13"/>
      <c r="V960" s="13">
        <f ca="1">$M960-$O960-$P960+$R960-$S960-IF(ROUNDUP(IF(ISBLANK($U960),$T960,$U960)/IF(AND($B960=1,$D$2&lt;&gt;"Egyszeri"),1,VLOOKUP($B960+IF($C960=12,1,0),Paraméterek!$B$257:$D$267,IF($D$2="Egyszeri",3,2))),IF($D$4="Forint",0,2))&gt;$M960-$O960-$P960+$R960-$S960-IF($D$4="Forint",Paraméterek!$C$216,Paraméterek!$D$216),0,ROUNDUP(IF(ISBLANK($U960),$T960,$U960)/IF(AND($B960=1,$D$2&lt;&gt;"Egyszeri"),1,VLOOKUP($B960+IF($C960=12,1,0),Paraméterek!$B$257:$D$267,IF($D$2="Egyszeri",3,2))),IF($D$4="Forint",0,2)))</f>
        <v>-1144605</v>
      </c>
      <c r="W960" s="13">
        <f ca="1">ROUNDDOWN($V960*VLOOKUP($B960+IF($C960=12,1,0),Paraméterek!$B$257:$D$267,IF($D$2="Egyszeri",3,2)),IF($D$4="Forint",0,2))</f>
        <v>-1144605</v>
      </c>
      <c r="Y960" s="32">
        <v>941</v>
      </c>
      <c r="Z960" s="32">
        <v>79</v>
      </c>
      <c r="AA960" s="32">
        <v>5</v>
      </c>
      <c r="AB960" s="13">
        <f t="shared" si="221"/>
        <v>0</v>
      </c>
      <c r="AC960" s="33"/>
      <c r="AD960" s="13">
        <f t="shared" si="217"/>
        <v>0</v>
      </c>
      <c r="AE960" s="13">
        <f>ROUNDUP(($AB960+$AD960)*VLOOKUP($Z960,Paraméterek!$P$38:$Q$38,2)/12,IF($D$4="Forint",0,2))</f>
        <v>0</v>
      </c>
      <c r="AF960" s="13">
        <f>IF($D$2="Egyszeri",IF($D$7&gt;=IF($D$4="Forint",Paraméterek!$P$223,Paraméterek!$P$224),$D$7-IF($D$4="Forint",Paraméterek!$F$223,Paraméterek!$F$224),0),MIN(IF($AA960=12,AVERAGE($D$20:$D960)*12,0),SUM($D$20:$D$31)))</f>
        <v>0</v>
      </c>
      <c r="AG960" s="13">
        <f>IF(AND($Z960&gt;=10,MOD($Z960,5)=0),$AF960*IF($AA960=12,VLOOKUP($Z960,Paraméterek!$B$225:$F$240,IF($AF960&lt;IF($D$4="Forint",Paraméterek!$C$223,Paraméterek!$C$224),2,IF($AF960&lt;IF($D$4="Forint",Paraméterek!$D$223,Paraméterek!$D$224),3,4))),0),0)</f>
        <v>0</v>
      </c>
      <c r="AH960" s="13">
        <f>IF(AND($Z960&gt;=5,MOD($Z960,5)=0),IF($AA960=12,VLOOKUP($Z960,Paraméterek!$B$225:$F$240,5),0),IF(OR($Z960=3,$Z960=4),IF($AA960=12,VLOOKUP($Z960,Paraméterek!$B$225:$F$240,5,0),0),0))*$AF960</f>
        <v>0</v>
      </c>
      <c r="AI960" s="13">
        <f>ROUNDDOWN(IF(SUM($T$20:$U960)=0,IF($D$2="Egyszeri",$AH960,$AG960),0),IF($D$4="Forint",0,2))</f>
        <v>0</v>
      </c>
      <c r="AJ960" s="13">
        <f t="shared" si="222"/>
        <v>0</v>
      </c>
      <c r="AK960" s="13">
        <f t="shared" si="223"/>
        <v>0</v>
      </c>
      <c r="AM960" s="32">
        <v>941</v>
      </c>
      <c r="AN960" s="32">
        <v>79</v>
      </c>
      <c r="AO960" s="32">
        <v>5</v>
      </c>
      <c r="AP960" s="13"/>
      <c r="AQ960" s="32"/>
      <c r="AR960" s="13">
        <f t="shared" si="224"/>
        <v>0</v>
      </c>
      <c r="AS960" s="33"/>
      <c r="AT960" s="13">
        <f t="shared" si="218"/>
        <v>0</v>
      </c>
      <c r="AU960" s="13">
        <f>ROUNDUP(($AR960+$AT960)*VLOOKUP($AN960,Paraméterek!$P$38:$Q$38,2)/12,IF($D$4="Forint",0,2))</f>
        <v>0</v>
      </c>
      <c r="AV960" s="13"/>
      <c r="AW960" s="13"/>
      <c r="AX960" s="13">
        <f>ROUNDUP(IF(SUM($AV960:$AW960)=0,0,IF(IF(ISBLANK($AW960),$AV960,$AW960)*Paraméterek!$J$112&lt;IF($D$4="Forint",Paraméterek!$J$113,Paraméterek!$K$113),IF($D$4="Forint",Paraméterek!$J$113,Paraméterek!$K$113),IF(IF(ISBLANK($AW960),$AV960,$AW960)*Paraméterek!$J$112&gt;IF($D$4="Forint",Paraméterek!$J$114,Paraméterek!$K$114),IF($D$4="Forint",Paraméterek!$J$114,Paraméterek!$K$114),IF(ISBLANK($AW960),$AV960,$AW960)*Paraméterek!$J$112))),IF($D$4="Forint",0,2))</f>
        <v>0</v>
      </c>
      <c r="AY960" s="13">
        <f>$AR960+$AT960-$AU960-IF(ROUNDDOWN(IF(ISBLANK($AW960),$AV960,$AW960),IF($D$4="Forint",0,2))&gt;$AR960+$AT960-$AU960-IF($D$4="Forint",Paraméterek!$J$114,Paraméterek!$K$114),0,ROUNDDOWN(IF(ISBLANK($AW960),$AV960,$AW960),IF($D$4="Forint",0,2))-$AX960)</f>
        <v>0</v>
      </c>
      <c r="AZ960" s="13">
        <f t="shared" si="219"/>
        <v>0</v>
      </c>
    </row>
    <row r="961" spans="1:52" x14ac:dyDescent="0.2">
      <c r="A961" s="32">
        <v>942</v>
      </c>
      <c r="B961" s="32">
        <v>79</v>
      </c>
      <c r="C961" s="32">
        <v>6</v>
      </c>
      <c r="D961" s="13">
        <f t="shared" si="210"/>
        <v>0</v>
      </c>
      <c r="E961" s="13"/>
      <c r="F961" s="13"/>
      <c r="G961" s="13"/>
      <c r="H961" s="13">
        <f t="shared" si="211"/>
        <v>0</v>
      </c>
      <c r="I961" s="13">
        <f t="shared" si="212"/>
        <v>0</v>
      </c>
      <c r="J961" s="13">
        <f t="shared" si="213"/>
        <v>0</v>
      </c>
      <c r="K961" s="13">
        <f>ROUNDUP(IF($D$2="Egyszeri",$D961,IF($D$2="Havi",SUM($D$20:$D$31),IF(MOD($C961,$M$1)-1=0,SUM($D$20:$D$31),0))/12*$M$1)*VLOOKUP($B961,Paraméterek!$B$27:$D$30,IF($D$2="Egyszeri",3,2)),IF($D$4="Forint",0,2))</f>
        <v>0</v>
      </c>
      <c r="L961" s="13">
        <f t="shared" si="214"/>
        <v>0</v>
      </c>
      <c r="M961" s="13">
        <f t="shared" ca="1" si="220"/>
        <v>-1144605</v>
      </c>
      <c r="N961" s="13">
        <f ca="1">IF($V960&gt;=VLOOKUP($M$4-1+$B961,Paraméterek!$B$121:$D$122,IF($D$4="Forint",2,3)),0,VLOOKUP($M$4-1+$B961,Paraméterek!$B$121:$D$122,IF($D$4="Forint",2,3))-$V960)</f>
        <v>1154605</v>
      </c>
      <c r="O961" s="13">
        <f ca="1">ROUNDUP($N961*Paraméterek!$C$58/Paraméterek!$C$56,IF($D$4="Forint",0,2))</f>
        <v>184</v>
      </c>
      <c r="P961" s="13">
        <f t="shared" si="215"/>
        <v>5517</v>
      </c>
      <c r="Q961" s="33"/>
      <c r="R961" s="13">
        <f t="shared" ca="1" si="216"/>
        <v>0</v>
      </c>
      <c r="S961" s="13">
        <f ca="1">ROUNDUP(($M961-$O961-$P961+$R961)*VLOOKUP($B961,Paraméterek!$B$38:$D$39,IF($D$2="Egyszeri",3,2))/12,IF($D$4="Forint",0,2))</f>
        <v>-2809</v>
      </c>
      <c r="T961" s="13"/>
      <c r="U961" s="13"/>
      <c r="V961" s="13">
        <f ca="1">$M961-$O961-$P961+$R961-$S961-IF(ROUNDUP(IF(ISBLANK($U961),$T961,$U961)/IF(AND($B961=1,$D$2&lt;&gt;"Egyszeri"),1,VLOOKUP($B961+IF($C961=12,1,0),Paraméterek!$B$257:$D$267,IF($D$2="Egyszeri",3,2))),IF($D$4="Forint",0,2))&gt;$M961-$O961-$P961+$R961-$S961-IF($D$4="Forint",Paraméterek!$C$216,Paraméterek!$D$216),0,ROUNDUP(IF(ISBLANK($U961),$T961,$U961)/IF(AND($B961=1,$D$2&lt;&gt;"Egyszeri"),1,VLOOKUP($B961+IF($C961=12,1,0),Paraméterek!$B$257:$D$267,IF($D$2="Egyszeri",3,2))),IF($D$4="Forint",0,2)))</f>
        <v>-1147497</v>
      </c>
      <c r="W961" s="13">
        <f ca="1">ROUNDDOWN($V961*VLOOKUP($B961+IF($C961=12,1,0),Paraméterek!$B$257:$D$267,IF($D$2="Egyszeri",3,2)),IF($D$4="Forint",0,2))</f>
        <v>-1147497</v>
      </c>
      <c r="Y961" s="32">
        <v>942</v>
      </c>
      <c r="Z961" s="32">
        <v>79</v>
      </c>
      <c r="AA961" s="32">
        <v>6</v>
      </c>
      <c r="AB961" s="13">
        <f t="shared" si="221"/>
        <v>0</v>
      </c>
      <c r="AC961" s="33"/>
      <c r="AD961" s="13">
        <f t="shared" si="217"/>
        <v>0</v>
      </c>
      <c r="AE961" s="13">
        <f>ROUNDUP(($AB961+$AD961)*VLOOKUP($Z961,Paraméterek!$P$38:$Q$38,2)/12,IF($D$4="Forint",0,2))</f>
        <v>0</v>
      </c>
      <c r="AF961" s="13">
        <f>IF($D$2="Egyszeri",IF($D$7&gt;=IF($D$4="Forint",Paraméterek!$P$223,Paraméterek!$P$224),$D$7-IF($D$4="Forint",Paraméterek!$F$223,Paraméterek!$F$224),0),MIN(IF($AA961=12,AVERAGE($D$20:$D961)*12,0),SUM($D$20:$D$31)))</f>
        <v>0</v>
      </c>
      <c r="AG961" s="13">
        <f>IF(AND($Z961&gt;=10,MOD($Z961,5)=0),$AF961*IF($AA961=12,VLOOKUP($Z961,Paraméterek!$B$225:$F$240,IF($AF961&lt;IF($D$4="Forint",Paraméterek!$C$223,Paraméterek!$C$224),2,IF($AF961&lt;IF($D$4="Forint",Paraméterek!$D$223,Paraméterek!$D$224),3,4))),0),0)</f>
        <v>0</v>
      </c>
      <c r="AH961" s="13">
        <f>IF(AND($Z961&gt;=5,MOD($Z961,5)=0),IF($AA961=12,VLOOKUP($Z961,Paraméterek!$B$225:$F$240,5),0),IF(OR($Z961=3,$Z961=4),IF($AA961=12,VLOOKUP($Z961,Paraméterek!$B$225:$F$240,5,0),0),0))*$AF961</f>
        <v>0</v>
      </c>
      <c r="AI961" s="13">
        <f>ROUNDDOWN(IF(SUM($T$20:$U961)=0,IF($D$2="Egyszeri",$AH961,$AG961),0),IF($D$4="Forint",0,2))</f>
        <v>0</v>
      </c>
      <c r="AJ961" s="13">
        <f t="shared" si="222"/>
        <v>0</v>
      </c>
      <c r="AK961" s="13">
        <f t="shared" si="223"/>
        <v>0</v>
      </c>
      <c r="AM961" s="32">
        <v>942</v>
      </c>
      <c r="AN961" s="32">
        <v>79</v>
      </c>
      <c r="AO961" s="32">
        <v>6</v>
      </c>
      <c r="AP961" s="13"/>
      <c r="AQ961" s="32"/>
      <c r="AR961" s="13">
        <f t="shared" si="224"/>
        <v>0</v>
      </c>
      <c r="AS961" s="33"/>
      <c r="AT961" s="13">
        <f t="shared" si="218"/>
        <v>0</v>
      </c>
      <c r="AU961" s="13">
        <f>ROUNDUP(($AR961+$AT961)*VLOOKUP($AN961,Paraméterek!$P$38:$Q$38,2)/12,IF($D$4="Forint",0,2))</f>
        <v>0</v>
      </c>
      <c r="AV961" s="13"/>
      <c r="AW961" s="13"/>
      <c r="AX961" s="13">
        <f>ROUNDUP(IF(SUM($AV961:$AW961)=0,0,IF(IF(ISBLANK($AW961),$AV961,$AW961)*Paraméterek!$J$112&lt;IF($D$4="Forint",Paraméterek!$J$113,Paraméterek!$K$113),IF($D$4="Forint",Paraméterek!$J$113,Paraméterek!$K$113),IF(IF(ISBLANK($AW961),$AV961,$AW961)*Paraméterek!$J$112&gt;IF($D$4="Forint",Paraméterek!$J$114,Paraméterek!$K$114),IF($D$4="Forint",Paraméterek!$J$114,Paraméterek!$K$114),IF(ISBLANK($AW961),$AV961,$AW961)*Paraméterek!$J$112))),IF($D$4="Forint",0,2))</f>
        <v>0</v>
      </c>
      <c r="AY961" s="13">
        <f>$AR961+$AT961-$AU961-IF(ROUNDDOWN(IF(ISBLANK($AW961),$AV961,$AW961),IF($D$4="Forint",0,2))&gt;$AR961+$AT961-$AU961-IF($D$4="Forint",Paraméterek!$J$114,Paraméterek!$K$114),0,ROUNDDOWN(IF(ISBLANK($AW961),$AV961,$AW961),IF($D$4="Forint",0,2))-$AX961)</f>
        <v>0</v>
      </c>
      <c r="AZ961" s="13">
        <f t="shared" si="219"/>
        <v>0</v>
      </c>
    </row>
    <row r="962" spans="1:52" x14ac:dyDescent="0.2">
      <c r="A962" s="32">
        <v>943</v>
      </c>
      <c r="B962" s="32">
        <v>79</v>
      </c>
      <c r="C962" s="32">
        <v>7</v>
      </c>
      <c r="D962" s="13">
        <f t="shared" si="210"/>
        <v>0</v>
      </c>
      <c r="E962" s="13"/>
      <c r="F962" s="13"/>
      <c r="G962" s="13"/>
      <c r="H962" s="13">
        <f t="shared" si="211"/>
        <v>0</v>
      </c>
      <c r="I962" s="13">
        <f t="shared" si="212"/>
        <v>0</v>
      </c>
      <c r="J962" s="13">
        <f t="shared" si="213"/>
        <v>0</v>
      </c>
      <c r="K962" s="13">
        <f>ROUNDUP(IF($D$2="Egyszeri",$D962,IF($D$2="Havi",SUM($D$20:$D$31),IF(MOD($C962,$M$1)-1=0,SUM($D$20:$D$31),0))/12*$M$1)*VLOOKUP($B962,Paraméterek!$B$27:$D$30,IF($D$2="Egyszeri",3,2)),IF($D$4="Forint",0,2))</f>
        <v>0</v>
      </c>
      <c r="L962" s="13">
        <f t="shared" si="214"/>
        <v>0</v>
      </c>
      <c r="M962" s="13">
        <f t="shared" ca="1" si="220"/>
        <v>-1147497</v>
      </c>
      <c r="N962" s="13">
        <f ca="1">IF($V961&gt;=VLOOKUP($M$4-1+$B962,Paraméterek!$B$121:$D$122,IF($D$4="Forint",2,3)),0,VLOOKUP($M$4-1+$B962,Paraméterek!$B$121:$D$122,IF($D$4="Forint",2,3))-$V961)</f>
        <v>1157497</v>
      </c>
      <c r="O962" s="13">
        <f ca="1">ROUNDUP($N962*Paraméterek!$C$58/Paraméterek!$C$56,IF($D$4="Forint",0,2))</f>
        <v>185</v>
      </c>
      <c r="P962" s="13">
        <f t="shared" si="215"/>
        <v>5517</v>
      </c>
      <c r="Q962" s="33"/>
      <c r="R962" s="13">
        <f t="shared" ca="1" si="216"/>
        <v>0</v>
      </c>
      <c r="S962" s="13">
        <f ca="1">ROUNDUP(($M962-$O962-$P962+$R962)*VLOOKUP($B962,Paraméterek!$B$38:$D$39,IF($D$2="Egyszeri",3,2))/12,IF($D$4="Forint",0,2))</f>
        <v>-2816</v>
      </c>
      <c r="T962" s="13"/>
      <c r="U962" s="13"/>
      <c r="V962" s="13">
        <f ca="1">$M962-$O962-$P962+$R962-$S962-IF(ROUNDUP(IF(ISBLANK($U962),$T962,$U962)/IF(AND($B962=1,$D$2&lt;&gt;"Egyszeri"),1,VLOOKUP($B962+IF($C962=12,1,0),Paraméterek!$B$257:$D$267,IF($D$2="Egyszeri",3,2))),IF($D$4="Forint",0,2))&gt;$M962-$O962-$P962+$R962-$S962-IF($D$4="Forint",Paraméterek!$C$216,Paraméterek!$D$216),0,ROUNDUP(IF(ISBLANK($U962),$T962,$U962)/IF(AND($B962=1,$D$2&lt;&gt;"Egyszeri"),1,VLOOKUP($B962+IF($C962=12,1,0),Paraméterek!$B$257:$D$267,IF($D$2="Egyszeri",3,2))),IF($D$4="Forint",0,2)))</f>
        <v>-1150383</v>
      </c>
      <c r="W962" s="13">
        <f ca="1">ROUNDDOWN($V962*VLOOKUP($B962+IF($C962=12,1,0),Paraméterek!$B$257:$D$267,IF($D$2="Egyszeri",3,2)),IF($D$4="Forint",0,2))</f>
        <v>-1150383</v>
      </c>
      <c r="Y962" s="32">
        <v>943</v>
      </c>
      <c r="Z962" s="32">
        <v>79</v>
      </c>
      <c r="AA962" s="32">
        <v>7</v>
      </c>
      <c r="AB962" s="13">
        <f t="shared" si="221"/>
        <v>0</v>
      </c>
      <c r="AC962" s="33"/>
      <c r="AD962" s="13">
        <f t="shared" si="217"/>
        <v>0</v>
      </c>
      <c r="AE962" s="13">
        <f>ROUNDUP(($AB962+$AD962)*VLOOKUP($Z962,Paraméterek!$P$38:$Q$38,2)/12,IF($D$4="Forint",0,2))</f>
        <v>0</v>
      </c>
      <c r="AF962" s="13">
        <f>IF($D$2="Egyszeri",IF($D$7&gt;=IF($D$4="Forint",Paraméterek!$P$223,Paraméterek!$P$224),$D$7-IF($D$4="Forint",Paraméterek!$F$223,Paraméterek!$F$224),0),MIN(IF($AA962=12,AVERAGE($D$20:$D962)*12,0),SUM($D$20:$D$31)))</f>
        <v>0</v>
      </c>
      <c r="AG962" s="13">
        <f>IF(AND($Z962&gt;=10,MOD($Z962,5)=0),$AF962*IF($AA962=12,VLOOKUP($Z962,Paraméterek!$B$225:$F$240,IF($AF962&lt;IF($D$4="Forint",Paraméterek!$C$223,Paraméterek!$C$224),2,IF($AF962&lt;IF($D$4="Forint",Paraméterek!$D$223,Paraméterek!$D$224),3,4))),0),0)</f>
        <v>0</v>
      </c>
      <c r="AH962" s="13">
        <f>IF(AND($Z962&gt;=5,MOD($Z962,5)=0),IF($AA962=12,VLOOKUP($Z962,Paraméterek!$B$225:$F$240,5),0),IF(OR($Z962=3,$Z962=4),IF($AA962=12,VLOOKUP($Z962,Paraméterek!$B$225:$F$240,5,0),0),0))*$AF962</f>
        <v>0</v>
      </c>
      <c r="AI962" s="13">
        <f>ROUNDDOWN(IF(SUM($T$20:$U962)=0,IF($D$2="Egyszeri",$AH962,$AG962),0),IF($D$4="Forint",0,2))</f>
        <v>0</v>
      </c>
      <c r="AJ962" s="13">
        <f t="shared" si="222"/>
        <v>0</v>
      </c>
      <c r="AK962" s="13">
        <f t="shared" si="223"/>
        <v>0</v>
      </c>
      <c r="AM962" s="32">
        <v>943</v>
      </c>
      <c r="AN962" s="32">
        <v>79</v>
      </c>
      <c r="AO962" s="32">
        <v>7</v>
      </c>
      <c r="AP962" s="13"/>
      <c r="AQ962" s="32"/>
      <c r="AR962" s="13">
        <f t="shared" si="224"/>
        <v>0</v>
      </c>
      <c r="AS962" s="33"/>
      <c r="AT962" s="13">
        <f t="shared" si="218"/>
        <v>0</v>
      </c>
      <c r="AU962" s="13">
        <f>ROUNDUP(($AR962+$AT962)*VLOOKUP($AN962,Paraméterek!$P$38:$Q$38,2)/12,IF($D$4="Forint",0,2))</f>
        <v>0</v>
      </c>
      <c r="AV962" s="13"/>
      <c r="AW962" s="13"/>
      <c r="AX962" s="13">
        <f>ROUNDUP(IF(SUM($AV962:$AW962)=0,0,IF(IF(ISBLANK($AW962),$AV962,$AW962)*Paraméterek!$J$112&lt;IF($D$4="Forint",Paraméterek!$J$113,Paraméterek!$K$113),IF($D$4="Forint",Paraméterek!$J$113,Paraméterek!$K$113),IF(IF(ISBLANK($AW962),$AV962,$AW962)*Paraméterek!$J$112&gt;IF($D$4="Forint",Paraméterek!$J$114,Paraméterek!$K$114),IF($D$4="Forint",Paraméterek!$J$114,Paraméterek!$K$114),IF(ISBLANK($AW962),$AV962,$AW962)*Paraméterek!$J$112))),IF($D$4="Forint",0,2))</f>
        <v>0</v>
      </c>
      <c r="AY962" s="13">
        <f>$AR962+$AT962-$AU962-IF(ROUNDDOWN(IF(ISBLANK($AW962),$AV962,$AW962),IF($D$4="Forint",0,2))&gt;$AR962+$AT962-$AU962-IF($D$4="Forint",Paraméterek!$J$114,Paraméterek!$K$114),0,ROUNDDOWN(IF(ISBLANK($AW962),$AV962,$AW962),IF($D$4="Forint",0,2))-$AX962)</f>
        <v>0</v>
      </c>
      <c r="AZ962" s="13">
        <f t="shared" si="219"/>
        <v>0</v>
      </c>
    </row>
    <row r="963" spans="1:52" x14ac:dyDescent="0.2">
      <c r="A963" s="32">
        <v>944</v>
      </c>
      <c r="B963" s="32">
        <v>79</v>
      </c>
      <c r="C963" s="32">
        <v>8</v>
      </c>
      <c r="D963" s="13">
        <f t="shared" si="210"/>
        <v>0</v>
      </c>
      <c r="E963" s="13"/>
      <c r="F963" s="13"/>
      <c r="G963" s="13"/>
      <c r="H963" s="13">
        <f t="shared" si="211"/>
        <v>0</v>
      </c>
      <c r="I963" s="13">
        <f t="shared" si="212"/>
        <v>0</v>
      </c>
      <c r="J963" s="13">
        <f t="shared" si="213"/>
        <v>0</v>
      </c>
      <c r="K963" s="13">
        <f>ROUNDUP(IF($D$2="Egyszeri",$D963,IF($D$2="Havi",SUM($D$20:$D$31),IF(MOD($C963,$M$1)-1=0,SUM($D$20:$D$31),0))/12*$M$1)*VLOOKUP($B963,Paraméterek!$B$27:$D$30,IF($D$2="Egyszeri",3,2)),IF($D$4="Forint",0,2))</f>
        <v>0</v>
      </c>
      <c r="L963" s="13">
        <f t="shared" si="214"/>
        <v>0</v>
      </c>
      <c r="M963" s="13">
        <f t="shared" ca="1" si="220"/>
        <v>-1150383</v>
      </c>
      <c r="N963" s="13">
        <f ca="1">IF($V962&gt;=VLOOKUP($M$4-1+$B963,Paraméterek!$B$121:$D$122,IF($D$4="Forint",2,3)),0,VLOOKUP($M$4-1+$B963,Paraméterek!$B$121:$D$122,IF($D$4="Forint",2,3))-$V962)</f>
        <v>1160383</v>
      </c>
      <c r="O963" s="13">
        <f ca="1">ROUNDUP($N963*Paraméterek!$C$58/Paraméterek!$C$56,IF($D$4="Forint",0,2))</f>
        <v>185</v>
      </c>
      <c r="P963" s="13">
        <f t="shared" si="215"/>
        <v>5517</v>
      </c>
      <c r="Q963" s="33"/>
      <c r="R963" s="13">
        <f t="shared" ca="1" si="216"/>
        <v>0</v>
      </c>
      <c r="S963" s="13">
        <f ca="1">ROUNDUP(($M963-$O963-$P963+$R963)*VLOOKUP($B963,Paraméterek!$B$38:$D$39,IF($D$2="Egyszeri",3,2))/12,IF($D$4="Forint",0,2))</f>
        <v>-2823</v>
      </c>
      <c r="T963" s="13"/>
      <c r="U963" s="13"/>
      <c r="V963" s="13">
        <f ca="1">$M963-$O963-$P963+$R963-$S963-IF(ROUNDUP(IF(ISBLANK($U963),$T963,$U963)/IF(AND($B963=1,$D$2&lt;&gt;"Egyszeri"),1,VLOOKUP($B963+IF($C963=12,1,0),Paraméterek!$B$257:$D$267,IF($D$2="Egyszeri",3,2))),IF($D$4="Forint",0,2))&gt;$M963-$O963-$P963+$R963-$S963-IF($D$4="Forint",Paraméterek!$C$216,Paraméterek!$D$216),0,ROUNDUP(IF(ISBLANK($U963),$T963,$U963)/IF(AND($B963=1,$D$2&lt;&gt;"Egyszeri"),1,VLOOKUP($B963+IF($C963=12,1,0),Paraméterek!$B$257:$D$267,IF($D$2="Egyszeri",3,2))),IF($D$4="Forint",0,2)))</f>
        <v>-1153262</v>
      </c>
      <c r="W963" s="13">
        <f ca="1">ROUNDDOWN($V963*VLOOKUP($B963+IF($C963=12,1,0),Paraméterek!$B$257:$D$267,IF($D$2="Egyszeri",3,2)),IF($D$4="Forint",0,2))</f>
        <v>-1153262</v>
      </c>
      <c r="Y963" s="32">
        <v>944</v>
      </c>
      <c r="Z963" s="32">
        <v>79</v>
      </c>
      <c r="AA963" s="32">
        <v>8</v>
      </c>
      <c r="AB963" s="13">
        <f t="shared" si="221"/>
        <v>0</v>
      </c>
      <c r="AC963" s="33"/>
      <c r="AD963" s="13">
        <f t="shared" si="217"/>
        <v>0</v>
      </c>
      <c r="AE963" s="13">
        <f>ROUNDUP(($AB963+$AD963)*VLOOKUP($Z963,Paraméterek!$P$38:$Q$38,2)/12,IF($D$4="Forint",0,2))</f>
        <v>0</v>
      </c>
      <c r="AF963" s="13">
        <f>IF($D$2="Egyszeri",IF($D$7&gt;=IF($D$4="Forint",Paraméterek!$P$223,Paraméterek!$P$224),$D$7-IF($D$4="Forint",Paraméterek!$F$223,Paraméterek!$F$224),0),MIN(IF($AA963=12,AVERAGE($D$20:$D963)*12,0),SUM($D$20:$D$31)))</f>
        <v>0</v>
      </c>
      <c r="AG963" s="13">
        <f>IF(AND($Z963&gt;=10,MOD($Z963,5)=0),$AF963*IF($AA963=12,VLOOKUP($Z963,Paraméterek!$B$225:$F$240,IF($AF963&lt;IF($D$4="Forint",Paraméterek!$C$223,Paraméterek!$C$224),2,IF($AF963&lt;IF($D$4="Forint",Paraméterek!$D$223,Paraméterek!$D$224),3,4))),0),0)</f>
        <v>0</v>
      </c>
      <c r="AH963" s="13">
        <f>IF(AND($Z963&gt;=5,MOD($Z963,5)=0),IF($AA963=12,VLOOKUP($Z963,Paraméterek!$B$225:$F$240,5),0),IF(OR($Z963=3,$Z963=4),IF($AA963=12,VLOOKUP($Z963,Paraméterek!$B$225:$F$240,5,0),0),0))*$AF963</f>
        <v>0</v>
      </c>
      <c r="AI963" s="13">
        <f>ROUNDDOWN(IF(SUM($T$20:$U963)=0,IF($D$2="Egyszeri",$AH963,$AG963),0),IF($D$4="Forint",0,2))</f>
        <v>0</v>
      </c>
      <c r="AJ963" s="13">
        <f t="shared" si="222"/>
        <v>0</v>
      </c>
      <c r="AK963" s="13">
        <f t="shared" si="223"/>
        <v>0</v>
      </c>
      <c r="AM963" s="32">
        <v>944</v>
      </c>
      <c r="AN963" s="32">
        <v>79</v>
      </c>
      <c r="AO963" s="32">
        <v>8</v>
      </c>
      <c r="AP963" s="13"/>
      <c r="AQ963" s="32"/>
      <c r="AR963" s="13">
        <f t="shared" si="224"/>
        <v>0</v>
      </c>
      <c r="AS963" s="33"/>
      <c r="AT963" s="13">
        <f t="shared" si="218"/>
        <v>0</v>
      </c>
      <c r="AU963" s="13">
        <f>ROUNDUP(($AR963+$AT963)*VLOOKUP($AN963,Paraméterek!$P$38:$Q$38,2)/12,IF($D$4="Forint",0,2))</f>
        <v>0</v>
      </c>
      <c r="AV963" s="13"/>
      <c r="AW963" s="13"/>
      <c r="AX963" s="13">
        <f>ROUNDUP(IF(SUM($AV963:$AW963)=0,0,IF(IF(ISBLANK($AW963),$AV963,$AW963)*Paraméterek!$J$112&lt;IF($D$4="Forint",Paraméterek!$J$113,Paraméterek!$K$113),IF($D$4="Forint",Paraméterek!$J$113,Paraméterek!$K$113),IF(IF(ISBLANK($AW963),$AV963,$AW963)*Paraméterek!$J$112&gt;IF($D$4="Forint",Paraméterek!$J$114,Paraméterek!$K$114),IF($D$4="Forint",Paraméterek!$J$114,Paraméterek!$K$114),IF(ISBLANK($AW963),$AV963,$AW963)*Paraméterek!$J$112))),IF($D$4="Forint",0,2))</f>
        <v>0</v>
      </c>
      <c r="AY963" s="13">
        <f>$AR963+$AT963-$AU963-IF(ROUNDDOWN(IF(ISBLANK($AW963),$AV963,$AW963),IF($D$4="Forint",0,2))&gt;$AR963+$AT963-$AU963-IF($D$4="Forint",Paraméterek!$J$114,Paraméterek!$K$114),0,ROUNDDOWN(IF(ISBLANK($AW963),$AV963,$AW963),IF($D$4="Forint",0,2))-$AX963)</f>
        <v>0</v>
      </c>
      <c r="AZ963" s="13">
        <f t="shared" si="219"/>
        <v>0</v>
      </c>
    </row>
    <row r="964" spans="1:52" x14ac:dyDescent="0.2">
      <c r="A964" s="32">
        <v>945</v>
      </c>
      <c r="B964" s="32">
        <v>79</v>
      </c>
      <c r="C964" s="32">
        <v>9</v>
      </c>
      <c r="D964" s="13">
        <f t="shared" si="210"/>
        <v>0</v>
      </c>
      <c r="E964" s="13"/>
      <c r="F964" s="13"/>
      <c r="G964" s="13"/>
      <c r="H964" s="13">
        <f t="shared" si="211"/>
        <v>0</v>
      </c>
      <c r="I964" s="13">
        <f t="shared" si="212"/>
        <v>0</v>
      </c>
      <c r="J964" s="13">
        <f t="shared" si="213"/>
        <v>0</v>
      </c>
      <c r="K964" s="13">
        <f>ROUNDUP(IF($D$2="Egyszeri",$D964,IF($D$2="Havi",SUM($D$20:$D$31),IF(MOD($C964,$M$1)-1=0,SUM($D$20:$D$31),0))/12*$M$1)*VLOOKUP($B964,Paraméterek!$B$27:$D$30,IF($D$2="Egyszeri",3,2)),IF($D$4="Forint",0,2))</f>
        <v>0</v>
      </c>
      <c r="L964" s="13">
        <f t="shared" si="214"/>
        <v>0</v>
      </c>
      <c r="M964" s="13">
        <f t="shared" ca="1" si="220"/>
        <v>-1153262</v>
      </c>
      <c r="N964" s="13">
        <f ca="1">IF($V963&gt;=VLOOKUP($M$4-1+$B964,Paraméterek!$B$121:$D$122,IF($D$4="Forint",2,3)),0,VLOOKUP($M$4-1+$B964,Paraméterek!$B$121:$D$122,IF($D$4="Forint",2,3))-$V963)</f>
        <v>1163262</v>
      </c>
      <c r="O964" s="13">
        <f ca="1">ROUNDUP($N964*Paraméterek!$C$58/Paraméterek!$C$56,IF($D$4="Forint",0,2))</f>
        <v>186</v>
      </c>
      <c r="P964" s="13">
        <f t="shared" si="215"/>
        <v>5517</v>
      </c>
      <c r="Q964" s="33"/>
      <c r="R964" s="13">
        <f t="shared" ca="1" si="216"/>
        <v>0</v>
      </c>
      <c r="S964" s="13">
        <f ca="1">ROUNDUP(($M964-$O964-$P964+$R964)*VLOOKUP($B964,Paraméterek!$B$38:$D$39,IF($D$2="Egyszeri",3,2))/12,IF($D$4="Forint",0,2))</f>
        <v>-2830</v>
      </c>
      <c r="T964" s="13"/>
      <c r="U964" s="13"/>
      <c r="V964" s="13">
        <f ca="1">$M964-$O964-$P964+$R964-$S964-IF(ROUNDUP(IF(ISBLANK($U964),$T964,$U964)/IF(AND($B964=1,$D$2&lt;&gt;"Egyszeri"),1,VLOOKUP($B964+IF($C964=12,1,0),Paraméterek!$B$257:$D$267,IF($D$2="Egyszeri",3,2))),IF($D$4="Forint",0,2))&gt;$M964-$O964-$P964+$R964-$S964-IF($D$4="Forint",Paraméterek!$C$216,Paraméterek!$D$216),0,ROUNDUP(IF(ISBLANK($U964),$T964,$U964)/IF(AND($B964=1,$D$2&lt;&gt;"Egyszeri"),1,VLOOKUP($B964+IF($C964=12,1,0),Paraméterek!$B$257:$D$267,IF($D$2="Egyszeri",3,2))),IF($D$4="Forint",0,2)))</f>
        <v>-1156135</v>
      </c>
      <c r="W964" s="13">
        <f ca="1">ROUNDDOWN($V964*VLOOKUP($B964+IF($C964=12,1,0),Paraméterek!$B$257:$D$267,IF($D$2="Egyszeri",3,2)),IF($D$4="Forint",0,2))</f>
        <v>-1156135</v>
      </c>
      <c r="Y964" s="32">
        <v>945</v>
      </c>
      <c r="Z964" s="32">
        <v>79</v>
      </c>
      <c r="AA964" s="32">
        <v>9</v>
      </c>
      <c r="AB964" s="13">
        <f t="shared" si="221"/>
        <v>0</v>
      </c>
      <c r="AC964" s="33"/>
      <c r="AD964" s="13">
        <f t="shared" si="217"/>
        <v>0</v>
      </c>
      <c r="AE964" s="13">
        <f>ROUNDUP(($AB964+$AD964)*VLOOKUP($Z964,Paraméterek!$P$38:$Q$38,2)/12,IF($D$4="Forint",0,2))</f>
        <v>0</v>
      </c>
      <c r="AF964" s="13">
        <f>IF($D$2="Egyszeri",IF($D$7&gt;=IF($D$4="Forint",Paraméterek!$P$223,Paraméterek!$P$224),$D$7-IF($D$4="Forint",Paraméterek!$F$223,Paraméterek!$F$224),0),MIN(IF($AA964=12,AVERAGE($D$20:$D964)*12,0),SUM($D$20:$D$31)))</f>
        <v>0</v>
      </c>
      <c r="AG964" s="13">
        <f>IF(AND($Z964&gt;=10,MOD($Z964,5)=0),$AF964*IF($AA964=12,VLOOKUP($Z964,Paraméterek!$B$225:$F$240,IF($AF964&lt;IF($D$4="Forint",Paraméterek!$C$223,Paraméterek!$C$224),2,IF($AF964&lt;IF($D$4="Forint",Paraméterek!$D$223,Paraméterek!$D$224),3,4))),0),0)</f>
        <v>0</v>
      </c>
      <c r="AH964" s="13">
        <f>IF(AND($Z964&gt;=5,MOD($Z964,5)=0),IF($AA964=12,VLOOKUP($Z964,Paraméterek!$B$225:$F$240,5),0),IF(OR($Z964=3,$Z964=4),IF($AA964=12,VLOOKUP($Z964,Paraméterek!$B$225:$F$240,5,0),0),0))*$AF964</f>
        <v>0</v>
      </c>
      <c r="AI964" s="13">
        <f>ROUNDDOWN(IF(SUM($T$20:$U964)=0,IF($D$2="Egyszeri",$AH964,$AG964),0),IF($D$4="Forint",0,2))</f>
        <v>0</v>
      </c>
      <c r="AJ964" s="13">
        <f t="shared" si="222"/>
        <v>0</v>
      </c>
      <c r="AK964" s="13">
        <f t="shared" si="223"/>
        <v>0</v>
      </c>
      <c r="AM964" s="32">
        <v>945</v>
      </c>
      <c r="AN964" s="32">
        <v>79</v>
      </c>
      <c r="AO964" s="32">
        <v>9</v>
      </c>
      <c r="AP964" s="13"/>
      <c r="AQ964" s="32"/>
      <c r="AR964" s="13">
        <f t="shared" si="224"/>
        <v>0</v>
      </c>
      <c r="AS964" s="33"/>
      <c r="AT964" s="13">
        <f t="shared" si="218"/>
        <v>0</v>
      </c>
      <c r="AU964" s="13">
        <f>ROUNDUP(($AR964+$AT964)*VLOOKUP($AN964,Paraméterek!$P$38:$Q$38,2)/12,IF($D$4="Forint",0,2))</f>
        <v>0</v>
      </c>
      <c r="AV964" s="13"/>
      <c r="AW964" s="13"/>
      <c r="AX964" s="13">
        <f>ROUNDUP(IF(SUM($AV964:$AW964)=0,0,IF(IF(ISBLANK($AW964),$AV964,$AW964)*Paraméterek!$J$112&lt;IF($D$4="Forint",Paraméterek!$J$113,Paraméterek!$K$113),IF($D$4="Forint",Paraméterek!$J$113,Paraméterek!$K$113),IF(IF(ISBLANK($AW964),$AV964,$AW964)*Paraméterek!$J$112&gt;IF($D$4="Forint",Paraméterek!$J$114,Paraméterek!$K$114),IF($D$4="Forint",Paraméterek!$J$114,Paraméterek!$K$114),IF(ISBLANK($AW964),$AV964,$AW964)*Paraméterek!$J$112))),IF($D$4="Forint",0,2))</f>
        <v>0</v>
      </c>
      <c r="AY964" s="13">
        <f>$AR964+$AT964-$AU964-IF(ROUNDDOWN(IF(ISBLANK($AW964),$AV964,$AW964),IF($D$4="Forint",0,2))&gt;$AR964+$AT964-$AU964-IF($D$4="Forint",Paraméterek!$J$114,Paraméterek!$K$114),0,ROUNDDOWN(IF(ISBLANK($AW964),$AV964,$AW964),IF($D$4="Forint",0,2))-$AX964)</f>
        <v>0</v>
      </c>
      <c r="AZ964" s="13">
        <f t="shared" si="219"/>
        <v>0</v>
      </c>
    </row>
    <row r="965" spans="1:52" x14ac:dyDescent="0.2">
      <c r="A965" s="32">
        <v>946</v>
      </c>
      <c r="B965" s="32">
        <v>79</v>
      </c>
      <c r="C965" s="32">
        <v>10</v>
      </c>
      <c r="D965" s="13">
        <f t="shared" si="210"/>
        <v>0</v>
      </c>
      <c r="E965" s="13"/>
      <c r="F965" s="13"/>
      <c r="G965" s="13"/>
      <c r="H965" s="13">
        <f t="shared" si="211"/>
        <v>0</v>
      </c>
      <c r="I965" s="13">
        <f t="shared" si="212"/>
        <v>0</v>
      </c>
      <c r="J965" s="13">
        <f t="shared" si="213"/>
        <v>0</v>
      </c>
      <c r="K965" s="13">
        <f>ROUNDUP(IF($D$2="Egyszeri",$D965,IF($D$2="Havi",SUM($D$20:$D$31),IF(MOD($C965,$M$1)-1=0,SUM($D$20:$D$31),0))/12*$M$1)*VLOOKUP($B965,Paraméterek!$B$27:$D$30,IF($D$2="Egyszeri",3,2)),IF($D$4="Forint",0,2))</f>
        <v>0</v>
      </c>
      <c r="L965" s="13">
        <f t="shared" si="214"/>
        <v>0</v>
      </c>
      <c r="M965" s="13">
        <f t="shared" ca="1" si="220"/>
        <v>-1156135</v>
      </c>
      <c r="N965" s="13">
        <f ca="1">IF($V964&gt;=VLOOKUP($M$4-1+$B965,Paraméterek!$B$121:$D$122,IF($D$4="Forint",2,3)),0,VLOOKUP($M$4-1+$B965,Paraméterek!$B$121:$D$122,IF($D$4="Forint",2,3))-$V964)</f>
        <v>1166135</v>
      </c>
      <c r="O965" s="13">
        <f ca="1">ROUNDUP($N965*Paraméterek!$C$58/Paraméterek!$C$56,IF($D$4="Forint",0,2))</f>
        <v>186</v>
      </c>
      <c r="P965" s="13">
        <f t="shared" si="215"/>
        <v>5517</v>
      </c>
      <c r="Q965" s="33"/>
      <c r="R965" s="13">
        <f t="shared" ca="1" si="216"/>
        <v>0</v>
      </c>
      <c r="S965" s="13">
        <f ca="1">ROUNDUP(($M965-$O965-$P965+$R965)*VLOOKUP($B965,Paraméterek!$B$38:$D$39,IF($D$2="Egyszeri",3,2))/12,IF($D$4="Forint",0,2))</f>
        <v>-2837</v>
      </c>
      <c r="T965" s="13"/>
      <c r="U965" s="13"/>
      <c r="V965" s="13">
        <f ca="1">$M965-$O965-$P965+$R965-$S965-IF(ROUNDUP(IF(ISBLANK($U965),$T965,$U965)/IF(AND($B965=1,$D$2&lt;&gt;"Egyszeri"),1,VLOOKUP($B965+IF($C965=12,1,0),Paraméterek!$B$257:$D$267,IF($D$2="Egyszeri",3,2))),IF($D$4="Forint",0,2))&gt;$M965-$O965-$P965+$R965-$S965-IF($D$4="Forint",Paraméterek!$C$216,Paraméterek!$D$216),0,ROUNDUP(IF(ISBLANK($U965),$T965,$U965)/IF(AND($B965=1,$D$2&lt;&gt;"Egyszeri"),1,VLOOKUP($B965+IF($C965=12,1,0),Paraméterek!$B$257:$D$267,IF($D$2="Egyszeri",3,2))),IF($D$4="Forint",0,2)))</f>
        <v>-1159001</v>
      </c>
      <c r="W965" s="13">
        <f ca="1">ROUNDDOWN($V965*VLOOKUP($B965+IF($C965=12,1,0),Paraméterek!$B$257:$D$267,IF($D$2="Egyszeri",3,2)),IF($D$4="Forint",0,2))</f>
        <v>-1159001</v>
      </c>
      <c r="Y965" s="32">
        <v>946</v>
      </c>
      <c r="Z965" s="32">
        <v>79</v>
      </c>
      <c r="AA965" s="32">
        <v>10</v>
      </c>
      <c r="AB965" s="13">
        <f t="shared" si="221"/>
        <v>0</v>
      </c>
      <c r="AC965" s="33"/>
      <c r="AD965" s="13">
        <f t="shared" si="217"/>
        <v>0</v>
      </c>
      <c r="AE965" s="13">
        <f>ROUNDUP(($AB965+$AD965)*VLOOKUP($Z965,Paraméterek!$P$38:$Q$38,2)/12,IF($D$4="Forint",0,2))</f>
        <v>0</v>
      </c>
      <c r="AF965" s="13">
        <f>IF($D$2="Egyszeri",IF($D$7&gt;=IF($D$4="Forint",Paraméterek!$P$223,Paraméterek!$P$224),$D$7-IF($D$4="Forint",Paraméterek!$F$223,Paraméterek!$F$224),0),MIN(IF($AA965=12,AVERAGE($D$20:$D965)*12,0),SUM($D$20:$D$31)))</f>
        <v>0</v>
      </c>
      <c r="AG965" s="13">
        <f>IF(AND($Z965&gt;=10,MOD($Z965,5)=0),$AF965*IF($AA965=12,VLOOKUP($Z965,Paraméterek!$B$225:$F$240,IF($AF965&lt;IF($D$4="Forint",Paraméterek!$C$223,Paraméterek!$C$224),2,IF($AF965&lt;IF($D$4="Forint",Paraméterek!$D$223,Paraméterek!$D$224),3,4))),0),0)</f>
        <v>0</v>
      </c>
      <c r="AH965" s="13">
        <f>IF(AND($Z965&gt;=5,MOD($Z965,5)=0),IF($AA965=12,VLOOKUP($Z965,Paraméterek!$B$225:$F$240,5),0),IF(OR($Z965=3,$Z965=4),IF($AA965=12,VLOOKUP($Z965,Paraméterek!$B$225:$F$240,5,0),0),0))*$AF965</f>
        <v>0</v>
      </c>
      <c r="AI965" s="13">
        <f>ROUNDDOWN(IF(SUM($T$20:$U965)=0,IF($D$2="Egyszeri",$AH965,$AG965),0),IF($D$4="Forint",0,2))</f>
        <v>0</v>
      </c>
      <c r="AJ965" s="13">
        <f t="shared" si="222"/>
        <v>0</v>
      </c>
      <c r="AK965" s="13">
        <f t="shared" si="223"/>
        <v>0</v>
      </c>
      <c r="AM965" s="32">
        <v>946</v>
      </c>
      <c r="AN965" s="32">
        <v>79</v>
      </c>
      <c r="AO965" s="32">
        <v>10</v>
      </c>
      <c r="AP965" s="13"/>
      <c r="AQ965" s="32"/>
      <c r="AR965" s="13">
        <f t="shared" si="224"/>
        <v>0</v>
      </c>
      <c r="AS965" s="33"/>
      <c r="AT965" s="13">
        <f t="shared" si="218"/>
        <v>0</v>
      </c>
      <c r="AU965" s="13">
        <f>ROUNDUP(($AR965+$AT965)*VLOOKUP($AN965,Paraméterek!$P$38:$Q$38,2)/12,IF($D$4="Forint",0,2))</f>
        <v>0</v>
      </c>
      <c r="AV965" s="13"/>
      <c r="AW965" s="13"/>
      <c r="AX965" s="13">
        <f>ROUNDUP(IF(SUM($AV965:$AW965)=0,0,IF(IF(ISBLANK($AW965),$AV965,$AW965)*Paraméterek!$J$112&lt;IF($D$4="Forint",Paraméterek!$J$113,Paraméterek!$K$113),IF($D$4="Forint",Paraméterek!$J$113,Paraméterek!$K$113),IF(IF(ISBLANK($AW965),$AV965,$AW965)*Paraméterek!$J$112&gt;IF($D$4="Forint",Paraméterek!$J$114,Paraméterek!$K$114),IF($D$4="Forint",Paraméterek!$J$114,Paraméterek!$K$114),IF(ISBLANK($AW965),$AV965,$AW965)*Paraméterek!$J$112))),IF($D$4="Forint",0,2))</f>
        <v>0</v>
      </c>
      <c r="AY965" s="13">
        <f>$AR965+$AT965-$AU965-IF(ROUNDDOWN(IF(ISBLANK($AW965),$AV965,$AW965),IF($D$4="Forint",0,2))&gt;$AR965+$AT965-$AU965-IF($D$4="Forint",Paraméterek!$J$114,Paraméterek!$K$114),0,ROUNDDOWN(IF(ISBLANK($AW965),$AV965,$AW965),IF($D$4="Forint",0,2))-$AX965)</f>
        <v>0</v>
      </c>
      <c r="AZ965" s="13">
        <f t="shared" si="219"/>
        <v>0</v>
      </c>
    </row>
    <row r="966" spans="1:52" x14ac:dyDescent="0.2">
      <c r="A966" s="32">
        <v>947</v>
      </c>
      <c r="B966" s="32">
        <v>79</v>
      </c>
      <c r="C966" s="32">
        <v>11</v>
      </c>
      <c r="D966" s="13">
        <f t="shared" si="210"/>
        <v>0</v>
      </c>
      <c r="E966" s="13"/>
      <c r="F966" s="13"/>
      <c r="G966" s="13"/>
      <c r="H966" s="13">
        <f t="shared" si="211"/>
        <v>0</v>
      </c>
      <c r="I966" s="13">
        <f t="shared" si="212"/>
        <v>0</v>
      </c>
      <c r="J966" s="13">
        <f t="shared" si="213"/>
        <v>0</v>
      </c>
      <c r="K966" s="13">
        <f>ROUNDUP(IF($D$2="Egyszeri",$D966,IF($D$2="Havi",SUM($D$20:$D$31),IF(MOD($C966,$M$1)-1=0,SUM($D$20:$D$31),0))/12*$M$1)*VLOOKUP($B966,Paraméterek!$B$27:$D$30,IF($D$2="Egyszeri",3,2)),IF($D$4="Forint",0,2))</f>
        <v>0</v>
      </c>
      <c r="L966" s="13">
        <f t="shared" si="214"/>
        <v>0</v>
      </c>
      <c r="M966" s="13">
        <f t="shared" ca="1" si="220"/>
        <v>-1159001</v>
      </c>
      <c r="N966" s="13">
        <f ca="1">IF($V965&gt;=VLOOKUP($M$4-1+$B966,Paraméterek!$B$121:$D$122,IF($D$4="Forint",2,3)),0,VLOOKUP($M$4-1+$B966,Paraméterek!$B$121:$D$122,IF($D$4="Forint",2,3))-$V965)</f>
        <v>1169001</v>
      </c>
      <c r="O966" s="13">
        <f ca="1">ROUNDUP($N966*Paraméterek!$C$58/Paraméterek!$C$56,IF($D$4="Forint",0,2))</f>
        <v>187</v>
      </c>
      <c r="P966" s="13">
        <f t="shared" si="215"/>
        <v>5517</v>
      </c>
      <c r="Q966" s="33"/>
      <c r="R966" s="13">
        <f t="shared" ca="1" si="216"/>
        <v>0</v>
      </c>
      <c r="S966" s="13">
        <f ca="1">ROUNDUP(($M966-$O966-$P966+$R966)*VLOOKUP($B966,Paraméterek!$B$38:$D$39,IF($D$2="Egyszeri",3,2))/12,IF($D$4="Forint",0,2))</f>
        <v>-2844</v>
      </c>
      <c r="T966" s="13"/>
      <c r="U966" s="13"/>
      <c r="V966" s="13">
        <f ca="1">$M966-$O966-$P966+$R966-$S966-IF(ROUNDUP(IF(ISBLANK($U966),$T966,$U966)/IF(AND($B966=1,$D$2&lt;&gt;"Egyszeri"),1,VLOOKUP($B966+IF($C966=12,1,0),Paraméterek!$B$257:$D$267,IF($D$2="Egyszeri",3,2))),IF($D$4="Forint",0,2))&gt;$M966-$O966-$P966+$R966-$S966-IF($D$4="Forint",Paraméterek!$C$216,Paraméterek!$D$216),0,ROUNDUP(IF(ISBLANK($U966),$T966,$U966)/IF(AND($B966=1,$D$2&lt;&gt;"Egyszeri"),1,VLOOKUP($B966+IF($C966=12,1,0),Paraméterek!$B$257:$D$267,IF($D$2="Egyszeri",3,2))),IF($D$4="Forint",0,2)))</f>
        <v>-1161861</v>
      </c>
      <c r="W966" s="13">
        <f ca="1">ROUNDDOWN($V966*VLOOKUP($B966+IF($C966=12,1,0),Paraméterek!$B$257:$D$267,IF($D$2="Egyszeri",3,2)),IF($D$4="Forint",0,2))</f>
        <v>-1161861</v>
      </c>
      <c r="Y966" s="32">
        <v>947</v>
      </c>
      <c r="Z966" s="32">
        <v>79</v>
      </c>
      <c r="AA966" s="32">
        <v>11</v>
      </c>
      <c r="AB966" s="13">
        <f t="shared" si="221"/>
        <v>0</v>
      </c>
      <c r="AC966" s="33"/>
      <c r="AD966" s="13">
        <f t="shared" si="217"/>
        <v>0</v>
      </c>
      <c r="AE966" s="13">
        <f>ROUNDUP(($AB966+$AD966)*VLOOKUP($Z966,Paraméterek!$P$38:$Q$38,2)/12,IF($D$4="Forint",0,2))</f>
        <v>0</v>
      </c>
      <c r="AF966" s="13">
        <f>IF($D$2="Egyszeri",IF($D$7&gt;=IF($D$4="Forint",Paraméterek!$P$223,Paraméterek!$P$224),$D$7-IF($D$4="Forint",Paraméterek!$F$223,Paraméterek!$F$224),0),MIN(IF($AA966=12,AVERAGE($D$20:$D966)*12,0),SUM($D$20:$D$31)))</f>
        <v>0</v>
      </c>
      <c r="AG966" s="13">
        <f>IF(AND($Z966&gt;=10,MOD($Z966,5)=0),$AF966*IF($AA966=12,VLOOKUP($Z966,Paraméterek!$B$225:$F$240,IF($AF966&lt;IF($D$4="Forint",Paraméterek!$C$223,Paraméterek!$C$224),2,IF($AF966&lt;IF($D$4="Forint",Paraméterek!$D$223,Paraméterek!$D$224),3,4))),0),0)</f>
        <v>0</v>
      </c>
      <c r="AH966" s="13">
        <f>IF(AND($Z966&gt;=5,MOD($Z966,5)=0),IF($AA966=12,VLOOKUP($Z966,Paraméterek!$B$225:$F$240,5),0),IF(OR($Z966=3,$Z966=4),IF($AA966=12,VLOOKUP($Z966,Paraméterek!$B$225:$F$240,5,0),0),0))*$AF966</f>
        <v>0</v>
      </c>
      <c r="AI966" s="13">
        <f>ROUNDDOWN(IF(SUM($T$20:$U966)=0,IF($D$2="Egyszeri",$AH966,$AG966),0),IF($D$4="Forint",0,2))</f>
        <v>0</v>
      </c>
      <c r="AJ966" s="13">
        <f t="shared" si="222"/>
        <v>0</v>
      </c>
      <c r="AK966" s="13">
        <f t="shared" si="223"/>
        <v>0</v>
      </c>
      <c r="AM966" s="32">
        <v>947</v>
      </c>
      <c r="AN966" s="32">
        <v>79</v>
      </c>
      <c r="AO966" s="32">
        <v>11</v>
      </c>
      <c r="AP966" s="13"/>
      <c r="AQ966" s="32"/>
      <c r="AR966" s="13">
        <f t="shared" si="224"/>
        <v>0</v>
      </c>
      <c r="AS966" s="33"/>
      <c r="AT966" s="13">
        <f t="shared" si="218"/>
        <v>0</v>
      </c>
      <c r="AU966" s="13">
        <f>ROUNDUP(($AR966+$AT966)*VLOOKUP($AN966,Paraméterek!$P$38:$Q$38,2)/12,IF($D$4="Forint",0,2))</f>
        <v>0</v>
      </c>
      <c r="AV966" s="13"/>
      <c r="AW966" s="13"/>
      <c r="AX966" s="13">
        <f>ROUNDUP(IF(SUM($AV966:$AW966)=0,0,IF(IF(ISBLANK($AW966),$AV966,$AW966)*Paraméterek!$J$112&lt;IF($D$4="Forint",Paraméterek!$J$113,Paraméterek!$K$113),IF($D$4="Forint",Paraméterek!$J$113,Paraméterek!$K$113),IF(IF(ISBLANK($AW966),$AV966,$AW966)*Paraméterek!$J$112&gt;IF($D$4="Forint",Paraméterek!$J$114,Paraméterek!$K$114),IF($D$4="Forint",Paraméterek!$J$114,Paraméterek!$K$114),IF(ISBLANK($AW966),$AV966,$AW966)*Paraméterek!$J$112))),IF($D$4="Forint",0,2))</f>
        <v>0</v>
      </c>
      <c r="AY966" s="13">
        <f>$AR966+$AT966-$AU966-IF(ROUNDDOWN(IF(ISBLANK($AW966),$AV966,$AW966),IF($D$4="Forint",0,2))&gt;$AR966+$AT966-$AU966-IF($D$4="Forint",Paraméterek!$J$114,Paraméterek!$K$114),0,ROUNDDOWN(IF(ISBLANK($AW966),$AV966,$AW966),IF($D$4="Forint",0,2))-$AX966)</f>
        <v>0</v>
      </c>
      <c r="AZ966" s="13">
        <f t="shared" si="219"/>
        <v>0</v>
      </c>
    </row>
    <row r="967" spans="1:52" x14ac:dyDescent="0.2">
      <c r="A967" s="32">
        <v>948</v>
      </c>
      <c r="B967" s="32">
        <v>79</v>
      </c>
      <c r="C967" s="32">
        <v>12</v>
      </c>
      <c r="D967" s="13">
        <f t="shared" si="210"/>
        <v>0</v>
      </c>
      <c r="E967" s="13"/>
      <c r="F967" s="13"/>
      <c r="G967" s="13"/>
      <c r="H967" s="13">
        <f t="shared" si="211"/>
        <v>0</v>
      </c>
      <c r="I967" s="13">
        <f t="shared" si="212"/>
        <v>0</v>
      </c>
      <c r="J967" s="13">
        <f t="shared" si="213"/>
        <v>0</v>
      </c>
      <c r="K967" s="13">
        <f>ROUNDUP(IF($D$2="Egyszeri",$D967,IF($D$2="Havi",SUM($D$20:$D$31),IF(MOD($C967,$M$1)-1=0,SUM($D$20:$D$31),0))/12*$M$1)*VLOOKUP($B967,Paraméterek!$B$27:$D$30,IF($D$2="Egyszeri",3,2)),IF($D$4="Forint",0,2))</f>
        <v>0</v>
      </c>
      <c r="L967" s="13">
        <f t="shared" si="214"/>
        <v>0</v>
      </c>
      <c r="M967" s="13">
        <f t="shared" ca="1" si="220"/>
        <v>-1161861</v>
      </c>
      <c r="N967" s="13">
        <f ca="1">IF($V966&gt;=VLOOKUP($M$4-1+$B967,Paraméterek!$B$121:$D$122,IF($D$4="Forint",2,3)),0,VLOOKUP($M$4-1+$B967,Paraméterek!$B$121:$D$122,IF($D$4="Forint",2,3))-$V966)</f>
        <v>1171861</v>
      </c>
      <c r="O967" s="13">
        <f ca="1">ROUNDUP($N967*Paraméterek!$C$58/Paraméterek!$C$56,IF($D$4="Forint",0,2))</f>
        <v>187</v>
      </c>
      <c r="P967" s="13">
        <f t="shared" si="215"/>
        <v>5517</v>
      </c>
      <c r="Q967" s="33"/>
      <c r="R967" s="13">
        <f t="shared" ca="1" si="216"/>
        <v>0</v>
      </c>
      <c r="S967" s="13">
        <f ca="1">ROUNDUP(($M967-$O967-$P967+$R967)*VLOOKUP($B967,Paraméterek!$B$38:$D$39,IF($D$2="Egyszeri",3,2))/12,IF($D$4="Forint",0,2))</f>
        <v>-2851</v>
      </c>
      <c r="T967" s="13">
        <f>Tranzakciók!$F$110</f>
        <v>0</v>
      </c>
      <c r="U967" s="13"/>
      <c r="V967" s="13">
        <f ca="1">$M967-$O967-$P967+$R967-$S967-IF(ROUNDUP(IF(ISBLANK($U967),$T967,$U967)/IF(AND($B967=1,$D$2&lt;&gt;"Egyszeri"),1,VLOOKUP($B967+IF($C967=12,1,0),Paraméterek!$B$257:$D$267,IF($D$2="Egyszeri",3,2))),IF($D$4="Forint",0,2))&gt;$M967-$O967-$P967+$R967-$S967-IF($D$4="Forint",Paraméterek!$C$216,Paraméterek!$D$216),0,ROUNDUP(IF(ISBLANK($U967),$T967,$U967)/IF(AND($B967=1,$D$2&lt;&gt;"Egyszeri"),1,VLOOKUP($B967+IF($C967=12,1,0),Paraméterek!$B$257:$D$267,IF($D$2="Egyszeri",3,2))),IF($D$4="Forint",0,2)))</f>
        <v>-1164714</v>
      </c>
      <c r="W967" s="13">
        <f ca="1">ROUNDDOWN($V967*VLOOKUP($B967+IF($C967=12,1,0),Paraméterek!$B$257:$D$267,IF($D$2="Egyszeri",3,2)),IF($D$4="Forint",0,2))</f>
        <v>-1164714</v>
      </c>
      <c r="Y967" s="32">
        <v>948</v>
      </c>
      <c r="Z967" s="32">
        <v>79</v>
      </c>
      <c r="AA967" s="32">
        <v>12</v>
      </c>
      <c r="AB967" s="13">
        <f t="shared" si="221"/>
        <v>0</v>
      </c>
      <c r="AC967" s="33"/>
      <c r="AD967" s="13">
        <f t="shared" si="217"/>
        <v>0</v>
      </c>
      <c r="AE967" s="13">
        <f>ROUNDUP(($AB967+$AD967)*VLOOKUP($Z967,Paraméterek!$P$38:$Q$38,2)/12,IF($D$4="Forint",0,2))</f>
        <v>0</v>
      </c>
      <c r="AF967" s="13">
        <f>IF($D$2="Egyszeri",IF($D$7&gt;=IF($D$4="Forint",Paraméterek!$P$223,Paraméterek!$P$224),$D$7-IF($D$4="Forint",Paraméterek!$F$223,Paraméterek!$F$224),0),MIN(IF($AA967=12,AVERAGE($D$20:$D967)*12,0),SUM($D$20:$D$31)))</f>
        <v>0</v>
      </c>
      <c r="AG967" s="13">
        <f>IF(AND($Z967&gt;=10,MOD($Z967,5)=0),$AF967*IF($AA967=12,VLOOKUP($Z967,Paraméterek!$B$225:$F$240,IF($AF967&lt;IF($D$4="Forint",Paraméterek!$C$223,Paraméterek!$C$224),2,IF($AF967&lt;IF($D$4="Forint",Paraméterek!$D$223,Paraméterek!$D$224),3,4))),0),0)</f>
        <v>0</v>
      </c>
      <c r="AH967" s="13">
        <f>IF(AND($Z967&gt;=5,MOD($Z967,5)=0),IF($AA967=12,VLOOKUP($Z967,Paraméterek!$B$225:$F$240,5),0),IF(OR($Z967=3,$Z967=4),IF($AA967=12,VLOOKUP($Z967,Paraméterek!$B$225:$F$240,5,0),0),0))*$AF967</f>
        <v>0</v>
      </c>
      <c r="AI967" s="13">
        <f>ROUNDDOWN(IF(SUM($T$20:$U967)=0,IF($D$2="Egyszeri",$AH967,$AG967),0),IF($D$4="Forint",0,2))</f>
        <v>0</v>
      </c>
      <c r="AJ967" s="13">
        <f t="shared" si="222"/>
        <v>0</v>
      </c>
      <c r="AK967" s="13">
        <f t="shared" si="223"/>
        <v>0</v>
      </c>
      <c r="AM967" s="32">
        <v>948</v>
      </c>
      <c r="AN967" s="32">
        <v>79</v>
      </c>
      <c r="AO967" s="32">
        <v>12</v>
      </c>
      <c r="AP967" s="13"/>
      <c r="AQ967" s="32"/>
      <c r="AR967" s="13">
        <f t="shared" si="224"/>
        <v>0</v>
      </c>
      <c r="AS967" s="33"/>
      <c r="AT967" s="13">
        <f t="shared" si="218"/>
        <v>0</v>
      </c>
      <c r="AU967" s="13">
        <f>ROUNDUP(($AR967+$AT967)*VLOOKUP($AN967,Paraméterek!$P$38:$Q$38,2)/12,IF($D$4="Forint",0,2))</f>
        <v>0</v>
      </c>
      <c r="AV967" s="13">
        <f>Tranzakciók!$M$110</f>
        <v>0</v>
      </c>
      <c r="AW967" s="13"/>
      <c r="AX967" s="13">
        <f>ROUNDUP(IF(SUM($AV967:$AW967)=0,0,IF(IF(ISBLANK($AW967),$AV967,$AW967)*Paraméterek!$J$112&lt;IF($D$4="Forint",Paraméterek!$J$113,Paraméterek!$K$113),IF($D$4="Forint",Paraméterek!$J$113,Paraméterek!$K$113),IF(IF(ISBLANK($AW967),$AV967,$AW967)*Paraméterek!$J$112&gt;IF($D$4="Forint",Paraméterek!$J$114,Paraméterek!$K$114),IF($D$4="Forint",Paraméterek!$J$114,Paraméterek!$K$114),IF(ISBLANK($AW967),$AV967,$AW967)*Paraméterek!$J$112))),IF($D$4="Forint",0,2))</f>
        <v>0</v>
      </c>
      <c r="AY967" s="13">
        <f>$AR967+$AT967-$AU967-IF(ROUNDDOWN(IF(ISBLANK($AW967),$AV967,$AW967),IF($D$4="Forint",0,2))&gt;$AR967+$AT967-$AU967-IF($D$4="Forint",Paraméterek!$J$114,Paraméterek!$K$114),0,ROUNDDOWN(IF(ISBLANK($AW967),$AV967,$AW967),IF($D$4="Forint",0,2))-$AX967)</f>
        <v>0</v>
      </c>
      <c r="AZ967" s="13">
        <f t="shared" si="219"/>
        <v>0</v>
      </c>
    </row>
    <row r="968" spans="1:52" x14ac:dyDescent="0.2">
      <c r="A968" s="32">
        <v>949</v>
      </c>
      <c r="B968" s="32">
        <v>80</v>
      </c>
      <c r="C968" s="32">
        <v>1</v>
      </c>
      <c r="D968" s="13">
        <f t="shared" si="210"/>
        <v>0</v>
      </c>
      <c r="E968" s="13"/>
      <c r="F968" s="13">
        <f>Tranzakciók!$D$111</f>
        <v>0</v>
      </c>
      <c r="G968" s="13"/>
      <c r="H968" s="13">
        <f t="shared" si="211"/>
        <v>0</v>
      </c>
      <c r="I968" s="13">
        <f t="shared" si="212"/>
        <v>1034</v>
      </c>
      <c r="J968" s="13">
        <f t="shared" si="213"/>
        <v>1034</v>
      </c>
      <c r="K968" s="13">
        <f>ROUNDUP(IF($D$2="Egyszeri",$D968,IF($D$2="Havi",SUM($D$20:$D$31),IF(MOD($C968,$M$1)-1=0,SUM($D$20:$D$31),0))/12*$M$1)*VLOOKUP($B968,Paraméterek!$B$27:$D$30,IF($D$2="Egyszeri",3,2)),IF($D$4="Forint",0,2))</f>
        <v>0</v>
      </c>
      <c r="L968" s="13">
        <f t="shared" si="214"/>
        <v>0</v>
      </c>
      <c r="M968" s="13">
        <f t="shared" ca="1" si="220"/>
        <v>-1164714</v>
      </c>
      <c r="N968" s="13">
        <f ca="1">IF($V967&gt;=VLOOKUP($M$4-1+$B968,Paraméterek!$B$121:$D$122,IF($D$4="Forint",2,3)),0,VLOOKUP($M$4-1+$B968,Paraméterek!$B$121:$D$122,IF($D$4="Forint",2,3))-$V967)</f>
        <v>1174714</v>
      </c>
      <c r="O968" s="13">
        <f ca="1">ROUNDUP($N968*Paraméterek!$C$58/Paraméterek!$C$56,IF($D$4="Forint",0,2))</f>
        <v>187</v>
      </c>
      <c r="P968" s="13">
        <f t="shared" si="215"/>
        <v>5683</v>
      </c>
      <c r="Q968" s="33"/>
      <c r="R968" s="13">
        <f t="shared" ca="1" si="216"/>
        <v>0</v>
      </c>
      <c r="S968" s="13">
        <f ca="1">ROUNDUP(($M968-$O968-$P968+$R968)*VLOOKUP($B968,Paraméterek!$B$38:$D$39,IF($D$2="Egyszeri",3,2))/12,IF($D$4="Forint",0,2))</f>
        <v>-2859</v>
      </c>
      <c r="T968" s="13"/>
      <c r="U968" s="13"/>
      <c r="V968" s="13">
        <f ca="1">$M968-$O968-$P968+$R968-$S968-IF(ROUNDUP(IF(ISBLANK($U968),$T968,$U968)/IF(AND($B968=1,$D$2&lt;&gt;"Egyszeri"),1,VLOOKUP($B968+IF($C968=12,1,0),Paraméterek!$B$257:$D$267,IF($D$2="Egyszeri",3,2))),IF($D$4="Forint",0,2))&gt;$M968-$O968-$P968+$R968-$S968-IF($D$4="Forint",Paraméterek!$C$216,Paraméterek!$D$216),0,ROUNDUP(IF(ISBLANK($U968),$T968,$U968)/IF(AND($B968=1,$D$2&lt;&gt;"Egyszeri"),1,VLOOKUP($B968+IF($C968=12,1,0),Paraméterek!$B$257:$D$267,IF($D$2="Egyszeri",3,2))),IF($D$4="Forint",0,2)))</f>
        <v>-1167725</v>
      </c>
      <c r="W968" s="13">
        <f ca="1">ROUNDDOWN($V968*VLOOKUP($B968+IF($C968=12,1,0),Paraméterek!$B$257:$D$267,IF($D$2="Egyszeri",3,2)),IF($D$4="Forint",0,2))</f>
        <v>-1167725</v>
      </c>
      <c r="Y968" s="32">
        <v>949</v>
      </c>
      <c r="Z968" s="32">
        <v>80</v>
      </c>
      <c r="AA968" s="32">
        <v>1</v>
      </c>
      <c r="AB968" s="13">
        <f t="shared" si="221"/>
        <v>0</v>
      </c>
      <c r="AC968" s="33"/>
      <c r="AD968" s="13">
        <f t="shared" si="217"/>
        <v>0</v>
      </c>
      <c r="AE968" s="13">
        <f>ROUNDUP(($AB968+$AD968)*VLOOKUP($Z968,Paraméterek!$P$38:$Q$38,2)/12,IF($D$4="Forint",0,2))</f>
        <v>0</v>
      </c>
      <c r="AF968" s="13">
        <f>IF($D$2="Egyszeri",IF($D$7&gt;=IF($D$4="Forint",Paraméterek!$P$223,Paraméterek!$P$224),$D$7-IF($D$4="Forint",Paraméterek!$F$223,Paraméterek!$F$224),0),MIN(IF($AA968=12,AVERAGE($D$20:$D968)*12,0),SUM($D$20:$D$31)))</f>
        <v>0</v>
      </c>
      <c r="AG968" s="13">
        <f>IF(AND($Z968&gt;=10,MOD($Z968,5)=0),$AF968*IF($AA968=12,VLOOKUP($Z968,Paraméterek!$B$225:$F$240,IF($AF968&lt;IF($D$4="Forint",Paraméterek!$C$223,Paraméterek!$C$224),2,IF($AF968&lt;IF($D$4="Forint",Paraméterek!$D$223,Paraméterek!$D$224),3,4))),0),0)</f>
        <v>0</v>
      </c>
      <c r="AH968" s="13">
        <f>IF(AND($Z968&gt;=5,MOD($Z968,5)=0),IF($AA968=12,VLOOKUP($Z968,Paraméterek!$B$225:$F$240,5),0),IF(OR($Z968=3,$Z968=4),IF($AA968=12,VLOOKUP($Z968,Paraméterek!$B$225:$F$240,5,0),0),0))*$AF968</f>
        <v>0</v>
      </c>
      <c r="AI968" s="13">
        <f>ROUNDDOWN(IF(SUM($T$20:$U968)=0,IF($D$2="Egyszeri",$AH968,$AG968),0),IF($D$4="Forint",0,2))</f>
        <v>0</v>
      </c>
      <c r="AJ968" s="13">
        <f t="shared" si="222"/>
        <v>0</v>
      </c>
      <c r="AK968" s="13">
        <f t="shared" si="223"/>
        <v>0</v>
      </c>
      <c r="AM968" s="32">
        <v>949</v>
      </c>
      <c r="AN968" s="32">
        <v>80</v>
      </c>
      <c r="AO968" s="32">
        <v>1</v>
      </c>
      <c r="AP968" s="13">
        <f>Tranzakciók!$K$111</f>
        <v>0</v>
      </c>
      <c r="AQ968" s="32"/>
      <c r="AR968" s="13">
        <f t="shared" si="224"/>
        <v>0</v>
      </c>
      <c r="AS968" s="33"/>
      <c r="AT968" s="13">
        <f t="shared" si="218"/>
        <v>0</v>
      </c>
      <c r="AU968" s="13">
        <f>ROUNDUP(($AR968+$AT968)*VLOOKUP($AN968,Paraméterek!$P$38:$Q$38,2)/12,IF($D$4="Forint",0,2))</f>
        <v>0</v>
      </c>
      <c r="AV968" s="13"/>
      <c r="AW968" s="13"/>
      <c r="AX968" s="13">
        <f>ROUNDUP(IF(SUM($AV968:$AW968)=0,0,IF(IF(ISBLANK($AW968),$AV968,$AW968)*Paraméterek!$J$112&lt;IF($D$4="Forint",Paraméterek!$J$113,Paraméterek!$K$113),IF($D$4="Forint",Paraméterek!$J$113,Paraméterek!$K$113),IF(IF(ISBLANK($AW968),$AV968,$AW968)*Paraméterek!$J$112&gt;IF($D$4="Forint",Paraméterek!$J$114,Paraméterek!$K$114),IF($D$4="Forint",Paraméterek!$J$114,Paraméterek!$K$114),IF(ISBLANK($AW968),$AV968,$AW968)*Paraméterek!$J$112))),IF($D$4="Forint",0,2))</f>
        <v>0</v>
      </c>
      <c r="AY968" s="13">
        <f>$AR968+$AT968-$AU968-IF(ROUNDDOWN(IF(ISBLANK($AW968),$AV968,$AW968),IF($D$4="Forint",0,2))&gt;$AR968+$AT968-$AU968-IF($D$4="Forint",Paraméterek!$J$114,Paraméterek!$K$114),0,ROUNDDOWN(IF(ISBLANK($AW968),$AV968,$AW968),IF($D$4="Forint",0,2))-$AX968)</f>
        <v>0</v>
      </c>
      <c r="AZ968" s="13">
        <f t="shared" si="219"/>
        <v>0</v>
      </c>
    </row>
    <row r="969" spans="1:52" x14ac:dyDescent="0.2">
      <c r="A969" s="32">
        <v>950</v>
      </c>
      <c r="B969" s="32">
        <v>80</v>
      </c>
      <c r="C969" s="32">
        <v>2</v>
      </c>
      <c r="D969" s="13">
        <f t="shared" si="210"/>
        <v>0</v>
      </c>
      <c r="E969" s="13"/>
      <c r="F969" s="13"/>
      <c r="G969" s="13"/>
      <c r="H969" s="13">
        <f t="shared" si="211"/>
        <v>0</v>
      </c>
      <c r="I969" s="13">
        <f t="shared" si="212"/>
        <v>0</v>
      </c>
      <c r="J969" s="13">
        <f t="shared" si="213"/>
        <v>0</v>
      </c>
      <c r="K969" s="13">
        <f>ROUNDUP(IF($D$2="Egyszeri",$D969,IF($D$2="Havi",SUM($D$20:$D$31),IF(MOD($C969,$M$1)-1=0,SUM($D$20:$D$31),0))/12*$M$1)*VLOOKUP($B969,Paraméterek!$B$27:$D$30,IF($D$2="Egyszeri",3,2)),IF($D$4="Forint",0,2))</f>
        <v>0</v>
      </c>
      <c r="L969" s="13">
        <f t="shared" si="214"/>
        <v>0</v>
      </c>
      <c r="M969" s="13">
        <f t="shared" ca="1" si="220"/>
        <v>-1167725</v>
      </c>
      <c r="N969" s="13">
        <f ca="1">IF($V968&gt;=VLOOKUP($M$4-1+$B969,Paraméterek!$B$121:$D$122,IF($D$4="Forint",2,3)),0,VLOOKUP($M$4-1+$B969,Paraméterek!$B$121:$D$122,IF($D$4="Forint",2,3))-$V968)</f>
        <v>1177725</v>
      </c>
      <c r="O969" s="13">
        <f ca="1">ROUNDUP($N969*Paraméterek!$C$58/Paraméterek!$C$56,IF($D$4="Forint",0,2))</f>
        <v>188</v>
      </c>
      <c r="P969" s="13">
        <f t="shared" si="215"/>
        <v>5683</v>
      </c>
      <c r="Q969" s="33"/>
      <c r="R969" s="13">
        <f t="shared" ca="1" si="216"/>
        <v>0</v>
      </c>
      <c r="S969" s="13">
        <f ca="1">ROUNDUP(($M969-$O969-$P969+$R969)*VLOOKUP($B969,Paraméterek!$B$38:$D$39,IF($D$2="Egyszeri",3,2))/12,IF($D$4="Forint",0,2))</f>
        <v>-2866</v>
      </c>
      <c r="T969" s="13"/>
      <c r="U969" s="13"/>
      <c r="V969" s="13">
        <f ca="1">$M969-$O969-$P969+$R969-$S969-IF(ROUNDUP(IF(ISBLANK($U969),$T969,$U969)/IF(AND($B969=1,$D$2&lt;&gt;"Egyszeri"),1,VLOOKUP($B969+IF($C969=12,1,0),Paraméterek!$B$257:$D$267,IF($D$2="Egyszeri",3,2))),IF($D$4="Forint",0,2))&gt;$M969-$O969-$P969+$R969-$S969-IF($D$4="Forint",Paraméterek!$C$216,Paraméterek!$D$216),0,ROUNDUP(IF(ISBLANK($U969),$T969,$U969)/IF(AND($B969=1,$D$2&lt;&gt;"Egyszeri"),1,VLOOKUP($B969+IF($C969=12,1,0),Paraméterek!$B$257:$D$267,IF($D$2="Egyszeri",3,2))),IF($D$4="Forint",0,2)))</f>
        <v>-1170730</v>
      </c>
      <c r="W969" s="13">
        <f ca="1">ROUNDDOWN($V969*VLOOKUP($B969+IF($C969=12,1,0),Paraméterek!$B$257:$D$267,IF($D$2="Egyszeri",3,2)),IF($D$4="Forint",0,2))</f>
        <v>-1170730</v>
      </c>
      <c r="Y969" s="32">
        <v>950</v>
      </c>
      <c r="Z969" s="32">
        <v>80</v>
      </c>
      <c r="AA969" s="32">
        <v>2</v>
      </c>
      <c r="AB969" s="13">
        <f t="shared" si="221"/>
        <v>0</v>
      </c>
      <c r="AC969" s="33"/>
      <c r="AD969" s="13">
        <f t="shared" si="217"/>
        <v>0</v>
      </c>
      <c r="AE969" s="13">
        <f>ROUNDUP(($AB969+$AD969)*VLOOKUP($Z969,Paraméterek!$P$38:$Q$38,2)/12,IF($D$4="Forint",0,2))</f>
        <v>0</v>
      </c>
      <c r="AF969" s="13">
        <f>IF($D$2="Egyszeri",IF($D$7&gt;=IF($D$4="Forint",Paraméterek!$P$223,Paraméterek!$P$224),$D$7-IF($D$4="Forint",Paraméterek!$F$223,Paraméterek!$F$224),0),MIN(IF($AA969=12,AVERAGE($D$20:$D969)*12,0),SUM($D$20:$D$31)))</f>
        <v>0</v>
      </c>
      <c r="AG969" s="13">
        <f>IF(AND($Z969&gt;=10,MOD($Z969,5)=0),$AF969*IF($AA969=12,VLOOKUP($Z969,Paraméterek!$B$225:$F$240,IF($AF969&lt;IF($D$4="Forint",Paraméterek!$C$223,Paraméterek!$C$224),2,IF($AF969&lt;IF($D$4="Forint",Paraméterek!$D$223,Paraméterek!$D$224),3,4))),0),0)</f>
        <v>0</v>
      </c>
      <c r="AH969" s="13">
        <f>IF(AND($Z969&gt;=5,MOD($Z969,5)=0),IF($AA969=12,VLOOKUP($Z969,Paraméterek!$B$225:$F$240,5),0),IF(OR($Z969=3,$Z969=4),IF($AA969=12,VLOOKUP($Z969,Paraméterek!$B$225:$F$240,5,0),0),0))*$AF969</f>
        <v>0</v>
      </c>
      <c r="AI969" s="13">
        <f>ROUNDDOWN(IF(SUM($T$20:$U969)=0,IF($D$2="Egyszeri",$AH969,$AG969),0),IF($D$4="Forint",0,2))</f>
        <v>0</v>
      </c>
      <c r="AJ969" s="13">
        <f t="shared" si="222"/>
        <v>0</v>
      </c>
      <c r="AK969" s="13">
        <f t="shared" si="223"/>
        <v>0</v>
      </c>
      <c r="AM969" s="32">
        <v>950</v>
      </c>
      <c r="AN969" s="32">
        <v>80</v>
      </c>
      <c r="AO969" s="32">
        <v>2</v>
      </c>
      <c r="AP969" s="13"/>
      <c r="AQ969" s="32"/>
      <c r="AR969" s="13">
        <f t="shared" si="224"/>
        <v>0</v>
      </c>
      <c r="AS969" s="33"/>
      <c r="AT969" s="13">
        <f t="shared" si="218"/>
        <v>0</v>
      </c>
      <c r="AU969" s="13">
        <f>ROUNDUP(($AR969+$AT969)*VLOOKUP($AN969,Paraméterek!$P$38:$Q$38,2)/12,IF($D$4="Forint",0,2))</f>
        <v>0</v>
      </c>
      <c r="AV969" s="13"/>
      <c r="AW969" s="13"/>
      <c r="AX969" s="13">
        <f>ROUNDUP(IF(SUM($AV969:$AW969)=0,0,IF(IF(ISBLANK($AW969),$AV969,$AW969)*Paraméterek!$J$112&lt;IF($D$4="Forint",Paraméterek!$J$113,Paraméterek!$K$113),IF($D$4="Forint",Paraméterek!$J$113,Paraméterek!$K$113),IF(IF(ISBLANK($AW969),$AV969,$AW969)*Paraméterek!$J$112&gt;IF($D$4="Forint",Paraméterek!$J$114,Paraméterek!$K$114),IF($D$4="Forint",Paraméterek!$J$114,Paraméterek!$K$114),IF(ISBLANK($AW969),$AV969,$AW969)*Paraméterek!$J$112))),IF($D$4="Forint",0,2))</f>
        <v>0</v>
      </c>
      <c r="AY969" s="13">
        <f>$AR969+$AT969-$AU969-IF(ROUNDDOWN(IF(ISBLANK($AW969),$AV969,$AW969),IF($D$4="Forint",0,2))&gt;$AR969+$AT969-$AU969-IF($D$4="Forint",Paraméterek!$J$114,Paraméterek!$K$114),0,ROUNDDOWN(IF(ISBLANK($AW969),$AV969,$AW969),IF($D$4="Forint",0,2))-$AX969)</f>
        <v>0</v>
      </c>
      <c r="AZ969" s="13">
        <f t="shared" si="219"/>
        <v>0</v>
      </c>
    </row>
    <row r="970" spans="1:52" x14ac:dyDescent="0.2">
      <c r="A970" s="32">
        <v>951</v>
      </c>
      <c r="B970" s="32">
        <v>80</v>
      </c>
      <c r="C970" s="32">
        <v>3</v>
      </c>
      <c r="D970" s="13">
        <f t="shared" si="210"/>
        <v>0</v>
      </c>
      <c r="E970" s="13"/>
      <c r="F970" s="13"/>
      <c r="G970" s="13"/>
      <c r="H970" s="13">
        <f t="shared" si="211"/>
        <v>0</v>
      </c>
      <c r="I970" s="13">
        <f t="shared" si="212"/>
        <v>0</v>
      </c>
      <c r="J970" s="13">
        <f t="shared" si="213"/>
        <v>0</v>
      </c>
      <c r="K970" s="13">
        <f>ROUNDUP(IF($D$2="Egyszeri",$D970,IF($D$2="Havi",SUM($D$20:$D$31),IF(MOD($C970,$M$1)-1=0,SUM($D$20:$D$31),0))/12*$M$1)*VLOOKUP($B970,Paraméterek!$B$27:$D$30,IF($D$2="Egyszeri",3,2)),IF($D$4="Forint",0,2))</f>
        <v>0</v>
      </c>
      <c r="L970" s="13">
        <f t="shared" si="214"/>
        <v>0</v>
      </c>
      <c r="M970" s="13">
        <f t="shared" ca="1" si="220"/>
        <v>-1170730</v>
      </c>
      <c r="N970" s="13">
        <f ca="1">IF($V969&gt;=VLOOKUP($M$4-1+$B970,Paraméterek!$B$121:$D$122,IF($D$4="Forint",2,3)),0,VLOOKUP($M$4-1+$B970,Paraméterek!$B$121:$D$122,IF($D$4="Forint",2,3))-$V969)</f>
        <v>1180730</v>
      </c>
      <c r="O970" s="13">
        <f ca="1">ROUNDUP($N970*Paraméterek!$C$58/Paraméterek!$C$56,IF($D$4="Forint",0,2))</f>
        <v>188</v>
      </c>
      <c r="P970" s="13">
        <f t="shared" si="215"/>
        <v>5683</v>
      </c>
      <c r="Q970" s="33"/>
      <c r="R970" s="13">
        <f t="shared" ca="1" si="216"/>
        <v>0</v>
      </c>
      <c r="S970" s="13">
        <f ca="1">ROUNDUP(($M970-$O970-$P970+$R970)*VLOOKUP($B970,Paraméterek!$B$38:$D$39,IF($D$2="Egyszeri",3,2))/12,IF($D$4="Forint",0,2))</f>
        <v>-2873</v>
      </c>
      <c r="T970" s="13"/>
      <c r="U970" s="13"/>
      <c r="V970" s="13">
        <f ca="1">$M970-$O970-$P970+$R970-$S970-IF(ROUNDUP(IF(ISBLANK($U970),$T970,$U970)/IF(AND($B970=1,$D$2&lt;&gt;"Egyszeri"),1,VLOOKUP($B970+IF($C970=12,1,0),Paraméterek!$B$257:$D$267,IF($D$2="Egyszeri",3,2))),IF($D$4="Forint",0,2))&gt;$M970-$O970-$P970+$R970-$S970-IF($D$4="Forint",Paraméterek!$C$216,Paraméterek!$D$216),0,ROUNDUP(IF(ISBLANK($U970),$T970,$U970)/IF(AND($B970=1,$D$2&lt;&gt;"Egyszeri"),1,VLOOKUP($B970+IF($C970=12,1,0),Paraméterek!$B$257:$D$267,IF($D$2="Egyszeri",3,2))),IF($D$4="Forint",0,2)))</f>
        <v>-1173728</v>
      </c>
      <c r="W970" s="13">
        <f ca="1">ROUNDDOWN($V970*VLOOKUP($B970+IF($C970=12,1,0),Paraméterek!$B$257:$D$267,IF($D$2="Egyszeri",3,2)),IF($D$4="Forint",0,2))</f>
        <v>-1173728</v>
      </c>
      <c r="Y970" s="32">
        <v>951</v>
      </c>
      <c r="Z970" s="32">
        <v>80</v>
      </c>
      <c r="AA970" s="32">
        <v>3</v>
      </c>
      <c r="AB970" s="13">
        <f t="shared" si="221"/>
        <v>0</v>
      </c>
      <c r="AC970" s="33"/>
      <c r="AD970" s="13">
        <f t="shared" si="217"/>
        <v>0</v>
      </c>
      <c r="AE970" s="13">
        <f>ROUNDUP(($AB970+$AD970)*VLOOKUP($Z970,Paraméterek!$P$38:$Q$38,2)/12,IF($D$4="Forint",0,2))</f>
        <v>0</v>
      </c>
      <c r="AF970" s="13">
        <f>IF($D$2="Egyszeri",IF($D$7&gt;=IF($D$4="Forint",Paraméterek!$P$223,Paraméterek!$P$224),$D$7-IF($D$4="Forint",Paraméterek!$F$223,Paraméterek!$F$224),0),MIN(IF($AA970=12,AVERAGE($D$20:$D970)*12,0),SUM($D$20:$D$31)))</f>
        <v>0</v>
      </c>
      <c r="AG970" s="13">
        <f>IF(AND($Z970&gt;=10,MOD($Z970,5)=0),$AF970*IF($AA970=12,VLOOKUP($Z970,Paraméterek!$B$225:$F$240,IF($AF970&lt;IF($D$4="Forint",Paraméterek!$C$223,Paraméterek!$C$224),2,IF($AF970&lt;IF($D$4="Forint",Paraméterek!$D$223,Paraméterek!$D$224),3,4))),0),0)</f>
        <v>0</v>
      </c>
      <c r="AH970" s="13">
        <f>IF(AND($Z970&gt;=5,MOD($Z970,5)=0),IF($AA970=12,VLOOKUP($Z970,Paraméterek!$B$225:$F$240,5),0),IF(OR($Z970=3,$Z970=4),IF($AA970=12,VLOOKUP($Z970,Paraméterek!$B$225:$F$240,5,0),0),0))*$AF970</f>
        <v>0</v>
      </c>
      <c r="AI970" s="13">
        <f>ROUNDDOWN(IF(SUM($T$20:$U970)=0,IF($D$2="Egyszeri",$AH970,$AG970),0),IF($D$4="Forint",0,2))</f>
        <v>0</v>
      </c>
      <c r="AJ970" s="13">
        <f t="shared" si="222"/>
        <v>0</v>
      </c>
      <c r="AK970" s="13">
        <f t="shared" si="223"/>
        <v>0</v>
      </c>
      <c r="AM970" s="32">
        <v>951</v>
      </c>
      <c r="AN970" s="32">
        <v>80</v>
      </c>
      <c r="AO970" s="32">
        <v>3</v>
      </c>
      <c r="AP970" s="13"/>
      <c r="AQ970" s="32"/>
      <c r="AR970" s="13">
        <f t="shared" si="224"/>
        <v>0</v>
      </c>
      <c r="AS970" s="33"/>
      <c r="AT970" s="13">
        <f t="shared" si="218"/>
        <v>0</v>
      </c>
      <c r="AU970" s="13">
        <f>ROUNDUP(($AR970+$AT970)*VLOOKUP($AN970,Paraméterek!$P$38:$Q$38,2)/12,IF($D$4="Forint",0,2))</f>
        <v>0</v>
      </c>
      <c r="AV970" s="13"/>
      <c r="AW970" s="13"/>
      <c r="AX970" s="13">
        <f>ROUNDUP(IF(SUM($AV970:$AW970)=0,0,IF(IF(ISBLANK($AW970),$AV970,$AW970)*Paraméterek!$J$112&lt;IF($D$4="Forint",Paraméterek!$J$113,Paraméterek!$K$113),IF($D$4="Forint",Paraméterek!$J$113,Paraméterek!$K$113),IF(IF(ISBLANK($AW970),$AV970,$AW970)*Paraméterek!$J$112&gt;IF($D$4="Forint",Paraméterek!$J$114,Paraméterek!$K$114),IF($D$4="Forint",Paraméterek!$J$114,Paraméterek!$K$114),IF(ISBLANK($AW970),$AV970,$AW970)*Paraméterek!$J$112))),IF($D$4="Forint",0,2))</f>
        <v>0</v>
      </c>
      <c r="AY970" s="13">
        <f>$AR970+$AT970-$AU970-IF(ROUNDDOWN(IF(ISBLANK($AW970),$AV970,$AW970),IF($D$4="Forint",0,2))&gt;$AR970+$AT970-$AU970-IF($D$4="Forint",Paraméterek!$J$114,Paraméterek!$K$114),0,ROUNDDOWN(IF(ISBLANK($AW970),$AV970,$AW970),IF($D$4="Forint",0,2))-$AX970)</f>
        <v>0</v>
      </c>
      <c r="AZ970" s="13">
        <f t="shared" si="219"/>
        <v>0</v>
      </c>
    </row>
    <row r="971" spans="1:52" x14ac:dyDescent="0.2">
      <c r="A971" s="32">
        <v>952</v>
      </c>
      <c r="B971" s="32">
        <v>80</v>
      </c>
      <c r="C971" s="32">
        <v>4</v>
      </c>
      <c r="D971" s="13">
        <f t="shared" si="210"/>
        <v>0</v>
      </c>
      <c r="E971" s="13"/>
      <c r="F971" s="13"/>
      <c r="G971" s="13"/>
      <c r="H971" s="13">
        <f t="shared" si="211"/>
        <v>0</v>
      </c>
      <c r="I971" s="13">
        <f t="shared" si="212"/>
        <v>0</v>
      </c>
      <c r="J971" s="13">
        <f t="shared" si="213"/>
        <v>0</v>
      </c>
      <c r="K971" s="13">
        <f>ROUNDUP(IF($D$2="Egyszeri",$D971,IF($D$2="Havi",SUM($D$20:$D$31),IF(MOD($C971,$M$1)-1=0,SUM($D$20:$D$31),0))/12*$M$1)*VLOOKUP($B971,Paraméterek!$B$27:$D$30,IF($D$2="Egyszeri",3,2)),IF($D$4="Forint",0,2))</f>
        <v>0</v>
      </c>
      <c r="L971" s="13">
        <f t="shared" si="214"/>
        <v>0</v>
      </c>
      <c r="M971" s="13">
        <f t="shared" ca="1" si="220"/>
        <v>-1173728</v>
      </c>
      <c r="N971" s="13">
        <f ca="1">IF($V970&gt;=VLOOKUP($M$4-1+$B971,Paraméterek!$B$121:$D$122,IF($D$4="Forint",2,3)),0,VLOOKUP($M$4-1+$B971,Paraméterek!$B$121:$D$122,IF($D$4="Forint",2,3))-$V970)</f>
        <v>1183728</v>
      </c>
      <c r="O971" s="13">
        <f ca="1">ROUNDUP($N971*Paraméterek!$C$58/Paraméterek!$C$56,IF($D$4="Forint",0,2))</f>
        <v>189</v>
      </c>
      <c r="P971" s="13">
        <f t="shared" si="215"/>
        <v>5683</v>
      </c>
      <c r="Q971" s="33"/>
      <c r="R971" s="13">
        <f t="shared" ca="1" si="216"/>
        <v>0</v>
      </c>
      <c r="S971" s="13">
        <f ca="1">ROUNDUP(($M971-$O971-$P971+$R971)*VLOOKUP($B971,Paraméterek!$B$38:$D$39,IF($D$2="Egyszeri",3,2))/12,IF($D$4="Forint",0,2))</f>
        <v>-2881</v>
      </c>
      <c r="T971" s="13"/>
      <c r="U971" s="13"/>
      <c r="V971" s="13">
        <f ca="1">$M971-$O971-$P971+$R971-$S971-IF(ROUNDUP(IF(ISBLANK($U971),$T971,$U971)/IF(AND($B971=1,$D$2&lt;&gt;"Egyszeri"),1,VLOOKUP($B971+IF($C971=12,1,0),Paraméterek!$B$257:$D$267,IF($D$2="Egyszeri",3,2))),IF($D$4="Forint",0,2))&gt;$M971-$O971-$P971+$R971-$S971-IF($D$4="Forint",Paraméterek!$C$216,Paraméterek!$D$216),0,ROUNDUP(IF(ISBLANK($U971),$T971,$U971)/IF(AND($B971=1,$D$2&lt;&gt;"Egyszeri"),1,VLOOKUP($B971+IF($C971=12,1,0),Paraméterek!$B$257:$D$267,IF($D$2="Egyszeri",3,2))),IF($D$4="Forint",0,2)))</f>
        <v>-1176719</v>
      </c>
      <c r="W971" s="13">
        <f ca="1">ROUNDDOWN($V971*VLOOKUP($B971+IF($C971=12,1,0),Paraméterek!$B$257:$D$267,IF($D$2="Egyszeri",3,2)),IF($D$4="Forint",0,2))</f>
        <v>-1176719</v>
      </c>
      <c r="Y971" s="32">
        <v>952</v>
      </c>
      <c r="Z971" s="32">
        <v>80</v>
      </c>
      <c r="AA971" s="32">
        <v>4</v>
      </c>
      <c r="AB971" s="13">
        <f t="shared" si="221"/>
        <v>0</v>
      </c>
      <c r="AC971" s="33"/>
      <c r="AD971" s="13">
        <f t="shared" si="217"/>
        <v>0</v>
      </c>
      <c r="AE971" s="13">
        <f>ROUNDUP(($AB971+$AD971)*VLOOKUP($Z971,Paraméterek!$P$38:$Q$38,2)/12,IF($D$4="Forint",0,2))</f>
        <v>0</v>
      </c>
      <c r="AF971" s="13">
        <f>IF($D$2="Egyszeri",IF($D$7&gt;=IF($D$4="Forint",Paraméterek!$P$223,Paraméterek!$P$224),$D$7-IF($D$4="Forint",Paraméterek!$F$223,Paraméterek!$F$224),0),MIN(IF($AA971=12,AVERAGE($D$20:$D971)*12,0),SUM($D$20:$D$31)))</f>
        <v>0</v>
      </c>
      <c r="AG971" s="13">
        <f>IF(AND($Z971&gt;=10,MOD($Z971,5)=0),$AF971*IF($AA971=12,VLOOKUP($Z971,Paraméterek!$B$225:$F$240,IF($AF971&lt;IF($D$4="Forint",Paraméterek!$C$223,Paraméterek!$C$224),2,IF($AF971&lt;IF($D$4="Forint",Paraméterek!$D$223,Paraméterek!$D$224),3,4))),0),0)</f>
        <v>0</v>
      </c>
      <c r="AH971" s="13">
        <f>IF(AND($Z971&gt;=5,MOD($Z971,5)=0),IF($AA971=12,VLOOKUP($Z971,Paraméterek!$B$225:$F$240,5),0),IF(OR($Z971=3,$Z971=4),IF($AA971=12,VLOOKUP($Z971,Paraméterek!$B$225:$F$240,5,0),0),0))*$AF971</f>
        <v>0</v>
      </c>
      <c r="AI971" s="13">
        <f>ROUNDDOWN(IF(SUM($T$20:$U971)=0,IF($D$2="Egyszeri",$AH971,$AG971),0),IF($D$4="Forint",0,2))</f>
        <v>0</v>
      </c>
      <c r="AJ971" s="13">
        <f t="shared" si="222"/>
        <v>0</v>
      </c>
      <c r="AK971" s="13">
        <f t="shared" si="223"/>
        <v>0</v>
      </c>
      <c r="AM971" s="32">
        <v>952</v>
      </c>
      <c r="AN971" s="32">
        <v>80</v>
      </c>
      <c r="AO971" s="32">
        <v>4</v>
      </c>
      <c r="AP971" s="13"/>
      <c r="AQ971" s="32"/>
      <c r="AR971" s="13">
        <f t="shared" si="224"/>
        <v>0</v>
      </c>
      <c r="AS971" s="33"/>
      <c r="AT971" s="13">
        <f t="shared" si="218"/>
        <v>0</v>
      </c>
      <c r="AU971" s="13">
        <f>ROUNDUP(($AR971+$AT971)*VLOOKUP($AN971,Paraméterek!$P$38:$Q$38,2)/12,IF($D$4="Forint",0,2))</f>
        <v>0</v>
      </c>
      <c r="AV971" s="13"/>
      <c r="AW971" s="13"/>
      <c r="AX971" s="13">
        <f>ROUNDUP(IF(SUM($AV971:$AW971)=0,0,IF(IF(ISBLANK($AW971),$AV971,$AW971)*Paraméterek!$J$112&lt;IF($D$4="Forint",Paraméterek!$J$113,Paraméterek!$K$113),IF($D$4="Forint",Paraméterek!$J$113,Paraméterek!$K$113),IF(IF(ISBLANK($AW971),$AV971,$AW971)*Paraméterek!$J$112&gt;IF($D$4="Forint",Paraméterek!$J$114,Paraméterek!$K$114),IF($D$4="Forint",Paraméterek!$J$114,Paraméterek!$K$114),IF(ISBLANK($AW971),$AV971,$AW971)*Paraméterek!$J$112))),IF($D$4="Forint",0,2))</f>
        <v>0</v>
      </c>
      <c r="AY971" s="13">
        <f>$AR971+$AT971-$AU971-IF(ROUNDDOWN(IF(ISBLANK($AW971),$AV971,$AW971),IF($D$4="Forint",0,2))&gt;$AR971+$AT971-$AU971-IF($D$4="Forint",Paraméterek!$J$114,Paraméterek!$K$114),0,ROUNDDOWN(IF(ISBLANK($AW971),$AV971,$AW971),IF($D$4="Forint",0,2))-$AX971)</f>
        <v>0</v>
      </c>
      <c r="AZ971" s="13">
        <f t="shared" si="219"/>
        <v>0</v>
      </c>
    </row>
    <row r="972" spans="1:52" x14ac:dyDescent="0.2">
      <c r="A972" s="32">
        <v>953</v>
      </c>
      <c r="B972" s="32">
        <v>80</v>
      </c>
      <c r="C972" s="32">
        <v>5</v>
      </c>
      <c r="D972" s="13">
        <f t="shared" si="210"/>
        <v>0</v>
      </c>
      <c r="E972" s="13"/>
      <c r="F972" s="13"/>
      <c r="G972" s="13"/>
      <c r="H972" s="13">
        <f t="shared" si="211"/>
        <v>0</v>
      </c>
      <c r="I972" s="13">
        <f t="shared" si="212"/>
        <v>0</v>
      </c>
      <c r="J972" s="13">
        <f t="shared" si="213"/>
        <v>0</v>
      </c>
      <c r="K972" s="13">
        <f>ROUNDUP(IF($D$2="Egyszeri",$D972,IF($D$2="Havi",SUM($D$20:$D$31),IF(MOD($C972,$M$1)-1=0,SUM($D$20:$D$31),0))/12*$M$1)*VLOOKUP($B972,Paraméterek!$B$27:$D$30,IF($D$2="Egyszeri",3,2)),IF($D$4="Forint",0,2))</f>
        <v>0</v>
      </c>
      <c r="L972" s="13">
        <f t="shared" si="214"/>
        <v>0</v>
      </c>
      <c r="M972" s="13">
        <f t="shared" ca="1" si="220"/>
        <v>-1176719</v>
      </c>
      <c r="N972" s="13">
        <f ca="1">IF($V971&gt;=VLOOKUP($M$4-1+$B972,Paraméterek!$B$121:$D$122,IF($D$4="Forint",2,3)),0,VLOOKUP($M$4-1+$B972,Paraméterek!$B$121:$D$122,IF($D$4="Forint",2,3))-$V971)</f>
        <v>1186719</v>
      </c>
      <c r="O972" s="13">
        <f ca="1">ROUNDUP($N972*Paraméterek!$C$58/Paraméterek!$C$56,IF($D$4="Forint",0,2))</f>
        <v>189</v>
      </c>
      <c r="P972" s="13">
        <f t="shared" si="215"/>
        <v>5683</v>
      </c>
      <c r="Q972" s="33"/>
      <c r="R972" s="13">
        <f t="shared" ca="1" si="216"/>
        <v>0</v>
      </c>
      <c r="S972" s="13">
        <f ca="1">ROUNDUP(($M972-$O972-$P972+$R972)*VLOOKUP($B972,Paraméterek!$B$38:$D$39,IF($D$2="Egyszeri",3,2))/12,IF($D$4="Forint",0,2))</f>
        <v>-2888</v>
      </c>
      <c r="T972" s="13"/>
      <c r="U972" s="13"/>
      <c r="V972" s="13">
        <f ca="1">$M972-$O972-$P972+$R972-$S972-IF(ROUNDUP(IF(ISBLANK($U972),$T972,$U972)/IF(AND($B972=1,$D$2&lt;&gt;"Egyszeri"),1,VLOOKUP($B972+IF($C972=12,1,0),Paraméterek!$B$257:$D$267,IF($D$2="Egyszeri",3,2))),IF($D$4="Forint",0,2))&gt;$M972-$O972-$P972+$R972-$S972-IF($D$4="Forint",Paraméterek!$C$216,Paraméterek!$D$216),0,ROUNDUP(IF(ISBLANK($U972),$T972,$U972)/IF(AND($B972=1,$D$2&lt;&gt;"Egyszeri"),1,VLOOKUP($B972+IF($C972=12,1,0),Paraméterek!$B$257:$D$267,IF($D$2="Egyszeri",3,2))),IF($D$4="Forint",0,2)))</f>
        <v>-1179703</v>
      </c>
      <c r="W972" s="13">
        <f ca="1">ROUNDDOWN($V972*VLOOKUP($B972+IF($C972=12,1,0),Paraméterek!$B$257:$D$267,IF($D$2="Egyszeri",3,2)),IF($D$4="Forint",0,2))</f>
        <v>-1179703</v>
      </c>
      <c r="Y972" s="32">
        <v>953</v>
      </c>
      <c r="Z972" s="32">
        <v>80</v>
      </c>
      <c r="AA972" s="32">
        <v>5</v>
      </c>
      <c r="AB972" s="13">
        <f t="shared" si="221"/>
        <v>0</v>
      </c>
      <c r="AC972" s="33"/>
      <c r="AD972" s="13">
        <f t="shared" si="217"/>
        <v>0</v>
      </c>
      <c r="AE972" s="13">
        <f>ROUNDUP(($AB972+$AD972)*VLOOKUP($Z972,Paraméterek!$P$38:$Q$38,2)/12,IF($D$4="Forint",0,2))</f>
        <v>0</v>
      </c>
      <c r="AF972" s="13">
        <f>IF($D$2="Egyszeri",IF($D$7&gt;=IF($D$4="Forint",Paraméterek!$P$223,Paraméterek!$P$224),$D$7-IF($D$4="Forint",Paraméterek!$F$223,Paraméterek!$F$224),0),MIN(IF($AA972=12,AVERAGE($D$20:$D972)*12,0),SUM($D$20:$D$31)))</f>
        <v>0</v>
      </c>
      <c r="AG972" s="13">
        <f>IF(AND($Z972&gt;=10,MOD($Z972,5)=0),$AF972*IF($AA972=12,VLOOKUP($Z972,Paraméterek!$B$225:$F$240,IF($AF972&lt;IF($D$4="Forint",Paraméterek!$C$223,Paraméterek!$C$224),2,IF($AF972&lt;IF($D$4="Forint",Paraméterek!$D$223,Paraméterek!$D$224),3,4))),0),0)</f>
        <v>0</v>
      </c>
      <c r="AH972" s="13">
        <f>IF(AND($Z972&gt;=5,MOD($Z972,5)=0),IF($AA972=12,VLOOKUP($Z972,Paraméterek!$B$225:$F$240,5),0),IF(OR($Z972=3,$Z972=4),IF($AA972=12,VLOOKUP($Z972,Paraméterek!$B$225:$F$240,5,0),0),0))*$AF972</f>
        <v>0</v>
      </c>
      <c r="AI972" s="13">
        <f>ROUNDDOWN(IF(SUM($T$20:$U972)=0,IF($D$2="Egyszeri",$AH972,$AG972),0),IF($D$4="Forint",0,2))</f>
        <v>0</v>
      </c>
      <c r="AJ972" s="13">
        <f t="shared" si="222"/>
        <v>0</v>
      </c>
      <c r="AK972" s="13">
        <f t="shared" si="223"/>
        <v>0</v>
      </c>
      <c r="AM972" s="32">
        <v>953</v>
      </c>
      <c r="AN972" s="32">
        <v>80</v>
      </c>
      <c r="AO972" s="32">
        <v>5</v>
      </c>
      <c r="AP972" s="13"/>
      <c r="AQ972" s="32"/>
      <c r="AR972" s="13">
        <f t="shared" si="224"/>
        <v>0</v>
      </c>
      <c r="AS972" s="33"/>
      <c r="AT972" s="13">
        <f t="shared" si="218"/>
        <v>0</v>
      </c>
      <c r="AU972" s="13">
        <f>ROUNDUP(($AR972+$AT972)*VLOOKUP($AN972,Paraméterek!$P$38:$Q$38,2)/12,IF($D$4="Forint",0,2))</f>
        <v>0</v>
      </c>
      <c r="AV972" s="13"/>
      <c r="AW972" s="13"/>
      <c r="AX972" s="13">
        <f>ROUNDUP(IF(SUM($AV972:$AW972)=0,0,IF(IF(ISBLANK($AW972),$AV972,$AW972)*Paraméterek!$J$112&lt;IF($D$4="Forint",Paraméterek!$J$113,Paraméterek!$K$113),IF($D$4="Forint",Paraméterek!$J$113,Paraméterek!$K$113),IF(IF(ISBLANK($AW972),$AV972,$AW972)*Paraméterek!$J$112&gt;IF($D$4="Forint",Paraméterek!$J$114,Paraméterek!$K$114),IF($D$4="Forint",Paraméterek!$J$114,Paraméterek!$K$114),IF(ISBLANK($AW972),$AV972,$AW972)*Paraméterek!$J$112))),IF($D$4="Forint",0,2))</f>
        <v>0</v>
      </c>
      <c r="AY972" s="13">
        <f>$AR972+$AT972-$AU972-IF(ROUNDDOWN(IF(ISBLANK($AW972),$AV972,$AW972),IF($D$4="Forint",0,2))&gt;$AR972+$AT972-$AU972-IF($D$4="Forint",Paraméterek!$J$114,Paraméterek!$K$114),0,ROUNDDOWN(IF(ISBLANK($AW972),$AV972,$AW972),IF($D$4="Forint",0,2))-$AX972)</f>
        <v>0</v>
      </c>
      <c r="AZ972" s="13">
        <f t="shared" si="219"/>
        <v>0</v>
      </c>
    </row>
    <row r="973" spans="1:52" x14ac:dyDescent="0.2">
      <c r="A973" s="32">
        <v>954</v>
      </c>
      <c r="B973" s="32">
        <v>80</v>
      </c>
      <c r="C973" s="32">
        <v>6</v>
      </c>
      <c r="D973" s="13">
        <f t="shared" si="210"/>
        <v>0</v>
      </c>
      <c r="E973" s="13"/>
      <c r="F973" s="13"/>
      <c r="G973" s="13"/>
      <c r="H973" s="13">
        <f t="shared" si="211"/>
        <v>0</v>
      </c>
      <c r="I973" s="13">
        <f t="shared" si="212"/>
        <v>0</v>
      </c>
      <c r="J973" s="13">
        <f t="shared" si="213"/>
        <v>0</v>
      </c>
      <c r="K973" s="13">
        <f>ROUNDUP(IF($D$2="Egyszeri",$D973,IF($D$2="Havi",SUM($D$20:$D$31),IF(MOD($C973,$M$1)-1=0,SUM($D$20:$D$31),0))/12*$M$1)*VLOOKUP($B973,Paraméterek!$B$27:$D$30,IF($D$2="Egyszeri",3,2)),IF($D$4="Forint",0,2))</f>
        <v>0</v>
      </c>
      <c r="L973" s="13">
        <f t="shared" si="214"/>
        <v>0</v>
      </c>
      <c r="M973" s="13">
        <f t="shared" ca="1" si="220"/>
        <v>-1179703</v>
      </c>
      <c r="N973" s="13">
        <f ca="1">IF($V972&gt;=VLOOKUP($M$4-1+$B973,Paraméterek!$B$121:$D$122,IF($D$4="Forint",2,3)),0,VLOOKUP($M$4-1+$B973,Paraméterek!$B$121:$D$122,IF($D$4="Forint",2,3))-$V972)</f>
        <v>1189703</v>
      </c>
      <c r="O973" s="13">
        <f ca="1">ROUNDUP($N973*Paraméterek!$C$58/Paraméterek!$C$56,IF($D$4="Forint",0,2))</f>
        <v>190</v>
      </c>
      <c r="P973" s="13">
        <f t="shared" si="215"/>
        <v>5683</v>
      </c>
      <c r="Q973" s="33"/>
      <c r="R973" s="13">
        <f t="shared" ca="1" si="216"/>
        <v>0</v>
      </c>
      <c r="S973" s="13">
        <f ca="1">ROUNDUP(($M973-$O973-$P973+$R973)*VLOOKUP($B973,Paraméterek!$B$38:$D$39,IF($D$2="Egyszeri",3,2))/12,IF($D$4="Forint",0,2))</f>
        <v>-2895</v>
      </c>
      <c r="T973" s="13"/>
      <c r="U973" s="13"/>
      <c r="V973" s="13">
        <f ca="1">$M973-$O973-$P973+$R973-$S973-IF(ROUNDUP(IF(ISBLANK($U973),$T973,$U973)/IF(AND($B973=1,$D$2&lt;&gt;"Egyszeri"),1,VLOOKUP($B973+IF($C973=12,1,0),Paraméterek!$B$257:$D$267,IF($D$2="Egyszeri",3,2))),IF($D$4="Forint",0,2))&gt;$M973-$O973-$P973+$R973-$S973-IF($D$4="Forint",Paraméterek!$C$216,Paraméterek!$D$216),0,ROUNDUP(IF(ISBLANK($U973),$T973,$U973)/IF(AND($B973=1,$D$2&lt;&gt;"Egyszeri"),1,VLOOKUP($B973+IF($C973=12,1,0),Paraméterek!$B$257:$D$267,IF($D$2="Egyszeri",3,2))),IF($D$4="Forint",0,2)))</f>
        <v>-1182681</v>
      </c>
      <c r="W973" s="13">
        <f ca="1">ROUNDDOWN($V973*VLOOKUP($B973+IF($C973=12,1,0),Paraméterek!$B$257:$D$267,IF($D$2="Egyszeri",3,2)),IF($D$4="Forint",0,2))</f>
        <v>-1182681</v>
      </c>
      <c r="Y973" s="32">
        <v>954</v>
      </c>
      <c r="Z973" s="32">
        <v>80</v>
      </c>
      <c r="AA973" s="32">
        <v>6</v>
      </c>
      <c r="AB973" s="13">
        <f t="shared" si="221"/>
        <v>0</v>
      </c>
      <c r="AC973" s="33"/>
      <c r="AD973" s="13">
        <f t="shared" si="217"/>
        <v>0</v>
      </c>
      <c r="AE973" s="13">
        <f>ROUNDUP(($AB973+$AD973)*VLOOKUP($Z973,Paraméterek!$P$38:$Q$38,2)/12,IF($D$4="Forint",0,2))</f>
        <v>0</v>
      </c>
      <c r="AF973" s="13">
        <f>IF($D$2="Egyszeri",IF($D$7&gt;=IF($D$4="Forint",Paraméterek!$P$223,Paraméterek!$P$224),$D$7-IF($D$4="Forint",Paraméterek!$F$223,Paraméterek!$F$224),0),MIN(IF($AA973=12,AVERAGE($D$20:$D973)*12,0),SUM($D$20:$D$31)))</f>
        <v>0</v>
      </c>
      <c r="AG973" s="13">
        <f>IF(AND($Z973&gt;=10,MOD($Z973,5)=0),$AF973*IF($AA973=12,VLOOKUP($Z973,Paraméterek!$B$225:$F$240,IF($AF973&lt;IF($D$4="Forint",Paraméterek!$C$223,Paraméterek!$C$224),2,IF($AF973&lt;IF($D$4="Forint",Paraméterek!$D$223,Paraméterek!$D$224),3,4))),0),0)</f>
        <v>0</v>
      </c>
      <c r="AH973" s="13">
        <f>IF(AND($Z973&gt;=5,MOD($Z973,5)=0),IF($AA973=12,VLOOKUP($Z973,Paraméterek!$B$225:$F$240,5),0),IF(OR($Z973=3,$Z973=4),IF($AA973=12,VLOOKUP($Z973,Paraméterek!$B$225:$F$240,5,0),0),0))*$AF973</f>
        <v>0</v>
      </c>
      <c r="AI973" s="13">
        <f>ROUNDDOWN(IF(SUM($T$20:$U973)=0,IF($D$2="Egyszeri",$AH973,$AG973),0),IF($D$4="Forint",0,2))</f>
        <v>0</v>
      </c>
      <c r="AJ973" s="13">
        <f t="shared" si="222"/>
        <v>0</v>
      </c>
      <c r="AK973" s="13">
        <f t="shared" si="223"/>
        <v>0</v>
      </c>
      <c r="AM973" s="32">
        <v>954</v>
      </c>
      <c r="AN973" s="32">
        <v>80</v>
      </c>
      <c r="AO973" s="32">
        <v>6</v>
      </c>
      <c r="AP973" s="13"/>
      <c r="AQ973" s="32"/>
      <c r="AR973" s="13">
        <f t="shared" si="224"/>
        <v>0</v>
      </c>
      <c r="AS973" s="33"/>
      <c r="AT973" s="13">
        <f t="shared" si="218"/>
        <v>0</v>
      </c>
      <c r="AU973" s="13">
        <f>ROUNDUP(($AR973+$AT973)*VLOOKUP($AN973,Paraméterek!$P$38:$Q$38,2)/12,IF($D$4="Forint",0,2))</f>
        <v>0</v>
      </c>
      <c r="AV973" s="13"/>
      <c r="AW973" s="13"/>
      <c r="AX973" s="13">
        <f>ROUNDUP(IF(SUM($AV973:$AW973)=0,0,IF(IF(ISBLANK($AW973),$AV973,$AW973)*Paraméterek!$J$112&lt;IF($D$4="Forint",Paraméterek!$J$113,Paraméterek!$K$113),IF($D$4="Forint",Paraméterek!$J$113,Paraméterek!$K$113),IF(IF(ISBLANK($AW973),$AV973,$AW973)*Paraméterek!$J$112&gt;IF($D$4="Forint",Paraméterek!$J$114,Paraméterek!$K$114),IF($D$4="Forint",Paraméterek!$J$114,Paraméterek!$K$114),IF(ISBLANK($AW973),$AV973,$AW973)*Paraméterek!$J$112))),IF($D$4="Forint",0,2))</f>
        <v>0</v>
      </c>
      <c r="AY973" s="13">
        <f>$AR973+$AT973-$AU973-IF(ROUNDDOWN(IF(ISBLANK($AW973),$AV973,$AW973),IF($D$4="Forint",0,2))&gt;$AR973+$AT973-$AU973-IF($D$4="Forint",Paraméterek!$J$114,Paraméterek!$K$114),0,ROUNDDOWN(IF(ISBLANK($AW973),$AV973,$AW973),IF($D$4="Forint",0,2))-$AX973)</f>
        <v>0</v>
      </c>
      <c r="AZ973" s="13">
        <f t="shared" si="219"/>
        <v>0</v>
      </c>
    </row>
    <row r="974" spans="1:52" x14ac:dyDescent="0.2">
      <c r="A974" s="32">
        <v>955</v>
      </c>
      <c r="B974" s="32">
        <v>80</v>
      </c>
      <c r="C974" s="32">
        <v>7</v>
      </c>
      <c r="D974" s="13">
        <f t="shared" si="210"/>
        <v>0</v>
      </c>
      <c r="E974" s="13"/>
      <c r="F974" s="13"/>
      <c r="G974" s="13"/>
      <c r="H974" s="13">
        <f t="shared" si="211"/>
        <v>0</v>
      </c>
      <c r="I974" s="13">
        <f t="shared" si="212"/>
        <v>0</v>
      </c>
      <c r="J974" s="13">
        <f t="shared" si="213"/>
        <v>0</v>
      </c>
      <c r="K974" s="13">
        <f>ROUNDUP(IF($D$2="Egyszeri",$D974,IF($D$2="Havi",SUM($D$20:$D$31),IF(MOD($C974,$M$1)-1=0,SUM($D$20:$D$31),0))/12*$M$1)*VLOOKUP($B974,Paraméterek!$B$27:$D$30,IF($D$2="Egyszeri",3,2)),IF($D$4="Forint",0,2))</f>
        <v>0</v>
      </c>
      <c r="L974" s="13">
        <f t="shared" si="214"/>
        <v>0</v>
      </c>
      <c r="M974" s="13">
        <f t="shared" ca="1" si="220"/>
        <v>-1182681</v>
      </c>
      <c r="N974" s="13">
        <f ca="1">IF($V973&gt;=VLOOKUP($M$4-1+$B974,Paraméterek!$B$121:$D$122,IF($D$4="Forint",2,3)),0,VLOOKUP($M$4-1+$B974,Paraméterek!$B$121:$D$122,IF($D$4="Forint",2,3))-$V973)</f>
        <v>1192681</v>
      </c>
      <c r="O974" s="13">
        <f ca="1">ROUNDUP($N974*Paraméterek!$C$58/Paraméterek!$C$56,IF($D$4="Forint",0,2))</f>
        <v>190</v>
      </c>
      <c r="P974" s="13">
        <f t="shared" si="215"/>
        <v>5683</v>
      </c>
      <c r="Q974" s="33"/>
      <c r="R974" s="13">
        <f t="shared" ca="1" si="216"/>
        <v>0</v>
      </c>
      <c r="S974" s="13">
        <f ca="1">ROUNDUP(($M974-$O974-$P974+$R974)*VLOOKUP($B974,Paraméterek!$B$38:$D$39,IF($D$2="Egyszeri",3,2))/12,IF($D$4="Forint",0,2))</f>
        <v>-2903</v>
      </c>
      <c r="T974" s="13"/>
      <c r="U974" s="13"/>
      <c r="V974" s="13">
        <f ca="1">$M974-$O974-$P974+$R974-$S974-IF(ROUNDUP(IF(ISBLANK($U974),$T974,$U974)/IF(AND($B974=1,$D$2&lt;&gt;"Egyszeri"),1,VLOOKUP($B974+IF($C974=12,1,0),Paraméterek!$B$257:$D$267,IF($D$2="Egyszeri",3,2))),IF($D$4="Forint",0,2))&gt;$M974-$O974-$P974+$R974-$S974-IF($D$4="Forint",Paraméterek!$C$216,Paraméterek!$D$216),0,ROUNDUP(IF(ISBLANK($U974),$T974,$U974)/IF(AND($B974=1,$D$2&lt;&gt;"Egyszeri"),1,VLOOKUP($B974+IF($C974=12,1,0),Paraméterek!$B$257:$D$267,IF($D$2="Egyszeri",3,2))),IF($D$4="Forint",0,2)))</f>
        <v>-1185651</v>
      </c>
      <c r="W974" s="13">
        <f ca="1">ROUNDDOWN($V974*VLOOKUP($B974+IF($C974=12,1,0),Paraméterek!$B$257:$D$267,IF($D$2="Egyszeri",3,2)),IF($D$4="Forint",0,2))</f>
        <v>-1185651</v>
      </c>
      <c r="Y974" s="32">
        <v>955</v>
      </c>
      <c r="Z974" s="32">
        <v>80</v>
      </c>
      <c r="AA974" s="32">
        <v>7</v>
      </c>
      <c r="AB974" s="13">
        <f t="shared" si="221"/>
        <v>0</v>
      </c>
      <c r="AC974" s="33"/>
      <c r="AD974" s="13">
        <f t="shared" si="217"/>
        <v>0</v>
      </c>
      <c r="AE974" s="13">
        <f>ROUNDUP(($AB974+$AD974)*VLOOKUP($Z974,Paraméterek!$P$38:$Q$38,2)/12,IF($D$4="Forint",0,2))</f>
        <v>0</v>
      </c>
      <c r="AF974" s="13">
        <f>IF($D$2="Egyszeri",IF($D$7&gt;=IF($D$4="Forint",Paraméterek!$P$223,Paraméterek!$P$224),$D$7-IF($D$4="Forint",Paraméterek!$F$223,Paraméterek!$F$224),0),MIN(IF($AA974=12,AVERAGE($D$20:$D974)*12,0),SUM($D$20:$D$31)))</f>
        <v>0</v>
      </c>
      <c r="AG974" s="13">
        <f>IF(AND($Z974&gt;=10,MOD($Z974,5)=0),$AF974*IF($AA974=12,VLOOKUP($Z974,Paraméterek!$B$225:$F$240,IF($AF974&lt;IF($D$4="Forint",Paraméterek!$C$223,Paraméterek!$C$224),2,IF($AF974&lt;IF($D$4="Forint",Paraméterek!$D$223,Paraméterek!$D$224),3,4))),0),0)</f>
        <v>0</v>
      </c>
      <c r="AH974" s="13">
        <f>IF(AND($Z974&gt;=5,MOD($Z974,5)=0),IF($AA974=12,VLOOKUP($Z974,Paraméterek!$B$225:$F$240,5),0),IF(OR($Z974=3,$Z974=4),IF($AA974=12,VLOOKUP($Z974,Paraméterek!$B$225:$F$240,5,0),0),0))*$AF974</f>
        <v>0</v>
      </c>
      <c r="AI974" s="13">
        <f>ROUNDDOWN(IF(SUM($T$20:$U974)=0,IF($D$2="Egyszeri",$AH974,$AG974),0),IF($D$4="Forint",0,2))</f>
        <v>0</v>
      </c>
      <c r="AJ974" s="13">
        <f t="shared" si="222"/>
        <v>0</v>
      </c>
      <c r="AK974" s="13">
        <f t="shared" si="223"/>
        <v>0</v>
      </c>
      <c r="AM974" s="32">
        <v>955</v>
      </c>
      <c r="AN974" s="32">
        <v>80</v>
      </c>
      <c r="AO974" s="32">
        <v>7</v>
      </c>
      <c r="AP974" s="13"/>
      <c r="AQ974" s="32"/>
      <c r="AR974" s="13">
        <f t="shared" si="224"/>
        <v>0</v>
      </c>
      <c r="AS974" s="33"/>
      <c r="AT974" s="13">
        <f t="shared" si="218"/>
        <v>0</v>
      </c>
      <c r="AU974" s="13">
        <f>ROUNDUP(($AR974+$AT974)*VLOOKUP($AN974,Paraméterek!$P$38:$Q$38,2)/12,IF($D$4="Forint",0,2))</f>
        <v>0</v>
      </c>
      <c r="AV974" s="13"/>
      <c r="AW974" s="13"/>
      <c r="AX974" s="13">
        <f>ROUNDUP(IF(SUM($AV974:$AW974)=0,0,IF(IF(ISBLANK($AW974),$AV974,$AW974)*Paraméterek!$J$112&lt;IF($D$4="Forint",Paraméterek!$J$113,Paraméterek!$K$113),IF($D$4="Forint",Paraméterek!$J$113,Paraméterek!$K$113),IF(IF(ISBLANK($AW974),$AV974,$AW974)*Paraméterek!$J$112&gt;IF($D$4="Forint",Paraméterek!$J$114,Paraméterek!$K$114),IF($D$4="Forint",Paraméterek!$J$114,Paraméterek!$K$114),IF(ISBLANK($AW974),$AV974,$AW974)*Paraméterek!$J$112))),IF($D$4="Forint",0,2))</f>
        <v>0</v>
      </c>
      <c r="AY974" s="13">
        <f>$AR974+$AT974-$AU974-IF(ROUNDDOWN(IF(ISBLANK($AW974),$AV974,$AW974),IF($D$4="Forint",0,2))&gt;$AR974+$AT974-$AU974-IF($D$4="Forint",Paraméterek!$J$114,Paraméterek!$K$114),0,ROUNDDOWN(IF(ISBLANK($AW974),$AV974,$AW974),IF($D$4="Forint",0,2))-$AX974)</f>
        <v>0</v>
      </c>
      <c r="AZ974" s="13">
        <f t="shared" si="219"/>
        <v>0</v>
      </c>
    </row>
    <row r="975" spans="1:52" x14ac:dyDescent="0.2">
      <c r="A975" s="32">
        <v>956</v>
      </c>
      <c r="B975" s="32">
        <v>80</v>
      </c>
      <c r="C975" s="32">
        <v>8</v>
      </c>
      <c r="D975" s="13">
        <f t="shared" si="210"/>
        <v>0</v>
      </c>
      <c r="E975" s="13"/>
      <c r="F975" s="13"/>
      <c r="G975" s="13"/>
      <c r="H975" s="13">
        <f t="shared" si="211"/>
        <v>0</v>
      </c>
      <c r="I975" s="13">
        <f t="shared" si="212"/>
        <v>0</v>
      </c>
      <c r="J975" s="13">
        <f t="shared" si="213"/>
        <v>0</v>
      </c>
      <c r="K975" s="13">
        <f>ROUNDUP(IF($D$2="Egyszeri",$D975,IF($D$2="Havi",SUM($D$20:$D$31),IF(MOD($C975,$M$1)-1=0,SUM($D$20:$D$31),0))/12*$M$1)*VLOOKUP($B975,Paraméterek!$B$27:$D$30,IF($D$2="Egyszeri",3,2)),IF($D$4="Forint",0,2))</f>
        <v>0</v>
      </c>
      <c r="L975" s="13">
        <f t="shared" si="214"/>
        <v>0</v>
      </c>
      <c r="M975" s="13">
        <f t="shared" ca="1" si="220"/>
        <v>-1185651</v>
      </c>
      <c r="N975" s="13">
        <f ca="1">IF($V974&gt;=VLOOKUP($M$4-1+$B975,Paraméterek!$B$121:$D$122,IF($D$4="Forint",2,3)),0,VLOOKUP($M$4-1+$B975,Paraméterek!$B$121:$D$122,IF($D$4="Forint",2,3))-$V974)</f>
        <v>1195651</v>
      </c>
      <c r="O975" s="13">
        <f ca="1">ROUNDUP($N975*Paraméterek!$C$58/Paraméterek!$C$56,IF($D$4="Forint",0,2))</f>
        <v>191</v>
      </c>
      <c r="P975" s="13">
        <f t="shared" si="215"/>
        <v>5683</v>
      </c>
      <c r="Q975" s="33"/>
      <c r="R975" s="13">
        <f t="shared" ca="1" si="216"/>
        <v>0</v>
      </c>
      <c r="S975" s="13">
        <f ca="1">ROUNDUP(($M975-$O975-$P975+$R975)*VLOOKUP($B975,Paraméterek!$B$38:$D$39,IF($D$2="Egyszeri",3,2))/12,IF($D$4="Forint",0,2))</f>
        <v>-2910</v>
      </c>
      <c r="T975" s="13"/>
      <c r="U975" s="13"/>
      <c r="V975" s="13">
        <f ca="1">$M975-$O975-$P975+$R975-$S975-IF(ROUNDUP(IF(ISBLANK($U975),$T975,$U975)/IF(AND($B975=1,$D$2&lt;&gt;"Egyszeri"),1,VLOOKUP($B975+IF($C975=12,1,0),Paraméterek!$B$257:$D$267,IF($D$2="Egyszeri",3,2))),IF($D$4="Forint",0,2))&gt;$M975-$O975-$P975+$R975-$S975-IF($D$4="Forint",Paraméterek!$C$216,Paraméterek!$D$216),0,ROUNDUP(IF(ISBLANK($U975),$T975,$U975)/IF(AND($B975=1,$D$2&lt;&gt;"Egyszeri"),1,VLOOKUP($B975+IF($C975=12,1,0),Paraméterek!$B$257:$D$267,IF($D$2="Egyszeri",3,2))),IF($D$4="Forint",0,2)))</f>
        <v>-1188615</v>
      </c>
      <c r="W975" s="13">
        <f ca="1">ROUNDDOWN($V975*VLOOKUP($B975+IF($C975=12,1,0),Paraméterek!$B$257:$D$267,IF($D$2="Egyszeri",3,2)),IF($D$4="Forint",0,2))</f>
        <v>-1188615</v>
      </c>
      <c r="Y975" s="32">
        <v>956</v>
      </c>
      <c r="Z975" s="32">
        <v>80</v>
      </c>
      <c r="AA975" s="32">
        <v>8</v>
      </c>
      <c r="AB975" s="13">
        <f t="shared" si="221"/>
        <v>0</v>
      </c>
      <c r="AC975" s="33"/>
      <c r="AD975" s="13">
        <f t="shared" si="217"/>
        <v>0</v>
      </c>
      <c r="AE975" s="13">
        <f>ROUNDUP(($AB975+$AD975)*VLOOKUP($Z975,Paraméterek!$P$38:$Q$38,2)/12,IF($D$4="Forint",0,2))</f>
        <v>0</v>
      </c>
      <c r="AF975" s="13">
        <f>IF($D$2="Egyszeri",IF($D$7&gt;=IF($D$4="Forint",Paraméterek!$P$223,Paraméterek!$P$224),$D$7-IF($D$4="Forint",Paraméterek!$F$223,Paraméterek!$F$224),0),MIN(IF($AA975=12,AVERAGE($D$20:$D975)*12,0),SUM($D$20:$D$31)))</f>
        <v>0</v>
      </c>
      <c r="AG975" s="13">
        <f>IF(AND($Z975&gt;=10,MOD($Z975,5)=0),$AF975*IF($AA975=12,VLOOKUP($Z975,Paraméterek!$B$225:$F$240,IF($AF975&lt;IF($D$4="Forint",Paraméterek!$C$223,Paraméterek!$C$224),2,IF($AF975&lt;IF($D$4="Forint",Paraméterek!$D$223,Paraméterek!$D$224),3,4))),0),0)</f>
        <v>0</v>
      </c>
      <c r="AH975" s="13">
        <f>IF(AND($Z975&gt;=5,MOD($Z975,5)=0),IF($AA975=12,VLOOKUP($Z975,Paraméterek!$B$225:$F$240,5),0),IF(OR($Z975=3,$Z975=4),IF($AA975=12,VLOOKUP($Z975,Paraméterek!$B$225:$F$240,5,0),0),0))*$AF975</f>
        <v>0</v>
      </c>
      <c r="AI975" s="13">
        <f>ROUNDDOWN(IF(SUM($T$20:$U975)=0,IF($D$2="Egyszeri",$AH975,$AG975),0),IF($D$4="Forint",0,2))</f>
        <v>0</v>
      </c>
      <c r="AJ975" s="13">
        <f t="shared" si="222"/>
        <v>0</v>
      </c>
      <c r="AK975" s="13">
        <f t="shared" si="223"/>
        <v>0</v>
      </c>
      <c r="AM975" s="32">
        <v>956</v>
      </c>
      <c r="AN975" s="32">
        <v>80</v>
      </c>
      <c r="AO975" s="32">
        <v>8</v>
      </c>
      <c r="AP975" s="13"/>
      <c r="AQ975" s="32"/>
      <c r="AR975" s="13">
        <f t="shared" si="224"/>
        <v>0</v>
      </c>
      <c r="AS975" s="33"/>
      <c r="AT975" s="13">
        <f t="shared" si="218"/>
        <v>0</v>
      </c>
      <c r="AU975" s="13">
        <f>ROUNDUP(($AR975+$AT975)*VLOOKUP($AN975,Paraméterek!$P$38:$Q$38,2)/12,IF($D$4="Forint",0,2))</f>
        <v>0</v>
      </c>
      <c r="AV975" s="13"/>
      <c r="AW975" s="13"/>
      <c r="AX975" s="13">
        <f>ROUNDUP(IF(SUM($AV975:$AW975)=0,0,IF(IF(ISBLANK($AW975),$AV975,$AW975)*Paraméterek!$J$112&lt;IF($D$4="Forint",Paraméterek!$J$113,Paraméterek!$K$113),IF($D$4="Forint",Paraméterek!$J$113,Paraméterek!$K$113),IF(IF(ISBLANK($AW975),$AV975,$AW975)*Paraméterek!$J$112&gt;IF($D$4="Forint",Paraméterek!$J$114,Paraméterek!$K$114),IF($D$4="Forint",Paraméterek!$J$114,Paraméterek!$K$114),IF(ISBLANK($AW975),$AV975,$AW975)*Paraméterek!$J$112))),IF($D$4="Forint",0,2))</f>
        <v>0</v>
      </c>
      <c r="AY975" s="13">
        <f>$AR975+$AT975-$AU975-IF(ROUNDDOWN(IF(ISBLANK($AW975),$AV975,$AW975),IF($D$4="Forint",0,2))&gt;$AR975+$AT975-$AU975-IF($D$4="Forint",Paraméterek!$J$114,Paraméterek!$K$114),0,ROUNDDOWN(IF(ISBLANK($AW975),$AV975,$AW975),IF($D$4="Forint",0,2))-$AX975)</f>
        <v>0</v>
      </c>
      <c r="AZ975" s="13">
        <f t="shared" si="219"/>
        <v>0</v>
      </c>
    </row>
    <row r="976" spans="1:52" x14ac:dyDescent="0.2">
      <c r="A976" s="32">
        <v>957</v>
      </c>
      <c r="B976" s="32">
        <v>80</v>
      </c>
      <c r="C976" s="32">
        <v>9</v>
      </c>
      <c r="D976" s="13">
        <f t="shared" si="210"/>
        <v>0</v>
      </c>
      <c r="E976" s="13"/>
      <c r="F976" s="13"/>
      <c r="G976" s="13"/>
      <c r="H976" s="13">
        <f t="shared" si="211"/>
        <v>0</v>
      </c>
      <c r="I976" s="13">
        <f t="shared" si="212"/>
        <v>0</v>
      </c>
      <c r="J976" s="13">
        <f t="shared" si="213"/>
        <v>0</v>
      </c>
      <c r="K976" s="13">
        <f>ROUNDUP(IF($D$2="Egyszeri",$D976,IF($D$2="Havi",SUM($D$20:$D$31),IF(MOD($C976,$M$1)-1=0,SUM($D$20:$D$31),0))/12*$M$1)*VLOOKUP($B976,Paraméterek!$B$27:$D$30,IF($D$2="Egyszeri",3,2)),IF($D$4="Forint",0,2))</f>
        <v>0</v>
      </c>
      <c r="L976" s="13">
        <f t="shared" si="214"/>
        <v>0</v>
      </c>
      <c r="M976" s="13">
        <f t="shared" ca="1" si="220"/>
        <v>-1188615</v>
      </c>
      <c r="N976" s="13">
        <f ca="1">IF($V975&gt;=VLOOKUP($M$4-1+$B976,Paraméterek!$B$121:$D$122,IF($D$4="Forint",2,3)),0,VLOOKUP($M$4-1+$B976,Paraméterek!$B$121:$D$122,IF($D$4="Forint",2,3))-$V975)</f>
        <v>1198615</v>
      </c>
      <c r="O976" s="13">
        <f ca="1">ROUNDUP($N976*Paraméterek!$C$58/Paraméterek!$C$56,IF($D$4="Forint",0,2))</f>
        <v>191</v>
      </c>
      <c r="P976" s="13">
        <f t="shared" si="215"/>
        <v>5683</v>
      </c>
      <c r="Q976" s="33"/>
      <c r="R976" s="13">
        <f t="shared" ca="1" si="216"/>
        <v>0</v>
      </c>
      <c r="S976" s="13">
        <f ca="1">ROUNDUP(($M976-$O976-$P976+$R976)*VLOOKUP($B976,Paraméterek!$B$38:$D$39,IF($D$2="Egyszeri",3,2))/12,IF($D$4="Forint",0,2))</f>
        <v>-2917</v>
      </c>
      <c r="T976" s="13"/>
      <c r="U976" s="13"/>
      <c r="V976" s="13">
        <f ca="1">$M976-$O976-$P976+$R976-$S976-IF(ROUNDUP(IF(ISBLANK($U976),$T976,$U976)/IF(AND($B976=1,$D$2&lt;&gt;"Egyszeri"),1,VLOOKUP($B976+IF($C976=12,1,0),Paraméterek!$B$257:$D$267,IF($D$2="Egyszeri",3,2))),IF($D$4="Forint",0,2))&gt;$M976-$O976-$P976+$R976-$S976-IF($D$4="Forint",Paraméterek!$C$216,Paraméterek!$D$216),0,ROUNDUP(IF(ISBLANK($U976),$T976,$U976)/IF(AND($B976=1,$D$2&lt;&gt;"Egyszeri"),1,VLOOKUP($B976+IF($C976=12,1,0),Paraméterek!$B$257:$D$267,IF($D$2="Egyszeri",3,2))),IF($D$4="Forint",0,2)))</f>
        <v>-1191572</v>
      </c>
      <c r="W976" s="13">
        <f ca="1">ROUNDDOWN($V976*VLOOKUP($B976+IF($C976=12,1,0),Paraméterek!$B$257:$D$267,IF($D$2="Egyszeri",3,2)),IF($D$4="Forint",0,2))</f>
        <v>-1191572</v>
      </c>
      <c r="Y976" s="32">
        <v>957</v>
      </c>
      <c r="Z976" s="32">
        <v>80</v>
      </c>
      <c r="AA976" s="32">
        <v>9</v>
      </c>
      <c r="AB976" s="13">
        <f t="shared" si="221"/>
        <v>0</v>
      </c>
      <c r="AC976" s="33"/>
      <c r="AD976" s="13">
        <f t="shared" si="217"/>
        <v>0</v>
      </c>
      <c r="AE976" s="13">
        <f>ROUNDUP(($AB976+$AD976)*VLOOKUP($Z976,Paraméterek!$P$38:$Q$38,2)/12,IF($D$4="Forint",0,2))</f>
        <v>0</v>
      </c>
      <c r="AF976" s="13">
        <f>IF($D$2="Egyszeri",IF($D$7&gt;=IF($D$4="Forint",Paraméterek!$P$223,Paraméterek!$P$224),$D$7-IF($D$4="Forint",Paraméterek!$F$223,Paraméterek!$F$224),0),MIN(IF($AA976=12,AVERAGE($D$20:$D976)*12,0),SUM($D$20:$D$31)))</f>
        <v>0</v>
      </c>
      <c r="AG976" s="13">
        <f>IF(AND($Z976&gt;=10,MOD($Z976,5)=0),$AF976*IF($AA976=12,VLOOKUP($Z976,Paraméterek!$B$225:$F$240,IF($AF976&lt;IF($D$4="Forint",Paraméterek!$C$223,Paraméterek!$C$224),2,IF($AF976&lt;IF($D$4="Forint",Paraméterek!$D$223,Paraméterek!$D$224),3,4))),0),0)</f>
        <v>0</v>
      </c>
      <c r="AH976" s="13">
        <f>IF(AND($Z976&gt;=5,MOD($Z976,5)=0),IF($AA976=12,VLOOKUP($Z976,Paraméterek!$B$225:$F$240,5),0),IF(OR($Z976=3,$Z976=4),IF($AA976=12,VLOOKUP($Z976,Paraméterek!$B$225:$F$240,5,0),0),0))*$AF976</f>
        <v>0</v>
      </c>
      <c r="AI976" s="13">
        <f>ROUNDDOWN(IF(SUM($T$20:$U976)=0,IF($D$2="Egyszeri",$AH976,$AG976),0),IF($D$4="Forint",0,2))</f>
        <v>0</v>
      </c>
      <c r="AJ976" s="13">
        <f t="shared" si="222"/>
        <v>0</v>
      </c>
      <c r="AK976" s="13">
        <f t="shared" si="223"/>
        <v>0</v>
      </c>
      <c r="AM976" s="32">
        <v>957</v>
      </c>
      <c r="AN976" s="32">
        <v>80</v>
      </c>
      <c r="AO976" s="32">
        <v>9</v>
      </c>
      <c r="AP976" s="13"/>
      <c r="AQ976" s="32"/>
      <c r="AR976" s="13">
        <f t="shared" si="224"/>
        <v>0</v>
      </c>
      <c r="AS976" s="33"/>
      <c r="AT976" s="13">
        <f t="shared" si="218"/>
        <v>0</v>
      </c>
      <c r="AU976" s="13">
        <f>ROUNDUP(($AR976+$AT976)*VLOOKUP($AN976,Paraméterek!$P$38:$Q$38,2)/12,IF($D$4="Forint",0,2))</f>
        <v>0</v>
      </c>
      <c r="AV976" s="13"/>
      <c r="AW976" s="13"/>
      <c r="AX976" s="13">
        <f>ROUNDUP(IF(SUM($AV976:$AW976)=0,0,IF(IF(ISBLANK($AW976),$AV976,$AW976)*Paraméterek!$J$112&lt;IF($D$4="Forint",Paraméterek!$J$113,Paraméterek!$K$113),IF($D$4="Forint",Paraméterek!$J$113,Paraméterek!$K$113),IF(IF(ISBLANK($AW976),$AV976,$AW976)*Paraméterek!$J$112&gt;IF($D$4="Forint",Paraméterek!$J$114,Paraméterek!$K$114),IF($D$4="Forint",Paraméterek!$J$114,Paraméterek!$K$114),IF(ISBLANK($AW976),$AV976,$AW976)*Paraméterek!$J$112))),IF($D$4="Forint",0,2))</f>
        <v>0</v>
      </c>
      <c r="AY976" s="13">
        <f>$AR976+$AT976-$AU976-IF(ROUNDDOWN(IF(ISBLANK($AW976),$AV976,$AW976),IF($D$4="Forint",0,2))&gt;$AR976+$AT976-$AU976-IF($D$4="Forint",Paraméterek!$J$114,Paraméterek!$K$114),0,ROUNDDOWN(IF(ISBLANK($AW976),$AV976,$AW976),IF($D$4="Forint",0,2))-$AX976)</f>
        <v>0</v>
      </c>
      <c r="AZ976" s="13">
        <f t="shared" si="219"/>
        <v>0</v>
      </c>
    </row>
    <row r="977" spans="1:52" x14ac:dyDescent="0.2">
      <c r="A977" s="32">
        <v>958</v>
      </c>
      <c r="B977" s="32">
        <v>80</v>
      </c>
      <c r="C977" s="32">
        <v>10</v>
      </c>
      <c r="D977" s="13">
        <f t="shared" si="210"/>
        <v>0</v>
      </c>
      <c r="E977" s="13"/>
      <c r="F977" s="13"/>
      <c r="G977" s="13"/>
      <c r="H977" s="13">
        <f t="shared" si="211"/>
        <v>0</v>
      </c>
      <c r="I977" s="13">
        <f t="shared" si="212"/>
        <v>0</v>
      </c>
      <c r="J977" s="13">
        <f t="shared" si="213"/>
        <v>0</v>
      </c>
      <c r="K977" s="13">
        <f>ROUNDUP(IF($D$2="Egyszeri",$D977,IF($D$2="Havi",SUM($D$20:$D$31),IF(MOD($C977,$M$1)-1=0,SUM($D$20:$D$31),0))/12*$M$1)*VLOOKUP($B977,Paraméterek!$B$27:$D$30,IF($D$2="Egyszeri",3,2)),IF($D$4="Forint",0,2))</f>
        <v>0</v>
      </c>
      <c r="L977" s="13">
        <f t="shared" si="214"/>
        <v>0</v>
      </c>
      <c r="M977" s="13">
        <f t="shared" ca="1" si="220"/>
        <v>-1191572</v>
      </c>
      <c r="N977" s="13">
        <f ca="1">IF($V976&gt;=VLOOKUP($M$4-1+$B977,Paraméterek!$B$121:$D$122,IF($D$4="Forint",2,3)),0,VLOOKUP($M$4-1+$B977,Paraméterek!$B$121:$D$122,IF($D$4="Forint",2,3))-$V976)</f>
        <v>1201572</v>
      </c>
      <c r="O977" s="13">
        <f ca="1">ROUNDUP($N977*Paraméterek!$C$58/Paraméterek!$C$56,IF($D$4="Forint",0,2))</f>
        <v>192</v>
      </c>
      <c r="P977" s="13">
        <f t="shared" si="215"/>
        <v>5683</v>
      </c>
      <c r="Q977" s="33"/>
      <c r="R977" s="13">
        <f t="shared" ca="1" si="216"/>
        <v>0</v>
      </c>
      <c r="S977" s="13">
        <f ca="1">ROUNDUP(($M977-$O977-$P977+$R977)*VLOOKUP($B977,Paraméterek!$B$38:$D$39,IF($D$2="Egyszeri",3,2))/12,IF($D$4="Forint",0,2))</f>
        <v>-2924</v>
      </c>
      <c r="T977" s="13"/>
      <c r="U977" s="13"/>
      <c r="V977" s="13">
        <f ca="1">$M977-$O977-$P977+$R977-$S977-IF(ROUNDUP(IF(ISBLANK($U977),$T977,$U977)/IF(AND($B977=1,$D$2&lt;&gt;"Egyszeri"),1,VLOOKUP($B977+IF($C977=12,1,0),Paraméterek!$B$257:$D$267,IF($D$2="Egyszeri",3,2))),IF($D$4="Forint",0,2))&gt;$M977-$O977-$P977+$R977-$S977-IF($D$4="Forint",Paraméterek!$C$216,Paraméterek!$D$216),0,ROUNDUP(IF(ISBLANK($U977),$T977,$U977)/IF(AND($B977=1,$D$2&lt;&gt;"Egyszeri"),1,VLOOKUP($B977+IF($C977=12,1,0),Paraméterek!$B$257:$D$267,IF($D$2="Egyszeri",3,2))),IF($D$4="Forint",0,2)))</f>
        <v>-1194523</v>
      </c>
      <c r="W977" s="13">
        <f ca="1">ROUNDDOWN($V977*VLOOKUP($B977+IF($C977=12,1,0),Paraméterek!$B$257:$D$267,IF($D$2="Egyszeri",3,2)),IF($D$4="Forint",0,2))</f>
        <v>-1194523</v>
      </c>
      <c r="Y977" s="32">
        <v>958</v>
      </c>
      <c r="Z977" s="32">
        <v>80</v>
      </c>
      <c r="AA977" s="32">
        <v>10</v>
      </c>
      <c r="AB977" s="13">
        <f t="shared" si="221"/>
        <v>0</v>
      </c>
      <c r="AC977" s="33"/>
      <c r="AD977" s="13">
        <f t="shared" si="217"/>
        <v>0</v>
      </c>
      <c r="AE977" s="13">
        <f>ROUNDUP(($AB977+$AD977)*VLOOKUP($Z977,Paraméterek!$P$38:$Q$38,2)/12,IF($D$4="Forint",0,2))</f>
        <v>0</v>
      </c>
      <c r="AF977" s="13">
        <f>IF($D$2="Egyszeri",IF($D$7&gt;=IF($D$4="Forint",Paraméterek!$P$223,Paraméterek!$P$224),$D$7-IF($D$4="Forint",Paraméterek!$F$223,Paraméterek!$F$224),0),MIN(IF($AA977=12,AVERAGE($D$20:$D977)*12,0),SUM($D$20:$D$31)))</f>
        <v>0</v>
      </c>
      <c r="AG977" s="13">
        <f>IF(AND($Z977&gt;=10,MOD($Z977,5)=0),$AF977*IF($AA977=12,VLOOKUP($Z977,Paraméterek!$B$225:$F$240,IF($AF977&lt;IF($D$4="Forint",Paraméterek!$C$223,Paraméterek!$C$224),2,IF($AF977&lt;IF($D$4="Forint",Paraméterek!$D$223,Paraméterek!$D$224),3,4))),0),0)</f>
        <v>0</v>
      </c>
      <c r="AH977" s="13">
        <f>IF(AND($Z977&gt;=5,MOD($Z977,5)=0),IF($AA977=12,VLOOKUP($Z977,Paraméterek!$B$225:$F$240,5),0),IF(OR($Z977=3,$Z977=4),IF($AA977=12,VLOOKUP($Z977,Paraméterek!$B$225:$F$240,5,0),0),0))*$AF977</f>
        <v>0</v>
      </c>
      <c r="AI977" s="13">
        <f>ROUNDDOWN(IF(SUM($T$20:$U977)=0,IF($D$2="Egyszeri",$AH977,$AG977),0),IF($D$4="Forint",0,2))</f>
        <v>0</v>
      </c>
      <c r="AJ977" s="13">
        <f t="shared" si="222"/>
        <v>0</v>
      </c>
      <c r="AK977" s="13">
        <f t="shared" si="223"/>
        <v>0</v>
      </c>
      <c r="AM977" s="32">
        <v>958</v>
      </c>
      <c r="AN977" s="32">
        <v>80</v>
      </c>
      <c r="AO977" s="32">
        <v>10</v>
      </c>
      <c r="AP977" s="13"/>
      <c r="AQ977" s="32"/>
      <c r="AR977" s="13">
        <f t="shared" si="224"/>
        <v>0</v>
      </c>
      <c r="AS977" s="33"/>
      <c r="AT977" s="13">
        <f t="shared" si="218"/>
        <v>0</v>
      </c>
      <c r="AU977" s="13">
        <f>ROUNDUP(($AR977+$AT977)*VLOOKUP($AN977,Paraméterek!$P$38:$Q$38,2)/12,IF($D$4="Forint",0,2))</f>
        <v>0</v>
      </c>
      <c r="AV977" s="13"/>
      <c r="AW977" s="13"/>
      <c r="AX977" s="13">
        <f>ROUNDUP(IF(SUM($AV977:$AW977)=0,0,IF(IF(ISBLANK($AW977),$AV977,$AW977)*Paraméterek!$J$112&lt;IF($D$4="Forint",Paraméterek!$J$113,Paraméterek!$K$113),IF($D$4="Forint",Paraméterek!$J$113,Paraméterek!$K$113),IF(IF(ISBLANK($AW977),$AV977,$AW977)*Paraméterek!$J$112&gt;IF($D$4="Forint",Paraméterek!$J$114,Paraméterek!$K$114),IF($D$4="Forint",Paraméterek!$J$114,Paraméterek!$K$114),IF(ISBLANK($AW977),$AV977,$AW977)*Paraméterek!$J$112))),IF($D$4="Forint",0,2))</f>
        <v>0</v>
      </c>
      <c r="AY977" s="13">
        <f>$AR977+$AT977-$AU977-IF(ROUNDDOWN(IF(ISBLANK($AW977),$AV977,$AW977),IF($D$4="Forint",0,2))&gt;$AR977+$AT977-$AU977-IF($D$4="Forint",Paraméterek!$J$114,Paraméterek!$K$114),0,ROUNDDOWN(IF(ISBLANK($AW977),$AV977,$AW977),IF($D$4="Forint",0,2))-$AX977)</f>
        <v>0</v>
      </c>
      <c r="AZ977" s="13">
        <f t="shared" si="219"/>
        <v>0</v>
      </c>
    </row>
    <row r="978" spans="1:52" x14ac:dyDescent="0.2">
      <c r="A978" s="32">
        <v>959</v>
      </c>
      <c r="B978" s="32">
        <v>80</v>
      </c>
      <c r="C978" s="32">
        <v>11</v>
      </c>
      <c r="D978" s="13">
        <f t="shared" si="210"/>
        <v>0</v>
      </c>
      <c r="E978" s="13"/>
      <c r="F978" s="13"/>
      <c r="G978" s="13"/>
      <c r="H978" s="13">
        <f t="shared" si="211"/>
        <v>0</v>
      </c>
      <c r="I978" s="13">
        <f t="shared" si="212"/>
        <v>0</v>
      </c>
      <c r="J978" s="13">
        <f t="shared" si="213"/>
        <v>0</v>
      </c>
      <c r="K978" s="13">
        <f>ROUNDUP(IF($D$2="Egyszeri",$D978,IF($D$2="Havi",SUM($D$20:$D$31),IF(MOD($C978,$M$1)-1=0,SUM($D$20:$D$31),0))/12*$M$1)*VLOOKUP($B978,Paraméterek!$B$27:$D$30,IF($D$2="Egyszeri",3,2)),IF($D$4="Forint",0,2))</f>
        <v>0</v>
      </c>
      <c r="L978" s="13">
        <f t="shared" si="214"/>
        <v>0</v>
      </c>
      <c r="M978" s="13">
        <f t="shared" ca="1" si="220"/>
        <v>-1194523</v>
      </c>
      <c r="N978" s="13">
        <f ca="1">IF($V977&gt;=VLOOKUP($M$4-1+$B978,Paraméterek!$B$121:$D$122,IF($D$4="Forint",2,3)),0,VLOOKUP($M$4-1+$B978,Paraméterek!$B$121:$D$122,IF($D$4="Forint",2,3))-$V977)</f>
        <v>1204523</v>
      </c>
      <c r="O978" s="13">
        <f ca="1">ROUNDUP($N978*Paraméterek!$C$58/Paraméterek!$C$56,IF($D$4="Forint",0,2))</f>
        <v>192</v>
      </c>
      <c r="P978" s="13">
        <f t="shared" si="215"/>
        <v>5683</v>
      </c>
      <c r="Q978" s="33"/>
      <c r="R978" s="13">
        <f t="shared" ca="1" si="216"/>
        <v>0</v>
      </c>
      <c r="S978" s="13">
        <f ca="1">ROUNDUP(($M978-$O978-$P978+$R978)*VLOOKUP($B978,Paraméterek!$B$38:$D$39,IF($D$2="Egyszeri",3,2))/12,IF($D$4="Forint",0,2))</f>
        <v>-2931</v>
      </c>
      <c r="T978" s="13"/>
      <c r="U978" s="13"/>
      <c r="V978" s="13">
        <f ca="1">$M978-$O978-$P978+$R978-$S978-IF(ROUNDUP(IF(ISBLANK($U978),$T978,$U978)/IF(AND($B978=1,$D$2&lt;&gt;"Egyszeri"),1,VLOOKUP($B978+IF($C978=12,1,0),Paraméterek!$B$257:$D$267,IF($D$2="Egyszeri",3,2))),IF($D$4="Forint",0,2))&gt;$M978-$O978-$P978+$R978-$S978-IF($D$4="Forint",Paraméterek!$C$216,Paraméterek!$D$216),0,ROUNDUP(IF(ISBLANK($U978),$T978,$U978)/IF(AND($B978=1,$D$2&lt;&gt;"Egyszeri"),1,VLOOKUP($B978+IF($C978=12,1,0),Paraméterek!$B$257:$D$267,IF($D$2="Egyszeri",3,2))),IF($D$4="Forint",0,2)))</f>
        <v>-1197467</v>
      </c>
      <c r="W978" s="13">
        <f ca="1">ROUNDDOWN($V978*VLOOKUP($B978+IF($C978=12,1,0),Paraméterek!$B$257:$D$267,IF($D$2="Egyszeri",3,2)),IF($D$4="Forint",0,2))</f>
        <v>-1197467</v>
      </c>
      <c r="Y978" s="32">
        <v>959</v>
      </c>
      <c r="Z978" s="32">
        <v>80</v>
      </c>
      <c r="AA978" s="32">
        <v>11</v>
      </c>
      <c r="AB978" s="13">
        <f t="shared" si="221"/>
        <v>0</v>
      </c>
      <c r="AC978" s="33"/>
      <c r="AD978" s="13">
        <f t="shared" si="217"/>
        <v>0</v>
      </c>
      <c r="AE978" s="13">
        <f>ROUNDUP(($AB978+$AD978)*VLOOKUP($Z978,Paraméterek!$P$38:$Q$38,2)/12,IF($D$4="Forint",0,2))</f>
        <v>0</v>
      </c>
      <c r="AF978" s="13">
        <f>IF($D$2="Egyszeri",IF($D$7&gt;=IF($D$4="Forint",Paraméterek!$P$223,Paraméterek!$P$224),$D$7-IF($D$4="Forint",Paraméterek!$F$223,Paraméterek!$F$224),0),MIN(IF($AA978=12,AVERAGE($D$20:$D978)*12,0),SUM($D$20:$D$31)))</f>
        <v>0</v>
      </c>
      <c r="AG978" s="13">
        <f>IF(AND($Z978&gt;=10,MOD($Z978,5)=0),$AF978*IF($AA978=12,VLOOKUP($Z978,Paraméterek!$B$225:$F$240,IF($AF978&lt;IF($D$4="Forint",Paraméterek!$C$223,Paraméterek!$C$224),2,IF($AF978&lt;IF($D$4="Forint",Paraméterek!$D$223,Paraméterek!$D$224),3,4))),0),0)</f>
        <v>0</v>
      </c>
      <c r="AH978" s="13">
        <f>IF(AND($Z978&gt;=5,MOD($Z978,5)=0),IF($AA978=12,VLOOKUP($Z978,Paraméterek!$B$225:$F$240,5),0),IF(OR($Z978=3,$Z978=4),IF($AA978=12,VLOOKUP($Z978,Paraméterek!$B$225:$F$240,5,0),0),0))*$AF978</f>
        <v>0</v>
      </c>
      <c r="AI978" s="13">
        <f>ROUNDDOWN(IF(SUM($T$20:$U978)=0,IF($D$2="Egyszeri",$AH978,$AG978),0),IF($D$4="Forint",0,2))</f>
        <v>0</v>
      </c>
      <c r="AJ978" s="13">
        <f t="shared" si="222"/>
        <v>0</v>
      </c>
      <c r="AK978" s="13">
        <f t="shared" si="223"/>
        <v>0</v>
      </c>
      <c r="AM978" s="32">
        <v>959</v>
      </c>
      <c r="AN978" s="32">
        <v>80</v>
      </c>
      <c r="AO978" s="32">
        <v>11</v>
      </c>
      <c r="AP978" s="13"/>
      <c r="AQ978" s="32"/>
      <c r="AR978" s="13">
        <f t="shared" si="224"/>
        <v>0</v>
      </c>
      <c r="AS978" s="33"/>
      <c r="AT978" s="13">
        <f t="shared" si="218"/>
        <v>0</v>
      </c>
      <c r="AU978" s="13">
        <f>ROUNDUP(($AR978+$AT978)*VLOOKUP($AN978,Paraméterek!$P$38:$Q$38,2)/12,IF($D$4="Forint",0,2))</f>
        <v>0</v>
      </c>
      <c r="AV978" s="13"/>
      <c r="AW978" s="13"/>
      <c r="AX978" s="13">
        <f>ROUNDUP(IF(SUM($AV978:$AW978)=0,0,IF(IF(ISBLANK($AW978),$AV978,$AW978)*Paraméterek!$J$112&lt;IF($D$4="Forint",Paraméterek!$J$113,Paraméterek!$K$113),IF($D$4="Forint",Paraméterek!$J$113,Paraméterek!$K$113),IF(IF(ISBLANK($AW978),$AV978,$AW978)*Paraméterek!$J$112&gt;IF($D$4="Forint",Paraméterek!$J$114,Paraméterek!$K$114),IF($D$4="Forint",Paraméterek!$J$114,Paraméterek!$K$114),IF(ISBLANK($AW978),$AV978,$AW978)*Paraméterek!$J$112))),IF($D$4="Forint",0,2))</f>
        <v>0</v>
      </c>
      <c r="AY978" s="13">
        <f>$AR978+$AT978-$AU978-IF(ROUNDDOWN(IF(ISBLANK($AW978),$AV978,$AW978),IF($D$4="Forint",0,2))&gt;$AR978+$AT978-$AU978-IF($D$4="Forint",Paraméterek!$J$114,Paraméterek!$K$114),0,ROUNDDOWN(IF(ISBLANK($AW978),$AV978,$AW978),IF($D$4="Forint",0,2))-$AX978)</f>
        <v>0</v>
      </c>
      <c r="AZ978" s="13">
        <f t="shared" si="219"/>
        <v>0</v>
      </c>
    </row>
    <row r="979" spans="1:52" x14ac:dyDescent="0.2">
      <c r="A979" s="32">
        <v>960</v>
      </c>
      <c r="B979" s="32">
        <v>80</v>
      </c>
      <c r="C979" s="32">
        <v>12</v>
      </c>
      <c r="D979" s="13">
        <f t="shared" si="210"/>
        <v>0</v>
      </c>
      <c r="E979" s="13"/>
      <c r="F979" s="13"/>
      <c r="G979" s="13"/>
      <c r="H979" s="13">
        <f t="shared" si="211"/>
        <v>0</v>
      </c>
      <c r="I979" s="13">
        <f t="shared" si="212"/>
        <v>0</v>
      </c>
      <c r="J979" s="13">
        <f t="shared" si="213"/>
        <v>0</v>
      </c>
      <c r="K979" s="13">
        <f>ROUNDUP(IF($D$2="Egyszeri",$D979,IF($D$2="Havi",SUM($D$20:$D$31),IF(MOD($C979,$M$1)-1=0,SUM($D$20:$D$31),0))/12*$M$1)*VLOOKUP($B979,Paraméterek!$B$27:$D$30,IF($D$2="Egyszeri",3,2)),IF($D$4="Forint",0,2))</f>
        <v>0</v>
      </c>
      <c r="L979" s="13">
        <f t="shared" si="214"/>
        <v>0</v>
      </c>
      <c r="M979" s="13">
        <f t="shared" ca="1" si="220"/>
        <v>-1197467</v>
      </c>
      <c r="N979" s="13">
        <f ca="1">IF($V978&gt;=VLOOKUP($M$4-1+$B979,Paraméterek!$B$121:$D$122,IF($D$4="Forint",2,3)),0,VLOOKUP($M$4-1+$B979,Paraméterek!$B$121:$D$122,IF($D$4="Forint",2,3))-$V978)</f>
        <v>1207467</v>
      </c>
      <c r="O979" s="13">
        <f ca="1">ROUNDUP($N979*Paraméterek!$C$58/Paraméterek!$C$56,IF($D$4="Forint",0,2))</f>
        <v>193</v>
      </c>
      <c r="P979" s="13">
        <f t="shared" si="215"/>
        <v>5683</v>
      </c>
      <c r="Q979" s="33"/>
      <c r="R979" s="13">
        <f t="shared" ca="1" si="216"/>
        <v>0</v>
      </c>
      <c r="S979" s="13">
        <f ca="1">ROUNDUP(($M979-$O979-$P979+$R979)*VLOOKUP($B979,Paraméterek!$B$38:$D$39,IF($D$2="Egyszeri",3,2))/12,IF($D$4="Forint",0,2))</f>
        <v>-2939</v>
      </c>
      <c r="T979" s="13">
        <f>Tranzakciók!$F$111</f>
        <v>0</v>
      </c>
      <c r="U979" s="13"/>
      <c r="V979" s="13">
        <f ca="1">$M979-$O979-$P979+$R979-$S979-IF(ROUNDUP(IF(ISBLANK($U979),$T979,$U979)/IF(AND($B979=1,$D$2&lt;&gt;"Egyszeri"),1,VLOOKUP($B979+IF($C979=12,1,0),Paraméterek!$B$257:$D$267,IF($D$2="Egyszeri",3,2))),IF($D$4="Forint",0,2))&gt;$M979-$O979-$P979+$R979-$S979-IF($D$4="Forint",Paraméterek!$C$216,Paraméterek!$D$216),0,ROUNDUP(IF(ISBLANK($U979),$T979,$U979)/IF(AND($B979=1,$D$2&lt;&gt;"Egyszeri"),1,VLOOKUP($B979+IF($C979=12,1,0),Paraméterek!$B$257:$D$267,IF($D$2="Egyszeri",3,2))),IF($D$4="Forint",0,2)))</f>
        <v>-1200404</v>
      </c>
      <c r="W979" s="13">
        <f ca="1">ROUNDDOWN($V979*VLOOKUP($B979+IF($C979=12,1,0),Paraméterek!$B$257:$D$267,IF($D$2="Egyszeri",3,2)),IF($D$4="Forint",0,2))</f>
        <v>-1200404</v>
      </c>
      <c r="Y979" s="32">
        <v>960</v>
      </c>
      <c r="Z979" s="32">
        <v>80</v>
      </c>
      <c r="AA979" s="32">
        <v>12</v>
      </c>
      <c r="AB979" s="13">
        <f t="shared" si="221"/>
        <v>0</v>
      </c>
      <c r="AC979" s="33"/>
      <c r="AD979" s="13">
        <f t="shared" si="217"/>
        <v>0</v>
      </c>
      <c r="AE979" s="13">
        <f>ROUNDUP(($AB979+$AD979)*VLOOKUP($Z979,Paraméterek!$P$38:$Q$38,2)/12,IF($D$4="Forint",0,2))</f>
        <v>0</v>
      </c>
      <c r="AF979" s="13">
        <f>IF($D$2="Egyszeri",IF($D$7&gt;=IF($D$4="Forint",Paraméterek!$P$223,Paraméterek!$P$224),$D$7-IF($D$4="Forint",Paraméterek!$F$223,Paraméterek!$F$224),0),MIN(IF($AA979=12,AVERAGE($D$20:$D979)*12,0),SUM($D$20:$D$31)))</f>
        <v>0</v>
      </c>
      <c r="AG979" s="13">
        <f>IF(AND($Z979&gt;=10,MOD($Z979,5)=0),$AF979*IF($AA979=12,VLOOKUP($Z979,Paraméterek!$B$225:$F$240,IF($AF979&lt;IF($D$4="Forint",Paraméterek!$C$223,Paraméterek!$C$224),2,IF($AF979&lt;IF($D$4="Forint",Paraméterek!$D$223,Paraméterek!$D$224),3,4))),0),0)</f>
        <v>0</v>
      </c>
      <c r="AH979" s="13">
        <f>IF(AND($Z979&gt;=5,MOD($Z979,5)=0),IF($AA979=12,VLOOKUP($Z979,Paraméterek!$B$225:$F$240,5),0),IF(OR($Z979=3,$Z979=4),IF($AA979=12,VLOOKUP($Z979,Paraméterek!$B$225:$F$240,5,0),0),0))*$AF979</f>
        <v>0</v>
      </c>
      <c r="AI979" s="13">
        <f>ROUNDDOWN(IF(SUM($T$20:$U979)=0,IF($D$2="Egyszeri",$AH979,$AG979),0),IF($D$4="Forint",0,2))</f>
        <v>0</v>
      </c>
      <c r="AJ979" s="13">
        <f t="shared" si="222"/>
        <v>0</v>
      </c>
      <c r="AK979" s="13">
        <f t="shared" si="223"/>
        <v>0</v>
      </c>
      <c r="AM979" s="32">
        <v>960</v>
      </c>
      <c r="AN979" s="32">
        <v>80</v>
      </c>
      <c r="AO979" s="32">
        <v>12</v>
      </c>
      <c r="AP979" s="13"/>
      <c r="AQ979" s="32"/>
      <c r="AR979" s="13">
        <f t="shared" si="224"/>
        <v>0</v>
      </c>
      <c r="AS979" s="33"/>
      <c r="AT979" s="13">
        <f t="shared" si="218"/>
        <v>0</v>
      </c>
      <c r="AU979" s="13">
        <f>ROUNDUP(($AR979+$AT979)*VLOOKUP($AN979,Paraméterek!$P$38:$Q$38,2)/12,IF($D$4="Forint",0,2))</f>
        <v>0</v>
      </c>
      <c r="AV979" s="13">
        <f>Tranzakciók!$M$111</f>
        <v>0</v>
      </c>
      <c r="AW979" s="13"/>
      <c r="AX979" s="13">
        <f>ROUNDUP(IF(SUM($AV979:$AW979)=0,0,IF(IF(ISBLANK($AW979),$AV979,$AW979)*Paraméterek!$J$112&lt;IF($D$4="Forint",Paraméterek!$J$113,Paraméterek!$K$113),IF($D$4="Forint",Paraméterek!$J$113,Paraméterek!$K$113),IF(IF(ISBLANK($AW979),$AV979,$AW979)*Paraméterek!$J$112&gt;IF($D$4="Forint",Paraméterek!$J$114,Paraméterek!$K$114),IF($D$4="Forint",Paraméterek!$J$114,Paraméterek!$K$114),IF(ISBLANK($AW979),$AV979,$AW979)*Paraméterek!$J$112))),IF($D$4="Forint",0,2))</f>
        <v>0</v>
      </c>
      <c r="AY979" s="13">
        <f>$AR979+$AT979-$AU979-IF(ROUNDDOWN(IF(ISBLANK($AW979),$AV979,$AW979),IF($D$4="Forint",0,2))&gt;$AR979+$AT979-$AU979-IF($D$4="Forint",Paraméterek!$J$114,Paraméterek!$K$114),0,ROUNDDOWN(IF(ISBLANK($AW979),$AV979,$AW979),IF($D$4="Forint",0,2))-$AX979)</f>
        <v>0</v>
      </c>
      <c r="AZ979" s="13">
        <f t="shared" si="219"/>
        <v>0</v>
      </c>
    </row>
    <row r="980" spans="1:52" x14ac:dyDescent="0.2">
      <c r="A980" s="32">
        <v>961</v>
      </c>
      <c r="B980" s="32">
        <v>81</v>
      </c>
      <c r="C980" s="32">
        <v>1</v>
      </c>
      <c r="D980" s="13">
        <f t="shared" si="210"/>
        <v>0</v>
      </c>
      <c r="E980" s="13"/>
      <c r="F980" s="13">
        <f>Tranzakciók!$D$112</f>
        <v>0</v>
      </c>
      <c r="G980" s="13"/>
      <c r="H980" s="13">
        <f t="shared" si="211"/>
        <v>0</v>
      </c>
      <c r="I980" s="13">
        <f t="shared" si="212"/>
        <v>1065</v>
      </c>
      <c r="J980" s="13">
        <f t="shared" si="213"/>
        <v>1065</v>
      </c>
      <c r="K980" s="13">
        <f>ROUNDUP(IF($D$2="Egyszeri",$D980,IF($D$2="Havi",SUM($D$20:$D$31),IF(MOD($C980,$M$1)-1=0,SUM($D$20:$D$31),0))/12*$M$1)*VLOOKUP($B980,Paraméterek!$B$27:$D$30,IF($D$2="Egyszeri",3,2)),IF($D$4="Forint",0,2))</f>
        <v>0</v>
      </c>
      <c r="L980" s="13">
        <f t="shared" si="214"/>
        <v>0</v>
      </c>
      <c r="M980" s="13">
        <f t="shared" ca="1" si="220"/>
        <v>-1200404</v>
      </c>
      <c r="N980" s="13">
        <f ca="1">IF($V979&gt;=VLOOKUP($M$4-1+$B980,Paraméterek!$B$121:$D$122,IF($D$4="Forint",2,3)),0,VLOOKUP($M$4-1+$B980,Paraméterek!$B$121:$D$122,IF($D$4="Forint",2,3))-$V979)</f>
        <v>1210404</v>
      </c>
      <c r="O980" s="13">
        <f ca="1">ROUNDUP($N980*Paraméterek!$C$58/Paraméterek!$C$56,IF($D$4="Forint",0,2))</f>
        <v>193</v>
      </c>
      <c r="P980" s="13">
        <f t="shared" si="215"/>
        <v>5853</v>
      </c>
      <c r="Q980" s="33"/>
      <c r="R980" s="13">
        <f t="shared" ca="1" si="216"/>
        <v>0</v>
      </c>
      <c r="S980" s="13">
        <f ca="1">ROUNDUP(($M980-$O980-$P980+$R980)*VLOOKUP($B980,Paraméterek!$B$38:$D$39,IF($D$2="Egyszeri",3,2))/12,IF($D$4="Forint",0,2))</f>
        <v>-2946</v>
      </c>
      <c r="T980" s="13"/>
      <c r="U980" s="13"/>
      <c r="V980" s="13">
        <f ca="1">$M980-$O980-$P980+$R980-$S980-IF(ROUNDUP(IF(ISBLANK($U980),$T980,$U980)/IF(AND($B980=1,$D$2&lt;&gt;"Egyszeri"),1,VLOOKUP($B980+IF($C980=12,1,0),Paraméterek!$B$257:$D$267,IF($D$2="Egyszeri",3,2))),IF($D$4="Forint",0,2))&gt;$M980-$O980-$P980+$R980-$S980-IF($D$4="Forint",Paraméterek!$C$216,Paraméterek!$D$216),0,ROUNDUP(IF(ISBLANK($U980),$T980,$U980)/IF(AND($B980=1,$D$2&lt;&gt;"Egyszeri"),1,VLOOKUP($B980+IF($C980=12,1,0),Paraméterek!$B$257:$D$267,IF($D$2="Egyszeri",3,2))),IF($D$4="Forint",0,2)))</f>
        <v>-1203504</v>
      </c>
      <c r="W980" s="13">
        <f ca="1">ROUNDDOWN($V980*VLOOKUP($B980+IF($C980=12,1,0),Paraméterek!$B$257:$D$267,IF($D$2="Egyszeri",3,2)),IF($D$4="Forint",0,2))</f>
        <v>-1203504</v>
      </c>
      <c r="Y980" s="32">
        <v>961</v>
      </c>
      <c r="Z980" s="32">
        <v>81</v>
      </c>
      <c r="AA980" s="32">
        <v>1</v>
      </c>
      <c r="AB980" s="13">
        <f t="shared" si="221"/>
        <v>0</v>
      </c>
      <c r="AC980" s="33"/>
      <c r="AD980" s="13">
        <f t="shared" si="217"/>
        <v>0</v>
      </c>
      <c r="AE980" s="13">
        <f>ROUNDUP(($AB980+$AD980)*VLOOKUP($Z980,Paraméterek!$P$38:$Q$38,2)/12,IF($D$4="Forint",0,2))</f>
        <v>0</v>
      </c>
      <c r="AF980" s="13">
        <f>IF($D$2="Egyszeri",IF($D$7&gt;=IF($D$4="Forint",Paraméterek!$P$223,Paraméterek!$P$224),$D$7-IF($D$4="Forint",Paraméterek!$F$223,Paraméterek!$F$224),0),MIN(IF($AA980=12,AVERAGE($D$20:$D980)*12,0),SUM($D$20:$D$31)))</f>
        <v>0</v>
      </c>
      <c r="AG980" s="13">
        <f>IF(AND($Z980&gt;=10,MOD($Z980,5)=0),$AF980*IF($AA980=12,VLOOKUP($Z980,Paraméterek!$B$225:$F$240,IF($AF980&lt;IF($D$4="Forint",Paraméterek!$C$223,Paraméterek!$C$224),2,IF($AF980&lt;IF($D$4="Forint",Paraméterek!$D$223,Paraméterek!$D$224),3,4))),0),0)</f>
        <v>0</v>
      </c>
      <c r="AH980" s="13">
        <f>IF(AND($Z980&gt;=5,MOD($Z980,5)=0),IF($AA980=12,VLOOKUP($Z980,Paraméterek!$B$225:$F$240,5),0),IF(OR($Z980=3,$Z980=4),IF($AA980=12,VLOOKUP($Z980,Paraméterek!$B$225:$F$240,5,0),0),0))*$AF980</f>
        <v>0</v>
      </c>
      <c r="AI980" s="13">
        <f>ROUNDDOWN(IF(SUM($T$20:$U980)=0,IF($D$2="Egyszeri",$AH980,$AG980),0),IF($D$4="Forint",0,2))</f>
        <v>0</v>
      </c>
      <c r="AJ980" s="13">
        <f t="shared" si="222"/>
        <v>0</v>
      </c>
      <c r="AK980" s="13">
        <f t="shared" si="223"/>
        <v>0</v>
      </c>
      <c r="AM980" s="32">
        <v>961</v>
      </c>
      <c r="AN980" s="32">
        <v>81</v>
      </c>
      <c r="AO980" s="32">
        <v>1</v>
      </c>
      <c r="AP980" s="13">
        <f>Tranzakciók!$K$112</f>
        <v>0</v>
      </c>
      <c r="AQ980" s="32"/>
      <c r="AR980" s="13">
        <f t="shared" si="224"/>
        <v>0</v>
      </c>
      <c r="AS980" s="33"/>
      <c r="AT980" s="13">
        <f t="shared" si="218"/>
        <v>0</v>
      </c>
      <c r="AU980" s="13">
        <f>ROUNDUP(($AR980+$AT980)*VLOOKUP($AN980,Paraméterek!$P$38:$Q$38,2)/12,IF($D$4="Forint",0,2))</f>
        <v>0</v>
      </c>
      <c r="AV980" s="13"/>
      <c r="AW980" s="13"/>
      <c r="AX980" s="13">
        <f>ROUNDUP(IF(SUM($AV980:$AW980)=0,0,IF(IF(ISBLANK($AW980),$AV980,$AW980)*Paraméterek!$J$112&lt;IF($D$4="Forint",Paraméterek!$J$113,Paraméterek!$K$113),IF($D$4="Forint",Paraméterek!$J$113,Paraméterek!$K$113),IF(IF(ISBLANK($AW980),$AV980,$AW980)*Paraméterek!$J$112&gt;IF($D$4="Forint",Paraméterek!$J$114,Paraméterek!$K$114),IF($D$4="Forint",Paraméterek!$J$114,Paraméterek!$K$114),IF(ISBLANK($AW980),$AV980,$AW980)*Paraméterek!$J$112))),IF($D$4="Forint",0,2))</f>
        <v>0</v>
      </c>
      <c r="AY980" s="13">
        <f>$AR980+$AT980-$AU980-IF(ROUNDDOWN(IF(ISBLANK($AW980),$AV980,$AW980),IF($D$4="Forint",0,2))&gt;$AR980+$AT980-$AU980-IF($D$4="Forint",Paraméterek!$J$114,Paraméterek!$K$114),0,ROUNDDOWN(IF(ISBLANK($AW980),$AV980,$AW980),IF($D$4="Forint",0,2))-$AX980)</f>
        <v>0</v>
      </c>
      <c r="AZ980" s="13">
        <f t="shared" si="219"/>
        <v>0</v>
      </c>
    </row>
    <row r="981" spans="1:52" x14ac:dyDescent="0.2">
      <c r="A981" s="32">
        <v>962</v>
      </c>
      <c r="B981" s="32">
        <v>81</v>
      </c>
      <c r="C981" s="32">
        <v>2</v>
      </c>
      <c r="D981" s="13">
        <f t="shared" ref="D981:D1027" si="225">IF($D$2="Egyszeri",IF($A981=1,$D$7,0),ROUNDUP(IF($D$2="Havi",$D$7,IF(MOD($C981,$M$1)-1=0,$D$7,0))*(1+$D$6)^($B981-1),IF($D$4="Forint",0,2)))</f>
        <v>0</v>
      </c>
      <c r="E981" s="13"/>
      <c r="F981" s="13"/>
      <c r="G981" s="13"/>
      <c r="H981" s="13">
        <f t="shared" ref="H981:H1027" si="226">ROUNDUP(IF(AND($D$8="Nincs",$D$2&lt;&gt;"Egyszeri"),$D981*10%,0),IF($D$4="Forint",0,2))</f>
        <v>0</v>
      </c>
      <c r="I981" s="13">
        <f t="shared" ref="I981:I1027" si="227">IF($D$2="Egyszeri",IF($A981=1,$M$3,0),ROUNDUP(IF($D$2="Havi",$M$3,IF(MOD($C981,$M$1)-1=0,$M$3,0))*(1+$M$2)^($B981-1),IF($D$4="Forint",0,2)))</f>
        <v>0</v>
      </c>
      <c r="J981" s="13">
        <f t="shared" ref="J981:J1027" si="228">IF(ISBLANK($E981),$D981,$E981)+IF(ISBLANK($G981),$F981,$G981)+$H981+$I981</f>
        <v>0</v>
      </c>
      <c r="K981" s="13">
        <f>ROUNDUP(IF($D$2="Egyszeri",$D981,IF($D$2="Havi",SUM($D$20:$D$31),IF(MOD($C981,$M$1)-1=0,SUM($D$20:$D$31),0))/12*$M$1)*VLOOKUP($B981,Paraméterek!$B$27:$D$30,IF($D$2="Egyszeri",3,2)),IF($D$4="Forint",0,2))</f>
        <v>0</v>
      </c>
      <c r="L981" s="13">
        <f t="shared" ref="L981:L1027" si="229">$D981-$K981+IF(ISBLANK($G981),$F981,$G981)</f>
        <v>0</v>
      </c>
      <c r="M981" s="13">
        <f t="shared" ca="1" si="220"/>
        <v>-1203504</v>
      </c>
      <c r="N981" s="13">
        <f ca="1">IF($V980&gt;=VLOOKUP($M$4-1+$B981,Paraméterek!$B$121:$D$122,IF($D$4="Forint",2,3)),0,VLOOKUP($M$4-1+$B981,Paraméterek!$B$121:$D$122,IF($D$4="Forint",2,3))-$V980)</f>
        <v>1213504</v>
      </c>
      <c r="O981" s="13">
        <f ca="1">ROUNDUP($N981*Paraméterek!$C$58/Paraméterek!$C$56,IF($D$4="Forint",0,2))</f>
        <v>194</v>
      </c>
      <c r="P981" s="13">
        <f t="shared" ref="P981:P1027" si="230">ROUNDUP($M$5*(1+$M$2)^($B981-1),IF($D$4="Forint",0,2))</f>
        <v>5853</v>
      </c>
      <c r="Q981" s="33"/>
      <c r="R981" s="13">
        <f t="shared" ref="R981:R1027" ca="1" si="231">ROUNDDOWN(($M981-$O981-$P981)*IF(ISBLANK($Q981),$M$6,$Q981),IF($D$4="Forint",0,2))</f>
        <v>0</v>
      </c>
      <c r="S981" s="13">
        <f ca="1">ROUNDUP(($M981-$O981-$P981+$R981)*VLOOKUP($B981,Paraméterek!$B$38:$D$39,IF($D$2="Egyszeri",3,2))/12,IF($D$4="Forint",0,2))</f>
        <v>-2954</v>
      </c>
      <c r="T981" s="13"/>
      <c r="U981" s="13"/>
      <c r="V981" s="13">
        <f ca="1">$M981-$O981-$P981+$R981-$S981-IF(ROUNDUP(IF(ISBLANK($U981),$T981,$U981)/IF(AND($B981=1,$D$2&lt;&gt;"Egyszeri"),1,VLOOKUP($B981+IF($C981=12,1,0),Paraméterek!$B$257:$D$267,IF($D$2="Egyszeri",3,2))),IF($D$4="Forint",0,2))&gt;$M981-$O981-$P981+$R981-$S981-IF($D$4="Forint",Paraméterek!$C$216,Paraméterek!$D$216),0,ROUNDUP(IF(ISBLANK($U981),$T981,$U981)/IF(AND($B981=1,$D$2&lt;&gt;"Egyszeri"),1,VLOOKUP($B981+IF($C981=12,1,0),Paraméterek!$B$257:$D$267,IF($D$2="Egyszeri",3,2))),IF($D$4="Forint",0,2)))</f>
        <v>-1206597</v>
      </c>
      <c r="W981" s="13">
        <f ca="1">ROUNDDOWN($V981*VLOOKUP($B981+IF($C981=12,1,0),Paraméterek!$B$257:$D$267,IF($D$2="Egyszeri",3,2)),IF($D$4="Forint",0,2))</f>
        <v>-1206597</v>
      </c>
      <c r="Y981" s="32">
        <v>962</v>
      </c>
      <c r="Z981" s="32">
        <v>81</v>
      </c>
      <c r="AA981" s="32">
        <v>2</v>
      </c>
      <c r="AB981" s="13">
        <f t="shared" si="221"/>
        <v>0</v>
      </c>
      <c r="AC981" s="33"/>
      <c r="AD981" s="13">
        <f t="shared" ref="AD981:AD1027" si="232">ROUNDDOWN($AB981*IF(ISBLANK($AC981),$M$8,$AC981),IF($D$4="Forint",0,2))</f>
        <v>0</v>
      </c>
      <c r="AE981" s="13">
        <f>ROUNDUP(($AB981+$AD981)*VLOOKUP($Z981,Paraméterek!$P$38:$Q$38,2)/12,IF($D$4="Forint",0,2))</f>
        <v>0</v>
      </c>
      <c r="AF981" s="13">
        <f>IF($D$2="Egyszeri",IF($D$7&gt;=IF($D$4="Forint",Paraméterek!$P$223,Paraméterek!$P$224),$D$7-IF($D$4="Forint",Paraméterek!$F$223,Paraméterek!$F$224),0),MIN(IF($AA981=12,AVERAGE($D$20:$D981)*12,0),SUM($D$20:$D$31)))</f>
        <v>0</v>
      </c>
      <c r="AG981" s="13">
        <f>IF(AND($Z981&gt;=10,MOD($Z981,5)=0),$AF981*IF($AA981=12,VLOOKUP($Z981,Paraméterek!$B$225:$F$240,IF($AF981&lt;IF($D$4="Forint",Paraméterek!$C$223,Paraméterek!$C$224),2,IF($AF981&lt;IF($D$4="Forint",Paraméterek!$D$223,Paraméterek!$D$224),3,4))),0),0)</f>
        <v>0</v>
      </c>
      <c r="AH981" s="13">
        <f>IF(AND($Z981&gt;=5,MOD($Z981,5)=0),IF($AA981=12,VLOOKUP($Z981,Paraméterek!$B$225:$F$240,5),0),IF(OR($Z981=3,$Z981=4),IF($AA981=12,VLOOKUP($Z981,Paraméterek!$B$225:$F$240,5,0),0),0))*$AF981</f>
        <v>0</v>
      </c>
      <c r="AI981" s="13">
        <f>ROUNDDOWN(IF(SUM($T$20:$U981)=0,IF($D$2="Egyszeri",$AH981,$AG981),0),IF($D$4="Forint",0,2))</f>
        <v>0</v>
      </c>
      <c r="AJ981" s="13">
        <f t="shared" si="222"/>
        <v>0</v>
      </c>
      <c r="AK981" s="13">
        <f t="shared" si="223"/>
        <v>0</v>
      </c>
      <c r="AM981" s="32">
        <v>962</v>
      </c>
      <c r="AN981" s="32">
        <v>81</v>
      </c>
      <c r="AO981" s="32">
        <v>2</v>
      </c>
      <c r="AP981" s="13"/>
      <c r="AQ981" s="32"/>
      <c r="AR981" s="13">
        <f t="shared" si="224"/>
        <v>0</v>
      </c>
      <c r="AS981" s="33"/>
      <c r="AT981" s="13">
        <f t="shared" ref="AT981:AT1027" si="233">ROUNDDOWN($AR981*IF(ISBLANK($AS981),$M$7,$AS981),IF($D$4="Forint",0,2))</f>
        <v>0</v>
      </c>
      <c r="AU981" s="13">
        <f>ROUNDUP(($AR981+$AT981)*VLOOKUP($AN981,Paraméterek!$P$38:$Q$38,2)/12,IF($D$4="Forint",0,2))</f>
        <v>0</v>
      </c>
      <c r="AV981" s="13"/>
      <c r="AW981" s="13"/>
      <c r="AX981" s="13">
        <f>ROUNDUP(IF(SUM($AV981:$AW981)=0,0,IF(IF(ISBLANK($AW981),$AV981,$AW981)*Paraméterek!$J$112&lt;IF($D$4="Forint",Paraméterek!$J$113,Paraméterek!$K$113),IF($D$4="Forint",Paraméterek!$J$113,Paraméterek!$K$113),IF(IF(ISBLANK($AW981),$AV981,$AW981)*Paraméterek!$J$112&gt;IF($D$4="Forint",Paraméterek!$J$114,Paraméterek!$K$114),IF($D$4="Forint",Paraméterek!$J$114,Paraméterek!$K$114),IF(ISBLANK($AW981),$AV981,$AW981)*Paraméterek!$J$112))),IF($D$4="Forint",0,2))</f>
        <v>0</v>
      </c>
      <c r="AY981" s="13">
        <f>$AR981+$AT981-$AU981-IF(ROUNDDOWN(IF(ISBLANK($AW981),$AV981,$AW981),IF($D$4="Forint",0,2))&gt;$AR981+$AT981-$AU981-IF($D$4="Forint",Paraméterek!$J$114,Paraméterek!$K$114),0,ROUNDDOWN(IF(ISBLANK($AW981),$AV981,$AW981),IF($D$4="Forint",0,2))-$AX981)</f>
        <v>0</v>
      </c>
      <c r="AZ981" s="13">
        <f t="shared" ref="AZ981:AZ1027" si="234">$AY981</f>
        <v>0</v>
      </c>
    </row>
    <row r="982" spans="1:52" x14ac:dyDescent="0.2">
      <c r="A982" s="32">
        <v>963</v>
      </c>
      <c r="B982" s="32">
        <v>81</v>
      </c>
      <c r="C982" s="32">
        <v>3</v>
      </c>
      <c r="D982" s="13">
        <f t="shared" si="225"/>
        <v>0</v>
      </c>
      <c r="E982" s="13"/>
      <c r="F982" s="13"/>
      <c r="G982" s="13"/>
      <c r="H982" s="13">
        <f t="shared" si="226"/>
        <v>0</v>
      </c>
      <c r="I982" s="13">
        <f t="shared" si="227"/>
        <v>0</v>
      </c>
      <c r="J982" s="13">
        <f t="shared" si="228"/>
        <v>0</v>
      </c>
      <c r="K982" s="13">
        <f>ROUNDUP(IF($D$2="Egyszeri",$D982,IF($D$2="Havi",SUM($D$20:$D$31),IF(MOD($C982,$M$1)-1=0,SUM($D$20:$D$31),0))/12*$M$1)*VLOOKUP($B982,Paraméterek!$B$27:$D$30,IF($D$2="Egyszeri",3,2)),IF($D$4="Forint",0,2))</f>
        <v>0</v>
      </c>
      <c r="L982" s="13">
        <f t="shared" si="229"/>
        <v>0</v>
      </c>
      <c r="M982" s="13">
        <f t="shared" ref="M982:M1027" ca="1" si="235">$L982+$V981</f>
        <v>-1206597</v>
      </c>
      <c r="N982" s="13">
        <f ca="1">IF($V981&gt;=VLOOKUP($M$4-1+$B982,Paraméterek!$B$121:$D$122,IF($D$4="Forint",2,3)),0,VLOOKUP($M$4-1+$B982,Paraméterek!$B$121:$D$122,IF($D$4="Forint",2,3))-$V981)</f>
        <v>1216597</v>
      </c>
      <c r="O982" s="13">
        <f ca="1">ROUNDUP($N982*Paraméterek!$C$58/Paraméterek!$C$56,IF($D$4="Forint",0,2))</f>
        <v>194</v>
      </c>
      <c r="P982" s="13">
        <f t="shared" si="230"/>
        <v>5853</v>
      </c>
      <c r="Q982" s="33"/>
      <c r="R982" s="13">
        <f t="shared" ca="1" si="231"/>
        <v>0</v>
      </c>
      <c r="S982" s="13">
        <f ca="1">ROUNDUP(($M982-$O982-$P982+$R982)*VLOOKUP($B982,Paraméterek!$B$38:$D$39,IF($D$2="Egyszeri",3,2))/12,IF($D$4="Forint",0,2))</f>
        <v>-2961</v>
      </c>
      <c r="T982" s="13"/>
      <c r="U982" s="13"/>
      <c r="V982" s="13">
        <f ca="1">$M982-$O982-$P982+$R982-$S982-IF(ROUNDUP(IF(ISBLANK($U982),$T982,$U982)/IF(AND($B982=1,$D$2&lt;&gt;"Egyszeri"),1,VLOOKUP($B982+IF($C982=12,1,0),Paraméterek!$B$257:$D$267,IF($D$2="Egyszeri",3,2))),IF($D$4="Forint",0,2))&gt;$M982-$O982-$P982+$R982-$S982-IF($D$4="Forint",Paraméterek!$C$216,Paraméterek!$D$216),0,ROUNDUP(IF(ISBLANK($U982),$T982,$U982)/IF(AND($B982=1,$D$2&lt;&gt;"Egyszeri"),1,VLOOKUP($B982+IF($C982=12,1,0),Paraméterek!$B$257:$D$267,IF($D$2="Egyszeri",3,2))),IF($D$4="Forint",0,2)))</f>
        <v>-1209683</v>
      </c>
      <c r="W982" s="13">
        <f ca="1">ROUNDDOWN($V982*VLOOKUP($B982+IF($C982=12,1,0),Paraméterek!$B$257:$D$267,IF($D$2="Egyszeri",3,2)),IF($D$4="Forint",0,2))</f>
        <v>-1209683</v>
      </c>
      <c r="Y982" s="32">
        <v>963</v>
      </c>
      <c r="Z982" s="32">
        <v>81</v>
      </c>
      <c r="AA982" s="32">
        <v>3</v>
      </c>
      <c r="AB982" s="13">
        <f t="shared" ref="AB982:AB1027" si="236">$AJ981</f>
        <v>0</v>
      </c>
      <c r="AC982" s="33"/>
      <c r="AD982" s="13">
        <f t="shared" si="232"/>
        <v>0</v>
      </c>
      <c r="AE982" s="13">
        <f>ROUNDUP(($AB982+$AD982)*VLOOKUP($Z982,Paraméterek!$P$38:$Q$38,2)/12,IF($D$4="Forint",0,2))</f>
        <v>0</v>
      </c>
      <c r="AF982" s="13">
        <f>IF($D$2="Egyszeri",IF($D$7&gt;=IF($D$4="Forint",Paraméterek!$P$223,Paraméterek!$P$224),$D$7-IF($D$4="Forint",Paraméterek!$F$223,Paraméterek!$F$224),0),MIN(IF($AA982=12,AVERAGE($D$20:$D982)*12,0),SUM($D$20:$D$31)))</f>
        <v>0</v>
      </c>
      <c r="AG982" s="13">
        <f>IF(AND($Z982&gt;=10,MOD($Z982,5)=0),$AF982*IF($AA982=12,VLOOKUP($Z982,Paraméterek!$B$225:$F$240,IF($AF982&lt;IF($D$4="Forint",Paraméterek!$C$223,Paraméterek!$C$224),2,IF($AF982&lt;IF($D$4="Forint",Paraméterek!$D$223,Paraméterek!$D$224),3,4))),0),0)</f>
        <v>0</v>
      </c>
      <c r="AH982" s="13">
        <f>IF(AND($Z982&gt;=5,MOD($Z982,5)=0),IF($AA982=12,VLOOKUP($Z982,Paraméterek!$B$225:$F$240,5),0),IF(OR($Z982=3,$Z982=4),IF($AA982=12,VLOOKUP($Z982,Paraméterek!$B$225:$F$240,5,0),0),0))*$AF982</f>
        <v>0</v>
      </c>
      <c r="AI982" s="13">
        <f>ROUNDDOWN(IF(SUM($T$20:$U982)=0,IF($D$2="Egyszeri",$AH982,$AG982),0),IF($D$4="Forint",0,2))</f>
        <v>0</v>
      </c>
      <c r="AJ982" s="13">
        <f t="shared" ref="AJ982:AJ1027" si="237">$AB982+$AD982-$AE982+$AI982</f>
        <v>0</v>
      </c>
      <c r="AK982" s="13">
        <f t="shared" ref="AK982:AK1027" si="238">$AJ982</f>
        <v>0</v>
      </c>
      <c r="AM982" s="32">
        <v>963</v>
      </c>
      <c r="AN982" s="32">
        <v>81</v>
      </c>
      <c r="AO982" s="32">
        <v>3</v>
      </c>
      <c r="AP982" s="13"/>
      <c r="AQ982" s="32"/>
      <c r="AR982" s="13">
        <f t="shared" ref="AR982:AR1027" si="239">IF(ISBLANK($AQ982),$AP982,$AQ982)+$AY981</f>
        <v>0</v>
      </c>
      <c r="AS982" s="33"/>
      <c r="AT982" s="13">
        <f t="shared" si="233"/>
        <v>0</v>
      </c>
      <c r="AU982" s="13">
        <f>ROUNDUP(($AR982+$AT982)*VLOOKUP($AN982,Paraméterek!$P$38:$Q$38,2)/12,IF($D$4="Forint",0,2))</f>
        <v>0</v>
      </c>
      <c r="AV982" s="13"/>
      <c r="AW982" s="13"/>
      <c r="AX982" s="13">
        <f>ROUNDUP(IF(SUM($AV982:$AW982)=0,0,IF(IF(ISBLANK($AW982),$AV982,$AW982)*Paraméterek!$J$112&lt;IF($D$4="Forint",Paraméterek!$J$113,Paraméterek!$K$113),IF($D$4="Forint",Paraméterek!$J$113,Paraméterek!$K$113),IF(IF(ISBLANK($AW982),$AV982,$AW982)*Paraméterek!$J$112&gt;IF($D$4="Forint",Paraméterek!$J$114,Paraméterek!$K$114),IF($D$4="Forint",Paraméterek!$J$114,Paraméterek!$K$114),IF(ISBLANK($AW982),$AV982,$AW982)*Paraméterek!$J$112))),IF($D$4="Forint",0,2))</f>
        <v>0</v>
      </c>
      <c r="AY982" s="13">
        <f>$AR982+$AT982-$AU982-IF(ROUNDDOWN(IF(ISBLANK($AW982),$AV982,$AW982),IF($D$4="Forint",0,2))&gt;$AR982+$AT982-$AU982-IF($D$4="Forint",Paraméterek!$J$114,Paraméterek!$K$114),0,ROUNDDOWN(IF(ISBLANK($AW982),$AV982,$AW982),IF($D$4="Forint",0,2))-$AX982)</f>
        <v>0</v>
      </c>
      <c r="AZ982" s="13">
        <f t="shared" si="234"/>
        <v>0</v>
      </c>
    </row>
    <row r="983" spans="1:52" x14ac:dyDescent="0.2">
      <c r="A983" s="32">
        <v>964</v>
      </c>
      <c r="B983" s="32">
        <v>81</v>
      </c>
      <c r="C983" s="32">
        <v>4</v>
      </c>
      <c r="D983" s="13">
        <f t="shared" si="225"/>
        <v>0</v>
      </c>
      <c r="E983" s="13"/>
      <c r="F983" s="13"/>
      <c r="G983" s="13"/>
      <c r="H983" s="13">
        <f t="shared" si="226"/>
        <v>0</v>
      </c>
      <c r="I983" s="13">
        <f t="shared" si="227"/>
        <v>0</v>
      </c>
      <c r="J983" s="13">
        <f t="shared" si="228"/>
        <v>0</v>
      </c>
      <c r="K983" s="13">
        <f>ROUNDUP(IF($D$2="Egyszeri",$D983,IF($D$2="Havi",SUM($D$20:$D$31),IF(MOD($C983,$M$1)-1=0,SUM($D$20:$D$31),0))/12*$M$1)*VLOOKUP($B983,Paraméterek!$B$27:$D$30,IF($D$2="Egyszeri",3,2)),IF($D$4="Forint",0,2))</f>
        <v>0</v>
      </c>
      <c r="L983" s="13">
        <f t="shared" si="229"/>
        <v>0</v>
      </c>
      <c r="M983" s="13">
        <f t="shared" ca="1" si="235"/>
        <v>-1209683</v>
      </c>
      <c r="N983" s="13">
        <f ca="1">IF($V982&gt;=VLOOKUP($M$4-1+$B983,Paraméterek!$B$121:$D$122,IF($D$4="Forint",2,3)),0,VLOOKUP($M$4-1+$B983,Paraméterek!$B$121:$D$122,IF($D$4="Forint",2,3))-$V982)</f>
        <v>1219683</v>
      </c>
      <c r="O983" s="13">
        <f ca="1">ROUNDUP($N983*Paraméterek!$C$58/Paraméterek!$C$56,IF($D$4="Forint",0,2))</f>
        <v>195</v>
      </c>
      <c r="P983" s="13">
        <f t="shared" si="230"/>
        <v>5853</v>
      </c>
      <c r="Q983" s="33"/>
      <c r="R983" s="13">
        <f t="shared" ca="1" si="231"/>
        <v>0</v>
      </c>
      <c r="S983" s="13">
        <f ca="1">ROUNDUP(($M983-$O983-$P983+$R983)*VLOOKUP($B983,Paraméterek!$B$38:$D$39,IF($D$2="Egyszeri",3,2))/12,IF($D$4="Forint",0,2))</f>
        <v>-2969</v>
      </c>
      <c r="T983" s="13"/>
      <c r="U983" s="13"/>
      <c r="V983" s="13">
        <f ca="1">$M983-$O983-$P983+$R983-$S983-IF(ROUNDUP(IF(ISBLANK($U983),$T983,$U983)/IF(AND($B983=1,$D$2&lt;&gt;"Egyszeri"),1,VLOOKUP($B983+IF($C983=12,1,0),Paraméterek!$B$257:$D$267,IF($D$2="Egyszeri",3,2))),IF($D$4="Forint",0,2))&gt;$M983-$O983-$P983+$R983-$S983-IF($D$4="Forint",Paraméterek!$C$216,Paraméterek!$D$216),0,ROUNDUP(IF(ISBLANK($U983),$T983,$U983)/IF(AND($B983=1,$D$2&lt;&gt;"Egyszeri"),1,VLOOKUP($B983+IF($C983=12,1,0),Paraméterek!$B$257:$D$267,IF($D$2="Egyszeri",3,2))),IF($D$4="Forint",0,2)))</f>
        <v>-1212762</v>
      </c>
      <c r="W983" s="13">
        <f ca="1">ROUNDDOWN($V983*VLOOKUP($B983+IF($C983=12,1,0),Paraméterek!$B$257:$D$267,IF($D$2="Egyszeri",3,2)),IF($D$4="Forint",0,2))</f>
        <v>-1212762</v>
      </c>
      <c r="Y983" s="32">
        <v>964</v>
      </c>
      <c r="Z983" s="32">
        <v>81</v>
      </c>
      <c r="AA983" s="32">
        <v>4</v>
      </c>
      <c r="AB983" s="13">
        <f t="shared" si="236"/>
        <v>0</v>
      </c>
      <c r="AC983" s="33"/>
      <c r="AD983" s="13">
        <f t="shared" si="232"/>
        <v>0</v>
      </c>
      <c r="AE983" s="13">
        <f>ROUNDUP(($AB983+$AD983)*VLOOKUP($Z983,Paraméterek!$P$38:$Q$38,2)/12,IF($D$4="Forint",0,2))</f>
        <v>0</v>
      </c>
      <c r="AF983" s="13">
        <f>IF($D$2="Egyszeri",IF($D$7&gt;=IF($D$4="Forint",Paraméterek!$P$223,Paraméterek!$P$224),$D$7-IF($D$4="Forint",Paraméterek!$F$223,Paraméterek!$F$224),0),MIN(IF($AA983=12,AVERAGE($D$20:$D983)*12,0),SUM($D$20:$D$31)))</f>
        <v>0</v>
      </c>
      <c r="AG983" s="13">
        <f>IF(AND($Z983&gt;=10,MOD($Z983,5)=0),$AF983*IF($AA983=12,VLOOKUP($Z983,Paraméterek!$B$225:$F$240,IF($AF983&lt;IF($D$4="Forint",Paraméterek!$C$223,Paraméterek!$C$224),2,IF($AF983&lt;IF($D$4="Forint",Paraméterek!$D$223,Paraméterek!$D$224),3,4))),0),0)</f>
        <v>0</v>
      </c>
      <c r="AH983" s="13">
        <f>IF(AND($Z983&gt;=5,MOD($Z983,5)=0),IF($AA983=12,VLOOKUP($Z983,Paraméterek!$B$225:$F$240,5),0),IF(OR($Z983=3,$Z983=4),IF($AA983=12,VLOOKUP($Z983,Paraméterek!$B$225:$F$240,5,0),0),0))*$AF983</f>
        <v>0</v>
      </c>
      <c r="AI983" s="13">
        <f>ROUNDDOWN(IF(SUM($T$20:$U983)=0,IF($D$2="Egyszeri",$AH983,$AG983),0),IF($D$4="Forint",0,2))</f>
        <v>0</v>
      </c>
      <c r="AJ983" s="13">
        <f t="shared" si="237"/>
        <v>0</v>
      </c>
      <c r="AK983" s="13">
        <f t="shared" si="238"/>
        <v>0</v>
      </c>
      <c r="AM983" s="32">
        <v>964</v>
      </c>
      <c r="AN983" s="32">
        <v>81</v>
      </c>
      <c r="AO983" s="32">
        <v>4</v>
      </c>
      <c r="AP983" s="13"/>
      <c r="AQ983" s="32"/>
      <c r="AR983" s="13">
        <f t="shared" si="239"/>
        <v>0</v>
      </c>
      <c r="AS983" s="33"/>
      <c r="AT983" s="13">
        <f t="shared" si="233"/>
        <v>0</v>
      </c>
      <c r="AU983" s="13">
        <f>ROUNDUP(($AR983+$AT983)*VLOOKUP($AN983,Paraméterek!$P$38:$Q$38,2)/12,IF($D$4="Forint",0,2))</f>
        <v>0</v>
      </c>
      <c r="AV983" s="13"/>
      <c r="AW983" s="13"/>
      <c r="AX983" s="13">
        <f>ROUNDUP(IF(SUM($AV983:$AW983)=0,0,IF(IF(ISBLANK($AW983),$AV983,$AW983)*Paraméterek!$J$112&lt;IF($D$4="Forint",Paraméterek!$J$113,Paraméterek!$K$113),IF($D$4="Forint",Paraméterek!$J$113,Paraméterek!$K$113),IF(IF(ISBLANK($AW983),$AV983,$AW983)*Paraméterek!$J$112&gt;IF($D$4="Forint",Paraméterek!$J$114,Paraméterek!$K$114),IF($D$4="Forint",Paraméterek!$J$114,Paraméterek!$K$114),IF(ISBLANK($AW983),$AV983,$AW983)*Paraméterek!$J$112))),IF($D$4="Forint",0,2))</f>
        <v>0</v>
      </c>
      <c r="AY983" s="13">
        <f>$AR983+$AT983-$AU983-IF(ROUNDDOWN(IF(ISBLANK($AW983),$AV983,$AW983),IF($D$4="Forint",0,2))&gt;$AR983+$AT983-$AU983-IF($D$4="Forint",Paraméterek!$J$114,Paraméterek!$K$114),0,ROUNDDOWN(IF(ISBLANK($AW983),$AV983,$AW983),IF($D$4="Forint",0,2))-$AX983)</f>
        <v>0</v>
      </c>
      <c r="AZ983" s="13">
        <f t="shared" si="234"/>
        <v>0</v>
      </c>
    </row>
    <row r="984" spans="1:52" x14ac:dyDescent="0.2">
      <c r="A984" s="32">
        <v>965</v>
      </c>
      <c r="B984" s="32">
        <v>81</v>
      </c>
      <c r="C984" s="32">
        <v>5</v>
      </c>
      <c r="D984" s="13">
        <f t="shared" si="225"/>
        <v>0</v>
      </c>
      <c r="E984" s="13"/>
      <c r="F984" s="13"/>
      <c r="G984" s="13"/>
      <c r="H984" s="13">
        <f t="shared" si="226"/>
        <v>0</v>
      </c>
      <c r="I984" s="13">
        <f t="shared" si="227"/>
        <v>0</v>
      </c>
      <c r="J984" s="13">
        <f t="shared" si="228"/>
        <v>0</v>
      </c>
      <c r="K984" s="13">
        <f>ROUNDUP(IF($D$2="Egyszeri",$D984,IF($D$2="Havi",SUM($D$20:$D$31),IF(MOD($C984,$M$1)-1=0,SUM($D$20:$D$31),0))/12*$M$1)*VLOOKUP($B984,Paraméterek!$B$27:$D$30,IF($D$2="Egyszeri",3,2)),IF($D$4="Forint",0,2))</f>
        <v>0</v>
      </c>
      <c r="L984" s="13">
        <f t="shared" si="229"/>
        <v>0</v>
      </c>
      <c r="M984" s="13">
        <f t="shared" ca="1" si="235"/>
        <v>-1212762</v>
      </c>
      <c r="N984" s="13">
        <f ca="1">IF($V983&gt;=VLOOKUP($M$4-1+$B984,Paraméterek!$B$121:$D$122,IF($D$4="Forint",2,3)),0,VLOOKUP($M$4-1+$B984,Paraméterek!$B$121:$D$122,IF($D$4="Forint",2,3))-$V983)</f>
        <v>1222762</v>
      </c>
      <c r="O984" s="13">
        <f ca="1">ROUNDUP($N984*Paraméterek!$C$58/Paraméterek!$C$56,IF($D$4="Forint",0,2))</f>
        <v>195</v>
      </c>
      <c r="P984" s="13">
        <f t="shared" si="230"/>
        <v>5853</v>
      </c>
      <c r="Q984" s="33"/>
      <c r="R984" s="13">
        <f t="shared" ca="1" si="231"/>
        <v>0</v>
      </c>
      <c r="S984" s="13">
        <f ca="1">ROUNDUP(($M984-$O984-$P984+$R984)*VLOOKUP($B984,Paraméterek!$B$38:$D$39,IF($D$2="Egyszeri",3,2))/12,IF($D$4="Forint",0,2))</f>
        <v>-2976</v>
      </c>
      <c r="T984" s="13"/>
      <c r="U984" s="13"/>
      <c r="V984" s="13">
        <f ca="1">$M984-$O984-$P984+$R984-$S984-IF(ROUNDUP(IF(ISBLANK($U984),$T984,$U984)/IF(AND($B984=1,$D$2&lt;&gt;"Egyszeri"),1,VLOOKUP($B984+IF($C984=12,1,0),Paraméterek!$B$257:$D$267,IF($D$2="Egyszeri",3,2))),IF($D$4="Forint",0,2))&gt;$M984-$O984-$P984+$R984-$S984-IF($D$4="Forint",Paraméterek!$C$216,Paraméterek!$D$216),0,ROUNDUP(IF(ISBLANK($U984),$T984,$U984)/IF(AND($B984=1,$D$2&lt;&gt;"Egyszeri"),1,VLOOKUP($B984+IF($C984=12,1,0),Paraméterek!$B$257:$D$267,IF($D$2="Egyszeri",3,2))),IF($D$4="Forint",0,2)))</f>
        <v>-1215834</v>
      </c>
      <c r="W984" s="13">
        <f ca="1">ROUNDDOWN($V984*VLOOKUP($B984+IF($C984=12,1,0),Paraméterek!$B$257:$D$267,IF($D$2="Egyszeri",3,2)),IF($D$4="Forint",0,2))</f>
        <v>-1215834</v>
      </c>
      <c r="Y984" s="32">
        <v>965</v>
      </c>
      <c r="Z984" s="32">
        <v>81</v>
      </c>
      <c r="AA984" s="32">
        <v>5</v>
      </c>
      <c r="AB984" s="13">
        <f t="shared" si="236"/>
        <v>0</v>
      </c>
      <c r="AC984" s="33"/>
      <c r="AD984" s="13">
        <f t="shared" si="232"/>
        <v>0</v>
      </c>
      <c r="AE984" s="13">
        <f>ROUNDUP(($AB984+$AD984)*VLOOKUP($Z984,Paraméterek!$P$38:$Q$38,2)/12,IF($D$4="Forint",0,2))</f>
        <v>0</v>
      </c>
      <c r="AF984" s="13">
        <f>IF($D$2="Egyszeri",IF($D$7&gt;=IF($D$4="Forint",Paraméterek!$P$223,Paraméterek!$P$224),$D$7-IF($D$4="Forint",Paraméterek!$F$223,Paraméterek!$F$224),0),MIN(IF($AA984=12,AVERAGE($D$20:$D984)*12,0),SUM($D$20:$D$31)))</f>
        <v>0</v>
      </c>
      <c r="AG984" s="13">
        <f>IF(AND($Z984&gt;=10,MOD($Z984,5)=0),$AF984*IF($AA984=12,VLOOKUP($Z984,Paraméterek!$B$225:$F$240,IF($AF984&lt;IF($D$4="Forint",Paraméterek!$C$223,Paraméterek!$C$224),2,IF($AF984&lt;IF($D$4="Forint",Paraméterek!$D$223,Paraméterek!$D$224),3,4))),0),0)</f>
        <v>0</v>
      </c>
      <c r="AH984" s="13">
        <f>IF(AND($Z984&gt;=5,MOD($Z984,5)=0),IF($AA984=12,VLOOKUP($Z984,Paraméterek!$B$225:$F$240,5),0),IF(OR($Z984=3,$Z984=4),IF($AA984=12,VLOOKUP($Z984,Paraméterek!$B$225:$F$240,5,0),0),0))*$AF984</f>
        <v>0</v>
      </c>
      <c r="AI984" s="13">
        <f>ROUNDDOWN(IF(SUM($T$20:$U984)=0,IF($D$2="Egyszeri",$AH984,$AG984),0),IF($D$4="Forint",0,2))</f>
        <v>0</v>
      </c>
      <c r="AJ984" s="13">
        <f t="shared" si="237"/>
        <v>0</v>
      </c>
      <c r="AK984" s="13">
        <f t="shared" si="238"/>
        <v>0</v>
      </c>
      <c r="AM984" s="32">
        <v>965</v>
      </c>
      <c r="AN984" s="32">
        <v>81</v>
      </c>
      <c r="AO984" s="32">
        <v>5</v>
      </c>
      <c r="AP984" s="13"/>
      <c r="AQ984" s="32"/>
      <c r="AR984" s="13">
        <f t="shared" si="239"/>
        <v>0</v>
      </c>
      <c r="AS984" s="33"/>
      <c r="AT984" s="13">
        <f t="shared" si="233"/>
        <v>0</v>
      </c>
      <c r="AU984" s="13">
        <f>ROUNDUP(($AR984+$AT984)*VLOOKUP($AN984,Paraméterek!$P$38:$Q$38,2)/12,IF($D$4="Forint",0,2))</f>
        <v>0</v>
      </c>
      <c r="AV984" s="13"/>
      <c r="AW984" s="13"/>
      <c r="AX984" s="13">
        <f>ROUNDUP(IF(SUM($AV984:$AW984)=0,0,IF(IF(ISBLANK($AW984),$AV984,$AW984)*Paraméterek!$J$112&lt;IF($D$4="Forint",Paraméterek!$J$113,Paraméterek!$K$113),IF($D$4="Forint",Paraméterek!$J$113,Paraméterek!$K$113),IF(IF(ISBLANK($AW984),$AV984,$AW984)*Paraméterek!$J$112&gt;IF($D$4="Forint",Paraméterek!$J$114,Paraméterek!$K$114),IF($D$4="Forint",Paraméterek!$J$114,Paraméterek!$K$114),IF(ISBLANK($AW984),$AV984,$AW984)*Paraméterek!$J$112))),IF($D$4="Forint",0,2))</f>
        <v>0</v>
      </c>
      <c r="AY984" s="13">
        <f>$AR984+$AT984-$AU984-IF(ROUNDDOWN(IF(ISBLANK($AW984),$AV984,$AW984),IF($D$4="Forint",0,2))&gt;$AR984+$AT984-$AU984-IF($D$4="Forint",Paraméterek!$J$114,Paraméterek!$K$114),0,ROUNDDOWN(IF(ISBLANK($AW984),$AV984,$AW984),IF($D$4="Forint",0,2))-$AX984)</f>
        <v>0</v>
      </c>
      <c r="AZ984" s="13">
        <f t="shared" si="234"/>
        <v>0</v>
      </c>
    </row>
    <row r="985" spans="1:52" x14ac:dyDescent="0.2">
      <c r="A985" s="32">
        <v>966</v>
      </c>
      <c r="B985" s="32">
        <v>81</v>
      </c>
      <c r="C985" s="32">
        <v>6</v>
      </c>
      <c r="D985" s="13">
        <f t="shared" si="225"/>
        <v>0</v>
      </c>
      <c r="E985" s="13"/>
      <c r="F985" s="13"/>
      <c r="G985" s="13"/>
      <c r="H985" s="13">
        <f t="shared" si="226"/>
        <v>0</v>
      </c>
      <c r="I985" s="13">
        <f t="shared" si="227"/>
        <v>0</v>
      </c>
      <c r="J985" s="13">
        <f t="shared" si="228"/>
        <v>0</v>
      </c>
      <c r="K985" s="13">
        <f>ROUNDUP(IF($D$2="Egyszeri",$D985,IF($D$2="Havi",SUM($D$20:$D$31),IF(MOD($C985,$M$1)-1=0,SUM($D$20:$D$31),0))/12*$M$1)*VLOOKUP($B985,Paraméterek!$B$27:$D$30,IF($D$2="Egyszeri",3,2)),IF($D$4="Forint",0,2))</f>
        <v>0</v>
      </c>
      <c r="L985" s="13">
        <f t="shared" si="229"/>
        <v>0</v>
      </c>
      <c r="M985" s="13">
        <f t="shared" ca="1" si="235"/>
        <v>-1215834</v>
      </c>
      <c r="N985" s="13">
        <f ca="1">IF($V984&gt;=VLOOKUP($M$4-1+$B985,Paraméterek!$B$121:$D$122,IF($D$4="Forint",2,3)),0,VLOOKUP($M$4-1+$B985,Paraméterek!$B$121:$D$122,IF($D$4="Forint",2,3))-$V984)</f>
        <v>1225834</v>
      </c>
      <c r="O985" s="13">
        <f ca="1">ROUNDUP($N985*Paraméterek!$C$58/Paraméterek!$C$56,IF($D$4="Forint",0,2))</f>
        <v>196</v>
      </c>
      <c r="P985" s="13">
        <f t="shared" si="230"/>
        <v>5853</v>
      </c>
      <c r="Q985" s="33"/>
      <c r="R985" s="13">
        <f t="shared" ca="1" si="231"/>
        <v>0</v>
      </c>
      <c r="S985" s="13">
        <f ca="1">ROUNDUP(($M985-$O985-$P985+$R985)*VLOOKUP($B985,Paraméterek!$B$38:$D$39,IF($D$2="Egyszeri",3,2))/12,IF($D$4="Forint",0,2))</f>
        <v>-2984</v>
      </c>
      <c r="T985" s="13"/>
      <c r="U985" s="13"/>
      <c r="V985" s="13">
        <f ca="1">$M985-$O985-$P985+$R985-$S985-IF(ROUNDUP(IF(ISBLANK($U985),$T985,$U985)/IF(AND($B985=1,$D$2&lt;&gt;"Egyszeri"),1,VLOOKUP($B985+IF($C985=12,1,0),Paraméterek!$B$257:$D$267,IF($D$2="Egyszeri",3,2))),IF($D$4="Forint",0,2))&gt;$M985-$O985-$P985+$R985-$S985-IF($D$4="Forint",Paraméterek!$C$216,Paraméterek!$D$216),0,ROUNDUP(IF(ISBLANK($U985),$T985,$U985)/IF(AND($B985=1,$D$2&lt;&gt;"Egyszeri"),1,VLOOKUP($B985+IF($C985=12,1,0),Paraméterek!$B$257:$D$267,IF($D$2="Egyszeri",3,2))),IF($D$4="Forint",0,2)))</f>
        <v>-1218899</v>
      </c>
      <c r="W985" s="13">
        <f ca="1">ROUNDDOWN($V985*VLOOKUP($B985+IF($C985=12,1,0),Paraméterek!$B$257:$D$267,IF($D$2="Egyszeri",3,2)),IF($D$4="Forint",0,2))</f>
        <v>-1218899</v>
      </c>
      <c r="Y985" s="32">
        <v>966</v>
      </c>
      <c r="Z985" s="32">
        <v>81</v>
      </c>
      <c r="AA985" s="32">
        <v>6</v>
      </c>
      <c r="AB985" s="13">
        <f t="shared" si="236"/>
        <v>0</v>
      </c>
      <c r="AC985" s="33"/>
      <c r="AD985" s="13">
        <f t="shared" si="232"/>
        <v>0</v>
      </c>
      <c r="AE985" s="13">
        <f>ROUNDUP(($AB985+$AD985)*VLOOKUP($Z985,Paraméterek!$P$38:$Q$38,2)/12,IF($D$4="Forint",0,2))</f>
        <v>0</v>
      </c>
      <c r="AF985" s="13">
        <f>IF($D$2="Egyszeri",IF($D$7&gt;=IF($D$4="Forint",Paraméterek!$P$223,Paraméterek!$P$224),$D$7-IF($D$4="Forint",Paraméterek!$F$223,Paraméterek!$F$224),0),MIN(IF($AA985=12,AVERAGE($D$20:$D985)*12,0),SUM($D$20:$D$31)))</f>
        <v>0</v>
      </c>
      <c r="AG985" s="13">
        <f>IF(AND($Z985&gt;=10,MOD($Z985,5)=0),$AF985*IF($AA985=12,VLOOKUP($Z985,Paraméterek!$B$225:$F$240,IF($AF985&lt;IF($D$4="Forint",Paraméterek!$C$223,Paraméterek!$C$224),2,IF($AF985&lt;IF($D$4="Forint",Paraméterek!$D$223,Paraméterek!$D$224),3,4))),0),0)</f>
        <v>0</v>
      </c>
      <c r="AH985" s="13">
        <f>IF(AND($Z985&gt;=5,MOD($Z985,5)=0),IF($AA985=12,VLOOKUP($Z985,Paraméterek!$B$225:$F$240,5),0),IF(OR($Z985=3,$Z985=4),IF($AA985=12,VLOOKUP($Z985,Paraméterek!$B$225:$F$240,5,0),0),0))*$AF985</f>
        <v>0</v>
      </c>
      <c r="AI985" s="13">
        <f>ROUNDDOWN(IF(SUM($T$20:$U985)=0,IF($D$2="Egyszeri",$AH985,$AG985),0),IF($D$4="Forint",0,2))</f>
        <v>0</v>
      </c>
      <c r="AJ985" s="13">
        <f t="shared" si="237"/>
        <v>0</v>
      </c>
      <c r="AK985" s="13">
        <f t="shared" si="238"/>
        <v>0</v>
      </c>
      <c r="AM985" s="32">
        <v>966</v>
      </c>
      <c r="AN985" s="32">
        <v>81</v>
      </c>
      <c r="AO985" s="32">
        <v>6</v>
      </c>
      <c r="AP985" s="13"/>
      <c r="AQ985" s="32"/>
      <c r="AR985" s="13">
        <f t="shared" si="239"/>
        <v>0</v>
      </c>
      <c r="AS985" s="33"/>
      <c r="AT985" s="13">
        <f t="shared" si="233"/>
        <v>0</v>
      </c>
      <c r="AU985" s="13">
        <f>ROUNDUP(($AR985+$AT985)*VLOOKUP($AN985,Paraméterek!$P$38:$Q$38,2)/12,IF($D$4="Forint",0,2))</f>
        <v>0</v>
      </c>
      <c r="AV985" s="13"/>
      <c r="AW985" s="13"/>
      <c r="AX985" s="13">
        <f>ROUNDUP(IF(SUM($AV985:$AW985)=0,0,IF(IF(ISBLANK($AW985),$AV985,$AW985)*Paraméterek!$J$112&lt;IF($D$4="Forint",Paraméterek!$J$113,Paraméterek!$K$113),IF($D$4="Forint",Paraméterek!$J$113,Paraméterek!$K$113),IF(IF(ISBLANK($AW985),$AV985,$AW985)*Paraméterek!$J$112&gt;IF($D$4="Forint",Paraméterek!$J$114,Paraméterek!$K$114),IF($D$4="Forint",Paraméterek!$J$114,Paraméterek!$K$114),IF(ISBLANK($AW985),$AV985,$AW985)*Paraméterek!$J$112))),IF($D$4="Forint",0,2))</f>
        <v>0</v>
      </c>
      <c r="AY985" s="13">
        <f>$AR985+$AT985-$AU985-IF(ROUNDDOWN(IF(ISBLANK($AW985),$AV985,$AW985),IF($D$4="Forint",0,2))&gt;$AR985+$AT985-$AU985-IF($D$4="Forint",Paraméterek!$J$114,Paraméterek!$K$114),0,ROUNDDOWN(IF(ISBLANK($AW985),$AV985,$AW985),IF($D$4="Forint",0,2))-$AX985)</f>
        <v>0</v>
      </c>
      <c r="AZ985" s="13">
        <f t="shared" si="234"/>
        <v>0</v>
      </c>
    </row>
    <row r="986" spans="1:52" x14ac:dyDescent="0.2">
      <c r="A986" s="32">
        <v>967</v>
      </c>
      <c r="B986" s="32">
        <v>81</v>
      </c>
      <c r="C986" s="32">
        <v>7</v>
      </c>
      <c r="D986" s="13">
        <f t="shared" si="225"/>
        <v>0</v>
      </c>
      <c r="E986" s="13"/>
      <c r="F986" s="13"/>
      <c r="G986" s="13"/>
      <c r="H986" s="13">
        <f t="shared" si="226"/>
        <v>0</v>
      </c>
      <c r="I986" s="13">
        <f t="shared" si="227"/>
        <v>0</v>
      </c>
      <c r="J986" s="13">
        <f t="shared" si="228"/>
        <v>0</v>
      </c>
      <c r="K986" s="13">
        <f>ROUNDUP(IF($D$2="Egyszeri",$D986,IF($D$2="Havi",SUM($D$20:$D$31),IF(MOD($C986,$M$1)-1=0,SUM($D$20:$D$31),0))/12*$M$1)*VLOOKUP($B986,Paraméterek!$B$27:$D$30,IF($D$2="Egyszeri",3,2)),IF($D$4="Forint",0,2))</f>
        <v>0</v>
      </c>
      <c r="L986" s="13">
        <f t="shared" si="229"/>
        <v>0</v>
      </c>
      <c r="M986" s="13">
        <f t="shared" ca="1" si="235"/>
        <v>-1218899</v>
      </c>
      <c r="N986" s="13">
        <f ca="1">IF($V985&gt;=VLOOKUP($M$4-1+$B986,Paraméterek!$B$121:$D$122,IF($D$4="Forint",2,3)),0,VLOOKUP($M$4-1+$B986,Paraméterek!$B$121:$D$122,IF($D$4="Forint",2,3))-$V985)</f>
        <v>1228899</v>
      </c>
      <c r="O986" s="13">
        <f ca="1">ROUNDUP($N986*Paraméterek!$C$58/Paraméterek!$C$56,IF($D$4="Forint",0,2))</f>
        <v>196</v>
      </c>
      <c r="P986" s="13">
        <f t="shared" si="230"/>
        <v>5853</v>
      </c>
      <c r="Q986" s="33"/>
      <c r="R986" s="13">
        <f t="shared" ca="1" si="231"/>
        <v>0</v>
      </c>
      <c r="S986" s="13">
        <f ca="1">ROUNDUP(($M986-$O986-$P986+$R986)*VLOOKUP($B986,Paraméterek!$B$38:$D$39,IF($D$2="Egyszeri",3,2))/12,IF($D$4="Forint",0,2))</f>
        <v>-2991</v>
      </c>
      <c r="T986" s="13"/>
      <c r="U986" s="13"/>
      <c r="V986" s="13">
        <f ca="1">$M986-$O986-$P986+$R986-$S986-IF(ROUNDUP(IF(ISBLANK($U986),$T986,$U986)/IF(AND($B986=1,$D$2&lt;&gt;"Egyszeri"),1,VLOOKUP($B986+IF($C986=12,1,0),Paraméterek!$B$257:$D$267,IF($D$2="Egyszeri",3,2))),IF($D$4="Forint",0,2))&gt;$M986-$O986-$P986+$R986-$S986-IF($D$4="Forint",Paraméterek!$C$216,Paraméterek!$D$216),0,ROUNDUP(IF(ISBLANK($U986),$T986,$U986)/IF(AND($B986=1,$D$2&lt;&gt;"Egyszeri"),1,VLOOKUP($B986+IF($C986=12,1,0),Paraméterek!$B$257:$D$267,IF($D$2="Egyszeri",3,2))),IF($D$4="Forint",0,2)))</f>
        <v>-1221957</v>
      </c>
      <c r="W986" s="13">
        <f ca="1">ROUNDDOWN($V986*VLOOKUP($B986+IF($C986=12,1,0),Paraméterek!$B$257:$D$267,IF($D$2="Egyszeri",3,2)),IF($D$4="Forint",0,2))</f>
        <v>-1221957</v>
      </c>
      <c r="Y986" s="32">
        <v>967</v>
      </c>
      <c r="Z986" s="32">
        <v>81</v>
      </c>
      <c r="AA986" s="32">
        <v>7</v>
      </c>
      <c r="AB986" s="13">
        <f t="shared" si="236"/>
        <v>0</v>
      </c>
      <c r="AC986" s="33"/>
      <c r="AD986" s="13">
        <f t="shared" si="232"/>
        <v>0</v>
      </c>
      <c r="AE986" s="13">
        <f>ROUNDUP(($AB986+$AD986)*VLOOKUP($Z986,Paraméterek!$P$38:$Q$38,2)/12,IF($D$4="Forint",0,2))</f>
        <v>0</v>
      </c>
      <c r="AF986" s="13">
        <f>IF($D$2="Egyszeri",IF($D$7&gt;=IF($D$4="Forint",Paraméterek!$P$223,Paraméterek!$P$224),$D$7-IF($D$4="Forint",Paraméterek!$F$223,Paraméterek!$F$224),0),MIN(IF($AA986=12,AVERAGE($D$20:$D986)*12,0),SUM($D$20:$D$31)))</f>
        <v>0</v>
      </c>
      <c r="AG986" s="13">
        <f>IF(AND($Z986&gt;=10,MOD($Z986,5)=0),$AF986*IF($AA986=12,VLOOKUP($Z986,Paraméterek!$B$225:$F$240,IF($AF986&lt;IF($D$4="Forint",Paraméterek!$C$223,Paraméterek!$C$224),2,IF($AF986&lt;IF($D$4="Forint",Paraméterek!$D$223,Paraméterek!$D$224),3,4))),0),0)</f>
        <v>0</v>
      </c>
      <c r="AH986" s="13">
        <f>IF(AND($Z986&gt;=5,MOD($Z986,5)=0),IF($AA986=12,VLOOKUP($Z986,Paraméterek!$B$225:$F$240,5),0),IF(OR($Z986=3,$Z986=4),IF($AA986=12,VLOOKUP($Z986,Paraméterek!$B$225:$F$240,5,0),0),0))*$AF986</f>
        <v>0</v>
      </c>
      <c r="AI986" s="13">
        <f>ROUNDDOWN(IF(SUM($T$20:$U986)=0,IF($D$2="Egyszeri",$AH986,$AG986),0),IF($D$4="Forint",0,2))</f>
        <v>0</v>
      </c>
      <c r="AJ986" s="13">
        <f t="shared" si="237"/>
        <v>0</v>
      </c>
      <c r="AK986" s="13">
        <f t="shared" si="238"/>
        <v>0</v>
      </c>
      <c r="AM986" s="32">
        <v>967</v>
      </c>
      <c r="AN986" s="32">
        <v>81</v>
      </c>
      <c r="AO986" s="32">
        <v>7</v>
      </c>
      <c r="AP986" s="13"/>
      <c r="AQ986" s="32"/>
      <c r="AR986" s="13">
        <f t="shared" si="239"/>
        <v>0</v>
      </c>
      <c r="AS986" s="33"/>
      <c r="AT986" s="13">
        <f t="shared" si="233"/>
        <v>0</v>
      </c>
      <c r="AU986" s="13">
        <f>ROUNDUP(($AR986+$AT986)*VLOOKUP($AN986,Paraméterek!$P$38:$Q$38,2)/12,IF($D$4="Forint",0,2))</f>
        <v>0</v>
      </c>
      <c r="AV986" s="13"/>
      <c r="AW986" s="13"/>
      <c r="AX986" s="13">
        <f>ROUNDUP(IF(SUM($AV986:$AW986)=0,0,IF(IF(ISBLANK($AW986),$AV986,$AW986)*Paraméterek!$J$112&lt;IF($D$4="Forint",Paraméterek!$J$113,Paraméterek!$K$113),IF($D$4="Forint",Paraméterek!$J$113,Paraméterek!$K$113),IF(IF(ISBLANK($AW986),$AV986,$AW986)*Paraméterek!$J$112&gt;IF($D$4="Forint",Paraméterek!$J$114,Paraméterek!$K$114),IF($D$4="Forint",Paraméterek!$J$114,Paraméterek!$K$114),IF(ISBLANK($AW986),$AV986,$AW986)*Paraméterek!$J$112))),IF($D$4="Forint",0,2))</f>
        <v>0</v>
      </c>
      <c r="AY986" s="13">
        <f>$AR986+$AT986-$AU986-IF(ROUNDDOWN(IF(ISBLANK($AW986),$AV986,$AW986),IF($D$4="Forint",0,2))&gt;$AR986+$AT986-$AU986-IF($D$4="Forint",Paraméterek!$J$114,Paraméterek!$K$114),0,ROUNDDOWN(IF(ISBLANK($AW986),$AV986,$AW986),IF($D$4="Forint",0,2))-$AX986)</f>
        <v>0</v>
      </c>
      <c r="AZ986" s="13">
        <f t="shared" si="234"/>
        <v>0</v>
      </c>
    </row>
    <row r="987" spans="1:52" x14ac:dyDescent="0.2">
      <c r="A987" s="32">
        <v>968</v>
      </c>
      <c r="B987" s="32">
        <v>81</v>
      </c>
      <c r="C987" s="32">
        <v>8</v>
      </c>
      <c r="D987" s="13">
        <f t="shared" si="225"/>
        <v>0</v>
      </c>
      <c r="E987" s="13"/>
      <c r="F987" s="13"/>
      <c r="G987" s="13"/>
      <c r="H987" s="13">
        <f t="shared" si="226"/>
        <v>0</v>
      </c>
      <c r="I987" s="13">
        <f t="shared" si="227"/>
        <v>0</v>
      </c>
      <c r="J987" s="13">
        <f t="shared" si="228"/>
        <v>0</v>
      </c>
      <c r="K987" s="13">
        <f>ROUNDUP(IF($D$2="Egyszeri",$D987,IF($D$2="Havi",SUM($D$20:$D$31),IF(MOD($C987,$M$1)-1=0,SUM($D$20:$D$31),0))/12*$M$1)*VLOOKUP($B987,Paraméterek!$B$27:$D$30,IF($D$2="Egyszeri",3,2)),IF($D$4="Forint",0,2))</f>
        <v>0</v>
      </c>
      <c r="L987" s="13">
        <f t="shared" si="229"/>
        <v>0</v>
      </c>
      <c r="M987" s="13">
        <f t="shared" ca="1" si="235"/>
        <v>-1221957</v>
      </c>
      <c r="N987" s="13">
        <f ca="1">IF($V986&gt;=VLOOKUP($M$4-1+$B987,Paraméterek!$B$121:$D$122,IF($D$4="Forint",2,3)),0,VLOOKUP($M$4-1+$B987,Paraméterek!$B$121:$D$122,IF($D$4="Forint",2,3))-$V986)</f>
        <v>1231957</v>
      </c>
      <c r="O987" s="13">
        <f ca="1">ROUNDUP($N987*Paraméterek!$C$58/Paraméterek!$C$56,IF($D$4="Forint",0,2))</f>
        <v>197</v>
      </c>
      <c r="P987" s="13">
        <f t="shared" si="230"/>
        <v>5853</v>
      </c>
      <c r="Q987" s="33"/>
      <c r="R987" s="13">
        <f t="shared" ca="1" si="231"/>
        <v>0</v>
      </c>
      <c r="S987" s="13">
        <f ca="1">ROUNDUP(($M987-$O987-$P987+$R987)*VLOOKUP($B987,Paraméterek!$B$38:$D$39,IF($D$2="Egyszeri",3,2))/12,IF($D$4="Forint",0,2))</f>
        <v>-2999</v>
      </c>
      <c r="T987" s="13"/>
      <c r="U987" s="13"/>
      <c r="V987" s="13">
        <f ca="1">$M987-$O987-$P987+$R987-$S987-IF(ROUNDUP(IF(ISBLANK($U987),$T987,$U987)/IF(AND($B987=1,$D$2&lt;&gt;"Egyszeri"),1,VLOOKUP($B987+IF($C987=12,1,0),Paraméterek!$B$257:$D$267,IF($D$2="Egyszeri",3,2))),IF($D$4="Forint",0,2))&gt;$M987-$O987-$P987+$R987-$S987-IF($D$4="Forint",Paraméterek!$C$216,Paraméterek!$D$216),0,ROUNDUP(IF(ISBLANK($U987),$T987,$U987)/IF(AND($B987=1,$D$2&lt;&gt;"Egyszeri"),1,VLOOKUP($B987+IF($C987=12,1,0),Paraméterek!$B$257:$D$267,IF($D$2="Egyszeri",3,2))),IF($D$4="Forint",0,2)))</f>
        <v>-1225008</v>
      </c>
      <c r="W987" s="13">
        <f ca="1">ROUNDDOWN($V987*VLOOKUP($B987+IF($C987=12,1,0),Paraméterek!$B$257:$D$267,IF($D$2="Egyszeri",3,2)),IF($D$4="Forint",0,2))</f>
        <v>-1225008</v>
      </c>
      <c r="Y987" s="32">
        <v>968</v>
      </c>
      <c r="Z987" s="32">
        <v>81</v>
      </c>
      <c r="AA987" s="32">
        <v>8</v>
      </c>
      <c r="AB987" s="13">
        <f t="shared" si="236"/>
        <v>0</v>
      </c>
      <c r="AC987" s="33"/>
      <c r="AD987" s="13">
        <f t="shared" si="232"/>
        <v>0</v>
      </c>
      <c r="AE987" s="13">
        <f>ROUNDUP(($AB987+$AD987)*VLOOKUP($Z987,Paraméterek!$P$38:$Q$38,2)/12,IF($D$4="Forint",0,2))</f>
        <v>0</v>
      </c>
      <c r="AF987" s="13">
        <f>IF($D$2="Egyszeri",IF($D$7&gt;=IF($D$4="Forint",Paraméterek!$P$223,Paraméterek!$P$224),$D$7-IF($D$4="Forint",Paraméterek!$F$223,Paraméterek!$F$224),0),MIN(IF($AA987=12,AVERAGE($D$20:$D987)*12,0),SUM($D$20:$D$31)))</f>
        <v>0</v>
      </c>
      <c r="AG987" s="13">
        <f>IF(AND($Z987&gt;=10,MOD($Z987,5)=0),$AF987*IF($AA987=12,VLOOKUP($Z987,Paraméterek!$B$225:$F$240,IF($AF987&lt;IF($D$4="Forint",Paraméterek!$C$223,Paraméterek!$C$224),2,IF($AF987&lt;IF($D$4="Forint",Paraméterek!$D$223,Paraméterek!$D$224),3,4))),0),0)</f>
        <v>0</v>
      </c>
      <c r="AH987" s="13">
        <f>IF(AND($Z987&gt;=5,MOD($Z987,5)=0),IF($AA987=12,VLOOKUP($Z987,Paraméterek!$B$225:$F$240,5),0),IF(OR($Z987=3,$Z987=4),IF($AA987=12,VLOOKUP($Z987,Paraméterek!$B$225:$F$240,5,0),0),0))*$AF987</f>
        <v>0</v>
      </c>
      <c r="AI987" s="13">
        <f>ROUNDDOWN(IF(SUM($T$20:$U987)=0,IF($D$2="Egyszeri",$AH987,$AG987),0),IF($D$4="Forint",0,2))</f>
        <v>0</v>
      </c>
      <c r="AJ987" s="13">
        <f t="shared" si="237"/>
        <v>0</v>
      </c>
      <c r="AK987" s="13">
        <f t="shared" si="238"/>
        <v>0</v>
      </c>
      <c r="AM987" s="32">
        <v>968</v>
      </c>
      <c r="AN987" s="32">
        <v>81</v>
      </c>
      <c r="AO987" s="32">
        <v>8</v>
      </c>
      <c r="AP987" s="13"/>
      <c r="AQ987" s="32"/>
      <c r="AR987" s="13">
        <f t="shared" si="239"/>
        <v>0</v>
      </c>
      <c r="AS987" s="33"/>
      <c r="AT987" s="13">
        <f t="shared" si="233"/>
        <v>0</v>
      </c>
      <c r="AU987" s="13">
        <f>ROUNDUP(($AR987+$AT987)*VLOOKUP($AN987,Paraméterek!$P$38:$Q$38,2)/12,IF($D$4="Forint",0,2))</f>
        <v>0</v>
      </c>
      <c r="AV987" s="13"/>
      <c r="AW987" s="13"/>
      <c r="AX987" s="13">
        <f>ROUNDUP(IF(SUM($AV987:$AW987)=0,0,IF(IF(ISBLANK($AW987),$AV987,$AW987)*Paraméterek!$J$112&lt;IF($D$4="Forint",Paraméterek!$J$113,Paraméterek!$K$113),IF($D$4="Forint",Paraméterek!$J$113,Paraméterek!$K$113),IF(IF(ISBLANK($AW987),$AV987,$AW987)*Paraméterek!$J$112&gt;IF($D$4="Forint",Paraméterek!$J$114,Paraméterek!$K$114),IF($D$4="Forint",Paraméterek!$J$114,Paraméterek!$K$114),IF(ISBLANK($AW987),$AV987,$AW987)*Paraméterek!$J$112))),IF($D$4="Forint",0,2))</f>
        <v>0</v>
      </c>
      <c r="AY987" s="13">
        <f>$AR987+$AT987-$AU987-IF(ROUNDDOWN(IF(ISBLANK($AW987),$AV987,$AW987),IF($D$4="Forint",0,2))&gt;$AR987+$AT987-$AU987-IF($D$4="Forint",Paraméterek!$J$114,Paraméterek!$K$114),0,ROUNDDOWN(IF(ISBLANK($AW987),$AV987,$AW987),IF($D$4="Forint",0,2))-$AX987)</f>
        <v>0</v>
      </c>
      <c r="AZ987" s="13">
        <f t="shared" si="234"/>
        <v>0</v>
      </c>
    </row>
    <row r="988" spans="1:52" x14ac:dyDescent="0.2">
      <c r="A988" s="32">
        <v>969</v>
      </c>
      <c r="B988" s="32">
        <v>81</v>
      </c>
      <c r="C988" s="32">
        <v>9</v>
      </c>
      <c r="D988" s="13">
        <f t="shared" si="225"/>
        <v>0</v>
      </c>
      <c r="E988" s="13"/>
      <c r="F988" s="13"/>
      <c r="G988" s="13"/>
      <c r="H988" s="13">
        <f t="shared" si="226"/>
        <v>0</v>
      </c>
      <c r="I988" s="13">
        <f t="shared" si="227"/>
        <v>0</v>
      </c>
      <c r="J988" s="13">
        <f t="shared" si="228"/>
        <v>0</v>
      </c>
      <c r="K988" s="13">
        <f>ROUNDUP(IF($D$2="Egyszeri",$D988,IF($D$2="Havi",SUM($D$20:$D$31),IF(MOD($C988,$M$1)-1=0,SUM($D$20:$D$31),0))/12*$M$1)*VLOOKUP($B988,Paraméterek!$B$27:$D$30,IF($D$2="Egyszeri",3,2)),IF($D$4="Forint",0,2))</f>
        <v>0</v>
      </c>
      <c r="L988" s="13">
        <f t="shared" si="229"/>
        <v>0</v>
      </c>
      <c r="M988" s="13">
        <f t="shared" ca="1" si="235"/>
        <v>-1225008</v>
      </c>
      <c r="N988" s="13">
        <f ca="1">IF($V987&gt;=VLOOKUP($M$4-1+$B988,Paraméterek!$B$121:$D$122,IF($D$4="Forint",2,3)),0,VLOOKUP($M$4-1+$B988,Paraméterek!$B$121:$D$122,IF($D$4="Forint",2,3))-$V987)</f>
        <v>1235008</v>
      </c>
      <c r="O988" s="13">
        <f ca="1">ROUNDUP($N988*Paraméterek!$C$58/Paraméterek!$C$56,IF($D$4="Forint",0,2))</f>
        <v>197</v>
      </c>
      <c r="P988" s="13">
        <f t="shared" si="230"/>
        <v>5853</v>
      </c>
      <c r="Q988" s="33"/>
      <c r="R988" s="13">
        <f t="shared" ca="1" si="231"/>
        <v>0</v>
      </c>
      <c r="S988" s="13">
        <f ca="1">ROUNDUP(($M988-$O988-$P988+$R988)*VLOOKUP($B988,Paraméterek!$B$38:$D$39,IF($D$2="Egyszeri",3,2))/12,IF($D$4="Forint",0,2))</f>
        <v>-3006</v>
      </c>
      <c r="T988" s="13"/>
      <c r="U988" s="13"/>
      <c r="V988" s="13">
        <f ca="1">$M988-$O988-$P988+$R988-$S988-IF(ROUNDUP(IF(ISBLANK($U988),$T988,$U988)/IF(AND($B988=1,$D$2&lt;&gt;"Egyszeri"),1,VLOOKUP($B988+IF($C988=12,1,0),Paraméterek!$B$257:$D$267,IF($D$2="Egyszeri",3,2))),IF($D$4="Forint",0,2))&gt;$M988-$O988-$P988+$R988-$S988-IF($D$4="Forint",Paraméterek!$C$216,Paraméterek!$D$216),0,ROUNDUP(IF(ISBLANK($U988),$T988,$U988)/IF(AND($B988=1,$D$2&lt;&gt;"Egyszeri"),1,VLOOKUP($B988+IF($C988=12,1,0),Paraméterek!$B$257:$D$267,IF($D$2="Egyszeri",3,2))),IF($D$4="Forint",0,2)))</f>
        <v>-1228052</v>
      </c>
      <c r="W988" s="13">
        <f ca="1">ROUNDDOWN($V988*VLOOKUP($B988+IF($C988=12,1,0),Paraméterek!$B$257:$D$267,IF($D$2="Egyszeri",3,2)),IF($D$4="Forint",0,2))</f>
        <v>-1228052</v>
      </c>
      <c r="Y988" s="32">
        <v>969</v>
      </c>
      <c r="Z988" s="32">
        <v>81</v>
      </c>
      <c r="AA988" s="32">
        <v>9</v>
      </c>
      <c r="AB988" s="13">
        <f t="shared" si="236"/>
        <v>0</v>
      </c>
      <c r="AC988" s="33"/>
      <c r="AD988" s="13">
        <f t="shared" si="232"/>
        <v>0</v>
      </c>
      <c r="AE988" s="13">
        <f>ROUNDUP(($AB988+$AD988)*VLOOKUP($Z988,Paraméterek!$P$38:$Q$38,2)/12,IF($D$4="Forint",0,2))</f>
        <v>0</v>
      </c>
      <c r="AF988" s="13">
        <f>IF($D$2="Egyszeri",IF($D$7&gt;=IF($D$4="Forint",Paraméterek!$P$223,Paraméterek!$P$224),$D$7-IF($D$4="Forint",Paraméterek!$F$223,Paraméterek!$F$224),0),MIN(IF($AA988=12,AVERAGE($D$20:$D988)*12,0),SUM($D$20:$D$31)))</f>
        <v>0</v>
      </c>
      <c r="AG988" s="13">
        <f>IF(AND($Z988&gt;=10,MOD($Z988,5)=0),$AF988*IF($AA988=12,VLOOKUP($Z988,Paraméterek!$B$225:$F$240,IF($AF988&lt;IF($D$4="Forint",Paraméterek!$C$223,Paraméterek!$C$224),2,IF($AF988&lt;IF($D$4="Forint",Paraméterek!$D$223,Paraméterek!$D$224),3,4))),0),0)</f>
        <v>0</v>
      </c>
      <c r="AH988" s="13">
        <f>IF(AND($Z988&gt;=5,MOD($Z988,5)=0),IF($AA988=12,VLOOKUP($Z988,Paraméterek!$B$225:$F$240,5),0),IF(OR($Z988=3,$Z988=4),IF($AA988=12,VLOOKUP($Z988,Paraméterek!$B$225:$F$240,5,0),0),0))*$AF988</f>
        <v>0</v>
      </c>
      <c r="AI988" s="13">
        <f>ROUNDDOWN(IF(SUM($T$20:$U988)=0,IF($D$2="Egyszeri",$AH988,$AG988),0),IF($D$4="Forint",0,2))</f>
        <v>0</v>
      </c>
      <c r="AJ988" s="13">
        <f t="shared" si="237"/>
        <v>0</v>
      </c>
      <c r="AK988" s="13">
        <f t="shared" si="238"/>
        <v>0</v>
      </c>
      <c r="AM988" s="32">
        <v>969</v>
      </c>
      <c r="AN988" s="32">
        <v>81</v>
      </c>
      <c r="AO988" s="32">
        <v>9</v>
      </c>
      <c r="AP988" s="13"/>
      <c r="AQ988" s="32"/>
      <c r="AR988" s="13">
        <f t="shared" si="239"/>
        <v>0</v>
      </c>
      <c r="AS988" s="33"/>
      <c r="AT988" s="13">
        <f t="shared" si="233"/>
        <v>0</v>
      </c>
      <c r="AU988" s="13">
        <f>ROUNDUP(($AR988+$AT988)*VLOOKUP($AN988,Paraméterek!$P$38:$Q$38,2)/12,IF($D$4="Forint",0,2))</f>
        <v>0</v>
      </c>
      <c r="AV988" s="13"/>
      <c r="AW988" s="13"/>
      <c r="AX988" s="13">
        <f>ROUNDUP(IF(SUM($AV988:$AW988)=0,0,IF(IF(ISBLANK($AW988),$AV988,$AW988)*Paraméterek!$J$112&lt;IF($D$4="Forint",Paraméterek!$J$113,Paraméterek!$K$113),IF($D$4="Forint",Paraméterek!$J$113,Paraméterek!$K$113),IF(IF(ISBLANK($AW988),$AV988,$AW988)*Paraméterek!$J$112&gt;IF($D$4="Forint",Paraméterek!$J$114,Paraméterek!$K$114),IF($D$4="Forint",Paraméterek!$J$114,Paraméterek!$K$114),IF(ISBLANK($AW988),$AV988,$AW988)*Paraméterek!$J$112))),IF($D$4="Forint",0,2))</f>
        <v>0</v>
      </c>
      <c r="AY988" s="13">
        <f>$AR988+$AT988-$AU988-IF(ROUNDDOWN(IF(ISBLANK($AW988),$AV988,$AW988),IF($D$4="Forint",0,2))&gt;$AR988+$AT988-$AU988-IF($D$4="Forint",Paraméterek!$J$114,Paraméterek!$K$114),0,ROUNDDOWN(IF(ISBLANK($AW988),$AV988,$AW988),IF($D$4="Forint",0,2))-$AX988)</f>
        <v>0</v>
      </c>
      <c r="AZ988" s="13">
        <f t="shared" si="234"/>
        <v>0</v>
      </c>
    </row>
    <row r="989" spans="1:52" x14ac:dyDescent="0.2">
      <c r="A989" s="32">
        <v>970</v>
      </c>
      <c r="B989" s="32">
        <v>81</v>
      </c>
      <c r="C989" s="32">
        <v>10</v>
      </c>
      <c r="D989" s="13">
        <f t="shared" si="225"/>
        <v>0</v>
      </c>
      <c r="E989" s="13"/>
      <c r="F989" s="13"/>
      <c r="G989" s="13"/>
      <c r="H989" s="13">
        <f t="shared" si="226"/>
        <v>0</v>
      </c>
      <c r="I989" s="13">
        <f t="shared" si="227"/>
        <v>0</v>
      </c>
      <c r="J989" s="13">
        <f t="shared" si="228"/>
        <v>0</v>
      </c>
      <c r="K989" s="13">
        <f>ROUNDUP(IF($D$2="Egyszeri",$D989,IF($D$2="Havi",SUM($D$20:$D$31),IF(MOD($C989,$M$1)-1=0,SUM($D$20:$D$31),0))/12*$M$1)*VLOOKUP($B989,Paraméterek!$B$27:$D$30,IF($D$2="Egyszeri",3,2)),IF($D$4="Forint",0,2))</f>
        <v>0</v>
      </c>
      <c r="L989" s="13">
        <f t="shared" si="229"/>
        <v>0</v>
      </c>
      <c r="M989" s="13">
        <f t="shared" ca="1" si="235"/>
        <v>-1228052</v>
      </c>
      <c r="N989" s="13">
        <f ca="1">IF($V988&gt;=VLOOKUP($M$4-1+$B989,Paraméterek!$B$121:$D$122,IF($D$4="Forint",2,3)),0,VLOOKUP($M$4-1+$B989,Paraméterek!$B$121:$D$122,IF($D$4="Forint",2,3))-$V988)</f>
        <v>1238052</v>
      </c>
      <c r="O989" s="13">
        <f ca="1">ROUNDUP($N989*Paraméterek!$C$58/Paraméterek!$C$56,IF($D$4="Forint",0,2))</f>
        <v>198</v>
      </c>
      <c r="P989" s="13">
        <f t="shared" si="230"/>
        <v>5853</v>
      </c>
      <c r="Q989" s="33"/>
      <c r="R989" s="13">
        <f t="shared" ca="1" si="231"/>
        <v>0</v>
      </c>
      <c r="S989" s="13">
        <f ca="1">ROUNDUP(($M989-$O989-$P989+$R989)*VLOOKUP($B989,Paraméterek!$B$38:$D$39,IF($D$2="Egyszeri",3,2))/12,IF($D$4="Forint",0,2))</f>
        <v>-3014</v>
      </c>
      <c r="T989" s="13"/>
      <c r="U989" s="13"/>
      <c r="V989" s="13">
        <f ca="1">$M989-$O989-$P989+$R989-$S989-IF(ROUNDUP(IF(ISBLANK($U989),$T989,$U989)/IF(AND($B989=1,$D$2&lt;&gt;"Egyszeri"),1,VLOOKUP($B989+IF($C989=12,1,0),Paraméterek!$B$257:$D$267,IF($D$2="Egyszeri",3,2))),IF($D$4="Forint",0,2))&gt;$M989-$O989-$P989+$R989-$S989-IF($D$4="Forint",Paraméterek!$C$216,Paraméterek!$D$216),0,ROUNDUP(IF(ISBLANK($U989),$T989,$U989)/IF(AND($B989=1,$D$2&lt;&gt;"Egyszeri"),1,VLOOKUP($B989+IF($C989=12,1,0),Paraméterek!$B$257:$D$267,IF($D$2="Egyszeri",3,2))),IF($D$4="Forint",0,2)))</f>
        <v>-1231089</v>
      </c>
      <c r="W989" s="13">
        <f ca="1">ROUNDDOWN($V989*VLOOKUP($B989+IF($C989=12,1,0),Paraméterek!$B$257:$D$267,IF($D$2="Egyszeri",3,2)),IF($D$4="Forint",0,2))</f>
        <v>-1231089</v>
      </c>
      <c r="Y989" s="32">
        <v>970</v>
      </c>
      <c r="Z989" s="32">
        <v>81</v>
      </c>
      <c r="AA989" s="32">
        <v>10</v>
      </c>
      <c r="AB989" s="13">
        <f t="shared" si="236"/>
        <v>0</v>
      </c>
      <c r="AC989" s="33"/>
      <c r="AD989" s="13">
        <f t="shared" si="232"/>
        <v>0</v>
      </c>
      <c r="AE989" s="13">
        <f>ROUNDUP(($AB989+$AD989)*VLOOKUP($Z989,Paraméterek!$P$38:$Q$38,2)/12,IF($D$4="Forint",0,2))</f>
        <v>0</v>
      </c>
      <c r="AF989" s="13">
        <f>IF($D$2="Egyszeri",IF($D$7&gt;=IF($D$4="Forint",Paraméterek!$P$223,Paraméterek!$P$224),$D$7-IF($D$4="Forint",Paraméterek!$F$223,Paraméterek!$F$224),0),MIN(IF($AA989=12,AVERAGE($D$20:$D989)*12,0),SUM($D$20:$D$31)))</f>
        <v>0</v>
      </c>
      <c r="AG989" s="13">
        <f>IF(AND($Z989&gt;=10,MOD($Z989,5)=0),$AF989*IF($AA989=12,VLOOKUP($Z989,Paraméterek!$B$225:$F$240,IF($AF989&lt;IF($D$4="Forint",Paraméterek!$C$223,Paraméterek!$C$224),2,IF($AF989&lt;IF($D$4="Forint",Paraméterek!$D$223,Paraméterek!$D$224),3,4))),0),0)</f>
        <v>0</v>
      </c>
      <c r="AH989" s="13">
        <f>IF(AND($Z989&gt;=5,MOD($Z989,5)=0),IF($AA989=12,VLOOKUP($Z989,Paraméterek!$B$225:$F$240,5),0),IF(OR($Z989=3,$Z989=4),IF($AA989=12,VLOOKUP($Z989,Paraméterek!$B$225:$F$240,5,0),0),0))*$AF989</f>
        <v>0</v>
      </c>
      <c r="AI989" s="13">
        <f>ROUNDDOWN(IF(SUM($T$20:$U989)=0,IF($D$2="Egyszeri",$AH989,$AG989),0),IF($D$4="Forint",0,2))</f>
        <v>0</v>
      </c>
      <c r="AJ989" s="13">
        <f t="shared" si="237"/>
        <v>0</v>
      </c>
      <c r="AK989" s="13">
        <f t="shared" si="238"/>
        <v>0</v>
      </c>
      <c r="AM989" s="32">
        <v>970</v>
      </c>
      <c r="AN989" s="32">
        <v>81</v>
      </c>
      <c r="AO989" s="32">
        <v>10</v>
      </c>
      <c r="AP989" s="13"/>
      <c r="AQ989" s="32"/>
      <c r="AR989" s="13">
        <f t="shared" si="239"/>
        <v>0</v>
      </c>
      <c r="AS989" s="33"/>
      <c r="AT989" s="13">
        <f t="shared" si="233"/>
        <v>0</v>
      </c>
      <c r="AU989" s="13">
        <f>ROUNDUP(($AR989+$AT989)*VLOOKUP($AN989,Paraméterek!$P$38:$Q$38,2)/12,IF($D$4="Forint",0,2))</f>
        <v>0</v>
      </c>
      <c r="AV989" s="13"/>
      <c r="AW989" s="13"/>
      <c r="AX989" s="13">
        <f>ROUNDUP(IF(SUM($AV989:$AW989)=0,0,IF(IF(ISBLANK($AW989),$AV989,$AW989)*Paraméterek!$J$112&lt;IF($D$4="Forint",Paraméterek!$J$113,Paraméterek!$K$113),IF($D$4="Forint",Paraméterek!$J$113,Paraméterek!$K$113),IF(IF(ISBLANK($AW989),$AV989,$AW989)*Paraméterek!$J$112&gt;IF($D$4="Forint",Paraméterek!$J$114,Paraméterek!$K$114),IF($D$4="Forint",Paraméterek!$J$114,Paraméterek!$K$114),IF(ISBLANK($AW989),$AV989,$AW989)*Paraméterek!$J$112))),IF($D$4="Forint",0,2))</f>
        <v>0</v>
      </c>
      <c r="AY989" s="13">
        <f>$AR989+$AT989-$AU989-IF(ROUNDDOWN(IF(ISBLANK($AW989),$AV989,$AW989),IF($D$4="Forint",0,2))&gt;$AR989+$AT989-$AU989-IF($D$4="Forint",Paraméterek!$J$114,Paraméterek!$K$114),0,ROUNDDOWN(IF(ISBLANK($AW989),$AV989,$AW989),IF($D$4="Forint",0,2))-$AX989)</f>
        <v>0</v>
      </c>
      <c r="AZ989" s="13">
        <f t="shared" si="234"/>
        <v>0</v>
      </c>
    </row>
    <row r="990" spans="1:52" x14ac:dyDescent="0.2">
      <c r="A990" s="32">
        <v>971</v>
      </c>
      <c r="B990" s="32">
        <v>81</v>
      </c>
      <c r="C990" s="32">
        <v>11</v>
      </c>
      <c r="D990" s="13">
        <f t="shared" si="225"/>
        <v>0</v>
      </c>
      <c r="E990" s="13"/>
      <c r="F990" s="13"/>
      <c r="G990" s="13"/>
      <c r="H990" s="13">
        <f t="shared" si="226"/>
        <v>0</v>
      </c>
      <c r="I990" s="13">
        <f t="shared" si="227"/>
        <v>0</v>
      </c>
      <c r="J990" s="13">
        <f t="shared" si="228"/>
        <v>0</v>
      </c>
      <c r="K990" s="13">
        <f>ROUNDUP(IF($D$2="Egyszeri",$D990,IF($D$2="Havi",SUM($D$20:$D$31),IF(MOD($C990,$M$1)-1=0,SUM($D$20:$D$31),0))/12*$M$1)*VLOOKUP($B990,Paraméterek!$B$27:$D$30,IF($D$2="Egyszeri",3,2)),IF($D$4="Forint",0,2))</f>
        <v>0</v>
      </c>
      <c r="L990" s="13">
        <f t="shared" si="229"/>
        <v>0</v>
      </c>
      <c r="M990" s="13">
        <f t="shared" ca="1" si="235"/>
        <v>-1231089</v>
      </c>
      <c r="N990" s="13">
        <f ca="1">IF($V989&gt;=VLOOKUP($M$4-1+$B990,Paraméterek!$B$121:$D$122,IF($D$4="Forint",2,3)),0,VLOOKUP($M$4-1+$B990,Paraméterek!$B$121:$D$122,IF($D$4="Forint",2,3))-$V989)</f>
        <v>1241089</v>
      </c>
      <c r="O990" s="13">
        <f ca="1">ROUNDUP($N990*Paraméterek!$C$58/Paraméterek!$C$56,IF($D$4="Forint",0,2))</f>
        <v>198</v>
      </c>
      <c r="P990" s="13">
        <f t="shared" si="230"/>
        <v>5853</v>
      </c>
      <c r="Q990" s="33"/>
      <c r="R990" s="13">
        <f t="shared" ca="1" si="231"/>
        <v>0</v>
      </c>
      <c r="S990" s="13">
        <f ca="1">ROUNDUP(($M990-$O990-$P990+$R990)*VLOOKUP($B990,Paraméterek!$B$38:$D$39,IF($D$2="Egyszeri",3,2))/12,IF($D$4="Forint",0,2))</f>
        <v>-3021</v>
      </c>
      <c r="T990" s="13"/>
      <c r="U990" s="13"/>
      <c r="V990" s="13">
        <f ca="1">$M990-$O990-$P990+$R990-$S990-IF(ROUNDUP(IF(ISBLANK($U990),$T990,$U990)/IF(AND($B990=1,$D$2&lt;&gt;"Egyszeri"),1,VLOOKUP($B990+IF($C990=12,1,0),Paraméterek!$B$257:$D$267,IF($D$2="Egyszeri",3,2))),IF($D$4="Forint",0,2))&gt;$M990-$O990-$P990+$R990-$S990-IF($D$4="Forint",Paraméterek!$C$216,Paraméterek!$D$216),0,ROUNDUP(IF(ISBLANK($U990),$T990,$U990)/IF(AND($B990=1,$D$2&lt;&gt;"Egyszeri"),1,VLOOKUP($B990+IF($C990=12,1,0),Paraméterek!$B$257:$D$267,IF($D$2="Egyszeri",3,2))),IF($D$4="Forint",0,2)))</f>
        <v>-1234119</v>
      </c>
      <c r="W990" s="13">
        <f ca="1">ROUNDDOWN($V990*VLOOKUP($B990+IF($C990=12,1,0),Paraméterek!$B$257:$D$267,IF($D$2="Egyszeri",3,2)),IF($D$4="Forint",0,2))</f>
        <v>-1234119</v>
      </c>
      <c r="Y990" s="32">
        <v>971</v>
      </c>
      <c r="Z990" s="32">
        <v>81</v>
      </c>
      <c r="AA990" s="32">
        <v>11</v>
      </c>
      <c r="AB990" s="13">
        <f t="shared" si="236"/>
        <v>0</v>
      </c>
      <c r="AC990" s="33"/>
      <c r="AD990" s="13">
        <f t="shared" si="232"/>
        <v>0</v>
      </c>
      <c r="AE990" s="13">
        <f>ROUNDUP(($AB990+$AD990)*VLOOKUP($Z990,Paraméterek!$P$38:$Q$38,2)/12,IF($D$4="Forint",0,2))</f>
        <v>0</v>
      </c>
      <c r="AF990" s="13">
        <f>IF($D$2="Egyszeri",IF($D$7&gt;=IF($D$4="Forint",Paraméterek!$P$223,Paraméterek!$P$224),$D$7-IF($D$4="Forint",Paraméterek!$F$223,Paraméterek!$F$224),0),MIN(IF($AA990=12,AVERAGE($D$20:$D990)*12,0),SUM($D$20:$D$31)))</f>
        <v>0</v>
      </c>
      <c r="AG990" s="13">
        <f>IF(AND($Z990&gt;=10,MOD($Z990,5)=0),$AF990*IF($AA990=12,VLOOKUP($Z990,Paraméterek!$B$225:$F$240,IF($AF990&lt;IF($D$4="Forint",Paraméterek!$C$223,Paraméterek!$C$224),2,IF($AF990&lt;IF($D$4="Forint",Paraméterek!$D$223,Paraméterek!$D$224),3,4))),0),0)</f>
        <v>0</v>
      </c>
      <c r="AH990" s="13">
        <f>IF(AND($Z990&gt;=5,MOD($Z990,5)=0),IF($AA990=12,VLOOKUP($Z990,Paraméterek!$B$225:$F$240,5),0),IF(OR($Z990=3,$Z990=4),IF($AA990=12,VLOOKUP($Z990,Paraméterek!$B$225:$F$240,5,0),0),0))*$AF990</f>
        <v>0</v>
      </c>
      <c r="AI990" s="13">
        <f>ROUNDDOWN(IF(SUM($T$20:$U990)=0,IF($D$2="Egyszeri",$AH990,$AG990),0),IF($D$4="Forint",0,2))</f>
        <v>0</v>
      </c>
      <c r="AJ990" s="13">
        <f t="shared" si="237"/>
        <v>0</v>
      </c>
      <c r="AK990" s="13">
        <f t="shared" si="238"/>
        <v>0</v>
      </c>
      <c r="AM990" s="32">
        <v>971</v>
      </c>
      <c r="AN990" s="32">
        <v>81</v>
      </c>
      <c r="AO990" s="32">
        <v>11</v>
      </c>
      <c r="AP990" s="13"/>
      <c r="AQ990" s="32"/>
      <c r="AR990" s="13">
        <f t="shared" si="239"/>
        <v>0</v>
      </c>
      <c r="AS990" s="33"/>
      <c r="AT990" s="13">
        <f t="shared" si="233"/>
        <v>0</v>
      </c>
      <c r="AU990" s="13">
        <f>ROUNDUP(($AR990+$AT990)*VLOOKUP($AN990,Paraméterek!$P$38:$Q$38,2)/12,IF($D$4="Forint",0,2))</f>
        <v>0</v>
      </c>
      <c r="AV990" s="13"/>
      <c r="AW990" s="13"/>
      <c r="AX990" s="13">
        <f>ROUNDUP(IF(SUM($AV990:$AW990)=0,0,IF(IF(ISBLANK($AW990),$AV990,$AW990)*Paraméterek!$J$112&lt;IF($D$4="Forint",Paraméterek!$J$113,Paraméterek!$K$113),IF($D$4="Forint",Paraméterek!$J$113,Paraméterek!$K$113),IF(IF(ISBLANK($AW990),$AV990,$AW990)*Paraméterek!$J$112&gt;IF($D$4="Forint",Paraméterek!$J$114,Paraméterek!$K$114),IF($D$4="Forint",Paraméterek!$J$114,Paraméterek!$K$114),IF(ISBLANK($AW990),$AV990,$AW990)*Paraméterek!$J$112))),IF($D$4="Forint",0,2))</f>
        <v>0</v>
      </c>
      <c r="AY990" s="13">
        <f>$AR990+$AT990-$AU990-IF(ROUNDDOWN(IF(ISBLANK($AW990),$AV990,$AW990),IF($D$4="Forint",0,2))&gt;$AR990+$AT990-$AU990-IF($D$4="Forint",Paraméterek!$J$114,Paraméterek!$K$114),0,ROUNDDOWN(IF(ISBLANK($AW990),$AV990,$AW990),IF($D$4="Forint",0,2))-$AX990)</f>
        <v>0</v>
      </c>
      <c r="AZ990" s="13">
        <f t="shared" si="234"/>
        <v>0</v>
      </c>
    </row>
    <row r="991" spans="1:52" x14ac:dyDescent="0.2">
      <c r="A991" s="32">
        <v>972</v>
      </c>
      <c r="B991" s="32">
        <v>81</v>
      </c>
      <c r="C991" s="32">
        <v>12</v>
      </c>
      <c r="D991" s="13">
        <f t="shared" si="225"/>
        <v>0</v>
      </c>
      <c r="E991" s="13"/>
      <c r="F991" s="13"/>
      <c r="G991" s="13"/>
      <c r="H991" s="13">
        <f t="shared" si="226"/>
        <v>0</v>
      </c>
      <c r="I991" s="13">
        <f t="shared" si="227"/>
        <v>0</v>
      </c>
      <c r="J991" s="13">
        <f t="shared" si="228"/>
        <v>0</v>
      </c>
      <c r="K991" s="13">
        <f>ROUNDUP(IF($D$2="Egyszeri",$D991,IF($D$2="Havi",SUM($D$20:$D$31),IF(MOD($C991,$M$1)-1=0,SUM($D$20:$D$31),0))/12*$M$1)*VLOOKUP($B991,Paraméterek!$B$27:$D$30,IF($D$2="Egyszeri",3,2)),IF($D$4="Forint",0,2))</f>
        <v>0</v>
      </c>
      <c r="L991" s="13">
        <f t="shared" si="229"/>
        <v>0</v>
      </c>
      <c r="M991" s="13">
        <f t="shared" ca="1" si="235"/>
        <v>-1234119</v>
      </c>
      <c r="N991" s="13">
        <f ca="1">IF($V990&gt;=VLOOKUP($M$4-1+$B991,Paraméterek!$B$121:$D$122,IF($D$4="Forint",2,3)),0,VLOOKUP($M$4-1+$B991,Paraméterek!$B$121:$D$122,IF($D$4="Forint",2,3))-$V990)</f>
        <v>1244119</v>
      </c>
      <c r="O991" s="13">
        <f ca="1">ROUNDUP($N991*Paraméterek!$C$58/Paraméterek!$C$56,IF($D$4="Forint",0,2))</f>
        <v>199</v>
      </c>
      <c r="P991" s="13">
        <f t="shared" si="230"/>
        <v>5853</v>
      </c>
      <c r="Q991" s="33"/>
      <c r="R991" s="13">
        <f t="shared" ca="1" si="231"/>
        <v>0</v>
      </c>
      <c r="S991" s="13">
        <f ca="1">ROUNDUP(($M991-$O991-$P991+$R991)*VLOOKUP($B991,Paraméterek!$B$38:$D$39,IF($D$2="Egyszeri",3,2))/12,IF($D$4="Forint",0,2))</f>
        <v>-3029</v>
      </c>
      <c r="T991" s="13">
        <f>Tranzakciók!$F$112</f>
        <v>0</v>
      </c>
      <c r="U991" s="13"/>
      <c r="V991" s="13">
        <f ca="1">$M991-$O991-$P991+$R991-$S991-IF(ROUNDUP(IF(ISBLANK($U991),$T991,$U991)/IF(AND($B991=1,$D$2&lt;&gt;"Egyszeri"),1,VLOOKUP($B991+IF($C991=12,1,0),Paraméterek!$B$257:$D$267,IF($D$2="Egyszeri",3,2))),IF($D$4="Forint",0,2))&gt;$M991-$O991-$P991+$R991-$S991-IF($D$4="Forint",Paraméterek!$C$216,Paraméterek!$D$216),0,ROUNDUP(IF(ISBLANK($U991),$T991,$U991)/IF(AND($B991=1,$D$2&lt;&gt;"Egyszeri"),1,VLOOKUP($B991+IF($C991=12,1,0),Paraméterek!$B$257:$D$267,IF($D$2="Egyszeri",3,2))),IF($D$4="Forint",0,2)))</f>
        <v>-1237142</v>
      </c>
      <c r="W991" s="13">
        <f ca="1">ROUNDDOWN($V991*VLOOKUP($B991+IF($C991=12,1,0),Paraméterek!$B$257:$D$267,IF($D$2="Egyszeri",3,2)),IF($D$4="Forint",0,2))</f>
        <v>-1237142</v>
      </c>
      <c r="Y991" s="32">
        <v>972</v>
      </c>
      <c r="Z991" s="32">
        <v>81</v>
      </c>
      <c r="AA991" s="32">
        <v>12</v>
      </c>
      <c r="AB991" s="13">
        <f t="shared" si="236"/>
        <v>0</v>
      </c>
      <c r="AC991" s="33"/>
      <c r="AD991" s="13">
        <f t="shared" si="232"/>
        <v>0</v>
      </c>
      <c r="AE991" s="13">
        <f>ROUNDUP(($AB991+$AD991)*VLOOKUP($Z991,Paraméterek!$P$38:$Q$38,2)/12,IF($D$4="Forint",0,2))</f>
        <v>0</v>
      </c>
      <c r="AF991" s="13">
        <f>IF($D$2="Egyszeri",IF($D$7&gt;=IF($D$4="Forint",Paraméterek!$P$223,Paraméterek!$P$224),$D$7-IF($D$4="Forint",Paraméterek!$F$223,Paraméterek!$F$224),0),MIN(IF($AA991=12,AVERAGE($D$20:$D991)*12,0),SUM($D$20:$D$31)))</f>
        <v>0</v>
      </c>
      <c r="AG991" s="13">
        <f>IF(AND($Z991&gt;=10,MOD($Z991,5)=0),$AF991*IF($AA991=12,VLOOKUP($Z991,Paraméterek!$B$225:$F$240,IF($AF991&lt;IF($D$4="Forint",Paraméterek!$C$223,Paraméterek!$C$224),2,IF($AF991&lt;IF($D$4="Forint",Paraméterek!$D$223,Paraméterek!$D$224),3,4))),0),0)</f>
        <v>0</v>
      </c>
      <c r="AH991" s="13">
        <f>IF(AND($Z991&gt;=5,MOD($Z991,5)=0),IF($AA991=12,VLOOKUP($Z991,Paraméterek!$B$225:$F$240,5),0),IF(OR($Z991=3,$Z991=4),IF($AA991=12,VLOOKUP($Z991,Paraméterek!$B$225:$F$240,5,0),0),0))*$AF991</f>
        <v>0</v>
      </c>
      <c r="AI991" s="13">
        <f>ROUNDDOWN(IF(SUM($T$20:$U991)=0,IF($D$2="Egyszeri",$AH991,$AG991),0),IF($D$4="Forint",0,2))</f>
        <v>0</v>
      </c>
      <c r="AJ991" s="13">
        <f t="shared" si="237"/>
        <v>0</v>
      </c>
      <c r="AK991" s="13">
        <f t="shared" si="238"/>
        <v>0</v>
      </c>
      <c r="AM991" s="32">
        <v>972</v>
      </c>
      <c r="AN991" s="32">
        <v>81</v>
      </c>
      <c r="AO991" s="32">
        <v>12</v>
      </c>
      <c r="AP991" s="13"/>
      <c r="AQ991" s="32"/>
      <c r="AR991" s="13">
        <f t="shared" si="239"/>
        <v>0</v>
      </c>
      <c r="AS991" s="33"/>
      <c r="AT991" s="13">
        <f t="shared" si="233"/>
        <v>0</v>
      </c>
      <c r="AU991" s="13">
        <f>ROUNDUP(($AR991+$AT991)*VLOOKUP($AN991,Paraméterek!$P$38:$Q$38,2)/12,IF($D$4="Forint",0,2))</f>
        <v>0</v>
      </c>
      <c r="AV991" s="13">
        <f>Tranzakciók!$M$112</f>
        <v>0</v>
      </c>
      <c r="AW991" s="13"/>
      <c r="AX991" s="13">
        <f>ROUNDUP(IF(SUM($AV991:$AW991)=0,0,IF(IF(ISBLANK($AW991),$AV991,$AW991)*Paraméterek!$J$112&lt;IF($D$4="Forint",Paraméterek!$J$113,Paraméterek!$K$113),IF($D$4="Forint",Paraméterek!$J$113,Paraméterek!$K$113),IF(IF(ISBLANK($AW991),$AV991,$AW991)*Paraméterek!$J$112&gt;IF($D$4="Forint",Paraméterek!$J$114,Paraméterek!$K$114),IF($D$4="Forint",Paraméterek!$J$114,Paraméterek!$K$114),IF(ISBLANK($AW991),$AV991,$AW991)*Paraméterek!$J$112))),IF($D$4="Forint",0,2))</f>
        <v>0</v>
      </c>
      <c r="AY991" s="13">
        <f>$AR991+$AT991-$AU991-IF(ROUNDDOWN(IF(ISBLANK($AW991),$AV991,$AW991),IF($D$4="Forint",0,2))&gt;$AR991+$AT991-$AU991-IF($D$4="Forint",Paraméterek!$J$114,Paraméterek!$K$114),0,ROUNDDOWN(IF(ISBLANK($AW991),$AV991,$AW991),IF($D$4="Forint",0,2))-$AX991)</f>
        <v>0</v>
      </c>
      <c r="AZ991" s="13">
        <f t="shared" si="234"/>
        <v>0</v>
      </c>
    </row>
    <row r="992" spans="1:52" x14ac:dyDescent="0.2">
      <c r="A992" s="32">
        <v>973</v>
      </c>
      <c r="B992" s="32">
        <v>82</v>
      </c>
      <c r="C992" s="32">
        <v>1</v>
      </c>
      <c r="D992" s="13">
        <f t="shared" si="225"/>
        <v>0</v>
      </c>
      <c r="E992" s="13"/>
      <c r="F992" s="13">
        <f>Tranzakciók!$D$113</f>
        <v>0</v>
      </c>
      <c r="G992" s="13"/>
      <c r="H992" s="13">
        <f t="shared" si="226"/>
        <v>0</v>
      </c>
      <c r="I992" s="13">
        <f t="shared" si="227"/>
        <v>1097</v>
      </c>
      <c r="J992" s="13">
        <f t="shared" si="228"/>
        <v>1097</v>
      </c>
      <c r="K992" s="13">
        <f>ROUNDUP(IF($D$2="Egyszeri",$D992,IF($D$2="Havi",SUM($D$20:$D$31),IF(MOD($C992,$M$1)-1=0,SUM($D$20:$D$31),0))/12*$M$1)*VLOOKUP($B992,Paraméterek!$B$27:$D$30,IF($D$2="Egyszeri",3,2)),IF($D$4="Forint",0,2))</f>
        <v>0</v>
      </c>
      <c r="L992" s="13">
        <f t="shared" si="229"/>
        <v>0</v>
      </c>
      <c r="M992" s="13">
        <f t="shared" ca="1" si="235"/>
        <v>-1237142</v>
      </c>
      <c r="N992" s="13">
        <f ca="1">IF($V991&gt;=VLOOKUP($M$4-1+$B992,Paraméterek!$B$121:$D$122,IF($D$4="Forint",2,3)),0,VLOOKUP($M$4-1+$B992,Paraméterek!$B$121:$D$122,IF($D$4="Forint",2,3))-$V991)</f>
        <v>1247142</v>
      </c>
      <c r="O992" s="13">
        <f ca="1">ROUNDUP($N992*Paraméterek!$C$58/Paraméterek!$C$56,IF($D$4="Forint",0,2))</f>
        <v>199</v>
      </c>
      <c r="P992" s="13">
        <f t="shared" si="230"/>
        <v>6029</v>
      </c>
      <c r="Q992" s="33"/>
      <c r="R992" s="13">
        <f t="shared" ca="1" si="231"/>
        <v>0</v>
      </c>
      <c r="S992" s="13">
        <f ca="1">ROUNDUP(($M992-$O992-$P992+$R992)*VLOOKUP($B992,Paraméterek!$B$38:$D$39,IF($D$2="Egyszeri",3,2))/12,IF($D$4="Forint",0,2))</f>
        <v>-3036</v>
      </c>
      <c r="T992" s="13"/>
      <c r="U992" s="13"/>
      <c r="V992" s="13">
        <f ca="1">$M992-$O992-$P992+$R992-$S992-IF(ROUNDUP(IF(ISBLANK($U992),$T992,$U992)/IF(AND($B992=1,$D$2&lt;&gt;"Egyszeri"),1,VLOOKUP($B992+IF($C992=12,1,0),Paraméterek!$B$257:$D$267,IF($D$2="Egyszeri",3,2))),IF($D$4="Forint",0,2))&gt;$M992-$O992-$P992+$R992-$S992-IF($D$4="Forint",Paraméterek!$C$216,Paraméterek!$D$216),0,ROUNDUP(IF(ISBLANK($U992),$T992,$U992)/IF(AND($B992=1,$D$2&lt;&gt;"Egyszeri"),1,VLOOKUP($B992+IF($C992=12,1,0),Paraméterek!$B$257:$D$267,IF($D$2="Egyszeri",3,2))),IF($D$4="Forint",0,2)))</f>
        <v>-1240334</v>
      </c>
      <c r="W992" s="13">
        <f ca="1">ROUNDDOWN($V992*VLOOKUP($B992+IF($C992=12,1,0),Paraméterek!$B$257:$D$267,IF($D$2="Egyszeri",3,2)),IF($D$4="Forint",0,2))</f>
        <v>-1240334</v>
      </c>
      <c r="Y992" s="32">
        <v>973</v>
      </c>
      <c r="Z992" s="32">
        <v>82</v>
      </c>
      <c r="AA992" s="32">
        <v>1</v>
      </c>
      <c r="AB992" s="13">
        <f t="shared" si="236"/>
        <v>0</v>
      </c>
      <c r="AC992" s="33"/>
      <c r="AD992" s="13">
        <f t="shared" si="232"/>
        <v>0</v>
      </c>
      <c r="AE992" s="13">
        <f>ROUNDUP(($AB992+$AD992)*VLOOKUP($Z992,Paraméterek!$P$38:$Q$38,2)/12,IF($D$4="Forint",0,2))</f>
        <v>0</v>
      </c>
      <c r="AF992" s="13">
        <f>IF($D$2="Egyszeri",IF($D$7&gt;=IF($D$4="Forint",Paraméterek!$P$223,Paraméterek!$P$224),$D$7-IF($D$4="Forint",Paraméterek!$F$223,Paraméterek!$F$224),0),MIN(IF($AA992=12,AVERAGE($D$20:$D992)*12,0),SUM($D$20:$D$31)))</f>
        <v>0</v>
      </c>
      <c r="AG992" s="13">
        <f>IF(AND($Z992&gt;=10,MOD($Z992,5)=0),$AF992*IF($AA992=12,VLOOKUP($Z992,Paraméterek!$B$225:$F$240,IF($AF992&lt;IF($D$4="Forint",Paraméterek!$C$223,Paraméterek!$C$224),2,IF($AF992&lt;IF($D$4="Forint",Paraméterek!$D$223,Paraméterek!$D$224),3,4))),0),0)</f>
        <v>0</v>
      </c>
      <c r="AH992" s="13">
        <f>IF(AND($Z992&gt;=5,MOD($Z992,5)=0),IF($AA992=12,VLOOKUP($Z992,Paraméterek!$B$225:$F$240,5),0),IF(OR($Z992=3,$Z992=4),IF($AA992=12,VLOOKUP($Z992,Paraméterek!$B$225:$F$240,5,0),0),0))*$AF992</f>
        <v>0</v>
      </c>
      <c r="AI992" s="13">
        <f>ROUNDDOWN(IF(SUM($T$20:$U992)=0,IF($D$2="Egyszeri",$AH992,$AG992),0),IF($D$4="Forint",0,2))</f>
        <v>0</v>
      </c>
      <c r="AJ992" s="13">
        <f t="shared" si="237"/>
        <v>0</v>
      </c>
      <c r="AK992" s="13">
        <f t="shared" si="238"/>
        <v>0</v>
      </c>
      <c r="AM992" s="32">
        <v>973</v>
      </c>
      <c r="AN992" s="32">
        <v>82</v>
      </c>
      <c r="AO992" s="32">
        <v>1</v>
      </c>
      <c r="AP992" s="13">
        <f>Tranzakciók!$K$113</f>
        <v>0</v>
      </c>
      <c r="AQ992" s="32"/>
      <c r="AR992" s="13">
        <f t="shared" si="239"/>
        <v>0</v>
      </c>
      <c r="AS992" s="33"/>
      <c r="AT992" s="13">
        <f t="shared" si="233"/>
        <v>0</v>
      </c>
      <c r="AU992" s="13">
        <f>ROUNDUP(($AR992+$AT992)*VLOOKUP($AN992,Paraméterek!$P$38:$Q$38,2)/12,IF($D$4="Forint",0,2))</f>
        <v>0</v>
      </c>
      <c r="AV992" s="13"/>
      <c r="AW992" s="13"/>
      <c r="AX992" s="13">
        <f>ROUNDUP(IF(SUM($AV992:$AW992)=0,0,IF(IF(ISBLANK($AW992),$AV992,$AW992)*Paraméterek!$J$112&lt;IF($D$4="Forint",Paraméterek!$J$113,Paraméterek!$K$113),IF($D$4="Forint",Paraméterek!$J$113,Paraméterek!$K$113),IF(IF(ISBLANK($AW992),$AV992,$AW992)*Paraméterek!$J$112&gt;IF($D$4="Forint",Paraméterek!$J$114,Paraméterek!$K$114),IF($D$4="Forint",Paraméterek!$J$114,Paraméterek!$K$114),IF(ISBLANK($AW992),$AV992,$AW992)*Paraméterek!$J$112))),IF($D$4="Forint",0,2))</f>
        <v>0</v>
      </c>
      <c r="AY992" s="13">
        <f>$AR992+$AT992-$AU992-IF(ROUNDDOWN(IF(ISBLANK($AW992),$AV992,$AW992),IF($D$4="Forint",0,2))&gt;$AR992+$AT992-$AU992-IF($D$4="Forint",Paraméterek!$J$114,Paraméterek!$K$114),0,ROUNDDOWN(IF(ISBLANK($AW992),$AV992,$AW992),IF($D$4="Forint",0,2))-$AX992)</f>
        <v>0</v>
      </c>
      <c r="AZ992" s="13">
        <f t="shared" si="234"/>
        <v>0</v>
      </c>
    </row>
    <row r="993" spans="1:52" x14ac:dyDescent="0.2">
      <c r="A993" s="32">
        <v>974</v>
      </c>
      <c r="B993" s="32">
        <v>82</v>
      </c>
      <c r="C993" s="32">
        <v>2</v>
      </c>
      <c r="D993" s="13">
        <f t="shared" si="225"/>
        <v>0</v>
      </c>
      <c r="E993" s="13"/>
      <c r="F993" s="13"/>
      <c r="G993" s="13"/>
      <c r="H993" s="13">
        <f t="shared" si="226"/>
        <v>0</v>
      </c>
      <c r="I993" s="13">
        <f t="shared" si="227"/>
        <v>0</v>
      </c>
      <c r="J993" s="13">
        <f t="shared" si="228"/>
        <v>0</v>
      </c>
      <c r="K993" s="13">
        <f>ROUNDUP(IF($D$2="Egyszeri",$D993,IF($D$2="Havi",SUM($D$20:$D$31),IF(MOD($C993,$M$1)-1=0,SUM($D$20:$D$31),0))/12*$M$1)*VLOOKUP($B993,Paraméterek!$B$27:$D$30,IF($D$2="Egyszeri",3,2)),IF($D$4="Forint",0,2))</f>
        <v>0</v>
      </c>
      <c r="L993" s="13">
        <f t="shared" si="229"/>
        <v>0</v>
      </c>
      <c r="M993" s="13">
        <f t="shared" ca="1" si="235"/>
        <v>-1240334</v>
      </c>
      <c r="N993" s="13">
        <f ca="1">IF($V992&gt;=VLOOKUP($M$4-1+$B993,Paraméterek!$B$121:$D$122,IF($D$4="Forint",2,3)),0,VLOOKUP($M$4-1+$B993,Paraméterek!$B$121:$D$122,IF($D$4="Forint",2,3))-$V992)</f>
        <v>1250334</v>
      </c>
      <c r="O993" s="13">
        <f ca="1">ROUNDUP($N993*Paraméterek!$C$58/Paraméterek!$C$56,IF($D$4="Forint",0,2))</f>
        <v>200</v>
      </c>
      <c r="P993" s="13">
        <f t="shared" si="230"/>
        <v>6029</v>
      </c>
      <c r="Q993" s="33"/>
      <c r="R993" s="13">
        <f t="shared" ca="1" si="231"/>
        <v>0</v>
      </c>
      <c r="S993" s="13">
        <f ca="1">ROUNDUP(($M993-$O993-$P993+$R993)*VLOOKUP($B993,Paraméterek!$B$38:$D$39,IF($D$2="Egyszeri",3,2))/12,IF($D$4="Forint",0,2))</f>
        <v>-3044</v>
      </c>
      <c r="T993" s="13"/>
      <c r="U993" s="13"/>
      <c r="V993" s="13">
        <f ca="1">$M993-$O993-$P993+$R993-$S993-IF(ROUNDUP(IF(ISBLANK($U993),$T993,$U993)/IF(AND($B993=1,$D$2&lt;&gt;"Egyszeri"),1,VLOOKUP($B993+IF($C993=12,1,0),Paraméterek!$B$257:$D$267,IF($D$2="Egyszeri",3,2))),IF($D$4="Forint",0,2))&gt;$M993-$O993-$P993+$R993-$S993-IF($D$4="Forint",Paraméterek!$C$216,Paraméterek!$D$216),0,ROUNDUP(IF(ISBLANK($U993),$T993,$U993)/IF(AND($B993=1,$D$2&lt;&gt;"Egyszeri"),1,VLOOKUP($B993+IF($C993=12,1,0),Paraméterek!$B$257:$D$267,IF($D$2="Egyszeri",3,2))),IF($D$4="Forint",0,2)))</f>
        <v>-1243519</v>
      </c>
      <c r="W993" s="13">
        <f ca="1">ROUNDDOWN($V993*VLOOKUP($B993+IF($C993=12,1,0),Paraméterek!$B$257:$D$267,IF($D$2="Egyszeri",3,2)),IF($D$4="Forint",0,2))</f>
        <v>-1243519</v>
      </c>
      <c r="Y993" s="32">
        <v>974</v>
      </c>
      <c r="Z993" s="32">
        <v>82</v>
      </c>
      <c r="AA993" s="32">
        <v>2</v>
      </c>
      <c r="AB993" s="13">
        <f t="shared" si="236"/>
        <v>0</v>
      </c>
      <c r="AC993" s="33"/>
      <c r="AD993" s="13">
        <f t="shared" si="232"/>
        <v>0</v>
      </c>
      <c r="AE993" s="13">
        <f>ROUNDUP(($AB993+$AD993)*VLOOKUP($Z993,Paraméterek!$P$38:$Q$38,2)/12,IF($D$4="Forint",0,2))</f>
        <v>0</v>
      </c>
      <c r="AF993" s="13">
        <f>IF($D$2="Egyszeri",IF($D$7&gt;=IF($D$4="Forint",Paraméterek!$P$223,Paraméterek!$P$224),$D$7-IF($D$4="Forint",Paraméterek!$F$223,Paraméterek!$F$224),0),MIN(IF($AA993=12,AVERAGE($D$20:$D993)*12,0),SUM($D$20:$D$31)))</f>
        <v>0</v>
      </c>
      <c r="AG993" s="13">
        <f>IF(AND($Z993&gt;=10,MOD($Z993,5)=0),$AF993*IF($AA993=12,VLOOKUP($Z993,Paraméterek!$B$225:$F$240,IF($AF993&lt;IF($D$4="Forint",Paraméterek!$C$223,Paraméterek!$C$224),2,IF($AF993&lt;IF($D$4="Forint",Paraméterek!$D$223,Paraméterek!$D$224),3,4))),0),0)</f>
        <v>0</v>
      </c>
      <c r="AH993" s="13">
        <f>IF(AND($Z993&gt;=5,MOD($Z993,5)=0),IF($AA993=12,VLOOKUP($Z993,Paraméterek!$B$225:$F$240,5),0),IF(OR($Z993=3,$Z993=4),IF($AA993=12,VLOOKUP($Z993,Paraméterek!$B$225:$F$240,5,0),0),0))*$AF993</f>
        <v>0</v>
      </c>
      <c r="AI993" s="13">
        <f>ROUNDDOWN(IF(SUM($T$20:$U993)=0,IF($D$2="Egyszeri",$AH993,$AG993),0),IF($D$4="Forint",0,2))</f>
        <v>0</v>
      </c>
      <c r="AJ993" s="13">
        <f t="shared" si="237"/>
        <v>0</v>
      </c>
      <c r="AK993" s="13">
        <f t="shared" si="238"/>
        <v>0</v>
      </c>
      <c r="AM993" s="32">
        <v>974</v>
      </c>
      <c r="AN993" s="32">
        <v>82</v>
      </c>
      <c r="AO993" s="32">
        <v>2</v>
      </c>
      <c r="AP993" s="13"/>
      <c r="AQ993" s="32"/>
      <c r="AR993" s="13">
        <f t="shared" si="239"/>
        <v>0</v>
      </c>
      <c r="AS993" s="33"/>
      <c r="AT993" s="13">
        <f t="shared" si="233"/>
        <v>0</v>
      </c>
      <c r="AU993" s="13">
        <f>ROUNDUP(($AR993+$AT993)*VLOOKUP($AN993,Paraméterek!$P$38:$Q$38,2)/12,IF($D$4="Forint",0,2))</f>
        <v>0</v>
      </c>
      <c r="AV993" s="13"/>
      <c r="AW993" s="13"/>
      <c r="AX993" s="13">
        <f>ROUNDUP(IF(SUM($AV993:$AW993)=0,0,IF(IF(ISBLANK($AW993),$AV993,$AW993)*Paraméterek!$J$112&lt;IF($D$4="Forint",Paraméterek!$J$113,Paraméterek!$K$113),IF($D$4="Forint",Paraméterek!$J$113,Paraméterek!$K$113),IF(IF(ISBLANK($AW993),$AV993,$AW993)*Paraméterek!$J$112&gt;IF($D$4="Forint",Paraméterek!$J$114,Paraméterek!$K$114),IF($D$4="Forint",Paraméterek!$J$114,Paraméterek!$K$114),IF(ISBLANK($AW993),$AV993,$AW993)*Paraméterek!$J$112))),IF($D$4="Forint",0,2))</f>
        <v>0</v>
      </c>
      <c r="AY993" s="13">
        <f>$AR993+$AT993-$AU993-IF(ROUNDDOWN(IF(ISBLANK($AW993),$AV993,$AW993),IF($D$4="Forint",0,2))&gt;$AR993+$AT993-$AU993-IF($D$4="Forint",Paraméterek!$J$114,Paraméterek!$K$114),0,ROUNDDOWN(IF(ISBLANK($AW993),$AV993,$AW993),IF($D$4="Forint",0,2))-$AX993)</f>
        <v>0</v>
      </c>
      <c r="AZ993" s="13">
        <f t="shared" si="234"/>
        <v>0</v>
      </c>
    </row>
    <row r="994" spans="1:52" x14ac:dyDescent="0.2">
      <c r="A994" s="32">
        <v>975</v>
      </c>
      <c r="B994" s="32">
        <v>82</v>
      </c>
      <c r="C994" s="32">
        <v>3</v>
      </c>
      <c r="D994" s="13">
        <f t="shared" si="225"/>
        <v>0</v>
      </c>
      <c r="E994" s="13"/>
      <c r="F994" s="13"/>
      <c r="G994" s="13"/>
      <c r="H994" s="13">
        <f t="shared" si="226"/>
        <v>0</v>
      </c>
      <c r="I994" s="13">
        <f t="shared" si="227"/>
        <v>0</v>
      </c>
      <c r="J994" s="13">
        <f t="shared" si="228"/>
        <v>0</v>
      </c>
      <c r="K994" s="13">
        <f>ROUNDUP(IF($D$2="Egyszeri",$D994,IF($D$2="Havi",SUM($D$20:$D$31),IF(MOD($C994,$M$1)-1=0,SUM($D$20:$D$31),0))/12*$M$1)*VLOOKUP($B994,Paraméterek!$B$27:$D$30,IF($D$2="Egyszeri",3,2)),IF($D$4="Forint",0,2))</f>
        <v>0</v>
      </c>
      <c r="L994" s="13">
        <f t="shared" si="229"/>
        <v>0</v>
      </c>
      <c r="M994" s="13">
        <f t="shared" ca="1" si="235"/>
        <v>-1243519</v>
      </c>
      <c r="N994" s="13">
        <f ca="1">IF($V993&gt;=VLOOKUP($M$4-1+$B994,Paraméterek!$B$121:$D$122,IF($D$4="Forint",2,3)),0,VLOOKUP($M$4-1+$B994,Paraméterek!$B$121:$D$122,IF($D$4="Forint",2,3))-$V993)</f>
        <v>1253519</v>
      </c>
      <c r="O994" s="13">
        <f ca="1">ROUNDUP($N994*Paraméterek!$C$58/Paraméterek!$C$56,IF($D$4="Forint",0,2))</f>
        <v>200</v>
      </c>
      <c r="P994" s="13">
        <f t="shared" si="230"/>
        <v>6029</v>
      </c>
      <c r="Q994" s="33"/>
      <c r="R994" s="13">
        <f t="shared" ca="1" si="231"/>
        <v>0</v>
      </c>
      <c r="S994" s="13">
        <f ca="1">ROUNDUP(($M994-$O994-$P994+$R994)*VLOOKUP($B994,Paraméterek!$B$38:$D$39,IF($D$2="Egyszeri",3,2))/12,IF($D$4="Forint",0,2))</f>
        <v>-3052</v>
      </c>
      <c r="T994" s="13"/>
      <c r="U994" s="13"/>
      <c r="V994" s="13">
        <f ca="1">$M994-$O994-$P994+$R994-$S994-IF(ROUNDUP(IF(ISBLANK($U994),$T994,$U994)/IF(AND($B994=1,$D$2&lt;&gt;"Egyszeri"),1,VLOOKUP($B994+IF($C994=12,1,0),Paraméterek!$B$257:$D$267,IF($D$2="Egyszeri",3,2))),IF($D$4="Forint",0,2))&gt;$M994-$O994-$P994+$R994-$S994-IF($D$4="Forint",Paraméterek!$C$216,Paraméterek!$D$216),0,ROUNDUP(IF(ISBLANK($U994),$T994,$U994)/IF(AND($B994=1,$D$2&lt;&gt;"Egyszeri"),1,VLOOKUP($B994+IF($C994=12,1,0),Paraméterek!$B$257:$D$267,IF($D$2="Egyszeri",3,2))),IF($D$4="Forint",0,2)))</f>
        <v>-1246696</v>
      </c>
      <c r="W994" s="13">
        <f ca="1">ROUNDDOWN($V994*VLOOKUP($B994+IF($C994=12,1,0),Paraméterek!$B$257:$D$267,IF($D$2="Egyszeri",3,2)),IF($D$4="Forint",0,2))</f>
        <v>-1246696</v>
      </c>
      <c r="Y994" s="32">
        <v>975</v>
      </c>
      <c r="Z994" s="32">
        <v>82</v>
      </c>
      <c r="AA994" s="32">
        <v>3</v>
      </c>
      <c r="AB994" s="13">
        <f t="shared" si="236"/>
        <v>0</v>
      </c>
      <c r="AC994" s="33"/>
      <c r="AD994" s="13">
        <f t="shared" si="232"/>
        <v>0</v>
      </c>
      <c r="AE994" s="13">
        <f>ROUNDUP(($AB994+$AD994)*VLOOKUP($Z994,Paraméterek!$P$38:$Q$38,2)/12,IF($D$4="Forint",0,2))</f>
        <v>0</v>
      </c>
      <c r="AF994" s="13">
        <f>IF($D$2="Egyszeri",IF($D$7&gt;=IF($D$4="Forint",Paraméterek!$P$223,Paraméterek!$P$224),$D$7-IF($D$4="Forint",Paraméterek!$F$223,Paraméterek!$F$224),0),MIN(IF($AA994=12,AVERAGE($D$20:$D994)*12,0),SUM($D$20:$D$31)))</f>
        <v>0</v>
      </c>
      <c r="AG994" s="13">
        <f>IF(AND($Z994&gt;=10,MOD($Z994,5)=0),$AF994*IF($AA994=12,VLOOKUP($Z994,Paraméterek!$B$225:$F$240,IF($AF994&lt;IF($D$4="Forint",Paraméterek!$C$223,Paraméterek!$C$224),2,IF($AF994&lt;IF($D$4="Forint",Paraméterek!$D$223,Paraméterek!$D$224),3,4))),0),0)</f>
        <v>0</v>
      </c>
      <c r="AH994" s="13">
        <f>IF(AND($Z994&gt;=5,MOD($Z994,5)=0),IF($AA994=12,VLOOKUP($Z994,Paraméterek!$B$225:$F$240,5),0),IF(OR($Z994=3,$Z994=4),IF($AA994=12,VLOOKUP($Z994,Paraméterek!$B$225:$F$240,5,0),0),0))*$AF994</f>
        <v>0</v>
      </c>
      <c r="AI994" s="13">
        <f>ROUNDDOWN(IF(SUM($T$20:$U994)=0,IF($D$2="Egyszeri",$AH994,$AG994),0),IF($D$4="Forint",0,2))</f>
        <v>0</v>
      </c>
      <c r="AJ994" s="13">
        <f t="shared" si="237"/>
        <v>0</v>
      </c>
      <c r="AK994" s="13">
        <f t="shared" si="238"/>
        <v>0</v>
      </c>
      <c r="AM994" s="32">
        <v>975</v>
      </c>
      <c r="AN994" s="32">
        <v>82</v>
      </c>
      <c r="AO994" s="32">
        <v>3</v>
      </c>
      <c r="AP994" s="13"/>
      <c r="AQ994" s="32"/>
      <c r="AR994" s="13">
        <f t="shared" si="239"/>
        <v>0</v>
      </c>
      <c r="AS994" s="33"/>
      <c r="AT994" s="13">
        <f t="shared" si="233"/>
        <v>0</v>
      </c>
      <c r="AU994" s="13">
        <f>ROUNDUP(($AR994+$AT994)*VLOOKUP($AN994,Paraméterek!$P$38:$Q$38,2)/12,IF($D$4="Forint",0,2))</f>
        <v>0</v>
      </c>
      <c r="AV994" s="13"/>
      <c r="AW994" s="13"/>
      <c r="AX994" s="13">
        <f>ROUNDUP(IF(SUM($AV994:$AW994)=0,0,IF(IF(ISBLANK($AW994),$AV994,$AW994)*Paraméterek!$J$112&lt;IF($D$4="Forint",Paraméterek!$J$113,Paraméterek!$K$113),IF($D$4="Forint",Paraméterek!$J$113,Paraméterek!$K$113),IF(IF(ISBLANK($AW994),$AV994,$AW994)*Paraméterek!$J$112&gt;IF($D$4="Forint",Paraméterek!$J$114,Paraméterek!$K$114),IF($D$4="Forint",Paraméterek!$J$114,Paraméterek!$K$114),IF(ISBLANK($AW994),$AV994,$AW994)*Paraméterek!$J$112))),IF($D$4="Forint",0,2))</f>
        <v>0</v>
      </c>
      <c r="AY994" s="13">
        <f>$AR994+$AT994-$AU994-IF(ROUNDDOWN(IF(ISBLANK($AW994),$AV994,$AW994),IF($D$4="Forint",0,2))&gt;$AR994+$AT994-$AU994-IF($D$4="Forint",Paraméterek!$J$114,Paraméterek!$K$114),0,ROUNDDOWN(IF(ISBLANK($AW994),$AV994,$AW994),IF($D$4="Forint",0,2))-$AX994)</f>
        <v>0</v>
      </c>
      <c r="AZ994" s="13">
        <f t="shared" si="234"/>
        <v>0</v>
      </c>
    </row>
    <row r="995" spans="1:52" x14ac:dyDescent="0.2">
      <c r="A995" s="32">
        <v>976</v>
      </c>
      <c r="B995" s="32">
        <v>82</v>
      </c>
      <c r="C995" s="32">
        <v>4</v>
      </c>
      <c r="D995" s="13">
        <f t="shared" si="225"/>
        <v>0</v>
      </c>
      <c r="E995" s="13"/>
      <c r="F995" s="13"/>
      <c r="G995" s="13"/>
      <c r="H995" s="13">
        <f t="shared" si="226"/>
        <v>0</v>
      </c>
      <c r="I995" s="13">
        <f t="shared" si="227"/>
        <v>0</v>
      </c>
      <c r="J995" s="13">
        <f t="shared" si="228"/>
        <v>0</v>
      </c>
      <c r="K995" s="13">
        <f>ROUNDUP(IF($D$2="Egyszeri",$D995,IF($D$2="Havi",SUM($D$20:$D$31),IF(MOD($C995,$M$1)-1=0,SUM($D$20:$D$31),0))/12*$M$1)*VLOOKUP($B995,Paraméterek!$B$27:$D$30,IF($D$2="Egyszeri",3,2)),IF($D$4="Forint",0,2))</f>
        <v>0</v>
      </c>
      <c r="L995" s="13">
        <f t="shared" si="229"/>
        <v>0</v>
      </c>
      <c r="M995" s="13">
        <f t="shared" ca="1" si="235"/>
        <v>-1246696</v>
      </c>
      <c r="N995" s="13">
        <f ca="1">IF($V994&gt;=VLOOKUP($M$4-1+$B995,Paraméterek!$B$121:$D$122,IF($D$4="Forint",2,3)),0,VLOOKUP($M$4-1+$B995,Paraméterek!$B$121:$D$122,IF($D$4="Forint",2,3))-$V994)</f>
        <v>1256696</v>
      </c>
      <c r="O995" s="13">
        <f ca="1">ROUNDUP($N995*Paraméterek!$C$58/Paraméterek!$C$56,IF($D$4="Forint",0,2))</f>
        <v>201</v>
      </c>
      <c r="P995" s="13">
        <f t="shared" si="230"/>
        <v>6029</v>
      </c>
      <c r="Q995" s="33"/>
      <c r="R995" s="13">
        <f t="shared" ca="1" si="231"/>
        <v>0</v>
      </c>
      <c r="S995" s="13">
        <f ca="1">ROUNDUP(($M995-$O995-$P995+$R995)*VLOOKUP($B995,Paraméterek!$B$38:$D$39,IF($D$2="Egyszeri",3,2))/12,IF($D$4="Forint",0,2))</f>
        <v>-3060</v>
      </c>
      <c r="T995" s="13"/>
      <c r="U995" s="13"/>
      <c r="V995" s="13">
        <f ca="1">$M995-$O995-$P995+$R995-$S995-IF(ROUNDUP(IF(ISBLANK($U995),$T995,$U995)/IF(AND($B995=1,$D$2&lt;&gt;"Egyszeri"),1,VLOOKUP($B995+IF($C995=12,1,0),Paraméterek!$B$257:$D$267,IF($D$2="Egyszeri",3,2))),IF($D$4="Forint",0,2))&gt;$M995-$O995-$P995+$R995-$S995-IF($D$4="Forint",Paraméterek!$C$216,Paraméterek!$D$216),0,ROUNDUP(IF(ISBLANK($U995),$T995,$U995)/IF(AND($B995=1,$D$2&lt;&gt;"Egyszeri"),1,VLOOKUP($B995+IF($C995=12,1,0),Paraméterek!$B$257:$D$267,IF($D$2="Egyszeri",3,2))),IF($D$4="Forint",0,2)))</f>
        <v>-1249866</v>
      </c>
      <c r="W995" s="13">
        <f ca="1">ROUNDDOWN($V995*VLOOKUP($B995+IF($C995=12,1,0),Paraméterek!$B$257:$D$267,IF($D$2="Egyszeri",3,2)),IF($D$4="Forint",0,2))</f>
        <v>-1249866</v>
      </c>
      <c r="Y995" s="32">
        <v>976</v>
      </c>
      <c r="Z995" s="32">
        <v>82</v>
      </c>
      <c r="AA995" s="32">
        <v>4</v>
      </c>
      <c r="AB995" s="13">
        <f t="shared" si="236"/>
        <v>0</v>
      </c>
      <c r="AC995" s="33"/>
      <c r="AD995" s="13">
        <f t="shared" si="232"/>
        <v>0</v>
      </c>
      <c r="AE995" s="13">
        <f>ROUNDUP(($AB995+$AD995)*VLOOKUP($Z995,Paraméterek!$P$38:$Q$38,2)/12,IF($D$4="Forint",0,2))</f>
        <v>0</v>
      </c>
      <c r="AF995" s="13">
        <f>IF($D$2="Egyszeri",IF($D$7&gt;=IF($D$4="Forint",Paraméterek!$P$223,Paraméterek!$P$224),$D$7-IF($D$4="Forint",Paraméterek!$F$223,Paraméterek!$F$224),0),MIN(IF($AA995=12,AVERAGE($D$20:$D995)*12,0),SUM($D$20:$D$31)))</f>
        <v>0</v>
      </c>
      <c r="AG995" s="13">
        <f>IF(AND($Z995&gt;=10,MOD($Z995,5)=0),$AF995*IF($AA995=12,VLOOKUP($Z995,Paraméterek!$B$225:$F$240,IF($AF995&lt;IF($D$4="Forint",Paraméterek!$C$223,Paraméterek!$C$224),2,IF($AF995&lt;IF($D$4="Forint",Paraméterek!$D$223,Paraméterek!$D$224),3,4))),0),0)</f>
        <v>0</v>
      </c>
      <c r="AH995" s="13">
        <f>IF(AND($Z995&gt;=5,MOD($Z995,5)=0),IF($AA995=12,VLOOKUP($Z995,Paraméterek!$B$225:$F$240,5),0),IF(OR($Z995=3,$Z995=4),IF($AA995=12,VLOOKUP($Z995,Paraméterek!$B$225:$F$240,5,0),0),0))*$AF995</f>
        <v>0</v>
      </c>
      <c r="AI995" s="13">
        <f>ROUNDDOWN(IF(SUM($T$20:$U995)=0,IF($D$2="Egyszeri",$AH995,$AG995),0),IF($D$4="Forint",0,2))</f>
        <v>0</v>
      </c>
      <c r="AJ995" s="13">
        <f t="shared" si="237"/>
        <v>0</v>
      </c>
      <c r="AK995" s="13">
        <f t="shared" si="238"/>
        <v>0</v>
      </c>
      <c r="AM995" s="32">
        <v>976</v>
      </c>
      <c r="AN995" s="32">
        <v>82</v>
      </c>
      <c r="AO995" s="32">
        <v>4</v>
      </c>
      <c r="AP995" s="13"/>
      <c r="AQ995" s="32"/>
      <c r="AR995" s="13">
        <f t="shared" si="239"/>
        <v>0</v>
      </c>
      <c r="AS995" s="33"/>
      <c r="AT995" s="13">
        <f t="shared" si="233"/>
        <v>0</v>
      </c>
      <c r="AU995" s="13">
        <f>ROUNDUP(($AR995+$AT995)*VLOOKUP($AN995,Paraméterek!$P$38:$Q$38,2)/12,IF($D$4="Forint",0,2))</f>
        <v>0</v>
      </c>
      <c r="AV995" s="13"/>
      <c r="AW995" s="13"/>
      <c r="AX995" s="13">
        <f>ROUNDUP(IF(SUM($AV995:$AW995)=0,0,IF(IF(ISBLANK($AW995),$AV995,$AW995)*Paraméterek!$J$112&lt;IF($D$4="Forint",Paraméterek!$J$113,Paraméterek!$K$113),IF($D$4="Forint",Paraméterek!$J$113,Paraméterek!$K$113),IF(IF(ISBLANK($AW995),$AV995,$AW995)*Paraméterek!$J$112&gt;IF($D$4="Forint",Paraméterek!$J$114,Paraméterek!$K$114),IF($D$4="Forint",Paraméterek!$J$114,Paraméterek!$K$114),IF(ISBLANK($AW995),$AV995,$AW995)*Paraméterek!$J$112))),IF($D$4="Forint",0,2))</f>
        <v>0</v>
      </c>
      <c r="AY995" s="13">
        <f>$AR995+$AT995-$AU995-IF(ROUNDDOWN(IF(ISBLANK($AW995),$AV995,$AW995),IF($D$4="Forint",0,2))&gt;$AR995+$AT995-$AU995-IF($D$4="Forint",Paraméterek!$J$114,Paraméterek!$K$114),0,ROUNDDOWN(IF(ISBLANK($AW995),$AV995,$AW995),IF($D$4="Forint",0,2))-$AX995)</f>
        <v>0</v>
      </c>
      <c r="AZ995" s="13">
        <f t="shared" si="234"/>
        <v>0</v>
      </c>
    </row>
    <row r="996" spans="1:52" x14ac:dyDescent="0.2">
      <c r="A996" s="32">
        <v>977</v>
      </c>
      <c r="B996" s="32">
        <v>82</v>
      </c>
      <c r="C996" s="32">
        <v>5</v>
      </c>
      <c r="D996" s="13">
        <f t="shared" si="225"/>
        <v>0</v>
      </c>
      <c r="E996" s="13"/>
      <c r="F996" s="13"/>
      <c r="G996" s="13"/>
      <c r="H996" s="13">
        <f t="shared" si="226"/>
        <v>0</v>
      </c>
      <c r="I996" s="13">
        <f t="shared" si="227"/>
        <v>0</v>
      </c>
      <c r="J996" s="13">
        <f t="shared" si="228"/>
        <v>0</v>
      </c>
      <c r="K996" s="13">
        <f>ROUNDUP(IF($D$2="Egyszeri",$D996,IF($D$2="Havi",SUM($D$20:$D$31),IF(MOD($C996,$M$1)-1=0,SUM($D$20:$D$31),0))/12*$M$1)*VLOOKUP($B996,Paraméterek!$B$27:$D$30,IF($D$2="Egyszeri",3,2)),IF($D$4="Forint",0,2))</f>
        <v>0</v>
      </c>
      <c r="L996" s="13">
        <f t="shared" si="229"/>
        <v>0</v>
      </c>
      <c r="M996" s="13">
        <f t="shared" ca="1" si="235"/>
        <v>-1249866</v>
      </c>
      <c r="N996" s="13">
        <f ca="1">IF($V995&gt;=VLOOKUP($M$4-1+$B996,Paraméterek!$B$121:$D$122,IF($D$4="Forint",2,3)),0,VLOOKUP($M$4-1+$B996,Paraméterek!$B$121:$D$122,IF($D$4="Forint",2,3))-$V995)</f>
        <v>1259866</v>
      </c>
      <c r="O996" s="13">
        <f ca="1">ROUNDUP($N996*Paraméterek!$C$58/Paraméterek!$C$56,IF($D$4="Forint",0,2))</f>
        <v>201</v>
      </c>
      <c r="P996" s="13">
        <f t="shared" si="230"/>
        <v>6029</v>
      </c>
      <c r="Q996" s="33"/>
      <c r="R996" s="13">
        <f t="shared" ca="1" si="231"/>
        <v>0</v>
      </c>
      <c r="S996" s="13">
        <f ca="1">ROUNDUP(($M996-$O996-$P996+$R996)*VLOOKUP($B996,Paraméterek!$B$38:$D$39,IF($D$2="Egyszeri",3,2))/12,IF($D$4="Forint",0,2))</f>
        <v>-3067</v>
      </c>
      <c r="T996" s="13"/>
      <c r="U996" s="13"/>
      <c r="V996" s="13">
        <f ca="1">$M996-$O996-$P996+$R996-$S996-IF(ROUNDUP(IF(ISBLANK($U996),$T996,$U996)/IF(AND($B996=1,$D$2&lt;&gt;"Egyszeri"),1,VLOOKUP($B996+IF($C996=12,1,0),Paraméterek!$B$257:$D$267,IF($D$2="Egyszeri",3,2))),IF($D$4="Forint",0,2))&gt;$M996-$O996-$P996+$R996-$S996-IF($D$4="Forint",Paraméterek!$C$216,Paraméterek!$D$216),0,ROUNDUP(IF(ISBLANK($U996),$T996,$U996)/IF(AND($B996=1,$D$2&lt;&gt;"Egyszeri"),1,VLOOKUP($B996+IF($C996=12,1,0),Paraméterek!$B$257:$D$267,IF($D$2="Egyszeri",3,2))),IF($D$4="Forint",0,2)))</f>
        <v>-1253029</v>
      </c>
      <c r="W996" s="13">
        <f ca="1">ROUNDDOWN($V996*VLOOKUP($B996+IF($C996=12,1,0),Paraméterek!$B$257:$D$267,IF($D$2="Egyszeri",3,2)),IF($D$4="Forint",0,2))</f>
        <v>-1253029</v>
      </c>
      <c r="Y996" s="32">
        <v>977</v>
      </c>
      <c r="Z996" s="32">
        <v>82</v>
      </c>
      <c r="AA996" s="32">
        <v>5</v>
      </c>
      <c r="AB996" s="13">
        <f t="shared" si="236"/>
        <v>0</v>
      </c>
      <c r="AC996" s="33"/>
      <c r="AD996" s="13">
        <f t="shared" si="232"/>
        <v>0</v>
      </c>
      <c r="AE996" s="13">
        <f>ROUNDUP(($AB996+$AD996)*VLOOKUP($Z996,Paraméterek!$P$38:$Q$38,2)/12,IF($D$4="Forint",0,2))</f>
        <v>0</v>
      </c>
      <c r="AF996" s="13">
        <f>IF($D$2="Egyszeri",IF($D$7&gt;=IF($D$4="Forint",Paraméterek!$P$223,Paraméterek!$P$224),$D$7-IF($D$4="Forint",Paraméterek!$F$223,Paraméterek!$F$224),0),MIN(IF($AA996=12,AVERAGE($D$20:$D996)*12,0),SUM($D$20:$D$31)))</f>
        <v>0</v>
      </c>
      <c r="AG996" s="13">
        <f>IF(AND($Z996&gt;=10,MOD($Z996,5)=0),$AF996*IF($AA996=12,VLOOKUP($Z996,Paraméterek!$B$225:$F$240,IF($AF996&lt;IF($D$4="Forint",Paraméterek!$C$223,Paraméterek!$C$224),2,IF($AF996&lt;IF($D$4="Forint",Paraméterek!$D$223,Paraméterek!$D$224),3,4))),0),0)</f>
        <v>0</v>
      </c>
      <c r="AH996" s="13">
        <f>IF(AND($Z996&gt;=5,MOD($Z996,5)=0),IF($AA996=12,VLOOKUP($Z996,Paraméterek!$B$225:$F$240,5),0),IF(OR($Z996=3,$Z996=4),IF($AA996=12,VLOOKUP($Z996,Paraméterek!$B$225:$F$240,5,0),0),0))*$AF996</f>
        <v>0</v>
      </c>
      <c r="AI996" s="13">
        <f>ROUNDDOWN(IF(SUM($T$20:$U996)=0,IF($D$2="Egyszeri",$AH996,$AG996),0),IF($D$4="Forint",0,2))</f>
        <v>0</v>
      </c>
      <c r="AJ996" s="13">
        <f t="shared" si="237"/>
        <v>0</v>
      </c>
      <c r="AK996" s="13">
        <f t="shared" si="238"/>
        <v>0</v>
      </c>
      <c r="AM996" s="32">
        <v>977</v>
      </c>
      <c r="AN996" s="32">
        <v>82</v>
      </c>
      <c r="AO996" s="32">
        <v>5</v>
      </c>
      <c r="AP996" s="13"/>
      <c r="AQ996" s="32"/>
      <c r="AR996" s="13">
        <f t="shared" si="239"/>
        <v>0</v>
      </c>
      <c r="AS996" s="33"/>
      <c r="AT996" s="13">
        <f t="shared" si="233"/>
        <v>0</v>
      </c>
      <c r="AU996" s="13">
        <f>ROUNDUP(($AR996+$AT996)*VLOOKUP($AN996,Paraméterek!$P$38:$Q$38,2)/12,IF($D$4="Forint",0,2))</f>
        <v>0</v>
      </c>
      <c r="AV996" s="13"/>
      <c r="AW996" s="13"/>
      <c r="AX996" s="13">
        <f>ROUNDUP(IF(SUM($AV996:$AW996)=0,0,IF(IF(ISBLANK($AW996),$AV996,$AW996)*Paraméterek!$J$112&lt;IF($D$4="Forint",Paraméterek!$J$113,Paraméterek!$K$113),IF($D$4="Forint",Paraméterek!$J$113,Paraméterek!$K$113),IF(IF(ISBLANK($AW996),$AV996,$AW996)*Paraméterek!$J$112&gt;IF($D$4="Forint",Paraméterek!$J$114,Paraméterek!$K$114),IF($D$4="Forint",Paraméterek!$J$114,Paraméterek!$K$114),IF(ISBLANK($AW996),$AV996,$AW996)*Paraméterek!$J$112))),IF($D$4="Forint",0,2))</f>
        <v>0</v>
      </c>
      <c r="AY996" s="13">
        <f>$AR996+$AT996-$AU996-IF(ROUNDDOWN(IF(ISBLANK($AW996),$AV996,$AW996),IF($D$4="Forint",0,2))&gt;$AR996+$AT996-$AU996-IF($D$4="Forint",Paraméterek!$J$114,Paraméterek!$K$114),0,ROUNDDOWN(IF(ISBLANK($AW996),$AV996,$AW996),IF($D$4="Forint",0,2))-$AX996)</f>
        <v>0</v>
      </c>
      <c r="AZ996" s="13">
        <f t="shared" si="234"/>
        <v>0</v>
      </c>
    </row>
    <row r="997" spans="1:52" x14ac:dyDescent="0.2">
      <c r="A997" s="32">
        <v>978</v>
      </c>
      <c r="B997" s="32">
        <v>82</v>
      </c>
      <c r="C997" s="32">
        <v>6</v>
      </c>
      <c r="D997" s="13">
        <f t="shared" si="225"/>
        <v>0</v>
      </c>
      <c r="E997" s="13"/>
      <c r="F997" s="13"/>
      <c r="G997" s="13"/>
      <c r="H997" s="13">
        <f t="shared" si="226"/>
        <v>0</v>
      </c>
      <c r="I997" s="13">
        <f t="shared" si="227"/>
        <v>0</v>
      </c>
      <c r="J997" s="13">
        <f t="shared" si="228"/>
        <v>0</v>
      </c>
      <c r="K997" s="13">
        <f>ROUNDUP(IF($D$2="Egyszeri",$D997,IF($D$2="Havi",SUM($D$20:$D$31),IF(MOD($C997,$M$1)-1=0,SUM($D$20:$D$31),0))/12*$M$1)*VLOOKUP($B997,Paraméterek!$B$27:$D$30,IF($D$2="Egyszeri",3,2)),IF($D$4="Forint",0,2))</f>
        <v>0</v>
      </c>
      <c r="L997" s="13">
        <f t="shared" si="229"/>
        <v>0</v>
      </c>
      <c r="M997" s="13">
        <f t="shared" ca="1" si="235"/>
        <v>-1253029</v>
      </c>
      <c r="N997" s="13">
        <f ca="1">IF($V996&gt;=VLOOKUP($M$4-1+$B997,Paraméterek!$B$121:$D$122,IF($D$4="Forint",2,3)),0,VLOOKUP($M$4-1+$B997,Paraméterek!$B$121:$D$122,IF($D$4="Forint",2,3))-$V996)</f>
        <v>1263029</v>
      </c>
      <c r="O997" s="13">
        <f ca="1">ROUNDUP($N997*Paraméterek!$C$58/Paraméterek!$C$56,IF($D$4="Forint",0,2))</f>
        <v>202</v>
      </c>
      <c r="P997" s="13">
        <f t="shared" si="230"/>
        <v>6029</v>
      </c>
      <c r="Q997" s="33"/>
      <c r="R997" s="13">
        <f t="shared" ca="1" si="231"/>
        <v>0</v>
      </c>
      <c r="S997" s="13">
        <f ca="1">ROUNDUP(($M997-$O997-$P997+$R997)*VLOOKUP($B997,Paraméterek!$B$38:$D$39,IF($D$2="Egyszeri",3,2))/12,IF($D$4="Forint",0,2))</f>
        <v>-3075</v>
      </c>
      <c r="T997" s="13"/>
      <c r="U997" s="13"/>
      <c r="V997" s="13">
        <f ca="1">$M997-$O997-$P997+$R997-$S997-IF(ROUNDUP(IF(ISBLANK($U997),$T997,$U997)/IF(AND($B997=1,$D$2&lt;&gt;"Egyszeri"),1,VLOOKUP($B997+IF($C997=12,1,0),Paraméterek!$B$257:$D$267,IF($D$2="Egyszeri",3,2))),IF($D$4="Forint",0,2))&gt;$M997-$O997-$P997+$R997-$S997-IF($D$4="Forint",Paraméterek!$C$216,Paraméterek!$D$216),0,ROUNDUP(IF(ISBLANK($U997),$T997,$U997)/IF(AND($B997=1,$D$2&lt;&gt;"Egyszeri"),1,VLOOKUP($B997+IF($C997=12,1,0),Paraméterek!$B$257:$D$267,IF($D$2="Egyszeri",3,2))),IF($D$4="Forint",0,2)))</f>
        <v>-1256185</v>
      </c>
      <c r="W997" s="13">
        <f ca="1">ROUNDDOWN($V997*VLOOKUP($B997+IF($C997=12,1,0),Paraméterek!$B$257:$D$267,IF($D$2="Egyszeri",3,2)),IF($D$4="Forint",0,2))</f>
        <v>-1256185</v>
      </c>
      <c r="Y997" s="32">
        <v>978</v>
      </c>
      <c r="Z997" s="32">
        <v>82</v>
      </c>
      <c r="AA997" s="32">
        <v>6</v>
      </c>
      <c r="AB997" s="13">
        <f t="shared" si="236"/>
        <v>0</v>
      </c>
      <c r="AC997" s="33"/>
      <c r="AD997" s="13">
        <f t="shared" si="232"/>
        <v>0</v>
      </c>
      <c r="AE997" s="13">
        <f>ROUNDUP(($AB997+$AD997)*VLOOKUP($Z997,Paraméterek!$P$38:$Q$38,2)/12,IF($D$4="Forint",0,2))</f>
        <v>0</v>
      </c>
      <c r="AF997" s="13">
        <f>IF($D$2="Egyszeri",IF($D$7&gt;=IF($D$4="Forint",Paraméterek!$P$223,Paraméterek!$P$224),$D$7-IF($D$4="Forint",Paraméterek!$F$223,Paraméterek!$F$224),0),MIN(IF($AA997=12,AVERAGE($D$20:$D997)*12,0),SUM($D$20:$D$31)))</f>
        <v>0</v>
      </c>
      <c r="AG997" s="13">
        <f>IF(AND($Z997&gt;=10,MOD($Z997,5)=0),$AF997*IF($AA997=12,VLOOKUP($Z997,Paraméterek!$B$225:$F$240,IF($AF997&lt;IF($D$4="Forint",Paraméterek!$C$223,Paraméterek!$C$224),2,IF($AF997&lt;IF($D$4="Forint",Paraméterek!$D$223,Paraméterek!$D$224),3,4))),0),0)</f>
        <v>0</v>
      </c>
      <c r="AH997" s="13">
        <f>IF(AND($Z997&gt;=5,MOD($Z997,5)=0),IF($AA997=12,VLOOKUP($Z997,Paraméterek!$B$225:$F$240,5),0),IF(OR($Z997=3,$Z997=4),IF($AA997=12,VLOOKUP($Z997,Paraméterek!$B$225:$F$240,5,0),0),0))*$AF997</f>
        <v>0</v>
      </c>
      <c r="AI997" s="13">
        <f>ROUNDDOWN(IF(SUM($T$20:$U997)=0,IF($D$2="Egyszeri",$AH997,$AG997),0),IF($D$4="Forint",0,2))</f>
        <v>0</v>
      </c>
      <c r="AJ997" s="13">
        <f t="shared" si="237"/>
        <v>0</v>
      </c>
      <c r="AK997" s="13">
        <f t="shared" si="238"/>
        <v>0</v>
      </c>
      <c r="AM997" s="32">
        <v>978</v>
      </c>
      <c r="AN997" s="32">
        <v>82</v>
      </c>
      <c r="AO997" s="32">
        <v>6</v>
      </c>
      <c r="AP997" s="13"/>
      <c r="AQ997" s="32"/>
      <c r="AR997" s="13">
        <f t="shared" si="239"/>
        <v>0</v>
      </c>
      <c r="AS997" s="33"/>
      <c r="AT997" s="13">
        <f t="shared" si="233"/>
        <v>0</v>
      </c>
      <c r="AU997" s="13">
        <f>ROUNDUP(($AR997+$AT997)*VLOOKUP($AN997,Paraméterek!$P$38:$Q$38,2)/12,IF($D$4="Forint",0,2))</f>
        <v>0</v>
      </c>
      <c r="AV997" s="13"/>
      <c r="AW997" s="13"/>
      <c r="AX997" s="13">
        <f>ROUNDUP(IF(SUM($AV997:$AW997)=0,0,IF(IF(ISBLANK($AW997),$AV997,$AW997)*Paraméterek!$J$112&lt;IF($D$4="Forint",Paraméterek!$J$113,Paraméterek!$K$113),IF($D$4="Forint",Paraméterek!$J$113,Paraméterek!$K$113),IF(IF(ISBLANK($AW997),$AV997,$AW997)*Paraméterek!$J$112&gt;IF($D$4="Forint",Paraméterek!$J$114,Paraméterek!$K$114),IF($D$4="Forint",Paraméterek!$J$114,Paraméterek!$K$114),IF(ISBLANK($AW997),$AV997,$AW997)*Paraméterek!$J$112))),IF($D$4="Forint",0,2))</f>
        <v>0</v>
      </c>
      <c r="AY997" s="13">
        <f>$AR997+$AT997-$AU997-IF(ROUNDDOWN(IF(ISBLANK($AW997),$AV997,$AW997),IF($D$4="Forint",0,2))&gt;$AR997+$AT997-$AU997-IF($D$4="Forint",Paraméterek!$J$114,Paraméterek!$K$114),0,ROUNDDOWN(IF(ISBLANK($AW997),$AV997,$AW997),IF($D$4="Forint",0,2))-$AX997)</f>
        <v>0</v>
      </c>
      <c r="AZ997" s="13">
        <f t="shared" si="234"/>
        <v>0</v>
      </c>
    </row>
    <row r="998" spans="1:52" x14ac:dyDescent="0.2">
      <c r="A998" s="32">
        <v>979</v>
      </c>
      <c r="B998" s="32">
        <v>82</v>
      </c>
      <c r="C998" s="32">
        <v>7</v>
      </c>
      <c r="D998" s="13">
        <f t="shared" si="225"/>
        <v>0</v>
      </c>
      <c r="E998" s="13"/>
      <c r="F998" s="13"/>
      <c r="G998" s="13"/>
      <c r="H998" s="13">
        <f t="shared" si="226"/>
        <v>0</v>
      </c>
      <c r="I998" s="13">
        <f t="shared" si="227"/>
        <v>0</v>
      </c>
      <c r="J998" s="13">
        <f t="shared" si="228"/>
        <v>0</v>
      </c>
      <c r="K998" s="13">
        <f>ROUNDUP(IF($D$2="Egyszeri",$D998,IF($D$2="Havi",SUM($D$20:$D$31),IF(MOD($C998,$M$1)-1=0,SUM($D$20:$D$31),0))/12*$M$1)*VLOOKUP($B998,Paraméterek!$B$27:$D$30,IF($D$2="Egyszeri",3,2)),IF($D$4="Forint",0,2))</f>
        <v>0</v>
      </c>
      <c r="L998" s="13">
        <f t="shared" si="229"/>
        <v>0</v>
      </c>
      <c r="M998" s="13">
        <f t="shared" ca="1" si="235"/>
        <v>-1256185</v>
      </c>
      <c r="N998" s="13">
        <f ca="1">IF($V997&gt;=VLOOKUP($M$4-1+$B998,Paraméterek!$B$121:$D$122,IF($D$4="Forint",2,3)),0,VLOOKUP($M$4-1+$B998,Paraméterek!$B$121:$D$122,IF($D$4="Forint",2,3))-$V997)</f>
        <v>1266185</v>
      </c>
      <c r="O998" s="13">
        <f ca="1">ROUNDUP($N998*Paraméterek!$C$58/Paraméterek!$C$56,IF($D$4="Forint",0,2))</f>
        <v>202</v>
      </c>
      <c r="P998" s="13">
        <f t="shared" si="230"/>
        <v>6029</v>
      </c>
      <c r="Q998" s="33"/>
      <c r="R998" s="13">
        <f t="shared" ca="1" si="231"/>
        <v>0</v>
      </c>
      <c r="S998" s="13">
        <f ca="1">ROUNDUP(($M998-$O998-$P998+$R998)*VLOOKUP($B998,Paraméterek!$B$38:$D$39,IF($D$2="Egyszeri",3,2))/12,IF($D$4="Forint",0,2))</f>
        <v>-3083</v>
      </c>
      <c r="T998" s="13"/>
      <c r="U998" s="13"/>
      <c r="V998" s="13">
        <f ca="1">$M998-$O998-$P998+$R998-$S998-IF(ROUNDUP(IF(ISBLANK($U998),$T998,$U998)/IF(AND($B998=1,$D$2&lt;&gt;"Egyszeri"),1,VLOOKUP($B998+IF($C998=12,1,0),Paraméterek!$B$257:$D$267,IF($D$2="Egyszeri",3,2))),IF($D$4="Forint",0,2))&gt;$M998-$O998-$P998+$R998-$S998-IF($D$4="Forint",Paraméterek!$C$216,Paraméterek!$D$216),0,ROUNDUP(IF(ISBLANK($U998),$T998,$U998)/IF(AND($B998=1,$D$2&lt;&gt;"Egyszeri"),1,VLOOKUP($B998+IF($C998=12,1,0),Paraméterek!$B$257:$D$267,IF($D$2="Egyszeri",3,2))),IF($D$4="Forint",0,2)))</f>
        <v>-1259333</v>
      </c>
      <c r="W998" s="13">
        <f ca="1">ROUNDDOWN($V998*VLOOKUP($B998+IF($C998=12,1,0),Paraméterek!$B$257:$D$267,IF($D$2="Egyszeri",3,2)),IF($D$4="Forint",0,2))</f>
        <v>-1259333</v>
      </c>
      <c r="Y998" s="32">
        <v>979</v>
      </c>
      <c r="Z998" s="32">
        <v>82</v>
      </c>
      <c r="AA998" s="32">
        <v>7</v>
      </c>
      <c r="AB998" s="13">
        <f t="shared" si="236"/>
        <v>0</v>
      </c>
      <c r="AC998" s="33"/>
      <c r="AD998" s="13">
        <f t="shared" si="232"/>
        <v>0</v>
      </c>
      <c r="AE998" s="13">
        <f>ROUNDUP(($AB998+$AD998)*VLOOKUP($Z998,Paraméterek!$P$38:$Q$38,2)/12,IF($D$4="Forint",0,2))</f>
        <v>0</v>
      </c>
      <c r="AF998" s="13">
        <f>IF($D$2="Egyszeri",IF($D$7&gt;=IF($D$4="Forint",Paraméterek!$P$223,Paraméterek!$P$224),$D$7-IF($D$4="Forint",Paraméterek!$F$223,Paraméterek!$F$224),0),MIN(IF($AA998=12,AVERAGE($D$20:$D998)*12,0),SUM($D$20:$D$31)))</f>
        <v>0</v>
      </c>
      <c r="AG998" s="13">
        <f>IF(AND($Z998&gt;=10,MOD($Z998,5)=0),$AF998*IF($AA998=12,VLOOKUP($Z998,Paraméterek!$B$225:$F$240,IF($AF998&lt;IF($D$4="Forint",Paraméterek!$C$223,Paraméterek!$C$224),2,IF($AF998&lt;IF($D$4="Forint",Paraméterek!$D$223,Paraméterek!$D$224),3,4))),0),0)</f>
        <v>0</v>
      </c>
      <c r="AH998" s="13">
        <f>IF(AND($Z998&gt;=5,MOD($Z998,5)=0),IF($AA998=12,VLOOKUP($Z998,Paraméterek!$B$225:$F$240,5),0),IF(OR($Z998=3,$Z998=4),IF($AA998=12,VLOOKUP($Z998,Paraméterek!$B$225:$F$240,5,0),0),0))*$AF998</f>
        <v>0</v>
      </c>
      <c r="AI998" s="13">
        <f>ROUNDDOWN(IF(SUM($T$20:$U998)=0,IF($D$2="Egyszeri",$AH998,$AG998),0),IF($D$4="Forint",0,2))</f>
        <v>0</v>
      </c>
      <c r="AJ998" s="13">
        <f t="shared" si="237"/>
        <v>0</v>
      </c>
      <c r="AK998" s="13">
        <f t="shared" si="238"/>
        <v>0</v>
      </c>
      <c r="AM998" s="32">
        <v>979</v>
      </c>
      <c r="AN998" s="32">
        <v>82</v>
      </c>
      <c r="AO998" s="32">
        <v>7</v>
      </c>
      <c r="AP998" s="13"/>
      <c r="AQ998" s="32"/>
      <c r="AR998" s="13">
        <f t="shared" si="239"/>
        <v>0</v>
      </c>
      <c r="AS998" s="33"/>
      <c r="AT998" s="13">
        <f t="shared" si="233"/>
        <v>0</v>
      </c>
      <c r="AU998" s="13">
        <f>ROUNDUP(($AR998+$AT998)*VLOOKUP($AN998,Paraméterek!$P$38:$Q$38,2)/12,IF($D$4="Forint",0,2))</f>
        <v>0</v>
      </c>
      <c r="AV998" s="13"/>
      <c r="AW998" s="13"/>
      <c r="AX998" s="13">
        <f>ROUNDUP(IF(SUM($AV998:$AW998)=0,0,IF(IF(ISBLANK($AW998),$AV998,$AW998)*Paraméterek!$J$112&lt;IF($D$4="Forint",Paraméterek!$J$113,Paraméterek!$K$113),IF($D$4="Forint",Paraméterek!$J$113,Paraméterek!$K$113),IF(IF(ISBLANK($AW998),$AV998,$AW998)*Paraméterek!$J$112&gt;IF($D$4="Forint",Paraméterek!$J$114,Paraméterek!$K$114),IF($D$4="Forint",Paraméterek!$J$114,Paraméterek!$K$114),IF(ISBLANK($AW998),$AV998,$AW998)*Paraméterek!$J$112))),IF($D$4="Forint",0,2))</f>
        <v>0</v>
      </c>
      <c r="AY998" s="13">
        <f>$AR998+$AT998-$AU998-IF(ROUNDDOWN(IF(ISBLANK($AW998),$AV998,$AW998),IF($D$4="Forint",0,2))&gt;$AR998+$AT998-$AU998-IF($D$4="Forint",Paraméterek!$J$114,Paraméterek!$K$114),0,ROUNDDOWN(IF(ISBLANK($AW998),$AV998,$AW998),IF($D$4="Forint",0,2))-$AX998)</f>
        <v>0</v>
      </c>
      <c r="AZ998" s="13">
        <f t="shared" si="234"/>
        <v>0</v>
      </c>
    </row>
    <row r="999" spans="1:52" x14ac:dyDescent="0.2">
      <c r="A999" s="32">
        <v>980</v>
      </c>
      <c r="B999" s="32">
        <v>82</v>
      </c>
      <c r="C999" s="32">
        <v>8</v>
      </c>
      <c r="D999" s="13">
        <f t="shared" si="225"/>
        <v>0</v>
      </c>
      <c r="E999" s="13"/>
      <c r="F999" s="13"/>
      <c r="G999" s="13"/>
      <c r="H999" s="13">
        <f t="shared" si="226"/>
        <v>0</v>
      </c>
      <c r="I999" s="13">
        <f t="shared" si="227"/>
        <v>0</v>
      </c>
      <c r="J999" s="13">
        <f t="shared" si="228"/>
        <v>0</v>
      </c>
      <c r="K999" s="13">
        <f>ROUNDUP(IF($D$2="Egyszeri",$D999,IF($D$2="Havi",SUM($D$20:$D$31),IF(MOD($C999,$M$1)-1=0,SUM($D$20:$D$31),0))/12*$M$1)*VLOOKUP($B999,Paraméterek!$B$27:$D$30,IF($D$2="Egyszeri",3,2)),IF($D$4="Forint",0,2))</f>
        <v>0</v>
      </c>
      <c r="L999" s="13">
        <f t="shared" si="229"/>
        <v>0</v>
      </c>
      <c r="M999" s="13">
        <f t="shared" ca="1" si="235"/>
        <v>-1259333</v>
      </c>
      <c r="N999" s="13">
        <f ca="1">IF($V998&gt;=VLOOKUP($M$4-1+$B999,Paraméterek!$B$121:$D$122,IF($D$4="Forint",2,3)),0,VLOOKUP($M$4-1+$B999,Paraméterek!$B$121:$D$122,IF($D$4="Forint",2,3))-$V998)</f>
        <v>1269333</v>
      </c>
      <c r="O999" s="13">
        <f ca="1">ROUNDUP($N999*Paraméterek!$C$58/Paraméterek!$C$56,IF($D$4="Forint",0,2))</f>
        <v>203</v>
      </c>
      <c r="P999" s="13">
        <f t="shared" si="230"/>
        <v>6029</v>
      </c>
      <c r="Q999" s="33"/>
      <c r="R999" s="13">
        <f t="shared" ca="1" si="231"/>
        <v>0</v>
      </c>
      <c r="S999" s="13">
        <f ca="1">ROUNDUP(($M999-$O999-$P999+$R999)*VLOOKUP($B999,Paraméterek!$B$38:$D$39,IF($D$2="Egyszeri",3,2))/12,IF($D$4="Forint",0,2))</f>
        <v>-3091</v>
      </c>
      <c r="T999" s="13"/>
      <c r="U999" s="13"/>
      <c r="V999" s="13">
        <f ca="1">$M999-$O999-$P999+$R999-$S999-IF(ROUNDUP(IF(ISBLANK($U999),$T999,$U999)/IF(AND($B999=1,$D$2&lt;&gt;"Egyszeri"),1,VLOOKUP($B999+IF($C999=12,1,0),Paraméterek!$B$257:$D$267,IF($D$2="Egyszeri",3,2))),IF($D$4="Forint",0,2))&gt;$M999-$O999-$P999+$R999-$S999-IF($D$4="Forint",Paraméterek!$C$216,Paraméterek!$D$216),0,ROUNDUP(IF(ISBLANK($U999),$T999,$U999)/IF(AND($B999=1,$D$2&lt;&gt;"Egyszeri"),1,VLOOKUP($B999+IF($C999=12,1,0),Paraméterek!$B$257:$D$267,IF($D$2="Egyszeri",3,2))),IF($D$4="Forint",0,2)))</f>
        <v>-1262474</v>
      </c>
      <c r="W999" s="13">
        <f ca="1">ROUNDDOWN($V999*VLOOKUP($B999+IF($C999=12,1,0),Paraméterek!$B$257:$D$267,IF($D$2="Egyszeri",3,2)),IF($D$4="Forint",0,2))</f>
        <v>-1262474</v>
      </c>
      <c r="Y999" s="32">
        <v>980</v>
      </c>
      <c r="Z999" s="32">
        <v>82</v>
      </c>
      <c r="AA999" s="32">
        <v>8</v>
      </c>
      <c r="AB999" s="13">
        <f t="shared" si="236"/>
        <v>0</v>
      </c>
      <c r="AC999" s="33"/>
      <c r="AD999" s="13">
        <f t="shared" si="232"/>
        <v>0</v>
      </c>
      <c r="AE999" s="13">
        <f>ROUNDUP(($AB999+$AD999)*VLOOKUP($Z999,Paraméterek!$P$38:$Q$38,2)/12,IF($D$4="Forint",0,2))</f>
        <v>0</v>
      </c>
      <c r="AF999" s="13">
        <f>IF($D$2="Egyszeri",IF($D$7&gt;=IF($D$4="Forint",Paraméterek!$P$223,Paraméterek!$P$224),$D$7-IF($D$4="Forint",Paraméterek!$F$223,Paraméterek!$F$224),0),MIN(IF($AA999=12,AVERAGE($D$20:$D999)*12,0),SUM($D$20:$D$31)))</f>
        <v>0</v>
      </c>
      <c r="AG999" s="13">
        <f>IF(AND($Z999&gt;=10,MOD($Z999,5)=0),$AF999*IF($AA999=12,VLOOKUP($Z999,Paraméterek!$B$225:$F$240,IF($AF999&lt;IF($D$4="Forint",Paraméterek!$C$223,Paraméterek!$C$224),2,IF($AF999&lt;IF($D$4="Forint",Paraméterek!$D$223,Paraméterek!$D$224),3,4))),0),0)</f>
        <v>0</v>
      </c>
      <c r="AH999" s="13">
        <f>IF(AND($Z999&gt;=5,MOD($Z999,5)=0),IF($AA999=12,VLOOKUP($Z999,Paraméterek!$B$225:$F$240,5),0),IF(OR($Z999=3,$Z999=4),IF($AA999=12,VLOOKUP($Z999,Paraméterek!$B$225:$F$240,5,0),0),0))*$AF999</f>
        <v>0</v>
      </c>
      <c r="AI999" s="13">
        <f>ROUNDDOWN(IF(SUM($T$20:$U999)=0,IF($D$2="Egyszeri",$AH999,$AG999),0),IF($D$4="Forint",0,2))</f>
        <v>0</v>
      </c>
      <c r="AJ999" s="13">
        <f t="shared" si="237"/>
        <v>0</v>
      </c>
      <c r="AK999" s="13">
        <f t="shared" si="238"/>
        <v>0</v>
      </c>
      <c r="AM999" s="32">
        <v>980</v>
      </c>
      <c r="AN999" s="32">
        <v>82</v>
      </c>
      <c r="AO999" s="32">
        <v>8</v>
      </c>
      <c r="AP999" s="13"/>
      <c r="AQ999" s="32"/>
      <c r="AR999" s="13">
        <f t="shared" si="239"/>
        <v>0</v>
      </c>
      <c r="AS999" s="33"/>
      <c r="AT999" s="13">
        <f t="shared" si="233"/>
        <v>0</v>
      </c>
      <c r="AU999" s="13">
        <f>ROUNDUP(($AR999+$AT999)*VLOOKUP($AN999,Paraméterek!$P$38:$Q$38,2)/12,IF($D$4="Forint",0,2))</f>
        <v>0</v>
      </c>
      <c r="AV999" s="13"/>
      <c r="AW999" s="13"/>
      <c r="AX999" s="13">
        <f>ROUNDUP(IF(SUM($AV999:$AW999)=0,0,IF(IF(ISBLANK($AW999),$AV999,$AW999)*Paraméterek!$J$112&lt;IF($D$4="Forint",Paraméterek!$J$113,Paraméterek!$K$113),IF($D$4="Forint",Paraméterek!$J$113,Paraméterek!$K$113),IF(IF(ISBLANK($AW999),$AV999,$AW999)*Paraméterek!$J$112&gt;IF($D$4="Forint",Paraméterek!$J$114,Paraméterek!$K$114),IF($D$4="Forint",Paraméterek!$J$114,Paraméterek!$K$114),IF(ISBLANK($AW999),$AV999,$AW999)*Paraméterek!$J$112))),IF($D$4="Forint",0,2))</f>
        <v>0</v>
      </c>
      <c r="AY999" s="13">
        <f>$AR999+$AT999-$AU999-IF(ROUNDDOWN(IF(ISBLANK($AW999),$AV999,$AW999),IF($D$4="Forint",0,2))&gt;$AR999+$AT999-$AU999-IF($D$4="Forint",Paraméterek!$J$114,Paraméterek!$K$114),0,ROUNDDOWN(IF(ISBLANK($AW999),$AV999,$AW999),IF($D$4="Forint",0,2))-$AX999)</f>
        <v>0</v>
      </c>
      <c r="AZ999" s="13">
        <f t="shared" si="234"/>
        <v>0</v>
      </c>
    </row>
    <row r="1000" spans="1:52" x14ac:dyDescent="0.2">
      <c r="A1000" s="32">
        <v>981</v>
      </c>
      <c r="B1000" s="32">
        <v>82</v>
      </c>
      <c r="C1000" s="32">
        <v>9</v>
      </c>
      <c r="D1000" s="13">
        <f t="shared" si="225"/>
        <v>0</v>
      </c>
      <c r="E1000" s="13"/>
      <c r="F1000" s="13"/>
      <c r="G1000" s="13"/>
      <c r="H1000" s="13">
        <f t="shared" si="226"/>
        <v>0</v>
      </c>
      <c r="I1000" s="13">
        <f t="shared" si="227"/>
        <v>0</v>
      </c>
      <c r="J1000" s="13">
        <f t="shared" si="228"/>
        <v>0</v>
      </c>
      <c r="K1000" s="13">
        <f>ROUNDUP(IF($D$2="Egyszeri",$D1000,IF($D$2="Havi",SUM($D$20:$D$31),IF(MOD($C1000,$M$1)-1=0,SUM($D$20:$D$31),0))/12*$M$1)*VLOOKUP($B1000,Paraméterek!$B$27:$D$30,IF($D$2="Egyszeri",3,2)),IF($D$4="Forint",0,2))</f>
        <v>0</v>
      </c>
      <c r="L1000" s="13">
        <f t="shared" si="229"/>
        <v>0</v>
      </c>
      <c r="M1000" s="13">
        <f t="shared" ca="1" si="235"/>
        <v>-1262474</v>
      </c>
      <c r="N1000" s="13">
        <f ca="1">IF($V999&gt;=VLOOKUP($M$4-1+$B1000,Paraméterek!$B$121:$D$122,IF($D$4="Forint",2,3)),0,VLOOKUP($M$4-1+$B1000,Paraméterek!$B$121:$D$122,IF($D$4="Forint",2,3))-$V999)</f>
        <v>1272474</v>
      </c>
      <c r="O1000" s="13">
        <f ca="1">ROUNDUP($N1000*Paraméterek!$C$58/Paraméterek!$C$56,IF($D$4="Forint",0,2))</f>
        <v>203</v>
      </c>
      <c r="P1000" s="13">
        <f t="shared" si="230"/>
        <v>6029</v>
      </c>
      <c r="Q1000" s="33"/>
      <c r="R1000" s="13">
        <f t="shared" ca="1" si="231"/>
        <v>0</v>
      </c>
      <c r="S1000" s="13">
        <f ca="1">ROUNDUP(($M1000-$O1000-$P1000+$R1000)*VLOOKUP($B1000,Paraméterek!$B$38:$D$39,IF($D$2="Egyszeri",3,2))/12,IF($D$4="Forint",0,2))</f>
        <v>-3098</v>
      </c>
      <c r="T1000" s="13"/>
      <c r="U1000" s="13"/>
      <c r="V1000" s="13">
        <f ca="1">$M1000-$O1000-$P1000+$R1000-$S1000-IF(ROUNDUP(IF(ISBLANK($U1000),$T1000,$U1000)/IF(AND($B1000=1,$D$2&lt;&gt;"Egyszeri"),1,VLOOKUP($B1000+IF($C1000=12,1,0),Paraméterek!$B$257:$D$267,IF($D$2="Egyszeri",3,2))),IF($D$4="Forint",0,2))&gt;$M1000-$O1000-$P1000+$R1000-$S1000-IF($D$4="Forint",Paraméterek!$C$216,Paraméterek!$D$216),0,ROUNDUP(IF(ISBLANK($U1000),$T1000,$U1000)/IF(AND($B1000=1,$D$2&lt;&gt;"Egyszeri"),1,VLOOKUP($B1000+IF($C1000=12,1,0),Paraméterek!$B$257:$D$267,IF($D$2="Egyszeri",3,2))),IF($D$4="Forint",0,2)))</f>
        <v>-1265608</v>
      </c>
      <c r="W1000" s="13">
        <f ca="1">ROUNDDOWN($V1000*VLOOKUP($B1000+IF($C1000=12,1,0),Paraméterek!$B$257:$D$267,IF($D$2="Egyszeri",3,2)),IF($D$4="Forint",0,2))</f>
        <v>-1265608</v>
      </c>
      <c r="Y1000" s="32">
        <v>981</v>
      </c>
      <c r="Z1000" s="32">
        <v>82</v>
      </c>
      <c r="AA1000" s="32">
        <v>9</v>
      </c>
      <c r="AB1000" s="13">
        <f t="shared" si="236"/>
        <v>0</v>
      </c>
      <c r="AC1000" s="33"/>
      <c r="AD1000" s="13">
        <f t="shared" si="232"/>
        <v>0</v>
      </c>
      <c r="AE1000" s="13">
        <f>ROUNDUP(($AB1000+$AD1000)*VLOOKUP($Z1000,Paraméterek!$P$38:$Q$38,2)/12,IF($D$4="Forint",0,2))</f>
        <v>0</v>
      </c>
      <c r="AF1000" s="13">
        <f>IF($D$2="Egyszeri",IF($D$7&gt;=IF($D$4="Forint",Paraméterek!$P$223,Paraméterek!$P$224),$D$7-IF($D$4="Forint",Paraméterek!$F$223,Paraméterek!$F$224),0),MIN(IF($AA1000=12,AVERAGE($D$20:$D1000)*12,0),SUM($D$20:$D$31)))</f>
        <v>0</v>
      </c>
      <c r="AG1000" s="13">
        <f>IF(AND($Z1000&gt;=10,MOD($Z1000,5)=0),$AF1000*IF($AA1000=12,VLOOKUP($Z1000,Paraméterek!$B$225:$F$240,IF($AF1000&lt;IF($D$4="Forint",Paraméterek!$C$223,Paraméterek!$C$224),2,IF($AF1000&lt;IF($D$4="Forint",Paraméterek!$D$223,Paraméterek!$D$224),3,4))),0),0)</f>
        <v>0</v>
      </c>
      <c r="AH1000" s="13">
        <f>IF(AND($Z1000&gt;=5,MOD($Z1000,5)=0),IF($AA1000=12,VLOOKUP($Z1000,Paraméterek!$B$225:$F$240,5),0),IF(OR($Z1000=3,$Z1000=4),IF($AA1000=12,VLOOKUP($Z1000,Paraméterek!$B$225:$F$240,5,0),0),0))*$AF1000</f>
        <v>0</v>
      </c>
      <c r="AI1000" s="13">
        <f>ROUNDDOWN(IF(SUM($T$20:$U1000)=0,IF($D$2="Egyszeri",$AH1000,$AG1000),0),IF($D$4="Forint",0,2))</f>
        <v>0</v>
      </c>
      <c r="AJ1000" s="13">
        <f t="shared" si="237"/>
        <v>0</v>
      </c>
      <c r="AK1000" s="13">
        <f t="shared" si="238"/>
        <v>0</v>
      </c>
      <c r="AM1000" s="32">
        <v>981</v>
      </c>
      <c r="AN1000" s="32">
        <v>82</v>
      </c>
      <c r="AO1000" s="32">
        <v>9</v>
      </c>
      <c r="AP1000" s="13"/>
      <c r="AQ1000" s="32"/>
      <c r="AR1000" s="13">
        <f t="shared" si="239"/>
        <v>0</v>
      </c>
      <c r="AS1000" s="33"/>
      <c r="AT1000" s="13">
        <f t="shared" si="233"/>
        <v>0</v>
      </c>
      <c r="AU1000" s="13">
        <f>ROUNDUP(($AR1000+$AT1000)*VLOOKUP($AN1000,Paraméterek!$P$38:$Q$38,2)/12,IF($D$4="Forint",0,2))</f>
        <v>0</v>
      </c>
      <c r="AV1000" s="13"/>
      <c r="AW1000" s="13"/>
      <c r="AX1000" s="13">
        <f>ROUNDUP(IF(SUM($AV1000:$AW1000)=0,0,IF(IF(ISBLANK($AW1000),$AV1000,$AW1000)*Paraméterek!$J$112&lt;IF($D$4="Forint",Paraméterek!$J$113,Paraméterek!$K$113),IF($D$4="Forint",Paraméterek!$J$113,Paraméterek!$K$113),IF(IF(ISBLANK($AW1000),$AV1000,$AW1000)*Paraméterek!$J$112&gt;IF($D$4="Forint",Paraméterek!$J$114,Paraméterek!$K$114),IF($D$4="Forint",Paraméterek!$J$114,Paraméterek!$K$114),IF(ISBLANK($AW1000),$AV1000,$AW1000)*Paraméterek!$J$112))),IF($D$4="Forint",0,2))</f>
        <v>0</v>
      </c>
      <c r="AY1000" s="13">
        <f>$AR1000+$AT1000-$AU1000-IF(ROUNDDOWN(IF(ISBLANK($AW1000),$AV1000,$AW1000),IF($D$4="Forint",0,2))&gt;$AR1000+$AT1000-$AU1000-IF($D$4="Forint",Paraméterek!$J$114,Paraméterek!$K$114),0,ROUNDDOWN(IF(ISBLANK($AW1000),$AV1000,$AW1000),IF($D$4="Forint",0,2))-$AX1000)</f>
        <v>0</v>
      </c>
      <c r="AZ1000" s="13">
        <f t="shared" si="234"/>
        <v>0</v>
      </c>
    </row>
    <row r="1001" spans="1:52" x14ac:dyDescent="0.2">
      <c r="A1001" s="32">
        <v>982</v>
      </c>
      <c r="B1001" s="32">
        <v>82</v>
      </c>
      <c r="C1001" s="32">
        <v>10</v>
      </c>
      <c r="D1001" s="13">
        <f t="shared" si="225"/>
        <v>0</v>
      </c>
      <c r="E1001" s="13"/>
      <c r="F1001" s="13"/>
      <c r="G1001" s="13"/>
      <c r="H1001" s="13">
        <f t="shared" si="226"/>
        <v>0</v>
      </c>
      <c r="I1001" s="13">
        <f t="shared" si="227"/>
        <v>0</v>
      </c>
      <c r="J1001" s="13">
        <f t="shared" si="228"/>
        <v>0</v>
      </c>
      <c r="K1001" s="13">
        <f>ROUNDUP(IF($D$2="Egyszeri",$D1001,IF($D$2="Havi",SUM($D$20:$D$31),IF(MOD($C1001,$M$1)-1=0,SUM($D$20:$D$31),0))/12*$M$1)*VLOOKUP($B1001,Paraméterek!$B$27:$D$30,IF($D$2="Egyszeri",3,2)),IF($D$4="Forint",0,2))</f>
        <v>0</v>
      </c>
      <c r="L1001" s="13">
        <f t="shared" si="229"/>
        <v>0</v>
      </c>
      <c r="M1001" s="13">
        <f t="shared" ca="1" si="235"/>
        <v>-1265608</v>
      </c>
      <c r="N1001" s="13">
        <f ca="1">IF($V1000&gt;=VLOOKUP($M$4-1+$B1001,Paraméterek!$B$121:$D$122,IF($D$4="Forint",2,3)),0,VLOOKUP($M$4-1+$B1001,Paraméterek!$B$121:$D$122,IF($D$4="Forint",2,3))-$V1000)</f>
        <v>1275608</v>
      </c>
      <c r="O1001" s="13">
        <f ca="1">ROUNDUP($N1001*Paraméterek!$C$58/Paraméterek!$C$56,IF($D$4="Forint",0,2))</f>
        <v>204</v>
      </c>
      <c r="P1001" s="13">
        <f t="shared" si="230"/>
        <v>6029</v>
      </c>
      <c r="Q1001" s="33"/>
      <c r="R1001" s="13">
        <f t="shared" ca="1" si="231"/>
        <v>0</v>
      </c>
      <c r="S1001" s="13">
        <f ca="1">ROUNDUP(($M1001-$O1001-$P1001+$R1001)*VLOOKUP($B1001,Paraméterek!$B$38:$D$39,IF($D$2="Egyszeri",3,2))/12,IF($D$4="Forint",0,2))</f>
        <v>-3106</v>
      </c>
      <c r="T1001" s="13"/>
      <c r="U1001" s="13"/>
      <c r="V1001" s="13">
        <f ca="1">$M1001-$O1001-$P1001+$R1001-$S1001-IF(ROUNDUP(IF(ISBLANK($U1001),$T1001,$U1001)/IF(AND($B1001=1,$D$2&lt;&gt;"Egyszeri"),1,VLOOKUP($B1001+IF($C1001=12,1,0),Paraméterek!$B$257:$D$267,IF($D$2="Egyszeri",3,2))),IF($D$4="Forint",0,2))&gt;$M1001-$O1001-$P1001+$R1001-$S1001-IF($D$4="Forint",Paraméterek!$C$216,Paraméterek!$D$216),0,ROUNDUP(IF(ISBLANK($U1001),$T1001,$U1001)/IF(AND($B1001=1,$D$2&lt;&gt;"Egyszeri"),1,VLOOKUP($B1001+IF($C1001=12,1,0),Paraméterek!$B$257:$D$267,IF($D$2="Egyszeri",3,2))),IF($D$4="Forint",0,2)))</f>
        <v>-1268735</v>
      </c>
      <c r="W1001" s="13">
        <f ca="1">ROUNDDOWN($V1001*VLOOKUP($B1001+IF($C1001=12,1,0),Paraméterek!$B$257:$D$267,IF($D$2="Egyszeri",3,2)),IF($D$4="Forint",0,2))</f>
        <v>-1268735</v>
      </c>
      <c r="Y1001" s="32">
        <v>982</v>
      </c>
      <c r="Z1001" s="32">
        <v>82</v>
      </c>
      <c r="AA1001" s="32">
        <v>10</v>
      </c>
      <c r="AB1001" s="13">
        <f t="shared" si="236"/>
        <v>0</v>
      </c>
      <c r="AC1001" s="33"/>
      <c r="AD1001" s="13">
        <f t="shared" si="232"/>
        <v>0</v>
      </c>
      <c r="AE1001" s="13">
        <f>ROUNDUP(($AB1001+$AD1001)*VLOOKUP($Z1001,Paraméterek!$P$38:$Q$38,2)/12,IF($D$4="Forint",0,2))</f>
        <v>0</v>
      </c>
      <c r="AF1001" s="13">
        <f>IF($D$2="Egyszeri",IF($D$7&gt;=IF($D$4="Forint",Paraméterek!$P$223,Paraméterek!$P$224),$D$7-IF($D$4="Forint",Paraméterek!$F$223,Paraméterek!$F$224),0),MIN(IF($AA1001=12,AVERAGE($D$20:$D1001)*12,0),SUM($D$20:$D$31)))</f>
        <v>0</v>
      </c>
      <c r="AG1001" s="13">
        <f>IF(AND($Z1001&gt;=10,MOD($Z1001,5)=0),$AF1001*IF($AA1001=12,VLOOKUP($Z1001,Paraméterek!$B$225:$F$240,IF($AF1001&lt;IF($D$4="Forint",Paraméterek!$C$223,Paraméterek!$C$224),2,IF($AF1001&lt;IF($D$4="Forint",Paraméterek!$D$223,Paraméterek!$D$224),3,4))),0),0)</f>
        <v>0</v>
      </c>
      <c r="AH1001" s="13">
        <f>IF(AND($Z1001&gt;=5,MOD($Z1001,5)=0),IF($AA1001=12,VLOOKUP($Z1001,Paraméterek!$B$225:$F$240,5),0),IF(OR($Z1001=3,$Z1001=4),IF($AA1001=12,VLOOKUP($Z1001,Paraméterek!$B$225:$F$240,5,0),0),0))*$AF1001</f>
        <v>0</v>
      </c>
      <c r="AI1001" s="13">
        <f>ROUNDDOWN(IF(SUM($T$20:$U1001)=0,IF($D$2="Egyszeri",$AH1001,$AG1001),0),IF($D$4="Forint",0,2))</f>
        <v>0</v>
      </c>
      <c r="AJ1001" s="13">
        <f t="shared" si="237"/>
        <v>0</v>
      </c>
      <c r="AK1001" s="13">
        <f t="shared" si="238"/>
        <v>0</v>
      </c>
      <c r="AM1001" s="32">
        <v>982</v>
      </c>
      <c r="AN1001" s="32">
        <v>82</v>
      </c>
      <c r="AO1001" s="32">
        <v>10</v>
      </c>
      <c r="AP1001" s="13"/>
      <c r="AQ1001" s="32"/>
      <c r="AR1001" s="13">
        <f t="shared" si="239"/>
        <v>0</v>
      </c>
      <c r="AS1001" s="33"/>
      <c r="AT1001" s="13">
        <f t="shared" si="233"/>
        <v>0</v>
      </c>
      <c r="AU1001" s="13">
        <f>ROUNDUP(($AR1001+$AT1001)*VLOOKUP($AN1001,Paraméterek!$P$38:$Q$38,2)/12,IF($D$4="Forint",0,2))</f>
        <v>0</v>
      </c>
      <c r="AV1001" s="13"/>
      <c r="AW1001" s="13"/>
      <c r="AX1001" s="13">
        <f>ROUNDUP(IF(SUM($AV1001:$AW1001)=0,0,IF(IF(ISBLANK($AW1001),$AV1001,$AW1001)*Paraméterek!$J$112&lt;IF($D$4="Forint",Paraméterek!$J$113,Paraméterek!$K$113),IF($D$4="Forint",Paraméterek!$J$113,Paraméterek!$K$113),IF(IF(ISBLANK($AW1001),$AV1001,$AW1001)*Paraméterek!$J$112&gt;IF($D$4="Forint",Paraméterek!$J$114,Paraméterek!$K$114),IF($D$4="Forint",Paraméterek!$J$114,Paraméterek!$K$114),IF(ISBLANK($AW1001),$AV1001,$AW1001)*Paraméterek!$J$112))),IF($D$4="Forint",0,2))</f>
        <v>0</v>
      </c>
      <c r="AY1001" s="13">
        <f>$AR1001+$AT1001-$AU1001-IF(ROUNDDOWN(IF(ISBLANK($AW1001),$AV1001,$AW1001),IF($D$4="Forint",0,2))&gt;$AR1001+$AT1001-$AU1001-IF($D$4="Forint",Paraméterek!$J$114,Paraméterek!$K$114),0,ROUNDDOWN(IF(ISBLANK($AW1001),$AV1001,$AW1001),IF($D$4="Forint",0,2))-$AX1001)</f>
        <v>0</v>
      </c>
      <c r="AZ1001" s="13">
        <f t="shared" si="234"/>
        <v>0</v>
      </c>
    </row>
    <row r="1002" spans="1:52" x14ac:dyDescent="0.2">
      <c r="A1002" s="32">
        <v>983</v>
      </c>
      <c r="B1002" s="32">
        <v>82</v>
      </c>
      <c r="C1002" s="32">
        <v>11</v>
      </c>
      <c r="D1002" s="13">
        <f t="shared" si="225"/>
        <v>0</v>
      </c>
      <c r="E1002" s="13"/>
      <c r="F1002" s="13"/>
      <c r="G1002" s="13"/>
      <c r="H1002" s="13">
        <f t="shared" si="226"/>
        <v>0</v>
      </c>
      <c r="I1002" s="13">
        <f t="shared" si="227"/>
        <v>0</v>
      </c>
      <c r="J1002" s="13">
        <f t="shared" si="228"/>
        <v>0</v>
      </c>
      <c r="K1002" s="13">
        <f>ROUNDUP(IF($D$2="Egyszeri",$D1002,IF($D$2="Havi",SUM($D$20:$D$31),IF(MOD($C1002,$M$1)-1=0,SUM($D$20:$D$31),0))/12*$M$1)*VLOOKUP($B1002,Paraméterek!$B$27:$D$30,IF($D$2="Egyszeri",3,2)),IF($D$4="Forint",0,2))</f>
        <v>0</v>
      </c>
      <c r="L1002" s="13">
        <f t="shared" si="229"/>
        <v>0</v>
      </c>
      <c r="M1002" s="13">
        <f t="shared" ca="1" si="235"/>
        <v>-1268735</v>
      </c>
      <c r="N1002" s="13">
        <f ca="1">IF($V1001&gt;=VLOOKUP($M$4-1+$B1002,Paraméterek!$B$121:$D$122,IF($D$4="Forint",2,3)),0,VLOOKUP($M$4-1+$B1002,Paraméterek!$B$121:$D$122,IF($D$4="Forint",2,3))-$V1001)</f>
        <v>1278735</v>
      </c>
      <c r="O1002" s="13">
        <f ca="1">ROUNDUP($N1002*Paraméterek!$C$58/Paraméterek!$C$56,IF($D$4="Forint",0,2))</f>
        <v>204</v>
      </c>
      <c r="P1002" s="13">
        <f t="shared" si="230"/>
        <v>6029</v>
      </c>
      <c r="Q1002" s="33"/>
      <c r="R1002" s="13">
        <f t="shared" ca="1" si="231"/>
        <v>0</v>
      </c>
      <c r="S1002" s="13">
        <f ca="1">ROUNDUP(($M1002-$O1002-$P1002+$R1002)*VLOOKUP($B1002,Paraméterek!$B$38:$D$39,IF($D$2="Egyszeri",3,2))/12,IF($D$4="Forint",0,2))</f>
        <v>-3114</v>
      </c>
      <c r="T1002" s="13"/>
      <c r="U1002" s="13"/>
      <c r="V1002" s="13">
        <f ca="1">$M1002-$O1002-$P1002+$R1002-$S1002-IF(ROUNDUP(IF(ISBLANK($U1002),$T1002,$U1002)/IF(AND($B1002=1,$D$2&lt;&gt;"Egyszeri"),1,VLOOKUP($B1002+IF($C1002=12,1,0),Paraméterek!$B$257:$D$267,IF($D$2="Egyszeri",3,2))),IF($D$4="Forint",0,2))&gt;$M1002-$O1002-$P1002+$R1002-$S1002-IF($D$4="Forint",Paraméterek!$C$216,Paraméterek!$D$216),0,ROUNDUP(IF(ISBLANK($U1002),$T1002,$U1002)/IF(AND($B1002=1,$D$2&lt;&gt;"Egyszeri"),1,VLOOKUP($B1002+IF($C1002=12,1,0),Paraméterek!$B$257:$D$267,IF($D$2="Egyszeri",3,2))),IF($D$4="Forint",0,2)))</f>
        <v>-1271854</v>
      </c>
      <c r="W1002" s="13">
        <f ca="1">ROUNDDOWN($V1002*VLOOKUP($B1002+IF($C1002=12,1,0),Paraméterek!$B$257:$D$267,IF($D$2="Egyszeri",3,2)),IF($D$4="Forint",0,2))</f>
        <v>-1271854</v>
      </c>
      <c r="Y1002" s="32">
        <v>983</v>
      </c>
      <c r="Z1002" s="32">
        <v>82</v>
      </c>
      <c r="AA1002" s="32">
        <v>11</v>
      </c>
      <c r="AB1002" s="13">
        <f t="shared" si="236"/>
        <v>0</v>
      </c>
      <c r="AC1002" s="33"/>
      <c r="AD1002" s="13">
        <f t="shared" si="232"/>
        <v>0</v>
      </c>
      <c r="AE1002" s="13">
        <f>ROUNDUP(($AB1002+$AD1002)*VLOOKUP($Z1002,Paraméterek!$P$38:$Q$38,2)/12,IF($D$4="Forint",0,2))</f>
        <v>0</v>
      </c>
      <c r="AF1002" s="13">
        <f>IF($D$2="Egyszeri",IF($D$7&gt;=IF($D$4="Forint",Paraméterek!$P$223,Paraméterek!$P$224),$D$7-IF($D$4="Forint",Paraméterek!$F$223,Paraméterek!$F$224),0),MIN(IF($AA1002=12,AVERAGE($D$20:$D1002)*12,0),SUM($D$20:$D$31)))</f>
        <v>0</v>
      </c>
      <c r="AG1002" s="13">
        <f>IF(AND($Z1002&gt;=10,MOD($Z1002,5)=0),$AF1002*IF($AA1002=12,VLOOKUP($Z1002,Paraméterek!$B$225:$F$240,IF($AF1002&lt;IF($D$4="Forint",Paraméterek!$C$223,Paraméterek!$C$224),2,IF($AF1002&lt;IF($D$4="Forint",Paraméterek!$D$223,Paraméterek!$D$224),3,4))),0),0)</f>
        <v>0</v>
      </c>
      <c r="AH1002" s="13">
        <f>IF(AND($Z1002&gt;=5,MOD($Z1002,5)=0),IF($AA1002=12,VLOOKUP($Z1002,Paraméterek!$B$225:$F$240,5),0),IF(OR($Z1002=3,$Z1002=4),IF($AA1002=12,VLOOKUP($Z1002,Paraméterek!$B$225:$F$240,5,0),0),0))*$AF1002</f>
        <v>0</v>
      </c>
      <c r="AI1002" s="13">
        <f>ROUNDDOWN(IF(SUM($T$20:$U1002)=0,IF($D$2="Egyszeri",$AH1002,$AG1002),0),IF($D$4="Forint",0,2))</f>
        <v>0</v>
      </c>
      <c r="AJ1002" s="13">
        <f t="shared" si="237"/>
        <v>0</v>
      </c>
      <c r="AK1002" s="13">
        <f t="shared" si="238"/>
        <v>0</v>
      </c>
      <c r="AM1002" s="32">
        <v>983</v>
      </c>
      <c r="AN1002" s="32">
        <v>82</v>
      </c>
      <c r="AO1002" s="32">
        <v>11</v>
      </c>
      <c r="AP1002" s="13"/>
      <c r="AQ1002" s="32"/>
      <c r="AR1002" s="13">
        <f t="shared" si="239"/>
        <v>0</v>
      </c>
      <c r="AS1002" s="33"/>
      <c r="AT1002" s="13">
        <f t="shared" si="233"/>
        <v>0</v>
      </c>
      <c r="AU1002" s="13">
        <f>ROUNDUP(($AR1002+$AT1002)*VLOOKUP($AN1002,Paraméterek!$P$38:$Q$38,2)/12,IF($D$4="Forint",0,2))</f>
        <v>0</v>
      </c>
      <c r="AV1002" s="13"/>
      <c r="AW1002" s="13"/>
      <c r="AX1002" s="13">
        <f>ROUNDUP(IF(SUM($AV1002:$AW1002)=0,0,IF(IF(ISBLANK($AW1002),$AV1002,$AW1002)*Paraméterek!$J$112&lt;IF($D$4="Forint",Paraméterek!$J$113,Paraméterek!$K$113),IF($D$4="Forint",Paraméterek!$J$113,Paraméterek!$K$113),IF(IF(ISBLANK($AW1002),$AV1002,$AW1002)*Paraméterek!$J$112&gt;IF($D$4="Forint",Paraméterek!$J$114,Paraméterek!$K$114),IF($D$4="Forint",Paraméterek!$J$114,Paraméterek!$K$114),IF(ISBLANK($AW1002),$AV1002,$AW1002)*Paraméterek!$J$112))),IF($D$4="Forint",0,2))</f>
        <v>0</v>
      </c>
      <c r="AY1002" s="13">
        <f>$AR1002+$AT1002-$AU1002-IF(ROUNDDOWN(IF(ISBLANK($AW1002),$AV1002,$AW1002),IF($D$4="Forint",0,2))&gt;$AR1002+$AT1002-$AU1002-IF($D$4="Forint",Paraméterek!$J$114,Paraméterek!$K$114),0,ROUNDDOWN(IF(ISBLANK($AW1002),$AV1002,$AW1002),IF($D$4="Forint",0,2))-$AX1002)</f>
        <v>0</v>
      </c>
      <c r="AZ1002" s="13">
        <f t="shared" si="234"/>
        <v>0</v>
      </c>
    </row>
    <row r="1003" spans="1:52" x14ac:dyDescent="0.2">
      <c r="A1003" s="32">
        <v>984</v>
      </c>
      <c r="B1003" s="32">
        <v>82</v>
      </c>
      <c r="C1003" s="32">
        <v>12</v>
      </c>
      <c r="D1003" s="13">
        <f t="shared" si="225"/>
        <v>0</v>
      </c>
      <c r="E1003" s="13"/>
      <c r="F1003" s="13"/>
      <c r="G1003" s="13"/>
      <c r="H1003" s="13">
        <f t="shared" si="226"/>
        <v>0</v>
      </c>
      <c r="I1003" s="13">
        <f t="shared" si="227"/>
        <v>0</v>
      </c>
      <c r="J1003" s="13">
        <f t="shared" si="228"/>
        <v>0</v>
      </c>
      <c r="K1003" s="13">
        <f>ROUNDUP(IF($D$2="Egyszeri",$D1003,IF($D$2="Havi",SUM($D$20:$D$31),IF(MOD($C1003,$M$1)-1=0,SUM($D$20:$D$31),0))/12*$M$1)*VLOOKUP($B1003,Paraméterek!$B$27:$D$30,IF($D$2="Egyszeri",3,2)),IF($D$4="Forint",0,2))</f>
        <v>0</v>
      </c>
      <c r="L1003" s="13">
        <f t="shared" si="229"/>
        <v>0</v>
      </c>
      <c r="M1003" s="13">
        <f t="shared" ca="1" si="235"/>
        <v>-1271854</v>
      </c>
      <c r="N1003" s="13">
        <f ca="1">IF($V1002&gt;=VLOOKUP($M$4-1+$B1003,Paraméterek!$B$121:$D$122,IF($D$4="Forint",2,3)),0,VLOOKUP($M$4-1+$B1003,Paraméterek!$B$121:$D$122,IF($D$4="Forint",2,3))-$V1002)</f>
        <v>1281854</v>
      </c>
      <c r="O1003" s="13">
        <f ca="1">ROUNDUP($N1003*Paraméterek!$C$58/Paraméterek!$C$56,IF($D$4="Forint",0,2))</f>
        <v>205</v>
      </c>
      <c r="P1003" s="13">
        <f t="shared" si="230"/>
        <v>6029</v>
      </c>
      <c r="Q1003" s="33"/>
      <c r="R1003" s="13">
        <f t="shared" ca="1" si="231"/>
        <v>0</v>
      </c>
      <c r="S1003" s="13">
        <f ca="1">ROUNDUP(($M1003-$O1003-$P1003+$R1003)*VLOOKUP($B1003,Paraméterek!$B$38:$D$39,IF($D$2="Egyszeri",3,2))/12,IF($D$4="Forint",0,2))</f>
        <v>-3121</v>
      </c>
      <c r="T1003" s="13">
        <f>Tranzakciók!$F$113</f>
        <v>0</v>
      </c>
      <c r="U1003" s="13"/>
      <c r="V1003" s="13">
        <f ca="1">$M1003-$O1003-$P1003+$R1003-$S1003-IF(ROUNDUP(IF(ISBLANK($U1003),$T1003,$U1003)/IF(AND($B1003=1,$D$2&lt;&gt;"Egyszeri"),1,VLOOKUP($B1003+IF($C1003=12,1,0),Paraméterek!$B$257:$D$267,IF($D$2="Egyszeri",3,2))),IF($D$4="Forint",0,2))&gt;$M1003-$O1003-$P1003+$R1003-$S1003-IF($D$4="Forint",Paraméterek!$C$216,Paraméterek!$D$216),0,ROUNDUP(IF(ISBLANK($U1003),$T1003,$U1003)/IF(AND($B1003=1,$D$2&lt;&gt;"Egyszeri"),1,VLOOKUP($B1003+IF($C1003=12,1,0),Paraméterek!$B$257:$D$267,IF($D$2="Egyszeri",3,2))),IF($D$4="Forint",0,2)))</f>
        <v>-1274967</v>
      </c>
      <c r="W1003" s="13">
        <f ca="1">ROUNDDOWN($V1003*VLOOKUP($B1003+IF($C1003=12,1,0),Paraméterek!$B$257:$D$267,IF($D$2="Egyszeri",3,2)),IF($D$4="Forint",0,2))</f>
        <v>-1274967</v>
      </c>
      <c r="Y1003" s="32">
        <v>984</v>
      </c>
      <c r="Z1003" s="32">
        <v>82</v>
      </c>
      <c r="AA1003" s="32">
        <v>12</v>
      </c>
      <c r="AB1003" s="13">
        <f t="shared" si="236"/>
        <v>0</v>
      </c>
      <c r="AC1003" s="33"/>
      <c r="AD1003" s="13">
        <f t="shared" si="232"/>
        <v>0</v>
      </c>
      <c r="AE1003" s="13">
        <f>ROUNDUP(($AB1003+$AD1003)*VLOOKUP($Z1003,Paraméterek!$P$38:$Q$38,2)/12,IF($D$4="Forint",0,2))</f>
        <v>0</v>
      </c>
      <c r="AF1003" s="13">
        <f>IF($D$2="Egyszeri",IF($D$7&gt;=IF($D$4="Forint",Paraméterek!$P$223,Paraméterek!$P$224),$D$7-IF($D$4="Forint",Paraméterek!$F$223,Paraméterek!$F$224),0),MIN(IF($AA1003=12,AVERAGE($D$20:$D1003)*12,0),SUM($D$20:$D$31)))</f>
        <v>0</v>
      </c>
      <c r="AG1003" s="13">
        <f>IF(AND($Z1003&gt;=10,MOD($Z1003,5)=0),$AF1003*IF($AA1003=12,VLOOKUP($Z1003,Paraméterek!$B$225:$F$240,IF($AF1003&lt;IF($D$4="Forint",Paraméterek!$C$223,Paraméterek!$C$224),2,IF($AF1003&lt;IF($D$4="Forint",Paraméterek!$D$223,Paraméterek!$D$224),3,4))),0),0)</f>
        <v>0</v>
      </c>
      <c r="AH1003" s="13">
        <f>IF(AND($Z1003&gt;=5,MOD($Z1003,5)=0),IF($AA1003=12,VLOOKUP($Z1003,Paraméterek!$B$225:$F$240,5),0),IF(OR($Z1003=3,$Z1003=4),IF($AA1003=12,VLOOKUP($Z1003,Paraméterek!$B$225:$F$240,5,0),0),0))*$AF1003</f>
        <v>0</v>
      </c>
      <c r="AI1003" s="13">
        <f>ROUNDDOWN(IF(SUM($T$20:$U1003)=0,IF($D$2="Egyszeri",$AH1003,$AG1003),0),IF($D$4="Forint",0,2))</f>
        <v>0</v>
      </c>
      <c r="AJ1003" s="13">
        <f t="shared" si="237"/>
        <v>0</v>
      </c>
      <c r="AK1003" s="13">
        <f t="shared" si="238"/>
        <v>0</v>
      </c>
      <c r="AM1003" s="32">
        <v>984</v>
      </c>
      <c r="AN1003" s="32">
        <v>82</v>
      </c>
      <c r="AO1003" s="32">
        <v>12</v>
      </c>
      <c r="AP1003" s="13"/>
      <c r="AQ1003" s="32"/>
      <c r="AR1003" s="13">
        <f t="shared" si="239"/>
        <v>0</v>
      </c>
      <c r="AS1003" s="33"/>
      <c r="AT1003" s="13">
        <f t="shared" si="233"/>
        <v>0</v>
      </c>
      <c r="AU1003" s="13">
        <f>ROUNDUP(($AR1003+$AT1003)*VLOOKUP($AN1003,Paraméterek!$P$38:$Q$38,2)/12,IF($D$4="Forint",0,2))</f>
        <v>0</v>
      </c>
      <c r="AV1003" s="13">
        <f>Tranzakciók!$M$113</f>
        <v>0</v>
      </c>
      <c r="AW1003" s="13"/>
      <c r="AX1003" s="13">
        <f>ROUNDUP(IF(SUM($AV1003:$AW1003)=0,0,IF(IF(ISBLANK($AW1003),$AV1003,$AW1003)*Paraméterek!$J$112&lt;IF($D$4="Forint",Paraméterek!$J$113,Paraméterek!$K$113),IF($D$4="Forint",Paraméterek!$J$113,Paraméterek!$K$113),IF(IF(ISBLANK($AW1003),$AV1003,$AW1003)*Paraméterek!$J$112&gt;IF($D$4="Forint",Paraméterek!$J$114,Paraméterek!$K$114),IF($D$4="Forint",Paraméterek!$J$114,Paraméterek!$K$114),IF(ISBLANK($AW1003),$AV1003,$AW1003)*Paraméterek!$J$112))),IF($D$4="Forint",0,2))</f>
        <v>0</v>
      </c>
      <c r="AY1003" s="13">
        <f>$AR1003+$AT1003-$AU1003-IF(ROUNDDOWN(IF(ISBLANK($AW1003),$AV1003,$AW1003),IF($D$4="Forint",0,2))&gt;$AR1003+$AT1003-$AU1003-IF($D$4="Forint",Paraméterek!$J$114,Paraméterek!$K$114),0,ROUNDDOWN(IF(ISBLANK($AW1003),$AV1003,$AW1003),IF($D$4="Forint",0,2))-$AX1003)</f>
        <v>0</v>
      </c>
      <c r="AZ1003" s="13">
        <f t="shared" si="234"/>
        <v>0</v>
      </c>
    </row>
    <row r="1004" spans="1:52" x14ac:dyDescent="0.2">
      <c r="A1004" s="32">
        <v>985</v>
      </c>
      <c r="B1004" s="32">
        <v>83</v>
      </c>
      <c r="C1004" s="32">
        <v>1</v>
      </c>
      <c r="D1004" s="13">
        <f t="shared" si="225"/>
        <v>0</v>
      </c>
      <c r="E1004" s="13"/>
      <c r="F1004" s="13">
        <f>Tranzakciók!$D$114</f>
        <v>0</v>
      </c>
      <c r="G1004" s="13"/>
      <c r="H1004" s="13">
        <f t="shared" si="226"/>
        <v>0</v>
      </c>
      <c r="I1004" s="13">
        <f t="shared" si="227"/>
        <v>1129</v>
      </c>
      <c r="J1004" s="13">
        <f t="shared" si="228"/>
        <v>1129</v>
      </c>
      <c r="K1004" s="13">
        <f>ROUNDUP(IF($D$2="Egyszeri",$D1004,IF($D$2="Havi",SUM($D$20:$D$31),IF(MOD($C1004,$M$1)-1=0,SUM($D$20:$D$31),0))/12*$M$1)*VLOOKUP($B1004,Paraméterek!$B$27:$D$30,IF($D$2="Egyszeri",3,2)),IF($D$4="Forint",0,2))</f>
        <v>0</v>
      </c>
      <c r="L1004" s="13">
        <f t="shared" si="229"/>
        <v>0</v>
      </c>
      <c r="M1004" s="13">
        <f t="shared" ca="1" si="235"/>
        <v>-1274967</v>
      </c>
      <c r="N1004" s="13">
        <f ca="1">IF($V1003&gt;=VLOOKUP($M$4-1+$B1004,Paraméterek!$B$121:$D$122,IF($D$4="Forint",2,3)),0,VLOOKUP($M$4-1+$B1004,Paraméterek!$B$121:$D$122,IF($D$4="Forint",2,3))-$V1003)</f>
        <v>1284967</v>
      </c>
      <c r="O1004" s="13">
        <f ca="1">ROUNDUP($N1004*Paraméterek!$C$58/Paraméterek!$C$56,IF($D$4="Forint",0,2))</f>
        <v>205</v>
      </c>
      <c r="P1004" s="13">
        <f t="shared" si="230"/>
        <v>6209</v>
      </c>
      <c r="Q1004" s="33"/>
      <c r="R1004" s="13">
        <f t="shared" ca="1" si="231"/>
        <v>0</v>
      </c>
      <c r="S1004" s="13">
        <f ca="1">ROUNDUP(($M1004-$O1004-$P1004+$R1004)*VLOOKUP($B1004,Paraméterek!$B$38:$D$39,IF($D$2="Egyszeri",3,2))/12,IF($D$4="Forint",0,2))</f>
        <v>-3129</v>
      </c>
      <c r="T1004" s="13"/>
      <c r="U1004" s="13"/>
      <c r="V1004" s="13">
        <f ca="1">$M1004-$O1004-$P1004+$R1004-$S1004-IF(ROUNDUP(IF(ISBLANK($U1004),$T1004,$U1004)/IF(AND($B1004=1,$D$2&lt;&gt;"Egyszeri"),1,VLOOKUP($B1004+IF($C1004=12,1,0),Paraméterek!$B$257:$D$267,IF($D$2="Egyszeri",3,2))),IF($D$4="Forint",0,2))&gt;$M1004-$O1004-$P1004+$R1004-$S1004-IF($D$4="Forint",Paraméterek!$C$216,Paraméterek!$D$216),0,ROUNDUP(IF(ISBLANK($U1004),$T1004,$U1004)/IF(AND($B1004=1,$D$2&lt;&gt;"Egyszeri"),1,VLOOKUP($B1004+IF($C1004=12,1,0),Paraméterek!$B$257:$D$267,IF($D$2="Egyszeri",3,2))),IF($D$4="Forint",0,2)))</f>
        <v>-1278252</v>
      </c>
      <c r="W1004" s="13">
        <f ca="1">ROUNDDOWN($V1004*VLOOKUP($B1004+IF($C1004=12,1,0),Paraméterek!$B$257:$D$267,IF($D$2="Egyszeri",3,2)),IF($D$4="Forint",0,2))</f>
        <v>-1278252</v>
      </c>
      <c r="Y1004" s="32">
        <v>985</v>
      </c>
      <c r="Z1004" s="32">
        <v>83</v>
      </c>
      <c r="AA1004" s="32">
        <v>1</v>
      </c>
      <c r="AB1004" s="13">
        <f t="shared" si="236"/>
        <v>0</v>
      </c>
      <c r="AC1004" s="33"/>
      <c r="AD1004" s="13">
        <f t="shared" si="232"/>
        <v>0</v>
      </c>
      <c r="AE1004" s="13">
        <f>ROUNDUP(($AB1004+$AD1004)*VLOOKUP($Z1004,Paraméterek!$P$38:$Q$38,2)/12,IF($D$4="Forint",0,2))</f>
        <v>0</v>
      </c>
      <c r="AF1004" s="13">
        <f>IF($D$2="Egyszeri",IF($D$7&gt;=IF($D$4="Forint",Paraméterek!$P$223,Paraméterek!$P$224),$D$7-IF($D$4="Forint",Paraméterek!$F$223,Paraméterek!$F$224),0),MIN(IF($AA1004=12,AVERAGE($D$20:$D1004)*12,0),SUM($D$20:$D$31)))</f>
        <v>0</v>
      </c>
      <c r="AG1004" s="13">
        <f>IF(AND($Z1004&gt;=10,MOD($Z1004,5)=0),$AF1004*IF($AA1004=12,VLOOKUP($Z1004,Paraméterek!$B$225:$F$240,IF($AF1004&lt;IF($D$4="Forint",Paraméterek!$C$223,Paraméterek!$C$224),2,IF($AF1004&lt;IF($D$4="Forint",Paraméterek!$D$223,Paraméterek!$D$224),3,4))),0),0)</f>
        <v>0</v>
      </c>
      <c r="AH1004" s="13">
        <f>IF(AND($Z1004&gt;=5,MOD($Z1004,5)=0),IF($AA1004=12,VLOOKUP($Z1004,Paraméterek!$B$225:$F$240,5),0),IF(OR($Z1004=3,$Z1004=4),IF($AA1004=12,VLOOKUP($Z1004,Paraméterek!$B$225:$F$240,5,0),0),0))*$AF1004</f>
        <v>0</v>
      </c>
      <c r="AI1004" s="13">
        <f>ROUNDDOWN(IF(SUM($T$20:$U1004)=0,IF($D$2="Egyszeri",$AH1004,$AG1004),0),IF($D$4="Forint",0,2))</f>
        <v>0</v>
      </c>
      <c r="AJ1004" s="13">
        <f t="shared" si="237"/>
        <v>0</v>
      </c>
      <c r="AK1004" s="13">
        <f t="shared" si="238"/>
        <v>0</v>
      </c>
      <c r="AM1004" s="32">
        <v>985</v>
      </c>
      <c r="AN1004" s="32">
        <v>83</v>
      </c>
      <c r="AO1004" s="32">
        <v>1</v>
      </c>
      <c r="AP1004" s="13">
        <f>Tranzakciók!$K$114</f>
        <v>0</v>
      </c>
      <c r="AQ1004" s="32"/>
      <c r="AR1004" s="13">
        <f t="shared" si="239"/>
        <v>0</v>
      </c>
      <c r="AS1004" s="33"/>
      <c r="AT1004" s="13">
        <f t="shared" si="233"/>
        <v>0</v>
      </c>
      <c r="AU1004" s="13">
        <f>ROUNDUP(($AR1004+$AT1004)*VLOOKUP($AN1004,Paraméterek!$P$38:$Q$38,2)/12,IF($D$4="Forint",0,2))</f>
        <v>0</v>
      </c>
      <c r="AV1004" s="13"/>
      <c r="AW1004" s="13"/>
      <c r="AX1004" s="13">
        <f>ROUNDUP(IF(SUM($AV1004:$AW1004)=0,0,IF(IF(ISBLANK($AW1004),$AV1004,$AW1004)*Paraméterek!$J$112&lt;IF($D$4="Forint",Paraméterek!$J$113,Paraméterek!$K$113),IF($D$4="Forint",Paraméterek!$J$113,Paraméterek!$K$113),IF(IF(ISBLANK($AW1004),$AV1004,$AW1004)*Paraméterek!$J$112&gt;IF($D$4="Forint",Paraméterek!$J$114,Paraméterek!$K$114),IF($D$4="Forint",Paraméterek!$J$114,Paraméterek!$K$114),IF(ISBLANK($AW1004),$AV1004,$AW1004)*Paraméterek!$J$112))),IF($D$4="Forint",0,2))</f>
        <v>0</v>
      </c>
      <c r="AY1004" s="13">
        <f>$AR1004+$AT1004-$AU1004-IF(ROUNDDOWN(IF(ISBLANK($AW1004),$AV1004,$AW1004),IF($D$4="Forint",0,2))&gt;$AR1004+$AT1004-$AU1004-IF($D$4="Forint",Paraméterek!$J$114,Paraméterek!$K$114),0,ROUNDDOWN(IF(ISBLANK($AW1004),$AV1004,$AW1004),IF($D$4="Forint",0,2))-$AX1004)</f>
        <v>0</v>
      </c>
      <c r="AZ1004" s="13">
        <f t="shared" si="234"/>
        <v>0</v>
      </c>
    </row>
    <row r="1005" spans="1:52" x14ac:dyDescent="0.2">
      <c r="A1005" s="32">
        <v>986</v>
      </c>
      <c r="B1005" s="32">
        <v>83</v>
      </c>
      <c r="C1005" s="32">
        <v>2</v>
      </c>
      <c r="D1005" s="13">
        <f t="shared" si="225"/>
        <v>0</v>
      </c>
      <c r="E1005" s="13"/>
      <c r="F1005" s="13"/>
      <c r="G1005" s="13"/>
      <c r="H1005" s="13">
        <f t="shared" si="226"/>
        <v>0</v>
      </c>
      <c r="I1005" s="13">
        <f t="shared" si="227"/>
        <v>0</v>
      </c>
      <c r="J1005" s="13">
        <f t="shared" si="228"/>
        <v>0</v>
      </c>
      <c r="K1005" s="13">
        <f>ROUNDUP(IF($D$2="Egyszeri",$D1005,IF($D$2="Havi",SUM($D$20:$D$31),IF(MOD($C1005,$M$1)-1=0,SUM($D$20:$D$31),0))/12*$M$1)*VLOOKUP($B1005,Paraméterek!$B$27:$D$30,IF($D$2="Egyszeri",3,2)),IF($D$4="Forint",0,2))</f>
        <v>0</v>
      </c>
      <c r="L1005" s="13">
        <f t="shared" si="229"/>
        <v>0</v>
      </c>
      <c r="M1005" s="13">
        <f t="shared" ca="1" si="235"/>
        <v>-1278252</v>
      </c>
      <c r="N1005" s="13">
        <f ca="1">IF($V1004&gt;=VLOOKUP($M$4-1+$B1005,Paraméterek!$B$121:$D$122,IF($D$4="Forint",2,3)),0,VLOOKUP($M$4-1+$B1005,Paraméterek!$B$121:$D$122,IF($D$4="Forint",2,3))-$V1004)</f>
        <v>1288252</v>
      </c>
      <c r="O1005" s="13">
        <f ca="1">ROUNDUP($N1005*Paraméterek!$C$58/Paraméterek!$C$56,IF($D$4="Forint",0,2))</f>
        <v>206</v>
      </c>
      <c r="P1005" s="13">
        <f t="shared" si="230"/>
        <v>6209</v>
      </c>
      <c r="Q1005" s="33"/>
      <c r="R1005" s="13">
        <f t="shared" ca="1" si="231"/>
        <v>0</v>
      </c>
      <c r="S1005" s="13">
        <f ca="1">ROUNDUP(($M1005-$O1005-$P1005+$R1005)*VLOOKUP($B1005,Paraméterek!$B$38:$D$39,IF($D$2="Egyszeri",3,2))/12,IF($D$4="Forint",0,2))</f>
        <v>-3137</v>
      </c>
      <c r="T1005" s="13"/>
      <c r="U1005" s="13"/>
      <c r="V1005" s="13">
        <f ca="1">$M1005-$O1005-$P1005+$R1005-$S1005-IF(ROUNDUP(IF(ISBLANK($U1005),$T1005,$U1005)/IF(AND($B1005=1,$D$2&lt;&gt;"Egyszeri"),1,VLOOKUP($B1005+IF($C1005=12,1,0),Paraméterek!$B$257:$D$267,IF($D$2="Egyszeri",3,2))),IF($D$4="Forint",0,2))&gt;$M1005-$O1005-$P1005+$R1005-$S1005-IF($D$4="Forint",Paraméterek!$C$216,Paraméterek!$D$216),0,ROUNDUP(IF(ISBLANK($U1005),$T1005,$U1005)/IF(AND($B1005=1,$D$2&lt;&gt;"Egyszeri"),1,VLOOKUP($B1005+IF($C1005=12,1,0),Paraméterek!$B$257:$D$267,IF($D$2="Egyszeri",3,2))),IF($D$4="Forint",0,2)))</f>
        <v>-1281530</v>
      </c>
      <c r="W1005" s="13">
        <f ca="1">ROUNDDOWN($V1005*VLOOKUP($B1005+IF($C1005=12,1,0),Paraméterek!$B$257:$D$267,IF($D$2="Egyszeri",3,2)),IF($D$4="Forint",0,2))</f>
        <v>-1281530</v>
      </c>
      <c r="Y1005" s="32">
        <v>986</v>
      </c>
      <c r="Z1005" s="32">
        <v>83</v>
      </c>
      <c r="AA1005" s="32">
        <v>2</v>
      </c>
      <c r="AB1005" s="13">
        <f t="shared" si="236"/>
        <v>0</v>
      </c>
      <c r="AC1005" s="33"/>
      <c r="AD1005" s="13">
        <f t="shared" si="232"/>
        <v>0</v>
      </c>
      <c r="AE1005" s="13">
        <f>ROUNDUP(($AB1005+$AD1005)*VLOOKUP($Z1005,Paraméterek!$P$38:$Q$38,2)/12,IF($D$4="Forint",0,2))</f>
        <v>0</v>
      </c>
      <c r="AF1005" s="13">
        <f>IF($D$2="Egyszeri",IF($D$7&gt;=IF($D$4="Forint",Paraméterek!$P$223,Paraméterek!$P$224),$D$7-IF($D$4="Forint",Paraméterek!$F$223,Paraméterek!$F$224),0),MIN(IF($AA1005=12,AVERAGE($D$20:$D1005)*12,0),SUM($D$20:$D$31)))</f>
        <v>0</v>
      </c>
      <c r="AG1005" s="13">
        <f>IF(AND($Z1005&gt;=10,MOD($Z1005,5)=0),$AF1005*IF($AA1005=12,VLOOKUP($Z1005,Paraméterek!$B$225:$F$240,IF($AF1005&lt;IF($D$4="Forint",Paraméterek!$C$223,Paraméterek!$C$224),2,IF($AF1005&lt;IF($D$4="Forint",Paraméterek!$D$223,Paraméterek!$D$224),3,4))),0),0)</f>
        <v>0</v>
      </c>
      <c r="AH1005" s="13">
        <f>IF(AND($Z1005&gt;=5,MOD($Z1005,5)=0),IF($AA1005=12,VLOOKUP($Z1005,Paraméterek!$B$225:$F$240,5),0),IF(OR($Z1005=3,$Z1005=4),IF($AA1005=12,VLOOKUP($Z1005,Paraméterek!$B$225:$F$240,5,0),0),0))*$AF1005</f>
        <v>0</v>
      </c>
      <c r="AI1005" s="13">
        <f>ROUNDDOWN(IF(SUM($T$20:$U1005)=0,IF($D$2="Egyszeri",$AH1005,$AG1005),0),IF($D$4="Forint",0,2))</f>
        <v>0</v>
      </c>
      <c r="AJ1005" s="13">
        <f t="shared" si="237"/>
        <v>0</v>
      </c>
      <c r="AK1005" s="13">
        <f t="shared" si="238"/>
        <v>0</v>
      </c>
      <c r="AM1005" s="32">
        <v>986</v>
      </c>
      <c r="AN1005" s="32">
        <v>83</v>
      </c>
      <c r="AO1005" s="32">
        <v>2</v>
      </c>
      <c r="AP1005" s="13"/>
      <c r="AQ1005" s="32"/>
      <c r="AR1005" s="13">
        <f t="shared" si="239"/>
        <v>0</v>
      </c>
      <c r="AS1005" s="33"/>
      <c r="AT1005" s="13">
        <f t="shared" si="233"/>
        <v>0</v>
      </c>
      <c r="AU1005" s="13">
        <f>ROUNDUP(($AR1005+$AT1005)*VLOOKUP($AN1005,Paraméterek!$P$38:$Q$38,2)/12,IF($D$4="Forint",0,2))</f>
        <v>0</v>
      </c>
      <c r="AV1005" s="13"/>
      <c r="AW1005" s="13"/>
      <c r="AX1005" s="13">
        <f>ROUNDUP(IF(SUM($AV1005:$AW1005)=0,0,IF(IF(ISBLANK($AW1005),$AV1005,$AW1005)*Paraméterek!$J$112&lt;IF($D$4="Forint",Paraméterek!$J$113,Paraméterek!$K$113),IF($D$4="Forint",Paraméterek!$J$113,Paraméterek!$K$113),IF(IF(ISBLANK($AW1005),$AV1005,$AW1005)*Paraméterek!$J$112&gt;IF($D$4="Forint",Paraméterek!$J$114,Paraméterek!$K$114),IF($D$4="Forint",Paraméterek!$J$114,Paraméterek!$K$114),IF(ISBLANK($AW1005),$AV1005,$AW1005)*Paraméterek!$J$112))),IF($D$4="Forint",0,2))</f>
        <v>0</v>
      </c>
      <c r="AY1005" s="13">
        <f>$AR1005+$AT1005-$AU1005-IF(ROUNDDOWN(IF(ISBLANK($AW1005),$AV1005,$AW1005),IF($D$4="Forint",0,2))&gt;$AR1005+$AT1005-$AU1005-IF($D$4="Forint",Paraméterek!$J$114,Paraméterek!$K$114),0,ROUNDDOWN(IF(ISBLANK($AW1005),$AV1005,$AW1005),IF($D$4="Forint",0,2))-$AX1005)</f>
        <v>0</v>
      </c>
      <c r="AZ1005" s="13">
        <f t="shared" si="234"/>
        <v>0</v>
      </c>
    </row>
    <row r="1006" spans="1:52" x14ac:dyDescent="0.2">
      <c r="A1006" s="32">
        <v>987</v>
      </c>
      <c r="B1006" s="32">
        <v>83</v>
      </c>
      <c r="C1006" s="32">
        <v>3</v>
      </c>
      <c r="D1006" s="13">
        <f t="shared" si="225"/>
        <v>0</v>
      </c>
      <c r="E1006" s="13"/>
      <c r="F1006" s="13"/>
      <c r="G1006" s="13"/>
      <c r="H1006" s="13">
        <f t="shared" si="226"/>
        <v>0</v>
      </c>
      <c r="I1006" s="13">
        <f t="shared" si="227"/>
        <v>0</v>
      </c>
      <c r="J1006" s="13">
        <f t="shared" si="228"/>
        <v>0</v>
      </c>
      <c r="K1006" s="13">
        <f>ROUNDUP(IF($D$2="Egyszeri",$D1006,IF($D$2="Havi",SUM($D$20:$D$31),IF(MOD($C1006,$M$1)-1=0,SUM($D$20:$D$31),0))/12*$M$1)*VLOOKUP($B1006,Paraméterek!$B$27:$D$30,IF($D$2="Egyszeri",3,2)),IF($D$4="Forint",0,2))</f>
        <v>0</v>
      </c>
      <c r="L1006" s="13">
        <f t="shared" si="229"/>
        <v>0</v>
      </c>
      <c r="M1006" s="13">
        <f t="shared" ca="1" si="235"/>
        <v>-1281530</v>
      </c>
      <c r="N1006" s="13">
        <f ca="1">IF($V1005&gt;=VLOOKUP($M$4-1+$B1006,Paraméterek!$B$121:$D$122,IF($D$4="Forint",2,3)),0,VLOOKUP($M$4-1+$B1006,Paraméterek!$B$121:$D$122,IF($D$4="Forint",2,3))-$V1005)</f>
        <v>1291530</v>
      </c>
      <c r="O1006" s="13">
        <f ca="1">ROUNDUP($N1006*Paraméterek!$C$58/Paraméterek!$C$56,IF($D$4="Forint",0,2))</f>
        <v>206</v>
      </c>
      <c r="P1006" s="13">
        <f t="shared" si="230"/>
        <v>6209</v>
      </c>
      <c r="Q1006" s="33"/>
      <c r="R1006" s="13">
        <f t="shared" ca="1" si="231"/>
        <v>0</v>
      </c>
      <c r="S1006" s="13">
        <f ca="1">ROUNDUP(($M1006-$O1006-$P1006+$R1006)*VLOOKUP($B1006,Paraméterek!$B$38:$D$39,IF($D$2="Egyszeri",3,2))/12,IF($D$4="Forint",0,2))</f>
        <v>-3145</v>
      </c>
      <c r="T1006" s="13"/>
      <c r="U1006" s="13"/>
      <c r="V1006" s="13">
        <f ca="1">$M1006-$O1006-$P1006+$R1006-$S1006-IF(ROUNDUP(IF(ISBLANK($U1006),$T1006,$U1006)/IF(AND($B1006=1,$D$2&lt;&gt;"Egyszeri"),1,VLOOKUP($B1006+IF($C1006=12,1,0),Paraméterek!$B$257:$D$267,IF($D$2="Egyszeri",3,2))),IF($D$4="Forint",0,2))&gt;$M1006-$O1006-$P1006+$R1006-$S1006-IF($D$4="Forint",Paraméterek!$C$216,Paraméterek!$D$216),0,ROUNDUP(IF(ISBLANK($U1006),$T1006,$U1006)/IF(AND($B1006=1,$D$2&lt;&gt;"Egyszeri"),1,VLOOKUP($B1006+IF($C1006=12,1,0),Paraméterek!$B$257:$D$267,IF($D$2="Egyszeri",3,2))),IF($D$4="Forint",0,2)))</f>
        <v>-1284800</v>
      </c>
      <c r="W1006" s="13">
        <f ca="1">ROUNDDOWN($V1006*VLOOKUP($B1006+IF($C1006=12,1,0),Paraméterek!$B$257:$D$267,IF($D$2="Egyszeri",3,2)),IF($D$4="Forint",0,2))</f>
        <v>-1284800</v>
      </c>
      <c r="Y1006" s="32">
        <v>987</v>
      </c>
      <c r="Z1006" s="32">
        <v>83</v>
      </c>
      <c r="AA1006" s="32">
        <v>3</v>
      </c>
      <c r="AB1006" s="13">
        <f t="shared" si="236"/>
        <v>0</v>
      </c>
      <c r="AC1006" s="33"/>
      <c r="AD1006" s="13">
        <f t="shared" si="232"/>
        <v>0</v>
      </c>
      <c r="AE1006" s="13">
        <f>ROUNDUP(($AB1006+$AD1006)*VLOOKUP($Z1006,Paraméterek!$P$38:$Q$38,2)/12,IF($D$4="Forint",0,2))</f>
        <v>0</v>
      </c>
      <c r="AF1006" s="13">
        <f>IF($D$2="Egyszeri",IF($D$7&gt;=IF($D$4="Forint",Paraméterek!$P$223,Paraméterek!$P$224),$D$7-IF($D$4="Forint",Paraméterek!$F$223,Paraméterek!$F$224),0),MIN(IF($AA1006=12,AVERAGE($D$20:$D1006)*12,0),SUM($D$20:$D$31)))</f>
        <v>0</v>
      </c>
      <c r="AG1006" s="13">
        <f>IF(AND($Z1006&gt;=10,MOD($Z1006,5)=0),$AF1006*IF($AA1006=12,VLOOKUP($Z1006,Paraméterek!$B$225:$F$240,IF($AF1006&lt;IF($D$4="Forint",Paraméterek!$C$223,Paraméterek!$C$224),2,IF($AF1006&lt;IF($D$4="Forint",Paraméterek!$D$223,Paraméterek!$D$224),3,4))),0),0)</f>
        <v>0</v>
      </c>
      <c r="AH1006" s="13">
        <f>IF(AND($Z1006&gt;=5,MOD($Z1006,5)=0),IF($AA1006=12,VLOOKUP($Z1006,Paraméterek!$B$225:$F$240,5),0),IF(OR($Z1006=3,$Z1006=4),IF($AA1006=12,VLOOKUP($Z1006,Paraméterek!$B$225:$F$240,5,0),0),0))*$AF1006</f>
        <v>0</v>
      </c>
      <c r="AI1006" s="13">
        <f>ROUNDDOWN(IF(SUM($T$20:$U1006)=0,IF($D$2="Egyszeri",$AH1006,$AG1006),0),IF($D$4="Forint",0,2))</f>
        <v>0</v>
      </c>
      <c r="AJ1006" s="13">
        <f t="shared" si="237"/>
        <v>0</v>
      </c>
      <c r="AK1006" s="13">
        <f t="shared" si="238"/>
        <v>0</v>
      </c>
      <c r="AM1006" s="32">
        <v>987</v>
      </c>
      <c r="AN1006" s="32">
        <v>83</v>
      </c>
      <c r="AO1006" s="32">
        <v>3</v>
      </c>
      <c r="AP1006" s="13"/>
      <c r="AQ1006" s="32"/>
      <c r="AR1006" s="13">
        <f t="shared" si="239"/>
        <v>0</v>
      </c>
      <c r="AS1006" s="33"/>
      <c r="AT1006" s="13">
        <f t="shared" si="233"/>
        <v>0</v>
      </c>
      <c r="AU1006" s="13">
        <f>ROUNDUP(($AR1006+$AT1006)*VLOOKUP($AN1006,Paraméterek!$P$38:$Q$38,2)/12,IF($D$4="Forint",0,2))</f>
        <v>0</v>
      </c>
      <c r="AV1006" s="13"/>
      <c r="AW1006" s="13"/>
      <c r="AX1006" s="13">
        <f>ROUNDUP(IF(SUM($AV1006:$AW1006)=0,0,IF(IF(ISBLANK($AW1006),$AV1006,$AW1006)*Paraméterek!$J$112&lt;IF($D$4="Forint",Paraméterek!$J$113,Paraméterek!$K$113),IF($D$4="Forint",Paraméterek!$J$113,Paraméterek!$K$113),IF(IF(ISBLANK($AW1006),$AV1006,$AW1006)*Paraméterek!$J$112&gt;IF($D$4="Forint",Paraméterek!$J$114,Paraméterek!$K$114),IF($D$4="Forint",Paraméterek!$J$114,Paraméterek!$K$114),IF(ISBLANK($AW1006),$AV1006,$AW1006)*Paraméterek!$J$112))),IF($D$4="Forint",0,2))</f>
        <v>0</v>
      </c>
      <c r="AY1006" s="13">
        <f>$AR1006+$AT1006-$AU1006-IF(ROUNDDOWN(IF(ISBLANK($AW1006),$AV1006,$AW1006),IF($D$4="Forint",0,2))&gt;$AR1006+$AT1006-$AU1006-IF($D$4="Forint",Paraméterek!$J$114,Paraméterek!$K$114),0,ROUNDDOWN(IF(ISBLANK($AW1006),$AV1006,$AW1006),IF($D$4="Forint",0,2))-$AX1006)</f>
        <v>0</v>
      </c>
      <c r="AZ1006" s="13">
        <f t="shared" si="234"/>
        <v>0</v>
      </c>
    </row>
    <row r="1007" spans="1:52" x14ac:dyDescent="0.2">
      <c r="A1007" s="32">
        <v>988</v>
      </c>
      <c r="B1007" s="32">
        <v>83</v>
      </c>
      <c r="C1007" s="32">
        <v>4</v>
      </c>
      <c r="D1007" s="13">
        <f t="shared" si="225"/>
        <v>0</v>
      </c>
      <c r="E1007" s="13"/>
      <c r="F1007" s="13"/>
      <c r="G1007" s="13"/>
      <c r="H1007" s="13">
        <f t="shared" si="226"/>
        <v>0</v>
      </c>
      <c r="I1007" s="13">
        <f t="shared" si="227"/>
        <v>0</v>
      </c>
      <c r="J1007" s="13">
        <f t="shared" si="228"/>
        <v>0</v>
      </c>
      <c r="K1007" s="13">
        <f>ROUNDUP(IF($D$2="Egyszeri",$D1007,IF($D$2="Havi",SUM($D$20:$D$31),IF(MOD($C1007,$M$1)-1=0,SUM($D$20:$D$31),0))/12*$M$1)*VLOOKUP($B1007,Paraméterek!$B$27:$D$30,IF($D$2="Egyszeri",3,2)),IF($D$4="Forint",0,2))</f>
        <v>0</v>
      </c>
      <c r="L1007" s="13">
        <f t="shared" si="229"/>
        <v>0</v>
      </c>
      <c r="M1007" s="13">
        <f t="shared" ca="1" si="235"/>
        <v>-1284800</v>
      </c>
      <c r="N1007" s="13">
        <f ca="1">IF($V1006&gt;=VLOOKUP($M$4-1+$B1007,Paraméterek!$B$121:$D$122,IF($D$4="Forint",2,3)),0,VLOOKUP($M$4-1+$B1007,Paraméterek!$B$121:$D$122,IF($D$4="Forint",2,3))-$V1006)</f>
        <v>1294800</v>
      </c>
      <c r="O1007" s="13">
        <f ca="1">ROUNDUP($N1007*Paraméterek!$C$58/Paraméterek!$C$56,IF($D$4="Forint",0,2))</f>
        <v>207</v>
      </c>
      <c r="P1007" s="13">
        <f t="shared" si="230"/>
        <v>6209</v>
      </c>
      <c r="Q1007" s="33"/>
      <c r="R1007" s="13">
        <f t="shared" ca="1" si="231"/>
        <v>0</v>
      </c>
      <c r="S1007" s="13">
        <f ca="1">ROUNDUP(($M1007-$O1007-$P1007+$R1007)*VLOOKUP($B1007,Paraméterek!$B$38:$D$39,IF($D$2="Egyszeri",3,2))/12,IF($D$4="Forint",0,2))</f>
        <v>-3153</v>
      </c>
      <c r="T1007" s="13"/>
      <c r="U1007" s="13"/>
      <c r="V1007" s="13">
        <f ca="1">$M1007-$O1007-$P1007+$R1007-$S1007-IF(ROUNDUP(IF(ISBLANK($U1007),$T1007,$U1007)/IF(AND($B1007=1,$D$2&lt;&gt;"Egyszeri"),1,VLOOKUP($B1007+IF($C1007=12,1,0),Paraméterek!$B$257:$D$267,IF($D$2="Egyszeri",3,2))),IF($D$4="Forint",0,2))&gt;$M1007-$O1007-$P1007+$R1007-$S1007-IF($D$4="Forint",Paraméterek!$C$216,Paraméterek!$D$216),0,ROUNDUP(IF(ISBLANK($U1007),$T1007,$U1007)/IF(AND($B1007=1,$D$2&lt;&gt;"Egyszeri"),1,VLOOKUP($B1007+IF($C1007=12,1,0),Paraméterek!$B$257:$D$267,IF($D$2="Egyszeri",3,2))),IF($D$4="Forint",0,2)))</f>
        <v>-1288063</v>
      </c>
      <c r="W1007" s="13">
        <f ca="1">ROUNDDOWN($V1007*VLOOKUP($B1007+IF($C1007=12,1,0),Paraméterek!$B$257:$D$267,IF($D$2="Egyszeri",3,2)),IF($D$4="Forint",0,2))</f>
        <v>-1288063</v>
      </c>
      <c r="Y1007" s="32">
        <v>988</v>
      </c>
      <c r="Z1007" s="32">
        <v>83</v>
      </c>
      <c r="AA1007" s="32">
        <v>4</v>
      </c>
      <c r="AB1007" s="13">
        <f t="shared" si="236"/>
        <v>0</v>
      </c>
      <c r="AC1007" s="33"/>
      <c r="AD1007" s="13">
        <f t="shared" si="232"/>
        <v>0</v>
      </c>
      <c r="AE1007" s="13">
        <f>ROUNDUP(($AB1007+$AD1007)*VLOOKUP($Z1007,Paraméterek!$P$38:$Q$38,2)/12,IF($D$4="Forint",0,2))</f>
        <v>0</v>
      </c>
      <c r="AF1007" s="13">
        <f>IF($D$2="Egyszeri",IF($D$7&gt;=IF($D$4="Forint",Paraméterek!$P$223,Paraméterek!$P$224),$D$7-IF($D$4="Forint",Paraméterek!$F$223,Paraméterek!$F$224),0),MIN(IF($AA1007=12,AVERAGE($D$20:$D1007)*12,0),SUM($D$20:$D$31)))</f>
        <v>0</v>
      </c>
      <c r="AG1007" s="13">
        <f>IF(AND($Z1007&gt;=10,MOD($Z1007,5)=0),$AF1007*IF($AA1007=12,VLOOKUP($Z1007,Paraméterek!$B$225:$F$240,IF($AF1007&lt;IF($D$4="Forint",Paraméterek!$C$223,Paraméterek!$C$224),2,IF($AF1007&lt;IF($D$4="Forint",Paraméterek!$D$223,Paraméterek!$D$224),3,4))),0),0)</f>
        <v>0</v>
      </c>
      <c r="AH1007" s="13">
        <f>IF(AND($Z1007&gt;=5,MOD($Z1007,5)=0),IF($AA1007=12,VLOOKUP($Z1007,Paraméterek!$B$225:$F$240,5),0),IF(OR($Z1007=3,$Z1007=4),IF($AA1007=12,VLOOKUP($Z1007,Paraméterek!$B$225:$F$240,5,0),0),0))*$AF1007</f>
        <v>0</v>
      </c>
      <c r="AI1007" s="13">
        <f>ROUNDDOWN(IF(SUM($T$20:$U1007)=0,IF($D$2="Egyszeri",$AH1007,$AG1007),0),IF($D$4="Forint",0,2))</f>
        <v>0</v>
      </c>
      <c r="AJ1007" s="13">
        <f t="shared" si="237"/>
        <v>0</v>
      </c>
      <c r="AK1007" s="13">
        <f t="shared" si="238"/>
        <v>0</v>
      </c>
      <c r="AM1007" s="32">
        <v>988</v>
      </c>
      <c r="AN1007" s="32">
        <v>83</v>
      </c>
      <c r="AO1007" s="32">
        <v>4</v>
      </c>
      <c r="AP1007" s="13"/>
      <c r="AQ1007" s="32"/>
      <c r="AR1007" s="13">
        <f t="shared" si="239"/>
        <v>0</v>
      </c>
      <c r="AS1007" s="33"/>
      <c r="AT1007" s="13">
        <f t="shared" si="233"/>
        <v>0</v>
      </c>
      <c r="AU1007" s="13">
        <f>ROUNDUP(($AR1007+$AT1007)*VLOOKUP($AN1007,Paraméterek!$P$38:$Q$38,2)/12,IF($D$4="Forint",0,2))</f>
        <v>0</v>
      </c>
      <c r="AV1007" s="13"/>
      <c r="AW1007" s="13"/>
      <c r="AX1007" s="13">
        <f>ROUNDUP(IF(SUM($AV1007:$AW1007)=0,0,IF(IF(ISBLANK($AW1007),$AV1007,$AW1007)*Paraméterek!$J$112&lt;IF($D$4="Forint",Paraméterek!$J$113,Paraméterek!$K$113),IF($D$4="Forint",Paraméterek!$J$113,Paraméterek!$K$113),IF(IF(ISBLANK($AW1007),$AV1007,$AW1007)*Paraméterek!$J$112&gt;IF($D$4="Forint",Paraméterek!$J$114,Paraméterek!$K$114),IF($D$4="Forint",Paraméterek!$J$114,Paraméterek!$K$114),IF(ISBLANK($AW1007),$AV1007,$AW1007)*Paraméterek!$J$112))),IF($D$4="Forint",0,2))</f>
        <v>0</v>
      </c>
      <c r="AY1007" s="13">
        <f>$AR1007+$AT1007-$AU1007-IF(ROUNDDOWN(IF(ISBLANK($AW1007),$AV1007,$AW1007),IF($D$4="Forint",0,2))&gt;$AR1007+$AT1007-$AU1007-IF($D$4="Forint",Paraméterek!$J$114,Paraméterek!$K$114),0,ROUNDDOWN(IF(ISBLANK($AW1007),$AV1007,$AW1007),IF($D$4="Forint",0,2))-$AX1007)</f>
        <v>0</v>
      </c>
      <c r="AZ1007" s="13">
        <f t="shared" si="234"/>
        <v>0</v>
      </c>
    </row>
    <row r="1008" spans="1:52" x14ac:dyDescent="0.2">
      <c r="A1008" s="32">
        <v>989</v>
      </c>
      <c r="B1008" s="32">
        <v>83</v>
      </c>
      <c r="C1008" s="32">
        <v>5</v>
      </c>
      <c r="D1008" s="13">
        <f t="shared" si="225"/>
        <v>0</v>
      </c>
      <c r="E1008" s="13"/>
      <c r="F1008" s="13"/>
      <c r="G1008" s="13"/>
      <c r="H1008" s="13">
        <f t="shared" si="226"/>
        <v>0</v>
      </c>
      <c r="I1008" s="13">
        <f t="shared" si="227"/>
        <v>0</v>
      </c>
      <c r="J1008" s="13">
        <f t="shared" si="228"/>
        <v>0</v>
      </c>
      <c r="K1008" s="13">
        <f>ROUNDUP(IF($D$2="Egyszeri",$D1008,IF($D$2="Havi",SUM($D$20:$D$31),IF(MOD($C1008,$M$1)-1=0,SUM($D$20:$D$31),0))/12*$M$1)*VLOOKUP($B1008,Paraméterek!$B$27:$D$30,IF($D$2="Egyszeri",3,2)),IF($D$4="Forint",0,2))</f>
        <v>0</v>
      </c>
      <c r="L1008" s="13">
        <f t="shared" si="229"/>
        <v>0</v>
      </c>
      <c r="M1008" s="13">
        <f t="shared" ca="1" si="235"/>
        <v>-1288063</v>
      </c>
      <c r="N1008" s="13">
        <f ca="1">IF($V1007&gt;=VLOOKUP($M$4-1+$B1008,Paraméterek!$B$121:$D$122,IF($D$4="Forint",2,3)),0,VLOOKUP($M$4-1+$B1008,Paraméterek!$B$121:$D$122,IF($D$4="Forint",2,3))-$V1007)</f>
        <v>1298063</v>
      </c>
      <c r="O1008" s="13">
        <f ca="1">ROUNDUP($N1008*Paraméterek!$C$58/Paraméterek!$C$56,IF($D$4="Forint",0,2))</f>
        <v>207</v>
      </c>
      <c r="P1008" s="13">
        <f t="shared" si="230"/>
        <v>6209</v>
      </c>
      <c r="Q1008" s="33"/>
      <c r="R1008" s="13">
        <f t="shared" ca="1" si="231"/>
        <v>0</v>
      </c>
      <c r="S1008" s="13">
        <f ca="1">ROUNDUP(($M1008-$O1008-$P1008+$R1008)*VLOOKUP($B1008,Paraméterek!$B$38:$D$39,IF($D$2="Egyszeri",3,2))/12,IF($D$4="Forint",0,2))</f>
        <v>-3161</v>
      </c>
      <c r="T1008" s="13"/>
      <c r="U1008" s="13"/>
      <c r="V1008" s="13">
        <f ca="1">$M1008-$O1008-$P1008+$R1008-$S1008-IF(ROUNDUP(IF(ISBLANK($U1008),$T1008,$U1008)/IF(AND($B1008=1,$D$2&lt;&gt;"Egyszeri"),1,VLOOKUP($B1008+IF($C1008=12,1,0),Paraméterek!$B$257:$D$267,IF($D$2="Egyszeri",3,2))),IF($D$4="Forint",0,2))&gt;$M1008-$O1008-$P1008+$R1008-$S1008-IF($D$4="Forint",Paraméterek!$C$216,Paraméterek!$D$216),0,ROUNDUP(IF(ISBLANK($U1008),$T1008,$U1008)/IF(AND($B1008=1,$D$2&lt;&gt;"Egyszeri"),1,VLOOKUP($B1008+IF($C1008=12,1,0),Paraméterek!$B$257:$D$267,IF($D$2="Egyszeri",3,2))),IF($D$4="Forint",0,2)))</f>
        <v>-1291318</v>
      </c>
      <c r="W1008" s="13">
        <f ca="1">ROUNDDOWN($V1008*VLOOKUP($B1008+IF($C1008=12,1,0),Paraméterek!$B$257:$D$267,IF($D$2="Egyszeri",3,2)),IF($D$4="Forint",0,2))</f>
        <v>-1291318</v>
      </c>
      <c r="Y1008" s="32">
        <v>989</v>
      </c>
      <c r="Z1008" s="32">
        <v>83</v>
      </c>
      <c r="AA1008" s="32">
        <v>5</v>
      </c>
      <c r="AB1008" s="13">
        <f t="shared" si="236"/>
        <v>0</v>
      </c>
      <c r="AC1008" s="33"/>
      <c r="AD1008" s="13">
        <f t="shared" si="232"/>
        <v>0</v>
      </c>
      <c r="AE1008" s="13">
        <f>ROUNDUP(($AB1008+$AD1008)*VLOOKUP($Z1008,Paraméterek!$P$38:$Q$38,2)/12,IF($D$4="Forint",0,2))</f>
        <v>0</v>
      </c>
      <c r="AF1008" s="13">
        <f>IF($D$2="Egyszeri",IF($D$7&gt;=IF($D$4="Forint",Paraméterek!$P$223,Paraméterek!$P$224),$D$7-IF($D$4="Forint",Paraméterek!$F$223,Paraméterek!$F$224),0),MIN(IF($AA1008=12,AVERAGE($D$20:$D1008)*12,0),SUM($D$20:$D$31)))</f>
        <v>0</v>
      </c>
      <c r="AG1008" s="13">
        <f>IF(AND($Z1008&gt;=10,MOD($Z1008,5)=0),$AF1008*IF($AA1008=12,VLOOKUP($Z1008,Paraméterek!$B$225:$F$240,IF($AF1008&lt;IF($D$4="Forint",Paraméterek!$C$223,Paraméterek!$C$224),2,IF($AF1008&lt;IF($D$4="Forint",Paraméterek!$D$223,Paraméterek!$D$224),3,4))),0),0)</f>
        <v>0</v>
      </c>
      <c r="AH1008" s="13">
        <f>IF(AND($Z1008&gt;=5,MOD($Z1008,5)=0),IF($AA1008=12,VLOOKUP($Z1008,Paraméterek!$B$225:$F$240,5),0),IF(OR($Z1008=3,$Z1008=4),IF($AA1008=12,VLOOKUP($Z1008,Paraméterek!$B$225:$F$240,5,0),0),0))*$AF1008</f>
        <v>0</v>
      </c>
      <c r="AI1008" s="13">
        <f>ROUNDDOWN(IF(SUM($T$20:$U1008)=0,IF($D$2="Egyszeri",$AH1008,$AG1008),0),IF($D$4="Forint",0,2))</f>
        <v>0</v>
      </c>
      <c r="AJ1008" s="13">
        <f t="shared" si="237"/>
        <v>0</v>
      </c>
      <c r="AK1008" s="13">
        <f t="shared" si="238"/>
        <v>0</v>
      </c>
      <c r="AM1008" s="32">
        <v>989</v>
      </c>
      <c r="AN1008" s="32">
        <v>83</v>
      </c>
      <c r="AO1008" s="32">
        <v>5</v>
      </c>
      <c r="AP1008" s="13"/>
      <c r="AQ1008" s="32"/>
      <c r="AR1008" s="13">
        <f t="shared" si="239"/>
        <v>0</v>
      </c>
      <c r="AS1008" s="33"/>
      <c r="AT1008" s="13">
        <f t="shared" si="233"/>
        <v>0</v>
      </c>
      <c r="AU1008" s="13">
        <f>ROUNDUP(($AR1008+$AT1008)*VLOOKUP($AN1008,Paraméterek!$P$38:$Q$38,2)/12,IF($D$4="Forint",0,2))</f>
        <v>0</v>
      </c>
      <c r="AV1008" s="13"/>
      <c r="AW1008" s="13"/>
      <c r="AX1008" s="13">
        <f>ROUNDUP(IF(SUM($AV1008:$AW1008)=0,0,IF(IF(ISBLANK($AW1008),$AV1008,$AW1008)*Paraméterek!$J$112&lt;IF($D$4="Forint",Paraméterek!$J$113,Paraméterek!$K$113),IF($D$4="Forint",Paraméterek!$J$113,Paraméterek!$K$113),IF(IF(ISBLANK($AW1008),$AV1008,$AW1008)*Paraméterek!$J$112&gt;IF($D$4="Forint",Paraméterek!$J$114,Paraméterek!$K$114),IF($D$4="Forint",Paraméterek!$J$114,Paraméterek!$K$114),IF(ISBLANK($AW1008),$AV1008,$AW1008)*Paraméterek!$J$112))),IF($D$4="Forint",0,2))</f>
        <v>0</v>
      </c>
      <c r="AY1008" s="13">
        <f>$AR1008+$AT1008-$AU1008-IF(ROUNDDOWN(IF(ISBLANK($AW1008),$AV1008,$AW1008),IF($D$4="Forint",0,2))&gt;$AR1008+$AT1008-$AU1008-IF($D$4="Forint",Paraméterek!$J$114,Paraméterek!$K$114),0,ROUNDDOWN(IF(ISBLANK($AW1008),$AV1008,$AW1008),IF($D$4="Forint",0,2))-$AX1008)</f>
        <v>0</v>
      </c>
      <c r="AZ1008" s="13">
        <f t="shared" si="234"/>
        <v>0</v>
      </c>
    </row>
    <row r="1009" spans="1:52" x14ac:dyDescent="0.2">
      <c r="A1009" s="32">
        <v>990</v>
      </c>
      <c r="B1009" s="32">
        <v>83</v>
      </c>
      <c r="C1009" s="32">
        <v>6</v>
      </c>
      <c r="D1009" s="13">
        <f t="shared" si="225"/>
        <v>0</v>
      </c>
      <c r="E1009" s="13"/>
      <c r="F1009" s="13"/>
      <c r="G1009" s="13"/>
      <c r="H1009" s="13">
        <f t="shared" si="226"/>
        <v>0</v>
      </c>
      <c r="I1009" s="13">
        <f t="shared" si="227"/>
        <v>0</v>
      </c>
      <c r="J1009" s="13">
        <f t="shared" si="228"/>
        <v>0</v>
      </c>
      <c r="K1009" s="13">
        <f>ROUNDUP(IF($D$2="Egyszeri",$D1009,IF($D$2="Havi",SUM($D$20:$D$31),IF(MOD($C1009,$M$1)-1=0,SUM($D$20:$D$31),0))/12*$M$1)*VLOOKUP($B1009,Paraméterek!$B$27:$D$30,IF($D$2="Egyszeri",3,2)),IF($D$4="Forint",0,2))</f>
        <v>0</v>
      </c>
      <c r="L1009" s="13">
        <f t="shared" si="229"/>
        <v>0</v>
      </c>
      <c r="M1009" s="13">
        <f t="shared" ca="1" si="235"/>
        <v>-1291318</v>
      </c>
      <c r="N1009" s="13">
        <f ca="1">IF($V1008&gt;=VLOOKUP($M$4-1+$B1009,Paraméterek!$B$121:$D$122,IF($D$4="Forint",2,3)),0,VLOOKUP($M$4-1+$B1009,Paraméterek!$B$121:$D$122,IF($D$4="Forint",2,3))-$V1008)</f>
        <v>1301318</v>
      </c>
      <c r="O1009" s="13">
        <f ca="1">ROUNDUP($N1009*Paraméterek!$C$58/Paraméterek!$C$56,IF($D$4="Forint",0,2))</f>
        <v>208</v>
      </c>
      <c r="P1009" s="13">
        <f t="shared" si="230"/>
        <v>6209</v>
      </c>
      <c r="Q1009" s="33"/>
      <c r="R1009" s="13">
        <f t="shared" ca="1" si="231"/>
        <v>0</v>
      </c>
      <c r="S1009" s="13">
        <f ca="1">ROUNDUP(($M1009-$O1009-$P1009+$R1009)*VLOOKUP($B1009,Paraméterek!$B$38:$D$39,IF($D$2="Egyszeri",3,2))/12,IF($D$4="Forint",0,2))</f>
        <v>-3169</v>
      </c>
      <c r="T1009" s="13"/>
      <c r="U1009" s="13"/>
      <c r="V1009" s="13">
        <f ca="1">$M1009-$O1009-$P1009+$R1009-$S1009-IF(ROUNDUP(IF(ISBLANK($U1009),$T1009,$U1009)/IF(AND($B1009=1,$D$2&lt;&gt;"Egyszeri"),1,VLOOKUP($B1009+IF($C1009=12,1,0),Paraméterek!$B$257:$D$267,IF($D$2="Egyszeri",3,2))),IF($D$4="Forint",0,2))&gt;$M1009-$O1009-$P1009+$R1009-$S1009-IF($D$4="Forint",Paraméterek!$C$216,Paraméterek!$D$216),0,ROUNDUP(IF(ISBLANK($U1009),$T1009,$U1009)/IF(AND($B1009=1,$D$2&lt;&gt;"Egyszeri"),1,VLOOKUP($B1009+IF($C1009=12,1,0),Paraméterek!$B$257:$D$267,IF($D$2="Egyszeri",3,2))),IF($D$4="Forint",0,2)))</f>
        <v>-1294566</v>
      </c>
      <c r="W1009" s="13">
        <f ca="1">ROUNDDOWN($V1009*VLOOKUP($B1009+IF($C1009=12,1,0),Paraméterek!$B$257:$D$267,IF($D$2="Egyszeri",3,2)),IF($D$4="Forint",0,2))</f>
        <v>-1294566</v>
      </c>
      <c r="Y1009" s="32">
        <v>990</v>
      </c>
      <c r="Z1009" s="32">
        <v>83</v>
      </c>
      <c r="AA1009" s="32">
        <v>6</v>
      </c>
      <c r="AB1009" s="13">
        <f t="shared" si="236"/>
        <v>0</v>
      </c>
      <c r="AC1009" s="33"/>
      <c r="AD1009" s="13">
        <f t="shared" si="232"/>
        <v>0</v>
      </c>
      <c r="AE1009" s="13">
        <f>ROUNDUP(($AB1009+$AD1009)*VLOOKUP($Z1009,Paraméterek!$P$38:$Q$38,2)/12,IF($D$4="Forint",0,2))</f>
        <v>0</v>
      </c>
      <c r="AF1009" s="13">
        <f>IF($D$2="Egyszeri",IF($D$7&gt;=IF($D$4="Forint",Paraméterek!$P$223,Paraméterek!$P$224),$D$7-IF($D$4="Forint",Paraméterek!$F$223,Paraméterek!$F$224),0),MIN(IF($AA1009=12,AVERAGE($D$20:$D1009)*12,0),SUM($D$20:$D$31)))</f>
        <v>0</v>
      </c>
      <c r="AG1009" s="13">
        <f>IF(AND($Z1009&gt;=10,MOD($Z1009,5)=0),$AF1009*IF($AA1009=12,VLOOKUP($Z1009,Paraméterek!$B$225:$F$240,IF($AF1009&lt;IF($D$4="Forint",Paraméterek!$C$223,Paraméterek!$C$224),2,IF($AF1009&lt;IF($D$4="Forint",Paraméterek!$D$223,Paraméterek!$D$224),3,4))),0),0)</f>
        <v>0</v>
      </c>
      <c r="AH1009" s="13">
        <f>IF(AND($Z1009&gt;=5,MOD($Z1009,5)=0),IF($AA1009=12,VLOOKUP($Z1009,Paraméterek!$B$225:$F$240,5),0),IF(OR($Z1009=3,$Z1009=4),IF($AA1009=12,VLOOKUP($Z1009,Paraméterek!$B$225:$F$240,5,0),0),0))*$AF1009</f>
        <v>0</v>
      </c>
      <c r="AI1009" s="13">
        <f>ROUNDDOWN(IF(SUM($T$20:$U1009)=0,IF($D$2="Egyszeri",$AH1009,$AG1009),0),IF($D$4="Forint",0,2))</f>
        <v>0</v>
      </c>
      <c r="AJ1009" s="13">
        <f t="shared" si="237"/>
        <v>0</v>
      </c>
      <c r="AK1009" s="13">
        <f t="shared" si="238"/>
        <v>0</v>
      </c>
      <c r="AM1009" s="32">
        <v>990</v>
      </c>
      <c r="AN1009" s="32">
        <v>83</v>
      </c>
      <c r="AO1009" s="32">
        <v>6</v>
      </c>
      <c r="AP1009" s="13"/>
      <c r="AQ1009" s="32"/>
      <c r="AR1009" s="13">
        <f t="shared" si="239"/>
        <v>0</v>
      </c>
      <c r="AS1009" s="33"/>
      <c r="AT1009" s="13">
        <f t="shared" si="233"/>
        <v>0</v>
      </c>
      <c r="AU1009" s="13">
        <f>ROUNDUP(($AR1009+$AT1009)*VLOOKUP($AN1009,Paraméterek!$P$38:$Q$38,2)/12,IF($D$4="Forint",0,2))</f>
        <v>0</v>
      </c>
      <c r="AV1009" s="13"/>
      <c r="AW1009" s="13"/>
      <c r="AX1009" s="13">
        <f>ROUNDUP(IF(SUM($AV1009:$AW1009)=0,0,IF(IF(ISBLANK($AW1009),$AV1009,$AW1009)*Paraméterek!$J$112&lt;IF($D$4="Forint",Paraméterek!$J$113,Paraméterek!$K$113),IF($D$4="Forint",Paraméterek!$J$113,Paraméterek!$K$113),IF(IF(ISBLANK($AW1009),$AV1009,$AW1009)*Paraméterek!$J$112&gt;IF($D$4="Forint",Paraméterek!$J$114,Paraméterek!$K$114),IF($D$4="Forint",Paraméterek!$J$114,Paraméterek!$K$114),IF(ISBLANK($AW1009),$AV1009,$AW1009)*Paraméterek!$J$112))),IF($D$4="Forint",0,2))</f>
        <v>0</v>
      </c>
      <c r="AY1009" s="13">
        <f>$AR1009+$AT1009-$AU1009-IF(ROUNDDOWN(IF(ISBLANK($AW1009),$AV1009,$AW1009),IF($D$4="Forint",0,2))&gt;$AR1009+$AT1009-$AU1009-IF($D$4="Forint",Paraméterek!$J$114,Paraméterek!$K$114),0,ROUNDDOWN(IF(ISBLANK($AW1009),$AV1009,$AW1009),IF($D$4="Forint",0,2))-$AX1009)</f>
        <v>0</v>
      </c>
      <c r="AZ1009" s="13">
        <f t="shared" si="234"/>
        <v>0</v>
      </c>
    </row>
    <row r="1010" spans="1:52" x14ac:dyDescent="0.2">
      <c r="A1010" s="32">
        <v>991</v>
      </c>
      <c r="B1010" s="32">
        <v>83</v>
      </c>
      <c r="C1010" s="32">
        <v>7</v>
      </c>
      <c r="D1010" s="13">
        <f t="shared" si="225"/>
        <v>0</v>
      </c>
      <c r="E1010" s="13"/>
      <c r="F1010" s="13"/>
      <c r="G1010" s="13"/>
      <c r="H1010" s="13">
        <f t="shared" si="226"/>
        <v>0</v>
      </c>
      <c r="I1010" s="13">
        <f t="shared" si="227"/>
        <v>0</v>
      </c>
      <c r="J1010" s="13">
        <f t="shared" si="228"/>
        <v>0</v>
      </c>
      <c r="K1010" s="13">
        <f>ROUNDUP(IF($D$2="Egyszeri",$D1010,IF($D$2="Havi",SUM($D$20:$D$31),IF(MOD($C1010,$M$1)-1=0,SUM($D$20:$D$31),0))/12*$M$1)*VLOOKUP($B1010,Paraméterek!$B$27:$D$30,IF($D$2="Egyszeri",3,2)),IF($D$4="Forint",0,2))</f>
        <v>0</v>
      </c>
      <c r="L1010" s="13">
        <f t="shared" si="229"/>
        <v>0</v>
      </c>
      <c r="M1010" s="13">
        <f t="shared" ca="1" si="235"/>
        <v>-1294566</v>
      </c>
      <c r="N1010" s="13">
        <f ca="1">IF($V1009&gt;=VLOOKUP($M$4-1+$B1010,Paraméterek!$B$121:$D$122,IF($D$4="Forint",2,3)),0,VLOOKUP($M$4-1+$B1010,Paraméterek!$B$121:$D$122,IF($D$4="Forint",2,3))-$V1009)</f>
        <v>1304566</v>
      </c>
      <c r="O1010" s="13">
        <f ca="1">ROUNDUP($N1010*Paraméterek!$C$58/Paraméterek!$C$56,IF($D$4="Forint",0,2))</f>
        <v>208</v>
      </c>
      <c r="P1010" s="13">
        <f t="shared" si="230"/>
        <v>6209</v>
      </c>
      <c r="Q1010" s="33"/>
      <c r="R1010" s="13">
        <f t="shared" ca="1" si="231"/>
        <v>0</v>
      </c>
      <c r="S1010" s="13">
        <f ca="1">ROUNDUP(($M1010-$O1010-$P1010+$R1010)*VLOOKUP($B1010,Paraméterek!$B$38:$D$39,IF($D$2="Egyszeri",3,2))/12,IF($D$4="Forint",0,2))</f>
        <v>-3177</v>
      </c>
      <c r="T1010" s="13"/>
      <c r="U1010" s="13"/>
      <c r="V1010" s="13">
        <f ca="1">$M1010-$O1010-$P1010+$R1010-$S1010-IF(ROUNDUP(IF(ISBLANK($U1010),$T1010,$U1010)/IF(AND($B1010=1,$D$2&lt;&gt;"Egyszeri"),1,VLOOKUP($B1010+IF($C1010=12,1,0),Paraméterek!$B$257:$D$267,IF($D$2="Egyszeri",3,2))),IF($D$4="Forint",0,2))&gt;$M1010-$O1010-$P1010+$R1010-$S1010-IF($D$4="Forint",Paraméterek!$C$216,Paraméterek!$D$216),0,ROUNDUP(IF(ISBLANK($U1010),$T1010,$U1010)/IF(AND($B1010=1,$D$2&lt;&gt;"Egyszeri"),1,VLOOKUP($B1010+IF($C1010=12,1,0),Paraméterek!$B$257:$D$267,IF($D$2="Egyszeri",3,2))),IF($D$4="Forint",0,2)))</f>
        <v>-1297806</v>
      </c>
      <c r="W1010" s="13">
        <f ca="1">ROUNDDOWN($V1010*VLOOKUP($B1010+IF($C1010=12,1,0),Paraméterek!$B$257:$D$267,IF($D$2="Egyszeri",3,2)),IF($D$4="Forint",0,2))</f>
        <v>-1297806</v>
      </c>
      <c r="Y1010" s="32">
        <v>991</v>
      </c>
      <c r="Z1010" s="32">
        <v>83</v>
      </c>
      <c r="AA1010" s="32">
        <v>7</v>
      </c>
      <c r="AB1010" s="13">
        <f t="shared" si="236"/>
        <v>0</v>
      </c>
      <c r="AC1010" s="33"/>
      <c r="AD1010" s="13">
        <f t="shared" si="232"/>
        <v>0</v>
      </c>
      <c r="AE1010" s="13">
        <f>ROUNDUP(($AB1010+$AD1010)*VLOOKUP($Z1010,Paraméterek!$P$38:$Q$38,2)/12,IF($D$4="Forint",0,2))</f>
        <v>0</v>
      </c>
      <c r="AF1010" s="13">
        <f>IF($D$2="Egyszeri",IF($D$7&gt;=IF($D$4="Forint",Paraméterek!$P$223,Paraméterek!$P$224),$D$7-IF($D$4="Forint",Paraméterek!$F$223,Paraméterek!$F$224),0),MIN(IF($AA1010=12,AVERAGE($D$20:$D1010)*12,0),SUM($D$20:$D$31)))</f>
        <v>0</v>
      </c>
      <c r="AG1010" s="13">
        <f>IF(AND($Z1010&gt;=10,MOD($Z1010,5)=0),$AF1010*IF($AA1010=12,VLOOKUP($Z1010,Paraméterek!$B$225:$F$240,IF($AF1010&lt;IF($D$4="Forint",Paraméterek!$C$223,Paraméterek!$C$224),2,IF($AF1010&lt;IF($D$4="Forint",Paraméterek!$D$223,Paraméterek!$D$224),3,4))),0),0)</f>
        <v>0</v>
      </c>
      <c r="AH1010" s="13">
        <f>IF(AND($Z1010&gt;=5,MOD($Z1010,5)=0),IF($AA1010=12,VLOOKUP($Z1010,Paraméterek!$B$225:$F$240,5),0),IF(OR($Z1010=3,$Z1010=4),IF($AA1010=12,VLOOKUP($Z1010,Paraméterek!$B$225:$F$240,5,0),0),0))*$AF1010</f>
        <v>0</v>
      </c>
      <c r="AI1010" s="13">
        <f>ROUNDDOWN(IF(SUM($T$20:$U1010)=0,IF($D$2="Egyszeri",$AH1010,$AG1010),0),IF($D$4="Forint",0,2))</f>
        <v>0</v>
      </c>
      <c r="AJ1010" s="13">
        <f t="shared" si="237"/>
        <v>0</v>
      </c>
      <c r="AK1010" s="13">
        <f t="shared" si="238"/>
        <v>0</v>
      </c>
      <c r="AM1010" s="32">
        <v>991</v>
      </c>
      <c r="AN1010" s="32">
        <v>83</v>
      </c>
      <c r="AO1010" s="32">
        <v>7</v>
      </c>
      <c r="AP1010" s="13"/>
      <c r="AQ1010" s="32"/>
      <c r="AR1010" s="13">
        <f t="shared" si="239"/>
        <v>0</v>
      </c>
      <c r="AS1010" s="33"/>
      <c r="AT1010" s="13">
        <f t="shared" si="233"/>
        <v>0</v>
      </c>
      <c r="AU1010" s="13">
        <f>ROUNDUP(($AR1010+$AT1010)*VLOOKUP($AN1010,Paraméterek!$P$38:$Q$38,2)/12,IF($D$4="Forint",0,2))</f>
        <v>0</v>
      </c>
      <c r="AV1010" s="13"/>
      <c r="AW1010" s="13"/>
      <c r="AX1010" s="13">
        <f>ROUNDUP(IF(SUM($AV1010:$AW1010)=0,0,IF(IF(ISBLANK($AW1010),$AV1010,$AW1010)*Paraméterek!$J$112&lt;IF($D$4="Forint",Paraméterek!$J$113,Paraméterek!$K$113),IF($D$4="Forint",Paraméterek!$J$113,Paraméterek!$K$113),IF(IF(ISBLANK($AW1010),$AV1010,$AW1010)*Paraméterek!$J$112&gt;IF($D$4="Forint",Paraméterek!$J$114,Paraméterek!$K$114),IF($D$4="Forint",Paraméterek!$J$114,Paraméterek!$K$114),IF(ISBLANK($AW1010),$AV1010,$AW1010)*Paraméterek!$J$112))),IF($D$4="Forint",0,2))</f>
        <v>0</v>
      </c>
      <c r="AY1010" s="13">
        <f>$AR1010+$AT1010-$AU1010-IF(ROUNDDOWN(IF(ISBLANK($AW1010),$AV1010,$AW1010),IF($D$4="Forint",0,2))&gt;$AR1010+$AT1010-$AU1010-IF($D$4="Forint",Paraméterek!$J$114,Paraméterek!$K$114),0,ROUNDDOWN(IF(ISBLANK($AW1010),$AV1010,$AW1010),IF($D$4="Forint",0,2))-$AX1010)</f>
        <v>0</v>
      </c>
      <c r="AZ1010" s="13">
        <f t="shared" si="234"/>
        <v>0</v>
      </c>
    </row>
    <row r="1011" spans="1:52" x14ac:dyDescent="0.2">
      <c r="A1011" s="32">
        <v>992</v>
      </c>
      <c r="B1011" s="32">
        <v>83</v>
      </c>
      <c r="C1011" s="32">
        <v>8</v>
      </c>
      <c r="D1011" s="13">
        <f t="shared" si="225"/>
        <v>0</v>
      </c>
      <c r="E1011" s="13"/>
      <c r="F1011" s="13"/>
      <c r="G1011" s="13"/>
      <c r="H1011" s="13">
        <f t="shared" si="226"/>
        <v>0</v>
      </c>
      <c r="I1011" s="13">
        <f t="shared" si="227"/>
        <v>0</v>
      </c>
      <c r="J1011" s="13">
        <f t="shared" si="228"/>
        <v>0</v>
      </c>
      <c r="K1011" s="13">
        <f>ROUNDUP(IF($D$2="Egyszeri",$D1011,IF($D$2="Havi",SUM($D$20:$D$31),IF(MOD($C1011,$M$1)-1=0,SUM($D$20:$D$31),0))/12*$M$1)*VLOOKUP($B1011,Paraméterek!$B$27:$D$30,IF($D$2="Egyszeri",3,2)),IF($D$4="Forint",0,2))</f>
        <v>0</v>
      </c>
      <c r="L1011" s="13">
        <f t="shared" si="229"/>
        <v>0</v>
      </c>
      <c r="M1011" s="13">
        <f t="shared" ca="1" si="235"/>
        <v>-1297806</v>
      </c>
      <c r="N1011" s="13">
        <f ca="1">IF($V1010&gt;=VLOOKUP($M$4-1+$B1011,Paraméterek!$B$121:$D$122,IF($D$4="Forint",2,3)),0,VLOOKUP($M$4-1+$B1011,Paraméterek!$B$121:$D$122,IF($D$4="Forint",2,3))-$V1010)</f>
        <v>1307806</v>
      </c>
      <c r="O1011" s="13">
        <f ca="1">ROUNDUP($N1011*Paraméterek!$C$58/Paraméterek!$C$56,IF($D$4="Forint",0,2))</f>
        <v>209</v>
      </c>
      <c r="P1011" s="13">
        <f t="shared" si="230"/>
        <v>6209</v>
      </c>
      <c r="Q1011" s="33"/>
      <c r="R1011" s="13">
        <f t="shared" ca="1" si="231"/>
        <v>0</v>
      </c>
      <c r="S1011" s="13">
        <f ca="1">ROUNDUP(($M1011-$O1011-$P1011+$R1011)*VLOOKUP($B1011,Paraméterek!$B$38:$D$39,IF($D$2="Egyszeri",3,2))/12,IF($D$4="Forint",0,2))</f>
        <v>-3185</v>
      </c>
      <c r="T1011" s="13"/>
      <c r="U1011" s="13"/>
      <c r="V1011" s="13">
        <f ca="1">$M1011-$O1011-$P1011+$R1011-$S1011-IF(ROUNDUP(IF(ISBLANK($U1011),$T1011,$U1011)/IF(AND($B1011=1,$D$2&lt;&gt;"Egyszeri"),1,VLOOKUP($B1011+IF($C1011=12,1,0),Paraméterek!$B$257:$D$267,IF($D$2="Egyszeri",3,2))),IF($D$4="Forint",0,2))&gt;$M1011-$O1011-$P1011+$R1011-$S1011-IF($D$4="Forint",Paraméterek!$C$216,Paraméterek!$D$216),0,ROUNDUP(IF(ISBLANK($U1011),$T1011,$U1011)/IF(AND($B1011=1,$D$2&lt;&gt;"Egyszeri"),1,VLOOKUP($B1011+IF($C1011=12,1,0),Paraméterek!$B$257:$D$267,IF($D$2="Egyszeri",3,2))),IF($D$4="Forint",0,2)))</f>
        <v>-1301039</v>
      </c>
      <c r="W1011" s="13">
        <f ca="1">ROUNDDOWN($V1011*VLOOKUP($B1011+IF($C1011=12,1,0),Paraméterek!$B$257:$D$267,IF($D$2="Egyszeri",3,2)),IF($D$4="Forint",0,2))</f>
        <v>-1301039</v>
      </c>
      <c r="Y1011" s="32">
        <v>992</v>
      </c>
      <c r="Z1011" s="32">
        <v>83</v>
      </c>
      <c r="AA1011" s="32">
        <v>8</v>
      </c>
      <c r="AB1011" s="13">
        <f t="shared" si="236"/>
        <v>0</v>
      </c>
      <c r="AC1011" s="33"/>
      <c r="AD1011" s="13">
        <f t="shared" si="232"/>
        <v>0</v>
      </c>
      <c r="AE1011" s="13">
        <f>ROUNDUP(($AB1011+$AD1011)*VLOOKUP($Z1011,Paraméterek!$P$38:$Q$38,2)/12,IF($D$4="Forint",0,2))</f>
        <v>0</v>
      </c>
      <c r="AF1011" s="13">
        <f>IF($D$2="Egyszeri",IF($D$7&gt;=IF($D$4="Forint",Paraméterek!$P$223,Paraméterek!$P$224),$D$7-IF($D$4="Forint",Paraméterek!$F$223,Paraméterek!$F$224),0),MIN(IF($AA1011=12,AVERAGE($D$20:$D1011)*12,0),SUM($D$20:$D$31)))</f>
        <v>0</v>
      </c>
      <c r="AG1011" s="13">
        <f>IF(AND($Z1011&gt;=10,MOD($Z1011,5)=0),$AF1011*IF($AA1011=12,VLOOKUP($Z1011,Paraméterek!$B$225:$F$240,IF($AF1011&lt;IF($D$4="Forint",Paraméterek!$C$223,Paraméterek!$C$224),2,IF($AF1011&lt;IF($D$4="Forint",Paraméterek!$D$223,Paraméterek!$D$224),3,4))),0),0)</f>
        <v>0</v>
      </c>
      <c r="AH1011" s="13">
        <f>IF(AND($Z1011&gt;=5,MOD($Z1011,5)=0),IF($AA1011=12,VLOOKUP($Z1011,Paraméterek!$B$225:$F$240,5),0),IF(OR($Z1011=3,$Z1011=4),IF($AA1011=12,VLOOKUP($Z1011,Paraméterek!$B$225:$F$240,5,0),0),0))*$AF1011</f>
        <v>0</v>
      </c>
      <c r="AI1011" s="13">
        <f>ROUNDDOWN(IF(SUM($T$20:$U1011)=0,IF($D$2="Egyszeri",$AH1011,$AG1011),0),IF($D$4="Forint",0,2))</f>
        <v>0</v>
      </c>
      <c r="AJ1011" s="13">
        <f t="shared" si="237"/>
        <v>0</v>
      </c>
      <c r="AK1011" s="13">
        <f t="shared" si="238"/>
        <v>0</v>
      </c>
      <c r="AM1011" s="32">
        <v>992</v>
      </c>
      <c r="AN1011" s="32">
        <v>83</v>
      </c>
      <c r="AO1011" s="32">
        <v>8</v>
      </c>
      <c r="AP1011" s="13"/>
      <c r="AQ1011" s="32"/>
      <c r="AR1011" s="13">
        <f t="shared" si="239"/>
        <v>0</v>
      </c>
      <c r="AS1011" s="33"/>
      <c r="AT1011" s="13">
        <f t="shared" si="233"/>
        <v>0</v>
      </c>
      <c r="AU1011" s="13">
        <f>ROUNDUP(($AR1011+$AT1011)*VLOOKUP($AN1011,Paraméterek!$P$38:$Q$38,2)/12,IF($D$4="Forint",0,2))</f>
        <v>0</v>
      </c>
      <c r="AV1011" s="13"/>
      <c r="AW1011" s="13"/>
      <c r="AX1011" s="13">
        <f>ROUNDUP(IF(SUM($AV1011:$AW1011)=0,0,IF(IF(ISBLANK($AW1011),$AV1011,$AW1011)*Paraméterek!$J$112&lt;IF($D$4="Forint",Paraméterek!$J$113,Paraméterek!$K$113),IF($D$4="Forint",Paraméterek!$J$113,Paraméterek!$K$113),IF(IF(ISBLANK($AW1011),$AV1011,$AW1011)*Paraméterek!$J$112&gt;IF($D$4="Forint",Paraméterek!$J$114,Paraméterek!$K$114),IF($D$4="Forint",Paraméterek!$J$114,Paraméterek!$K$114),IF(ISBLANK($AW1011),$AV1011,$AW1011)*Paraméterek!$J$112))),IF($D$4="Forint",0,2))</f>
        <v>0</v>
      </c>
      <c r="AY1011" s="13">
        <f>$AR1011+$AT1011-$AU1011-IF(ROUNDDOWN(IF(ISBLANK($AW1011),$AV1011,$AW1011),IF($D$4="Forint",0,2))&gt;$AR1011+$AT1011-$AU1011-IF($D$4="Forint",Paraméterek!$J$114,Paraméterek!$K$114),0,ROUNDDOWN(IF(ISBLANK($AW1011),$AV1011,$AW1011),IF($D$4="Forint",0,2))-$AX1011)</f>
        <v>0</v>
      </c>
      <c r="AZ1011" s="13">
        <f t="shared" si="234"/>
        <v>0</v>
      </c>
    </row>
    <row r="1012" spans="1:52" x14ac:dyDescent="0.2">
      <c r="A1012" s="32">
        <v>993</v>
      </c>
      <c r="B1012" s="32">
        <v>83</v>
      </c>
      <c r="C1012" s="32">
        <v>9</v>
      </c>
      <c r="D1012" s="13">
        <f t="shared" si="225"/>
        <v>0</v>
      </c>
      <c r="E1012" s="13"/>
      <c r="F1012" s="13"/>
      <c r="G1012" s="13"/>
      <c r="H1012" s="13">
        <f t="shared" si="226"/>
        <v>0</v>
      </c>
      <c r="I1012" s="13">
        <f t="shared" si="227"/>
        <v>0</v>
      </c>
      <c r="J1012" s="13">
        <f t="shared" si="228"/>
        <v>0</v>
      </c>
      <c r="K1012" s="13">
        <f>ROUNDUP(IF($D$2="Egyszeri",$D1012,IF($D$2="Havi",SUM($D$20:$D$31),IF(MOD($C1012,$M$1)-1=0,SUM($D$20:$D$31),0))/12*$M$1)*VLOOKUP($B1012,Paraméterek!$B$27:$D$30,IF($D$2="Egyszeri",3,2)),IF($D$4="Forint",0,2))</f>
        <v>0</v>
      </c>
      <c r="L1012" s="13">
        <f t="shared" si="229"/>
        <v>0</v>
      </c>
      <c r="M1012" s="13">
        <f t="shared" ca="1" si="235"/>
        <v>-1301039</v>
      </c>
      <c r="N1012" s="13">
        <f ca="1">IF($V1011&gt;=VLOOKUP($M$4-1+$B1012,Paraméterek!$B$121:$D$122,IF($D$4="Forint",2,3)),0,VLOOKUP($M$4-1+$B1012,Paraméterek!$B$121:$D$122,IF($D$4="Forint",2,3))-$V1011)</f>
        <v>1311039</v>
      </c>
      <c r="O1012" s="13">
        <f ca="1">ROUNDUP($N1012*Paraméterek!$C$58/Paraméterek!$C$56,IF($D$4="Forint",0,2))</f>
        <v>209</v>
      </c>
      <c r="P1012" s="13">
        <f t="shared" si="230"/>
        <v>6209</v>
      </c>
      <c r="Q1012" s="33"/>
      <c r="R1012" s="13">
        <f t="shared" ca="1" si="231"/>
        <v>0</v>
      </c>
      <c r="S1012" s="13">
        <f ca="1">ROUNDUP(($M1012-$O1012-$P1012+$R1012)*VLOOKUP($B1012,Paraméterek!$B$38:$D$39,IF($D$2="Egyszeri",3,2))/12,IF($D$4="Forint",0,2))</f>
        <v>-3193</v>
      </c>
      <c r="T1012" s="13"/>
      <c r="U1012" s="13"/>
      <c r="V1012" s="13">
        <f ca="1">$M1012-$O1012-$P1012+$R1012-$S1012-IF(ROUNDUP(IF(ISBLANK($U1012),$T1012,$U1012)/IF(AND($B1012=1,$D$2&lt;&gt;"Egyszeri"),1,VLOOKUP($B1012+IF($C1012=12,1,0),Paraméterek!$B$257:$D$267,IF($D$2="Egyszeri",3,2))),IF($D$4="Forint",0,2))&gt;$M1012-$O1012-$P1012+$R1012-$S1012-IF($D$4="Forint",Paraméterek!$C$216,Paraméterek!$D$216),0,ROUNDUP(IF(ISBLANK($U1012),$T1012,$U1012)/IF(AND($B1012=1,$D$2&lt;&gt;"Egyszeri"),1,VLOOKUP($B1012+IF($C1012=12,1,0),Paraméterek!$B$257:$D$267,IF($D$2="Egyszeri",3,2))),IF($D$4="Forint",0,2)))</f>
        <v>-1304264</v>
      </c>
      <c r="W1012" s="13">
        <f ca="1">ROUNDDOWN($V1012*VLOOKUP($B1012+IF($C1012=12,1,0),Paraméterek!$B$257:$D$267,IF($D$2="Egyszeri",3,2)),IF($D$4="Forint",0,2))</f>
        <v>-1304264</v>
      </c>
      <c r="Y1012" s="32">
        <v>993</v>
      </c>
      <c r="Z1012" s="32">
        <v>83</v>
      </c>
      <c r="AA1012" s="32">
        <v>9</v>
      </c>
      <c r="AB1012" s="13">
        <f t="shared" si="236"/>
        <v>0</v>
      </c>
      <c r="AC1012" s="33"/>
      <c r="AD1012" s="13">
        <f t="shared" si="232"/>
        <v>0</v>
      </c>
      <c r="AE1012" s="13">
        <f>ROUNDUP(($AB1012+$AD1012)*VLOOKUP($Z1012,Paraméterek!$P$38:$Q$38,2)/12,IF($D$4="Forint",0,2))</f>
        <v>0</v>
      </c>
      <c r="AF1012" s="13">
        <f>IF($D$2="Egyszeri",IF($D$7&gt;=IF($D$4="Forint",Paraméterek!$P$223,Paraméterek!$P$224),$D$7-IF($D$4="Forint",Paraméterek!$F$223,Paraméterek!$F$224),0),MIN(IF($AA1012=12,AVERAGE($D$20:$D1012)*12,0),SUM($D$20:$D$31)))</f>
        <v>0</v>
      </c>
      <c r="AG1012" s="13">
        <f>IF(AND($Z1012&gt;=10,MOD($Z1012,5)=0),$AF1012*IF($AA1012=12,VLOOKUP($Z1012,Paraméterek!$B$225:$F$240,IF($AF1012&lt;IF($D$4="Forint",Paraméterek!$C$223,Paraméterek!$C$224),2,IF($AF1012&lt;IF($D$4="Forint",Paraméterek!$D$223,Paraméterek!$D$224),3,4))),0),0)</f>
        <v>0</v>
      </c>
      <c r="AH1012" s="13">
        <f>IF(AND($Z1012&gt;=5,MOD($Z1012,5)=0),IF($AA1012=12,VLOOKUP($Z1012,Paraméterek!$B$225:$F$240,5),0),IF(OR($Z1012=3,$Z1012=4),IF($AA1012=12,VLOOKUP($Z1012,Paraméterek!$B$225:$F$240,5,0),0),0))*$AF1012</f>
        <v>0</v>
      </c>
      <c r="AI1012" s="13">
        <f>ROUNDDOWN(IF(SUM($T$20:$U1012)=0,IF($D$2="Egyszeri",$AH1012,$AG1012),0),IF($D$4="Forint",0,2))</f>
        <v>0</v>
      </c>
      <c r="AJ1012" s="13">
        <f t="shared" si="237"/>
        <v>0</v>
      </c>
      <c r="AK1012" s="13">
        <f t="shared" si="238"/>
        <v>0</v>
      </c>
      <c r="AM1012" s="32">
        <v>993</v>
      </c>
      <c r="AN1012" s="32">
        <v>83</v>
      </c>
      <c r="AO1012" s="32">
        <v>9</v>
      </c>
      <c r="AP1012" s="13"/>
      <c r="AQ1012" s="32"/>
      <c r="AR1012" s="13">
        <f t="shared" si="239"/>
        <v>0</v>
      </c>
      <c r="AS1012" s="33"/>
      <c r="AT1012" s="13">
        <f t="shared" si="233"/>
        <v>0</v>
      </c>
      <c r="AU1012" s="13">
        <f>ROUNDUP(($AR1012+$AT1012)*VLOOKUP($AN1012,Paraméterek!$P$38:$Q$38,2)/12,IF($D$4="Forint",0,2))</f>
        <v>0</v>
      </c>
      <c r="AV1012" s="13"/>
      <c r="AW1012" s="13"/>
      <c r="AX1012" s="13">
        <f>ROUNDUP(IF(SUM($AV1012:$AW1012)=0,0,IF(IF(ISBLANK($AW1012),$AV1012,$AW1012)*Paraméterek!$J$112&lt;IF($D$4="Forint",Paraméterek!$J$113,Paraméterek!$K$113),IF($D$4="Forint",Paraméterek!$J$113,Paraméterek!$K$113),IF(IF(ISBLANK($AW1012),$AV1012,$AW1012)*Paraméterek!$J$112&gt;IF($D$4="Forint",Paraméterek!$J$114,Paraméterek!$K$114),IF($D$4="Forint",Paraméterek!$J$114,Paraméterek!$K$114),IF(ISBLANK($AW1012),$AV1012,$AW1012)*Paraméterek!$J$112))),IF($D$4="Forint",0,2))</f>
        <v>0</v>
      </c>
      <c r="AY1012" s="13">
        <f>$AR1012+$AT1012-$AU1012-IF(ROUNDDOWN(IF(ISBLANK($AW1012),$AV1012,$AW1012),IF($D$4="Forint",0,2))&gt;$AR1012+$AT1012-$AU1012-IF($D$4="Forint",Paraméterek!$J$114,Paraméterek!$K$114),0,ROUNDDOWN(IF(ISBLANK($AW1012),$AV1012,$AW1012),IF($D$4="Forint",0,2))-$AX1012)</f>
        <v>0</v>
      </c>
      <c r="AZ1012" s="13">
        <f t="shared" si="234"/>
        <v>0</v>
      </c>
    </row>
    <row r="1013" spans="1:52" x14ac:dyDescent="0.2">
      <c r="A1013" s="32">
        <v>994</v>
      </c>
      <c r="B1013" s="32">
        <v>83</v>
      </c>
      <c r="C1013" s="32">
        <v>10</v>
      </c>
      <c r="D1013" s="13">
        <f t="shared" si="225"/>
        <v>0</v>
      </c>
      <c r="E1013" s="13"/>
      <c r="F1013" s="13"/>
      <c r="G1013" s="13"/>
      <c r="H1013" s="13">
        <f t="shared" si="226"/>
        <v>0</v>
      </c>
      <c r="I1013" s="13">
        <f t="shared" si="227"/>
        <v>0</v>
      </c>
      <c r="J1013" s="13">
        <f t="shared" si="228"/>
        <v>0</v>
      </c>
      <c r="K1013" s="13">
        <f>ROUNDUP(IF($D$2="Egyszeri",$D1013,IF($D$2="Havi",SUM($D$20:$D$31),IF(MOD($C1013,$M$1)-1=0,SUM($D$20:$D$31),0))/12*$M$1)*VLOOKUP($B1013,Paraméterek!$B$27:$D$30,IF($D$2="Egyszeri",3,2)),IF($D$4="Forint",0,2))</f>
        <v>0</v>
      </c>
      <c r="L1013" s="13">
        <f t="shared" si="229"/>
        <v>0</v>
      </c>
      <c r="M1013" s="13">
        <f t="shared" ca="1" si="235"/>
        <v>-1304264</v>
      </c>
      <c r="N1013" s="13">
        <f ca="1">IF($V1012&gt;=VLOOKUP($M$4-1+$B1013,Paraméterek!$B$121:$D$122,IF($D$4="Forint",2,3)),0,VLOOKUP($M$4-1+$B1013,Paraméterek!$B$121:$D$122,IF($D$4="Forint",2,3))-$V1012)</f>
        <v>1314264</v>
      </c>
      <c r="O1013" s="13">
        <f ca="1">ROUNDUP($N1013*Paraméterek!$C$58/Paraméterek!$C$56,IF($D$4="Forint",0,2))</f>
        <v>210</v>
      </c>
      <c r="P1013" s="13">
        <f t="shared" si="230"/>
        <v>6209</v>
      </c>
      <c r="Q1013" s="33"/>
      <c r="R1013" s="13">
        <f t="shared" ca="1" si="231"/>
        <v>0</v>
      </c>
      <c r="S1013" s="13">
        <f ca="1">ROUNDUP(($M1013-$O1013-$P1013+$R1013)*VLOOKUP($B1013,Paraméterek!$B$38:$D$39,IF($D$2="Egyszeri",3,2))/12,IF($D$4="Forint",0,2))</f>
        <v>-3201</v>
      </c>
      <c r="T1013" s="13"/>
      <c r="U1013" s="13"/>
      <c r="V1013" s="13">
        <f ca="1">$M1013-$O1013-$P1013+$R1013-$S1013-IF(ROUNDUP(IF(ISBLANK($U1013),$T1013,$U1013)/IF(AND($B1013=1,$D$2&lt;&gt;"Egyszeri"),1,VLOOKUP($B1013+IF($C1013=12,1,0),Paraméterek!$B$257:$D$267,IF($D$2="Egyszeri",3,2))),IF($D$4="Forint",0,2))&gt;$M1013-$O1013-$P1013+$R1013-$S1013-IF($D$4="Forint",Paraméterek!$C$216,Paraméterek!$D$216),0,ROUNDUP(IF(ISBLANK($U1013),$T1013,$U1013)/IF(AND($B1013=1,$D$2&lt;&gt;"Egyszeri"),1,VLOOKUP($B1013+IF($C1013=12,1,0),Paraméterek!$B$257:$D$267,IF($D$2="Egyszeri",3,2))),IF($D$4="Forint",0,2)))</f>
        <v>-1307482</v>
      </c>
      <c r="W1013" s="13">
        <f ca="1">ROUNDDOWN($V1013*VLOOKUP($B1013+IF($C1013=12,1,0),Paraméterek!$B$257:$D$267,IF($D$2="Egyszeri",3,2)),IF($D$4="Forint",0,2))</f>
        <v>-1307482</v>
      </c>
      <c r="Y1013" s="32">
        <v>994</v>
      </c>
      <c r="Z1013" s="32">
        <v>83</v>
      </c>
      <c r="AA1013" s="32">
        <v>10</v>
      </c>
      <c r="AB1013" s="13">
        <f t="shared" si="236"/>
        <v>0</v>
      </c>
      <c r="AC1013" s="33"/>
      <c r="AD1013" s="13">
        <f t="shared" si="232"/>
        <v>0</v>
      </c>
      <c r="AE1013" s="13">
        <f>ROUNDUP(($AB1013+$AD1013)*VLOOKUP($Z1013,Paraméterek!$P$38:$Q$38,2)/12,IF($D$4="Forint",0,2))</f>
        <v>0</v>
      </c>
      <c r="AF1013" s="13">
        <f>IF($D$2="Egyszeri",IF($D$7&gt;=IF($D$4="Forint",Paraméterek!$P$223,Paraméterek!$P$224),$D$7-IF($D$4="Forint",Paraméterek!$F$223,Paraméterek!$F$224),0),MIN(IF($AA1013=12,AVERAGE($D$20:$D1013)*12,0),SUM($D$20:$D$31)))</f>
        <v>0</v>
      </c>
      <c r="AG1013" s="13">
        <f>IF(AND($Z1013&gt;=10,MOD($Z1013,5)=0),$AF1013*IF($AA1013=12,VLOOKUP($Z1013,Paraméterek!$B$225:$F$240,IF($AF1013&lt;IF($D$4="Forint",Paraméterek!$C$223,Paraméterek!$C$224),2,IF($AF1013&lt;IF($D$4="Forint",Paraméterek!$D$223,Paraméterek!$D$224),3,4))),0),0)</f>
        <v>0</v>
      </c>
      <c r="AH1013" s="13">
        <f>IF(AND($Z1013&gt;=5,MOD($Z1013,5)=0),IF($AA1013=12,VLOOKUP($Z1013,Paraméterek!$B$225:$F$240,5),0),IF(OR($Z1013=3,$Z1013=4),IF($AA1013=12,VLOOKUP($Z1013,Paraméterek!$B$225:$F$240,5,0),0),0))*$AF1013</f>
        <v>0</v>
      </c>
      <c r="AI1013" s="13">
        <f>ROUNDDOWN(IF(SUM($T$20:$U1013)=0,IF($D$2="Egyszeri",$AH1013,$AG1013),0),IF($D$4="Forint",0,2))</f>
        <v>0</v>
      </c>
      <c r="AJ1013" s="13">
        <f t="shared" si="237"/>
        <v>0</v>
      </c>
      <c r="AK1013" s="13">
        <f t="shared" si="238"/>
        <v>0</v>
      </c>
      <c r="AM1013" s="32">
        <v>994</v>
      </c>
      <c r="AN1013" s="32">
        <v>83</v>
      </c>
      <c r="AO1013" s="32">
        <v>10</v>
      </c>
      <c r="AP1013" s="13"/>
      <c r="AQ1013" s="32"/>
      <c r="AR1013" s="13">
        <f t="shared" si="239"/>
        <v>0</v>
      </c>
      <c r="AS1013" s="33"/>
      <c r="AT1013" s="13">
        <f t="shared" si="233"/>
        <v>0</v>
      </c>
      <c r="AU1013" s="13">
        <f>ROUNDUP(($AR1013+$AT1013)*VLOOKUP($AN1013,Paraméterek!$P$38:$Q$38,2)/12,IF($D$4="Forint",0,2))</f>
        <v>0</v>
      </c>
      <c r="AV1013" s="13"/>
      <c r="AW1013" s="13"/>
      <c r="AX1013" s="13">
        <f>ROUNDUP(IF(SUM($AV1013:$AW1013)=0,0,IF(IF(ISBLANK($AW1013),$AV1013,$AW1013)*Paraméterek!$J$112&lt;IF($D$4="Forint",Paraméterek!$J$113,Paraméterek!$K$113),IF($D$4="Forint",Paraméterek!$J$113,Paraméterek!$K$113),IF(IF(ISBLANK($AW1013),$AV1013,$AW1013)*Paraméterek!$J$112&gt;IF($D$4="Forint",Paraméterek!$J$114,Paraméterek!$K$114),IF($D$4="Forint",Paraméterek!$J$114,Paraméterek!$K$114),IF(ISBLANK($AW1013),$AV1013,$AW1013)*Paraméterek!$J$112))),IF($D$4="Forint",0,2))</f>
        <v>0</v>
      </c>
      <c r="AY1013" s="13">
        <f>$AR1013+$AT1013-$AU1013-IF(ROUNDDOWN(IF(ISBLANK($AW1013),$AV1013,$AW1013),IF($D$4="Forint",0,2))&gt;$AR1013+$AT1013-$AU1013-IF($D$4="Forint",Paraméterek!$J$114,Paraméterek!$K$114),0,ROUNDDOWN(IF(ISBLANK($AW1013),$AV1013,$AW1013),IF($D$4="Forint",0,2))-$AX1013)</f>
        <v>0</v>
      </c>
      <c r="AZ1013" s="13">
        <f t="shared" si="234"/>
        <v>0</v>
      </c>
    </row>
    <row r="1014" spans="1:52" x14ac:dyDescent="0.2">
      <c r="A1014" s="32">
        <v>995</v>
      </c>
      <c r="B1014" s="32">
        <v>83</v>
      </c>
      <c r="C1014" s="32">
        <v>11</v>
      </c>
      <c r="D1014" s="13">
        <f t="shared" si="225"/>
        <v>0</v>
      </c>
      <c r="E1014" s="13"/>
      <c r="F1014" s="13"/>
      <c r="G1014" s="13"/>
      <c r="H1014" s="13">
        <f t="shared" si="226"/>
        <v>0</v>
      </c>
      <c r="I1014" s="13">
        <f t="shared" si="227"/>
        <v>0</v>
      </c>
      <c r="J1014" s="13">
        <f t="shared" si="228"/>
        <v>0</v>
      </c>
      <c r="K1014" s="13">
        <f>ROUNDUP(IF($D$2="Egyszeri",$D1014,IF($D$2="Havi",SUM($D$20:$D$31),IF(MOD($C1014,$M$1)-1=0,SUM($D$20:$D$31),0))/12*$M$1)*VLOOKUP($B1014,Paraméterek!$B$27:$D$30,IF($D$2="Egyszeri",3,2)),IF($D$4="Forint",0,2))</f>
        <v>0</v>
      </c>
      <c r="L1014" s="13">
        <f t="shared" si="229"/>
        <v>0</v>
      </c>
      <c r="M1014" s="13">
        <f t="shared" ca="1" si="235"/>
        <v>-1307482</v>
      </c>
      <c r="N1014" s="13">
        <f ca="1">IF($V1013&gt;=VLOOKUP($M$4-1+$B1014,Paraméterek!$B$121:$D$122,IF($D$4="Forint",2,3)),0,VLOOKUP($M$4-1+$B1014,Paraméterek!$B$121:$D$122,IF($D$4="Forint",2,3))-$V1013)</f>
        <v>1317482</v>
      </c>
      <c r="O1014" s="13">
        <f ca="1">ROUNDUP($N1014*Paraméterek!$C$58/Paraméterek!$C$56,IF($D$4="Forint",0,2))</f>
        <v>210</v>
      </c>
      <c r="P1014" s="13">
        <f t="shared" si="230"/>
        <v>6209</v>
      </c>
      <c r="Q1014" s="33"/>
      <c r="R1014" s="13">
        <f t="shared" ca="1" si="231"/>
        <v>0</v>
      </c>
      <c r="S1014" s="13">
        <f ca="1">ROUNDUP(($M1014-$O1014-$P1014+$R1014)*VLOOKUP($B1014,Paraméterek!$B$38:$D$39,IF($D$2="Egyszeri",3,2))/12,IF($D$4="Forint",0,2))</f>
        <v>-3209</v>
      </c>
      <c r="T1014" s="13"/>
      <c r="U1014" s="13"/>
      <c r="V1014" s="13">
        <f ca="1">$M1014-$O1014-$P1014+$R1014-$S1014-IF(ROUNDUP(IF(ISBLANK($U1014),$T1014,$U1014)/IF(AND($B1014=1,$D$2&lt;&gt;"Egyszeri"),1,VLOOKUP($B1014+IF($C1014=12,1,0),Paraméterek!$B$257:$D$267,IF($D$2="Egyszeri",3,2))),IF($D$4="Forint",0,2))&gt;$M1014-$O1014-$P1014+$R1014-$S1014-IF($D$4="Forint",Paraméterek!$C$216,Paraméterek!$D$216),0,ROUNDUP(IF(ISBLANK($U1014),$T1014,$U1014)/IF(AND($B1014=1,$D$2&lt;&gt;"Egyszeri"),1,VLOOKUP($B1014+IF($C1014=12,1,0),Paraméterek!$B$257:$D$267,IF($D$2="Egyszeri",3,2))),IF($D$4="Forint",0,2)))</f>
        <v>-1310692</v>
      </c>
      <c r="W1014" s="13">
        <f ca="1">ROUNDDOWN($V1014*VLOOKUP($B1014+IF($C1014=12,1,0),Paraméterek!$B$257:$D$267,IF($D$2="Egyszeri",3,2)),IF($D$4="Forint",0,2))</f>
        <v>-1310692</v>
      </c>
      <c r="Y1014" s="32">
        <v>995</v>
      </c>
      <c r="Z1014" s="32">
        <v>83</v>
      </c>
      <c r="AA1014" s="32">
        <v>11</v>
      </c>
      <c r="AB1014" s="13">
        <f t="shared" si="236"/>
        <v>0</v>
      </c>
      <c r="AC1014" s="33"/>
      <c r="AD1014" s="13">
        <f t="shared" si="232"/>
        <v>0</v>
      </c>
      <c r="AE1014" s="13">
        <f>ROUNDUP(($AB1014+$AD1014)*VLOOKUP($Z1014,Paraméterek!$P$38:$Q$38,2)/12,IF($D$4="Forint",0,2))</f>
        <v>0</v>
      </c>
      <c r="AF1014" s="13">
        <f>IF($D$2="Egyszeri",IF($D$7&gt;=IF($D$4="Forint",Paraméterek!$P$223,Paraméterek!$P$224),$D$7-IF($D$4="Forint",Paraméterek!$F$223,Paraméterek!$F$224),0),MIN(IF($AA1014=12,AVERAGE($D$20:$D1014)*12,0),SUM($D$20:$D$31)))</f>
        <v>0</v>
      </c>
      <c r="AG1014" s="13">
        <f>IF(AND($Z1014&gt;=10,MOD($Z1014,5)=0),$AF1014*IF($AA1014=12,VLOOKUP($Z1014,Paraméterek!$B$225:$F$240,IF($AF1014&lt;IF($D$4="Forint",Paraméterek!$C$223,Paraméterek!$C$224),2,IF($AF1014&lt;IF($D$4="Forint",Paraméterek!$D$223,Paraméterek!$D$224),3,4))),0),0)</f>
        <v>0</v>
      </c>
      <c r="AH1014" s="13">
        <f>IF(AND($Z1014&gt;=5,MOD($Z1014,5)=0),IF($AA1014=12,VLOOKUP($Z1014,Paraméterek!$B$225:$F$240,5),0),IF(OR($Z1014=3,$Z1014=4),IF($AA1014=12,VLOOKUP($Z1014,Paraméterek!$B$225:$F$240,5,0),0),0))*$AF1014</f>
        <v>0</v>
      </c>
      <c r="AI1014" s="13">
        <f>ROUNDDOWN(IF(SUM($T$20:$U1014)=0,IF($D$2="Egyszeri",$AH1014,$AG1014),0),IF($D$4="Forint",0,2))</f>
        <v>0</v>
      </c>
      <c r="AJ1014" s="13">
        <f t="shared" si="237"/>
        <v>0</v>
      </c>
      <c r="AK1014" s="13">
        <f t="shared" si="238"/>
        <v>0</v>
      </c>
      <c r="AM1014" s="32">
        <v>995</v>
      </c>
      <c r="AN1014" s="32">
        <v>83</v>
      </c>
      <c r="AO1014" s="32">
        <v>11</v>
      </c>
      <c r="AP1014" s="13"/>
      <c r="AQ1014" s="32"/>
      <c r="AR1014" s="13">
        <f t="shared" si="239"/>
        <v>0</v>
      </c>
      <c r="AS1014" s="33"/>
      <c r="AT1014" s="13">
        <f t="shared" si="233"/>
        <v>0</v>
      </c>
      <c r="AU1014" s="13">
        <f>ROUNDUP(($AR1014+$AT1014)*VLOOKUP($AN1014,Paraméterek!$P$38:$Q$38,2)/12,IF($D$4="Forint",0,2))</f>
        <v>0</v>
      </c>
      <c r="AV1014" s="13"/>
      <c r="AW1014" s="13"/>
      <c r="AX1014" s="13">
        <f>ROUNDUP(IF(SUM($AV1014:$AW1014)=0,0,IF(IF(ISBLANK($AW1014),$AV1014,$AW1014)*Paraméterek!$J$112&lt;IF($D$4="Forint",Paraméterek!$J$113,Paraméterek!$K$113),IF($D$4="Forint",Paraméterek!$J$113,Paraméterek!$K$113),IF(IF(ISBLANK($AW1014),$AV1014,$AW1014)*Paraméterek!$J$112&gt;IF($D$4="Forint",Paraméterek!$J$114,Paraméterek!$K$114),IF($D$4="Forint",Paraméterek!$J$114,Paraméterek!$K$114),IF(ISBLANK($AW1014),$AV1014,$AW1014)*Paraméterek!$J$112))),IF($D$4="Forint",0,2))</f>
        <v>0</v>
      </c>
      <c r="AY1014" s="13">
        <f>$AR1014+$AT1014-$AU1014-IF(ROUNDDOWN(IF(ISBLANK($AW1014),$AV1014,$AW1014),IF($D$4="Forint",0,2))&gt;$AR1014+$AT1014-$AU1014-IF($D$4="Forint",Paraméterek!$J$114,Paraméterek!$K$114),0,ROUNDDOWN(IF(ISBLANK($AW1014),$AV1014,$AW1014),IF($D$4="Forint",0,2))-$AX1014)</f>
        <v>0</v>
      </c>
      <c r="AZ1014" s="13">
        <f t="shared" si="234"/>
        <v>0</v>
      </c>
    </row>
    <row r="1015" spans="1:52" x14ac:dyDescent="0.2">
      <c r="A1015" s="32">
        <v>996</v>
      </c>
      <c r="B1015" s="32">
        <v>83</v>
      </c>
      <c r="C1015" s="32">
        <v>12</v>
      </c>
      <c r="D1015" s="13">
        <f t="shared" si="225"/>
        <v>0</v>
      </c>
      <c r="E1015" s="13"/>
      <c r="F1015" s="13"/>
      <c r="G1015" s="13"/>
      <c r="H1015" s="13">
        <f t="shared" si="226"/>
        <v>0</v>
      </c>
      <c r="I1015" s="13">
        <f t="shared" si="227"/>
        <v>0</v>
      </c>
      <c r="J1015" s="13">
        <f t="shared" si="228"/>
        <v>0</v>
      </c>
      <c r="K1015" s="13">
        <f>ROUNDUP(IF($D$2="Egyszeri",$D1015,IF($D$2="Havi",SUM($D$20:$D$31),IF(MOD($C1015,$M$1)-1=0,SUM($D$20:$D$31),0))/12*$M$1)*VLOOKUP($B1015,Paraméterek!$B$27:$D$30,IF($D$2="Egyszeri",3,2)),IF($D$4="Forint",0,2))</f>
        <v>0</v>
      </c>
      <c r="L1015" s="13">
        <f t="shared" si="229"/>
        <v>0</v>
      </c>
      <c r="M1015" s="13">
        <f t="shared" ca="1" si="235"/>
        <v>-1310692</v>
      </c>
      <c r="N1015" s="13">
        <f ca="1">IF($V1014&gt;=VLOOKUP($M$4-1+$B1015,Paraméterek!$B$121:$D$122,IF($D$4="Forint",2,3)),0,VLOOKUP($M$4-1+$B1015,Paraméterek!$B$121:$D$122,IF($D$4="Forint",2,3))-$V1014)</f>
        <v>1320692</v>
      </c>
      <c r="O1015" s="13">
        <f ca="1">ROUNDUP($N1015*Paraméterek!$C$58/Paraméterek!$C$56,IF($D$4="Forint",0,2))</f>
        <v>211</v>
      </c>
      <c r="P1015" s="13">
        <f t="shared" si="230"/>
        <v>6209</v>
      </c>
      <c r="Q1015" s="33"/>
      <c r="R1015" s="13">
        <f t="shared" ca="1" si="231"/>
        <v>0</v>
      </c>
      <c r="S1015" s="13">
        <f ca="1">ROUNDUP(($M1015-$O1015-$P1015+$R1015)*VLOOKUP($B1015,Paraméterek!$B$38:$D$39,IF($D$2="Egyszeri",3,2))/12,IF($D$4="Forint",0,2))</f>
        <v>-3216</v>
      </c>
      <c r="T1015" s="13">
        <f>Tranzakciók!$F$114</f>
        <v>0</v>
      </c>
      <c r="U1015" s="13"/>
      <c r="V1015" s="13">
        <f ca="1">$M1015-$O1015-$P1015+$R1015-$S1015-IF(ROUNDUP(IF(ISBLANK($U1015),$T1015,$U1015)/IF(AND($B1015=1,$D$2&lt;&gt;"Egyszeri"),1,VLOOKUP($B1015+IF($C1015=12,1,0),Paraméterek!$B$257:$D$267,IF($D$2="Egyszeri",3,2))),IF($D$4="Forint",0,2))&gt;$M1015-$O1015-$P1015+$R1015-$S1015-IF($D$4="Forint",Paraméterek!$C$216,Paraméterek!$D$216),0,ROUNDUP(IF(ISBLANK($U1015),$T1015,$U1015)/IF(AND($B1015=1,$D$2&lt;&gt;"Egyszeri"),1,VLOOKUP($B1015+IF($C1015=12,1,0),Paraméterek!$B$257:$D$267,IF($D$2="Egyszeri",3,2))),IF($D$4="Forint",0,2)))</f>
        <v>-1313896</v>
      </c>
      <c r="W1015" s="13">
        <f ca="1">ROUNDDOWN($V1015*VLOOKUP($B1015+IF($C1015=12,1,0),Paraméterek!$B$257:$D$267,IF($D$2="Egyszeri",3,2)),IF($D$4="Forint",0,2))</f>
        <v>-1313896</v>
      </c>
      <c r="Y1015" s="32">
        <v>996</v>
      </c>
      <c r="Z1015" s="32">
        <v>83</v>
      </c>
      <c r="AA1015" s="32">
        <v>12</v>
      </c>
      <c r="AB1015" s="13">
        <f t="shared" si="236"/>
        <v>0</v>
      </c>
      <c r="AC1015" s="33"/>
      <c r="AD1015" s="13">
        <f t="shared" si="232"/>
        <v>0</v>
      </c>
      <c r="AE1015" s="13">
        <f>ROUNDUP(($AB1015+$AD1015)*VLOOKUP($Z1015,Paraméterek!$P$38:$Q$38,2)/12,IF($D$4="Forint",0,2))</f>
        <v>0</v>
      </c>
      <c r="AF1015" s="13">
        <f>IF($D$2="Egyszeri",IF($D$7&gt;=IF($D$4="Forint",Paraméterek!$P$223,Paraméterek!$P$224),$D$7-IF($D$4="Forint",Paraméterek!$F$223,Paraméterek!$F$224),0),MIN(IF($AA1015=12,AVERAGE($D$20:$D1015)*12,0),SUM($D$20:$D$31)))</f>
        <v>0</v>
      </c>
      <c r="AG1015" s="13">
        <f>IF(AND($Z1015&gt;=10,MOD($Z1015,5)=0),$AF1015*IF($AA1015=12,VLOOKUP($Z1015,Paraméterek!$B$225:$F$240,IF($AF1015&lt;IF($D$4="Forint",Paraméterek!$C$223,Paraméterek!$C$224),2,IF($AF1015&lt;IF($D$4="Forint",Paraméterek!$D$223,Paraméterek!$D$224),3,4))),0),0)</f>
        <v>0</v>
      </c>
      <c r="AH1015" s="13">
        <f>IF(AND($Z1015&gt;=5,MOD($Z1015,5)=0),IF($AA1015=12,VLOOKUP($Z1015,Paraméterek!$B$225:$F$240,5),0),IF(OR($Z1015=3,$Z1015=4),IF($AA1015=12,VLOOKUP($Z1015,Paraméterek!$B$225:$F$240,5,0),0),0))*$AF1015</f>
        <v>0</v>
      </c>
      <c r="AI1015" s="13">
        <f>ROUNDDOWN(IF(SUM($T$20:$U1015)=0,IF($D$2="Egyszeri",$AH1015,$AG1015),0),IF($D$4="Forint",0,2))</f>
        <v>0</v>
      </c>
      <c r="AJ1015" s="13">
        <f t="shared" si="237"/>
        <v>0</v>
      </c>
      <c r="AK1015" s="13">
        <f t="shared" si="238"/>
        <v>0</v>
      </c>
      <c r="AM1015" s="32">
        <v>996</v>
      </c>
      <c r="AN1015" s="32">
        <v>83</v>
      </c>
      <c r="AO1015" s="32">
        <v>12</v>
      </c>
      <c r="AP1015" s="13"/>
      <c r="AQ1015" s="32"/>
      <c r="AR1015" s="13">
        <f t="shared" si="239"/>
        <v>0</v>
      </c>
      <c r="AS1015" s="33"/>
      <c r="AT1015" s="13">
        <f t="shared" si="233"/>
        <v>0</v>
      </c>
      <c r="AU1015" s="13">
        <f>ROUNDUP(($AR1015+$AT1015)*VLOOKUP($AN1015,Paraméterek!$P$38:$Q$38,2)/12,IF($D$4="Forint",0,2))</f>
        <v>0</v>
      </c>
      <c r="AV1015" s="13">
        <f>Tranzakciók!$M$114</f>
        <v>0</v>
      </c>
      <c r="AW1015" s="13"/>
      <c r="AX1015" s="13">
        <f>ROUNDUP(IF(SUM($AV1015:$AW1015)=0,0,IF(IF(ISBLANK($AW1015),$AV1015,$AW1015)*Paraméterek!$J$112&lt;IF($D$4="Forint",Paraméterek!$J$113,Paraméterek!$K$113),IF($D$4="Forint",Paraméterek!$J$113,Paraméterek!$K$113),IF(IF(ISBLANK($AW1015),$AV1015,$AW1015)*Paraméterek!$J$112&gt;IF($D$4="Forint",Paraméterek!$J$114,Paraméterek!$K$114),IF($D$4="Forint",Paraméterek!$J$114,Paraméterek!$K$114),IF(ISBLANK($AW1015),$AV1015,$AW1015)*Paraméterek!$J$112))),IF($D$4="Forint",0,2))</f>
        <v>0</v>
      </c>
      <c r="AY1015" s="13">
        <f>$AR1015+$AT1015-$AU1015-IF(ROUNDDOWN(IF(ISBLANK($AW1015),$AV1015,$AW1015),IF($D$4="Forint",0,2))&gt;$AR1015+$AT1015-$AU1015-IF($D$4="Forint",Paraméterek!$J$114,Paraméterek!$K$114),0,ROUNDDOWN(IF(ISBLANK($AW1015),$AV1015,$AW1015),IF($D$4="Forint",0,2))-$AX1015)</f>
        <v>0</v>
      </c>
      <c r="AZ1015" s="13">
        <f t="shared" si="234"/>
        <v>0</v>
      </c>
    </row>
    <row r="1016" spans="1:52" x14ac:dyDescent="0.2">
      <c r="A1016" s="32">
        <v>997</v>
      </c>
      <c r="B1016" s="32">
        <v>84</v>
      </c>
      <c r="C1016" s="32">
        <v>1</v>
      </c>
      <c r="D1016" s="13">
        <f t="shared" si="225"/>
        <v>0</v>
      </c>
      <c r="E1016" s="13"/>
      <c r="F1016" s="13">
        <f>Tranzakciók!$D$115</f>
        <v>0</v>
      </c>
      <c r="G1016" s="13"/>
      <c r="H1016" s="13">
        <f t="shared" si="226"/>
        <v>0</v>
      </c>
      <c r="I1016" s="13">
        <f t="shared" si="227"/>
        <v>1163</v>
      </c>
      <c r="J1016" s="13">
        <f t="shared" si="228"/>
        <v>1163</v>
      </c>
      <c r="K1016" s="13">
        <f>ROUNDUP(IF($D$2="Egyszeri",$D1016,IF($D$2="Havi",SUM($D$20:$D$31),IF(MOD($C1016,$M$1)-1=0,SUM($D$20:$D$31),0))/12*$M$1)*VLOOKUP($B1016,Paraméterek!$B$27:$D$30,IF($D$2="Egyszeri",3,2)),IF($D$4="Forint",0,2))</f>
        <v>0</v>
      </c>
      <c r="L1016" s="13">
        <f t="shared" si="229"/>
        <v>0</v>
      </c>
      <c r="M1016" s="13">
        <f t="shared" ca="1" si="235"/>
        <v>-1313896</v>
      </c>
      <c r="N1016" s="13">
        <f ca="1">IF($V1015&gt;=VLOOKUP($M$4-1+$B1016,Paraméterek!$B$121:$D$122,IF($D$4="Forint",2,3)),0,VLOOKUP($M$4-1+$B1016,Paraméterek!$B$121:$D$122,IF($D$4="Forint",2,3))-$V1015)</f>
        <v>1323896</v>
      </c>
      <c r="O1016" s="13">
        <f ca="1">ROUNDUP($N1016*Paraméterek!$C$58/Paraméterek!$C$56,IF($D$4="Forint",0,2))</f>
        <v>211</v>
      </c>
      <c r="P1016" s="13">
        <f t="shared" si="230"/>
        <v>6396</v>
      </c>
      <c r="Q1016" s="33"/>
      <c r="R1016" s="13">
        <f t="shared" ca="1" si="231"/>
        <v>0</v>
      </c>
      <c r="S1016" s="13">
        <f ca="1">ROUNDUP(($M1016-$O1016-$P1016+$R1016)*VLOOKUP($B1016,Paraméterek!$B$38:$D$39,IF($D$2="Egyszeri",3,2))/12,IF($D$4="Forint",0,2))</f>
        <v>-3225</v>
      </c>
      <c r="T1016" s="13"/>
      <c r="U1016" s="13"/>
      <c r="V1016" s="13">
        <f ca="1">$M1016-$O1016-$P1016+$R1016-$S1016-IF(ROUNDUP(IF(ISBLANK($U1016),$T1016,$U1016)/IF(AND($B1016=1,$D$2&lt;&gt;"Egyszeri"),1,VLOOKUP($B1016+IF($C1016=12,1,0),Paraméterek!$B$257:$D$267,IF($D$2="Egyszeri",3,2))),IF($D$4="Forint",0,2))&gt;$M1016-$O1016-$P1016+$R1016-$S1016-IF($D$4="Forint",Paraméterek!$C$216,Paraméterek!$D$216),0,ROUNDUP(IF(ISBLANK($U1016),$T1016,$U1016)/IF(AND($B1016=1,$D$2&lt;&gt;"Egyszeri"),1,VLOOKUP($B1016+IF($C1016=12,1,0),Paraméterek!$B$257:$D$267,IF($D$2="Egyszeri",3,2))),IF($D$4="Forint",0,2)))</f>
        <v>-1317278</v>
      </c>
      <c r="W1016" s="13">
        <f ca="1">ROUNDDOWN($V1016*VLOOKUP($B1016+IF($C1016=12,1,0),Paraméterek!$B$257:$D$267,IF($D$2="Egyszeri",3,2)),IF($D$4="Forint",0,2))</f>
        <v>-1317278</v>
      </c>
      <c r="Y1016" s="32">
        <v>997</v>
      </c>
      <c r="Z1016" s="32">
        <v>84</v>
      </c>
      <c r="AA1016" s="32">
        <v>1</v>
      </c>
      <c r="AB1016" s="13">
        <f t="shared" si="236"/>
        <v>0</v>
      </c>
      <c r="AC1016" s="33"/>
      <c r="AD1016" s="13">
        <f t="shared" si="232"/>
        <v>0</v>
      </c>
      <c r="AE1016" s="13">
        <f>ROUNDUP(($AB1016+$AD1016)*VLOOKUP($Z1016,Paraméterek!$P$38:$Q$38,2)/12,IF($D$4="Forint",0,2))</f>
        <v>0</v>
      </c>
      <c r="AF1016" s="13">
        <f>IF($D$2="Egyszeri",IF($D$7&gt;=IF($D$4="Forint",Paraméterek!$P$223,Paraméterek!$P$224),$D$7-IF($D$4="Forint",Paraméterek!$F$223,Paraméterek!$F$224),0),MIN(IF($AA1016=12,AVERAGE($D$20:$D1016)*12,0),SUM($D$20:$D$31)))</f>
        <v>0</v>
      </c>
      <c r="AG1016" s="13">
        <f>IF(AND($Z1016&gt;=10,MOD($Z1016,5)=0),$AF1016*IF($AA1016=12,VLOOKUP($Z1016,Paraméterek!$B$225:$F$240,IF($AF1016&lt;IF($D$4="Forint",Paraméterek!$C$223,Paraméterek!$C$224),2,IF($AF1016&lt;IF($D$4="Forint",Paraméterek!$D$223,Paraméterek!$D$224),3,4))),0),0)</f>
        <v>0</v>
      </c>
      <c r="AH1016" s="13">
        <f>IF(AND($Z1016&gt;=5,MOD($Z1016,5)=0),IF($AA1016=12,VLOOKUP($Z1016,Paraméterek!$B$225:$F$240,5),0),IF(OR($Z1016=3,$Z1016=4),IF($AA1016=12,VLOOKUP($Z1016,Paraméterek!$B$225:$F$240,5,0),0),0))*$AF1016</f>
        <v>0</v>
      </c>
      <c r="AI1016" s="13">
        <f>ROUNDDOWN(IF(SUM($T$20:$U1016)=0,IF($D$2="Egyszeri",$AH1016,$AG1016),0),IF($D$4="Forint",0,2))</f>
        <v>0</v>
      </c>
      <c r="AJ1016" s="13">
        <f t="shared" si="237"/>
        <v>0</v>
      </c>
      <c r="AK1016" s="13">
        <f t="shared" si="238"/>
        <v>0</v>
      </c>
      <c r="AM1016" s="32">
        <v>997</v>
      </c>
      <c r="AN1016" s="32">
        <v>84</v>
      </c>
      <c r="AO1016" s="32">
        <v>1</v>
      </c>
      <c r="AP1016" s="13">
        <f>Tranzakciók!$K$115</f>
        <v>0</v>
      </c>
      <c r="AQ1016" s="32"/>
      <c r="AR1016" s="13">
        <f t="shared" si="239"/>
        <v>0</v>
      </c>
      <c r="AS1016" s="33"/>
      <c r="AT1016" s="13">
        <f t="shared" si="233"/>
        <v>0</v>
      </c>
      <c r="AU1016" s="13">
        <f>ROUNDUP(($AR1016+$AT1016)*VLOOKUP($AN1016,Paraméterek!$P$38:$Q$38,2)/12,IF($D$4="Forint",0,2))</f>
        <v>0</v>
      </c>
      <c r="AV1016" s="13"/>
      <c r="AW1016" s="13"/>
      <c r="AX1016" s="13">
        <f>ROUNDUP(IF(SUM($AV1016:$AW1016)=0,0,IF(IF(ISBLANK($AW1016),$AV1016,$AW1016)*Paraméterek!$J$112&lt;IF($D$4="Forint",Paraméterek!$J$113,Paraméterek!$K$113),IF($D$4="Forint",Paraméterek!$J$113,Paraméterek!$K$113),IF(IF(ISBLANK($AW1016),$AV1016,$AW1016)*Paraméterek!$J$112&gt;IF($D$4="Forint",Paraméterek!$J$114,Paraméterek!$K$114),IF($D$4="Forint",Paraméterek!$J$114,Paraméterek!$K$114),IF(ISBLANK($AW1016),$AV1016,$AW1016)*Paraméterek!$J$112))),IF($D$4="Forint",0,2))</f>
        <v>0</v>
      </c>
      <c r="AY1016" s="13">
        <f>$AR1016+$AT1016-$AU1016-IF(ROUNDDOWN(IF(ISBLANK($AW1016),$AV1016,$AW1016),IF($D$4="Forint",0,2))&gt;$AR1016+$AT1016-$AU1016-IF($D$4="Forint",Paraméterek!$J$114,Paraméterek!$K$114),0,ROUNDDOWN(IF(ISBLANK($AW1016),$AV1016,$AW1016),IF($D$4="Forint",0,2))-$AX1016)</f>
        <v>0</v>
      </c>
      <c r="AZ1016" s="13">
        <f t="shared" si="234"/>
        <v>0</v>
      </c>
    </row>
    <row r="1017" spans="1:52" x14ac:dyDescent="0.2">
      <c r="A1017" s="32">
        <v>998</v>
      </c>
      <c r="B1017" s="32">
        <v>84</v>
      </c>
      <c r="C1017" s="32">
        <v>2</v>
      </c>
      <c r="D1017" s="13">
        <f t="shared" si="225"/>
        <v>0</v>
      </c>
      <c r="E1017" s="13"/>
      <c r="F1017" s="13"/>
      <c r="G1017" s="13"/>
      <c r="H1017" s="13">
        <f t="shared" si="226"/>
        <v>0</v>
      </c>
      <c r="I1017" s="13">
        <f t="shared" si="227"/>
        <v>0</v>
      </c>
      <c r="J1017" s="13">
        <f t="shared" si="228"/>
        <v>0</v>
      </c>
      <c r="K1017" s="13">
        <f>ROUNDUP(IF($D$2="Egyszeri",$D1017,IF($D$2="Havi",SUM($D$20:$D$31),IF(MOD($C1017,$M$1)-1=0,SUM($D$20:$D$31),0))/12*$M$1)*VLOOKUP($B1017,Paraméterek!$B$27:$D$30,IF($D$2="Egyszeri",3,2)),IF($D$4="Forint",0,2))</f>
        <v>0</v>
      </c>
      <c r="L1017" s="13">
        <f t="shared" si="229"/>
        <v>0</v>
      </c>
      <c r="M1017" s="13">
        <f t="shared" ca="1" si="235"/>
        <v>-1317278</v>
      </c>
      <c r="N1017" s="13">
        <f ca="1">IF($V1016&gt;=VLOOKUP($M$4-1+$B1017,Paraméterek!$B$121:$D$122,IF($D$4="Forint",2,3)),0,VLOOKUP($M$4-1+$B1017,Paraméterek!$B$121:$D$122,IF($D$4="Forint",2,3))-$V1016)</f>
        <v>1327278</v>
      </c>
      <c r="O1017" s="13">
        <f ca="1">ROUNDUP($N1017*Paraméterek!$C$58/Paraméterek!$C$56,IF($D$4="Forint",0,2))</f>
        <v>212</v>
      </c>
      <c r="P1017" s="13">
        <f t="shared" si="230"/>
        <v>6396</v>
      </c>
      <c r="Q1017" s="33"/>
      <c r="R1017" s="13">
        <f t="shared" ca="1" si="231"/>
        <v>0</v>
      </c>
      <c r="S1017" s="13">
        <f ca="1">ROUNDUP(($M1017-$O1017-$P1017+$R1017)*VLOOKUP($B1017,Paraméterek!$B$38:$D$39,IF($D$2="Egyszeri",3,2))/12,IF($D$4="Forint",0,2))</f>
        <v>-3233</v>
      </c>
      <c r="T1017" s="13"/>
      <c r="U1017" s="13"/>
      <c r="V1017" s="13">
        <f ca="1">$M1017-$O1017-$P1017+$R1017-$S1017-IF(ROUNDUP(IF(ISBLANK($U1017),$T1017,$U1017)/IF(AND($B1017=1,$D$2&lt;&gt;"Egyszeri"),1,VLOOKUP($B1017+IF($C1017=12,1,0),Paraméterek!$B$257:$D$267,IF($D$2="Egyszeri",3,2))),IF($D$4="Forint",0,2))&gt;$M1017-$O1017-$P1017+$R1017-$S1017-IF($D$4="Forint",Paraméterek!$C$216,Paraméterek!$D$216),0,ROUNDUP(IF(ISBLANK($U1017),$T1017,$U1017)/IF(AND($B1017=1,$D$2&lt;&gt;"Egyszeri"),1,VLOOKUP($B1017+IF($C1017=12,1,0),Paraméterek!$B$257:$D$267,IF($D$2="Egyszeri",3,2))),IF($D$4="Forint",0,2)))</f>
        <v>-1320653</v>
      </c>
      <c r="W1017" s="13">
        <f ca="1">ROUNDDOWN($V1017*VLOOKUP($B1017+IF($C1017=12,1,0),Paraméterek!$B$257:$D$267,IF($D$2="Egyszeri",3,2)),IF($D$4="Forint",0,2))</f>
        <v>-1320653</v>
      </c>
      <c r="Y1017" s="32">
        <v>998</v>
      </c>
      <c r="Z1017" s="32">
        <v>84</v>
      </c>
      <c r="AA1017" s="32">
        <v>2</v>
      </c>
      <c r="AB1017" s="13">
        <f t="shared" si="236"/>
        <v>0</v>
      </c>
      <c r="AC1017" s="33"/>
      <c r="AD1017" s="13">
        <f t="shared" si="232"/>
        <v>0</v>
      </c>
      <c r="AE1017" s="13">
        <f>ROUNDUP(($AB1017+$AD1017)*VLOOKUP($Z1017,Paraméterek!$P$38:$Q$38,2)/12,IF($D$4="Forint",0,2))</f>
        <v>0</v>
      </c>
      <c r="AF1017" s="13">
        <f>IF($D$2="Egyszeri",IF($D$7&gt;=IF($D$4="Forint",Paraméterek!$P$223,Paraméterek!$P$224),$D$7-IF($D$4="Forint",Paraméterek!$F$223,Paraméterek!$F$224),0),MIN(IF($AA1017=12,AVERAGE($D$20:$D1017)*12,0),SUM($D$20:$D$31)))</f>
        <v>0</v>
      </c>
      <c r="AG1017" s="13">
        <f>IF(AND($Z1017&gt;=10,MOD($Z1017,5)=0),$AF1017*IF($AA1017=12,VLOOKUP($Z1017,Paraméterek!$B$225:$F$240,IF($AF1017&lt;IF($D$4="Forint",Paraméterek!$C$223,Paraméterek!$C$224),2,IF($AF1017&lt;IF($D$4="Forint",Paraméterek!$D$223,Paraméterek!$D$224),3,4))),0),0)</f>
        <v>0</v>
      </c>
      <c r="AH1017" s="13">
        <f>IF(AND($Z1017&gt;=5,MOD($Z1017,5)=0),IF($AA1017=12,VLOOKUP($Z1017,Paraméterek!$B$225:$F$240,5),0),IF(OR($Z1017=3,$Z1017=4),IF($AA1017=12,VLOOKUP($Z1017,Paraméterek!$B$225:$F$240,5,0),0),0))*$AF1017</f>
        <v>0</v>
      </c>
      <c r="AI1017" s="13">
        <f>ROUNDDOWN(IF(SUM($T$20:$U1017)=0,IF($D$2="Egyszeri",$AH1017,$AG1017),0),IF($D$4="Forint",0,2))</f>
        <v>0</v>
      </c>
      <c r="AJ1017" s="13">
        <f t="shared" si="237"/>
        <v>0</v>
      </c>
      <c r="AK1017" s="13">
        <f t="shared" si="238"/>
        <v>0</v>
      </c>
      <c r="AM1017" s="32">
        <v>998</v>
      </c>
      <c r="AN1017" s="32">
        <v>84</v>
      </c>
      <c r="AO1017" s="32">
        <v>2</v>
      </c>
      <c r="AP1017" s="13"/>
      <c r="AQ1017" s="32"/>
      <c r="AR1017" s="13">
        <f t="shared" si="239"/>
        <v>0</v>
      </c>
      <c r="AS1017" s="33"/>
      <c r="AT1017" s="13">
        <f t="shared" si="233"/>
        <v>0</v>
      </c>
      <c r="AU1017" s="13">
        <f>ROUNDUP(($AR1017+$AT1017)*VLOOKUP($AN1017,Paraméterek!$P$38:$Q$38,2)/12,IF($D$4="Forint",0,2))</f>
        <v>0</v>
      </c>
      <c r="AV1017" s="13"/>
      <c r="AW1017" s="13"/>
      <c r="AX1017" s="13">
        <f>ROUNDUP(IF(SUM($AV1017:$AW1017)=0,0,IF(IF(ISBLANK($AW1017),$AV1017,$AW1017)*Paraméterek!$J$112&lt;IF($D$4="Forint",Paraméterek!$J$113,Paraméterek!$K$113),IF($D$4="Forint",Paraméterek!$J$113,Paraméterek!$K$113),IF(IF(ISBLANK($AW1017),$AV1017,$AW1017)*Paraméterek!$J$112&gt;IF($D$4="Forint",Paraméterek!$J$114,Paraméterek!$K$114),IF($D$4="Forint",Paraméterek!$J$114,Paraméterek!$K$114),IF(ISBLANK($AW1017),$AV1017,$AW1017)*Paraméterek!$J$112))),IF($D$4="Forint",0,2))</f>
        <v>0</v>
      </c>
      <c r="AY1017" s="13">
        <f>$AR1017+$AT1017-$AU1017-IF(ROUNDDOWN(IF(ISBLANK($AW1017),$AV1017,$AW1017),IF($D$4="Forint",0,2))&gt;$AR1017+$AT1017-$AU1017-IF($D$4="Forint",Paraméterek!$J$114,Paraméterek!$K$114),0,ROUNDDOWN(IF(ISBLANK($AW1017),$AV1017,$AW1017),IF($D$4="Forint",0,2))-$AX1017)</f>
        <v>0</v>
      </c>
      <c r="AZ1017" s="13">
        <f t="shared" si="234"/>
        <v>0</v>
      </c>
    </row>
    <row r="1018" spans="1:52" x14ac:dyDescent="0.2">
      <c r="A1018" s="32">
        <v>999</v>
      </c>
      <c r="B1018" s="32">
        <v>84</v>
      </c>
      <c r="C1018" s="32">
        <v>3</v>
      </c>
      <c r="D1018" s="13">
        <f t="shared" si="225"/>
        <v>0</v>
      </c>
      <c r="E1018" s="13"/>
      <c r="F1018" s="13"/>
      <c r="G1018" s="13"/>
      <c r="H1018" s="13">
        <f t="shared" si="226"/>
        <v>0</v>
      </c>
      <c r="I1018" s="13">
        <f t="shared" si="227"/>
        <v>0</v>
      </c>
      <c r="J1018" s="13">
        <f t="shared" si="228"/>
        <v>0</v>
      </c>
      <c r="K1018" s="13">
        <f>ROUNDUP(IF($D$2="Egyszeri",$D1018,IF($D$2="Havi",SUM($D$20:$D$31),IF(MOD($C1018,$M$1)-1=0,SUM($D$20:$D$31),0))/12*$M$1)*VLOOKUP($B1018,Paraméterek!$B$27:$D$30,IF($D$2="Egyszeri",3,2)),IF($D$4="Forint",0,2))</f>
        <v>0</v>
      </c>
      <c r="L1018" s="13">
        <f t="shared" si="229"/>
        <v>0</v>
      </c>
      <c r="M1018" s="13">
        <f t="shared" ca="1" si="235"/>
        <v>-1320653</v>
      </c>
      <c r="N1018" s="13">
        <f ca="1">IF($V1017&gt;=VLOOKUP($M$4-1+$B1018,Paraméterek!$B$121:$D$122,IF($D$4="Forint",2,3)),0,VLOOKUP($M$4-1+$B1018,Paraméterek!$B$121:$D$122,IF($D$4="Forint",2,3))-$V1017)</f>
        <v>1330653</v>
      </c>
      <c r="O1018" s="13">
        <f ca="1">ROUNDUP($N1018*Paraméterek!$C$58/Paraméterek!$C$56,IF($D$4="Forint",0,2))</f>
        <v>212</v>
      </c>
      <c r="P1018" s="13">
        <f t="shared" si="230"/>
        <v>6396</v>
      </c>
      <c r="Q1018" s="33"/>
      <c r="R1018" s="13">
        <f t="shared" ca="1" si="231"/>
        <v>0</v>
      </c>
      <c r="S1018" s="13">
        <f ca="1">ROUNDUP(($M1018-$O1018-$P1018+$R1018)*VLOOKUP($B1018,Paraméterek!$B$38:$D$39,IF($D$2="Egyszeri",3,2))/12,IF($D$4="Forint",0,2))</f>
        <v>-3241</v>
      </c>
      <c r="T1018" s="13"/>
      <c r="U1018" s="13"/>
      <c r="V1018" s="13">
        <f ca="1">$M1018-$O1018-$P1018+$R1018-$S1018-IF(ROUNDUP(IF(ISBLANK($U1018),$T1018,$U1018)/IF(AND($B1018=1,$D$2&lt;&gt;"Egyszeri"),1,VLOOKUP($B1018+IF($C1018=12,1,0),Paraméterek!$B$257:$D$267,IF($D$2="Egyszeri",3,2))),IF($D$4="Forint",0,2))&gt;$M1018-$O1018-$P1018+$R1018-$S1018-IF($D$4="Forint",Paraméterek!$C$216,Paraméterek!$D$216),0,ROUNDUP(IF(ISBLANK($U1018),$T1018,$U1018)/IF(AND($B1018=1,$D$2&lt;&gt;"Egyszeri"),1,VLOOKUP($B1018+IF($C1018=12,1,0),Paraméterek!$B$257:$D$267,IF($D$2="Egyszeri",3,2))),IF($D$4="Forint",0,2)))</f>
        <v>-1324020</v>
      </c>
      <c r="W1018" s="13">
        <f ca="1">ROUNDDOWN($V1018*VLOOKUP($B1018+IF($C1018=12,1,0),Paraméterek!$B$257:$D$267,IF($D$2="Egyszeri",3,2)),IF($D$4="Forint",0,2))</f>
        <v>-1324020</v>
      </c>
      <c r="Y1018" s="32">
        <v>999</v>
      </c>
      <c r="Z1018" s="32">
        <v>84</v>
      </c>
      <c r="AA1018" s="32">
        <v>3</v>
      </c>
      <c r="AB1018" s="13">
        <f t="shared" si="236"/>
        <v>0</v>
      </c>
      <c r="AC1018" s="33"/>
      <c r="AD1018" s="13">
        <f t="shared" si="232"/>
        <v>0</v>
      </c>
      <c r="AE1018" s="13">
        <f>ROUNDUP(($AB1018+$AD1018)*VLOOKUP($Z1018,Paraméterek!$P$38:$Q$38,2)/12,IF($D$4="Forint",0,2))</f>
        <v>0</v>
      </c>
      <c r="AF1018" s="13">
        <f>IF($D$2="Egyszeri",IF($D$7&gt;=IF($D$4="Forint",Paraméterek!$P$223,Paraméterek!$P$224),$D$7-IF($D$4="Forint",Paraméterek!$F$223,Paraméterek!$F$224),0),MIN(IF($AA1018=12,AVERAGE($D$20:$D1018)*12,0),SUM($D$20:$D$31)))</f>
        <v>0</v>
      </c>
      <c r="AG1018" s="13">
        <f>IF(AND($Z1018&gt;=10,MOD($Z1018,5)=0),$AF1018*IF($AA1018=12,VLOOKUP($Z1018,Paraméterek!$B$225:$F$240,IF($AF1018&lt;IF($D$4="Forint",Paraméterek!$C$223,Paraméterek!$C$224),2,IF($AF1018&lt;IF($D$4="Forint",Paraméterek!$D$223,Paraméterek!$D$224),3,4))),0),0)</f>
        <v>0</v>
      </c>
      <c r="AH1018" s="13">
        <f>IF(AND($Z1018&gt;=5,MOD($Z1018,5)=0),IF($AA1018=12,VLOOKUP($Z1018,Paraméterek!$B$225:$F$240,5),0),IF(OR($Z1018=3,$Z1018=4),IF($AA1018=12,VLOOKUP($Z1018,Paraméterek!$B$225:$F$240,5,0),0),0))*$AF1018</f>
        <v>0</v>
      </c>
      <c r="AI1018" s="13">
        <f>ROUNDDOWN(IF(SUM($T$20:$U1018)=0,IF($D$2="Egyszeri",$AH1018,$AG1018),0),IF($D$4="Forint",0,2))</f>
        <v>0</v>
      </c>
      <c r="AJ1018" s="13">
        <f t="shared" si="237"/>
        <v>0</v>
      </c>
      <c r="AK1018" s="13">
        <f t="shared" si="238"/>
        <v>0</v>
      </c>
      <c r="AM1018" s="32">
        <v>999</v>
      </c>
      <c r="AN1018" s="32">
        <v>84</v>
      </c>
      <c r="AO1018" s="32">
        <v>3</v>
      </c>
      <c r="AP1018" s="13"/>
      <c r="AQ1018" s="32"/>
      <c r="AR1018" s="13">
        <f t="shared" si="239"/>
        <v>0</v>
      </c>
      <c r="AS1018" s="33"/>
      <c r="AT1018" s="13">
        <f t="shared" si="233"/>
        <v>0</v>
      </c>
      <c r="AU1018" s="13">
        <f>ROUNDUP(($AR1018+$AT1018)*VLOOKUP($AN1018,Paraméterek!$P$38:$Q$38,2)/12,IF($D$4="Forint",0,2))</f>
        <v>0</v>
      </c>
      <c r="AV1018" s="13"/>
      <c r="AW1018" s="13"/>
      <c r="AX1018" s="13">
        <f>ROUNDUP(IF(SUM($AV1018:$AW1018)=0,0,IF(IF(ISBLANK($AW1018),$AV1018,$AW1018)*Paraméterek!$J$112&lt;IF($D$4="Forint",Paraméterek!$J$113,Paraméterek!$K$113),IF($D$4="Forint",Paraméterek!$J$113,Paraméterek!$K$113),IF(IF(ISBLANK($AW1018),$AV1018,$AW1018)*Paraméterek!$J$112&gt;IF($D$4="Forint",Paraméterek!$J$114,Paraméterek!$K$114),IF($D$4="Forint",Paraméterek!$J$114,Paraméterek!$K$114),IF(ISBLANK($AW1018),$AV1018,$AW1018)*Paraméterek!$J$112))),IF($D$4="Forint",0,2))</f>
        <v>0</v>
      </c>
      <c r="AY1018" s="13">
        <f>$AR1018+$AT1018-$AU1018-IF(ROUNDDOWN(IF(ISBLANK($AW1018),$AV1018,$AW1018),IF($D$4="Forint",0,2))&gt;$AR1018+$AT1018-$AU1018-IF($D$4="Forint",Paraméterek!$J$114,Paraméterek!$K$114),0,ROUNDDOWN(IF(ISBLANK($AW1018),$AV1018,$AW1018),IF($D$4="Forint",0,2))-$AX1018)</f>
        <v>0</v>
      </c>
      <c r="AZ1018" s="13">
        <f t="shared" si="234"/>
        <v>0</v>
      </c>
    </row>
    <row r="1019" spans="1:52" x14ac:dyDescent="0.2">
      <c r="A1019" s="32">
        <v>1000</v>
      </c>
      <c r="B1019" s="32">
        <v>84</v>
      </c>
      <c r="C1019" s="32">
        <v>4</v>
      </c>
      <c r="D1019" s="13">
        <f t="shared" si="225"/>
        <v>0</v>
      </c>
      <c r="E1019" s="13"/>
      <c r="F1019" s="13"/>
      <c r="G1019" s="13"/>
      <c r="H1019" s="13">
        <f t="shared" si="226"/>
        <v>0</v>
      </c>
      <c r="I1019" s="13">
        <f t="shared" si="227"/>
        <v>0</v>
      </c>
      <c r="J1019" s="13">
        <f t="shared" si="228"/>
        <v>0</v>
      </c>
      <c r="K1019" s="13">
        <f>ROUNDUP(IF($D$2="Egyszeri",$D1019,IF($D$2="Havi",SUM($D$20:$D$31),IF(MOD($C1019,$M$1)-1=0,SUM($D$20:$D$31),0))/12*$M$1)*VLOOKUP($B1019,Paraméterek!$B$27:$D$30,IF($D$2="Egyszeri",3,2)),IF($D$4="Forint",0,2))</f>
        <v>0</v>
      </c>
      <c r="L1019" s="13">
        <f t="shared" si="229"/>
        <v>0</v>
      </c>
      <c r="M1019" s="13">
        <f t="shared" ca="1" si="235"/>
        <v>-1324020</v>
      </c>
      <c r="N1019" s="13">
        <f ca="1">IF($V1018&gt;=VLOOKUP($M$4-1+$B1019,Paraméterek!$B$121:$D$122,IF($D$4="Forint",2,3)),0,VLOOKUP($M$4-1+$B1019,Paraméterek!$B$121:$D$122,IF($D$4="Forint",2,3))-$V1018)</f>
        <v>1334020</v>
      </c>
      <c r="O1019" s="13">
        <f ca="1">ROUNDUP($N1019*Paraméterek!$C$58/Paraméterek!$C$56,IF($D$4="Forint",0,2))</f>
        <v>213</v>
      </c>
      <c r="P1019" s="13">
        <f t="shared" si="230"/>
        <v>6396</v>
      </c>
      <c r="Q1019" s="33"/>
      <c r="R1019" s="13">
        <f t="shared" ca="1" si="231"/>
        <v>0</v>
      </c>
      <c r="S1019" s="13">
        <f ca="1">ROUNDUP(($M1019-$O1019-$P1019+$R1019)*VLOOKUP($B1019,Paraméterek!$B$38:$D$39,IF($D$2="Egyszeri",3,2))/12,IF($D$4="Forint",0,2))</f>
        <v>-3249</v>
      </c>
      <c r="T1019" s="13"/>
      <c r="U1019" s="13"/>
      <c r="V1019" s="13">
        <f ca="1">$M1019-$O1019-$P1019+$R1019-$S1019-IF(ROUNDUP(IF(ISBLANK($U1019),$T1019,$U1019)/IF(AND($B1019=1,$D$2&lt;&gt;"Egyszeri"),1,VLOOKUP($B1019+IF($C1019=12,1,0),Paraméterek!$B$257:$D$267,IF($D$2="Egyszeri",3,2))),IF($D$4="Forint",0,2))&gt;$M1019-$O1019-$P1019+$R1019-$S1019-IF($D$4="Forint",Paraméterek!$C$216,Paraméterek!$D$216),0,ROUNDUP(IF(ISBLANK($U1019),$T1019,$U1019)/IF(AND($B1019=1,$D$2&lt;&gt;"Egyszeri"),1,VLOOKUP($B1019+IF($C1019=12,1,0),Paraméterek!$B$257:$D$267,IF($D$2="Egyszeri",3,2))),IF($D$4="Forint",0,2)))</f>
        <v>-1327380</v>
      </c>
      <c r="W1019" s="13">
        <f ca="1">ROUNDDOWN($V1019*VLOOKUP($B1019+IF($C1019=12,1,0),Paraméterek!$B$257:$D$267,IF($D$2="Egyszeri",3,2)),IF($D$4="Forint",0,2))</f>
        <v>-1327380</v>
      </c>
      <c r="Y1019" s="32">
        <v>1000</v>
      </c>
      <c r="Z1019" s="32">
        <v>84</v>
      </c>
      <c r="AA1019" s="32">
        <v>4</v>
      </c>
      <c r="AB1019" s="13">
        <f t="shared" si="236"/>
        <v>0</v>
      </c>
      <c r="AC1019" s="33"/>
      <c r="AD1019" s="13">
        <f t="shared" si="232"/>
        <v>0</v>
      </c>
      <c r="AE1019" s="13">
        <f>ROUNDUP(($AB1019+$AD1019)*VLOOKUP($Z1019,Paraméterek!$P$38:$Q$38,2)/12,IF($D$4="Forint",0,2))</f>
        <v>0</v>
      </c>
      <c r="AF1019" s="13">
        <f>IF($D$2="Egyszeri",IF($D$7&gt;=IF($D$4="Forint",Paraméterek!$P$223,Paraméterek!$P$224),$D$7-IF($D$4="Forint",Paraméterek!$F$223,Paraméterek!$F$224),0),MIN(IF($AA1019=12,AVERAGE($D$20:$D1019)*12,0),SUM($D$20:$D$31)))</f>
        <v>0</v>
      </c>
      <c r="AG1019" s="13">
        <f>IF(AND($Z1019&gt;=10,MOD($Z1019,5)=0),$AF1019*IF($AA1019=12,VLOOKUP($Z1019,Paraméterek!$B$225:$F$240,IF($AF1019&lt;IF($D$4="Forint",Paraméterek!$C$223,Paraméterek!$C$224),2,IF($AF1019&lt;IF($D$4="Forint",Paraméterek!$D$223,Paraméterek!$D$224),3,4))),0),0)</f>
        <v>0</v>
      </c>
      <c r="AH1019" s="13">
        <f>IF(AND($Z1019&gt;=5,MOD($Z1019,5)=0),IF($AA1019=12,VLOOKUP($Z1019,Paraméterek!$B$225:$F$240,5),0),IF(OR($Z1019=3,$Z1019=4),IF($AA1019=12,VLOOKUP($Z1019,Paraméterek!$B$225:$F$240,5,0),0),0))*$AF1019</f>
        <v>0</v>
      </c>
      <c r="AI1019" s="13">
        <f>ROUNDDOWN(IF(SUM($T$20:$U1019)=0,IF($D$2="Egyszeri",$AH1019,$AG1019),0),IF($D$4="Forint",0,2))</f>
        <v>0</v>
      </c>
      <c r="AJ1019" s="13">
        <f t="shared" si="237"/>
        <v>0</v>
      </c>
      <c r="AK1019" s="13">
        <f t="shared" si="238"/>
        <v>0</v>
      </c>
      <c r="AM1019" s="32">
        <v>1000</v>
      </c>
      <c r="AN1019" s="32">
        <v>84</v>
      </c>
      <c r="AO1019" s="32">
        <v>4</v>
      </c>
      <c r="AP1019" s="13"/>
      <c r="AQ1019" s="32"/>
      <c r="AR1019" s="13">
        <f t="shared" si="239"/>
        <v>0</v>
      </c>
      <c r="AS1019" s="33"/>
      <c r="AT1019" s="13">
        <f t="shared" si="233"/>
        <v>0</v>
      </c>
      <c r="AU1019" s="13">
        <f>ROUNDUP(($AR1019+$AT1019)*VLOOKUP($AN1019,Paraméterek!$P$38:$Q$38,2)/12,IF($D$4="Forint",0,2))</f>
        <v>0</v>
      </c>
      <c r="AV1019" s="13"/>
      <c r="AW1019" s="13"/>
      <c r="AX1019" s="13">
        <f>ROUNDUP(IF(SUM($AV1019:$AW1019)=0,0,IF(IF(ISBLANK($AW1019),$AV1019,$AW1019)*Paraméterek!$J$112&lt;IF($D$4="Forint",Paraméterek!$J$113,Paraméterek!$K$113),IF($D$4="Forint",Paraméterek!$J$113,Paraméterek!$K$113),IF(IF(ISBLANK($AW1019),$AV1019,$AW1019)*Paraméterek!$J$112&gt;IF($D$4="Forint",Paraméterek!$J$114,Paraméterek!$K$114),IF($D$4="Forint",Paraméterek!$J$114,Paraméterek!$K$114),IF(ISBLANK($AW1019),$AV1019,$AW1019)*Paraméterek!$J$112))),IF($D$4="Forint",0,2))</f>
        <v>0</v>
      </c>
      <c r="AY1019" s="13">
        <f>$AR1019+$AT1019-$AU1019-IF(ROUNDDOWN(IF(ISBLANK($AW1019),$AV1019,$AW1019),IF($D$4="Forint",0,2))&gt;$AR1019+$AT1019-$AU1019-IF($D$4="Forint",Paraméterek!$J$114,Paraméterek!$K$114),0,ROUNDDOWN(IF(ISBLANK($AW1019),$AV1019,$AW1019),IF($D$4="Forint",0,2))-$AX1019)</f>
        <v>0</v>
      </c>
      <c r="AZ1019" s="13">
        <f t="shared" si="234"/>
        <v>0</v>
      </c>
    </row>
    <row r="1020" spans="1:52" x14ac:dyDescent="0.2">
      <c r="A1020" s="32">
        <v>1001</v>
      </c>
      <c r="B1020" s="32">
        <v>84</v>
      </c>
      <c r="C1020" s="32">
        <v>5</v>
      </c>
      <c r="D1020" s="13">
        <f t="shared" si="225"/>
        <v>0</v>
      </c>
      <c r="E1020" s="13"/>
      <c r="F1020" s="13"/>
      <c r="G1020" s="13"/>
      <c r="H1020" s="13">
        <f t="shared" si="226"/>
        <v>0</v>
      </c>
      <c r="I1020" s="13">
        <f t="shared" si="227"/>
        <v>0</v>
      </c>
      <c r="J1020" s="13">
        <f t="shared" si="228"/>
        <v>0</v>
      </c>
      <c r="K1020" s="13">
        <f>ROUNDUP(IF($D$2="Egyszeri",$D1020,IF($D$2="Havi",SUM($D$20:$D$31),IF(MOD($C1020,$M$1)-1=0,SUM($D$20:$D$31),0))/12*$M$1)*VLOOKUP($B1020,Paraméterek!$B$27:$D$30,IF($D$2="Egyszeri",3,2)),IF($D$4="Forint",0,2))</f>
        <v>0</v>
      </c>
      <c r="L1020" s="13">
        <f t="shared" si="229"/>
        <v>0</v>
      </c>
      <c r="M1020" s="13">
        <f t="shared" ca="1" si="235"/>
        <v>-1327380</v>
      </c>
      <c r="N1020" s="13">
        <f ca="1">IF($V1019&gt;=VLOOKUP($M$4-1+$B1020,Paraméterek!$B$121:$D$122,IF($D$4="Forint",2,3)),0,VLOOKUP($M$4-1+$B1020,Paraméterek!$B$121:$D$122,IF($D$4="Forint",2,3))-$V1019)</f>
        <v>1337380</v>
      </c>
      <c r="O1020" s="13">
        <f ca="1">ROUNDUP($N1020*Paraméterek!$C$58/Paraméterek!$C$56,IF($D$4="Forint",0,2))</f>
        <v>213</v>
      </c>
      <c r="P1020" s="13">
        <f t="shared" si="230"/>
        <v>6396</v>
      </c>
      <c r="Q1020" s="33"/>
      <c r="R1020" s="13">
        <f t="shared" ca="1" si="231"/>
        <v>0</v>
      </c>
      <c r="S1020" s="13">
        <f ca="1">ROUNDUP(($M1020-$O1020-$P1020+$R1020)*VLOOKUP($B1020,Paraméterek!$B$38:$D$39,IF($D$2="Egyszeri",3,2))/12,IF($D$4="Forint",0,2))</f>
        <v>-3258</v>
      </c>
      <c r="T1020" s="13"/>
      <c r="U1020" s="13"/>
      <c r="V1020" s="13">
        <f ca="1">$M1020-$O1020-$P1020+$R1020-$S1020-IF(ROUNDUP(IF(ISBLANK($U1020),$T1020,$U1020)/IF(AND($B1020=1,$D$2&lt;&gt;"Egyszeri"),1,VLOOKUP($B1020+IF($C1020=12,1,0),Paraméterek!$B$257:$D$267,IF($D$2="Egyszeri",3,2))),IF($D$4="Forint",0,2))&gt;$M1020-$O1020-$P1020+$R1020-$S1020-IF($D$4="Forint",Paraméterek!$C$216,Paraméterek!$D$216),0,ROUNDUP(IF(ISBLANK($U1020),$T1020,$U1020)/IF(AND($B1020=1,$D$2&lt;&gt;"Egyszeri"),1,VLOOKUP($B1020+IF($C1020=12,1,0),Paraméterek!$B$257:$D$267,IF($D$2="Egyszeri",3,2))),IF($D$4="Forint",0,2)))</f>
        <v>-1330731</v>
      </c>
      <c r="W1020" s="13">
        <f ca="1">ROUNDDOWN($V1020*VLOOKUP($B1020+IF($C1020=12,1,0),Paraméterek!$B$257:$D$267,IF($D$2="Egyszeri",3,2)),IF($D$4="Forint",0,2))</f>
        <v>-1330731</v>
      </c>
      <c r="Y1020" s="32">
        <v>1001</v>
      </c>
      <c r="Z1020" s="32">
        <v>84</v>
      </c>
      <c r="AA1020" s="32">
        <v>5</v>
      </c>
      <c r="AB1020" s="13">
        <f t="shared" si="236"/>
        <v>0</v>
      </c>
      <c r="AC1020" s="33"/>
      <c r="AD1020" s="13">
        <f t="shared" si="232"/>
        <v>0</v>
      </c>
      <c r="AE1020" s="13">
        <f>ROUNDUP(($AB1020+$AD1020)*VLOOKUP($Z1020,Paraméterek!$P$38:$Q$38,2)/12,IF($D$4="Forint",0,2))</f>
        <v>0</v>
      </c>
      <c r="AF1020" s="13">
        <f>IF($D$2="Egyszeri",IF($D$7&gt;=IF($D$4="Forint",Paraméterek!$P$223,Paraméterek!$P$224),$D$7-IF($D$4="Forint",Paraméterek!$F$223,Paraméterek!$F$224),0),MIN(IF($AA1020=12,AVERAGE($D$20:$D1020)*12,0),SUM($D$20:$D$31)))</f>
        <v>0</v>
      </c>
      <c r="AG1020" s="13">
        <f>IF(AND($Z1020&gt;=10,MOD($Z1020,5)=0),$AF1020*IF($AA1020=12,VLOOKUP($Z1020,Paraméterek!$B$225:$F$240,IF($AF1020&lt;IF($D$4="Forint",Paraméterek!$C$223,Paraméterek!$C$224),2,IF($AF1020&lt;IF($D$4="Forint",Paraméterek!$D$223,Paraméterek!$D$224),3,4))),0),0)</f>
        <v>0</v>
      </c>
      <c r="AH1020" s="13">
        <f>IF(AND($Z1020&gt;=5,MOD($Z1020,5)=0),IF($AA1020=12,VLOOKUP($Z1020,Paraméterek!$B$225:$F$240,5),0),IF(OR($Z1020=3,$Z1020=4),IF($AA1020=12,VLOOKUP($Z1020,Paraméterek!$B$225:$F$240,5,0),0),0))*$AF1020</f>
        <v>0</v>
      </c>
      <c r="AI1020" s="13">
        <f>ROUNDDOWN(IF(SUM($T$20:$U1020)=0,IF($D$2="Egyszeri",$AH1020,$AG1020),0),IF($D$4="Forint",0,2))</f>
        <v>0</v>
      </c>
      <c r="AJ1020" s="13">
        <f t="shared" si="237"/>
        <v>0</v>
      </c>
      <c r="AK1020" s="13">
        <f t="shared" si="238"/>
        <v>0</v>
      </c>
      <c r="AM1020" s="32">
        <v>1001</v>
      </c>
      <c r="AN1020" s="32">
        <v>84</v>
      </c>
      <c r="AO1020" s="32">
        <v>5</v>
      </c>
      <c r="AP1020" s="13"/>
      <c r="AQ1020" s="32"/>
      <c r="AR1020" s="13">
        <f t="shared" si="239"/>
        <v>0</v>
      </c>
      <c r="AS1020" s="33"/>
      <c r="AT1020" s="13">
        <f t="shared" si="233"/>
        <v>0</v>
      </c>
      <c r="AU1020" s="13">
        <f>ROUNDUP(($AR1020+$AT1020)*VLOOKUP($AN1020,Paraméterek!$P$38:$Q$38,2)/12,IF($D$4="Forint",0,2))</f>
        <v>0</v>
      </c>
      <c r="AV1020" s="13"/>
      <c r="AW1020" s="13"/>
      <c r="AX1020" s="13">
        <f>ROUNDUP(IF(SUM($AV1020:$AW1020)=0,0,IF(IF(ISBLANK($AW1020),$AV1020,$AW1020)*Paraméterek!$J$112&lt;IF($D$4="Forint",Paraméterek!$J$113,Paraméterek!$K$113),IF($D$4="Forint",Paraméterek!$J$113,Paraméterek!$K$113),IF(IF(ISBLANK($AW1020),$AV1020,$AW1020)*Paraméterek!$J$112&gt;IF($D$4="Forint",Paraméterek!$J$114,Paraméterek!$K$114),IF($D$4="Forint",Paraméterek!$J$114,Paraméterek!$K$114),IF(ISBLANK($AW1020),$AV1020,$AW1020)*Paraméterek!$J$112))),IF($D$4="Forint",0,2))</f>
        <v>0</v>
      </c>
      <c r="AY1020" s="13">
        <f>$AR1020+$AT1020-$AU1020-IF(ROUNDDOWN(IF(ISBLANK($AW1020),$AV1020,$AW1020),IF($D$4="Forint",0,2))&gt;$AR1020+$AT1020-$AU1020-IF($D$4="Forint",Paraméterek!$J$114,Paraméterek!$K$114),0,ROUNDDOWN(IF(ISBLANK($AW1020),$AV1020,$AW1020),IF($D$4="Forint",0,2))-$AX1020)</f>
        <v>0</v>
      </c>
      <c r="AZ1020" s="13">
        <f t="shared" si="234"/>
        <v>0</v>
      </c>
    </row>
    <row r="1021" spans="1:52" x14ac:dyDescent="0.2">
      <c r="A1021" s="32">
        <v>1002</v>
      </c>
      <c r="B1021" s="32">
        <v>84</v>
      </c>
      <c r="C1021" s="32">
        <v>6</v>
      </c>
      <c r="D1021" s="13">
        <f t="shared" si="225"/>
        <v>0</v>
      </c>
      <c r="E1021" s="13"/>
      <c r="F1021" s="13"/>
      <c r="G1021" s="13"/>
      <c r="H1021" s="13">
        <f t="shared" si="226"/>
        <v>0</v>
      </c>
      <c r="I1021" s="13">
        <f t="shared" si="227"/>
        <v>0</v>
      </c>
      <c r="J1021" s="13">
        <f t="shared" si="228"/>
        <v>0</v>
      </c>
      <c r="K1021" s="13">
        <f>ROUNDUP(IF($D$2="Egyszeri",$D1021,IF($D$2="Havi",SUM($D$20:$D$31),IF(MOD($C1021,$M$1)-1=0,SUM($D$20:$D$31),0))/12*$M$1)*VLOOKUP($B1021,Paraméterek!$B$27:$D$30,IF($D$2="Egyszeri",3,2)),IF($D$4="Forint",0,2))</f>
        <v>0</v>
      </c>
      <c r="L1021" s="13">
        <f t="shared" si="229"/>
        <v>0</v>
      </c>
      <c r="M1021" s="13">
        <f t="shared" ca="1" si="235"/>
        <v>-1330731</v>
      </c>
      <c r="N1021" s="13">
        <f ca="1">IF($V1020&gt;=VLOOKUP($M$4-1+$B1021,Paraméterek!$B$121:$D$122,IF($D$4="Forint",2,3)),0,VLOOKUP($M$4-1+$B1021,Paraméterek!$B$121:$D$122,IF($D$4="Forint",2,3))-$V1020)</f>
        <v>1340731</v>
      </c>
      <c r="O1021" s="13">
        <f ca="1">ROUNDUP($N1021*Paraméterek!$C$58/Paraméterek!$C$56,IF($D$4="Forint",0,2))</f>
        <v>214</v>
      </c>
      <c r="P1021" s="13">
        <f t="shared" si="230"/>
        <v>6396</v>
      </c>
      <c r="Q1021" s="33"/>
      <c r="R1021" s="13">
        <f t="shared" ca="1" si="231"/>
        <v>0</v>
      </c>
      <c r="S1021" s="13">
        <f ca="1">ROUNDUP(($M1021-$O1021-$P1021+$R1021)*VLOOKUP($B1021,Paraméterek!$B$38:$D$39,IF($D$2="Egyszeri",3,2))/12,IF($D$4="Forint",0,2))</f>
        <v>-3266</v>
      </c>
      <c r="T1021" s="13"/>
      <c r="U1021" s="13"/>
      <c r="V1021" s="13">
        <f ca="1">$M1021-$O1021-$P1021+$R1021-$S1021-IF(ROUNDUP(IF(ISBLANK($U1021),$T1021,$U1021)/IF(AND($B1021=1,$D$2&lt;&gt;"Egyszeri"),1,VLOOKUP($B1021+IF($C1021=12,1,0),Paraméterek!$B$257:$D$267,IF($D$2="Egyszeri",3,2))),IF($D$4="Forint",0,2))&gt;$M1021-$O1021-$P1021+$R1021-$S1021-IF($D$4="Forint",Paraméterek!$C$216,Paraméterek!$D$216),0,ROUNDUP(IF(ISBLANK($U1021),$T1021,$U1021)/IF(AND($B1021=1,$D$2&lt;&gt;"Egyszeri"),1,VLOOKUP($B1021+IF($C1021=12,1,0),Paraméterek!$B$257:$D$267,IF($D$2="Egyszeri",3,2))),IF($D$4="Forint",0,2)))</f>
        <v>-1334075</v>
      </c>
      <c r="W1021" s="13">
        <f ca="1">ROUNDDOWN($V1021*VLOOKUP($B1021+IF($C1021=12,1,0),Paraméterek!$B$257:$D$267,IF($D$2="Egyszeri",3,2)),IF($D$4="Forint",0,2))</f>
        <v>-1334075</v>
      </c>
      <c r="Y1021" s="32">
        <v>1002</v>
      </c>
      <c r="Z1021" s="32">
        <v>84</v>
      </c>
      <c r="AA1021" s="32">
        <v>6</v>
      </c>
      <c r="AB1021" s="13">
        <f t="shared" si="236"/>
        <v>0</v>
      </c>
      <c r="AC1021" s="33"/>
      <c r="AD1021" s="13">
        <f t="shared" si="232"/>
        <v>0</v>
      </c>
      <c r="AE1021" s="13">
        <f>ROUNDUP(($AB1021+$AD1021)*VLOOKUP($Z1021,Paraméterek!$P$38:$Q$38,2)/12,IF($D$4="Forint",0,2))</f>
        <v>0</v>
      </c>
      <c r="AF1021" s="13">
        <f>IF($D$2="Egyszeri",IF($D$7&gt;=IF($D$4="Forint",Paraméterek!$P$223,Paraméterek!$P$224),$D$7-IF($D$4="Forint",Paraméterek!$F$223,Paraméterek!$F$224),0),MIN(IF($AA1021=12,AVERAGE($D$20:$D1021)*12,0),SUM($D$20:$D$31)))</f>
        <v>0</v>
      </c>
      <c r="AG1021" s="13">
        <f>IF(AND($Z1021&gt;=10,MOD($Z1021,5)=0),$AF1021*IF($AA1021=12,VLOOKUP($Z1021,Paraméterek!$B$225:$F$240,IF($AF1021&lt;IF($D$4="Forint",Paraméterek!$C$223,Paraméterek!$C$224),2,IF($AF1021&lt;IF($D$4="Forint",Paraméterek!$D$223,Paraméterek!$D$224),3,4))),0),0)</f>
        <v>0</v>
      </c>
      <c r="AH1021" s="13">
        <f>IF(AND($Z1021&gt;=5,MOD($Z1021,5)=0),IF($AA1021=12,VLOOKUP($Z1021,Paraméterek!$B$225:$F$240,5),0),IF(OR($Z1021=3,$Z1021=4),IF($AA1021=12,VLOOKUP($Z1021,Paraméterek!$B$225:$F$240,5,0),0),0))*$AF1021</f>
        <v>0</v>
      </c>
      <c r="AI1021" s="13">
        <f>ROUNDDOWN(IF(SUM($T$20:$U1021)=0,IF($D$2="Egyszeri",$AH1021,$AG1021),0),IF($D$4="Forint",0,2))</f>
        <v>0</v>
      </c>
      <c r="AJ1021" s="13">
        <f t="shared" si="237"/>
        <v>0</v>
      </c>
      <c r="AK1021" s="13">
        <f t="shared" si="238"/>
        <v>0</v>
      </c>
      <c r="AM1021" s="32">
        <v>1002</v>
      </c>
      <c r="AN1021" s="32">
        <v>84</v>
      </c>
      <c r="AO1021" s="32">
        <v>6</v>
      </c>
      <c r="AP1021" s="13"/>
      <c r="AQ1021" s="32"/>
      <c r="AR1021" s="13">
        <f t="shared" si="239"/>
        <v>0</v>
      </c>
      <c r="AS1021" s="33"/>
      <c r="AT1021" s="13">
        <f t="shared" si="233"/>
        <v>0</v>
      </c>
      <c r="AU1021" s="13">
        <f>ROUNDUP(($AR1021+$AT1021)*VLOOKUP($AN1021,Paraméterek!$P$38:$Q$38,2)/12,IF($D$4="Forint",0,2))</f>
        <v>0</v>
      </c>
      <c r="AV1021" s="13"/>
      <c r="AW1021" s="13"/>
      <c r="AX1021" s="13">
        <f>ROUNDUP(IF(SUM($AV1021:$AW1021)=0,0,IF(IF(ISBLANK($AW1021),$AV1021,$AW1021)*Paraméterek!$J$112&lt;IF($D$4="Forint",Paraméterek!$J$113,Paraméterek!$K$113),IF($D$4="Forint",Paraméterek!$J$113,Paraméterek!$K$113),IF(IF(ISBLANK($AW1021),$AV1021,$AW1021)*Paraméterek!$J$112&gt;IF($D$4="Forint",Paraméterek!$J$114,Paraméterek!$K$114),IF($D$4="Forint",Paraméterek!$J$114,Paraméterek!$K$114),IF(ISBLANK($AW1021),$AV1021,$AW1021)*Paraméterek!$J$112))),IF($D$4="Forint",0,2))</f>
        <v>0</v>
      </c>
      <c r="AY1021" s="13">
        <f>$AR1021+$AT1021-$AU1021-IF(ROUNDDOWN(IF(ISBLANK($AW1021),$AV1021,$AW1021),IF($D$4="Forint",0,2))&gt;$AR1021+$AT1021-$AU1021-IF($D$4="Forint",Paraméterek!$J$114,Paraméterek!$K$114),0,ROUNDDOWN(IF(ISBLANK($AW1021),$AV1021,$AW1021),IF($D$4="Forint",0,2))-$AX1021)</f>
        <v>0</v>
      </c>
      <c r="AZ1021" s="13">
        <f t="shared" si="234"/>
        <v>0</v>
      </c>
    </row>
    <row r="1022" spans="1:52" x14ac:dyDescent="0.2">
      <c r="A1022" s="32">
        <v>1003</v>
      </c>
      <c r="B1022" s="32">
        <v>84</v>
      </c>
      <c r="C1022" s="32">
        <v>7</v>
      </c>
      <c r="D1022" s="13">
        <f t="shared" si="225"/>
        <v>0</v>
      </c>
      <c r="E1022" s="13"/>
      <c r="F1022" s="13"/>
      <c r="G1022" s="13"/>
      <c r="H1022" s="13">
        <f t="shared" si="226"/>
        <v>0</v>
      </c>
      <c r="I1022" s="13">
        <f t="shared" si="227"/>
        <v>0</v>
      </c>
      <c r="J1022" s="13">
        <f t="shared" si="228"/>
        <v>0</v>
      </c>
      <c r="K1022" s="13">
        <f>ROUNDUP(IF($D$2="Egyszeri",$D1022,IF($D$2="Havi",SUM($D$20:$D$31),IF(MOD($C1022,$M$1)-1=0,SUM($D$20:$D$31),0))/12*$M$1)*VLOOKUP($B1022,Paraméterek!$B$27:$D$30,IF($D$2="Egyszeri",3,2)),IF($D$4="Forint",0,2))</f>
        <v>0</v>
      </c>
      <c r="L1022" s="13">
        <f t="shared" si="229"/>
        <v>0</v>
      </c>
      <c r="M1022" s="13">
        <f t="shared" ca="1" si="235"/>
        <v>-1334075</v>
      </c>
      <c r="N1022" s="13">
        <f ca="1">IF($V1021&gt;=VLOOKUP($M$4-1+$B1022,Paraméterek!$B$121:$D$122,IF($D$4="Forint",2,3)),0,VLOOKUP($M$4-1+$B1022,Paraméterek!$B$121:$D$122,IF($D$4="Forint",2,3))-$V1021)</f>
        <v>1344075</v>
      </c>
      <c r="O1022" s="13">
        <f ca="1">ROUNDUP($N1022*Paraméterek!$C$58/Paraméterek!$C$56,IF($D$4="Forint",0,2))</f>
        <v>214</v>
      </c>
      <c r="P1022" s="13">
        <f t="shared" si="230"/>
        <v>6396</v>
      </c>
      <c r="Q1022" s="33"/>
      <c r="R1022" s="13">
        <f t="shared" ca="1" si="231"/>
        <v>0</v>
      </c>
      <c r="S1022" s="13">
        <f ca="1">ROUNDUP(($M1022-$O1022-$P1022+$R1022)*VLOOKUP($B1022,Paraméterek!$B$38:$D$39,IF($D$2="Egyszeri",3,2))/12,IF($D$4="Forint",0,2))</f>
        <v>-3274</v>
      </c>
      <c r="T1022" s="13"/>
      <c r="U1022" s="13"/>
      <c r="V1022" s="13">
        <f ca="1">$M1022-$O1022-$P1022+$R1022-$S1022-IF(ROUNDUP(IF(ISBLANK($U1022),$T1022,$U1022)/IF(AND($B1022=1,$D$2&lt;&gt;"Egyszeri"),1,VLOOKUP($B1022+IF($C1022=12,1,0),Paraméterek!$B$257:$D$267,IF($D$2="Egyszeri",3,2))),IF($D$4="Forint",0,2))&gt;$M1022-$O1022-$P1022+$R1022-$S1022-IF($D$4="Forint",Paraméterek!$C$216,Paraméterek!$D$216),0,ROUNDUP(IF(ISBLANK($U1022),$T1022,$U1022)/IF(AND($B1022=1,$D$2&lt;&gt;"Egyszeri"),1,VLOOKUP($B1022+IF($C1022=12,1,0),Paraméterek!$B$257:$D$267,IF($D$2="Egyszeri",3,2))),IF($D$4="Forint",0,2)))</f>
        <v>-1337411</v>
      </c>
      <c r="W1022" s="13">
        <f ca="1">ROUNDDOWN($V1022*VLOOKUP($B1022+IF($C1022=12,1,0),Paraméterek!$B$257:$D$267,IF($D$2="Egyszeri",3,2)),IF($D$4="Forint",0,2))</f>
        <v>-1337411</v>
      </c>
      <c r="Y1022" s="32">
        <v>1003</v>
      </c>
      <c r="Z1022" s="32">
        <v>84</v>
      </c>
      <c r="AA1022" s="32">
        <v>7</v>
      </c>
      <c r="AB1022" s="13">
        <f t="shared" si="236"/>
        <v>0</v>
      </c>
      <c r="AC1022" s="33"/>
      <c r="AD1022" s="13">
        <f t="shared" si="232"/>
        <v>0</v>
      </c>
      <c r="AE1022" s="13">
        <f>ROUNDUP(($AB1022+$AD1022)*VLOOKUP($Z1022,Paraméterek!$P$38:$Q$38,2)/12,IF($D$4="Forint",0,2))</f>
        <v>0</v>
      </c>
      <c r="AF1022" s="13">
        <f>IF($D$2="Egyszeri",IF($D$7&gt;=IF($D$4="Forint",Paraméterek!$P$223,Paraméterek!$P$224),$D$7-IF($D$4="Forint",Paraméterek!$F$223,Paraméterek!$F$224),0),MIN(IF($AA1022=12,AVERAGE($D$20:$D1022)*12,0),SUM($D$20:$D$31)))</f>
        <v>0</v>
      </c>
      <c r="AG1022" s="13">
        <f>IF(AND($Z1022&gt;=10,MOD($Z1022,5)=0),$AF1022*IF($AA1022=12,VLOOKUP($Z1022,Paraméterek!$B$225:$F$240,IF($AF1022&lt;IF($D$4="Forint",Paraméterek!$C$223,Paraméterek!$C$224),2,IF($AF1022&lt;IF($D$4="Forint",Paraméterek!$D$223,Paraméterek!$D$224),3,4))),0),0)</f>
        <v>0</v>
      </c>
      <c r="AH1022" s="13">
        <f>IF(AND($Z1022&gt;=5,MOD($Z1022,5)=0),IF($AA1022=12,VLOOKUP($Z1022,Paraméterek!$B$225:$F$240,5),0),IF(OR($Z1022=3,$Z1022=4),IF($AA1022=12,VLOOKUP($Z1022,Paraméterek!$B$225:$F$240,5,0),0),0))*$AF1022</f>
        <v>0</v>
      </c>
      <c r="AI1022" s="13">
        <f>ROUNDDOWN(IF(SUM($T$20:$U1022)=0,IF($D$2="Egyszeri",$AH1022,$AG1022),0),IF($D$4="Forint",0,2))</f>
        <v>0</v>
      </c>
      <c r="AJ1022" s="13">
        <f t="shared" si="237"/>
        <v>0</v>
      </c>
      <c r="AK1022" s="13">
        <f t="shared" si="238"/>
        <v>0</v>
      </c>
      <c r="AM1022" s="32">
        <v>1003</v>
      </c>
      <c r="AN1022" s="32">
        <v>84</v>
      </c>
      <c r="AO1022" s="32">
        <v>7</v>
      </c>
      <c r="AP1022" s="13"/>
      <c r="AQ1022" s="32"/>
      <c r="AR1022" s="13">
        <f t="shared" si="239"/>
        <v>0</v>
      </c>
      <c r="AS1022" s="33"/>
      <c r="AT1022" s="13">
        <f t="shared" si="233"/>
        <v>0</v>
      </c>
      <c r="AU1022" s="13">
        <f>ROUNDUP(($AR1022+$AT1022)*VLOOKUP($AN1022,Paraméterek!$P$38:$Q$38,2)/12,IF($D$4="Forint",0,2))</f>
        <v>0</v>
      </c>
      <c r="AV1022" s="13"/>
      <c r="AW1022" s="13"/>
      <c r="AX1022" s="13">
        <f>ROUNDUP(IF(SUM($AV1022:$AW1022)=0,0,IF(IF(ISBLANK($AW1022),$AV1022,$AW1022)*Paraméterek!$J$112&lt;IF($D$4="Forint",Paraméterek!$J$113,Paraméterek!$K$113),IF($D$4="Forint",Paraméterek!$J$113,Paraméterek!$K$113),IF(IF(ISBLANK($AW1022),$AV1022,$AW1022)*Paraméterek!$J$112&gt;IF($D$4="Forint",Paraméterek!$J$114,Paraméterek!$K$114),IF($D$4="Forint",Paraméterek!$J$114,Paraméterek!$K$114),IF(ISBLANK($AW1022),$AV1022,$AW1022)*Paraméterek!$J$112))),IF($D$4="Forint",0,2))</f>
        <v>0</v>
      </c>
      <c r="AY1022" s="13">
        <f>$AR1022+$AT1022-$AU1022-IF(ROUNDDOWN(IF(ISBLANK($AW1022),$AV1022,$AW1022),IF($D$4="Forint",0,2))&gt;$AR1022+$AT1022-$AU1022-IF($D$4="Forint",Paraméterek!$J$114,Paraméterek!$K$114),0,ROUNDDOWN(IF(ISBLANK($AW1022),$AV1022,$AW1022),IF($D$4="Forint",0,2))-$AX1022)</f>
        <v>0</v>
      </c>
      <c r="AZ1022" s="13">
        <f t="shared" si="234"/>
        <v>0</v>
      </c>
    </row>
    <row r="1023" spans="1:52" x14ac:dyDescent="0.2">
      <c r="A1023" s="32">
        <v>1004</v>
      </c>
      <c r="B1023" s="32">
        <v>84</v>
      </c>
      <c r="C1023" s="32">
        <v>8</v>
      </c>
      <c r="D1023" s="13">
        <f t="shared" si="225"/>
        <v>0</v>
      </c>
      <c r="E1023" s="13"/>
      <c r="F1023" s="13"/>
      <c r="G1023" s="13"/>
      <c r="H1023" s="13">
        <f t="shared" si="226"/>
        <v>0</v>
      </c>
      <c r="I1023" s="13">
        <f t="shared" si="227"/>
        <v>0</v>
      </c>
      <c r="J1023" s="13">
        <f t="shared" si="228"/>
        <v>0</v>
      </c>
      <c r="K1023" s="13">
        <f>ROUNDUP(IF($D$2="Egyszeri",$D1023,IF($D$2="Havi",SUM($D$20:$D$31),IF(MOD($C1023,$M$1)-1=0,SUM($D$20:$D$31),0))/12*$M$1)*VLOOKUP($B1023,Paraméterek!$B$27:$D$30,IF($D$2="Egyszeri",3,2)),IF($D$4="Forint",0,2))</f>
        <v>0</v>
      </c>
      <c r="L1023" s="13">
        <f t="shared" si="229"/>
        <v>0</v>
      </c>
      <c r="M1023" s="13">
        <f t="shared" ca="1" si="235"/>
        <v>-1337411</v>
      </c>
      <c r="N1023" s="13">
        <f ca="1">IF($V1022&gt;=VLOOKUP($M$4-1+$B1023,Paraméterek!$B$121:$D$122,IF($D$4="Forint",2,3)),0,VLOOKUP($M$4-1+$B1023,Paraméterek!$B$121:$D$122,IF($D$4="Forint",2,3))-$V1022)</f>
        <v>1347411</v>
      </c>
      <c r="O1023" s="13">
        <f ca="1">ROUNDUP($N1023*Paraméterek!$C$58/Paraméterek!$C$56,IF($D$4="Forint",0,2))</f>
        <v>215</v>
      </c>
      <c r="P1023" s="13">
        <f t="shared" si="230"/>
        <v>6396</v>
      </c>
      <c r="Q1023" s="33"/>
      <c r="R1023" s="13">
        <f t="shared" ca="1" si="231"/>
        <v>0</v>
      </c>
      <c r="S1023" s="13">
        <f ca="1">ROUNDUP(($M1023-$O1023-$P1023+$R1023)*VLOOKUP($B1023,Paraméterek!$B$38:$D$39,IF($D$2="Egyszeri",3,2))/12,IF($D$4="Forint",0,2))</f>
        <v>-3282</v>
      </c>
      <c r="T1023" s="13"/>
      <c r="U1023" s="13"/>
      <c r="V1023" s="13">
        <f ca="1">$M1023-$O1023-$P1023+$R1023-$S1023-IF(ROUNDUP(IF(ISBLANK($U1023),$T1023,$U1023)/IF(AND($B1023=1,$D$2&lt;&gt;"Egyszeri"),1,VLOOKUP($B1023+IF($C1023=12,1,0),Paraméterek!$B$257:$D$267,IF($D$2="Egyszeri",3,2))),IF($D$4="Forint",0,2))&gt;$M1023-$O1023-$P1023+$R1023-$S1023-IF($D$4="Forint",Paraméterek!$C$216,Paraméterek!$D$216),0,ROUNDUP(IF(ISBLANK($U1023),$T1023,$U1023)/IF(AND($B1023=1,$D$2&lt;&gt;"Egyszeri"),1,VLOOKUP($B1023+IF($C1023=12,1,0),Paraméterek!$B$257:$D$267,IF($D$2="Egyszeri",3,2))),IF($D$4="Forint",0,2)))</f>
        <v>-1340740</v>
      </c>
      <c r="W1023" s="13">
        <f ca="1">ROUNDDOWN($V1023*VLOOKUP($B1023+IF($C1023=12,1,0),Paraméterek!$B$257:$D$267,IF($D$2="Egyszeri",3,2)),IF($D$4="Forint",0,2))</f>
        <v>-1340740</v>
      </c>
      <c r="Y1023" s="32">
        <v>1004</v>
      </c>
      <c r="Z1023" s="32">
        <v>84</v>
      </c>
      <c r="AA1023" s="32">
        <v>8</v>
      </c>
      <c r="AB1023" s="13">
        <f t="shared" si="236"/>
        <v>0</v>
      </c>
      <c r="AC1023" s="33"/>
      <c r="AD1023" s="13">
        <f t="shared" si="232"/>
        <v>0</v>
      </c>
      <c r="AE1023" s="13">
        <f>ROUNDUP(($AB1023+$AD1023)*VLOOKUP($Z1023,Paraméterek!$P$38:$Q$38,2)/12,IF($D$4="Forint",0,2))</f>
        <v>0</v>
      </c>
      <c r="AF1023" s="13">
        <f>IF($D$2="Egyszeri",IF($D$7&gt;=IF($D$4="Forint",Paraméterek!$P$223,Paraméterek!$P$224),$D$7-IF($D$4="Forint",Paraméterek!$F$223,Paraméterek!$F$224),0),MIN(IF($AA1023=12,AVERAGE($D$20:$D1023)*12,0),SUM($D$20:$D$31)))</f>
        <v>0</v>
      </c>
      <c r="AG1023" s="13">
        <f>IF(AND($Z1023&gt;=10,MOD($Z1023,5)=0),$AF1023*IF($AA1023=12,VLOOKUP($Z1023,Paraméterek!$B$225:$F$240,IF($AF1023&lt;IF($D$4="Forint",Paraméterek!$C$223,Paraméterek!$C$224),2,IF($AF1023&lt;IF($D$4="Forint",Paraméterek!$D$223,Paraméterek!$D$224),3,4))),0),0)</f>
        <v>0</v>
      </c>
      <c r="AH1023" s="13">
        <f>IF(AND($Z1023&gt;=5,MOD($Z1023,5)=0),IF($AA1023=12,VLOOKUP($Z1023,Paraméterek!$B$225:$F$240,5),0),IF(OR($Z1023=3,$Z1023=4),IF($AA1023=12,VLOOKUP($Z1023,Paraméterek!$B$225:$F$240,5,0),0),0))*$AF1023</f>
        <v>0</v>
      </c>
      <c r="AI1023" s="13">
        <f>ROUNDDOWN(IF(SUM($T$20:$U1023)=0,IF($D$2="Egyszeri",$AH1023,$AG1023),0),IF($D$4="Forint",0,2))</f>
        <v>0</v>
      </c>
      <c r="AJ1023" s="13">
        <f t="shared" si="237"/>
        <v>0</v>
      </c>
      <c r="AK1023" s="13">
        <f t="shared" si="238"/>
        <v>0</v>
      </c>
      <c r="AM1023" s="32">
        <v>1004</v>
      </c>
      <c r="AN1023" s="32">
        <v>84</v>
      </c>
      <c r="AO1023" s="32">
        <v>8</v>
      </c>
      <c r="AP1023" s="13"/>
      <c r="AQ1023" s="32"/>
      <c r="AR1023" s="13">
        <f t="shared" si="239"/>
        <v>0</v>
      </c>
      <c r="AS1023" s="33"/>
      <c r="AT1023" s="13">
        <f t="shared" si="233"/>
        <v>0</v>
      </c>
      <c r="AU1023" s="13">
        <f>ROUNDUP(($AR1023+$AT1023)*VLOOKUP($AN1023,Paraméterek!$P$38:$Q$38,2)/12,IF($D$4="Forint",0,2))</f>
        <v>0</v>
      </c>
      <c r="AV1023" s="13"/>
      <c r="AW1023" s="13"/>
      <c r="AX1023" s="13">
        <f>ROUNDUP(IF(SUM($AV1023:$AW1023)=0,0,IF(IF(ISBLANK($AW1023),$AV1023,$AW1023)*Paraméterek!$J$112&lt;IF($D$4="Forint",Paraméterek!$J$113,Paraméterek!$K$113),IF($D$4="Forint",Paraméterek!$J$113,Paraméterek!$K$113),IF(IF(ISBLANK($AW1023),$AV1023,$AW1023)*Paraméterek!$J$112&gt;IF($D$4="Forint",Paraméterek!$J$114,Paraméterek!$K$114),IF($D$4="Forint",Paraméterek!$J$114,Paraméterek!$K$114),IF(ISBLANK($AW1023),$AV1023,$AW1023)*Paraméterek!$J$112))),IF($D$4="Forint",0,2))</f>
        <v>0</v>
      </c>
      <c r="AY1023" s="13">
        <f>$AR1023+$AT1023-$AU1023-IF(ROUNDDOWN(IF(ISBLANK($AW1023),$AV1023,$AW1023),IF($D$4="Forint",0,2))&gt;$AR1023+$AT1023-$AU1023-IF($D$4="Forint",Paraméterek!$J$114,Paraméterek!$K$114),0,ROUNDDOWN(IF(ISBLANK($AW1023),$AV1023,$AW1023),IF($D$4="Forint",0,2))-$AX1023)</f>
        <v>0</v>
      </c>
      <c r="AZ1023" s="13">
        <f t="shared" si="234"/>
        <v>0</v>
      </c>
    </row>
    <row r="1024" spans="1:52" x14ac:dyDescent="0.2">
      <c r="A1024" s="32">
        <v>1005</v>
      </c>
      <c r="B1024" s="32">
        <v>84</v>
      </c>
      <c r="C1024" s="32">
        <v>9</v>
      </c>
      <c r="D1024" s="13">
        <f t="shared" si="225"/>
        <v>0</v>
      </c>
      <c r="E1024" s="13"/>
      <c r="F1024" s="13"/>
      <c r="G1024" s="13"/>
      <c r="H1024" s="13">
        <f t="shared" si="226"/>
        <v>0</v>
      </c>
      <c r="I1024" s="13">
        <f t="shared" si="227"/>
        <v>0</v>
      </c>
      <c r="J1024" s="13">
        <f t="shared" si="228"/>
        <v>0</v>
      </c>
      <c r="K1024" s="13">
        <f>ROUNDUP(IF($D$2="Egyszeri",$D1024,IF($D$2="Havi",SUM($D$20:$D$31),IF(MOD($C1024,$M$1)-1=0,SUM($D$20:$D$31),0))/12*$M$1)*VLOOKUP($B1024,Paraméterek!$B$27:$D$30,IF($D$2="Egyszeri",3,2)),IF($D$4="Forint",0,2))</f>
        <v>0</v>
      </c>
      <c r="L1024" s="13">
        <f t="shared" si="229"/>
        <v>0</v>
      </c>
      <c r="M1024" s="13">
        <f t="shared" ca="1" si="235"/>
        <v>-1340740</v>
      </c>
      <c r="N1024" s="13">
        <f ca="1">IF($V1023&gt;=VLOOKUP($M$4-1+$B1024,Paraméterek!$B$121:$D$122,IF($D$4="Forint",2,3)),0,VLOOKUP($M$4-1+$B1024,Paraméterek!$B$121:$D$122,IF($D$4="Forint",2,3))-$V1023)</f>
        <v>1350740</v>
      </c>
      <c r="O1024" s="13">
        <f ca="1">ROUNDUP($N1024*Paraméterek!$C$58/Paraméterek!$C$56,IF($D$4="Forint",0,2))</f>
        <v>215</v>
      </c>
      <c r="P1024" s="13">
        <f t="shared" si="230"/>
        <v>6396</v>
      </c>
      <c r="Q1024" s="33"/>
      <c r="R1024" s="13">
        <f t="shared" ca="1" si="231"/>
        <v>0</v>
      </c>
      <c r="S1024" s="13">
        <f ca="1">ROUNDUP(($M1024-$O1024-$P1024+$R1024)*VLOOKUP($B1024,Paraméterek!$B$38:$D$39,IF($D$2="Egyszeri",3,2))/12,IF($D$4="Forint",0,2))</f>
        <v>-3290</v>
      </c>
      <c r="T1024" s="13"/>
      <c r="U1024" s="13"/>
      <c r="V1024" s="13">
        <f ca="1">$M1024-$O1024-$P1024+$R1024-$S1024-IF(ROUNDUP(IF(ISBLANK($U1024),$T1024,$U1024)/IF(AND($B1024=1,$D$2&lt;&gt;"Egyszeri"),1,VLOOKUP($B1024+IF($C1024=12,1,0),Paraméterek!$B$257:$D$267,IF($D$2="Egyszeri",3,2))),IF($D$4="Forint",0,2))&gt;$M1024-$O1024-$P1024+$R1024-$S1024-IF($D$4="Forint",Paraméterek!$C$216,Paraméterek!$D$216),0,ROUNDUP(IF(ISBLANK($U1024),$T1024,$U1024)/IF(AND($B1024=1,$D$2&lt;&gt;"Egyszeri"),1,VLOOKUP($B1024+IF($C1024=12,1,0),Paraméterek!$B$257:$D$267,IF($D$2="Egyszeri",3,2))),IF($D$4="Forint",0,2)))</f>
        <v>-1344061</v>
      </c>
      <c r="W1024" s="13">
        <f ca="1">ROUNDDOWN($V1024*VLOOKUP($B1024+IF($C1024=12,1,0),Paraméterek!$B$257:$D$267,IF($D$2="Egyszeri",3,2)),IF($D$4="Forint",0,2))</f>
        <v>-1344061</v>
      </c>
      <c r="Y1024" s="32">
        <v>1005</v>
      </c>
      <c r="Z1024" s="32">
        <v>84</v>
      </c>
      <c r="AA1024" s="32">
        <v>9</v>
      </c>
      <c r="AB1024" s="13">
        <f t="shared" si="236"/>
        <v>0</v>
      </c>
      <c r="AC1024" s="33"/>
      <c r="AD1024" s="13">
        <f t="shared" si="232"/>
        <v>0</v>
      </c>
      <c r="AE1024" s="13">
        <f>ROUNDUP(($AB1024+$AD1024)*VLOOKUP($Z1024,Paraméterek!$P$38:$Q$38,2)/12,IF($D$4="Forint",0,2))</f>
        <v>0</v>
      </c>
      <c r="AF1024" s="13">
        <f>IF($D$2="Egyszeri",IF($D$7&gt;=IF($D$4="Forint",Paraméterek!$P$223,Paraméterek!$P$224),$D$7-IF($D$4="Forint",Paraméterek!$F$223,Paraméterek!$F$224),0),MIN(IF($AA1024=12,AVERAGE($D$20:$D1024)*12,0),SUM($D$20:$D$31)))</f>
        <v>0</v>
      </c>
      <c r="AG1024" s="13">
        <f>IF(AND($Z1024&gt;=10,MOD($Z1024,5)=0),$AF1024*IF($AA1024=12,VLOOKUP($Z1024,Paraméterek!$B$225:$F$240,IF($AF1024&lt;IF($D$4="Forint",Paraméterek!$C$223,Paraméterek!$C$224),2,IF($AF1024&lt;IF($D$4="Forint",Paraméterek!$D$223,Paraméterek!$D$224),3,4))),0),0)</f>
        <v>0</v>
      </c>
      <c r="AH1024" s="13">
        <f>IF(AND($Z1024&gt;=5,MOD($Z1024,5)=0),IF($AA1024=12,VLOOKUP($Z1024,Paraméterek!$B$225:$F$240,5),0),IF(OR($Z1024=3,$Z1024=4),IF($AA1024=12,VLOOKUP($Z1024,Paraméterek!$B$225:$F$240,5,0),0),0))*$AF1024</f>
        <v>0</v>
      </c>
      <c r="AI1024" s="13">
        <f>ROUNDDOWN(IF(SUM($T$20:$U1024)=0,IF($D$2="Egyszeri",$AH1024,$AG1024),0),IF($D$4="Forint",0,2))</f>
        <v>0</v>
      </c>
      <c r="AJ1024" s="13">
        <f t="shared" si="237"/>
        <v>0</v>
      </c>
      <c r="AK1024" s="13">
        <f t="shared" si="238"/>
        <v>0</v>
      </c>
      <c r="AM1024" s="32">
        <v>1005</v>
      </c>
      <c r="AN1024" s="32">
        <v>84</v>
      </c>
      <c r="AO1024" s="32">
        <v>9</v>
      </c>
      <c r="AP1024" s="13"/>
      <c r="AQ1024" s="32"/>
      <c r="AR1024" s="13">
        <f t="shared" si="239"/>
        <v>0</v>
      </c>
      <c r="AS1024" s="33"/>
      <c r="AT1024" s="13">
        <f t="shared" si="233"/>
        <v>0</v>
      </c>
      <c r="AU1024" s="13">
        <f>ROUNDUP(($AR1024+$AT1024)*VLOOKUP($AN1024,Paraméterek!$P$38:$Q$38,2)/12,IF($D$4="Forint",0,2))</f>
        <v>0</v>
      </c>
      <c r="AV1024" s="13"/>
      <c r="AW1024" s="13"/>
      <c r="AX1024" s="13">
        <f>ROUNDUP(IF(SUM($AV1024:$AW1024)=0,0,IF(IF(ISBLANK($AW1024),$AV1024,$AW1024)*Paraméterek!$J$112&lt;IF($D$4="Forint",Paraméterek!$J$113,Paraméterek!$K$113),IF($D$4="Forint",Paraméterek!$J$113,Paraméterek!$K$113),IF(IF(ISBLANK($AW1024),$AV1024,$AW1024)*Paraméterek!$J$112&gt;IF($D$4="Forint",Paraméterek!$J$114,Paraméterek!$K$114),IF($D$4="Forint",Paraméterek!$J$114,Paraméterek!$K$114),IF(ISBLANK($AW1024),$AV1024,$AW1024)*Paraméterek!$J$112))),IF($D$4="Forint",0,2))</f>
        <v>0</v>
      </c>
      <c r="AY1024" s="13">
        <f>$AR1024+$AT1024-$AU1024-IF(ROUNDDOWN(IF(ISBLANK($AW1024),$AV1024,$AW1024),IF($D$4="Forint",0,2))&gt;$AR1024+$AT1024-$AU1024-IF($D$4="Forint",Paraméterek!$J$114,Paraméterek!$K$114),0,ROUNDDOWN(IF(ISBLANK($AW1024),$AV1024,$AW1024),IF($D$4="Forint",0,2))-$AX1024)</f>
        <v>0</v>
      </c>
      <c r="AZ1024" s="13">
        <f t="shared" si="234"/>
        <v>0</v>
      </c>
    </row>
    <row r="1025" spans="1:52" x14ac:dyDescent="0.2">
      <c r="A1025" s="32">
        <v>1006</v>
      </c>
      <c r="B1025" s="32">
        <v>84</v>
      </c>
      <c r="C1025" s="32">
        <v>10</v>
      </c>
      <c r="D1025" s="13">
        <f t="shared" si="225"/>
        <v>0</v>
      </c>
      <c r="E1025" s="13"/>
      <c r="F1025" s="13"/>
      <c r="G1025" s="13"/>
      <c r="H1025" s="13">
        <f t="shared" si="226"/>
        <v>0</v>
      </c>
      <c r="I1025" s="13">
        <f t="shared" si="227"/>
        <v>0</v>
      </c>
      <c r="J1025" s="13">
        <f t="shared" si="228"/>
        <v>0</v>
      </c>
      <c r="K1025" s="13">
        <f>ROUNDUP(IF($D$2="Egyszeri",$D1025,IF($D$2="Havi",SUM($D$20:$D$31),IF(MOD($C1025,$M$1)-1=0,SUM($D$20:$D$31),0))/12*$M$1)*VLOOKUP($B1025,Paraméterek!$B$27:$D$30,IF($D$2="Egyszeri",3,2)),IF($D$4="Forint",0,2))</f>
        <v>0</v>
      </c>
      <c r="L1025" s="13">
        <f t="shared" si="229"/>
        <v>0</v>
      </c>
      <c r="M1025" s="13">
        <f t="shared" ca="1" si="235"/>
        <v>-1344061</v>
      </c>
      <c r="N1025" s="13">
        <f ca="1">IF($V1024&gt;=VLOOKUP($M$4-1+$B1025,Paraméterek!$B$121:$D$122,IF($D$4="Forint",2,3)),0,VLOOKUP($M$4-1+$B1025,Paraméterek!$B$121:$D$122,IF($D$4="Forint",2,3))-$V1024)</f>
        <v>1354061</v>
      </c>
      <c r="O1025" s="13">
        <f ca="1">ROUNDUP($N1025*Paraméterek!$C$58/Paraméterek!$C$56,IF($D$4="Forint",0,2))</f>
        <v>216</v>
      </c>
      <c r="P1025" s="13">
        <f t="shared" si="230"/>
        <v>6396</v>
      </c>
      <c r="Q1025" s="33"/>
      <c r="R1025" s="13">
        <f t="shared" ca="1" si="231"/>
        <v>0</v>
      </c>
      <c r="S1025" s="13">
        <f ca="1">ROUNDUP(($M1025-$O1025-$P1025+$R1025)*VLOOKUP($B1025,Paraméterek!$B$38:$D$39,IF($D$2="Egyszeri",3,2))/12,IF($D$4="Forint",0,2))</f>
        <v>-3298</v>
      </c>
      <c r="T1025" s="13"/>
      <c r="U1025" s="13"/>
      <c r="V1025" s="13">
        <f ca="1">$M1025-$O1025-$P1025+$R1025-$S1025-IF(ROUNDUP(IF(ISBLANK($U1025),$T1025,$U1025)/IF(AND($B1025=1,$D$2&lt;&gt;"Egyszeri"),1,VLOOKUP($B1025+IF($C1025=12,1,0),Paraméterek!$B$257:$D$267,IF($D$2="Egyszeri",3,2))),IF($D$4="Forint",0,2))&gt;$M1025-$O1025-$P1025+$R1025-$S1025-IF($D$4="Forint",Paraméterek!$C$216,Paraméterek!$D$216),0,ROUNDUP(IF(ISBLANK($U1025),$T1025,$U1025)/IF(AND($B1025=1,$D$2&lt;&gt;"Egyszeri"),1,VLOOKUP($B1025+IF($C1025=12,1,0),Paraméterek!$B$257:$D$267,IF($D$2="Egyszeri",3,2))),IF($D$4="Forint",0,2)))</f>
        <v>-1347375</v>
      </c>
      <c r="W1025" s="13">
        <f ca="1">ROUNDDOWN($V1025*VLOOKUP($B1025+IF($C1025=12,1,0),Paraméterek!$B$257:$D$267,IF($D$2="Egyszeri",3,2)),IF($D$4="Forint",0,2))</f>
        <v>-1347375</v>
      </c>
      <c r="Y1025" s="32">
        <v>1006</v>
      </c>
      <c r="Z1025" s="32">
        <v>84</v>
      </c>
      <c r="AA1025" s="32">
        <v>10</v>
      </c>
      <c r="AB1025" s="13">
        <f t="shared" si="236"/>
        <v>0</v>
      </c>
      <c r="AC1025" s="33"/>
      <c r="AD1025" s="13">
        <f t="shared" si="232"/>
        <v>0</v>
      </c>
      <c r="AE1025" s="13">
        <f>ROUNDUP(($AB1025+$AD1025)*VLOOKUP($Z1025,Paraméterek!$P$38:$Q$38,2)/12,IF($D$4="Forint",0,2))</f>
        <v>0</v>
      </c>
      <c r="AF1025" s="13">
        <f>IF($D$2="Egyszeri",IF($D$7&gt;=IF($D$4="Forint",Paraméterek!$P$223,Paraméterek!$P$224),$D$7-IF($D$4="Forint",Paraméterek!$F$223,Paraméterek!$F$224),0),MIN(IF($AA1025=12,AVERAGE($D$20:$D1025)*12,0),SUM($D$20:$D$31)))</f>
        <v>0</v>
      </c>
      <c r="AG1025" s="13">
        <f>IF(AND($Z1025&gt;=10,MOD($Z1025,5)=0),$AF1025*IF($AA1025=12,VLOOKUP($Z1025,Paraméterek!$B$225:$F$240,IF($AF1025&lt;IF($D$4="Forint",Paraméterek!$C$223,Paraméterek!$C$224),2,IF($AF1025&lt;IF($D$4="Forint",Paraméterek!$D$223,Paraméterek!$D$224),3,4))),0),0)</f>
        <v>0</v>
      </c>
      <c r="AH1025" s="13">
        <f>IF(AND($Z1025&gt;=5,MOD($Z1025,5)=0),IF($AA1025=12,VLOOKUP($Z1025,Paraméterek!$B$225:$F$240,5),0),IF(OR($Z1025=3,$Z1025=4),IF($AA1025=12,VLOOKUP($Z1025,Paraméterek!$B$225:$F$240,5,0),0),0))*$AF1025</f>
        <v>0</v>
      </c>
      <c r="AI1025" s="13">
        <f>ROUNDDOWN(IF(SUM($T$20:$U1025)=0,IF($D$2="Egyszeri",$AH1025,$AG1025),0),IF($D$4="Forint",0,2))</f>
        <v>0</v>
      </c>
      <c r="AJ1025" s="13">
        <f t="shared" si="237"/>
        <v>0</v>
      </c>
      <c r="AK1025" s="13">
        <f t="shared" si="238"/>
        <v>0</v>
      </c>
      <c r="AM1025" s="32">
        <v>1006</v>
      </c>
      <c r="AN1025" s="32">
        <v>84</v>
      </c>
      <c r="AO1025" s="32">
        <v>10</v>
      </c>
      <c r="AP1025" s="13"/>
      <c r="AQ1025" s="32"/>
      <c r="AR1025" s="13">
        <f t="shared" si="239"/>
        <v>0</v>
      </c>
      <c r="AS1025" s="33"/>
      <c r="AT1025" s="13">
        <f t="shared" si="233"/>
        <v>0</v>
      </c>
      <c r="AU1025" s="13">
        <f>ROUNDUP(($AR1025+$AT1025)*VLOOKUP($AN1025,Paraméterek!$P$38:$Q$38,2)/12,IF($D$4="Forint",0,2))</f>
        <v>0</v>
      </c>
      <c r="AV1025" s="13"/>
      <c r="AW1025" s="13"/>
      <c r="AX1025" s="13">
        <f>ROUNDUP(IF(SUM($AV1025:$AW1025)=0,0,IF(IF(ISBLANK($AW1025),$AV1025,$AW1025)*Paraméterek!$J$112&lt;IF($D$4="Forint",Paraméterek!$J$113,Paraméterek!$K$113),IF($D$4="Forint",Paraméterek!$J$113,Paraméterek!$K$113),IF(IF(ISBLANK($AW1025),$AV1025,$AW1025)*Paraméterek!$J$112&gt;IF($D$4="Forint",Paraméterek!$J$114,Paraméterek!$K$114),IF($D$4="Forint",Paraméterek!$J$114,Paraméterek!$K$114),IF(ISBLANK($AW1025),$AV1025,$AW1025)*Paraméterek!$J$112))),IF($D$4="Forint",0,2))</f>
        <v>0</v>
      </c>
      <c r="AY1025" s="13">
        <f>$AR1025+$AT1025-$AU1025-IF(ROUNDDOWN(IF(ISBLANK($AW1025),$AV1025,$AW1025),IF($D$4="Forint",0,2))&gt;$AR1025+$AT1025-$AU1025-IF($D$4="Forint",Paraméterek!$J$114,Paraméterek!$K$114),0,ROUNDDOWN(IF(ISBLANK($AW1025),$AV1025,$AW1025),IF($D$4="Forint",0,2))-$AX1025)</f>
        <v>0</v>
      </c>
      <c r="AZ1025" s="13">
        <f t="shared" si="234"/>
        <v>0</v>
      </c>
    </row>
    <row r="1026" spans="1:52" x14ac:dyDescent="0.2">
      <c r="A1026" s="32">
        <v>1007</v>
      </c>
      <c r="B1026" s="32">
        <v>84</v>
      </c>
      <c r="C1026" s="32">
        <v>11</v>
      </c>
      <c r="D1026" s="13">
        <f t="shared" si="225"/>
        <v>0</v>
      </c>
      <c r="E1026" s="13"/>
      <c r="F1026" s="13"/>
      <c r="G1026" s="13"/>
      <c r="H1026" s="13">
        <f t="shared" si="226"/>
        <v>0</v>
      </c>
      <c r="I1026" s="13">
        <f t="shared" si="227"/>
        <v>0</v>
      </c>
      <c r="J1026" s="13">
        <f t="shared" si="228"/>
        <v>0</v>
      </c>
      <c r="K1026" s="13">
        <f>ROUNDUP(IF($D$2="Egyszeri",$D1026,IF($D$2="Havi",SUM($D$20:$D$31),IF(MOD($C1026,$M$1)-1=0,SUM($D$20:$D$31),0))/12*$M$1)*VLOOKUP($B1026,Paraméterek!$B$27:$D$30,IF($D$2="Egyszeri",3,2)),IF($D$4="Forint",0,2))</f>
        <v>0</v>
      </c>
      <c r="L1026" s="13">
        <f t="shared" si="229"/>
        <v>0</v>
      </c>
      <c r="M1026" s="13">
        <f t="shared" ca="1" si="235"/>
        <v>-1347375</v>
      </c>
      <c r="N1026" s="13">
        <f ca="1">IF($V1025&gt;=VLOOKUP($M$4-1+$B1026,Paraméterek!$B$121:$D$122,IF($D$4="Forint",2,3)),0,VLOOKUP($M$4-1+$B1026,Paraméterek!$B$121:$D$122,IF($D$4="Forint",2,3))-$V1025)</f>
        <v>1357375</v>
      </c>
      <c r="O1026" s="13">
        <f ca="1">ROUNDUP($N1026*Paraméterek!$C$58/Paraméterek!$C$56,IF($D$4="Forint",0,2))</f>
        <v>217</v>
      </c>
      <c r="P1026" s="13">
        <f t="shared" si="230"/>
        <v>6396</v>
      </c>
      <c r="Q1026" s="33"/>
      <c r="R1026" s="13">
        <f t="shared" ca="1" si="231"/>
        <v>0</v>
      </c>
      <c r="S1026" s="13">
        <f ca="1">ROUNDUP(($M1026-$O1026-$P1026+$R1026)*VLOOKUP($B1026,Paraméterek!$B$38:$D$39,IF($D$2="Egyszeri",3,2))/12,IF($D$4="Forint",0,2))</f>
        <v>-3306</v>
      </c>
      <c r="T1026" s="13"/>
      <c r="U1026" s="13"/>
      <c r="V1026" s="13">
        <f ca="1">$M1026-$O1026-$P1026+$R1026-$S1026-IF(ROUNDUP(IF(ISBLANK($U1026),$T1026,$U1026)/IF(AND($B1026=1,$D$2&lt;&gt;"Egyszeri"),1,VLOOKUP($B1026+IF($C1026=12,1,0),Paraméterek!$B$257:$D$267,IF($D$2="Egyszeri",3,2))),IF($D$4="Forint",0,2))&gt;$M1026-$O1026-$P1026+$R1026-$S1026-IF($D$4="Forint",Paraméterek!$C$216,Paraméterek!$D$216),0,ROUNDUP(IF(ISBLANK($U1026),$T1026,$U1026)/IF(AND($B1026=1,$D$2&lt;&gt;"Egyszeri"),1,VLOOKUP($B1026+IF($C1026=12,1,0),Paraméterek!$B$257:$D$267,IF($D$2="Egyszeri",3,2))),IF($D$4="Forint",0,2)))</f>
        <v>-1350682</v>
      </c>
      <c r="W1026" s="13">
        <f ca="1">ROUNDDOWN($V1026*VLOOKUP($B1026+IF($C1026=12,1,0),Paraméterek!$B$257:$D$267,IF($D$2="Egyszeri",3,2)),IF($D$4="Forint",0,2))</f>
        <v>-1350682</v>
      </c>
      <c r="Y1026" s="32">
        <v>1007</v>
      </c>
      <c r="Z1026" s="32">
        <v>84</v>
      </c>
      <c r="AA1026" s="32">
        <v>11</v>
      </c>
      <c r="AB1026" s="13">
        <f t="shared" si="236"/>
        <v>0</v>
      </c>
      <c r="AC1026" s="33"/>
      <c r="AD1026" s="13">
        <f t="shared" si="232"/>
        <v>0</v>
      </c>
      <c r="AE1026" s="13">
        <f>ROUNDUP(($AB1026+$AD1026)*VLOOKUP($Z1026,Paraméterek!$P$38:$Q$38,2)/12,IF($D$4="Forint",0,2))</f>
        <v>0</v>
      </c>
      <c r="AF1026" s="13">
        <f>IF($D$2="Egyszeri",IF($D$7&gt;=IF($D$4="Forint",Paraméterek!$P$223,Paraméterek!$P$224),$D$7-IF($D$4="Forint",Paraméterek!$F$223,Paraméterek!$F$224),0),MIN(IF($AA1026=12,AVERAGE($D$20:$D1026)*12,0),SUM($D$20:$D$31)))</f>
        <v>0</v>
      </c>
      <c r="AG1026" s="13">
        <f>IF(AND($Z1026&gt;=10,MOD($Z1026,5)=0),$AF1026*IF($AA1026=12,VLOOKUP($Z1026,Paraméterek!$B$225:$F$240,IF($AF1026&lt;IF($D$4="Forint",Paraméterek!$C$223,Paraméterek!$C$224),2,IF($AF1026&lt;IF($D$4="Forint",Paraméterek!$D$223,Paraméterek!$D$224),3,4))),0),0)</f>
        <v>0</v>
      </c>
      <c r="AH1026" s="13">
        <f>IF(AND($Z1026&gt;=5,MOD($Z1026,5)=0),IF($AA1026=12,VLOOKUP($Z1026,Paraméterek!$B$225:$F$240,5),0),IF(OR($Z1026=3,$Z1026=4),IF($AA1026=12,VLOOKUP($Z1026,Paraméterek!$B$225:$F$240,5,0),0),0))*$AF1026</f>
        <v>0</v>
      </c>
      <c r="AI1026" s="13">
        <f>ROUNDDOWN(IF(SUM($T$20:$U1026)=0,IF($D$2="Egyszeri",$AH1026,$AG1026),0),IF($D$4="Forint",0,2))</f>
        <v>0</v>
      </c>
      <c r="AJ1026" s="13">
        <f t="shared" si="237"/>
        <v>0</v>
      </c>
      <c r="AK1026" s="13">
        <f t="shared" si="238"/>
        <v>0</v>
      </c>
      <c r="AM1026" s="32">
        <v>1007</v>
      </c>
      <c r="AN1026" s="32">
        <v>84</v>
      </c>
      <c r="AO1026" s="32">
        <v>11</v>
      </c>
      <c r="AP1026" s="13"/>
      <c r="AQ1026" s="32"/>
      <c r="AR1026" s="13">
        <f t="shared" si="239"/>
        <v>0</v>
      </c>
      <c r="AS1026" s="33"/>
      <c r="AT1026" s="13">
        <f t="shared" si="233"/>
        <v>0</v>
      </c>
      <c r="AU1026" s="13">
        <f>ROUNDUP(($AR1026+$AT1026)*VLOOKUP($AN1026,Paraméterek!$P$38:$Q$38,2)/12,IF($D$4="Forint",0,2))</f>
        <v>0</v>
      </c>
      <c r="AV1026" s="13"/>
      <c r="AW1026" s="13"/>
      <c r="AX1026" s="13">
        <f>ROUNDUP(IF(SUM($AV1026:$AW1026)=0,0,IF(IF(ISBLANK($AW1026),$AV1026,$AW1026)*Paraméterek!$J$112&lt;IF($D$4="Forint",Paraméterek!$J$113,Paraméterek!$K$113),IF($D$4="Forint",Paraméterek!$J$113,Paraméterek!$K$113),IF(IF(ISBLANK($AW1026),$AV1026,$AW1026)*Paraméterek!$J$112&gt;IF($D$4="Forint",Paraméterek!$J$114,Paraméterek!$K$114),IF($D$4="Forint",Paraméterek!$J$114,Paraméterek!$K$114),IF(ISBLANK($AW1026),$AV1026,$AW1026)*Paraméterek!$J$112))),IF($D$4="Forint",0,2))</f>
        <v>0</v>
      </c>
      <c r="AY1026" s="13">
        <f>$AR1026+$AT1026-$AU1026-IF(ROUNDDOWN(IF(ISBLANK($AW1026),$AV1026,$AW1026),IF($D$4="Forint",0,2))&gt;$AR1026+$AT1026-$AU1026-IF($D$4="Forint",Paraméterek!$J$114,Paraméterek!$K$114),0,ROUNDDOWN(IF(ISBLANK($AW1026),$AV1026,$AW1026),IF($D$4="Forint",0,2))-$AX1026)</f>
        <v>0</v>
      </c>
      <c r="AZ1026" s="13">
        <f t="shared" si="234"/>
        <v>0</v>
      </c>
    </row>
    <row r="1027" spans="1:52" x14ac:dyDescent="0.2">
      <c r="A1027" s="32">
        <v>1008</v>
      </c>
      <c r="B1027" s="32">
        <v>84</v>
      </c>
      <c r="C1027" s="32">
        <v>12</v>
      </c>
      <c r="D1027" s="13">
        <f t="shared" si="225"/>
        <v>0</v>
      </c>
      <c r="E1027" s="13"/>
      <c r="F1027" s="13"/>
      <c r="G1027" s="13"/>
      <c r="H1027" s="13">
        <f t="shared" si="226"/>
        <v>0</v>
      </c>
      <c r="I1027" s="13">
        <f t="shared" si="227"/>
        <v>0</v>
      </c>
      <c r="J1027" s="13">
        <f t="shared" si="228"/>
        <v>0</v>
      </c>
      <c r="K1027" s="13">
        <f>ROUNDUP(IF($D$2="Egyszeri",$D1027,IF($D$2="Havi",SUM($D$20:$D$31),IF(MOD($C1027,$M$1)-1=0,SUM($D$20:$D$31),0))/12*$M$1)*VLOOKUP($B1027,Paraméterek!$B$27:$D$30,IF($D$2="Egyszeri",3,2)),IF($D$4="Forint",0,2))</f>
        <v>0</v>
      </c>
      <c r="L1027" s="13">
        <f t="shared" si="229"/>
        <v>0</v>
      </c>
      <c r="M1027" s="13">
        <f t="shared" ca="1" si="235"/>
        <v>-1350682</v>
      </c>
      <c r="N1027" s="13">
        <f ca="1">IF($V1026&gt;=VLOOKUP($M$4-1+$B1027,Paraméterek!$B$121:$D$122,IF($D$4="Forint",2,3)),0,VLOOKUP($M$4-1+$B1027,Paraméterek!$B$121:$D$122,IF($D$4="Forint",2,3))-$V1026)</f>
        <v>1360682</v>
      </c>
      <c r="O1027" s="13">
        <f ca="1">ROUNDUP($N1027*Paraméterek!$C$58/Paraméterek!$C$56,IF($D$4="Forint",0,2))</f>
        <v>217</v>
      </c>
      <c r="P1027" s="13">
        <f t="shared" si="230"/>
        <v>6396</v>
      </c>
      <c r="Q1027" s="33"/>
      <c r="R1027" s="13">
        <f t="shared" ca="1" si="231"/>
        <v>0</v>
      </c>
      <c r="S1027" s="13">
        <f ca="1">ROUNDUP(($M1027-$O1027-$P1027+$R1027)*VLOOKUP($B1027,Paraméterek!$B$38:$D$39,IF($D$2="Egyszeri",3,2))/12,IF($D$4="Forint",0,2))</f>
        <v>-3315</v>
      </c>
      <c r="T1027" s="13">
        <f>Tranzakciók!$F$115</f>
        <v>0</v>
      </c>
      <c r="U1027" s="13"/>
      <c r="V1027" s="13">
        <f ca="1">$M1027-$O1027-$P1027+$R1027-$S1027-IF(ROUNDUP(IF(ISBLANK($U1027),$T1027,$U1027)/IF(AND($B1027=1,$D$2&lt;&gt;"Egyszeri"),1,VLOOKUP($B1027+IF($C1027=12,1,0),Paraméterek!$B$257:$D$267,IF($D$2="Egyszeri",3,2))),IF($D$4="Forint",0,2))&gt;$M1027-$O1027-$P1027+$R1027-$S1027-IF($D$4="Forint",Paraméterek!$C$216,Paraméterek!$D$216),0,ROUNDUP(IF(ISBLANK($U1027),$T1027,$U1027)/IF(AND($B1027=1,$D$2&lt;&gt;"Egyszeri"),1,VLOOKUP($B1027+IF($C1027=12,1,0),Paraméterek!$B$257:$D$267,IF($D$2="Egyszeri",3,2))),IF($D$4="Forint",0,2)))</f>
        <v>-1353980</v>
      </c>
      <c r="W1027" s="13">
        <f ca="1">ROUNDDOWN($V1027*VLOOKUP($B1027+IF($C1027=12,1,0),Paraméterek!$B$257:$D$267,IF($D$2="Egyszeri",3,2)),IF($D$4="Forint",0,2))</f>
        <v>-1353980</v>
      </c>
      <c r="Y1027" s="32">
        <v>1008</v>
      </c>
      <c r="Z1027" s="32">
        <v>84</v>
      </c>
      <c r="AA1027" s="32">
        <v>12</v>
      </c>
      <c r="AB1027" s="13">
        <f t="shared" si="236"/>
        <v>0</v>
      </c>
      <c r="AC1027" s="33"/>
      <c r="AD1027" s="13">
        <f t="shared" si="232"/>
        <v>0</v>
      </c>
      <c r="AE1027" s="13">
        <f>ROUNDUP(($AB1027+$AD1027)*VLOOKUP($Z1027,Paraméterek!$P$38:$Q$38,2)/12,IF($D$4="Forint",0,2))</f>
        <v>0</v>
      </c>
      <c r="AF1027" s="13">
        <f>IF($D$2="Egyszeri",IF($D$7&gt;=IF($D$4="Forint",Paraméterek!$P$223,Paraméterek!$P$224),$D$7-IF($D$4="Forint",Paraméterek!$F$223,Paraméterek!$F$224),0),MIN(IF($AA1027=12,AVERAGE($D$20:$D1027)*12,0),SUM($D$20:$D$31)))</f>
        <v>0</v>
      </c>
      <c r="AG1027" s="13">
        <f>IF(AND($Z1027&gt;=10,MOD($Z1027,5)=0),$AF1027*IF($AA1027=12,VLOOKUP($Z1027,Paraméterek!$B$225:$F$240,IF($AF1027&lt;IF($D$4="Forint",Paraméterek!$C$223,Paraméterek!$C$224),2,IF($AF1027&lt;IF($D$4="Forint",Paraméterek!$D$223,Paraméterek!$D$224),3,4))),0),0)</f>
        <v>0</v>
      </c>
      <c r="AH1027" s="13">
        <f>IF(AND($Z1027&gt;=5,MOD($Z1027,5)=0),IF($AA1027=12,VLOOKUP($Z1027,Paraméterek!$B$225:$F$240,5),0),IF(OR($Z1027=3,$Z1027=4),IF($AA1027=12,VLOOKUP($Z1027,Paraméterek!$B$225:$F$240,5,0),0),0))*$AF1027</f>
        <v>0</v>
      </c>
      <c r="AI1027" s="13">
        <f>ROUNDDOWN(IF(SUM($T$20:$U1027)=0,IF($D$2="Egyszeri",$AH1027,$AG1027),0),IF($D$4="Forint",0,2))</f>
        <v>0</v>
      </c>
      <c r="AJ1027" s="13">
        <f t="shared" si="237"/>
        <v>0</v>
      </c>
      <c r="AK1027" s="13">
        <f t="shared" si="238"/>
        <v>0</v>
      </c>
      <c r="AM1027" s="32">
        <v>1008</v>
      </c>
      <c r="AN1027" s="32">
        <v>84</v>
      </c>
      <c r="AO1027" s="32">
        <v>12</v>
      </c>
      <c r="AP1027" s="13"/>
      <c r="AQ1027" s="32"/>
      <c r="AR1027" s="13">
        <f t="shared" si="239"/>
        <v>0</v>
      </c>
      <c r="AS1027" s="33"/>
      <c r="AT1027" s="13">
        <f t="shared" si="233"/>
        <v>0</v>
      </c>
      <c r="AU1027" s="13">
        <f>ROUNDUP(($AR1027+$AT1027)*VLOOKUP($AN1027,Paraméterek!$P$38:$Q$38,2)/12,IF($D$4="Forint",0,2))</f>
        <v>0</v>
      </c>
      <c r="AV1027" s="13">
        <f>Tranzakciók!$M$115</f>
        <v>0</v>
      </c>
      <c r="AW1027" s="13"/>
      <c r="AX1027" s="13">
        <f>ROUNDUP(IF(SUM($AV1027:$AW1027)=0,0,IF(IF(ISBLANK($AW1027),$AV1027,$AW1027)*Paraméterek!$J$112&lt;IF($D$4="Forint",Paraméterek!$J$113,Paraméterek!$K$113),IF($D$4="Forint",Paraméterek!$J$113,Paraméterek!$K$113),IF(IF(ISBLANK($AW1027),$AV1027,$AW1027)*Paraméterek!$J$112&gt;IF($D$4="Forint",Paraméterek!$J$114,Paraméterek!$K$114),IF($D$4="Forint",Paraméterek!$J$114,Paraméterek!$K$114),IF(ISBLANK($AW1027),$AV1027,$AW1027)*Paraméterek!$J$112))),IF($D$4="Forint",0,2))</f>
        <v>0</v>
      </c>
      <c r="AY1027" s="13">
        <f>$AR1027+$AT1027-$AU1027-IF(ROUNDDOWN(IF(ISBLANK($AW1027),$AV1027,$AW1027),IF($D$4="Forint",0,2))&gt;$AR1027+$AT1027-$AU1027-IF($D$4="Forint",Paraméterek!$J$114,Paraméterek!$K$114),0,ROUNDDOWN(IF(ISBLANK($AW1027),$AV1027,$AW1027),IF($D$4="Forint",0,2))-$AX1027)</f>
        <v>0</v>
      </c>
      <c r="AZ1027" s="13">
        <f t="shared" si="234"/>
        <v>0</v>
      </c>
    </row>
  </sheetData>
  <dataValidations count="5">
    <dataValidation type="list" allowBlank="1" showInputMessage="1" showErrorMessage="1" sqref="C2" xr:uid="{00000000-0002-0000-0200-000000000000}">
      <formula1>Díj_Gyak</formula1>
    </dataValidation>
    <dataValidation type="list" allowBlank="1" showInputMessage="1" showErrorMessage="1" sqref="C3" xr:uid="{00000000-0002-0000-0200-000001000000}">
      <formula1>Díj_Mód</formula1>
    </dataValidation>
    <dataValidation type="list" allowBlank="1" showInputMessage="1" showErrorMessage="1" sqref="C5" xr:uid="{00000000-0002-0000-0200-000002000000}">
      <formula1>Ea_Kínálat</formula1>
    </dataValidation>
    <dataValidation type="list" allowBlank="1" showInputMessage="1" showErrorMessage="1" sqref="C4" xr:uid="{00000000-0002-0000-0200-000003000000}">
      <formula1>Deviza</formula1>
    </dataValidation>
    <dataValidation type="list" allowBlank="1" showInputMessage="1" showErrorMessage="1" sqref="C8" xr:uid="{00000000-0002-0000-0200-000004000000}">
      <formula1>Választás</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B0A5B"/>
  </sheetPr>
  <dimension ref="A1:BP1027"/>
  <sheetViews>
    <sheetView workbookViewId="0">
      <selection activeCell="B4" sqref="B4:M5"/>
    </sheetView>
  </sheetViews>
  <sheetFormatPr defaultRowHeight="12.75" x14ac:dyDescent="0.2"/>
  <cols>
    <col min="1" max="1" width="9.140625" style="1"/>
    <col min="2" max="4" width="10.140625" style="1" bestFit="1" customWidth="1"/>
    <col min="5" max="6" width="10.28515625" style="1" bestFit="1" customWidth="1"/>
    <col min="7" max="8" width="10.140625" style="1" bestFit="1" customWidth="1"/>
    <col min="9" max="10" width="9.28515625" style="1" bestFit="1" customWidth="1"/>
    <col min="11" max="11" width="10.5703125" style="1" customWidth="1"/>
    <col min="12" max="13" width="10" style="1" customWidth="1"/>
    <col min="14" max="14" width="13.7109375" style="1" customWidth="1"/>
    <col min="15" max="15" width="11.7109375" style="1" customWidth="1"/>
    <col min="16" max="16" width="12.7109375" style="12" bestFit="1" customWidth="1"/>
    <col min="17" max="17" width="10.28515625" style="12" bestFit="1" customWidth="1"/>
    <col min="18" max="18" width="9.28515625" style="12" bestFit="1" customWidth="1"/>
    <col min="19" max="19" width="11.5703125" style="12" customWidth="1"/>
    <col min="20" max="20" width="9.85546875" style="12" customWidth="1"/>
    <col min="21" max="21" width="9.7109375" style="12" bestFit="1" customWidth="1"/>
    <col min="22" max="22" width="9.140625" style="12"/>
    <col min="23" max="23" width="13.42578125" style="12" customWidth="1"/>
    <col min="24" max="24" width="13.7109375" style="12" customWidth="1"/>
    <col min="25" max="28" width="9.140625" style="12"/>
    <col min="29" max="29" width="11.7109375" style="12" customWidth="1"/>
    <col min="30" max="32" width="9.140625" style="12"/>
    <col min="33" max="33" width="11.42578125" style="12" customWidth="1"/>
    <col min="34" max="34" width="9.140625" style="12"/>
    <col min="35" max="35" width="11.7109375" style="12" customWidth="1"/>
    <col min="36" max="36" width="9.140625" style="12"/>
    <col min="37" max="37" width="12" style="12" customWidth="1"/>
    <col min="38" max="39" width="12.5703125" style="12" customWidth="1"/>
    <col min="40" max="43" width="9.140625" style="12"/>
    <col min="44" max="44" width="10.140625" style="12" bestFit="1" customWidth="1"/>
    <col min="45" max="45" width="9.140625" style="12"/>
    <col min="46" max="46" width="10.140625" style="12" bestFit="1" customWidth="1"/>
    <col min="47" max="47" width="9.28515625" style="1" bestFit="1" customWidth="1"/>
    <col min="48" max="49" width="9.140625" style="12"/>
    <col min="50" max="50" width="11.7109375" style="12" bestFit="1" customWidth="1"/>
    <col min="51" max="51" width="9.140625" style="12"/>
    <col min="52" max="52" width="10.140625" style="12" bestFit="1" customWidth="1"/>
    <col min="53" max="53" width="12.7109375" style="12" bestFit="1" customWidth="1"/>
    <col min="54" max="60" width="9.140625" style="12"/>
    <col min="61" max="62" width="10.28515625" style="12" customWidth="1"/>
    <col min="63" max="63" width="11.7109375" style="12" customWidth="1"/>
    <col min="64" max="66" width="9.140625" style="12"/>
    <col min="67" max="67" width="11.85546875" style="12" customWidth="1"/>
    <col min="68" max="68" width="12.7109375" style="12" customWidth="1"/>
    <col min="69" max="16384" width="9.140625" style="12"/>
  </cols>
  <sheetData>
    <row r="1" spans="1:47" x14ac:dyDescent="0.2">
      <c r="A1" s="30" t="s">
        <v>7</v>
      </c>
      <c r="B1" s="35">
        <f>Ajánlat!$E$7</f>
        <v>0</v>
      </c>
      <c r="C1" s="36"/>
      <c r="D1" s="35">
        <f>IF(ISBLANK($C$1),$B$1,$C$1)</f>
        <v>0</v>
      </c>
      <c r="G1" s="30" t="str">
        <f ca="1">IF(COUNTIF($G$2:$G$4,"!")&gt;0,"!","OK")</f>
        <v>!</v>
      </c>
      <c r="K1" s="1" t="s">
        <v>114</v>
      </c>
      <c r="M1" s="1">
        <f>IF($D$2="Havi",1,IF($D$2="Éves",12,IF($D$2="Féléves",6,IF($D$2="Egyszeri","e",3))))</f>
        <v>12</v>
      </c>
    </row>
    <row r="2" spans="1:47" x14ac:dyDescent="0.2">
      <c r="A2" s="30" t="s">
        <v>3</v>
      </c>
      <c r="B2" s="30" t="str">
        <f>IF(ISBLANK(Ajánlat!$E$11),"Éves",Ajánlat!$E$11)</f>
        <v>Éves</v>
      </c>
      <c r="C2" s="37"/>
      <c r="D2" s="30" t="str">
        <f>IF(ISBLANK($C$2),$B$2,$C$2)</f>
        <v>Éves</v>
      </c>
      <c r="G2" s="30" t="str">
        <f ca="1">IF(AND($M$4&gt;=Segédlet!$C$44,$M$4&lt;Segédlet!$C$45),"OK",IF(AND($M$4&gt;=Segédlet!$C$45,$M$4&lt;Segédlet!$C$46),IF($D$2="Egyszeri","OK","!"),"!"))</f>
        <v>!</v>
      </c>
      <c r="K2" s="1" t="s">
        <v>113</v>
      </c>
      <c r="M2" s="2">
        <f>Paraméterek!$C$50</f>
        <v>0.03</v>
      </c>
      <c r="AO2" s="1"/>
      <c r="AU2" s="12"/>
    </row>
    <row r="3" spans="1:47" x14ac:dyDescent="0.2">
      <c r="A3" s="30" t="s">
        <v>4</v>
      </c>
      <c r="B3" s="30" t="str">
        <f>IF(ISBLANK(Ajánlat!$E$13),"Átutalás",Ajánlat!$E$13)</f>
        <v>Átutalás</v>
      </c>
      <c r="C3" s="37"/>
      <c r="D3" s="30" t="str">
        <f>IF(ISBLANK($C$3),$B$3,$C$3)</f>
        <v>Átutalás</v>
      </c>
      <c r="G3" s="30" t="str">
        <f ca="1">IF(Ajánlat!$E$15&gt;=Segédlet!$B$54,"OK","!")</f>
        <v>OK</v>
      </c>
      <c r="K3" s="1" t="s">
        <v>115</v>
      </c>
      <c r="M3" s="1">
        <f>VLOOKUP($D$3,Paraméterek!$B$16:$F$19,IF($D$2="Egyszeri",IF($D$4="Forint",4,5),IF($D$4="Forint",2,3)),0)</f>
        <v>100</v>
      </c>
      <c r="O3" s="12"/>
      <c r="AO3" s="1"/>
      <c r="AU3" s="12"/>
    </row>
    <row r="4" spans="1:47" x14ac:dyDescent="0.2">
      <c r="A4" s="30" t="s">
        <v>5</v>
      </c>
      <c r="B4" s="30" t="str">
        <f>IF(ISBLANK(Ajánlat!$E$9),"Forint",Ajánlat!$E$9)</f>
        <v>Forint</v>
      </c>
      <c r="C4" s="37"/>
      <c r="D4" s="30" t="str">
        <f>IF(ISBLANK($C$4),$B$4,$C$4)</f>
        <v>Forint</v>
      </c>
      <c r="G4" s="30" t="str">
        <f>IF(Ajánlat!$J$4="","OK","!")</f>
        <v>OK</v>
      </c>
      <c r="K4" s="1" t="s">
        <v>116</v>
      </c>
      <c r="M4" s="5">
        <f ca="1">ROUNDDOWN(((YEAR(TODAY())-YEAR($D$1))*12+MONTH(TODAY())-MONTH($D$1))/12,0)</f>
        <v>119</v>
      </c>
      <c r="O4" s="12"/>
      <c r="AO4" s="1"/>
      <c r="AU4" s="12"/>
    </row>
    <row r="5" spans="1:47" x14ac:dyDescent="0.2">
      <c r="A5" s="30" t="s">
        <v>8</v>
      </c>
      <c r="B5" s="30" t="str">
        <f>IF(ISBLANK(Ajánlat!$N$7),"Premium",Ajánlat!$N$7)</f>
        <v>Premium</v>
      </c>
      <c r="C5" s="37"/>
      <c r="D5" s="30" t="str">
        <f>IF(ISBLANK($C$5),$B$5,$C$5)</f>
        <v>Premium</v>
      </c>
      <c r="E5" s="12"/>
      <c r="K5" s="1" t="s">
        <v>117</v>
      </c>
      <c r="M5" s="1">
        <f>VLOOKUP($D$5,Paraméterek!B46:D47,IF($D$4="Forint",2,3),0)</f>
        <v>550</v>
      </c>
      <c r="O5" s="12"/>
      <c r="AO5" s="1"/>
      <c r="AU5" s="12"/>
    </row>
    <row r="6" spans="1:47" x14ac:dyDescent="0.2">
      <c r="A6" s="30" t="s">
        <v>6</v>
      </c>
      <c r="B6" s="38">
        <f>IF(ISBLANK(Ajánlat!$E$17),3%,Ajánlat!$E$17)</f>
        <v>0.03</v>
      </c>
      <c r="C6" s="39"/>
      <c r="D6" s="38">
        <f>IF(ISBLANK($C$6),$B$6,$C$6)</f>
        <v>0.03</v>
      </c>
      <c r="K6" s="1" t="s">
        <v>125</v>
      </c>
      <c r="M6" s="2">
        <f>POWER(1+$D$10+$D$9,1/12)-1</f>
        <v>0</v>
      </c>
      <c r="O6" s="12"/>
      <c r="AO6" s="1"/>
      <c r="AU6" s="12"/>
    </row>
    <row r="7" spans="1:47" x14ac:dyDescent="0.2">
      <c r="A7" s="30" t="s">
        <v>0</v>
      </c>
      <c r="B7" s="32">
        <f>Ajánlat!$E$15</f>
        <v>0</v>
      </c>
      <c r="C7" s="40"/>
      <c r="D7" s="32">
        <f>IF(ISBLANK($C$7),$B$7,$C$7)</f>
        <v>0</v>
      </c>
      <c r="E7" s="1" t="str">
        <f>IF(AND($D$2="Havi",$D$3="Postai",$D$7*12&lt;150000),"Nem lehetséges!","")</f>
        <v/>
      </c>
      <c r="K7" s="1" t="s">
        <v>126</v>
      </c>
      <c r="M7" s="2">
        <f>POWER(1+$D$11+$D$9,1/12)-1</f>
        <v>0</v>
      </c>
      <c r="O7" s="12"/>
      <c r="AO7" s="1"/>
      <c r="AU7" s="12"/>
    </row>
    <row r="8" spans="1:47" x14ac:dyDescent="0.2">
      <c r="A8" s="30" t="s">
        <v>1</v>
      </c>
      <c r="B8" s="32" t="str">
        <f>IF(ISBLANK(Ajánlat!$N$20),"Nincs",Ajánlat!$N$20)</f>
        <v>Nincs</v>
      </c>
      <c r="C8" s="40"/>
      <c r="D8" s="32" t="str">
        <f>IF(ISBLANK($C$8),$B$8,$C$8)</f>
        <v>Nincs</v>
      </c>
      <c r="E8" s="5"/>
      <c r="F8" s="12"/>
      <c r="G8" s="12"/>
      <c r="H8" s="12"/>
      <c r="I8" s="12"/>
      <c r="K8" s="1" t="s">
        <v>127</v>
      </c>
      <c r="M8" s="2">
        <f>POWER(1+$D$12+$D$9,1/12)-1</f>
        <v>0</v>
      </c>
      <c r="O8" s="12"/>
      <c r="AO8" s="1"/>
      <c r="AU8" s="12"/>
    </row>
    <row r="9" spans="1:47" x14ac:dyDescent="0.2">
      <c r="A9" s="30" t="s">
        <v>10</v>
      </c>
      <c r="B9" s="33">
        <f>Ajánlat!$N$13</f>
        <v>0</v>
      </c>
      <c r="C9" s="41"/>
      <c r="D9" s="33">
        <f>IF(ISBLANK($C$9),$B$9,$C$9)</f>
        <v>0</v>
      </c>
      <c r="E9" s="2"/>
      <c r="F9" s="12"/>
      <c r="G9" s="12"/>
      <c r="H9" s="12"/>
      <c r="I9" s="12"/>
      <c r="K9" s="1" t="s">
        <v>128</v>
      </c>
      <c r="M9" s="2">
        <f>POWER(1+$D$13+$D$9,1/12)-1</f>
        <v>0</v>
      </c>
      <c r="AO9" s="1"/>
      <c r="AU9" s="12"/>
    </row>
    <row r="10" spans="1:47" x14ac:dyDescent="0.2">
      <c r="A10" s="30" t="s">
        <v>9</v>
      </c>
      <c r="B10" s="33">
        <f>Ajánlat!$N$15</f>
        <v>0</v>
      </c>
      <c r="C10" s="41"/>
      <c r="D10" s="33">
        <f>IF(ISBLANK($C$10),$B$10,$C$10)</f>
        <v>0</v>
      </c>
      <c r="F10" s="12"/>
      <c r="G10" s="12"/>
      <c r="H10" s="12"/>
      <c r="I10" s="12"/>
      <c r="K10" s="1" t="s">
        <v>148</v>
      </c>
      <c r="M10" s="4">
        <f>EDATE($D$1,65*12)</f>
        <v>23742</v>
      </c>
      <c r="AO10" s="1"/>
      <c r="AU10" s="12"/>
    </row>
    <row r="11" spans="1:47" x14ac:dyDescent="0.2">
      <c r="A11" s="30" t="s">
        <v>134</v>
      </c>
      <c r="B11" s="33">
        <f>Tranzakciók!$N$7</f>
        <v>0</v>
      </c>
      <c r="C11" s="41"/>
      <c r="D11" s="33">
        <f>IF(ISBLANK($C$11),$B$11,$C$11)</f>
        <v>0</v>
      </c>
      <c r="F11" s="12"/>
      <c r="G11" s="12"/>
      <c r="H11" s="12"/>
      <c r="I11" s="12"/>
      <c r="K11" s="1" t="s">
        <v>145</v>
      </c>
      <c r="M11" s="5">
        <f ca="1">YEAR($M$10)-YEAR($D$14)-($S$11&gt;$M$10)</f>
        <v>-55</v>
      </c>
      <c r="N11" s="58" t="s">
        <v>222</v>
      </c>
      <c r="O11" s="4">
        <f ca="1">DATE(YEAR($M$10),MONTH($D$14),1)</f>
        <v>23529</v>
      </c>
      <c r="P11" s="12" t="s">
        <v>223</v>
      </c>
      <c r="Q11" s="12">
        <f ca="1">DAY(EOMONTH($O$11,0))</f>
        <v>30</v>
      </c>
      <c r="R11" s="12" t="s">
        <v>224</v>
      </c>
      <c r="S11" s="4">
        <f ca="1">DATE(YEAR($O$11),MONTH($O$11),MIN(DAY($D$14),$Q$11))</f>
        <v>23536</v>
      </c>
      <c r="AN11" s="1"/>
      <c r="AU11" s="12"/>
    </row>
    <row r="12" spans="1:47" x14ac:dyDescent="0.2">
      <c r="A12" s="30" t="s">
        <v>123</v>
      </c>
      <c r="B12" s="33">
        <f>$B$11</f>
        <v>0</v>
      </c>
      <c r="C12" s="41"/>
      <c r="D12" s="33">
        <f>IF(ISBLANK($C$12),$B$12,$C$12)</f>
        <v>0</v>
      </c>
      <c r="F12" s="12"/>
      <c r="G12" s="12"/>
      <c r="H12" s="12"/>
      <c r="I12" s="12"/>
      <c r="K12" s="1" t="s">
        <v>146</v>
      </c>
      <c r="M12" s="5">
        <f ca="1">12*(YEAR($M$10)-YEAR($O$12))+MONTH($M$10)-MONTH($O$12)-(DAY($O$12)&gt;DAY($M$10))</f>
        <v>6</v>
      </c>
      <c r="N12" s="12" t="s">
        <v>225</v>
      </c>
      <c r="O12" s="4">
        <f ca="1">EDATE($D$14,$M$11*12)</f>
        <v>23536</v>
      </c>
      <c r="P12" s="12" t="s">
        <v>226</v>
      </c>
      <c r="Q12" s="4">
        <f ca="1">EDATE($D$14,12*$M$11+$M$12)</f>
        <v>23719</v>
      </c>
      <c r="R12" s="12" t="s">
        <v>227</v>
      </c>
      <c r="S12" s="12">
        <f ca="1">$M$10-$Q$12</f>
        <v>23</v>
      </c>
      <c r="AN12" s="1"/>
      <c r="AU12" s="12"/>
    </row>
    <row r="13" spans="1:47" x14ac:dyDescent="0.2">
      <c r="A13" s="30" t="s">
        <v>124</v>
      </c>
      <c r="B13" s="33">
        <f>$B$11</f>
        <v>0</v>
      </c>
      <c r="C13" s="41"/>
      <c r="D13" s="33">
        <f>IF(ISBLANK($C$13),$B$13,$C$13)</f>
        <v>0</v>
      </c>
      <c r="K13" s="1" t="s">
        <v>147</v>
      </c>
      <c r="M13" s="14">
        <f ca="1">$S$12/(EDATE($D$14,12*$M$11+$M$12+1)-$Q$12)</f>
        <v>0.74193548387096775</v>
      </c>
      <c r="AO13" s="1"/>
      <c r="AU13" s="12"/>
    </row>
    <row r="14" spans="1:47" x14ac:dyDescent="0.2">
      <c r="A14" s="30" t="s">
        <v>144</v>
      </c>
      <c r="B14" s="35">
        <f ca="1">IF(ISBLANK(Ajánlat!$N$17),TODAY()+1,Ajánlat!$N$17)</f>
        <v>43624</v>
      </c>
      <c r="C14" s="36"/>
      <c r="D14" s="35">
        <f ca="1">IF(ISBLANK($C$14),$B$14,$C$14)</f>
        <v>43624</v>
      </c>
      <c r="O14" s="4"/>
      <c r="AO14" s="1"/>
      <c r="AU14" s="12"/>
    </row>
    <row r="15" spans="1:47" x14ac:dyDescent="0.2">
      <c r="H15" s="12"/>
      <c r="I15" s="12"/>
      <c r="J15" s="12"/>
      <c r="K15" s="12"/>
      <c r="L15" s="12"/>
      <c r="M15" s="12"/>
      <c r="N15" s="12"/>
      <c r="O15" s="12"/>
      <c r="AU15" s="12"/>
    </row>
    <row r="17" spans="1:68" x14ac:dyDescent="0.2">
      <c r="D17" s="58"/>
      <c r="BJ17" s="18" t="s">
        <v>180</v>
      </c>
    </row>
    <row r="18" spans="1:68" x14ac:dyDescent="0.2">
      <c r="A18" s="1" t="s">
        <v>142</v>
      </c>
      <c r="D18" s="9"/>
      <c r="E18" s="9"/>
      <c r="J18" s="9"/>
      <c r="M18" s="12"/>
      <c r="N18" s="12"/>
      <c r="Q18" s="9"/>
      <c r="R18" s="6"/>
      <c r="U18" s="15"/>
      <c r="W18" s="18" t="s">
        <v>178</v>
      </c>
      <c r="Z18" s="12" t="s">
        <v>143</v>
      </c>
      <c r="AK18" s="18" t="s">
        <v>177</v>
      </c>
      <c r="AO18" s="12" t="s">
        <v>135</v>
      </c>
      <c r="AR18" s="1"/>
      <c r="AU18" s="12"/>
      <c r="BD18" s="12" t="s">
        <v>136</v>
      </c>
      <c r="BI18" s="12" t="s">
        <v>16</v>
      </c>
      <c r="BJ18" s="12" t="s">
        <v>16</v>
      </c>
    </row>
    <row r="19" spans="1:68" x14ac:dyDescent="0.2">
      <c r="A19" s="30" t="s">
        <v>56</v>
      </c>
      <c r="B19" s="30" t="s">
        <v>57</v>
      </c>
      <c r="C19" s="30" t="s">
        <v>58</v>
      </c>
      <c r="D19" s="30" t="s">
        <v>149</v>
      </c>
      <c r="E19" s="30" t="s">
        <v>111</v>
      </c>
      <c r="F19" s="30" t="s">
        <v>121</v>
      </c>
      <c r="G19" s="30" t="s">
        <v>112</v>
      </c>
      <c r="H19" s="30" t="s">
        <v>122</v>
      </c>
      <c r="I19" s="30" t="s">
        <v>60</v>
      </c>
      <c r="J19" s="30" t="s">
        <v>61</v>
      </c>
      <c r="K19" s="30" t="s">
        <v>59</v>
      </c>
      <c r="L19" s="30" t="s">
        <v>62</v>
      </c>
      <c r="M19" s="30" t="s">
        <v>63</v>
      </c>
      <c r="N19" s="30" t="s">
        <v>64</v>
      </c>
      <c r="O19" s="30" t="s">
        <v>65</v>
      </c>
      <c r="P19" s="30" t="s">
        <v>66</v>
      </c>
      <c r="Q19" s="30" t="s">
        <v>67</v>
      </c>
      <c r="R19" s="30" t="s">
        <v>120</v>
      </c>
      <c r="S19" s="30" t="s">
        <v>2</v>
      </c>
      <c r="T19" s="30" t="s">
        <v>68</v>
      </c>
      <c r="U19" s="30" t="s">
        <v>118</v>
      </c>
      <c r="V19" s="30" t="s">
        <v>119</v>
      </c>
      <c r="W19" s="30" t="s">
        <v>69</v>
      </c>
      <c r="X19" s="31" t="s">
        <v>70</v>
      </c>
      <c r="Z19" s="30" t="s">
        <v>56</v>
      </c>
      <c r="AA19" s="30" t="s">
        <v>57</v>
      </c>
      <c r="AB19" s="30" t="s">
        <v>58</v>
      </c>
      <c r="AC19" s="30" t="s">
        <v>64</v>
      </c>
      <c r="AD19" s="30" t="s">
        <v>120</v>
      </c>
      <c r="AE19" s="30" t="s">
        <v>2</v>
      </c>
      <c r="AF19" s="30" t="s">
        <v>68</v>
      </c>
      <c r="AG19" s="30" t="s">
        <v>152</v>
      </c>
      <c r="AH19" s="30" t="s">
        <v>150</v>
      </c>
      <c r="AI19" s="30" t="s">
        <v>151</v>
      </c>
      <c r="AJ19" s="30" t="s">
        <v>132</v>
      </c>
      <c r="AK19" s="30" t="s">
        <v>130</v>
      </c>
      <c r="AL19" s="30" t="s">
        <v>69</v>
      </c>
      <c r="AM19" s="30" t="s">
        <v>129</v>
      </c>
      <c r="AO19" s="30" t="s">
        <v>56</v>
      </c>
      <c r="AP19" s="30" t="s">
        <v>57</v>
      </c>
      <c r="AQ19" s="30" t="s">
        <v>58</v>
      </c>
      <c r="AR19" s="30" t="s">
        <v>112</v>
      </c>
      <c r="AS19" s="30" t="s">
        <v>122</v>
      </c>
      <c r="AT19" s="30" t="s">
        <v>64</v>
      </c>
      <c r="AU19" s="30" t="s">
        <v>120</v>
      </c>
      <c r="AV19" s="30" t="s">
        <v>2</v>
      </c>
      <c r="AW19" s="30" t="s">
        <v>68</v>
      </c>
      <c r="AX19" s="30" t="s">
        <v>118</v>
      </c>
      <c r="AY19" s="30" t="s">
        <v>119</v>
      </c>
      <c r="AZ19" s="30" t="s">
        <v>133</v>
      </c>
      <c r="BA19" s="30" t="s">
        <v>69</v>
      </c>
      <c r="BB19" s="30" t="s">
        <v>141</v>
      </c>
      <c r="BD19" s="30" t="s">
        <v>56</v>
      </c>
      <c r="BE19" s="30" t="s">
        <v>57</v>
      </c>
      <c r="BF19" s="30" t="s">
        <v>58</v>
      </c>
      <c r="BG19" s="30" t="s">
        <v>161</v>
      </c>
      <c r="BH19" s="30" t="s">
        <v>153</v>
      </c>
      <c r="BI19" s="30" t="s">
        <v>154</v>
      </c>
      <c r="BJ19" s="30" t="s">
        <v>157</v>
      </c>
      <c r="BK19" s="30" t="s">
        <v>64</v>
      </c>
      <c r="BL19" s="30" t="s">
        <v>120</v>
      </c>
      <c r="BM19" s="30" t="s">
        <v>2</v>
      </c>
      <c r="BN19" s="30" t="s">
        <v>68</v>
      </c>
      <c r="BO19" s="30" t="s">
        <v>69</v>
      </c>
      <c r="BP19" s="30" t="s">
        <v>212</v>
      </c>
    </row>
    <row r="20" spans="1:68" x14ac:dyDescent="0.2">
      <c r="A20" s="32">
        <v>1</v>
      </c>
      <c r="B20" s="32">
        <v>1</v>
      </c>
      <c r="C20" s="32">
        <v>1</v>
      </c>
      <c r="D20" s="32" t="str">
        <f ca="1">IF($B20&lt;$M$11+1,"Igen",IF($B20&gt;$M$11+1,"Nem",IF($C20&lt;=$M$12+IF($M$13&gt;0,1,0),"Igen","Nem")))</f>
        <v>Nem</v>
      </c>
      <c r="E20" s="13">
        <f ca="1">IF($D20="Igen",IF($D$2="Egyszeri",IF($A20=1,$D$7,0),ROUNDUP(IF($D$2="Havi",$D$7,IF(MOD($C20,$M$1)-1=0,$D$7,0))*(1+$D$6)^($B20-1),IF($D$4="Forint",0,2))),0)</f>
        <v>0</v>
      </c>
      <c r="F20" s="13"/>
      <c r="G20" s="13">
        <f>Tranzakciók!$D$32</f>
        <v>0</v>
      </c>
      <c r="H20" s="13"/>
      <c r="I20" s="13">
        <f ca="1">ROUNDUP(IF(AND($D$8="Nincs",$D$2&lt;&gt;"Egyszeri"),$E20*10%,0),IF($D$4="Forint",0,2))</f>
        <v>0</v>
      </c>
      <c r="J20" s="13">
        <f ca="1">IF($D20="Igen",IF($D$2="Egyszeri",IF($A20=1,$M$3,0),ROUNDUP(IF($D$2="Havi",$M$3,IF(MOD($C20,$M$1)-1=0,$M$3,0))*(1+$M$2)^($B20-1),IF($D$4="Forint",0,2))),0)</f>
        <v>0</v>
      </c>
      <c r="K20" s="13">
        <f ca="1">IF($D20="Igen",IF(ISBLANK($F20),$E20,$F20)+IF(ISBLANK($H20),$G20,$H20)+$I20+$J20,0)</f>
        <v>0</v>
      </c>
      <c r="L20" s="13" t="e">
        <f ca="1">ROUNDUP(IF($D$2="Egyszeri",$E20,IF($D$2="Havi",SUM($E$20:$E$31),IF(MOD($C20,$M$1)-1=0,SUM($E$20:$E$31),0))/12*$M$1)*VLOOKUP($B20,Paraméterek!$I$28:$P$31,IF($D$2="Egyszeri",8,HLOOKUP(ROUNDUP($M$11+$M$13,0),Paraméterek!$J$26:$O$27,2))),IF($D$4="Forint",0,2))</f>
        <v>#N/A</v>
      </c>
      <c r="M20" s="13">
        <f ca="1">IF($D20="Igen",$E20-$L20+IF(ISBLANK($H20),$G20,$H20),0)</f>
        <v>0</v>
      </c>
      <c r="N20" s="13">
        <f ca="1">$M20</f>
        <v>0</v>
      </c>
      <c r="O20" s="13">
        <f>IF($D$4="Forint",Paraméterek!$J$121,Paraméterek!$K$121)</f>
        <v>10000</v>
      </c>
      <c r="P20" s="13" t="e">
        <f ca="1">ROUNDUP($O20*VLOOKUP($M$4+$B20-1,Paraméterek!$H$58:$I$105,2,0)/Paraméterek!$I$56,IF($D$4="Forint",0,2))</f>
        <v>#N/A</v>
      </c>
      <c r="Q20" s="13">
        <f ca="1">IF($D20="Igen",ROUNDUP($M$5*(1+$M$2)^($B20-1),IF($D$4="Forint",0,2)),0)</f>
        <v>0</v>
      </c>
      <c r="R20" s="33"/>
      <c r="S20" s="13" t="e">
        <f ca="1">ROUNDDOWN(($N20-$P20-$Q20)*IF(ISBLANK($R20),$M$6,$R20)*IF($D21="Nem",IF($M$13=0,1,$M$13),1),IF($D$4="Forint",0,2))</f>
        <v>#N/A</v>
      </c>
      <c r="T20" s="13" t="e">
        <f ca="1">ROUNDUP(($N20-$P20-$Q20+$S20)*VLOOKUP($B20,Paraméterek!$I$38:$K$39,IF($D$2="Egyszeri",3,2))/12*IF($D21="Nem",IF($M$13=0,1,$M$13),1),IF($D$4="Forint",0,2))</f>
        <v>#N/A</v>
      </c>
      <c r="U20" s="30"/>
      <c r="V20" s="13"/>
      <c r="W20" s="13" t="e">
        <f ca="1">$N20-$P20-$Q20+$S20-$T20-IF(ROUNDUP(IF(ISBLANK($V20),$U20*0,$V20)/IF($D$2="Egyszeri",VLOOKUP($B20+IF($C20=12,1,0),Paraméterek!$V$257:$W$262,2),IF($B20=1,1,VLOOKUP($B20+IF($C20=12,1,0),Paraméterek!$I$258:$T$278,HLOOKUP($M$11+1,Paraméterek!$J$256:$T$257,2)))),IF($D$4="Forint",0,2))&gt;$N20-$P20-$Q20+$S20-$T20-IF($D$4="Forint",Paraméterek!$C$216,Paraméterek!$D$216),0,ROUNDUP(IF(ISBLANK($V20),$U20*0,$V20)/IF($D$2="Egyszeri",VLOOKUP($B20+IF($C20=12,1,0),Paraméterek!$V$257:$W$262,2),IF($B20=1,1,VLOOKUP($B20+IF($C20=12,1,0),Paraméterek!$I$258:$T$278,HLOOKUP($M$11+1,Paraméterek!$J$256:$T$257,2)))),IF($D$4="Forint",0,2)))</f>
        <v>#N/A</v>
      </c>
      <c r="X20" s="13" t="e">
        <f ca="1">ROUNDDOWN($W20*IF($D$2="Egyszeri",VLOOKUP($B20+IF($C20=12,1,0),Paraméterek!$V$257:$W$262,2),VLOOKUP($B20+IF($C20=12,1,0),Paraméterek!$I$258:$T$278,HLOOKUP($M$11+1,Paraméterek!$I$256:$T$257,2))),IF($D$4="Forint",0,2))</f>
        <v>#N/A</v>
      </c>
      <c r="Z20" s="32">
        <v>1</v>
      </c>
      <c r="AA20" s="32">
        <v>1</v>
      </c>
      <c r="AB20" s="32">
        <v>1</v>
      </c>
      <c r="AC20" s="13">
        <v>0</v>
      </c>
      <c r="AD20" s="33"/>
      <c r="AE20" s="13">
        <f ca="1">ROUNDDOWN($AC20*IF(ISBLANK($AD20),$M$8,$AD20)*IF($D21="Nem",IF($M$13=0,1,$M$13),1),IF($D$4="Forint",0,2))</f>
        <v>0</v>
      </c>
      <c r="AF20" s="13">
        <f ca="1">ROUNDUP(($AC20+$AE20)*VLOOKUP($AA20,Paraméterek!$P$38:$Q$38,2)/12*IF($D21="Nem",IF($M$13=0,1,$M$13),1),IF($D$4="Forint",0,2))</f>
        <v>0</v>
      </c>
      <c r="AG20" s="13">
        <f ca="1">IF($D$2="Egyszeri",IF($D$7&gt;=IF($D$4="Forint",Paraméterek!$P$223,Paraméterek!$P$224),$D$7-IF($D$4="Forint",Paraméterek!$P$223,Paraméterek!$P$224),0),MIN(IF($AB20=12,AVERAGEIF($E$20:$E20,"&gt;0",$E$20:$E20)*12,0),SUM($E$20:$E$31)))</f>
        <v>0</v>
      </c>
      <c r="AH20" s="13">
        <f>IF($AA20=10,$AG20*IF($AB20=12,IF($AG20&lt;IF($D$4="Forint",Paraméterek!$L$223,Paraméterek!$L$224),0,VLOOKUP($AA20,Paraméterek!$K$226:$M$228,IF($AG20&lt;IF($D$4="Forint",Paraméterek!$M$223,Paraméterek!$M$224),2,3))),0),0)</f>
        <v>0</v>
      </c>
      <c r="AI20" s="13">
        <f ca="1">IF(AND($AA20=$M$11+1,$AB20=$M$12+1),SUMIF($AA$20:$AA$1027,$AA20,$AG$20:$AG$1027)*IF(SUMIF($AA$20:$AA$1027,$AA20,$AG$20:$AG$1027)&lt;IF($D$4="Forint",Paraméterek!$L$223,Paraméterek!$L$224),0,VLOOKUP($AA20,Paraméterek!$K$230:$M$250,IF(SUMIF($AA$20:$AA$1027,$AA20,$AG$20:$AG$1027)&lt;IF($D$4="Forint",Paraméterek!$M$223,Paraméterek!$M$224),2,3))),0)</f>
        <v>0</v>
      </c>
      <c r="AJ20" s="13">
        <f ca="1">IF(AND($AA20&gt;=5,MOD($AA20,5)=0),IF($AB20=12,VLOOKUP($AA20,Paraméterek!$O$225:$P$240,2),0),IF(OR($AA20=3,$AA20=4),IF($AB20=12,VLOOKUP($AA20,Paraméterek!$O$225:$P$240,2,0),0),0))*$AG20</f>
        <v>0</v>
      </c>
      <c r="AK20" s="13">
        <f ca="1">ROUNDDOWN(IF($D$2="Egyszeri",$AJ20,$AH20+$AI20),IF($D$4="Forint",0,2))</f>
        <v>0</v>
      </c>
      <c r="AL20" s="13">
        <f ca="1">$AC20+$AE20-$AF20+$AK20</f>
        <v>0</v>
      </c>
      <c r="AM20" s="13">
        <f ca="1">$AL20</f>
        <v>0</v>
      </c>
      <c r="AO20" s="32">
        <v>1</v>
      </c>
      <c r="AP20" s="32">
        <v>1</v>
      </c>
      <c r="AQ20" s="32">
        <v>1</v>
      </c>
      <c r="AR20" s="13">
        <f>Tranzakciók!$K$32</f>
        <v>0</v>
      </c>
      <c r="AS20" s="32"/>
      <c r="AT20" s="13">
        <f>IF(ISBLANK($AS20),$AR20,$AS20)</f>
        <v>0</v>
      </c>
      <c r="AU20" s="33"/>
      <c r="AV20" s="13">
        <f ca="1">ROUNDDOWN($AT20*IF(ISBLANK($AU20),$M$7,$AU20)*IF($D21="Nem",IF($M$13=0,1,$M$13),1),IF($D$4="Forint",0,2))</f>
        <v>0</v>
      </c>
      <c r="AW20" s="13">
        <f ca="1">ROUNDUP(($AT20+$AV20)*VLOOKUP($AP20,Paraméterek!$P$38:$Q$38,2)/12*IF($D21="Nem",IF($M$13=0,1,$M$13),1),IF($D$4="Forint",0,2))</f>
        <v>0</v>
      </c>
      <c r="AX20" s="30"/>
      <c r="AY20" s="13"/>
      <c r="AZ20" s="13">
        <f>ROUNDUP(IF(SUM($AX20:$AY20)=0,0,IF(IF(ISBLANK($AY20),$AX20,$AY20)*Paraméterek!$J$112&lt;IF($D$4="Forint",Paraméterek!$J$113,Paraméterek!$K$113),IF($D$4="Forint",Paraméterek!$J$113,Paraméterek!$K$113),IF(IF(ISBLANK($AY20),$AX20,$AY20)*Paraméterek!$J$112&gt;IF($D$4="Forint",Paraméterek!$J$114,Paraméterek!$K$114),IF($D$4="Forint",Paraméterek!$J$114,Paraméterek!$K$114),IF(ISBLANK($AY20),$AX20,$AY20)*Paraméterek!$J$112))),IF($D$4="Forint",0,2))</f>
        <v>0</v>
      </c>
      <c r="BA20" s="13">
        <f ca="1">$AT20+$AV20-$AW20-IF(ROUNDDOWN(IF(ISBLANK($AY20),$AX20,$AY20),IF($D$4="Forint",0,2))&gt;$AT20+$AV20-$AW20-IF($D$4="Forint",Paraméterek!$J$114,Paraméterek!$K$114),0,ROUNDDOWN(IF(ISBLANK($AY20),$AX20,$AY20),IF($D$4="Forint",0,2))-$AZ20)</f>
        <v>0</v>
      </c>
      <c r="BB20" s="13">
        <f ca="1">$BA20</f>
        <v>0</v>
      </c>
      <c r="BD20" s="32">
        <v>1</v>
      </c>
      <c r="BE20" s="32">
        <v>1</v>
      </c>
      <c r="BF20" s="32">
        <v>1</v>
      </c>
      <c r="BG20" s="34">
        <f ca="1">YEAR($D$14)</f>
        <v>2019</v>
      </c>
      <c r="BH20" s="32" t="str">
        <f ca="1">IF(MOD(MONTH($D$14)+$BD20-1,12)=Paraméterek!$C$288,"Igen","")</f>
        <v/>
      </c>
      <c r="BI20" s="13">
        <f ca="1">IF($BH20="Igen",MIN(ROUNDDOWN((SUMIF($BG$20:$BG$1027,$BG20-1,$K$20:$K$1027)-SUMIF($BG$20:$BG$1027,$BG20-1,$I$20:$I$1027))*Paraméterek!$C$289,IF($D$4="Forint",0,2)),IF($D$4="Forint",Paraméterek!$C$285,Paraméterek!$D$285)),0)</f>
        <v>0</v>
      </c>
      <c r="BJ20" s="13">
        <f ca="1">IF(AND($D20="Igen",$BH20="Igen"),$BI20,0)</f>
        <v>0</v>
      </c>
      <c r="BK20" s="13">
        <f ca="1">BJ20</f>
        <v>0</v>
      </c>
      <c r="BL20" s="33"/>
      <c r="BM20" s="13">
        <f ca="1">ROUNDDOWN($BK20*IF(ISBLANK($BL20),$M$9,$BL20)*IF($D21="Nem",IF($M$13=0,1,$M$13),1),IF($D$4="Forint",0,2))</f>
        <v>0</v>
      </c>
      <c r="BN20" s="13">
        <f ca="1">ROUNDUP(($BK20+$BM20)*VLOOKUP($BE20,Paraméterek!$P$38:$Q$38,2)/12*IF($D21="Nem",IF($M$13=0,1,$M$13),1),IF($D$4="Forint",0,2))</f>
        <v>0</v>
      </c>
      <c r="BO20" s="13">
        <f ca="1">$BK20+$BM20-$BN20</f>
        <v>0</v>
      </c>
      <c r="BP20" s="13">
        <f ca="1">IF($D21="Nem",$BO20,$BO20-ROUNDUP(SUM($BI$20:$BI20)*120%,IF($D$4="Forint",0,2)))</f>
        <v>0</v>
      </c>
    </row>
    <row r="21" spans="1:68" x14ac:dyDescent="0.2">
      <c r="A21" s="32">
        <v>2</v>
      </c>
      <c r="B21" s="32">
        <v>1</v>
      </c>
      <c r="C21" s="32">
        <v>2</v>
      </c>
      <c r="D21" s="32" t="str">
        <f t="shared" ref="D21:D84" ca="1" si="0">IF($B21&lt;$M$11+1,"Igen",IF($B21&gt;$M$11+1,"Nem",IF($C21&lt;=$M$12+IF($M$13&gt;0,1,0),"Igen","Nem")))</f>
        <v>Nem</v>
      </c>
      <c r="E21" s="13">
        <f t="shared" ref="E21:E84" ca="1" si="1">IF($D21="Igen",IF($D$2="Egyszeri",IF($A21=1,$D$7,0),ROUNDUP(IF($D$2="Havi",$D$7,IF(MOD($C21,$M$1)-1=0,$D$7,0))*(1+$D$6)^($B21-1),IF($D$4="Forint",0,2))),0)</f>
        <v>0</v>
      </c>
      <c r="F21" s="13"/>
      <c r="G21" s="13"/>
      <c r="H21" s="13"/>
      <c r="I21" s="13">
        <f t="shared" ref="I21:I84" ca="1" si="2">ROUNDUP(IF(AND($D$8="Nincs",$D$2&lt;&gt;"Egyszeri"),$E21*10%,0),IF($D$4="Forint",0,2))</f>
        <v>0</v>
      </c>
      <c r="J21" s="13">
        <f t="shared" ref="J21:J84" ca="1" si="3">IF($D21="Igen",IF($D$2="Egyszeri",IF($A21=1,$M$3,0),ROUNDUP(IF($D$2="Havi",$M$3,IF(MOD($C21,$M$1)-1=0,$M$3,0))*(1+$M$2)^($B21-1),IF($D$4="Forint",0,2))),0)</f>
        <v>0</v>
      </c>
      <c r="K21" s="13">
        <f t="shared" ref="K21:K84" ca="1" si="4">IF($D21="Igen",IF(ISBLANK($F21),$E21,$F21)+IF(ISBLANK($H21),$G21,$H21)+$I21+$J21,0)</f>
        <v>0</v>
      </c>
      <c r="L21" s="13" t="e">
        <f ca="1">ROUNDUP(IF($D$2="Egyszeri",$E21,IF($D$2="Havi",SUM($E$20:$E$31),IF(MOD($C21,$M$1)-1=0,SUM($E$20:$E$31),0))/12*$M$1)*VLOOKUP($B21,Paraméterek!$I$28:$P$31,IF($D$2="Egyszeri",8,HLOOKUP(ROUNDUP($M$11+$M$13,0),Paraméterek!$J$26:$O$27,2))),IF($D$4="Forint",0,2))</f>
        <v>#N/A</v>
      </c>
      <c r="M21" s="13">
        <f t="shared" ref="M21:M84" ca="1" si="5">IF($D21="Igen",$E21-$L21+IF(ISBLANK($H21),$G21,$H21),0)</f>
        <v>0</v>
      </c>
      <c r="N21" s="13">
        <f ca="1">IF($D21="Igen",$M21+$W20,0)</f>
        <v>0</v>
      </c>
      <c r="O21" s="13">
        <f ca="1">IF($D21="Igen",IF($W20&gt;=IF($D$4="Forint",Paraméterek!$J$121,Paraméterek!$K$121),0,IF($D$4="Forint",Paraméterek!$J$121,Paraméterek!$K$121)-$W20),0)</f>
        <v>0</v>
      </c>
      <c r="P21" s="13" t="e">
        <f ca="1">ROUNDUP($O21*VLOOKUP($M$4+$B21-1,Paraméterek!$H$58:$I$105,2,0)/Paraméterek!$I$56,IF($D$4="Forint",0,2))</f>
        <v>#N/A</v>
      </c>
      <c r="Q21" s="13">
        <f t="shared" ref="Q21:Q84" ca="1" si="6">IF($D21="Igen",ROUNDUP($M$5*(1+$M$2)^($B21-1),IF($D$4="Forint",0,2)),0)</f>
        <v>0</v>
      </c>
      <c r="R21" s="33"/>
      <c r="S21" s="13" t="e">
        <f t="shared" ref="S21:S84" ca="1" si="7">ROUNDDOWN(($N21-$P21-$Q21)*IF(ISBLANK($R21),$M$6,$R21)*IF($D22="Nem",IF($M$13=0,1,$M$13),1),IF($D$4="Forint",0,2))</f>
        <v>#N/A</v>
      </c>
      <c r="T21" s="13" t="e">
        <f ca="1">ROUNDUP(($N21-$P21-$Q21+$S21)*VLOOKUP($B21,Paraméterek!$I$38:$K$39,IF($D$2="Egyszeri",3,2))/12*IF($D22="Nem",IF($M$13=0,1,$M$13),1),IF($D$4="Forint",0,2))</f>
        <v>#N/A</v>
      </c>
      <c r="U21" s="30"/>
      <c r="V21" s="13"/>
      <c r="W21" s="13" t="e">
        <f ca="1">$N21-$P21-$Q21+$S21-$T21-IF(ROUNDUP(IF(ISBLANK($V21),$U21*0,$V21)/IF($D$2="Egyszeri",VLOOKUP($B21+IF($C21=12,1,0),Paraméterek!$V$257:$W$262,2),IF($B21=1,1,VLOOKUP($B21+IF($C21=12,1,0),Paraméterek!$I$258:$T$278,HLOOKUP($M$11+1,Paraméterek!$J$256:$T$257,2)))),IF($D$4="Forint",0,2))&gt;$N21-$P21-$Q21+$S21-$T21-IF($D$4="Forint",Paraméterek!$C$216,Paraméterek!$D$216),0,ROUNDUP(IF(ISBLANK($V21),$U21*0,$V21)/IF($D$2="Egyszeri",VLOOKUP($B21+IF($C21=12,1,0),Paraméterek!$V$257:$W$262,2),IF($B21=1,1,VLOOKUP($B21+IF($C21=12,1,0),Paraméterek!$I$258:$T$278,HLOOKUP($M$11+1,Paraméterek!$J$256:$T$257,2)))),IF($D$4="Forint",0,2)))</f>
        <v>#N/A</v>
      </c>
      <c r="X21" s="13" t="e">
        <f ca="1">ROUNDDOWN($W21*IF($D$2="Egyszeri",VLOOKUP($B21+IF($C21=12,1,0),Paraméterek!$V$257:$W$262,2),VLOOKUP($B21+IF($C21=12,1,0),Paraméterek!$I$258:$T$278,HLOOKUP($M$11+1,Paraméterek!$I$256:$T$257,2))),IF($D$4="Forint",0,2))</f>
        <v>#N/A</v>
      </c>
      <c r="Z21" s="32">
        <v>2</v>
      </c>
      <c r="AA21" s="32">
        <v>1</v>
      </c>
      <c r="AB21" s="32">
        <v>2</v>
      </c>
      <c r="AC21" s="13">
        <f ca="1">IF($D21="Igen",$AL20,0)</f>
        <v>0</v>
      </c>
      <c r="AD21" s="33"/>
      <c r="AE21" s="13">
        <f t="shared" ref="AE21:AE84" ca="1" si="8">ROUNDDOWN($AC21*IF(ISBLANK($AD21),$M$8,$AD21)*IF($D22="Nem",IF($M$13=0,1,$M$13),1),IF($D$4="Forint",0,2))</f>
        <v>0</v>
      </c>
      <c r="AF21" s="13">
        <f ca="1">ROUNDUP(($AC21+$AE21)*VLOOKUP($AA21,Paraméterek!$P$38:$Q$38,2)/12*IF($D22="Nem",IF($M$13=0,1,$M$13),1),IF($D$4="Forint",0,2))</f>
        <v>0</v>
      </c>
      <c r="AG21" s="13">
        <f ca="1">IF($D$2="Egyszeri",IF($D$7&gt;=IF($D$4="Forint",Paraméterek!$P$223,Paraméterek!$P$224),$D$7-IF($D$4="Forint",Paraméterek!$P$223,Paraméterek!$P$224),0),MIN(IF($AB21=12,AVERAGEIF($E$20:$E21,"&gt;0",$E$20:$E21)*12,0),SUM($E$20:$E$31)))</f>
        <v>0</v>
      </c>
      <c r="AH21" s="13">
        <f>IF($AA21=10,$AG21*IF($AB21=12,IF($AG21&lt;IF($D$4="Forint",Paraméterek!$L$223,Paraméterek!$L$224),0,VLOOKUP($AA21,Paraméterek!$K$226:$M$228,IF($AG21&lt;IF($D$4="Forint",Paraméterek!$M$223,Paraméterek!$M$224),2,3))),0),0)</f>
        <v>0</v>
      </c>
      <c r="AI21" s="13">
        <f ca="1">IF(AND($AA21=$M$11+1,$AB21=$M$12+1),SUMIF($AA$20:$AA$1027,$AA21,$AG$20:$AG$1027)*IF(SUMIF($AA$20:$AA$1027,$AA21,$AG$20:$AG$1027)&lt;IF($D$4="Forint",Paraméterek!$L$223,Paraméterek!$L$224),0,VLOOKUP($AA21,Paraméterek!$K$230:$M$250,IF(SUMIF($AA$20:$AA$1027,$AA21,$AG$20:$AG$1027)&lt;IF($D$4="Forint",Paraméterek!$M$223,Paraméterek!$M$224),2,3))),0)</f>
        <v>0</v>
      </c>
      <c r="AJ21" s="13">
        <f ca="1">IF(AND($AA21&gt;=5,MOD($AA21,5)=0),IF($AB21=12,VLOOKUP($AA21,Paraméterek!$O$225:$P$240,2),0),IF(OR($AA21=3,$AA21=4),IF($AB21=12,VLOOKUP($AA21,Paraméterek!$O$225:$P$240,2,0),0),0))*$AG21</f>
        <v>0</v>
      </c>
      <c r="AK21" s="13">
        <f t="shared" ref="AK21:AK84" ca="1" si="9">ROUNDDOWN(IF($D$2="Egyszeri",$AJ21,$AH21+$AI21),IF($D$4="Forint",0,2))</f>
        <v>0</v>
      </c>
      <c r="AL21" s="13">
        <f ca="1">$AC21+$AE21-$AF21+$AK21</f>
        <v>0</v>
      </c>
      <c r="AM21" s="13">
        <f ca="1">$AL21</f>
        <v>0</v>
      </c>
      <c r="AO21" s="32">
        <v>2</v>
      </c>
      <c r="AP21" s="32">
        <v>1</v>
      </c>
      <c r="AQ21" s="32">
        <v>2</v>
      </c>
      <c r="AR21" s="13"/>
      <c r="AS21" s="32"/>
      <c r="AT21" s="13">
        <f ca="1">IF($D21="Igen",IF(ISBLANK($AS21),$AR21,$AS21)+$BA20,0)</f>
        <v>0</v>
      </c>
      <c r="AU21" s="33"/>
      <c r="AV21" s="13">
        <f t="shared" ref="AV21:AV84" ca="1" si="10">ROUNDDOWN($AT21*IF(ISBLANK($AU21),$M$7,$AU21)*IF($D22="Nem",IF($M$13=0,1,$M$13),1),IF($D$4="Forint",0,2))</f>
        <v>0</v>
      </c>
      <c r="AW21" s="13">
        <f ca="1">ROUNDUP(($AT21+$AV21)*VLOOKUP($AP21,Paraméterek!$P$38:$Q$38,2)/12*IF($D22="Nem",IF($M$13=0,1,$M$13),1),IF($D$4="Forint",0,2))</f>
        <v>0</v>
      </c>
      <c r="AX21" s="30"/>
      <c r="AY21" s="13"/>
      <c r="AZ21" s="13">
        <f>ROUNDUP(IF(SUM($AX21:$AY21)=0,0,IF(IF(ISBLANK($AY21),$AX21,$AY21)*Paraméterek!$J$112&lt;IF($D$4="Forint",Paraméterek!$J$113,Paraméterek!$K$113),IF($D$4="Forint",Paraméterek!$J$113,Paraméterek!$K$113),IF(IF(ISBLANK($AY21),$AX21,$AY21)*Paraméterek!$J$112&gt;IF($D$4="Forint",Paraméterek!$J$114,Paraméterek!$K$114),IF($D$4="Forint",Paraméterek!$J$114,Paraméterek!$K$114),IF(ISBLANK($AY21),$AX21,$AY21)*Paraméterek!$J$112))),IF($D$4="Forint",0,2))</f>
        <v>0</v>
      </c>
      <c r="BA21" s="13">
        <f ca="1">$AT21+$AV21-$AW21-IF(ROUNDDOWN(IF(ISBLANK($AY21),$AX21,$AY21),IF($D$4="Forint",0,2))&gt;$AT21+$AV21-$AW21-IF($D$4="Forint",Paraméterek!$J$114,Paraméterek!$K$114),0,ROUNDDOWN(IF(ISBLANK($AY21),$AX21,$AY21),IF($D$4="Forint",0,2))-$AZ21)</f>
        <v>0</v>
      </c>
      <c r="BB21" s="13">
        <f t="shared" ref="BB21:BB84" ca="1" si="11">$BA21</f>
        <v>0</v>
      </c>
      <c r="BD21" s="32">
        <v>2</v>
      </c>
      <c r="BE21" s="32">
        <v>1</v>
      </c>
      <c r="BF21" s="32">
        <v>2</v>
      </c>
      <c r="BG21" s="34">
        <f ca="1">$BG20+IF(MOD(MONTH($D$14)+$BD21-1,12)=1,1,0)</f>
        <v>2019</v>
      </c>
      <c r="BH21" s="32" t="str">
        <f ca="1">IF(MOD(MONTH($D$14)+$BD21-1,12)=Paraméterek!$C$288,"Igen","")</f>
        <v>Igen</v>
      </c>
      <c r="BI21" s="13">
        <f ca="1">IF($BH21="Igen",MIN(ROUNDDOWN((SUMIF($BG$20:$BG$1027,$BG21-1,$K$20:$K$1027)-SUMIF($BG$20:$BG$1027,$BG21-1,$I$20:$I$1027))*Paraméterek!$C$289,IF($D$4="Forint",0,2)),IF($D$4="Forint",Paraméterek!$C$285,Paraméterek!$D$285)),0)</f>
        <v>0</v>
      </c>
      <c r="BJ21" s="13">
        <f t="shared" ref="BJ21:BJ84" ca="1" si="12">IF(AND($D21="Igen",$BH21="Igen"),$BI21,0)</f>
        <v>0</v>
      </c>
      <c r="BK21" s="13">
        <f ca="1">$BJ21+IF($D21="Igen",$BO20,0)</f>
        <v>0</v>
      </c>
      <c r="BL21" s="33"/>
      <c r="BM21" s="13">
        <f t="shared" ref="BM21:BM84" ca="1" si="13">ROUNDDOWN($BK21*IF(ISBLANK($BL21),$M$9,$BL21)*IF($D22="Nem",IF($M$13=0,1,$M$13),1),IF($D$4="Forint",0,2))</f>
        <v>0</v>
      </c>
      <c r="BN21" s="13">
        <f ca="1">ROUNDUP(($BK21+$BM21)*VLOOKUP($BE21,Paraméterek!$P$38:$Q$38,2)/12*IF($D22="Nem",IF($M$13=0,1,$M$13),1),IF($D$4="Forint",0,2))</f>
        <v>0</v>
      </c>
      <c r="BO21" s="13">
        <f t="shared" ref="BO21:BO84" ca="1" si="14">$BK21+$BM21-$BN21</f>
        <v>0</v>
      </c>
      <c r="BP21" s="13">
        <f ca="1">IF($D22="Nem",$BO21,$BO21-ROUNDUP(SUM($BI$20:$BI21)*120%,IF($D$4="Forint",0,2)))</f>
        <v>0</v>
      </c>
    </row>
    <row r="22" spans="1:68" x14ac:dyDescent="0.2">
      <c r="A22" s="32">
        <v>3</v>
      </c>
      <c r="B22" s="32">
        <v>1</v>
      </c>
      <c r="C22" s="32">
        <v>3</v>
      </c>
      <c r="D22" s="32" t="str">
        <f t="shared" ca="1" si="0"/>
        <v>Nem</v>
      </c>
      <c r="E22" s="13">
        <f t="shared" ca="1" si="1"/>
        <v>0</v>
      </c>
      <c r="F22" s="13"/>
      <c r="G22" s="13"/>
      <c r="H22" s="13"/>
      <c r="I22" s="13">
        <f t="shared" ca="1" si="2"/>
        <v>0</v>
      </c>
      <c r="J22" s="13">
        <f t="shared" ca="1" si="3"/>
        <v>0</v>
      </c>
      <c r="K22" s="13">
        <f t="shared" ca="1" si="4"/>
        <v>0</v>
      </c>
      <c r="L22" s="13" t="e">
        <f ca="1">ROUNDUP(IF($D$2="Egyszeri",$E22,IF($D$2="Havi",SUM($E$20:$E$31),IF(MOD($C22,$M$1)-1=0,SUM($E$20:$E$31),0))/12*$M$1)*VLOOKUP($B22,Paraméterek!$I$28:$P$31,IF($D$2="Egyszeri",8,HLOOKUP(ROUNDUP($M$11+$M$13,0),Paraméterek!$J$26:$O$27,2))),IF($D$4="Forint",0,2))</f>
        <v>#N/A</v>
      </c>
      <c r="M22" s="13">
        <f t="shared" ca="1" si="5"/>
        <v>0</v>
      </c>
      <c r="N22" s="13">
        <f t="shared" ref="N22:N85" ca="1" si="15">IF($D22="Igen",$M22+$W21,0)</f>
        <v>0</v>
      </c>
      <c r="O22" s="13">
        <f ca="1">IF($D22="Igen",IF($W21&gt;=IF($D$4="Forint",Paraméterek!$J$121,Paraméterek!$K$121),0,IF($D$4="Forint",Paraméterek!$J$121,Paraméterek!$K$121)-$W21),0)</f>
        <v>0</v>
      </c>
      <c r="P22" s="13" t="e">
        <f ca="1">ROUNDUP($O22*VLOOKUP($M$4+$B22-1,Paraméterek!$H$58:$I$105,2,0)/Paraméterek!$I$56,IF($D$4="Forint",0,2))</f>
        <v>#N/A</v>
      </c>
      <c r="Q22" s="13">
        <f t="shared" ca="1" si="6"/>
        <v>0</v>
      </c>
      <c r="R22" s="33"/>
      <c r="S22" s="13" t="e">
        <f t="shared" ca="1" si="7"/>
        <v>#N/A</v>
      </c>
      <c r="T22" s="13" t="e">
        <f ca="1">ROUNDUP(($N22-$P22-$Q22+$S22)*VLOOKUP($B22,Paraméterek!$I$38:$K$39,IF($D$2="Egyszeri",3,2))/12*IF($D23="Nem",IF($M$13=0,1,$M$13),1),IF($D$4="Forint",0,2))</f>
        <v>#N/A</v>
      </c>
      <c r="U22" s="30"/>
      <c r="V22" s="13"/>
      <c r="W22" s="13" t="e">
        <f ca="1">$N22-$P22-$Q22+$S22-$T22-IF(ROUNDUP(IF(ISBLANK($V22),$U22*0,$V22)/IF($D$2="Egyszeri",VLOOKUP($B22+IF($C22=12,1,0),Paraméterek!$V$257:$W$262,2),IF($B22=1,1,VLOOKUP($B22+IF($C22=12,1,0),Paraméterek!$I$258:$T$278,HLOOKUP($M$11+1,Paraméterek!$J$256:$T$257,2)))),IF($D$4="Forint",0,2))&gt;$N22-$P22-$Q22+$S22-$T22-IF($D$4="Forint",Paraméterek!$C$216,Paraméterek!$D$216),0,ROUNDUP(IF(ISBLANK($V22),$U22*0,$V22)/IF($D$2="Egyszeri",VLOOKUP($B22+IF($C22=12,1,0),Paraméterek!$V$257:$W$262,2),IF($B22=1,1,VLOOKUP($B22+IF($C22=12,1,0),Paraméterek!$I$258:$T$278,HLOOKUP($M$11+1,Paraméterek!$J$256:$T$257,2)))),IF($D$4="Forint",0,2)))</f>
        <v>#N/A</v>
      </c>
      <c r="X22" s="13" t="e">
        <f ca="1">ROUNDDOWN($W22*IF($D$2="Egyszeri",VLOOKUP($B22+IF($C22=12,1,0),Paraméterek!$V$257:$W$262,2),VLOOKUP($B22+IF($C22=12,1,0),Paraméterek!$I$258:$T$278,HLOOKUP($M$11+1,Paraméterek!$I$256:$T$257,2))),IF($D$4="Forint",0,2))</f>
        <v>#N/A</v>
      </c>
      <c r="Z22" s="32">
        <v>3</v>
      </c>
      <c r="AA22" s="32">
        <v>1</v>
      </c>
      <c r="AB22" s="32">
        <v>3</v>
      </c>
      <c r="AC22" s="13">
        <f t="shared" ref="AC22:AC85" ca="1" si="16">IF($D22="Igen",$AL21,0)</f>
        <v>0</v>
      </c>
      <c r="AD22" s="33"/>
      <c r="AE22" s="13">
        <f t="shared" ca="1" si="8"/>
        <v>0</v>
      </c>
      <c r="AF22" s="13">
        <f ca="1">ROUNDUP(($AC22+$AE22)*VLOOKUP($AA22,Paraméterek!$P$38:$Q$38,2)/12*IF($D23="Nem",IF($M$13=0,1,$M$13),1),IF($D$4="Forint",0,2))</f>
        <v>0</v>
      </c>
      <c r="AG22" s="13">
        <f ca="1">IF($D$2="Egyszeri",IF($D$7&gt;=IF($D$4="Forint",Paraméterek!$P$223,Paraméterek!$P$224),$D$7-IF($D$4="Forint",Paraméterek!$P$223,Paraméterek!$P$224),0),MIN(IF($AB22=12,AVERAGEIF($E$20:$E22,"&gt;0",$E$20:$E22)*12,0),SUM($E$20:$E$31)))</f>
        <v>0</v>
      </c>
      <c r="AH22" s="13">
        <f>IF($AA22=10,$AG22*IF($AB22=12,IF($AG22&lt;IF($D$4="Forint",Paraméterek!$L$223,Paraméterek!$L$224),0,VLOOKUP($AA22,Paraméterek!$K$226:$M$228,IF($AG22&lt;IF($D$4="Forint",Paraméterek!$M$223,Paraméterek!$M$224),2,3))),0),0)</f>
        <v>0</v>
      </c>
      <c r="AI22" s="13">
        <f ca="1">IF(AND($AA22=$M$11+1,$AB22=$M$12+1),SUMIF($AA$20:$AA$1027,$AA22,$AG$20:$AG$1027)*IF(SUMIF($AA$20:$AA$1027,$AA22,$AG$20:$AG$1027)&lt;IF($D$4="Forint",Paraméterek!$L$223,Paraméterek!$L$224),0,VLOOKUP($AA22,Paraméterek!$K$230:$M$250,IF(SUMIF($AA$20:$AA$1027,$AA22,$AG$20:$AG$1027)&lt;IF($D$4="Forint",Paraméterek!$M$223,Paraméterek!$M$224),2,3))),0)</f>
        <v>0</v>
      </c>
      <c r="AJ22" s="13">
        <f ca="1">IF(AND($AA22&gt;=5,MOD($AA22,5)=0),IF($AB22=12,VLOOKUP($AA22,Paraméterek!$O$225:$P$240,2),0),IF(OR($AA22=3,$AA22=4),IF($AB22=12,VLOOKUP($AA22,Paraméterek!$O$225:$P$240,2,0),0),0))*$AG22</f>
        <v>0</v>
      </c>
      <c r="AK22" s="13">
        <f t="shared" ca="1" si="9"/>
        <v>0</v>
      </c>
      <c r="AL22" s="13">
        <f t="shared" ref="AL22:AL85" ca="1" si="17">$AC22+$AE22-$AF22+$AK22</f>
        <v>0</v>
      </c>
      <c r="AM22" s="13">
        <f t="shared" ref="AM22:AM85" ca="1" si="18">$AL22</f>
        <v>0</v>
      </c>
      <c r="AO22" s="32">
        <v>3</v>
      </c>
      <c r="AP22" s="32">
        <v>1</v>
      </c>
      <c r="AQ22" s="32">
        <v>3</v>
      </c>
      <c r="AR22" s="13"/>
      <c r="AS22" s="32"/>
      <c r="AT22" s="13">
        <f t="shared" ref="AT22:AT85" ca="1" si="19">IF($D22="Igen",IF(ISBLANK($AS22),$AR22,$AS22)+$BA21,0)</f>
        <v>0</v>
      </c>
      <c r="AU22" s="33"/>
      <c r="AV22" s="13">
        <f t="shared" ca="1" si="10"/>
        <v>0</v>
      </c>
      <c r="AW22" s="13">
        <f ca="1">ROUNDUP(($AT22+$AV22)*VLOOKUP($AP22,Paraméterek!$P$38:$Q$38,2)/12*IF($D23="Nem",IF($M$13=0,1,$M$13),1),IF($D$4="Forint",0,2))</f>
        <v>0</v>
      </c>
      <c r="AX22" s="30"/>
      <c r="AY22" s="13"/>
      <c r="AZ22" s="13">
        <f>ROUNDUP(IF(SUM($AX22:$AY22)=0,0,IF(IF(ISBLANK($AY22),$AX22,$AY22)*Paraméterek!$J$112&lt;IF($D$4="Forint",Paraméterek!$J$113,Paraméterek!$K$113),IF($D$4="Forint",Paraméterek!$J$113,Paraméterek!$K$113),IF(IF(ISBLANK($AY22),$AX22,$AY22)*Paraméterek!$J$112&gt;IF($D$4="Forint",Paraméterek!$J$114,Paraméterek!$K$114),IF($D$4="Forint",Paraméterek!$J$114,Paraméterek!$K$114),IF(ISBLANK($AY22),$AX22,$AY22)*Paraméterek!$J$112))),IF($D$4="Forint",0,2))</f>
        <v>0</v>
      </c>
      <c r="BA22" s="13">
        <f ca="1">$AT22+$AV22-$AW22-IF(ROUNDDOWN(IF(ISBLANK($AY22),$AX22,$AY22),IF($D$4="Forint",0,2))&gt;$AT22+$AV22-$AW22-IF($D$4="Forint",Paraméterek!$J$114,Paraméterek!$K$114),0,ROUNDDOWN(IF(ISBLANK($AY22),$AX22,$AY22),IF($D$4="Forint",0,2))-$AZ22)</f>
        <v>0</v>
      </c>
      <c r="BB22" s="13">
        <f t="shared" ca="1" si="11"/>
        <v>0</v>
      </c>
      <c r="BD22" s="32">
        <v>3</v>
      </c>
      <c r="BE22" s="32">
        <v>1</v>
      </c>
      <c r="BF22" s="32">
        <v>3</v>
      </c>
      <c r="BG22" s="34">
        <f t="shared" ref="BG22:BG85" ca="1" si="20">$BG21+IF(MOD(MONTH($D$14)+$BD22-1,12)=1,1,0)</f>
        <v>2019</v>
      </c>
      <c r="BH22" s="32" t="str">
        <f ca="1">IF(MOD(MONTH($D$14)+$BD22-1,12)=Paraméterek!$C$288,"Igen","")</f>
        <v/>
      </c>
      <c r="BI22" s="13">
        <f ca="1">IF($BH22="Igen",MIN(ROUNDDOWN((SUMIF($BG$20:$BG$1027,$BG22-1,$K$20:$K$1027)-SUMIF($BG$20:$BG$1027,$BG22-1,$I$20:$I$1027))*Paraméterek!$C$289,IF($D$4="Forint",0,2)),IF($D$4="Forint",Paraméterek!$C$285,Paraméterek!$D$285)),0)</f>
        <v>0</v>
      </c>
      <c r="BJ22" s="13">
        <f t="shared" ca="1" si="12"/>
        <v>0</v>
      </c>
      <c r="BK22" s="13">
        <f t="shared" ref="BK22:BK85" ca="1" si="21">$BJ22+IF($D22="Igen",$BO21,0)</f>
        <v>0</v>
      </c>
      <c r="BL22" s="33"/>
      <c r="BM22" s="13">
        <f t="shared" ca="1" si="13"/>
        <v>0</v>
      </c>
      <c r="BN22" s="13">
        <f ca="1">ROUNDUP(($BK22+$BM22)*VLOOKUP($BE22,Paraméterek!$P$38:$Q$38,2)/12*IF($D23="Nem",IF($M$13=0,1,$M$13),1),IF($D$4="Forint",0,2))</f>
        <v>0</v>
      </c>
      <c r="BO22" s="13">
        <f t="shared" ca="1" si="14"/>
        <v>0</v>
      </c>
      <c r="BP22" s="13">
        <f ca="1">IF($D23="Nem",$BO22,$BO22-ROUNDUP(SUM($BI$20:$BI22)*120%,IF($D$4="Forint",0,2)))</f>
        <v>0</v>
      </c>
    </row>
    <row r="23" spans="1:68" x14ac:dyDescent="0.2">
      <c r="A23" s="32">
        <v>4</v>
      </c>
      <c r="B23" s="32">
        <v>1</v>
      </c>
      <c r="C23" s="32">
        <v>4</v>
      </c>
      <c r="D23" s="32" t="str">
        <f t="shared" ca="1" si="0"/>
        <v>Nem</v>
      </c>
      <c r="E23" s="13">
        <f t="shared" ca="1" si="1"/>
        <v>0</v>
      </c>
      <c r="F23" s="13"/>
      <c r="G23" s="13"/>
      <c r="H23" s="13"/>
      <c r="I23" s="13">
        <f t="shared" ca="1" si="2"/>
        <v>0</v>
      </c>
      <c r="J23" s="13">
        <f t="shared" ca="1" si="3"/>
        <v>0</v>
      </c>
      <c r="K23" s="13">
        <f t="shared" ca="1" si="4"/>
        <v>0</v>
      </c>
      <c r="L23" s="13" t="e">
        <f ca="1">ROUNDUP(IF($D$2="Egyszeri",$E23,IF($D$2="Havi",SUM($E$20:$E$31),IF(MOD($C23,$M$1)-1=0,SUM($E$20:$E$31),0))/12*$M$1)*VLOOKUP($B23,Paraméterek!$I$28:$P$31,IF($D$2="Egyszeri",8,HLOOKUP(ROUNDUP($M$11+$M$13,0),Paraméterek!$J$26:$O$27,2))),IF($D$4="Forint",0,2))</f>
        <v>#N/A</v>
      </c>
      <c r="M23" s="13">
        <f t="shared" ca="1" si="5"/>
        <v>0</v>
      </c>
      <c r="N23" s="13">
        <f t="shared" ca="1" si="15"/>
        <v>0</v>
      </c>
      <c r="O23" s="13">
        <f ca="1">IF($D23="Igen",IF($W22&gt;=IF($D$4="Forint",Paraméterek!$J$121,Paraméterek!$K$121),0,IF($D$4="Forint",Paraméterek!$J$121,Paraméterek!$K$121)-$W22),0)</f>
        <v>0</v>
      </c>
      <c r="P23" s="13" t="e">
        <f ca="1">ROUNDUP($O23*VLOOKUP($M$4+$B23-1,Paraméterek!$H$58:$I$105,2,0)/Paraméterek!$I$56,IF($D$4="Forint",0,2))</f>
        <v>#N/A</v>
      </c>
      <c r="Q23" s="13">
        <f t="shared" ca="1" si="6"/>
        <v>0</v>
      </c>
      <c r="R23" s="33"/>
      <c r="S23" s="13" t="e">
        <f t="shared" ca="1" si="7"/>
        <v>#N/A</v>
      </c>
      <c r="T23" s="13" t="e">
        <f ca="1">ROUNDUP(($N23-$P23-$Q23+$S23)*VLOOKUP($B23,Paraméterek!$I$38:$K$39,IF($D$2="Egyszeri",3,2))/12*IF($D24="Nem",IF($M$13=0,1,$M$13),1),IF($D$4="Forint",0,2))</f>
        <v>#N/A</v>
      </c>
      <c r="U23" s="30"/>
      <c r="V23" s="13"/>
      <c r="W23" s="13" t="e">
        <f ca="1">$N23-$P23-$Q23+$S23-$T23-IF(ROUNDUP(IF(ISBLANK($V23),$U23*0,$V23)/IF($D$2="Egyszeri",VLOOKUP($B23+IF($C23=12,1,0),Paraméterek!$V$257:$W$262,2),IF($B23=1,1,VLOOKUP($B23+IF($C23=12,1,0),Paraméterek!$I$258:$T$278,HLOOKUP($M$11+1,Paraméterek!$J$256:$T$257,2)))),IF($D$4="Forint",0,2))&gt;$N23-$P23-$Q23+$S23-$T23-IF($D$4="Forint",Paraméterek!$C$216,Paraméterek!$D$216),0,ROUNDUP(IF(ISBLANK($V23),$U23*0,$V23)/IF($D$2="Egyszeri",VLOOKUP($B23+IF($C23=12,1,0),Paraméterek!$V$257:$W$262,2),IF($B23=1,1,VLOOKUP($B23+IF($C23=12,1,0),Paraméterek!$I$258:$T$278,HLOOKUP($M$11+1,Paraméterek!$J$256:$T$257,2)))),IF($D$4="Forint",0,2)))</f>
        <v>#N/A</v>
      </c>
      <c r="X23" s="13" t="e">
        <f ca="1">ROUNDDOWN($W23*IF($D$2="Egyszeri",VLOOKUP($B23+IF($C23=12,1,0),Paraméterek!$V$257:$W$262,2),VLOOKUP($B23+IF($C23=12,1,0),Paraméterek!$I$258:$T$278,HLOOKUP($M$11+1,Paraméterek!$I$256:$T$257,2))),IF($D$4="Forint",0,2))</f>
        <v>#N/A</v>
      </c>
      <c r="Z23" s="32">
        <v>4</v>
      </c>
      <c r="AA23" s="32">
        <v>1</v>
      </c>
      <c r="AB23" s="32">
        <v>4</v>
      </c>
      <c r="AC23" s="13">
        <f t="shared" ca="1" si="16"/>
        <v>0</v>
      </c>
      <c r="AD23" s="33"/>
      <c r="AE23" s="13">
        <f t="shared" ca="1" si="8"/>
        <v>0</v>
      </c>
      <c r="AF23" s="13">
        <f ca="1">ROUNDUP(($AC23+$AE23)*VLOOKUP($AA23,Paraméterek!$P$38:$Q$38,2)/12*IF($D24="Nem",IF($M$13=0,1,$M$13),1),IF($D$4="Forint",0,2))</f>
        <v>0</v>
      </c>
      <c r="AG23" s="13">
        <f ca="1">IF($D$2="Egyszeri",IF($D$7&gt;=IF($D$4="Forint",Paraméterek!$P$223,Paraméterek!$P$224),$D$7-IF($D$4="Forint",Paraméterek!$P$223,Paraméterek!$P$224),0),MIN(IF($AB23=12,AVERAGEIF($E$20:$E23,"&gt;0",$E$20:$E23)*12,0),SUM($E$20:$E$31)))</f>
        <v>0</v>
      </c>
      <c r="AH23" s="13">
        <f>IF($AA23=10,$AG23*IF($AB23=12,IF($AG23&lt;IF($D$4="Forint",Paraméterek!$L$223,Paraméterek!$L$224),0,VLOOKUP($AA23,Paraméterek!$K$226:$M$228,IF($AG23&lt;IF($D$4="Forint",Paraméterek!$M$223,Paraméterek!$M$224),2,3))),0),0)</f>
        <v>0</v>
      </c>
      <c r="AI23" s="13">
        <f ca="1">IF(AND($AA23=$M$11+1,$AB23=$M$12+1),SUMIF($AA$20:$AA$1027,$AA23,$AG$20:$AG$1027)*IF(SUMIF($AA$20:$AA$1027,$AA23,$AG$20:$AG$1027)&lt;IF($D$4="Forint",Paraméterek!$L$223,Paraméterek!$L$224),0,VLOOKUP($AA23,Paraméterek!$K$230:$M$250,IF(SUMIF($AA$20:$AA$1027,$AA23,$AG$20:$AG$1027)&lt;IF($D$4="Forint",Paraméterek!$M$223,Paraméterek!$M$224),2,3))),0)</f>
        <v>0</v>
      </c>
      <c r="AJ23" s="13">
        <f ca="1">IF(AND($AA23&gt;=5,MOD($AA23,5)=0),IF($AB23=12,VLOOKUP($AA23,Paraméterek!$O$225:$P$240,2),0),IF(OR($AA23=3,$AA23=4),IF($AB23=12,VLOOKUP($AA23,Paraméterek!$O$225:$P$240,2,0),0),0))*$AG23</f>
        <v>0</v>
      </c>
      <c r="AK23" s="13">
        <f t="shared" ca="1" si="9"/>
        <v>0</v>
      </c>
      <c r="AL23" s="13">
        <f t="shared" ca="1" si="17"/>
        <v>0</v>
      </c>
      <c r="AM23" s="13">
        <f t="shared" ca="1" si="18"/>
        <v>0</v>
      </c>
      <c r="AO23" s="32">
        <v>4</v>
      </c>
      <c r="AP23" s="32">
        <v>1</v>
      </c>
      <c r="AQ23" s="32">
        <v>4</v>
      </c>
      <c r="AR23" s="13"/>
      <c r="AS23" s="32"/>
      <c r="AT23" s="13">
        <f t="shared" ca="1" si="19"/>
        <v>0</v>
      </c>
      <c r="AU23" s="33"/>
      <c r="AV23" s="13">
        <f t="shared" ca="1" si="10"/>
        <v>0</v>
      </c>
      <c r="AW23" s="13">
        <f ca="1">ROUNDUP(($AT23+$AV23)*VLOOKUP($AP23,Paraméterek!$P$38:$Q$38,2)/12*IF($D24="Nem",IF($M$13=0,1,$M$13),1),IF($D$4="Forint",0,2))</f>
        <v>0</v>
      </c>
      <c r="AX23" s="30"/>
      <c r="AY23" s="13"/>
      <c r="AZ23" s="13">
        <f>ROUNDUP(IF(SUM($AX23:$AY23)=0,0,IF(IF(ISBLANK($AY23),$AX23,$AY23)*Paraméterek!$J$112&lt;IF($D$4="Forint",Paraméterek!$J$113,Paraméterek!$K$113),IF($D$4="Forint",Paraméterek!$J$113,Paraméterek!$K$113),IF(IF(ISBLANK($AY23),$AX23,$AY23)*Paraméterek!$J$112&gt;IF($D$4="Forint",Paraméterek!$J$114,Paraméterek!$K$114),IF($D$4="Forint",Paraméterek!$J$114,Paraméterek!$K$114),IF(ISBLANK($AY23),$AX23,$AY23)*Paraméterek!$J$112))),IF($D$4="Forint",0,2))</f>
        <v>0</v>
      </c>
      <c r="BA23" s="13">
        <f ca="1">$AT23+$AV23-$AW23-IF(ROUNDDOWN(IF(ISBLANK($AY23),$AX23,$AY23),IF($D$4="Forint",0,2))&gt;$AT23+$AV23-$AW23-IF($D$4="Forint",Paraméterek!$J$114,Paraméterek!$K$114),0,ROUNDDOWN(IF(ISBLANK($AY23),$AX23,$AY23),IF($D$4="Forint",0,2))-$AZ23)</f>
        <v>0</v>
      </c>
      <c r="BB23" s="13">
        <f t="shared" ca="1" si="11"/>
        <v>0</v>
      </c>
      <c r="BD23" s="32">
        <v>4</v>
      </c>
      <c r="BE23" s="32">
        <v>1</v>
      </c>
      <c r="BF23" s="32">
        <v>4</v>
      </c>
      <c r="BG23" s="34">
        <f t="shared" ca="1" si="20"/>
        <v>2019</v>
      </c>
      <c r="BH23" s="32" t="str">
        <f ca="1">IF(MOD(MONTH($D$14)+$BD23-1,12)=Paraméterek!$C$288,"Igen","")</f>
        <v/>
      </c>
      <c r="BI23" s="13">
        <f ca="1">IF($BH23="Igen",MIN(ROUNDDOWN((SUMIF($BG$20:$BG$1027,$BG23-1,$K$20:$K$1027)-SUMIF($BG$20:$BG$1027,$BG23-1,$I$20:$I$1027))*Paraméterek!$C$289,IF($D$4="Forint",0,2)),IF($D$4="Forint",Paraméterek!$C$285,Paraméterek!$D$285)),0)</f>
        <v>0</v>
      </c>
      <c r="BJ23" s="13">
        <f t="shared" ca="1" si="12"/>
        <v>0</v>
      </c>
      <c r="BK23" s="13">
        <f t="shared" ca="1" si="21"/>
        <v>0</v>
      </c>
      <c r="BL23" s="33"/>
      <c r="BM23" s="13">
        <f t="shared" ca="1" si="13"/>
        <v>0</v>
      </c>
      <c r="BN23" s="13">
        <f ca="1">ROUNDUP(($BK23+$BM23)*VLOOKUP($BE23,Paraméterek!$P$38:$Q$38,2)/12*IF($D24="Nem",IF($M$13=0,1,$M$13),1),IF($D$4="Forint",0,2))</f>
        <v>0</v>
      </c>
      <c r="BO23" s="13">
        <f t="shared" ca="1" si="14"/>
        <v>0</v>
      </c>
      <c r="BP23" s="13">
        <f ca="1">IF($D24="Nem",$BO23,$BO23-ROUNDUP(SUM($BI$20:$BI23)*120%,IF($D$4="Forint",0,2)))</f>
        <v>0</v>
      </c>
    </row>
    <row r="24" spans="1:68" x14ac:dyDescent="0.2">
      <c r="A24" s="32">
        <v>5</v>
      </c>
      <c r="B24" s="32">
        <v>1</v>
      </c>
      <c r="C24" s="32">
        <v>5</v>
      </c>
      <c r="D24" s="32" t="str">
        <f t="shared" ca="1" si="0"/>
        <v>Nem</v>
      </c>
      <c r="E24" s="13">
        <f t="shared" ca="1" si="1"/>
        <v>0</v>
      </c>
      <c r="F24" s="13"/>
      <c r="G24" s="13"/>
      <c r="H24" s="13"/>
      <c r="I24" s="13">
        <f t="shared" ca="1" si="2"/>
        <v>0</v>
      </c>
      <c r="J24" s="13">
        <f t="shared" ca="1" si="3"/>
        <v>0</v>
      </c>
      <c r="K24" s="13">
        <f t="shared" ca="1" si="4"/>
        <v>0</v>
      </c>
      <c r="L24" s="13" t="e">
        <f ca="1">ROUNDUP(IF($D$2="Egyszeri",$E24,IF($D$2="Havi",SUM($E$20:$E$31),IF(MOD($C24,$M$1)-1=0,SUM($E$20:$E$31),0))/12*$M$1)*VLOOKUP($B24,Paraméterek!$I$28:$P$31,IF($D$2="Egyszeri",8,HLOOKUP(ROUNDUP($M$11+$M$13,0),Paraméterek!$J$26:$O$27,2))),IF($D$4="Forint",0,2))</f>
        <v>#N/A</v>
      </c>
      <c r="M24" s="13">
        <f t="shared" ca="1" si="5"/>
        <v>0</v>
      </c>
      <c r="N24" s="13">
        <f t="shared" ca="1" si="15"/>
        <v>0</v>
      </c>
      <c r="O24" s="13">
        <f ca="1">IF($D24="Igen",IF($W23&gt;=IF($D$4="Forint",Paraméterek!$J$121,Paraméterek!$K$121),0,IF($D$4="Forint",Paraméterek!$J$121,Paraméterek!$K$121)-$W23),0)</f>
        <v>0</v>
      </c>
      <c r="P24" s="13" t="e">
        <f ca="1">ROUNDUP($O24*VLOOKUP($M$4+$B24-1,Paraméterek!$H$58:$I$105,2,0)/Paraméterek!$I$56,IF($D$4="Forint",0,2))</f>
        <v>#N/A</v>
      </c>
      <c r="Q24" s="13">
        <f t="shared" ca="1" si="6"/>
        <v>0</v>
      </c>
      <c r="R24" s="33"/>
      <c r="S24" s="13" t="e">
        <f t="shared" ca="1" si="7"/>
        <v>#N/A</v>
      </c>
      <c r="T24" s="13" t="e">
        <f ca="1">ROUNDUP(($N24-$P24-$Q24+$S24)*VLOOKUP($B24,Paraméterek!$I$38:$K$39,IF($D$2="Egyszeri",3,2))/12*IF($D25="Nem",IF($M$13=0,1,$M$13),1),IF($D$4="Forint",0,2))</f>
        <v>#N/A</v>
      </c>
      <c r="U24" s="30"/>
      <c r="V24" s="13"/>
      <c r="W24" s="13" t="e">
        <f ca="1">$N24-$P24-$Q24+$S24-$T24-IF(ROUNDUP(IF(ISBLANK($V24),$U24*0,$V24)/IF($D$2="Egyszeri",VLOOKUP($B24+IF($C24=12,1,0),Paraméterek!$V$257:$W$262,2),IF($B24=1,1,VLOOKUP($B24+IF($C24=12,1,0),Paraméterek!$I$258:$T$278,HLOOKUP($M$11+1,Paraméterek!$J$256:$T$257,2)))),IF($D$4="Forint",0,2))&gt;$N24-$P24-$Q24+$S24-$T24-IF($D$4="Forint",Paraméterek!$C$216,Paraméterek!$D$216),0,ROUNDUP(IF(ISBLANK($V24),$U24*0,$V24)/IF($D$2="Egyszeri",VLOOKUP($B24+IF($C24=12,1,0),Paraméterek!$V$257:$W$262,2),IF($B24=1,1,VLOOKUP($B24+IF($C24=12,1,0),Paraméterek!$I$258:$T$278,HLOOKUP($M$11+1,Paraméterek!$J$256:$T$257,2)))),IF($D$4="Forint",0,2)))</f>
        <v>#N/A</v>
      </c>
      <c r="X24" s="13" t="e">
        <f ca="1">ROUNDDOWN($W24*IF($D$2="Egyszeri",VLOOKUP($B24+IF($C24=12,1,0),Paraméterek!$V$257:$W$262,2),VLOOKUP($B24+IF($C24=12,1,0),Paraméterek!$I$258:$T$278,HLOOKUP($M$11+1,Paraméterek!$I$256:$T$257,2))),IF($D$4="Forint",0,2))</f>
        <v>#N/A</v>
      </c>
      <c r="Z24" s="32">
        <v>5</v>
      </c>
      <c r="AA24" s="32">
        <v>1</v>
      </c>
      <c r="AB24" s="32">
        <v>5</v>
      </c>
      <c r="AC24" s="13">
        <f t="shared" ca="1" si="16"/>
        <v>0</v>
      </c>
      <c r="AD24" s="33"/>
      <c r="AE24" s="13">
        <f t="shared" ca="1" si="8"/>
        <v>0</v>
      </c>
      <c r="AF24" s="13">
        <f ca="1">ROUNDUP(($AC24+$AE24)*VLOOKUP($AA24,Paraméterek!$P$38:$Q$38,2)/12*IF($D25="Nem",IF($M$13=0,1,$M$13),1),IF($D$4="Forint",0,2))</f>
        <v>0</v>
      </c>
      <c r="AG24" s="13">
        <f ca="1">IF($D$2="Egyszeri",IF($D$7&gt;=IF($D$4="Forint",Paraméterek!$P$223,Paraméterek!$P$224),$D$7-IF($D$4="Forint",Paraméterek!$P$223,Paraméterek!$P$224),0),MIN(IF($AB24=12,AVERAGEIF($E$20:$E24,"&gt;0",$E$20:$E24)*12,0),SUM($E$20:$E$31)))</f>
        <v>0</v>
      </c>
      <c r="AH24" s="13">
        <f>IF($AA24=10,$AG24*IF($AB24=12,IF($AG24&lt;IF($D$4="Forint",Paraméterek!$L$223,Paraméterek!$L$224),0,VLOOKUP($AA24,Paraméterek!$K$226:$M$228,IF($AG24&lt;IF($D$4="Forint",Paraméterek!$M$223,Paraméterek!$M$224),2,3))),0),0)</f>
        <v>0</v>
      </c>
      <c r="AI24" s="13">
        <f ca="1">IF(AND($AA24=$M$11+1,$AB24=$M$12+1),SUMIF($AA$20:$AA$1027,$AA24,$AG$20:$AG$1027)*IF(SUMIF($AA$20:$AA$1027,$AA24,$AG$20:$AG$1027)&lt;IF($D$4="Forint",Paraméterek!$L$223,Paraméterek!$L$224),0,VLOOKUP($AA24,Paraméterek!$K$230:$M$250,IF(SUMIF($AA$20:$AA$1027,$AA24,$AG$20:$AG$1027)&lt;IF($D$4="Forint",Paraméterek!$M$223,Paraméterek!$M$224),2,3))),0)</f>
        <v>0</v>
      </c>
      <c r="AJ24" s="13">
        <f ca="1">IF(AND($AA24&gt;=5,MOD($AA24,5)=0),IF($AB24=12,VLOOKUP($AA24,Paraméterek!$O$225:$P$240,2),0),IF(OR($AA24=3,$AA24=4),IF($AB24=12,VLOOKUP($AA24,Paraméterek!$O$225:$P$240,2,0),0),0))*$AG24</f>
        <v>0</v>
      </c>
      <c r="AK24" s="13">
        <f t="shared" ca="1" si="9"/>
        <v>0</v>
      </c>
      <c r="AL24" s="13">
        <f t="shared" ca="1" si="17"/>
        <v>0</v>
      </c>
      <c r="AM24" s="13">
        <f t="shared" ca="1" si="18"/>
        <v>0</v>
      </c>
      <c r="AO24" s="32">
        <v>5</v>
      </c>
      <c r="AP24" s="32">
        <v>1</v>
      </c>
      <c r="AQ24" s="32">
        <v>5</v>
      </c>
      <c r="AR24" s="13"/>
      <c r="AS24" s="32"/>
      <c r="AT24" s="13">
        <f t="shared" ca="1" si="19"/>
        <v>0</v>
      </c>
      <c r="AU24" s="33"/>
      <c r="AV24" s="13">
        <f t="shared" ca="1" si="10"/>
        <v>0</v>
      </c>
      <c r="AW24" s="13">
        <f ca="1">ROUNDUP(($AT24+$AV24)*VLOOKUP($AP24,Paraméterek!$P$38:$Q$38,2)/12*IF($D25="Nem",IF($M$13=0,1,$M$13),1),IF($D$4="Forint",0,2))</f>
        <v>0</v>
      </c>
      <c r="AX24" s="30"/>
      <c r="AY24" s="13"/>
      <c r="AZ24" s="13">
        <f>ROUNDUP(IF(SUM($AX24:$AY24)=0,0,IF(IF(ISBLANK($AY24),$AX24,$AY24)*Paraméterek!$J$112&lt;IF($D$4="Forint",Paraméterek!$J$113,Paraméterek!$K$113),IF($D$4="Forint",Paraméterek!$J$113,Paraméterek!$K$113),IF(IF(ISBLANK($AY24),$AX24,$AY24)*Paraméterek!$J$112&gt;IF($D$4="Forint",Paraméterek!$J$114,Paraméterek!$K$114),IF($D$4="Forint",Paraméterek!$J$114,Paraméterek!$K$114),IF(ISBLANK($AY24),$AX24,$AY24)*Paraméterek!$J$112))),IF($D$4="Forint",0,2))</f>
        <v>0</v>
      </c>
      <c r="BA24" s="13">
        <f ca="1">$AT24+$AV24-$AW24-IF(ROUNDDOWN(IF(ISBLANK($AY24),$AX24,$AY24),IF($D$4="Forint",0,2))&gt;$AT24+$AV24-$AW24-IF($D$4="Forint",Paraméterek!$J$114,Paraméterek!$K$114),0,ROUNDDOWN(IF(ISBLANK($AY24),$AX24,$AY24),IF($D$4="Forint",0,2))-$AZ24)</f>
        <v>0</v>
      </c>
      <c r="BB24" s="13">
        <f t="shared" ca="1" si="11"/>
        <v>0</v>
      </c>
      <c r="BD24" s="32">
        <v>5</v>
      </c>
      <c r="BE24" s="32">
        <v>1</v>
      </c>
      <c r="BF24" s="32">
        <v>5</v>
      </c>
      <c r="BG24" s="34">
        <f t="shared" ca="1" si="20"/>
        <v>2019</v>
      </c>
      <c r="BH24" s="32" t="str">
        <f ca="1">IF(MOD(MONTH($D$14)+$BD24-1,12)=Paraméterek!$C$288,"Igen","")</f>
        <v/>
      </c>
      <c r="BI24" s="13">
        <f ca="1">IF($BH24="Igen",MIN(ROUNDDOWN((SUMIF($BG$20:$BG$1027,$BG24-1,$K$20:$K$1027)-SUMIF($BG$20:$BG$1027,$BG24-1,$I$20:$I$1027))*Paraméterek!$C$289,IF($D$4="Forint",0,2)),IF($D$4="Forint",Paraméterek!$C$285,Paraméterek!$D$285)),0)</f>
        <v>0</v>
      </c>
      <c r="BJ24" s="13">
        <f t="shared" ca="1" si="12"/>
        <v>0</v>
      </c>
      <c r="BK24" s="13">
        <f t="shared" ca="1" si="21"/>
        <v>0</v>
      </c>
      <c r="BL24" s="33"/>
      <c r="BM24" s="13">
        <f t="shared" ca="1" si="13"/>
        <v>0</v>
      </c>
      <c r="BN24" s="13">
        <f ca="1">ROUNDUP(($BK24+$BM24)*VLOOKUP($BE24,Paraméterek!$P$38:$Q$38,2)/12*IF($D25="Nem",IF($M$13=0,1,$M$13),1),IF($D$4="Forint",0,2))</f>
        <v>0</v>
      </c>
      <c r="BO24" s="13">
        <f t="shared" ca="1" si="14"/>
        <v>0</v>
      </c>
      <c r="BP24" s="13">
        <f ca="1">IF($D25="Nem",$BO24,$BO24-ROUNDUP(SUM($BI$20:$BI24)*120%,IF($D$4="Forint",0,2)))</f>
        <v>0</v>
      </c>
    </row>
    <row r="25" spans="1:68" x14ac:dyDescent="0.2">
      <c r="A25" s="32">
        <v>6</v>
      </c>
      <c r="B25" s="32">
        <v>1</v>
      </c>
      <c r="C25" s="32">
        <v>6</v>
      </c>
      <c r="D25" s="32" t="str">
        <f t="shared" ca="1" si="0"/>
        <v>Nem</v>
      </c>
      <c r="E25" s="13">
        <f t="shared" ca="1" si="1"/>
        <v>0</v>
      </c>
      <c r="F25" s="13"/>
      <c r="G25" s="13"/>
      <c r="H25" s="13"/>
      <c r="I25" s="13">
        <f t="shared" ca="1" si="2"/>
        <v>0</v>
      </c>
      <c r="J25" s="13">
        <f t="shared" ca="1" si="3"/>
        <v>0</v>
      </c>
      <c r="K25" s="13">
        <f t="shared" ca="1" si="4"/>
        <v>0</v>
      </c>
      <c r="L25" s="13" t="e">
        <f ca="1">ROUNDUP(IF($D$2="Egyszeri",$E25,IF($D$2="Havi",SUM($E$20:$E$31),IF(MOD($C25,$M$1)-1=0,SUM($E$20:$E$31),0))/12*$M$1)*VLOOKUP($B25,Paraméterek!$I$28:$P$31,IF($D$2="Egyszeri",8,HLOOKUP(ROUNDUP($M$11+$M$13,0),Paraméterek!$J$26:$O$27,2))),IF($D$4="Forint",0,2))</f>
        <v>#N/A</v>
      </c>
      <c r="M25" s="13">
        <f t="shared" ca="1" si="5"/>
        <v>0</v>
      </c>
      <c r="N25" s="13">
        <f t="shared" ca="1" si="15"/>
        <v>0</v>
      </c>
      <c r="O25" s="13">
        <f ca="1">IF($D25="Igen",IF($W24&gt;=IF($D$4="Forint",Paraméterek!$J$121,Paraméterek!$K$121),0,IF($D$4="Forint",Paraméterek!$J$121,Paraméterek!$K$121)-$W24),0)</f>
        <v>0</v>
      </c>
      <c r="P25" s="13" t="e">
        <f ca="1">ROUNDUP($O25*VLOOKUP($M$4+$B25-1,Paraméterek!$H$58:$I$105,2,0)/Paraméterek!$I$56,IF($D$4="Forint",0,2))</f>
        <v>#N/A</v>
      </c>
      <c r="Q25" s="13">
        <f t="shared" ca="1" si="6"/>
        <v>0</v>
      </c>
      <c r="R25" s="33"/>
      <c r="S25" s="13" t="e">
        <f t="shared" ca="1" si="7"/>
        <v>#N/A</v>
      </c>
      <c r="T25" s="13" t="e">
        <f ca="1">ROUNDUP(($N25-$P25-$Q25+$S25)*VLOOKUP($B25,Paraméterek!$I$38:$K$39,IF($D$2="Egyszeri",3,2))/12*IF($D26="Nem",IF($M$13=0,1,$M$13),1),IF($D$4="Forint",0,2))</f>
        <v>#N/A</v>
      </c>
      <c r="U25" s="30"/>
      <c r="V25" s="13"/>
      <c r="W25" s="13" t="e">
        <f ca="1">$N25-$P25-$Q25+$S25-$T25-IF(ROUNDUP(IF(ISBLANK($V25),$U25*0,$V25)/IF($D$2="Egyszeri",VLOOKUP($B25+IF($C25=12,1,0),Paraméterek!$V$257:$W$262,2),IF($B25=1,1,VLOOKUP($B25+IF($C25=12,1,0),Paraméterek!$I$258:$T$278,HLOOKUP($M$11+1,Paraméterek!$J$256:$T$257,2)))),IF($D$4="Forint",0,2))&gt;$N25-$P25-$Q25+$S25-$T25-IF($D$4="Forint",Paraméterek!$C$216,Paraméterek!$D$216),0,ROUNDUP(IF(ISBLANK($V25),$U25*0,$V25)/IF($D$2="Egyszeri",VLOOKUP($B25+IF($C25=12,1,0),Paraméterek!$V$257:$W$262,2),IF($B25=1,1,VLOOKUP($B25+IF($C25=12,1,0),Paraméterek!$I$258:$T$278,HLOOKUP($M$11+1,Paraméterek!$J$256:$T$257,2)))),IF($D$4="Forint",0,2)))</f>
        <v>#N/A</v>
      </c>
      <c r="X25" s="13" t="e">
        <f ca="1">ROUNDDOWN($W25*IF($D$2="Egyszeri",VLOOKUP($B25+IF($C25=12,1,0),Paraméterek!$V$257:$W$262,2),VLOOKUP($B25+IF($C25=12,1,0),Paraméterek!$I$258:$T$278,HLOOKUP($M$11+1,Paraméterek!$I$256:$T$257,2))),IF($D$4="Forint",0,2))</f>
        <v>#N/A</v>
      </c>
      <c r="Z25" s="32">
        <v>6</v>
      </c>
      <c r="AA25" s="32">
        <v>1</v>
      </c>
      <c r="AB25" s="32">
        <v>6</v>
      </c>
      <c r="AC25" s="13">
        <f t="shared" ca="1" si="16"/>
        <v>0</v>
      </c>
      <c r="AD25" s="33"/>
      <c r="AE25" s="13">
        <f t="shared" ca="1" si="8"/>
        <v>0</v>
      </c>
      <c r="AF25" s="13">
        <f ca="1">ROUNDUP(($AC25+$AE25)*VLOOKUP($AA25,Paraméterek!$P$38:$Q$38,2)/12*IF($D26="Nem",IF($M$13=0,1,$M$13),1),IF($D$4="Forint",0,2))</f>
        <v>0</v>
      </c>
      <c r="AG25" s="13">
        <f ca="1">IF($D$2="Egyszeri",IF($D$7&gt;=IF($D$4="Forint",Paraméterek!$P$223,Paraméterek!$P$224),$D$7-IF($D$4="Forint",Paraméterek!$P$223,Paraméterek!$P$224),0),MIN(IF($AB25=12,AVERAGEIF($E$20:$E25,"&gt;0",$E$20:$E25)*12,0),SUM($E$20:$E$31)))</f>
        <v>0</v>
      </c>
      <c r="AH25" s="13">
        <f>IF($AA25=10,$AG25*IF($AB25=12,IF($AG25&lt;IF($D$4="Forint",Paraméterek!$L$223,Paraméterek!$L$224),0,VLOOKUP($AA25,Paraméterek!$K$226:$M$228,IF($AG25&lt;IF($D$4="Forint",Paraméterek!$M$223,Paraméterek!$M$224),2,3))),0),0)</f>
        <v>0</v>
      </c>
      <c r="AI25" s="13">
        <f ca="1">IF(AND($AA25=$M$11+1,$AB25=$M$12+1),SUMIF($AA$20:$AA$1027,$AA25,$AG$20:$AG$1027)*IF(SUMIF($AA$20:$AA$1027,$AA25,$AG$20:$AG$1027)&lt;IF($D$4="Forint",Paraméterek!$L$223,Paraméterek!$L$224),0,VLOOKUP($AA25,Paraméterek!$K$230:$M$250,IF(SUMIF($AA$20:$AA$1027,$AA25,$AG$20:$AG$1027)&lt;IF($D$4="Forint",Paraméterek!$M$223,Paraméterek!$M$224),2,3))),0)</f>
        <v>0</v>
      </c>
      <c r="AJ25" s="13">
        <f ca="1">IF(AND($AA25&gt;=5,MOD($AA25,5)=0),IF($AB25=12,VLOOKUP($AA25,Paraméterek!$O$225:$P$240,2),0),IF(OR($AA25=3,$AA25=4),IF($AB25=12,VLOOKUP($AA25,Paraméterek!$O$225:$P$240,2,0),0),0))*$AG25</f>
        <v>0</v>
      </c>
      <c r="AK25" s="13">
        <f t="shared" ca="1" si="9"/>
        <v>0</v>
      </c>
      <c r="AL25" s="13">
        <f t="shared" ca="1" si="17"/>
        <v>0</v>
      </c>
      <c r="AM25" s="13">
        <f t="shared" ca="1" si="18"/>
        <v>0</v>
      </c>
      <c r="AO25" s="32">
        <v>6</v>
      </c>
      <c r="AP25" s="32">
        <v>1</v>
      </c>
      <c r="AQ25" s="32">
        <v>6</v>
      </c>
      <c r="AR25" s="13"/>
      <c r="AS25" s="32"/>
      <c r="AT25" s="13">
        <f t="shared" ca="1" si="19"/>
        <v>0</v>
      </c>
      <c r="AU25" s="33"/>
      <c r="AV25" s="13">
        <f t="shared" ca="1" si="10"/>
        <v>0</v>
      </c>
      <c r="AW25" s="13">
        <f ca="1">ROUNDUP(($AT25+$AV25)*VLOOKUP($AP25,Paraméterek!$P$38:$Q$38,2)/12*IF($D26="Nem",IF($M$13=0,1,$M$13),1),IF($D$4="Forint",0,2))</f>
        <v>0</v>
      </c>
      <c r="AX25" s="30"/>
      <c r="AY25" s="13"/>
      <c r="AZ25" s="13">
        <f>ROUNDUP(IF(SUM($AX25:$AY25)=0,0,IF(IF(ISBLANK($AY25),$AX25,$AY25)*Paraméterek!$J$112&lt;IF($D$4="Forint",Paraméterek!$J$113,Paraméterek!$K$113),IF($D$4="Forint",Paraméterek!$J$113,Paraméterek!$K$113),IF(IF(ISBLANK($AY25),$AX25,$AY25)*Paraméterek!$J$112&gt;IF($D$4="Forint",Paraméterek!$J$114,Paraméterek!$K$114),IF($D$4="Forint",Paraméterek!$J$114,Paraméterek!$K$114),IF(ISBLANK($AY25),$AX25,$AY25)*Paraméterek!$J$112))),IF($D$4="Forint",0,2))</f>
        <v>0</v>
      </c>
      <c r="BA25" s="13">
        <f ca="1">$AT25+$AV25-$AW25-IF(ROUNDDOWN(IF(ISBLANK($AY25),$AX25,$AY25),IF($D$4="Forint",0,2))&gt;$AT25+$AV25-$AW25-IF($D$4="Forint",Paraméterek!$J$114,Paraméterek!$K$114),0,ROUNDDOWN(IF(ISBLANK($AY25),$AX25,$AY25),IF($D$4="Forint",0,2))-$AZ25)</f>
        <v>0</v>
      </c>
      <c r="BB25" s="13">
        <f t="shared" ca="1" si="11"/>
        <v>0</v>
      </c>
      <c r="BD25" s="32">
        <v>6</v>
      </c>
      <c r="BE25" s="32">
        <v>1</v>
      </c>
      <c r="BF25" s="32">
        <v>6</v>
      </c>
      <c r="BG25" s="34">
        <f t="shared" ca="1" si="20"/>
        <v>2019</v>
      </c>
      <c r="BH25" s="32" t="str">
        <f ca="1">IF(MOD(MONTH($D$14)+$BD25-1,12)=Paraméterek!$C$288,"Igen","")</f>
        <v/>
      </c>
      <c r="BI25" s="13">
        <f ca="1">IF($BH25="Igen",MIN(ROUNDDOWN((SUMIF($BG$20:$BG$1027,$BG25-1,$K$20:$K$1027)-SUMIF($BG$20:$BG$1027,$BG25-1,$I$20:$I$1027))*Paraméterek!$C$289,IF($D$4="Forint",0,2)),IF($D$4="Forint",Paraméterek!$C$285,Paraméterek!$D$285)),0)</f>
        <v>0</v>
      </c>
      <c r="BJ25" s="13">
        <f t="shared" ca="1" si="12"/>
        <v>0</v>
      </c>
      <c r="BK25" s="13">
        <f t="shared" ca="1" si="21"/>
        <v>0</v>
      </c>
      <c r="BL25" s="33"/>
      <c r="BM25" s="13">
        <f t="shared" ca="1" si="13"/>
        <v>0</v>
      </c>
      <c r="BN25" s="13">
        <f ca="1">ROUNDUP(($BK25+$BM25)*VLOOKUP($BE25,Paraméterek!$P$38:$Q$38,2)/12*IF($D26="Nem",IF($M$13=0,1,$M$13),1),IF($D$4="Forint",0,2))</f>
        <v>0</v>
      </c>
      <c r="BO25" s="13">
        <f t="shared" ca="1" si="14"/>
        <v>0</v>
      </c>
      <c r="BP25" s="13">
        <f ca="1">IF($D26="Nem",$BO25,$BO25-ROUNDUP(SUM($BI$20:$BI25)*120%,IF($D$4="Forint",0,2)))</f>
        <v>0</v>
      </c>
    </row>
    <row r="26" spans="1:68" x14ac:dyDescent="0.2">
      <c r="A26" s="32">
        <v>7</v>
      </c>
      <c r="B26" s="32">
        <v>1</v>
      </c>
      <c r="C26" s="32">
        <v>7</v>
      </c>
      <c r="D26" s="32" t="str">
        <f t="shared" ca="1" si="0"/>
        <v>Nem</v>
      </c>
      <c r="E26" s="13">
        <f t="shared" ca="1" si="1"/>
        <v>0</v>
      </c>
      <c r="F26" s="13"/>
      <c r="G26" s="13"/>
      <c r="H26" s="13"/>
      <c r="I26" s="13">
        <f t="shared" ca="1" si="2"/>
        <v>0</v>
      </c>
      <c r="J26" s="13">
        <f t="shared" ca="1" si="3"/>
        <v>0</v>
      </c>
      <c r="K26" s="13">
        <f t="shared" ca="1" si="4"/>
        <v>0</v>
      </c>
      <c r="L26" s="13" t="e">
        <f ca="1">ROUNDUP(IF($D$2="Egyszeri",$E26,IF($D$2="Havi",SUM($E$20:$E$31),IF(MOD($C26,$M$1)-1=0,SUM($E$20:$E$31),0))/12*$M$1)*VLOOKUP($B26,Paraméterek!$I$28:$P$31,IF($D$2="Egyszeri",8,HLOOKUP(ROUNDUP($M$11+$M$13,0),Paraméterek!$J$26:$O$27,2))),IF($D$4="Forint",0,2))</f>
        <v>#N/A</v>
      </c>
      <c r="M26" s="13">
        <f t="shared" ca="1" si="5"/>
        <v>0</v>
      </c>
      <c r="N26" s="13">
        <f t="shared" ca="1" si="15"/>
        <v>0</v>
      </c>
      <c r="O26" s="13">
        <f ca="1">IF($D26="Igen",IF($W25&gt;=IF($D$4="Forint",Paraméterek!$J$121,Paraméterek!$K$121),0,IF($D$4="Forint",Paraméterek!$J$121,Paraméterek!$K$121)-$W25),0)</f>
        <v>0</v>
      </c>
      <c r="P26" s="13" t="e">
        <f ca="1">ROUNDUP($O26*VLOOKUP($M$4+$B26-1,Paraméterek!$H$58:$I$105,2,0)/Paraméterek!$I$56,IF($D$4="Forint",0,2))</f>
        <v>#N/A</v>
      </c>
      <c r="Q26" s="13">
        <f t="shared" ca="1" si="6"/>
        <v>0</v>
      </c>
      <c r="R26" s="33"/>
      <c r="S26" s="13" t="e">
        <f t="shared" ca="1" si="7"/>
        <v>#N/A</v>
      </c>
      <c r="T26" s="13" t="e">
        <f ca="1">ROUNDUP(($N26-$P26-$Q26+$S26)*VLOOKUP($B26,Paraméterek!$I$38:$K$39,IF($D$2="Egyszeri",3,2))/12*IF($D27="Nem",IF($M$13=0,1,$M$13),1),IF($D$4="Forint",0,2))</f>
        <v>#N/A</v>
      </c>
      <c r="U26" s="30"/>
      <c r="V26" s="13"/>
      <c r="W26" s="13" t="e">
        <f ca="1">$N26-$P26-$Q26+$S26-$T26-IF(ROUNDUP(IF(ISBLANK($V26),$U26*0,$V26)/IF($D$2="Egyszeri",VLOOKUP($B26+IF($C26=12,1,0),Paraméterek!$V$257:$W$262,2),IF($B26=1,1,VLOOKUP($B26+IF($C26=12,1,0),Paraméterek!$I$258:$T$278,HLOOKUP($M$11+1,Paraméterek!$J$256:$T$257,2)))),IF($D$4="Forint",0,2))&gt;$N26-$P26-$Q26+$S26-$T26-IF($D$4="Forint",Paraméterek!$C$216,Paraméterek!$D$216),0,ROUNDUP(IF(ISBLANK($V26),$U26*0,$V26)/IF($D$2="Egyszeri",VLOOKUP($B26+IF($C26=12,1,0),Paraméterek!$V$257:$W$262,2),IF($B26=1,1,VLOOKUP($B26+IF($C26=12,1,0),Paraméterek!$I$258:$T$278,HLOOKUP($M$11+1,Paraméterek!$J$256:$T$257,2)))),IF($D$4="Forint",0,2)))</f>
        <v>#N/A</v>
      </c>
      <c r="X26" s="13" t="e">
        <f ca="1">ROUNDDOWN($W26*IF($D$2="Egyszeri",VLOOKUP($B26+IF($C26=12,1,0),Paraméterek!$V$257:$W$262,2),VLOOKUP($B26+IF($C26=12,1,0),Paraméterek!$I$258:$T$278,HLOOKUP($M$11+1,Paraméterek!$I$256:$T$257,2))),IF($D$4="Forint",0,2))</f>
        <v>#N/A</v>
      </c>
      <c r="Z26" s="32">
        <v>7</v>
      </c>
      <c r="AA26" s="32">
        <v>1</v>
      </c>
      <c r="AB26" s="32">
        <v>7</v>
      </c>
      <c r="AC26" s="13">
        <f t="shared" ca="1" si="16"/>
        <v>0</v>
      </c>
      <c r="AD26" s="33"/>
      <c r="AE26" s="13">
        <f t="shared" ca="1" si="8"/>
        <v>0</v>
      </c>
      <c r="AF26" s="13">
        <f ca="1">ROUNDUP(($AC26+$AE26)*VLOOKUP($AA26,Paraméterek!$P$38:$Q$38,2)/12*IF($D27="Nem",IF($M$13=0,1,$M$13),1),IF($D$4="Forint",0,2))</f>
        <v>0</v>
      </c>
      <c r="AG26" s="13">
        <f ca="1">IF($D$2="Egyszeri",IF($D$7&gt;=IF($D$4="Forint",Paraméterek!$P$223,Paraméterek!$P$224),$D$7-IF($D$4="Forint",Paraméterek!$P$223,Paraméterek!$P$224),0),MIN(IF($AB26=12,AVERAGEIF($E$20:$E26,"&gt;0",$E$20:$E26)*12,0),SUM($E$20:$E$31)))</f>
        <v>0</v>
      </c>
      <c r="AH26" s="13">
        <f>IF($AA26=10,$AG26*IF($AB26=12,IF($AG26&lt;IF($D$4="Forint",Paraméterek!$L$223,Paraméterek!$L$224),0,VLOOKUP($AA26,Paraméterek!$K$226:$M$228,IF($AG26&lt;IF($D$4="Forint",Paraméterek!$M$223,Paraméterek!$M$224),2,3))),0),0)</f>
        <v>0</v>
      </c>
      <c r="AI26" s="13">
        <f ca="1">IF(AND($AA26=$M$11+1,$AB26=$M$12+1),SUMIF($AA$20:$AA$1027,$AA26,$AG$20:$AG$1027)*IF(SUMIF($AA$20:$AA$1027,$AA26,$AG$20:$AG$1027)&lt;IF($D$4="Forint",Paraméterek!$L$223,Paraméterek!$L$224),0,VLOOKUP($AA26,Paraméterek!$K$230:$M$250,IF(SUMIF($AA$20:$AA$1027,$AA26,$AG$20:$AG$1027)&lt;IF($D$4="Forint",Paraméterek!$M$223,Paraméterek!$M$224),2,3))),0)</f>
        <v>0</v>
      </c>
      <c r="AJ26" s="13">
        <f ca="1">IF(AND($AA26&gt;=5,MOD($AA26,5)=0),IF($AB26=12,VLOOKUP($AA26,Paraméterek!$O$225:$P$240,2),0),IF(OR($AA26=3,$AA26=4),IF($AB26=12,VLOOKUP($AA26,Paraméterek!$O$225:$P$240,2,0),0),0))*$AG26</f>
        <v>0</v>
      </c>
      <c r="AK26" s="13">
        <f t="shared" ca="1" si="9"/>
        <v>0</v>
      </c>
      <c r="AL26" s="13">
        <f t="shared" ca="1" si="17"/>
        <v>0</v>
      </c>
      <c r="AM26" s="13">
        <f t="shared" ca="1" si="18"/>
        <v>0</v>
      </c>
      <c r="AO26" s="32">
        <v>7</v>
      </c>
      <c r="AP26" s="32">
        <v>1</v>
      </c>
      <c r="AQ26" s="32">
        <v>7</v>
      </c>
      <c r="AR26" s="13"/>
      <c r="AS26" s="32"/>
      <c r="AT26" s="13">
        <f t="shared" ca="1" si="19"/>
        <v>0</v>
      </c>
      <c r="AU26" s="33"/>
      <c r="AV26" s="13">
        <f t="shared" ca="1" si="10"/>
        <v>0</v>
      </c>
      <c r="AW26" s="13">
        <f ca="1">ROUNDUP(($AT26+$AV26)*VLOOKUP($AP26,Paraméterek!$P$38:$Q$38,2)/12*IF($D27="Nem",IF($M$13=0,1,$M$13),1),IF($D$4="Forint",0,2))</f>
        <v>0</v>
      </c>
      <c r="AX26" s="30"/>
      <c r="AY26" s="13"/>
      <c r="AZ26" s="13">
        <f>ROUNDUP(IF(SUM($AX26:$AY26)=0,0,IF(IF(ISBLANK($AY26),$AX26,$AY26)*Paraméterek!$J$112&lt;IF($D$4="Forint",Paraméterek!$J$113,Paraméterek!$K$113),IF($D$4="Forint",Paraméterek!$J$113,Paraméterek!$K$113),IF(IF(ISBLANK($AY26),$AX26,$AY26)*Paraméterek!$J$112&gt;IF($D$4="Forint",Paraméterek!$J$114,Paraméterek!$K$114),IF($D$4="Forint",Paraméterek!$J$114,Paraméterek!$K$114),IF(ISBLANK($AY26),$AX26,$AY26)*Paraméterek!$J$112))),IF($D$4="Forint",0,2))</f>
        <v>0</v>
      </c>
      <c r="BA26" s="13">
        <f ca="1">$AT26+$AV26-$AW26-IF(ROUNDDOWN(IF(ISBLANK($AY26),$AX26,$AY26),IF($D$4="Forint",0,2))&gt;$AT26+$AV26-$AW26-IF($D$4="Forint",Paraméterek!$J$114,Paraméterek!$K$114),0,ROUNDDOWN(IF(ISBLANK($AY26),$AX26,$AY26),IF($D$4="Forint",0,2))-$AZ26)</f>
        <v>0</v>
      </c>
      <c r="BB26" s="13">
        <f t="shared" ca="1" si="11"/>
        <v>0</v>
      </c>
      <c r="BD26" s="32">
        <v>7</v>
      </c>
      <c r="BE26" s="32">
        <v>1</v>
      </c>
      <c r="BF26" s="32">
        <v>7</v>
      </c>
      <c r="BG26" s="34">
        <f t="shared" ca="1" si="20"/>
        <v>2019</v>
      </c>
      <c r="BH26" s="32" t="str">
        <f ca="1">IF(MOD(MONTH($D$14)+$BD26-1,12)=Paraméterek!$C$288,"Igen","")</f>
        <v/>
      </c>
      <c r="BI26" s="13">
        <f ca="1">IF($BH26="Igen",MIN(ROUNDDOWN((SUMIF($BG$20:$BG$1027,$BG26-1,$K$20:$K$1027)-SUMIF($BG$20:$BG$1027,$BG26-1,$I$20:$I$1027))*Paraméterek!$C$289,IF($D$4="Forint",0,2)),IF($D$4="Forint",Paraméterek!$C$285,Paraméterek!$D$285)),0)</f>
        <v>0</v>
      </c>
      <c r="BJ26" s="13">
        <f t="shared" ca="1" si="12"/>
        <v>0</v>
      </c>
      <c r="BK26" s="13">
        <f t="shared" ca="1" si="21"/>
        <v>0</v>
      </c>
      <c r="BL26" s="33"/>
      <c r="BM26" s="13">
        <f t="shared" ca="1" si="13"/>
        <v>0</v>
      </c>
      <c r="BN26" s="13">
        <f ca="1">ROUNDUP(($BK26+$BM26)*VLOOKUP($BE26,Paraméterek!$P$38:$Q$38,2)/12*IF($D27="Nem",IF($M$13=0,1,$M$13),1),IF($D$4="Forint",0,2))</f>
        <v>0</v>
      </c>
      <c r="BO26" s="13">
        <f t="shared" ca="1" si="14"/>
        <v>0</v>
      </c>
      <c r="BP26" s="13">
        <f ca="1">IF($D27="Nem",$BO26,$BO26-ROUNDUP(SUM($BI$20:$BI26)*120%,IF($D$4="Forint",0,2)))</f>
        <v>0</v>
      </c>
    </row>
    <row r="27" spans="1:68" x14ac:dyDescent="0.2">
      <c r="A27" s="32">
        <v>8</v>
      </c>
      <c r="B27" s="32">
        <v>1</v>
      </c>
      <c r="C27" s="32">
        <v>8</v>
      </c>
      <c r="D27" s="32" t="str">
        <f t="shared" ca="1" si="0"/>
        <v>Nem</v>
      </c>
      <c r="E27" s="13">
        <f t="shared" ca="1" si="1"/>
        <v>0</v>
      </c>
      <c r="F27" s="13"/>
      <c r="G27" s="13"/>
      <c r="H27" s="13"/>
      <c r="I27" s="13">
        <f t="shared" ca="1" si="2"/>
        <v>0</v>
      </c>
      <c r="J27" s="13">
        <f t="shared" ca="1" si="3"/>
        <v>0</v>
      </c>
      <c r="K27" s="13">
        <f t="shared" ca="1" si="4"/>
        <v>0</v>
      </c>
      <c r="L27" s="13" t="e">
        <f ca="1">ROUNDUP(IF($D$2="Egyszeri",$E27,IF($D$2="Havi",SUM($E$20:$E$31),IF(MOD($C27,$M$1)-1=0,SUM($E$20:$E$31),0))/12*$M$1)*VLOOKUP($B27,Paraméterek!$I$28:$P$31,IF($D$2="Egyszeri",8,HLOOKUP(ROUNDUP($M$11+$M$13,0),Paraméterek!$J$26:$O$27,2))),IF($D$4="Forint",0,2))</f>
        <v>#N/A</v>
      </c>
      <c r="M27" s="13">
        <f t="shared" ca="1" si="5"/>
        <v>0</v>
      </c>
      <c r="N27" s="13">
        <f t="shared" ca="1" si="15"/>
        <v>0</v>
      </c>
      <c r="O27" s="13">
        <f ca="1">IF($D27="Igen",IF($W26&gt;=IF($D$4="Forint",Paraméterek!$J$121,Paraméterek!$K$121),0,IF($D$4="Forint",Paraméterek!$J$121,Paraméterek!$K$121)-$W26),0)</f>
        <v>0</v>
      </c>
      <c r="P27" s="13" t="e">
        <f ca="1">ROUNDUP($O27*VLOOKUP($M$4+$B27-1,Paraméterek!$H$58:$I$105,2,0)/Paraméterek!$I$56,IF($D$4="Forint",0,2))</f>
        <v>#N/A</v>
      </c>
      <c r="Q27" s="13">
        <f t="shared" ca="1" si="6"/>
        <v>0</v>
      </c>
      <c r="R27" s="33"/>
      <c r="S27" s="13" t="e">
        <f t="shared" ca="1" si="7"/>
        <v>#N/A</v>
      </c>
      <c r="T27" s="13" t="e">
        <f ca="1">ROUNDUP(($N27-$P27-$Q27+$S27)*VLOOKUP($B27,Paraméterek!$I$38:$K$39,IF($D$2="Egyszeri",3,2))/12*IF($D28="Nem",IF($M$13=0,1,$M$13),1),IF($D$4="Forint",0,2))</f>
        <v>#N/A</v>
      </c>
      <c r="U27" s="30"/>
      <c r="V27" s="13"/>
      <c r="W27" s="13" t="e">
        <f ca="1">$N27-$P27-$Q27+$S27-$T27-IF(ROUNDUP(IF(ISBLANK($V27),$U27*0,$V27)/IF($D$2="Egyszeri",VLOOKUP($B27+IF($C27=12,1,0),Paraméterek!$V$257:$W$262,2),IF($B27=1,1,VLOOKUP($B27+IF($C27=12,1,0),Paraméterek!$I$258:$T$278,HLOOKUP($M$11+1,Paraméterek!$J$256:$T$257,2)))),IF($D$4="Forint",0,2))&gt;$N27-$P27-$Q27+$S27-$T27-IF($D$4="Forint",Paraméterek!$C$216,Paraméterek!$D$216),0,ROUNDUP(IF(ISBLANK($V27),$U27*0,$V27)/IF($D$2="Egyszeri",VLOOKUP($B27+IF($C27=12,1,0),Paraméterek!$V$257:$W$262,2),IF($B27=1,1,VLOOKUP($B27+IF($C27=12,1,0),Paraméterek!$I$258:$T$278,HLOOKUP($M$11+1,Paraméterek!$J$256:$T$257,2)))),IF($D$4="Forint",0,2)))</f>
        <v>#N/A</v>
      </c>
      <c r="X27" s="13" t="e">
        <f ca="1">ROUNDDOWN($W27*IF($D$2="Egyszeri",VLOOKUP($B27+IF($C27=12,1,0),Paraméterek!$V$257:$W$262,2),VLOOKUP($B27+IF($C27=12,1,0),Paraméterek!$I$258:$T$278,HLOOKUP($M$11+1,Paraméterek!$I$256:$T$257,2))),IF($D$4="Forint",0,2))</f>
        <v>#N/A</v>
      </c>
      <c r="Z27" s="32">
        <v>8</v>
      </c>
      <c r="AA27" s="32">
        <v>1</v>
      </c>
      <c r="AB27" s="32">
        <v>8</v>
      </c>
      <c r="AC27" s="13">
        <f t="shared" ca="1" si="16"/>
        <v>0</v>
      </c>
      <c r="AD27" s="33"/>
      <c r="AE27" s="13">
        <f t="shared" ca="1" si="8"/>
        <v>0</v>
      </c>
      <c r="AF27" s="13">
        <f ca="1">ROUNDUP(($AC27+$AE27)*VLOOKUP($AA27,Paraméterek!$P$38:$Q$38,2)/12*IF($D28="Nem",IF($M$13=0,1,$M$13),1),IF($D$4="Forint",0,2))</f>
        <v>0</v>
      </c>
      <c r="AG27" s="13">
        <f ca="1">IF($D$2="Egyszeri",IF($D$7&gt;=IF($D$4="Forint",Paraméterek!$P$223,Paraméterek!$P$224),$D$7-IF($D$4="Forint",Paraméterek!$P$223,Paraméterek!$P$224),0),MIN(IF($AB27=12,AVERAGEIF($E$20:$E27,"&gt;0",$E$20:$E27)*12,0),SUM($E$20:$E$31)))</f>
        <v>0</v>
      </c>
      <c r="AH27" s="13">
        <f>IF($AA27=10,$AG27*IF($AB27=12,IF($AG27&lt;IF($D$4="Forint",Paraméterek!$L$223,Paraméterek!$L$224),0,VLOOKUP($AA27,Paraméterek!$K$226:$M$228,IF($AG27&lt;IF($D$4="Forint",Paraméterek!$M$223,Paraméterek!$M$224),2,3))),0),0)</f>
        <v>0</v>
      </c>
      <c r="AI27" s="13">
        <f ca="1">IF(AND($AA27=$M$11+1,$AB27=$M$12+1),SUMIF($AA$20:$AA$1027,$AA27,$AG$20:$AG$1027)*IF(SUMIF($AA$20:$AA$1027,$AA27,$AG$20:$AG$1027)&lt;IF($D$4="Forint",Paraméterek!$L$223,Paraméterek!$L$224),0,VLOOKUP($AA27,Paraméterek!$K$230:$M$250,IF(SUMIF($AA$20:$AA$1027,$AA27,$AG$20:$AG$1027)&lt;IF($D$4="Forint",Paraméterek!$M$223,Paraméterek!$M$224),2,3))),0)</f>
        <v>0</v>
      </c>
      <c r="AJ27" s="13">
        <f ca="1">IF(AND($AA27&gt;=5,MOD($AA27,5)=0),IF($AB27=12,VLOOKUP($AA27,Paraméterek!$O$225:$P$240,2),0),IF(OR($AA27=3,$AA27=4),IF($AB27=12,VLOOKUP($AA27,Paraméterek!$O$225:$P$240,2,0),0),0))*$AG27</f>
        <v>0</v>
      </c>
      <c r="AK27" s="13">
        <f t="shared" ca="1" si="9"/>
        <v>0</v>
      </c>
      <c r="AL27" s="13">
        <f t="shared" ca="1" si="17"/>
        <v>0</v>
      </c>
      <c r="AM27" s="13">
        <f t="shared" ca="1" si="18"/>
        <v>0</v>
      </c>
      <c r="AO27" s="32">
        <v>8</v>
      </c>
      <c r="AP27" s="32">
        <v>1</v>
      </c>
      <c r="AQ27" s="32">
        <v>8</v>
      </c>
      <c r="AR27" s="13"/>
      <c r="AS27" s="32"/>
      <c r="AT27" s="13">
        <f t="shared" ca="1" si="19"/>
        <v>0</v>
      </c>
      <c r="AU27" s="33"/>
      <c r="AV27" s="13">
        <f t="shared" ca="1" si="10"/>
        <v>0</v>
      </c>
      <c r="AW27" s="13">
        <f ca="1">ROUNDUP(($AT27+$AV27)*VLOOKUP($AP27,Paraméterek!$P$38:$Q$38,2)/12*IF($D28="Nem",IF($M$13=0,1,$M$13),1),IF($D$4="Forint",0,2))</f>
        <v>0</v>
      </c>
      <c r="AX27" s="30"/>
      <c r="AY27" s="13"/>
      <c r="AZ27" s="13">
        <f>ROUNDUP(IF(SUM($AX27:$AY27)=0,0,IF(IF(ISBLANK($AY27),$AX27,$AY27)*Paraméterek!$J$112&lt;IF($D$4="Forint",Paraméterek!$J$113,Paraméterek!$K$113),IF($D$4="Forint",Paraméterek!$J$113,Paraméterek!$K$113),IF(IF(ISBLANK($AY27),$AX27,$AY27)*Paraméterek!$J$112&gt;IF($D$4="Forint",Paraméterek!$J$114,Paraméterek!$K$114),IF($D$4="Forint",Paraméterek!$J$114,Paraméterek!$K$114),IF(ISBLANK($AY27),$AX27,$AY27)*Paraméterek!$J$112))),IF($D$4="Forint",0,2))</f>
        <v>0</v>
      </c>
      <c r="BA27" s="13">
        <f ca="1">$AT27+$AV27-$AW27-IF(ROUNDDOWN(IF(ISBLANK($AY27),$AX27,$AY27),IF($D$4="Forint",0,2))&gt;$AT27+$AV27-$AW27-IF($D$4="Forint",Paraméterek!$J$114,Paraméterek!$K$114),0,ROUNDDOWN(IF(ISBLANK($AY27),$AX27,$AY27),IF($D$4="Forint",0,2))-$AZ27)</f>
        <v>0</v>
      </c>
      <c r="BB27" s="13">
        <f t="shared" ca="1" si="11"/>
        <v>0</v>
      </c>
      <c r="BD27" s="32">
        <v>8</v>
      </c>
      <c r="BE27" s="32">
        <v>1</v>
      </c>
      <c r="BF27" s="32">
        <v>8</v>
      </c>
      <c r="BG27" s="34">
        <f t="shared" ca="1" si="20"/>
        <v>2020</v>
      </c>
      <c r="BH27" s="32" t="str">
        <f ca="1">IF(MOD(MONTH($D$14)+$BD27-1,12)=Paraméterek!$C$288,"Igen","")</f>
        <v/>
      </c>
      <c r="BI27" s="13">
        <f ca="1">IF($BH27="Igen",MIN(ROUNDDOWN((SUMIF($BG$20:$BG$1027,$BG27-1,$K$20:$K$1027)-SUMIF($BG$20:$BG$1027,$BG27-1,$I$20:$I$1027))*Paraméterek!$C$289,IF($D$4="Forint",0,2)),IF($D$4="Forint",Paraméterek!$C$285,Paraméterek!$D$285)),0)</f>
        <v>0</v>
      </c>
      <c r="BJ27" s="13">
        <f t="shared" ca="1" si="12"/>
        <v>0</v>
      </c>
      <c r="BK27" s="13">
        <f t="shared" ca="1" si="21"/>
        <v>0</v>
      </c>
      <c r="BL27" s="33"/>
      <c r="BM27" s="13">
        <f t="shared" ca="1" si="13"/>
        <v>0</v>
      </c>
      <c r="BN27" s="13">
        <f ca="1">ROUNDUP(($BK27+$BM27)*VLOOKUP($BE27,Paraméterek!$P$38:$Q$38,2)/12*IF($D28="Nem",IF($M$13=0,1,$M$13),1),IF($D$4="Forint",0,2))</f>
        <v>0</v>
      </c>
      <c r="BO27" s="13">
        <f t="shared" ca="1" si="14"/>
        <v>0</v>
      </c>
      <c r="BP27" s="13">
        <f ca="1">IF($D28="Nem",$BO27,$BO27-ROUNDUP(SUM($BI$20:$BI27)*120%,IF($D$4="Forint",0,2)))</f>
        <v>0</v>
      </c>
    </row>
    <row r="28" spans="1:68" x14ac:dyDescent="0.2">
      <c r="A28" s="32">
        <v>9</v>
      </c>
      <c r="B28" s="32">
        <v>1</v>
      </c>
      <c r="C28" s="32">
        <v>9</v>
      </c>
      <c r="D28" s="32" t="str">
        <f t="shared" ca="1" si="0"/>
        <v>Nem</v>
      </c>
      <c r="E28" s="13">
        <f t="shared" ca="1" si="1"/>
        <v>0</v>
      </c>
      <c r="F28" s="13"/>
      <c r="G28" s="13"/>
      <c r="H28" s="13"/>
      <c r="I28" s="13">
        <f t="shared" ca="1" si="2"/>
        <v>0</v>
      </c>
      <c r="J28" s="13">
        <f t="shared" ca="1" si="3"/>
        <v>0</v>
      </c>
      <c r="K28" s="13">
        <f t="shared" ca="1" si="4"/>
        <v>0</v>
      </c>
      <c r="L28" s="13" t="e">
        <f ca="1">ROUNDUP(IF($D$2="Egyszeri",$E28,IF($D$2="Havi",SUM($E$20:$E$31),IF(MOD($C28,$M$1)-1=0,SUM($E$20:$E$31),0))/12*$M$1)*VLOOKUP($B28,Paraméterek!$I$28:$P$31,IF($D$2="Egyszeri",8,HLOOKUP(ROUNDUP($M$11+$M$13,0),Paraméterek!$J$26:$O$27,2))),IF($D$4="Forint",0,2))</f>
        <v>#N/A</v>
      </c>
      <c r="M28" s="13">
        <f t="shared" ca="1" si="5"/>
        <v>0</v>
      </c>
      <c r="N28" s="13">
        <f t="shared" ca="1" si="15"/>
        <v>0</v>
      </c>
      <c r="O28" s="13">
        <f ca="1">IF($D28="Igen",IF($W27&gt;=IF($D$4="Forint",Paraméterek!$J$121,Paraméterek!$K$121),0,IF($D$4="Forint",Paraméterek!$J$121,Paraméterek!$K$121)-$W27),0)</f>
        <v>0</v>
      </c>
      <c r="P28" s="13" t="e">
        <f ca="1">ROUNDUP($O28*VLOOKUP($M$4+$B28-1,Paraméterek!$H$58:$I$105,2,0)/Paraméterek!$I$56,IF($D$4="Forint",0,2))</f>
        <v>#N/A</v>
      </c>
      <c r="Q28" s="13">
        <f t="shared" ca="1" si="6"/>
        <v>0</v>
      </c>
      <c r="R28" s="33"/>
      <c r="S28" s="13" t="e">
        <f t="shared" ca="1" si="7"/>
        <v>#N/A</v>
      </c>
      <c r="T28" s="13" t="e">
        <f ca="1">ROUNDUP(($N28-$P28-$Q28+$S28)*VLOOKUP($B28,Paraméterek!$I$38:$K$39,IF($D$2="Egyszeri",3,2))/12*IF($D29="Nem",IF($M$13=0,1,$M$13),1),IF($D$4="Forint",0,2))</f>
        <v>#N/A</v>
      </c>
      <c r="U28" s="30"/>
      <c r="V28" s="13"/>
      <c r="W28" s="13" t="e">
        <f ca="1">$N28-$P28-$Q28+$S28-$T28-IF(ROUNDUP(IF(ISBLANK($V28),$U28*0,$V28)/IF($D$2="Egyszeri",VLOOKUP($B28+IF($C28=12,1,0),Paraméterek!$V$257:$W$262,2),IF($B28=1,1,VLOOKUP($B28+IF($C28=12,1,0),Paraméterek!$I$258:$T$278,HLOOKUP($M$11+1,Paraméterek!$J$256:$T$257,2)))),IF($D$4="Forint",0,2))&gt;$N28-$P28-$Q28+$S28-$T28-IF($D$4="Forint",Paraméterek!$C$216,Paraméterek!$D$216),0,ROUNDUP(IF(ISBLANK($V28),$U28*0,$V28)/IF($D$2="Egyszeri",VLOOKUP($B28+IF($C28=12,1,0),Paraméterek!$V$257:$W$262,2),IF($B28=1,1,VLOOKUP($B28+IF($C28=12,1,0),Paraméterek!$I$258:$T$278,HLOOKUP($M$11+1,Paraméterek!$J$256:$T$257,2)))),IF($D$4="Forint",0,2)))</f>
        <v>#N/A</v>
      </c>
      <c r="X28" s="13" t="e">
        <f ca="1">ROUNDDOWN($W28*IF($D$2="Egyszeri",VLOOKUP($B28+IF($C28=12,1,0),Paraméterek!$V$257:$W$262,2),VLOOKUP($B28+IF($C28=12,1,0),Paraméterek!$I$258:$T$278,HLOOKUP($M$11+1,Paraméterek!$I$256:$T$257,2))),IF($D$4="Forint",0,2))</f>
        <v>#N/A</v>
      </c>
      <c r="Z28" s="32">
        <v>9</v>
      </c>
      <c r="AA28" s="32">
        <v>1</v>
      </c>
      <c r="AB28" s="32">
        <v>9</v>
      </c>
      <c r="AC28" s="13">
        <f t="shared" ca="1" si="16"/>
        <v>0</v>
      </c>
      <c r="AD28" s="33"/>
      <c r="AE28" s="13">
        <f t="shared" ca="1" si="8"/>
        <v>0</v>
      </c>
      <c r="AF28" s="13">
        <f ca="1">ROUNDUP(($AC28+$AE28)*VLOOKUP($AA28,Paraméterek!$P$38:$Q$38,2)/12*IF($D29="Nem",IF($M$13=0,1,$M$13),1),IF($D$4="Forint",0,2))</f>
        <v>0</v>
      </c>
      <c r="AG28" s="13">
        <f ca="1">IF($D$2="Egyszeri",IF($D$7&gt;=IF($D$4="Forint",Paraméterek!$P$223,Paraméterek!$P$224),$D$7-IF($D$4="Forint",Paraméterek!$P$223,Paraméterek!$P$224),0),MIN(IF($AB28=12,AVERAGEIF($E$20:$E28,"&gt;0",$E$20:$E28)*12,0),SUM($E$20:$E$31)))</f>
        <v>0</v>
      </c>
      <c r="AH28" s="13">
        <f>IF($AA28=10,$AG28*IF($AB28=12,IF($AG28&lt;IF($D$4="Forint",Paraméterek!$L$223,Paraméterek!$L$224),0,VLOOKUP($AA28,Paraméterek!$K$226:$M$228,IF($AG28&lt;IF($D$4="Forint",Paraméterek!$M$223,Paraméterek!$M$224),2,3))),0),0)</f>
        <v>0</v>
      </c>
      <c r="AI28" s="13">
        <f ca="1">IF(AND($AA28=$M$11+1,$AB28=$M$12+1),SUMIF($AA$20:$AA$1027,$AA28,$AG$20:$AG$1027)*IF(SUMIF($AA$20:$AA$1027,$AA28,$AG$20:$AG$1027)&lt;IF($D$4="Forint",Paraméterek!$L$223,Paraméterek!$L$224),0,VLOOKUP($AA28,Paraméterek!$K$230:$M$250,IF(SUMIF($AA$20:$AA$1027,$AA28,$AG$20:$AG$1027)&lt;IF($D$4="Forint",Paraméterek!$M$223,Paraméterek!$M$224),2,3))),0)</f>
        <v>0</v>
      </c>
      <c r="AJ28" s="13">
        <f ca="1">IF(AND($AA28&gt;=5,MOD($AA28,5)=0),IF($AB28=12,VLOOKUP($AA28,Paraméterek!$O$225:$P$240,2),0),IF(OR($AA28=3,$AA28=4),IF($AB28=12,VLOOKUP($AA28,Paraméterek!$O$225:$P$240,2,0),0),0))*$AG28</f>
        <v>0</v>
      </c>
      <c r="AK28" s="13">
        <f t="shared" ca="1" si="9"/>
        <v>0</v>
      </c>
      <c r="AL28" s="13">
        <f t="shared" ca="1" si="17"/>
        <v>0</v>
      </c>
      <c r="AM28" s="13">
        <f t="shared" ca="1" si="18"/>
        <v>0</v>
      </c>
      <c r="AO28" s="32">
        <v>9</v>
      </c>
      <c r="AP28" s="32">
        <v>1</v>
      </c>
      <c r="AQ28" s="32">
        <v>9</v>
      </c>
      <c r="AR28" s="13"/>
      <c r="AS28" s="32"/>
      <c r="AT28" s="13">
        <f t="shared" ca="1" si="19"/>
        <v>0</v>
      </c>
      <c r="AU28" s="33"/>
      <c r="AV28" s="13">
        <f t="shared" ca="1" si="10"/>
        <v>0</v>
      </c>
      <c r="AW28" s="13">
        <f ca="1">ROUNDUP(($AT28+$AV28)*VLOOKUP($AP28,Paraméterek!$P$38:$Q$38,2)/12*IF($D29="Nem",IF($M$13=0,1,$M$13),1),IF($D$4="Forint",0,2))</f>
        <v>0</v>
      </c>
      <c r="AX28" s="30"/>
      <c r="AY28" s="13"/>
      <c r="AZ28" s="13">
        <f>ROUNDUP(IF(SUM($AX28:$AY28)=0,0,IF(IF(ISBLANK($AY28),$AX28,$AY28)*Paraméterek!$J$112&lt;IF($D$4="Forint",Paraméterek!$J$113,Paraméterek!$K$113),IF($D$4="Forint",Paraméterek!$J$113,Paraméterek!$K$113),IF(IF(ISBLANK($AY28),$AX28,$AY28)*Paraméterek!$J$112&gt;IF($D$4="Forint",Paraméterek!$J$114,Paraméterek!$K$114),IF($D$4="Forint",Paraméterek!$J$114,Paraméterek!$K$114),IF(ISBLANK($AY28),$AX28,$AY28)*Paraméterek!$J$112))),IF($D$4="Forint",0,2))</f>
        <v>0</v>
      </c>
      <c r="BA28" s="13">
        <f ca="1">$AT28+$AV28-$AW28-IF(ROUNDDOWN(IF(ISBLANK($AY28),$AX28,$AY28),IF($D$4="Forint",0,2))&gt;$AT28+$AV28-$AW28-IF($D$4="Forint",Paraméterek!$J$114,Paraméterek!$K$114),0,ROUNDDOWN(IF(ISBLANK($AY28),$AX28,$AY28),IF($D$4="Forint",0,2))-$AZ28)</f>
        <v>0</v>
      </c>
      <c r="BB28" s="13">
        <f t="shared" ca="1" si="11"/>
        <v>0</v>
      </c>
      <c r="BD28" s="32">
        <v>9</v>
      </c>
      <c r="BE28" s="32">
        <v>1</v>
      </c>
      <c r="BF28" s="32">
        <v>9</v>
      </c>
      <c r="BG28" s="34">
        <f t="shared" ca="1" si="20"/>
        <v>2020</v>
      </c>
      <c r="BH28" s="32" t="str">
        <f ca="1">IF(MOD(MONTH($D$14)+$BD28-1,12)=Paraméterek!$C$288,"Igen","")</f>
        <v/>
      </c>
      <c r="BI28" s="13">
        <f ca="1">IF($BH28="Igen",MIN(ROUNDDOWN((SUMIF($BG$20:$BG$1027,$BG28-1,$K$20:$K$1027)-SUMIF($BG$20:$BG$1027,$BG28-1,$I$20:$I$1027))*Paraméterek!$C$289,IF($D$4="Forint",0,2)),IF($D$4="Forint",Paraméterek!$C$285,Paraméterek!$D$285)),0)</f>
        <v>0</v>
      </c>
      <c r="BJ28" s="13">
        <f t="shared" ca="1" si="12"/>
        <v>0</v>
      </c>
      <c r="BK28" s="13">
        <f t="shared" ca="1" si="21"/>
        <v>0</v>
      </c>
      <c r="BL28" s="33"/>
      <c r="BM28" s="13">
        <f t="shared" ca="1" si="13"/>
        <v>0</v>
      </c>
      <c r="BN28" s="13">
        <f ca="1">ROUNDUP(($BK28+$BM28)*VLOOKUP($BE28,Paraméterek!$P$38:$Q$38,2)/12*IF($D29="Nem",IF($M$13=0,1,$M$13),1),IF($D$4="Forint",0,2))</f>
        <v>0</v>
      </c>
      <c r="BO28" s="13">
        <f t="shared" ca="1" si="14"/>
        <v>0</v>
      </c>
      <c r="BP28" s="13">
        <f ca="1">IF($D29="Nem",$BO28,$BO28-ROUNDUP(SUM($BI$20:$BI28)*120%,IF($D$4="Forint",0,2)))</f>
        <v>0</v>
      </c>
    </row>
    <row r="29" spans="1:68" x14ac:dyDescent="0.2">
      <c r="A29" s="32">
        <v>10</v>
      </c>
      <c r="B29" s="32">
        <v>1</v>
      </c>
      <c r="C29" s="32">
        <v>10</v>
      </c>
      <c r="D29" s="32" t="str">
        <f t="shared" ca="1" si="0"/>
        <v>Nem</v>
      </c>
      <c r="E29" s="13">
        <f t="shared" ca="1" si="1"/>
        <v>0</v>
      </c>
      <c r="F29" s="13"/>
      <c r="G29" s="13"/>
      <c r="H29" s="13"/>
      <c r="I29" s="13">
        <f t="shared" ca="1" si="2"/>
        <v>0</v>
      </c>
      <c r="J29" s="13">
        <f t="shared" ca="1" si="3"/>
        <v>0</v>
      </c>
      <c r="K29" s="13">
        <f t="shared" ca="1" si="4"/>
        <v>0</v>
      </c>
      <c r="L29" s="13" t="e">
        <f ca="1">ROUNDUP(IF($D$2="Egyszeri",$E29,IF($D$2="Havi",SUM($E$20:$E$31),IF(MOD($C29,$M$1)-1=0,SUM($E$20:$E$31),0))/12*$M$1)*VLOOKUP($B29,Paraméterek!$I$28:$P$31,IF($D$2="Egyszeri",8,HLOOKUP(ROUNDUP($M$11+$M$13,0),Paraméterek!$J$26:$O$27,2))),IF($D$4="Forint",0,2))</f>
        <v>#N/A</v>
      </c>
      <c r="M29" s="13">
        <f t="shared" ca="1" si="5"/>
        <v>0</v>
      </c>
      <c r="N29" s="13">
        <f t="shared" ca="1" si="15"/>
        <v>0</v>
      </c>
      <c r="O29" s="13">
        <f ca="1">IF($D29="Igen",IF($W28&gt;=IF($D$4="Forint",Paraméterek!$J$121,Paraméterek!$K$121),0,IF($D$4="Forint",Paraméterek!$J$121,Paraméterek!$K$121)-$W28),0)</f>
        <v>0</v>
      </c>
      <c r="P29" s="13" t="e">
        <f ca="1">ROUNDUP($O29*VLOOKUP($M$4+$B29-1,Paraméterek!$H$58:$I$105,2,0)/Paraméterek!$I$56,IF($D$4="Forint",0,2))</f>
        <v>#N/A</v>
      </c>
      <c r="Q29" s="13">
        <f t="shared" ca="1" si="6"/>
        <v>0</v>
      </c>
      <c r="R29" s="33"/>
      <c r="S29" s="13" t="e">
        <f t="shared" ca="1" si="7"/>
        <v>#N/A</v>
      </c>
      <c r="T29" s="13" t="e">
        <f ca="1">ROUNDUP(($N29-$P29-$Q29+$S29)*VLOOKUP($B29,Paraméterek!$I$38:$K$39,IF($D$2="Egyszeri",3,2))/12*IF($D30="Nem",IF($M$13=0,1,$M$13),1),IF($D$4="Forint",0,2))</f>
        <v>#N/A</v>
      </c>
      <c r="U29" s="30"/>
      <c r="V29" s="13"/>
      <c r="W29" s="13" t="e">
        <f ca="1">$N29-$P29-$Q29+$S29-$T29-IF(ROUNDUP(IF(ISBLANK($V29),$U29*0,$V29)/IF($D$2="Egyszeri",VLOOKUP($B29+IF($C29=12,1,0),Paraméterek!$V$257:$W$262,2),IF($B29=1,1,VLOOKUP($B29+IF($C29=12,1,0),Paraméterek!$I$258:$T$278,HLOOKUP($M$11+1,Paraméterek!$J$256:$T$257,2)))),IF($D$4="Forint",0,2))&gt;$N29-$P29-$Q29+$S29-$T29-IF($D$4="Forint",Paraméterek!$C$216,Paraméterek!$D$216),0,ROUNDUP(IF(ISBLANK($V29),$U29*0,$V29)/IF($D$2="Egyszeri",VLOOKUP($B29+IF($C29=12,1,0),Paraméterek!$V$257:$W$262,2),IF($B29=1,1,VLOOKUP($B29+IF($C29=12,1,0),Paraméterek!$I$258:$T$278,HLOOKUP($M$11+1,Paraméterek!$J$256:$T$257,2)))),IF($D$4="Forint",0,2)))</f>
        <v>#N/A</v>
      </c>
      <c r="X29" s="13" t="e">
        <f ca="1">ROUNDDOWN($W29*IF($D$2="Egyszeri",VLOOKUP($B29+IF($C29=12,1,0),Paraméterek!$V$257:$W$262,2),VLOOKUP($B29+IF($C29=12,1,0),Paraméterek!$I$258:$T$278,HLOOKUP($M$11+1,Paraméterek!$I$256:$T$257,2))),IF($D$4="Forint",0,2))</f>
        <v>#N/A</v>
      </c>
      <c r="Z29" s="32">
        <v>10</v>
      </c>
      <c r="AA29" s="32">
        <v>1</v>
      </c>
      <c r="AB29" s="32">
        <v>10</v>
      </c>
      <c r="AC29" s="13">
        <f t="shared" ca="1" si="16"/>
        <v>0</v>
      </c>
      <c r="AD29" s="33"/>
      <c r="AE29" s="13">
        <f t="shared" ca="1" si="8"/>
        <v>0</v>
      </c>
      <c r="AF29" s="13">
        <f ca="1">ROUNDUP(($AC29+$AE29)*VLOOKUP($AA29,Paraméterek!$P$38:$Q$38,2)/12*IF($D30="Nem",IF($M$13=0,1,$M$13),1),IF($D$4="Forint",0,2))</f>
        <v>0</v>
      </c>
      <c r="AG29" s="13">
        <f ca="1">IF($D$2="Egyszeri",IF($D$7&gt;=IF($D$4="Forint",Paraméterek!$P$223,Paraméterek!$P$224),$D$7-IF($D$4="Forint",Paraméterek!$P$223,Paraméterek!$P$224),0),MIN(IF($AB29=12,AVERAGEIF($E$20:$E29,"&gt;0",$E$20:$E29)*12,0),SUM($E$20:$E$31)))</f>
        <v>0</v>
      </c>
      <c r="AH29" s="13">
        <f>IF($AA29=10,$AG29*IF($AB29=12,IF($AG29&lt;IF($D$4="Forint",Paraméterek!$L$223,Paraméterek!$L$224),0,VLOOKUP($AA29,Paraméterek!$K$226:$M$228,IF($AG29&lt;IF($D$4="Forint",Paraméterek!$M$223,Paraméterek!$M$224),2,3))),0),0)</f>
        <v>0</v>
      </c>
      <c r="AI29" s="13">
        <f ca="1">IF(AND($AA29=$M$11+1,$AB29=$M$12+1),SUMIF($AA$20:$AA$1027,$AA29,$AG$20:$AG$1027)*IF(SUMIF($AA$20:$AA$1027,$AA29,$AG$20:$AG$1027)&lt;IF($D$4="Forint",Paraméterek!$L$223,Paraméterek!$L$224),0,VLOOKUP($AA29,Paraméterek!$K$230:$M$250,IF(SUMIF($AA$20:$AA$1027,$AA29,$AG$20:$AG$1027)&lt;IF($D$4="Forint",Paraméterek!$M$223,Paraméterek!$M$224),2,3))),0)</f>
        <v>0</v>
      </c>
      <c r="AJ29" s="13">
        <f ca="1">IF(AND($AA29&gt;=5,MOD($AA29,5)=0),IF($AB29=12,VLOOKUP($AA29,Paraméterek!$O$225:$P$240,2),0),IF(OR($AA29=3,$AA29=4),IF($AB29=12,VLOOKUP($AA29,Paraméterek!$O$225:$P$240,2,0),0),0))*$AG29</f>
        <v>0</v>
      </c>
      <c r="AK29" s="13">
        <f t="shared" ca="1" si="9"/>
        <v>0</v>
      </c>
      <c r="AL29" s="13">
        <f t="shared" ca="1" si="17"/>
        <v>0</v>
      </c>
      <c r="AM29" s="13">
        <f t="shared" ca="1" si="18"/>
        <v>0</v>
      </c>
      <c r="AO29" s="32">
        <v>10</v>
      </c>
      <c r="AP29" s="32">
        <v>1</v>
      </c>
      <c r="AQ29" s="32">
        <v>10</v>
      </c>
      <c r="AR29" s="13"/>
      <c r="AS29" s="32"/>
      <c r="AT29" s="13">
        <f t="shared" ca="1" si="19"/>
        <v>0</v>
      </c>
      <c r="AU29" s="33"/>
      <c r="AV29" s="13">
        <f t="shared" ca="1" si="10"/>
        <v>0</v>
      </c>
      <c r="AW29" s="13">
        <f ca="1">ROUNDUP(($AT29+$AV29)*VLOOKUP($AP29,Paraméterek!$P$38:$Q$38,2)/12*IF($D30="Nem",IF($M$13=0,1,$M$13),1),IF($D$4="Forint",0,2))</f>
        <v>0</v>
      </c>
      <c r="AX29" s="30"/>
      <c r="AY29" s="13"/>
      <c r="AZ29" s="13">
        <f>ROUNDUP(IF(SUM($AX29:$AY29)=0,0,IF(IF(ISBLANK($AY29),$AX29,$AY29)*Paraméterek!$J$112&lt;IF($D$4="Forint",Paraméterek!$J$113,Paraméterek!$K$113),IF($D$4="Forint",Paraméterek!$J$113,Paraméterek!$K$113),IF(IF(ISBLANK($AY29),$AX29,$AY29)*Paraméterek!$J$112&gt;IF($D$4="Forint",Paraméterek!$J$114,Paraméterek!$K$114),IF($D$4="Forint",Paraméterek!$J$114,Paraméterek!$K$114),IF(ISBLANK($AY29),$AX29,$AY29)*Paraméterek!$J$112))),IF($D$4="Forint",0,2))</f>
        <v>0</v>
      </c>
      <c r="BA29" s="13">
        <f ca="1">$AT29+$AV29-$AW29-IF(ROUNDDOWN(IF(ISBLANK($AY29),$AX29,$AY29),IF($D$4="Forint",0,2))&gt;$AT29+$AV29-$AW29-IF($D$4="Forint",Paraméterek!$J$114,Paraméterek!$K$114),0,ROUNDDOWN(IF(ISBLANK($AY29),$AX29,$AY29),IF($D$4="Forint",0,2))-$AZ29)</f>
        <v>0</v>
      </c>
      <c r="BB29" s="13">
        <f t="shared" ca="1" si="11"/>
        <v>0</v>
      </c>
      <c r="BD29" s="32">
        <v>10</v>
      </c>
      <c r="BE29" s="32">
        <v>1</v>
      </c>
      <c r="BF29" s="32">
        <v>10</v>
      </c>
      <c r="BG29" s="34">
        <f t="shared" ca="1" si="20"/>
        <v>2020</v>
      </c>
      <c r="BH29" s="32" t="str">
        <f ca="1">IF(MOD(MONTH($D$14)+$BD29-1,12)=Paraméterek!$C$288,"Igen","")</f>
        <v/>
      </c>
      <c r="BI29" s="13">
        <f ca="1">IF($BH29="Igen",MIN(ROUNDDOWN((SUMIF($BG$20:$BG$1027,$BG29-1,$K$20:$K$1027)-SUMIF($BG$20:$BG$1027,$BG29-1,$I$20:$I$1027))*Paraméterek!$C$289,IF($D$4="Forint",0,2)),IF($D$4="Forint",Paraméterek!$C$285,Paraméterek!$D$285)),0)</f>
        <v>0</v>
      </c>
      <c r="BJ29" s="13">
        <f t="shared" ca="1" si="12"/>
        <v>0</v>
      </c>
      <c r="BK29" s="13">
        <f t="shared" ca="1" si="21"/>
        <v>0</v>
      </c>
      <c r="BL29" s="33"/>
      <c r="BM29" s="13">
        <f t="shared" ca="1" si="13"/>
        <v>0</v>
      </c>
      <c r="BN29" s="13">
        <f ca="1">ROUNDUP(($BK29+$BM29)*VLOOKUP($BE29,Paraméterek!$P$38:$Q$38,2)/12*IF($D30="Nem",IF($M$13=0,1,$M$13),1),IF($D$4="Forint",0,2))</f>
        <v>0</v>
      </c>
      <c r="BO29" s="13">
        <f t="shared" ca="1" si="14"/>
        <v>0</v>
      </c>
      <c r="BP29" s="13">
        <f ca="1">IF($D30="Nem",$BO29,$BO29-ROUNDUP(SUM($BI$20:$BI29)*120%,IF($D$4="Forint",0,2)))</f>
        <v>0</v>
      </c>
    </row>
    <row r="30" spans="1:68" x14ac:dyDescent="0.2">
      <c r="A30" s="32">
        <v>11</v>
      </c>
      <c r="B30" s="32">
        <v>1</v>
      </c>
      <c r="C30" s="32">
        <v>11</v>
      </c>
      <c r="D30" s="32" t="str">
        <f t="shared" ca="1" si="0"/>
        <v>Nem</v>
      </c>
      <c r="E30" s="13">
        <f t="shared" ca="1" si="1"/>
        <v>0</v>
      </c>
      <c r="F30" s="13"/>
      <c r="G30" s="13"/>
      <c r="H30" s="13"/>
      <c r="I30" s="13">
        <f t="shared" ca="1" si="2"/>
        <v>0</v>
      </c>
      <c r="J30" s="13">
        <f t="shared" ca="1" si="3"/>
        <v>0</v>
      </c>
      <c r="K30" s="13">
        <f t="shared" ca="1" si="4"/>
        <v>0</v>
      </c>
      <c r="L30" s="13" t="e">
        <f ca="1">ROUNDUP(IF($D$2="Egyszeri",$E30,IF($D$2="Havi",SUM($E$20:$E$31),IF(MOD($C30,$M$1)-1=0,SUM($E$20:$E$31),0))/12*$M$1)*VLOOKUP($B30,Paraméterek!$I$28:$P$31,IF($D$2="Egyszeri",8,HLOOKUP(ROUNDUP($M$11+$M$13,0),Paraméterek!$J$26:$O$27,2))),IF($D$4="Forint",0,2))</f>
        <v>#N/A</v>
      </c>
      <c r="M30" s="13">
        <f t="shared" ca="1" si="5"/>
        <v>0</v>
      </c>
      <c r="N30" s="13">
        <f t="shared" ca="1" si="15"/>
        <v>0</v>
      </c>
      <c r="O30" s="13">
        <f ca="1">IF($D30="Igen",IF($W29&gt;=IF($D$4="Forint",Paraméterek!$J$121,Paraméterek!$K$121),0,IF($D$4="Forint",Paraméterek!$J$121,Paraméterek!$K$121)-$W29),0)</f>
        <v>0</v>
      </c>
      <c r="P30" s="13" t="e">
        <f ca="1">ROUNDUP($O30*VLOOKUP($M$4+$B30-1,Paraméterek!$H$58:$I$105,2,0)/Paraméterek!$I$56,IF($D$4="Forint",0,2))</f>
        <v>#N/A</v>
      </c>
      <c r="Q30" s="13">
        <f t="shared" ca="1" si="6"/>
        <v>0</v>
      </c>
      <c r="R30" s="33"/>
      <c r="S30" s="13" t="e">
        <f t="shared" ca="1" si="7"/>
        <v>#N/A</v>
      </c>
      <c r="T30" s="13" t="e">
        <f ca="1">ROUNDUP(($N30-$P30-$Q30+$S30)*VLOOKUP($B30,Paraméterek!$I$38:$K$39,IF($D$2="Egyszeri",3,2))/12*IF($D31="Nem",IF($M$13=0,1,$M$13),1),IF($D$4="Forint",0,2))</f>
        <v>#N/A</v>
      </c>
      <c r="U30" s="30"/>
      <c r="V30" s="13"/>
      <c r="W30" s="13" t="e">
        <f ca="1">$N30-$P30-$Q30+$S30-$T30-IF(ROUNDUP(IF(ISBLANK($V30),$U30*0,$V30)/IF($D$2="Egyszeri",VLOOKUP($B30+IF($C30=12,1,0),Paraméterek!$V$257:$W$262,2),IF($B30=1,1,VLOOKUP($B30+IF($C30=12,1,0),Paraméterek!$I$258:$T$278,HLOOKUP($M$11+1,Paraméterek!$J$256:$T$257,2)))),IF($D$4="Forint",0,2))&gt;$N30-$P30-$Q30+$S30-$T30-IF($D$4="Forint",Paraméterek!$C$216,Paraméterek!$D$216),0,ROUNDUP(IF(ISBLANK($V30),$U30*0,$V30)/IF($D$2="Egyszeri",VLOOKUP($B30+IF($C30=12,1,0),Paraméterek!$V$257:$W$262,2),IF($B30=1,1,VLOOKUP($B30+IF($C30=12,1,0),Paraméterek!$I$258:$T$278,HLOOKUP($M$11+1,Paraméterek!$J$256:$T$257,2)))),IF($D$4="Forint",0,2)))</f>
        <v>#N/A</v>
      </c>
      <c r="X30" s="13" t="e">
        <f ca="1">ROUNDDOWN($W30*IF($D$2="Egyszeri",VLOOKUP($B30+IF($C30=12,1,0),Paraméterek!$V$257:$W$262,2),VLOOKUP($B30+IF($C30=12,1,0),Paraméterek!$I$258:$T$278,HLOOKUP($M$11+1,Paraméterek!$I$256:$T$257,2))),IF($D$4="Forint",0,2))</f>
        <v>#N/A</v>
      </c>
      <c r="Z30" s="32">
        <v>11</v>
      </c>
      <c r="AA30" s="32">
        <v>1</v>
      </c>
      <c r="AB30" s="32">
        <v>11</v>
      </c>
      <c r="AC30" s="13">
        <f t="shared" ca="1" si="16"/>
        <v>0</v>
      </c>
      <c r="AD30" s="33"/>
      <c r="AE30" s="13">
        <f t="shared" ca="1" si="8"/>
        <v>0</v>
      </c>
      <c r="AF30" s="13">
        <f ca="1">ROUNDUP(($AC30+$AE30)*VLOOKUP($AA30,Paraméterek!$P$38:$Q$38,2)/12*IF($D31="Nem",IF($M$13=0,1,$M$13),1),IF($D$4="Forint",0,2))</f>
        <v>0</v>
      </c>
      <c r="AG30" s="13">
        <f ca="1">IF($D$2="Egyszeri",IF($D$7&gt;=IF($D$4="Forint",Paraméterek!$P$223,Paraméterek!$P$224),$D$7-IF($D$4="Forint",Paraméterek!$P$223,Paraméterek!$P$224),0),MIN(IF($AB30=12,AVERAGEIF($E$20:$E30,"&gt;0",$E$20:$E30)*12,0),SUM($E$20:$E$31)))</f>
        <v>0</v>
      </c>
      <c r="AH30" s="13">
        <f>IF($AA30=10,$AG30*IF($AB30=12,IF($AG30&lt;IF($D$4="Forint",Paraméterek!$L$223,Paraméterek!$L$224),0,VLOOKUP($AA30,Paraméterek!$K$226:$M$228,IF($AG30&lt;IF($D$4="Forint",Paraméterek!$M$223,Paraméterek!$M$224),2,3))),0),0)</f>
        <v>0</v>
      </c>
      <c r="AI30" s="13">
        <f ca="1">IF(AND($AA30=$M$11+1,$AB30=$M$12+1),SUMIF($AA$20:$AA$1027,$AA30,$AG$20:$AG$1027)*IF(SUMIF($AA$20:$AA$1027,$AA30,$AG$20:$AG$1027)&lt;IF($D$4="Forint",Paraméterek!$L$223,Paraméterek!$L$224),0,VLOOKUP($AA30,Paraméterek!$K$230:$M$250,IF(SUMIF($AA$20:$AA$1027,$AA30,$AG$20:$AG$1027)&lt;IF($D$4="Forint",Paraméterek!$M$223,Paraméterek!$M$224),2,3))),0)</f>
        <v>0</v>
      </c>
      <c r="AJ30" s="13">
        <f ca="1">IF(AND($AA30&gt;=5,MOD($AA30,5)=0),IF($AB30=12,VLOOKUP($AA30,Paraméterek!$O$225:$P$240,2),0),IF(OR($AA30=3,$AA30=4),IF($AB30=12,VLOOKUP($AA30,Paraméterek!$O$225:$P$240,2,0),0),0))*$AG30</f>
        <v>0</v>
      </c>
      <c r="AK30" s="13">
        <f t="shared" ca="1" si="9"/>
        <v>0</v>
      </c>
      <c r="AL30" s="13">
        <f t="shared" ca="1" si="17"/>
        <v>0</v>
      </c>
      <c r="AM30" s="13">
        <f t="shared" ca="1" si="18"/>
        <v>0</v>
      </c>
      <c r="AO30" s="32">
        <v>11</v>
      </c>
      <c r="AP30" s="32">
        <v>1</v>
      </c>
      <c r="AQ30" s="32">
        <v>11</v>
      </c>
      <c r="AR30" s="13"/>
      <c r="AS30" s="32"/>
      <c r="AT30" s="13">
        <f t="shared" ca="1" si="19"/>
        <v>0</v>
      </c>
      <c r="AU30" s="33"/>
      <c r="AV30" s="13">
        <f t="shared" ca="1" si="10"/>
        <v>0</v>
      </c>
      <c r="AW30" s="13">
        <f ca="1">ROUNDUP(($AT30+$AV30)*VLOOKUP($AP30,Paraméterek!$P$38:$Q$38,2)/12*IF($D31="Nem",IF($M$13=0,1,$M$13),1),IF($D$4="Forint",0,2))</f>
        <v>0</v>
      </c>
      <c r="AX30" s="30"/>
      <c r="AY30" s="13"/>
      <c r="AZ30" s="13">
        <f>ROUNDUP(IF(SUM($AX30:$AY30)=0,0,IF(IF(ISBLANK($AY30),$AX30,$AY30)*Paraméterek!$J$112&lt;IF($D$4="Forint",Paraméterek!$J$113,Paraméterek!$K$113),IF($D$4="Forint",Paraméterek!$J$113,Paraméterek!$K$113),IF(IF(ISBLANK($AY30),$AX30,$AY30)*Paraméterek!$J$112&gt;IF($D$4="Forint",Paraméterek!$J$114,Paraméterek!$K$114),IF($D$4="Forint",Paraméterek!$J$114,Paraméterek!$K$114),IF(ISBLANK($AY30),$AX30,$AY30)*Paraméterek!$J$112))),IF($D$4="Forint",0,2))</f>
        <v>0</v>
      </c>
      <c r="BA30" s="13">
        <f ca="1">$AT30+$AV30-$AW30-IF(ROUNDDOWN(IF(ISBLANK($AY30),$AX30,$AY30),IF($D$4="Forint",0,2))&gt;$AT30+$AV30-$AW30-IF($D$4="Forint",Paraméterek!$J$114,Paraméterek!$K$114),0,ROUNDDOWN(IF(ISBLANK($AY30),$AX30,$AY30),IF($D$4="Forint",0,2))-$AZ30)</f>
        <v>0</v>
      </c>
      <c r="BB30" s="13">
        <f t="shared" ca="1" si="11"/>
        <v>0</v>
      </c>
      <c r="BD30" s="32">
        <v>11</v>
      </c>
      <c r="BE30" s="32">
        <v>1</v>
      </c>
      <c r="BF30" s="32">
        <v>11</v>
      </c>
      <c r="BG30" s="34">
        <f t="shared" ca="1" si="20"/>
        <v>2020</v>
      </c>
      <c r="BH30" s="32" t="str">
        <f ca="1">IF(MOD(MONTH($D$14)+$BD30-1,12)=Paraméterek!$C$288,"Igen","")</f>
        <v/>
      </c>
      <c r="BI30" s="13">
        <f ca="1">IF($BH30="Igen",MIN(ROUNDDOWN((SUMIF($BG$20:$BG$1027,$BG30-1,$K$20:$K$1027)-SUMIF($BG$20:$BG$1027,$BG30-1,$I$20:$I$1027))*Paraméterek!$C$289,IF($D$4="Forint",0,2)),IF($D$4="Forint",Paraméterek!$C$285,Paraméterek!$D$285)),0)</f>
        <v>0</v>
      </c>
      <c r="BJ30" s="13">
        <f t="shared" ca="1" si="12"/>
        <v>0</v>
      </c>
      <c r="BK30" s="13">
        <f t="shared" ca="1" si="21"/>
        <v>0</v>
      </c>
      <c r="BL30" s="33"/>
      <c r="BM30" s="13">
        <f t="shared" ca="1" si="13"/>
        <v>0</v>
      </c>
      <c r="BN30" s="13">
        <f ca="1">ROUNDUP(($BK30+$BM30)*VLOOKUP($BE30,Paraméterek!$P$38:$Q$38,2)/12*IF($D31="Nem",IF($M$13=0,1,$M$13),1),IF($D$4="Forint",0,2))</f>
        <v>0</v>
      </c>
      <c r="BO30" s="13">
        <f t="shared" ca="1" si="14"/>
        <v>0</v>
      </c>
      <c r="BP30" s="13">
        <f ca="1">IF($D31="Nem",$BO30,$BO30-ROUNDUP(SUM($BI$20:$BI30)*120%,IF($D$4="Forint",0,2)))</f>
        <v>0</v>
      </c>
    </row>
    <row r="31" spans="1:68" x14ac:dyDescent="0.2">
      <c r="A31" s="32">
        <v>12</v>
      </c>
      <c r="B31" s="32">
        <v>1</v>
      </c>
      <c r="C31" s="32">
        <v>12</v>
      </c>
      <c r="D31" s="32" t="str">
        <f t="shared" ca="1" si="0"/>
        <v>Nem</v>
      </c>
      <c r="E31" s="13">
        <f t="shared" ca="1" si="1"/>
        <v>0</v>
      </c>
      <c r="F31" s="13"/>
      <c r="G31" s="13"/>
      <c r="H31" s="13"/>
      <c r="I31" s="13">
        <f t="shared" ca="1" si="2"/>
        <v>0</v>
      </c>
      <c r="J31" s="13">
        <f t="shared" ca="1" si="3"/>
        <v>0</v>
      </c>
      <c r="K31" s="13">
        <f t="shared" ca="1" si="4"/>
        <v>0</v>
      </c>
      <c r="L31" s="13" t="e">
        <f ca="1">ROUNDUP(IF($D$2="Egyszeri",$E31,IF($D$2="Havi",SUM($E$20:$E$31),IF(MOD($C31,$M$1)-1=0,SUM($E$20:$E$31),0))/12*$M$1)*VLOOKUP($B31,Paraméterek!$I$28:$P$31,IF($D$2="Egyszeri",8,HLOOKUP(ROUNDUP($M$11+$M$13,0),Paraméterek!$J$26:$O$27,2))),IF($D$4="Forint",0,2))</f>
        <v>#N/A</v>
      </c>
      <c r="M31" s="13">
        <f t="shared" ca="1" si="5"/>
        <v>0</v>
      </c>
      <c r="N31" s="13">
        <f t="shared" ca="1" si="15"/>
        <v>0</v>
      </c>
      <c r="O31" s="13">
        <f ca="1">IF($D31="Igen",IF($W30&gt;=IF($D$4="Forint",Paraméterek!$J$121,Paraméterek!$K$121),0,IF($D$4="Forint",Paraméterek!$J$121,Paraméterek!$K$121)-$W30),0)</f>
        <v>0</v>
      </c>
      <c r="P31" s="13" t="e">
        <f ca="1">ROUNDUP($O31*VLOOKUP($M$4+$B31-1,Paraméterek!$H$58:$I$105,2,0)/Paraméterek!$I$56,IF($D$4="Forint",0,2))</f>
        <v>#N/A</v>
      </c>
      <c r="Q31" s="13">
        <f t="shared" ca="1" si="6"/>
        <v>0</v>
      </c>
      <c r="R31" s="33"/>
      <c r="S31" s="13" t="e">
        <f t="shared" ca="1" si="7"/>
        <v>#N/A</v>
      </c>
      <c r="T31" s="13" t="e">
        <f ca="1">ROUNDUP(($N31-$P31-$Q31+$S31)*VLOOKUP($B31,Paraméterek!$I$38:$K$39,IF($D$2="Egyszeri",3,2))/12*IF($D32="Nem",IF($M$13=0,1,$M$13),1),IF($D$4="Forint",0,2))</f>
        <v>#N/A</v>
      </c>
      <c r="U31" s="13">
        <f>Tranzakciók!$F$32</f>
        <v>0</v>
      </c>
      <c r="V31" s="13"/>
      <c r="W31" s="13" t="e">
        <f ca="1">$N31-$P31-$Q31+$S31-$T31-IF(ROUNDUP(IF(ISBLANK($V31),$U31*0,$V31)/IF($D$2="Egyszeri",VLOOKUP($B31+IF($C31=12,1,0),Paraméterek!$V$257:$W$262,2),IF($B31=1,1,VLOOKUP($B31+IF($C31=12,1,0),Paraméterek!$I$258:$T$278,HLOOKUP($M$11+1,Paraméterek!$J$256:$T$257,2)))),IF($D$4="Forint",0,2))&gt;$N31-$P31-$Q31+$S31-$T31-IF($D$4="Forint",Paraméterek!$C$216,Paraméterek!$D$216),0,ROUNDUP(IF(ISBLANK($V31),$U31*0,$V31)/IF($D$2="Egyszeri",VLOOKUP($B31+IF($C31=12,1,0),Paraméterek!$V$257:$W$262,2),IF($B31=1,1,VLOOKUP($B31+IF($C31=12,1,0),Paraméterek!$I$258:$T$278,HLOOKUP($M$11+1,Paraméterek!$J$256:$T$257,2)))),IF($D$4="Forint",0,2)))</f>
        <v>#N/A</v>
      </c>
      <c r="X31" s="13" t="e">
        <f ca="1">ROUNDDOWN($W31*IF($D$2="Egyszeri",VLOOKUP($B31+IF($C31=12,1,0),Paraméterek!$V$257:$W$262,2),VLOOKUP($B31+IF($C31=12,1,0),Paraméterek!$I$258:$T$278,HLOOKUP($M$11+1,Paraméterek!$I$256:$T$257,2))),IF($D$4="Forint",0,2))</f>
        <v>#N/A</v>
      </c>
      <c r="Z31" s="32">
        <v>12</v>
      </c>
      <c r="AA31" s="32">
        <v>1</v>
      </c>
      <c r="AB31" s="32">
        <v>12</v>
      </c>
      <c r="AC31" s="13">
        <f t="shared" ca="1" si="16"/>
        <v>0</v>
      </c>
      <c r="AD31" s="33"/>
      <c r="AE31" s="13">
        <f t="shared" ca="1" si="8"/>
        <v>0</v>
      </c>
      <c r="AF31" s="13">
        <f ca="1">ROUNDUP(($AC31+$AE31)*VLOOKUP($AA31,Paraméterek!$P$38:$Q$38,2)/12*IF($D32="Nem",IF($M$13=0,1,$M$13),1),IF($D$4="Forint",0,2))</f>
        <v>0</v>
      </c>
      <c r="AG31" s="13" t="e">
        <f ca="1">IF($D$2="Egyszeri",IF($D$7&gt;=IF($D$4="Forint",Paraméterek!$P$223,Paraméterek!$P$224),$D$7-IF($D$4="Forint",Paraméterek!$P$223,Paraméterek!$P$224),0),MIN(IF($AB31=12,AVERAGEIF($E$20:$E31,"&gt;0",$E$20:$E31)*12,0),SUM($E$20:$E$31)))</f>
        <v>#DIV/0!</v>
      </c>
      <c r="AH31" s="13">
        <f>IF($AA31=10,$AG31*IF($AB31=12,IF($AG31&lt;IF($D$4="Forint",Paraméterek!$L$223,Paraméterek!$L$224),0,VLOOKUP($AA31,Paraméterek!$K$226:$M$228,IF($AG31&lt;IF($D$4="Forint",Paraméterek!$M$223,Paraméterek!$M$224),2,3))),0),0)</f>
        <v>0</v>
      </c>
      <c r="AI31" s="13">
        <f ca="1">IF(AND($AA31=$M$11+1,$AB31=$M$12+1),SUMIF($AA$20:$AA$1027,$AA31,$AG$20:$AG$1027)*IF(SUMIF($AA$20:$AA$1027,$AA31,$AG$20:$AG$1027)&lt;IF($D$4="Forint",Paraméterek!$L$223,Paraméterek!$L$224),0,VLOOKUP($AA31,Paraméterek!$K$230:$M$250,IF(SUMIF($AA$20:$AA$1027,$AA31,$AG$20:$AG$1027)&lt;IF($D$4="Forint",Paraméterek!$M$223,Paraméterek!$M$224),2,3))),0)</f>
        <v>0</v>
      </c>
      <c r="AJ31" s="13" t="e">
        <f ca="1">IF(AND($AA31&gt;=5,MOD($AA31,5)=0),IF($AB31=12,VLOOKUP($AA31,Paraméterek!$O$225:$P$240,2),0),IF(OR($AA31=3,$AA31=4),IF($AB31=12,VLOOKUP($AA31,Paraméterek!$O$225:$P$240,2,0),0),0))*$AG31</f>
        <v>#DIV/0!</v>
      </c>
      <c r="AK31" s="13">
        <f t="shared" ca="1" si="9"/>
        <v>0</v>
      </c>
      <c r="AL31" s="13">
        <f t="shared" ca="1" si="17"/>
        <v>0</v>
      </c>
      <c r="AM31" s="13">
        <f t="shared" ca="1" si="18"/>
        <v>0</v>
      </c>
      <c r="AO31" s="32">
        <v>12</v>
      </c>
      <c r="AP31" s="32">
        <v>1</v>
      </c>
      <c r="AQ31" s="32">
        <v>12</v>
      </c>
      <c r="AR31" s="13"/>
      <c r="AS31" s="32"/>
      <c r="AT31" s="13">
        <f t="shared" ca="1" si="19"/>
        <v>0</v>
      </c>
      <c r="AU31" s="33"/>
      <c r="AV31" s="13">
        <f t="shared" ca="1" si="10"/>
        <v>0</v>
      </c>
      <c r="AW31" s="13">
        <f ca="1">ROUNDUP(($AT31+$AV31)*VLOOKUP($AP31,Paraméterek!$P$38:$Q$38,2)/12*IF($D32="Nem",IF($M$13=0,1,$M$13),1),IF($D$4="Forint",0,2))</f>
        <v>0</v>
      </c>
      <c r="AX31" s="13">
        <f>Tranzakciók!$M$32</f>
        <v>0</v>
      </c>
      <c r="AY31" s="13"/>
      <c r="AZ31" s="13">
        <f>ROUNDUP(IF(SUM($AX31:$AY31)=0,0,IF(IF(ISBLANK($AY31),$AX31,$AY31)*Paraméterek!$J$112&lt;IF($D$4="Forint",Paraméterek!$J$113,Paraméterek!$K$113),IF($D$4="Forint",Paraméterek!$J$113,Paraméterek!$K$113),IF(IF(ISBLANK($AY31),$AX31,$AY31)*Paraméterek!$J$112&gt;IF($D$4="Forint",Paraméterek!$J$114,Paraméterek!$K$114),IF($D$4="Forint",Paraméterek!$J$114,Paraméterek!$K$114),IF(ISBLANK($AY31),$AX31,$AY31)*Paraméterek!$J$112))),IF($D$4="Forint",0,2))</f>
        <v>0</v>
      </c>
      <c r="BA31" s="13">
        <f ca="1">$AT31+$AV31-$AW31-IF(ROUNDDOWN(IF(ISBLANK($AY31),$AX31,$AY31),IF($D$4="Forint",0,2))&gt;$AT31+$AV31-$AW31-IF($D$4="Forint",Paraméterek!$J$114,Paraméterek!$K$114),0,ROUNDDOWN(IF(ISBLANK($AY31),$AX31,$AY31),IF($D$4="Forint",0,2))-$AZ31)</f>
        <v>0</v>
      </c>
      <c r="BB31" s="13">
        <f t="shared" ca="1" si="11"/>
        <v>0</v>
      </c>
      <c r="BD31" s="32">
        <v>12</v>
      </c>
      <c r="BE31" s="32">
        <v>1</v>
      </c>
      <c r="BF31" s="32">
        <v>12</v>
      </c>
      <c r="BG31" s="34">
        <f t="shared" ca="1" si="20"/>
        <v>2020</v>
      </c>
      <c r="BH31" s="32" t="str">
        <f ca="1">IF(MOD(MONTH($D$14)+$BD31-1,12)=Paraméterek!$C$288,"Igen","")</f>
        <v/>
      </c>
      <c r="BI31" s="13">
        <f ca="1">IF($BH31="Igen",MIN(ROUNDDOWN((SUMIF($BG$20:$BG$1027,$BG31-1,$K$20:$K$1027)-SUMIF($BG$20:$BG$1027,$BG31-1,$I$20:$I$1027))*Paraméterek!$C$289,IF($D$4="Forint",0,2)),IF($D$4="Forint",Paraméterek!$C$285,Paraméterek!$D$285)),0)</f>
        <v>0</v>
      </c>
      <c r="BJ31" s="13">
        <f t="shared" ca="1" si="12"/>
        <v>0</v>
      </c>
      <c r="BK31" s="13">
        <f t="shared" ca="1" si="21"/>
        <v>0</v>
      </c>
      <c r="BL31" s="33"/>
      <c r="BM31" s="13">
        <f t="shared" ca="1" si="13"/>
        <v>0</v>
      </c>
      <c r="BN31" s="13">
        <f ca="1">ROUNDUP(($BK31+$BM31)*VLOOKUP($BE31,Paraméterek!$P$38:$Q$38,2)/12*IF($D32="Nem",IF($M$13=0,1,$M$13),1),IF($D$4="Forint",0,2))</f>
        <v>0</v>
      </c>
      <c r="BO31" s="13">
        <f t="shared" ca="1" si="14"/>
        <v>0</v>
      </c>
      <c r="BP31" s="13">
        <f ca="1">IF($D32="Nem",$BO31,$BO31-ROUNDUP(SUM($BI$20:$BI31)*120%,IF($D$4="Forint",0,2)))</f>
        <v>0</v>
      </c>
    </row>
    <row r="32" spans="1:68" x14ac:dyDescent="0.2">
      <c r="A32" s="32">
        <v>13</v>
      </c>
      <c r="B32" s="32">
        <v>2</v>
      </c>
      <c r="C32" s="32">
        <v>1</v>
      </c>
      <c r="D32" s="32" t="str">
        <f t="shared" ca="1" si="0"/>
        <v>Nem</v>
      </c>
      <c r="E32" s="13">
        <f t="shared" ca="1" si="1"/>
        <v>0</v>
      </c>
      <c r="F32" s="13"/>
      <c r="G32" s="13">
        <f>Tranzakciók!$D$33</f>
        <v>0</v>
      </c>
      <c r="H32" s="13"/>
      <c r="I32" s="13">
        <f t="shared" ca="1" si="2"/>
        <v>0</v>
      </c>
      <c r="J32" s="13">
        <f t="shared" ca="1" si="3"/>
        <v>0</v>
      </c>
      <c r="K32" s="13">
        <f t="shared" ca="1" si="4"/>
        <v>0</v>
      </c>
      <c r="L32" s="13" t="e">
        <f ca="1">ROUNDUP(IF($D$2="Egyszeri",$E32,IF($D$2="Havi",SUM($E$20:$E$31),IF(MOD($C32,$M$1)-1=0,SUM($E$20:$E$31),0))/12*$M$1)*VLOOKUP($B32,Paraméterek!$I$28:$P$31,IF($D$2="Egyszeri",8,HLOOKUP(ROUNDUP($M$11+$M$13,0),Paraméterek!$J$26:$O$27,2))),IF($D$4="Forint",0,2))</f>
        <v>#N/A</v>
      </c>
      <c r="M32" s="13">
        <f t="shared" ca="1" si="5"/>
        <v>0</v>
      </c>
      <c r="N32" s="13">
        <f t="shared" ca="1" si="15"/>
        <v>0</v>
      </c>
      <c r="O32" s="13">
        <f ca="1">IF($D32="Igen",IF($W31&gt;=IF($D$4="Forint",Paraméterek!$J$121,Paraméterek!$K$121),0,IF($D$4="Forint",Paraméterek!$J$121,Paraméterek!$K$121)-$W31),0)</f>
        <v>0</v>
      </c>
      <c r="P32" s="13" t="e">
        <f ca="1">ROUNDUP($O32*VLOOKUP($M$4+$B32-1,Paraméterek!$H$58:$I$105,2,0)/Paraméterek!$I$56,IF($D$4="Forint",0,2))</f>
        <v>#N/A</v>
      </c>
      <c r="Q32" s="13">
        <f t="shared" ca="1" si="6"/>
        <v>0</v>
      </c>
      <c r="R32" s="33"/>
      <c r="S32" s="13" t="e">
        <f t="shared" ca="1" si="7"/>
        <v>#N/A</v>
      </c>
      <c r="T32" s="13" t="e">
        <f ca="1">ROUNDUP(($N32-$P32-$Q32+$S32)*VLOOKUP($B32,Paraméterek!$I$38:$K$39,IF($D$2="Egyszeri",3,2))/12*IF($D33="Nem",IF($M$13=0,1,$M$13),1),IF($D$4="Forint",0,2))</f>
        <v>#N/A</v>
      </c>
      <c r="U32" s="13"/>
      <c r="V32" s="13"/>
      <c r="W32" s="13" t="e">
        <f ca="1">$N32-$P32-$Q32+$S32-$T32-IF(ROUNDUP(IF(ISBLANK($V32),$U32*0,$V32)/IF($D$2="Egyszeri",VLOOKUP($B32+IF($C32=12,1,0),Paraméterek!$V$257:$W$262,2),IF($B32=1,1,VLOOKUP($B32+IF($C32=12,1,0),Paraméterek!$I$258:$T$278,HLOOKUP($M$11+1,Paraméterek!$J$256:$T$257,2)))),IF($D$4="Forint",0,2))&gt;$N32-$P32-$Q32+$S32-$T32-IF($D$4="Forint",Paraméterek!$C$216,Paraméterek!$D$216),0,ROUNDUP(IF(ISBLANK($V32),$U32*0,$V32)/IF($D$2="Egyszeri",VLOOKUP($B32+IF($C32=12,1,0),Paraméterek!$V$257:$W$262,2),IF($B32=1,1,VLOOKUP($B32+IF($C32=12,1,0),Paraméterek!$I$258:$T$278,HLOOKUP($M$11+1,Paraméterek!$J$256:$T$257,2)))),IF($D$4="Forint",0,2)))</f>
        <v>#N/A</v>
      </c>
      <c r="X32" s="13" t="e">
        <f ca="1">ROUNDDOWN($W32*IF($D$2="Egyszeri",VLOOKUP($B32+IF($C32=12,1,0),Paraméterek!$V$257:$W$262,2),VLOOKUP($B32+IF($C32=12,1,0),Paraméterek!$I$258:$T$278,HLOOKUP($M$11+1,Paraméterek!$I$256:$T$257,2))),IF($D$4="Forint",0,2))</f>
        <v>#N/A</v>
      </c>
      <c r="Z32" s="32">
        <v>13</v>
      </c>
      <c r="AA32" s="32">
        <v>2</v>
      </c>
      <c r="AB32" s="32">
        <v>1</v>
      </c>
      <c r="AC32" s="13">
        <f t="shared" ca="1" si="16"/>
        <v>0</v>
      </c>
      <c r="AD32" s="33"/>
      <c r="AE32" s="13">
        <f t="shared" ca="1" si="8"/>
        <v>0</v>
      </c>
      <c r="AF32" s="13">
        <f ca="1">ROUNDUP(($AC32+$AE32)*VLOOKUP($AA32,Paraméterek!$P$38:$Q$38,2)/12*IF($D33="Nem",IF($M$13=0,1,$M$13),1),IF($D$4="Forint",0,2))</f>
        <v>0</v>
      </c>
      <c r="AG32" s="13">
        <f ca="1">IF($D$2="Egyszeri",IF($D$7&gt;=IF($D$4="Forint",Paraméterek!$P$223,Paraméterek!$P$224),$D$7-IF($D$4="Forint",Paraméterek!$P$223,Paraméterek!$P$224),0),MIN(IF($AB32=12,AVERAGEIF($E$20:$E32,"&gt;0",$E$20:$E32)*12,0),SUM($E$20:$E$31)))</f>
        <v>0</v>
      </c>
      <c r="AH32" s="13">
        <f>IF($AA32=10,$AG32*IF($AB32=12,IF($AG32&lt;IF($D$4="Forint",Paraméterek!$L$223,Paraméterek!$L$224),0,VLOOKUP($AA32,Paraméterek!$K$226:$M$228,IF($AG32&lt;IF($D$4="Forint",Paraméterek!$M$223,Paraméterek!$M$224),2,3))),0),0)</f>
        <v>0</v>
      </c>
      <c r="AI32" s="13">
        <f ca="1">IF(AND($AA32=$M$11+1,$AB32=$M$12+1),SUMIF($AA$20:$AA$1027,$AA32,$AG$20:$AG$1027)*IF(SUMIF($AA$20:$AA$1027,$AA32,$AG$20:$AG$1027)&lt;IF($D$4="Forint",Paraméterek!$L$223,Paraméterek!$L$224),0,VLOOKUP($AA32,Paraméterek!$K$230:$M$250,IF(SUMIF($AA$20:$AA$1027,$AA32,$AG$20:$AG$1027)&lt;IF($D$4="Forint",Paraméterek!$M$223,Paraméterek!$M$224),2,3))),0)</f>
        <v>0</v>
      </c>
      <c r="AJ32" s="13">
        <f ca="1">IF(AND($AA32&gt;=5,MOD($AA32,5)=0),IF($AB32=12,VLOOKUP($AA32,Paraméterek!$O$225:$P$240,2),0),IF(OR($AA32=3,$AA32=4),IF($AB32=12,VLOOKUP($AA32,Paraméterek!$O$225:$P$240,2,0),0),0))*$AG32</f>
        <v>0</v>
      </c>
      <c r="AK32" s="13">
        <f t="shared" ca="1" si="9"/>
        <v>0</v>
      </c>
      <c r="AL32" s="13">
        <f t="shared" ca="1" si="17"/>
        <v>0</v>
      </c>
      <c r="AM32" s="13">
        <f t="shared" ca="1" si="18"/>
        <v>0</v>
      </c>
      <c r="AO32" s="32">
        <v>13</v>
      </c>
      <c r="AP32" s="32">
        <v>2</v>
      </c>
      <c r="AQ32" s="32">
        <v>1</v>
      </c>
      <c r="AR32" s="13">
        <f>Tranzakciók!$K$33</f>
        <v>0</v>
      </c>
      <c r="AS32" s="32"/>
      <c r="AT32" s="13">
        <f t="shared" ca="1" si="19"/>
        <v>0</v>
      </c>
      <c r="AU32" s="33"/>
      <c r="AV32" s="13">
        <f t="shared" ca="1" si="10"/>
        <v>0</v>
      </c>
      <c r="AW32" s="13">
        <f ca="1">ROUNDUP(($AT32+$AV32)*VLOOKUP($AP32,Paraméterek!$P$38:$Q$38,2)/12*IF($D33="Nem",IF($M$13=0,1,$M$13),1),IF($D$4="Forint",0,2))</f>
        <v>0</v>
      </c>
      <c r="AX32" s="13"/>
      <c r="AY32" s="13"/>
      <c r="AZ32" s="13">
        <f>ROUNDUP(IF(SUM($AX32:$AY32)=0,0,IF(IF(ISBLANK($AY32),$AX32,$AY32)*Paraméterek!$J$112&lt;IF($D$4="Forint",Paraméterek!$J$113,Paraméterek!$K$113),IF($D$4="Forint",Paraméterek!$J$113,Paraméterek!$K$113),IF(IF(ISBLANK($AY32),$AX32,$AY32)*Paraméterek!$J$112&gt;IF($D$4="Forint",Paraméterek!$J$114,Paraméterek!$K$114),IF($D$4="Forint",Paraméterek!$J$114,Paraméterek!$K$114),IF(ISBLANK($AY32),$AX32,$AY32)*Paraméterek!$J$112))),IF($D$4="Forint",0,2))</f>
        <v>0</v>
      </c>
      <c r="BA32" s="13">
        <f ca="1">$AT32+$AV32-$AW32-IF(ROUNDDOWN(IF(ISBLANK($AY32),$AX32,$AY32),IF($D$4="Forint",0,2))&gt;$AT32+$AV32-$AW32-IF($D$4="Forint",Paraméterek!$J$114,Paraméterek!$K$114),0,ROUNDDOWN(IF(ISBLANK($AY32),$AX32,$AY32),IF($D$4="Forint",0,2))-$AZ32)</f>
        <v>0</v>
      </c>
      <c r="BB32" s="13">
        <f t="shared" ca="1" si="11"/>
        <v>0</v>
      </c>
      <c r="BD32" s="32">
        <v>13</v>
      </c>
      <c r="BE32" s="32">
        <v>2</v>
      </c>
      <c r="BF32" s="32">
        <v>1</v>
      </c>
      <c r="BG32" s="34">
        <f t="shared" ca="1" si="20"/>
        <v>2020</v>
      </c>
      <c r="BH32" s="32" t="str">
        <f ca="1">IF(MOD(MONTH($D$14)+$BD32-1,12)=Paraméterek!$C$288,"Igen","")</f>
        <v/>
      </c>
      <c r="BI32" s="13">
        <f ca="1">IF($BH32="Igen",MIN(ROUNDDOWN((SUMIF($BG$20:$BG$1027,$BG32-1,$K$20:$K$1027)-SUMIF($BG$20:$BG$1027,$BG32-1,$I$20:$I$1027))*Paraméterek!$C$289,IF($D$4="Forint",0,2)),IF($D$4="Forint",Paraméterek!$C$285,Paraméterek!$D$285)),0)</f>
        <v>0</v>
      </c>
      <c r="BJ32" s="13">
        <f t="shared" ca="1" si="12"/>
        <v>0</v>
      </c>
      <c r="BK32" s="13">
        <f t="shared" ca="1" si="21"/>
        <v>0</v>
      </c>
      <c r="BL32" s="33"/>
      <c r="BM32" s="13">
        <f t="shared" ca="1" si="13"/>
        <v>0</v>
      </c>
      <c r="BN32" s="13">
        <f ca="1">ROUNDUP(($BK32+$BM32)*VLOOKUP($BE32,Paraméterek!$P$38:$Q$38,2)/12*IF($D33="Nem",IF($M$13=0,1,$M$13),1),IF($D$4="Forint",0,2))</f>
        <v>0</v>
      </c>
      <c r="BO32" s="13">
        <f t="shared" ca="1" si="14"/>
        <v>0</v>
      </c>
      <c r="BP32" s="13">
        <f ca="1">IF($D33="Nem",$BO32,$BO32-ROUNDUP(SUM($BI$20:$BI32)*120%,IF($D$4="Forint",0,2)))</f>
        <v>0</v>
      </c>
    </row>
    <row r="33" spans="1:68" x14ac:dyDescent="0.2">
      <c r="A33" s="32">
        <v>14</v>
      </c>
      <c r="B33" s="32">
        <v>2</v>
      </c>
      <c r="C33" s="32">
        <v>2</v>
      </c>
      <c r="D33" s="32" t="str">
        <f t="shared" ca="1" si="0"/>
        <v>Nem</v>
      </c>
      <c r="E33" s="13">
        <f t="shared" ca="1" si="1"/>
        <v>0</v>
      </c>
      <c r="F33" s="13"/>
      <c r="G33" s="13"/>
      <c r="H33" s="13"/>
      <c r="I33" s="13">
        <f t="shared" ca="1" si="2"/>
        <v>0</v>
      </c>
      <c r="J33" s="13">
        <f t="shared" ca="1" si="3"/>
        <v>0</v>
      </c>
      <c r="K33" s="13">
        <f t="shared" ca="1" si="4"/>
        <v>0</v>
      </c>
      <c r="L33" s="13" t="e">
        <f ca="1">ROUNDUP(IF($D$2="Egyszeri",$E33,IF($D$2="Havi",SUM($E$20:$E$31),IF(MOD($C33,$M$1)-1=0,SUM($E$20:$E$31),0))/12*$M$1)*VLOOKUP($B33,Paraméterek!$I$28:$P$31,IF($D$2="Egyszeri",8,HLOOKUP(ROUNDUP($M$11+$M$13,0),Paraméterek!$J$26:$O$27,2))),IF($D$4="Forint",0,2))</f>
        <v>#N/A</v>
      </c>
      <c r="M33" s="13">
        <f t="shared" ca="1" si="5"/>
        <v>0</v>
      </c>
      <c r="N33" s="13">
        <f t="shared" ca="1" si="15"/>
        <v>0</v>
      </c>
      <c r="O33" s="13">
        <f ca="1">IF($D33="Igen",IF($W32&gt;=IF($D$4="Forint",Paraméterek!$J$121,Paraméterek!$K$121),0,IF($D$4="Forint",Paraméterek!$J$121,Paraméterek!$K$121)-$W32),0)</f>
        <v>0</v>
      </c>
      <c r="P33" s="13" t="e">
        <f ca="1">ROUNDUP($O33*VLOOKUP($M$4+$B33-1,Paraméterek!$H$58:$I$105,2,0)/Paraméterek!$I$56,IF($D$4="Forint",0,2))</f>
        <v>#N/A</v>
      </c>
      <c r="Q33" s="13">
        <f t="shared" ca="1" si="6"/>
        <v>0</v>
      </c>
      <c r="R33" s="33"/>
      <c r="S33" s="13" t="e">
        <f t="shared" ca="1" si="7"/>
        <v>#N/A</v>
      </c>
      <c r="T33" s="13" t="e">
        <f ca="1">ROUNDUP(($N33-$P33-$Q33+$S33)*VLOOKUP($B33,Paraméterek!$I$38:$K$39,IF($D$2="Egyszeri",3,2))/12*IF($D34="Nem",IF($M$13=0,1,$M$13),1),IF($D$4="Forint",0,2))</f>
        <v>#N/A</v>
      </c>
      <c r="U33" s="13"/>
      <c r="V33" s="13"/>
      <c r="W33" s="13" t="e">
        <f ca="1">$N33-$P33-$Q33+$S33-$T33-IF(ROUNDUP(IF(ISBLANK($V33),$U33*0,$V33)/IF($D$2="Egyszeri",VLOOKUP($B33+IF($C33=12,1,0),Paraméterek!$V$257:$W$262,2),IF($B33=1,1,VLOOKUP($B33+IF($C33=12,1,0),Paraméterek!$I$258:$T$278,HLOOKUP($M$11+1,Paraméterek!$J$256:$T$257,2)))),IF($D$4="Forint",0,2))&gt;$N33-$P33-$Q33+$S33-$T33-IF($D$4="Forint",Paraméterek!$C$216,Paraméterek!$D$216),0,ROUNDUP(IF(ISBLANK($V33),$U33*0,$V33)/IF($D$2="Egyszeri",VLOOKUP($B33+IF($C33=12,1,0),Paraméterek!$V$257:$W$262,2),IF($B33=1,1,VLOOKUP($B33+IF($C33=12,1,0),Paraméterek!$I$258:$T$278,HLOOKUP($M$11+1,Paraméterek!$J$256:$T$257,2)))),IF($D$4="Forint",0,2)))</f>
        <v>#N/A</v>
      </c>
      <c r="X33" s="13" t="e">
        <f ca="1">ROUNDDOWN($W33*IF($D$2="Egyszeri",VLOOKUP($B33+IF($C33=12,1,0),Paraméterek!$V$257:$W$262,2),VLOOKUP($B33+IF($C33=12,1,0),Paraméterek!$I$258:$T$278,HLOOKUP($M$11+1,Paraméterek!$I$256:$T$257,2))),IF($D$4="Forint",0,2))</f>
        <v>#N/A</v>
      </c>
      <c r="Z33" s="32">
        <v>14</v>
      </c>
      <c r="AA33" s="32">
        <v>2</v>
      </c>
      <c r="AB33" s="32">
        <v>2</v>
      </c>
      <c r="AC33" s="13">
        <f t="shared" ca="1" si="16"/>
        <v>0</v>
      </c>
      <c r="AD33" s="33"/>
      <c r="AE33" s="13">
        <f t="shared" ca="1" si="8"/>
        <v>0</v>
      </c>
      <c r="AF33" s="13">
        <f ca="1">ROUNDUP(($AC33+$AE33)*VLOOKUP($AA33,Paraméterek!$P$38:$Q$38,2)/12*IF($D34="Nem",IF($M$13=0,1,$M$13),1),IF($D$4="Forint",0,2))</f>
        <v>0</v>
      </c>
      <c r="AG33" s="13">
        <f ca="1">IF($D$2="Egyszeri",IF($D$7&gt;=IF($D$4="Forint",Paraméterek!$P$223,Paraméterek!$P$224),$D$7-IF($D$4="Forint",Paraméterek!$P$223,Paraméterek!$P$224),0),MIN(IF($AB33=12,AVERAGEIF($E$20:$E33,"&gt;0",$E$20:$E33)*12,0),SUM($E$20:$E$31)))</f>
        <v>0</v>
      </c>
      <c r="AH33" s="13">
        <f>IF($AA33=10,$AG33*IF($AB33=12,IF($AG33&lt;IF($D$4="Forint",Paraméterek!$L$223,Paraméterek!$L$224),0,VLOOKUP($AA33,Paraméterek!$K$226:$M$228,IF($AG33&lt;IF($D$4="Forint",Paraméterek!$M$223,Paraméterek!$M$224),2,3))),0),0)</f>
        <v>0</v>
      </c>
      <c r="AI33" s="13">
        <f ca="1">IF(AND($AA33=$M$11+1,$AB33=$M$12+1),SUMIF($AA$20:$AA$1027,$AA33,$AG$20:$AG$1027)*IF(SUMIF($AA$20:$AA$1027,$AA33,$AG$20:$AG$1027)&lt;IF($D$4="Forint",Paraméterek!$L$223,Paraméterek!$L$224),0,VLOOKUP($AA33,Paraméterek!$K$230:$M$250,IF(SUMIF($AA$20:$AA$1027,$AA33,$AG$20:$AG$1027)&lt;IF($D$4="Forint",Paraméterek!$M$223,Paraméterek!$M$224),2,3))),0)</f>
        <v>0</v>
      </c>
      <c r="AJ33" s="13">
        <f ca="1">IF(AND($AA33&gt;=5,MOD($AA33,5)=0),IF($AB33=12,VLOOKUP($AA33,Paraméterek!$O$225:$P$240,2),0),IF(OR($AA33=3,$AA33=4),IF($AB33=12,VLOOKUP($AA33,Paraméterek!$O$225:$P$240,2,0),0),0))*$AG33</f>
        <v>0</v>
      </c>
      <c r="AK33" s="13">
        <f t="shared" ca="1" si="9"/>
        <v>0</v>
      </c>
      <c r="AL33" s="13">
        <f t="shared" ca="1" si="17"/>
        <v>0</v>
      </c>
      <c r="AM33" s="13">
        <f t="shared" ca="1" si="18"/>
        <v>0</v>
      </c>
      <c r="AO33" s="32">
        <v>14</v>
      </c>
      <c r="AP33" s="32">
        <v>2</v>
      </c>
      <c r="AQ33" s="32">
        <v>2</v>
      </c>
      <c r="AR33" s="13"/>
      <c r="AS33" s="32"/>
      <c r="AT33" s="13">
        <f t="shared" ca="1" si="19"/>
        <v>0</v>
      </c>
      <c r="AU33" s="33"/>
      <c r="AV33" s="13">
        <f t="shared" ca="1" si="10"/>
        <v>0</v>
      </c>
      <c r="AW33" s="13">
        <f ca="1">ROUNDUP(($AT33+$AV33)*VLOOKUP($AP33,Paraméterek!$P$38:$Q$38,2)/12*IF($D34="Nem",IF($M$13=0,1,$M$13),1),IF($D$4="Forint",0,2))</f>
        <v>0</v>
      </c>
      <c r="AX33" s="13"/>
      <c r="AY33" s="13"/>
      <c r="AZ33" s="13">
        <f>ROUNDUP(IF(SUM($AX33:$AY33)=0,0,IF(IF(ISBLANK($AY33),$AX33,$AY33)*Paraméterek!$J$112&lt;IF($D$4="Forint",Paraméterek!$J$113,Paraméterek!$K$113),IF($D$4="Forint",Paraméterek!$J$113,Paraméterek!$K$113),IF(IF(ISBLANK($AY33),$AX33,$AY33)*Paraméterek!$J$112&gt;IF($D$4="Forint",Paraméterek!$J$114,Paraméterek!$K$114),IF($D$4="Forint",Paraméterek!$J$114,Paraméterek!$K$114),IF(ISBLANK($AY33),$AX33,$AY33)*Paraméterek!$J$112))),IF($D$4="Forint",0,2))</f>
        <v>0</v>
      </c>
      <c r="BA33" s="13">
        <f ca="1">$AT33+$AV33-$AW33-IF(ROUNDDOWN(IF(ISBLANK($AY33),$AX33,$AY33),IF($D$4="Forint",0,2))&gt;$AT33+$AV33-$AW33-IF($D$4="Forint",Paraméterek!$J$114,Paraméterek!$K$114),0,ROUNDDOWN(IF(ISBLANK($AY33),$AX33,$AY33),IF($D$4="Forint",0,2))-$AZ33)</f>
        <v>0</v>
      </c>
      <c r="BB33" s="13">
        <f t="shared" ca="1" si="11"/>
        <v>0</v>
      </c>
      <c r="BD33" s="32">
        <v>14</v>
      </c>
      <c r="BE33" s="32">
        <v>2</v>
      </c>
      <c r="BF33" s="32">
        <v>2</v>
      </c>
      <c r="BG33" s="34">
        <f t="shared" ca="1" si="20"/>
        <v>2020</v>
      </c>
      <c r="BH33" s="32" t="str">
        <f ca="1">IF(MOD(MONTH($D$14)+$BD33-1,12)=Paraméterek!$C$288,"Igen","")</f>
        <v>Igen</v>
      </c>
      <c r="BI33" s="13">
        <f ca="1">IF($BH33="Igen",MIN(ROUNDDOWN((SUMIF($BG$20:$BG$1027,$BG33-1,$K$20:$K$1027)-SUMIF($BG$20:$BG$1027,$BG33-1,$I$20:$I$1027))*Paraméterek!$C$289,IF($D$4="Forint",0,2)),IF($D$4="Forint",Paraméterek!$C$285,Paraméterek!$D$285)),0)</f>
        <v>0</v>
      </c>
      <c r="BJ33" s="13">
        <f t="shared" ca="1" si="12"/>
        <v>0</v>
      </c>
      <c r="BK33" s="13">
        <f t="shared" ca="1" si="21"/>
        <v>0</v>
      </c>
      <c r="BL33" s="33"/>
      <c r="BM33" s="13">
        <f t="shared" ca="1" si="13"/>
        <v>0</v>
      </c>
      <c r="BN33" s="13">
        <f ca="1">ROUNDUP(($BK33+$BM33)*VLOOKUP($BE33,Paraméterek!$P$38:$Q$38,2)/12*IF($D34="Nem",IF($M$13=0,1,$M$13),1),IF($D$4="Forint",0,2))</f>
        <v>0</v>
      </c>
      <c r="BO33" s="13">
        <f t="shared" ca="1" si="14"/>
        <v>0</v>
      </c>
      <c r="BP33" s="13">
        <f ca="1">IF($D34="Nem",$BO33,$BO33-ROUNDUP(SUM($BI$20:$BI33)*120%,IF($D$4="Forint",0,2)))</f>
        <v>0</v>
      </c>
    </row>
    <row r="34" spans="1:68" x14ac:dyDescent="0.2">
      <c r="A34" s="32">
        <v>15</v>
      </c>
      <c r="B34" s="32">
        <v>2</v>
      </c>
      <c r="C34" s="32">
        <v>3</v>
      </c>
      <c r="D34" s="32" t="str">
        <f t="shared" ca="1" si="0"/>
        <v>Nem</v>
      </c>
      <c r="E34" s="13">
        <f t="shared" ca="1" si="1"/>
        <v>0</v>
      </c>
      <c r="F34" s="13"/>
      <c r="G34" s="13"/>
      <c r="H34" s="13"/>
      <c r="I34" s="13">
        <f t="shared" ca="1" si="2"/>
        <v>0</v>
      </c>
      <c r="J34" s="13">
        <f t="shared" ca="1" si="3"/>
        <v>0</v>
      </c>
      <c r="K34" s="13">
        <f t="shared" ca="1" si="4"/>
        <v>0</v>
      </c>
      <c r="L34" s="13" t="e">
        <f ca="1">ROUNDUP(IF($D$2="Egyszeri",$E34,IF($D$2="Havi",SUM($E$20:$E$31),IF(MOD($C34,$M$1)-1=0,SUM($E$20:$E$31),0))/12*$M$1)*VLOOKUP($B34,Paraméterek!$I$28:$P$31,IF($D$2="Egyszeri",8,HLOOKUP(ROUNDUP($M$11+$M$13,0),Paraméterek!$J$26:$O$27,2))),IF($D$4="Forint",0,2))</f>
        <v>#N/A</v>
      </c>
      <c r="M34" s="13">
        <f t="shared" ca="1" si="5"/>
        <v>0</v>
      </c>
      <c r="N34" s="13">
        <f t="shared" ca="1" si="15"/>
        <v>0</v>
      </c>
      <c r="O34" s="13">
        <f ca="1">IF($D34="Igen",IF($W33&gt;=IF($D$4="Forint",Paraméterek!$J$121,Paraméterek!$K$121),0,IF($D$4="Forint",Paraméterek!$J$121,Paraméterek!$K$121)-$W33),0)</f>
        <v>0</v>
      </c>
      <c r="P34" s="13" t="e">
        <f ca="1">ROUNDUP($O34*VLOOKUP($M$4+$B34-1,Paraméterek!$H$58:$I$105,2,0)/Paraméterek!$I$56,IF($D$4="Forint",0,2))</f>
        <v>#N/A</v>
      </c>
      <c r="Q34" s="13">
        <f t="shared" ca="1" si="6"/>
        <v>0</v>
      </c>
      <c r="R34" s="33"/>
      <c r="S34" s="13" t="e">
        <f t="shared" ca="1" si="7"/>
        <v>#N/A</v>
      </c>
      <c r="T34" s="13" t="e">
        <f ca="1">ROUNDUP(($N34-$P34-$Q34+$S34)*VLOOKUP($B34,Paraméterek!$I$38:$K$39,IF($D$2="Egyszeri",3,2))/12*IF($D35="Nem",IF($M$13=0,1,$M$13),1),IF($D$4="Forint",0,2))</f>
        <v>#N/A</v>
      </c>
      <c r="U34" s="13"/>
      <c r="V34" s="13"/>
      <c r="W34" s="13" t="e">
        <f ca="1">$N34-$P34-$Q34+$S34-$T34-IF(ROUNDUP(IF(ISBLANK($V34),$U34*0,$V34)/IF($D$2="Egyszeri",VLOOKUP($B34+IF($C34=12,1,0),Paraméterek!$V$257:$W$262,2),IF($B34=1,1,VLOOKUP($B34+IF($C34=12,1,0),Paraméterek!$I$258:$T$278,HLOOKUP($M$11+1,Paraméterek!$J$256:$T$257,2)))),IF($D$4="Forint",0,2))&gt;$N34-$P34-$Q34+$S34-$T34-IF($D$4="Forint",Paraméterek!$C$216,Paraméterek!$D$216),0,ROUNDUP(IF(ISBLANK($V34),$U34*0,$V34)/IF($D$2="Egyszeri",VLOOKUP($B34+IF($C34=12,1,0),Paraméterek!$V$257:$W$262,2),IF($B34=1,1,VLOOKUP($B34+IF($C34=12,1,0),Paraméterek!$I$258:$T$278,HLOOKUP($M$11+1,Paraméterek!$J$256:$T$257,2)))),IF($D$4="Forint",0,2)))</f>
        <v>#N/A</v>
      </c>
      <c r="X34" s="13" t="e">
        <f ca="1">ROUNDDOWN($W34*IF($D$2="Egyszeri",VLOOKUP($B34+IF($C34=12,1,0),Paraméterek!$V$257:$W$262,2),VLOOKUP($B34+IF($C34=12,1,0),Paraméterek!$I$258:$T$278,HLOOKUP($M$11+1,Paraméterek!$I$256:$T$257,2))),IF($D$4="Forint",0,2))</f>
        <v>#N/A</v>
      </c>
      <c r="Z34" s="32">
        <v>15</v>
      </c>
      <c r="AA34" s="32">
        <v>2</v>
      </c>
      <c r="AB34" s="32">
        <v>3</v>
      </c>
      <c r="AC34" s="13">
        <f t="shared" ca="1" si="16"/>
        <v>0</v>
      </c>
      <c r="AD34" s="33"/>
      <c r="AE34" s="13">
        <f t="shared" ca="1" si="8"/>
        <v>0</v>
      </c>
      <c r="AF34" s="13">
        <f ca="1">ROUNDUP(($AC34+$AE34)*VLOOKUP($AA34,Paraméterek!$P$38:$Q$38,2)/12*IF($D35="Nem",IF($M$13=0,1,$M$13),1),IF($D$4="Forint",0,2))</f>
        <v>0</v>
      </c>
      <c r="AG34" s="13">
        <f ca="1">IF($D$2="Egyszeri",IF($D$7&gt;=IF($D$4="Forint",Paraméterek!$P$223,Paraméterek!$P$224),$D$7-IF($D$4="Forint",Paraméterek!$P$223,Paraméterek!$P$224),0),MIN(IF($AB34=12,AVERAGEIF($E$20:$E34,"&gt;0",$E$20:$E34)*12,0),SUM($E$20:$E$31)))</f>
        <v>0</v>
      </c>
      <c r="AH34" s="13">
        <f>IF($AA34=10,$AG34*IF($AB34=12,IF($AG34&lt;IF($D$4="Forint",Paraméterek!$L$223,Paraméterek!$L$224),0,VLOOKUP($AA34,Paraméterek!$K$226:$M$228,IF($AG34&lt;IF($D$4="Forint",Paraméterek!$M$223,Paraméterek!$M$224),2,3))),0),0)</f>
        <v>0</v>
      </c>
      <c r="AI34" s="13">
        <f ca="1">IF(AND($AA34=$M$11+1,$AB34=$M$12+1),SUMIF($AA$20:$AA$1027,$AA34,$AG$20:$AG$1027)*IF(SUMIF($AA$20:$AA$1027,$AA34,$AG$20:$AG$1027)&lt;IF($D$4="Forint",Paraméterek!$L$223,Paraméterek!$L$224),0,VLOOKUP($AA34,Paraméterek!$K$230:$M$250,IF(SUMIF($AA$20:$AA$1027,$AA34,$AG$20:$AG$1027)&lt;IF($D$4="Forint",Paraméterek!$M$223,Paraméterek!$M$224),2,3))),0)</f>
        <v>0</v>
      </c>
      <c r="AJ34" s="13">
        <f ca="1">IF(AND($AA34&gt;=5,MOD($AA34,5)=0),IF($AB34=12,VLOOKUP($AA34,Paraméterek!$O$225:$P$240,2),0),IF(OR($AA34=3,$AA34=4),IF($AB34=12,VLOOKUP($AA34,Paraméterek!$O$225:$P$240,2,0),0),0))*$AG34</f>
        <v>0</v>
      </c>
      <c r="AK34" s="13">
        <f t="shared" ca="1" si="9"/>
        <v>0</v>
      </c>
      <c r="AL34" s="13">
        <f t="shared" ca="1" si="17"/>
        <v>0</v>
      </c>
      <c r="AM34" s="13">
        <f t="shared" ca="1" si="18"/>
        <v>0</v>
      </c>
      <c r="AO34" s="32">
        <v>15</v>
      </c>
      <c r="AP34" s="32">
        <v>2</v>
      </c>
      <c r="AQ34" s="32">
        <v>3</v>
      </c>
      <c r="AR34" s="13"/>
      <c r="AS34" s="32"/>
      <c r="AT34" s="13">
        <f t="shared" ca="1" si="19"/>
        <v>0</v>
      </c>
      <c r="AU34" s="33"/>
      <c r="AV34" s="13">
        <f t="shared" ca="1" si="10"/>
        <v>0</v>
      </c>
      <c r="AW34" s="13">
        <f ca="1">ROUNDUP(($AT34+$AV34)*VLOOKUP($AP34,Paraméterek!$P$38:$Q$38,2)/12*IF($D35="Nem",IF($M$13=0,1,$M$13),1),IF($D$4="Forint",0,2))</f>
        <v>0</v>
      </c>
      <c r="AX34" s="13"/>
      <c r="AY34" s="13"/>
      <c r="AZ34" s="13">
        <f>ROUNDUP(IF(SUM($AX34:$AY34)=0,0,IF(IF(ISBLANK($AY34),$AX34,$AY34)*Paraméterek!$J$112&lt;IF($D$4="Forint",Paraméterek!$J$113,Paraméterek!$K$113),IF($D$4="Forint",Paraméterek!$J$113,Paraméterek!$K$113),IF(IF(ISBLANK($AY34),$AX34,$AY34)*Paraméterek!$J$112&gt;IF($D$4="Forint",Paraméterek!$J$114,Paraméterek!$K$114),IF($D$4="Forint",Paraméterek!$J$114,Paraméterek!$K$114),IF(ISBLANK($AY34),$AX34,$AY34)*Paraméterek!$J$112))),IF($D$4="Forint",0,2))</f>
        <v>0</v>
      </c>
      <c r="BA34" s="13">
        <f ca="1">$AT34+$AV34-$AW34-IF(ROUNDDOWN(IF(ISBLANK($AY34),$AX34,$AY34),IF($D$4="Forint",0,2))&gt;$AT34+$AV34-$AW34-IF($D$4="Forint",Paraméterek!$J$114,Paraméterek!$K$114),0,ROUNDDOWN(IF(ISBLANK($AY34),$AX34,$AY34),IF($D$4="Forint",0,2))-$AZ34)</f>
        <v>0</v>
      </c>
      <c r="BB34" s="13">
        <f t="shared" ca="1" si="11"/>
        <v>0</v>
      </c>
      <c r="BD34" s="32">
        <v>15</v>
      </c>
      <c r="BE34" s="32">
        <v>2</v>
      </c>
      <c r="BF34" s="32">
        <v>3</v>
      </c>
      <c r="BG34" s="34">
        <f t="shared" ca="1" si="20"/>
        <v>2020</v>
      </c>
      <c r="BH34" s="32" t="str">
        <f ca="1">IF(MOD(MONTH($D$14)+$BD34-1,12)=Paraméterek!$C$288,"Igen","")</f>
        <v/>
      </c>
      <c r="BI34" s="13">
        <f ca="1">IF($BH34="Igen",MIN(ROUNDDOWN((SUMIF($BG$20:$BG$1027,$BG34-1,$K$20:$K$1027)-SUMIF($BG$20:$BG$1027,$BG34-1,$I$20:$I$1027))*Paraméterek!$C$289,IF($D$4="Forint",0,2)),IF($D$4="Forint",Paraméterek!$C$285,Paraméterek!$D$285)),0)</f>
        <v>0</v>
      </c>
      <c r="BJ34" s="13">
        <f t="shared" ca="1" si="12"/>
        <v>0</v>
      </c>
      <c r="BK34" s="13">
        <f t="shared" ca="1" si="21"/>
        <v>0</v>
      </c>
      <c r="BL34" s="33"/>
      <c r="BM34" s="13">
        <f t="shared" ca="1" si="13"/>
        <v>0</v>
      </c>
      <c r="BN34" s="13">
        <f ca="1">ROUNDUP(($BK34+$BM34)*VLOOKUP($BE34,Paraméterek!$P$38:$Q$38,2)/12*IF($D35="Nem",IF($M$13=0,1,$M$13),1),IF($D$4="Forint",0,2))</f>
        <v>0</v>
      </c>
      <c r="BO34" s="13">
        <f t="shared" ca="1" si="14"/>
        <v>0</v>
      </c>
      <c r="BP34" s="13">
        <f ca="1">IF($D35="Nem",$BO34,$BO34-ROUNDUP(SUM($BI$20:$BI34)*120%,IF($D$4="Forint",0,2)))</f>
        <v>0</v>
      </c>
    </row>
    <row r="35" spans="1:68" x14ac:dyDescent="0.2">
      <c r="A35" s="32">
        <v>16</v>
      </c>
      <c r="B35" s="32">
        <v>2</v>
      </c>
      <c r="C35" s="32">
        <v>4</v>
      </c>
      <c r="D35" s="32" t="str">
        <f t="shared" ca="1" si="0"/>
        <v>Nem</v>
      </c>
      <c r="E35" s="13">
        <f t="shared" ca="1" si="1"/>
        <v>0</v>
      </c>
      <c r="F35" s="13"/>
      <c r="G35" s="13"/>
      <c r="H35" s="13"/>
      <c r="I35" s="13">
        <f t="shared" ca="1" si="2"/>
        <v>0</v>
      </c>
      <c r="J35" s="13">
        <f t="shared" ca="1" si="3"/>
        <v>0</v>
      </c>
      <c r="K35" s="13">
        <f t="shared" ca="1" si="4"/>
        <v>0</v>
      </c>
      <c r="L35" s="13" t="e">
        <f ca="1">ROUNDUP(IF($D$2="Egyszeri",$E35,IF($D$2="Havi",SUM($E$20:$E$31),IF(MOD($C35,$M$1)-1=0,SUM($E$20:$E$31),0))/12*$M$1)*VLOOKUP($B35,Paraméterek!$I$28:$P$31,IF($D$2="Egyszeri",8,HLOOKUP(ROUNDUP($M$11+$M$13,0),Paraméterek!$J$26:$O$27,2))),IF($D$4="Forint",0,2))</f>
        <v>#N/A</v>
      </c>
      <c r="M35" s="13">
        <f t="shared" ca="1" si="5"/>
        <v>0</v>
      </c>
      <c r="N35" s="13">
        <f t="shared" ca="1" si="15"/>
        <v>0</v>
      </c>
      <c r="O35" s="13">
        <f ca="1">IF($D35="Igen",IF($W34&gt;=IF($D$4="Forint",Paraméterek!$J$121,Paraméterek!$K$121),0,IF($D$4="Forint",Paraméterek!$J$121,Paraméterek!$K$121)-$W34),0)</f>
        <v>0</v>
      </c>
      <c r="P35" s="13" t="e">
        <f ca="1">ROUNDUP($O35*VLOOKUP($M$4+$B35-1,Paraméterek!$H$58:$I$105,2,0)/Paraméterek!$I$56,IF($D$4="Forint",0,2))</f>
        <v>#N/A</v>
      </c>
      <c r="Q35" s="13">
        <f t="shared" ca="1" si="6"/>
        <v>0</v>
      </c>
      <c r="R35" s="33"/>
      <c r="S35" s="13" t="e">
        <f t="shared" ca="1" si="7"/>
        <v>#N/A</v>
      </c>
      <c r="T35" s="13" t="e">
        <f ca="1">ROUNDUP(($N35-$P35-$Q35+$S35)*VLOOKUP($B35,Paraméterek!$I$38:$K$39,IF($D$2="Egyszeri",3,2))/12*IF($D36="Nem",IF($M$13=0,1,$M$13),1),IF($D$4="Forint",0,2))</f>
        <v>#N/A</v>
      </c>
      <c r="U35" s="13"/>
      <c r="V35" s="13"/>
      <c r="W35" s="13" t="e">
        <f ca="1">$N35-$P35-$Q35+$S35-$T35-IF(ROUNDUP(IF(ISBLANK($V35),$U35*0,$V35)/IF($D$2="Egyszeri",VLOOKUP($B35+IF($C35=12,1,0),Paraméterek!$V$257:$W$262,2),IF($B35=1,1,VLOOKUP($B35+IF($C35=12,1,0),Paraméterek!$I$258:$T$278,HLOOKUP($M$11+1,Paraméterek!$J$256:$T$257,2)))),IF($D$4="Forint",0,2))&gt;$N35-$P35-$Q35+$S35-$T35-IF($D$4="Forint",Paraméterek!$C$216,Paraméterek!$D$216),0,ROUNDUP(IF(ISBLANK($V35),$U35*0,$V35)/IF($D$2="Egyszeri",VLOOKUP($B35+IF($C35=12,1,0),Paraméterek!$V$257:$W$262,2),IF($B35=1,1,VLOOKUP($B35+IF($C35=12,1,0),Paraméterek!$I$258:$T$278,HLOOKUP($M$11+1,Paraméterek!$J$256:$T$257,2)))),IF($D$4="Forint",0,2)))</f>
        <v>#N/A</v>
      </c>
      <c r="X35" s="13" t="e">
        <f ca="1">ROUNDDOWN($W35*IF($D$2="Egyszeri",VLOOKUP($B35+IF($C35=12,1,0),Paraméterek!$V$257:$W$262,2),VLOOKUP($B35+IF($C35=12,1,0),Paraméterek!$I$258:$T$278,HLOOKUP($M$11+1,Paraméterek!$I$256:$T$257,2))),IF($D$4="Forint",0,2))</f>
        <v>#N/A</v>
      </c>
      <c r="Z35" s="32">
        <v>16</v>
      </c>
      <c r="AA35" s="32">
        <v>2</v>
      </c>
      <c r="AB35" s="32">
        <v>4</v>
      </c>
      <c r="AC35" s="13">
        <f t="shared" ca="1" si="16"/>
        <v>0</v>
      </c>
      <c r="AD35" s="33"/>
      <c r="AE35" s="13">
        <f t="shared" ca="1" si="8"/>
        <v>0</v>
      </c>
      <c r="AF35" s="13">
        <f ca="1">ROUNDUP(($AC35+$AE35)*VLOOKUP($AA35,Paraméterek!$P$38:$Q$38,2)/12*IF($D36="Nem",IF($M$13=0,1,$M$13),1),IF($D$4="Forint",0,2))</f>
        <v>0</v>
      </c>
      <c r="AG35" s="13">
        <f ca="1">IF($D$2="Egyszeri",IF($D$7&gt;=IF($D$4="Forint",Paraméterek!$P$223,Paraméterek!$P$224),$D$7-IF($D$4="Forint",Paraméterek!$P$223,Paraméterek!$P$224),0),MIN(IF($AB35=12,AVERAGEIF($E$20:$E35,"&gt;0",$E$20:$E35)*12,0),SUM($E$20:$E$31)))</f>
        <v>0</v>
      </c>
      <c r="AH35" s="13">
        <f>IF($AA35=10,$AG35*IF($AB35=12,IF($AG35&lt;IF($D$4="Forint",Paraméterek!$L$223,Paraméterek!$L$224),0,VLOOKUP($AA35,Paraméterek!$K$226:$M$228,IF($AG35&lt;IF($D$4="Forint",Paraméterek!$M$223,Paraméterek!$M$224),2,3))),0),0)</f>
        <v>0</v>
      </c>
      <c r="AI35" s="13">
        <f ca="1">IF(AND($AA35=$M$11+1,$AB35=$M$12+1),SUMIF($AA$20:$AA$1027,$AA35,$AG$20:$AG$1027)*IF(SUMIF($AA$20:$AA$1027,$AA35,$AG$20:$AG$1027)&lt;IF($D$4="Forint",Paraméterek!$L$223,Paraméterek!$L$224),0,VLOOKUP($AA35,Paraméterek!$K$230:$M$250,IF(SUMIF($AA$20:$AA$1027,$AA35,$AG$20:$AG$1027)&lt;IF($D$4="Forint",Paraméterek!$M$223,Paraméterek!$M$224),2,3))),0)</f>
        <v>0</v>
      </c>
      <c r="AJ35" s="13">
        <f ca="1">IF(AND($AA35&gt;=5,MOD($AA35,5)=0),IF($AB35=12,VLOOKUP($AA35,Paraméterek!$O$225:$P$240,2),0),IF(OR($AA35=3,$AA35=4),IF($AB35=12,VLOOKUP($AA35,Paraméterek!$O$225:$P$240,2,0),0),0))*$AG35</f>
        <v>0</v>
      </c>
      <c r="AK35" s="13">
        <f t="shared" ca="1" si="9"/>
        <v>0</v>
      </c>
      <c r="AL35" s="13">
        <f t="shared" ca="1" si="17"/>
        <v>0</v>
      </c>
      <c r="AM35" s="13">
        <f t="shared" ca="1" si="18"/>
        <v>0</v>
      </c>
      <c r="AO35" s="32">
        <v>16</v>
      </c>
      <c r="AP35" s="32">
        <v>2</v>
      </c>
      <c r="AQ35" s="32">
        <v>4</v>
      </c>
      <c r="AR35" s="13"/>
      <c r="AS35" s="32"/>
      <c r="AT35" s="13">
        <f t="shared" ca="1" si="19"/>
        <v>0</v>
      </c>
      <c r="AU35" s="33"/>
      <c r="AV35" s="13">
        <f t="shared" ca="1" si="10"/>
        <v>0</v>
      </c>
      <c r="AW35" s="13">
        <f ca="1">ROUNDUP(($AT35+$AV35)*VLOOKUP($AP35,Paraméterek!$P$38:$Q$38,2)/12*IF($D36="Nem",IF($M$13=0,1,$M$13),1),IF($D$4="Forint",0,2))</f>
        <v>0</v>
      </c>
      <c r="AX35" s="13"/>
      <c r="AY35" s="13"/>
      <c r="AZ35" s="13">
        <f>ROUNDUP(IF(SUM($AX35:$AY35)=0,0,IF(IF(ISBLANK($AY35),$AX35,$AY35)*Paraméterek!$J$112&lt;IF($D$4="Forint",Paraméterek!$J$113,Paraméterek!$K$113),IF($D$4="Forint",Paraméterek!$J$113,Paraméterek!$K$113),IF(IF(ISBLANK($AY35),$AX35,$AY35)*Paraméterek!$J$112&gt;IF($D$4="Forint",Paraméterek!$J$114,Paraméterek!$K$114),IF($D$4="Forint",Paraméterek!$J$114,Paraméterek!$K$114),IF(ISBLANK($AY35),$AX35,$AY35)*Paraméterek!$J$112))),IF($D$4="Forint",0,2))</f>
        <v>0</v>
      </c>
      <c r="BA35" s="13">
        <f ca="1">$AT35+$AV35-$AW35-IF(ROUNDDOWN(IF(ISBLANK($AY35),$AX35,$AY35),IF($D$4="Forint",0,2))&gt;$AT35+$AV35-$AW35-IF($D$4="Forint",Paraméterek!$J$114,Paraméterek!$K$114),0,ROUNDDOWN(IF(ISBLANK($AY35),$AX35,$AY35),IF($D$4="Forint",0,2))-$AZ35)</f>
        <v>0</v>
      </c>
      <c r="BB35" s="13">
        <f t="shared" ca="1" si="11"/>
        <v>0</v>
      </c>
      <c r="BD35" s="32">
        <v>16</v>
      </c>
      <c r="BE35" s="32">
        <v>2</v>
      </c>
      <c r="BF35" s="32">
        <v>4</v>
      </c>
      <c r="BG35" s="34">
        <f t="shared" ca="1" si="20"/>
        <v>2020</v>
      </c>
      <c r="BH35" s="32" t="str">
        <f ca="1">IF(MOD(MONTH($D$14)+$BD35-1,12)=Paraméterek!$C$288,"Igen","")</f>
        <v/>
      </c>
      <c r="BI35" s="13">
        <f ca="1">IF($BH35="Igen",MIN(ROUNDDOWN((SUMIF($BG$20:$BG$1027,$BG35-1,$K$20:$K$1027)-SUMIF($BG$20:$BG$1027,$BG35-1,$I$20:$I$1027))*Paraméterek!$C$289,IF($D$4="Forint",0,2)),IF($D$4="Forint",Paraméterek!$C$285,Paraméterek!$D$285)),0)</f>
        <v>0</v>
      </c>
      <c r="BJ35" s="13">
        <f t="shared" ca="1" si="12"/>
        <v>0</v>
      </c>
      <c r="BK35" s="13">
        <f t="shared" ca="1" si="21"/>
        <v>0</v>
      </c>
      <c r="BL35" s="33"/>
      <c r="BM35" s="13">
        <f t="shared" ca="1" si="13"/>
        <v>0</v>
      </c>
      <c r="BN35" s="13">
        <f ca="1">ROUNDUP(($BK35+$BM35)*VLOOKUP($BE35,Paraméterek!$P$38:$Q$38,2)/12*IF($D36="Nem",IF($M$13=0,1,$M$13),1),IF($D$4="Forint",0,2))</f>
        <v>0</v>
      </c>
      <c r="BO35" s="13">
        <f t="shared" ca="1" si="14"/>
        <v>0</v>
      </c>
      <c r="BP35" s="13">
        <f ca="1">IF($D36="Nem",$BO35,$BO35-ROUNDUP(SUM($BI$20:$BI35)*120%,IF($D$4="Forint",0,2)))</f>
        <v>0</v>
      </c>
    </row>
    <row r="36" spans="1:68" x14ac:dyDescent="0.2">
      <c r="A36" s="32">
        <v>17</v>
      </c>
      <c r="B36" s="32">
        <v>2</v>
      </c>
      <c r="C36" s="32">
        <v>5</v>
      </c>
      <c r="D36" s="32" t="str">
        <f t="shared" ca="1" si="0"/>
        <v>Nem</v>
      </c>
      <c r="E36" s="13">
        <f t="shared" ca="1" si="1"/>
        <v>0</v>
      </c>
      <c r="F36" s="13"/>
      <c r="G36" s="13"/>
      <c r="H36" s="13"/>
      <c r="I36" s="13">
        <f t="shared" ca="1" si="2"/>
        <v>0</v>
      </c>
      <c r="J36" s="13">
        <f t="shared" ca="1" si="3"/>
        <v>0</v>
      </c>
      <c r="K36" s="13">
        <f t="shared" ca="1" si="4"/>
        <v>0</v>
      </c>
      <c r="L36" s="13" t="e">
        <f ca="1">ROUNDUP(IF($D$2="Egyszeri",$E36,IF($D$2="Havi",SUM($E$20:$E$31),IF(MOD($C36,$M$1)-1=0,SUM($E$20:$E$31),0))/12*$M$1)*VLOOKUP($B36,Paraméterek!$I$28:$P$31,IF($D$2="Egyszeri",8,HLOOKUP(ROUNDUP($M$11+$M$13,0),Paraméterek!$J$26:$O$27,2))),IF($D$4="Forint",0,2))</f>
        <v>#N/A</v>
      </c>
      <c r="M36" s="13">
        <f t="shared" ca="1" si="5"/>
        <v>0</v>
      </c>
      <c r="N36" s="13">
        <f t="shared" ca="1" si="15"/>
        <v>0</v>
      </c>
      <c r="O36" s="13">
        <f ca="1">IF($D36="Igen",IF($W35&gt;=IF($D$4="Forint",Paraméterek!$J$121,Paraméterek!$K$121),0,IF($D$4="Forint",Paraméterek!$J$121,Paraméterek!$K$121)-$W35),0)</f>
        <v>0</v>
      </c>
      <c r="P36" s="13" t="e">
        <f ca="1">ROUNDUP($O36*VLOOKUP($M$4+$B36-1,Paraméterek!$H$58:$I$105,2,0)/Paraméterek!$I$56,IF($D$4="Forint",0,2))</f>
        <v>#N/A</v>
      </c>
      <c r="Q36" s="13">
        <f t="shared" ca="1" si="6"/>
        <v>0</v>
      </c>
      <c r="R36" s="33"/>
      <c r="S36" s="13" t="e">
        <f t="shared" ca="1" si="7"/>
        <v>#N/A</v>
      </c>
      <c r="T36" s="13" t="e">
        <f ca="1">ROUNDUP(($N36-$P36-$Q36+$S36)*VLOOKUP($B36,Paraméterek!$I$38:$K$39,IF($D$2="Egyszeri",3,2))/12*IF($D37="Nem",IF($M$13=0,1,$M$13),1),IF($D$4="Forint",0,2))</f>
        <v>#N/A</v>
      </c>
      <c r="U36" s="13"/>
      <c r="V36" s="13"/>
      <c r="W36" s="13" t="e">
        <f ca="1">$N36-$P36-$Q36+$S36-$T36-IF(ROUNDUP(IF(ISBLANK($V36),$U36*0,$V36)/IF($D$2="Egyszeri",VLOOKUP($B36+IF($C36=12,1,0),Paraméterek!$V$257:$W$262,2),IF($B36=1,1,VLOOKUP($B36+IF($C36=12,1,0),Paraméterek!$I$258:$T$278,HLOOKUP($M$11+1,Paraméterek!$J$256:$T$257,2)))),IF($D$4="Forint",0,2))&gt;$N36-$P36-$Q36+$S36-$T36-IF($D$4="Forint",Paraméterek!$C$216,Paraméterek!$D$216),0,ROUNDUP(IF(ISBLANK($V36),$U36*0,$V36)/IF($D$2="Egyszeri",VLOOKUP($B36+IF($C36=12,1,0),Paraméterek!$V$257:$W$262,2),IF($B36=1,1,VLOOKUP($B36+IF($C36=12,1,0),Paraméterek!$I$258:$T$278,HLOOKUP($M$11+1,Paraméterek!$J$256:$T$257,2)))),IF($D$4="Forint",0,2)))</f>
        <v>#N/A</v>
      </c>
      <c r="X36" s="13" t="e">
        <f ca="1">ROUNDDOWN($W36*IF($D$2="Egyszeri",VLOOKUP($B36+IF($C36=12,1,0),Paraméterek!$V$257:$W$262,2),VLOOKUP($B36+IF($C36=12,1,0),Paraméterek!$I$258:$T$278,HLOOKUP($M$11+1,Paraméterek!$I$256:$T$257,2))),IF($D$4="Forint",0,2))</f>
        <v>#N/A</v>
      </c>
      <c r="Z36" s="32">
        <v>17</v>
      </c>
      <c r="AA36" s="32">
        <v>2</v>
      </c>
      <c r="AB36" s="32">
        <v>5</v>
      </c>
      <c r="AC36" s="13">
        <f t="shared" ca="1" si="16"/>
        <v>0</v>
      </c>
      <c r="AD36" s="33"/>
      <c r="AE36" s="13">
        <f t="shared" ca="1" si="8"/>
        <v>0</v>
      </c>
      <c r="AF36" s="13">
        <f ca="1">ROUNDUP(($AC36+$AE36)*VLOOKUP($AA36,Paraméterek!$P$38:$Q$38,2)/12*IF($D37="Nem",IF($M$13=0,1,$M$13),1),IF($D$4="Forint",0,2))</f>
        <v>0</v>
      </c>
      <c r="AG36" s="13">
        <f ca="1">IF($D$2="Egyszeri",IF($D$7&gt;=IF($D$4="Forint",Paraméterek!$P$223,Paraméterek!$P$224),$D$7-IF($D$4="Forint",Paraméterek!$P$223,Paraméterek!$P$224),0),MIN(IF($AB36=12,AVERAGEIF($E$20:$E36,"&gt;0",$E$20:$E36)*12,0),SUM($E$20:$E$31)))</f>
        <v>0</v>
      </c>
      <c r="AH36" s="13">
        <f>IF($AA36=10,$AG36*IF($AB36=12,IF($AG36&lt;IF($D$4="Forint",Paraméterek!$L$223,Paraméterek!$L$224),0,VLOOKUP($AA36,Paraméterek!$K$226:$M$228,IF($AG36&lt;IF($D$4="Forint",Paraméterek!$M$223,Paraméterek!$M$224),2,3))),0),0)</f>
        <v>0</v>
      </c>
      <c r="AI36" s="13">
        <f ca="1">IF(AND($AA36=$M$11+1,$AB36=$M$12+1),SUMIF($AA$20:$AA$1027,$AA36,$AG$20:$AG$1027)*IF(SUMIF($AA$20:$AA$1027,$AA36,$AG$20:$AG$1027)&lt;IF($D$4="Forint",Paraméterek!$L$223,Paraméterek!$L$224),0,VLOOKUP($AA36,Paraméterek!$K$230:$M$250,IF(SUMIF($AA$20:$AA$1027,$AA36,$AG$20:$AG$1027)&lt;IF($D$4="Forint",Paraméterek!$M$223,Paraméterek!$M$224),2,3))),0)</f>
        <v>0</v>
      </c>
      <c r="AJ36" s="13">
        <f ca="1">IF(AND($AA36&gt;=5,MOD($AA36,5)=0),IF($AB36=12,VLOOKUP($AA36,Paraméterek!$O$225:$P$240,2),0),IF(OR($AA36=3,$AA36=4),IF($AB36=12,VLOOKUP($AA36,Paraméterek!$O$225:$P$240,2,0),0),0))*$AG36</f>
        <v>0</v>
      </c>
      <c r="AK36" s="13">
        <f t="shared" ca="1" si="9"/>
        <v>0</v>
      </c>
      <c r="AL36" s="13">
        <f t="shared" ca="1" si="17"/>
        <v>0</v>
      </c>
      <c r="AM36" s="13">
        <f t="shared" ca="1" si="18"/>
        <v>0</v>
      </c>
      <c r="AO36" s="32">
        <v>17</v>
      </c>
      <c r="AP36" s="32">
        <v>2</v>
      </c>
      <c r="AQ36" s="32">
        <v>5</v>
      </c>
      <c r="AR36" s="13"/>
      <c r="AS36" s="32"/>
      <c r="AT36" s="13">
        <f t="shared" ca="1" si="19"/>
        <v>0</v>
      </c>
      <c r="AU36" s="33"/>
      <c r="AV36" s="13">
        <f t="shared" ca="1" si="10"/>
        <v>0</v>
      </c>
      <c r="AW36" s="13">
        <f ca="1">ROUNDUP(($AT36+$AV36)*VLOOKUP($AP36,Paraméterek!$P$38:$Q$38,2)/12*IF($D37="Nem",IF($M$13=0,1,$M$13),1),IF($D$4="Forint",0,2))</f>
        <v>0</v>
      </c>
      <c r="AX36" s="13"/>
      <c r="AY36" s="13"/>
      <c r="AZ36" s="13">
        <f>ROUNDUP(IF(SUM($AX36:$AY36)=0,0,IF(IF(ISBLANK($AY36),$AX36,$AY36)*Paraméterek!$J$112&lt;IF($D$4="Forint",Paraméterek!$J$113,Paraméterek!$K$113),IF($D$4="Forint",Paraméterek!$J$113,Paraméterek!$K$113),IF(IF(ISBLANK($AY36),$AX36,$AY36)*Paraméterek!$J$112&gt;IF($D$4="Forint",Paraméterek!$J$114,Paraméterek!$K$114),IF($D$4="Forint",Paraméterek!$J$114,Paraméterek!$K$114),IF(ISBLANK($AY36),$AX36,$AY36)*Paraméterek!$J$112))),IF($D$4="Forint",0,2))</f>
        <v>0</v>
      </c>
      <c r="BA36" s="13">
        <f ca="1">$AT36+$AV36-$AW36-IF(ROUNDDOWN(IF(ISBLANK($AY36),$AX36,$AY36),IF($D$4="Forint",0,2))&gt;$AT36+$AV36-$AW36-IF($D$4="Forint",Paraméterek!$J$114,Paraméterek!$K$114),0,ROUNDDOWN(IF(ISBLANK($AY36),$AX36,$AY36),IF($D$4="Forint",0,2))-$AZ36)</f>
        <v>0</v>
      </c>
      <c r="BB36" s="13">
        <f t="shared" ca="1" si="11"/>
        <v>0</v>
      </c>
      <c r="BD36" s="32">
        <v>17</v>
      </c>
      <c r="BE36" s="32">
        <v>2</v>
      </c>
      <c r="BF36" s="32">
        <v>5</v>
      </c>
      <c r="BG36" s="34">
        <f t="shared" ca="1" si="20"/>
        <v>2020</v>
      </c>
      <c r="BH36" s="32" t="str">
        <f ca="1">IF(MOD(MONTH($D$14)+$BD36-1,12)=Paraméterek!$C$288,"Igen","")</f>
        <v/>
      </c>
      <c r="BI36" s="13">
        <f ca="1">IF($BH36="Igen",MIN(ROUNDDOWN((SUMIF($BG$20:$BG$1027,$BG36-1,$K$20:$K$1027)-SUMIF($BG$20:$BG$1027,$BG36-1,$I$20:$I$1027))*Paraméterek!$C$289,IF($D$4="Forint",0,2)),IF($D$4="Forint",Paraméterek!$C$285,Paraméterek!$D$285)),0)</f>
        <v>0</v>
      </c>
      <c r="BJ36" s="13">
        <f t="shared" ca="1" si="12"/>
        <v>0</v>
      </c>
      <c r="BK36" s="13">
        <f t="shared" ca="1" si="21"/>
        <v>0</v>
      </c>
      <c r="BL36" s="33"/>
      <c r="BM36" s="13">
        <f t="shared" ca="1" si="13"/>
        <v>0</v>
      </c>
      <c r="BN36" s="13">
        <f ca="1">ROUNDUP(($BK36+$BM36)*VLOOKUP($BE36,Paraméterek!$P$38:$Q$38,2)/12*IF($D37="Nem",IF($M$13=0,1,$M$13),1),IF($D$4="Forint",0,2))</f>
        <v>0</v>
      </c>
      <c r="BO36" s="13">
        <f t="shared" ca="1" si="14"/>
        <v>0</v>
      </c>
      <c r="BP36" s="13">
        <f ca="1">IF($D37="Nem",$BO36,$BO36-ROUNDUP(SUM($BI$20:$BI36)*120%,IF($D$4="Forint",0,2)))</f>
        <v>0</v>
      </c>
    </row>
    <row r="37" spans="1:68" x14ac:dyDescent="0.2">
      <c r="A37" s="32">
        <v>18</v>
      </c>
      <c r="B37" s="32">
        <v>2</v>
      </c>
      <c r="C37" s="32">
        <v>6</v>
      </c>
      <c r="D37" s="32" t="str">
        <f t="shared" ca="1" si="0"/>
        <v>Nem</v>
      </c>
      <c r="E37" s="13">
        <f t="shared" ca="1" si="1"/>
        <v>0</v>
      </c>
      <c r="F37" s="13"/>
      <c r="G37" s="13"/>
      <c r="H37" s="13"/>
      <c r="I37" s="13">
        <f t="shared" ca="1" si="2"/>
        <v>0</v>
      </c>
      <c r="J37" s="13">
        <f t="shared" ca="1" si="3"/>
        <v>0</v>
      </c>
      <c r="K37" s="13">
        <f t="shared" ca="1" si="4"/>
        <v>0</v>
      </c>
      <c r="L37" s="13" t="e">
        <f ca="1">ROUNDUP(IF($D$2="Egyszeri",$E37,IF($D$2="Havi",SUM($E$20:$E$31),IF(MOD($C37,$M$1)-1=0,SUM($E$20:$E$31),0))/12*$M$1)*VLOOKUP($B37,Paraméterek!$I$28:$P$31,IF($D$2="Egyszeri",8,HLOOKUP(ROUNDUP($M$11+$M$13,0),Paraméterek!$J$26:$O$27,2))),IF($D$4="Forint",0,2))</f>
        <v>#N/A</v>
      </c>
      <c r="M37" s="13">
        <f t="shared" ca="1" si="5"/>
        <v>0</v>
      </c>
      <c r="N37" s="13">
        <f t="shared" ca="1" si="15"/>
        <v>0</v>
      </c>
      <c r="O37" s="13">
        <f ca="1">IF($D37="Igen",IF($W36&gt;=IF($D$4="Forint",Paraméterek!$J$121,Paraméterek!$K$121),0,IF($D$4="Forint",Paraméterek!$J$121,Paraméterek!$K$121)-$W36),0)</f>
        <v>0</v>
      </c>
      <c r="P37" s="13" t="e">
        <f ca="1">ROUNDUP($O37*VLOOKUP($M$4+$B37-1,Paraméterek!$H$58:$I$105,2,0)/Paraméterek!$I$56,IF($D$4="Forint",0,2))</f>
        <v>#N/A</v>
      </c>
      <c r="Q37" s="13">
        <f t="shared" ca="1" si="6"/>
        <v>0</v>
      </c>
      <c r="R37" s="33"/>
      <c r="S37" s="13" t="e">
        <f t="shared" ca="1" si="7"/>
        <v>#N/A</v>
      </c>
      <c r="T37" s="13" t="e">
        <f ca="1">ROUNDUP(($N37-$P37-$Q37+$S37)*VLOOKUP($B37,Paraméterek!$I$38:$K$39,IF($D$2="Egyszeri",3,2))/12*IF($D38="Nem",IF($M$13=0,1,$M$13),1),IF($D$4="Forint",0,2))</f>
        <v>#N/A</v>
      </c>
      <c r="U37" s="13"/>
      <c r="V37" s="13"/>
      <c r="W37" s="13" t="e">
        <f ca="1">$N37-$P37-$Q37+$S37-$T37-IF(ROUNDUP(IF(ISBLANK($V37),$U37*0,$V37)/IF($D$2="Egyszeri",VLOOKUP($B37+IF($C37=12,1,0),Paraméterek!$V$257:$W$262,2),IF($B37=1,1,VLOOKUP($B37+IF($C37=12,1,0),Paraméterek!$I$258:$T$278,HLOOKUP($M$11+1,Paraméterek!$J$256:$T$257,2)))),IF($D$4="Forint",0,2))&gt;$N37-$P37-$Q37+$S37-$T37-IF($D$4="Forint",Paraméterek!$C$216,Paraméterek!$D$216),0,ROUNDUP(IF(ISBLANK($V37),$U37*0,$V37)/IF($D$2="Egyszeri",VLOOKUP($B37+IF($C37=12,1,0),Paraméterek!$V$257:$W$262,2),IF($B37=1,1,VLOOKUP($B37+IF($C37=12,1,0),Paraméterek!$I$258:$T$278,HLOOKUP($M$11+1,Paraméterek!$J$256:$T$257,2)))),IF($D$4="Forint",0,2)))</f>
        <v>#N/A</v>
      </c>
      <c r="X37" s="13" t="e">
        <f ca="1">ROUNDDOWN($W37*IF($D$2="Egyszeri",VLOOKUP($B37+IF($C37=12,1,0),Paraméterek!$V$257:$W$262,2),VLOOKUP($B37+IF($C37=12,1,0),Paraméterek!$I$258:$T$278,HLOOKUP($M$11+1,Paraméterek!$I$256:$T$257,2))),IF($D$4="Forint",0,2))</f>
        <v>#N/A</v>
      </c>
      <c r="Z37" s="32">
        <v>18</v>
      </c>
      <c r="AA37" s="32">
        <v>2</v>
      </c>
      <c r="AB37" s="32">
        <v>6</v>
      </c>
      <c r="AC37" s="13">
        <f t="shared" ca="1" si="16"/>
        <v>0</v>
      </c>
      <c r="AD37" s="33"/>
      <c r="AE37" s="13">
        <f t="shared" ca="1" si="8"/>
        <v>0</v>
      </c>
      <c r="AF37" s="13">
        <f ca="1">ROUNDUP(($AC37+$AE37)*VLOOKUP($AA37,Paraméterek!$P$38:$Q$38,2)/12*IF($D38="Nem",IF($M$13=0,1,$M$13),1),IF($D$4="Forint",0,2))</f>
        <v>0</v>
      </c>
      <c r="AG37" s="13">
        <f ca="1">IF($D$2="Egyszeri",IF($D$7&gt;=IF($D$4="Forint",Paraméterek!$P$223,Paraméterek!$P$224),$D$7-IF($D$4="Forint",Paraméterek!$P$223,Paraméterek!$P$224),0),MIN(IF($AB37=12,AVERAGEIF($E$20:$E37,"&gt;0",$E$20:$E37)*12,0),SUM($E$20:$E$31)))</f>
        <v>0</v>
      </c>
      <c r="AH37" s="13">
        <f>IF($AA37=10,$AG37*IF($AB37=12,IF($AG37&lt;IF($D$4="Forint",Paraméterek!$L$223,Paraméterek!$L$224),0,VLOOKUP($AA37,Paraméterek!$K$226:$M$228,IF($AG37&lt;IF($D$4="Forint",Paraméterek!$M$223,Paraméterek!$M$224),2,3))),0),0)</f>
        <v>0</v>
      </c>
      <c r="AI37" s="13">
        <f ca="1">IF(AND($AA37=$M$11+1,$AB37=$M$12+1),SUMIF($AA$20:$AA$1027,$AA37,$AG$20:$AG$1027)*IF(SUMIF($AA$20:$AA$1027,$AA37,$AG$20:$AG$1027)&lt;IF($D$4="Forint",Paraméterek!$L$223,Paraméterek!$L$224),0,VLOOKUP($AA37,Paraméterek!$K$230:$M$250,IF(SUMIF($AA$20:$AA$1027,$AA37,$AG$20:$AG$1027)&lt;IF($D$4="Forint",Paraméterek!$M$223,Paraméterek!$M$224),2,3))),0)</f>
        <v>0</v>
      </c>
      <c r="AJ37" s="13">
        <f ca="1">IF(AND($AA37&gt;=5,MOD($AA37,5)=0),IF($AB37=12,VLOOKUP($AA37,Paraméterek!$O$225:$P$240,2),0),IF(OR($AA37=3,$AA37=4),IF($AB37=12,VLOOKUP($AA37,Paraméterek!$O$225:$P$240,2,0),0),0))*$AG37</f>
        <v>0</v>
      </c>
      <c r="AK37" s="13">
        <f t="shared" ca="1" si="9"/>
        <v>0</v>
      </c>
      <c r="AL37" s="13">
        <f t="shared" ca="1" si="17"/>
        <v>0</v>
      </c>
      <c r="AM37" s="13">
        <f t="shared" ca="1" si="18"/>
        <v>0</v>
      </c>
      <c r="AO37" s="32">
        <v>18</v>
      </c>
      <c r="AP37" s="32">
        <v>2</v>
      </c>
      <c r="AQ37" s="32">
        <v>6</v>
      </c>
      <c r="AR37" s="13"/>
      <c r="AS37" s="32"/>
      <c r="AT37" s="13">
        <f t="shared" ca="1" si="19"/>
        <v>0</v>
      </c>
      <c r="AU37" s="33"/>
      <c r="AV37" s="13">
        <f t="shared" ca="1" si="10"/>
        <v>0</v>
      </c>
      <c r="AW37" s="13">
        <f ca="1">ROUNDUP(($AT37+$AV37)*VLOOKUP($AP37,Paraméterek!$P$38:$Q$38,2)/12*IF($D38="Nem",IF($M$13=0,1,$M$13),1),IF($D$4="Forint",0,2))</f>
        <v>0</v>
      </c>
      <c r="AX37" s="13"/>
      <c r="AY37" s="13"/>
      <c r="AZ37" s="13">
        <f>ROUNDUP(IF(SUM($AX37:$AY37)=0,0,IF(IF(ISBLANK($AY37),$AX37,$AY37)*Paraméterek!$J$112&lt;IF($D$4="Forint",Paraméterek!$J$113,Paraméterek!$K$113),IF($D$4="Forint",Paraméterek!$J$113,Paraméterek!$K$113),IF(IF(ISBLANK($AY37),$AX37,$AY37)*Paraméterek!$J$112&gt;IF($D$4="Forint",Paraméterek!$J$114,Paraméterek!$K$114),IF($D$4="Forint",Paraméterek!$J$114,Paraméterek!$K$114),IF(ISBLANK($AY37),$AX37,$AY37)*Paraméterek!$J$112))),IF($D$4="Forint",0,2))</f>
        <v>0</v>
      </c>
      <c r="BA37" s="13">
        <f ca="1">$AT37+$AV37-$AW37-IF(ROUNDDOWN(IF(ISBLANK($AY37),$AX37,$AY37),IF($D$4="Forint",0,2))&gt;$AT37+$AV37-$AW37-IF($D$4="Forint",Paraméterek!$J$114,Paraméterek!$K$114),0,ROUNDDOWN(IF(ISBLANK($AY37),$AX37,$AY37),IF($D$4="Forint",0,2))-$AZ37)</f>
        <v>0</v>
      </c>
      <c r="BB37" s="13">
        <f t="shared" ca="1" si="11"/>
        <v>0</v>
      </c>
      <c r="BD37" s="32">
        <v>18</v>
      </c>
      <c r="BE37" s="32">
        <v>2</v>
      </c>
      <c r="BF37" s="32">
        <v>6</v>
      </c>
      <c r="BG37" s="34">
        <f t="shared" ca="1" si="20"/>
        <v>2020</v>
      </c>
      <c r="BH37" s="32" t="str">
        <f ca="1">IF(MOD(MONTH($D$14)+$BD37-1,12)=Paraméterek!$C$288,"Igen","")</f>
        <v/>
      </c>
      <c r="BI37" s="13">
        <f ca="1">IF($BH37="Igen",MIN(ROUNDDOWN((SUMIF($BG$20:$BG$1027,$BG37-1,$K$20:$K$1027)-SUMIF($BG$20:$BG$1027,$BG37-1,$I$20:$I$1027))*Paraméterek!$C$289,IF($D$4="Forint",0,2)),IF($D$4="Forint",Paraméterek!$C$285,Paraméterek!$D$285)),0)</f>
        <v>0</v>
      </c>
      <c r="BJ37" s="13">
        <f t="shared" ca="1" si="12"/>
        <v>0</v>
      </c>
      <c r="BK37" s="13">
        <f t="shared" ca="1" si="21"/>
        <v>0</v>
      </c>
      <c r="BL37" s="33"/>
      <c r="BM37" s="13">
        <f t="shared" ca="1" si="13"/>
        <v>0</v>
      </c>
      <c r="BN37" s="13">
        <f ca="1">ROUNDUP(($BK37+$BM37)*VLOOKUP($BE37,Paraméterek!$P$38:$Q$38,2)/12*IF($D38="Nem",IF($M$13=0,1,$M$13),1),IF($D$4="Forint",0,2))</f>
        <v>0</v>
      </c>
      <c r="BO37" s="13">
        <f t="shared" ca="1" si="14"/>
        <v>0</v>
      </c>
      <c r="BP37" s="13">
        <f ca="1">IF($D38="Nem",$BO37,$BO37-ROUNDUP(SUM($BI$20:$BI37)*120%,IF($D$4="Forint",0,2)))</f>
        <v>0</v>
      </c>
    </row>
    <row r="38" spans="1:68" x14ac:dyDescent="0.2">
      <c r="A38" s="32">
        <v>19</v>
      </c>
      <c r="B38" s="32">
        <v>2</v>
      </c>
      <c r="C38" s="32">
        <v>7</v>
      </c>
      <c r="D38" s="32" t="str">
        <f t="shared" ca="1" si="0"/>
        <v>Nem</v>
      </c>
      <c r="E38" s="13">
        <f t="shared" ca="1" si="1"/>
        <v>0</v>
      </c>
      <c r="F38" s="13"/>
      <c r="G38" s="13"/>
      <c r="H38" s="13"/>
      <c r="I38" s="13">
        <f t="shared" ca="1" si="2"/>
        <v>0</v>
      </c>
      <c r="J38" s="13">
        <f t="shared" ca="1" si="3"/>
        <v>0</v>
      </c>
      <c r="K38" s="13">
        <f t="shared" ca="1" si="4"/>
        <v>0</v>
      </c>
      <c r="L38" s="13" t="e">
        <f ca="1">ROUNDUP(IF($D$2="Egyszeri",$E38,IF($D$2="Havi",SUM($E$20:$E$31),IF(MOD($C38,$M$1)-1=0,SUM($E$20:$E$31),0))/12*$M$1)*VLOOKUP($B38,Paraméterek!$I$28:$P$31,IF($D$2="Egyszeri",8,HLOOKUP(ROUNDUP($M$11+$M$13,0),Paraméterek!$J$26:$O$27,2))),IF($D$4="Forint",0,2))</f>
        <v>#N/A</v>
      </c>
      <c r="M38" s="13">
        <f t="shared" ca="1" si="5"/>
        <v>0</v>
      </c>
      <c r="N38" s="13">
        <f t="shared" ca="1" si="15"/>
        <v>0</v>
      </c>
      <c r="O38" s="13">
        <f ca="1">IF($D38="Igen",IF($W37&gt;=IF($D$4="Forint",Paraméterek!$J$121,Paraméterek!$K$121),0,IF($D$4="Forint",Paraméterek!$J$121,Paraméterek!$K$121)-$W37),0)</f>
        <v>0</v>
      </c>
      <c r="P38" s="13" t="e">
        <f ca="1">ROUNDUP($O38*VLOOKUP($M$4+$B38-1,Paraméterek!$H$58:$I$105,2,0)/Paraméterek!$I$56,IF($D$4="Forint",0,2))</f>
        <v>#N/A</v>
      </c>
      <c r="Q38" s="13">
        <f t="shared" ca="1" si="6"/>
        <v>0</v>
      </c>
      <c r="R38" s="33"/>
      <c r="S38" s="13" t="e">
        <f t="shared" ca="1" si="7"/>
        <v>#N/A</v>
      </c>
      <c r="T38" s="13" t="e">
        <f ca="1">ROUNDUP(($N38-$P38-$Q38+$S38)*VLOOKUP($B38,Paraméterek!$I$38:$K$39,IF($D$2="Egyszeri",3,2))/12*IF($D39="Nem",IF($M$13=0,1,$M$13),1),IF($D$4="Forint",0,2))</f>
        <v>#N/A</v>
      </c>
      <c r="U38" s="13"/>
      <c r="V38" s="13"/>
      <c r="W38" s="13" t="e">
        <f ca="1">$N38-$P38-$Q38+$S38-$T38-IF(ROUNDUP(IF(ISBLANK($V38),$U38*0,$V38)/IF($D$2="Egyszeri",VLOOKUP($B38+IF($C38=12,1,0),Paraméterek!$V$257:$W$262,2),IF($B38=1,1,VLOOKUP($B38+IF($C38=12,1,0),Paraméterek!$I$258:$T$278,HLOOKUP($M$11+1,Paraméterek!$J$256:$T$257,2)))),IF($D$4="Forint",0,2))&gt;$N38-$P38-$Q38+$S38-$T38-IF($D$4="Forint",Paraméterek!$C$216,Paraméterek!$D$216),0,ROUNDUP(IF(ISBLANK($V38),$U38*0,$V38)/IF($D$2="Egyszeri",VLOOKUP($B38+IF($C38=12,1,0),Paraméterek!$V$257:$W$262,2),IF($B38=1,1,VLOOKUP($B38+IF($C38=12,1,0),Paraméterek!$I$258:$T$278,HLOOKUP($M$11+1,Paraméterek!$J$256:$T$257,2)))),IF($D$4="Forint",0,2)))</f>
        <v>#N/A</v>
      </c>
      <c r="X38" s="13" t="e">
        <f ca="1">ROUNDDOWN($W38*IF($D$2="Egyszeri",VLOOKUP($B38+IF($C38=12,1,0),Paraméterek!$V$257:$W$262,2),VLOOKUP($B38+IF($C38=12,1,0),Paraméterek!$I$258:$T$278,HLOOKUP($M$11+1,Paraméterek!$I$256:$T$257,2))),IF($D$4="Forint",0,2))</f>
        <v>#N/A</v>
      </c>
      <c r="Z38" s="32">
        <v>19</v>
      </c>
      <c r="AA38" s="32">
        <v>2</v>
      </c>
      <c r="AB38" s="32">
        <v>7</v>
      </c>
      <c r="AC38" s="13">
        <f t="shared" ca="1" si="16"/>
        <v>0</v>
      </c>
      <c r="AD38" s="33"/>
      <c r="AE38" s="13">
        <f t="shared" ca="1" si="8"/>
        <v>0</v>
      </c>
      <c r="AF38" s="13">
        <f ca="1">ROUNDUP(($AC38+$AE38)*VLOOKUP($AA38,Paraméterek!$P$38:$Q$38,2)/12*IF($D39="Nem",IF($M$13=0,1,$M$13),1),IF($D$4="Forint",0,2))</f>
        <v>0</v>
      </c>
      <c r="AG38" s="13">
        <f ca="1">IF($D$2="Egyszeri",IF($D$7&gt;=IF($D$4="Forint",Paraméterek!$P$223,Paraméterek!$P$224),$D$7-IF($D$4="Forint",Paraméterek!$P$223,Paraméterek!$P$224),0),MIN(IF($AB38=12,AVERAGEIF($E$20:$E38,"&gt;0",$E$20:$E38)*12,0),SUM($E$20:$E$31)))</f>
        <v>0</v>
      </c>
      <c r="AH38" s="13">
        <f>IF($AA38=10,$AG38*IF($AB38=12,IF($AG38&lt;IF($D$4="Forint",Paraméterek!$L$223,Paraméterek!$L$224),0,VLOOKUP($AA38,Paraméterek!$K$226:$M$228,IF($AG38&lt;IF($D$4="Forint",Paraméterek!$M$223,Paraméterek!$M$224),2,3))),0),0)</f>
        <v>0</v>
      </c>
      <c r="AI38" s="13">
        <f ca="1">IF(AND($AA38=$M$11+1,$AB38=$M$12+1),SUMIF($AA$20:$AA$1027,$AA38,$AG$20:$AG$1027)*IF(SUMIF($AA$20:$AA$1027,$AA38,$AG$20:$AG$1027)&lt;IF($D$4="Forint",Paraméterek!$L$223,Paraméterek!$L$224),0,VLOOKUP($AA38,Paraméterek!$K$230:$M$250,IF(SUMIF($AA$20:$AA$1027,$AA38,$AG$20:$AG$1027)&lt;IF($D$4="Forint",Paraméterek!$M$223,Paraméterek!$M$224),2,3))),0)</f>
        <v>0</v>
      </c>
      <c r="AJ38" s="13">
        <f ca="1">IF(AND($AA38&gt;=5,MOD($AA38,5)=0),IF($AB38=12,VLOOKUP($AA38,Paraméterek!$O$225:$P$240,2),0),IF(OR($AA38=3,$AA38=4),IF($AB38=12,VLOOKUP($AA38,Paraméterek!$O$225:$P$240,2,0),0),0))*$AG38</f>
        <v>0</v>
      </c>
      <c r="AK38" s="13">
        <f t="shared" ca="1" si="9"/>
        <v>0</v>
      </c>
      <c r="AL38" s="13">
        <f t="shared" ca="1" si="17"/>
        <v>0</v>
      </c>
      <c r="AM38" s="13">
        <f t="shared" ca="1" si="18"/>
        <v>0</v>
      </c>
      <c r="AO38" s="32">
        <v>19</v>
      </c>
      <c r="AP38" s="32">
        <v>2</v>
      </c>
      <c r="AQ38" s="32">
        <v>7</v>
      </c>
      <c r="AR38" s="13"/>
      <c r="AS38" s="32"/>
      <c r="AT38" s="13">
        <f t="shared" ca="1" si="19"/>
        <v>0</v>
      </c>
      <c r="AU38" s="33"/>
      <c r="AV38" s="13">
        <f t="shared" ca="1" si="10"/>
        <v>0</v>
      </c>
      <c r="AW38" s="13">
        <f ca="1">ROUNDUP(($AT38+$AV38)*VLOOKUP($AP38,Paraméterek!$P$38:$Q$38,2)/12*IF($D39="Nem",IF($M$13=0,1,$M$13),1),IF($D$4="Forint",0,2))</f>
        <v>0</v>
      </c>
      <c r="AX38" s="13"/>
      <c r="AY38" s="13"/>
      <c r="AZ38" s="13">
        <f>ROUNDUP(IF(SUM($AX38:$AY38)=0,0,IF(IF(ISBLANK($AY38),$AX38,$AY38)*Paraméterek!$J$112&lt;IF($D$4="Forint",Paraméterek!$J$113,Paraméterek!$K$113),IF($D$4="Forint",Paraméterek!$J$113,Paraméterek!$K$113),IF(IF(ISBLANK($AY38),$AX38,$AY38)*Paraméterek!$J$112&gt;IF($D$4="Forint",Paraméterek!$J$114,Paraméterek!$K$114),IF($D$4="Forint",Paraméterek!$J$114,Paraméterek!$K$114),IF(ISBLANK($AY38),$AX38,$AY38)*Paraméterek!$J$112))),IF($D$4="Forint",0,2))</f>
        <v>0</v>
      </c>
      <c r="BA38" s="13">
        <f ca="1">$AT38+$AV38-$AW38-IF(ROUNDDOWN(IF(ISBLANK($AY38),$AX38,$AY38),IF($D$4="Forint",0,2))&gt;$AT38+$AV38-$AW38-IF($D$4="Forint",Paraméterek!$J$114,Paraméterek!$K$114),0,ROUNDDOWN(IF(ISBLANK($AY38),$AX38,$AY38),IF($D$4="Forint",0,2))-$AZ38)</f>
        <v>0</v>
      </c>
      <c r="BB38" s="13">
        <f t="shared" ca="1" si="11"/>
        <v>0</v>
      </c>
      <c r="BD38" s="32">
        <v>19</v>
      </c>
      <c r="BE38" s="32">
        <v>2</v>
      </c>
      <c r="BF38" s="32">
        <v>7</v>
      </c>
      <c r="BG38" s="34">
        <f t="shared" ca="1" si="20"/>
        <v>2020</v>
      </c>
      <c r="BH38" s="32" t="str">
        <f ca="1">IF(MOD(MONTH($D$14)+$BD38-1,12)=Paraméterek!$C$288,"Igen","")</f>
        <v/>
      </c>
      <c r="BI38" s="13">
        <f ca="1">IF($BH38="Igen",MIN(ROUNDDOWN((SUMIF($BG$20:$BG$1027,$BG38-1,$K$20:$K$1027)-SUMIF($BG$20:$BG$1027,$BG38-1,$I$20:$I$1027))*Paraméterek!$C$289,IF($D$4="Forint",0,2)),IF($D$4="Forint",Paraméterek!$C$285,Paraméterek!$D$285)),0)</f>
        <v>0</v>
      </c>
      <c r="BJ38" s="13">
        <f t="shared" ca="1" si="12"/>
        <v>0</v>
      </c>
      <c r="BK38" s="13">
        <f t="shared" ca="1" si="21"/>
        <v>0</v>
      </c>
      <c r="BL38" s="33"/>
      <c r="BM38" s="13">
        <f t="shared" ca="1" si="13"/>
        <v>0</v>
      </c>
      <c r="BN38" s="13">
        <f ca="1">ROUNDUP(($BK38+$BM38)*VLOOKUP($BE38,Paraméterek!$P$38:$Q$38,2)/12*IF($D39="Nem",IF($M$13=0,1,$M$13),1),IF($D$4="Forint",0,2))</f>
        <v>0</v>
      </c>
      <c r="BO38" s="13">
        <f t="shared" ca="1" si="14"/>
        <v>0</v>
      </c>
      <c r="BP38" s="13">
        <f ca="1">IF($D39="Nem",$BO38,$BO38-ROUNDUP(SUM($BI$20:$BI38)*120%,IF($D$4="Forint",0,2)))</f>
        <v>0</v>
      </c>
    </row>
    <row r="39" spans="1:68" x14ac:dyDescent="0.2">
      <c r="A39" s="32">
        <v>20</v>
      </c>
      <c r="B39" s="32">
        <v>2</v>
      </c>
      <c r="C39" s="32">
        <v>8</v>
      </c>
      <c r="D39" s="32" t="str">
        <f t="shared" ca="1" si="0"/>
        <v>Nem</v>
      </c>
      <c r="E39" s="13">
        <f t="shared" ca="1" si="1"/>
        <v>0</v>
      </c>
      <c r="F39" s="13"/>
      <c r="G39" s="13"/>
      <c r="H39" s="13"/>
      <c r="I39" s="13">
        <f t="shared" ca="1" si="2"/>
        <v>0</v>
      </c>
      <c r="J39" s="13">
        <f t="shared" ca="1" si="3"/>
        <v>0</v>
      </c>
      <c r="K39" s="13">
        <f t="shared" ca="1" si="4"/>
        <v>0</v>
      </c>
      <c r="L39" s="13" t="e">
        <f ca="1">ROUNDUP(IF($D$2="Egyszeri",$E39,IF($D$2="Havi",SUM($E$20:$E$31),IF(MOD($C39,$M$1)-1=0,SUM($E$20:$E$31),0))/12*$M$1)*VLOOKUP($B39,Paraméterek!$I$28:$P$31,IF($D$2="Egyszeri",8,HLOOKUP(ROUNDUP($M$11+$M$13,0),Paraméterek!$J$26:$O$27,2))),IF($D$4="Forint",0,2))</f>
        <v>#N/A</v>
      </c>
      <c r="M39" s="13">
        <f t="shared" ca="1" si="5"/>
        <v>0</v>
      </c>
      <c r="N39" s="13">
        <f t="shared" ca="1" si="15"/>
        <v>0</v>
      </c>
      <c r="O39" s="13">
        <f ca="1">IF($D39="Igen",IF($W38&gt;=IF($D$4="Forint",Paraméterek!$J$121,Paraméterek!$K$121),0,IF($D$4="Forint",Paraméterek!$J$121,Paraméterek!$K$121)-$W38),0)</f>
        <v>0</v>
      </c>
      <c r="P39" s="13" t="e">
        <f ca="1">ROUNDUP($O39*VLOOKUP($M$4+$B39-1,Paraméterek!$H$58:$I$105,2,0)/Paraméterek!$I$56,IF($D$4="Forint",0,2))</f>
        <v>#N/A</v>
      </c>
      <c r="Q39" s="13">
        <f t="shared" ca="1" si="6"/>
        <v>0</v>
      </c>
      <c r="R39" s="33"/>
      <c r="S39" s="13" t="e">
        <f t="shared" ca="1" si="7"/>
        <v>#N/A</v>
      </c>
      <c r="T39" s="13" t="e">
        <f ca="1">ROUNDUP(($N39-$P39-$Q39+$S39)*VLOOKUP($B39,Paraméterek!$I$38:$K$39,IF($D$2="Egyszeri",3,2))/12*IF($D40="Nem",IF($M$13=0,1,$M$13),1),IF($D$4="Forint",0,2))</f>
        <v>#N/A</v>
      </c>
      <c r="U39" s="13"/>
      <c r="V39" s="13"/>
      <c r="W39" s="13" t="e">
        <f ca="1">$N39-$P39-$Q39+$S39-$T39-IF(ROUNDUP(IF(ISBLANK($V39),$U39*0,$V39)/IF($D$2="Egyszeri",VLOOKUP($B39+IF($C39=12,1,0),Paraméterek!$V$257:$W$262,2),IF($B39=1,1,VLOOKUP($B39+IF($C39=12,1,0),Paraméterek!$I$258:$T$278,HLOOKUP($M$11+1,Paraméterek!$J$256:$T$257,2)))),IF($D$4="Forint",0,2))&gt;$N39-$P39-$Q39+$S39-$T39-IF($D$4="Forint",Paraméterek!$C$216,Paraméterek!$D$216),0,ROUNDUP(IF(ISBLANK($V39),$U39*0,$V39)/IF($D$2="Egyszeri",VLOOKUP($B39+IF($C39=12,1,0),Paraméterek!$V$257:$W$262,2),IF($B39=1,1,VLOOKUP($B39+IF($C39=12,1,0),Paraméterek!$I$258:$T$278,HLOOKUP($M$11+1,Paraméterek!$J$256:$T$257,2)))),IF($D$4="Forint",0,2)))</f>
        <v>#N/A</v>
      </c>
      <c r="X39" s="13" t="e">
        <f ca="1">ROUNDDOWN($W39*IF($D$2="Egyszeri",VLOOKUP($B39+IF($C39=12,1,0),Paraméterek!$V$257:$W$262,2),VLOOKUP($B39+IF($C39=12,1,0),Paraméterek!$I$258:$T$278,HLOOKUP($M$11+1,Paraméterek!$I$256:$T$257,2))),IF($D$4="Forint",0,2))</f>
        <v>#N/A</v>
      </c>
      <c r="Z39" s="32">
        <v>20</v>
      </c>
      <c r="AA39" s="32">
        <v>2</v>
      </c>
      <c r="AB39" s="32">
        <v>8</v>
      </c>
      <c r="AC39" s="13">
        <f t="shared" ca="1" si="16"/>
        <v>0</v>
      </c>
      <c r="AD39" s="33"/>
      <c r="AE39" s="13">
        <f t="shared" ca="1" si="8"/>
        <v>0</v>
      </c>
      <c r="AF39" s="13">
        <f ca="1">ROUNDUP(($AC39+$AE39)*VLOOKUP($AA39,Paraméterek!$P$38:$Q$38,2)/12*IF($D40="Nem",IF($M$13=0,1,$M$13),1),IF($D$4="Forint",0,2))</f>
        <v>0</v>
      </c>
      <c r="AG39" s="13">
        <f ca="1">IF($D$2="Egyszeri",IF($D$7&gt;=IF($D$4="Forint",Paraméterek!$P$223,Paraméterek!$P$224),$D$7-IF($D$4="Forint",Paraméterek!$P$223,Paraméterek!$P$224),0),MIN(IF($AB39=12,AVERAGEIF($E$20:$E39,"&gt;0",$E$20:$E39)*12,0),SUM($E$20:$E$31)))</f>
        <v>0</v>
      </c>
      <c r="AH39" s="13">
        <f>IF($AA39=10,$AG39*IF($AB39=12,IF($AG39&lt;IF($D$4="Forint",Paraméterek!$L$223,Paraméterek!$L$224),0,VLOOKUP($AA39,Paraméterek!$K$226:$M$228,IF($AG39&lt;IF($D$4="Forint",Paraméterek!$M$223,Paraméterek!$M$224),2,3))),0),0)</f>
        <v>0</v>
      </c>
      <c r="AI39" s="13">
        <f ca="1">IF(AND($AA39=$M$11+1,$AB39=$M$12+1),SUMIF($AA$20:$AA$1027,$AA39,$AG$20:$AG$1027)*IF(SUMIF($AA$20:$AA$1027,$AA39,$AG$20:$AG$1027)&lt;IF($D$4="Forint",Paraméterek!$L$223,Paraméterek!$L$224),0,VLOOKUP($AA39,Paraméterek!$K$230:$M$250,IF(SUMIF($AA$20:$AA$1027,$AA39,$AG$20:$AG$1027)&lt;IF($D$4="Forint",Paraméterek!$M$223,Paraméterek!$M$224),2,3))),0)</f>
        <v>0</v>
      </c>
      <c r="AJ39" s="13">
        <f ca="1">IF(AND($AA39&gt;=5,MOD($AA39,5)=0),IF($AB39=12,VLOOKUP($AA39,Paraméterek!$O$225:$P$240,2),0),IF(OR($AA39=3,$AA39=4),IF($AB39=12,VLOOKUP($AA39,Paraméterek!$O$225:$P$240,2,0),0),0))*$AG39</f>
        <v>0</v>
      </c>
      <c r="AK39" s="13">
        <f t="shared" ca="1" si="9"/>
        <v>0</v>
      </c>
      <c r="AL39" s="13">
        <f t="shared" ca="1" si="17"/>
        <v>0</v>
      </c>
      <c r="AM39" s="13">
        <f t="shared" ca="1" si="18"/>
        <v>0</v>
      </c>
      <c r="AO39" s="32">
        <v>20</v>
      </c>
      <c r="AP39" s="32">
        <v>2</v>
      </c>
      <c r="AQ39" s="32">
        <v>8</v>
      </c>
      <c r="AR39" s="13"/>
      <c r="AS39" s="32"/>
      <c r="AT39" s="13">
        <f t="shared" ca="1" si="19"/>
        <v>0</v>
      </c>
      <c r="AU39" s="33"/>
      <c r="AV39" s="13">
        <f t="shared" ca="1" si="10"/>
        <v>0</v>
      </c>
      <c r="AW39" s="13">
        <f ca="1">ROUNDUP(($AT39+$AV39)*VLOOKUP($AP39,Paraméterek!$P$38:$Q$38,2)/12*IF($D40="Nem",IF($M$13=0,1,$M$13),1),IF($D$4="Forint",0,2))</f>
        <v>0</v>
      </c>
      <c r="AX39" s="13"/>
      <c r="AY39" s="13"/>
      <c r="AZ39" s="13">
        <f>ROUNDUP(IF(SUM($AX39:$AY39)=0,0,IF(IF(ISBLANK($AY39),$AX39,$AY39)*Paraméterek!$J$112&lt;IF($D$4="Forint",Paraméterek!$J$113,Paraméterek!$K$113),IF($D$4="Forint",Paraméterek!$J$113,Paraméterek!$K$113),IF(IF(ISBLANK($AY39),$AX39,$AY39)*Paraméterek!$J$112&gt;IF($D$4="Forint",Paraméterek!$J$114,Paraméterek!$K$114),IF($D$4="Forint",Paraméterek!$J$114,Paraméterek!$K$114),IF(ISBLANK($AY39),$AX39,$AY39)*Paraméterek!$J$112))),IF($D$4="Forint",0,2))</f>
        <v>0</v>
      </c>
      <c r="BA39" s="13">
        <f ca="1">$AT39+$AV39-$AW39-IF(ROUNDDOWN(IF(ISBLANK($AY39),$AX39,$AY39),IF($D$4="Forint",0,2))&gt;$AT39+$AV39-$AW39-IF($D$4="Forint",Paraméterek!$J$114,Paraméterek!$K$114),0,ROUNDDOWN(IF(ISBLANK($AY39),$AX39,$AY39),IF($D$4="Forint",0,2))-$AZ39)</f>
        <v>0</v>
      </c>
      <c r="BB39" s="13">
        <f t="shared" ca="1" si="11"/>
        <v>0</v>
      </c>
      <c r="BD39" s="32">
        <v>20</v>
      </c>
      <c r="BE39" s="32">
        <v>2</v>
      </c>
      <c r="BF39" s="32">
        <v>8</v>
      </c>
      <c r="BG39" s="34">
        <f t="shared" ca="1" si="20"/>
        <v>2021</v>
      </c>
      <c r="BH39" s="32" t="str">
        <f ca="1">IF(MOD(MONTH($D$14)+$BD39-1,12)=Paraméterek!$C$288,"Igen","")</f>
        <v/>
      </c>
      <c r="BI39" s="13">
        <f ca="1">IF($BH39="Igen",MIN(ROUNDDOWN((SUMIF($BG$20:$BG$1027,$BG39-1,$K$20:$K$1027)-SUMIF($BG$20:$BG$1027,$BG39-1,$I$20:$I$1027))*Paraméterek!$C$289,IF($D$4="Forint",0,2)),IF($D$4="Forint",Paraméterek!$C$285,Paraméterek!$D$285)),0)</f>
        <v>0</v>
      </c>
      <c r="BJ39" s="13">
        <f t="shared" ca="1" si="12"/>
        <v>0</v>
      </c>
      <c r="BK39" s="13">
        <f t="shared" ca="1" si="21"/>
        <v>0</v>
      </c>
      <c r="BL39" s="33"/>
      <c r="BM39" s="13">
        <f t="shared" ca="1" si="13"/>
        <v>0</v>
      </c>
      <c r="BN39" s="13">
        <f ca="1">ROUNDUP(($BK39+$BM39)*VLOOKUP($BE39,Paraméterek!$P$38:$Q$38,2)/12*IF($D40="Nem",IF($M$13=0,1,$M$13),1),IF($D$4="Forint",0,2))</f>
        <v>0</v>
      </c>
      <c r="BO39" s="13">
        <f t="shared" ca="1" si="14"/>
        <v>0</v>
      </c>
      <c r="BP39" s="13">
        <f ca="1">IF($D40="Nem",$BO39,$BO39-ROUNDUP(SUM($BI$20:$BI39)*120%,IF($D$4="Forint",0,2)))</f>
        <v>0</v>
      </c>
    </row>
    <row r="40" spans="1:68" x14ac:dyDescent="0.2">
      <c r="A40" s="32">
        <v>21</v>
      </c>
      <c r="B40" s="32">
        <v>2</v>
      </c>
      <c r="C40" s="32">
        <v>9</v>
      </c>
      <c r="D40" s="32" t="str">
        <f t="shared" ca="1" si="0"/>
        <v>Nem</v>
      </c>
      <c r="E40" s="13">
        <f t="shared" ca="1" si="1"/>
        <v>0</v>
      </c>
      <c r="F40" s="13"/>
      <c r="G40" s="13"/>
      <c r="H40" s="13"/>
      <c r="I40" s="13">
        <f t="shared" ca="1" si="2"/>
        <v>0</v>
      </c>
      <c r="J40" s="13">
        <f t="shared" ca="1" si="3"/>
        <v>0</v>
      </c>
      <c r="K40" s="13">
        <f t="shared" ca="1" si="4"/>
        <v>0</v>
      </c>
      <c r="L40" s="13" t="e">
        <f ca="1">ROUNDUP(IF($D$2="Egyszeri",$E40,IF($D$2="Havi",SUM($E$20:$E$31),IF(MOD($C40,$M$1)-1=0,SUM($E$20:$E$31),0))/12*$M$1)*VLOOKUP($B40,Paraméterek!$I$28:$P$31,IF($D$2="Egyszeri",8,HLOOKUP(ROUNDUP($M$11+$M$13,0),Paraméterek!$J$26:$O$27,2))),IF($D$4="Forint",0,2))</f>
        <v>#N/A</v>
      </c>
      <c r="M40" s="13">
        <f t="shared" ca="1" si="5"/>
        <v>0</v>
      </c>
      <c r="N40" s="13">
        <f t="shared" ca="1" si="15"/>
        <v>0</v>
      </c>
      <c r="O40" s="13">
        <f ca="1">IF($D40="Igen",IF($W39&gt;=IF($D$4="Forint",Paraméterek!$J$121,Paraméterek!$K$121),0,IF($D$4="Forint",Paraméterek!$J$121,Paraméterek!$K$121)-$W39),0)</f>
        <v>0</v>
      </c>
      <c r="P40" s="13" t="e">
        <f ca="1">ROUNDUP($O40*VLOOKUP($M$4+$B40-1,Paraméterek!$H$58:$I$105,2,0)/Paraméterek!$I$56,IF($D$4="Forint",0,2))</f>
        <v>#N/A</v>
      </c>
      <c r="Q40" s="13">
        <f t="shared" ca="1" si="6"/>
        <v>0</v>
      </c>
      <c r="R40" s="33"/>
      <c r="S40" s="13" t="e">
        <f t="shared" ca="1" si="7"/>
        <v>#N/A</v>
      </c>
      <c r="T40" s="13" t="e">
        <f ca="1">ROUNDUP(($N40-$P40-$Q40+$S40)*VLOOKUP($B40,Paraméterek!$I$38:$K$39,IF($D$2="Egyszeri",3,2))/12*IF($D41="Nem",IF($M$13=0,1,$M$13),1),IF($D$4="Forint",0,2))</f>
        <v>#N/A</v>
      </c>
      <c r="U40" s="13"/>
      <c r="V40" s="13"/>
      <c r="W40" s="13" t="e">
        <f ca="1">$N40-$P40-$Q40+$S40-$T40-IF(ROUNDUP(IF(ISBLANK($V40),$U40*0,$V40)/IF($D$2="Egyszeri",VLOOKUP($B40+IF($C40=12,1,0),Paraméterek!$V$257:$W$262,2),IF($B40=1,1,VLOOKUP($B40+IF($C40=12,1,0),Paraméterek!$I$258:$T$278,HLOOKUP($M$11+1,Paraméterek!$J$256:$T$257,2)))),IF($D$4="Forint",0,2))&gt;$N40-$P40-$Q40+$S40-$T40-IF($D$4="Forint",Paraméterek!$C$216,Paraméterek!$D$216),0,ROUNDUP(IF(ISBLANK($V40),$U40*0,$V40)/IF($D$2="Egyszeri",VLOOKUP($B40+IF($C40=12,1,0),Paraméterek!$V$257:$W$262,2),IF($B40=1,1,VLOOKUP($B40+IF($C40=12,1,0),Paraméterek!$I$258:$T$278,HLOOKUP($M$11+1,Paraméterek!$J$256:$T$257,2)))),IF($D$4="Forint",0,2)))</f>
        <v>#N/A</v>
      </c>
      <c r="X40" s="13" t="e">
        <f ca="1">ROUNDDOWN($W40*IF($D$2="Egyszeri",VLOOKUP($B40+IF($C40=12,1,0),Paraméterek!$V$257:$W$262,2),VLOOKUP($B40+IF($C40=12,1,0),Paraméterek!$I$258:$T$278,HLOOKUP($M$11+1,Paraméterek!$I$256:$T$257,2))),IF($D$4="Forint",0,2))</f>
        <v>#N/A</v>
      </c>
      <c r="Z40" s="32">
        <v>21</v>
      </c>
      <c r="AA40" s="32">
        <v>2</v>
      </c>
      <c r="AB40" s="32">
        <v>9</v>
      </c>
      <c r="AC40" s="13">
        <f t="shared" ca="1" si="16"/>
        <v>0</v>
      </c>
      <c r="AD40" s="33"/>
      <c r="AE40" s="13">
        <f t="shared" ca="1" si="8"/>
        <v>0</v>
      </c>
      <c r="AF40" s="13">
        <f ca="1">ROUNDUP(($AC40+$AE40)*VLOOKUP($AA40,Paraméterek!$P$38:$Q$38,2)/12*IF($D41="Nem",IF($M$13=0,1,$M$13),1),IF($D$4="Forint",0,2))</f>
        <v>0</v>
      </c>
      <c r="AG40" s="13">
        <f ca="1">IF($D$2="Egyszeri",IF($D$7&gt;=IF($D$4="Forint",Paraméterek!$P$223,Paraméterek!$P$224),$D$7-IF($D$4="Forint",Paraméterek!$P$223,Paraméterek!$P$224),0),MIN(IF($AB40=12,AVERAGEIF($E$20:$E40,"&gt;0",$E$20:$E40)*12,0),SUM($E$20:$E$31)))</f>
        <v>0</v>
      </c>
      <c r="AH40" s="13">
        <f>IF($AA40=10,$AG40*IF($AB40=12,IF($AG40&lt;IF($D$4="Forint",Paraméterek!$L$223,Paraméterek!$L$224),0,VLOOKUP($AA40,Paraméterek!$K$226:$M$228,IF($AG40&lt;IF($D$4="Forint",Paraméterek!$M$223,Paraméterek!$M$224),2,3))),0),0)</f>
        <v>0</v>
      </c>
      <c r="AI40" s="13">
        <f ca="1">IF(AND($AA40=$M$11+1,$AB40=$M$12+1),SUMIF($AA$20:$AA$1027,$AA40,$AG$20:$AG$1027)*IF(SUMIF($AA$20:$AA$1027,$AA40,$AG$20:$AG$1027)&lt;IF($D$4="Forint",Paraméterek!$L$223,Paraméterek!$L$224),0,VLOOKUP($AA40,Paraméterek!$K$230:$M$250,IF(SUMIF($AA$20:$AA$1027,$AA40,$AG$20:$AG$1027)&lt;IF($D$4="Forint",Paraméterek!$M$223,Paraméterek!$M$224),2,3))),0)</f>
        <v>0</v>
      </c>
      <c r="AJ40" s="13">
        <f ca="1">IF(AND($AA40&gt;=5,MOD($AA40,5)=0),IF($AB40=12,VLOOKUP($AA40,Paraméterek!$O$225:$P$240,2),0),IF(OR($AA40=3,$AA40=4),IF($AB40=12,VLOOKUP($AA40,Paraméterek!$O$225:$P$240,2,0),0),0))*$AG40</f>
        <v>0</v>
      </c>
      <c r="AK40" s="13">
        <f t="shared" ca="1" si="9"/>
        <v>0</v>
      </c>
      <c r="AL40" s="13">
        <f t="shared" ca="1" si="17"/>
        <v>0</v>
      </c>
      <c r="AM40" s="13">
        <f t="shared" ca="1" si="18"/>
        <v>0</v>
      </c>
      <c r="AO40" s="32">
        <v>21</v>
      </c>
      <c r="AP40" s="32">
        <v>2</v>
      </c>
      <c r="AQ40" s="32">
        <v>9</v>
      </c>
      <c r="AR40" s="13"/>
      <c r="AS40" s="32"/>
      <c r="AT40" s="13">
        <f t="shared" ca="1" si="19"/>
        <v>0</v>
      </c>
      <c r="AU40" s="33"/>
      <c r="AV40" s="13">
        <f t="shared" ca="1" si="10"/>
        <v>0</v>
      </c>
      <c r="AW40" s="13">
        <f ca="1">ROUNDUP(($AT40+$AV40)*VLOOKUP($AP40,Paraméterek!$P$38:$Q$38,2)/12*IF($D41="Nem",IF($M$13=0,1,$M$13),1),IF($D$4="Forint",0,2))</f>
        <v>0</v>
      </c>
      <c r="AX40" s="13"/>
      <c r="AY40" s="13"/>
      <c r="AZ40" s="13">
        <f>ROUNDUP(IF(SUM($AX40:$AY40)=0,0,IF(IF(ISBLANK($AY40),$AX40,$AY40)*Paraméterek!$J$112&lt;IF($D$4="Forint",Paraméterek!$J$113,Paraméterek!$K$113),IF($D$4="Forint",Paraméterek!$J$113,Paraméterek!$K$113),IF(IF(ISBLANK($AY40),$AX40,$AY40)*Paraméterek!$J$112&gt;IF($D$4="Forint",Paraméterek!$J$114,Paraméterek!$K$114),IF($D$4="Forint",Paraméterek!$J$114,Paraméterek!$K$114),IF(ISBLANK($AY40),$AX40,$AY40)*Paraméterek!$J$112))),IF($D$4="Forint",0,2))</f>
        <v>0</v>
      </c>
      <c r="BA40" s="13">
        <f ca="1">$AT40+$AV40-$AW40-IF(ROUNDDOWN(IF(ISBLANK($AY40),$AX40,$AY40),IF($D$4="Forint",0,2))&gt;$AT40+$AV40-$AW40-IF($D$4="Forint",Paraméterek!$J$114,Paraméterek!$K$114),0,ROUNDDOWN(IF(ISBLANK($AY40),$AX40,$AY40),IF($D$4="Forint",0,2))-$AZ40)</f>
        <v>0</v>
      </c>
      <c r="BB40" s="13">
        <f t="shared" ca="1" si="11"/>
        <v>0</v>
      </c>
      <c r="BD40" s="32">
        <v>21</v>
      </c>
      <c r="BE40" s="32">
        <v>2</v>
      </c>
      <c r="BF40" s="32">
        <v>9</v>
      </c>
      <c r="BG40" s="34">
        <f t="shared" ca="1" si="20"/>
        <v>2021</v>
      </c>
      <c r="BH40" s="32" t="str">
        <f ca="1">IF(MOD(MONTH($D$14)+$BD40-1,12)=Paraméterek!$C$288,"Igen","")</f>
        <v/>
      </c>
      <c r="BI40" s="13">
        <f ca="1">IF($BH40="Igen",MIN(ROUNDDOWN((SUMIF($BG$20:$BG$1027,$BG40-1,$K$20:$K$1027)-SUMIF($BG$20:$BG$1027,$BG40-1,$I$20:$I$1027))*Paraméterek!$C$289,IF($D$4="Forint",0,2)),IF($D$4="Forint",Paraméterek!$C$285,Paraméterek!$D$285)),0)</f>
        <v>0</v>
      </c>
      <c r="BJ40" s="13">
        <f t="shared" ca="1" si="12"/>
        <v>0</v>
      </c>
      <c r="BK40" s="13">
        <f t="shared" ca="1" si="21"/>
        <v>0</v>
      </c>
      <c r="BL40" s="33"/>
      <c r="BM40" s="13">
        <f t="shared" ca="1" si="13"/>
        <v>0</v>
      </c>
      <c r="BN40" s="13">
        <f ca="1">ROUNDUP(($BK40+$BM40)*VLOOKUP($BE40,Paraméterek!$P$38:$Q$38,2)/12*IF($D41="Nem",IF($M$13=0,1,$M$13),1),IF($D$4="Forint",0,2))</f>
        <v>0</v>
      </c>
      <c r="BO40" s="13">
        <f t="shared" ca="1" si="14"/>
        <v>0</v>
      </c>
      <c r="BP40" s="13">
        <f ca="1">IF($D41="Nem",$BO40,$BO40-ROUNDUP(SUM($BI$20:$BI40)*120%,IF($D$4="Forint",0,2)))</f>
        <v>0</v>
      </c>
    </row>
    <row r="41" spans="1:68" x14ac:dyDescent="0.2">
      <c r="A41" s="32">
        <v>22</v>
      </c>
      <c r="B41" s="32">
        <v>2</v>
      </c>
      <c r="C41" s="32">
        <v>10</v>
      </c>
      <c r="D41" s="32" t="str">
        <f t="shared" ca="1" si="0"/>
        <v>Nem</v>
      </c>
      <c r="E41" s="13">
        <f t="shared" ca="1" si="1"/>
        <v>0</v>
      </c>
      <c r="F41" s="13"/>
      <c r="G41" s="13"/>
      <c r="H41" s="13"/>
      <c r="I41" s="13">
        <f t="shared" ca="1" si="2"/>
        <v>0</v>
      </c>
      <c r="J41" s="13">
        <f t="shared" ca="1" si="3"/>
        <v>0</v>
      </c>
      <c r="K41" s="13">
        <f t="shared" ca="1" si="4"/>
        <v>0</v>
      </c>
      <c r="L41" s="13" t="e">
        <f ca="1">ROUNDUP(IF($D$2="Egyszeri",$E41,IF($D$2="Havi",SUM($E$20:$E$31),IF(MOD($C41,$M$1)-1=0,SUM($E$20:$E$31),0))/12*$M$1)*VLOOKUP($B41,Paraméterek!$I$28:$P$31,IF($D$2="Egyszeri",8,HLOOKUP(ROUNDUP($M$11+$M$13,0),Paraméterek!$J$26:$O$27,2))),IF($D$4="Forint",0,2))</f>
        <v>#N/A</v>
      </c>
      <c r="M41" s="13">
        <f t="shared" ca="1" si="5"/>
        <v>0</v>
      </c>
      <c r="N41" s="13">
        <f t="shared" ca="1" si="15"/>
        <v>0</v>
      </c>
      <c r="O41" s="13">
        <f ca="1">IF($D41="Igen",IF($W40&gt;=IF($D$4="Forint",Paraméterek!$J$121,Paraméterek!$K$121),0,IF($D$4="Forint",Paraméterek!$J$121,Paraméterek!$K$121)-$W40),0)</f>
        <v>0</v>
      </c>
      <c r="P41" s="13" t="e">
        <f ca="1">ROUNDUP($O41*VLOOKUP($M$4+$B41-1,Paraméterek!$H$58:$I$105,2,0)/Paraméterek!$I$56,IF($D$4="Forint",0,2))</f>
        <v>#N/A</v>
      </c>
      <c r="Q41" s="13">
        <f t="shared" ca="1" si="6"/>
        <v>0</v>
      </c>
      <c r="R41" s="33"/>
      <c r="S41" s="13" t="e">
        <f t="shared" ca="1" si="7"/>
        <v>#N/A</v>
      </c>
      <c r="T41" s="13" t="e">
        <f ca="1">ROUNDUP(($N41-$P41-$Q41+$S41)*VLOOKUP($B41,Paraméterek!$I$38:$K$39,IF($D$2="Egyszeri",3,2))/12*IF($D42="Nem",IF($M$13=0,1,$M$13),1),IF($D$4="Forint",0,2))</f>
        <v>#N/A</v>
      </c>
      <c r="U41" s="13"/>
      <c r="V41" s="13"/>
      <c r="W41" s="13" t="e">
        <f ca="1">$N41-$P41-$Q41+$S41-$T41-IF(ROUNDUP(IF(ISBLANK($V41),$U41*0,$V41)/IF($D$2="Egyszeri",VLOOKUP($B41+IF($C41=12,1,0),Paraméterek!$V$257:$W$262,2),IF($B41=1,1,VLOOKUP($B41+IF($C41=12,1,0),Paraméterek!$I$258:$T$278,HLOOKUP($M$11+1,Paraméterek!$J$256:$T$257,2)))),IF($D$4="Forint",0,2))&gt;$N41-$P41-$Q41+$S41-$T41-IF($D$4="Forint",Paraméterek!$C$216,Paraméterek!$D$216),0,ROUNDUP(IF(ISBLANK($V41),$U41*0,$V41)/IF($D$2="Egyszeri",VLOOKUP($B41+IF($C41=12,1,0),Paraméterek!$V$257:$W$262,2),IF($B41=1,1,VLOOKUP($B41+IF($C41=12,1,0),Paraméterek!$I$258:$T$278,HLOOKUP($M$11+1,Paraméterek!$J$256:$T$257,2)))),IF($D$4="Forint",0,2)))</f>
        <v>#N/A</v>
      </c>
      <c r="X41" s="13" t="e">
        <f ca="1">ROUNDDOWN($W41*IF($D$2="Egyszeri",VLOOKUP($B41+IF($C41=12,1,0),Paraméterek!$V$257:$W$262,2),VLOOKUP($B41+IF($C41=12,1,0),Paraméterek!$I$258:$T$278,HLOOKUP($M$11+1,Paraméterek!$I$256:$T$257,2))),IF($D$4="Forint",0,2))</f>
        <v>#N/A</v>
      </c>
      <c r="Z41" s="32">
        <v>22</v>
      </c>
      <c r="AA41" s="32">
        <v>2</v>
      </c>
      <c r="AB41" s="32">
        <v>10</v>
      </c>
      <c r="AC41" s="13">
        <f t="shared" ca="1" si="16"/>
        <v>0</v>
      </c>
      <c r="AD41" s="33"/>
      <c r="AE41" s="13">
        <f t="shared" ca="1" si="8"/>
        <v>0</v>
      </c>
      <c r="AF41" s="13">
        <f ca="1">ROUNDUP(($AC41+$AE41)*VLOOKUP($AA41,Paraméterek!$P$38:$Q$38,2)/12*IF($D42="Nem",IF($M$13=0,1,$M$13),1),IF($D$4="Forint",0,2))</f>
        <v>0</v>
      </c>
      <c r="AG41" s="13">
        <f ca="1">IF($D$2="Egyszeri",IF($D$7&gt;=IF($D$4="Forint",Paraméterek!$P$223,Paraméterek!$P$224),$D$7-IF($D$4="Forint",Paraméterek!$P$223,Paraméterek!$P$224),0),MIN(IF($AB41=12,AVERAGEIF($E$20:$E41,"&gt;0",$E$20:$E41)*12,0),SUM($E$20:$E$31)))</f>
        <v>0</v>
      </c>
      <c r="AH41" s="13">
        <f>IF($AA41=10,$AG41*IF($AB41=12,IF($AG41&lt;IF($D$4="Forint",Paraméterek!$L$223,Paraméterek!$L$224),0,VLOOKUP($AA41,Paraméterek!$K$226:$M$228,IF($AG41&lt;IF($D$4="Forint",Paraméterek!$M$223,Paraméterek!$M$224),2,3))),0),0)</f>
        <v>0</v>
      </c>
      <c r="AI41" s="13">
        <f ca="1">IF(AND($AA41=$M$11+1,$AB41=$M$12+1),SUMIF($AA$20:$AA$1027,$AA41,$AG$20:$AG$1027)*IF(SUMIF($AA$20:$AA$1027,$AA41,$AG$20:$AG$1027)&lt;IF($D$4="Forint",Paraméterek!$L$223,Paraméterek!$L$224),0,VLOOKUP($AA41,Paraméterek!$K$230:$M$250,IF(SUMIF($AA$20:$AA$1027,$AA41,$AG$20:$AG$1027)&lt;IF($D$4="Forint",Paraméterek!$M$223,Paraméterek!$M$224),2,3))),0)</f>
        <v>0</v>
      </c>
      <c r="AJ41" s="13">
        <f ca="1">IF(AND($AA41&gt;=5,MOD($AA41,5)=0),IF($AB41=12,VLOOKUP($AA41,Paraméterek!$O$225:$P$240,2),0),IF(OR($AA41=3,$AA41=4),IF($AB41=12,VLOOKUP($AA41,Paraméterek!$O$225:$P$240,2,0),0),0))*$AG41</f>
        <v>0</v>
      </c>
      <c r="AK41" s="13">
        <f t="shared" ca="1" si="9"/>
        <v>0</v>
      </c>
      <c r="AL41" s="13">
        <f t="shared" ca="1" si="17"/>
        <v>0</v>
      </c>
      <c r="AM41" s="13">
        <f t="shared" ca="1" si="18"/>
        <v>0</v>
      </c>
      <c r="AO41" s="32">
        <v>22</v>
      </c>
      <c r="AP41" s="32">
        <v>2</v>
      </c>
      <c r="AQ41" s="32">
        <v>10</v>
      </c>
      <c r="AR41" s="13"/>
      <c r="AS41" s="32"/>
      <c r="AT41" s="13">
        <f t="shared" ca="1" si="19"/>
        <v>0</v>
      </c>
      <c r="AU41" s="33"/>
      <c r="AV41" s="13">
        <f t="shared" ca="1" si="10"/>
        <v>0</v>
      </c>
      <c r="AW41" s="13">
        <f ca="1">ROUNDUP(($AT41+$AV41)*VLOOKUP($AP41,Paraméterek!$P$38:$Q$38,2)/12*IF($D42="Nem",IF($M$13=0,1,$M$13),1),IF($D$4="Forint",0,2))</f>
        <v>0</v>
      </c>
      <c r="AX41" s="13"/>
      <c r="AY41" s="13"/>
      <c r="AZ41" s="13">
        <f>ROUNDUP(IF(SUM($AX41:$AY41)=0,0,IF(IF(ISBLANK($AY41),$AX41,$AY41)*Paraméterek!$J$112&lt;IF($D$4="Forint",Paraméterek!$J$113,Paraméterek!$K$113),IF($D$4="Forint",Paraméterek!$J$113,Paraméterek!$K$113),IF(IF(ISBLANK($AY41),$AX41,$AY41)*Paraméterek!$J$112&gt;IF($D$4="Forint",Paraméterek!$J$114,Paraméterek!$K$114),IF($D$4="Forint",Paraméterek!$J$114,Paraméterek!$K$114),IF(ISBLANK($AY41),$AX41,$AY41)*Paraméterek!$J$112))),IF($D$4="Forint",0,2))</f>
        <v>0</v>
      </c>
      <c r="BA41" s="13">
        <f ca="1">$AT41+$AV41-$AW41-IF(ROUNDDOWN(IF(ISBLANK($AY41),$AX41,$AY41),IF($D$4="Forint",0,2))&gt;$AT41+$AV41-$AW41-IF($D$4="Forint",Paraméterek!$J$114,Paraméterek!$K$114),0,ROUNDDOWN(IF(ISBLANK($AY41),$AX41,$AY41),IF($D$4="Forint",0,2))-$AZ41)</f>
        <v>0</v>
      </c>
      <c r="BB41" s="13">
        <f t="shared" ca="1" si="11"/>
        <v>0</v>
      </c>
      <c r="BD41" s="32">
        <v>22</v>
      </c>
      <c r="BE41" s="32">
        <v>2</v>
      </c>
      <c r="BF41" s="32">
        <v>10</v>
      </c>
      <c r="BG41" s="34">
        <f t="shared" ca="1" si="20"/>
        <v>2021</v>
      </c>
      <c r="BH41" s="32" t="str">
        <f ca="1">IF(MOD(MONTH($D$14)+$BD41-1,12)=Paraméterek!$C$288,"Igen","")</f>
        <v/>
      </c>
      <c r="BI41" s="13">
        <f ca="1">IF($BH41="Igen",MIN(ROUNDDOWN((SUMIF($BG$20:$BG$1027,$BG41-1,$K$20:$K$1027)-SUMIF($BG$20:$BG$1027,$BG41-1,$I$20:$I$1027))*Paraméterek!$C$289,IF($D$4="Forint",0,2)),IF($D$4="Forint",Paraméterek!$C$285,Paraméterek!$D$285)),0)</f>
        <v>0</v>
      </c>
      <c r="BJ41" s="13">
        <f t="shared" ca="1" si="12"/>
        <v>0</v>
      </c>
      <c r="BK41" s="13">
        <f t="shared" ca="1" si="21"/>
        <v>0</v>
      </c>
      <c r="BL41" s="33"/>
      <c r="BM41" s="13">
        <f t="shared" ca="1" si="13"/>
        <v>0</v>
      </c>
      <c r="BN41" s="13">
        <f ca="1">ROUNDUP(($BK41+$BM41)*VLOOKUP($BE41,Paraméterek!$P$38:$Q$38,2)/12*IF($D42="Nem",IF($M$13=0,1,$M$13),1),IF($D$4="Forint",0,2))</f>
        <v>0</v>
      </c>
      <c r="BO41" s="13">
        <f t="shared" ca="1" si="14"/>
        <v>0</v>
      </c>
      <c r="BP41" s="13">
        <f ca="1">IF($D42="Nem",$BO41,$BO41-ROUNDUP(SUM($BI$20:$BI41)*120%,IF($D$4="Forint",0,2)))</f>
        <v>0</v>
      </c>
    </row>
    <row r="42" spans="1:68" x14ac:dyDescent="0.2">
      <c r="A42" s="32">
        <v>23</v>
      </c>
      <c r="B42" s="32">
        <v>2</v>
      </c>
      <c r="C42" s="32">
        <v>11</v>
      </c>
      <c r="D42" s="32" t="str">
        <f t="shared" ca="1" si="0"/>
        <v>Nem</v>
      </c>
      <c r="E42" s="13">
        <f t="shared" ca="1" si="1"/>
        <v>0</v>
      </c>
      <c r="F42" s="13"/>
      <c r="G42" s="13"/>
      <c r="H42" s="13"/>
      <c r="I42" s="13">
        <f t="shared" ca="1" si="2"/>
        <v>0</v>
      </c>
      <c r="J42" s="13">
        <f t="shared" ca="1" si="3"/>
        <v>0</v>
      </c>
      <c r="K42" s="13">
        <f t="shared" ca="1" si="4"/>
        <v>0</v>
      </c>
      <c r="L42" s="13" t="e">
        <f ca="1">ROUNDUP(IF($D$2="Egyszeri",$E42,IF($D$2="Havi",SUM($E$20:$E$31),IF(MOD($C42,$M$1)-1=0,SUM($E$20:$E$31),0))/12*$M$1)*VLOOKUP($B42,Paraméterek!$I$28:$P$31,IF($D$2="Egyszeri",8,HLOOKUP(ROUNDUP($M$11+$M$13,0),Paraméterek!$J$26:$O$27,2))),IF($D$4="Forint",0,2))</f>
        <v>#N/A</v>
      </c>
      <c r="M42" s="13">
        <f t="shared" ca="1" si="5"/>
        <v>0</v>
      </c>
      <c r="N42" s="13">
        <f t="shared" ca="1" si="15"/>
        <v>0</v>
      </c>
      <c r="O42" s="13">
        <f ca="1">IF($D42="Igen",IF($W41&gt;=IF($D$4="Forint",Paraméterek!$J$121,Paraméterek!$K$121),0,IF($D$4="Forint",Paraméterek!$J$121,Paraméterek!$K$121)-$W41),0)</f>
        <v>0</v>
      </c>
      <c r="P42" s="13" t="e">
        <f ca="1">ROUNDUP($O42*VLOOKUP($M$4+$B42-1,Paraméterek!$H$58:$I$105,2,0)/Paraméterek!$I$56,IF($D$4="Forint",0,2))</f>
        <v>#N/A</v>
      </c>
      <c r="Q42" s="13">
        <f t="shared" ca="1" si="6"/>
        <v>0</v>
      </c>
      <c r="R42" s="33"/>
      <c r="S42" s="13" t="e">
        <f t="shared" ca="1" si="7"/>
        <v>#N/A</v>
      </c>
      <c r="T42" s="13" t="e">
        <f ca="1">ROUNDUP(($N42-$P42-$Q42+$S42)*VLOOKUP($B42,Paraméterek!$I$38:$K$39,IF($D$2="Egyszeri",3,2))/12*IF($D43="Nem",IF($M$13=0,1,$M$13),1),IF($D$4="Forint",0,2))</f>
        <v>#N/A</v>
      </c>
      <c r="U42" s="13"/>
      <c r="V42" s="13"/>
      <c r="W42" s="13" t="e">
        <f ca="1">$N42-$P42-$Q42+$S42-$T42-IF(ROUNDUP(IF(ISBLANK($V42),$U42*0,$V42)/IF($D$2="Egyszeri",VLOOKUP($B42+IF($C42=12,1,0),Paraméterek!$V$257:$W$262,2),IF($B42=1,1,VLOOKUP($B42+IF($C42=12,1,0),Paraméterek!$I$258:$T$278,HLOOKUP($M$11+1,Paraméterek!$J$256:$T$257,2)))),IF($D$4="Forint",0,2))&gt;$N42-$P42-$Q42+$S42-$T42-IF($D$4="Forint",Paraméterek!$C$216,Paraméterek!$D$216),0,ROUNDUP(IF(ISBLANK($V42),$U42*0,$V42)/IF($D$2="Egyszeri",VLOOKUP($B42+IF($C42=12,1,0),Paraméterek!$V$257:$W$262,2),IF($B42=1,1,VLOOKUP($B42+IF($C42=12,1,0),Paraméterek!$I$258:$T$278,HLOOKUP($M$11+1,Paraméterek!$J$256:$T$257,2)))),IF($D$4="Forint",0,2)))</f>
        <v>#N/A</v>
      </c>
      <c r="X42" s="13" t="e">
        <f ca="1">ROUNDDOWN($W42*IF($D$2="Egyszeri",VLOOKUP($B42+IF($C42=12,1,0),Paraméterek!$V$257:$W$262,2),VLOOKUP($B42+IF($C42=12,1,0),Paraméterek!$I$258:$T$278,HLOOKUP($M$11+1,Paraméterek!$I$256:$T$257,2))),IF($D$4="Forint",0,2))</f>
        <v>#N/A</v>
      </c>
      <c r="Z42" s="32">
        <v>23</v>
      </c>
      <c r="AA42" s="32">
        <v>2</v>
      </c>
      <c r="AB42" s="32">
        <v>11</v>
      </c>
      <c r="AC42" s="13">
        <f t="shared" ca="1" si="16"/>
        <v>0</v>
      </c>
      <c r="AD42" s="33"/>
      <c r="AE42" s="13">
        <f t="shared" ca="1" si="8"/>
        <v>0</v>
      </c>
      <c r="AF42" s="13">
        <f ca="1">ROUNDUP(($AC42+$AE42)*VLOOKUP($AA42,Paraméterek!$P$38:$Q$38,2)/12*IF($D43="Nem",IF($M$13=0,1,$M$13),1),IF($D$4="Forint",0,2))</f>
        <v>0</v>
      </c>
      <c r="AG42" s="13">
        <f ca="1">IF($D$2="Egyszeri",IF($D$7&gt;=IF($D$4="Forint",Paraméterek!$P$223,Paraméterek!$P$224),$D$7-IF($D$4="Forint",Paraméterek!$P$223,Paraméterek!$P$224),0),MIN(IF($AB42=12,AVERAGEIF($E$20:$E42,"&gt;0",$E$20:$E42)*12,0),SUM($E$20:$E$31)))</f>
        <v>0</v>
      </c>
      <c r="AH42" s="13">
        <f>IF($AA42=10,$AG42*IF($AB42=12,IF($AG42&lt;IF($D$4="Forint",Paraméterek!$L$223,Paraméterek!$L$224),0,VLOOKUP($AA42,Paraméterek!$K$226:$M$228,IF($AG42&lt;IF($D$4="Forint",Paraméterek!$M$223,Paraméterek!$M$224),2,3))),0),0)</f>
        <v>0</v>
      </c>
      <c r="AI42" s="13">
        <f ca="1">IF(AND($AA42=$M$11+1,$AB42=$M$12+1),SUMIF($AA$20:$AA$1027,$AA42,$AG$20:$AG$1027)*IF(SUMIF($AA$20:$AA$1027,$AA42,$AG$20:$AG$1027)&lt;IF($D$4="Forint",Paraméterek!$L$223,Paraméterek!$L$224),0,VLOOKUP($AA42,Paraméterek!$K$230:$M$250,IF(SUMIF($AA$20:$AA$1027,$AA42,$AG$20:$AG$1027)&lt;IF($D$4="Forint",Paraméterek!$M$223,Paraméterek!$M$224),2,3))),0)</f>
        <v>0</v>
      </c>
      <c r="AJ42" s="13">
        <f ca="1">IF(AND($AA42&gt;=5,MOD($AA42,5)=0),IF($AB42=12,VLOOKUP($AA42,Paraméterek!$O$225:$P$240,2),0),IF(OR($AA42=3,$AA42=4),IF($AB42=12,VLOOKUP($AA42,Paraméterek!$O$225:$P$240,2,0),0),0))*$AG42</f>
        <v>0</v>
      </c>
      <c r="AK42" s="13">
        <f t="shared" ca="1" si="9"/>
        <v>0</v>
      </c>
      <c r="AL42" s="13">
        <f t="shared" ca="1" si="17"/>
        <v>0</v>
      </c>
      <c r="AM42" s="13">
        <f t="shared" ca="1" si="18"/>
        <v>0</v>
      </c>
      <c r="AO42" s="32">
        <v>23</v>
      </c>
      <c r="AP42" s="32">
        <v>2</v>
      </c>
      <c r="AQ42" s="32">
        <v>11</v>
      </c>
      <c r="AR42" s="13"/>
      <c r="AS42" s="32"/>
      <c r="AT42" s="13">
        <f t="shared" ca="1" si="19"/>
        <v>0</v>
      </c>
      <c r="AU42" s="33"/>
      <c r="AV42" s="13">
        <f t="shared" ca="1" si="10"/>
        <v>0</v>
      </c>
      <c r="AW42" s="13">
        <f ca="1">ROUNDUP(($AT42+$AV42)*VLOOKUP($AP42,Paraméterek!$P$38:$Q$38,2)/12*IF($D43="Nem",IF($M$13=0,1,$M$13),1),IF($D$4="Forint",0,2))</f>
        <v>0</v>
      </c>
      <c r="AX42" s="13"/>
      <c r="AY42" s="13"/>
      <c r="AZ42" s="13">
        <f>ROUNDUP(IF(SUM($AX42:$AY42)=0,0,IF(IF(ISBLANK($AY42),$AX42,$AY42)*Paraméterek!$J$112&lt;IF($D$4="Forint",Paraméterek!$J$113,Paraméterek!$K$113),IF($D$4="Forint",Paraméterek!$J$113,Paraméterek!$K$113),IF(IF(ISBLANK($AY42),$AX42,$AY42)*Paraméterek!$J$112&gt;IF($D$4="Forint",Paraméterek!$J$114,Paraméterek!$K$114),IF($D$4="Forint",Paraméterek!$J$114,Paraméterek!$K$114),IF(ISBLANK($AY42),$AX42,$AY42)*Paraméterek!$J$112))),IF($D$4="Forint",0,2))</f>
        <v>0</v>
      </c>
      <c r="BA42" s="13">
        <f ca="1">$AT42+$AV42-$AW42-IF(ROUNDDOWN(IF(ISBLANK($AY42),$AX42,$AY42),IF($D$4="Forint",0,2))&gt;$AT42+$AV42-$AW42-IF($D$4="Forint",Paraméterek!$J$114,Paraméterek!$K$114),0,ROUNDDOWN(IF(ISBLANK($AY42),$AX42,$AY42),IF($D$4="Forint",0,2))-$AZ42)</f>
        <v>0</v>
      </c>
      <c r="BB42" s="13">
        <f t="shared" ca="1" si="11"/>
        <v>0</v>
      </c>
      <c r="BD42" s="32">
        <v>23</v>
      </c>
      <c r="BE42" s="32">
        <v>2</v>
      </c>
      <c r="BF42" s="32">
        <v>11</v>
      </c>
      <c r="BG42" s="34">
        <f t="shared" ca="1" si="20"/>
        <v>2021</v>
      </c>
      <c r="BH42" s="32" t="str">
        <f ca="1">IF(MOD(MONTH($D$14)+$BD42-1,12)=Paraméterek!$C$288,"Igen","")</f>
        <v/>
      </c>
      <c r="BI42" s="13">
        <f ca="1">IF($BH42="Igen",MIN(ROUNDDOWN((SUMIF($BG$20:$BG$1027,$BG42-1,$K$20:$K$1027)-SUMIF($BG$20:$BG$1027,$BG42-1,$I$20:$I$1027))*Paraméterek!$C$289,IF($D$4="Forint",0,2)),IF($D$4="Forint",Paraméterek!$C$285,Paraméterek!$D$285)),0)</f>
        <v>0</v>
      </c>
      <c r="BJ42" s="13">
        <f t="shared" ca="1" si="12"/>
        <v>0</v>
      </c>
      <c r="BK42" s="13">
        <f t="shared" ca="1" si="21"/>
        <v>0</v>
      </c>
      <c r="BL42" s="33"/>
      <c r="BM42" s="13">
        <f t="shared" ca="1" si="13"/>
        <v>0</v>
      </c>
      <c r="BN42" s="13">
        <f ca="1">ROUNDUP(($BK42+$BM42)*VLOOKUP($BE42,Paraméterek!$P$38:$Q$38,2)/12*IF($D43="Nem",IF($M$13=0,1,$M$13),1),IF($D$4="Forint",0,2))</f>
        <v>0</v>
      </c>
      <c r="BO42" s="13">
        <f t="shared" ca="1" si="14"/>
        <v>0</v>
      </c>
      <c r="BP42" s="13">
        <f ca="1">IF($D43="Nem",$BO42,$BO42-ROUNDUP(SUM($BI$20:$BI42)*120%,IF($D$4="Forint",0,2)))</f>
        <v>0</v>
      </c>
    </row>
    <row r="43" spans="1:68" x14ac:dyDescent="0.2">
      <c r="A43" s="32">
        <v>24</v>
      </c>
      <c r="B43" s="32">
        <v>2</v>
      </c>
      <c r="C43" s="32">
        <v>12</v>
      </c>
      <c r="D43" s="32" t="str">
        <f t="shared" ca="1" si="0"/>
        <v>Nem</v>
      </c>
      <c r="E43" s="13">
        <f t="shared" ca="1" si="1"/>
        <v>0</v>
      </c>
      <c r="F43" s="13"/>
      <c r="G43" s="13"/>
      <c r="H43" s="13"/>
      <c r="I43" s="13">
        <f t="shared" ca="1" si="2"/>
        <v>0</v>
      </c>
      <c r="J43" s="13">
        <f t="shared" ca="1" si="3"/>
        <v>0</v>
      </c>
      <c r="K43" s="13">
        <f t="shared" ca="1" si="4"/>
        <v>0</v>
      </c>
      <c r="L43" s="13" t="e">
        <f ca="1">ROUNDUP(IF($D$2="Egyszeri",$E43,IF($D$2="Havi",SUM($E$20:$E$31),IF(MOD($C43,$M$1)-1=0,SUM($E$20:$E$31),0))/12*$M$1)*VLOOKUP($B43,Paraméterek!$I$28:$P$31,IF($D$2="Egyszeri",8,HLOOKUP(ROUNDUP($M$11+$M$13,0),Paraméterek!$J$26:$O$27,2))),IF($D$4="Forint",0,2))</f>
        <v>#N/A</v>
      </c>
      <c r="M43" s="13">
        <f t="shared" ca="1" si="5"/>
        <v>0</v>
      </c>
      <c r="N43" s="13">
        <f t="shared" ca="1" si="15"/>
        <v>0</v>
      </c>
      <c r="O43" s="13">
        <f ca="1">IF($D43="Igen",IF($W42&gt;=IF($D$4="Forint",Paraméterek!$J$121,Paraméterek!$K$121),0,IF($D$4="Forint",Paraméterek!$J$121,Paraméterek!$K$121)-$W42),0)</f>
        <v>0</v>
      </c>
      <c r="P43" s="13" t="e">
        <f ca="1">ROUNDUP($O43*VLOOKUP($M$4+$B43-1,Paraméterek!$H$58:$I$105,2,0)/Paraméterek!$I$56,IF($D$4="Forint",0,2))</f>
        <v>#N/A</v>
      </c>
      <c r="Q43" s="13">
        <f t="shared" ca="1" si="6"/>
        <v>0</v>
      </c>
      <c r="R43" s="33"/>
      <c r="S43" s="13" t="e">
        <f t="shared" ca="1" si="7"/>
        <v>#N/A</v>
      </c>
      <c r="T43" s="13" t="e">
        <f ca="1">ROUNDUP(($N43-$P43-$Q43+$S43)*VLOOKUP($B43,Paraméterek!$I$38:$K$39,IF($D$2="Egyszeri",3,2))/12*IF($D44="Nem",IF($M$13=0,1,$M$13),1),IF($D$4="Forint",0,2))</f>
        <v>#N/A</v>
      </c>
      <c r="U43" s="13">
        <f>Tranzakciók!$F$33</f>
        <v>0</v>
      </c>
      <c r="V43" s="13"/>
      <c r="W43" s="13" t="e">
        <f ca="1">$N43-$P43-$Q43+$S43-$T43-IF(ROUNDUP(IF(ISBLANK($V43),$U43*0,$V43)/IF($D$2="Egyszeri",VLOOKUP($B43+IF($C43=12,1,0),Paraméterek!$V$257:$W$262,2),IF($B43=1,1,VLOOKUP($B43+IF($C43=12,1,0),Paraméterek!$I$258:$T$278,HLOOKUP($M$11+1,Paraméterek!$J$256:$T$257,2)))),IF($D$4="Forint",0,2))&gt;$N43-$P43-$Q43+$S43-$T43-IF($D$4="Forint",Paraméterek!$C$216,Paraméterek!$D$216),0,ROUNDUP(IF(ISBLANK($V43),$U43*0,$V43)/IF($D$2="Egyszeri",VLOOKUP($B43+IF($C43=12,1,0),Paraméterek!$V$257:$W$262,2),IF($B43=1,1,VLOOKUP($B43+IF($C43=12,1,0),Paraméterek!$I$258:$T$278,HLOOKUP($M$11+1,Paraméterek!$J$256:$T$257,2)))),IF($D$4="Forint",0,2)))</f>
        <v>#N/A</v>
      </c>
      <c r="X43" s="13" t="e">
        <f ca="1">ROUNDDOWN($W43*IF($D$2="Egyszeri",VLOOKUP($B43+IF($C43=12,1,0),Paraméterek!$V$257:$W$262,2),VLOOKUP($B43+IF($C43=12,1,0),Paraméterek!$I$258:$T$278,HLOOKUP($M$11+1,Paraméterek!$I$256:$T$257,2))),IF($D$4="Forint",0,2))</f>
        <v>#N/A</v>
      </c>
      <c r="Z43" s="32">
        <v>24</v>
      </c>
      <c r="AA43" s="32">
        <v>2</v>
      </c>
      <c r="AB43" s="32">
        <v>12</v>
      </c>
      <c r="AC43" s="13">
        <f t="shared" ca="1" si="16"/>
        <v>0</v>
      </c>
      <c r="AD43" s="33"/>
      <c r="AE43" s="13">
        <f t="shared" ca="1" si="8"/>
        <v>0</v>
      </c>
      <c r="AF43" s="13">
        <f ca="1">ROUNDUP(($AC43+$AE43)*VLOOKUP($AA43,Paraméterek!$P$38:$Q$38,2)/12*IF($D44="Nem",IF($M$13=0,1,$M$13),1),IF($D$4="Forint",0,2))</f>
        <v>0</v>
      </c>
      <c r="AG43" s="13" t="e">
        <f ca="1">IF($D$2="Egyszeri",IF($D$7&gt;=IF($D$4="Forint",Paraméterek!$P$223,Paraméterek!$P$224),$D$7-IF($D$4="Forint",Paraméterek!$P$223,Paraméterek!$P$224),0),MIN(IF($AB43=12,AVERAGEIF($E$20:$E43,"&gt;0",$E$20:$E43)*12,0),SUM($E$20:$E$31)))</f>
        <v>#DIV/0!</v>
      </c>
      <c r="AH43" s="13">
        <f>IF($AA43=10,$AG43*IF($AB43=12,IF($AG43&lt;IF($D$4="Forint",Paraméterek!$L$223,Paraméterek!$L$224),0,VLOOKUP($AA43,Paraméterek!$K$226:$M$228,IF($AG43&lt;IF($D$4="Forint",Paraméterek!$M$223,Paraméterek!$M$224),2,3))),0),0)</f>
        <v>0</v>
      </c>
      <c r="AI43" s="13">
        <f ca="1">IF(AND($AA43=$M$11+1,$AB43=$M$12+1),SUMIF($AA$20:$AA$1027,$AA43,$AG$20:$AG$1027)*IF(SUMIF($AA$20:$AA$1027,$AA43,$AG$20:$AG$1027)&lt;IF($D$4="Forint",Paraméterek!$L$223,Paraméterek!$L$224),0,VLOOKUP($AA43,Paraméterek!$K$230:$M$250,IF(SUMIF($AA$20:$AA$1027,$AA43,$AG$20:$AG$1027)&lt;IF($D$4="Forint",Paraméterek!$M$223,Paraméterek!$M$224),2,3))),0)</f>
        <v>0</v>
      </c>
      <c r="AJ43" s="13" t="e">
        <f ca="1">IF(AND($AA43&gt;=5,MOD($AA43,5)=0),IF($AB43=12,VLOOKUP($AA43,Paraméterek!$O$225:$P$240,2),0),IF(OR($AA43=3,$AA43=4),IF($AB43=12,VLOOKUP($AA43,Paraméterek!$O$225:$P$240,2,0),0),0))*$AG43</f>
        <v>#DIV/0!</v>
      </c>
      <c r="AK43" s="13">
        <f t="shared" ca="1" si="9"/>
        <v>0</v>
      </c>
      <c r="AL43" s="13">
        <f t="shared" ca="1" si="17"/>
        <v>0</v>
      </c>
      <c r="AM43" s="13">
        <f t="shared" ca="1" si="18"/>
        <v>0</v>
      </c>
      <c r="AO43" s="32">
        <v>24</v>
      </c>
      <c r="AP43" s="32">
        <v>2</v>
      </c>
      <c r="AQ43" s="32">
        <v>12</v>
      </c>
      <c r="AR43" s="13"/>
      <c r="AS43" s="32"/>
      <c r="AT43" s="13">
        <f t="shared" ca="1" si="19"/>
        <v>0</v>
      </c>
      <c r="AU43" s="33"/>
      <c r="AV43" s="13">
        <f t="shared" ca="1" si="10"/>
        <v>0</v>
      </c>
      <c r="AW43" s="13">
        <f ca="1">ROUNDUP(($AT43+$AV43)*VLOOKUP($AP43,Paraméterek!$P$38:$Q$38,2)/12*IF($D44="Nem",IF($M$13=0,1,$M$13),1),IF($D$4="Forint",0,2))</f>
        <v>0</v>
      </c>
      <c r="AX43" s="13">
        <f>Tranzakciók!$M$33</f>
        <v>0</v>
      </c>
      <c r="AY43" s="13"/>
      <c r="AZ43" s="13">
        <f>ROUNDUP(IF(SUM($AX43:$AY43)=0,0,IF(IF(ISBLANK($AY43),$AX43,$AY43)*Paraméterek!$J$112&lt;IF($D$4="Forint",Paraméterek!$J$113,Paraméterek!$K$113),IF($D$4="Forint",Paraméterek!$J$113,Paraméterek!$K$113),IF(IF(ISBLANK($AY43),$AX43,$AY43)*Paraméterek!$J$112&gt;IF($D$4="Forint",Paraméterek!$J$114,Paraméterek!$K$114),IF($D$4="Forint",Paraméterek!$J$114,Paraméterek!$K$114),IF(ISBLANK($AY43),$AX43,$AY43)*Paraméterek!$J$112))),IF($D$4="Forint",0,2))</f>
        <v>0</v>
      </c>
      <c r="BA43" s="13">
        <f ca="1">$AT43+$AV43-$AW43-IF(ROUNDDOWN(IF(ISBLANK($AY43),$AX43,$AY43),IF($D$4="Forint",0,2))&gt;$AT43+$AV43-$AW43-IF($D$4="Forint",Paraméterek!$J$114,Paraméterek!$K$114),0,ROUNDDOWN(IF(ISBLANK($AY43),$AX43,$AY43),IF($D$4="Forint",0,2))-$AZ43)</f>
        <v>0</v>
      </c>
      <c r="BB43" s="13">
        <f t="shared" ca="1" si="11"/>
        <v>0</v>
      </c>
      <c r="BD43" s="32">
        <v>24</v>
      </c>
      <c r="BE43" s="32">
        <v>2</v>
      </c>
      <c r="BF43" s="32">
        <v>12</v>
      </c>
      <c r="BG43" s="34">
        <f t="shared" ca="1" si="20"/>
        <v>2021</v>
      </c>
      <c r="BH43" s="32" t="str">
        <f ca="1">IF(MOD(MONTH($D$14)+$BD43-1,12)=Paraméterek!$C$288,"Igen","")</f>
        <v/>
      </c>
      <c r="BI43" s="13">
        <f ca="1">IF($BH43="Igen",MIN(ROUNDDOWN((SUMIF($BG$20:$BG$1027,$BG43-1,$K$20:$K$1027)-SUMIF($BG$20:$BG$1027,$BG43-1,$I$20:$I$1027))*Paraméterek!$C$289,IF($D$4="Forint",0,2)),IF($D$4="Forint",Paraméterek!$C$285,Paraméterek!$D$285)),0)</f>
        <v>0</v>
      </c>
      <c r="BJ43" s="13">
        <f t="shared" ca="1" si="12"/>
        <v>0</v>
      </c>
      <c r="BK43" s="13">
        <f t="shared" ca="1" si="21"/>
        <v>0</v>
      </c>
      <c r="BL43" s="33"/>
      <c r="BM43" s="13">
        <f t="shared" ca="1" si="13"/>
        <v>0</v>
      </c>
      <c r="BN43" s="13">
        <f ca="1">ROUNDUP(($BK43+$BM43)*VLOOKUP($BE43,Paraméterek!$P$38:$Q$38,2)/12*IF($D44="Nem",IF($M$13=0,1,$M$13),1),IF($D$4="Forint",0,2))</f>
        <v>0</v>
      </c>
      <c r="BO43" s="13">
        <f t="shared" ca="1" si="14"/>
        <v>0</v>
      </c>
      <c r="BP43" s="13">
        <f ca="1">IF($D44="Nem",$BO43,$BO43-ROUNDUP(SUM($BI$20:$BI43)*120%,IF($D$4="Forint",0,2)))</f>
        <v>0</v>
      </c>
    </row>
    <row r="44" spans="1:68" x14ac:dyDescent="0.2">
      <c r="A44" s="32">
        <v>25</v>
      </c>
      <c r="B44" s="32">
        <v>3</v>
      </c>
      <c r="C44" s="32">
        <v>1</v>
      </c>
      <c r="D44" s="32" t="str">
        <f t="shared" ca="1" si="0"/>
        <v>Nem</v>
      </c>
      <c r="E44" s="13">
        <f t="shared" ca="1" si="1"/>
        <v>0</v>
      </c>
      <c r="F44" s="13"/>
      <c r="G44" s="13">
        <f>Tranzakciók!$D$34</f>
        <v>0</v>
      </c>
      <c r="H44" s="13"/>
      <c r="I44" s="13">
        <f t="shared" ca="1" si="2"/>
        <v>0</v>
      </c>
      <c r="J44" s="13">
        <f t="shared" ca="1" si="3"/>
        <v>0</v>
      </c>
      <c r="K44" s="13">
        <f t="shared" ca="1" si="4"/>
        <v>0</v>
      </c>
      <c r="L44" s="13" t="e">
        <f ca="1">ROUNDUP(IF($D$2="Egyszeri",$E44,IF($D$2="Havi",SUM($E$20:$E$31),IF(MOD($C44,$M$1)-1=0,SUM($E$20:$E$31),0))/12*$M$1)*VLOOKUP($B44,Paraméterek!$I$28:$P$31,IF($D$2="Egyszeri",8,HLOOKUP(ROUNDUP($M$11+$M$13,0),Paraméterek!$J$26:$O$27,2))),IF($D$4="Forint",0,2))</f>
        <v>#N/A</v>
      </c>
      <c r="M44" s="13">
        <f t="shared" ca="1" si="5"/>
        <v>0</v>
      </c>
      <c r="N44" s="13">
        <f t="shared" ca="1" si="15"/>
        <v>0</v>
      </c>
      <c r="O44" s="13">
        <f ca="1">IF($D44="Igen",IF($W43&gt;=IF($D$4="Forint",Paraméterek!$J$121,Paraméterek!$K$121),0,IF($D$4="Forint",Paraméterek!$J$121,Paraméterek!$K$121)-$W43),0)</f>
        <v>0</v>
      </c>
      <c r="P44" s="13" t="e">
        <f ca="1">ROUNDUP($O44*VLOOKUP($M$4+$B44-1,Paraméterek!$H$58:$I$105,2,0)/Paraméterek!$I$56,IF($D$4="Forint",0,2))</f>
        <v>#N/A</v>
      </c>
      <c r="Q44" s="13">
        <f t="shared" ca="1" si="6"/>
        <v>0</v>
      </c>
      <c r="R44" s="33"/>
      <c r="S44" s="13" t="e">
        <f t="shared" ca="1" si="7"/>
        <v>#N/A</v>
      </c>
      <c r="T44" s="13" t="e">
        <f ca="1">ROUNDUP(($N44-$P44-$Q44+$S44)*VLOOKUP($B44,Paraméterek!$I$38:$K$39,IF($D$2="Egyszeri",3,2))/12*IF($D45="Nem",IF($M$13=0,1,$M$13),1),IF($D$4="Forint",0,2))</f>
        <v>#N/A</v>
      </c>
      <c r="U44" s="13"/>
      <c r="V44" s="13"/>
      <c r="W44" s="13" t="e">
        <f ca="1">$N44-$P44-$Q44+$S44-$T44-IF(ROUNDUP(IF(ISBLANK($V44),$U44*0,$V44)/IF($D$2="Egyszeri",VLOOKUP($B44+IF($C44=12,1,0),Paraméterek!$V$257:$W$262,2),IF($B44=1,1,VLOOKUP($B44+IF($C44=12,1,0),Paraméterek!$I$258:$T$278,HLOOKUP($M$11+1,Paraméterek!$J$256:$T$257,2)))),IF($D$4="Forint",0,2))&gt;$N44-$P44-$Q44+$S44-$T44-IF($D$4="Forint",Paraméterek!$C$216,Paraméterek!$D$216),0,ROUNDUP(IF(ISBLANK($V44),$U44*0,$V44)/IF($D$2="Egyszeri",VLOOKUP($B44+IF($C44=12,1,0),Paraméterek!$V$257:$W$262,2),IF($B44=1,1,VLOOKUP($B44+IF($C44=12,1,0),Paraméterek!$I$258:$T$278,HLOOKUP($M$11+1,Paraméterek!$J$256:$T$257,2)))),IF($D$4="Forint",0,2)))</f>
        <v>#N/A</v>
      </c>
      <c r="X44" s="13" t="e">
        <f ca="1">ROUNDDOWN($W44*IF($D$2="Egyszeri",VLOOKUP($B44+IF($C44=12,1,0),Paraméterek!$V$257:$W$262,2),VLOOKUP($B44+IF($C44=12,1,0),Paraméterek!$I$258:$T$278,HLOOKUP($M$11+1,Paraméterek!$I$256:$T$257,2))),IF($D$4="Forint",0,2))</f>
        <v>#N/A</v>
      </c>
      <c r="Z44" s="32">
        <v>25</v>
      </c>
      <c r="AA44" s="32">
        <v>3</v>
      </c>
      <c r="AB44" s="32">
        <v>1</v>
      </c>
      <c r="AC44" s="13">
        <f t="shared" ca="1" si="16"/>
        <v>0</v>
      </c>
      <c r="AD44" s="33"/>
      <c r="AE44" s="13">
        <f t="shared" ca="1" si="8"/>
        <v>0</v>
      </c>
      <c r="AF44" s="13">
        <f ca="1">ROUNDUP(($AC44+$AE44)*VLOOKUP($AA44,Paraméterek!$P$38:$Q$38,2)/12*IF($D45="Nem",IF($M$13=0,1,$M$13),1),IF($D$4="Forint",0,2))</f>
        <v>0</v>
      </c>
      <c r="AG44" s="13">
        <f ca="1">IF($D$2="Egyszeri",IF($D$7&gt;=IF($D$4="Forint",Paraméterek!$P$223,Paraméterek!$P$224),$D$7-IF($D$4="Forint",Paraméterek!$P$223,Paraméterek!$P$224),0),MIN(IF($AB44=12,AVERAGEIF($E$20:$E44,"&gt;0",$E$20:$E44)*12,0),SUM($E$20:$E$31)))</f>
        <v>0</v>
      </c>
      <c r="AH44" s="13">
        <f>IF($AA44=10,$AG44*IF($AB44=12,IF($AG44&lt;IF($D$4="Forint",Paraméterek!$L$223,Paraméterek!$L$224),0,VLOOKUP($AA44,Paraméterek!$K$226:$M$228,IF($AG44&lt;IF($D$4="Forint",Paraméterek!$M$223,Paraméterek!$M$224),2,3))),0),0)</f>
        <v>0</v>
      </c>
      <c r="AI44" s="13">
        <f ca="1">IF(AND($AA44=$M$11+1,$AB44=$M$12+1),SUMIF($AA$20:$AA$1027,$AA44,$AG$20:$AG$1027)*IF(SUMIF($AA$20:$AA$1027,$AA44,$AG$20:$AG$1027)&lt;IF($D$4="Forint",Paraméterek!$L$223,Paraméterek!$L$224),0,VLOOKUP($AA44,Paraméterek!$K$230:$M$250,IF(SUMIF($AA$20:$AA$1027,$AA44,$AG$20:$AG$1027)&lt;IF($D$4="Forint",Paraméterek!$M$223,Paraméterek!$M$224),2,3))),0)</f>
        <v>0</v>
      </c>
      <c r="AJ44" s="13">
        <f ca="1">IF(AND($AA44&gt;=5,MOD($AA44,5)=0),IF($AB44=12,VLOOKUP($AA44,Paraméterek!$O$225:$P$240,2),0),IF(OR($AA44=3,$AA44=4),IF($AB44=12,VLOOKUP($AA44,Paraméterek!$O$225:$P$240,2,0),0),0))*$AG44</f>
        <v>0</v>
      </c>
      <c r="AK44" s="13">
        <f t="shared" ca="1" si="9"/>
        <v>0</v>
      </c>
      <c r="AL44" s="13">
        <f t="shared" ca="1" si="17"/>
        <v>0</v>
      </c>
      <c r="AM44" s="13">
        <f t="shared" ca="1" si="18"/>
        <v>0</v>
      </c>
      <c r="AO44" s="32">
        <v>25</v>
      </c>
      <c r="AP44" s="32">
        <v>3</v>
      </c>
      <c r="AQ44" s="32">
        <v>1</v>
      </c>
      <c r="AR44" s="13">
        <f>Tranzakciók!$K$34</f>
        <v>0</v>
      </c>
      <c r="AS44" s="32"/>
      <c r="AT44" s="13">
        <f t="shared" ca="1" si="19"/>
        <v>0</v>
      </c>
      <c r="AU44" s="33"/>
      <c r="AV44" s="13">
        <f t="shared" ca="1" si="10"/>
        <v>0</v>
      </c>
      <c r="AW44" s="13">
        <f ca="1">ROUNDUP(($AT44+$AV44)*VLOOKUP($AP44,Paraméterek!$P$38:$Q$38,2)/12*IF($D45="Nem",IF($M$13=0,1,$M$13),1),IF($D$4="Forint",0,2))</f>
        <v>0</v>
      </c>
      <c r="AX44" s="13"/>
      <c r="AY44" s="13"/>
      <c r="AZ44" s="13">
        <f>ROUNDUP(IF(SUM($AX44:$AY44)=0,0,IF(IF(ISBLANK($AY44),$AX44,$AY44)*Paraméterek!$J$112&lt;IF($D$4="Forint",Paraméterek!$J$113,Paraméterek!$K$113),IF($D$4="Forint",Paraméterek!$J$113,Paraméterek!$K$113),IF(IF(ISBLANK($AY44),$AX44,$AY44)*Paraméterek!$J$112&gt;IF($D$4="Forint",Paraméterek!$J$114,Paraméterek!$K$114),IF($D$4="Forint",Paraméterek!$J$114,Paraméterek!$K$114),IF(ISBLANK($AY44),$AX44,$AY44)*Paraméterek!$J$112))),IF($D$4="Forint",0,2))</f>
        <v>0</v>
      </c>
      <c r="BA44" s="13">
        <f ca="1">$AT44+$AV44-$AW44-IF(ROUNDDOWN(IF(ISBLANK($AY44),$AX44,$AY44),IF($D$4="Forint",0,2))&gt;$AT44+$AV44-$AW44-IF($D$4="Forint",Paraméterek!$J$114,Paraméterek!$K$114),0,ROUNDDOWN(IF(ISBLANK($AY44),$AX44,$AY44),IF($D$4="Forint",0,2))-$AZ44)</f>
        <v>0</v>
      </c>
      <c r="BB44" s="13">
        <f t="shared" ca="1" si="11"/>
        <v>0</v>
      </c>
      <c r="BD44" s="32">
        <v>25</v>
      </c>
      <c r="BE44" s="32">
        <v>3</v>
      </c>
      <c r="BF44" s="32">
        <v>1</v>
      </c>
      <c r="BG44" s="34">
        <f t="shared" ca="1" si="20"/>
        <v>2021</v>
      </c>
      <c r="BH44" s="32" t="str">
        <f ca="1">IF(MOD(MONTH($D$14)+$BD44-1,12)=Paraméterek!$C$288,"Igen","")</f>
        <v/>
      </c>
      <c r="BI44" s="13">
        <f ca="1">IF($BH44="Igen",MIN(ROUNDDOWN((SUMIF($BG$20:$BG$1027,$BG44-1,$K$20:$K$1027)-SUMIF($BG$20:$BG$1027,$BG44-1,$I$20:$I$1027))*Paraméterek!$C$289,IF($D$4="Forint",0,2)),IF($D$4="Forint",Paraméterek!$C$285,Paraméterek!$D$285)),0)</f>
        <v>0</v>
      </c>
      <c r="BJ44" s="13">
        <f t="shared" ca="1" si="12"/>
        <v>0</v>
      </c>
      <c r="BK44" s="13">
        <f t="shared" ca="1" si="21"/>
        <v>0</v>
      </c>
      <c r="BL44" s="33"/>
      <c r="BM44" s="13">
        <f t="shared" ca="1" si="13"/>
        <v>0</v>
      </c>
      <c r="BN44" s="13">
        <f ca="1">ROUNDUP(($BK44+$BM44)*VLOOKUP($BE44,Paraméterek!$P$38:$Q$38,2)/12*IF($D45="Nem",IF($M$13=0,1,$M$13),1),IF($D$4="Forint",0,2))</f>
        <v>0</v>
      </c>
      <c r="BO44" s="13">
        <f t="shared" ca="1" si="14"/>
        <v>0</v>
      </c>
      <c r="BP44" s="13">
        <f ca="1">IF($D45="Nem",$BO44,$BO44-ROUNDUP(SUM($BI$20:$BI44)*120%,IF($D$4="Forint",0,2)))</f>
        <v>0</v>
      </c>
    </row>
    <row r="45" spans="1:68" x14ac:dyDescent="0.2">
      <c r="A45" s="32">
        <v>26</v>
      </c>
      <c r="B45" s="32">
        <v>3</v>
      </c>
      <c r="C45" s="32">
        <v>2</v>
      </c>
      <c r="D45" s="32" t="str">
        <f t="shared" ca="1" si="0"/>
        <v>Nem</v>
      </c>
      <c r="E45" s="13">
        <f t="shared" ca="1" si="1"/>
        <v>0</v>
      </c>
      <c r="F45" s="13"/>
      <c r="G45" s="13"/>
      <c r="H45" s="13"/>
      <c r="I45" s="13">
        <f t="shared" ca="1" si="2"/>
        <v>0</v>
      </c>
      <c r="J45" s="13">
        <f t="shared" ca="1" si="3"/>
        <v>0</v>
      </c>
      <c r="K45" s="13">
        <f t="shared" ca="1" si="4"/>
        <v>0</v>
      </c>
      <c r="L45" s="13" t="e">
        <f ca="1">ROUNDUP(IF($D$2="Egyszeri",$E45,IF($D$2="Havi",SUM($E$20:$E$31),IF(MOD($C45,$M$1)-1=0,SUM($E$20:$E$31),0))/12*$M$1)*VLOOKUP($B45,Paraméterek!$I$28:$P$31,IF($D$2="Egyszeri",8,HLOOKUP(ROUNDUP($M$11+$M$13,0),Paraméterek!$J$26:$O$27,2))),IF($D$4="Forint",0,2))</f>
        <v>#N/A</v>
      </c>
      <c r="M45" s="13">
        <f t="shared" ca="1" si="5"/>
        <v>0</v>
      </c>
      <c r="N45" s="13">
        <f t="shared" ca="1" si="15"/>
        <v>0</v>
      </c>
      <c r="O45" s="13">
        <f ca="1">IF($D45="Igen",IF($W44&gt;=IF($D$4="Forint",Paraméterek!$J$121,Paraméterek!$K$121),0,IF($D$4="Forint",Paraméterek!$J$121,Paraméterek!$K$121)-$W44),0)</f>
        <v>0</v>
      </c>
      <c r="P45" s="13" t="e">
        <f ca="1">ROUNDUP($O45*VLOOKUP($M$4+$B45-1,Paraméterek!$H$58:$I$105,2,0)/Paraméterek!$I$56,IF($D$4="Forint",0,2))</f>
        <v>#N/A</v>
      </c>
      <c r="Q45" s="13">
        <f t="shared" ca="1" si="6"/>
        <v>0</v>
      </c>
      <c r="R45" s="33"/>
      <c r="S45" s="13" t="e">
        <f t="shared" ca="1" si="7"/>
        <v>#N/A</v>
      </c>
      <c r="T45" s="13" t="e">
        <f ca="1">ROUNDUP(($N45-$P45-$Q45+$S45)*VLOOKUP($B45,Paraméterek!$I$38:$K$39,IF($D$2="Egyszeri",3,2))/12*IF($D46="Nem",IF($M$13=0,1,$M$13),1),IF($D$4="Forint",0,2))</f>
        <v>#N/A</v>
      </c>
      <c r="U45" s="13"/>
      <c r="V45" s="13"/>
      <c r="W45" s="13" t="e">
        <f ca="1">$N45-$P45-$Q45+$S45-$T45-IF(ROUNDUP(IF(ISBLANK($V45),$U45*0,$V45)/IF($D$2="Egyszeri",VLOOKUP($B45+IF($C45=12,1,0),Paraméterek!$V$257:$W$262,2),IF($B45=1,1,VLOOKUP($B45+IF($C45=12,1,0),Paraméterek!$I$258:$T$278,HLOOKUP($M$11+1,Paraméterek!$J$256:$T$257,2)))),IF($D$4="Forint",0,2))&gt;$N45-$P45-$Q45+$S45-$T45-IF($D$4="Forint",Paraméterek!$C$216,Paraméterek!$D$216),0,ROUNDUP(IF(ISBLANK($V45),$U45*0,$V45)/IF($D$2="Egyszeri",VLOOKUP($B45+IF($C45=12,1,0),Paraméterek!$V$257:$W$262,2),IF($B45=1,1,VLOOKUP($B45+IF($C45=12,1,0),Paraméterek!$I$258:$T$278,HLOOKUP($M$11+1,Paraméterek!$J$256:$T$257,2)))),IF($D$4="Forint",0,2)))</f>
        <v>#N/A</v>
      </c>
      <c r="X45" s="13" t="e">
        <f ca="1">ROUNDDOWN($W45*IF($D$2="Egyszeri",VLOOKUP($B45+IF($C45=12,1,0),Paraméterek!$V$257:$W$262,2),VLOOKUP($B45+IF($C45=12,1,0),Paraméterek!$I$258:$T$278,HLOOKUP($M$11+1,Paraméterek!$I$256:$T$257,2))),IF($D$4="Forint",0,2))</f>
        <v>#N/A</v>
      </c>
      <c r="Z45" s="32">
        <v>26</v>
      </c>
      <c r="AA45" s="32">
        <v>3</v>
      </c>
      <c r="AB45" s="32">
        <v>2</v>
      </c>
      <c r="AC45" s="13">
        <f t="shared" ca="1" si="16"/>
        <v>0</v>
      </c>
      <c r="AD45" s="33"/>
      <c r="AE45" s="13">
        <f t="shared" ca="1" si="8"/>
        <v>0</v>
      </c>
      <c r="AF45" s="13">
        <f ca="1">ROUNDUP(($AC45+$AE45)*VLOOKUP($AA45,Paraméterek!$P$38:$Q$38,2)/12*IF($D46="Nem",IF($M$13=0,1,$M$13),1),IF($D$4="Forint",0,2))</f>
        <v>0</v>
      </c>
      <c r="AG45" s="13">
        <f ca="1">IF($D$2="Egyszeri",IF($D$7&gt;=IF($D$4="Forint",Paraméterek!$P$223,Paraméterek!$P$224),$D$7-IF($D$4="Forint",Paraméterek!$P$223,Paraméterek!$P$224),0),MIN(IF($AB45=12,AVERAGEIF($E$20:$E45,"&gt;0",$E$20:$E45)*12,0),SUM($E$20:$E$31)))</f>
        <v>0</v>
      </c>
      <c r="AH45" s="13">
        <f>IF($AA45=10,$AG45*IF($AB45=12,IF($AG45&lt;IF($D$4="Forint",Paraméterek!$L$223,Paraméterek!$L$224),0,VLOOKUP($AA45,Paraméterek!$K$226:$M$228,IF($AG45&lt;IF($D$4="Forint",Paraméterek!$M$223,Paraméterek!$M$224),2,3))),0),0)</f>
        <v>0</v>
      </c>
      <c r="AI45" s="13">
        <f ca="1">IF(AND($AA45=$M$11+1,$AB45=$M$12+1),SUMIF($AA$20:$AA$1027,$AA45,$AG$20:$AG$1027)*IF(SUMIF($AA$20:$AA$1027,$AA45,$AG$20:$AG$1027)&lt;IF($D$4="Forint",Paraméterek!$L$223,Paraméterek!$L$224),0,VLOOKUP($AA45,Paraméterek!$K$230:$M$250,IF(SUMIF($AA$20:$AA$1027,$AA45,$AG$20:$AG$1027)&lt;IF($D$4="Forint",Paraméterek!$M$223,Paraméterek!$M$224),2,3))),0)</f>
        <v>0</v>
      </c>
      <c r="AJ45" s="13">
        <f ca="1">IF(AND($AA45&gt;=5,MOD($AA45,5)=0),IF($AB45=12,VLOOKUP($AA45,Paraméterek!$O$225:$P$240,2),0),IF(OR($AA45=3,$AA45=4),IF($AB45=12,VLOOKUP($AA45,Paraméterek!$O$225:$P$240,2,0),0),0))*$AG45</f>
        <v>0</v>
      </c>
      <c r="AK45" s="13">
        <f t="shared" ca="1" si="9"/>
        <v>0</v>
      </c>
      <c r="AL45" s="13">
        <f t="shared" ca="1" si="17"/>
        <v>0</v>
      </c>
      <c r="AM45" s="13">
        <f t="shared" ca="1" si="18"/>
        <v>0</v>
      </c>
      <c r="AO45" s="32">
        <v>26</v>
      </c>
      <c r="AP45" s="32">
        <v>3</v>
      </c>
      <c r="AQ45" s="32">
        <v>2</v>
      </c>
      <c r="AR45" s="13"/>
      <c r="AS45" s="32"/>
      <c r="AT45" s="13">
        <f t="shared" ca="1" si="19"/>
        <v>0</v>
      </c>
      <c r="AU45" s="33"/>
      <c r="AV45" s="13">
        <f t="shared" ca="1" si="10"/>
        <v>0</v>
      </c>
      <c r="AW45" s="13">
        <f ca="1">ROUNDUP(($AT45+$AV45)*VLOOKUP($AP45,Paraméterek!$P$38:$Q$38,2)/12*IF($D46="Nem",IF($M$13=0,1,$M$13),1),IF($D$4="Forint",0,2))</f>
        <v>0</v>
      </c>
      <c r="AX45" s="13"/>
      <c r="AY45" s="13"/>
      <c r="AZ45" s="13">
        <f>ROUNDUP(IF(SUM($AX45:$AY45)=0,0,IF(IF(ISBLANK($AY45),$AX45,$AY45)*Paraméterek!$J$112&lt;IF($D$4="Forint",Paraméterek!$J$113,Paraméterek!$K$113),IF($D$4="Forint",Paraméterek!$J$113,Paraméterek!$K$113),IF(IF(ISBLANK($AY45),$AX45,$AY45)*Paraméterek!$J$112&gt;IF($D$4="Forint",Paraméterek!$J$114,Paraméterek!$K$114),IF($D$4="Forint",Paraméterek!$J$114,Paraméterek!$K$114),IF(ISBLANK($AY45),$AX45,$AY45)*Paraméterek!$J$112))),IF($D$4="Forint",0,2))</f>
        <v>0</v>
      </c>
      <c r="BA45" s="13">
        <f ca="1">$AT45+$AV45-$AW45-IF(ROUNDDOWN(IF(ISBLANK($AY45),$AX45,$AY45),IF($D$4="Forint",0,2))&gt;$AT45+$AV45-$AW45-IF($D$4="Forint",Paraméterek!$J$114,Paraméterek!$K$114),0,ROUNDDOWN(IF(ISBLANK($AY45),$AX45,$AY45),IF($D$4="Forint",0,2))-$AZ45)</f>
        <v>0</v>
      </c>
      <c r="BB45" s="13">
        <f t="shared" ca="1" si="11"/>
        <v>0</v>
      </c>
      <c r="BD45" s="32">
        <v>26</v>
      </c>
      <c r="BE45" s="32">
        <v>3</v>
      </c>
      <c r="BF45" s="32">
        <v>2</v>
      </c>
      <c r="BG45" s="34">
        <f t="shared" ca="1" si="20"/>
        <v>2021</v>
      </c>
      <c r="BH45" s="32" t="str">
        <f ca="1">IF(MOD(MONTH($D$14)+$BD45-1,12)=Paraméterek!$C$288,"Igen","")</f>
        <v>Igen</v>
      </c>
      <c r="BI45" s="13">
        <f ca="1">IF($BH45="Igen",MIN(ROUNDDOWN((SUMIF($BG$20:$BG$1027,$BG45-1,$K$20:$K$1027)-SUMIF($BG$20:$BG$1027,$BG45-1,$I$20:$I$1027))*Paraméterek!$C$289,IF($D$4="Forint",0,2)),IF($D$4="Forint",Paraméterek!$C$285,Paraméterek!$D$285)),0)</f>
        <v>0</v>
      </c>
      <c r="BJ45" s="13">
        <f t="shared" ca="1" si="12"/>
        <v>0</v>
      </c>
      <c r="BK45" s="13">
        <f t="shared" ca="1" si="21"/>
        <v>0</v>
      </c>
      <c r="BL45" s="33"/>
      <c r="BM45" s="13">
        <f t="shared" ca="1" si="13"/>
        <v>0</v>
      </c>
      <c r="BN45" s="13">
        <f ca="1">ROUNDUP(($BK45+$BM45)*VLOOKUP($BE45,Paraméterek!$P$38:$Q$38,2)/12*IF($D46="Nem",IF($M$13=0,1,$M$13),1),IF($D$4="Forint",0,2))</f>
        <v>0</v>
      </c>
      <c r="BO45" s="13">
        <f t="shared" ca="1" si="14"/>
        <v>0</v>
      </c>
      <c r="BP45" s="13">
        <f ca="1">IF($D46="Nem",$BO45,$BO45-ROUNDUP(SUM($BI$20:$BI45)*120%,IF($D$4="Forint",0,2)))</f>
        <v>0</v>
      </c>
    </row>
    <row r="46" spans="1:68" x14ac:dyDescent="0.2">
      <c r="A46" s="32">
        <v>27</v>
      </c>
      <c r="B46" s="32">
        <v>3</v>
      </c>
      <c r="C46" s="32">
        <v>3</v>
      </c>
      <c r="D46" s="32" t="str">
        <f t="shared" ca="1" si="0"/>
        <v>Nem</v>
      </c>
      <c r="E46" s="13">
        <f t="shared" ca="1" si="1"/>
        <v>0</v>
      </c>
      <c r="F46" s="13"/>
      <c r="G46" s="13"/>
      <c r="H46" s="13"/>
      <c r="I46" s="13">
        <f t="shared" ca="1" si="2"/>
        <v>0</v>
      </c>
      <c r="J46" s="13">
        <f t="shared" ca="1" si="3"/>
        <v>0</v>
      </c>
      <c r="K46" s="13">
        <f t="shared" ca="1" si="4"/>
        <v>0</v>
      </c>
      <c r="L46" s="13" t="e">
        <f ca="1">ROUNDUP(IF($D$2="Egyszeri",$E46,IF($D$2="Havi",SUM($E$20:$E$31),IF(MOD($C46,$M$1)-1=0,SUM($E$20:$E$31),0))/12*$M$1)*VLOOKUP($B46,Paraméterek!$I$28:$P$31,IF($D$2="Egyszeri",8,HLOOKUP(ROUNDUP($M$11+$M$13,0),Paraméterek!$J$26:$O$27,2))),IF($D$4="Forint",0,2))</f>
        <v>#N/A</v>
      </c>
      <c r="M46" s="13">
        <f t="shared" ca="1" si="5"/>
        <v>0</v>
      </c>
      <c r="N46" s="13">
        <f t="shared" ca="1" si="15"/>
        <v>0</v>
      </c>
      <c r="O46" s="13">
        <f ca="1">IF($D46="Igen",IF($W45&gt;=IF($D$4="Forint",Paraméterek!$J$121,Paraméterek!$K$121),0,IF($D$4="Forint",Paraméterek!$J$121,Paraméterek!$K$121)-$W45),0)</f>
        <v>0</v>
      </c>
      <c r="P46" s="13" t="e">
        <f ca="1">ROUNDUP($O46*VLOOKUP($M$4+$B46-1,Paraméterek!$H$58:$I$105,2,0)/Paraméterek!$I$56,IF($D$4="Forint",0,2))</f>
        <v>#N/A</v>
      </c>
      <c r="Q46" s="13">
        <f t="shared" ca="1" si="6"/>
        <v>0</v>
      </c>
      <c r="R46" s="33"/>
      <c r="S46" s="13" t="e">
        <f t="shared" ca="1" si="7"/>
        <v>#N/A</v>
      </c>
      <c r="T46" s="13" t="e">
        <f ca="1">ROUNDUP(($N46-$P46-$Q46+$S46)*VLOOKUP($B46,Paraméterek!$I$38:$K$39,IF($D$2="Egyszeri",3,2))/12*IF($D47="Nem",IF($M$13=0,1,$M$13),1),IF($D$4="Forint",0,2))</f>
        <v>#N/A</v>
      </c>
      <c r="U46" s="13"/>
      <c r="V46" s="13"/>
      <c r="W46" s="13" t="e">
        <f ca="1">$N46-$P46-$Q46+$S46-$T46-IF(ROUNDUP(IF(ISBLANK($V46),$U46*0,$V46)/IF($D$2="Egyszeri",VLOOKUP($B46+IF($C46=12,1,0),Paraméterek!$V$257:$W$262,2),IF($B46=1,1,VLOOKUP($B46+IF($C46=12,1,0),Paraméterek!$I$258:$T$278,HLOOKUP($M$11+1,Paraméterek!$J$256:$T$257,2)))),IF($D$4="Forint",0,2))&gt;$N46-$P46-$Q46+$S46-$T46-IF($D$4="Forint",Paraméterek!$C$216,Paraméterek!$D$216),0,ROUNDUP(IF(ISBLANK($V46),$U46*0,$V46)/IF($D$2="Egyszeri",VLOOKUP($B46+IF($C46=12,1,0),Paraméterek!$V$257:$W$262,2),IF($B46=1,1,VLOOKUP($B46+IF($C46=12,1,0),Paraméterek!$I$258:$T$278,HLOOKUP($M$11+1,Paraméterek!$J$256:$T$257,2)))),IF($D$4="Forint",0,2)))</f>
        <v>#N/A</v>
      </c>
      <c r="X46" s="13" t="e">
        <f ca="1">ROUNDDOWN($W46*IF($D$2="Egyszeri",VLOOKUP($B46+IF($C46=12,1,0),Paraméterek!$V$257:$W$262,2),VLOOKUP($B46+IF($C46=12,1,0),Paraméterek!$I$258:$T$278,HLOOKUP($M$11+1,Paraméterek!$I$256:$T$257,2))),IF($D$4="Forint",0,2))</f>
        <v>#N/A</v>
      </c>
      <c r="Z46" s="32">
        <v>27</v>
      </c>
      <c r="AA46" s="32">
        <v>3</v>
      </c>
      <c r="AB46" s="32">
        <v>3</v>
      </c>
      <c r="AC46" s="13">
        <f t="shared" ca="1" si="16"/>
        <v>0</v>
      </c>
      <c r="AD46" s="33"/>
      <c r="AE46" s="13">
        <f t="shared" ca="1" si="8"/>
        <v>0</v>
      </c>
      <c r="AF46" s="13">
        <f ca="1">ROUNDUP(($AC46+$AE46)*VLOOKUP($AA46,Paraméterek!$P$38:$Q$38,2)/12*IF($D47="Nem",IF($M$13=0,1,$M$13),1),IF($D$4="Forint",0,2))</f>
        <v>0</v>
      </c>
      <c r="AG46" s="13">
        <f ca="1">IF($D$2="Egyszeri",IF($D$7&gt;=IF($D$4="Forint",Paraméterek!$P$223,Paraméterek!$P$224),$D$7-IF($D$4="Forint",Paraméterek!$P$223,Paraméterek!$P$224),0),MIN(IF($AB46=12,AVERAGEIF($E$20:$E46,"&gt;0",$E$20:$E46)*12,0),SUM($E$20:$E$31)))</f>
        <v>0</v>
      </c>
      <c r="AH46" s="13">
        <f>IF($AA46=10,$AG46*IF($AB46=12,IF($AG46&lt;IF($D$4="Forint",Paraméterek!$L$223,Paraméterek!$L$224),0,VLOOKUP($AA46,Paraméterek!$K$226:$M$228,IF($AG46&lt;IF($D$4="Forint",Paraméterek!$M$223,Paraméterek!$M$224),2,3))),0),0)</f>
        <v>0</v>
      </c>
      <c r="AI46" s="13">
        <f ca="1">IF(AND($AA46=$M$11+1,$AB46=$M$12+1),SUMIF($AA$20:$AA$1027,$AA46,$AG$20:$AG$1027)*IF(SUMIF($AA$20:$AA$1027,$AA46,$AG$20:$AG$1027)&lt;IF($D$4="Forint",Paraméterek!$L$223,Paraméterek!$L$224),0,VLOOKUP($AA46,Paraméterek!$K$230:$M$250,IF(SUMIF($AA$20:$AA$1027,$AA46,$AG$20:$AG$1027)&lt;IF($D$4="Forint",Paraméterek!$M$223,Paraméterek!$M$224),2,3))),0)</f>
        <v>0</v>
      </c>
      <c r="AJ46" s="13">
        <f ca="1">IF(AND($AA46&gt;=5,MOD($AA46,5)=0),IF($AB46=12,VLOOKUP($AA46,Paraméterek!$O$225:$P$240,2),0),IF(OR($AA46=3,$AA46=4),IF($AB46=12,VLOOKUP($AA46,Paraméterek!$O$225:$P$240,2,0),0),0))*$AG46</f>
        <v>0</v>
      </c>
      <c r="AK46" s="13">
        <f t="shared" ca="1" si="9"/>
        <v>0</v>
      </c>
      <c r="AL46" s="13">
        <f t="shared" ca="1" si="17"/>
        <v>0</v>
      </c>
      <c r="AM46" s="13">
        <f t="shared" ca="1" si="18"/>
        <v>0</v>
      </c>
      <c r="AO46" s="32">
        <v>27</v>
      </c>
      <c r="AP46" s="32">
        <v>3</v>
      </c>
      <c r="AQ46" s="32">
        <v>3</v>
      </c>
      <c r="AR46" s="13"/>
      <c r="AS46" s="32"/>
      <c r="AT46" s="13">
        <f t="shared" ca="1" si="19"/>
        <v>0</v>
      </c>
      <c r="AU46" s="33"/>
      <c r="AV46" s="13">
        <f t="shared" ca="1" si="10"/>
        <v>0</v>
      </c>
      <c r="AW46" s="13">
        <f ca="1">ROUNDUP(($AT46+$AV46)*VLOOKUP($AP46,Paraméterek!$P$38:$Q$38,2)/12*IF($D47="Nem",IF($M$13=0,1,$M$13),1),IF($D$4="Forint",0,2))</f>
        <v>0</v>
      </c>
      <c r="AX46" s="13"/>
      <c r="AY46" s="13"/>
      <c r="AZ46" s="13">
        <f>ROUNDUP(IF(SUM($AX46:$AY46)=0,0,IF(IF(ISBLANK($AY46),$AX46,$AY46)*Paraméterek!$J$112&lt;IF($D$4="Forint",Paraméterek!$J$113,Paraméterek!$K$113),IF($D$4="Forint",Paraméterek!$J$113,Paraméterek!$K$113),IF(IF(ISBLANK($AY46),$AX46,$AY46)*Paraméterek!$J$112&gt;IF($D$4="Forint",Paraméterek!$J$114,Paraméterek!$K$114),IF($D$4="Forint",Paraméterek!$J$114,Paraméterek!$K$114),IF(ISBLANK($AY46),$AX46,$AY46)*Paraméterek!$J$112))),IF($D$4="Forint",0,2))</f>
        <v>0</v>
      </c>
      <c r="BA46" s="13">
        <f ca="1">$AT46+$AV46-$AW46-IF(ROUNDDOWN(IF(ISBLANK($AY46),$AX46,$AY46),IF($D$4="Forint",0,2))&gt;$AT46+$AV46-$AW46-IF($D$4="Forint",Paraméterek!$J$114,Paraméterek!$K$114),0,ROUNDDOWN(IF(ISBLANK($AY46),$AX46,$AY46),IF($D$4="Forint",0,2))-$AZ46)</f>
        <v>0</v>
      </c>
      <c r="BB46" s="13">
        <f t="shared" ca="1" si="11"/>
        <v>0</v>
      </c>
      <c r="BD46" s="32">
        <v>27</v>
      </c>
      <c r="BE46" s="32">
        <v>3</v>
      </c>
      <c r="BF46" s="32">
        <v>3</v>
      </c>
      <c r="BG46" s="34">
        <f t="shared" ca="1" si="20"/>
        <v>2021</v>
      </c>
      <c r="BH46" s="32" t="str">
        <f ca="1">IF(MOD(MONTH($D$14)+$BD46-1,12)=Paraméterek!$C$288,"Igen","")</f>
        <v/>
      </c>
      <c r="BI46" s="13">
        <f ca="1">IF($BH46="Igen",MIN(ROUNDDOWN((SUMIF($BG$20:$BG$1027,$BG46-1,$K$20:$K$1027)-SUMIF($BG$20:$BG$1027,$BG46-1,$I$20:$I$1027))*Paraméterek!$C$289,IF($D$4="Forint",0,2)),IF($D$4="Forint",Paraméterek!$C$285,Paraméterek!$D$285)),0)</f>
        <v>0</v>
      </c>
      <c r="BJ46" s="13">
        <f t="shared" ca="1" si="12"/>
        <v>0</v>
      </c>
      <c r="BK46" s="13">
        <f t="shared" ca="1" si="21"/>
        <v>0</v>
      </c>
      <c r="BL46" s="33"/>
      <c r="BM46" s="13">
        <f t="shared" ca="1" si="13"/>
        <v>0</v>
      </c>
      <c r="BN46" s="13">
        <f ca="1">ROUNDUP(($BK46+$BM46)*VLOOKUP($BE46,Paraméterek!$P$38:$Q$38,2)/12*IF($D47="Nem",IF($M$13=0,1,$M$13),1),IF($D$4="Forint",0,2))</f>
        <v>0</v>
      </c>
      <c r="BO46" s="13">
        <f t="shared" ca="1" si="14"/>
        <v>0</v>
      </c>
      <c r="BP46" s="13">
        <f ca="1">IF($D47="Nem",$BO46,$BO46-ROUNDUP(SUM($BI$20:$BI46)*120%,IF($D$4="Forint",0,2)))</f>
        <v>0</v>
      </c>
    </row>
    <row r="47" spans="1:68" x14ac:dyDescent="0.2">
      <c r="A47" s="32">
        <v>28</v>
      </c>
      <c r="B47" s="32">
        <v>3</v>
      </c>
      <c r="C47" s="32">
        <v>4</v>
      </c>
      <c r="D47" s="32" t="str">
        <f t="shared" ca="1" si="0"/>
        <v>Nem</v>
      </c>
      <c r="E47" s="13">
        <f t="shared" ca="1" si="1"/>
        <v>0</v>
      </c>
      <c r="F47" s="13"/>
      <c r="G47" s="13"/>
      <c r="H47" s="13"/>
      <c r="I47" s="13">
        <f t="shared" ca="1" si="2"/>
        <v>0</v>
      </c>
      <c r="J47" s="13">
        <f t="shared" ca="1" si="3"/>
        <v>0</v>
      </c>
      <c r="K47" s="13">
        <f t="shared" ca="1" si="4"/>
        <v>0</v>
      </c>
      <c r="L47" s="13" t="e">
        <f ca="1">ROUNDUP(IF($D$2="Egyszeri",$E47,IF($D$2="Havi",SUM($E$20:$E$31),IF(MOD($C47,$M$1)-1=0,SUM($E$20:$E$31),0))/12*$M$1)*VLOOKUP($B47,Paraméterek!$I$28:$P$31,IF($D$2="Egyszeri",8,HLOOKUP(ROUNDUP($M$11+$M$13,0),Paraméterek!$J$26:$O$27,2))),IF($D$4="Forint",0,2))</f>
        <v>#N/A</v>
      </c>
      <c r="M47" s="13">
        <f t="shared" ca="1" si="5"/>
        <v>0</v>
      </c>
      <c r="N47" s="13">
        <f t="shared" ca="1" si="15"/>
        <v>0</v>
      </c>
      <c r="O47" s="13">
        <f ca="1">IF($D47="Igen",IF($W46&gt;=IF($D$4="Forint",Paraméterek!$J$121,Paraméterek!$K$121),0,IF($D$4="Forint",Paraméterek!$J$121,Paraméterek!$K$121)-$W46),0)</f>
        <v>0</v>
      </c>
      <c r="P47" s="13" t="e">
        <f ca="1">ROUNDUP($O47*VLOOKUP($M$4+$B47-1,Paraméterek!$H$58:$I$105,2,0)/Paraméterek!$I$56,IF($D$4="Forint",0,2))</f>
        <v>#N/A</v>
      </c>
      <c r="Q47" s="13">
        <f t="shared" ca="1" si="6"/>
        <v>0</v>
      </c>
      <c r="R47" s="33"/>
      <c r="S47" s="13" t="e">
        <f t="shared" ca="1" si="7"/>
        <v>#N/A</v>
      </c>
      <c r="T47" s="13" t="e">
        <f ca="1">ROUNDUP(($N47-$P47-$Q47+$S47)*VLOOKUP($B47,Paraméterek!$I$38:$K$39,IF($D$2="Egyszeri",3,2))/12*IF($D48="Nem",IF($M$13=0,1,$M$13),1),IF($D$4="Forint",0,2))</f>
        <v>#N/A</v>
      </c>
      <c r="U47" s="13"/>
      <c r="V47" s="13"/>
      <c r="W47" s="13" t="e">
        <f ca="1">$N47-$P47-$Q47+$S47-$T47-IF(ROUNDUP(IF(ISBLANK($V47),$U47*0,$V47)/IF($D$2="Egyszeri",VLOOKUP($B47+IF($C47=12,1,0),Paraméterek!$V$257:$W$262,2),IF($B47=1,1,VLOOKUP($B47+IF($C47=12,1,0),Paraméterek!$I$258:$T$278,HLOOKUP($M$11+1,Paraméterek!$J$256:$T$257,2)))),IF($D$4="Forint",0,2))&gt;$N47-$P47-$Q47+$S47-$T47-IF($D$4="Forint",Paraméterek!$C$216,Paraméterek!$D$216),0,ROUNDUP(IF(ISBLANK($V47),$U47*0,$V47)/IF($D$2="Egyszeri",VLOOKUP($B47+IF($C47=12,1,0),Paraméterek!$V$257:$W$262,2),IF($B47=1,1,VLOOKUP($B47+IF($C47=12,1,0),Paraméterek!$I$258:$T$278,HLOOKUP($M$11+1,Paraméterek!$J$256:$T$257,2)))),IF($D$4="Forint",0,2)))</f>
        <v>#N/A</v>
      </c>
      <c r="X47" s="13" t="e">
        <f ca="1">ROUNDDOWN($W47*IF($D$2="Egyszeri",VLOOKUP($B47+IF($C47=12,1,0),Paraméterek!$V$257:$W$262,2),VLOOKUP($B47+IF($C47=12,1,0),Paraméterek!$I$258:$T$278,HLOOKUP($M$11+1,Paraméterek!$I$256:$T$257,2))),IF($D$4="Forint",0,2))</f>
        <v>#N/A</v>
      </c>
      <c r="Z47" s="32">
        <v>28</v>
      </c>
      <c r="AA47" s="32">
        <v>3</v>
      </c>
      <c r="AB47" s="32">
        <v>4</v>
      </c>
      <c r="AC47" s="13">
        <f t="shared" ca="1" si="16"/>
        <v>0</v>
      </c>
      <c r="AD47" s="33"/>
      <c r="AE47" s="13">
        <f t="shared" ca="1" si="8"/>
        <v>0</v>
      </c>
      <c r="AF47" s="13">
        <f ca="1">ROUNDUP(($AC47+$AE47)*VLOOKUP($AA47,Paraméterek!$P$38:$Q$38,2)/12*IF($D48="Nem",IF($M$13=0,1,$M$13),1),IF($D$4="Forint",0,2))</f>
        <v>0</v>
      </c>
      <c r="AG47" s="13">
        <f ca="1">IF($D$2="Egyszeri",IF($D$7&gt;=IF($D$4="Forint",Paraméterek!$P$223,Paraméterek!$P$224),$D$7-IF($D$4="Forint",Paraméterek!$P$223,Paraméterek!$P$224),0),MIN(IF($AB47=12,AVERAGEIF($E$20:$E47,"&gt;0",$E$20:$E47)*12,0),SUM($E$20:$E$31)))</f>
        <v>0</v>
      </c>
      <c r="AH47" s="13">
        <f>IF($AA47=10,$AG47*IF($AB47=12,IF($AG47&lt;IF($D$4="Forint",Paraméterek!$L$223,Paraméterek!$L$224),0,VLOOKUP($AA47,Paraméterek!$K$226:$M$228,IF($AG47&lt;IF($D$4="Forint",Paraméterek!$M$223,Paraméterek!$M$224),2,3))),0),0)</f>
        <v>0</v>
      </c>
      <c r="AI47" s="13">
        <f ca="1">IF(AND($AA47=$M$11+1,$AB47=$M$12+1),SUMIF($AA$20:$AA$1027,$AA47,$AG$20:$AG$1027)*IF(SUMIF($AA$20:$AA$1027,$AA47,$AG$20:$AG$1027)&lt;IF($D$4="Forint",Paraméterek!$L$223,Paraméterek!$L$224),0,VLOOKUP($AA47,Paraméterek!$K$230:$M$250,IF(SUMIF($AA$20:$AA$1027,$AA47,$AG$20:$AG$1027)&lt;IF($D$4="Forint",Paraméterek!$M$223,Paraméterek!$M$224),2,3))),0)</f>
        <v>0</v>
      </c>
      <c r="AJ47" s="13">
        <f ca="1">IF(AND($AA47&gt;=5,MOD($AA47,5)=0),IF($AB47=12,VLOOKUP($AA47,Paraméterek!$O$225:$P$240,2),0),IF(OR($AA47=3,$AA47=4),IF($AB47=12,VLOOKUP($AA47,Paraméterek!$O$225:$P$240,2,0),0),0))*$AG47</f>
        <v>0</v>
      </c>
      <c r="AK47" s="13">
        <f t="shared" ca="1" si="9"/>
        <v>0</v>
      </c>
      <c r="AL47" s="13">
        <f t="shared" ca="1" si="17"/>
        <v>0</v>
      </c>
      <c r="AM47" s="13">
        <f t="shared" ca="1" si="18"/>
        <v>0</v>
      </c>
      <c r="AO47" s="32">
        <v>28</v>
      </c>
      <c r="AP47" s="32">
        <v>3</v>
      </c>
      <c r="AQ47" s="32">
        <v>4</v>
      </c>
      <c r="AR47" s="13"/>
      <c r="AS47" s="32"/>
      <c r="AT47" s="13">
        <f t="shared" ca="1" si="19"/>
        <v>0</v>
      </c>
      <c r="AU47" s="33"/>
      <c r="AV47" s="13">
        <f t="shared" ca="1" si="10"/>
        <v>0</v>
      </c>
      <c r="AW47" s="13">
        <f ca="1">ROUNDUP(($AT47+$AV47)*VLOOKUP($AP47,Paraméterek!$P$38:$Q$38,2)/12*IF($D48="Nem",IF($M$13=0,1,$M$13),1),IF($D$4="Forint",0,2))</f>
        <v>0</v>
      </c>
      <c r="AX47" s="13"/>
      <c r="AY47" s="13"/>
      <c r="AZ47" s="13">
        <f>ROUNDUP(IF(SUM($AX47:$AY47)=0,0,IF(IF(ISBLANK($AY47),$AX47,$AY47)*Paraméterek!$J$112&lt;IF($D$4="Forint",Paraméterek!$J$113,Paraméterek!$K$113),IF($D$4="Forint",Paraméterek!$J$113,Paraméterek!$K$113),IF(IF(ISBLANK($AY47),$AX47,$AY47)*Paraméterek!$J$112&gt;IF($D$4="Forint",Paraméterek!$J$114,Paraméterek!$K$114),IF($D$4="Forint",Paraméterek!$J$114,Paraméterek!$K$114),IF(ISBLANK($AY47),$AX47,$AY47)*Paraméterek!$J$112))),IF($D$4="Forint",0,2))</f>
        <v>0</v>
      </c>
      <c r="BA47" s="13">
        <f ca="1">$AT47+$AV47-$AW47-IF(ROUNDDOWN(IF(ISBLANK($AY47),$AX47,$AY47),IF($D$4="Forint",0,2))&gt;$AT47+$AV47-$AW47-IF($D$4="Forint",Paraméterek!$J$114,Paraméterek!$K$114),0,ROUNDDOWN(IF(ISBLANK($AY47),$AX47,$AY47),IF($D$4="Forint",0,2))-$AZ47)</f>
        <v>0</v>
      </c>
      <c r="BB47" s="13">
        <f t="shared" ca="1" si="11"/>
        <v>0</v>
      </c>
      <c r="BD47" s="32">
        <v>28</v>
      </c>
      <c r="BE47" s="32">
        <v>3</v>
      </c>
      <c r="BF47" s="32">
        <v>4</v>
      </c>
      <c r="BG47" s="34">
        <f t="shared" ca="1" si="20"/>
        <v>2021</v>
      </c>
      <c r="BH47" s="32" t="str">
        <f ca="1">IF(MOD(MONTH($D$14)+$BD47-1,12)=Paraméterek!$C$288,"Igen","")</f>
        <v/>
      </c>
      <c r="BI47" s="13">
        <f ca="1">IF($BH47="Igen",MIN(ROUNDDOWN((SUMIF($BG$20:$BG$1027,$BG47-1,$K$20:$K$1027)-SUMIF($BG$20:$BG$1027,$BG47-1,$I$20:$I$1027))*Paraméterek!$C$289,IF($D$4="Forint",0,2)),IF($D$4="Forint",Paraméterek!$C$285,Paraméterek!$D$285)),0)</f>
        <v>0</v>
      </c>
      <c r="BJ47" s="13">
        <f t="shared" ca="1" si="12"/>
        <v>0</v>
      </c>
      <c r="BK47" s="13">
        <f t="shared" ca="1" si="21"/>
        <v>0</v>
      </c>
      <c r="BL47" s="33"/>
      <c r="BM47" s="13">
        <f t="shared" ca="1" si="13"/>
        <v>0</v>
      </c>
      <c r="BN47" s="13">
        <f ca="1">ROUNDUP(($BK47+$BM47)*VLOOKUP($BE47,Paraméterek!$P$38:$Q$38,2)/12*IF($D48="Nem",IF($M$13=0,1,$M$13),1),IF($D$4="Forint",0,2))</f>
        <v>0</v>
      </c>
      <c r="BO47" s="13">
        <f t="shared" ca="1" si="14"/>
        <v>0</v>
      </c>
      <c r="BP47" s="13">
        <f ca="1">IF($D48="Nem",$BO47,$BO47-ROUNDUP(SUM($BI$20:$BI47)*120%,IF($D$4="Forint",0,2)))</f>
        <v>0</v>
      </c>
    </row>
    <row r="48" spans="1:68" x14ac:dyDescent="0.2">
      <c r="A48" s="32">
        <v>29</v>
      </c>
      <c r="B48" s="32">
        <v>3</v>
      </c>
      <c r="C48" s="32">
        <v>5</v>
      </c>
      <c r="D48" s="32" t="str">
        <f t="shared" ca="1" si="0"/>
        <v>Nem</v>
      </c>
      <c r="E48" s="13">
        <f t="shared" ca="1" si="1"/>
        <v>0</v>
      </c>
      <c r="F48" s="13"/>
      <c r="G48" s="13"/>
      <c r="H48" s="13"/>
      <c r="I48" s="13">
        <f t="shared" ca="1" si="2"/>
        <v>0</v>
      </c>
      <c r="J48" s="13">
        <f t="shared" ca="1" si="3"/>
        <v>0</v>
      </c>
      <c r="K48" s="13">
        <f t="shared" ca="1" si="4"/>
        <v>0</v>
      </c>
      <c r="L48" s="13" t="e">
        <f ca="1">ROUNDUP(IF($D$2="Egyszeri",$E48,IF($D$2="Havi",SUM($E$20:$E$31),IF(MOD($C48,$M$1)-1=0,SUM($E$20:$E$31),0))/12*$M$1)*VLOOKUP($B48,Paraméterek!$I$28:$P$31,IF($D$2="Egyszeri",8,HLOOKUP(ROUNDUP($M$11+$M$13,0),Paraméterek!$J$26:$O$27,2))),IF($D$4="Forint",0,2))</f>
        <v>#N/A</v>
      </c>
      <c r="M48" s="13">
        <f t="shared" ca="1" si="5"/>
        <v>0</v>
      </c>
      <c r="N48" s="13">
        <f t="shared" ca="1" si="15"/>
        <v>0</v>
      </c>
      <c r="O48" s="13">
        <f ca="1">IF($D48="Igen",IF($W47&gt;=IF($D$4="Forint",Paraméterek!$J$121,Paraméterek!$K$121),0,IF($D$4="Forint",Paraméterek!$J$121,Paraméterek!$K$121)-$W47),0)</f>
        <v>0</v>
      </c>
      <c r="P48" s="13" t="e">
        <f ca="1">ROUNDUP($O48*VLOOKUP($M$4+$B48-1,Paraméterek!$H$58:$I$105,2,0)/Paraméterek!$I$56,IF($D$4="Forint",0,2))</f>
        <v>#N/A</v>
      </c>
      <c r="Q48" s="13">
        <f t="shared" ca="1" si="6"/>
        <v>0</v>
      </c>
      <c r="R48" s="33"/>
      <c r="S48" s="13" t="e">
        <f t="shared" ca="1" si="7"/>
        <v>#N/A</v>
      </c>
      <c r="T48" s="13" t="e">
        <f ca="1">ROUNDUP(($N48-$P48-$Q48+$S48)*VLOOKUP($B48,Paraméterek!$I$38:$K$39,IF($D$2="Egyszeri",3,2))/12*IF($D49="Nem",IF($M$13=0,1,$M$13),1),IF($D$4="Forint",0,2))</f>
        <v>#N/A</v>
      </c>
      <c r="U48" s="13"/>
      <c r="V48" s="13"/>
      <c r="W48" s="13" t="e">
        <f ca="1">$N48-$P48-$Q48+$S48-$T48-IF(ROUNDUP(IF(ISBLANK($V48),$U48*0,$V48)/IF($D$2="Egyszeri",VLOOKUP($B48+IF($C48=12,1,0),Paraméterek!$V$257:$W$262,2),IF($B48=1,1,VLOOKUP($B48+IF($C48=12,1,0),Paraméterek!$I$258:$T$278,HLOOKUP($M$11+1,Paraméterek!$J$256:$T$257,2)))),IF($D$4="Forint",0,2))&gt;$N48-$P48-$Q48+$S48-$T48-IF($D$4="Forint",Paraméterek!$C$216,Paraméterek!$D$216),0,ROUNDUP(IF(ISBLANK($V48),$U48*0,$V48)/IF($D$2="Egyszeri",VLOOKUP($B48+IF($C48=12,1,0),Paraméterek!$V$257:$W$262,2),IF($B48=1,1,VLOOKUP($B48+IF($C48=12,1,0),Paraméterek!$I$258:$T$278,HLOOKUP($M$11+1,Paraméterek!$J$256:$T$257,2)))),IF($D$4="Forint",0,2)))</f>
        <v>#N/A</v>
      </c>
      <c r="X48" s="13" t="e">
        <f ca="1">ROUNDDOWN($W48*IF($D$2="Egyszeri",VLOOKUP($B48+IF($C48=12,1,0),Paraméterek!$V$257:$W$262,2),VLOOKUP($B48+IF($C48=12,1,0),Paraméterek!$I$258:$T$278,HLOOKUP($M$11+1,Paraméterek!$I$256:$T$257,2))),IF($D$4="Forint",0,2))</f>
        <v>#N/A</v>
      </c>
      <c r="Z48" s="32">
        <v>29</v>
      </c>
      <c r="AA48" s="32">
        <v>3</v>
      </c>
      <c r="AB48" s="32">
        <v>5</v>
      </c>
      <c r="AC48" s="13">
        <f t="shared" ca="1" si="16"/>
        <v>0</v>
      </c>
      <c r="AD48" s="33"/>
      <c r="AE48" s="13">
        <f t="shared" ca="1" si="8"/>
        <v>0</v>
      </c>
      <c r="AF48" s="13">
        <f ca="1">ROUNDUP(($AC48+$AE48)*VLOOKUP($AA48,Paraméterek!$P$38:$Q$38,2)/12*IF($D49="Nem",IF($M$13=0,1,$M$13),1),IF($D$4="Forint",0,2))</f>
        <v>0</v>
      </c>
      <c r="AG48" s="13">
        <f ca="1">IF($D$2="Egyszeri",IF($D$7&gt;=IF($D$4="Forint",Paraméterek!$P$223,Paraméterek!$P$224),$D$7-IF($D$4="Forint",Paraméterek!$P$223,Paraméterek!$P$224),0),MIN(IF($AB48=12,AVERAGEIF($E$20:$E48,"&gt;0",$E$20:$E48)*12,0),SUM($E$20:$E$31)))</f>
        <v>0</v>
      </c>
      <c r="AH48" s="13">
        <f>IF($AA48=10,$AG48*IF($AB48=12,IF($AG48&lt;IF($D$4="Forint",Paraméterek!$L$223,Paraméterek!$L$224),0,VLOOKUP($AA48,Paraméterek!$K$226:$M$228,IF($AG48&lt;IF($D$4="Forint",Paraméterek!$M$223,Paraméterek!$M$224),2,3))),0),0)</f>
        <v>0</v>
      </c>
      <c r="AI48" s="13">
        <f ca="1">IF(AND($AA48=$M$11+1,$AB48=$M$12+1),SUMIF($AA$20:$AA$1027,$AA48,$AG$20:$AG$1027)*IF(SUMIF($AA$20:$AA$1027,$AA48,$AG$20:$AG$1027)&lt;IF($D$4="Forint",Paraméterek!$L$223,Paraméterek!$L$224),0,VLOOKUP($AA48,Paraméterek!$K$230:$M$250,IF(SUMIF($AA$20:$AA$1027,$AA48,$AG$20:$AG$1027)&lt;IF($D$4="Forint",Paraméterek!$M$223,Paraméterek!$M$224),2,3))),0)</f>
        <v>0</v>
      </c>
      <c r="AJ48" s="13">
        <f ca="1">IF(AND($AA48&gt;=5,MOD($AA48,5)=0),IF($AB48=12,VLOOKUP($AA48,Paraméterek!$O$225:$P$240,2),0),IF(OR($AA48=3,$AA48=4),IF($AB48=12,VLOOKUP($AA48,Paraméterek!$O$225:$P$240,2,0),0),0))*$AG48</f>
        <v>0</v>
      </c>
      <c r="AK48" s="13">
        <f t="shared" ca="1" si="9"/>
        <v>0</v>
      </c>
      <c r="AL48" s="13">
        <f t="shared" ca="1" si="17"/>
        <v>0</v>
      </c>
      <c r="AM48" s="13">
        <f t="shared" ca="1" si="18"/>
        <v>0</v>
      </c>
      <c r="AO48" s="32">
        <v>29</v>
      </c>
      <c r="AP48" s="32">
        <v>3</v>
      </c>
      <c r="AQ48" s="32">
        <v>5</v>
      </c>
      <c r="AR48" s="13"/>
      <c r="AS48" s="32"/>
      <c r="AT48" s="13">
        <f t="shared" ca="1" si="19"/>
        <v>0</v>
      </c>
      <c r="AU48" s="33"/>
      <c r="AV48" s="13">
        <f t="shared" ca="1" si="10"/>
        <v>0</v>
      </c>
      <c r="AW48" s="13">
        <f ca="1">ROUNDUP(($AT48+$AV48)*VLOOKUP($AP48,Paraméterek!$P$38:$Q$38,2)/12*IF($D49="Nem",IF($M$13=0,1,$M$13),1),IF($D$4="Forint",0,2))</f>
        <v>0</v>
      </c>
      <c r="AX48" s="13"/>
      <c r="AY48" s="13"/>
      <c r="AZ48" s="13">
        <f>ROUNDUP(IF(SUM($AX48:$AY48)=0,0,IF(IF(ISBLANK($AY48),$AX48,$AY48)*Paraméterek!$J$112&lt;IF($D$4="Forint",Paraméterek!$J$113,Paraméterek!$K$113),IF($D$4="Forint",Paraméterek!$J$113,Paraméterek!$K$113),IF(IF(ISBLANK($AY48),$AX48,$AY48)*Paraméterek!$J$112&gt;IF($D$4="Forint",Paraméterek!$J$114,Paraméterek!$K$114),IF($D$4="Forint",Paraméterek!$J$114,Paraméterek!$K$114),IF(ISBLANK($AY48),$AX48,$AY48)*Paraméterek!$J$112))),IF($D$4="Forint",0,2))</f>
        <v>0</v>
      </c>
      <c r="BA48" s="13">
        <f ca="1">$AT48+$AV48-$AW48-IF(ROUNDDOWN(IF(ISBLANK($AY48),$AX48,$AY48),IF($D$4="Forint",0,2))&gt;$AT48+$AV48-$AW48-IF($D$4="Forint",Paraméterek!$J$114,Paraméterek!$K$114),0,ROUNDDOWN(IF(ISBLANK($AY48),$AX48,$AY48),IF($D$4="Forint",0,2))-$AZ48)</f>
        <v>0</v>
      </c>
      <c r="BB48" s="13">
        <f t="shared" ca="1" si="11"/>
        <v>0</v>
      </c>
      <c r="BD48" s="32">
        <v>29</v>
      </c>
      <c r="BE48" s="32">
        <v>3</v>
      </c>
      <c r="BF48" s="32">
        <v>5</v>
      </c>
      <c r="BG48" s="34">
        <f t="shared" ca="1" si="20"/>
        <v>2021</v>
      </c>
      <c r="BH48" s="32" t="str">
        <f ca="1">IF(MOD(MONTH($D$14)+$BD48-1,12)=Paraméterek!$C$288,"Igen","")</f>
        <v/>
      </c>
      <c r="BI48" s="13">
        <f ca="1">IF($BH48="Igen",MIN(ROUNDDOWN((SUMIF($BG$20:$BG$1027,$BG48-1,$K$20:$K$1027)-SUMIF($BG$20:$BG$1027,$BG48-1,$I$20:$I$1027))*Paraméterek!$C$289,IF($D$4="Forint",0,2)),IF($D$4="Forint",Paraméterek!$C$285,Paraméterek!$D$285)),0)</f>
        <v>0</v>
      </c>
      <c r="BJ48" s="13">
        <f t="shared" ca="1" si="12"/>
        <v>0</v>
      </c>
      <c r="BK48" s="13">
        <f t="shared" ca="1" si="21"/>
        <v>0</v>
      </c>
      <c r="BL48" s="33"/>
      <c r="BM48" s="13">
        <f t="shared" ca="1" si="13"/>
        <v>0</v>
      </c>
      <c r="BN48" s="13">
        <f ca="1">ROUNDUP(($BK48+$BM48)*VLOOKUP($BE48,Paraméterek!$P$38:$Q$38,2)/12*IF($D49="Nem",IF($M$13=0,1,$M$13),1),IF($D$4="Forint",0,2))</f>
        <v>0</v>
      </c>
      <c r="BO48" s="13">
        <f t="shared" ca="1" si="14"/>
        <v>0</v>
      </c>
      <c r="BP48" s="13">
        <f ca="1">IF($D49="Nem",$BO48,$BO48-ROUNDUP(SUM($BI$20:$BI48)*120%,IF($D$4="Forint",0,2)))</f>
        <v>0</v>
      </c>
    </row>
    <row r="49" spans="1:68" x14ac:dyDescent="0.2">
      <c r="A49" s="32">
        <v>30</v>
      </c>
      <c r="B49" s="32">
        <v>3</v>
      </c>
      <c r="C49" s="32">
        <v>6</v>
      </c>
      <c r="D49" s="32" t="str">
        <f t="shared" ca="1" si="0"/>
        <v>Nem</v>
      </c>
      <c r="E49" s="13">
        <f t="shared" ca="1" si="1"/>
        <v>0</v>
      </c>
      <c r="F49" s="13"/>
      <c r="G49" s="13"/>
      <c r="H49" s="13"/>
      <c r="I49" s="13">
        <f t="shared" ca="1" si="2"/>
        <v>0</v>
      </c>
      <c r="J49" s="13">
        <f t="shared" ca="1" si="3"/>
        <v>0</v>
      </c>
      <c r="K49" s="13">
        <f t="shared" ca="1" si="4"/>
        <v>0</v>
      </c>
      <c r="L49" s="13" t="e">
        <f ca="1">ROUNDUP(IF($D$2="Egyszeri",$E49,IF($D$2="Havi",SUM($E$20:$E$31),IF(MOD($C49,$M$1)-1=0,SUM($E$20:$E$31),0))/12*$M$1)*VLOOKUP($B49,Paraméterek!$I$28:$P$31,IF($D$2="Egyszeri",8,HLOOKUP(ROUNDUP($M$11+$M$13,0),Paraméterek!$J$26:$O$27,2))),IF($D$4="Forint",0,2))</f>
        <v>#N/A</v>
      </c>
      <c r="M49" s="13">
        <f t="shared" ca="1" si="5"/>
        <v>0</v>
      </c>
      <c r="N49" s="13">
        <f t="shared" ca="1" si="15"/>
        <v>0</v>
      </c>
      <c r="O49" s="13">
        <f ca="1">IF($D49="Igen",IF($W48&gt;=IF($D$4="Forint",Paraméterek!$J$121,Paraméterek!$K$121),0,IF($D$4="Forint",Paraméterek!$J$121,Paraméterek!$K$121)-$W48),0)</f>
        <v>0</v>
      </c>
      <c r="P49" s="13" t="e">
        <f ca="1">ROUNDUP($O49*VLOOKUP($M$4+$B49-1,Paraméterek!$H$58:$I$105,2,0)/Paraméterek!$I$56,IF($D$4="Forint",0,2))</f>
        <v>#N/A</v>
      </c>
      <c r="Q49" s="13">
        <f t="shared" ca="1" si="6"/>
        <v>0</v>
      </c>
      <c r="R49" s="33"/>
      <c r="S49" s="13" t="e">
        <f t="shared" ca="1" si="7"/>
        <v>#N/A</v>
      </c>
      <c r="T49" s="13" t="e">
        <f ca="1">ROUNDUP(($N49-$P49-$Q49+$S49)*VLOOKUP($B49,Paraméterek!$I$38:$K$39,IF($D$2="Egyszeri",3,2))/12*IF($D50="Nem",IF($M$13=0,1,$M$13),1),IF($D$4="Forint",0,2))</f>
        <v>#N/A</v>
      </c>
      <c r="U49" s="13"/>
      <c r="V49" s="13"/>
      <c r="W49" s="13" t="e">
        <f ca="1">$N49-$P49-$Q49+$S49-$T49-IF(ROUNDUP(IF(ISBLANK($V49),$U49*0,$V49)/IF($D$2="Egyszeri",VLOOKUP($B49+IF($C49=12,1,0),Paraméterek!$V$257:$W$262,2),IF($B49=1,1,VLOOKUP($B49+IF($C49=12,1,0),Paraméterek!$I$258:$T$278,HLOOKUP($M$11+1,Paraméterek!$J$256:$T$257,2)))),IF($D$4="Forint",0,2))&gt;$N49-$P49-$Q49+$S49-$T49-IF($D$4="Forint",Paraméterek!$C$216,Paraméterek!$D$216),0,ROUNDUP(IF(ISBLANK($V49),$U49*0,$V49)/IF($D$2="Egyszeri",VLOOKUP($B49+IF($C49=12,1,0),Paraméterek!$V$257:$W$262,2),IF($B49=1,1,VLOOKUP($B49+IF($C49=12,1,0),Paraméterek!$I$258:$T$278,HLOOKUP($M$11+1,Paraméterek!$J$256:$T$257,2)))),IF($D$4="Forint",0,2)))</f>
        <v>#N/A</v>
      </c>
      <c r="X49" s="13" t="e">
        <f ca="1">ROUNDDOWN($W49*IF($D$2="Egyszeri",VLOOKUP($B49+IF($C49=12,1,0),Paraméterek!$V$257:$W$262,2),VLOOKUP($B49+IF($C49=12,1,0),Paraméterek!$I$258:$T$278,HLOOKUP($M$11+1,Paraméterek!$I$256:$T$257,2))),IF($D$4="Forint",0,2))</f>
        <v>#N/A</v>
      </c>
      <c r="Z49" s="32">
        <v>30</v>
      </c>
      <c r="AA49" s="32">
        <v>3</v>
      </c>
      <c r="AB49" s="32">
        <v>6</v>
      </c>
      <c r="AC49" s="13">
        <f t="shared" ca="1" si="16"/>
        <v>0</v>
      </c>
      <c r="AD49" s="33"/>
      <c r="AE49" s="13">
        <f t="shared" ca="1" si="8"/>
        <v>0</v>
      </c>
      <c r="AF49" s="13">
        <f ca="1">ROUNDUP(($AC49+$AE49)*VLOOKUP($AA49,Paraméterek!$P$38:$Q$38,2)/12*IF($D50="Nem",IF($M$13=0,1,$M$13),1),IF($D$4="Forint",0,2))</f>
        <v>0</v>
      </c>
      <c r="AG49" s="13">
        <f ca="1">IF($D$2="Egyszeri",IF($D$7&gt;=IF($D$4="Forint",Paraméterek!$P$223,Paraméterek!$P$224),$D$7-IF($D$4="Forint",Paraméterek!$P$223,Paraméterek!$P$224),0),MIN(IF($AB49=12,AVERAGEIF($E$20:$E49,"&gt;0",$E$20:$E49)*12,0),SUM($E$20:$E$31)))</f>
        <v>0</v>
      </c>
      <c r="AH49" s="13">
        <f>IF($AA49=10,$AG49*IF($AB49=12,IF($AG49&lt;IF($D$4="Forint",Paraméterek!$L$223,Paraméterek!$L$224),0,VLOOKUP($AA49,Paraméterek!$K$226:$M$228,IF($AG49&lt;IF($D$4="Forint",Paraméterek!$M$223,Paraméterek!$M$224),2,3))),0),0)</f>
        <v>0</v>
      </c>
      <c r="AI49" s="13">
        <f ca="1">IF(AND($AA49=$M$11+1,$AB49=$M$12+1),SUMIF($AA$20:$AA$1027,$AA49,$AG$20:$AG$1027)*IF(SUMIF($AA$20:$AA$1027,$AA49,$AG$20:$AG$1027)&lt;IF($D$4="Forint",Paraméterek!$L$223,Paraméterek!$L$224),0,VLOOKUP($AA49,Paraméterek!$K$230:$M$250,IF(SUMIF($AA$20:$AA$1027,$AA49,$AG$20:$AG$1027)&lt;IF($D$4="Forint",Paraméterek!$M$223,Paraméterek!$M$224),2,3))),0)</f>
        <v>0</v>
      </c>
      <c r="AJ49" s="13">
        <f ca="1">IF(AND($AA49&gt;=5,MOD($AA49,5)=0),IF($AB49=12,VLOOKUP($AA49,Paraméterek!$O$225:$P$240,2),0),IF(OR($AA49=3,$AA49=4),IF($AB49=12,VLOOKUP($AA49,Paraméterek!$O$225:$P$240,2,0),0),0))*$AG49</f>
        <v>0</v>
      </c>
      <c r="AK49" s="13">
        <f t="shared" ca="1" si="9"/>
        <v>0</v>
      </c>
      <c r="AL49" s="13">
        <f t="shared" ca="1" si="17"/>
        <v>0</v>
      </c>
      <c r="AM49" s="13">
        <f t="shared" ca="1" si="18"/>
        <v>0</v>
      </c>
      <c r="AO49" s="32">
        <v>30</v>
      </c>
      <c r="AP49" s="32">
        <v>3</v>
      </c>
      <c r="AQ49" s="32">
        <v>6</v>
      </c>
      <c r="AR49" s="13"/>
      <c r="AS49" s="32"/>
      <c r="AT49" s="13">
        <f t="shared" ca="1" si="19"/>
        <v>0</v>
      </c>
      <c r="AU49" s="33"/>
      <c r="AV49" s="13">
        <f t="shared" ca="1" si="10"/>
        <v>0</v>
      </c>
      <c r="AW49" s="13">
        <f ca="1">ROUNDUP(($AT49+$AV49)*VLOOKUP($AP49,Paraméterek!$P$38:$Q$38,2)/12*IF($D50="Nem",IF($M$13=0,1,$M$13),1),IF($D$4="Forint",0,2))</f>
        <v>0</v>
      </c>
      <c r="AX49" s="13"/>
      <c r="AY49" s="13"/>
      <c r="AZ49" s="13">
        <f>ROUNDUP(IF(SUM($AX49:$AY49)=0,0,IF(IF(ISBLANK($AY49),$AX49,$AY49)*Paraméterek!$J$112&lt;IF($D$4="Forint",Paraméterek!$J$113,Paraméterek!$K$113),IF($D$4="Forint",Paraméterek!$J$113,Paraméterek!$K$113),IF(IF(ISBLANK($AY49),$AX49,$AY49)*Paraméterek!$J$112&gt;IF($D$4="Forint",Paraméterek!$J$114,Paraméterek!$K$114),IF($D$4="Forint",Paraméterek!$J$114,Paraméterek!$K$114),IF(ISBLANK($AY49),$AX49,$AY49)*Paraméterek!$J$112))),IF($D$4="Forint",0,2))</f>
        <v>0</v>
      </c>
      <c r="BA49" s="13">
        <f ca="1">$AT49+$AV49-$AW49-IF(ROUNDDOWN(IF(ISBLANK($AY49),$AX49,$AY49),IF($D$4="Forint",0,2))&gt;$AT49+$AV49-$AW49-IF($D$4="Forint",Paraméterek!$J$114,Paraméterek!$K$114),0,ROUNDDOWN(IF(ISBLANK($AY49),$AX49,$AY49),IF($D$4="Forint",0,2))-$AZ49)</f>
        <v>0</v>
      </c>
      <c r="BB49" s="13">
        <f t="shared" ca="1" si="11"/>
        <v>0</v>
      </c>
      <c r="BD49" s="32">
        <v>30</v>
      </c>
      <c r="BE49" s="32">
        <v>3</v>
      </c>
      <c r="BF49" s="32">
        <v>6</v>
      </c>
      <c r="BG49" s="34">
        <f t="shared" ca="1" si="20"/>
        <v>2021</v>
      </c>
      <c r="BH49" s="32" t="str">
        <f ca="1">IF(MOD(MONTH($D$14)+$BD49-1,12)=Paraméterek!$C$288,"Igen","")</f>
        <v/>
      </c>
      <c r="BI49" s="13">
        <f ca="1">IF($BH49="Igen",MIN(ROUNDDOWN((SUMIF($BG$20:$BG$1027,$BG49-1,$K$20:$K$1027)-SUMIF($BG$20:$BG$1027,$BG49-1,$I$20:$I$1027))*Paraméterek!$C$289,IF($D$4="Forint",0,2)),IF($D$4="Forint",Paraméterek!$C$285,Paraméterek!$D$285)),0)</f>
        <v>0</v>
      </c>
      <c r="BJ49" s="13">
        <f t="shared" ca="1" si="12"/>
        <v>0</v>
      </c>
      <c r="BK49" s="13">
        <f t="shared" ca="1" si="21"/>
        <v>0</v>
      </c>
      <c r="BL49" s="33"/>
      <c r="BM49" s="13">
        <f t="shared" ca="1" si="13"/>
        <v>0</v>
      </c>
      <c r="BN49" s="13">
        <f ca="1">ROUNDUP(($BK49+$BM49)*VLOOKUP($BE49,Paraméterek!$P$38:$Q$38,2)/12*IF($D50="Nem",IF($M$13=0,1,$M$13),1),IF($D$4="Forint",0,2))</f>
        <v>0</v>
      </c>
      <c r="BO49" s="13">
        <f t="shared" ca="1" si="14"/>
        <v>0</v>
      </c>
      <c r="BP49" s="13">
        <f ca="1">IF($D50="Nem",$BO49,$BO49-ROUNDUP(SUM($BI$20:$BI49)*120%,IF($D$4="Forint",0,2)))</f>
        <v>0</v>
      </c>
    </row>
    <row r="50" spans="1:68" x14ac:dyDescent="0.2">
      <c r="A50" s="32">
        <v>31</v>
      </c>
      <c r="B50" s="32">
        <v>3</v>
      </c>
      <c r="C50" s="32">
        <v>7</v>
      </c>
      <c r="D50" s="32" t="str">
        <f t="shared" ca="1" si="0"/>
        <v>Nem</v>
      </c>
      <c r="E50" s="13">
        <f t="shared" ca="1" si="1"/>
        <v>0</v>
      </c>
      <c r="F50" s="13"/>
      <c r="G50" s="13"/>
      <c r="H50" s="13"/>
      <c r="I50" s="13">
        <f t="shared" ca="1" si="2"/>
        <v>0</v>
      </c>
      <c r="J50" s="13">
        <f t="shared" ca="1" si="3"/>
        <v>0</v>
      </c>
      <c r="K50" s="13">
        <f t="shared" ca="1" si="4"/>
        <v>0</v>
      </c>
      <c r="L50" s="13" t="e">
        <f ca="1">ROUNDUP(IF($D$2="Egyszeri",$E50,IF($D$2="Havi",SUM($E$20:$E$31),IF(MOD($C50,$M$1)-1=0,SUM($E$20:$E$31),0))/12*$M$1)*VLOOKUP($B50,Paraméterek!$I$28:$P$31,IF($D$2="Egyszeri",8,HLOOKUP(ROUNDUP($M$11+$M$13,0),Paraméterek!$J$26:$O$27,2))),IF($D$4="Forint",0,2))</f>
        <v>#N/A</v>
      </c>
      <c r="M50" s="13">
        <f t="shared" ca="1" si="5"/>
        <v>0</v>
      </c>
      <c r="N50" s="13">
        <f t="shared" ca="1" si="15"/>
        <v>0</v>
      </c>
      <c r="O50" s="13">
        <f ca="1">IF($D50="Igen",IF($W49&gt;=IF($D$4="Forint",Paraméterek!$J$121,Paraméterek!$K$121),0,IF($D$4="Forint",Paraméterek!$J$121,Paraméterek!$K$121)-$W49),0)</f>
        <v>0</v>
      </c>
      <c r="P50" s="13" t="e">
        <f ca="1">ROUNDUP($O50*VLOOKUP($M$4+$B50-1,Paraméterek!$H$58:$I$105,2,0)/Paraméterek!$I$56,IF($D$4="Forint",0,2))</f>
        <v>#N/A</v>
      </c>
      <c r="Q50" s="13">
        <f t="shared" ca="1" si="6"/>
        <v>0</v>
      </c>
      <c r="R50" s="33"/>
      <c r="S50" s="13" t="e">
        <f t="shared" ca="1" si="7"/>
        <v>#N/A</v>
      </c>
      <c r="T50" s="13" t="e">
        <f ca="1">ROUNDUP(($N50-$P50-$Q50+$S50)*VLOOKUP($B50,Paraméterek!$I$38:$K$39,IF($D$2="Egyszeri",3,2))/12*IF($D51="Nem",IF($M$13=0,1,$M$13),1),IF($D$4="Forint",0,2))</f>
        <v>#N/A</v>
      </c>
      <c r="U50" s="13"/>
      <c r="V50" s="13"/>
      <c r="W50" s="13" t="e">
        <f ca="1">$N50-$P50-$Q50+$S50-$T50-IF(ROUNDUP(IF(ISBLANK($V50),$U50*0,$V50)/IF($D$2="Egyszeri",VLOOKUP($B50+IF($C50=12,1,0),Paraméterek!$V$257:$W$262,2),IF($B50=1,1,VLOOKUP($B50+IF($C50=12,1,0),Paraméterek!$I$258:$T$278,HLOOKUP($M$11+1,Paraméterek!$J$256:$T$257,2)))),IF($D$4="Forint",0,2))&gt;$N50-$P50-$Q50+$S50-$T50-IF($D$4="Forint",Paraméterek!$C$216,Paraméterek!$D$216),0,ROUNDUP(IF(ISBLANK($V50),$U50*0,$V50)/IF($D$2="Egyszeri",VLOOKUP($B50+IF($C50=12,1,0),Paraméterek!$V$257:$W$262,2),IF($B50=1,1,VLOOKUP($B50+IF($C50=12,1,0),Paraméterek!$I$258:$T$278,HLOOKUP($M$11+1,Paraméterek!$J$256:$T$257,2)))),IF($D$4="Forint",0,2)))</f>
        <v>#N/A</v>
      </c>
      <c r="X50" s="13" t="e">
        <f ca="1">ROUNDDOWN($W50*IF($D$2="Egyszeri",VLOOKUP($B50+IF($C50=12,1,0),Paraméterek!$V$257:$W$262,2),VLOOKUP($B50+IF($C50=12,1,0),Paraméterek!$I$258:$T$278,HLOOKUP($M$11+1,Paraméterek!$I$256:$T$257,2))),IF($D$4="Forint",0,2))</f>
        <v>#N/A</v>
      </c>
      <c r="Z50" s="32">
        <v>31</v>
      </c>
      <c r="AA50" s="32">
        <v>3</v>
      </c>
      <c r="AB50" s="32">
        <v>7</v>
      </c>
      <c r="AC50" s="13">
        <f t="shared" ca="1" si="16"/>
        <v>0</v>
      </c>
      <c r="AD50" s="33"/>
      <c r="AE50" s="13">
        <f t="shared" ca="1" si="8"/>
        <v>0</v>
      </c>
      <c r="AF50" s="13">
        <f ca="1">ROUNDUP(($AC50+$AE50)*VLOOKUP($AA50,Paraméterek!$P$38:$Q$38,2)/12*IF($D51="Nem",IF($M$13=0,1,$M$13),1),IF($D$4="Forint",0,2))</f>
        <v>0</v>
      </c>
      <c r="AG50" s="13">
        <f ca="1">IF($D$2="Egyszeri",IF($D$7&gt;=IF($D$4="Forint",Paraméterek!$P$223,Paraméterek!$P$224),$D$7-IF($D$4="Forint",Paraméterek!$P$223,Paraméterek!$P$224),0),MIN(IF($AB50=12,AVERAGEIF($E$20:$E50,"&gt;0",$E$20:$E50)*12,0),SUM($E$20:$E$31)))</f>
        <v>0</v>
      </c>
      <c r="AH50" s="13">
        <f>IF($AA50=10,$AG50*IF($AB50=12,IF($AG50&lt;IF($D$4="Forint",Paraméterek!$L$223,Paraméterek!$L$224),0,VLOOKUP($AA50,Paraméterek!$K$226:$M$228,IF($AG50&lt;IF($D$4="Forint",Paraméterek!$M$223,Paraméterek!$M$224),2,3))),0),0)</f>
        <v>0</v>
      </c>
      <c r="AI50" s="13">
        <f ca="1">IF(AND($AA50=$M$11+1,$AB50=$M$12+1),SUMIF($AA$20:$AA$1027,$AA50,$AG$20:$AG$1027)*IF(SUMIF($AA$20:$AA$1027,$AA50,$AG$20:$AG$1027)&lt;IF($D$4="Forint",Paraméterek!$L$223,Paraméterek!$L$224),0,VLOOKUP($AA50,Paraméterek!$K$230:$M$250,IF(SUMIF($AA$20:$AA$1027,$AA50,$AG$20:$AG$1027)&lt;IF($D$4="Forint",Paraméterek!$M$223,Paraméterek!$M$224),2,3))),0)</f>
        <v>0</v>
      </c>
      <c r="AJ50" s="13">
        <f ca="1">IF(AND($AA50&gt;=5,MOD($AA50,5)=0),IF($AB50=12,VLOOKUP($AA50,Paraméterek!$O$225:$P$240,2),0),IF(OR($AA50=3,$AA50=4),IF($AB50=12,VLOOKUP($AA50,Paraméterek!$O$225:$P$240,2,0),0),0))*$AG50</f>
        <v>0</v>
      </c>
      <c r="AK50" s="13">
        <f t="shared" ca="1" si="9"/>
        <v>0</v>
      </c>
      <c r="AL50" s="13">
        <f t="shared" ca="1" si="17"/>
        <v>0</v>
      </c>
      <c r="AM50" s="13">
        <f t="shared" ca="1" si="18"/>
        <v>0</v>
      </c>
      <c r="AO50" s="32">
        <v>31</v>
      </c>
      <c r="AP50" s="32">
        <v>3</v>
      </c>
      <c r="AQ50" s="32">
        <v>7</v>
      </c>
      <c r="AR50" s="13"/>
      <c r="AS50" s="32"/>
      <c r="AT50" s="13">
        <f t="shared" ca="1" si="19"/>
        <v>0</v>
      </c>
      <c r="AU50" s="33"/>
      <c r="AV50" s="13">
        <f t="shared" ca="1" si="10"/>
        <v>0</v>
      </c>
      <c r="AW50" s="13">
        <f ca="1">ROUNDUP(($AT50+$AV50)*VLOOKUP($AP50,Paraméterek!$P$38:$Q$38,2)/12*IF($D51="Nem",IF($M$13=0,1,$M$13),1),IF($D$4="Forint",0,2))</f>
        <v>0</v>
      </c>
      <c r="AX50" s="13"/>
      <c r="AY50" s="13"/>
      <c r="AZ50" s="13">
        <f>ROUNDUP(IF(SUM($AX50:$AY50)=0,0,IF(IF(ISBLANK($AY50),$AX50,$AY50)*Paraméterek!$J$112&lt;IF($D$4="Forint",Paraméterek!$J$113,Paraméterek!$K$113),IF($D$4="Forint",Paraméterek!$J$113,Paraméterek!$K$113),IF(IF(ISBLANK($AY50),$AX50,$AY50)*Paraméterek!$J$112&gt;IF($D$4="Forint",Paraméterek!$J$114,Paraméterek!$K$114),IF($D$4="Forint",Paraméterek!$J$114,Paraméterek!$K$114),IF(ISBLANK($AY50),$AX50,$AY50)*Paraméterek!$J$112))),IF($D$4="Forint",0,2))</f>
        <v>0</v>
      </c>
      <c r="BA50" s="13">
        <f ca="1">$AT50+$AV50-$AW50-IF(ROUNDDOWN(IF(ISBLANK($AY50),$AX50,$AY50),IF($D$4="Forint",0,2))&gt;$AT50+$AV50-$AW50-IF($D$4="Forint",Paraméterek!$J$114,Paraméterek!$K$114),0,ROUNDDOWN(IF(ISBLANK($AY50),$AX50,$AY50),IF($D$4="Forint",0,2))-$AZ50)</f>
        <v>0</v>
      </c>
      <c r="BB50" s="13">
        <f t="shared" ca="1" si="11"/>
        <v>0</v>
      </c>
      <c r="BD50" s="32">
        <v>31</v>
      </c>
      <c r="BE50" s="32">
        <v>3</v>
      </c>
      <c r="BF50" s="32">
        <v>7</v>
      </c>
      <c r="BG50" s="34">
        <f t="shared" ca="1" si="20"/>
        <v>2021</v>
      </c>
      <c r="BH50" s="32" t="str">
        <f ca="1">IF(MOD(MONTH($D$14)+$BD50-1,12)=Paraméterek!$C$288,"Igen","")</f>
        <v/>
      </c>
      <c r="BI50" s="13">
        <f ca="1">IF($BH50="Igen",MIN(ROUNDDOWN((SUMIF($BG$20:$BG$1027,$BG50-1,$K$20:$K$1027)-SUMIF($BG$20:$BG$1027,$BG50-1,$I$20:$I$1027))*Paraméterek!$C$289,IF($D$4="Forint",0,2)),IF($D$4="Forint",Paraméterek!$C$285,Paraméterek!$D$285)),0)</f>
        <v>0</v>
      </c>
      <c r="BJ50" s="13">
        <f t="shared" ca="1" si="12"/>
        <v>0</v>
      </c>
      <c r="BK50" s="13">
        <f t="shared" ca="1" si="21"/>
        <v>0</v>
      </c>
      <c r="BL50" s="33"/>
      <c r="BM50" s="13">
        <f t="shared" ca="1" si="13"/>
        <v>0</v>
      </c>
      <c r="BN50" s="13">
        <f ca="1">ROUNDUP(($BK50+$BM50)*VLOOKUP($BE50,Paraméterek!$P$38:$Q$38,2)/12*IF($D51="Nem",IF($M$13=0,1,$M$13),1),IF($D$4="Forint",0,2))</f>
        <v>0</v>
      </c>
      <c r="BO50" s="13">
        <f t="shared" ca="1" si="14"/>
        <v>0</v>
      </c>
      <c r="BP50" s="13">
        <f ca="1">IF($D51="Nem",$BO50,$BO50-ROUNDUP(SUM($BI$20:$BI50)*120%,IF($D$4="Forint",0,2)))</f>
        <v>0</v>
      </c>
    </row>
    <row r="51" spans="1:68" x14ac:dyDescent="0.2">
      <c r="A51" s="32">
        <v>32</v>
      </c>
      <c r="B51" s="32">
        <v>3</v>
      </c>
      <c r="C51" s="32">
        <v>8</v>
      </c>
      <c r="D51" s="32" t="str">
        <f t="shared" ca="1" si="0"/>
        <v>Nem</v>
      </c>
      <c r="E51" s="13">
        <f t="shared" ca="1" si="1"/>
        <v>0</v>
      </c>
      <c r="F51" s="13"/>
      <c r="G51" s="13"/>
      <c r="H51" s="13"/>
      <c r="I51" s="13">
        <f t="shared" ca="1" si="2"/>
        <v>0</v>
      </c>
      <c r="J51" s="13">
        <f t="shared" ca="1" si="3"/>
        <v>0</v>
      </c>
      <c r="K51" s="13">
        <f t="shared" ca="1" si="4"/>
        <v>0</v>
      </c>
      <c r="L51" s="13" t="e">
        <f ca="1">ROUNDUP(IF($D$2="Egyszeri",$E51,IF($D$2="Havi",SUM($E$20:$E$31),IF(MOD($C51,$M$1)-1=0,SUM($E$20:$E$31),0))/12*$M$1)*VLOOKUP($B51,Paraméterek!$I$28:$P$31,IF($D$2="Egyszeri",8,HLOOKUP(ROUNDUP($M$11+$M$13,0),Paraméterek!$J$26:$O$27,2))),IF($D$4="Forint",0,2))</f>
        <v>#N/A</v>
      </c>
      <c r="M51" s="13">
        <f t="shared" ca="1" si="5"/>
        <v>0</v>
      </c>
      <c r="N51" s="13">
        <f t="shared" ca="1" si="15"/>
        <v>0</v>
      </c>
      <c r="O51" s="13">
        <f ca="1">IF($D51="Igen",IF($W50&gt;=IF($D$4="Forint",Paraméterek!$J$121,Paraméterek!$K$121),0,IF($D$4="Forint",Paraméterek!$J$121,Paraméterek!$K$121)-$W50),0)</f>
        <v>0</v>
      </c>
      <c r="P51" s="13" t="e">
        <f ca="1">ROUNDUP($O51*VLOOKUP($M$4+$B51-1,Paraméterek!$H$58:$I$105,2,0)/Paraméterek!$I$56,IF($D$4="Forint",0,2))</f>
        <v>#N/A</v>
      </c>
      <c r="Q51" s="13">
        <f t="shared" ca="1" si="6"/>
        <v>0</v>
      </c>
      <c r="R51" s="33"/>
      <c r="S51" s="13" t="e">
        <f t="shared" ca="1" si="7"/>
        <v>#N/A</v>
      </c>
      <c r="T51" s="13" t="e">
        <f ca="1">ROUNDUP(($N51-$P51-$Q51+$S51)*VLOOKUP($B51,Paraméterek!$I$38:$K$39,IF($D$2="Egyszeri",3,2))/12*IF($D52="Nem",IF($M$13=0,1,$M$13),1),IF($D$4="Forint",0,2))</f>
        <v>#N/A</v>
      </c>
      <c r="U51" s="13"/>
      <c r="V51" s="13"/>
      <c r="W51" s="13" t="e">
        <f ca="1">$N51-$P51-$Q51+$S51-$T51-IF(ROUNDUP(IF(ISBLANK($V51),$U51*0,$V51)/IF($D$2="Egyszeri",VLOOKUP($B51+IF($C51=12,1,0),Paraméterek!$V$257:$W$262,2),IF($B51=1,1,VLOOKUP($B51+IF($C51=12,1,0),Paraméterek!$I$258:$T$278,HLOOKUP($M$11+1,Paraméterek!$J$256:$T$257,2)))),IF($D$4="Forint",0,2))&gt;$N51-$P51-$Q51+$S51-$T51-IF($D$4="Forint",Paraméterek!$C$216,Paraméterek!$D$216),0,ROUNDUP(IF(ISBLANK($V51),$U51*0,$V51)/IF($D$2="Egyszeri",VLOOKUP($B51+IF($C51=12,1,0),Paraméterek!$V$257:$W$262,2),IF($B51=1,1,VLOOKUP($B51+IF($C51=12,1,0),Paraméterek!$I$258:$T$278,HLOOKUP($M$11+1,Paraméterek!$J$256:$T$257,2)))),IF($D$4="Forint",0,2)))</f>
        <v>#N/A</v>
      </c>
      <c r="X51" s="13" t="e">
        <f ca="1">ROUNDDOWN($W51*IF($D$2="Egyszeri",VLOOKUP($B51+IF($C51=12,1,0),Paraméterek!$V$257:$W$262,2),VLOOKUP($B51+IF($C51=12,1,0),Paraméterek!$I$258:$T$278,HLOOKUP($M$11+1,Paraméterek!$I$256:$T$257,2))),IF($D$4="Forint",0,2))</f>
        <v>#N/A</v>
      </c>
      <c r="Z51" s="32">
        <v>32</v>
      </c>
      <c r="AA51" s="32">
        <v>3</v>
      </c>
      <c r="AB51" s="32">
        <v>8</v>
      </c>
      <c r="AC51" s="13">
        <f t="shared" ca="1" si="16"/>
        <v>0</v>
      </c>
      <c r="AD51" s="33"/>
      <c r="AE51" s="13">
        <f t="shared" ca="1" si="8"/>
        <v>0</v>
      </c>
      <c r="AF51" s="13">
        <f ca="1">ROUNDUP(($AC51+$AE51)*VLOOKUP($AA51,Paraméterek!$P$38:$Q$38,2)/12*IF($D52="Nem",IF($M$13=0,1,$M$13),1),IF($D$4="Forint",0,2))</f>
        <v>0</v>
      </c>
      <c r="AG51" s="13">
        <f ca="1">IF($D$2="Egyszeri",IF($D$7&gt;=IF($D$4="Forint",Paraméterek!$P$223,Paraméterek!$P$224),$D$7-IF($D$4="Forint",Paraméterek!$P$223,Paraméterek!$P$224),0),MIN(IF($AB51=12,AVERAGEIF($E$20:$E51,"&gt;0",$E$20:$E51)*12,0),SUM($E$20:$E$31)))</f>
        <v>0</v>
      </c>
      <c r="AH51" s="13">
        <f>IF($AA51=10,$AG51*IF($AB51=12,IF($AG51&lt;IF($D$4="Forint",Paraméterek!$L$223,Paraméterek!$L$224),0,VLOOKUP($AA51,Paraméterek!$K$226:$M$228,IF($AG51&lt;IF($D$4="Forint",Paraméterek!$M$223,Paraméterek!$M$224),2,3))),0),0)</f>
        <v>0</v>
      </c>
      <c r="AI51" s="13">
        <f ca="1">IF(AND($AA51=$M$11+1,$AB51=$M$12+1),SUMIF($AA$20:$AA$1027,$AA51,$AG$20:$AG$1027)*IF(SUMIF($AA$20:$AA$1027,$AA51,$AG$20:$AG$1027)&lt;IF($D$4="Forint",Paraméterek!$L$223,Paraméterek!$L$224),0,VLOOKUP($AA51,Paraméterek!$K$230:$M$250,IF(SUMIF($AA$20:$AA$1027,$AA51,$AG$20:$AG$1027)&lt;IF($D$4="Forint",Paraméterek!$M$223,Paraméterek!$M$224),2,3))),0)</f>
        <v>0</v>
      </c>
      <c r="AJ51" s="13">
        <f ca="1">IF(AND($AA51&gt;=5,MOD($AA51,5)=0),IF($AB51=12,VLOOKUP($AA51,Paraméterek!$O$225:$P$240,2),0),IF(OR($AA51=3,$AA51=4),IF($AB51=12,VLOOKUP($AA51,Paraméterek!$O$225:$P$240,2,0),0),0))*$AG51</f>
        <v>0</v>
      </c>
      <c r="AK51" s="13">
        <f t="shared" ca="1" si="9"/>
        <v>0</v>
      </c>
      <c r="AL51" s="13">
        <f t="shared" ca="1" si="17"/>
        <v>0</v>
      </c>
      <c r="AM51" s="13">
        <f t="shared" ca="1" si="18"/>
        <v>0</v>
      </c>
      <c r="AO51" s="32">
        <v>32</v>
      </c>
      <c r="AP51" s="32">
        <v>3</v>
      </c>
      <c r="AQ51" s="32">
        <v>8</v>
      </c>
      <c r="AR51" s="13"/>
      <c r="AS51" s="32"/>
      <c r="AT51" s="13">
        <f t="shared" ca="1" si="19"/>
        <v>0</v>
      </c>
      <c r="AU51" s="33"/>
      <c r="AV51" s="13">
        <f t="shared" ca="1" si="10"/>
        <v>0</v>
      </c>
      <c r="AW51" s="13">
        <f ca="1">ROUNDUP(($AT51+$AV51)*VLOOKUP($AP51,Paraméterek!$P$38:$Q$38,2)/12*IF($D52="Nem",IF($M$13=0,1,$M$13),1),IF($D$4="Forint",0,2))</f>
        <v>0</v>
      </c>
      <c r="AX51" s="13"/>
      <c r="AY51" s="13"/>
      <c r="AZ51" s="13">
        <f>ROUNDUP(IF(SUM($AX51:$AY51)=0,0,IF(IF(ISBLANK($AY51),$AX51,$AY51)*Paraméterek!$J$112&lt;IF($D$4="Forint",Paraméterek!$J$113,Paraméterek!$K$113),IF($D$4="Forint",Paraméterek!$J$113,Paraméterek!$K$113),IF(IF(ISBLANK($AY51),$AX51,$AY51)*Paraméterek!$J$112&gt;IF($D$4="Forint",Paraméterek!$J$114,Paraméterek!$K$114),IF($D$4="Forint",Paraméterek!$J$114,Paraméterek!$K$114),IF(ISBLANK($AY51),$AX51,$AY51)*Paraméterek!$J$112))),IF($D$4="Forint",0,2))</f>
        <v>0</v>
      </c>
      <c r="BA51" s="13">
        <f ca="1">$AT51+$AV51-$AW51-IF(ROUNDDOWN(IF(ISBLANK($AY51),$AX51,$AY51),IF($D$4="Forint",0,2))&gt;$AT51+$AV51-$AW51-IF($D$4="Forint",Paraméterek!$J$114,Paraméterek!$K$114),0,ROUNDDOWN(IF(ISBLANK($AY51),$AX51,$AY51),IF($D$4="Forint",0,2))-$AZ51)</f>
        <v>0</v>
      </c>
      <c r="BB51" s="13">
        <f t="shared" ca="1" si="11"/>
        <v>0</v>
      </c>
      <c r="BD51" s="32">
        <v>32</v>
      </c>
      <c r="BE51" s="32">
        <v>3</v>
      </c>
      <c r="BF51" s="32">
        <v>8</v>
      </c>
      <c r="BG51" s="34">
        <f t="shared" ca="1" si="20"/>
        <v>2022</v>
      </c>
      <c r="BH51" s="32" t="str">
        <f ca="1">IF(MOD(MONTH($D$14)+$BD51-1,12)=Paraméterek!$C$288,"Igen","")</f>
        <v/>
      </c>
      <c r="BI51" s="13">
        <f ca="1">IF($BH51="Igen",MIN(ROUNDDOWN((SUMIF($BG$20:$BG$1027,$BG51-1,$K$20:$K$1027)-SUMIF($BG$20:$BG$1027,$BG51-1,$I$20:$I$1027))*Paraméterek!$C$289,IF($D$4="Forint",0,2)),IF($D$4="Forint",Paraméterek!$C$285,Paraméterek!$D$285)),0)</f>
        <v>0</v>
      </c>
      <c r="BJ51" s="13">
        <f t="shared" ca="1" si="12"/>
        <v>0</v>
      </c>
      <c r="BK51" s="13">
        <f t="shared" ca="1" si="21"/>
        <v>0</v>
      </c>
      <c r="BL51" s="33"/>
      <c r="BM51" s="13">
        <f t="shared" ca="1" si="13"/>
        <v>0</v>
      </c>
      <c r="BN51" s="13">
        <f ca="1">ROUNDUP(($BK51+$BM51)*VLOOKUP($BE51,Paraméterek!$P$38:$Q$38,2)/12*IF($D52="Nem",IF($M$13=0,1,$M$13),1),IF($D$4="Forint",0,2))</f>
        <v>0</v>
      </c>
      <c r="BO51" s="13">
        <f t="shared" ca="1" si="14"/>
        <v>0</v>
      </c>
      <c r="BP51" s="13">
        <f ca="1">IF($D52="Nem",$BO51,$BO51-ROUNDUP(SUM($BI$20:$BI51)*120%,IF($D$4="Forint",0,2)))</f>
        <v>0</v>
      </c>
    </row>
    <row r="52" spans="1:68" x14ac:dyDescent="0.2">
      <c r="A52" s="32">
        <v>33</v>
      </c>
      <c r="B52" s="32">
        <v>3</v>
      </c>
      <c r="C52" s="32">
        <v>9</v>
      </c>
      <c r="D52" s="32" t="str">
        <f t="shared" ca="1" si="0"/>
        <v>Nem</v>
      </c>
      <c r="E52" s="13">
        <f t="shared" ca="1" si="1"/>
        <v>0</v>
      </c>
      <c r="F52" s="13"/>
      <c r="G52" s="13"/>
      <c r="H52" s="13"/>
      <c r="I52" s="13">
        <f t="shared" ca="1" si="2"/>
        <v>0</v>
      </c>
      <c r="J52" s="13">
        <f t="shared" ca="1" si="3"/>
        <v>0</v>
      </c>
      <c r="K52" s="13">
        <f t="shared" ca="1" si="4"/>
        <v>0</v>
      </c>
      <c r="L52" s="13" t="e">
        <f ca="1">ROUNDUP(IF($D$2="Egyszeri",$E52,IF($D$2="Havi",SUM($E$20:$E$31),IF(MOD($C52,$M$1)-1=0,SUM($E$20:$E$31),0))/12*$M$1)*VLOOKUP($B52,Paraméterek!$I$28:$P$31,IF($D$2="Egyszeri",8,HLOOKUP(ROUNDUP($M$11+$M$13,0),Paraméterek!$J$26:$O$27,2))),IF($D$4="Forint",0,2))</f>
        <v>#N/A</v>
      </c>
      <c r="M52" s="13">
        <f t="shared" ca="1" si="5"/>
        <v>0</v>
      </c>
      <c r="N52" s="13">
        <f t="shared" ca="1" si="15"/>
        <v>0</v>
      </c>
      <c r="O52" s="13">
        <f ca="1">IF($D52="Igen",IF($W51&gt;=IF($D$4="Forint",Paraméterek!$J$121,Paraméterek!$K$121),0,IF($D$4="Forint",Paraméterek!$J$121,Paraméterek!$K$121)-$W51),0)</f>
        <v>0</v>
      </c>
      <c r="P52" s="13" t="e">
        <f ca="1">ROUNDUP($O52*VLOOKUP($M$4+$B52-1,Paraméterek!$H$58:$I$105,2,0)/Paraméterek!$I$56,IF($D$4="Forint",0,2))</f>
        <v>#N/A</v>
      </c>
      <c r="Q52" s="13">
        <f t="shared" ca="1" si="6"/>
        <v>0</v>
      </c>
      <c r="R52" s="33"/>
      <c r="S52" s="13" t="e">
        <f t="shared" ca="1" si="7"/>
        <v>#N/A</v>
      </c>
      <c r="T52" s="13" t="e">
        <f ca="1">ROUNDUP(($N52-$P52-$Q52+$S52)*VLOOKUP($B52,Paraméterek!$I$38:$K$39,IF($D$2="Egyszeri",3,2))/12*IF($D53="Nem",IF($M$13=0,1,$M$13),1),IF($D$4="Forint",0,2))</f>
        <v>#N/A</v>
      </c>
      <c r="U52" s="13"/>
      <c r="V52" s="13"/>
      <c r="W52" s="13" t="e">
        <f ca="1">$N52-$P52-$Q52+$S52-$T52-IF(ROUNDUP(IF(ISBLANK($V52),$U52*0,$V52)/IF($D$2="Egyszeri",VLOOKUP($B52+IF($C52=12,1,0),Paraméterek!$V$257:$W$262,2),IF($B52=1,1,VLOOKUP($B52+IF($C52=12,1,0),Paraméterek!$I$258:$T$278,HLOOKUP($M$11+1,Paraméterek!$J$256:$T$257,2)))),IF($D$4="Forint",0,2))&gt;$N52-$P52-$Q52+$S52-$T52-IF($D$4="Forint",Paraméterek!$C$216,Paraméterek!$D$216),0,ROUNDUP(IF(ISBLANK($V52),$U52*0,$V52)/IF($D$2="Egyszeri",VLOOKUP($B52+IF($C52=12,1,0),Paraméterek!$V$257:$W$262,2),IF($B52=1,1,VLOOKUP($B52+IF($C52=12,1,0),Paraméterek!$I$258:$T$278,HLOOKUP($M$11+1,Paraméterek!$J$256:$T$257,2)))),IF($D$4="Forint",0,2)))</f>
        <v>#N/A</v>
      </c>
      <c r="X52" s="13" t="e">
        <f ca="1">ROUNDDOWN($W52*IF($D$2="Egyszeri",VLOOKUP($B52+IF($C52=12,1,0),Paraméterek!$V$257:$W$262,2),VLOOKUP($B52+IF($C52=12,1,0),Paraméterek!$I$258:$T$278,HLOOKUP($M$11+1,Paraméterek!$I$256:$T$257,2))),IF($D$4="Forint",0,2))</f>
        <v>#N/A</v>
      </c>
      <c r="Z52" s="32">
        <v>33</v>
      </c>
      <c r="AA52" s="32">
        <v>3</v>
      </c>
      <c r="AB52" s="32">
        <v>9</v>
      </c>
      <c r="AC52" s="13">
        <f t="shared" ca="1" si="16"/>
        <v>0</v>
      </c>
      <c r="AD52" s="33"/>
      <c r="AE52" s="13">
        <f t="shared" ca="1" si="8"/>
        <v>0</v>
      </c>
      <c r="AF52" s="13">
        <f ca="1">ROUNDUP(($AC52+$AE52)*VLOOKUP($AA52,Paraméterek!$P$38:$Q$38,2)/12*IF($D53="Nem",IF($M$13=0,1,$M$13),1),IF($D$4="Forint",0,2))</f>
        <v>0</v>
      </c>
      <c r="AG52" s="13">
        <f ca="1">IF($D$2="Egyszeri",IF($D$7&gt;=IF($D$4="Forint",Paraméterek!$P$223,Paraméterek!$P$224),$D$7-IF($D$4="Forint",Paraméterek!$P$223,Paraméterek!$P$224),0),MIN(IF($AB52=12,AVERAGEIF($E$20:$E52,"&gt;0",$E$20:$E52)*12,0),SUM($E$20:$E$31)))</f>
        <v>0</v>
      </c>
      <c r="AH52" s="13">
        <f>IF($AA52=10,$AG52*IF($AB52=12,IF($AG52&lt;IF($D$4="Forint",Paraméterek!$L$223,Paraméterek!$L$224),0,VLOOKUP($AA52,Paraméterek!$K$226:$M$228,IF($AG52&lt;IF($D$4="Forint",Paraméterek!$M$223,Paraméterek!$M$224),2,3))),0),0)</f>
        <v>0</v>
      </c>
      <c r="AI52" s="13">
        <f ca="1">IF(AND($AA52=$M$11+1,$AB52=$M$12+1),SUMIF($AA$20:$AA$1027,$AA52,$AG$20:$AG$1027)*IF(SUMIF($AA$20:$AA$1027,$AA52,$AG$20:$AG$1027)&lt;IF($D$4="Forint",Paraméterek!$L$223,Paraméterek!$L$224),0,VLOOKUP($AA52,Paraméterek!$K$230:$M$250,IF(SUMIF($AA$20:$AA$1027,$AA52,$AG$20:$AG$1027)&lt;IF($D$4="Forint",Paraméterek!$M$223,Paraméterek!$M$224),2,3))),0)</f>
        <v>0</v>
      </c>
      <c r="AJ52" s="13">
        <f ca="1">IF(AND($AA52&gt;=5,MOD($AA52,5)=0),IF($AB52=12,VLOOKUP($AA52,Paraméterek!$O$225:$P$240,2),0),IF(OR($AA52=3,$AA52=4),IF($AB52=12,VLOOKUP($AA52,Paraméterek!$O$225:$P$240,2,0),0),0))*$AG52</f>
        <v>0</v>
      </c>
      <c r="AK52" s="13">
        <f t="shared" ca="1" si="9"/>
        <v>0</v>
      </c>
      <c r="AL52" s="13">
        <f t="shared" ca="1" si="17"/>
        <v>0</v>
      </c>
      <c r="AM52" s="13">
        <f t="shared" ca="1" si="18"/>
        <v>0</v>
      </c>
      <c r="AO52" s="32">
        <v>33</v>
      </c>
      <c r="AP52" s="32">
        <v>3</v>
      </c>
      <c r="AQ52" s="32">
        <v>9</v>
      </c>
      <c r="AR52" s="13"/>
      <c r="AS52" s="32"/>
      <c r="AT52" s="13">
        <f t="shared" ca="1" si="19"/>
        <v>0</v>
      </c>
      <c r="AU52" s="33"/>
      <c r="AV52" s="13">
        <f t="shared" ca="1" si="10"/>
        <v>0</v>
      </c>
      <c r="AW52" s="13">
        <f ca="1">ROUNDUP(($AT52+$AV52)*VLOOKUP($AP52,Paraméterek!$P$38:$Q$38,2)/12*IF($D53="Nem",IF($M$13=0,1,$M$13),1),IF($D$4="Forint",0,2))</f>
        <v>0</v>
      </c>
      <c r="AX52" s="13"/>
      <c r="AY52" s="13"/>
      <c r="AZ52" s="13">
        <f>ROUNDUP(IF(SUM($AX52:$AY52)=0,0,IF(IF(ISBLANK($AY52),$AX52,$AY52)*Paraméterek!$J$112&lt;IF($D$4="Forint",Paraméterek!$J$113,Paraméterek!$K$113),IF($D$4="Forint",Paraméterek!$J$113,Paraméterek!$K$113),IF(IF(ISBLANK($AY52),$AX52,$AY52)*Paraméterek!$J$112&gt;IF($D$4="Forint",Paraméterek!$J$114,Paraméterek!$K$114),IF($D$4="Forint",Paraméterek!$J$114,Paraméterek!$K$114),IF(ISBLANK($AY52),$AX52,$AY52)*Paraméterek!$J$112))),IF($D$4="Forint",0,2))</f>
        <v>0</v>
      </c>
      <c r="BA52" s="13">
        <f ca="1">$AT52+$AV52-$AW52-IF(ROUNDDOWN(IF(ISBLANK($AY52),$AX52,$AY52),IF($D$4="Forint",0,2))&gt;$AT52+$AV52-$AW52-IF($D$4="Forint",Paraméterek!$J$114,Paraméterek!$K$114),0,ROUNDDOWN(IF(ISBLANK($AY52),$AX52,$AY52),IF($D$4="Forint",0,2))-$AZ52)</f>
        <v>0</v>
      </c>
      <c r="BB52" s="13">
        <f t="shared" ca="1" si="11"/>
        <v>0</v>
      </c>
      <c r="BD52" s="32">
        <v>33</v>
      </c>
      <c r="BE52" s="32">
        <v>3</v>
      </c>
      <c r="BF52" s="32">
        <v>9</v>
      </c>
      <c r="BG52" s="34">
        <f t="shared" ca="1" si="20"/>
        <v>2022</v>
      </c>
      <c r="BH52" s="32" t="str">
        <f ca="1">IF(MOD(MONTH($D$14)+$BD52-1,12)=Paraméterek!$C$288,"Igen","")</f>
        <v/>
      </c>
      <c r="BI52" s="13">
        <f ca="1">IF($BH52="Igen",MIN(ROUNDDOWN((SUMIF($BG$20:$BG$1027,$BG52-1,$K$20:$K$1027)-SUMIF($BG$20:$BG$1027,$BG52-1,$I$20:$I$1027))*Paraméterek!$C$289,IF($D$4="Forint",0,2)),IF($D$4="Forint",Paraméterek!$C$285,Paraméterek!$D$285)),0)</f>
        <v>0</v>
      </c>
      <c r="BJ52" s="13">
        <f t="shared" ca="1" si="12"/>
        <v>0</v>
      </c>
      <c r="BK52" s="13">
        <f t="shared" ca="1" si="21"/>
        <v>0</v>
      </c>
      <c r="BL52" s="33"/>
      <c r="BM52" s="13">
        <f t="shared" ca="1" si="13"/>
        <v>0</v>
      </c>
      <c r="BN52" s="13">
        <f ca="1">ROUNDUP(($BK52+$BM52)*VLOOKUP($BE52,Paraméterek!$P$38:$Q$38,2)/12*IF($D53="Nem",IF($M$13=0,1,$M$13),1),IF($D$4="Forint",0,2))</f>
        <v>0</v>
      </c>
      <c r="BO52" s="13">
        <f t="shared" ca="1" si="14"/>
        <v>0</v>
      </c>
      <c r="BP52" s="13">
        <f ca="1">IF($D53="Nem",$BO52,$BO52-ROUNDUP(SUM($BI$20:$BI52)*120%,IF($D$4="Forint",0,2)))</f>
        <v>0</v>
      </c>
    </row>
    <row r="53" spans="1:68" x14ac:dyDescent="0.2">
      <c r="A53" s="32">
        <v>34</v>
      </c>
      <c r="B53" s="32">
        <v>3</v>
      </c>
      <c r="C53" s="32">
        <v>10</v>
      </c>
      <c r="D53" s="32" t="str">
        <f t="shared" ca="1" si="0"/>
        <v>Nem</v>
      </c>
      <c r="E53" s="13">
        <f t="shared" ca="1" si="1"/>
        <v>0</v>
      </c>
      <c r="F53" s="13"/>
      <c r="G53" s="13"/>
      <c r="H53" s="13"/>
      <c r="I53" s="13">
        <f t="shared" ca="1" si="2"/>
        <v>0</v>
      </c>
      <c r="J53" s="13">
        <f t="shared" ca="1" si="3"/>
        <v>0</v>
      </c>
      <c r="K53" s="13">
        <f t="shared" ca="1" si="4"/>
        <v>0</v>
      </c>
      <c r="L53" s="13" t="e">
        <f ca="1">ROUNDUP(IF($D$2="Egyszeri",$E53,IF($D$2="Havi",SUM($E$20:$E$31),IF(MOD($C53,$M$1)-1=0,SUM($E$20:$E$31),0))/12*$M$1)*VLOOKUP($B53,Paraméterek!$I$28:$P$31,IF($D$2="Egyszeri",8,HLOOKUP(ROUNDUP($M$11+$M$13,0),Paraméterek!$J$26:$O$27,2))),IF($D$4="Forint",0,2))</f>
        <v>#N/A</v>
      </c>
      <c r="M53" s="13">
        <f t="shared" ca="1" si="5"/>
        <v>0</v>
      </c>
      <c r="N53" s="13">
        <f t="shared" ca="1" si="15"/>
        <v>0</v>
      </c>
      <c r="O53" s="13">
        <f ca="1">IF($D53="Igen",IF($W52&gt;=IF($D$4="Forint",Paraméterek!$J$121,Paraméterek!$K$121),0,IF($D$4="Forint",Paraméterek!$J$121,Paraméterek!$K$121)-$W52),0)</f>
        <v>0</v>
      </c>
      <c r="P53" s="13" t="e">
        <f ca="1">ROUNDUP($O53*VLOOKUP($M$4+$B53-1,Paraméterek!$H$58:$I$105,2,0)/Paraméterek!$I$56,IF($D$4="Forint",0,2))</f>
        <v>#N/A</v>
      </c>
      <c r="Q53" s="13">
        <f t="shared" ca="1" si="6"/>
        <v>0</v>
      </c>
      <c r="R53" s="33"/>
      <c r="S53" s="13" t="e">
        <f t="shared" ca="1" si="7"/>
        <v>#N/A</v>
      </c>
      <c r="T53" s="13" t="e">
        <f ca="1">ROUNDUP(($N53-$P53-$Q53+$S53)*VLOOKUP($B53,Paraméterek!$I$38:$K$39,IF($D$2="Egyszeri",3,2))/12*IF($D54="Nem",IF($M$13=0,1,$M$13),1),IF($D$4="Forint",0,2))</f>
        <v>#N/A</v>
      </c>
      <c r="U53" s="13"/>
      <c r="V53" s="13"/>
      <c r="W53" s="13" t="e">
        <f ca="1">$N53-$P53-$Q53+$S53-$T53-IF(ROUNDUP(IF(ISBLANK($V53),$U53*0,$V53)/IF($D$2="Egyszeri",VLOOKUP($B53+IF($C53=12,1,0),Paraméterek!$V$257:$W$262,2),IF($B53=1,1,VLOOKUP($B53+IF($C53=12,1,0),Paraméterek!$I$258:$T$278,HLOOKUP($M$11+1,Paraméterek!$J$256:$T$257,2)))),IF($D$4="Forint",0,2))&gt;$N53-$P53-$Q53+$S53-$T53-IF($D$4="Forint",Paraméterek!$C$216,Paraméterek!$D$216),0,ROUNDUP(IF(ISBLANK($V53),$U53*0,$V53)/IF($D$2="Egyszeri",VLOOKUP($B53+IF($C53=12,1,0),Paraméterek!$V$257:$W$262,2),IF($B53=1,1,VLOOKUP($B53+IF($C53=12,1,0),Paraméterek!$I$258:$T$278,HLOOKUP($M$11+1,Paraméterek!$J$256:$T$257,2)))),IF($D$4="Forint",0,2)))</f>
        <v>#N/A</v>
      </c>
      <c r="X53" s="13" t="e">
        <f ca="1">ROUNDDOWN($W53*IF($D$2="Egyszeri",VLOOKUP($B53+IF($C53=12,1,0),Paraméterek!$V$257:$W$262,2),VLOOKUP($B53+IF($C53=12,1,0),Paraméterek!$I$258:$T$278,HLOOKUP($M$11+1,Paraméterek!$I$256:$T$257,2))),IF($D$4="Forint",0,2))</f>
        <v>#N/A</v>
      </c>
      <c r="Z53" s="32">
        <v>34</v>
      </c>
      <c r="AA53" s="32">
        <v>3</v>
      </c>
      <c r="AB53" s="32">
        <v>10</v>
      </c>
      <c r="AC53" s="13">
        <f t="shared" ca="1" si="16"/>
        <v>0</v>
      </c>
      <c r="AD53" s="33"/>
      <c r="AE53" s="13">
        <f t="shared" ca="1" si="8"/>
        <v>0</v>
      </c>
      <c r="AF53" s="13">
        <f ca="1">ROUNDUP(($AC53+$AE53)*VLOOKUP($AA53,Paraméterek!$P$38:$Q$38,2)/12*IF($D54="Nem",IF($M$13=0,1,$M$13),1),IF($D$4="Forint",0,2))</f>
        <v>0</v>
      </c>
      <c r="AG53" s="13">
        <f ca="1">IF($D$2="Egyszeri",IF($D$7&gt;=IF($D$4="Forint",Paraméterek!$P$223,Paraméterek!$P$224),$D$7-IF($D$4="Forint",Paraméterek!$P$223,Paraméterek!$P$224),0),MIN(IF($AB53=12,AVERAGEIF($E$20:$E53,"&gt;0",$E$20:$E53)*12,0),SUM($E$20:$E$31)))</f>
        <v>0</v>
      </c>
      <c r="AH53" s="13">
        <f>IF($AA53=10,$AG53*IF($AB53=12,IF($AG53&lt;IF($D$4="Forint",Paraméterek!$L$223,Paraméterek!$L$224),0,VLOOKUP($AA53,Paraméterek!$K$226:$M$228,IF($AG53&lt;IF($D$4="Forint",Paraméterek!$M$223,Paraméterek!$M$224),2,3))),0),0)</f>
        <v>0</v>
      </c>
      <c r="AI53" s="13">
        <f ca="1">IF(AND($AA53=$M$11+1,$AB53=$M$12+1),SUMIF($AA$20:$AA$1027,$AA53,$AG$20:$AG$1027)*IF(SUMIF($AA$20:$AA$1027,$AA53,$AG$20:$AG$1027)&lt;IF($D$4="Forint",Paraméterek!$L$223,Paraméterek!$L$224),0,VLOOKUP($AA53,Paraméterek!$K$230:$M$250,IF(SUMIF($AA$20:$AA$1027,$AA53,$AG$20:$AG$1027)&lt;IF($D$4="Forint",Paraméterek!$M$223,Paraméterek!$M$224),2,3))),0)</f>
        <v>0</v>
      </c>
      <c r="AJ53" s="13">
        <f ca="1">IF(AND($AA53&gt;=5,MOD($AA53,5)=0),IF($AB53=12,VLOOKUP($AA53,Paraméterek!$O$225:$P$240,2),0),IF(OR($AA53=3,$AA53=4),IF($AB53=12,VLOOKUP($AA53,Paraméterek!$O$225:$P$240,2,0),0),0))*$AG53</f>
        <v>0</v>
      </c>
      <c r="AK53" s="13">
        <f t="shared" ca="1" si="9"/>
        <v>0</v>
      </c>
      <c r="AL53" s="13">
        <f t="shared" ca="1" si="17"/>
        <v>0</v>
      </c>
      <c r="AM53" s="13">
        <f t="shared" ca="1" si="18"/>
        <v>0</v>
      </c>
      <c r="AO53" s="32">
        <v>34</v>
      </c>
      <c r="AP53" s="32">
        <v>3</v>
      </c>
      <c r="AQ53" s="32">
        <v>10</v>
      </c>
      <c r="AR53" s="13"/>
      <c r="AS53" s="32"/>
      <c r="AT53" s="13">
        <f t="shared" ca="1" si="19"/>
        <v>0</v>
      </c>
      <c r="AU53" s="33"/>
      <c r="AV53" s="13">
        <f t="shared" ca="1" si="10"/>
        <v>0</v>
      </c>
      <c r="AW53" s="13">
        <f ca="1">ROUNDUP(($AT53+$AV53)*VLOOKUP($AP53,Paraméterek!$P$38:$Q$38,2)/12*IF($D54="Nem",IF($M$13=0,1,$M$13),1),IF($D$4="Forint",0,2))</f>
        <v>0</v>
      </c>
      <c r="AX53" s="13"/>
      <c r="AY53" s="13"/>
      <c r="AZ53" s="13">
        <f>ROUNDUP(IF(SUM($AX53:$AY53)=0,0,IF(IF(ISBLANK($AY53),$AX53,$AY53)*Paraméterek!$J$112&lt;IF($D$4="Forint",Paraméterek!$J$113,Paraméterek!$K$113),IF($D$4="Forint",Paraméterek!$J$113,Paraméterek!$K$113),IF(IF(ISBLANK($AY53),$AX53,$AY53)*Paraméterek!$J$112&gt;IF($D$4="Forint",Paraméterek!$J$114,Paraméterek!$K$114),IF($D$4="Forint",Paraméterek!$J$114,Paraméterek!$K$114),IF(ISBLANK($AY53),$AX53,$AY53)*Paraméterek!$J$112))),IF($D$4="Forint",0,2))</f>
        <v>0</v>
      </c>
      <c r="BA53" s="13">
        <f ca="1">$AT53+$AV53-$AW53-IF(ROUNDDOWN(IF(ISBLANK($AY53),$AX53,$AY53),IF($D$4="Forint",0,2))&gt;$AT53+$AV53-$AW53-IF($D$4="Forint",Paraméterek!$J$114,Paraméterek!$K$114),0,ROUNDDOWN(IF(ISBLANK($AY53),$AX53,$AY53),IF($D$4="Forint",0,2))-$AZ53)</f>
        <v>0</v>
      </c>
      <c r="BB53" s="13">
        <f t="shared" ca="1" si="11"/>
        <v>0</v>
      </c>
      <c r="BD53" s="32">
        <v>34</v>
      </c>
      <c r="BE53" s="32">
        <v>3</v>
      </c>
      <c r="BF53" s="32">
        <v>10</v>
      </c>
      <c r="BG53" s="34">
        <f t="shared" ca="1" si="20"/>
        <v>2022</v>
      </c>
      <c r="BH53" s="32" t="str">
        <f ca="1">IF(MOD(MONTH($D$14)+$BD53-1,12)=Paraméterek!$C$288,"Igen","")</f>
        <v/>
      </c>
      <c r="BI53" s="13">
        <f ca="1">IF($BH53="Igen",MIN(ROUNDDOWN((SUMIF($BG$20:$BG$1027,$BG53-1,$K$20:$K$1027)-SUMIF($BG$20:$BG$1027,$BG53-1,$I$20:$I$1027))*Paraméterek!$C$289,IF($D$4="Forint",0,2)),IF($D$4="Forint",Paraméterek!$C$285,Paraméterek!$D$285)),0)</f>
        <v>0</v>
      </c>
      <c r="BJ53" s="13">
        <f t="shared" ca="1" si="12"/>
        <v>0</v>
      </c>
      <c r="BK53" s="13">
        <f t="shared" ca="1" si="21"/>
        <v>0</v>
      </c>
      <c r="BL53" s="33"/>
      <c r="BM53" s="13">
        <f t="shared" ca="1" si="13"/>
        <v>0</v>
      </c>
      <c r="BN53" s="13">
        <f ca="1">ROUNDUP(($BK53+$BM53)*VLOOKUP($BE53,Paraméterek!$P$38:$Q$38,2)/12*IF($D54="Nem",IF($M$13=0,1,$M$13),1),IF($D$4="Forint",0,2))</f>
        <v>0</v>
      </c>
      <c r="BO53" s="13">
        <f t="shared" ca="1" si="14"/>
        <v>0</v>
      </c>
      <c r="BP53" s="13">
        <f ca="1">IF($D54="Nem",$BO53,$BO53-ROUNDUP(SUM($BI$20:$BI53)*120%,IF($D$4="Forint",0,2)))</f>
        <v>0</v>
      </c>
    </row>
    <row r="54" spans="1:68" x14ac:dyDescent="0.2">
      <c r="A54" s="32">
        <v>35</v>
      </c>
      <c r="B54" s="32">
        <v>3</v>
      </c>
      <c r="C54" s="32">
        <v>11</v>
      </c>
      <c r="D54" s="32" t="str">
        <f t="shared" ca="1" si="0"/>
        <v>Nem</v>
      </c>
      <c r="E54" s="13">
        <f t="shared" ca="1" si="1"/>
        <v>0</v>
      </c>
      <c r="F54" s="13"/>
      <c r="G54" s="13"/>
      <c r="H54" s="13"/>
      <c r="I54" s="13">
        <f t="shared" ca="1" si="2"/>
        <v>0</v>
      </c>
      <c r="J54" s="13">
        <f t="shared" ca="1" si="3"/>
        <v>0</v>
      </c>
      <c r="K54" s="13">
        <f t="shared" ca="1" si="4"/>
        <v>0</v>
      </c>
      <c r="L54" s="13" t="e">
        <f ca="1">ROUNDUP(IF($D$2="Egyszeri",$E54,IF($D$2="Havi",SUM($E$20:$E$31),IF(MOD($C54,$M$1)-1=0,SUM($E$20:$E$31),0))/12*$M$1)*VLOOKUP($B54,Paraméterek!$I$28:$P$31,IF($D$2="Egyszeri",8,HLOOKUP(ROUNDUP($M$11+$M$13,0),Paraméterek!$J$26:$O$27,2))),IF($D$4="Forint",0,2))</f>
        <v>#N/A</v>
      </c>
      <c r="M54" s="13">
        <f t="shared" ca="1" si="5"/>
        <v>0</v>
      </c>
      <c r="N54" s="13">
        <f t="shared" ca="1" si="15"/>
        <v>0</v>
      </c>
      <c r="O54" s="13">
        <f ca="1">IF($D54="Igen",IF($W53&gt;=IF($D$4="Forint",Paraméterek!$J$121,Paraméterek!$K$121),0,IF($D$4="Forint",Paraméterek!$J$121,Paraméterek!$K$121)-$W53),0)</f>
        <v>0</v>
      </c>
      <c r="P54" s="13" t="e">
        <f ca="1">ROUNDUP($O54*VLOOKUP($M$4+$B54-1,Paraméterek!$H$58:$I$105,2,0)/Paraméterek!$I$56,IF($D$4="Forint",0,2))</f>
        <v>#N/A</v>
      </c>
      <c r="Q54" s="13">
        <f t="shared" ca="1" si="6"/>
        <v>0</v>
      </c>
      <c r="R54" s="33"/>
      <c r="S54" s="13" t="e">
        <f t="shared" ca="1" si="7"/>
        <v>#N/A</v>
      </c>
      <c r="T54" s="13" t="e">
        <f ca="1">ROUNDUP(($N54-$P54-$Q54+$S54)*VLOOKUP($B54,Paraméterek!$I$38:$K$39,IF($D$2="Egyszeri",3,2))/12*IF($D55="Nem",IF($M$13=0,1,$M$13),1),IF($D$4="Forint",0,2))</f>
        <v>#N/A</v>
      </c>
      <c r="U54" s="13"/>
      <c r="V54" s="13"/>
      <c r="W54" s="13" t="e">
        <f ca="1">$N54-$P54-$Q54+$S54-$T54-IF(ROUNDUP(IF(ISBLANK($V54),$U54*0,$V54)/IF($D$2="Egyszeri",VLOOKUP($B54+IF($C54=12,1,0),Paraméterek!$V$257:$W$262,2),IF($B54=1,1,VLOOKUP($B54+IF($C54=12,1,0),Paraméterek!$I$258:$T$278,HLOOKUP($M$11+1,Paraméterek!$J$256:$T$257,2)))),IF($D$4="Forint",0,2))&gt;$N54-$P54-$Q54+$S54-$T54-IF($D$4="Forint",Paraméterek!$C$216,Paraméterek!$D$216),0,ROUNDUP(IF(ISBLANK($V54),$U54*0,$V54)/IF($D$2="Egyszeri",VLOOKUP($B54+IF($C54=12,1,0),Paraméterek!$V$257:$W$262,2),IF($B54=1,1,VLOOKUP($B54+IF($C54=12,1,0),Paraméterek!$I$258:$T$278,HLOOKUP($M$11+1,Paraméterek!$J$256:$T$257,2)))),IF($D$4="Forint",0,2)))</f>
        <v>#N/A</v>
      </c>
      <c r="X54" s="13" t="e">
        <f ca="1">ROUNDDOWN($W54*IF($D$2="Egyszeri",VLOOKUP($B54+IF($C54=12,1,0),Paraméterek!$V$257:$W$262,2),VLOOKUP($B54+IF($C54=12,1,0),Paraméterek!$I$258:$T$278,HLOOKUP($M$11+1,Paraméterek!$I$256:$T$257,2))),IF($D$4="Forint",0,2))</f>
        <v>#N/A</v>
      </c>
      <c r="Z54" s="32">
        <v>35</v>
      </c>
      <c r="AA54" s="32">
        <v>3</v>
      </c>
      <c r="AB54" s="32">
        <v>11</v>
      </c>
      <c r="AC54" s="13">
        <f t="shared" ca="1" si="16"/>
        <v>0</v>
      </c>
      <c r="AD54" s="33"/>
      <c r="AE54" s="13">
        <f t="shared" ca="1" si="8"/>
        <v>0</v>
      </c>
      <c r="AF54" s="13">
        <f ca="1">ROUNDUP(($AC54+$AE54)*VLOOKUP($AA54,Paraméterek!$P$38:$Q$38,2)/12*IF($D55="Nem",IF($M$13=0,1,$M$13),1),IF($D$4="Forint",0,2))</f>
        <v>0</v>
      </c>
      <c r="AG54" s="13">
        <f ca="1">IF($D$2="Egyszeri",IF($D$7&gt;=IF($D$4="Forint",Paraméterek!$P$223,Paraméterek!$P$224),$D$7-IF($D$4="Forint",Paraméterek!$P$223,Paraméterek!$P$224),0),MIN(IF($AB54=12,AVERAGEIF($E$20:$E54,"&gt;0",$E$20:$E54)*12,0),SUM($E$20:$E$31)))</f>
        <v>0</v>
      </c>
      <c r="AH54" s="13">
        <f>IF($AA54=10,$AG54*IF($AB54=12,IF($AG54&lt;IF($D$4="Forint",Paraméterek!$L$223,Paraméterek!$L$224),0,VLOOKUP($AA54,Paraméterek!$K$226:$M$228,IF($AG54&lt;IF($D$4="Forint",Paraméterek!$M$223,Paraméterek!$M$224),2,3))),0),0)</f>
        <v>0</v>
      </c>
      <c r="AI54" s="13">
        <f ca="1">IF(AND($AA54=$M$11+1,$AB54=$M$12+1),SUMIF($AA$20:$AA$1027,$AA54,$AG$20:$AG$1027)*IF(SUMIF($AA$20:$AA$1027,$AA54,$AG$20:$AG$1027)&lt;IF($D$4="Forint",Paraméterek!$L$223,Paraméterek!$L$224),0,VLOOKUP($AA54,Paraméterek!$K$230:$M$250,IF(SUMIF($AA$20:$AA$1027,$AA54,$AG$20:$AG$1027)&lt;IF($D$4="Forint",Paraméterek!$M$223,Paraméterek!$M$224),2,3))),0)</f>
        <v>0</v>
      </c>
      <c r="AJ54" s="13">
        <f ca="1">IF(AND($AA54&gt;=5,MOD($AA54,5)=0),IF($AB54=12,VLOOKUP($AA54,Paraméterek!$O$225:$P$240,2),0),IF(OR($AA54=3,$AA54=4),IF($AB54=12,VLOOKUP($AA54,Paraméterek!$O$225:$P$240,2,0),0),0))*$AG54</f>
        <v>0</v>
      </c>
      <c r="AK54" s="13">
        <f t="shared" ca="1" si="9"/>
        <v>0</v>
      </c>
      <c r="AL54" s="13">
        <f t="shared" ca="1" si="17"/>
        <v>0</v>
      </c>
      <c r="AM54" s="13">
        <f t="shared" ca="1" si="18"/>
        <v>0</v>
      </c>
      <c r="AO54" s="32">
        <v>35</v>
      </c>
      <c r="AP54" s="32">
        <v>3</v>
      </c>
      <c r="AQ54" s="32">
        <v>11</v>
      </c>
      <c r="AR54" s="13"/>
      <c r="AS54" s="32"/>
      <c r="AT54" s="13">
        <f t="shared" ca="1" si="19"/>
        <v>0</v>
      </c>
      <c r="AU54" s="33"/>
      <c r="AV54" s="13">
        <f t="shared" ca="1" si="10"/>
        <v>0</v>
      </c>
      <c r="AW54" s="13">
        <f ca="1">ROUNDUP(($AT54+$AV54)*VLOOKUP($AP54,Paraméterek!$P$38:$Q$38,2)/12*IF($D55="Nem",IF($M$13=0,1,$M$13),1),IF($D$4="Forint",0,2))</f>
        <v>0</v>
      </c>
      <c r="AX54" s="13"/>
      <c r="AY54" s="13"/>
      <c r="AZ54" s="13">
        <f>ROUNDUP(IF(SUM($AX54:$AY54)=0,0,IF(IF(ISBLANK($AY54),$AX54,$AY54)*Paraméterek!$J$112&lt;IF($D$4="Forint",Paraméterek!$J$113,Paraméterek!$K$113),IF($D$4="Forint",Paraméterek!$J$113,Paraméterek!$K$113),IF(IF(ISBLANK($AY54),$AX54,$AY54)*Paraméterek!$J$112&gt;IF($D$4="Forint",Paraméterek!$J$114,Paraméterek!$K$114),IF($D$4="Forint",Paraméterek!$J$114,Paraméterek!$K$114),IF(ISBLANK($AY54),$AX54,$AY54)*Paraméterek!$J$112))),IF($D$4="Forint",0,2))</f>
        <v>0</v>
      </c>
      <c r="BA54" s="13">
        <f ca="1">$AT54+$AV54-$AW54-IF(ROUNDDOWN(IF(ISBLANK($AY54),$AX54,$AY54),IF($D$4="Forint",0,2))&gt;$AT54+$AV54-$AW54-IF($D$4="Forint",Paraméterek!$J$114,Paraméterek!$K$114),0,ROUNDDOWN(IF(ISBLANK($AY54),$AX54,$AY54),IF($D$4="Forint",0,2))-$AZ54)</f>
        <v>0</v>
      </c>
      <c r="BB54" s="13">
        <f t="shared" ca="1" si="11"/>
        <v>0</v>
      </c>
      <c r="BD54" s="32">
        <v>35</v>
      </c>
      <c r="BE54" s="32">
        <v>3</v>
      </c>
      <c r="BF54" s="32">
        <v>11</v>
      </c>
      <c r="BG54" s="34">
        <f t="shared" ca="1" si="20"/>
        <v>2022</v>
      </c>
      <c r="BH54" s="32" t="str">
        <f ca="1">IF(MOD(MONTH($D$14)+$BD54-1,12)=Paraméterek!$C$288,"Igen","")</f>
        <v/>
      </c>
      <c r="BI54" s="13">
        <f ca="1">IF($BH54="Igen",MIN(ROUNDDOWN((SUMIF($BG$20:$BG$1027,$BG54-1,$K$20:$K$1027)-SUMIF($BG$20:$BG$1027,$BG54-1,$I$20:$I$1027))*Paraméterek!$C$289,IF($D$4="Forint",0,2)),IF($D$4="Forint",Paraméterek!$C$285,Paraméterek!$D$285)),0)</f>
        <v>0</v>
      </c>
      <c r="BJ54" s="13">
        <f t="shared" ca="1" si="12"/>
        <v>0</v>
      </c>
      <c r="BK54" s="13">
        <f t="shared" ca="1" si="21"/>
        <v>0</v>
      </c>
      <c r="BL54" s="33"/>
      <c r="BM54" s="13">
        <f t="shared" ca="1" si="13"/>
        <v>0</v>
      </c>
      <c r="BN54" s="13">
        <f ca="1">ROUNDUP(($BK54+$BM54)*VLOOKUP($BE54,Paraméterek!$P$38:$Q$38,2)/12*IF($D55="Nem",IF($M$13=0,1,$M$13),1),IF($D$4="Forint",0,2))</f>
        <v>0</v>
      </c>
      <c r="BO54" s="13">
        <f t="shared" ca="1" si="14"/>
        <v>0</v>
      </c>
      <c r="BP54" s="13">
        <f ca="1">IF($D55="Nem",$BO54,$BO54-ROUNDUP(SUM($BI$20:$BI54)*120%,IF($D$4="Forint",0,2)))</f>
        <v>0</v>
      </c>
    </row>
    <row r="55" spans="1:68" x14ac:dyDescent="0.2">
      <c r="A55" s="32">
        <v>36</v>
      </c>
      <c r="B55" s="32">
        <v>3</v>
      </c>
      <c r="C55" s="32">
        <v>12</v>
      </c>
      <c r="D55" s="32" t="str">
        <f t="shared" ca="1" si="0"/>
        <v>Nem</v>
      </c>
      <c r="E55" s="13">
        <f t="shared" ca="1" si="1"/>
        <v>0</v>
      </c>
      <c r="F55" s="13"/>
      <c r="G55" s="13"/>
      <c r="H55" s="13"/>
      <c r="I55" s="13">
        <f t="shared" ca="1" si="2"/>
        <v>0</v>
      </c>
      <c r="J55" s="13">
        <f t="shared" ca="1" si="3"/>
        <v>0</v>
      </c>
      <c r="K55" s="13">
        <f t="shared" ca="1" si="4"/>
        <v>0</v>
      </c>
      <c r="L55" s="13" t="e">
        <f ca="1">ROUNDUP(IF($D$2="Egyszeri",$E55,IF($D$2="Havi",SUM($E$20:$E$31),IF(MOD($C55,$M$1)-1=0,SUM($E$20:$E$31),0))/12*$M$1)*VLOOKUP($B55,Paraméterek!$I$28:$P$31,IF($D$2="Egyszeri",8,HLOOKUP(ROUNDUP($M$11+$M$13,0),Paraméterek!$J$26:$O$27,2))),IF($D$4="Forint",0,2))</f>
        <v>#N/A</v>
      </c>
      <c r="M55" s="13">
        <f t="shared" ca="1" si="5"/>
        <v>0</v>
      </c>
      <c r="N55" s="13">
        <f t="shared" ca="1" si="15"/>
        <v>0</v>
      </c>
      <c r="O55" s="13">
        <f ca="1">IF($D55="Igen",IF($W54&gt;=IF($D$4="Forint",Paraméterek!$J$121,Paraméterek!$K$121),0,IF($D$4="Forint",Paraméterek!$J$121,Paraméterek!$K$121)-$W54),0)</f>
        <v>0</v>
      </c>
      <c r="P55" s="13" t="e">
        <f ca="1">ROUNDUP($O55*VLOOKUP($M$4+$B55-1,Paraméterek!$H$58:$I$105,2,0)/Paraméterek!$I$56,IF($D$4="Forint",0,2))</f>
        <v>#N/A</v>
      </c>
      <c r="Q55" s="13">
        <f t="shared" ca="1" si="6"/>
        <v>0</v>
      </c>
      <c r="R55" s="33"/>
      <c r="S55" s="13" t="e">
        <f t="shared" ca="1" si="7"/>
        <v>#N/A</v>
      </c>
      <c r="T55" s="13" t="e">
        <f ca="1">ROUNDUP(($N55-$P55-$Q55+$S55)*VLOOKUP($B55,Paraméterek!$I$38:$K$39,IF($D$2="Egyszeri",3,2))/12*IF($D56="Nem",IF($M$13=0,1,$M$13),1),IF($D$4="Forint",0,2))</f>
        <v>#N/A</v>
      </c>
      <c r="U55" s="13">
        <f>Tranzakciók!$F$34</f>
        <v>0</v>
      </c>
      <c r="V55" s="13"/>
      <c r="W55" s="13" t="e">
        <f ca="1">$N55-$P55-$Q55+$S55-$T55-IF(ROUNDUP(IF(ISBLANK($V55),$U55*0,$V55)/IF($D$2="Egyszeri",VLOOKUP($B55+IF($C55=12,1,0),Paraméterek!$V$257:$W$262,2),IF($B55=1,1,VLOOKUP($B55+IF($C55=12,1,0),Paraméterek!$I$258:$T$278,HLOOKUP($M$11+1,Paraméterek!$J$256:$T$257,2)))),IF($D$4="Forint",0,2))&gt;$N55-$P55-$Q55+$S55-$T55-IF($D$4="Forint",Paraméterek!$C$216,Paraméterek!$D$216),0,ROUNDUP(IF(ISBLANK($V55),$U55*0,$V55)/IF($D$2="Egyszeri",VLOOKUP($B55+IF($C55=12,1,0),Paraméterek!$V$257:$W$262,2),IF($B55=1,1,VLOOKUP($B55+IF($C55=12,1,0),Paraméterek!$I$258:$T$278,HLOOKUP($M$11+1,Paraméterek!$J$256:$T$257,2)))),IF($D$4="Forint",0,2)))</f>
        <v>#N/A</v>
      </c>
      <c r="X55" s="13" t="e">
        <f ca="1">ROUNDDOWN($W55*IF($D$2="Egyszeri",VLOOKUP($B55+IF($C55=12,1,0),Paraméterek!$V$257:$W$262,2),VLOOKUP($B55+IF($C55=12,1,0),Paraméterek!$I$258:$T$278,HLOOKUP($M$11+1,Paraméterek!$I$256:$T$257,2))),IF($D$4="Forint",0,2))</f>
        <v>#N/A</v>
      </c>
      <c r="Z55" s="32">
        <v>36</v>
      </c>
      <c r="AA55" s="32">
        <v>3</v>
      </c>
      <c r="AB55" s="32">
        <v>12</v>
      </c>
      <c r="AC55" s="13">
        <f t="shared" ca="1" si="16"/>
        <v>0</v>
      </c>
      <c r="AD55" s="33"/>
      <c r="AE55" s="13">
        <f t="shared" ca="1" si="8"/>
        <v>0</v>
      </c>
      <c r="AF55" s="13">
        <f ca="1">ROUNDUP(($AC55+$AE55)*VLOOKUP($AA55,Paraméterek!$P$38:$Q$38,2)/12*IF($D56="Nem",IF($M$13=0,1,$M$13),1),IF($D$4="Forint",0,2))</f>
        <v>0</v>
      </c>
      <c r="AG55" s="13" t="e">
        <f ca="1">IF($D$2="Egyszeri",IF($D$7&gt;=IF($D$4="Forint",Paraméterek!$P$223,Paraméterek!$P$224),$D$7-IF($D$4="Forint",Paraméterek!$P$223,Paraméterek!$P$224),0),MIN(IF($AB55=12,AVERAGEIF($E$20:$E55,"&gt;0",$E$20:$E55)*12,0),SUM($E$20:$E$31)))</f>
        <v>#DIV/0!</v>
      </c>
      <c r="AH55" s="13">
        <f>IF($AA55=10,$AG55*IF($AB55=12,IF($AG55&lt;IF($D$4="Forint",Paraméterek!$L$223,Paraméterek!$L$224),0,VLOOKUP($AA55,Paraméterek!$K$226:$M$228,IF($AG55&lt;IF($D$4="Forint",Paraméterek!$M$223,Paraméterek!$M$224),2,3))),0),0)</f>
        <v>0</v>
      </c>
      <c r="AI55" s="13">
        <f ca="1">IF(AND($AA55=$M$11+1,$AB55=$M$12+1),SUMIF($AA$20:$AA$1027,$AA55,$AG$20:$AG$1027)*IF(SUMIF($AA$20:$AA$1027,$AA55,$AG$20:$AG$1027)&lt;IF($D$4="Forint",Paraméterek!$L$223,Paraméterek!$L$224),0,VLOOKUP($AA55,Paraméterek!$K$230:$M$250,IF(SUMIF($AA$20:$AA$1027,$AA55,$AG$20:$AG$1027)&lt;IF($D$4="Forint",Paraméterek!$M$223,Paraméterek!$M$224),2,3))),0)</f>
        <v>0</v>
      </c>
      <c r="AJ55" s="13" t="e">
        <f ca="1">IF(AND($AA55&gt;=5,MOD($AA55,5)=0),IF($AB55=12,VLOOKUP($AA55,Paraméterek!$O$225:$P$240,2),0),IF(OR($AA55=3,$AA55=4),IF($AB55=12,VLOOKUP($AA55,Paraméterek!$O$225:$P$240,2,0),0),0))*$AG55</f>
        <v>#DIV/0!</v>
      </c>
      <c r="AK55" s="13">
        <f t="shared" ca="1" si="9"/>
        <v>0</v>
      </c>
      <c r="AL55" s="13">
        <f t="shared" ca="1" si="17"/>
        <v>0</v>
      </c>
      <c r="AM55" s="13">
        <f t="shared" ca="1" si="18"/>
        <v>0</v>
      </c>
      <c r="AO55" s="32">
        <v>36</v>
      </c>
      <c r="AP55" s="32">
        <v>3</v>
      </c>
      <c r="AQ55" s="32">
        <v>12</v>
      </c>
      <c r="AR55" s="13"/>
      <c r="AS55" s="32"/>
      <c r="AT55" s="13">
        <f t="shared" ca="1" si="19"/>
        <v>0</v>
      </c>
      <c r="AU55" s="33"/>
      <c r="AV55" s="13">
        <f t="shared" ca="1" si="10"/>
        <v>0</v>
      </c>
      <c r="AW55" s="13">
        <f ca="1">ROUNDUP(($AT55+$AV55)*VLOOKUP($AP55,Paraméterek!$P$38:$Q$38,2)/12*IF($D56="Nem",IF($M$13=0,1,$M$13),1),IF($D$4="Forint",0,2))</f>
        <v>0</v>
      </c>
      <c r="AX55" s="13">
        <f>Tranzakciók!$M$34</f>
        <v>0</v>
      </c>
      <c r="AY55" s="13"/>
      <c r="AZ55" s="13">
        <f>ROUNDUP(IF(SUM($AX55:$AY55)=0,0,IF(IF(ISBLANK($AY55),$AX55,$AY55)*Paraméterek!$J$112&lt;IF($D$4="Forint",Paraméterek!$J$113,Paraméterek!$K$113),IF($D$4="Forint",Paraméterek!$J$113,Paraméterek!$K$113),IF(IF(ISBLANK($AY55),$AX55,$AY55)*Paraméterek!$J$112&gt;IF($D$4="Forint",Paraméterek!$J$114,Paraméterek!$K$114),IF($D$4="Forint",Paraméterek!$J$114,Paraméterek!$K$114),IF(ISBLANK($AY55),$AX55,$AY55)*Paraméterek!$J$112))),IF($D$4="Forint",0,2))</f>
        <v>0</v>
      </c>
      <c r="BA55" s="13">
        <f ca="1">$AT55+$AV55-$AW55-IF(ROUNDDOWN(IF(ISBLANK($AY55),$AX55,$AY55),IF($D$4="Forint",0,2))&gt;$AT55+$AV55-$AW55-IF($D$4="Forint",Paraméterek!$J$114,Paraméterek!$K$114),0,ROUNDDOWN(IF(ISBLANK($AY55),$AX55,$AY55),IF($D$4="Forint",0,2))-$AZ55)</f>
        <v>0</v>
      </c>
      <c r="BB55" s="13">
        <f t="shared" ca="1" si="11"/>
        <v>0</v>
      </c>
      <c r="BD55" s="32">
        <v>36</v>
      </c>
      <c r="BE55" s="32">
        <v>3</v>
      </c>
      <c r="BF55" s="32">
        <v>12</v>
      </c>
      <c r="BG55" s="34">
        <f t="shared" ca="1" si="20"/>
        <v>2022</v>
      </c>
      <c r="BH55" s="32" t="str">
        <f ca="1">IF(MOD(MONTH($D$14)+$BD55-1,12)=Paraméterek!$C$288,"Igen","")</f>
        <v/>
      </c>
      <c r="BI55" s="13">
        <f ca="1">IF($BH55="Igen",MIN(ROUNDDOWN((SUMIF($BG$20:$BG$1027,$BG55-1,$K$20:$K$1027)-SUMIF($BG$20:$BG$1027,$BG55-1,$I$20:$I$1027))*Paraméterek!$C$289,IF($D$4="Forint",0,2)),IF($D$4="Forint",Paraméterek!$C$285,Paraméterek!$D$285)),0)</f>
        <v>0</v>
      </c>
      <c r="BJ55" s="13">
        <f t="shared" ca="1" si="12"/>
        <v>0</v>
      </c>
      <c r="BK55" s="13">
        <f t="shared" ca="1" si="21"/>
        <v>0</v>
      </c>
      <c r="BL55" s="33"/>
      <c r="BM55" s="13">
        <f t="shared" ca="1" si="13"/>
        <v>0</v>
      </c>
      <c r="BN55" s="13">
        <f ca="1">ROUNDUP(($BK55+$BM55)*VLOOKUP($BE55,Paraméterek!$P$38:$Q$38,2)/12*IF($D56="Nem",IF($M$13=0,1,$M$13),1),IF($D$4="Forint",0,2))</f>
        <v>0</v>
      </c>
      <c r="BO55" s="13">
        <f t="shared" ca="1" si="14"/>
        <v>0</v>
      </c>
      <c r="BP55" s="13">
        <f ca="1">IF($D56="Nem",$BO55,$BO55-ROUNDUP(SUM($BI$20:$BI55)*120%,IF($D$4="Forint",0,2)))</f>
        <v>0</v>
      </c>
    </row>
    <row r="56" spans="1:68" x14ac:dyDescent="0.2">
      <c r="A56" s="32">
        <v>37</v>
      </c>
      <c r="B56" s="32">
        <v>4</v>
      </c>
      <c r="C56" s="32">
        <v>1</v>
      </c>
      <c r="D56" s="32" t="str">
        <f t="shared" ca="1" si="0"/>
        <v>Nem</v>
      </c>
      <c r="E56" s="13">
        <f t="shared" ca="1" si="1"/>
        <v>0</v>
      </c>
      <c r="F56" s="13"/>
      <c r="G56" s="13">
        <f>Tranzakciók!$D$35</f>
        <v>0</v>
      </c>
      <c r="H56" s="13"/>
      <c r="I56" s="13">
        <f t="shared" ca="1" si="2"/>
        <v>0</v>
      </c>
      <c r="J56" s="13">
        <f t="shared" ca="1" si="3"/>
        <v>0</v>
      </c>
      <c r="K56" s="13">
        <f t="shared" ca="1" si="4"/>
        <v>0</v>
      </c>
      <c r="L56" s="13" t="e">
        <f ca="1">ROUNDUP(IF($D$2="Egyszeri",$E56,IF($D$2="Havi",SUM($E$20:$E$31),IF(MOD($C56,$M$1)-1=0,SUM($E$20:$E$31),0))/12*$M$1)*VLOOKUP($B56,Paraméterek!$I$28:$P$31,IF($D$2="Egyszeri",8,HLOOKUP(ROUNDUP($M$11+$M$13,0),Paraméterek!$J$26:$O$27,2))),IF($D$4="Forint",0,2))</f>
        <v>#N/A</v>
      </c>
      <c r="M56" s="13">
        <f t="shared" ca="1" si="5"/>
        <v>0</v>
      </c>
      <c r="N56" s="13">
        <f t="shared" ca="1" si="15"/>
        <v>0</v>
      </c>
      <c r="O56" s="13">
        <f ca="1">IF($D56="Igen",IF($W55&gt;=IF($D$4="Forint",Paraméterek!$J$121,Paraméterek!$K$121),0,IF($D$4="Forint",Paraméterek!$J$121,Paraméterek!$K$121)-$W55),0)</f>
        <v>0</v>
      </c>
      <c r="P56" s="13" t="e">
        <f ca="1">ROUNDUP($O56*VLOOKUP($M$4+$B56-1,Paraméterek!$H$58:$I$105,2,0)/Paraméterek!$I$56,IF($D$4="Forint",0,2))</f>
        <v>#N/A</v>
      </c>
      <c r="Q56" s="13">
        <f t="shared" ca="1" si="6"/>
        <v>0</v>
      </c>
      <c r="R56" s="33"/>
      <c r="S56" s="13" t="e">
        <f t="shared" ca="1" si="7"/>
        <v>#N/A</v>
      </c>
      <c r="T56" s="13" t="e">
        <f ca="1">ROUNDUP(($N56-$P56-$Q56+$S56)*VLOOKUP($B56,Paraméterek!$I$38:$K$39,IF($D$2="Egyszeri",3,2))/12*IF($D57="Nem",IF($M$13=0,1,$M$13),1),IF($D$4="Forint",0,2))</f>
        <v>#N/A</v>
      </c>
      <c r="U56" s="13"/>
      <c r="V56" s="13"/>
      <c r="W56" s="13" t="e">
        <f ca="1">$N56-$P56-$Q56+$S56-$T56-IF(ROUNDUP(IF(ISBLANK($V56),$U56*0,$V56)/IF($D$2="Egyszeri",VLOOKUP($B56+IF($C56=12,1,0),Paraméterek!$V$257:$W$262,2),IF($B56=1,1,VLOOKUP($B56+IF($C56=12,1,0),Paraméterek!$I$258:$T$278,HLOOKUP($M$11+1,Paraméterek!$J$256:$T$257,2)))),IF($D$4="Forint",0,2))&gt;$N56-$P56-$Q56+$S56-$T56-IF($D$4="Forint",Paraméterek!$C$216,Paraméterek!$D$216),0,ROUNDUP(IF(ISBLANK($V56),$U56*0,$V56)/IF($D$2="Egyszeri",VLOOKUP($B56+IF($C56=12,1,0),Paraméterek!$V$257:$W$262,2),IF($B56=1,1,VLOOKUP($B56+IF($C56=12,1,0),Paraméterek!$I$258:$T$278,HLOOKUP($M$11+1,Paraméterek!$J$256:$T$257,2)))),IF($D$4="Forint",0,2)))</f>
        <v>#N/A</v>
      </c>
      <c r="X56" s="13" t="e">
        <f ca="1">ROUNDDOWN($W56*IF($D$2="Egyszeri",VLOOKUP($B56+IF($C56=12,1,0),Paraméterek!$V$257:$W$262,2),VLOOKUP($B56+IF($C56=12,1,0),Paraméterek!$I$258:$T$278,HLOOKUP($M$11+1,Paraméterek!$I$256:$T$257,2))),IF($D$4="Forint",0,2))</f>
        <v>#N/A</v>
      </c>
      <c r="Z56" s="32">
        <v>37</v>
      </c>
      <c r="AA56" s="32">
        <v>4</v>
      </c>
      <c r="AB56" s="32">
        <v>1</v>
      </c>
      <c r="AC56" s="13">
        <f t="shared" ca="1" si="16"/>
        <v>0</v>
      </c>
      <c r="AD56" s="33"/>
      <c r="AE56" s="13">
        <f t="shared" ca="1" si="8"/>
        <v>0</v>
      </c>
      <c r="AF56" s="13">
        <f ca="1">ROUNDUP(($AC56+$AE56)*VLOOKUP($AA56,Paraméterek!$P$38:$Q$38,2)/12*IF($D57="Nem",IF($M$13=0,1,$M$13),1),IF($D$4="Forint",0,2))</f>
        <v>0</v>
      </c>
      <c r="AG56" s="13">
        <f ca="1">IF($D$2="Egyszeri",IF($D$7&gt;=IF($D$4="Forint",Paraméterek!$P$223,Paraméterek!$P$224),$D$7-IF($D$4="Forint",Paraméterek!$P$223,Paraméterek!$P$224),0),MIN(IF($AB56=12,AVERAGEIF($E$20:$E56,"&gt;0",$E$20:$E56)*12,0),SUM($E$20:$E$31)))</f>
        <v>0</v>
      </c>
      <c r="AH56" s="13">
        <f>IF($AA56=10,$AG56*IF($AB56=12,IF($AG56&lt;IF($D$4="Forint",Paraméterek!$L$223,Paraméterek!$L$224),0,VLOOKUP($AA56,Paraméterek!$K$226:$M$228,IF($AG56&lt;IF($D$4="Forint",Paraméterek!$M$223,Paraméterek!$M$224),2,3))),0),0)</f>
        <v>0</v>
      </c>
      <c r="AI56" s="13">
        <f ca="1">IF(AND($AA56=$M$11+1,$AB56=$M$12+1),SUMIF($AA$20:$AA$1027,$AA56,$AG$20:$AG$1027)*IF(SUMIF($AA$20:$AA$1027,$AA56,$AG$20:$AG$1027)&lt;IF($D$4="Forint",Paraméterek!$L$223,Paraméterek!$L$224),0,VLOOKUP($AA56,Paraméterek!$K$230:$M$250,IF(SUMIF($AA$20:$AA$1027,$AA56,$AG$20:$AG$1027)&lt;IF($D$4="Forint",Paraméterek!$M$223,Paraméterek!$M$224),2,3))),0)</f>
        <v>0</v>
      </c>
      <c r="AJ56" s="13">
        <f ca="1">IF(AND($AA56&gt;=5,MOD($AA56,5)=0),IF($AB56=12,VLOOKUP($AA56,Paraméterek!$O$225:$P$240,2),0),IF(OR($AA56=3,$AA56=4),IF($AB56=12,VLOOKUP($AA56,Paraméterek!$O$225:$P$240,2,0),0),0))*$AG56</f>
        <v>0</v>
      </c>
      <c r="AK56" s="13">
        <f t="shared" ca="1" si="9"/>
        <v>0</v>
      </c>
      <c r="AL56" s="13">
        <f t="shared" ca="1" si="17"/>
        <v>0</v>
      </c>
      <c r="AM56" s="13">
        <f t="shared" ca="1" si="18"/>
        <v>0</v>
      </c>
      <c r="AO56" s="32">
        <v>37</v>
      </c>
      <c r="AP56" s="32">
        <v>4</v>
      </c>
      <c r="AQ56" s="32">
        <v>1</v>
      </c>
      <c r="AR56" s="13">
        <f>Tranzakciók!$K$35</f>
        <v>0</v>
      </c>
      <c r="AS56" s="32"/>
      <c r="AT56" s="13">
        <f t="shared" ca="1" si="19"/>
        <v>0</v>
      </c>
      <c r="AU56" s="33"/>
      <c r="AV56" s="13">
        <f t="shared" ca="1" si="10"/>
        <v>0</v>
      </c>
      <c r="AW56" s="13">
        <f ca="1">ROUNDUP(($AT56+$AV56)*VLOOKUP($AP56,Paraméterek!$P$38:$Q$38,2)/12*IF($D57="Nem",IF($M$13=0,1,$M$13),1),IF($D$4="Forint",0,2))</f>
        <v>0</v>
      </c>
      <c r="AX56" s="13"/>
      <c r="AY56" s="13"/>
      <c r="AZ56" s="13">
        <f>ROUNDUP(IF(SUM($AX56:$AY56)=0,0,IF(IF(ISBLANK($AY56),$AX56,$AY56)*Paraméterek!$J$112&lt;IF($D$4="Forint",Paraméterek!$J$113,Paraméterek!$K$113),IF($D$4="Forint",Paraméterek!$J$113,Paraméterek!$K$113),IF(IF(ISBLANK($AY56),$AX56,$AY56)*Paraméterek!$J$112&gt;IF($D$4="Forint",Paraméterek!$J$114,Paraméterek!$K$114),IF($D$4="Forint",Paraméterek!$J$114,Paraméterek!$K$114),IF(ISBLANK($AY56),$AX56,$AY56)*Paraméterek!$J$112))),IF($D$4="Forint",0,2))</f>
        <v>0</v>
      </c>
      <c r="BA56" s="13">
        <f ca="1">$AT56+$AV56-$AW56-IF(ROUNDDOWN(IF(ISBLANK($AY56),$AX56,$AY56),IF($D$4="Forint",0,2))&gt;$AT56+$AV56-$AW56-IF($D$4="Forint",Paraméterek!$J$114,Paraméterek!$K$114),0,ROUNDDOWN(IF(ISBLANK($AY56),$AX56,$AY56),IF($D$4="Forint",0,2))-$AZ56)</f>
        <v>0</v>
      </c>
      <c r="BB56" s="13">
        <f t="shared" ca="1" si="11"/>
        <v>0</v>
      </c>
      <c r="BD56" s="32">
        <v>37</v>
      </c>
      <c r="BE56" s="32">
        <v>4</v>
      </c>
      <c r="BF56" s="32">
        <v>1</v>
      </c>
      <c r="BG56" s="34">
        <f t="shared" ca="1" si="20"/>
        <v>2022</v>
      </c>
      <c r="BH56" s="32" t="str">
        <f ca="1">IF(MOD(MONTH($D$14)+$BD56-1,12)=Paraméterek!$C$288,"Igen","")</f>
        <v/>
      </c>
      <c r="BI56" s="13">
        <f ca="1">IF($BH56="Igen",MIN(ROUNDDOWN((SUMIF($BG$20:$BG$1027,$BG56-1,$K$20:$K$1027)-SUMIF($BG$20:$BG$1027,$BG56-1,$I$20:$I$1027))*Paraméterek!$C$289,IF($D$4="Forint",0,2)),IF($D$4="Forint",Paraméterek!$C$285,Paraméterek!$D$285)),0)</f>
        <v>0</v>
      </c>
      <c r="BJ56" s="13">
        <f t="shared" ca="1" si="12"/>
        <v>0</v>
      </c>
      <c r="BK56" s="13">
        <f t="shared" ca="1" si="21"/>
        <v>0</v>
      </c>
      <c r="BL56" s="33"/>
      <c r="BM56" s="13">
        <f t="shared" ca="1" si="13"/>
        <v>0</v>
      </c>
      <c r="BN56" s="13">
        <f ca="1">ROUNDUP(($BK56+$BM56)*VLOOKUP($BE56,Paraméterek!$P$38:$Q$38,2)/12*IF($D57="Nem",IF($M$13=0,1,$M$13),1),IF($D$4="Forint",0,2))</f>
        <v>0</v>
      </c>
      <c r="BO56" s="13">
        <f t="shared" ca="1" si="14"/>
        <v>0</v>
      </c>
      <c r="BP56" s="13">
        <f ca="1">IF($D57="Nem",$BO56,$BO56-ROUNDUP(SUM($BI$20:$BI56)*120%,IF($D$4="Forint",0,2)))</f>
        <v>0</v>
      </c>
    </row>
    <row r="57" spans="1:68" x14ac:dyDescent="0.2">
      <c r="A57" s="32">
        <v>38</v>
      </c>
      <c r="B57" s="32">
        <v>4</v>
      </c>
      <c r="C57" s="32">
        <v>2</v>
      </c>
      <c r="D57" s="32" t="str">
        <f t="shared" ca="1" si="0"/>
        <v>Nem</v>
      </c>
      <c r="E57" s="13">
        <f t="shared" ca="1" si="1"/>
        <v>0</v>
      </c>
      <c r="F57" s="13"/>
      <c r="G57" s="13"/>
      <c r="H57" s="13"/>
      <c r="I57" s="13">
        <f t="shared" ca="1" si="2"/>
        <v>0</v>
      </c>
      <c r="J57" s="13">
        <f t="shared" ca="1" si="3"/>
        <v>0</v>
      </c>
      <c r="K57" s="13">
        <f t="shared" ca="1" si="4"/>
        <v>0</v>
      </c>
      <c r="L57" s="13" t="e">
        <f ca="1">ROUNDUP(IF($D$2="Egyszeri",$E57,IF($D$2="Havi",SUM($E$20:$E$31),IF(MOD($C57,$M$1)-1=0,SUM($E$20:$E$31),0))/12*$M$1)*VLOOKUP($B57,Paraméterek!$I$28:$P$31,IF($D$2="Egyszeri",8,HLOOKUP(ROUNDUP($M$11+$M$13,0),Paraméterek!$J$26:$O$27,2))),IF($D$4="Forint",0,2))</f>
        <v>#N/A</v>
      </c>
      <c r="M57" s="13">
        <f t="shared" ca="1" si="5"/>
        <v>0</v>
      </c>
      <c r="N57" s="13">
        <f t="shared" ca="1" si="15"/>
        <v>0</v>
      </c>
      <c r="O57" s="13">
        <f ca="1">IF($D57="Igen",IF($W56&gt;=IF($D$4="Forint",Paraméterek!$J$121,Paraméterek!$K$121),0,IF($D$4="Forint",Paraméterek!$J$121,Paraméterek!$K$121)-$W56),0)</f>
        <v>0</v>
      </c>
      <c r="P57" s="13" t="e">
        <f ca="1">ROUNDUP($O57*VLOOKUP($M$4+$B57-1,Paraméterek!$H$58:$I$105,2,0)/Paraméterek!$I$56,IF($D$4="Forint",0,2))</f>
        <v>#N/A</v>
      </c>
      <c r="Q57" s="13">
        <f t="shared" ca="1" si="6"/>
        <v>0</v>
      </c>
      <c r="R57" s="33"/>
      <c r="S57" s="13" t="e">
        <f t="shared" ca="1" si="7"/>
        <v>#N/A</v>
      </c>
      <c r="T57" s="13" t="e">
        <f ca="1">ROUNDUP(($N57-$P57-$Q57+$S57)*VLOOKUP($B57,Paraméterek!$I$38:$K$39,IF($D$2="Egyszeri",3,2))/12*IF($D58="Nem",IF($M$13=0,1,$M$13),1),IF($D$4="Forint",0,2))</f>
        <v>#N/A</v>
      </c>
      <c r="U57" s="13"/>
      <c r="V57" s="13"/>
      <c r="W57" s="13" t="e">
        <f ca="1">$N57-$P57-$Q57+$S57-$T57-IF(ROUNDUP(IF(ISBLANK($V57),$U57*0,$V57)/IF($D$2="Egyszeri",VLOOKUP($B57+IF($C57=12,1,0),Paraméterek!$V$257:$W$262,2),IF($B57=1,1,VLOOKUP($B57+IF($C57=12,1,0),Paraméterek!$I$258:$T$278,HLOOKUP($M$11+1,Paraméterek!$J$256:$T$257,2)))),IF($D$4="Forint",0,2))&gt;$N57-$P57-$Q57+$S57-$T57-IF($D$4="Forint",Paraméterek!$C$216,Paraméterek!$D$216),0,ROUNDUP(IF(ISBLANK($V57),$U57*0,$V57)/IF($D$2="Egyszeri",VLOOKUP($B57+IF($C57=12,1,0),Paraméterek!$V$257:$W$262,2),IF($B57=1,1,VLOOKUP($B57+IF($C57=12,1,0),Paraméterek!$I$258:$T$278,HLOOKUP($M$11+1,Paraméterek!$J$256:$T$257,2)))),IF($D$4="Forint",0,2)))</f>
        <v>#N/A</v>
      </c>
      <c r="X57" s="13" t="e">
        <f ca="1">ROUNDDOWN($W57*IF($D$2="Egyszeri",VLOOKUP($B57+IF($C57=12,1,0),Paraméterek!$V$257:$W$262,2),VLOOKUP($B57+IF($C57=12,1,0),Paraméterek!$I$258:$T$278,HLOOKUP($M$11+1,Paraméterek!$I$256:$T$257,2))),IF($D$4="Forint",0,2))</f>
        <v>#N/A</v>
      </c>
      <c r="Z57" s="32">
        <v>38</v>
      </c>
      <c r="AA57" s="32">
        <v>4</v>
      </c>
      <c r="AB57" s="32">
        <v>2</v>
      </c>
      <c r="AC57" s="13">
        <f t="shared" ca="1" si="16"/>
        <v>0</v>
      </c>
      <c r="AD57" s="33"/>
      <c r="AE57" s="13">
        <f t="shared" ca="1" si="8"/>
        <v>0</v>
      </c>
      <c r="AF57" s="13">
        <f ca="1">ROUNDUP(($AC57+$AE57)*VLOOKUP($AA57,Paraméterek!$P$38:$Q$38,2)/12*IF($D58="Nem",IF($M$13=0,1,$M$13),1),IF($D$4="Forint",0,2))</f>
        <v>0</v>
      </c>
      <c r="AG57" s="13">
        <f ca="1">IF($D$2="Egyszeri",IF($D$7&gt;=IF($D$4="Forint",Paraméterek!$P$223,Paraméterek!$P$224),$D$7-IF($D$4="Forint",Paraméterek!$P$223,Paraméterek!$P$224),0),MIN(IF($AB57=12,AVERAGEIF($E$20:$E57,"&gt;0",$E$20:$E57)*12,0),SUM($E$20:$E$31)))</f>
        <v>0</v>
      </c>
      <c r="AH57" s="13">
        <f>IF($AA57=10,$AG57*IF($AB57=12,IF($AG57&lt;IF($D$4="Forint",Paraméterek!$L$223,Paraméterek!$L$224),0,VLOOKUP($AA57,Paraméterek!$K$226:$M$228,IF($AG57&lt;IF($D$4="Forint",Paraméterek!$M$223,Paraméterek!$M$224),2,3))),0),0)</f>
        <v>0</v>
      </c>
      <c r="AI57" s="13">
        <f ca="1">IF(AND($AA57=$M$11+1,$AB57=$M$12+1),SUMIF($AA$20:$AA$1027,$AA57,$AG$20:$AG$1027)*IF(SUMIF($AA$20:$AA$1027,$AA57,$AG$20:$AG$1027)&lt;IF($D$4="Forint",Paraméterek!$L$223,Paraméterek!$L$224),0,VLOOKUP($AA57,Paraméterek!$K$230:$M$250,IF(SUMIF($AA$20:$AA$1027,$AA57,$AG$20:$AG$1027)&lt;IF($D$4="Forint",Paraméterek!$M$223,Paraméterek!$M$224),2,3))),0)</f>
        <v>0</v>
      </c>
      <c r="AJ57" s="13">
        <f ca="1">IF(AND($AA57&gt;=5,MOD($AA57,5)=0),IF($AB57=12,VLOOKUP($AA57,Paraméterek!$O$225:$P$240,2),0),IF(OR($AA57=3,$AA57=4),IF($AB57=12,VLOOKUP($AA57,Paraméterek!$O$225:$P$240,2,0),0),0))*$AG57</f>
        <v>0</v>
      </c>
      <c r="AK57" s="13">
        <f t="shared" ca="1" si="9"/>
        <v>0</v>
      </c>
      <c r="AL57" s="13">
        <f t="shared" ca="1" si="17"/>
        <v>0</v>
      </c>
      <c r="AM57" s="13">
        <f t="shared" ca="1" si="18"/>
        <v>0</v>
      </c>
      <c r="AO57" s="32">
        <v>38</v>
      </c>
      <c r="AP57" s="32">
        <v>4</v>
      </c>
      <c r="AQ57" s="32">
        <v>2</v>
      </c>
      <c r="AR57" s="13"/>
      <c r="AS57" s="32"/>
      <c r="AT57" s="13">
        <f t="shared" ca="1" si="19"/>
        <v>0</v>
      </c>
      <c r="AU57" s="33"/>
      <c r="AV57" s="13">
        <f t="shared" ca="1" si="10"/>
        <v>0</v>
      </c>
      <c r="AW57" s="13">
        <f ca="1">ROUNDUP(($AT57+$AV57)*VLOOKUP($AP57,Paraméterek!$P$38:$Q$38,2)/12*IF($D58="Nem",IF($M$13=0,1,$M$13),1),IF($D$4="Forint",0,2))</f>
        <v>0</v>
      </c>
      <c r="AX57" s="13"/>
      <c r="AY57" s="13"/>
      <c r="AZ57" s="13">
        <f>ROUNDUP(IF(SUM($AX57:$AY57)=0,0,IF(IF(ISBLANK($AY57),$AX57,$AY57)*Paraméterek!$J$112&lt;IF($D$4="Forint",Paraméterek!$J$113,Paraméterek!$K$113),IF($D$4="Forint",Paraméterek!$J$113,Paraméterek!$K$113),IF(IF(ISBLANK($AY57),$AX57,$AY57)*Paraméterek!$J$112&gt;IF($D$4="Forint",Paraméterek!$J$114,Paraméterek!$K$114),IF($D$4="Forint",Paraméterek!$J$114,Paraméterek!$K$114),IF(ISBLANK($AY57),$AX57,$AY57)*Paraméterek!$J$112))),IF($D$4="Forint",0,2))</f>
        <v>0</v>
      </c>
      <c r="BA57" s="13">
        <f ca="1">$AT57+$AV57-$AW57-IF(ROUNDDOWN(IF(ISBLANK($AY57),$AX57,$AY57),IF($D$4="Forint",0,2))&gt;$AT57+$AV57-$AW57-IF($D$4="Forint",Paraméterek!$J$114,Paraméterek!$K$114),0,ROUNDDOWN(IF(ISBLANK($AY57),$AX57,$AY57),IF($D$4="Forint",0,2))-$AZ57)</f>
        <v>0</v>
      </c>
      <c r="BB57" s="13">
        <f t="shared" ca="1" si="11"/>
        <v>0</v>
      </c>
      <c r="BD57" s="32">
        <v>38</v>
      </c>
      <c r="BE57" s="32">
        <v>4</v>
      </c>
      <c r="BF57" s="32">
        <v>2</v>
      </c>
      <c r="BG57" s="34">
        <f t="shared" ca="1" si="20"/>
        <v>2022</v>
      </c>
      <c r="BH57" s="32" t="str">
        <f ca="1">IF(MOD(MONTH($D$14)+$BD57-1,12)=Paraméterek!$C$288,"Igen","")</f>
        <v>Igen</v>
      </c>
      <c r="BI57" s="13">
        <f ca="1">IF($BH57="Igen",MIN(ROUNDDOWN((SUMIF($BG$20:$BG$1027,$BG57-1,$K$20:$K$1027)-SUMIF($BG$20:$BG$1027,$BG57-1,$I$20:$I$1027))*Paraméterek!$C$289,IF($D$4="Forint",0,2)),IF($D$4="Forint",Paraméterek!$C$285,Paraméterek!$D$285)),0)</f>
        <v>0</v>
      </c>
      <c r="BJ57" s="13">
        <f t="shared" ca="1" si="12"/>
        <v>0</v>
      </c>
      <c r="BK57" s="13">
        <f t="shared" ca="1" si="21"/>
        <v>0</v>
      </c>
      <c r="BL57" s="33"/>
      <c r="BM57" s="13">
        <f t="shared" ca="1" si="13"/>
        <v>0</v>
      </c>
      <c r="BN57" s="13">
        <f ca="1">ROUNDUP(($BK57+$BM57)*VLOOKUP($BE57,Paraméterek!$P$38:$Q$38,2)/12*IF($D58="Nem",IF($M$13=0,1,$M$13),1),IF($D$4="Forint",0,2))</f>
        <v>0</v>
      </c>
      <c r="BO57" s="13">
        <f t="shared" ca="1" si="14"/>
        <v>0</v>
      </c>
      <c r="BP57" s="13">
        <f ca="1">IF($D58="Nem",$BO57,$BO57-ROUNDUP(SUM($BI$20:$BI57)*120%,IF($D$4="Forint",0,2)))</f>
        <v>0</v>
      </c>
    </row>
    <row r="58" spans="1:68" x14ac:dyDescent="0.2">
      <c r="A58" s="32">
        <v>39</v>
      </c>
      <c r="B58" s="32">
        <v>4</v>
      </c>
      <c r="C58" s="32">
        <v>3</v>
      </c>
      <c r="D58" s="32" t="str">
        <f t="shared" ca="1" si="0"/>
        <v>Nem</v>
      </c>
      <c r="E58" s="13">
        <f t="shared" ca="1" si="1"/>
        <v>0</v>
      </c>
      <c r="F58" s="13"/>
      <c r="G58" s="13"/>
      <c r="H58" s="13"/>
      <c r="I58" s="13">
        <f t="shared" ca="1" si="2"/>
        <v>0</v>
      </c>
      <c r="J58" s="13">
        <f t="shared" ca="1" si="3"/>
        <v>0</v>
      </c>
      <c r="K58" s="13">
        <f t="shared" ca="1" si="4"/>
        <v>0</v>
      </c>
      <c r="L58" s="13" t="e">
        <f ca="1">ROUNDUP(IF($D$2="Egyszeri",$E58,IF($D$2="Havi",SUM($E$20:$E$31),IF(MOD($C58,$M$1)-1=0,SUM($E$20:$E$31),0))/12*$M$1)*VLOOKUP($B58,Paraméterek!$I$28:$P$31,IF($D$2="Egyszeri",8,HLOOKUP(ROUNDUP($M$11+$M$13,0),Paraméterek!$J$26:$O$27,2))),IF($D$4="Forint",0,2))</f>
        <v>#N/A</v>
      </c>
      <c r="M58" s="13">
        <f t="shared" ca="1" si="5"/>
        <v>0</v>
      </c>
      <c r="N58" s="13">
        <f t="shared" ca="1" si="15"/>
        <v>0</v>
      </c>
      <c r="O58" s="13">
        <f ca="1">IF($D58="Igen",IF($W57&gt;=IF($D$4="Forint",Paraméterek!$J$121,Paraméterek!$K$121),0,IF($D$4="Forint",Paraméterek!$J$121,Paraméterek!$K$121)-$W57),0)</f>
        <v>0</v>
      </c>
      <c r="P58" s="13" t="e">
        <f ca="1">ROUNDUP($O58*VLOOKUP($M$4+$B58-1,Paraméterek!$H$58:$I$105,2,0)/Paraméterek!$I$56,IF($D$4="Forint",0,2))</f>
        <v>#N/A</v>
      </c>
      <c r="Q58" s="13">
        <f t="shared" ca="1" si="6"/>
        <v>0</v>
      </c>
      <c r="R58" s="33"/>
      <c r="S58" s="13" t="e">
        <f t="shared" ca="1" si="7"/>
        <v>#N/A</v>
      </c>
      <c r="T58" s="13" t="e">
        <f ca="1">ROUNDUP(($N58-$P58-$Q58+$S58)*VLOOKUP($B58,Paraméterek!$I$38:$K$39,IF($D$2="Egyszeri",3,2))/12*IF($D59="Nem",IF($M$13=0,1,$M$13),1),IF($D$4="Forint",0,2))</f>
        <v>#N/A</v>
      </c>
      <c r="U58" s="13"/>
      <c r="V58" s="13"/>
      <c r="W58" s="13" t="e">
        <f ca="1">$N58-$P58-$Q58+$S58-$T58-IF(ROUNDUP(IF(ISBLANK($V58),$U58*0,$V58)/IF($D$2="Egyszeri",VLOOKUP($B58+IF($C58=12,1,0),Paraméterek!$V$257:$W$262,2),IF($B58=1,1,VLOOKUP($B58+IF($C58=12,1,0),Paraméterek!$I$258:$T$278,HLOOKUP($M$11+1,Paraméterek!$J$256:$T$257,2)))),IF($D$4="Forint",0,2))&gt;$N58-$P58-$Q58+$S58-$T58-IF($D$4="Forint",Paraméterek!$C$216,Paraméterek!$D$216),0,ROUNDUP(IF(ISBLANK($V58),$U58*0,$V58)/IF($D$2="Egyszeri",VLOOKUP($B58+IF($C58=12,1,0),Paraméterek!$V$257:$W$262,2),IF($B58=1,1,VLOOKUP($B58+IF($C58=12,1,0),Paraméterek!$I$258:$T$278,HLOOKUP($M$11+1,Paraméterek!$J$256:$T$257,2)))),IF($D$4="Forint",0,2)))</f>
        <v>#N/A</v>
      </c>
      <c r="X58" s="13" t="e">
        <f ca="1">ROUNDDOWN($W58*IF($D$2="Egyszeri",VLOOKUP($B58+IF($C58=12,1,0),Paraméterek!$V$257:$W$262,2),VLOOKUP($B58+IF($C58=12,1,0),Paraméterek!$I$258:$T$278,HLOOKUP($M$11+1,Paraméterek!$I$256:$T$257,2))),IF($D$4="Forint",0,2))</f>
        <v>#N/A</v>
      </c>
      <c r="Z58" s="32">
        <v>39</v>
      </c>
      <c r="AA58" s="32">
        <v>4</v>
      </c>
      <c r="AB58" s="32">
        <v>3</v>
      </c>
      <c r="AC58" s="13">
        <f t="shared" ca="1" si="16"/>
        <v>0</v>
      </c>
      <c r="AD58" s="33"/>
      <c r="AE58" s="13">
        <f t="shared" ca="1" si="8"/>
        <v>0</v>
      </c>
      <c r="AF58" s="13">
        <f ca="1">ROUNDUP(($AC58+$AE58)*VLOOKUP($AA58,Paraméterek!$P$38:$Q$38,2)/12*IF($D59="Nem",IF($M$13=0,1,$M$13),1),IF($D$4="Forint",0,2))</f>
        <v>0</v>
      </c>
      <c r="AG58" s="13">
        <f ca="1">IF($D$2="Egyszeri",IF($D$7&gt;=IF($D$4="Forint",Paraméterek!$P$223,Paraméterek!$P$224),$D$7-IF($D$4="Forint",Paraméterek!$P$223,Paraméterek!$P$224),0),MIN(IF($AB58=12,AVERAGEIF($E$20:$E58,"&gt;0",$E$20:$E58)*12,0),SUM($E$20:$E$31)))</f>
        <v>0</v>
      </c>
      <c r="AH58" s="13">
        <f>IF($AA58=10,$AG58*IF($AB58=12,IF($AG58&lt;IF($D$4="Forint",Paraméterek!$L$223,Paraméterek!$L$224),0,VLOOKUP($AA58,Paraméterek!$K$226:$M$228,IF($AG58&lt;IF($D$4="Forint",Paraméterek!$M$223,Paraméterek!$M$224),2,3))),0),0)</f>
        <v>0</v>
      </c>
      <c r="AI58" s="13">
        <f ca="1">IF(AND($AA58=$M$11+1,$AB58=$M$12+1),SUMIF($AA$20:$AA$1027,$AA58,$AG$20:$AG$1027)*IF(SUMIF($AA$20:$AA$1027,$AA58,$AG$20:$AG$1027)&lt;IF($D$4="Forint",Paraméterek!$L$223,Paraméterek!$L$224),0,VLOOKUP($AA58,Paraméterek!$K$230:$M$250,IF(SUMIF($AA$20:$AA$1027,$AA58,$AG$20:$AG$1027)&lt;IF($D$4="Forint",Paraméterek!$M$223,Paraméterek!$M$224),2,3))),0)</f>
        <v>0</v>
      </c>
      <c r="AJ58" s="13">
        <f ca="1">IF(AND($AA58&gt;=5,MOD($AA58,5)=0),IF($AB58=12,VLOOKUP($AA58,Paraméterek!$O$225:$P$240,2),0),IF(OR($AA58=3,$AA58=4),IF($AB58=12,VLOOKUP($AA58,Paraméterek!$O$225:$P$240,2,0),0),0))*$AG58</f>
        <v>0</v>
      </c>
      <c r="AK58" s="13">
        <f t="shared" ca="1" si="9"/>
        <v>0</v>
      </c>
      <c r="AL58" s="13">
        <f t="shared" ca="1" si="17"/>
        <v>0</v>
      </c>
      <c r="AM58" s="13">
        <f t="shared" ca="1" si="18"/>
        <v>0</v>
      </c>
      <c r="AO58" s="32">
        <v>39</v>
      </c>
      <c r="AP58" s="32">
        <v>4</v>
      </c>
      <c r="AQ58" s="32">
        <v>3</v>
      </c>
      <c r="AR58" s="13"/>
      <c r="AS58" s="32"/>
      <c r="AT58" s="13">
        <f t="shared" ca="1" si="19"/>
        <v>0</v>
      </c>
      <c r="AU58" s="33"/>
      <c r="AV58" s="13">
        <f t="shared" ca="1" si="10"/>
        <v>0</v>
      </c>
      <c r="AW58" s="13">
        <f ca="1">ROUNDUP(($AT58+$AV58)*VLOOKUP($AP58,Paraméterek!$P$38:$Q$38,2)/12*IF($D59="Nem",IF($M$13=0,1,$M$13),1),IF($D$4="Forint",0,2))</f>
        <v>0</v>
      </c>
      <c r="AX58" s="13"/>
      <c r="AY58" s="13"/>
      <c r="AZ58" s="13">
        <f>ROUNDUP(IF(SUM($AX58:$AY58)=0,0,IF(IF(ISBLANK($AY58),$AX58,$AY58)*Paraméterek!$J$112&lt;IF($D$4="Forint",Paraméterek!$J$113,Paraméterek!$K$113),IF($D$4="Forint",Paraméterek!$J$113,Paraméterek!$K$113),IF(IF(ISBLANK($AY58),$AX58,$AY58)*Paraméterek!$J$112&gt;IF($D$4="Forint",Paraméterek!$J$114,Paraméterek!$K$114),IF($D$4="Forint",Paraméterek!$J$114,Paraméterek!$K$114),IF(ISBLANK($AY58),$AX58,$AY58)*Paraméterek!$J$112))),IF($D$4="Forint",0,2))</f>
        <v>0</v>
      </c>
      <c r="BA58" s="13">
        <f ca="1">$AT58+$AV58-$AW58-IF(ROUNDDOWN(IF(ISBLANK($AY58),$AX58,$AY58),IF($D$4="Forint",0,2))&gt;$AT58+$AV58-$AW58-IF($D$4="Forint",Paraméterek!$J$114,Paraméterek!$K$114),0,ROUNDDOWN(IF(ISBLANK($AY58),$AX58,$AY58),IF($D$4="Forint",0,2))-$AZ58)</f>
        <v>0</v>
      </c>
      <c r="BB58" s="13">
        <f t="shared" ca="1" si="11"/>
        <v>0</v>
      </c>
      <c r="BD58" s="32">
        <v>39</v>
      </c>
      <c r="BE58" s="32">
        <v>4</v>
      </c>
      <c r="BF58" s="32">
        <v>3</v>
      </c>
      <c r="BG58" s="34">
        <f t="shared" ca="1" si="20"/>
        <v>2022</v>
      </c>
      <c r="BH58" s="32" t="str">
        <f ca="1">IF(MOD(MONTH($D$14)+$BD58-1,12)=Paraméterek!$C$288,"Igen","")</f>
        <v/>
      </c>
      <c r="BI58" s="13">
        <f ca="1">IF($BH58="Igen",MIN(ROUNDDOWN((SUMIF($BG$20:$BG$1027,$BG58-1,$K$20:$K$1027)-SUMIF($BG$20:$BG$1027,$BG58-1,$I$20:$I$1027))*Paraméterek!$C$289,IF($D$4="Forint",0,2)),IF($D$4="Forint",Paraméterek!$C$285,Paraméterek!$D$285)),0)</f>
        <v>0</v>
      </c>
      <c r="BJ58" s="13">
        <f t="shared" ca="1" si="12"/>
        <v>0</v>
      </c>
      <c r="BK58" s="13">
        <f t="shared" ca="1" si="21"/>
        <v>0</v>
      </c>
      <c r="BL58" s="33"/>
      <c r="BM58" s="13">
        <f t="shared" ca="1" si="13"/>
        <v>0</v>
      </c>
      <c r="BN58" s="13">
        <f ca="1">ROUNDUP(($BK58+$BM58)*VLOOKUP($BE58,Paraméterek!$P$38:$Q$38,2)/12*IF($D59="Nem",IF($M$13=0,1,$M$13),1),IF($D$4="Forint",0,2))</f>
        <v>0</v>
      </c>
      <c r="BO58" s="13">
        <f t="shared" ca="1" si="14"/>
        <v>0</v>
      </c>
      <c r="BP58" s="13">
        <f ca="1">IF($D59="Nem",$BO58,$BO58-ROUNDUP(SUM($BI$20:$BI58)*120%,IF($D$4="Forint",0,2)))</f>
        <v>0</v>
      </c>
    </row>
    <row r="59" spans="1:68" x14ac:dyDescent="0.2">
      <c r="A59" s="32">
        <v>40</v>
      </c>
      <c r="B59" s="32">
        <v>4</v>
      </c>
      <c r="C59" s="32">
        <v>4</v>
      </c>
      <c r="D59" s="32" t="str">
        <f t="shared" ca="1" si="0"/>
        <v>Nem</v>
      </c>
      <c r="E59" s="13">
        <f t="shared" ca="1" si="1"/>
        <v>0</v>
      </c>
      <c r="F59" s="13"/>
      <c r="G59" s="13"/>
      <c r="H59" s="13"/>
      <c r="I59" s="13">
        <f t="shared" ca="1" si="2"/>
        <v>0</v>
      </c>
      <c r="J59" s="13">
        <f t="shared" ca="1" si="3"/>
        <v>0</v>
      </c>
      <c r="K59" s="13">
        <f t="shared" ca="1" si="4"/>
        <v>0</v>
      </c>
      <c r="L59" s="13" t="e">
        <f ca="1">ROUNDUP(IF($D$2="Egyszeri",$E59,IF($D$2="Havi",SUM($E$20:$E$31),IF(MOD($C59,$M$1)-1=0,SUM($E$20:$E$31),0))/12*$M$1)*VLOOKUP($B59,Paraméterek!$I$28:$P$31,IF($D$2="Egyszeri",8,HLOOKUP(ROUNDUP($M$11+$M$13,0),Paraméterek!$J$26:$O$27,2))),IF($D$4="Forint",0,2))</f>
        <v>#N/A</v>
      </c>
      <c r="M59" s="13">
        <f t="shared" ca="1" si="5"/>
        <v>0</v>
      </c>
      <c r="N59" s="13">
        <f t="shared" ca="1" si="15"/>
        <v>0</v>
      </c>
      <c r="O59" s="13">
        <f ca="1">IF($D59="Igen",IF($W58&gt;=IF($D$4="Forint",Paraméterek!$J$121,Paraméterek!$K$121),0,IF($D$4="Forint",Paraméterek!$J$121,Paraméterek!$K$121)-$W58),0)</f>
        <v>0</v>
      </c>
      <c r="P59" s="13" t="e">
        <f ca="1">ROUNDUP($O59*VLOOKUP($M$4+$B59-1,Paraméterek!$H$58:$I$105,2,0)/Paraméterek!$I$56,IF($D$4="Forint",0,2))</f>
        <v>#N/A</v>
      </c>
      <c r="Q59" s="13">
        <f t="shared" ca="1" si="6"/>
        <v>0</v>
      </c>
      <c r="R59" s="33"/>
      <c r="S59" s="13" t="e">
        <f t="shared" ca="1" si="7"/>
        <v>#N/A</v>
      </c>
      <c r="T59" s="13" t="e">
        <f ca="1">ROUNDUP(($N59-$P59-$Q59+$S59)*VLOOKUP($B59,Paraméterek!$I$38:$K$39,IF($D$2="Egyszeri",3,2))/12*IF($D60="Nem",IF($M$13=0,1,$M$13),1),IF($D$4="Forint",0,2))</f>
        <v>#N/A</v>
      </c>
      <c r="U59" s="13"/>
      <c r="V59" s="13"/>
      <c r="W59" s="13" t="e">
        <f ca="1">$N59-$P59-$Q59+$S59-$T59-IF(ROUNDUP(IF(ISBLANK($V59),$U59*0,$V59)/IF($D$2="Egyszeri",VLOOKUP($B59+IF($C59=12,1,0),Paraméterek!$V$257:$W$262,2),IF($B59=1,1,VLOOKUP($B59+IF($C59=12,1,0),Paraméterek!$I$258:$T$278,HLOOKUP($M$11+1,Paraméterek!$J$256:$T$257,2)))),IF($D$4="Forint",0,2))&gt;$N59-$P59-$Q59+$S59-$T59-IF($D$4="Forint",Paraméterek!$C$216,Paraméterek!$D$216),0,ROUNDUP(IF(ISBLANK($V59),$U59*0,$V59)/IF($D$2="Egyszeri",VLOOKUP($B59+IF($C59=12,1,0),Paraméterek!$V$257:$W$262,2),IF($B59=1,1,VLOOKUP($B59+IF($C59=12,1,0),Paraméterek!$I$258:$T$278,HLOOKUP($M$11+1,Paraméterek!$J$256:$T$257,2)))),IF($D$4="Forint",0,2)))</f>
        <v>#N/A</v>
      </c>
      <c r="X59" s="13" t="e">
        <f ca="1">ROUNDDOWN($W59*IF($D$2="Egyszeri",VLOOKUP($B59+IF($C59=12,1,0),Paraméterek!$V$257:$W$262,2),VLOOKUP($B59+IF($C59=12,1,0),Paraméterek!$I$258:$T$278,HLOOKUP($M$11+1,Paraméterek!$I$256:$T$257,2))),IF($D$4="Forint",0,2))</f>
        <v>#N/A</v>
      </c>
      <c r="Z59" s="32">
        <v>40</v>
      </c>
      <c r="AA59" s="32">
        <v>4</v>
      </c>
      <c r="AB59" s="32">
        <v>4</v>
      </c>
      <c r="AC59" s="13">
        <f t="shared" ca="1" si="16"/>
        <v>0</v>
      </c>
      <c r="AD59" s="33"/>
      <c r="AE59" s="13">
        <f t="shared" ca="1" si="8"/>
        <v>0</v>
      </c>
      <c r="AF59" s="13">
        <f ca="1">ROUNDUP(($AC59+$AE59)*VLOOKUP($AA59,Paraméterek!$P$38:$Q$38,2)/12*IF($D60="Nem",IF($M$13=0,1,$M$13),1),IF($D$4="Forint",0,2))</f>
        <v>0</v>
      </c>
      <c r="AG59" s="13">
        <f ca="1">IF($D$2="Egyszeri",IF($D$7&gt;=IF($D$4="Forint",Paraméterek!$P$223,Paraméterek!$P$224),$D$7-IF($D$4="Forint",Paraméterek!$P$223,Paraméterek!$P$224),0),MIN(IF($AB59=12,AVERAGEIF($E$20:$E59,"&gt;0",$E$20:$E59)*12,0),SUM($E$20:$E$31)))</f>
        <v>0</v>
      </c>
      <c r="AH59" s="13">
        <f>IF($AA59=10,$AG59*IF($AB59=12,IF($AG59&lt;IF($D$4="Forint",Paraméterek!$L$223,Paraméterek!$L$224),0,VLOOKUP($AA59,Paraméterek!$K$226:$M$228,IF($AG59&lt;IF($D$4="Forint",Paraméterek!$M$223,Paraméterek!$M$224),2,3))),0),0)</f>
        <v>0</v>
      </c>
      <c r="AI59" s="13">
        <f ca="1">IF(AND($AA59=$M$11+1,$AB59=$M$12+1),SUMIF($AA$20:$AA$1027,$AA59,$AG$20:$AG$1027)*IF(SUMIF($AA$20:$AA$1027,$AA59,$AG$20:$AG$1027)&lt;IF($D$4="Forint",Paraméterek!$L$223,Paraméterek!$L$224),0,VLOOKUP($AA59,Paraméterek!$K$230:$M$250,IF(SUMIF($AA$20:$AA$1027,$AA59,$AG$20:$AG$1027)&lt;IF($D$4="Forint",Paraméterek!$M$223,Paraméterek!$M$224),2,3))),0)</f>
        <v>0</v>
      </c>
      <c r="AJ59" s="13">
        <f ca="1">IF(AND($AA59&gt;=5,MOD($AA59,5)=0),IF($AB59=12,VLOOKUP($AA59,Paraméterek!$O$225:$P$240,2),0),IF(OR($AA59=3,$AA59=4),IF($AB59=12,VLOOKUP($AA59,Paraméterek!$O$225:$P$240,2,0),0),0))*$AG59</f>
        <v>0</v>
      </c>
      <c r="AK59" s="13">
        <f t="shared" ca="1" si="9"/>
        <v>0</v>
      </c>
      <c r="AL59" s="13">
        <f t="shared" ca="1" si="17"/>
        <v>0</v>
      </c>
      <c r="AM59" s="13">
        <f t="shared" ca="1" si="18"/>
        <v>0</v>
      </c>
      <c r="AO59" s="32">
        <v>40</v>
      </c>
      <c r="AP59" s="32">
        <v>4</v>
      </c>
      <c r="AQ59" s="32">
        <v>4</v>
      </c>
      <c r="AR59" s="13"/>
      <c r="AS59" s="32"/>
      <c r="AT59" s="13">
        <f t="shared" ca="1" si="19"/>
        <v>0</v>
      </c>
      <c r="AU59" s="33"/>
      <c r="AV59" s="13">
        <f t="shared" ca="1" si="10"/>
        <v>0</v>
      </c>
      <c r="AW59" s="13">
        <f ca="1">ROUNDUP(($AT59+$AV59)*VLOOKUP($AP59,Paraméterek!$P$38:$Q$38,2)/12*IF($D60="Nem",IF($M$13=0,1,$M$13),1),IF($D$4="Forint",0,2))</f>
        <v>0</v>
      </c>
      <c r="AX59" s="13"/>
      <c r="AY59" s="13"/>
      <c r="AZ59" s="13">
        <f>ROUNDUP(IF(SUM($AX59:$AY59)=0,0,IF(IF(ISBLANK($AY59),$AX59,$AY59)*Paraméterek!$J$112&lt;IF($D$4="Forint",Paraméterek!$J$113,Paraméterek!$K$113),IF($D$4="Forint",Paraméterek!$J$113,Paraméterek!$K$113),IF(IF(ISBLANK($AY59),$AX59,$AY59)*Paraméterek!$J$112&gt;IF($D$4="Forint",Paraméterek!$J$114,Paraméterek!$K$114),IF($D$4="Forint",Paraméterek!$J$114,Paraméterek!$K$114),IF(ISBLANK($AY59),$AX59,$AY59)*Paraméterek!$J$112))),IF($D$4="Forint",0,2))</f>
        <v>0</v>
      </c>
      <c r="BA59" s="13">
        <f ca="1">$AT59+$AV59-$AW59-IF(ROUNDDOWN(IF(ISBLANK($AY59),$AX59,$AY59),IF($D$4="Forint",0,2))&gt;$AT59+$AV59-$AW59-IF($D$4="Forint",Paraméterek!$J$114,Paraméterek!$K$114),0,ROUNDDOWN(IF(ISBLANK($AY59),$AX59,$AY59),IF($D$4="Forint",0,2))-$AZ59)</f>
        <v>0</v>
      </c>
      <c r="BB59" s="13">
        <f t="shared" ca="1" si="11"/>
        <v>0</v>
      </c>
      <c r="BD59" s="32">
        <v>40</v>
      </c>
      <c r="BE59" s="32">
        <v>4</v>
      </c>
      <c r="BF59" s="32">
        <v>4</v>
      </c>
      <c r="BG59" s="34">
        <f t="shared" ca="1" si="20"/>
        <v>2022</v>
      </c>
      <c r="BH59" s="32" t="str">
        <f ca="1">IF(MOD(MONTH($D$14)+$BD59-1,12)=Paraméterek!$C$288,"Igen","")</f>
        <v/>
      </c>
      <c r="BI59" s="13">
        <f ca="1">IF($BH59="Igen",MIN(ROUNDDOWN((SUMIF($BG$20:$BG$1027,$BG59-1,$K$20:$K$1027)-SUMIF($BG$20:$BG$1027,$BG59-1,$I$20:$I$1027))*Paraméterek!$C$289,IF($D$4="Forint",0,2)),IF($D$4="Forint",Paraméterek!$C$285,Paraméterek!$D$285)),0)</f>
        <v>0</v>
      </c>
      <c r="BJ59" s="13">
        <f t="shared" ca="1" si="12"/>
        <v>0</v>
      </c>
      <c r="BK59" s="13">
        <f t="shared" ca="1" si="21"/>
        <v>0</v>
      </c>
      <c r="BL59" s="33"/>
      <c r="BM59" s="13">
        <f t="shared" ca="1" si="13"/>
        <v>0</v>
      </c>
      <c r="BN59" s="13">
        <f ca="1">ROUNDUP(($BK59+$BM59)*VLOOKUP($BE59,Paraméterek!$P$38:$Q$38,2)/12*IF($D60="Nem",IF($M$13=0,1,$M$13),1),IF($D$4="Forint",0,2))</f>
        <v>0</v>
      </c>
      <c r="BO59" s="13">
        <f t="shared" ca="1" si="14"/>
        <v>0</v>
      </c>
      <c r="BP59" s="13">
        <f ca="1">IF($D60="Nem",$BO59,$BO59-ROUNDUP(SUM($BI$20:$BI59)*120%,IF($D$4="Forint",0,2)))</f>
        <v>0</v>
      </c>
    </row>
    <row r="60" spans="1:68" x14ac:dyDescent="0.2">
      <c r="A60" s="32">
        <v>41</v>
      </c>
      <c r="B60" s="32">
        <v>4</v>
      </c>
      <c r="C60" s="32">
        <v>5</v>
      </c>
      <c r="D60" s="32" t="str">
        <f t="shared" ca="1" si="0"/>
        <v>Nem</v>
      </c>
      <c r="E60" s="13">
        <f t="shared" ca="1" si="1"/>
        <v>0</v>
      </c>
      <c r="F60" s="13"/>
      <c r="G60" s="13"/>
      <c r="H60" s="13"/>
      <c r="I60" s="13">
        <f t="shared" ca="1" si="2"/>
        <v>0</v>
      </c>
      <c r="J60" s="13">
        <f t="shared" ca="1" si="3"/>
        <v>0</v>
      </c>
      <c r="K60" s="13">
        <f t="shared" ca="1" si="4"/>
        <v>0</v>
      </c>
      <c r="L60" s="13" t="e">
        <f ca="1">ROUNDUP(IF($D$2="Egyszeri",$E60,IF($D$2="Havi",SUM($E$20:$E$31),IF(MOD($C60,$M$1)-1=0,SUM($E$20:$E$31),0))/12*$M$1)*VLOOKUP($B60,Paraméterek!$I$28:$P$31,IF($D$2="Egyszeri",8,HLOOKUP(ROUNDUP($M$11+$M$13,0),Paraméterek!$J$26:$O$27,2))),IF($D$4="Forint",0,2))</f>
        <v>#N/A</v>
      </c>
      <c r="M60" s="13">
        <f t="shared" ca="1" si="5"/>
        <v>0</v>
      </c>
      <c r="N60" s="13">
        <f t="shared" ca="1" si="15"/>
        <v>0</v>
      </c>
      <c r="O60" s="13">
        <f ca="1">IF($D60="Igen",IF($W59&gt;=IF($D$4="Forint",Paraméterek!$J$121,Paraméterek!$K$121),0,IF($D$4="Forint",Paraméterek!$J$121,Paraméterek!$K$121)-$W59),0)</f>
        <v>0</v>
      </c>
      <c r="P60" s="13" t="e">
        <f ca="1">ROUNDUP($O60*VLOOKUP($M$4+$B60-1,Paraméterek!$H$58:$I$105,2,0)/Paraméterek!$I$56,IF($D$4="Forint",0,2))</f>
        <v>#N/A</v>
      </c>
      <c r="Q60" s="13">
        <f t="shared" ca="1" si="6"/>
        <v>0</v>
      </c>
      <c r="R60" s="33"/>
      <c r="S60" s="13" t="e">
        <f t="shared" ca="1" si="7"/>
        <v>#N/A</v>
      </c>
      <c r="T60" s="13" t="e">
        <f ca="1">ROUNDUP(($N60-$P60-$Q60+$S60)*VLOOKUP($B60,Paraméterek!$I$38:$K$39,IF($D$2="Egyszeri",3,2))/12*IF($D61="Nem",IF($M$13=0,1,$M$13),1),IF($D$4="Forint",0,2))</f>
        <v>#N/A</v>
      </c>
      <c r="U60" s="13"/>
      <c r="V60" s="13"/>
      <c r="W60" s="13" t="e">
        <f ca="1">$N60-$P60-$Q60+$S60-$T60-IF(ROUNDUP(IF(ISBLANK($V60),$U60*0,$V60)/IF($D$2="Egyszeri",VLOOKUP($B60+IF($C60=12,1,0),Paraméterek!$V$257:$W$262,2),IF($B60=1,1,VLOOKUP($B60+IF($C60=12,1,0),Paraméterek!$I$258:$T$278,HLOOKUP($M$11+1,Paraméterek!$J$256:$T$257,2)))),IF($D$4="Forint",0,2))&gt;$N60-$P60-$Q60+$S60-$T60-IF($D$4="Forint",Paraméterek!$C$216,Paraméterek!$D$216),0,ROUNDUP(IF(ISBLANK($V60),$U60*0,$V60)/IF($D$2="Egyszeri",VLOOKUP($B60+IF($C60=12,1,0),Paraméterek!$V$257:$W$262,2),IF($B60=1,1,VLOOKUP($B60+IF($C60=12,1,0),Paraméterek!$I$258:$T$278,HLOOKUP($M$11+1,Paraméterek!$J$256:$T$257,2)))),IF($D$4="Forint",0,2)))</f>
        <v>#N/A</v>
      </c>
      <c r="X60" s="13" t="e">
        <f ca="1">ROUNDDOWN($W60*IF($D$2="Egyszeri",VLOOKUP($B60+IF($C60=12,1,0),Paraméterek!$V$257:$W$262,2),VLOOKUP($B60+IF($C60=12,1,0),Paraméterek!$I$258:$T$278,HLOOKUP($M$11+1,Paraméterek!$I$256:$T$257,2))),IF($D$4="Forint",0,2))</f>
        <v>#N/A</v>
      </c>
      <c r="Z60" s="32">
        <v>41</v>
      </c>
      <c r="AA60" s="32">
        <v>4</v>
      </c>
      <c r="AB60" s="32">
        <v>5</v>
      </c>
      <c r="AC60" s="13">
        <f t="shared" ca="1" si="16"/>
        <v>0</v>
      </c>
      <c r="AD60" s="33"/>
      <c r="AE60" s="13">
        <f t="shared" ca="1" si="8"/>
        <v>0</v>
      </c>
      <c r="AF60" s="13">
        <f ca="1">ROUNDUP(($AC60+$AE60)*VLOOKUP($AA60,Paraméterek!$P$38:$Q$38,2)/12*IF($D61="Nem",IF($M$13=0,1,$M$13),1),IF($D$4="Forint",0,2))</f>
        <v>0</v>
      </c>
      <c r="AG60" s="13">
        <f ca="1">IF($D$2="Egyszeri",IF($D$7&gt;=IF($D$4="Forint",Paraméterek!$P$223,Paraméterek!$P$224),$D$7-IF($D$4="Forint",Paraméterek!$P$223,Paraméterek!$P$224),0),MIN(IF($AB60=12,AVERAGEIF($E$20:$E60,"&gt;0",$E$20:$E60)*12,0),SUM($E$20:$E$31)))</f>
        <v>0</v>
      </c>
      <c r="AH60" s="13">
        <f>IF($AA60=10,$AG60*IF($AB60=12,IF($AG60&lt;IF($D$4="Forint",Paraméterek!$L$223,Paraméterek!$L$224),0,VLOOKUP($AA60,Paraméterek!$K$226:$M$228,IF($AG60&lt;IF($D$4="Forint",Paraméterek!$M$223,Paraméterek!$M$224),2,3))),0),0)</f>
        <v>0</v>
      </c>
      <c r="AI60" s="13">
        <f ca="1">IF(AND($AA60=$M$11+1,$AB60=$M$12+1),SUMIF($AA$20:$AA$1027,$AA60,$AG$20:$AG$1027)*IF(SUMIF($AA$20:$AA$1027,$AA60,$AG$20:$AG$1027)&lt;IF($D$4="Forint",Paraméterek!$L$223,Paraméterek!$L$224),0,VLOOKUP($AA60,Paraméterek!$K$230:$M$250,IF(SUMIF($AA$20:$AA$1027,$AA60,$AG$20:$AG$1027)&lt;IF($D$4="Forint",Paraméterek!$M$223,Paraméterek!$M$224),2,3))),0)</f>
        <v>0</v>
      </c>
      <c r="AJ60" s="13">
        <f ca="1">IF(AND($AA60&gt;=5,MOD($AA60,5)=0),IF($AB60=12,VLOOKUP($AA60,Paraméterek!$O$225:$P$240,2),0),IF(OR($AA60=3,$AA60=4),IF($AB60=12,VLOOKUP($AA60,Paraméterek!$O$225:$P$240,2,0),0),0))*$AG60</f>
        <v>0</v>
      </c>
      <c r="AK60" s="13">
        <f t="shared" ca="1" si="9"/>
        <v>0</v>
      </c>
      <c r="AL60" s="13">
        <f t="shared" ca="1" si="17"/>
        <v>0</v>
      </c>
      <c r="AM60" s="13">
        <f t="shared" ca="1" si="18"/>
        <v>0</v>
      </c>
      <c r="AO60" s="32">
        <v>41</v>
      </c>
      <c r="AP60" s="32">
        <v>4</v>
      </c>
      <c r="AQ60" s="32">
        <v>5</v>
      </c>
      <c r="AR60" s="13"/>
      <c r="AS60" s="32"/>
      <c r="AT60" s="13">
        <f t="shared" ca="1" si="19"/>
        <v>0</v>
      </c>
      <c r="AU60" s="33"/>
      <c r="AV60" s="13">
        <f t="shared" ca="1" si="10"/>
        <v>0</v>
      </c>
      <c r="AW60" s="13">
        <f ca="1">ROUNDUP(($AT60+$AV60)*VLOOKUP($AP60,Paraméterek!$P$38:$Q$38,2)/12*IF($D61="Nem",IF($M$13=0,1,$M$13),1),IF($D$4="Forint",0,2))</f>
        <v>0</v>
      </c>
      <c r="AX60" s="13"/>
      <c r="AY60" s="13"/>
      <c r="AZ60" s="13">
        <f>ROUNDUP(IF(SUM($AX60:$AY60)=0,0,IF(IF(ISBLANK($AY60),$AX60,$AY60)*Paraméterek!$J$112&lt;IF($D$4="Forint",Paraméterek!$J$113,Paraméterek!$K$113),IF($D$4="Forint",Paraméterek!$J$113,Paraméterek!$K$113),IF(IF(ISBLANK($AY60),$AX60,$AY60)*Paraméterek!$J$112&gt;IF($D$4="Forint",Paraméterek!$J$114,Paraméterek!$K$114),IF($D$4="Forint",Paraméterek!$J$114,Paraméterek!$K$114),IF(ISBLANK($AY60),$AX60,$AY60)*Paraméterek!$J$112))),IF($D$4="Forint",0,2))</f>
        <v>0</v>
      </c>
      <c r="BA60" s="13">
        <f ca="1">$AT60+$AV60-$AW60-IF(ROUNDDOWN(IF(ISBLANK($AY60),$AX60,$AY60),IF($D$4="Forint",0,2))&gt;$AT60+$AV60-$AW60-IF($D$4="Forint",Paraméterek!$J$114,Paraméterek!$K$114),0,ROUNDDOWN(IF(ISBLANK($AY60),$AX60,$AY60),IF($D$4="Forint",0,2))-$AZ60)</f>
        <v>0</v>
      </c>
      <c r="BB60" s="13">
        <f t="shared" ca="1" si="11"/>
        <v>0</v>
      </c>
      <c r="BD60" s="32">
        <v>41</v>
      </c>
      <c r="BE60" s="32">
        <v>4</v>
      </c>
      <c r="BF60" s="32">
        <v>5</v>
      </c>
      <c r="BG60" s="34">
        <f t="shared" ca="1" si="20"/>
        <v>2022</v>
      </c>
      <c r="BH60" s="32" t="str">
        <f ca="1">IF(MOD(MONTH($D$14)+$BD60-1,12)=Paraméterek!$C$288,"Igen","")</f>
        <v/>
      </c>
      <c r="BI60" s="13">
        <f ca="1">IF($BH60="Igen",MIN(ROUNDDOWN((SUMIF($BG$20:$BG$1027,$BG60-1,$K$20:$K$1027)-SUMIF($BG$20:$BG$1027,$BG60-1,$I$20:$I$1027))*Paraméterek!$C$289,IF($D$4="Forint",0,2)),IF($D$4="Forint",Paraméterek!$C$285,Paraméterek!$D$285)),0)</f>
        <v>0</v>
      </c>
      <c r="BJ60" s="13">
        <f t="shared" ca="1" si="12"/>
        <v>0</v>
      </c>
      <c r="BK60" s="13">
        <f t="shared" ca="1" si="21"/>
        <v>0</v>
      </c>
      <c r="BL60" s="33"/>
      <c r="BM60" s="13">
        <f t="shared" ca="1" si="13"/>
        <v>0</v>
      </c>
      <c r="BN60" s="13">
        <f ca="1">ROUNDUP(($BK60+$BM60)*VLOOKUP($BE60,Paraméterek!$P$38:$Q$38,2)/12*IF($D61="Nem",IF($M$13=0,1,$M$13),1),IF($D$4="Forint",0,2))</f>
        <v>0</v>
      </c>
      <c r="BO60" s="13">
        <f t="shared" ca="1" si="14"/>
        <v>0</v>
      </c>
      <c r="BP60" s="13">
        <f ca="1">IF($D61="Nem",$BO60,$BO60-ROUNDUP(SUM($BI$20:$BI60)*120%,IF($D$4="Forint",0,2)))</f>
        <v>0</v>
      </c>
    </row>
    <row r="61" spans="1:68" x14ac:dyDescent="0.2">
      <c r="A61" s="32">
        <v>42</v>
      </c>
      <c r="B61" s="32">
        <v>4</v>
      </c>
      <c r="C61" s="32">
        <v>6</v>
      </c>
      <c r="D61" s="32" t="str">
        <f t="shared" ca="1" si="0"/>
        <v>Nem</v>
      </c>
      <c r="E61" s="13">
        <f t="shared" ca="1" si="1"/>
        <v>0</v>
      </c>
      <c r="F61" s="13"/>
      <c r="G61" s="13"/>
      <c r="H61" s="13"/>
      <c r="I61" s="13">
        <f t="shared" ca="1" si="2"/>
        <v>0</v>
      </c>
      <c r="J61" s="13">
        <f t="shared" ca="1" si="3"/>
        <v>0</v>
      </c>
      <c r="K61" s="13">
        <f t="shared" ca="1" si="4"/>
        <v>0</v>
      </c>
      <c r="L61" s="13" t="e">
        <f ca="1">ROUNDUP(IF($D$2="Egyszeri",$E61,IF($D$2="Havi",SUM($E$20:$E$31),IF(MOD($C61,$M$1)-1=0,SUM($E$20:$E$31),0))/12*$M$1)*VLOOKUP($B61,Paraméterek!$I$28:$P$31,IF($D$2="Egyszeri",8,HLOOKUP(ROUNDUP($M$11+$M$13,0),Paraméterek!$J$26:$O$27,2))),IF($D$4="Forint",0,2))</f>
        <v>#N/A</v>
      </c>
      <c r="M61" s="13">
        <f t="shared" ca="1" si="5"/>
        <v>0</v>
      </c>
      <c r="N61" s="13">
        <f t="shared" ca="1" si="15"/>
        <v>0</v>
      </c>
      <c r="O61" s="13">
        <f ca="1">IF($D61="Igen",IF($W60&gt;=IF($D$4="Forint",Paraméterek!$J$121,Paraméterek!$K$121),0,IF($D$4="Forint",Paraméterek!$J$121,Paraméterek!$K$121)-$W60),0)</f>
        <v>0</v>
      </c>
      <c r="P61" s="13" t="e">
        <f ca="1">ROUNDUP($O61*VLOOKUP($M$4+$B61-1,Paraméterek!$H$58:$I$105,2,0)/Paraméterek!$I$56,IF($D$4="Forint",0,2))</f>
        <v>#N/A</v>
      </c>
      <c r="Q61" s="13">
        <f t="shared" ca="1" si="6"/>
        <v>0</v>
      </c>
      <c r="R61" s="33"/>
      <c r="S61" s="13" t="e">
        <f t="shared" ca="1" si="7"/>
        <v>#N/A</v>
      </c>
      <c r="T61" s="13" t="e">
        <f ca="1">ROUNDUP(($N61-$P61-$Q61+$S61)*VLOOKUP($B61,Paraméterek!$I$38:$K$39,IF($D$2="Egyszeri",3,2))/12*IF($D62="Nem",IF($M$13=0,1,$M$13),1),IF($D$4="Forint",0,2))</f>
        <v>#N/A</v>
      </c>
      <c r="U61" s="13"/>
      <c r="V61" s="13"/>
      <c r="W61" s="13" t="e">
        <f ca="1">$N61-$P61-$Q61+$S61-$T61-IF(ROUNDUP(IF(ISBLANK($V61),$U61*0,$V61)/IF($D$2="Egyszeri",VLOOKUP($B61+IF($C61=12,1,0),Paraméterek!$V$257:$W$262,2),IF($B61=1,1,VLOOKUP($B61+IF($C61=12,1,0),Paraméterek!$I$258:$T$278,HLOOKUP($M$11+1,Paraméterek!$J$256:$T$257,2)))),IF($D$4="Forint",0,2))&gt;$N61-$P61-$Q61+$S61-$T61-IF($D$4="Forint",Paraméterek!$C$216,Paraméterek!$D$216),0,ROUNDUP(IF(ISBLANK($V61),$U61*0,$V61)/IF($D$2="Egyszeri",VLOOKUP($B61+IF($C61=12,1,0),Paraméterek!$V$257:$W$262,2),IF($B61=1,1,VLOOKUP($B61+IF($C61=12,1,0),Paraméterek!$I$258:$T$278,HLOOKUP($M$11+1,Paraméterek!$J$256:$T$257,2)))),IF($D$4="Forint",0,2)))</f>
        <v>#N/A</v>
      </c>
      <c r="X61" s="13" t="e">
        <f ca="1">ROUNDDOWN($W61*IF($D$2="Egyszeri",VLOOKUP($B61+IF($C61=12,1,0),Paraméterek!$V$257:$W$262,2),VLOOKUP($B61+IF($C61=12,1,0),Paraméterek!$I$258:$T$278,HLOOKUP($M$11+1,Paraméterek!$I$256:$T$257,2))),IF($D$4="Forint",0,2))</f>
        <v>#N/A</v>
      </c>
      <c r="Z61" s="32">
        <v>42</v>
      </c>
      <c r="AA61" s="32">
        <v>4</v>
      </c>
      <c r="AB61" s="32">
        <v>6</v>
      </c>
      <c r="AC61" s="13">
        <f t="shared" ca="1" si="16"/>
        <v>0</v>
      </c>
      <c r="AD61" s="33"/>
      <c r="AE61" s="13">
        <f t="shared" ca="1" si="8"/>
        <v>0</v>
      </c>
      <c r="AF61" s="13">
        <f ca="1">ROUNDUP(($AC61+$AE61)*VLOOKUP($AA61,Paraméterek!$P$38:$Q$38,2)/12*IF($D62="Nem",IF($M$13=0,1,$M$13),1),IF($D$4="Forint",0,2))</f>
        <v>0</v>
      </c>
      <c r="AG61" s="13">
        <f ca="1">IF($D$2="Egyszeri",IF($D$7&gt;=IF($D$4="Forint",Paraméterek!$P$223,Paraméterek!$P$224),$D$7-IF($D$4="Forint",Paraméterek!$P$223,Paraméterek!$P$224),0),MIN(IF($AB61=12,AVERAGEIF($E$20:$E61,"&gt;0",$E$20:$E61)*12,0),SUM($E$20:$E$31)))</f>
        <v>0</v>
      </c>
      <c r="AH61" s="13">
        <f>IF($AA61=10,$AG61*IF($AB61=12,IF($AG61&lt;IF($D$4="Forint",Paraméterek!$L$223,Paraméterek!$L$224),0,VLOOKUP($AA61,Paraméterek!$K$226:$M$228,IF($AG61&lt;IF($D$4="Forint",Paraméterek!$M$223,Paraméterek!$M$224),2,3))),0),0)</f>
        <v>0</v>
      </c>
      <c r="AI61" s="13">
        <f ca="1">IF(AND($AA61=$M$11+1,$AB61=$M$12+1),SUMIF($AA$20:$AA$1027,$AA61,$AG$20:$AG$1027)*IF(SUMIF($AA$20:$AA$1027,$AA61,$AG$20:$AG$1027)&lt;IF($D$4="Forint",Paraméterek!$L$223,Paraméterek!$L$224),0,VLOOKUP($AA61,Paraméterek!$K$230:$M$250,IF(SUMIF($AA$20:$AA$1027,$AA61,$AG$20:$AG$1027)&lt;IF($D$4="Forint",Paraméterek!$M$223,Paraméterek!$M$224),2,3))),0)</f>
        <v>0</v>
      </c>
      <c r="AJ61" s="13">
        <f ca="1">IF(AND($AA61&gt;=5,MOD($AA61,5)=0),IF($AB61=12,VLOOKUP($AA61,Paraméterek!$O$225:$P$240,2),0),IF(OR($AA61=3,$AA61=4),IF($AB61=12,VLOOKUP($AA61,Paraméterek!$O$225:$P$240,2,0),0),0))*$AG61</f>
        <v>0</v>
      </c>
      <c r="AK61" s="13">
        <f t="shared" ca="1" si="9"/>
        <v>0</v>
      </c>
      <c r="AL61" s="13">
        <f t="shared" ca="1" si="17"/>
        <v>0</v>
      </c>
      <c r="AM61" s="13">
        <f t="shared" ca="1" si="18"/>
        <v>0</v>
      </c>
      <c r="AO61" s="32">
        <v>42</v>
      </c>
      <c r="AP61" s="32">
        <v>4</v>
      </c>
      <c r="AQ61" s="32">
        <v>6</v>
      </c>
      <c r="AR61" s="13"/>
      <c r="AS61" s="32"/>
      <c r="AT61" s="13">
        <f t="shared" ca="1" si="19"/>
        <v>0</v>
      </c>
      <c r="AU61" s="33"/>
      <c r="AV61" s="13">
        <f t="shared" ca="1" si="10"/>
        <v>0</v>
      </c>
      <c r="AW61" s="13">
        <f ca="1">ROUNDUP(($AT61+$AV61)*VLOOKUP($AP61,Paraméterek!$P$38:$Q$38,2)/12*IF($D62="Nem",IF($M$13=0,1,$M$13),1),IF($D$4="Forint",0,2))</f>
        <v>0</v>
      </c>
      <c r="AX61" s="13"/>
      <c r="AY61" s="13"/>
      <c r="AZ61" s="13">
        <f>ROUNDUP(IF(SUM($AX61:$AY61)=0,0,IF(IF(ISBLANK($AY61),$AX61,$AY61)*Paraméterek!$J$112&lt;IF($D$4="Forint",Paraméterek!$J$113,Paraméterek!$K$113),IF($D$4="Forint",Paraméterek!$J$113,Paraméterek!$K$113),IF(IF(ISBLANK($AY61),$AX61,$AY61)*Paraméterek!$J$112&gt;IF($D$4="Forint",Paraméterek!$J$114,Paraméterek!$K$114),IF($D$4="Forint",Paraméterek!$J$114,Paraméterek!$K$114),IF(ISBLANK($AY61),$AX61,$AY61)*Paraméterek!$J$112))),IF($D$4="Forint",0,2))</f>
        <v>0</v>
      </c>
      <c r="BA61" s="13">
        <f ca="1">$AT61+$AV61-$AW61-IF(ROUNDDOWN(IF(ISBLANK($AY61),$AX61,$AY61),IF($D$4="Forint",0,2))&gt;$AT61+$AV61-$AW61-IF($D$4="Forint",Paraméterek!$J$114,Paraméterek!$K$114),0,ROUNDDOWN(IF(ISBLANK($AY61),$AX61,$AY61),IF($D$4="Forint",0,2))-$AZ61)</f>
        <v>0</v>
      </c>
      <c r="BB61" s="13">
        <f t="shared" ca="1" si="11"/>
        <v>0</v>
      </c>
      <c r="BD61" s="32">
        <v>42</v>
      </c>
      <c r="BE61" s="32">
        <v>4</v>
      </c>
      <c r="BF61" s="32">
        <v>6</v>
      </c>
      <c r="BG61" s="34">
        <f t="shared" ca="1" si="20"/>
        <v>2022</v>
      </c>
      <c r="BH61" s="32" t="str">
        <f ca="1">IF(MOD(MONTH($D$14)+$BD61-1,12)=Paraméterek!$C$288,"Igen","")</f>
        <v/>
      </c>
      <c r="BI61" s="13">
        <f ca="1">IF($BH61="Igen",MIN(ROUNDDOWN((SUMIF($BG$20:$BG$1027,$BG61-1,$K$20:$K$1027)-SUMIF($BG$20:$BG$1027,$BG61-1,$I$20:$I$1027))*Paraméterek!$C$289,IF($D$4="Forint",0,2)),IF($D$4="Forint",Paraméterek!$C$285,Paraméterek!$D$285)),0)</f>
        <v>0</v>
      </c>
      <c r="BJ61" s="13">
        <f t="shared" ca="1" si="12"/>
        <v>0</v>
      </c>
      <c r="BK61" s="13">
        <f t="shared" ca="1" si="21"/>
        <v>0</v>
      </c>
      <c r="BL61" s="33"/>
      <c r="BM61" s="13">
        <f t="shared" ca="1" si="13"/>
        <v>0</v>
      </c>
      <c r="BN61" s="13">
        <f ca="1">ROUNDUP(($BK61+$BM61)*VLOOKUP($BE61,Paraméterek!$P$38:$Q$38,2)/12*IF($D62="Nem",IF($M$13=0,1,$M$13),1),IF($D$4="Forint",0,2))</f>
        <v>0</v>
      </c>
      <c r="BO61" s="13">
        <f t="shared" ca="1" si="14"/>
        <v>0</v>
      </c>
      <c r="BP61" s="13">
        <f ca="1">IF($D62="Nem",$BO61,$BO61-ROUNDUP(SUM($BI$20:$BI61)*120%,IF($D$4="Forint",0,2)))</f>
        <v>0</v>
      </c>
    </row>
    <row r="62" spans="1:68" x14ac:dyDescent="0.2">
      <c r="A62" s="32">
        <v>43</v>
      </c>
      <c r="B62" s="32">
        <v>4</v>
      </c>
      <c r="C62" s="32">
        <v>7</v>
      </c>
      <c r="D62" s="32" t="str">
        <f t="shared" ca="1" si="0"/>
        <v>Nem</v>
      </c>
      <c r="E62" s="13">
        <f t="shared" ca="1" si="1"/>
        <v>0</v>
      </c>
      <c r="F62" s="13"/>
      <c r="G62" s="13"/>
      <c r="H62" s="13"/>
      <c r="I62" s="13">
        <f t="shared" ca="1" si="2"/>
        <v>0</v>
      </c>
      <c r="J62" s="13">
        <f t="shared" ca="1" si="3"/>
        <v>0</v>
      </c>
      <c r="K62" s="13">
        <f t="shared" ca="1" si="4"/>
        <v>0</v>
      </c>
      <c r="L62" s="13" t="e">
        <f ca="1">ROUNDUP(IF($D$2="Egyszeri",$E62,IF($D$2="Havi",SUM($E$20:$E$31),IF(MOD($C62,$M$1)-1=0,SUM($E$20:$E$31),0))/12*$M$1)*VLOOKUP($B62,Paraméterek!$I$28:$P$31,IF($D$2="Egyszeri",8,HLOOKUP(ROUNDUP($M$11+$M$13,0),Paraméterek!$J$26:$O$27,2))),IF($D$4="Forint",0,2))</f>
        <v>#N/A</v>
      </c>
      <c r="M62" s="13">
        <f t="shared" ca="1" si="5"/>
        <v>0</v>
      </c>
      <c r="N62" s="13">
        <f t="shared" ca="1" si="15"/>
        <v>0</v>
      </c>
      <c r="O62" s="13">
        <f ca="1">IF($D62="Igen",IF($W61&gt;=IF($D$4="Forint",Paraméterek!$J$121,Paraméterek!$K$121),0,IF($D$4="Forint",Paraméterek!$J$121,Paraméterek!$K$121)-$W61),0)</f>
        <v>0</v>
      </c>
      <c r="P62" s="13" t="e">
        <f ca="1">ROUNDUP($O62*VLOOKUP($M$4+$B62-1,Paraméterek!$H$58:$I$105,2,0)/Paraméterek!$I$56,IF($D$4="Forint",0,2))</f>
        <v>#N/A</v>
      </c>
      <c r="Q62" s="13">
        <f t="shared" ca="1" si="6"/>
        <v>0</v>
      </c>
      <c r="R62" s="33"/>
      <c r="S62" s="13" t="e">
        <f t="shared" ca="1" si="7"/>
        <v>#N/A</v>
      </c>
      <c r="T62" s="13" t="e">
        <f ca="1">ROUNDUP(($N62-$P62-$Q62+$S62)*VLOOKUP($B62,Paraméterek!$I$38:$K$39,IF($D$2="Egyszeri",3,2))/12*IF($D63="Nem",IF($M$13=0,1,$M$13),1),IF($D$4="Forint",0,2))</f>
        <v>#N/A</v>
      </c>
      <c r="U62" s="13"/>
      <c r="V62" s="13"/>
      <c r="W62" s="13" t="e">
        <f ca="1">$N62-$P62-$Q62+$S62-$T62-IF(ROUNDUP(IF(ISBLANK($V62),$U62*0,$V62)/IF($D$2="Egyszeri",VLOOKUP($B62+IF($C62=12,1,0),Paraméterek!$V$257:$W$262,2),IF($B62=1,1,VLOOKUP($B62+IF($C62=12,1,0),Paraméterek!$I$258:$T$278,HLOOKUP($M$11+1,Paraméterek!$J$256:$T$257,2)))),IF($D$4="Forint",0,2))&gt;$N62-$P62-$Q62+$S62-$T62-IF($D$4="Forint",Paraméterek!$C$216,Paraméterek!$D$216),0,ROUNDUP(IF(ISBLANK($V62),$U62*0,$V62)/IF($D$2="Egyszeri",VLOOKUP($B62+IF($C62=12,1,0),Paraméterek!$V$257:$W$262,2),IF($B62=1,1,VLOOKUP($B62+IF($C62=12,1,0),Paraméterek!$I$258:$T$278,HLOOKUP($M$11+1,Paraméterek!$J$256:$T$257,2)))),IF($D$4="Forint",0,2)))</f>
        <v>#N/A</v>
      </c>
      <c r="X62" s="13" t="e">
        <f ca="1">ROUNDDOWN($W62*IF($D$2="Egyszeri",VLOOKUP($B62+IF($C62=12,1,0),Paraméterek!$V$257:$W$262,2),VLOOKUP($B62+IF($C62=12,1,0),Paraméterek!$I$258:$T$278,HLOOKUP($M$11+1,Paraméterek!$I$256:$T$257,2))),IF($D$4="Forint",0,2))</f>
        <v>#N/A</v>
      </c>
      <c r="Z62" s="32">
        <v>43</v>
      </c>
      <c r="AA62" s="32">
        <v>4</v>
      </c>
      <c r="AB62" s="32">
        <v>7</v>
      </c>
      <c r="AC62" s="13">
        <f t="shared" ca="1" si="16"/>
        <v>0</v>
      </c>
      <c r="AD62" s="33"/>
      <c r="AE62" s="13">
        <f t="shared" ca="1" si="8"/>
        <v>0</v>
      </c>
      <c r="AF62" s="13">
        <f ca="1">ROUNDUP(($AC62+$AE62)*VLOOKUP($AA62,Paraméterek!$P$38:$Q$38,2)/12*IF($D63="Nem",IF($M$13=0,1,$M$13),1),IF($D$4="Forint",0,2))</f>
        <v>0</v>
      </c>
      <c r="AG62" s="13">
        <f ca="1">IF($D$2="Egyszeri",IF($D$7&gt;=IF($D$4="Forint",Paraméterek!$P$223,Paraméterek!$P$224),$D$7-IF($D$4="Forint",Paraméterek!$P$223,Paraméterek!$P$224),0),MIN(IF($AB62=12,AVERAGEIF($E$20:$E62,"&gt;0",$E$20:$E62)*12,0),SUM($E$20:$E$31)))</f>
        <v>0</v>
      </c>
      <c r="AH62" s="13">
        <f>IF($AA62=10,$AG62*IF($AB62=12,IF($AG62&lt;IF($D$4="Forint",Paraméterek!$L$223,Paraméterek!$L$224),0,VLOOKUP($AA62,Paraméterek!$K$226:$M$228,IF($AG62&lt;IF($D$4="Forint",Paraméterek!$M$223,Paraméterek!$M$224),2,3))),0),0)</f>
        <v>0</v>
      </c>
      <c r="AI62" s="13">
        <f ca="1">IF(AND($AA62=$M$11+1,$AB62=$M$12+1),SUMIF($AA$20:$AA$1027,$AA62,$AG$20:$AG$1027)*IF(SUMIF($AA$20:$AA$1027,$AA62,$AG$20:$AG$1027)&lt;IF($D$4="Forint",Paraméterek!$L$223,Paraméterek!$L$224),0,VLOOKUP($AA62,Paraméterek!$K$230:$M$250,IF(SUMIF($AA$20:$AA$1027,$AA62,$AG$20:$AG$1027)&lt;IF($D$4="Forint",Paraméterek!$M$223,Paraméterek!$M$224),2,3))),0)</f>
        <v>0</v>
      </c>
      <c r="AJ62" s="13">
        <f ca="1">IF(AND($AA62&gt;=5,MOD($AA62,5)=0),IF($AB62=12,VLOOKUP($AA62,Paraméterek!$O$225:$P$240,2),0),IF(OR($AA62=3,$AA62=4),IF($AB62=12,VLOOKUP($AA62,Paraméterek!$O$225:$P$240,2,0),0),0))*$AG62</f>
        <v>0</v>
      </c>
      <c r="AK62" s="13">
        <f t="shared" ca="1" si="9"/>
        <v>0</v>
      </c>
      <c r="AL62" s="13">
        <f t="shared" ca="1" si="17"/>
        <v>0</v>
      </c>
      <c r="AM62" s="13">
        <f t="shared" ca="1" si="18"/>
        <v>0</v>
      </c>
      <c r="AO62" s="32">
        <v>43</v>
      </c>
      <c r="AP62" s="32">
        <v>4</v>
      </c>
      <c r="AQ62" s="32">
        <v>7</v>
      </c>
      <c r="AR62" s="13"/>
      <c r="AS62" s="32"/>
      <c r="AT62" s="13">
        <f t="shared" ca="1" si="19"/>
        <v>0</v>
      </c>
      <c r="AU62" s="33"/>
      <c r="AV62" s="13">
        <f t="shared" ca="1" si="10"/>
        <v>0</v>
      </c>
      <c r="AW62" s="13">
        <f ca="1">ROUNDUP(($AT62+$AV62)*VLOOKUP($AP62,Paraméterek!$P$38:$Q$38,2)/12*IF($D63="Nem",IF($M$13=0,1,$M$13),1),IF($D$4="Forint",0,2))</f>
        <v>0</v>
      </c>
      <c r="AX62" s="13"/>
      <c r="AY62" s="13"/>
      <c r="AZ62" s="13">
        <f>ROUNDUP(IF(SUM($AX62:$AY62)=0,0,IF(IF(ISBLANK($AY62),$AX62,$AY62)*Paraméterek!$J$112&lt;IF($D$4="Forint",Paraméterek!$J$113,Paraméterek!$K$113),IF($D$4="Forint",Paraméterek!$J$113,Paraméterek!$K$113),IF(IF(ISBLANK($AY62),$AX62,$AY62)*Paraméterek!$J$112&gt;IF($D$4="Forint",Paraméterek!$J$114,Paraméterek!$K$114),IF($D$4="Forint",Paraméterek!$J$114,Paraméterek!$K$114),IF(ISBLANK($AY62),$AX62,$AY62)*Paraméterek!$J$112))),IF($D$4="Forint",0,2))</f>
        <v>0</v>
      </c>
      <c r="BA62" s="13">
        <f ca="1">$AT62+$AV62-$AW62-IF(ROUNDDOWN(IF(ISBLANK($AY62),$AX62,$AY62),IF($D$4="Forint",0,2))&gt;$AT62+$AV62-$AW62-IF($D$4="Forint",Paraméterek!$J$114,Paraméterek!$K$114),0,ROUNDDOWN(IF(ISBLANK($AY62),$AX62,$AY62),IF($D$4="Forint",0,2))-$AZ62)</f>
        <v>0</v>
      </c>
      <c r="BB62" s="13">
        <f t="shared" ca="1" si="11"/>
        <v>0</v>
      </c>
      <c r="BD62" s="32">
        <v>43</v>
      </c>
      <c r="BE62" s="32">
        <v>4</v>
      </c>
      <c r="BF62" s="32">
        <v>7</v>
      </c>
      <c r="BG62" s="34">
        <f t="shared" ca="1" si="20"/>
        <v>2022</v>
      </c>
      <c r="BH62" s="32" t="str">
        <f ca="1">IF(MOD(MONTH($D$14)+$BD62-1,12)=Paraméterek!$C$288,"Igen","")</f>
        <v/>
      </c>
      <c r="BI62" s="13">
        <f ca="1">IF($BH62="Igen",MIN(ROUNDDOWN((SUMIF($BG$20:$BG$1027,$BG62-1,$K$20:$K$1027)-SUMIF($BG$20:$BG$1027,$BG62-1,$I$20:$I$1027))*Paraméterek!$C$289,IF($D$4="Forint",0,2)),IF($D$4="Forint",Paraméterek!$C$285,Paraméterek!$D$285)),0)</f>
        <v>0</v>
      </c>
      <c r="BJ62" s="13">
        <f t="shared" ca="1" si="12"/>
        <v>0</v>
      </c>
      <c r="BK62" s="13">
        <f t="shared" ca="1" si="21"/>
        <v>0</v>
      </c>
      <c r="BL62" s="33"/>
      <c r="BM62" s="13">
        <f t="shared" ca="1" si="13"/>
        <v>0</v>
      </c>
      <c r="BN62" s="13">
        <f ca="1">ROUNDUP(($BK62+$BM62)*VLOOKUP($BE62,Paraméterek!$P$38:$Q$38,2)/12*IF($D63="Nem",IF($M$13=0,1,$M$13),1),IF($D$4="Forint",0,2))</f>
        <v>0</v>
      </c>
      <c r="BO62" s="13">
        <f t="shared" ca="1" si="14"/>
        <v>0</v>
      </c>
      <c r="BP62" s="13">
        <f ca="1">IF($D63="Nem",$BO62,$BO62-ROUNDUP(SUM($BI$20:$BI62)*120%,IF($D$4="Forint",0,2)))</f>
        <v>0</v>
      </c>
    </row>
    <row r="63" spans="1:68" x14ac:dyDescent="0.2">
      <c r="A63" s="32">
        <v>44</v>
      </c>
      <c r="B63" s="32">
        <v>4</v>
      </c>
      <c r="C63" s="32">
        <v>8</v>
      </c>
      <c r="D63" s="32" t="str">
        <f t="shared" ca="1" si="0"/>
        <v>Nem</v>
      </c>
      <c r="E63" s="13">
        <f t="shared" ca="1" si="1"/>
        <v>0</v>
      </c>
      <c r="F63" s="13"/>
      <c r="G63" s="13"/>
      <c r="H63" s="13"/>
      <c r="I63" s="13">
        <f t="shared" ca="1" si="2"/>
        <v>0</v>
      </c>
      <c r="J63" s="13">
        <f t="shared" ca="1" si="3"/>
        <v>0</v>
      </c>
      <c r="K63" s="13">
        <f t="shared" ca="1" si="4"/>
        <v>0</v>
      </c>
      <c r="L63" s="13" t="e">
        <f ca="1">ROUNDUP(IF($D$2="Egyszeri",$E63,IF($D$2="Havi",SUM($E$20:$E$31),IF(MOD($C63,$M$1)-1=0,SUM($E$20:$E$31),0))/12*$M$1)*VLOOKUP($B63,Paraméterek!$I$28:$P$31,IF($D$2="Egyszeri",8,HLOOKUP(ROUNDUP($M$11+$M$13,0),Paraméterek!$J$26:$O$27,2))),IF($D$4="Forint",0,2))</f>
        <v>#N/A</v>
      </c>
      <c r="M63" s="13">
        <f t="shared" ca="1" si="5"/>
        <v>0</v>
      </c>
      <c r="N63" s="13">
        <f t="shared" ca="1" si="15"/>
        <v>0</v>
      </c>
      <c r="O63" s="13">
        <f ca="1">IF($D63="Igen",IF($W62&gt;=IF($D$4="Forint",Paraméterek!$J$121,Paraméterek!$K$121),0,IF($D$4="Forint",Paraméterek!$J$121,Paraméterek!$K$121)-$W62),0)</f>
        <v>0</v>
      </c>
      <c r="P63" s="13" t="e">
        <f ca="1">ROUNDUP($O63*VLOOKUP($M$4+$B63-1,Paraméterek!$H$58:$I$105,2,0)/Paraméterek!$I$56,IF($D$4="Forint",0,2))</f>
        <v>#N/A</v>
      </c>
      <c r="Q63" s="13">
        <f t="shared" ca="1" si="6"/>
        <v>0</v>
      </c>
      <c r="R63" s="33"/>
      <c r="S63" s="13" t="e">
        <f t="shared" ca="1" si="7"/>
        <v>#N/A</v>
      </c>
      <c r="T63" s="13" t="e">
        <f ca="1">ROUNDUP(($N63-$P63-$Q63+$S63)*VLOOKUP($B63,Paraméterek!$I$38:$K$39,IF($D$2="Egyszeri",3,2))/12*IF($D64="Nem",IF($M$13=0,1,$M$13),1),IF($D$4="Forint",0,2))</f>
        <v>#N/A</v>
      </c>
      <c r="U63" s="13"/>
      <c r="V63" s="13"/>
      <c r="W63" s="13" t="e">
        <f ca="1">$N63-$P63-$Q63+$S63-$T63-IF(ROUNDUP(IF(ISBLANK($V63),$U63*0,$V63)/IF($D$2="Egyszeri",VLOOKUP($B63+IF($C63=12,1,0),Paraméterek!$V$257:$W$262,2),IF($B63=1,1,VLOOKUP($B63+IF($C63=12,1,0),Paraméterek!$I$258:$T$278,HLOOKUP($M$11+1,Paraméterek!$J$256:$T$257,2)))),IF($D$4="Forint",0,2))&gt;$N63-$P63-$Q63+$S63-$T63-IF($D$4="Forint",Paraméterek!$C$216,Paraméterek!$D$216),0,ROUNDUP(IF(ISBLANK($V63),$U63*0,$V63)/IF($D$2="Egyszeri",VLOOKUP($B63+IF($C63=12,1,0),Paraméterek!$V$257:$W$262,2),IF($B63=1,1,VLOOKUP($B63+IF($C63=12,1,0),Paraméterek!$I$258:$T$278,HLOOKUP($M$11+1,Paraméterek!$J$256:$T$257,2)))),IF($D$4="Forint",0,2)))</f>
        <v>#N/A</v>
      </c>
      <c r="X63" s="13" t="e">
        <f ca="1">ROUNDDOWN($W63*IF($D$2="Egyszeri",VLOOKUP($B63+IF($C63=12,1,0),Paraméterek!$V$257:$W$262,2),VLOOKUP($B63+IF($C63=12,1,0),Paraméterek!$I$258:$T$278,HLOOKUP($M$11+1,Paraméterek!$I$256:$T$257,2))),IF($D$4="Forint",0,2))</f>
        <v>#N/A</v>
      </c>
      <c r="Z63" s="32">
        <v>44</v>
      </c>
      <c r="AA63" s="32">
        <v>4</v>
      </c>
      <c r="AB63" s="32">
        <v>8</v>
      </c>
      <c r="AC63" s="13">
        <f t="shared" ca="1" si="16"/>
        <v>0</v>
      </c>
      <c r="AD63" s="33"/>
      <c r="AE63" s="13">
        <f t="shared" ca="1" si="8"/>
        <v>0</v>
      </c>
      <c r="AF63" s="13">
        <f ca="1">ROUNDUP(($AC63+$AE63)*VLOOKUP($AA63,Paraméterek!$P$38:$Q$38,2)/12*IF($D64="Nem",IF($M$13=0,1,$M$13),1),IF($D$4="Forint",0,2))</f>
        <v>0</v>
      </c>
      <c r="AG63" s="13">
        <f ca="1">IF($D$2="Egyszeri",IF($D$7&gt;=IF($D$4="Forint",Paraméterek!$P$223,Paraméterek!$P$224),$D$7-IF($D$4="Forint",Paraméterek!$P$223,Paraméterek!$P$224),0),MIN(IF($AB63=12,AVERAGEIF($E$20:$E63,"&gt;0",$E$20:$E63)*12,0),SUM($E$20:$E$31)))</f>
        <v>0</v>
      </c>
      <c r="AH63" s="13">
        <f>IF($AA63=10,$AG63*IF($AB63=12,IF($AG63&lt;IF($D$4="Forint",Paraméterek!$L$223,Paraméterek!$L$224),0,VLOOKUP($AA63,Paraméterek!$K$226:$M$228,IF($AG63&lt;IF($D$4="Forint",Paraméterek!$M$223,Paraméterek!$M$224),2,3))),0),0)</f>
        <v>0</v>
      </c>
      <c r="AI63" s="13">
        <f ca="1">IF(AND($AA63=$M$11+1,$AB63=$M$12+1),SUMIF($AA$20:$AA$1027,$AA63,$AG$20:$AG$1027)*IF(SUMIF($AA$20:$AA$1027,$AA63,$AG$20:$AG$1027)&lt;IF($D$4="Forint",Paraméterek!$L$223,Paraméterek!$L$224),0,VLOOKUP($AA63,Paraméterek!$K$230:$M$250,IF(SUMIF($AA$20:$AA$1027,$AA63,$AG$20:$AG$1027)&lt;IF($D$4="Forint",Paraméterek!$M$223,Paraméterek!$M$224),2,3))),0)</f>
        <v>0</v>
      </c>
      <c r="AJ63" s="13">
        <f ca="1">IF(AND($AA63&gt;=5,MOD($AA63,5)=0),IF($AB63=12,VLOOKUP($AA63,Paraméterek!$O$225:$P$240,2),0),IF(OR($AA63=3,$AA63=4),IF($AB63=12,VLOOKUP($AA63,Paraméterek!$O$225:$P$240,2,0),0),0))*$AG63</f>
        <v>0</v>
      </c>
      <c r="AK63" s="13">
        <f t="shared" ca="1" si="9"/>
        <v>0</v>
      </c>
      <c r="AL63" s="13">
        <f t="shared" ca="1" si="17"/>
        <v>0</v>
      </c>
      <c r="AM63" s="13">
        <f t="shared" ca="1" si="18"/>
        <v>0</v>
      </c>
      <c r="AO63" s="32">
        <v>44</v>
      </c>
      <c r="AP63" s="32">
        <v>4</v>
      </c>
      <c r="AQ63" s="32">
        <v>8</v>
      </c>
      <c r="AR63" s="13"/>
      <c r="AS63" s="32"/>
      <c r="AT63" s="13">
        <f t="shared" ca="1" si="19"/>
        <v>0</v>
      </c>
      <c r="AU63" s="33"/>
      <c r="AV63" s="13">
        <f t="shared" ca="1" si="10"/>
        <v>0</v>
      </c>
      <c r="AW63" s="13">
        <f ca="1">ROUNDUP(($AT63+$AV63)*VLOOKUP($AP63,Paraméterek!$P$38:$Q$38,2)/12*IF($D64="Nem",IF($M$13=0,1,$M$13),1),IF($D$4="Forint",0,2))</f>
        <v>0</v>
      </c>
      <c r="AX63" s="13"/>
      <c r="AY63" s="13"/>
      <c r="AZ63" s="13">
        <f>ROUNDUP(IF(SUM($AX63:$AY63)=0,0,IF(IF(ISBLANK($AY63),$AX63,$AY63)*Paraméterek!$J$112&lt;IF($D$4="Forint",Paraméterek!$J$113,Paraméterek!$K$113),IF($D$4="Forint",Paraméterek!$J$113,Paraméterek!$K$113),IF(IF(ISBLANK($AY63),$AX63,$AY63)*Paraméterek!$J$112&gt;IF($D$4="Forint",Paraméterek!$J$114,Paraméterek!$K$114),IF($D$4="Forint",Paraméterek!$J$114,Paraméterek!$K$114),IF(ISBLANK($AY63),$AX63,$AY63)*Paraméterek!$J$112))),IF($D$4="Forint",0,2))</f>
        <v>0</v>
      </c>
      <c r="BA63" s="13">
        <f ca="1">$AT63+$AV63-$AW63-IF(ROUNDDOWN(IF(ISBLANK($AY63),$AX63,$AY63),IF($D$4="Forint",0,2))&gt;$AT63+$AV63-$AW63-IF($D$4="Forint",Paraméterek!$J$114,Paraméterek!$K$114),0,ROUNDDOWN(IF(ISBLANK($AY63),$AX63,$AY63),IF($D$4="Forint",0,2))-$AZ63)</f>
        <v>0</v>
      </c>
      <c r="BB63" s="13">
        <f t="shared" ca="1" si="11"/>
        <v>0</v>
      </c>
      <c r="BD63" s="32">
        <v>44</v>
      </c>
      <c r="BE63" s="32">
        <v>4</v>
      </c>
      <c r="BF63" s="32">
        <v>8</v>
      </c>
      <c r="BG63" s="34">
        <f t="shared" ca="1" si="20"/>
        <v>2023</v>
      </c>
      <c r="BH63" s="32" t="str">
        <f ca="1">IF(MOD(MONTH($D$14)+$BD63-1,12)=Paraméterek!$C$288,"Igen","")</f>
        <v/>
      </c>
      <c r="BI63" s="13">
        <f ca="1">IF($BH63="Igen",MIN(ROUNDDOWN((SUMIF($BG$20:$BG$1027,$BG63-1,$K$20:$K$1027)-SUMIF($BG$20:$BG$1027,$BG63-1,$I$20:$I$1027))*Paraméterek!$C$289,IF($D$4="Forint",0,2)),IF($D$4="Forint",Paraméterek!$C$285,Paraméterek!$D$285)),0)</f>
        <v>0</v>
      </c>
      <c r="BJ63" s="13">
        <f t="shared" ca="1" si="12"/>
        <v>0</v>
      </c>
      <c r="BK63" s="13">
        <f t="shared" ca="1" si="21"/>
        <v>0</v>
      </c>
      <c r="BL63" s="33"/>
      <c r="BM63" s="13">
        <f t="shared" ca="1" si="13"/>
        <v>0</v>
      </c>
      <c r="BN63" s="13">
        <f ca="1">ROUNDUP(($BK63+$BM63)*VLOOKUP($BE63,Paraméterek!$P$38:$Q$38,2)/12*IF($D64="Nem",IF($M$13=0,1,$M$13),1),IF($D$4="Forint",0,2))</f>
        <v>0</v>
      </c>
      <c r="BO63" s="13">
        <f t="shared" ca="1" si="14"/>
        <v>0</v>
      </c>
      <c r="BP63" s="13">
        <f ca="1">IF($D64="Nem",$BO63,$BO63-ROUNDUP(SUM($BI$20:$BI63)*120%,IF($D$4="Forint",0,2)))</f>
        <v>0</v>
      </c>
    </row>
    <row r="64" spans="1:68" x14ac:dyDescent="0.2">
      <c r="A64" s="32">
        <v>45</v>
      </c>
      <c r="B64" s="32">
        <v>4</v>
      </c>
      <c r="C64" s="32">
        <v>9</v>
      </c>
      <c r="D64" s="32" t="str">
        <f t="shared" ca="1" si="0"/>
        <v>Nem</v>
      </c>
      <c r="E64" s="13">
        <f t="shared" ca="1" si="1"/>
        <v>0</v>
      </c>
      <c r="F64" s="13"/>
      <c r="G64" s="13"/>
      <c r="H64" s="13"/>
      <c r="I64" s="13">
        <f t="shared" ca="1" si="2"/>
        <v>0</v>
      </c>
      <c r="J64" s="13">
        <f t="shared" ca="1" si="3"/>
        <v>0</v>
      </c>
      <c r="K64" s="13">
        <f t="shared" ca="1" si="4"/>
        <v>0</v>
      </c>
      <c r="L64" s="13" t="e">
        <f ca="1">ROUNDUP(IF($D$2="Egyszeri",$E64,IF($D$2="Havi",SUM($E$20:$E$31),IF(MOD($C64,$M$1)-1=0,SUM($E$20:$E$31),0))/12*$M$1)*VLOOKUP($B64,Paraméterek!$I$28:$P$31,IF($D$2="Egyszeri",8,HLOOKUP(ROUNDUP($M$11+$M$13,0),Paraméterek!$J$26:$O$27,2))),IF($D$4="Forint",0,2))</f>
        <v>#N/A</v>
      </c>
      <c r="M64" s="13">
        <f t="shared" ca="1" si="5"/>
        <v>0</v>
      </c>
      <c r="N64" s="13">
        <f t="shared" ca="1" si="15"/>
        <v>0</v>
      </c>
      <c r="O64" s="13">
        <f ca="1">IF($D64="Igen",IF($W63&gt;=IF($D$4="Forint",Paraméterek!$J$121,Paraméterek!$K$121),0,IF($D$4="Forint",Paraméterek!$J$121,Paraméterek!$K$121)-$W63),0)</f>
        <v>0</v>
      </c>
      <c r="P64" s="13" t="e">
        <f ca="1">ROUNDUP($O64*VLOOKUP($M$4+$B64-1,Paraméterek!$H$58:$I$105,2,0)/Paraméterek!$I$56,IF($D$4="Forint",0,2))</f>
        <v>#N/A</v>
      </c>
      <c r="Q64" s="13">
        <f t="shared" ca="1" si="6"/>
        <v>0</v>
      </c>
      <c r="R64" s="33"/>
      <c r="S64" s="13" t="e">
        <f t="shared" ca="1" si="7"/>
        <v>#N/A</v>
      </c>
      <c r="T64" s="13" t="e">
        <f ca="1">ROUNDUP(($N64-$P64-$Q64+$S64)*VLOOKUP($B64,Paraméterek!$I$38:$K$39,IF($D$2="Egyszeri",3,2))/12*IF($D65="Nem",IF($M$13=0,1,$M$13),1),IF($D$4="Forint",0,2))</f>
        <v>#N/A</v>
      </c>
      <c r="U64" s="13"/>
      <c r="V64" s="13"/>
      <c r="W64" s="13" t="e">
        <f ca="1">$N64-$P64-$Q64+$S64-$T64-IF(ROUNDUP(IF(ISBLANK($V64),$U64*0,$V64)/IF($D$2="Egyszeri",VLOOKUP($B64+IF($C64=12,1,0),Paraméterek!$V$257:$W$262,2),IF($B64=1,1,VLOOKUP($B64+IF($C64=12,1,0),Paraméterek!$I$258:$T$278,HLOOKUP($M$11+1,Paraméterek!$J$256:$T$257,2)))),IF($D$4="Forint",0,2))&gt;$N64-$P64-$Q64+$S64-$T64-IF($D$4="Forint",Paraméterek!$C$216,Paraméterek!$D$216),0,ROUNDUP(IF(ISBLANK($V64),$U64*0,$V64)/IF($D$2="Egyszeri",VLOOKUP($B64+IF($C64=12,1,0),Paraméterek!$V$257:$W$262,2),IF($B64=1,1,VLOOKUP($B64+IF($C64=12,1,0),Paraméterek!$I$258:$T$278,HLOOKUP($M$11+1,Paraméterek!$J$256:$T$257,2)))),IF($D$4="Forint",0,2)))</f>
        <v>#N/A</v>
      </c>
      <c r="X64" s="13" t="e">
        <f ca="1">ROUNDDOWN($W64*IF($D$2="Egyszeri",VLOOKUP($B64+IF($C64=12,1,0),Paraméterek!$V$257:$W$262,2),VLOOKUP($B64+IF($C64=12,1,0),Paraméterek!$I$258:$T$278,HLOOKUP($M$11+1,Paraméterek!$I$256:$T$257,2))),IF($D$4="Forint",0,2))</f>
        <v>#N/A</v>
      </c>
      <c r="Z64" s="32">
        <v>45</v>
      </c>
      <c r="AA64" s="32">
        <v>4</v>
      </c>
      <c r="AB64" s="32">
        <v>9</v>
      </c>
      <c r="AC64" s="13">
        <f t="shared" ca="1" si="16"/>
        <v>0</v>
      </c>
      <c r="AD64" s="33"/>
      <c r="AE64" s="13">
        <f t="shared" ca="1" si="8"/>
        <v>0</v>
      </c>
      <c r="AF64" s="13">
        <f ca="1">ROUNDUP(($AC64+$AE64)*VLOOKUP($AA64,Paraméterek!$P$38:$Q$38,2)/12*IF($D65="Nem",IF($M$13=0,1,$M$13),1),IF($D$4="Forint",0,2))</f>
        <v>0</v>
      </c>
      <c r="AG64" s="13">
        <f ca="1">IF($D$2="Egyszeri",IF($D$7&gt;=IF($D$4="Forint",Paraméterek!$P$223,Paraméterek!$P$224),$D$7-IF($D$4="Forint",Paraméterek!$P$223,Paraméterek!$P$224),0),MIN(IF($AB64=12,AVERAGEIF($E$20:$E64,"&gt;0",$E$20:$E64)*12,0),SUM($E$20:$E$31)))</f>
        <v>0</v>
      </c>
      <c r="AH64" s="13">
        <f>IF($AA64=10,$AG64*IF($AB64=12,IF($AG64&lt;IF($D$4="Forint",Paraméterek!$L$223,Paraméterek!$L$224),0,VLOOKUP($AA64,Paraméterek!$K$226:$M$228,IF($AG64&lt;IF($D$4="Forint",Paraméterek!$M$223,Paraméterek!$M$224),2,3))),0),0)</f>
        <v>0</v>
      </c>
      <c r="AI64" s="13">
        <f ca="1">IF(AND($AA64=$M$11+1,$AB64=$M$12+1),SUMIF($AA$20:$AA$1027,$AA64,$AG$20:$AG$1027)*IF(SUMIF($AA$20:$AA$1027,$AA64,$AG$20:$AG$1027)&lt;IF($D$4="Forint",Paraméterek!$L$223,Paraméterek!$L$224),0,VLOOKUP($AA64,Paraméterek!$K$230:$M$250,IF(SUMIF($AA$20:$AA$1027,$AA64,$AG$20:$AG$1027)&lt;IF($D$4="Forint",Paraméterek!$M$223,Paraméterek!$M$224),2,3))),0)</f>
        <v>0</v>
      </c>
      <c r="AJ64" s="13">
        <f ca="1">IF(AND($AA64&gt;=5,MOD($AA64,5)=0),IF($AB64=12,VLOOKUP($AA64,Paraméterek!$O$225:$P$240,2),0),IF(OR($AA64=3,$AA64=4),IF($AB64=12,VLOOKUP($AA64,Paraméterek!$O$225:$P$240,2,0),0),0))*$AG64</f>
        <v>0</v>
      </c>
      <c r="AK64" s="13">
        <f t="shared" ca="1" si="9"/>
        <v>0</v>
      </c>
      <c r="AL64" s="13">
        <f t="shared" ca="1" si="17"/>
        <v>0</v>
      </c>
      <c r="AM64" s="13">
        <f t="shared" ca="1" si="18"/>
        <v>0</v>
      </c>
      <c r="AO64" s="32">
        <v>45</v>
      </c>
      <c r="AP64" s="32">
        <v>4</v>
      </c>
      <c r="AQ64" s="32">
        <v>9</v>
      </c>
      <c r="AR64" s="13"/>
      <c r="AS64" s="32"/>
      <c r="AT64" s="13">
        <f t="shared" ca="1" si="19"/>
        <v>0</v>
      </c>
      <c r="AU64" s="33"/>
      <c r="AV64" s="13">
        <f t="shared" ca="1" si="10"/>
        <v>0</v>
      </c>
      <c r="AW64" s="13">
        <f ca="1">ROUNDUP(($AT64+$AV64)*VLOOKUP($AP64,Paraméterek!$P$38:$Q$38,2)/12*IF($D65="Nem",IF($M$13=0,1,$M$13),1),IF($D$4="Forint",0,2))</f>
        <v>0</v>
      </c>
      <c r="AX64" s="13"/>
      <c r="AY64" s="13"/>
      <c r="AZ64" s="13">
        <f>ROUNDUP(IF(SUM($AX64:$AY64)=0,0,IF(IF(ISBLANK($AY64),$AX64,$AY64)*Paraméterek!$J$112&lt;IF($D$4="Forint",Paraméterek!$J$113,Paraméterek!$K$113),IF($D$4="Forint",Paraméterek!$J$113,Paraméterek!$K$113),IF(IF(ISBLANK($AY64),$AX64,$AY64)*Paraméterek!$J$112&gt;IF($D$4="Forint",Paraméterek!$J$114,Paraméterek!$K$114),IF($D$4="Forint",Paraméterek!$J$114,Paraméterek!$K$114),IF(ISBLANK($AY64),$AX64,$AY64)*Paraméterek!$J$112))),IF($D$4="Forint",0,2))</f>
        <v>0</v>
      </c>
      <c r="BA64" s="13">
        <f ca="1">$AT64+$AV64-$AW64-IF(ROUNDDOWN(IF(ISBLANK($AY64),$AX64,$AY64),IF($D$4="Forint",0,2))&gt;$AT64+$AV64-$AW64-IF($D$4="Forint",Paraméterek!$J$114,Paraméterek!$K$114),0,ROUNDDOWN(IF(ISBLANK($AY64),$AX64,$AY64),IF($D$4="Forint",0,2))-$AZ64)</f>
        <v>0</v>
      </c>
      <c r="BB64" s="13">
        <f t="shared" ca="1" si="11"/>
        <v>0</v>
      </c>
      <c r="BD64" s="32">
        <v>45</v>
      </c>
      <c r="BE64" s="32">
        <v>4</v>
      </c>
      <c r="BF64" s="32">
        <v>9</v>
      </c>
      <c r="BG64" s="34">
        <f t="shared" ca="1" si="20"/>
        <v>2023</v>
      </c>
      <c r="BH64" s="32" t="str">
        <f ca="1">IF(MOD(MONTH($D$14)+$BD64-1,12)=Paraméterek!$C$288,"Igen","")</f>
        <v/>
      </c>
      <c r="BI64" s="13">
        <f ca="1">IF($BH64="Igen",MIN(ROUNDDOWN((SUMIF($BG$20:$BG$1027,$BG64-1,$K$20:$K$1027)-SUMIF($BG$20:$BG$1027,$BG64-1,$I$20:$I$1027))*Paraméterek!$C$289,IF($D$4="Forint",0,2)),IF($D$4="Forint",Paraméterek!$C$285,Paraméterek!$D$285)),0)</f>
        <v>0</v>
      </c>
      <c r="BJ64" s="13">
        <f t="shared" ca="1" si="12"/>
        <v>0</v>
      </c>
      <c r="BK64" s="13">
        <f t="shared" ca="1" si="21"/>
        <v>0</v>
      </c>
      <c r="BL64" s="33"/>
      <c r="BM64" s="13">
        <f t="shared" ca="1" si="13"/>
        <v>0</v>
      </c>
      <c r="BN64" s="13">
        <f ca="1">ROUNDUP(($BK64+$BM64)*VLOOKUP($BE64,Paraméterek!$P$38:$Q$38,2)/12*IF($D65="Nem",IF($M$13=0,1,$M$13),1),IF($D$4="Forint",0,2))</f>
        <v>0</v>
      </c>
      <c r="BO64" s="13">
        <f t="shared" ca="1" si="14"/>
        <v>0</v>
      </c>
      <c r="BP64" s="13">
        <f ca="1">IF($D65="Nem",$BO64,$BO64-ROUNDUP(SUM($BI$20:$BI64)*120%,IF($D$4="Forint",0,2)))</f>
        <v>0</v>
      </c>
    </row>
    <row r="65" spans="1:68" x14ac:dyDescent="0.2">
      <c r="A65" s="32">
        <v>46</v>
      </c>
      <c r="B65" s="32">
        <v>4</v>
      </c>
      <c r="C65" s="32">
        <v>10</v>
      </c>
      <c r="D65" s="32" t="str">
        <f t="shared" ca="1" si="0"/>
        <v>Nem</v>
      </c>
      <c r="E65" s="13">
        <f t="shared" ca="1" si="1"/>
        <v>0</v>
      </c>
      <c r="F65" s="13"/>
      <c r="G65" s="13"/>
      <c r="H65" s="13"/>
      <c r="I65" s="13">
        <f t="shared" ca="1" si="2"/>
        <v>0</v>
      </c>
      <c r="J65" s="13">
        <f t="shared" ca="1" si="3"/>
        <v>0</v>
      </c>
      <c r="K65" s="13">
        <f t="shared" ca="1" si="4"/>
        <v>0</v>
      </c>
      <c r="L65" s="13" t="e">
        <f ca="1">ROUNDUP(IF($D$2="Egyszeri",$E65,IF($D$2="Havi",SUM($E$20:$E$31),IF(MOD($C65,$M$1)-1=0,SUM($E$20:$E$31),0))/12*$M$1)*VLOOKUP($B65,Paraméterek!$I$28:$P$31,IF($D$2="Egyszeri",8,HLOOKUP(ROUNDUP($M$11+$M$13,0),Paraméterek!$J$26:$O$27,2))),IF($D$4="Forint",0,2))</f>
        <v>#N/A</v>
      </c>
      <c r="M65" s="13">
        <f t="shared" ca="1" si="5"/>
        <v>0</v>
      </c>
      <c r="N65" s="13">
        <f t="shared" ca="1" si="15"/>
        <v>0</v>
      </c>
      <c r="O65" s="13">
        <f ca="1">IF($D65="Igen",IF($W64&gt;=IF($D$4="Forint",Paraméterek!$J$121,Paraméterek!$K$121),0,IF($D$4="Forint",Paraméterek!$J$121,Paraméterek!$K$121)-$W64),0)</f>
        <v>0</v>
      </c>
      <c r="P65" s="13" t="e">
        <f ca="1">ROUNDUP($O65*VLOOKUP($M$4+$B65-1,Paraméterek!$H$58:$I$105,2,0)/Paraméterek!$I$56,IF($D$4="Forint",0,2))</f>
        <v>#N/A</v>
      </c>
      <c r="Q65" s="13">
        <f t="shared" ca="1" si="6"/>
        <v>0</v>
      </c>
      <c r="R65" s="33"/>
      <c r="S65" s="13" t="e">
        <f t="shared" ca="1" si="7"/>
        <v>#N/A</v>
      </c>
      <c r="T65" s="13" t="e">
        <f ca="1">ROUNDUP(($N65-$P65-$Q65+$S65)*VLOOKUP($B65,Paraméterek!$I$38:$K$39,IF($D$2="Egyszeri",3,2))/12*IF($D66="Nem",IF($M$13=0,1,$M$13),1),IF($D$4="Forint",0,2))</f>
        <v>#N/A</v>
      </c>
      <c r="U65" s="13"/>
      <c r="V65" s="13"/>
      <c r="W65" s="13" t="e">
        <f ca="1">$N65-$P65-$Q65+$S65-$T65-IF(ROUNDUP(IF(ISBLANK($V65),$U65*0,$V65)/IF($D$2="Egyszeri",VLOOKUP($B65+IF($C65=12,1,0),Paraméterek!$V$257:$W$262,2),IF($B65=1,1,VLOOKUP($B65+IF($C65=12,1,0),Paraméterek!$I$258:$T$278,HLOOKUP($M$11+1,Paraméterek!$J$256:$T$257,2)))),IF($D$4="Forint",0,2))&gt;$N65-$P65-$Q65+$S65-$T65-IF($D$4="Forint",Paraméterek!$C$216,Paraméterek!$D$216),0,ROUNDUP(IF(ISBLANK($V65),$U65*0,$V65)/IF($D$2="Egyszeri",VLOOKUP($B65+IF($C65=12,1,0),Paraméterek!$V$257:$W$262,2),IF($B65=1,1,VLOOKUP($B65+IF($C65=12,1,0),Paraméterek!$I$258:$T$278,HLOOKUP($M$11+1,Paraméterek!$J$256:$T$257,2)))),IF($D$4="Forint",0,2)))</f>
        <v>#N/A</v>
      </c>
      <c r="X65" s="13" t="e">
        <f ca="1">ROUNDDOWN($W65*IF($D$2="Egyszeri",VLOOKUP($B65+IF($C65=12,1,0),Paraméterek!$V$257:$W$262,2),VLOOKUP($B65+IF($C65=12,1,0),Paraméterek!$I$258:$T$278,HLOOKUP($M$11+1,Paraméterek!$I$256:$T$257,2))),IF($D$4="Forint",0,2))</f>
        <v>#N/A</v>
      </c>
      <c r="Z65" s="32">
        <v>46</v>
      </c>
      <c r="AA65" s="32">
        <v>4</v>
      </c>
      <c r="AB65" s="32">
        <v>10</v>
      </c>
      <c r="AC65" s="13">
        <f t="shared" ca="1" si="16"/>
        <v>0</v>
      </c>
      <c r="AD65" s="33"/>
      <c r="AE65" s="13">
        <f t="shared" ca="1" si="8"/>
        <v>0</v>
      </c>
      <c r="AF65" s="13">
        <f ca="1">ROUNDUP(($AC65+$AE65)*VLOOKUP($AA65,Paraméterek!$P$38:$Q$38,2)/12*IF($D66="Nem",IF($M$13=0,1,$M$13),1),IF($D$4="Forint",0,2))</f>
        <v>0</v>
      </c>
      <c r="AG65" s="13">
        <f ca="1">IF($D$2="Egyszeri",IF($D$7&gt;=IF($D$4="Forint",Paraméterek!$P$223,Paraméterek!$P$224),$D$7-IF($D$4="Forint",Paraméterek!$P$223,Paraméterek!$P$224),0),MIN(IF($AB65=12,AVERAGEIF($E$20:$E65,"&gt;0",$E$20:$E65)*12,0),SUM($E$20:$E$31)))</f>
        <v>0</v>
      </c>
      <c r="AH65" s="13">
        <f>IF($AA65=10,$AG65*IF($AB65=12,IF($AG65&lt;IF($D$4="Forint",Paraméterek!$L$223,Paraméterek!$L$224),0,VLOOKUP($AA65,Paraméterek!$K$226:$M$228,IF($AG65&lt;IF($D$4="Forint",Paraméterek!$M$223,Paraméterek!$M$224),2,3))),0),0)</f>
        <v>0</v>
      </c>
      <c r="AI65" s="13">
        <f ca="1">IF(AND($AA65=$M$11+1,$AB65=$M$12+1),SUMIF($AA$20:$AA$1027,$AA65,$AG$20:$AG$1027)*IF(SUMIF($AA$20:$AA$1027,$AA65,$AG$20:$AG$1027)&lt;IF($D$4="Forint",Paraméterek!$L$223,Paraméterek!$L$224),0,VLOOKUP($AA65,Paraméterek!$K$230:$M$250,IF(SUMIF($AA$20:$AA$1027,$AA65,$AG$20:$AG$1027)&lt;IF($D$4="Forint",Paraméterek!$M$223,Paraméterek!$M$224),2,3))),0)</f>
        <v>0</v>
      </c>
      <c r="AJ65" s="13">
        <f ca="1">IF(AND($AA65&gt;=5,MOD($AA65,5)=0),IF($AB65=12,VLOOKUP($AA65,Paraméterek!$O$225:$P$240,2),0),IF(OR($AA65=3,$AA65=4),IF($AB65=12,VLOOKUP($AA65,Paraméterek!$O$225:$P$240,2,0),0),0))*$AG65</f>
        <v>0</v>
      </c>
      <c r="AK65" s="13">
        <f t="shared" ca="1" si="9"/>
        <v>0</v>
      </c>
      <c r="AL65" s="13">
        <f t="shared" ca="1" si="17"/>
        <v>0</v>
      </c>
      <c r="AM65" s="13">
        <f t="shared" ca="1" si="18"/>
        <v>0</v>
      </c>
      <c r="AO65" s="32">
        <v>46</v>
      </c>
      <c r="AP65" s="32">
        <v>4</v>
      </c>
      <c r="AQ65" s="32">
        <v>10</v>
      </c>
      <c r="AR65" s="13"/>
      <c r="AS65" s="32"/>
      <c r="AT65" s="13">
        <f t="shared" ca="1" si="19"/>
        <v>0</v>
      </c>
      <c r="AU65" s="33"/>
      <c r="AV65" s="13">
        <f t="shared" ca="1" si="10"/>
        <v>0</v>
      </c>
      <c r="AW65" s="13">
        <f ca="1">ROUNDUP(($AT65+$AV65)*VLOOKUP($AP65,Paraméterek!$P$38:$Q$38,2)/12*IF($D66="Nem",IF($M$13=0,1,$M$13),1),IF($D$4="Forint",0,2))</f>
        <v>0</v>
      </c>
      <c r="AX65" s="13"/>
      <c r="AY65" s="13"/>
      <c r="AZ65" s="13">
        <f>ROUNDUP(IF(SUM($AX65:$AY65)=0,0,IF(IF(ISBLANK($AY65),$AX65,$AY65)*Paraméterek!$J$112&lt;IF($D$4="Forint",Paraméterek!$J$113,Paraméterek!$K$113),IF($D$4="Forint",Paraméterek!$J$113,Paraméterek!$K$113),IF(IF(ISBLANK($AY65),$AX65,$AY65)*Paraméterek!$J$112&gt;IF($D$4="Forint",Paraméterek!$J$114,Paraméterek!$K$114),IF($D$4="Forint",Paraméterek!$J$114,Paraméterek!$K$114),IF(ISBLANK($AY65),$AX65,$AY65)*Paraméterek!$J$112))),IF($D$4="Forint",0,2))</f>
        <v>0</v>
      </c>
      <c r="BA65" s="13">
        <f ca="1">$AT65+$AV65-$AW65-IF(ROUNDDOWN(IF(ISBLANK($AY65),$AX65,$AY65),IF($D$4="Forint",0,2))&gt;$AT65+$AV65-$AW65-IF($D$4="Forint",Paraméterek!$J$114,Paraméterek!$K$114),0,ROUNDDOWN(IF(ISBLANK($AY65),$AX65,$AY65),IF($D$4="Forint",0,2))-$AZ65)</f>
        <v>0</v>
      </c>
      <c r="BB65" s="13">
        <f t="shared" ca="1" si="11"/>
        <v>0</v>
      </c>
      <c r="BD65" s="32">
        <v>46</v>
      </c>
      <c r="BE65" s="32">
        <v>4</v>
      </c>
      <c r="BF65" s="32">
        <v>10</v>
      </c>
      <c r="BG65" s="34">
        <f t="shared" ca="1" si="20"/>
        <v>2023</v>
      </c>
      <c r="BH65" s="32" t="str">
        <f ca="1">IF(MOD(MONTH($D$14)+$BD65-1,12)=Paraméterek!$C$288,"Igen","")</f>
        <v/>
      </c>
      <c r="BI65" s="13">
        <f ca="1">IF($BH65="Igen",MIN(ROUNDDOWN((SUMIF($BG$20:$BG$1027,$BG65-1,$K$20:$K$1027)-SUMIF($BG$20:$BG$1027,$BG65-1,$I$20:$I$1027))*Paraméterek!$C$289,IF($D$4="Forint",0,2)),IF($D$4="Forint",Paraméterek!$C$285,Paraméterek!$D$285)),0)</f>
        <v>0</v>
      </c>
      <c r="BJ65" s="13">
        <f t="shared" ca="1" si="12"/>
        <v>0</v>
      </c>
      <c r="BK65" s="13">
        <f t="shared" ca="1" si="21"/>
        <v>0</v>
      </c>
      <c r="BL65" s="33"/>
      <c r="BM65" s="13">
        <f t="shared" ca="1" si="13"/>
        <v>0</v>
      </c>
      <c r="BN65" s="13">
        <f ca="1">ROUNDUP(($BK65+$BM65)*VLOOKUP($BE65,Paraméterek!$P$38:$Q$38,2)/12*IF($D66="Nem",IF($M$13=0,1,$M$13),1),IF($D$4="Forint",0,2))</f>
        <v>0</v>
      </c>
      <c r="BO65" s="13">
        <f t="shared" ca="1" si="14"/>
        <v>0</v>
      </c>
      <c r="BP65" s="13">
        <f ca="1">IF($D66="Nem",$BO65,$BO65-ROUNDUP(SUM($BI$20:$BI65)*120%,IF($D$4="Forint",0,2)))</f>
        <v>0</v>
      </c>
    </row>
    <row r="66" spans="1:68" x14ac:dyDescent="0.2">
      <c r="A66" s="32">
        <v>47</v>
      </c>
      <c r="B66" s="32">
        <v>4</v>
      </c>
      <c r="C66" s="32">
        <v>11</v>
      </c>
      <c r="D66" s="32" t="str">
        <f t="shared" ca="1" si="0"/>
        <v>Nem</v>
      </c>
      <c r="E66" s="13">
        <f t="shared" ca="1" si="1"/>
        <v>0</v>
      </c>
      <c r="F66" s="13"/>
      <c r="G66" s="13"/>
      <c r="H66" s="13"/>
      <c r="I66" s="13">
        <f t="shared" ca="1" si="2"/>
        <v>0</v>
      </c>
      <c r="J66" s="13">
        <f t="shared" ca="1" si="3"/>
        <v>0</v>
      </c>
      <c r="K66" s="13">
        <f t="shared" ca="1" si="4"/>
        <v>0</v>
      </c>
      <c r="L66" s="13" t="e">
        <f ca="1">ROUNDUP(IF($D$2="Egyszeri",$E66,IF($D$2="Havi",SUM($E$20:$E$31),IF(MOD($C66,$M$1)-1=0,SUM($E$20:$E$31),0))/12*$M$1)*VLOOKUP($B66,Paraméterek!$I$28:$P$31,IF($D$2="Egyszeri",8,HLOOKUP(ROUNDUP($M$11+$M$13,0),Paraméterek!$J$26:$O$27,2))),IF($D$4="Forint",0,2))</f>
        <v>#N/A</v>
      </c>
      <c r="M66" s="13">
        <f t="shared" ca="1" si="5"/>
        <v>0</v>
      </c>
      <c r="N66" s="13">
        <f t="shared" ca="1" si="15"/>
        <v>0</v>
      </c>
      <c r="O66" s="13">
        <f ca="1">IF($D66="Igen",IF($W65&gt;=IF($D$4="Forint",Paraméterek!$J$121,Paraméterek!$K$121),0,IF($D$4="Forint",Paraméterek!$J$121,Paraméterek!$K$121)-$W65),0)</f>
        <v>0</v>
      </c>
      <c r="P66" s="13" t="e">
        <f ca="1">ROUNDUP($O66*VLOOKUP($M$4+$B66-1,Paraméterek!$H$58:$I$105,2,0)/Paraméterek!$I$56,IF($D$4="Forint",0,2))</f>
        <v>#N/A</v>
      </c>
      <c r="Q66" s="13">
        <f t="shared" ca="1" si="6"/>
        <v>0</v>
      </c>
      <c r="R66" s="33"/>
      <c r="S66" s="13" t="e">
        <f t="shared" ca="1" si="7"/>
        <v>#N/A</v>
      </c>
      <c r="T66" s="13" t="e">
        <f ca="1">ROUNDUP(($N66-$P66-$Q66+$S66)*VLOOKUP($B66,Paraméterek!$I$38:$K$39,IF($D$2="Egyszeri",3,2))/12*IF($D67="Nem",IF($M$13=0,1,$M$13),1),IF($D$4="Forint",0,2))</f>
        <v>#N/A</v>
      </c>
      <c r="U66" s="13"/>
      <c r="V66" s="13"/>
      <c r="W66" s="13" t="e">
        <f ca="1">$N66-$P66-$Q66+$S66-$T66-IF(ROUNDUP(IF(ISBLANK($V66),$U66*0,$V66)/IF($D$2="Egyszeri",VLOOKUP($B66+IF($C66=12,1,0),Paraméterek!$V$257:$W$262,2),IF($B66=1,1,VLOOKUP($B66+IF($C66=12,1,0),Paraméterek!$I$258:$T$278,HLOOKUP($M$11+1,Paraméterek!$J$256:$T$257,2)))),IF($D$4="Forint",0,2))&gt;$N66-$P66-$Q66+$S66-$T66-IF($D$4="Forint",Paraméterek!$C$216,Paraméterek!$D$216),0,ROUNDUP(IF(ISBLANK($V66),$U66*0,$V66)/IF($D$2="Egyszeri",VLOOKUP($B66+IF($C66=12,1,0),Paraméterek!$V$257:$W$262,2),IF($B66=1,1,VLOOKUP($B66+IF($C66=12,1,0),Paraméterek!$I$258:$T$278,HLOOKUP($M$11+1,Paraméterek!$J$256:$T$257,2)))),IF($D$4="Forint",0,2)))</f>
        <v>#N/A</v>
      </c>
      <c r="X66" s="13" t="e">
        <f ca="1">ROUNDDOWN($W66*IF($D$2="Egyszeri",VLOOKUP($B66+IF($C66=12,1,0),Paraméterek!$V$257:$W$262,2),VLOOKUP($B66+IF($C66=12,1,0),Paraméterek!$I$258:$T$278,HLOOKUP($M$11+1,Paraméterek!$I$256:$T$257,2))),IF($D$4="Forint",0,2))</f>
        <v>#N/A</v>
      </c>
      <c r="Z66" s="32">
        <v>47</v>
      </c>
      <c r="AA66" s="32">
        <v>4</v>
      </c>
      <c r="AB66" s="32">
        <v>11</v>
      </c>
      <c r="AC66" s="13">
        <f t="shared" ca="1" si="16"/>
        <v>0</v>
      </c>
      <c r="AD66" s="33"/>
      <c r="AE66" s="13">
        <f t="shared" ca="1" si="8"/>
        <v>0</v>
      </c>
      <c r="AF66" s="13">
        <f ca="1">ROUNDUP(($AC66+$AE66)*VLOOKUP($AA66,Paraméterek!$P$38:$Q$38,2)/12*IF($D67="Nem",IF($M$13=0,1,$M$13),1),IF($D$4="Forint",0,2))</f>
        <v>0</v>
      </c>
      <c r="AG66" s="13">
        <f ca="1">IF($D$2="Egyszeri",IF($D$7&gt;=IF($D$4="Forint",Paraméterek!$P$223,Paraméterek!$P$224),$D$7-IF($D$4="Forint",Paraméterek!$P$223,Paraméterek!$P$224),0),MIN(IF($AB66=12,AVERAGEIF($E$20:$E66,"&gt;0",$E$20:$E66)*12,0),SUM($E$20:$E$31)))</f>
        <v>0</v>
      </c>
      <c r="AH66" s="13">
        <f>IF($AA66=10,$AG66*IF($AB66=12,IF($AG66&lt;IF($D$4="Forint",Paraméterek!$L$223,Paraméterek!$L$224),0,VLOOKUP($AA66,Paraméterek!$K$226:$M$228,IF($AG66&lt;IF($D$4="Forint",Paraméterek!$M$223,Paraméterek!$M$224),2,3))),0),0)</f>
        <v>0</v>
      </c>
      <c r="AI66" s="13">
        <f ca="1">IF(AND($AA66=$M$11+1,$AB66=$M$12+1),SUMIF($AA$20:$AA$1027,$AA66,$AG$20:$AG$1027)*IF(SUMIF($AA$20:$AA$1027,$AA66,$AG$20:$AG$1027)&lt;IF($D$4="Forint",Paraméterek!$L$223,Paraméterek!$L$224),0,VLOOKUP($AA66,Paraméterek!$K$230:$M$250,IF(SUMIF($AA$20:$AA$1027,$AA66,$AG$20:$AG$1027)&lt;IF($D$4="Forint",Paraméterek!$M$223,Paraméterek!$M$224),2,3))),0)</f>
        <v>0</v>
      </c>
      <c r="AJ66" s="13">
        <f ca="1">IF(AND($AA66&gt;=5,MOD($AA66,5)=0),IF($AB66=12,VLOOKUP($AA66,Paraméterek!$O$225:$P$240,2),0),IF(OR($AA66=3,$AA66=4),IF($AB66=12,VLOOKUP($AA66,Paraméterek!$O$225:$P$240,2,0),0),0))*$AG66</f>
        <v>0</v>
      </c>
      <c r="AK66" s="13">
        <f t="shared" ca="1" si="9"/>
        <v>0</v>
      </c>
      <c r="AL66" s="13">
        <f t="shared" ca="1" si="17"/>
        <v>0</v>
      </c>
      <c r="AM66" s="13">
        <f t="shared" ca="1" si="18"/>
        <v>0</v>
      </c>
      <c r="AO66" s="32">
        <v>47</v>
      </c>
      <c r="AP66" s="32">
        <v>4</v>
      </c>
      <c r="AQ66" s="32">
        <v>11</v>
      </c>
      <c r="AR66" s="13"/>
      <c r="AS66" s="32"/>
      <c r="AT66" s="13">
        <f t="shared" ca="1" si="19"/>
        <v>0</v>
      </c>
      <c r="AU66" s="33"/>
      <c r="AV66" s="13">
        <f t="shared" ca="1" si="10"/>
        <v>0</v>
      </c>
      <c r="AW66" s="13">
        <f ca="1">ROUNDUP(($AT66+$AV66)*VLOOKUP($AP66,Paraméterek!$P$38:$Q$38,2)/12*IF($D67="Nem",IF($M$13=0,1,$M$13),1),IF($D$4="Forint",0,2))</f>
        <v>0</v>
      </c>
      <c r="AX66" s="13"/>
      <c r="AY66" s="13"/>
      <c r="AZ66" s="13">
        <f>ROUNDUP(IF(SUM($AX66:$AY66)=0,0,IF(IF(ISBLANK($AY66),$AX66,$AY66)*Paraméterek!$J$112&lt;IF($D$4="Forint",Paraméterek!$J$113,Paraméterek!$K$113),IF($D$4="Forint",Paraméterek!$J$113,Paraméterek!$K$113),IF(IF(ISBLANK($AY66),$AX66,$AY66)*Paraméterek!$J$112&gt;IF($D$4="Forint",Paraméterek!$J$114,Paraméterek!$K$114),IF($D$4="Forint",Paraméterek!$J$114,Paraméterek!$K$114),IF(ISBLANK($AY66),$AX66,$AY66)*Paraméterek!$J$112))),IF($D$4="Forint",0,2))</f>
        <v>0</v>
      </c>
      <c r="BA66" s="13">
        <f ca="1">$AT66+$AV66-$AW66-IF(ROUNDDOWN(IF(ISBLANK($AY66),$AX66,$AY66),IF($D$4="Forint",0,2))&gt;$AT66+$AV66-$AW66-IF($D$4="Forint",Paraméterek!$J$114,Paraméterek!$K$114),0,ROUNDDOWN(IF(ISBLANK($AY66),$AX66,$AY66),IF($D$4="Forint",0,2))-$AZ66)</f>
        <v>0</v>
      </c>
      <c r="BB66" s="13">
        <f t="shared" ca="1" si="11"/>
        <v>0</v>
      </c>
      <c r="BD66" s="32">
        <v>47</v>
      </c>
      <c r="BE66" s="32">
        <v>4</v>
      </c>
      <c r="BF66" s="32">
        <v>11</v>
      </c>
      <c r="BG66" s="34">
        <f t="shared" ca="1" si="20"/>
        <v>2023</v>
      </c>
      <c r="BH66" s="32" t="str">
        <f ca="1">IF(MOD(MONTH($D$14)+$BD66-1,12)=Paraméterek!$C$288,"Igen","")</f>
        <v/>
      </c>
      <c r="BI66" s="13">
        <f ca="1">IF($BH66="Igen",MIN(ROUNDDOWN((SUMIF($BG$20:$BG$1027,$BG66-1,$K$20:$K$1027)-SUMIF($BG$20:$BG$1027,$BG66-1,$I$20:$I$1027))*Paraméterek!$C$289,IF($D$4="Forint",0,2)),IF($D$4="Forint",Paraméterek!$C$285,Paraméterek!$D$285)),0)</f>
        <v>0</v>
      </c>
      <c r="BJ66" s="13">
        <f t="shared" ca="1" si="12"/>
        <v>0</v>
      </c>
      <c r="BK66" s="13">
        <f t="shared" ca="1" si="21"/>
        <v>0</v>
      </c>
      <c r="BL66" s="33"/>
      <c r="BM66" s="13">
        <f t="shared" ca="1" si="13"/>
        <v>0</v>
      </c>
      <c r="BN66" s="13">
        <f ca="1">ROUNDUP(($BK66+$BM66)*VLOOKUP($BE66,Paraméterek!$P$38:$Q$38,2)/12*IF($D67="Nem",IF($M$13=0,1,$M$13),1),IF($D$4="Forint",0,2))</f>
        <v>0</v>
      </c>
      <c r="BO66" s="13">
        <f t="shared" ca="1" si="14"/>
        <v>0</v>
      </c>
      <c r="BP66" s="13">
        <f ca="1">IF($D67="Nem",$BO66,$BO66-ROUNDUP(SUM($BI$20:$BI66)*120%,IF($D$4="Forint",0,2)))</f>
        <v>0</v>
      </c>
    </row>
    <row r="67" spans="1:68" x14ac:dyDescent="0.2">
      <c r="A67" s="32">
        <v>48</v>
      </c>
      <c r="B67" s="32">
        <v>4</v>
      </c>
      <c r="C67" s="32">
        <v>12</v>
      </c>
      <c r="D67" s="32" t="str">
        <f t="shared" ca="1" si="0"/>
        <v>Nem</v>
      </c>
      <c r="E67" s="13">
        <f t="shared" ca="1" si="1"/>
        <v>0</v>
      </c>
      <c r="F67" s="13"/>
      <c r="G67" s="13"/>
      <c r="H67" s="13"/>
      <c r="I67" s="13">
        <f t="shared" ca="1" si="2"/>
        <v>0</v>
      </c>
      <c r="J67" s="13">
        <f t="shared" ca="1" si="3"/>
        <v>0</v>
      </c>
      <c r="K67" s="13">
        <f t="shared" ca="1" si="4"/>
        <v>0</v>
      </c>
      <c r="L67" s="13" t="e">
        <f ca="1">ROUNDUP(IF($D$2="Egyszeri",$E67,IF($D$2="Havi",SUM($E$20:$E$31),IF(MOD($C67,$M$1)-1=0,SUM($E$20:$E$31),0))/12*$M$1)*VLOOKUP($B67,Paraméterek!$I$28:$P$31,IF($D$2="Egyszeri",8,HLOOKUP(ROUNDUP($M$11+$M$13,0),Paraméterek!$J$26:$O$27,2))),IF($D$4="Forint",0,2))</f>
        <v>#N/A</v>
      </c>
      <c r="M67" s="13">
        <f t="shared" ca="1" si="5"/>
        <v>0</v>
      </c>
      <c r="N67" s="13">
        <f t="shared" ca="1" si="15"/>
        <v>0</v>
      </c>
      <c r="O67" s="13">
        <f ca="1">IF($D67="Igen",IF($W66&gt;=IF($D$4="Forint",Paraméterek!$J$121,Paraméterek!$K$121),0,IF($D$4="Forint",Paraméterek!$J$121,Paraméterek!$K$121)-$W66),0)</f>
        <v>0</v>
      </c>
      <c r="P67" s="13" t="e">
        <f ca="1">ROUNDUP($O67*VLOOKUP($M$4+$B67-1,Paraméterek!$H$58:$I$105,2,0)/Paraméterek!$I$56,IF($D$4="Forint",0,2))</f>
        <v>#N/A</v>
      </c>
      <c r="Q67" s="13">
        <f t="shared" ca="1" si="6"/>
        <v>0</v>
      </c>
      <c r="R67" s="33"/>
      <c r="S67" s="13" t="e">
        <f t="shared" ca="1" si="7"/>
        <v>#N/A</v>
      </c>
      <c r="T67" s="13" t="e">
        <f ca="1">ROUNDUP(($N67-$P67-$Q67+$S67)*VLOOKUP($B67,Paraméterek!$I$38:$K$39,IF($D$2="Egyszeri",3,2))/12*IF($D68="Nem",IF($M$13=0,1,$M$13),1),IF($D$4="Forint",0,2))</f>
        <v>#N/A</v>
      </c>
      <c r="U67" s="13">
        <f>Tranzakciók!$F$35</f>
        <v>0</v>
      </c>
      <c r="V67" s="13"/>
      <c r="W67" s="13" t="e">
        <f ca="1">$N67-$P67-$Q67+$S67-$T67-IF(ROUNDUP(IF(ISBLANK($V67),$U67*0,$V67)/IF($D$2="Egyszeri",VLOOKUP($B67+IF($C67=12,1,0),Paraméterek!$V$257:$W$262,2),IF($B67=1,1,VLOOKUP($B67+IF($C67=12,1,0),Paraméterek!$I$258:$T$278,HLOOKUP($M$11+1,Paraméterek!$J$256:$T$257,2)))),IF($D$4="Forint",0,2))&gt;$N67-$P67-$Q67+$S67-$T67-IF($D$4="Forint",Paraméterek!$C$216,Paraméterek!$D$216),0,ROUNDUP(IF(ISBLANK($V67),$U67*0,$V67)/IF($D$2="Egyszeri",VLOOKUP($B67+IF($C67=12,1,0),Paraméterek!$V$257:$W$262,2),IF($B67=1,1,VLOOKUP($B67+IF($C67=12,1,0),Paraméterek!$I$258:$T$278,HLOOKUP($M$11+1,Paraméterek!$J$256:$T$257,2)))),IF($D$4="Forint",0,2)))</f>
        <v>#N/A</v>
      </c>
      <c r="X67" s="13" t="e">
        <f ca="1">ROUNDDOWN($W67*IF($D$2="Egyszeri",VLOOKUP($B67+IF($C67=12,1,0),Paraméterek!$V$257:$W$262,2),VLOOKUP($B67+IF($C67=12,1,0),Paraméterek!$I$258:$T$278,HLOOKUP($M$11+1,Paraméterek!$I$256:$T$257,2))),IF($D$4="Forint",0,2))</f>
        <v>#N/A</v>
      </c>
      <c r="Z67" s="32">
        <v>48</v>
      </c>
      <c r="AA67" s="32">
        <v>4</v>
      </c>
      <c r="AB67" s="32">
        <v>12</v>
      </c>
      <c r="AC67" s="13">
        <f t="shared" ca="1" si="16"/>
        <v>0</v>
      </c>
      <c r="AD67" s="33"/>
      <c r="AE67" s="13">
        <f t="shared" ca="1" si="8"/>
        <v>0</v>
      </c>
      <c r="AF67" s="13">
        <f ca="1">ROUNDUP(($AC67+$AE67)*VLOOKUP($AA67,Paraméterek!$P$38:$Q$38,2)/12*IF($D68="Nem",IF($M$13=0,1,$M$13),1),IF($D$4="Forint",0,2))</f>
        <v>0</v>
      </c>
      <c r="AG67" s="13" t="e">
        <f ca="1">IF($D$2="Egyszeri",IF($D$7&gt;=IF($D$4="Forint",Paraméterek!$P$223,Paraméterek!$P$224),$D$7-IF($D$4="Forint",Paraméterek!$P$223,Paraméterek!$P$224),0),MIN(IF($AB67=12,AVERAGEIF($E$20:$E67,"&gt;0",$E$20:$E67)*12,0),SUM($E$20:$E$31)))</f>
        <v>#DIV/0!</v>
      </c>
      <c r="AH67" s="13">
        <f>IF($AA67=10,$AG67*IF($AB67=12,IF($AG67&lt;IF($D$4="Forint",Paraméterek!$L$223,Paraméterek!$L$224),0,VLOOKUP($AA67,Paraméterek!$K$226:$M$228,IF($AG67&lt;IF($D$4="Forint",Paraméterek!$M$223,Paraméterek!$M$224),2,3))),0),0)</f>
        <v>0</v>
      </c>
      <c r="AI67" s="13">
        <f ca="1">IF(AND($AA67=$M$11+1,$AB67=$M$12+1),SUMIF($AA$20:$AA$1027,$AA67,$AG$20:$AG$1027)*IF(SUMIF($AA$20:$AA$1027,$AA67,$AG$20:$AG$1027)&lt;IF($D$4="Forint",Paraméterek!$L$223,Paraméterek!$L$224),0,VLOOKUP($AA67,Paraméterek!$K$230:$M$250,IF(SUMIF($AA$20:$AA$1027,$AA67,$AG$20:$AG$1027)&lt;IF($D$4="Forint",Paraméterek!$M$223,Paraméterek!$M$224),2,3))),0)</f>
        <v>0</v>
      </c>
      <c r="AJ67" s="13" t="e">
        <f ca="1">IF(AND($AA67&gt;=5,MOD($AA67,5)=0),IF($AB67=12,VLOOKUP($AA67,Paraméterek!$O$225:$P$240,2),0),IF(OR($AA67=3,$AA67=4),IF($AB67=12,VLOOKUP($AA67,Paraméterek!$O$225:$P$240,2,0),0),0))*$AG67</f>
        <v>#DIV/0!</v>
      </c>
      <c r="AK67" s="13">
        <f t="shared" ca="1" si="9"/>
        <v>0</v>
      </c>
      <c r="AL67" s="13">
        <f t="shared" ca="1" si="17"/>
        <v>0</v>
      </c>
      <c r="AM67" s="13">
        <f t="shared" ca="1" si="18"/>
        <v>0</v>
      </c>
      <c r="AO67" s="32">
        <v>48</v>
      </c>
      <c r="AP67" s="32">
        <v>4</v>
      </c>
      <c r="AQ67" s="32">
        <v>12</v>
      </c>
      <c r="AR67" s="13"/>
      <c r="AS67" s="32"/>
      <c r="AT67" s="13">
        <f t="shared" ca="1" si="19"/>
        <v>0</v>
      </c>
      <c r="AU67" s="33"/>
      <c r="AV67" s="13">
        <f t="shared" ca="1" si="10"/>
        <v>0</v>
      </c>
      <c r="AW67" s="13">
        <f ca="1">ROUNDUP(($AT67+$AV67)*VLOOKUP($AP67,Paraméterek!$P$38:$Q$38,2)/12*IF($D68="Nem",IF($M$13=0,1,$M$13),1),IF($D$4="Forint",0,2))</f>
        <v>0</v>
      </c>
      <c r="AX67" s="13">
        <f>Tranzakciók!$M$35</f>
        <v>0</v>
      </c>
      <c r="AY67" s="13"/>
      <c r="AZ67" s="13">
        <f>ROUNDUP(IF(SUM($AX67:$AY67)=0,0,IF(IF(ISBLANK($AY67),$AX67,$AY67)*Paraméterek!$J$112&lt;IF($D$4="Forint",Paraméterek!$J$113,Paraméterek!$K$113),IF($D$4="Forint",Paraméterek!$J$113,Paraméterek!$K$113),IF(IF(ISBLANK($AY67),$AX67,$AY67)*Paraméterek!$J$112&gt;IF($D$4="Forint",Paraméterek!$J$114,Paraméterek!$K$114),IF($D$4="Forint",Paraméterek!$J$114,Paraméterek!$K$114),IF(ISBLANK($AY67),$AX67,$AY67)*Paraméterek!$J$112))),IF($D$4="Forint",0,2))</f>
        <v>0</v>
      </c>
      <c r="BA67" s="13">
        <f ca="1">$AT67+$AV67-$AW67-IF(ROUNDDOWN(IF(ISBLANK($AY67),$AX67,$AY67),IF($D$4="Forint",0,2))&gt;$AT67+$AV67-$AW67-IF($D$4="Forint",Paraméterek!$J$114,Paraméterek!$K$114),0,ROUNDDOWN(IF(ISBLANK($AY67),$AX67,$AY67),IF($D$4="Forint",0,2))-$AZ67)</f>
        <v>0</v>
      </c>
      <c r="BB67" s="13">
        <f t="shared" ca="1" si="11"/>
        <v>0</v>
      </c>
      <c r="BD67" s="32">
        <v>48</v>
      </c>
      <c r="BE67" s="32">
        <v>4</v>
      </c>
      <c r="BF67" s="32">
        <v>12</v>
      </c>
      <c r="BG67" s="34">
        <f t="shared" ca="1" si="20"/>
        <v>2023</v>
      </c>
      <c r="BH67" s="32" t="str">
        <f ca="1">IF(MOD(MONTH($D$14)+$BD67-1,12)=Paraméterek!$C$288,"Igen","")</f>
        <v/>
      </c>
      <c r="BI67" s="13">
        <f ca="1">IF($BH67="Igen",MIN(ROUNDDOWN((SUMIF($BG$20:$BG$1027,$BG67-1,$K$20:$K$1027)-SUMIF($BG$20:$BG$1027,$BG67-1,$I$20:$I$1027))*Paraméterek!$C$289,IF($D$4="Forint",0,2)),IF($D$4="Forint",Paraméterek!$C$285,Paraméterek!$D$285)),0)</f>
        <v>0</v>
      </c>
      <c r="BJ67" s="13">
        <f t="shared" ca="1" si="12"/>
        <v>0</v>
      </c>
      <c r="BK67" s="13">
        <f t="shared" ca="1" si="21"/>
        <v>0</v>
      </c>
      <c r="BL67" s="33"/>
      <c r="BM67" s="13">
        <f t="shared" ca="1" si="13"/>
        <v>0</v>
      </c>
      <c r="BN67" s="13">
        <f ca="1">ROUNDUP(($BK67+$BM67)*VLOOKUP($BE67,Paraméterek!$P$38:$Q$38,2)/12*IF($D68="Nem",IF($M$13=0,1,$M$13),1),IF($D$4="Forint",0,2))</f>
        <v>0</v>
      </c>
      <c r="BO67" s="13">
        <f t="shared" ca="1" si="14"/>
        <v>0</v>
      </c>
      <c r="BP67" s="13">
        <f ca="1">IF($D68="Nem",$BO67,$BO67-ROUNDUP(SUM($BI$20:$BI67)*120%,IF($D$4="Forint",0,2)))</f>
        <v>0</v>
      </c>
    </row>
    <row r="68" spans="1:68" x14ac:dyDescent="0.2">
      <c r="A68" s="32">
        <v>49</v>
      </c>
      <c r="B68" s="32">
        <v>5</v>
      </c>
      <c r="C68" s="32">
        <v>1</v>
      </c>
      <c r="D68" s="32" t="str">
        <f t="shared" ca="1" si="0"/>
        <v>Nem</v>
      </c>
      <c r="E68" s="13">
        <f t="shared" ca="1" si="1"/>
        <v>0</v>
      </c>
      <c r="F68" s="13"/>
      <c r="G68" s="13">
        <f>Tranzakciók!$D$36</f>
        <v>0</v>
      </c>
      <c r="H68" s="13"/>
      <c r="I68" s="13">
        <f t="shared" ca="1" si="2"/>
        <v>0</v>
      </c>
      <c r="J68" s="13">
        <f t="shared" ca="1" si="3"/>
        <v>0</v>
      </c>
      <c r="K68" s="13">
        <f t="shared" ca="1" si="4"/>
        <v>0</v>
      </c>
      <c r="L68" s="13" t="e">
        <f ca="1">ROUNDUP(IF($D$2="Egyszeri",$E68,IF($D$2="Havi",SUM($E$20:$E$31),IF(MOD($C68,$M$1)-1=0,SUM($E$20:$E$31),0))/12*$M$1)*VLOOKUP($B68,Paraméterek!$I$28:$P$31,IF($D$2="Egyszeri",8,HLOOKUP(ROUNDUP($M$11+$M$13,0),Paraméterek!$J$26:$O$27,2))),IF($D$4="Forint",0,2))</f>
        <v>#N/A</v>
      </c>
      <c r="M68" s="13">
        <f t="shared" ca="1" si="5"/>
        <v>0</v>
      </c>
      <c r="N68" s="13">
        <f t="shared" ca="1" si="15"/>
        <v>0</v>
      </c>
      <c r="O68" s="13">
        <f ca="1">IF($D68="Igen",IF($W67&gt;=IF($D$4="Forint",Paraméterek!$J$121,Paraméterek!$K$121),0,IF($D$4="Forint",Paraméterek!$J$121,Paraméterek!$K$121)-$W67),0)</f>
        <v>0</v>
      </c>
      <c r="P68" s="13" t="e">
        <f ca="1">ROUNDUP($O68*VLOOKUP($M$4+$B68-1,Paraméterek!$H$58:$I$105,2,0)/Paraméterek!$I$56,IF($D$4="Forint",0,2))</f>
        <v>#N/A</v>
      </c>
      <c r="Q68" s="13">
        <f t="shared" ca="1" si="6"/>
        <v>0</v>
      </c>
      <c r="R68" s="33"/>
      <c r="S68" s="13" t="e">
        <f t="shared" ca="1" si="7"/>
        <v>#N/A</v>
      </c>
      <c r="T68" s="13" t="e">
        <f ca="1">ROUNDUP(($N68-$P68-$Q68+$S68)*VLOOKUP($B68,Paraméterek!$I$38:$K$39,IF($D$2="Egyszeri",3,2))/12*IF($D69="Nem",IF($M$13=0,1,$M$13),1),IF($D$4="Forint",0,2))</f>
        <v>#N/A</v>
      </c>
      <c r="U68" s="13"/>
      <c r="V68" s="13"/>
      <c r="W68" s="13" t="e">
        <f ca="1">$N68-$P68-$Q68+$S68-$T68-IF(ROUNDUP(IF(ISBLANK($V68),$U68*0,$V68)/IF($D$2="Egyszeri",VLOOKUP($B68+IF($C68=12,1,0),Paraméterek!$V$257:$W$262,2),IF($B68=1,1,VLOOKUP($B68+IF($C68=12,1,0),Paraméterek!$I$258:$T$278,HLOOKUP($M$11+1,Paraméterek!$J$256:$T$257,2)))),IF($D$4="Forint",0,2))&gt;$N68-$P68-$Q68+$S68-$T68-IF($D$4="Forint",Paraméterek!$C$216,Paraméterek!$D$216),0,ROUNDUP(IF(ISBLANK($V68),$U68*0,$V68)/IF($D$2="Egyszeri",VLOOKUP($B68+IF($C68=12,1,0),Paraméterek!$V$257:$W$262,2),IF($B68=1,1,VLOOKUP($B68+IF($C68=12,1,0),Paraméterek!$I$258:$T$278,HLOOKUP($M$11+1,Paraméterek!$J$256:$T$257,2)))),IF($D$4="Forint",0,2)))</f>
        <v>#N/A</v>
      </c>
      <c r="X68" s="13" t="e">
        <f ca="1">ROUNDDOWN($W68*IF($D$2="Egyszeri",VLOOKUP($B68+IF($C68=12,1,0),Paraméterek!$V$257:$W$262,2),VLOOKUP($B68+IF($C68=12,1,0),Paraméterek!$I$258:$T$278,HLOOKUP($M$11+1,Paraméterek!$I$256:$T$257,2))),IF($D$4="Forint",0,2))</f>
        <v>#N/A</v>
      </c>
      <c r="Z68" s="32">
        <v>49</v>
      </c>
      <c r="AA68" s="32">
        <v>5</v>
      </c>
      <c r="AB68" s="32">
        <v>1</v>
      </c>
      <c r="AC68" s="13">
        <f t="shared" ca="1" si="16"/>
        <v>0</v>
      </c>
      <c r="AD68" s="33"/>
      <c r="AE68" s="13">
        <f t="shared" ca="1" si="8"/>
        <v>0</v>
      </c>
      <c r="AF68" s="13">
        <f ca="1">ROUNDUP(($AC68+$AE68)*VLOOKUP($AA68,Paraméterek!$P$38:$Q$38,2)/12*IF($D69="Nem",IF($M$13=0,1,$M$13),1),IF($D$4="Forint",0,2))</f>
        <v>0</v>
      </c>
      <c r="AG68" s="13">
        <f ca="1">IF($D$2="Egyszeri",IF($D$7&gt;=IF($D$4="Forint",Paraméterek!$P$223,Paraméterek!$P$224),$D$7-IF($D$4="Forint",Paraméterek!$P$223,Paraméterek!$P$224),0),MIN(IF($AB68=12,AVERAGEIF($E$20:$E68,"&gt;0",$E$20:$E68)*12,0),SUM($E$20:$E$31)))</f>
        <v>0</v>
      </c>
      <c r="AH68" s="13">
        <f>IF($AA68=10,$AG68*IF($AB68=12,IF($AG68&lt;IF($D$4="Forint",Paraméterek!$L$223,Paraméterek!$L$224),0,VLOOKUP($AA68,Paraméterek!$K$226:$M$228,IF($AG68&lt;IF($D$4="Forint",Paraméterek!$M$223,Paraméterek!$M$224),2,3))),0),0)</f>
        <v>0</v>
      </c>
      <c r="AI68" s="13">
        <f ca="1">IF(AND($AA68=$M$11+1,$AB68=$M$12+1),SUMIF($AA$20:$AA$1027,$AA68,$AG$20:$AG$1027)*IF(SUMIF($AA$20:$AA$1027,$AA68,$AG$20:$AG$1027)&lt;IF($D$4="Forint",Paraméterek!$L$223,Paraméterek!$L$224),0,VLOOKUP($AA68,Paraméterek!$K$230:$M$250,IF(SUMIF($AA$20:$AA$1027,$AA68,$AG$20:$AG$1027)&lt;IF($D$4="Forint",Paraméterek!$M$223,Paraméterek!$M$224),2,3))),0)</f>
        <v>0</v>
      </c>
      <c r="AJ68" s="13">
        <f ca="1">IF(AND($AA68&gt;=5,MOD($AA68,5)=0),IF($AB68=12,VLOOKUP($AA68,Paraméterek!$O$225:$P$240,2),0),IF(OR($AA68=3,$AA68=4),IF($AB68=12,VLOOKUP($AA68,Paraméterek!$O$225:$P$240,2,0),0),0))*$AG68</f>
        <v>0</v>
      </c>
      <c r="AK68" s="13">
        <f t="shared" ca="1" si="9"/>
        <v>0</v>
      </c>
      <c r="AL68" s="13">
        <f t="shared" ca="1" si="17"/>
        <v>0</v>
      </c>
      <c r="AM68" s="13">
        <f t="shared" ca="1" si="18"/>
        <v>0</v>
      </c>
      <c r="AO68" s="32">
        <v>49</v>
      </c>
      <c r="AP68" s="32">
        <v>5</v>
      </c>
      <c r="AQ68" s="32">
        <v>1</v>
      </c>
      <c r="AR68" s="13">
        <f>Tranzakciók!$K$36</f>
        <v>0</v>
      </c>
      <c r="AS68" s="32"/>
      <c r="AT68" s="13">
        <f t="shared" ca="1" si="19"/>
        <v>0</v>
      </c>
      <c r="AU68" s="33"/>
      <c r="AV68" s="13">
        <f t="shared" ca="1" si="10"/>
        <v>0</v>
      </c>
      <c r="AW68" s="13">
        <f ca="1">ROUNDUP(($AT68+$AV68)*VLOOKUP($AP68,Paraméterek!$P$38:$Q$38,2)/12*IF($D69="Nem",IF($M$13=0,1,$M$13),1),IF($D$4="Forint",0,2))</f>
        <v>0</v>
      </c>
      <c r="AX68" s="13"/>
      <c r="AY68" s="13"/>
      <c r="AZ68" s="13">
        <f>ROUNDUP(IF(SUM($AX68:$AY68)=0,0,IF(IF(ISBLANK($AY68),$AX68,$AY68)*Paraméterek!$J$112&lt;IF($D$4="Forint",Paraméterek!$J$113,Paraméterek!$K$113),IF($D$4="Forint",Paraméterek!$J$113,Paraméterek!$K$113),IF(IF(ISBLANK($AY68),$AX68,$AY68)*Paraméterek!$J$112&gt;IF($D$4="Forint",Paraméterek!$J$114,Paraméterek!$K$114),IF($D$4="Forint",Paraméterek!$J$114,Paraméterek!$K$114),IF(ISBLANK($AY68),$AX68,$AY68)*Paraméterek!$J$112))),IF($D$4="Forint",0,2))</f>
        <v>0</v>
      </c>
      <c r="BA68" s="13">
        <f ca="1">$AT68+$AV68-$AW68-IF(ROUNDDOWN(IF(ISBLANK($AY68),$AX68,$AY68),IF($D$4="Forint",0,2))&gt;$AT68+$AV68-$AW68-IF($D$4="Forint",Paraméterek!$J$114,Paraméterek!$K$114),0,ROUNDDOWN(IF(ISBLANK($AY68),$AX68,$AY68),IF($D$4="Forint",0,2))-$AZ68)</f>
        <v>0</v>
      </c>
      <c r="BB68" s="13">
        <f t="shared" ca="1" si="11"/>
        <v>0</v>
      </c>
      <c r="BD68" s="32">
        <v>49</v>
      </c>
      <c r="BE68" s="32">
        <v>5</v>
      </c>
      <c r="BF68" s="32">
        <v>1</v>
      </c>
      <c r="BG68" s="34">
        <f t="shared" ca="1" si="20"/>
        <v>2023</v>
      </c>
      <c r="BH68" s="32" t="str">
        <f ca="1">IF(MOD(MONTH($D$14)+$BD68-1,12)=Paraméterek!$C$288,"Igen","")</f>
        <v/>
      </c>
      <c r="BI68" s="13">
        <f ca="1">IF($BH68="Igen",MIN(ROUNDDOWN((SUMIF($BG$20:$BG$1027,$BG68-1,$K$20:$K$1027)-SUMIF($BG$20:$BG$1027,$BG68-1,$I$20:$I$1027))*Paraméterek!$C$289,IF($D$4="Forint",0,2)),IF($D$4="Forint",Paraméterek!$C$285,Paraméterek!$D$285)),0)</f>
        <v>0</v>
      </c>
      <c r="BJ68" s="13">
        <f t="shared" ca="1" si="12"/>
        <v>0</v>
      </c>
      <c r="BK68" s="13">
        <f t="shared" ca="1" si="21"/>
        <v>0</v>
      </c>
      <c r="BL68" s="33"/>
      <c r="BM68" s="13">
        <f t="shared" ca="1" si="13"/>
        <v>0</v>
      </c>
      <c r="BN68" s="13">
        <f ca="1">ROUNDUP(($BK68+$BM68)*VLOOKUP($BE68,Paraméterek!$P$38:$Q$38,2)/12*IF($D69="Nem",IF($M$13=0,1,$M$13),1),IF($D$4="Forint",0,2))</f>
        <v>0</v>
      </c>
      <c r="BO68" s="13">
        <f t="shared" ca="1" si="14"/>
        <v>0</v>
      </c>
      <c r="BP68" s="13">
        <f ca="1">IF($D69="Nem",$BO68,$BO68-ROUNDUP(SUM($BI$20:$BI68)*120%,IF($D$4="Forint",0,2)))</f>
        <v>0</v>
      </c>
    </row>
    <row r="69" spans="1:68" x14ac:dyDescent="0.2">
      <c r="A69" s="32">
        <v>50</v>
      </c>
      <c r="B69" s="32">
        <v>5</v>
      </c>
      <c r="C69" s="32">
        <v>2</v>
      </c>
      <c r="D69" s="32" t="str">
        <f t="shared" ca="1" si="0"/>
        <v>Nem</v>
      </c>
      <c r="E69" s="13">
        <f t="shared" ca="1" si="1"/>
        <v>0</v>
      </c>
      <c r="F69" s="13"/>
      <c r="G69" s="13"/>
      <c r="H69" s="13"/>
      <c r="I69" s="13">
        <f t="shared" ca="1" si="2"/>
        <v>0</v>
      </c>
      <c r="J69" s="13">
        <f t="shared" ca="1" si="3"/>
        <v>0</v>
      </c>
      <c r="K69" s="13">
        <f t="shared" ca="1" si="4"/>
        <v>0</v>
      </c>
      <c r="L69" s="13" t="e">
        <f ca="1">ROUNDUP(IF($D$2="Egyszeri",$E69,IF($D$2="Havi",SUM($E$20:$E$31),IF(MOD($C69,$M$1)-1=0,SUM($E$20:$E$31),0))/12*$M$1)*VLOOKUP($B69,Paraméterek!$I$28:$P$31,IF($D$2="Egyszeri",8,HLOOKUP(ROUNDUP($M$11+$M$13,0),Paraméterek!$J$26:$O$27,2))),IF($D$4="Forint",0,2))</f>
        <v>#N/A</v>
      </c>
      <c r="M69" s="13">
        <f t="shared" ca="1" si="5"/>
        <v>0</v>
      </c>
      <c r="N69" s="13">
        <f t="shared" ca="1" si="15"/>
        <v>0</v>
      </c>
      <c r="O69" s="13">
        <f ca="1">IF($D69="Igen",IF($W68&gt;=IF($D$4="Forint",Paraméterek!$J$121,Paraméterek!$K$121),0,IF($D$4="Forint",Paraméterek!$J$121,Paraméterek!$K$121)-$W68),0)</f>
        <v>0</v>
      </c>
      <c r="P69" s="13" t="e">
        <f ca="1">ROUNDUP($O69*VLOOKUP($M$4+$B69-1,Paraméterek!$H$58:$I$105,2,0)/Paraméterek!$I$56,IF($D$4="Forint",0,2))</f>
        <v>#N/A</v>
      </c>
      <c r="Q69" s="13">
        <f t="shared" ca="1" si="6"/>
        <v>0</v>
      </c>
      <c r="R69" s="33"/>
      <c r="S69" s="13" t="e">
        <f t="shared" ca="1" si="7"/>
        <v>#N/A</v>
      </c>
      <c r="T69" s="13" t="e">
        <f ca="1">ROUNDUP(($N69-$P69-$Q69+$S69)*VLOOKUP($B69,Paraméterek!$I$38:$K$39,IF($D$2="Egyszeri",3,2))/12*IF($D70="Nem",IF($M$13=0,1,$M$13),1),IF($D$4="Forint",0,2))</f>
        <v>#N/A</v>
      </c>
      <c r="U69" s="13"/>
      <c r="V69" s="13"/>
      <c r="W69" s="13" t="e">
        <f ca="1">$N69-$P69-$Q69+$S69-$T69-IF(ROUNDUP(IF(ISBLANK($V69),$U69*0,$V69)/IF($D$2="Egyszeri",VLOOKUP($B69+IF($C69=12,1,0),Paraméterek!$V$257:$W$262,2),IF($B69=1,1,VLOOKUP($B69+IF($C69=12,1,0),Paraméterek!$I$258:$T$278,HLOOKUP($M$11+1,Paraméterek!$J$256:$T$257,2)))),IF($D$4="Forint",0,2))&gt;$N69-$P69-$Q69+$S69-$T69-IF($D$4="Forint",Paraméterek!$C$216,Paraméterek!$D$216),0,ROUNDUP(IF(ISBLANK($V69),$U69*0,$V69)/IF($D$2="Egyszeri",VLOOKUP($B69+IF($C69=12,1,0),Paraméterek!$V$257:$W$262,2),IF($B69=1,1,VLOOKUP($B69+IF($C69=12,1,0),Paraméterek!$I$258:$T$278,HLOOKUP($M$11+1,Paraméterek!$J$256:$T$257,2)))),IF($D$4="Forint",0,2)))</f>
        <v>#N/A</v>
      </c>
      <c r="X69" s="13" t="e">
        <f ca="1">ROUNDDOWN($W69*IF($D$2="Egyszeri",VLOOKUP($B69+IF($C69=12,1,0),Paraméterek!$V$257:$W$262,2),VLOOKUP($B69+IF($C69=12,1,0),Paraméterek!$I$258:$T$278,HLOOKUP($M$11+1,Paraméterek!$I$256:$T$257,2))),IF($D$4="Forint",0,2))</f>
        <v>#N/A</v>
      </c>
      <c r="Z69" s="32">
        <v>50</v>
      </c>
      <c r="AA69" s="32">
        <v>5</v>
      </c>
      <c r="AB69" s="32">
        <v>2</v>
      </c>
      <c r="AC69" s="13">
        <f t="shared" ca="1" si="16"/>
        <v>0</v>
      </c>
      <c r="AD69" s="33"/>
      <c r="AE69" s="13">
        <f t="shared" ca="1" si="8"/>
        <v>0</v>
      </c>
      <c r="AF69" s="13">
        <f ca="1">ROUNDUP(($AC69+$AE69)*VLOOKUP($AA69,Paraméterek!$P$38:$Q$38,2)/12*IF($D70="Nem",IF($M$13=0,1,$M$13),1),IF($D$4="Forint",0,2))</f>
        <v>0</v>
      </c>
      <c r="AG69" s="13">
        <f ca="1">IF($D$2="Egyszeri",IF($D$7&gt;=IF($D$4="Forint",Paraméterek!$P$223,Paraméterek!$P$224),$D$7-IF($D$4="Forint",Paraméterek!$P$223,Paraméterek!$P$224),0),MIN(IF($AB69=12,AVERAGEIF($E$20:$E69,"&gt;0",$E$20:$E69)*12,0),SUM($E$20:$E$31)))</f>
        <v>0</v>
      </c>
      <c r="AH69" s="13">
        <f>IF($AA69=10,$AG69*IF($AB69=12,IF($AG69&lt;IF($D$4="Forint",Paraméterek!$L$223,Paraméterek!$L$224),0,VLOOKUP($AA69,Paraméterek!$K$226:$M$228,IF($AG69&lt;IF($D$4="Forint",Paraméterek!$M$223,Paraméterek!$M$224),2,3))),0),0)</f>
        <v>0</v>
      </c>
      <c r="AI69" s="13">
        <f ca="1">IF(AND($AA69=$M$11+1,$AB69=$M$12+1),SUMIF($AA$20:$AA$1027,$AA69,$AG$20:$AG$1027)*IF(SUMIF($AA$20:$AA$1027,$AA69,$AG$20:$AG$1027)&lt;IF($D$4="Forint",Paraméterek!$L$223,Paraméterek!$L$224),0,VLOOKUP($AA69,Paraméterek!$K$230:$M$250,IF(SUMIF($AA$20:$AA$1027,$AA69,$AG$20:$AG$1027)&lt;IF($D$4="Forint",Paraméterek!$M$223,Paraméterek!$M$224),2,3))),0)</f>
        <v>0</v>
      </c>
      <c r="AJ69" s="13">
        <f ca="1">IF(AND($AA69&gt;=5,MOD($AA69,5)=0),IF($AB69=12,VLOOKUP($AA69,Paraméterek!$O$225:$P$240,2),0),IF(OR($AA69=3,$AA69=4),IF($AB69=12,VLOOKUP($AA69,Paraméterek!$O$225:$P$240,2,0),0),0))*$AG69</f>
        <v>0</v>
      </c>
      <c r="AK69" s="13">
        <f t="shared" ca="1" si="9"/>
        <v>0</v>
      </c>
      <c r="AL69" s="13">
        <f t="shared" ca="1" si="17"/>
        <v>0</v>
      </c>
      <c r="AM69" s="13">
        <f t="shared" ca="1" si="18"/>
        <v>0</v>
      </c>
      <c r="AO69" s="32">
        <v>50</v>
      </c>
      <c r="AP69" s="32">
        <v>5</v>
      </c>
      <c r="AQ69" s="32">
        <v>2</v>
      </c>
      <c r="AR69" s="13"/>
      <c r="AS69" s="32"/>
      <c r="AT69" s="13">
        <f t="shared" ca="1" si="19"/>
        <v>0</v>
      </c>
      <c r="AU69" s="33"/>
      <c r="AV69" s="13">
        <f t="shared" ca="1" si="10"/>
        <v>0</v>
      </c>
      <c r="AW69" s="13">
        <f ca="1">ROUNDUP(($AT69+$AV69)*VLOOKUP($AP69,Paraméterek!$P$38:$Q$38,2)/12*IF($D70="Nem",IF($M$13=0,1,$M$13),1),IF($D$4="Forint",0,2))</f>
        <v>0</v>
      </c>
      <c r="AX69" s="13"/>
      <c r="AY69" s="13"/>
      <c r="AZ69" s="13">
        <f>ROUNDUP(IF(SUM($AX69:$AY69)=0,0,IF(IF(ISBLANK($AY69),$AX69,$AY69)*Paraméterek!$J$112&lt;IF($D$4="Forint",Paraméterek!$J$113,Paraméterek!$K$113),IF($D$4="Forint",Paraméterek!$J$113,Paraméterek!$K$113),IF(IF(ISBLANK($AY69),$AX69,$AY69)*Paraméterek!$J$112&gt;IF($D$4="Forint",Paraméterek!$J$114,Paraméterek!$K$114),IF($D$4="Forint",Paraméterek!$J$114,Paraméterek!$K$114),IF(ISBLANK($AY69),$AX69,$AY69)*Paraméterek!$J$112))),IF($D$4="Forint",0,2))</f>
        <v>0</v>
      </c>
      <c r="BA69" s="13">
        <f ca="1">$AT69+$AV69-$AW69-IF(ROUNDDOWN(IF(ISBLANK($AY69),$AX69,$AY69),IF($D$4="Forint",0,2))&gt;$AT69+$AV69-$AW69-IF($D$4="Forint",Paraméterek!$J$114,Paraméterek!$K$114),0,ROUNDDOWN(IF(ISBLANK($AY69),$AX69,$AY69),IF($D$4="Forint",0,2))-$AZ69)</f>
        <v>0</v>
      </c>
      <c r="BB69" s="13">
        <f t="shared" ca="1" si="11"/>
        <v>0</v>
      </c>
      <c r="BD69" s="32">
        <v>50</v>
      </c>
      <c r="BE69" s="32">
        <v>5</v>
      </c>
      <c r="BF69" s="32">
        <v>2</v>
      </c>
      <c r="BG69" s="34">
        <f t="shared" ca="1" si="20"/>
        <v>2023</v>
      </c>
      <c r="BH69" s="32" t="str">
        <f ca="1">IF(MOD(MONTH($D$14)+$BD69-1,12)=Paraméterek!$C$288,"Igen","")</f>
        <v>Igen</v>
      </c>
      <c r="BI69" s="13">
        <f ca="1">IF($BH69="Igen",MIN(ROUNDDOWN((SUMIF($BG$20:$BG$1027,$BG69-1,$K$20:$K$1027)-SUMIF($BG$20:$BG$1027,$BG69-1,$I$20:$I$1027))*Paraméterek!$C$289,IF($D$4="Forint",0,2)),IF($D$4="Forint",Paraméterek!$C$285,Paraméterek!$D$285)),0)</f>
        <v>0</v>
      </c>
      <c r="BJ69" s="13">
        <f t="shared" ca="1" si="12"/>
        <v>0</v>
      </c>
      <c r="BK69" s="13">
        <f t="shared" ca="1" si="21"/>
        <v>0</v>
      </c>
      <c r="BL69" s="33"/>
      <c r="BM69" s="13">
        <f t="shared" ca="1" si="13"/>
        <v>0</v>
      </c>
      <c r="BN69" s="13">
        <f ca="1">ROUNDUP(($BK69+$BM69)*VLOOKUP($BE69,Paraméterek!$P$38:$Q$38,2)/12*IF($D70="Nem",IF($M$13=0,1,$M$13),1),IF($D$4="Forint",0,2))</f>
        <v>0</v>
      </c>
      <c r="BO69" s="13">
        <f t="shared" ca="1" si="14"/>
        <v>0</v>
      </c>
      <c r="BP69" s="13">
        <f ca="1">IF($D70="Nem",$BO69,$BO69-ROUNDUP(SUM($BI$20:$BI69)*120%,IF($D$4="Forint",0,2)))</f>
        <v>0</v>
      </c>
    </row>
    <row r="70" spans="1:68" x14ac:dyDescent="0.2">
      <c r="A70" s="32">
        <v>51</v>
      </c>
      <c r="B70" s="32">
        <v>5</v>
      </c>
      <c r="C70" s="32">
        <v>3</v>
      </c>
      <c r="D70" s="32" t="str">
        <f t="shared" ca="1" si="0"/>
        <v>Nem</v>
      </c>
      <c r="E70" s="13">
        <f t="shared" ca="1" si="1"/>
        <v>0</v>
      </c>
      <c r="F70" s="13"/>
      <c r="G70" s="13"/>
      <c r="H70" s="13"/>
      <c r="I70" s="13">
        <f t="shared" ca="1" si="2"/>
        <v>0</v>
      </c>
      <c r="J70" s="13">
        <f t="shared" ca="1" si="3"/>
        <v>0</v>
      </c>
      <c r="K70" s="13">
        <f t="shared" ca="1" si="4"/>
        <v>0</v>
      </c>
      <c r="L70" s="13" t="e">
        <f ca="1">ROUNDUP(IF($D$2="Egyszeri",$E70,IF($D$2="Havi",SUM($E$20:$E$31),IF(MOD($C70,$M$1)-1=0,SUM($E$20:$E$31),0))/12*$M$1)*VLOOKUP($B70,Paraméterek!$I$28:$P$31,IF($D$2="Egyszeri",8,HLOOKUP(ROUNDUP($M$11+$M$13,0),Paraméterek!$J$26:$O$27,2))),IF($D$4="Forint",0,2))</f>
        <v>#N/A</v>
      </c>
      <c r="M70" s="13">
        <f t="shared" ca="1" si="5"/>
        <v>0</v>
      </c>
      <c r="N70" s="13">
        <f t="shared" ca="1" si="15"/>
        <v>0</v>
      </c>
      <c r="O70" s="13">
        <f ca="1">IF($D70="Igen",IF($W69&gt;=IF($D$4="Forint",Paraméterek!$J$121,Paraméterek!$K$121),0,IF($D$4="Forint",Paraméterek!$J$121,Paraméterek!$K$121)-$W69),0)</f>
        <v>0</v>
      </c>
      <c r="P70" s="13" t="e">
        <f ca="1">ROUNDUP($O70*VLOOKUP($M$4+$B70-1,Paraméterek!$H$58:$I$105,2,0)/Paraméterek!$I$56,IF($D$4="Forint",0,2))</f>
        <v>#N/A</v>
      </c>
      <c r="Q70" s="13">
        <f t="shared" ca="1" si="6"/>
        <v>0</v>
      </c>
      <c r="R70" s="33"/>
      <c r="S70" s="13" t="e">
        <f t="shared" ca="1" si="7"/>
        <v>#N/A</v>
      </c>
      <c r="T70" s="13" t="e">
        <f ca="1">ROUNDUP(($N70-$P70-$Q70+$S70)*VLOOKUP($B70,Paraméterek!$I$38:$K$39,IF($D$2="Egyszeri",3,2))/12*IF($D71="Nem",IF($M$13=0,1,$M$13),1),IF($D$4="Forint",0,2))</f>
        <v>#N/A</v>
      </c>
      <c r="U70" s="13"/>
      <c r="V70" s="13"/>
      <c r="W70" s="13" t="e">
        <f ca="1">$N70-$P70-$Q70+$S70-$T70-IF(ROUNDUP(IF(ISBLANK($V70),$U70*0,$V70)/IF($D$2="Egyszeri",VLOOKUP($B70+IF($C70=12,1,0),Paraméterek!$V$257:$W$262,2),IF($B70=1,1,VLOOKUP($B70+IF($C70=12,1,0),Paraméterek!$I$258:$T$278,HLOOKUP($M$11+1,Paraméterek!$J$256:$T$257,2)))),IF($D$4="Forint",0,2))&gt;$N70-$P70-$Q70+$S70-$T70-IF($D$4="Forint",Paraméterek!$C$216,Paraméterek!$D$216),0,ROUNDUP(IF(ISBLANK($V70),$U70*0,$V70)/IF($D$2="Egyszeri",VLOOKUP($B70+IF($C70=12,1,0),Paraméterek!$V$257:$W$262,2),IF($B70=1,1,VLOOKUP($B70+IF($C70=12,1,0),Paraméterek!$I$258:$T$278,HLOOKUP($M$11+1,Paraméterek!$J$256:$T$257,2)))),IF($D$4="Forint",0,2)))</f>
        <v>#N/A</v>
      </c>
      <c r="X70" s="13" t="e">
        <f ca="1">ROUNDDOWN($W70*IF($D$2="Egyszeri",VLOOKUP($B70+IF($C70=12,1,0),Paraméterek!$V$257:$W$262,2),VLOOKUP($B70+IF($C70=12,1,0),Paraméterek!$I$258:$T$278,HLOOKUP($M$11+1,Paraméterek!$I$256:$T$257,2))),IF($D$4="Forint",0,2))</f>
        <v>#N/A</v>
      </c>
      <c r="Z70" s="32">
        <v>51</v>
      </c>
      <c r="AA70" s="32">
        <v>5</v>
      </c>
      <c r="AB70" s="32">
        <v>3</v>
      </c>
      <c r="AC70" s="13">
        <f t="shared" ca="1" si="16"/>
        <v>0</v>
      </c>
      <c r="AD70" s="33"/>
      <c r="AE70" s="13">
        <f t="shared" ca="1" si="8"/>
        <v>0</v>
      </c>
      <c r="AF70" s="13">
        <f ca="1">ROUNDUP(($AC70+$AE70)*VLOOKUP($AA70,Paraméterek!$P$38:$Q$38,2)/12*IF($D71="Nem",IF($M$13=0,1,$M$13),1),IF($D$4="Forint",0,2))</f>
        <v>0</v>
      </c>
      <c r="AG70" s="13">
        <f ca="1">IF($D$2="Egyszeri",IF($D$7&gt;=IF($D$4="Forint",Paraméterek!$P$223,Paraméterek!$P$224),$D$7-IF($D$4="Forint",Paraméterek!$P$223,Paraméterek!$P$224),0),MIN(IF($AB70=12,AVERAGEIF($E$20:$E70,"&gt;0",$E$20:$E70)*12,0),SUM($E$20:$E$31)))</f>
        <v>0</v>
      </c>
      <c r="AH70" s="13">
        <f>IF($AA70=10,$AG70*IF($AB70=12,IF($AG70&lt;IF($D$4="Forint",Paraméterek!$L$223,Paraméterek!$L$224),0,VLOOKUP($AA70,Paraméterek!$K$226:$M$228,IF($AG70&lt;IF($D$4="Forint",Paraméterek!$M$223,Paraméterek!$M$224),2,3))),0),0)</f>
        <v>0</v>
      </c>
      <c r="AI70" s="13">
        <f ca="1">IF(AND($AA70=$M$11+1,$AB70=$M$12+1),SUMIF($AA$20:$AA$1027,$AA70,$AG$20:$AG$1027)*IF(SUMIF($AA$20:$AA$1027,$AA70,$AG$20:$AG$1027)&lt;IF($D$4="Forint",Paraméterek!$L$223,Paraméterek!$L$224),0,VLOOKUP($AA70,Paraméterek!$K$230:$M$250,IF(SUMIF($AA$20:$AA$1027,$AA70,$AG$20:$AG$1027)&lt;IF($D$4="Forint",Paraméterek!$M$223,Paraméterek!$M$224),2,3))),0)</f>
        <v>0</v>
      </c>
      <c r="AJ70" s="13">
        <f ca="1">IF(AND($AA70&gt;=5,MOD($AA70,5)=0),IF($AB70=12,VLOOKUP($AA70,Paraméterek!$O$225:$P$240,2),0),IF(OR($AA70=3,$AA70=4),IF($AB70=12,VLOOKUP($AA70,Paraméterek!$O$225:$P$240,2,0),0),0))*$AG70</f>
        <v>0</v>
      </c>
      <c r="AK70" s="13">
        <f t="shared" ca="1" si="9"/>
        <v>0</v>
      </c>
      <c r="AL70" s="13">
        <f t="shared" ca="1" si="17"/>
        <v>0</v>
      </c>
      <c r="AM70" s="13">
        <f t="shared" ca="1" si="18"/>
        <v>0</v>
      </c>
      <c r="AO70" s="32">
        <v>51</v>
      </c>
      <c r="AP70" s="32">
        <v>5</v>
      </c>
      <c r="AQ70" s="32">
        <v>3</v>
      </c>
      <c r="AR70" s="13"/>
      <c r="AS70" s="32"/>
      <c r="AT70" s="13">
        <f t="shared" ca="1" si="19"/>
        <v>0</v>
      </c>
      <c r="AU70" s="33"/>
      <c r="AV70" s="13">
        <f t="shared" ca="1" si="10"/>
        <v>0</v>
      </c>
      <c r="AW70" s="13">
        <f ca="1">ROUNDUP(($AT70+$AV70)*VLOOKUP($AP70,Paraméterek!$P$38:$Q$38,2)/12*IF($D71="Nem",IF($M$13=0,1,$M$13),1),IF($D$4="Forint",0,2))</f>
        <v>0</v>
      </c>
      <c r="AX70" s="13"/>
      <c r="AY70" s="13"/>
      <c r="AZ70" s="13">
        <f>ROUNDUP(IF(SUM($AX70:$AY70)=0,0,IF(IF(ISBLANK($AY70),$AX70,$AY70)*Paraméterek!$J$112&lt;IF($D$4="Forint",Paraméterek!$J$113,Paraméterek!$K$113),IF($D$4="Forint",Paraméterek!$J$113,Paraméterek!$K$113),IF(IF(ISBLANK($AY70),$AX70,$AY70)*Paraméterek!$J$112&gt;IF($D$4="Forint",Paraméterek!$J$114,Paraméterek!$K$114),IF($D$4="Forint",Paraméterek!$J$114,Paraméterek!$K$114),IF(ISBLANK($AY70),$AX70,$AY70)*Paraméterek!$J$112))),IF($D$4="Forint",0,2))</f>
        <v>0</v>
      </c>
      <c r="BA70" s="13">
        <f ca="1">$AT70+$AV70-$AW70-IF(ROUNDDOWN(IF(ISBLANK($AY70),$AX70,$AY70),IF($D$4="Forint",0,2))&gt;$AT70+$AV70-$AW70-IF($D$4="Forint",Paraméterek!$J$114,Paraméterek!$K$114),0,ROUNDDOWN(IF(ISBLANK($AY70),$AX70,$AY70),IF($D$4="Forint",0,2))-$AZ70)</f>
        <v>0</v>
      </c>
      <c r="BB70" s="13">
        <f t="shared" ca="1" si="11"/>
        <v>0</v>
      </c>
      <c r="BD70" s="32">
        <v>51</v>
      </c>
      <c r="BE70" s="32">
        <v>5</v>
      </c>
      <c r="BF70" s="32">
        <v>3</v>
      </c>
      <c r="BG70" s="34">
        <f t="shared" ca="1" si="20"/>
        <v>2023</v>
      </c>
      <c r="BH70" s="32" t="str">
        <f ca="1">IF(MOD(MONTH($D$14)+$BD70-1,12)=Paraméterek!$C$288,"Igen","")</f>
        <v/>
      </c>
      <c r="BI70" s="13">
        <f ca="1">IF($BH70="Igen",MIN(ROUNDDOWN((SUMIF($BG$20:$BG$1027,$BG70-1,$K$20:$K$1027)-SUMIF($BG$20:$BG$1027,$BG70-1,$I$20:$I$1027))*Paraméterek!$C$289,IF($D$4="Forint",0,2)),IF($D$4="Forint",Paraméterek!$C$285,Paraméterek!$D$285)),0)</f>
        <v>0</v>
      </c>
      <c r="BJ70" s="13">
        <f t="shared" ca="1" si="12"/>
        <v>0</v>
      </c>
      <c r="BK70" s="13">
        <f t="shared" ca="1" si="21"/>
        <v>0</v>
      </c>
      <c r="BL70" s="33"/>
      <c r="BM70" s="13">
        <f t="shared" ca="1" si="13"/>
        <v>0</v>
      </c>
      <c r="BN70" s="13">
        <f ca="1">ROUNDUP(($BK70+$BM70)*VLOOKUP($BE70,Paraméterek!$P$38:$Q$38,2)/12*IF($D71="Nem",IF($M$13=0,1,$M$13),1),IF($D$4="Forint",0,2))</f>
        <v>0</v>
      </c>
      <c r="BO70" s="13">
        <f t="shared" ca="1" si="14"/>
        <v>0</v>
      </c>
      <c r="BP70" s="13">
        <f ca="1">IF($D71="Nem",$BO70,$BO70-ROUNDUP(SUM($BI$20:$BI70)*120%,IF($D$4="Forint",0,2)))</f>
        <v>0</v>
      </c>
    </row>
    <row r="71" spans="1:68" x14ac:dyDescent="0.2">
      <c r="A71" s="32">
        <v>52</v>
      </c>
      <c r="B71" s="32">
        <v>5</v>
      </c>
      <c r="C71" s="32">
        <v>4</v>
      </c>
      <c r="D71" s="32" t="str">
        <f t="shared" ca="1" si="0"/>
        <v>Nem</v>
      </c>
      <c r="E71" s="13">
        <f t="shared" ca="1" si="1"/>
        <v>0</v>
      </c>
      <c r="F71" s="13"/>
      <c r="G71" s="13"/>
      <c r="H71" s="13"/>
      <c r="I71" s="13">
        <f t="shared" ca="1" si="2"/>
        <v>0</v>
      </c>
      <c r="J71" s="13">
        <f t="shared" ca="1" si="3"/>
        <v>0</v>
      </c>
      <c r="K71" s="13">
        <f t="shared" ca="1" si="4"/>
        <v>0</v>
      </c>
      <c r="L71" s="13" t="e">
        <f ca="1">ROUNDUP(IF($D$2="Egyszeri",$E71,IF($D$2="Havi",SUM($E$20:$E$31),IF(MOD($C71,$M$1)-1=0,SUM($E$20:$E$31),0))/12*$M$1)*VLOOKUP($B71,Paraméterek!$I$28:$P$31,IF($D$2="Egyszeri",8,HLOOKUP(ROUNDUP($M$11+$M$13,0),Paraméterek!$J$26:$O$27,2))),IF($D$4="Forint",0,2))</f>
        <v>#N/A</v>
      </c>
      <c r="M71" s="13">
        <f t="shared" ca="1" si="5"/>
        <v>0</v>
      </c>
      <c r="N71" s="13">
        <f t="shared" ca="1" si="15"/>
        <v>0</v>
      </c>
      <c r="O71" s="13">
        <f ca="1">IF($D71="Igen",IF($W70&gt;=IF($D$4="Forint",Paraméterek!$J$121,Paraméterek!$K$121),0,IF($D$4="Forint",Paraméterek!$J$121,Paraméterek!$K$121)-$W70),0)</f>
        <v>0</v>
      </c>
      <c r="P71" s="13" t="e">
        <f ca="1">ROUNDUP($O71*VLOOKUP($M$4+$B71-1,Paraméterek!$H$58:$I$105,2,0)/Paraméterek!$I$56,IF($D$4="Forint",0,2))</f>
        <v>#N/A</v>
      </c>
      <c r="Q71" s="13">
        <f t="shared" ca="1" si="6"/>
        <v>0</v>
      </c>
      <c r="R71" s="33"/>
      <c r="S71" s="13" t="e">
        <f t="shared" ca="1" si="7"/>
        <v>#N/A</v>
      </c>
      <c r="T71" s="13" t="e">
        <f ca="1">ROUNDUP(($N71-$P71-$Q71+$S71)*VLOOKUP($B71,Paraméterek!$I$38:$K$39,IF($D$2="Egyszeri",3,2))/12*IF($D72="Nem",IF($M$13=0,1,$M$13),1),IF($D$4="Forint",0,2))</f>
        <v>#N/A</v>
      </c>
      <c r="U71" s="13"/>
      <c r="V71" s="13"/>
      <c r="W71" s="13" t="e">
        <f ca="1">$N71-$P71-$Q71+$S71-$T71-IF(ROUNDUP(IF(ISBLANK($V71),$U71*0,$V71)/IF($D$2="Egyszeri",VLOOKUP($B71+IF($C71=12,1,0),Paraméterek!$V$257:$W$262,2),IF($B71=1,1,VLOOKUP($B71+IF($C71=12,1,0),Paraméterek!$I$258:$T$278,HLOOKUP($M$11+1,Paraméterek!$J$256:$T$257,2)))),IF($D$4="Forint",0,2))&gt;$N71-$P71-$Q71+$S71-$T71-IF($D$4="Forint",Paraméterek!$C$216,Paraméterek!$D$216),0,ROUNDUP(IF(ISBLANK($V71),$U71*0,$V71)/IF($D$2="Egyszeri",VLOOKUP($B71+IF($C71=12,1,0),Paraméterek!$V$257:$W$262,2),IF($B71=1,1,VLOOKUP($B71+IF($C71=12,1,0),Paraméterek!$I$258:$T$278,HLOOKUP($M$11+1,Paraméterek!$J$256:$T$257,2)))),IF($D$4="Forint",0,2)))</f>
        <v>#N/A</v>
      </c>
      <c r="X71" s="13" t="e">
        <f ca="1">ROUNDDOWN($W71*IF($D$2="Egyszeri",VLOOKUP($B71+IF($C71=12,1,0),Paraméterek!$V$257:$W$262,2),VLOOKUP($B71+IF($C71=12,1,0),Paraméterek!$I$258:$T$278,HLOOKUP($M$11+1,Paraméterek!$I$256:$T$257,2))),IF($D$4="Forint",0,2))</f>
        <v>#N/A</v>
      </c>
      <c r="Z71" s="32">
        <v>52</v>
      </c>
      <c r="AA71" s="32">
        <v>5</v>
      </c>
      <c r="AB71" s="32">
        <v>4</v>
      </c>
      <c r="AC71" s="13">
        <f t="shared" ca="1" si="16"/>
        <v>0</v>
      </c>
      <c r="AD71" s="33"/>
      <c r="AE71" s="13">
        <f t="shared" ca="1" si="8"/>
        <v>0</v>
      </c>
      <c r="AF71" s="13">
        <f ca="1">ROUNDUP(($AC71+$AE71)*VLOOKUP($AA71,Paraméterek!$P$38:$Q$38,2)/12*IF($D72="Nem",IF($M$13=0,1,$M$13),1),IF($D$4="Forint",0,2))</f>
        <v>0</v>
      </c>
      <c r="AG71" s="13">
        <f ca="1">IF($D$2="Egyszeri",IF($D$7&gt;=IF($D$4="Forint",Paraméterek!$P$223,Paraméterek!$P$224),$D$7-IF($D$4="Forint",Paraméterek!$P$223,Paraméterek!$P$224),0),MIN(IF($AB71=12,AVERAGEIF($E$20:$E71,"&gt;0",$E$20:$E71)*12,0),SUM($E$20:$E$31)))</f>
        <v>0</v>
      </c>
      <c r="AH71" s="13">
        <f>IF($AA71=10,$AG71*IF($AB71=12,IF($AG71&lt;IF($D$4="Forint",Paraméterek!$L$223,Paraméterek!$L$224),0,VLOOKUP($AA71,Paraméterek!$K$226:$M$228,IF($AG71&lt;IF($D$4="Forint",Paraméterek!$M$223,Paraméterek!$M$224),2,3))),0),0)</f>
        <v>0</v>
      </c>
      <c r="AI71" s="13">
        <f ca="1">IF(AND($AA71=$M$11+1,$AB71=$M$12+1),SUMIF($AA$20:$AA$1027,$AA71,$AG$20:$AG$1027)*IF(SUMIF($AA$20:$AA$1027,$AA71,$AG$20:$AG$1027)&lt;IF($D$4="Forint",Paraméterek!$L$223,Paraméterek!$L$224),0,VLOOKUP($AA71,Paraméterek!$K$230:$M$250,IF(SUMIF($AA$20:$AA$1027,$AA71,$AG$20:$AG$1027)&lt;IF($D$4="Forint",Paraméterek!$M$223,Paraméterek!$M$224),2,3))),0)</f>
        <v>0</v>
      </c>
      <c r="AJ71" s="13">
        <f ca="1">IF(AND($AA71&gt;=5,MOD($AA71,5)=0),IF($AB71=12,VLOOKUP($AA71,Paraméterek!$O$225:$P$240,2),0),IF(OR($AA71=3,$AA71=4),IF($AB71=12,VLOOKUP($AA71,Paraméterek!$O$225:$P$240,2,0),0),0))*$AG71</f>
        <v>0</v>
      </c>
      <c r="AK71" s="13">
        <f t="shared" ca="1" si="9"/>
        <v>0</v>
      </c>
      <c r="AL71" s="13">
        <f t="shared" ca="1" si="17"/>
        <v>0</v>
      </c>
      <c r="AM71" s="13">
        <f t="shared" ca="1" si="18"/>
        <v>0</v>
      </c>
      <c r="AO71" s="32">
        <v>52</v>
      </c>
      <c r="AP71" s="32">
        <v>5</v>
      </c>
      <c r="AQ71" s="32">
        <v>4</v>
      </c>
      <c r="AR71" s="13"/>
      <c r="AS71" s="32"/>
      <c r="AT71" s="13">
        <f t="shared" ca="1" si="19"/>
        <v>0</v>
      </c>
      <c r="AU71" s="33"/>
      <c r="AV71" s="13">
        <f t="shared" ca="1" si="10"/>
        <v>0</v>
      </c>
      <c r="AW71" s="13">
        <f ca="1">ROUNDUP(($AT71+$AV71)*VLOOKUP($AP71,Paraméterek!$P$38:$Q$38,2)/12*IF($D72="Nem",IF($M$13=0,1,$M$13),1),IF($D$4="Forint",0,2))</f>
        <v>0</v>
      </c>
      <c r="AX71" s="13"/>
      <c r="AY71" s="13"/>
      <c r="AZ71" s="13">
        <f>ROUNDUP(IF(SUM($AX71:$AY71)=0,0,IF(IF(ISBLANK($AY71),$AX71,$AY71)*Paraméterek!$J$112&lt;IF($D$4="Forint",Paraméterek!$J$113,Paraméterek!$K$113),IF($D$4="Forint",Paraméterek!$J$113,Paraméterek!$K$113),IF(IF(ISBLANK($AY71),$AX71,$AY71)*Paraméterek!$J$112&gt;IF($D$4="Forint",Paraméterek!$J$114,Paraméterek!$K$114),IF($D$4="Forint",Paraméterek!$J$114,Paraméterek!$K$114),IF(ISBLANK($AY71),$AX71,$AY71)*Paraméterek!$J$112))),IF($D$4="Forint",0,2))</f>
        <v>0</v>
      </c>
      <c r="BA71" s="13">
        <f ca="1">$AT71+$AV71-$AW71-IF(ROUNDDOWN(IF(ISBLANK($AY71),$AX71,$AY71),IF($D$4="Forint",0,2))&gt;$AT71+$AV71-$AW71-IF($D$4="Forint",Paraméterek!$J$114,Paraméterek!$K$114),0,ROUNDDOWN(IF(ISBLANK($AY71),$AX71,$AY71),IF($D$4="Forint",0,2))-$AZ71)</f>
        <v>0</v>
      </c>
      <c r="BB71" s="13">
        <f t="shared" ca="1" si="11"/>
        <v>0</v>
      </c>
      <c r="BD71" s="32">
        <v>52</v>
      </c>
      <c r="BE71" s="32">
        <v>5</v>
      </c>
      <c r="BF71" s="32">
        <v>4</v>
      </c>
      <c r="BG71" s="34">
        <f t="shared" ca="1" si="20"/>
        <v>2023</v>
      </c>
      <c r="BH71" s="32" t="str">
        <f ca="1">IF(MOD(MONTH($D$14)+$BD71-1,12)=Paraméterek!$C$288,"Igen","")</f>
        <v/>
      </c>
      <c r="BI71" s="13">
        <f ca="1">IF($BH71="Igen",MIN(ROUNDDOWN((SUMIF($BG$20:$BG$1027,$BG71-1,$K$20:$K$1027)-SUMIF($BG$20:$BG$1027,$BG71-1,$I$20:$I$1027))*Paraméterek!$C$289,IF($D$4="Forint",0,2)),IF($D$4="Forint",Paraméterek!$C$285,Paraméterek!$D$285)),0)</f>
        <v>0</v>
      </c>
      <c r="BJ71" s="13">
        <f t="shared" ca="1" si="12"/>
        <v>0</v>
      </c>
      <c r="BK71" s="13">
        <f t="shared" ca="1" si="21"/>
        <v>0</v>
      </c>
      <c r="BL71" s="33"/>
      <c r="BM71" s="13">
        <f t="shared" ca="1" si="13"/>
        <v>0</v>
      </c>
      <c r="BN71" s="13">
        <f ca="1">ROUNDUP(($BK71+$BM71)*VLOOKUP($BE71,Paraméterek!$P$38:$Q$38,2)/12*IF($D72="Nem",IF($M$13=0,1,$M$13),1),IF($D$4="Forint",0,2))</f>
        <v>0</v>
      </c>
      <c r="BO71" s="13">
        <f t="shared" ca="1" si="14"/>
        <v>0</v>
      </c>
      <c r="BP71" s="13">
        <f ca="1">IF($D72="Nem",$BO71,$BO71-ROUNDUP(SUM($BI$20:$BI71)*120%,IF($D$4="Forint",0,2)))</f>
        <v>0</v>
      </c>
    </row>
    <row r="72" spans="1:68" x14ac:dyDescent="0.2">
      <c r="A72" s="32">
        <v>53</v>
      </c>
      <c r="B72" s="32">
        <v>5</v>
      </c>
      <c r="C72" s="32">
        <v>5</v>
      </c>
      <c r="D72" s="32" t="str">
        <f t="shared" ca="1" si="0"/>
        <v>Nem</v>
      </c>
      <c r="E72" s="13">
        <f t="shared" ca="1" si="1"/>
        <v>0</v>
      </c>
      <c r="F72" s="13"/>
      <c r="G72" s="13"/>
      <c r="H72" s="13"/>
      <c r="I72" s="13">
        <f t="shared" ca="1" si="2"/>
        <v>0</v>
      </c>
      <c r="J72" s="13">
        <f t="shared" ca="1" si="3"/>
        <v>0</v>
      </c>
      <c r="K72" s="13">
        <f t="shared" ca="1" si="4"/>
        <v>0</v>
      </c>
      <c r="L72" s="13" t="e">
        <f ca="1">ROUNDUP(IF($D$2="Egyszeri",$E72,IF($D$2="Havi",SUM($E$20:$E$31),IF(MOD($C72,$M$1)-1=0,SUM($E$20:$E$31),0))/12*$M$1)*VLOOKUP($B72,Paraméterek!$I$28:$P$31,IF($D$2="Egyszeri",8,HLOOKUP(ROUNDUP($M$11+$M$13,0),Paraméterek!$J$26:$O$27,2))),IF($D$4="Forint",0,2))</f>
        <v>#N/A</v>
      </c>
      <c r="M72" s="13">
        <f t="shared" ca="1" si="5"/>
        <v>0</v>
      </c>
      <c r="N72" s="13">
        <f t="shared" ca="1" si="15"/>
        <v>0</v>
      </c>
      <c r="O72" s="13">
        <f ca="1">IF($D72="Igen",IF($W71&gt;=IF($D$4="Forint",Paraméterek!$J$121,Paraméterek!$K$121),0,IF($D$4="Forint",Paraméterek!$J$121,Paraméterek!$K$121)-$W71),0)</f>
        <v>0</v>
      </c>
      <c r="P72" s="13" t="e">
        <f ca="1">ROUNDUP($O72*VLOOKUP($M$4+$B72-1,Paraméterek!$H$58:$I$105,2,0)/Paraméterek!$I$56,IF($D$4="Forint",0,2))</f>
        <v>#N/A</v>
      </c>
      <c r="Q72" s="13">
        <f t="shared" ca="1" si="6"/>
        <v>0</v>
      </c>
      <c r="R72" s="33"/>
      <c r="S72" s="13" t="e">
        <f t="shared" ca="1" si="7"/>
        <v>#N/A</v>
      </c>
      <c r="T72" s="13" t="e">
        <f ca="1">ROUNDUP(($N72-$P72-$Q72+$S72)*VLOOKUP($B72,Paraméterek!$I$38:$K$39,IF($D$2="Egyszeri",3,2))/12*IF($D73="Nem",IF($M$13=0,1,$M$13),1),IF($D$4="Forint",0,2))</f>
        <v>#N/A</v>
      </c>
      <c r="U72" s="13"/>
      <c r="V72" s="13"/>
      <c r="W72" s="13" t="e">
        <f ca="1">$N72-$P72-$Q72+$S72-$T72-IF(ROUNDUP(IF(ISBLANK($V72),$U72*0,$V72)/IF($D$2="Egyszeri",VLOOKUP($B72+IF($C72=12,1,0),Paraméterek!$V$257:$W$262,2),IF($B72=1,1,VLOOKUP($B72+IF($C72=12,1,0),Paraméterek!$I$258:$T$278,HLOOKUP($M$11+1,Paraméterek!$J$256:$T$257,2)))),IF($D$4="Forint",0,2))&gt;$N72-$P72-$Q72+$S72-$T72-IF($D$4="Forint",Paraméterek!$C$216,Paraméterek!$D$216),0,ROUNDUP(IF(ISBLANK($V72),$U72*0,$V72)/IF($D$2="Egyszeri",VLOOKUP($B72+IF($C72=12,1,0),Paraméterek!$V$257:$W$262,2),IF($B72=1,1,VLOOKUP($B72+IF($C72=12,1,0),Paraméterek!$I$258:$T$278,HLOOKUP($M$11+1,Paraméterek!$J$256:$T$257,2)))),IF($D$4="Forint",0,2)))</f>
        <v>#N/A</v>
      </c>
      <c r="X72" s="13" t="e">
        <f ca="1">ROUNDDOWN($W72*IF($D$2="Egyszeri",VLOOKUP($B72+IF($C72=12,1,0),Paraméterek!$V$257:$W$262,2),VLOOKUP($B72+IF($C72=12,1,0),Paraméterek!$I$258:$T$278,HLOOKUP($M$11+1,Paraméterek!$I$256:$T$257,2))),IF($D$4="Forint",0,2))</f>
        <v>#N/A</v>
      </c>
      <c r="Z72" s="32">
        <v>53</v>
      </c>
      <c r="AA72" s="32">
        <v>5</v>
      </c>
      <c r="AB72" s="32">
        <v>5</v>
      </c>
      <c r="AC72" s="13">
        <f t="shared" ca="1" si="16"/>
        <v>0</v>
      </c>
      <c r="AD72" s="33"/>
      <c r="AE72" s="13">
        <f t="shared" ca="1" si="8"/>
        <v>0</v>
      </c>
      <c r="AF72" s="13">
        <f ca="1">ROUNDUP(($AC72+$AE72)*VLOOKUP($AA72,Paraméterek!$P$38:$Q$38,2)/12*IF($D73="Nem",IF($M$13=0,1,$M$13),1),IF($D$4="Forint",0,2))</f>
        <v>0</v>
      </c>
      <c r="AG72" s="13">
        <f ca="1">IF($D$2="Egyszeri",IF($D$7&gt;=IF($D$4="Forint",Paraméterek!$P$223,Paraméterek!$P$224),$D$7-IF($D$4="Forint",Paraméterek!$P$223,Paraméterek!$P$224),0),MIN(IF($AB72=12,AVERAGEIF($E$20:$E72,"&gt;0",$E$20:$E72)*12,0),SUM($E$20:$E$31)))</f>
        <v>0</v>
      </c>
      <c r="AH72" s="13">
        <f>IF($AA72=10,$AG72*IF($AB72=12,IF($AG72&lt;IF($D$4="Forint",Paraméterek!$L$223,Paraméterek!$L$224),0,VLOOKUP($AA72,Paraméterek!$K$226:$M$228,IF($AG72&lt;IF($D$4="Forint",Paraméterek!$M$223,Paraméterek!$M$224),2,3))),0),0)</f>
        <v>0</v>
      </c>
      <c r="AI72" s="13">
        <f ca="1">IF(AND($AA72=$M$11+1,$AB72=$M$12+1),SUMIF($AA$20:$AA$1027,$AA72,$AG$20:$AG$1027)*IF(SUMIF($AA$20:$AA$1027,$AA72,$AG$20:$AG$1027)&lt;IF($D$4="Forint",Paraméterek!$L$223,Paraméterek!$L$224),0,VLOOKUP($AA72,Paraméterek!$K$230:$M$250,IF(SUMIF($AA$20:$AA$1027,$AA72,$AG$20:$AG$1027)&lt;IF($D$4="Forint",Paraméterek!$M$223,Paraméterek!$M$224),2,3))),0)</f>
        <v>0</v>
      </c>
      <c r="AJ72" s="13">
        <f ca="1">IF(AND($AA72&gt;=5,MOD($AA72,5)=0),IF($AB72=12,VLOOKUP($AA72,Paraméterek!$O$225:$P$240,2),0),IF(OR($AA72=3,$AA72=4),IF($AB72=12,VLOOKUP($AA72,Paraméterek!$O$225:$P$240,2,0),0),0))*$AG72</f>
        <v>0</v>
      </c>
      <c r="AK72" s="13">
        <f t="shared" ca="1" si="9"/>
        <v>0</v>
      </c>
      <c r="AL72" s="13">
        <f t="shared" ca="1" si="17"/>
        <v>0</v>
      </c>
      <c r="AM72" s="13">
        <f t="shared" ca="1" si="18"/>
        <v>0</v>
      </c>
      <c r="AO72" s="32">
        <v>53</v>
      </c>
      <c r="AP72" s="32">
        <v>5</v>
      </c>
      <c r="AQ72" s="32">
        <v>5</v>
      </c>
      <c r="AR72" s="13"/>
      <c r="AS72" s="32"/>
      <c r="AT72" s="13">
        <f t="shared" ca="1" si="19"/>
        <v>0</v>
      </c>
      <c r="AU72" s="33"/>
      <c r="AV72" s="13">
        <f t="shared" ca="1" si="10"/>
        <v>0</v>
      </c>
      <c r="AW72" s="13">
        <f ca="1">ROUNDUP(($AT72+$AV72)*VLOOKUP($AP72,Paraméterek!$P$38:$Q$38,2)/12*IF($D73="Nem",IF($M$13=0,1,$M$13),1),IF($D$4="Forint",0,2))</f>
        <v>0</v>
      </c>
      <c r="AX72" s="13"/>
      <c r="AY72" s="13"/>
      <c r="AZ72" s="13">
        <f>ROUNDUP(IF(SUM($AX72:$AY72)=0,0,IF(IF(ISBLANK($AY72),$AX72,$AY72)*Paraméterek!$J$112&lt;IF($D$4="Forint",Paraméterek!$J$113,Paraméterek!$K$113),IF($D$4="Forint",Paraméterek!$J$113,Paraméterek!$K$113),IF(IF(ISBLANK($AY72),$AX72,$AY72)*Paraméterek!$J$112&gt;IF($D$4="Forint",Paraméterek!$J$114,Paraméterek!$K$114),IF($D$4="Forint",Paraméterek!$J$114,Paraméterek!$K$114),IF(ISBLANK($AY72),$AX72,$AY72)*Paraméterek!$J$112))),IF($D$4="Forint",0,2))</f>
        <v>0</v>
      </c>
      <c r="BA72" s="13">
        <f ca="1">$AT72+$AV72-$AW72-IF(ROUNDDOWN(IF(ISBLANK($AY72),$AX72,$AY72),IF($D$4="Forint",0,2))&gt;$AT72+$AV72-$AW72-IF($D$4="Forint",Paraméterek!$J$114,Paraméterek!$K$114),0,ROUNDDOWN(IF(ISBLANK($AY72),$AX72,$AY72),IF($D$4="Forint",0,2))-$AZ72)</f>
        <v>0</v>
      </c>
      <c r="BB72" s="13">
        <f t="shared" ca="1" si="11"/>
        <v>0</v>
      </c>
      <c r="BD72" s="32">
        <v>53</v>
      </c>
      <c r="BE72" s="32">
        <v>5</v>
      </c>
      <c r="BF72" s="32">
        <v>5</v>
      </c>
      <c r="BG72" s="34">
        <f t="shared" ca="1" si="20"/>
        <v>2023</v>
      </c>
      <c r="BH72" s="32" t="str">
        <f ca="1">IF(MOD(MONTH($D$14)+$BD72-1,12)=Paraméterek!$C$288,"Igen","")</f>
        <v/>
      </c>
      <c r="BI72" s="13">
        <f ca="1">IF($BH72="Igen",MIN(ROUNDDOWN((SUMIF($BG$20:$BG$1027,$BG72-1,$K$20:$K$1027)-SUMIF($BG$20:$BG$1027,$BG72-1,$I$20:$I$1027))*Paraméterek!$C$289,IF($D$4="Forint",0,2)),IF($D$4="Forint",Paraméterek!$C$285,Paraméterek!$D$285)),0)</f>
        <v>0</v>
      </c>
      <c r="BJ72" s="13">
        <f t="shared" ca="1" si="12"/>
        <v>0</v>
      </c>
      <c r="BK72" s="13">
        <f t="shared" ca="1" si="21"/>
        <v>0</v>
      </c>
      <c r="BL72" s="33"/>
      <c r="BM72" s="13">
        <f t="shared" ca="1" si="13"/>
        <v>0</v>
      </c>
      <c r="BN72" s="13">
        <f ca="1">ROUNDUP(($BK72+$BM72)*VLOOKUP($BE72,Paraméterek!$P$38:$Q$38,2)/12*IF($D73="Nem",IF($M$13=0,1,$M$13),1),IF($D$4="Forint",0,2))</f>
        <v>0</v>
      </c>
      <c r="BO72" s="13">
        <f t="shared" ca="1" si="14"/>
        <v>0</v>
      </c>
      <c r="BP72" s="13">
        <f ca="1">IF($D73="Nem",$BO72,$BO72-ROUNDUP(SUM($BI$20:$BI72)*120%,IF($D$4="Forint",0,2)))</f>
        <v>0</v>
      </c>
    </row>
    <row r="73" spans="1:68" x14ac:dyDescent="0.2">
      <c r="A73" s="32">
        <v>54</v>
      </c>
      <c r="B73" s="32">
        <v>5</v>
      </c>
      <c r="C73" s="32">
        <v>6</v>
      </c>
      <c r="D73" s="32" t="str">
        <f t="shared" ca="1" si="0"/>
        <v>Nem</v>
      </c>
      <c r="E73" s="13">
        <f t="shared" ca="1" si="1"/>
        <v>0</v>
      </c>
      <c r="F73" s="13"/>
      <c r="G73" s="13"/>
      <c r="H73" s="13"/>
      <c r="I73" s="13">
        <f t="shared" ca="1" si="2"/>
        <v>0</v>
      </c>
      <c r="J73" s="13">
        <f t="shared" ca="1" si="3"/>
        <v>0</v>
      </c>
      <c r="K73" s="13">
        <f t="shared" ca="1" si="4"/>
        <v>0</v>
      </c>
      <c r="L73" s="13" t="e">
        <f ca="1">ROUNDUP(IF($D$2="Egyszeri",$E73,IF($D$2="Havi",SUM($E$20:$E$31),IF(MOD($C73,$M$1)-1=0,SUM($E$20:$E$31),0))/12*$M$1)*VLOOKUP($B73,Paraméterek!$I$28:$P$31,IF($D$2="Egyszeri",8,HLOOKUP(ROUNDUP($M$11+$M$13,0),Paraméterek!$J$26:$O$27,2))),IF($D$4="Forint",0,2))</f>
        <v>#N/A</v>
      </c>
      <c r="M73" s="13">
        <f t="shared" ca="1" si="5"/>
        <v>0</v>
      </c>
      <c r="N73" s="13">
        <f t="shared" ca="1" si="15"/>
        <v>0</v>
      </c>
      <c r="O73" s="13">
        <f ca="1">IF($D73="Igen",IF($W72&gt;=IF($D$4="Forint",Paraméterek!$J$121,Paraméterek!$K$121),0,IF($D$4="Forint",Paraméterek!$J$121,Paraméterek!$K$121)-$W72),0)</f>
        <v>0</v>
      </c>
      <c r="P73" s="13" t="e">
        <f ca="1">ROUNDUP($O73*VLOOKUP($M$4+$B73-1,Paraméterek!$H$58:$I$105,2,0)/Paraméterek!$I$56,IF($D$4="Forint",0,2))</f>
        <v>#N/A</v>
      </c>
      <c r="Q73" s="13">
        <f t="shared" ca="1" si="6"/>
        <v>0</v>
      </c>
      <c r="R73" s="33"/>
      <c r="S73" s="13" t="e">
        <f t="shared" ca="1" si="7"/>
        <v>#N/A</v>
      </c>
      <c r="T73" s="13" t="e">
        <f ca="1">ROUNDUP(($N73-$P73-$Q73+$S73)*VLOOKUP($B73,Paraméterek!$I$38:$K$39,IF($D$2="Egyszeri",3,2))/12*IF($D74="Nem",IF($M$13=0,1,$M$13),1),IF($D$4="Forint",0,2))</f>
        <v>#N/A</v>
      </c>
      <c r="U73" s="13"/>
      <c r="V73" s="13"/>
      <c r="W73" s="13" t="e">
        <f ca="1">$N73-$P73-$Q73+$S73-$T73-IF(ROUNDUP(IF(ISBLANK($V73),$U73*0,$V73)/IF($D$2="Egyszeri",VLOOKUP($B73+IF($C73=12,1,0),Paraméterek!$V$257:$W$262,2),IF($B73=1,1,VLOOKUP($B73+IF($C73=12,1,0),Paraméterek!$I$258:$T$278,HLOOKUP($M$11+1,Paraméterek!$J$256:$T$257,2)))),IF($D$4="Forint",0,2))&gt;$N73-$P73-$Q73+$S73-$T73-IF($D$4="Forint",Paraméterek!$C$216,Paraméterek!$D$216),0,ROUNDUP(IF(ISBLANK($V73),$U73*0,$V73)/IF($D$2="Egyszeri",VLOOKUP($B73+IF($C73=12,1,0),Paraméterek!$V$257:$W$262,2),IF($B73=1,1,VLOOKUP($B73+IF($C73=12,1,0),Paraméterek!$I$258:$T$278,HLOOKUP($M$11+1,Paraméterek!$J$256:$T$257,2)))),IF($D$4="Forint",0,2)))</f>
        <v>#N/A</v>
      </c>
      <c r="X73" s="13" t="e">
        <f ca="1">ROUNDDOWN($W73*IF($D$2="Egyszeri",VLOOKUP($B73+IF($C73=12,1,0),Paraméterek!$V$257:$W$262,2),VLOOKUP($B73+IF($C73=12,1,0),Paraméterek!$I$258:$T$278,HLOOKUP($M$11+1,Paraméterek!$I$256:$T$257,2))),IF($D$4="Forint",0,2))</f>
        <v>#N/A</v>
      </c>
      <c r="Z73" s="32">
        <v>54</v>
      </c>
      <c r="AA73" s="32">
        <v>5</v>
      </c>
      <c r="AB73" s="32">
        <v>6</v>
      </c>
      <c r="AC73" s="13">
        <f t="shared" ca="1" si="16"/>
        <v>0</v>
      </c>
      <c r="AD73" s="33"/>
      <c r="AE73" s="13">
        <f t="shared" ca="1" si="8"/>
        <v>0</v>
      </c>
      <c r="AF73" s="13">
        <f ca="1">ROUNDUP(($AC73+$AE73)*VLOOKUP($AA73,Paraméterek!$P$38:$Q$38,2)/12*IF($D74="Nem",IF($M$13=0,1,$M$13),1),IF($D$4="Forint",0,2))</f>
        <v>0</v>
      </c>
      <c r="AG73" s="13">
        <f ca="1">IF($D$2="Egyszeri",IF($D$7&gt;=IF($D$4="Forint",Paraméterek!$P$223,Paraméterek!$P$224),$D$7-IF($D$4="Forint",Paraméterek!$P$223,Paraméterek!$P$224),0),MIN(IF($AB73=12,AVERAGEIF($E$20:$E73,"&gt;0",$E$20:$E73)*12,0),SUM($E$20:$E$31)))</f>
        <v>0</v>
      </c>
      <c r="AH73" s="13">
        <f>IF($AA73=10,$AG73*IF($AB73=12,IF($AG73&lt;IF($D$4="Forint",Paraméterek!$L$223,Paraméterek!$L$224),0,VLOOKUP($AA73,Paraméterek!$K$226:$M$228,IF($AG73&lt;IF($D$4="Forint",Paraméterek!$M$223,Paraméterek!$M$224),2,3))),0),0)</f>
        <v>0</v>
      </c>
      <c r="AI73" s="13">
        <f ca="1">IF(AND($AA73=$M$11+1,$AB73=$M$12+1),SUMIF($AA$20:$AA$1027,$AA73,$AG$20:$AG$1027)*IF(SUMIF($AA$20:$AA$1027,$AA73,$AG$20:$AG$1027)&lt;IF($D$4="Forint",Paraméterek!$L$223,Paraméterek!$L$224),0,VLOOKUP($AA73,Paraméterek!$K$230:$M$250,IF(SUMIF($AA$20:$AA$1027,$AA73,$AG$20:$AG$1027)&lt;IF($D$4="Forint",Paraméterek!$M$223,Paraméterek!$M$224),2,3))),0)</f>
        <v>0</v>
      </c>
      <c r="AJ73" s="13">
        <f ca="1">IF(AND($AA73&gt;=5,MOD($AA73,5)=0),IF($AB73=12,VLOOKUP($AA73,Paraméterek!$O$225:$P$240,2),0),IF(OR($AA73=3,$AA73=4),IF($AB73=12,VLOOKUP($AA73,Paraméterek!$O$225:$P$240,2,0),0),0))*$AG73</f>
        <v>0</v>
      </c>
      <c r="AK73" s="13">
        <f t="shared" ca="1" si="9"/>
        <v>0</v>
      </c>
      <c r="AL73" s="13">
        <f t="shared" ca="1" si="17"/>
        <v>0</v>
      </c>
      <c r="AM73" s="13">
        <f t="shared" ca="1" si="18"/>
        <v>0</v>
      </c>
      <c r="AO73" s="32">
        <v>54</v>
      </c>
      <c r="AP73" s="32">
        <v>5</v>
      </c>
      <c r="AQ73" s="32">
        <v>6</v>
      </c>
      <c r="AR73" s="13"/>
      <c r="AS73" s="32"/>
      <c r="AT73" s="13">
        <f t="shared" ca="1" si="19"/>
        <v>0</v>
      </c>
      <c r="AU73" s="33"/>
      <c r="AV73" s="13">
        <f t="shared" ca="1" si="10"/>
        <v>0</v>
      </c>
      <c r="AW73" s="13">
        <f ca="1">ROUNDUP(($AT73+$AV73)*VLOOKUP($AP73,Paraméterek!$P$38:$Q$38,2)/12*IF($D74="Nem",IF($M$13=0,1,$M$13),1),IF($D$4="Forint",0,2))</f>
        <v>0</v>
      </c>
      <c r="AX73" s="13"/>
      <c r="AY73" s="13"/>
      <c r="AZ73" s="13">
        <f>ROUNDUP(IF(SUM($AX73:$AY73)=0,0,IF(IF(ISBLANK($AY73),$AX73,$AY73)*Paraméterek!$J$112&lt;IF($D$4="Forint",Paraméterek!$J$113,Paraméterek!$K$113),IF($D$4="Forint",Paraméterek!$J$113,Paraméterek!$K$113),IF(IF(ISBLANK($AY73),$AX73,$AY73)*Paraméterek!$J$112&gt;IF($D$4="Forint",Paraméterek!$J$114,Paraméterek!$K$114),IF($D$4="Forint",Paraméterek!$J$114,Paraméterek!$K$114),IF(ISBLANK($AY73),$AX73,$AY73)*Paraméterek!$J$112))),IF($D$4="Forint",0,2))</f>
        <v>0</v>
      </c>
      <c r="BA73" s="13">
        <f ca="1">$AT73+$AV73-$AW73-IF(ROUNDDOWN(IF(ISBLANK($AY73),$AX73,$AY73),IF($D$4="Forint",0,2))&gt;$AT73+$AV73-$AW73-IF($D$4="Forint",Paraméterek!$J$114,Paraméterek!$K$114),0,ROUNDDOWN(IF(ISBLANK($AY73),$AX73,$AY73),IF($D$4="Forint",0,2))-$AZ73)</f>
        <v>0</v>
      </c>
      <c r="BB73" s="13">
        <f t="shared" ca="1" si="11"/>
        <v>0</v>
      </c>
      <c r="BD73" s="32">
        <v>54</v>
      </c>
      <c r="BE73" s="32">
        <v>5</v>
      </c>
      <c r="BF73" s="32">
        <v>6</v>
      </c>
      <c r="BG73" s="34">
        <f t="shared" ca="1" si="20"/>
        <v>2023</v>
      </c>
      <c r="BH73" s="32" t="str">
        <f ca="1">IF(MOD(MONTH($D$14)+$BD73-1,12)=Paraméterek!$C$288,"Igen","")</f>
        <v/>
      </c>
      <c r="BI73" s="13">
        <f ca="1">IF($BH73="Igen",MIN(ROUNDDOWN((SUMIF($BG$20:$BG$1027,$BG73-1,$K$20:$K$1027)-SUMIF($BG$20:$BG$1027,$BG73-1,$I$20:$I$1027))*Paraméterek!$C$289,IF($D$4="Forint",0,2)),IF($D$4="Forint",Paraméterek!$C$285,Paraméterek!$D$285)),0)</f>
        <v>0</v>
      </c>
      <c r="BJ73" s="13">
        <f t="shared" ca="1" si="12"/>
        <v>0</v>
      </c>
      <c r="BK73" s="13">
        <f t="shared" ca="1" si="21"/>
        <v>0</v>
      </c>
      <c r="BL73" s="33"/>
      <c r="BM73" s="13">
        <f t="shared" ca="1" si="13"/>
        <v>0</v>
      </c>
      <c r="BN73" s="13">
        <f ca="1">ROUNDUP(($BK73+$BM73)*VLOOKUP($BE73,Paraméterek!$P$38:$Q$38,2)/12*IF($D74="Nem",IF($M$13=0,1,$M$13),1),IF($D$4="Forint",0,2))</f>
        <v>0</v>
      </c>
      <c r="BO73" s="13">
        <f t="shared" ca="1" si="14"/>
        <v>0</v>
      </c>
      <c r="BP73" s="13">
        <f ca="1">IF($D74="Nem",$BO73,$BO73-ROUNDUP(SUM($BI$20:$BI73)*120%,IF($D$4="Forint",0,2)))</f>
        <v>0</v>
      </c>
    </row>
    <row r="74" spans="1:68" x14ac:dyDescent="0.2">
      <c r="A74" s="32">
        <v>55</v>
      </c>
      <c r="B74" s="32">
        <v>5</v>
      </c>
      <c r="C74" s="32">
        <v>7</v>
      </c>
      <c r="D74" s="32" t="str">
        <f t="shared" ca="1" si="0"/>
        <v>Nem</v>
      </c>
      <c r="E74" s="13">
        <f t="shared" ca="1" si="1"/>
        <v>0</v>
      </c>
      <c r="F74" s="13"/>
      <c r="G74" s="13"/>
      <c r="H74" s="13"/>
      <c r="I74" s="13">
        <f t="shared" ca="1" si="2"/>
        <v>0</v>
      </c>
      <c r="J74" s="13">
        <f t="shared" ca="1" si="3"/>
        <v>0</v>
      </c>
      <c r="K74" s="13">
        <f t="shared" ca="1" si="4"/>
        <v>0</v>
      </c>
      <c r="L74" s="13" t="e">
        <f ca="1">ROUNDUP(IF($D$2="Egyszeri",$E74,IF($D$2="Havi",SUM($E$20:$E$31),IF(MOD($C74,$M$1)-1=0,SUM($E$20:$E$31),0))/12*$M$1)*VLOOKUP($B74,Paraméterek!$I$28:$P$31,IF($D$2="Egyszeri",8,HLOOKUP(ROUNDUP($M$11+$M$13,0),Paraméterek!$J$26:$O$27,2))),IF($D$4="Forint",0,2))</f>
        <v>#N/A</v>
      </c>
      <c r="M74" s="13">
        <f t="shared" ca="1" si="5"/>
        <v>0</v>
      </c>
      <c r="N74" s="13">
        <f t="shared" ca="1" si="15"/>
        <v>0</v>
      </c>
      <c r="O74" s="13">
        <f ca="1">IF($D74="Igen",IF($W73&gt;=IF($D$4="Forint",Paraméterek!$J$121,Paraméterek!$K$121),0,IF($D$4="Forint",Paraméterek!$J$121,Paraméterek!$K$121)-$W73),0)</f>
        <v>0</v>
      </c>
      <c r="P74" s="13" t="e">
        <f ca="1">ROUNDUP($O74*VLOOKUP($M$4+$B74-1,Paraméterek!$H$58:$I$105,2,0)/Paraméterek!$I$56,IF($D$4="Forint",0,2))</f>
        <v>#N/A</v>
      </c>
      <c r="Q74" s="13">
        <f t="shared" ca="1" si="6"/>
        <v>0</v>
      </c>
      <c r="R74" s="33"/>
      <c r="S74" s="13" t="e">
        <f t="shared" ca="1" si="7"/>
        <v>#N/A</v>
      </c>
      <c r="T74" s="13" t="e">
        <f ca="1">ROUNDUP(($N74-$P74-$Q74+$S74)*VLOOKUP($B74,Paraméterek!$I$38:$K$39,IF($D$2="Egyszeri",3,2))/12*IF($D75="Nem",IF($M$13=0,1,$M$13),1),IF($D$4="Forint",0,2))</f>
        <v>#N/A</v>
      </c>
      <c r="U74" s="13"/>
      <c r="V74" s="13"/>
      <c r="W74" s="13" t="e">
        <f ca="1">$N74-$P74-$Q74+$S74-$T74-IF(ROUNDUP(IF(ISBLANK($V74),$U74*0,$V74)/IF($D$2="Egyszeri",VLOOKUP($B74+IF($C74=12,1,0),Paraméterek!$V$257:$W$262,2),IF($B74=1,1,VLOOKUP($B74+IF($C74=12,1,0),Paraméterek!$I$258:$T$278,HLOOKUP($M$11+1,Paraméterek!$J$256:$T$257,2)))),IF($D$4="Forint",0,2))&gt;$N74-$P74-$Q74+$S74-$T74-IF($D$4="Forint",Paraméterek!$C$216,Paraméterek!$D$216),0,ROUNDUP(IF(ISBLANK($V74),$U74*0,$V74)/IF($D$2="Egyszeri",VLOOKUP($B74+IF($C74=12,1,0),Paraméterek!$V$257:$W$262,2),IF($B74=1,1,VLOOKUP($B74+IF($C74=12,1,0),Paraméterek!$I$258:$T$278,HLOOKUP($M$11+1,Paraméterek!$J$256:$T$257,2)))),IF($D$4="Forint",0,2)))</f>
        <v>#N/A</v>
      </c>
      <c r="X74" s="13" t="e">
        <f ca="1">ROUNDDOWN($W74*IF($D$2="Egyszeri",VLOOKUP($B74+IF($C74=12,1,0),Paraméterek!$V$257:$W$262,2),VLOOKUP($B74+IF($C74=12,1,0),Paraméterek!$I$258:$T$278,HLOOKUP($M$11+1,Paraméterek!$I$256:$T$257,2))),IF($D$4="Forint",0,2))</f>
        <v>#N/A</v>
      </c>
      <c r="Z74" s="32">
        <v>55</v>
      </c>
      <c r="AA74" s="32">
        <v>5</v>
      </c>
      <c r="AB74" s="32">
        <v>7</v>
      </c>
      <c r="AC74" s="13">
        <f t="shared" ca="1" si="16"/>
        <v>0</v>
      </c>
      <c r="AD74" s="33"/>
      <c r="AE74" s="13">
        <f t="shared" ca="1" si="8"/>
        <v>0</v>
      </c>
      <c r="AF74" s="13">
        <f ca="1">ROUNDUP(($AC74+$AE74)*VLOOKUP($AA74,Paraméterek!$P$38:$Q$38,2)/12*IF($D75="Nem",IF($M$13=0,1,$M$13),1),IF($D$4="Forint",0,2))</f>
        <v>0</v>
      </c>
      <c r="AG74" s="13">
        <f ca="1">IF($D$2="Egyszeri",IF($D$7&gt;=IF($D$4="Forint",Paraméterek!$P$223,Paraméterek!$P$224),$D$7-IF($D$4="Forint",Paraméterek!$P$223,Paraméterek!$P$224),0),MIN(IF($AB74=12,AVERAGEIF($E$20:$E74,"&gt;0",$E$20:$E74)*12,0),SUM($E$20:$E$31)))</f>
        <v>0</v>
      </c>
      <c r="AH74" s="13">
        <f>IF($AA74=10,$AG74*IF($AB74=12,IF($AG74&lt;IF($D$4="Forint",Paraméterek!$L$223,Paraméterek!$L$224),0,VLOOKUP($AA74,Paraméterek!$K$226:$M$228,IF($AG74&lt;IF($D$4="Forint",Paraméterek!$M$223,Paraméterek!$M$224),2,3))),0),0)</f>
        <v>0</v>
      </c>
      <c r="AI74" s="13">
        <f ca="1">IF(AND($AA74=$M$11+1,$AB74=$M$12+1),SUMIF($AA$20:$AA$1027,$AA74,$AG$20:$AG$1027)*IF(SUMIF($AA$20:$AA$1027,$AA74,$AG$20:$AG$1027)&lt;IF($D$4="Forint",Paraméterek!$L$223,Paraméterek!$L$224),0,VLOOKUP($AA74,Paraméterek!$K$230:$M$250,IF(SUMIF($AA$20:$AA$1027,$AA74,$AG$20:$AG$1027)&lt;IF($D$4="Forint",Paraméterek!$M$223,Paraméterek!$M$224),2,3))),0)</f>
        <v>0</v>
      </c>
      <c r="AJ74" s="13">
        <f ca="1">IF(AND($AA74&gt;=5,MOD($AA74,5)=0),IF($AB74=12,VLOOKUP($AA74,Paraméterek!$O$225:$P$240,2),0),IF(OR($AA74=3,$AA74=4),IF($AB74=12,VLOOKUP($AA74,Paraméterek!$O$225:$P$240,2,0),0),0))*$AG74</f>
        <v>0</v>
      </c>
      <c r="AK74" s="13">
        <f t="shared" ca="1" si="9"/>
        <v>0</v>
      </c>
      <c r="AL74" s="13">
        <f t="shared" ca="1" si="17"/>
        <v>0</v>
      </c>
      <c r="AM74" s="13">
        <f t="shared" ca="1" si="18"/>
        <v>0</v>
      </c>
      <c r="AO74" s="32">
        <v>55</v>
      </c>
      <c r="AP74" s="32">
        <v>5</v>
      </c>
      <c r="AQ74" s="32">
        <v>7</v>
      </c>
      <c r="AR74" s="13"/>
      <c r="AS74" s="32"/>
      <c r="AT74" s="13">
        <f t="shared" ca="1" si="19"/>
        <v>0</v>
      </c>
      <c r="AU74" s="33"/>
      <c r="AV74" s="13">
        <f t="shared" ca="1" si="10"/>
        <v>0</v>
      </c>
      <c r="AW74" s="13">
        <f ca="1">ROUNDUP(($AT74+$AV74)*VLOOKUP($AP74,Paraméterek!$P$38:$Q$38,2)/12*IF($D75="Nem",IF($M$13=0,1,$M$13),1),IF($D$4="Forint",0,2))</f>
        <v>0</v>
      </c>
      <c r="AX74" s="13"/>
      <c r="AY74" s="13"/>
      <c r="AZ74" s="13">
        <f>ROUNDUP(IF(SUM($AX74:$AY74)=0,0,IF(IF(ISBLANK($AY74),$AX74,$AY74)*Paraméterek!$J$112&lt;IF($D$4="Forint",Paraméterek!$J$113,Paraméterek!$K$113),IF($D$4="Forint",Paraméterek!$J$113,Paraméterek!$K$113),IF(IF(ISBLANK($AY74),$AX74,$AY74)*Paraméterek!$J$112&gt;IF($D$4="Forint",Paraméterek!$J$114,Paraméterek!$K$114),IF($D$4="Forint",Paraméterek!$J$114,Paraméterek!$K$114),IF(ISBLANK($AY74),$AX74,$AY74)*Paraméterek!$J$112))),IF($D$4="Forint",0,2))</f>
        <v>0</v>
      </c>
      <c r="BA74" s="13">
        <f ca="1">$AT74+$AV74-$AW74-IF(ROUNDDOWN(IF(ISBLANK($AY74),$AX74,$AY74),IF($D$4="Forint",0,2))&gt;$AT74+$AV74-$AW74-IF($D$4="Forint",Paraméterek!$J$114,Paraméterek!$K$114),0,ROUNDDOWN(IF(ISBLANK($AY74),$AX74,$AY74),IF($D$4="Forint",0,2))-$AZ74)</f>
        <v>0</v>
      </c>
      <c r="BB74" s="13">
        <f t="shared" ca="1" si="11"/>
        <v>0</v>
      </c>
      <c r="BD74" s="32">
        <v>55</v>
      </c>
      <c r="BE74" s="32">
        <v>5</v>
      </c>
      <c r="BF74" s="32">
        <v>7</v>
      </c>
      <c r="BG74" s="34">
        <f t="shared" ca="1" si="20"/>
        <v>2023</v>
      </c>
      <c r="BH74" s="32" t="str">
        <f ca="1">IF(MOD(MONTH($D$14)+$BD74-1,12)=Paraméterek!$C$288,"Igen","")</f>
        <v/>
      </c>
      <c r="BI74" s="13">
        <f ca="1">IF($BH74="Igen",MIN(ROUNDDOWN((SUMIF($BG$20:$BG$1027,$BG74-1,$K$20:$K$1027)-SUMIF($BG$20:$BG$1027,$BG74-1,$I$20:$I$1027))*Paraméterek!$C$289,IF($D$4="Forint",0,2)),IF($D$4="Forint",Paraméterek!$C$285,Paraméterek!$D$285)),0)</f>
        <v>0</v>
      </c>
      <c r="BJ74" s="13">
        <f t="shared" ca="1" si="12"/>
        <v>0</v>
      </c>
      <c r="BK74" s="13">
        <f t="shared" ca="1" si="21"/>
        <v>0</v>
      </c>
      <c r="BL74" s="33"/>
      <c r="BM74" s="13">
        <f t="shared" ca="1" si="13"/>
        <v>0</v>
      </c>
      <c r="BN74" s="13">
        <f ca="1">ROUNDUP(($BK74+$BM74)*VLOOKUP($BE74,Paraméterek!$P$38:$Q$38,2)/12*IF($D75="Nem",IF($M$13=0,1,$M$13),1),IF($D$4="Forint",0,2))</f>
        <v>0</v>
      </c>
      <c r="BO74" s="13">
        <f t="shared" ca="1" si="14"/>
        <v>0</v>
      </c>
      <c r="BP74" s="13">
        <f ca="1">IF($D75="Nem",$BO74,$BO74-ROUNDUP(SUM($BI$20:$BI74)*120%,IF($D$4="Forint",0,2)))</f>
        <v>0</v>
      </c>
    </row>
    <row r="75" spans="1:68" x14ac:dyDescent="0.2">
      <c r="A75" s="32">
        <v>56</v>
      </c>
      <c r="B75" s="32">
        <v>5</v>
      </c>
      <c r="C75" s="32">
        <v>8</v>
      </c>
      <c r="D75" s="32" t="str">
        <f t="shared" ca="1" si="0"/>
        <v>Nem</v>
      </c>
      <c r="E75" s="13">
        <f t="shared" ca="1" si="1"/>
        <v>0</v>
      </c>
      <c r="F75" s="13"/>
      <c r="G75" s="13"/>
      <c r="H75" s="13"/>
      <c r="I75" s="13">
        <f t="shared" ca="1" si="2"/>
        <v>0</v>
      </c>
      <c r="J75" s="13">
        <f t="shared" ca="1" si="3"/>
        <v>0</v>
      </c>
      <c r="K75" s="13">
        <f t="shared" ca="1" si="4"/>
        <v>0</v>
      </c>
      <c r="L75" s="13" t="e">
        <f ca="1">ROUNDUP(IF($D$2="Egyszeri",$E75,IF($D$2="Havi",SUM($E$20:$E$31),IF(MOD($C75,$M$1)-1=0,SUM($E$20:$E$31),0))/12*$M$1)*VLOOKUP($B75,Paraméterek!$I$28:$P$31,IF($D$2="Egyszeri",8,HLOOKUP(ROUNDUP($M$11+$M$13,0),Paraméterek!$J$26:$O$27,2))),IF($D$4="Forint",0,2))</f>
        <v>#N/A</v>
      </c>
      <c r="M75" s="13">
        <f t="shared" ca="1" si="5"/>
        <v>0</v>
      </c>
      <c r="N75" s="13">
        <f t="shared" ca="1" si="15"/>
        <v>0</v>
      </c>
      <c r="O75" s="13">
        <f ca="1">IF($D75="Igen",IF($W74&gt;=IF($D$4="Forint",Paraméterek!$J$121,Paraméterek!$K$121),0,IF($D$4="Forint",Paraméterek!$J$121,Paraméterek!$K$121)-$W74),0)</f>
        <v>0</v>
      </c>
      <c r="P75" s="13" t="e">
        <f ca="1">ROUNDUP($O75*VLOOKUP($M$4+$B75-1,Paraméterek!$H$58:$I$105,2,0)/Paraméterek!$I$56,IF($D$4="Forint",0,2))</f>
        <v>#N/A</v>
      </c>
      <c r="Q75" s="13">
        <f t="shared" ca="1" si="6"/>
        <v>0</v>
      </c>
      <c r="R75" s="33"/>
      <c r="S75" s="13" t="e">
        <f t="shared" ca="1" si="7"/>
        <v>#N/A</v>
      </c>
      <c r="T75" s="13" t="e">
        <f ca="1">ROUNDUP(($N75-$P75-$Q75+$S75)*VLOOKUP($B75,Paraméterek!$I$38:$K$39,IF($D$2="Egyszeri",3,2))/12*IF($D76="Nem",IF($M$13=0,1,$M$13),1),IF($D$4="Forint",0,2))</f>
        <v>#N/A</v>
      </c>
      <c r="U75" s="13"/>
      <c r="V75" s="13"/>
      <c r="W75" s="13" t="e">
        <f ca="1">$N75-$P75-$Q75+$S75-$T75-IF(ROUNDUP(IF(ISBLANK($V75),$U75*0,$V75)/IF($D$2="Egyszeri",VLOOKUP($B75+IF($C75=12,1,0),Paraméterek!$V$257:$W$262,2),IF($B75=1,1,VLOOKUP($B75+IF($C75=12,1,0),Paraméterek!$I$258:$T$278,HLOOKUP($M$11+1,Paraméterek!$J$256:$T$257,2)))),IF($D$4="Forint",0,2))&gt;$N75-$P75-$Q75+$S75-$T75-IF($D$4="Forint",Paraméterek!$C$216,Paraméterek!$D$216),0,ROUNDUP(IF(ISBLANK($V75),$U75*0,$V75)/IF($D$2="Egyszeri",VLOOKUP($B75+IF($C75=12,1,0),Paraméterek!$V$257:$W$262,2),IF($B75=1,1,VLOOKUP($B75+IF($C75=12,1,0),Paraméterek!$I$258:$T$278,HLOOKUP($M$11+1,Paraméterek!$J$256:$T$257,2)))),IF($D$4="Forint",0,2)))</f>
        <v>#N/A</v>
      </c>
      <c r="X75" s="13" t="e">
        <f ca="1">ROUNDDOWN($W75*IF($D$2="Egyszeri",VLOOKUP($B75+IF($C75=12,1,0),Paraméterek!$V$257:$W$262,2),VLOOKUP($B75+IF($C75=12,1,0),Paraméterek!$I$258:$T$278,HLOOKUP($M$11+1,Paraméterek!$I$256:$T$257,2))),IF($D$4="Forint",0,2))</f>
        <v>#N/A</v>
      </c>
      <c r="Z75" s="32">
        <v>56</v>
      </c>
      <c r="AA75" s="32">
        <v>5</v>
      </c>
      <c r="AB75" s="32">
        <v>8</v>
      </c>
      <c r="AC75" s="13">
        <f t="shared" ca="1" si="16"/>
        <v>0</v>
      </c>
      <c r="AD75" s="33"/>
      <c r="AE75" s="13">
        <f t="shared" ca="1" si="8"/>
        <v>0</v>
      </c>
      <c r="AF75" s="13">
        <f ca="1">ROUNDUP(($AC75+$AE75)*VLOOKUP($AA75,Paraméterek!$P$38:$Q$38,2)/12*IF($D76="Nem",IF($M$13=0,1,$M$13),1),IF($D$4="Forint",0,2))</f>
        <v>0</v>
      </c>
      <c r="AG75" s="13">
        <f ca="1">IF($D$2="Egyszeri",IF($D$7&gt;=IF($D$4="Forint",Paraméterek!$P$223,Paraméterek!$P$224),$D$7-IF($D$4="Forint",Paraméterek!$P$223,Paraméterek!$P$224),0),MIN(IF($AB75=12,AVERAGEIF($E$20:$E75,"&gt;0",$E$20:$E75)*12,0),SUM($E$20:$E$31)))</f>
        <v>0</v>
      </c>
      <c r="AH75" s="13">
        <f>IF($AA75=10,$AG75*IF($AB75=12,IF($AG75&lt;IF($D$4="Forint",Paraméterek!$L$223,Paraméterek!$L$224),0,VLOOKUP($AA75,Paraméterek!$K$226:$M$228,IF($AG75&lt;IF($D$4="Forint",Paraméterek!$M$223,Paraméterek!$M$224),2,3))),0),0)</f>
        <v>0</v>
      </c>
      <c r="AI75" s="13">
        <f ca="1">IF(AND($AA75=$M$11+1,$AB75=$M$12+1),SUMIF($AA$20:$AA$1027,$AA75,$AG$20:$AG$1027)*IF(SUMIF($AA$20:$AA$1027,$AA75,$AG$20:$AG$1027)&lt;IF($D$4="Forint",Paraméterek!$L$223,Paraméterek!$L$224),0,VLOOKUP($AA75,Paraméterek!$K$230:$M$250,IF(SUMIF($AA$20:$AA$1027,$AA75,$AG$20:$AG$1027)&lt;IF($D$4="Forint",Paraméterek!$M$223,Paraméterek!$M$224),2,3))),0)</f>
        <v>0</v>
      </c>
      <c r="AJ75" s="13">
        <f ca="1">IF(AND($AA75&gt;=5,MOD($AA75,5)=0),IF($AB75=12,VLOOKUP($AA75,Paraméterek!$O$225:$P$240,2),0),IF(OR($AA75=3,$AA75=4),IF($AB75=12,VLOOKUP($AA75,Paraméterek!$O$225:$P$240,2,0),0),0))*$AG75</f>
        <v>0</v>
      </c>
      <c r="AK75" s="13">
        <f t="shared" ca="1" si="9"/>
        <v>0</v>
      </c>
      <c r="AL75" s="13">
        <f t="shared" ca="1" si="17"/>
        <v>0</v>
      </c>
      <c r="AM75" s="13">
        <f t="shared" ca="1" si="18"/>
        <v>0</v>
      </c>
      <c r="AO75" s="32">
        <v>56</v>
      </c>
      <c r="AP75" s="32">
        <v>5</v>
      </c>
      <c r="AQ75" s="32">
        <v>8</v>
      </c>
      <c r="AR75" s="13"/>
      <c r="AS75" s="32"/>
      <c r="AT75" s="13">
        <f t="shared" ca="1" si="19"/>
        <v>0</v>
      </c>
      <c r="AU75" s="33"/>
      <c r="AV75" s="13">
        <f t="shared" ca="1" si="10"/>
        <v>0</v>
      </c>
      <c r="AW75" s="13">
        <f ca="1">ROUNDUP(($AT75+$AV75)*VLOOKUP($AP75,Paraméterek!$P$38:$Q$38,2)/12*IF($D76="Nem",IF($M$13=0,1,$M$13),1),IF($D$4="Forint",0,2))</f>
        <v>0</v>
      </c>
      <c r="AX75" s="13"/>
      <c r="AY75" s="13"/>
      <c r="AZ75" s="13">
        <f>ROUNDUP(IF(SUM($AX75:$AY75)=0,0,IF(IF(ISBLANK($AY75),$AX75,$AY75)*Paraméterek!$J$112&lt;IF($D$4="Forint",Paraméterek!$J$113,Paraméterek!$K$113),IF($D$4="Forint",Paraméterek!$J$113,Paraméterek!$K$113),IF(IF(ISBLANK($AY75),$AX75,$AY75)*Paraméterek!$J$112&gt;IF($D$4="Forint",Paraméterek!$J$114,Paraméterek!$K$114),IF($D$4="Forint",Paraméterek!$J$114,Paraméterek!$K$114),IF(ISBLANK($AY75),$AX75,$AY75)*Paraméterek!$J$112))),IF($D$4="Forint",0,2))</f>
        <v>0</v>
      </c>
      <c r="BA75" s="13">
        <f ca="1">$AT75+$AV75-$AW75-IF(ROUNDDOWN(IF(ISBLANK($AY75),$AX75,$AY75),IF($D$4="Forint",0,2))&gt;$AT75+$AV75-$AW75-IF($D$4="Forint",Paraméterek!$J$114,Paraméterek!$K$114),0,ROUNDDOWN(IF(ISBLANK($AY75),$AX75,$AY75),IF($D$4="Forint",0,2))-$AZ75)</f>
        <v>0</v>
      </c>
      <c r="BB75" s="13">
        <f t="shared" ca="1" si="11"/>
        <v>0</v>
      </c>
      <c r="BD75" s="32">
        <v>56</v>
      </c>
      <c r="BE75" s="32">
        <v>5</v>
      </c>
      <c r="BF75" s="32">
        <v>8</v>
      </c>
      <c r="BG75" s="34">
        <f t="shared" ca="1" si="20"/>
        <v>2024</v>
      </c>
      <c r="BH75" s="32" t="str">
        <f ca="1">IF(MOD(MONTH($D$14)+$BD75-1,12)=Paraméterek!$C$288,"Igen","")</f>
        <v/>
      </c>
      <c r="BI75" s="13">
        <f ca="1">IF($BH75="Igen",MIN(ROUNDDOWN((SUMIF($BG$20:$BG$1027,$BG75-1,$K$20:$K$1027)-SUMIF($BG$20:$BG$1027,$BG75-1,$I$20:$I$1027))*Paraméterek!$C$289,IF($D$4="Forint",0,2)),IF($D$4="Forint",Paraméterek!$C$285,Paraméterek!$D$285)),0)</f>
        <v>0</v>
      </c>
      <c r="BJ75" s="13">
        <f t="shared" ca="1" si="12"/>
        <v>0</v>
      </c>
      <c r="BK75" s="13">
        <f t="shared" ca="1" si="21"/>
        <v>0</v>
      </c>
      <c r="BL75" s="33"/>
      <c r="BM75" s="13">
        <f t="shared" ca="1" si="13"/>
        <v>0</v>
      </c>
      <c r="BN75" s="13">
        <f ca="1">ROUNDUP(($BK75+$BM75)*VLOOKUP($BE75,Paraméterek!$P$38:$Q$38,2)/12*IF($D76="Nem",IF($M$13=0,1,$M$13),1),IF($D$4="Forint",0,2))</f>
        <v>0</v>
      </c>
      <c r="BO75" s="13">
        <f t="shared" ca="1" si="14"/>
        <v>0</v>
      </c>
      <c r="BP75" s="13">
        <f ca="1">IF($D76="Nem",$BO75,$BO75-ROUNDUP(SUM($BI$20:$BI75)*120%,IF($D$4="Forint",0,2)))</f>
        <v>0</v>
      </c>
    </row>
    <row r="76" spans="1:68" x14ac:dyDescent="0.2">
      <c r="A76" s="32">
        <v>57</v>
      </c>
      <c r="B76" s="32">
        <v>5</v>
      </c>
      <c r="C76" s="32">
        <v>9</v>
      </c>
      <c r="D76" s="32" t="str">
        <f t="shared" ca="1" si="0"/>
        <v>Nem</v>
      </c>
      <c r="E76" s="13">
        <f t="shared" ca="1" si="1"/>
        <v>0</v>
      </c>
      <c r="F76" s="13"/>
      <c r="G76" s="13"/>
      <c r="H76" s="13"/>
      <c r="I76" s="13">
        <f t="shared" ca="1" si="2"/>
        <v>0</v>
      </c>
      <c r="J76" s="13">
        <f t="shared" ca="1" si="3"/>
        <v>0</v>
      </c>
      <c r="K76" s="13">
        <f t="shared" ca="1" si="4"/>
        <v>0</v>
      </c>
      <c r="L76" s="13" t="e">
        <f ca="1">ROUNDUP(IF($D$2="Egyszeri",$E76,IF($D$2="Havi",SUM($E$20:$E$31),IF(MOD($C76,$M$1)-1=0,SUM($E$20:$E$31),0))/12*$M$1)*VLOOKUP($B76,Paraméterek!$I$28:$P$31,IF($D$2="Egyszeri",8,HLOOKUP(ROUNDUP($M$11+$M$13,0),Paraméterek!$J$26:$O$27,2))),IF($D$4="Forint",0,2))</f>
        <v>#N/A</v>
      </c>
      <c r="M76" s="13">
        <f t="shared" ca="1" si="5"/>
        <v>0</v>
      </c>
      <c r="N76" s="13">
        <f t="shared" ca="1" si="15"/>
        <v>0</v>
      </c>
      <c r="O76" s="13">
        <f ca="1">IF($D76="Igen",IF($W75&gt;=IF($D$4="Forint",Paraméterek!$J$121,Paraméterek!$K$121),0,IF($D$4="Forint",Paraméterek!$J$121,Paraméterek!$K$121)-$W75),0)</f>
        <v>0</v>
      </c>
      <c r="P76" s="13" t="e">
        <f ca="1">ROUNDUP($O76*VLOOKUP($M$4+$B76-1,Paraméterek!$H$58:$I$105,2,0)/Paraméterek!$I$56,IF($D$4="Forint",0,2))</f>
        <v>#N/A</v>
      </c>
      <c r="Q76" s="13">
        <f t="shared" ca="1" si="6"/>
        <v>0</v>
      </c>
      <c r="R76" s="33"/>
      <c r="S76" s="13" t="e">
        <f t="shared" ca="1" si="7"/>
        <v>#N/A</v>
      </c>
      <c r="T76" s="13" t="e">
        <f ca="1">ROUNDUP(($N76-$P76-$Q76+$S76)*VLOOKUP($B76,Paraméterek!$I$38:$K$39,IF($D$2="Egyszeri",3,2))/12*IF($D77="Nem",IF($M$13=0,1,$M$13),1),IF($D$4="Forint",0,2))</f>
        <v>#N/A</v>
      </c>
      <c r="U76" s="13"/>
      <c r="V76" s="13"/>
      <c r="W76" s="13" t="e">
        <f ca="1">$N76-$P76-$Q76+$S76-$T76-IF(ROUNDUP(IF(ISBLANK($V76),$U76*0,$V76)/IF($D$2="Egyszeri",VLOOKUP($B76+IF($C76=12,1,0),Paraméterek!$V$257:$W$262,2),IF($B76=1,1,VLOOKUP($B76+IF($C76=12,1,0),Paraméterek!$I$258:$T$278,HLOOKUP($M$11+1,Paraméterek!$J$256:$T$257,2)))),IF($D$4="Forint",0,2))&gt;$N76-$P76-$Q76+$S76-$T76-IF($D$4="Forint",Paraméterek!$C$216,Paraméterek!$D$216),0,ROUNDUP(IF(ISBLANK($V76),$U76*0,$V76)/IF($D$2="Egyszeri",VLOOKUP($B76+IF($C76=12,1,0),Paraméterek!$V$257:$W$262,2),IF($B76=1,1,VLOOKUP($B76+IF($C76=12,1,0),Paraméterek!$I$258:$T$278,HLOOKUP($M$11+1,Paraméterek!$J$256:$T$257,2)))),IF($D$4="Forint",0,2)))</f>
        <v>#N/A</v>
      </c>
      <c r="X76" s="13" t="e">
        <f ca="1">ROUNDDOWN($W76*IF($D$2="Egyszeri",VLOOKUP($B76+IF($C76=12,1,0),Paraméterek!$V$257:$W$262,2),VLOOKUP($B76+IF($C76=12,1,0),Paraméterek!$I$258:$T$278,HLOOKUP($M$11+1,Paraméterek!$I$256:$T$257,2))),IF($D$4="Forint",0,2))</f>
        <v>#N/A</v>
      </c>
      <c r="Z76" s="32">
        <v>57</v>
      </c>
      <c r="AA76" s="32">
        <v>5</v>
      </c>
      <c r="AB76" s="32">
        <v>9</v>
      </c>
      <c r="AC76" s="13">
        <f t="shared" ca="1" si="16"/>
        <v>0</v>
      </c>
      <c r="AD76" s="33"/>
      <c r="AE76" s="13">
        <f t="shared" ca="1" si="8"/>
        <v>0</v>
      </c>
      <c r="AF76" s="13">
        <f ca="1">ROUNDUP(($AC76+$AE76)*VLOOKUP($AA76,Paraméterek!$P$38:$Q$38,2)/12*IF($D77="Nem",IF($M$13=0,1,$M$13),1),IF($D$4="Forint",0,2))</f>
        <v>0</v>
      </c>
      <c r="AG76" s="13">
        <f ca="1">IF($D$2="Egyszeri",IF($D$7&gt;=IF($D$4="Forint",Paraméterek!$P$223,Paraméterek!$P$224),$D$7-IF($D$4="Forint",Paraméterek!$P$223,Paraméterek!$P$224),0),MIN(IF($AB76=12,AVERAGEIF($E$20:$E76,"&gt;0",$E$20:$E76)*12,0),SUM($E$20:$E$31)))</f>
        <v>0</v>
      </c>
      <c r="AH76" s="13">
        <f>IF($AA76=10,$AG76*IF($AB76=12,IF($AG76&lt;IF($D$4="Forint",Paraméterek!$L$223,Paraméterek!$L$224),0,VLOOKUP($AA76,Paraméterek!$K$226:$M$228,IF($AG76&lt;IF($D$4="Forint",Paraméterek!$M$223,Paraméterek!$M$224),2,3))),0),0)</f>
        <v>0</v>
      </c>
      <c r="AI76" s="13">
        <f ca="1">IF(AND($AA76=$M$11+1,$AB76=$M$12+1),SUMIF($AA$20:$AA$1027,$AA76,$AG$20:$AG$1027)*IF(SUMIF($AA$20:$AA$1027,$AA76,$AG$20:$AG$1027)&lt;IF($D$4="Forint",Paraméterek!$L$223,Paraméterek!$L$224),0,VLOOKUP($AA76,Paraméterek!$K$230:$M$250,IF(SUMIF($AA$20:$AA$1027,$AA76,$AG$20:$AG$1027)&lt;IF($D$4="Forint",Paraméterek!$M$223,Paraméterek!$M$224),2,3))),0)</f>
        <v>0</v>
      </c>
      <c r="AJ76" s="13">
        <f ca="1">IF(AND($AA76&gt;=5,MOD($AA76,5)=0),IF($AB76=12,VLOOKUP($AA76,Paraméterek!$O$225:$P$240,2),0),IF(OR($AA76=3,$AA76=4),IF($AB76=12,VLOOKUP($AA76,Paraméterek!$O$225:$P$240,2,0),0),0))*$AG76</f>
        <v>0</v>
      </c>
      <c r="AK76" s="13">
        <f t="shared" ca="1" si="9"/>
        <v>0</v>
      </c>
      <c r="AL76" s="13">
        <f t="shared" ca="1" si="17"/>
        <v>0</v>
      </c>
      <c r="AM76" s="13">
        <f t="shared" ca="1" si="18"/>
        <v>0</v>
      </c>
      <c r="AO76" s="32">
        <v>57</v>
      </c>
      <c r="AP76" s="32">
        <v>5</v>
      </c>
      <c r="AQ76" s="32">
        <v>9</v>
      </c>
      <c r="AR76" s="13"/>
      <c r="AS76" s="32"/>
      <c r="AT76" s="13">
        <f t="shared" ca="1" si="19"/>
        <v>0</v>
      </c>
      <c r="AU76" s="33"/>
      <c r="AV76" s="13">
        <f t="shared" ca="1" si="10"/>
        <v>0</v>
      </c>
      <c r="AW76" s="13">
        <f ca="1">ROUNDUP(($AT76+$AV76)*VLOOKUP($AP76,Paraméterek!$P$38:$Q$38,2)/12*IF($D77="Nem",IF($M$13=0,1,$M$13),1),IF($D$4="Forint",0,2))</f>
        <v>0</v>
      </c>
      <c r="AX76" s="13"/>
      <c r="AY76" s="13"/>
      <c r="AZ76" s="13">
        <f>ROUNDUP(IF(SUM($AX76:$AY76)=0,0,IF(IF(ISBLANK($AY76),$AX76,$AY76)*Paraméterek!$J$112&lt;IF($D$4="Forint",Paraméterek!$J$113,Paraméterek!$K$113),IF($D$4="Forint",Paraméterek!$J$113,Paraméterek!$K$113),IF(IF(ISBLANK($AY76),$AX76,$AY76)*Paraméterek!$J$112&gt;IF($D$4="Forint",Paraméterek!$J$114,Paraméterek!$K$114),IF($D$4="Forint",Paraméterek!$J$114,Paraméterek!$K$114),IF(ISBLANK($AY76),$AX76,$AY76)*Paraméterek!$J$112))),IF($D$4="Forint",0,2))</f>
        <v>0</v>
      </c>
      <c r="BA76" s="13">
        <f ca="1">$AT76+$AV76-$AW76-IF(ROUNDDOWN(IF(ISBLANK($AY76),$AX76,$AY76),IF($D$4="Forint",0,2))&gt;$AT76+$AV76-$AW76-IF($D$4="Forint",Paraméterek!$J$114,Paraméterek!$K$114),0,ROUNDDOWN(IF(ISBLANK($AY76),$AX76,$AY76),IF($D$4="Forint",0,2))-$AZ76)</f>
        <v>0</v>
      </c>
      <c r="BB76" s="13">
        <f t="shared" ca="1" si="11"/>
        <v>0</v>
      </c>
      <c r="BD76" s="32">
        <v>57</v>
      </c>
      <c r="BE76" s="32">
        <v>5</v>
      </c>
      <c r="BF76" s="32">
        <v>9</v>
      </c>
      <c r="BG76" s="34">
        <f t="shared" ca="1" si="20"/>
        <v>2024</v>
      </c>
      <c r="BH76" s="32" t="str">
        <f ca="1">IF(MOD(MONTH($D$14)+$BD76-1,12)=Paraméterek!$C$288,"Igen","")</f>
        <v/>
      </c>
      <c r="BI76" s="13">
        <f ca="1">IF($BH76="Igen",MIN(ROUNDDOWN((SUMIF($BG$20:$BG$1027,$BG76-1,$K$20:$K$1027)-SUMIF($BG$20:$BG$1027,$BG76-1,$I$20:$I$1027))*Paraméterek!$C$289,IF($D$4="Forint",0,2)),IF($D$4="Forint",Paraméterek!$C$285,Paraméterek!$D$285)),0)</f>
        <v>0</v>
      </c>
      <c r="BJ76" s="13">
        <f t="shared" ca="1" si="12"/>
        <v>0</v>
      </c>
      <c r="BK76" s="13">
        <f t="shared" ca="1" si="21"/>
        <v>0</v>
      </c>
      <c r="BL76" s="33"/>
      <c r="BM76" s="13">
        <f t="shared" ca="1" si="13"/>
        <v>0</v>
      </c>
      <c r="BN76" s="13">
        <f ca="1">ROUNDUP(($BK76+$BM76)*VLOOKUP($BE76,Paraméterek!$P$38:$Q$38,2)/12*IF($D77="Nem",IF($M$13=0,1,$M$13),1),IF($D$4="Forint",0,2))</f>
        <v>0</v>
      </c>
      <c r="BO76" s="13">
        <f t="shared" ca="1" si="14"/>
        <v>0</v>
      </c>
      <c r="BP76" s="13">
        <f ca="1">IF($D77="Nem",$BO76,$BO76-ROUNDUP(SUM($BI$20:$BI76)*120%,IF($D$4="Forint",0,2)))</f>
        <v>0</v>
      </c>
    </row>
    <row r="77" spans="1:68" x14ac:dyDescent="0.2">
      <c r="A77" s="32">
        <v>58</v>
      </c>
      <c r="B77" s="32">
        <v>5</v>
      </c>
      <c r="C77" s="32">
        <v>10</v>
      </c>
      <c r="D77" s="32" t="str">
        <f t="shared" ca="1" si="0"/>
        <v>Nem</v>
      </c>
      <c r="E77" s="13">
        <f t="shared" ca="1" si="1"/>
        <v>0</v>
      </c>
      <c r="F77" s="13"/>
      <c r="G77" s="13"/>
      <c r="H77" s="13"/>
      <c r="I77" s="13">
        <f t="shared" ca="1" si="2"/>
        <v>0</v>
      </c>
      <c r="J77" s="13">
        <f t="shared" ca="1" si="3"/>
        <v>0</v>
      </c>
      <c r="K77" s="13">
        <f t="shared" ca="1" si="4"/>
        <v>0</v>
      </c>
      <c r="L77" s="13" t="e">
        <f ca="1">ROUNDUP(IF($D$2="Egyszeri",$E77,IF($D$2="Havi",SUM($E$20:$E$31),IF(MOD($C77,$M$1)-1=0,SUM($E$20:$E$31),0))/12*$M$1)*VLOOKUP($B77,Paraméterek!$I$28:$P$31,IF($D$2="Egyszeri",8,HLOOKUP(ROUNDUP($M$11+$M$13,0),Paraméterek!$J$26:$O$27,2))),IF($D$4="Forint",0,2))</f>
        <v>#N/A</v>
      </c>
      <c r="M77" s="13">
        <f t="shared" ca="1" si="5"/>
        <v>0</v>
      </c>
      <c r="N77" s="13">
        <f t="shared" ca="1" si="15"/>
        <v>0</v>
      </c>
      <c r="O77" s="13">
        <f ca="1">IF($D77="Igen",IF($W76&gt;=IF($D$4="Forint",Paraméterek!$J$121,Paraméterek!$K$121),0,IF($D$4="Forint",Paraméterek!$J$121,Paraméterek!$K$121)-$W76),0)</f>
        <v>0</v>
      </c>
      <c r="P77" s="13" t="e">
        <f ca="1">ROUNDUP($O77*VLOOKUP($M$4+$B77-1,Paraméterek!$H$58:$I$105,2,0)/Paraméterek!$I$56,IF($D$4="Forint",0,2))</f>
        <v>#N/A</v>
      </c>
      <c r="Q77" s="13">
        <f t="shared" ca="1" si="6"/>
        <v>0</v>
      </c>
      <c r="R77" s="33"/>
      <c r="S77" s="13" t="e">
        <f t="shared" ca="1" si="7"/>
        <v>#N/A</v>
      </c>
      <c r="T77" s="13" t="e">
        <f ca="1">ROUNDUP(($N77-$P77-$Q77+$S77)*VLOOKUP($B77,Paraméterek!$I$38:$K$39,IF($D$2="Egyszeri",3,2))/12*IF($D78="Nem",IF($M$13=0,1,$M$13),1),IF($D$4="Forint",0,2))</f>
        <v>#N/A</v>
      </c>
      <c r="U77" s="13"/>
      <c r="V77" s="13"/>
      <c r="W77" s="13" t="e">
        <f ca="1">$N77-$P77-$Q77+$S77-$T77-IF(ROUNDUP(IF(ISBLANK($V77),$U77*0,$V77)/IF($D$2="Egyszeri",VLOOKUP($B77+IF($C77=12,1,0),Paraméterek!$V$257:$W$262,2),IF($B77=1,1,VLOOKUP($B77+IF($C77=12,1,0),Paraméterek!$I$258:$T$278,HLOOKUP($M$11+1,Paraméterek!$J$256:$T$257,2)))),IF($D$4="Forint",0,2))&gt;$N77-$P77-$Q77+$S77-$T77-IF($D$4="Forint",Paraméterek!$C$216,Paraméterek!$D$216),0,ROUNDUP(IF(ISBLANK($V77),$U77*0,$V77)/IF($D$2="Egyszeri",VLOOKUP($B77+IF($C77=12,1,0),Paraméterek!$V$257:$W$262,2),IF($B77=1,1,VLOOKUP($B77+IF($C77=12,1,0),Paraméterek!$I$258:$T$278,HLOOKUP($M$11+1,Paraméterek!$J$256:$T$257,2)))),IF($D$4="Forint",0,2)))</f>
        <v>#N/A</v>
      </c>
      <c r="X77" s="13" t="e">
        <f ca="1">ROUNDDOWN($W77*IF($D$2="Egyszeri",VLOOKUP($B77+IF($C77=12,1,0),Paraméterek!$V$257:$W$262,2),VLOOKUP($B77+IF($C77=12,1,0),Paraméterek!$I$258:$T$278,HLOOKUP($M$11+1,Paraméterek!$I$256:$T$257,2))),IF($D$4="Forint",0,2))</f>
        <v>#N/A</v>
      </c>
      <c r="Z77" s="32">
        <v>58</v>
      </c>
      <c r="AA77" s="32">
        <v>5</v>
      </c>
      <c r="AB77" s="32">
        <v>10</v>
      </c>
      <c r="AC77" s="13">
        <f t="shared" ca="1" si="16"/>
        <v>0</v>
      </c>
      <c r="AD77" s="33"/>
      <c r="AE77" s="13">
        <f t="shared" ca="1" si="8"/>
        <v>0</v>
      </c>
      <c r="AF77" s="13">
        <f ca="1">ROUNDUP(($AC77+$AE77)*VLOOKUP($AA77,Paraméterek!$P$38:$Q$38,2)/12*IF($D78="Nem",IF($M$13=0,1,$M$13),1),IF($D$4="Forint",0,2))</f>
        <v>0</v>
      </c>
      <c r="AG77" s="13">
        <f ca="1">IF($D$2="Egyszeri",IF($D$7&gt;=IF($D$4="Forint",Paraméterek!$P$223,Paraméterek!$P$224),$D$7-IF($D$4="Forint",Paraméterek!$P$223,Paraméterek!$P$224),0),MIN(IF($AB77=12,AVERAGEIF($E$20:$E77,"&gt;0",$E$20:$E77)*12,0),SUM($E$20:$E$31)))</f>
        <v>0</v>
      </c>
      <c r="AH77" s="13">
        <f>IF($AA77=10,$AG77*IF($AB77=12,IF($AG77&lt;IF($D$4="Forint",Paraméterek!$L$223,Paraméterek!$L$224),0,VLOOKUP($AA77,Paraméterek!$K$226:$M$228,IF($AG77&lt;IF($D$4="Forint",Paraméterek!$M$223,Paraméterek!$M$224),2,3))),0),0)</f>
        <v>0</v>
      </c>
      <c r="AI77" s="13">
        <f ca="1">IF(AND($AA77=$M$11+1,$AB77=$M$12+1),SUMIF($AA$20:$AA$1027,$AA77,$AG$20:$AG$1027)*IF(SUMIF($AA$20:$AA$1027,$AA77,$AG$20:$AG$1027)&lt;IF($D$4="Forint",Paraméterek!$L$223,Paraméterek!$L$224),0,VLOOKUP($AA77,Paraméterek!$K$230:$M$250,IF(SUMIF($AA$20:$AA$1027,$AA77,$AG$20:$AG$1027)&lt;IF($D$4="Forint",Paraméterek!$M$223,Paraméterek!$M$224),2,3))),0)</f>
        <v>0</v>
      </c>
      <c r="AJ77" s="13">
        <f ca="1">IF(AND($AA77&gt;=5,MOD($AA77,5)=0),IF($AB77=12,VLOOKUP($AA77,Paraméterek!$O$225:$P$240,2),0),IF(OR($AA77=3,$AA77=4),IF($AB77=12,VLOOKUP($AA77,Paraméterek!$O$225:$P$240,2,0),0),0))*$AG77</f>
        <v>0</v>
      </c>
      <c r="AK77" s="13">
        <f t="shared" ca="1" si="9"/>
        <v>0</v>
      </c>
      <c r="AL77" s="13">
        <f t="shared" ca="1" si="17"/>
        <v>0</v>
      </c>
      <c r="AM77" s="13">
        <f t="shared" ca="1" si="18"/>
        <v>0</v>
      </c>
      <c r="AO77" s="32">
        <v>58</v>
      </c>
      <c r="AP77" s="32">
        <v>5</v>
      </c>
      <c r="AQ77" s="32">
        <v>10</v>
      </c>
      <c r="AR77" s="13"/>
      <c r="AS77" s="32"/>
      <c r="AT77" s="13">
        <f t="shared" ca="1" si="19"/>
        <v>0</v>
      </c>
      <c r="AU77" s="33"/>
      <c r="AV77" s="13">
        <f t="shared" ca="1" si="10"/>
        <v>0</v>
      </c>
      <c r="AW77" s="13">
        <f ca="1">ROUNDUP(($AT77+$AV77)*VLOOKUP($AP77,Paraméterek!$P$38:$Q$38,2)/12*IF($D78="Nem",IF($M$13=0,1,$M$13),1),IF($D$4="Forint",0,2))</f>
        <v>0</v>
      </c>
      <c r="AX77" s="13"/>
      <c r="AY77" s="13"/>
      <c r="AZ77" s="13">
        <f>ROUNDUP(IF(SUM($AX77:$AY77)=0,0,IF(IF(ISBLANK($AY77),$AX77,$AY77)*Paraméterek!$J$112&lt;IF($D$4="Forint",Paraméterek!$J$113,Paraméterek!$K$113),IF($D$4="Forint",Paraméterek!$J$113,Paraméterek!$K$113),IF(IF(ISBLANK($AY77),$AX77,$AY77)*Paraméterek!$J$112&gt;IF($D$4="Forint",Paraméterek!$J$114,Paraméterek!$K$114),IF($D$4="Forint",Paraméterek!$J$114,Paraméterek!$K$114),IF(ISBLANK($AY77),$AX77,$AY77)*Paraméterek!$J$112))),IF($D$4="Forint",0,2))</f>
        <v>0</v>
      </c>
      <c r="BA77" s="13">
        <f ca="1">$AT77+$AV77-$AW77-IF(ROUNDDOWN(IF(ISBLANK($AY77),$AX77,$AY77),IF($D$4="Forint",0,2))&gt;$AT77+$AV77-$AW77-IF($D$4="Forint",Paraméterek!$J$114,Paraméterek!$K$114),0,ROUNDDOWN(IF(ISBLANK($AY77),$AX77,$AY77),IF($D$4="Forint",0,2))-$AZ77)</f>
        <v>0</v>
      </c>
      <c r="BB77" s="13">
        <f t="shared" ca="1" si="11"/>
        <v>0</v>
      </c>
      <c r="BD77" s="32">
        <v>58</v>
      </c>
      <c r="BE77" s="32">
        <v>5</v>
      </c>
      <c r="BF77" s="32">
        <v>10</v>
      </c>
      <c r="BG77" s="34">
        <f t="shared" ca="1" si="20"/>
        <v>2024</v>
      </c>
      <c r="BH77" s="32" t="str">
        <f ca="1">IF(MOD(MONTH($D$14)+$BD77-1,12)=Paraméterek!$C$288,"Igen","")</f>
        <v/>
      </c>
      <c r="BI77" s="13">
        <f ca="1">IF($BH77="Igen",MIN(ROUNDDOWN((SUMIF($BG$20:$BG$1027,$BG77-1,$K$20:$K$1027)-SUMIF($BG$20:$BG$1027,$BG77-1,$I$20:$I$1027))*Paraméterek!$C$289,IF($D$4="Forint",0,2)),IF($D$4="Forint",Paraméterek!$C$285,Paraméterek!$D$285)),0)</f>
        <v>0</v>
      </c>
      <c r="BJ77" s="13">
        <f t="shared" ca="1" si="12"/>
        <v>0</v>
      </c>
      <c r="BK77" s="13">
        <f t="shared" ca="1" si="21"/>
        <v>0</v>
      </c>
      <c r="BL77" s="33"/>
      <c r="BM77" s="13">
        <f t="shared" ca="1" si="13"/>
        <v>0</v>
      </c>
      <c r="BN77" s="13">
        <f ca="1">ROUNDUP(($BK77+$BM77)*VLOOKUP($BE77,Paraméterek!$P$38:$Q$38,2)/12*IF($D78="Nem",IF($M$13=0,1,$M$13),1),IF($D$4="Forint",0,2))</f>
        <v>0</v>
      </c>
      <c r="BO77" s="13">
        <f t="shared" ca="1" si="14"/>
        <v>0</v>
      </c>
      <c r="BP77" s="13">
        <f ca="1">IF($D78="Nem",$BO77,$BO77-ROUNDUP(SUM($BI$20:$BI77)*120%,IF($D$4="Forint",0,2)))</f>
        <v>0</v>
      </c>
    </row>
    <row r="78" spans="1:68" x14ac:dyDescent="0.2">
      <c r="A78" s="32">
        <v>59</v>
      </c>
      <c r="B78" s="32">
        <v>5</v>
      </c>
      <c r="C78" s="32">
        <v>11</v>
      </c>
      <c r="D78" s="32" t="str">
        <f t="shared" ca="1" si="0"/>
        <v>Nem</v>
      </c>
      <c r="E78" s="13">
        <f t="shared" ca="1" si="1"/>
        <v>0</v>
      </c>
      <c r="F78" s="13"/>
      <c r="G78" s="13"/>
      <c r="H78" s="13"/>
      <c r="I78" s="13">
        <f t="shared" ca="1" si="2"/>
        <v>0</v>
      </c>
      <c r="J78" s="13">
        <f t="shared" ca="1" si="3"/>
        <v>0</v>
      </c>
      <c r="K78" s="13">
        <f t="shared" ca="1" si="4"/>
        <v>0</v>
      </c>
      <c r="L78" s="13" t="e">
        <f ca="1">ROUNDUP(IF($D$2="Egyszeri",$E78,IF($D$2="Havi",SUM($E$20:$E$31),IF(MOD($C78,$M$1)-1=0,SUM($E$20:$E$31),0))/12*$M$1)*VLOOKUP($B78,Paraméterek!$I$28:$P$31,IF($D$2="Egyszeri",8,HLOOKUP(ROUNDUP($M$11+$M$13,0),Paraméterek!$J$26:$O$27,2))),IF($D$4="Forint",0,2))</f>
        <v>#N/A</v>
      </c>
      <c r="M78" s="13">
        <f t="shared" ca="1" si="5"/>
        <v>0</v>
      </c>
      <c r="N78" s="13">
        <f t="shared" ca="1" si="15"/>
        <v>0</v>
      </c>
      <c r="O78" s="13">
        <f ca="1">IF($D78="Igen",IF($W77&gt;=IF($D$4="Forint",Paraméterek!$J$121,Paraméterek!$K$121),0,IF($D$4="Forint",Paraméterek!$J$121,Paraméterek!$K$121)-$W77),0)</f>
        <v>0</v>
      </c>
      <c r="P78" s="13" t="e">
        <f ca="1">ROUNDUP($O78*VLOOKUP($M$4+$B78-1,Paraméterek!$H$58:$I$105,2,0)/Paraméterek!$I$56,IF($D$4="Forint",0,2))</f>
        <v>#N/A</v>
      </c>
      <c r="Q78" s="13">
        <f t="shared" ca="1" si="6"/>
        <v>0</v>
      </c>
      <c r="R78" s="33"/>
      <c r="S78" s="13" t="e">
        <f t="shared" ca="1" si="7"/>
        <v>#N/A</v>
      </c>
      <c r="T78" s="13" t="e">
        <f ca="1">ROUNDUP(($N78-$P78-$Q78+$S78)*VLOOKUP($B78,Paraméterek!$I$38:$K$39,IF($D$2="Egyszeri",3,2))/12*IF($D79="Nem",IF($M$13=0,1,$M$13),1),IF($D$4="Forint",0,2))</f>
        <v>#N/A</v>
      </c>
      <c r="U78" s="13"/>
      <c r="V78" s="13"/>
      <c r="W78" s="13" t="e">
        <f ca="1">$N78-$P78-$Q78+$S78-$T78-IF(ROUNDUP(IF(ISBLANK($V78),$U78*0,$V78)/IF($D$2="Egyszeri",VLOOKUP($B78+IF($C78=12,1,0),Paraméterek!$V$257:$W$262,2),IF($B78=1,1,VLOOKUP($B78+IF($C78=12,1,0),Paraméterek!$I$258:$T$278,HLOOKUP($M$11+1,Paraméterek!$J$256:$T$257,2)))),IF($D$4="Forint",0,2))&gt;$N78-$P78-$Q78+$S78-$T78-IF($D$4="Forint",Paraméterek!$C$216,Paraméterek!$D$216),0,ROUNDUP(IF(ISBLANK($V78),$U78*0,$V78)/IF($D$2="Egyszeri",VLOOKUP($B78+IF($C78=12,1,0),Paraméterek!$V$257:$W$262,2),IF($B78=1,1,VLOOKUP($B78+IF($C78=12,1,0),Paraméterek!$I$258:$T$278,HLOOKUP($M$11+1,Paraméterek!$J$256:$T$257,2)))),IF($D$4="Forint",0,2)))</f>
        <v>#N/A</v>
      </c>
      <c r="X78" s="13" t="e">
        <f ca="1">ROUNDDOWN($W78*IF($D$2="Egyszeri",VLOOKUP($B78+IF($C78=12,1,0),Paraméterek!$V$257:$W$262,2),VLOOKUP($B78+IF($C78=12,1,0),Paraméterek!$I$258:$T$278,HLOOKUP($M$11+1,Paraméterek!$I$256:$T$257,2))),IF($D$4="Forint",0,2))</f>
        <v>#N/A</v>
      </c>
      <c r="Z78" s="32">
        <v>59</v>
      </c>
      <c r="AA78" s="32">
        <v>5</v>
      </c>
      <c r="AB78" s="32">
        <v>11</v>
      </c>
      <c r="AC78" s="13">
        <f t="shared" ca="1" si="16"/>
        <v>0</v>
      </c>
      <c r="AD78" s="33"/>
      <c r="AE78" s="13">
        <f t="shared" ca="1" si="8"/>
        <v>0</v>
      </c>
      <c r="AF78" s="13">
        <f ca="1">ROUNDUP(($AC78+$AE78)*VLOOKUP($AA78,Paraméterek!$P$38:$Q$38,2)/12*IF($D79="Nem",IF($M$13=0,1,$M$13),1),IF($D$4="Forint",0,2))</f>
        <v>0</v>
      </c>
      <c r="AG78" s="13">
        <f ca="1">IF($D$2="Egyszeri",IF($D$7&gt;=IF($D$4="Forint",Paraméterek!$P$223,Paraméterek!$P$224),$D$7-IF($D$4="Forint",Paraméterek!$P$223,Paraméterek!$P$224),0),MIN(IF($AB78=12,AVERAGEIF($E$20:$E78,"&gt;0",$E$20:$E78)*12,0),SUM($E$20:$E$31)))</f>
        <v>0</v>
      </c>
      <c r="AH78" s="13">
        <f>IF($AA78=10,$AG78*IF($AB78=12,IF($AG78&lt;IF($D$4="Forint",Paraméterek!$L$223,Paraméterek!$L$224),0,VLOOKUP($AA78,Paraméterek!$K$226:$M$228,IF($AG78&lt;IF($D$4="Forint",Paraméterek!$M$223,Paraméterek!$M$224),2,3))),0),0)</f>
        <v>0</v>
      </c>
      <c r="AI78" s="13">
        <f ca="1">IF(AND($AA78=$M$11+1,$AB78=$M$12+1),SUMIF($AA$20:$AA$1027,$AA78,$AG$20:$AG$1027)*IF(SUMIF($AA$20:$AA$1027,$AA78,$AG$20:$AG$1027)&lt;IF($D$4="Forint",Paraméterek!$L$223,Paraméterek!$L$224),0,VLOOKUP($AA78,Paraméterek!$K$230:$M$250,IF(SUMIF($AA$20:$AA$1027,$AA78,$AG$20:$AG$1027)&lt;IF($D$4="Forint",Paraméterek!$M$223,Paraméterek!$M$224),2,3))),0)</f>
        <v>0</v>
      </c>
      <c r="AJ78" s="13">
        <f ca="1">IF(AND($AA78&gt;=5,MOD($AA78,5)=0),IF($AB78=12,VLOOKUP($AA78,Paraméterek!$O$225:$P$240,2),0),IF(OR($AA78=3,$AA78=4),IF($AB78=12,VLOOKUP($AA78,Paraméterek!$O$225:$P$240,2,0),0),0))*$AG78</f>
        <v>0</v>
      </c>
      <c r="AK78" s="13">
        <f t="shared" ca="1" si="9"/>
        <v>0</v>
      </c>
      <c r="AL78" s="13">
        <f t="shared" ca="1" si="17"/>
        <v>0</v>
      </c>
      <c r="AM78" s="13">
        <f t="shared" ca="1" si="18"/>
        <v>0</v>
      </c>
      <c r="AO78" s="32">
        <v>59</v>
      </c>
      <c r="AP78" s="32">
        <v>5</v>
      </c>
      <c r="AQ78" s="32">
        <v>11</v>
      </c>
      <c r="AR78" s="13"/>
      <c r="AS78" s="32"/>
      <c r="AT78" s="13">
        <f t="shared" ca="1" si="19"/>
        <v>0</v>
      </c>
      <c r="AU78" s="33"/>
      <c r="AV78" s="13">
        <f t="shared" ca="1" si="10"/>
        <v>0</v>
      </c>
      <c r="AW78" s="13">
        <f ca="1">ROUNDUP(($AT78+$AV78)*VLOOKUP($AP78,Paraméterek!$P$38:$Q$38,2)/12*IF($D79="Nem",IF($M$13=0,1,$M$13),1),IF($D$4="Forint",0,2))</f>
        <v>0</v>
      </c>
      <c r="AX78" s="13"/>
      <c r="AY78" s="13"/>
      <c r="AZ78" s="13">
        <f>ROUNDUP(IF(SUM($AX78:$AY78)=0,0,IF(IF(ISBLANK($AY78),$AX78,$AY78)*Paraméterek!$J$112&lt;IF($D$4="Forint",Paraméterek!$J$113,Paraméterek!$K$113),IF($D$4="Forint",Paraméterek!$J$113,Paraméterek!$K$113),IF(IF(ISBLANK($AY78),$AX78,$AY78)*Paraméterek!$J$112&gt;IF($D$4="Forint",Paraméterek!$J$114,Paraméterek!$K$114),IF($D$4="Forint",Paraméterek!$J$114,Paraméterek!$K$114),IF(ISBLANK($AY78),$AX78,$AY78)*Paraméterek!$J$112))),IF($D$4="Forint",0,2))</f>
        <v>0</v>
      </c>
      <c r="BA78" s="13">
        <f ca="1">$AT78+$AV78-$AW78-IF(ROUNDDOWN(IF(ISBLANK($AY78),$AX78,$AY78),IF($D$4="Forint",0,2))&gt;$AT78+$AV78-$AW78-IF($D$4="Forint",Paraméterek!$J$114,Paraméterek!$K$114),0,ROUNDDOWN(IF(ISBLANK($AY78),$AX78,$AY78),IF($D$4="Forint",0,2))-$AZ78)</f>
        <v>0</v>
      </c>
      <c r="BB78" s="13">
        <f t="shared" ca="1" si="11"/>
        <v>0</v>
      </c>
      <c r="BD78" s="32">
        <v>59</v>
      </c>
      <c r="BE78" s="32">
        <v>5</v>
      </c>
      <c r="BF78" s="32">
        <v>11</v>
      </c>
      <c r="BG78" s="34">
        <f t="shared" ca="1" si="20"/>
        <v>2024</v>
      </c>
      <c r="BH78" s="32" t="str">
        <f ca="1">IF(MOD(MONTH($D$14)+$BD78-1,12)=Paraméterek!$C$288,"Igen","")</f>
        <v/>
      </c>
      <c r="BI78" s="13">
        <f ca="1">IF($BH78="Igen",MIN(ROUNDDOWN((SUMIF($BG$20:$BG$1027,$BG78-1,$K$20:$K$1027)-SUMIF($BG$20:$BG$1027,$BG78-1,$I$20:$I$1027))*Paraméterek!$C$289,IF($D$4="Forint",0,2)),IF($D$4="Forint",Paraméterek!$C$285,Paraméterek!$D$285)),0)</f>
        <v>0</v>
      </c>
      <c r="BJ78" s="13">
        <f t="shared" ca="1" si="12"/>
        <v>0</v>
      </c>
      <c r="BK78" s="13">
        <f t="shared" ca="1" si="21"/>
        <v>0</v>
      </c>
      <c r="BL78" s="33"/>
      <c r="BM78" s="13">
        <f t="shared" ca="1" si="13"/>
        <v>0</v>
      </c>
      <c r="BN78" s="13">
        <f ca="1">ROUNDUP(($BK78+$BM78)*VLOOKUP($BE78,Paraméterek!$P$38:$Q$38,2)/12*IF($D79="Nem",IF($M$13=0,1,$M$13),1),IF($D$4="Forint",0,2))</f>
        <v>0</v>
      </c>
      <c r="BO78" s="13">
        <f t="shared" ca="1" si="14"/>
        <v>0</v>
      </c>
      <c r="BP78" s="13">
        <f ca="1">IF($D79="Nem",$BO78,$BO78-ROUNDUP(SUM($BI$20:$BI78)*120%,IF($D$4="Forint",0,2)))</f>
        <v>0</v>
      </c>
    </row>
    <row r="79" spans="1:68" x14ac:dyDescent="0.2">
      <c r="A79" s="32">
        <v>60</v>
      </c>
      <c r="B79" s="32">
        <v>5</v>
      </c>
      <c r="C79" s="32">
        <v>12</v>
      </c>
      <c r="D79" s="32" t="str">
        <f t="shared" ca="1" si="0"/>
        <v>Nem</v>
      </c>
      <c r="E79" s="13">
        <f t="shared" ca="1" si="1"/>
        <v>0</v>
      </c>
      <c r="F79" s="13"/>
      <c r="G79" s="13"/>
      <c r="H79" s="13"/>
      <c r="I79" s="13">
        <f t="shared" ca="1" si="2"/>
        <v>0</v>
      </c>
      <c r="J79" s="13">
        <f t="shared" ca="1" si="3"/>
        <v>0</v>
      </c>
      <c r="K79" s="13">
        <f t="shared" ca="1" si="4"/>
        <v>0</v>
      </c>
      <c r="L79" s="13" t="e">
        <f ca="1">ROUNDUP(IF($D$2="Egyszeri",$E79,IF($D$2="Havi",SUM($E$20:$E$31),IF(MOD($C79,$M$1)-1=0,SUM($E$20:$E$31),0))/12*$M$1)*VLOOKUP($B79,Paraméterek!$I$28:$P$31,IF($D$2="Egyszeri",8,HLOOKUP(ROUNDUP($M$11+$M$13,0),Paraméterek!$J$26:$O$27,2))),IF($D$4="Forint",0,2))</f>
        <v>#N/A</v>
      </c>
      <c r="M79" s="13">
        <f t="shared" ca="1" si="5"/>
        <v>0</v>
      </c>
      <c r="N79" s="13">
        <f t="shared" ca="1" si="15"/>
        <v>0</v>
      </c>
      <c r="O79" s="13">
        <f ca="1">IF($D79="Igen",IF($W78&gt;=IF($D$4="Forint",Paraméterek!$J$121,Paraméterek!$K$121),0,IF($D$4="Forint",Paraméterek!$J$121,Paraméterek!$K$121)-$W78),0)</f>
        <v>0</v>
      </c>
      <c r="P79" s="13" t="e">
        <f ca="1">ROUNDUP($O79*VLOOKUP($M$4+$B79-1,Paraméterek!$H$58:$I$105,2,0)/Paraméterek!$I$56,IF($D$4="Forint",0,2))</f>
        <v>#N/A</v>
      </c>
      <c r="Q79" s="13">
        <f t="shared" ca="1" si="6"/>
        <v>0</v>
      </c>
      <c r="R79" s="33"/>
      <c r="S79" s="13" t="e">
        <f t="shared" ca="1" si="7"/>
        <v>#N/A</v>
      </c>
      <c r="T79" s="13" t="e">
        <f ca="1">ROUNDUP(($N79-$P79-$Q79+$S79)*VLOOKUP($B79,Paraméterek!$I$38:$K$39,IF($D$2="Egyszeri",3,2))/12*IF($D80="Nem",IF($M$13=0,1,$M$13),1),IF($D$4="Forint",0,2))</f>
        <v>#N/A</v>
      </c>
      <c r="U79" s="13">
        <f>Tranzakciók!$F$36</f>
        <v>0</v>
      </c>
      <c r="V79" s="13"/>
      <c r="W79" s="13" t="e">
        <f ca="1">$N79-$P79-$Q79+$S79-$T79-IF(ROUNDUP(IF(ISBLANK($V79),$U79*0,$V79)/IF($D$2="Egyszeri",VLOOKUP($B79+IF($C79=12,1,0),Paraméterek!$V$257:$W$262,2),IF($B79=1,1,VLOOKUP($B79+IF($C79=12,1,0),Paraméterek!$I$258:$T$278,HLOOKUP($M$11+1,Paraméterek!$J$256:$T$257,2)))),IF($D$4="Forint",0,2))&gt;$N79-$P79-$Q79+$S79-$T79-IF($D$4="Forint",Paraméterek!$C$216,Paraméterek!$D$216),0,ROUNDUP(IF(ISBLANK($V79),$U79*0,$V79)/IF($D$2="Egyszeri",VLOOKUP($B79+IF($C79=12,1,0),Paraméterek!$V$257:$W$262,2),IF($B79=1,1,VLOOKUP($B79+IF($C79=12,1,0),Paraméterek!$I$258:$T$278,HLOOKUP($M$11+1,Paraméterek!$J$256:$T$257,2)))),IF($D$4="Forint",0,2)))</f>
        <v>#N/A</v>
      </c>
      <c r="X79" s="13" t="e">
        <f ca="1">ROUNDDOWN($W79*IF($D$2="Egyszeri",VLOOKUP($B79+IF($C79=12,1,0),Paraméterek!$V$257:$W$262,2),VLOOKUP($B79+IF($C79=12,1,0),Paraméterek!$I$258:$T$278,HLOOKUP($M$11+1,Paraméterek!$I$256:$T$257,2))),IF($D$4="Forint",0,2))</f>
        <v>#N/A</v>
      </c>
      <c r="Z79" s="32">
        <v>60</v>
      </c>
      <c r="AA79" s="32">
        <v>5</v>
      </c>
      <c r="AB79" s="32">
        <v>12</v>
      </c>
      <c r="AC79" s="13">
        <f t="shared" ca="1" si="16"/>
        <v>0</v>
      </c>
      <c r="AD79" s="33"/>
      <c r="AE79" s="13">
        <f t="shared" ca="1" si="8"/>
        <v>0</v>
      </c>
      <c r="AF79" s="13">
        <f ca="1">ROUNDUP(($AC79+$AE79)*VLOOKUP($AA79,Paraméterek!$P$38:$Q$38,2)/12*IF($D80="Nem",IF($M$13=0,1,$M$13),1),IF($D$4="Forint",0,2))</f>
        <v>0</v>
      </c>
      <c r="AG79" s="13" t="e">
        <f ca="1">IF($D$2="Egyszeri",IF($D$7&gt;=IF($D$4="Forint",Paraméterek!$P$223,Paraméterek!$P$224),$D$7-IF($D$4="Forint",Paraméterek!$P$223,Paraméterek!$P$224),0),MIN(IF($AB79=12,AVERAGEIF($E$20:$E79,"&gt;0",$E$20:$E79)*12,0),SUM($E$20:$E$31)))</f>
        <v>#DIV/0!</v>
      </c>
      <c r="AH79" s="13">
        <f>IF($AA79=10,$AG79*IF($AB79=12,IF($AG79&lt;IF($D$4="Forint",Paraméterek!$L$223,Paraméterek!$L$224),0,VLOOKUP($AA79,Paraméterek!$K$226:$M$228,IF($AG79&lt;IF($D$4="Forint",Paraméterek!$M$223,Paraméterek!$M$224),2,3))),0),0)</f>
        <v>0</v>
      </c>
      <c r="AI79" s="13">
        <f ca="1">IF(AND($AA79=$M$11+1,$AB79=$M$12+1),SUMIF($AA$20:$AA$1027,$AA79,$AG$20:$AG$1027)*IF(SUMIF($AA$20:$AA$1027,$AA79,$AG$20:$AG$1027)&lt;IF($D$4="Forint",Paraméterek!$L$223,Paraméterek!$L$224),0,VLOOKUP($AA79,Paraméterek!$K$230:$M$250,IF(SUMIF($AA$20:$AA$1027,$AA79,$AG$20:$AG$1027)&lt;IF($D$4="Forint",Paraméterek!$M$223,Paraméterek!$M$224),2,3))),0)</f>
        <v>0</v>
      </c>
      <c r="AJ79" s="13" t="e">
        <f ca="1">IF(AND($AA79&gt;=5,MOD($AA79,5)=0),IF($AB79=12,VLOOKUP($AA79,Paraméterek!$O$225:$P$240,2),0),IF(OR($AA79=3,$AA79=4),IF($AB79=12,VLOOKUP($AA79,Paraméterek!$O$225:$P$240,2,0),0),0))*$AG79</f>
        <v>#DIV/0!</v>
      </c>
      <c r="AK79" s="13">
        <f t="shared" ca="1" si="9"/>
        <v>0</v>
      </c>
      <c r="AL79" s="13">
        <f t="shared" ca="1" si="17"/>
        <v>0</v>
      </c>
      <c r="AM79" s="13">
        <f t="shared" ca="1" si="18"/>
        <v>0</v>
      </c>
      <c r="AO79" s="32">
        <v>60</v>
      </c>
      <c r="AP79" s="32">
        <v>5</v>
      </c>
      <c r="AQ79" s="32">
        <v>12</v>
      </c>
      <c r="AR79" s="13"/>
      <c r="AS79" s="32"/>
      <c r="AT79" s="13">
        <f t="shared" ca="1" si="19"/>
        <v>0</v>
      </c>
      <c r="AU79" s="33"/>
      <c r="AV79" s="13">
        <f t="shared" ca="1" si="10"/>
        <v>0</v>
      </c>
      <c r="AW79" s="13">
        <f ca="1">ROUNDUP(($AT79+$AV79)*VLOOKUP($AP79,Paraméterek!$P$38:$Q$38,2)/12*IF($D80="Nem",IF($M$13=0,1,$M$13),1),IF($D$4="Forint",0,2))</f>
        <v>0</v>
      </c>
      <c r="AX79" s="13">
        <f>Tranzakciók!$M$36</f>
        <v>0</v>
      </c>
      <c r="AY79" s="13"/>
      <c r="AZ79" s="13">
        <f>ROUNDUP(IF(SUM($AX79:$AY79)=0,0,IF(IF(ISBLANK($AY79),$AX79,$AY79)*Paraméterek!$J$112&lt;IF($D$4="Forint",Paraméterek!$J$113,Paraméterek!$K$113),IF($D$4="Forint",Paraméterek!$J$113,Paraméterek!$K$113),IF(IF(ISBLANK($AY79),$AX79,$AY79)*Paraméterek!$J$112&gt;IF($D$4="Forint",Paraméterek!$J$114,Paraméterek!$K$114),IF($D$4="Forint",Paraméterek!$J$114,Paraméterek!$K$114),IF(ISBLANK($AY79),$AX79,$AY79)*Paraméterek!$J$112))),IF($D$4="Forint",0,2))</f>
        <v>0</v>
      </c>
      <c r="BA79" s="13">
        <f ca="1">$AT79+$AV79-$AW79-IF(ROUNDDOWN(IF(ISBLANK($AY79),$AX79,$AY79),IF($D$4="Forint",0,2))&gt;$AT79+$AV79-$AW79-IF($D$4="Forint",Paraméterek!$J$114,Paraméterek!$K$114),0,ROUNDDOWN(IF(ISBLANK($AY79),$AX79,$AY79),IF($D$4="Forint",0,2))-$AZ79)</f>
        <v>0</v>
      </c>
      <c r="BB79" s="13">
        <f t="shared" ca="1" si="11"/>
        <v>0</v>
      </c>
      <c r="BD79" s="32">
        <v>60</v>
      </c>
      <c r="BE79" s="32">
        <v>5</v>
      </c>
      <c r="BF79" s="32">
        <v>12</v>
      </c>
      <c r="BG79" s="34">
        <f t="shared" ca="1" si="20"/>
        <v>2024</v>
      </c>
      <c r="BH79" s="32" t="str">
        <f ca="1">IF(MOD(MONTH($D$14)+$BD79-1,12)=Paraméterek!$C$288,"Igen","")</f>
        <v/>
      </c>
      <c r="BI79" s="13">
        <f ca="1">IF($BH79="Igen",MIN(ROUNDDOWN((SUMIF($BG$20:$BG$1027,$BG79-1,$K$20:$K$1027)-SUMIF($BG$20:$BG$1027,$BG79-1,$I$20:$I$1027))*Paraméterek!$C$289,IF($D$4="Forint",0,2)),IF($D$4="Forint",Paraméterek!$C$285,Paraméterek!$D$285)),0)</f>
        <v>0</v>
      </c>
      <c r="BJ79" s="13">
        <f t="shared" ca="1" si="12"/>
        <v>0</v>
      </c>
      <c r="BK79" s="13">
        <f t="shared" ca="1" si="21"/>
        <v>0</v>
      </c>
      <c r="BL79" s="33"/>
      <c r="BM79" s="13">
        <f t="shared" ca="1" si="13"/>
        <v>0</v>
      </c>
      <c r="BN79" s="13">
        <f ca="1">ROUNDUP(($BK79+$BM79)*VLOOKUP($BE79,Paraméterek!$P$38:$Q$38,2)/12*IF($D80="Nem",IF($M$13=0,1,$M$13),1),IF($D$4="Forint",0,2))</f>
        <v>0</v>
      </c>
      <c r="BO79" s="13">
        <f t="shared" ca="1" si="14"/>
        <v>0</v>
      </c>
      <c r="BP79" s="13">
        <f ca="1">IF($D80="Nem",$BO79,$BO79-ROUNDUP(SUM($BI$20:$BI79)*120%,IF($D$4="Forint",0,2)))</f>
        <v>0</v>
      </c>
    </row>
    <row r="80" spans="1:68" x14ac:dyDescent="0.2">
      <c r="A80" s="32">
        <v>61</v>
      </c>
      <c r="B80" s="32">
        <v>6</v>
      </c>
      <c r="C80" s="32">
        <v>1</v>
      </c>
      <c r="D80" s="32" t="str">
        <f t="shared" ca="1" si="0"/>
        <v>Nem</v>
      </c>
      <c r="E80" s="13">
        <f t="shared" ca="1" si="1"/>
        <v>0</v>
      </c>
      <c r="F80" s="13"/>
      <c r="G80" s="13">
        <f>Tranzakciók!$D$37</f>
        <v>0</v>
      </c>
      <c r="H80" s="13"/>
      <c r="I80" s="13">
        <f t="shared" ca="1" si="2"/>
        <v>0</v>
      </c>
      <c r="J80" s="13">
        <f t="shared" ca="1" si="3"/>
        <v>0</v>
      </c>
      <c r="K80" s="13">
        <f t="shared" ca="1" si="4"/>
        <v>0</v>
      </c>
      <c r="L80" s="13" t="e">
        <f ca="1">ROUNDUP(IF($D$2="Egyszeri",$E80,IF($D$2="Havi",SUM($E$20:$E$31),IF(MOD($C80,$M$1)-1=0,SUM($E$20:$E$31),0))/12*$M$1)*VLOOKUP($B80,Paraméterek!$I$28:$P$31,IF($D$2="Egyszeri",8,HLOOKUP(ROUNDUP($M$11+$M$13,0),Paraméterek!$J$26:$O$27,2))),IF($D$4="Forint",0,2))</f>
        <v>#N/A</v>
      </c>
      <c r="M80" s="13">
        <f t="shared" ca="1" si="5"/>
        <v>0</v>
      </c>
      <c r="N80" s="13">
        <f t="shared" ca="1" si="15"/>
        <v>0</v>
      </c>
      <c r="O80" s="13">
        <f ca="1">IF($D80="Igen",IF($W79&gt;=IF($D$4="Forint",Paraméterek!$J$121,Paraméterek!$K$121),0,IF($D$4="Forint",Paraméterek!$J$121,Paraméterek!$K$121)-$W79),0)</f>
        <v>0</v>
      </c>
      <c r="P80" s="13" t="e">
        <f ca="1">ROUNDUP($O80*VLOOKUP($M$4+$B80-1,Paraméterek!$H$58:$I$105,2,0)/Paraméterek!$I$56,IF($D$4="Forint",0,2))</f>
        <v>#N/A</v>
      </c>
      <c r="Q80" s="13">
        <f t="shared" ca="1" si="6"/>
        <v>0</v>
      </c>
      <c r="R80" s="33"/>
      <c r="S80" s="13" t="e">
        <f t="shared" ca="1" si="7"/>
        <v>#N/A</v>
      </c>
      <c r="T80" s="13" t="e">
        <f ca="1">ROUNDUP(($N80-$P80-$Q80+$S80)*VLOOKUP($B80,Paraméterek!$I$38:$K$39,IF($D$2="Egyszeri",3,2))/12*IF($D81="Nem",IF($M$13=0,1,$M$13),1),IF($D$4="Forint",0,2))</f>
        <v>#N/A</v>
      </c>
      <c r="U80" s="13"/>
      <c r="V80" s="13"/>
      <c r="W80" s="13" t="e">
        <f ca="1">$N80-$P80-$Q80+$S80-$T80-IF(ROUNDUP(IF(ISBLANK($V80),$U80*0,$V80)/IF($D$2="Egyszeri",VLOOKUP($B80+IF($C80=12,1,0),Paraméterek!$V$257:$W$262,2),IF($B80=1,1,VLOOKUP($B80+IF($C80=12,1,0),Paraméterek!$I$258:$T$278,HLOOKUP($M$11+1,Paraméterek!$J$256:$T$257,2)))),IF($D$4="Forint",0,2))&gt;$N80-$P80-$Q80+$S80-$T80-IF($D$4="Forint",Paraméterek!$C$216,Paraméterek!$D$216),0,ROUNDUP(IF(ISBLANK($V80),$U80*0,$V80)/IF($D$2="Egyszeri",VLOOKUP($B80+IF($C80=12,1,0),Paraméterek!$V$257:$W$262,2),IF($B80=1,1,VLOOKUP($B80+IF($C80=12,1,0),Paraméterek!$I$258:$T$278,HLOOKUP($M$11+1,Paraméterek!$J$256:$T$257,2)))),IF($D$4="Forint",0,2)))</f>
        <v>#N/A</v>
      </c>
      <c r="X80" s="13" t="e">
        <f ca="1">ROUNDDOWN($W80*IF($D$2="Egyszeri",VLOOKUP($B80+IF($C80=12,1,0),Paraméterek!$V$257:$W$262,2),VLOOKUP($B80+IF($C80=12,1,0),Paraméterek!$I$258:$T$278,HLOOKUP($M$11+1,Paraméterek!$I$256:$T$257,2))),IF($D$4="Forint",0,2))</f>
        <v>#N/A</v>
      </c>
      <c r="Z80" s="32">
        <v>61</v>
      </c>
      <c r="AA80" s="32">
        <v>6</v>
      </c>
      <c r="AB80" s="32">
        <v>1</v>
      </c>
      <c r="AC80" s="13">
        <f t="shared" ca="1" si="16"/>
        <v>0</v>
      </c>
      <c r="AD80" s="33"/>
      <c r="AE80" s="13">
        <f t="shared" ca="1" si="8"/>
        <v>0</v>
      </c>
      <c r="AF80" s="13">
        <f ca="1">ROUNDUP(($AC80+$AE80)*VLOOKUP($AA80,Paraméterek!$P$38:$Q$38,2)/12*IF($D81="Nem",IF($M$13=0,1,$M$13),1),IF($D$4="Forint",0,2))</f>
        <v>0</v>
      </c>
      <c r="AG80" s="13">
        <f ca="1">IF($D$2="Egyszeri",IF($D$7&gt;=IF($D$4="Forint",Paraméterek!$P$223,Paraméterek!$P$224),$D$7-IF($D$4="Forint",Paraméterek!$P$223,Paraméterek!$P$224),0),MIN(IF($AB80=12,AVERAGEIF($E$20:$E80,"&gt;0",$E$20:$E80)*12,0),SUM($E$20:$E$31)))</f>
        <v>0</v>
      </c>
      <c r="AH80" s="13">
        <f>IF($AA80=10,$AG80*IF($AB80=12,IF($AG80&lt;IF($D$4="Forint",Paraméterek!$L$223,Paraméterek!$L$224),0,VLOOKUP($AA80,Paraméterek!$K$226:$M$228,IF($AG80&lt;IF($D$4="Forint",Paraméterek!$M$223,Paraméterek!$M$224),2,3))),0),0)</f>
        <v>0</v>
      </c>
      <c r="AI80" s="13">
        <f ca="1">IF(AND($AA80=$M$11+1,$AB80=$M$12+1),SUMIF($AA$20:$AA$1027,$AA80,$AG$20:$AG$1027)*IF(SUMIF($AA$20:$AA$1027,$AA80,$AG$20:$AG$1027)&lt;IF($D$4="Forint",Paraméterek!$L$223,Paraméterek!$L$224),0,VLOOKUP($AA80,Paraméterek!$K$230:$M$250,IF(SUMIF($AA$20:$AA$1027,$AA80,$AG$20:$AG$1027)&lt;IF($D$4="Forint",Paraméterek!$M$223,Paraméterek!$M$224),2,3))),0)</f>
        <v>0</v>
      </c>
      <c r="AJ80" s="13">
        <f ca="1">IF(AND($AA80&gt;=5,MOD($AA80,5)=0),IF($AB80=12,VLOOKUP($AA80,Paraméterek!$O$225:$P$240,2),0),IF(OR($AA80=3,$AA80=4),IF($AB80=12,VLOOKUP($AA80,Paraméterek!$O$225:$P$240,2,0),0),0))*$AG80</f>
        <v>0</v>
      </c>
      <c r="AK80" s="13">
        <f t="shared" ca="1" si="9"/>
        <v>0</v>
      </c>
      <c r="AL80" s="13">
        <f t="shared" ca="1" si="17"/>
        <v>0</v>
      </c>
      <c r="AM80" s="13">
        <f t="shared" ca="1" si="18"/>
        <v>0</v>
      </c>
      <c r="AO80" s="32">
        <v>61</v>
      </c>
      <c r="AP80" s="32">
        <v>6</v>
      </c>
      <c r="AQ80" s="32">
        <v>1</v>
      </c>
      <c r="AR80" s="13">
        <f>Tranzakciók!$K$37</f>
        <v>0</v>
      </c>
      <c r="AS80" s="32"/>
      <c r="AT80" s="13">
        <f t="shared" ca="1" si="19"/>
        <v>0</v>
      </c>
      <c r="AU80" s="33"/>
      <c r="AV80" s="13">
        <f t="shared" ca="1" si="10"/>
        <v>0</v>
      </c>
      <c r="AW80" s="13">
        <f ca="1">ROUNDUP(($AT80+$AV80)*VLOOKUP($AP80,Paraméterek!$P$38:$Q$38,2)/12*IF($D81="Nem",IF($M$13=0,1,$M$13),1),IF($D$4="Forint",0,2))</f>
        <v>0</v>
      </c>
      <c r="AX80" s="13"/>
      <c r="AY80" s="13"/>
      <c r="AZ80" s="13">
        <f>ROUNDUP(IF(SUM($AX80:$AY80)=0,0,IF(IF(ISBLANK($AY80),$AX80,$AY80)*Paraméterek!$J$112&lt;IF($D$4="Forint",Paraméterek!$J$113,Paraméterek!$K$113),IF($D$4="Forint",Paraméterek!$J$113,Paraméterek!$K$113),IF(IF(ISBLANK($AY80),$AX80,$AY80)*Paraméterek!$J$112&gt;IF($D$4="Forint",Paraméterek!$J$114,Paraméterek!$K$114),IF($D$4="Forint",Paraméterek!$J$114,Paraméterek!$K$114),IF(ISBLANK($AY80),$AX80,$AY80)*Paraméterek!$J$112))),IF($D$4="Forint",0,2))</f>
        <v>0</v>
      </c>
      <c r="BA80" s="13">
        <f ca="1">$AT80+$AV80-$AW80-IF(ROUNDDOWN(IF(ISBLANK($AY80),$AX80,$AY80),IF($D$4="Forint",0,2))&gt;$AT80+$AV80-$AW80-IF($D$4="Forint",Paraméterek!$J$114,Paraméterek!$K$114),0,ROUNDDOWN(IF(ISBLANK($AY80),$AX80,$AY80),IF($D$4="Forint",0,2))-$AZ80)</f>
        <v>0</v>
      </c>
      <c r="BB80" s="13">
        <f t="shared" ca="1" si="11"/>
        <v>0</v>
      </c>
      <c r="BD80" s="32">
        <v>61</v>
      </c>
      <c r="BE80" s="32">
        <v>6</v>
      </c>
      <c r="BF80" s="32">
        <v>1</v>
      </c>
      <c r="BG80" s="34">
        <f t="shared" ca="1" si="20"/>
        <v>2024</v>
      </c>
      <c r="BH80" s="32" t="str">
        <f ca="1">IF(MOD(MONTH($D$14)+$BD80-1,12)=Paraméterek!$C$288,"Igen","")</f>
        <v/>
      </c>
      <c r="BI80" s="13">
        <f ca="1">IF($BH80="Igen",MIN(ROUNDDOWN((SUMIF($BG$20:$BG$1027,$BG80-1,$K$20:$K$1027)-SUMIF($BG$20:$BG$1027,$BG80-1,$I$20:$I$1027))*Paraméterek!$C$289,IF($D$4="Forint",0,2)),IF($D$4="Forint",Paraméterek!$C$285,Paraméterek!$D$285)),0)</f>
        <v>0</v>
      </c>
      <c r="BJ80" s="13">
        <f t="shared" ca="1" si="12"/>
        <v>0</v>
      </c>
      <c r="BK80" s="13">
        <f t="shared" ca="1" si="21"/>
        <v>0</v>
      </c>
      <c r="BL80" s="33"/>
      <c r="BM80" s="13">
        <f t="shared" ca="1" si="13"/>
        <v>0</v>
      </c>
      <c r="BN80" s="13">
        <f ca="1">ROUNDUP(($BK80+$BM80)*VLOOKUP($BE80,Paraméterek!$P$38:$Q$38,2)/12*IF($D81="Nem",IF($M$13=0,1,$M$13),1),IF($D$4="Forint",0,2))</f>
        <v>0</v>
      </c>
      <c r="BO80" s="13">
        <f t="shared" ca="1" si="14"/>
        <v>0</v>
      </c>
      <c r="BP80" s="13">
        <f ca="1">IF($D81="Nem",$BO80,$BO80-ROUNDUP(SUM($BI$20:$BI80)*120%,IF($D$4="Forint",0,2)))</f>
        <v>0</v>
      </c>
    </row>
    <row r="81" spans="1:68" x14ac:dyDescent="0.2">
      <c r="A81" s="32">
        <v>62</v>
      </c>
      <c r="B81" s="32">
        <v>6</v>
      </c>
      <c r="C81" s="32">
        <v>2</v>
      </c>
      <c r="D81" s="32" t="str">
        <f t="shared" ca="1" si="0"/>
        <v>Nem</v>
      </c>
      <c r="E81" s="13">
        <f t="shared" ca="1" si="1"/>
        <v>0</v>
      </c>
      <c r="F81" s="13"/>
      <c r="G81" s="13"/>
      <c r="H81" s="13"/>
      <c r="I81" s="13">
        <f t="shared" ca="1" si="2"/>
        <v>0</v>
      </c>
      <c r="J81" s="13">
        <f t="shared" ca="1" si="3"/>
        <v>0</v>
      </c>
      <c r="K81" s="13">
        <f t="shared" ca="1" si="4"/>
        <v>0</v>
      </c>
      <c r="L81" s="13" t="e">
        <f ca="1">ROUNDUP(IF($D$2="Egyszeri",$E81,IF($D$2="Havi",SUM($E$20:$E$31),IF(MOD($C81,$M$1)-1=0,SUM($E$20:$E$31),0))/12*$M$1)*VLOOKUP($B81,Paraméterek!$I$28:$P$31,IF($D$2="Egyszeri",8,HLOOKUP(ROUNDUP($M$11+$M$13,0),Paraméterek!$J$26:$O$27,2))),IF($D$4="Forint",0,2))</f>
        <v>#N/A</v>
      </c>
      <c r="M81" s="13">
        <f t="shared" ca="1" si="5"/>
        <v>0</v>
      </c>
      <c r="N81" s="13">
        <f t="shared" ca="1" si="15"/>
        <v>0</v>
      </c>
      <c r="O81" s="13">
        <f ca="1">IF($D81="Igen",IF($W80&gt;=IF($D$4="Forint",Paraméterek!$J$121,Paraméterek!$K$121),0,IF($D$4="Forint",Paraméterek!$J$121,Paraméterek!$K$121)-$W80),0)</f>
        <v>0</v>
      </c>
      <c r="P81" s="13" t="e">
        <f ca="1">ROUNDUP($O81*VLOOKUP($M$4+$B81-1,Paraméterek!$H$58:$I$105,2,0)/Paraméterek!$I$56,IF($D$4="Forint",0,2))</f>
        <v>#N/A</v>
      </c>
      <c r="Q81" s="13">
        <f t="shared" ca="1" si="6"/>
        <v>0</v>
      </c>
      <c r="R81" s="33"/>
      <c r="S81" s="13" t="e">
        <f t="shared" ca="1" si="7"/>
        <v>#N/A</v>
      </c>
      <c r="T81" s="13" t="e">
        <f ca="1">ROUNDUP(($N81-$P81-$Q81+$S81)*VLOOKUP($B81,Paraméterek!$I$38:$K$39,IF($D$2="Egyszeri",3,2))/12*IF($D82="Nem",IF($M$13=0,1,$M$13),1),IF($D$4="Forint",0,2))</f>
        <v>#N/A</v>
      </c>
      <c r="U81" s="13"/>
      <c r="V81" s="13"/>
      <c r="W81" s="13" t="e">
        <f ca="1">$N81-$P81-$Q81+$S81-$T81-IF(ROUNDUP(IF(ISBLANK($V81),$U81*0,$V81)/IF($D$2="Egyszeri",VLOOKUP($B81+IF($C81=12,1,0),Paraméterek!$V$257:$W$262,2),IF($B81=1,1,VLOOKUP($B81+IF($C81=12,1,0),Paraméterek!$I$258:$T$278,HLOOKUP($M$11+1,Paraméterek!$J$256:$T$257,2)))),IF($D$4="Forint",0,2))&gt;$N81-$P81-$Q81+$S81-$T81-IF($D$4="Forint",Paraméterek!$C$216,Paraméterek!$D$216),0,ROUNDUP(IF(ISBLANK($V81),$U81*0,$V81)/IF($D$2="Egyszeri",VLOOKUP($B81+IF($C81=12,1,0),Paraméterek!$V$257:$W$262,2),IF($B81=1,1,VLOOKUP($B81+IF($C81=12,1,0),Paraméterek!$I$258:$T$278,HLOOKUP($M$11+1,Paraméterek!$J$256:$T$257,2)))),IF($D$4="Forint",0,2)))</f>
        <v>#N/A</v>
      </c>
      <c r="X81" s="13" t="e">
        <f ca="1">ROUNDDOWN($W81*IF($D$2="Egyszeri",VLOOKUP($B81+IF($C81=12,1,0),Paraméterek!$V$257:$W$262,2),VLOOKUP($B81+IF($C81=12,1,0),Paraméterek!$I$258:$T$278,HLOOKUP($M$11+1,Paraméterek!$I$256:$T$257,2))),IF($D$4="Forint",0,2))</f>
        <v>#N/A</v>
      </c>
      <c r="Z81" s="32">
        <v>62</v>
      </c>
      <c r="AA81" s="32">
        <v>6</v>
      </c>
      <c r="AB81" s="32">
        <v>2</v>
      </c>
      <c r="AC81" s="13">
        <f t="shared" ca="1" si="16"/>
        <v>0</v>
      </c>
      <c r="AD81" s="33"/>
      <c r="AE81" s="13">
        <f t="shared" ca="1" si="8"/>
        <v>0</v>
      </c>
      <c r="AF81" s="13">
        <f ca="1">ROUNDUP(($AC81+$AE81)*VLOOKUP($AA81,Paraméterek!$P$38:$Q$38,2)/12*IF($D82="Nem",IF($M$13=0,1,$M$13),1),IF($D$4="Forint",0,2))</f>
        <v>0</v>
      </c>
      <c r="AG81" s="13">
        <f ca="1">IF($D$2="Egyszeri",IF($D$7&gt;=IF($D$4="Forint",Paraméterek!$P$223,Paraméterek!$P$224),$D$7-IF($D$4="Forint",Paraméterek!$P$223,Paraméterek!$P$224),0),MIN(IF($AB81=12,AVERAGEIF($E$20:$E81,"&gt;0",$E$20:$E81)*12,0),SUM($E$20:$E$31)))</f>
        <v>0</v>
      </c>
      <c r="AH81" s="13">
        <f>IF($AA81=10,$AG81*IF($AB81=12,IF($AG81&lt;IF($D$4="Forint",Paraméterek!$L$223,Paraméterek!$L$224),0,VLOOKUP($AA81,Paraméterek!$K$226:$M$228,IF($AG81&lt;IF($D$4="Forint",Paraméterek!$M$223,Paraméterek!$M$224),2,3))),0),0)</f>
        <v>0</v>
      </c>
      <c r="AI81" s="13">
        <f ca="1">IF(AND($AA81=$M$11+1,$AB81=$M$12+1),SUMIF($AA$20:$AA$1027,$AA81,$AG$20:$AG$1027)*IF(SUMIF($AA$20:$AA$1027,$AA81,$AG$20:$AG$1027)&lt;IF($D$4="Forint",Paraméterek!$L$223,Paraméterek!$L$224),0,VLOOKUP($AA81,Paraméterek!$K$230:$M$250,IF(SUMIF($AA$20:$AA$1027,$AA81,$AG$20:$AG$1027)&lt;IF($D$4="Forint",Paraméterek!$M$223,Paraméterek!$M$224),2,3))),0)</f>
        <v>0</v>
      </c>
      <c r="AJ81" s="13">
        <f ca="1">IF(AND($AA81&gt;=5,MOD($AA81,5)=0),IF($AB81=12,VLOOKUP($AA81,Paraméterek!$O$225:$P$240,2),0),IF(OR($AA81=3,$AA81=4),IF($AB81=12,VLOOKUP($AA81,Paraméterek!$O$225:$P$240,2,0),0),0))*$AG81</f>
        <v>0</v>
      </c>
      <c r="AK81" s="13">
        <f t="shared" ca="1" si="9"/>
        <v>0</v>
      </c>
      <c r="AL81" s="13">
        <f t="shared" ca="1" si="17"/>
        <v>0</v>
      </c>
      <c r="AM81" s="13">
        <f t="shared" ca="1" si="18"/>
        <v>0</v>
      </c>
      <c r="AO81" s="32">
        <v>62</v>
      </c>
      <c r="AP81" s="32">
        <v>6</v>
      </c>
      <c r="AQ81" s="32">
        <v>2</v>
      </c>
      <c r="AR81" s="13"/>
      <c r="AS81" s="32"/>
      <c r="AT81" s="13">
        <f t="shared" ca="1" si="19"/>
        <v>0</v>
      </c>
      <c r="AU81" s="33"/>
      <c r="AV81" s="13">
        <f t="shared" ca="1" si="10"/>
        <v>0</v>
      </c>
      <c r="AW81" s="13">
        <f ca="1">ROUNDUP(($AT81+$AV81)*VLOOKUP($AP81,Paraméterek!$P$38:$Q$38,2)/12*IF($D82="Nem",IF($M$13=0,1,$M$13),1),IF($D$4="Forint",0,2))</f>
        <v>0</v>
      </c>
      <c r="AX81" s="13"/>
      <c r="AY81" s="13"/>
      <c r="AZ81" s="13">
        <f>ROUNDUP(IF(SUM($AX81:$AY81)=0,0,IF(IF(ISBLANK($AY81),$AX81,$AY81)*Paraméterek!$J$112&lt;IF($D$4="Forint",Paraméterek!$J$113,Paraméterek!$K$113),IF($D$4="Forint",Paraméterek!$J$113,Paraméterek!$K$113),IF(IF(ISBLANK($AY81),$AX81,$AY81)*Paraméterek!$J$112&gt;IF($D$4="Forint",Paraméterek!$J$114,Paraméterek!$K$114),IF($D$4="Forint",Paraméterek!$J$114,Paraméterek!$K$114),IF(ISBLANK($AY81),$AX81,$AY81)*Paraméterek!$J$112))),IF($D$4="Forint",0,2))</f>
        <v>0</v>
      </c>
      <c r="BA81" s="13">
        <f ca="1">$AT81+$AV81-$AW81-IF(ROUNDDOWN(IF(ISBLANK($AY81),$AX81,$AY81),IF($D$4="Forint",0,2))&gt;$AT81+$AV81-$AW81-IF($D$4="Forint",Paraméterek!$J$114,Paraméterek!$K$114),0,ROUNDDOWN(IF(ISBLANK($AY81),$AX81,$AY81),IF($D$4="Forint",0,2))-$AZ81)</f>
        <v>0</v>
      </c>
      <c r="BB81" s="13">
        <f t="shared" ca="1" si="11"/>
        <v>0</v>
      </c>
      <c r="BD81" s="32">
        <v>62</v>
      </c>
      <c r="BE81" s="32">
        <v>6</v>
      </c>
      <c r="BF81" s="32">
        <v>2</v>
      </c>
      <c r="BG81" s="34">
        <f t="shared" ca="1" si="20"/>
        <v>2024</v>
      </c>
      <c r="BH81" s="32" t="str">
        <f ca="1">IF(MOD(MONTH($D$14)+$BD81-1,12)=Paraméterek!$C$288,"Igen","")</f>
        <v>Igen</v>
      </c>
      <c r="BI81" s="13">
        <f ca="1">IF($BH81="Igen",MIN(ROUNDDOWN((SUMIF($BG$20:$BG$1027,$BG81-1,$K$20:$K$1027)-SUMIF($BG$20:$BG$1027,$BG81-1,$I$20:$I$1027))*Paraméterek!$C$289,IF($D$4="Forint",0,2)),IF($D$4="Forint",Paraméterek!$C$285,Paraméterek!$D$285)),0)</f>
        <v>0</v>
      </c>
      <c r="BJ81" s="13">
        <f t="shared" ca="1" si="12"/>
        <v>0</v>
      </c>
      <c r="BK81" s="13">
        <f t="shared" ca="1" si="21"/>
        <v>0</v>
      </c>
      <c r="BL81" s="33"/>
      <c r="BM81" s="13">
        <f t="shared" ca="1" si="13"/>
        <v>0</v>
      </c>
      <c r="BN81" s="13">
        <f ca="1">ROUNDUP(($BK81+$BM81)*VLOOKUP($BE81,Paraméterek!$P$38:$Q$38,2)/12*IF($D82="Nem",IF($M$13=0,1,$M$13),1),IF($D$4="Forint",0,2))</f>
        <v>0</v>
      </c>
      <c r="BO81" s="13">
        <f t="shared" ca="1" si="14"/>
        <v>0</v>
      </c>
      <c r="BP81" s="13">
        <f ca="1">IF($D82="Nem",$BO81,$BO81-ROUNDUP(SUM($BI$20:$BI81)*120%,IF($D$4="Forint",0,2)))</f>
        <v>0</v>
      </c>
    </row>
    <row r="82" spans="1:68" x14ac:dyDescent="0.2">
      <c r="A82" s="32">
        <v>63</v>
      </c>
      <c r="B82" s="32">
        <v>6</v>
      </c>
      <c r="C82" s="32">
        <v>3</v>
      </c>
      <c r="D82" s="32" t="str">
        <f t="shared" ca="1" si="0"/>
        <v>Nem</v>
      </c>
      <c r="E82" s="13">
        <f t="shared" ca="1" si="1"/>
        <v>0</v>
      </c>
      <c r="F82" s="13"/>
      <c r="G82" s="13"/>
      <c r="H82" s="13"/>
      <c r="I82" s="13">
        <f t="shared" ca="1" si="2"/>
        <v>0</v>
      </c>
      <c r="J82" s="13">
        <f t="shared" ca="1" si="3"/>
        <v>0</v>
      </c>
      <c r="K82" s="13">
        <f t="shared" ca="1" si="4"/>
        <v>0</v>
      </c>
      <c r="L82" s="13" t="e">
        <f ca="1">ROUNDUP(IF($D$2="Egyszeri",$E82,IF($D$2="Havi",SUM($E$20:$E$31),IF(MOD($C82,$M$1)-1=0,SUM($E$20:$E$31),0))/12*$M$1)*VLOOKUP($B82,Paraméterek!$I$28:$P$31,IF($D$2="Egyszeri",8,HLOOKUP(ROUNDUP($M$11+$M$13,0),Paraméterek!$J$26:$O$27,2))),IF($D$4="Forint",0,2))</f>
        <v>#N/A</v>
      </c>
      <c r="M82" s="13">
        <f t="shared" ca="1" si="5"/>
        <v>0</v>
      </c>
      <c r="N82" s="13">
        <f t="shared" ca="1" si="15"/>
        <v>0</v>
      </c>
      <c r="O82" s="13">
        <f ca="1">IF($D82="Igen",IF($W81&gt;=IF($D$4="Forint",Paraméterek!$J$121,Paraméterek!$K$121),0,IF($D$4="Forint",Paraméterek!$J$121,Paraméterek!$K$121)-$W81),0)</f>
        <v>0</v>
      </c>
      <c r="P82" s="13" t="e">
        <f ca="1">ROUNDUP($O82*VLOOKUP($M$4+$B82-1,Paraméterek!$H$58:$I$105,2,0)/Paraméterek!$I$56,IF($D$4="Forint",0,2))</f>
        <v>#N/A</v>
      </c>
      <c r="Q82" s="13">
        <f t="shared" ca="1" si="6"/>
        <v>0</v>
      </c>
      <c r="R82" s="33"/>
      <c r="S82" s="13" t="e">
        <f t="shared" ca="1" si="7"/>
        <v>#N/A</v>
      </c>
      <c r="T82" s="13" t="e">
        <f ca="1">ROUNDUP(($N82-$P82-$Q82+$S82)*VLOOKUP($B82,Paraméterek!$I$38:$K$39,IF($D$2="Egyszeri",3,2))/12*IF($D83="Nem",IF($M$13=0,1,$M$13),1),IF($D$4="Forint",0,2))</f>
        <v>#N/A</v>
      </c>
      <c r="U82" s="13"/>
      <c r="V82" s="13"/>
      <c r="W82" s="13" t="e">
        <f ca="1">$N82-$P82-$Q82+$S82-$T82-IF(ROUNDUP(IF(ISBLANK($V82),$U82*0,$V82)/IF($D$2="Egyszeri",VLOOKUP($B82+IF($C82=12,1,0),Paraméterek!$V$257:$W$262,2),IF($B82=1,1,VLOOKUP($B82+IF($C82=12,1,0),Paraméterek!$I$258:$T$278,HLOOKUP($M$11+1,Paraméterek!$J$256:$T$257,2)))),IF($D$4="Forint",0,2))&gt;$N82-$P82-$Q82+$S82-$T82-IF($D$4="Forint",Paraméterek!$C$216,Paraméterek!$D$216),0,ROUNDUP(IF(ISBLANK($V82),$U82*0,$V82)/IF($D$2="Egyszeri",VLOOKUP($B82+IF($C82=12,1,0),Paraméterek!$V$257:$W$262,2),IF($B82=1,1,VLOOKUP($B82+IF($C82=12,1,0),Paraméterek!$I$258:$T$278,HLOOKUP($M$11+1,Paraméterek!$J$256:$T$257,2)))),IF($D$4="Forint",0,2)))</f>
        <v>#N/A</v>
      </c>
      <c r="X82" s="13" t="e">
        <f ca="1">ROUNDDOWN($W82*IF($D$2="Egyszeri",VLOOKUP($B82+IF($C82=12,1,0),Paraméterek!$V$257:$W$262,2),VLOOKUP($B82+IF($C82=12,1,0),Paraméterek!$I$258:$T$278,HLOOKUP($M$11+1,Paraméterek!$I$256:$T$257,2))),IF($D$4="Forint",0,2))</f>
        <v>#N/A</v>
      </c>
      <c r="Z82" s="32">
        <v>63</v>
      </c>
      <c r="AA82" s="32">
        <v>6</v>
      </c>
      <c r="AB82" s="32">
        <v>3</v>
      </c>
      <c r="AC82" s="13">
        <f t="shared" ca="1" si="16"/>
        <v>0</v>
      </c>
      <c r="AD82" s="33"/>
      <c r="AE82" s="13">
        <f t="shared" ca="1" si="8"/>
        <v>0</v>
      </c>
      <c r="AF82" s="13">
        <f ca="1">ROUNDUP(($AC82+$AE82)*VLOOKUP($AA82,Paraméterek!$P$38:$Q$38,2)/12*IF($D83="Nem",IF($M$13=0,1,$M$13),1),IF($D$4="Forint",0,2))</f>
        <v>0</v>
      </c>
      <c r="AG82" s="13">
        <f ca="1">IF($D$2="Egyszeri",IF($D$7&gt;=IF($D$4="Forint",Paraméterek!$P$223,Paraméterek!$P$224),$D$7-IF($D$4="Forint",Paraméterek!$P$223,Paraméterek!$P$224),0),MIN(IF($AB82=12,AVERAGEIF($E$20:$E82,"&gt;0",$E$20:$E82)*12,0),SUM($E$20:$E$31)))</f>
        <v>0</v>
      </c>
      <c r="AH82" s="13">
        <f>IF($AA82=10,$AG82*IF($AB82=12,IF($AG82&lt;IF($D$4="Forint",Paraméterek!$L$223,Paraméterek!$L$224),0,VLOOKUP($AA82,Paraméterek!$K$226:$M$228,IF($AG82&lt;IF($D$4="Forint",Paraméterek!$M$223,Paraméterek!$M$224),2,3))),0),0)</f>
        <v>0</v>
      </c>
      <c r="AI82" s="13">
        <f ca="1">IF(AND($AA82=$M$11+1,$AB82=$M$12+1),SUMIF($AA$20:$AA$1027,$AA82,$AG$20:$AG$1027)*IF(SUMIF($AA$20:$AA$1027,$AA82,$AG$20:$AG$1027)&lt;IF($D$4="Forint",Paraméterek!$L$223,Paraméterek!$L$224),0,VLOOKUP($AA82,Paraméterek!$K$230:$M$250,IF(SUMIF($AA$20:$AA$1027,$AA82,$AG$20:$AG$1027)&lt;IF($D$4="Forint",Paraméterek!$M$223,Paraméterek!$M$224),2,3))),0)</f>
        <v>0</v>
      </c>
      <c r="AJ82" s="13">
        <f ca="1">IF(AND($AA82&gt;=5,MOD($AA82,5)=0),IF($AB82=12,VLOOKUP($AA82,Paraméterek!$O$225:$P$240,2),0),IF(OR($AA82=3,$AA82=4),IF($AB82=12,VLOOKUP($AA82,Paraméterek!$O$225:$P$240,2,0),0),0))*$AG82</f>
        <v>0</v>
      </c>
      <c r="AK82" s="13">
        <f t="shared" ca="1" si="9"/>
        <v>0</v>
      </c>
      <c r="AL82" s="13">
        <f t="shared" ca="1" si="17"/>
        <v>0</v>
      </c>
      <c r="AM82" s="13">
        <f t="shared" ca="1" si="18"/>
        <v>0</v>
      </c>
      <c r="AO82" s="32">
        <v>63</v>
      </c>
      <c r="AP82" s="32">
        <v>6</v>
      </c>
      <c r="AQ82" s="32">
        <v>3</v>
      </c>
      <c r="AR82" s="13"/>
      <c r="AS82" s="32"/>
      <c r="AT82" s="13">
        <f t="shared" ca="1" si="19"/>
        <v>0</v>
      </c>
      <c r="AU82" s="33"/>
      <c r="AV82" s="13">
        <f t="shared" ca="1" si="10"/>
        <v>0</v>
      </c>
      <c r="AW82" s="13">
        <f ca="1">ROUNDUP(($AT82+$AV82)*VLOOKUP($AP82,Paraméterek!$P$38:$Q$38,2)/12*IF($D83="Nem",IF($M$13=0,1,$M$13),1),IF($D$4="Forint",0,2))</f>
        <v>0</v>
      </c>
      <c r="AX82" s="13"/>
      <c r="AY82" s="13"/>
      <c r="AZ82" s="13">
        <f>ROUNDUP(IF(SUM($AX82:$AY82)=0,0,IF(IF(ISBLANK($AY82),$AX82,$AY82)*Paraméterek!$J$112&lt;IF($D$4="Forint",Paraméterek!$J$113,Paraméterek!$K$113),IF($D$4="Forint",Paraméterek!$J$113,Paraméterek!$K$113),IF(IF(ISBLANK($AY82),$AX82,$AY82)*Paraméterek!$J$112&gt;IF($D$4="Forint",Paraméterek!$J$114,Paraméterek!$K$114),IF($D$4="Forint",Paraméterek!$J$114,Paraméterek!$K$114),IF(ISBLANK($AY82),$AX82,$AY82)*Paraméterek!$J$112))),IF($D$4="Forint",0,2))</f>
        <v>0</v>
      </c>
      <c r="BA82" s="13">
        <f ca="1">$AT82+$AV82-$AW82-IF(ROUNDDOWN(IF(ISBLANK($AY82),$AX82,$AY82),IF($D$4="Forint",0,2))&gt;$AT82+$AV82-$AW82-IF($D$4="Forint",Paraméterek!$J$114,Paraméterek!$K$114),0,ROUNDDOWN(IF(ISBLANK($AY82),$AX82,$AY82),IF($D$4="Forint",0,2))-$AZ82)</f>
        <v>0</v>
      </c>
      <c r="BB82" s="13">
        <f t="shared" ca="1" si="11"/>
        <v>0</v>
      </c>
      <c r="BD82" s="32">
        <v>63</v>
      </c>
      <c r="BE82" s="32">
        <v>6</v>
      </c>
      <c r="BF82" s="32">
        <v>3</v>
      </c>
      <c r="BG82" s="34">
        <f t="shared" ca="1" si="20"/>
        <v>2024</v>
      </c>
      <c r="BH82" s="32" t="str">
        <f ca="1">IF(MOD(MONTH($D$14)+$BD82-1,12)=Paraméterek!$C$288,"Igen","")</f>
        <v/>
      </c>
      <c r="BI82" s="13">
        <f ca="1">IF($BH82="Igen",MIN(ROUNDDOWN((SUMIF($BG$20:$BG$1027,$BG82-1,$K$20:$K$1027)-SUMIF($BG$20:$BG$1027,$BG82-1,$I$20:$I$1027))*Paraméterek!$C$289,IF($D$4="Forint",0,2)),IF($D$4="Forint",Paraméterek!$C$285,Paraméterek!$D$285)),0)</f>
        <v>0</v>
      </c>
      <c r="BJ82" s="13">
        <f t="shared" ca="1" si="12"/>
        <v>0</v>
      </c>
      <c r="BK82" s="13">
        <f t="shared" ca="1" si="21"/>
        <v>0</v>
      </c>
      <c r="BL82" s="33"/>
      <c r="BM82" s="13">
        <f t="shared" ca="1" si="13"/>
        <v>0</v>
      </c>
      <c r="BN82" s="13">
        <f ca="1">ROUNDUP(($BK82+$BM82)*VLOOKUP($BE82,Paraméterek!$P$38:$Q$38,2)/12*IF($D83="Nem",IF($M$13=0,1,$M$13),1),IF($D$4="Forint",0,2))</f>
        <v>0</v>
      </c>
      <c r="BO82" s="13">
        <f t="shared" ca="1" si="14"/>
        <v>0</v>
      </c>
      <c r="BP82" s="13">
        <f ca="1">IF($D83="Nem",$BO82,$BO82-ROUNDUP(SUM($BI$20:$BI82)*120%,IF($D$4="Forint",0,2)))</f>
        <v>0</v>
      </c>
    </row>
    <row r="83" spans="1:68" x14ac:dyDescent="0.2">
      <c r="A83" s="32">
        <v>64</v>
      </c>
      <c r="B83" s="32">
        <v>6</v>
      </c>
      <c r="C83" s="32">
        <v>4</v>
      </c>
      <c r="D83" s="32" t="str">
        <f t="shared" ca="1" si="0"/>
        <v>Nem</v>
      </c>
      <c r="E83" s="13">
        <f t="shared" ca="1" si="1"/>
        <v>0</v>
      </c>
      <c r="F83" s="13"/>
      <c r="G83" s="13"/>
      <c r="H83" s="13"/>
      <c r="I83" s="13">
        <f t="shared" ca="1" si="2"/>
        <v>0</v>
      </c>
      <c r="J83" s="13">
        <f t="shared" ca="1" si="3"/>
        <v>0</v>
      </c>
      <c r="K83" s="13">
        <f t="shared" ca="1" si="4"/>
        <v>0</v>
      </c>
      <c r="L83" s="13" t="e">
        <f ca="1">ROUNDUP(IF($D$2="Egyszeri",$E83,IF($D$2="Havi",SUM($E$20:$E$31),IF(MOD($C83,$M$1)-1=0,SUM($E$20:$E$31),0))/12*$M$1)*VLOOKUP($B83,Paraméterek!$I$28:$P$31,IF($D$2="Egyszeri",8,HLOOKUP(ROUNDUP($M$11+$M$13,0),Paraméterek!$J$26:$O$27,2))),IF($D$4="Forint",0,2))</f>
        <v>#N/A</v>
      </c>
      <c r="M83" s="13">
        <f t="shared" ca="1" si="5"/>
        <v>0</v>
      </c>
      <c r="N83" s="13">
        <f t="shared" ca="1" si="15"/>
        <v>0</v>
      </c>
      <c r="O83" s="13">
        <f ca="1">IF($D83="Igen",IF($W82&gt;=IF($D$4="Forint",Paraméterek!$J$121,Paraméterek!$K$121),0,IF($D$4="Forint",Paraméterek!$J$121,Paraméterek!$K$121)-$W82),0)</f>
        <v>0</v>
      </c>
      <c r="P83" s="13" t="e">
        <f ca="1">ROUNDUP($O83*VLOOKUP($M$4+$B83-1,Paraméterek!$H$58:$I$105,2,0)/Paraméterek!$I$56,IF($D$4="Forint",0,2))</f>
        <v>#N/A</v>
      </c>
      <c r="Q83" s="13">
        <f t="shared" ca="1" si="6"/>
        <v>0</v>
      </c>
      <c r="R83" s="33"/>
      <c r="S83" s="13" t="e">
        <f t="shared" ca="1" si="7"/>
        <v>#N/A</v>
      </c>
      <c r="T83" s="13" t="e">
        <f ca="1">ROUNDUP(($N83-$P83-$Q83+$S83)*VLOOKUP($B83,Paraméterek!$I$38:$K$39,IF($D$2="Egyszeri",3,2))/12*IF($D84="Nem",IF($M$13=0,1,$M$13),1),IF($D$4="Forint",0,2))</f>
        <v>#N/A</v>
      </c>
      <c r="U83" s="13"/>
      <c r="V83" s="13"/>
      <c r="W83" s="13" t="e">
        <f ca="1">$N83-$P83-$Q83+$S83-$T83-IF(ROUNDUP(IF(ISBLANK($V83),$U83*0,$V83)/IF($D$2="Egyszeri",VLOOKUP($B83+IF($C83=12,1,0),Paraméterek!$V$257:$W$262,2),IF($B83=1,1,VLOOKUP($B83+IF($C83=12,1,0),Paraméterek!$I$258:$T$278,HLOOKUP($M$11+1,Paraméterek!$J$256:$T$257,2)))),IF($D$4="Forint",0,2))&gt;$N83-$P83-$Q83+$S83-$T83-IF($D$4="Forint",Paraméterek!$C$216,Paraméterek!$D$216),0,ROUNDUP(IF(ISBLANK($V83),$U83*0,$V83)/IF($D$2="Egyszeri",VLOOKUP($B83+IF($C83=12,1,0),Paraméterek!$V$257:$W$262,2),IF($B83=1,1,VLOOKUP($B83+IF($C83=12,1,0),Paraméterek!$I$258:$T$278,HLOOKUP($M$11+1,Paraméterek!$J$256:$T$257,2)))),IF($D$4="Forint",0,2)))</f>
        <v>#N/A</v>
      </c>
      <c r="X83" s="13" t="e">
        <f ca="1">ROUNDDOWN($W83*IF($D$2="Egyszeri",VLOOKUP($B83+IF($C83=12,1,0),Paraméterek!$V$257:$W$262,2),VLOOKUP($B83+IF($C83=12,1,0),Paraméterek!$I$258:$T$278,HLOOKUP($M$11+1,Paraméterek!$I$256:$T$257,2))),IF($D$4="Forint",0,2))</f>
        <v>#N/A</v>
      </c>
      <c r="Z83" s="32">
        <v>64</v>
      </c>
      <c r="AA83" s="32">
        <v>6</v>
      </c>
      <c r="AB83" s="32">
        <v>4</v>
      </c>
      <c r="AC83" s="13">
        <f t="shared" ca="1" si="16"/>
        <v>0</v>
      </c>
      <c r="AD83" s="33"/>
      <c r="AE83" s="13">
        <f t="shared" ca="1" si="8"/>
        <v>0</v>
      </c>
      <c r="AF83" s="13">
        <f ca="1">ROUNDUP(($AC83+$AE83)*VLOOKUP($AA83,Paraméterek!$P$38:$Q$38,2)/12*IF($D84="Nem",IF($M$13=0,1,$M$13),1),IF($D$4="Forint",0,2))</f>
        <v>0</v>
      </c>
      <c r="AG83" s="13">
        <f ca="1">IF($D$2="Egyszeri",IF($D$7&gt;=IF($D$4="Forint",Paraméterek!$P$223,Paraméterek!$P$224),$D$7-IF($D$4="Forint",Paraméterek!$P$223,Paraméterek!$P$224),0),MIN(IF($AB83=12,AVERAGEIF($E$20:$E83,"&gt;0",$E$20:$E83)*12,0),SUM($E$20:$E$31)))</f>
        <v>0</v>
      </c>
      <c r="AH83" s="13">
        <f>IF($AA83=10,$AG83*IF($AB83=12,IF($AG83&lt;IF($D$4="Forint",Paraméterek!$L$223,Paraméterek!$L$224),0,VLOOKUP($AA83,Paraméterek!$K$226:$M$228,IF($AG83&lt;IF($D$4="Forint",Paraméterek!$M$223,Paraméterek!$M$224),2,3))),0),0)</f>
        <v>0</v>
      </c>
      <c r="AI83" s="13">
        <f ca="1">IF(AND($AA83=$M$11+1,$AB83=$M$12+1),SUMIF($AA$20:$AA$1027,$AA83,$AG$20:$AG$1027)*IF(SUMIF($AA$20:$AA$1027,$AA83,$AG$20:$AG$1027)&lt;IF($D$4="Forint",Paraméterek!$L$223,Paraméterek!$L$224),0,VLOOKUP($AA83,Paraméterek!$K$230:$M$250,IF(SUMIF($AA$20:$AA$1027,$AA83,$AG$20:$AG$1027)&lt;IF($D$4="Forint",Paraméterek!$M$223,Paraméterek!$M$224),2,3))),0)</f>
        <v>0</v>
      </c>
      <c r="AJ83" s="13">
        <f ca="1">IF(AND($AA83&gt;=5,MOD($AA83,5)=0),IF($AB83=12,VLOOKUP($AA83,Paraméterek!$O$225:$P$240,2),0),IF(OR($AA83=3,$AA83=4),IF($AB83=12,VLOOKUP($AA83,Paraméterek!$O$225:$P$240,2,0),0),0))*$AG83</f>
        <v>0</v>
      </c>
      <c r="AK83" s="13">
        <f t="shared" ca="1" si="9"/>
        <v>0</v>
      </c>
      <c r="AL83" s="13">
        <f t="shared" ca="1" si="17"/>
        <v>0</v>
      </c>
      <c r="AM83" s="13">
        <f t="shared" ca="1" si="18"/>
        <v>0</v>
      </c>
      <c r="AO83" s="32">
        <v>64</v>
      </c>
      <c r="AP83" s="32">
        <v>6</v>
      </c>
      <c r="AQ83" s="32">
        <v>4</v>
      </c>
      <c r="AR83" s="13"/>
      <c r="AS83" s="32"/>
      <c r="AT83" s="13">
        <f t="shared" ca="1" si="19"/>
        <v>0</v>
      </c>
      <c r="AU83" s="33"/>
      <c r="AV83" s="13">
        <f t="shared" ca="1" si="10"/>
        <v>0</v>
      </c>
      <c r="AW83" s="13">
        <f ca="1">ROUNDUP(($AT83+$AV83)*VLOOKUP($AP83,Paraméterek!$P$38:$Q$38,2)/12*IF($D84="Nem",IF($M$13=0,1,$M$13),1),IF($D$4="Forint",0,2))</f>
        <v>0</v>
      </c>
      <c r="AX83" s="13"/>
      <c r="AY83" s="13"/>
      <c r="AZ83" s="13">
        <f>ROUNDUP(IF(SUM($AX83:$AY83)=0,0,IF(IF(ISBLANK($AY83),$AX83,$AY83)*Paraméterek!$J$112&lt;IF($D$4="Forint",Paraméterek!$J$113,Paraméterek!$K$113),IF($D$4="Forint",Paraméterek!$J$113,Paraméterek!$K$113),IF(IF(ISBLANK($AY83),$AX83,$AY83)*Paraméterek!$J$112&gt;IF($D$4="Forint",Paraméterek!$J$114,Paraméterek!$K$114),IF($D$4="Forint",Paraméterek!$J$114,Paraméterek!$K$114),IF(ISBLANK($AY83),$AX83,$AY83)*Paraméterek!$J$112))),IF($D$4="Forint",0,2))</f>
        <v>0</v>
      </c>
      <c r="BA83" s="13">
        <f ca="1">$AT83+$AV83-$AW83-IF(ROUNDDOWN(IF(ISBLANK($AY83),$AX83,$AY83),IF($D$4="Forint",0,2))&gt;$AT83+$AV83-$AW83-IF($D$4="Forint",Paraméterek!$J$114,Paraméterek!$K$114),0,ROUNDDOWN(IF(ISBLANK($AY83),$AX83,$AY83),IF($D$4="Forint",0,2))-$AZ83)</f>
        <v>0</v>
      </c>
      <c r="BB83" s="13">
        <f t="shared" ca="1" si="11"/>
        <v>0</v>
      </c>
      <c r="BD83" s="32">
        <v>64</v>
      </c>
      <c r="BE83" s="32">
        <v>6</v>
      </c>
      <c r="BF83" s="32">
        <v>4</v>
      </c>
      <c r="BG83" s="34">
        <f t="shared" ca="1" si="20"/>
        <v>2024</v>
      </c>
      <c r="BH83" s="32" t="str">
        <f ca="1">IF(MOD(MONTH($D$14)+$BD83-1,12)=Paraméterek!$C$288,"Igen","")</f>
        <v/>
      </c>
      <c r="BI83" s="13">
        <f ca="1">IF($BH83="Igen",MIN(ROUNDDOWN((SUMIF($BG$20:$BG$1027,$BG83-1,$K$20:$K$1027)-SUMIF($BG$20:$BG$1027,$BG83-1,$I$20:$I$1027))*Paraméterek!$C$289,IF($D$4="Forint",0,2)),IF($D$4="Forint",Paraméterek!$C$285,Paraméterek!$D$285)),0)</f>
        <v>0</v>
      </c>
      <c r="BJ83" s="13">
        <f t="shared" ca="1" si="12"/>
        <v>0</v>
      </c>
      <c r="BK83" s="13">
        <f t="shared" ca="1" si="21"/>
        <v>0</v>
      </c>
      <c r="BL83" s="33"/>
      <c r="BM83" s="13">
        <f t="shared" ca="1" si="13"/>
        <v>0</v>
      </c>
      <c r="BN83" s="13">
        <f ca="1">ROUNDUP(($BK83+$BM83)*VLOOKUP($BE83,Paraméterek!$P$38:$Q$38,2)/12*IF($D84="Nem",IF($M$13=0,1,$M$13),1),IF($D$4="Forint",0,2))</f>
        <v>0</v>
      </c>
      <c r="BO83" s="13">
        <f t="shared" ca="1" si="14"/>
        <v>0</v>
      </c>
      <c r="BP83" s="13">
        <f ca="1">IF($D84="Nem",$BO83,$BO83-ROUNDUP(SUM($BI$20:$BI83)*120%,IF($D$4="Forint",0,2)))</f>
        <v>0</v>
      </c>
    </row>
    <row r="84" spans="1:68" x14ac:dyDescent="0.2">
      <c r="A84" s="32">
        <v>65</v>
      </c>
      <c r="B84" s="32">
        <v>6</v>
      </c>
      <c r="C84" s="32">
        <v>5</v>
      </c>
      <c r="D84" s="32" t="str">
        <f t="shared" ca="1" si="0"/>
        <v>Nem</v>
      </c>
      <c r="E84" s="13">
        <f t="shared" ca="1" si="1"/>
        <v>0</v>
      </c>
      <c r="F84" s="13"/>
      <c r="G84" s="13"/>
      <c r="H84" s="13"/>
      <c r="I84" s="13">
        <f t="shared" ca="1" si="2"/>
        <v>0</v>
      </c>
      <c r="J84" s="13">
        <f t="shared" ca="1" si="3"/>
        <v>0</v>
      </c>
      <c r="K84" s="13">
        <f t="shared" ca="1" si="4"/>
        <v>0</v>
      </c>
      <c r="L84" s="13" t="e">
        <f ca="1">ROUNDUP(IF($D$2="Egyszeri",$E84,IF($D$2="Havi",SUM($E$20:$E$31),IF(MOD($C84,$M$1)-1=0,SUM($E$20:$E$31),0))/12*$M$1)*VLOOKUP($B84,Paraméterek!$I$28:$P$31,IF($D$2="Egyszeri",8,HLOOKUP(ROUNDUP($M$11+$M$13,0),Paraméterek!$J$26:$O$27,2))),IF($D$4="Forint",0,2))</f>
        <v>#N/A</v>
      </c>
      <c r="M84" s="13">
        <f t="shared" ca="1" si="5"/>
        <v>0</v>
      </c>
      <c r="N84" s="13">
        <f t="shared" ca="1" si="15"/>
        <v>0</v>
      </c>
      <c r="O84" s="13">
        <f ca="1">IF($D84="Igen",IF($W83&gt;=IF($D$4="Forint",Paraméterek!$J$121,Paraméterek!$K$121),0,IF($D$4="Forint",Paraméterek!$J$121,Paraméterek!$K$121)-$W83),0)</f>
        <v>0</v>
      </c>
      <c r="P84" s="13" t="e">
        <f ca="1">ROUNDUP($O84*VLOOKUP($M$4+$B84-1,Paraméterek!$H$58:$I$105,2,0)/Paraméterek!$I$56,IF($D$4="Forint",0,2))</f>
        <v>#N/A</v>
      </c>
      <c r="Q84" s="13">
        <f t="shared" ca="1" si="6"/>
        <v>0</v>
      </c>
      <c r="R84" s="33"/>
      <c r="S84" s="13" t="e">
        <f t="shared" ca="1" si="7"/>
        <v>#N/A</v>
      </c>
      <c r="T84" s="13" t="e">
        <f ca="1">ROUNDUP(($N84-$P84-$Q84+$S84)*VLOOKUP($B84,Paraméterek!$I$38:$K$39,IF($D$2="Egyszeri",3,2))/12*IF($D85="Nem",IF($M$13=0,1,$M$13),1),IF($D$4="Forint",0,2))</f>
        <v>#N/A</v>
      </c>
      <c r="U84" s="13"/>
      <c r="V84" s="13"/>
      <c r="W84" s="13" t="e">
        <f ca="1">$N84-$P84-$Q84+$S84-$T84-IF(ROUNDUP(IF(ISBLANK($V84),$U84*0,$V84)/IF($D$2="Egyszeri",VLOOKUP($B84+IF($C84=12,1,0),Paraméterek!$V$257:$W$262,2),IF($B84=1,1,VLOOKUP($B84+IF($C84=12,1,0),Paraméterek!$I$258:$T$278,HLOOKUP($M$11+1,Paraméterek!$J$256:$T$257,2)))),IF($D$4="Forint",0,2))&gt;$N84-$P84-$Q84+$S84-$T84-IF($D$4="Forint",Paraméterek!$C$216,Paraméterek!$D$216),0,ROUNDUP(IF(ISBLANK($V84),$U84*0,$V84)/IF($D$2="Egyszeri",VLOOKUP($B84+IF($C84=12,1,0),Paraméterek!$V$257:$W$262,2),IF($B84=1,1,VLOOKUP($B84+IF($C84=12,1,0),Paraméterek!$I$258:$T$278,HLOOKUP($M$11+1,Paraméterek!$J$256:$T$257,2)))),IF($D$4="Forint",0,2)))</f>
        <v>#N/A</v>
      </c>
      <c r="X84" s="13" t="e">
        <f ca="1">ROUNDDOWN($W84*IF($D$2="Egyszeri",VLOOKUP($B84+IF($C84=12,1,0),Paraméterek!$V$257:$W$262,2),VLOOKUP($B84+IF($C84=12,1,0),Paraméterek!$I$258:$T$278,HLOOKUP($M$11+1,Paraméterek!$I$256:$T$257,2))),IF($D$4="Forint",0,2))</f>
        <v>#N/A</v>
      </c>
      <c r="Z84" s="32">
        <v>65</v>
      </c>
      <c r="AA84" s="32">
        <v>6</v>
      </c>
      <c r="AB84" s="32">
        <v>5</v>
      </c>
      <c r="AC84" s="13">
        <f t="shared" ca="1" si="16"/>
        <v>0</v>
      </c>
      <c r="AD84" s="33"/>
      <c r="AE84" s="13">
        <f t="shared" ca="1" si="8"/>
        <v>0</v>
      </c>
      <c r="AF84" s="13">
        <f ca="1">ROUNDUP(($AC84+$AE84)*VLOOKUP($AA84,Paraméterek!$P$38:$Q$38,2)/12*IF($D85="Nem",IF($M$13=0,1,$M$13),1),IF($D$4="Forint",0,2))</f>
        <v>0</v>
      </c>
      <c r="AG84" s="13">
        <f ca="1">IF($D$2="Egyszeri",IF($D$7&gt;=IF($D$4="Forint",Paraméterek!$P$223,Paraméterek!$P$224),$D$7-IF($D$4="Forint",Paraméterek!$P$223,Paraméterek!$P$224),0),MIN(IF($AB84=12,AVERAGEIF($E$20:$E84,"&gt;0",$E$20:$E84)*12,0),SUM($E$20:$E$31)))</f>
        <v>0</v>
      </c>
      <c r="AH84" s="13">
        <f>IF($AA84=10,$AG84*IF($AB84=12,IF($AG84&lt;IF($D$4="Forint",Paraméterek!$L$223,Paraméterek!$L$224),0,VLOOKUP($AA84,Paraméterek!$K$226:$M$228,IF($AG84&lt;IF($D$4="Forint",Paraméterek!$M$223,Paraméterek!$M$224),2,3))),0),0)</f>
        <v>0</v>
      </c>
      <c r="AI84" s="13">
        <f ca="1">IF(AND($AA84=$M$11+1,$AB84=$M$12+1),SUMIF($AA$20:$AA$1027,$AA84,$AG$20:$AG$1027)*IF(SUMIF($AA$20:$AA$1027,$AA84,$AG$20:$AG$1027)&lt;IF($D$4="Forint",Paraméterek!$L$223,Paraméterek!$L$224),0,VLOOKUP($AA84,Paraméterek!$K$230:$M$250,IF(SUMIF($AA$20:$AA$1027,$AA84,$AG$20:$AG$1027)&lt;IF($D$4="Forint",Paraméterek!$M$223,Paraméterek!$M$224),2,3))),0)</f>
        <v>0</v>
      </c>
      <c r="AJ84" s="13">
        <f ca="1">IF(AND($AA84&gt;=5,MOD($AA84,5)=0),IF($AB84=12,VLOOKUP($AA84,Paraméterek!$O$225:$P$240,2),0),IF(OR($AA84=3,$AA84=4),IF($AB84=12,VLOOKUP($AA84,Paraméterek!$O$225:$P$240,2,0),0),0))*$AG84</f>
        <v>0</v>
      </c>
      <c r="AK84" s="13">
        <f t="shared" ca="1" si="9"/>
        <v>0</v>
      </c>
      <c r="AL84" s="13">
        <f t="shared" ca="1" si="17"/>
        <v>0</v>
      </c>
      <c r="AM84" s="13">
        <f t="shared" ca="1" si="18"/>
        <v>0</v>
      </c>
      <c r="AO84" s="32">
        <v>65</v>
      </c>
      <c r="AP84" s="32">
        <v>6</v>
      </c>
      <c r="AQ84" s="32">
        <v>5</v>
      </c>
      <c r="AR84" s="13"/>
      <c r="AS84" s="32"/>
      <c r="AT84" s="13">
        <f t="shared" ca="1" si="19"/>
        <v>0</v>
      </c>
      <c r="AU84" s="33"/>
      <c r="AV84" s="13">
        <f t="shared" ca="1" si="10"/>
        <v>0</v>
      </c>
      <c r="AW84" s="13">
        <f ca="1">ROUNDUP(($AT84+$AV84)*VLOOKUP($AP84,Paraméterek!$P$38:$Q$38,2)/12*IF($D85="Nem",IF($M$13=0,1,$M$13),1),IF($D$4="Forint",0,2))</f>
        <v>0</v>
      </c>
      <c r="AX84" s="13"/>
      <c r="AY84" s="13"/>
      <c r="AZ84" s="13">
        <f>ROUNDUP(IF(SUM($AX84:$AY84)=0,0,IF(IF(ISBLANK($AY84),$AX84,$AY84)*Paraméterek!$J$112&lt;IF($D$4="Forint",Paraméterek!$J$113,Paraméterek!$K$113),IF($D$4="Forint",Paraméterek!$J$113,Paraméterek!$K$113),IF(IF(ISBLANK($AY84),$AX84,$AY84)*Paraméterek!$J$112&gt;IF($D$4="Forint",Paraméterek!$J$114,Paraméterek!$K$114),IF($D$4="Forint",Paraméterek!$J$114,Paraméterek!$K$114),IF(ISBLANK($AY84),$AX84,$AY84)*Paraméterek!$J$112))),IF($D$4="Forint",0,2))</f>
        <v>0</v>
      </c>
      <c r="BA84" s="13">
        <f ca="1">$AT84+$AV84-$AW84-IF(ROUNDDOWN(IF(ISBLANK($AY84),$AX84,$AY84),IF($D$4="Forint",0,2))&gt;$AT84+$AV84-$AW84-IF($D$4="Forint",Paraméterek!$J$114,Paraméterek!$K$114),0,ROUNDDOWN(IF(ISBLANK($AY84),$AX84,$AY84),IF($D$4="Forint",0,2))-$AZ84)</f>
        <v>0</v>
      </c>
      <c r="BB84" s="13">
        <f t="shared" ca="1" si="11"/>
        <v>0</v>
      </c>
      <c r="BD84" s="32">
        <v>65</v>
      </c>
      <c r="BE84" s="32">
        <v>6</v>
      </c>
      <c r="BF84" s="32">
        <v>5</v>
      </c>
      <c r="BG84" s="34">
        <f t="shared" ca="1" si="20"/>
        <v>2024</v>
      </c>
      <c r="BH84" s="32" t="str">
        <f ca="1">IF(MOD(MONTH($D$14)+$BD84-1,12)=Paraméterek!$C$288,"Igen","")</f>
        <v/>
      </c>
      <c r="BI84" s="13">
        <f ca="1">IF($BH84="Igen",MIN(ROUNDDOWN((SUMIF($BG$20:$BG$1027,$BG84-1,$K$20:$K$1027)-SUMIF($BG$20:$BG$1027,$BG84-1,$I$20:$I$1027))*Paraméterek!$C$289,IF($D$4="Forint",0,2)),IF($D$4="Forint",Paraméterek!$C$285,Paraméterek!$D$285)),0)</f>
        <v>0</v>
      </c>
      <c r="BJ84" s="13">
        <f t="shared" ca="1" si="12"/>
        <v>0</v>
      </c>
      <c r="BK84" s="13">
        <f t="shared" ca="1" si="21"/>
        <v>0</v>
      </c>
      <c r="BL84" s="33"/>
      <c r="BM84" s="13">
        <f t="shared" ca="1" si="13"/>
        <v>0</v>
      </c>
      <c r="BN84" s="13">
        <f ca="1">ROUNDUP(($BK84+$BM84)*VLOOKUP($BE84,Paraméterek!$P$38:$Q$38,2)/12*IF($D85="Nem",IF($M$13=0,1,$M$13),1),IF($D$4="Forint",0,2))</f>
        <v>0</v>
      </c>
      <c r="BO84" s="13">
        <f t="shared" ca="1" si="14"/>
        <v>0</v>
      </c>
      <c r="BP84" s="13">
        <f ca="1">IF($D85="Nem",$BO84,$BO84-ROUNDUP(SUM($BI$20:$BI84)*120%,IF($D$4="Forint",0,2)))</f>
        <v>0</v>
      </c>
    </row>
    <row r="85" spans="1:68" x14ac:dyDescent="0.2">
      <c r="A85" s="32">
        <v>66</v>
      </c>
      <c r="B85" s="32">
        <v>6</v>
      </c>
      <c r="C85" s="32">
        <v>6</v>
      </c>
      <c r="D85" s="32" t="str">
        <f t="shared" ref="D85:D148" ca="1" si="22">IF($B85&lt;$M$11+1,"Igen",IF($B85&gt;$M$11+1,"Nem",IF($C85&lt;=$M$12+IF($M$13&gt;0,1,0),"Igen","Nem")))</f>
        <v>Nem</v>
      </c>
      <c r="E85" s="13">
        <f t="shared" ref="E85:E148" ca="1" si="23">IF($D85="Igen",IF($D$2="Egyszeri",IF($A85=1,$D$7,0),ROUNDUP(IF($D$2="Havi",$D$7,IF(MOD($C85,$M$1)-1=0,$D$7,0))*(1+$D$6)^($B85-1),IF($D$4="Forint",0,2))),0)</f>
        <v>0</v>
      </c>
      <c r="F85" s="13"/>
      <c r="G85" s="13"/>
      <c r="H85" s="13"/>
      <c r="I85" s="13">
        <f t="shared" ref="I85:I148" ca="1" si="24">ROUNDUP(IF(AND($D$8="Nincs",$D$2&lt;&gt;"Egyszeri"),$E85*10%,0),IF($D$4="Forint",0,2))</f>
        <v>0</v>
      </c>
      <c r="J85" s="13">
        <f t="shared" ref="J85:J148" ca="1" si="25">IF($D85="Igen",IF($D$2="Egyszeri",IF($A85=1,$M$3,0),ROUNDUP(IF($D$2="Havi",$M$3,IF(MOD($C85,$M$1)-1=0,$M$3,0))*(1+$M$2)^($B85-1),IF($D$4="Forint",0,2))),0)</f>
        <v>0</v>
      </c>
      <c r="K85" s="13">
        <f t="shared" ref="K85:K148" ca="1" si="26">IF($D85="Igen",IF(ISBLANK($F85),$E85,$F85)+IF(ISBLANK($H85),$G85,$H85)+$I85+$J85,0)</f>
        <v>0</v>
      </c>
      <c r="L85" s="13" t="e">
        <f ca="1">ROUNDUP(IF($D$2="Egyszeri",$E85,IF($D$2="Havi",SUM($E$20:$E$31),IF(MOD($C85,$M$1)-1=0,SUM($E$20:$E$31),0))/12*$M$1)*VLOOKUP($B85,Paraméterek!$I$28:$P$31,IF($D$2="Egyszeri",8,HLOOKUP(ROUNDUP($M$11+$M$13,0),Paraméterek!$J$26:$O$27,2))),IF($D$4="Forint",0,2))</f>
        <v>#N/A</v>
      </c>
      <c r="M85" s="13">
        <f t="shared" ref="M85:M148" ca="1" si="27">IF($D85="Igen",$E85-$L85+IF(ISBLANK($H85),$G85,$H85),0)</f>
        <v>0</v>
      </c>
      <c r="N85" s="13">
        <f t="shared" ca="1" si="15"/>
        <v>0</v>
      </c>
      <c r="O85" s="13">
        <f ca="1">IF($D85="Igen",IF($W84&gt;=IF($D$4="Forint",Paraméterek!$J$121,Paraméterek!$K$121),0,IF($D$4="Forint",Paraméterek!$J$121,Paraméterek!$K$121)-$W84),0)</f>
        <v>0</v>
      </c>
      <c r="P85" s="13" t="e">
        <f ca="1">ROUNDUP($O85*VLOOKUP($M$4+$B85-1,Paraméterek!$H$58:$I$105,2,0)/Paraméterek!$I$56,IF($D$4="Forint",0,2))</f>
        <v>#N/A</v>
      </c>
      <c r="Q85" s="13">
        <f t="shared" ref="Q85:Q148" ca="1" si="28">IF($D85="Igen",ROUNDUP($M$5*(1+$M$2)^($B85-1),IF($D$4="Forint",0,2)),0)</f>
        <v>0</v>
      </c>
      <c r="R85" s="33"/>
      <c r="S85" s="13" t="e">
        <f t="shared" ref="S85:S148" ca="1" si="29">ROUNDDOWN(($N85-$P85-$Q85)*IF(ISBLANK($R85),$M$6,$R85)*IF($D86="Nem",IF($M$13=0,1,$M$13),1),IF($D$4="Forint",0,2))</f>
        <v>#N/A</v>
      </c>
      <c r="T85" s="13" t="e">
        <f ca="1">ROUNDUP(($N85-$P85-$Q85+$S85)*VLOOKUP($B85,Paraméterek!$I$38:$K$39,IF($D$2="Egyszeri",3,2))/12*IF($D86="Nem",IF($M$13=0,1,$M$13),1),IF($D$4="Forint",0,2))</f>
        <v>#N/A</v>
      </c>
      <c r="U85" s="13"/>
      <c r="V85" s="13"/>
      <c r="W85" s="13" t="e">
        <f ca="1">$N85-$P85-$Q85+$S85-$T85-IF(ROUNDUP(IF(ISBLANK($V85),$U85*0,$V85)/IF($D$2="Egyszeri",VLOOKUP($B85+IF($C85=12,1,0),Paraméterek!$V$257:$W$262,2),IF($B85=1,1,VLOOKUP($B85+IF($C85=12,1,0),Paraméterek!$I$258:$T$278,HLOOKUP($M$11+1,Paraméterek!$J$256:$T$257,2)))),IF($D$4="Forint",0,2))&gt;$N85-$P85-$Q85+$S85-$T85-IF($D$4="Forint",Paraméterek!$C$216,Paraméterek!$D$216),0,ROUNDUP(IF(ISBLANK($V85),$U85*0,$V85)/IF($D$2="Egyszeri",VLOOKUP($B85+IF($C85=12,1,0),Paraméterek!$V$257:$W$262,2),IF($B85=1,1,VLOOKUP($B85+IF($C85=12,1,0),Paraméterek!$I$258:$T$278,HLOOKUP($M$11+1,Paraméterek!$J$256:$T$257,2)))),IF($D$4="Forint",0,2)))</f>
        <v>#N/A</v>
      </c>
      <c r="X85" s="13" t="e">
        <f ca="1">ROUNDDOWN($W85*IF($D$2="Egyszeri",VLOOKUP($B85+IF($C85=12,1,0),Paraméterek!$V$257:$W$262,2),VLOOKUP($B85+IF($C85=12,1,0),Paraméterek!$I$258:$T$278,HLOOKUP($M$11+1,Paraméterek!$I$256:$T$257,2))),IF($D$4="Forint",0,2))</f>
        <v>#N/A</v>
      </c>
      <c r="Z85" s="32">
        <v>66</v>
      </c>
      <c r="AA85" s="32">
        <v>6</v>
      </c>
      <c r="AB85" s="32">
        <v>6</v>
      </c>
      <c r="AC85" s="13">
        <f t="shared" ca="1" si="16"/>
        <v>0</v>
      </c>
      <c r="AD85" s="33"/>
      <c r="AE85" s="13">
        <f t="shared" ref="AE85:AE148" ca="1" si="30">ROUNDDOWN($AC85*IF(ISBLANK($AD85),$M$8,$AD85)*IF($D86="Nem",IF($M$13=0,1,$M$13),1),IF($D$4="Forint",0,2))</f>
        <v>0</v>
      </c>
      <c r="AF85" s="13">
        <f ca="1">ROUNDUP(($AC85+$AE85)*VLOOKUP($AA85,Paraméterek!$P$38:$Q$38,2)/12*IF($D86="Nem",IF($M$13=0,1,$M$13),1),IF($D$4="Forint",0,2))</f>
        <v>0</v>
      </c>
      <c r="AG85" s="13">
        <f ca="1">IF($D$2="Egyszeri",IF($D$7&gt;=IF($D$4="Forint",Paraméterek!$P$223,Paraméterek!$P$224),$D$7-IF($D$4="Forint",Paraméterek!$P$223,Paraméterek!$P$224),0),MIN(IF($AB85=12,AVERAGEIF($E$20:$E85,"&gt;0",$E$20:$E85)*12,0),SUM($E$20:$E$31)))</f>
        <v>0</v>
      </c>
      <c r="AH85" s="13">
        <f>IF($AA85=10,$AG85*IF($AB85=12,IF($AG85&lt;IF($D$4="Forint",Paraméterek!$L$223,Paraméterek!$L$224),0,VLOOKUP($AA85,Paraméterek!$K$226:$M$228,IF($AG85&lt;IF($D$4="Forint",Paraméterek!$M$223,Paraméterek!$M$224),2,3))),0),0)</f>
        <v>0</v>
      </c>
      <c r="AI85" s="13">
        <f ca="1">IF(AND($AA85=$M$11+1,$AB85=$M$12+1),SUMIF($AA$20:$AA$1027,$AA85,$AG$20:$AG$1027)*IF(SUMIF($AA$20:$AA$1027,$AA85,$AG$20:$AG$1027)&lt;IF($D$4="Forint",Paraméterek!$L$223,Paraméterek!$L$224),0,VLOOKUP($AA85,Paraméterek!$K$230:$M$250,IF(SUMIF($AA$20:$AA$1027,$AA85,$AG$20:$AG$1027)&lt;IF($D$4="Forint",Paraméterek!$M$223,Paraméterek!$M$224),2,3))),0)</f>
        <v>0</v>
      </c>
      <c r="AJ85" s="13">
        <f ca="1">IF(AND($AA85&gt;=5,MOD($AA85,5)=0),IF($AB85=12,VLOOKUP($AA85,Paraméterek!$O$225:$P$240,2),0),IF(OR($AA85=3,$AA85=4),IF($AB85=12,VLOOKUP($AA85,Paraméterek!$O$225:$P$240,2,0),0),0))*$AG85</f>
        <v>0</v>
      </c>
      <c r="AK85" s="13">
        <f t="shared" ref="AK85:AK148" ca="1" si="31">ROUNDDOWN(IF($D$2="Egyszeri",$AJ85,$AH85+$AI85),IF($D$4="Forint",0,2))</f>
        <v>0</v>
      </c>
      <c r="AL85" s="13">
        <f t="shared" ca="1" si="17"/>
        <v>0</v>
      </c>
      <c r="AM85" s="13">
        <f t="shared" ca="1" si="18"/>
        <v>0</v>
      </c>
      <c r="AO85" s="32">
        <v>66</v>
      </c>
      <c r="AP85" s="32">
        <v>6</v>
      </c>
      <c r="AQ85" s="32">
        <v>6</v>
      </c>
      <c r="AR85" s="13"/>
      <c r="AS85" s="32"/>
      <c r="AT85" s="13">
        <f t="shared" ca="1" si="19"/>
        <v>0</v>
      </c>
      <c r="AU85" s="33"/>
      <c r="AV85" s="13">
        <f t="shared" ref="AV85:AV148" ca="1" si="32">ROUNDDOWN($AT85*IF(ISBLANK($AU85),$M$7,$AU85)*IF($D86="Nem",IF($M$13=0,1,$M$13),1),IF($D$4="Forint",0,2))</f>
        <v>0</v>
      </c>
      <c r="AW85" s="13">
        <f ca="1">ROUNDUP(($AT85+$AV85)*VLOOKUP($AP85,Paraméterek!$P$38:$Q$38,2)/12*IF($D86="Nem",IF($M$13=0,1,$M$13),1),IF($D$4="Forint",0,2))</f>
        <v>0</v>
      </c>
      <c r="AX85" s="13"/>
      <c r="AY85" s="13"/>
      <c r="AZ85" s="13">
        <f>ROUNDUP(IF(SUM($AX85:$AY85)=0,0,IF(IF(ISBLANK($AY85),$AX85,$AY85)*Paraméterek!$J$112&lt;IF($D$4="Forint",Paraméterek!$J$113,Paraméterek!$K$113),IF($D$4="Forint",Paraméterek!$J$113,Paraméterek!$K$113),IF(IF(ISBLANK($AY85),$AX85,$AY85)*Paraméterek!$J$112&gt;IF($D$4="Forint",Paraméterek!$J$114,Paraméterek!$K$114),IF($D$4="Forint",Paraméterek!$J$114,Paraméterek!$K$114),IF(ISBLANK($AY85),$AX85,$AY85)*Paraméterek!$J$112))),IF($D$4="Forint",0,2))</f>
        <v>0</v>
      </c>
      <c r="BA85" s="13">
        <f ca="1">$AT85+$AV85-$AW85-IF(ROUNDDOWN(IF(ISBLANK($AY85),$AX85,$AY85),IF($D$4="Forint",0,2))&gt;$AT85+$AV85-$AW85-IF($D$4="Forint",Paraméterek!$J$114,Paraméterek!$K$114),0,ROUNDDOWN(IF(ISBLANK($AY85),$AX85,$AY85),IF($D$4="Forint",0,2))-$AZ85)</f>
        <v>0</v>
      </c>
      <c r="BB85" s="13">
        <f t="shared" ref="BB85:BB148" ca="1" si="33">$BA85</f>
        <v>0</v>
      </c>
      <c r="BD85" s="32">
        <v>66</v>
      </c>
      <c r="BE85" s="32">
        <v>6</v>
      </c>
      <c r="BF85" s="32">
        <v>6</v>
      </c>
      <c r="BG85" s="34">
        <f t="shared" ca="1" si="20"/>
        <v>2024</v>
      </c>
      <c r="BH85" s="32" t="str">
        <f ca="1">IF(MOD(MONTH($D$14)+$BD85-1,12)=Paraméterek!$C$288,"Igen","")</f>
        <v/>
      </c>
      <c r="BI85" s="13">
        <f ca="1">IF($BH85="Igen",MIN(ROUNDDOWN((SUMIF($BG$20:$BG$1027,$BG85-1,$K$20:$K$1027)-SUMIF($BG$20:$BG$1027,$BG85-1,$I$20:$I$1027))*Paraméterek!$C$289,IF($D$4="Forint",0,2)),IF($D$4="Forint",Paraméterek!$C$285,Paraméterek!$D$285)),0)</f>
        <v>0</v>
      </c>
      <c r="BJ85" s="13">
        <f t="shared" ref="BJ85:BJ148" ca="1" si="34">IF(AND($D85="Igen",$BH85="Igen"),$BI85,0)</f>
        <v>0</v>
      </c>
      <c r="BK85" s="13">
        <f t="shared" ca="1" si="21"/>
        <v>0</v>
      </c>
      <c r="BL85" s="33"/>
      <c r="BM85" s="13">
        <f t="shared" ref="BM85:BM148" ca="1" si="35">ROUNDDOWN($BK85*IF(ISBLANK($BL85),$M$9,$BL85)*IF($D86="Nem",IF($M$13=0,1,$M$13),1),IF($D$4="Forint",0,2))</f>
        <v>0</v>
      </c>
      <c r="BN85" s="13">
        <f ca="1">ROUNDUP(($BK85+$BM85)*VLOOKUP($BE85,Paraméterek!$P$38:$Q$38,2)/12*IF($D86="Nem",IF($M$13=0,1,$M$13),1),IF($D$4="Forint",0,2))</f>
        <v>0</v>
      </c>
      <c r="BO85" s="13">
        <f t="shared" ref="BO85:BO148" ca="1" si="36">$BK85+$BM85-$BN85</f>
        <v>0</v>
      </c>
      <c r="BP85" s="13">
        <f ca="1">IF($D86="Nem",$BO85,$BO85-ROUNDUP(SUM($BI$20:$BI85)*120%,IF($D$4="Forint",0,2)))</f>
        <v>0</v>
      </c>
    </row>
    <row r="86" spans="1:68" x14ac:dyDescent="0.2">
      <c r="A86" s="32">
        <v>67</v>
      </c>
      <c r="B86" s="32">
        <v>6</v>
      </c>
      <c r="C86" s="32">
        <v>7</v>
      </c>
      <c r="D86" s="32" t="str">
        <f t="shared" ca="1" si="22"/>
        <v>Nem</v>
      </c>
      <c r="E86" s="13">
        <f t="shared" ca="1" si="23"/>
        <v>0</v>
      </c>
      <c r="F86" s="13"/>
      <c r="G86" s="13"/>
      <c r="H86" s="13"/>
      <c r="I86" s="13">
        <f t="shared" ca="1" si="24"/>
        <v>0</v>
      </c>
      <c r="J86" s="13">
        <f t="shared" ca="1" si="25"/>
        <v>0</v>
      </c>
      <c r="K86" s="13">
        <f t="shared" ca="1" si="26"/>
        <v>0</v>
      </c>
      <c r="L86" s="13" t="e">
        <f ca="1">ROUNDUP(IF($D$2="Egyszeri",$E86,IF($D$2="Havi",SUM($E$20:$E$31),IF(MOD($C86,$M$1)-1=0,SUM($E$20:$E$31),0))/12*$M$1)*VLOOKUP($B86,Paraméterek!$I$28:$P$31,IF($D$2="Egyszeri",8,HLOOKUP(ROUNDUP($M$11+$M$13,0),Paraméterek!$J$26:$O$27,2))),IF($D$4="Forint",0,2))</f>
        <v>#N/A</v>
      </c>
      <c r="M86" s="13">
        <f t="shared" ca="1" si="27"/>
        <v>0</v>
      </c>
      <c r="N86" s="13">
        <f t="shared" ref="N86:N149" ca="1" si="37">IF($D86="Igen",$M86+$W85,0)</f>
        <v>0</v>
      </c>
      <c r="O86" s="13">
        <f ca="1">IF($D86="Igen",IF($W85&gt;=IF($D$4="Forint",Paraméterek!$J$121,Paraméterek!$K$121),0,IF($D$4="Forint",Paraméterek!$J$121,Paraméterek!$K$121)-$W85),0)</f>
        <v>0</v>
      </c>
      <c r="P86" s="13" t="e">
        <f ca="1">ROUNDUP($O86*VLOOKUP($M$4+$B86-1,Paraméterek!$H$58:$I$105,2,0)/Paraméterek!$I$56,IF($D$4="Forint",0,2))</f>
        <v>#N/A</v>
      </c>
      <c r="Q86" s="13">
        <f t="shared" ca="1" si="28"/>
        <v>0</v>
      </c>
      <c r="R86" s="33"/>
      <c r="S86" s="13" t="e">
        <f t="shared" ca="1" si="29"/>
        <v>#N/A</v>
      </c>
      <c r="T86" s="13" t="e">
        <f ca="1">ROUNDUP(($N86-$P86-$Q86+$S86)*VLOOKUP($B86,Paraméterek!$I$38:$K$39,IF($D$2="Egyszeri",3,2))/12*IF($D87="Nem",IF($M$13=0,1,$M$13),1),IF($D$4="Forint",0,2))</f>
        <v>#N/A</v>
      </c>
      <c r="U86" s="13"/>
      <c r="V86" s="13"/>
      <c r="W86" s="13" t="e">
        <f ca="1">$N86-$P86-$Q86+$S86-$T86-IF(ROUNDUP(IF(ISBLANK($V86),$U86*0,$V86)/IF($D$2="Egyszeri",VLOOKUP($B86+IF($C86=12,1,0),Paraméterek!$V$257:$W$262,2),IF($B86=1,1,VLOOKUP($B86+IF($C86=12,1,0),Paraméterek!$I$258:$T$278,HLOOKUP($M$11+1,Paraméterek!$J$256:$T$257,2)))),IF($D$4="Forint",0,2))&gt;$N86-$P86-$Q86+$S86-$T86-IF($D$4="Forint",Paraméterek!$C$216,Paraméterek!$D$216),0,ROUNDUP(IF(ISBLANK($V86),$U86*0,$V86)/IF($D$2="Egyszeri",VLOOKUP($B86+IF($C86=12,1,0),Paraméterek!$V$257:$W$262,2),IF($B86=1,1,VLOOKUP($B86+IF($C86=12,1,0),Paraméterek!$I$258:$T$278,HLOOKUP($M$11+1,Paraméterek!$J$256:$T$257,2)))),IF($D$4="Forint",0,2)))</f>
        <v>#N/A</v>
      </c>
      <c r="X86" s="13" t="e">
        <f ca="1">ROUNDDOWN($W86*IF($D$2="Egyszeri",VLOOKUP($B86+IF($C86=12,1,0),Paraméterek!$V$257:$W$262,2),VLOOKUP($B86+IF($C86=12,1,0),Paraméterek!$I$258:$T$278,HLOOKUP($M$11+1,Paraméterek!$I$256:$T$257,2))),IF($D$4="Forint",0,2))</f>
        <v>#N/A</v>
      </c>
      <c r="Z86" s="32">
        <v>67</v>
      </c>
      <c r="AA86" s="32">
        <v>6</v>
      </c>
      <c r="AB86" s="32">
        <v>7</v>
      </c>
      <c r="AC86" s="13">
        <f t="shared" ref="AC86:AC149" ca="1" si="38">IF($D86="Igen",$AL85,0)</f>
        <v>0</v>
      </c>
      <c r="AD86" s="33"/>
      <c r="AE86" s="13">
        <f t="shared" ca="1" si="30"/>
        <v>0</v>
      </c>
      <c r="AF86" s="13">
        <f ca="1">ROUNDUP(($AC86+$AE86)*VLOOKUP($AA86,Paraméterek!$P$38:$Q$38,2)/12*IF($D87="Nem",IF($M$13=0,1,$M$13),1),IF($D$4="Forint",0,2))</f>
        <v>0</v>
      </c>
      <c r="AG86" s="13">
        <f ca="1">IF($D$2="Egyszeri",IF($D$7&gt;=IF($D$4="Forint",Paraméterek!$P$223,Paraméterek!$P$224),$D$7-IF($D$4="Forint",Paraméterek!$P$223,Paraméterek!$P$224),0),MIN(IF($AB86=12,AVERAGEIF($E$20:$E86,"&gt;0",$E$20:$E86)*12,0),SUM($E$20:$E$31)))</f>
        <v>0</v>
      </c>
      <c r="AH86" s="13">
        <f>IF($AA86=10,$AG86*IF($AB86=12,IF($AG86&lt;IF($D$4="Forint",Paraméterek!$L$223,Paraméterek!$L$224),0,VLOOKUP($AA86,Paraméterek!$K$226:$M$228,IF($AG86&lt;IF($D$4="Forint",Paraméterek!$M$223,Paraméterek!$M$224),2,3))),0),0)</f>
        <v>0</v>
      </c>
      <c r="AI86" s="13">
        <f ca="1">IF(AND($AA86=$M$11+1,$AB86=$M$12+1),SUMIF($AA$20:$AA$1027,$AA86,$AG$20:$AG$1027)*IF(SUMIF($AA$20:$AA$1027,$AA86,$AG$20:$AG$1027)&lt;IF($D$4="Forint",Paraméterek!$L$223,Paraméterek!$L$224),0,VLOOKUP($AA86,Paraméterek!$K$230:$M$250,IF(SUMIF($AA$20:$AA$1027,$AA86,$AG$20:$AG$1027)&lt;IF($D$4="Forint",Paraméterek!$M$223,Paraméterek!$M$224),2,3))),0)</f>
        <v>0</v>
      </c>
      <c r="AJ86" s="13">
        <f ca="1">IF(AND($AA86&gt;=5,MOD($AA86,5)=0),IF($AB86=12,VLOOKUP($AA86,Paraméterek!$O$225:$P$240,2),0),IF(OR($AA86=3,$AA86=4),IF($AB86=12,VLOOKUP($AA86,Paraméterek!$O$225:$P$240,2,0),0),0))*$AG86</f>
        <v>0</v>
      </c>
      <c r="AK86" s="13">
        <f t="shared" ca="1" si="31"/>
        <v>0</v>
      </c>
      <c r="AL86" s="13">
        <f t="shared" ref="AL86:AL149" ca="1" si="39">$AC86+$AE86-$AF86+$AK86</f>
        <v>0</v>
      </c>
      <c r="AM86" s="13">
        <f t="shared" ref="AM86:AM149" ca="1" si="40">$AL86</f>
        <v>0</v>
      </c>
      <c r="AO86" s="32">
        <v>67</v>
      </c>
      <c r="AP86" s="32">
        <v>6</v>
      </c>
      <c r="AQ86" s="32">
        <v>7</v>
      </c>
      <c r="AR86" s="13"/>
      <c r="AS86" s="32"/>
      <c r="AT86" s="13">
        <f t="shared" ref="AT86:AT149" ca="1" si="41">IF($D86="Igen",IF(ISBLANK($AS86),$AR86,$AS86)+$BA85,0)</f>
        <v>0</v>
      </c>
      <c r="AU86" s="33"/>
      <c r="AV86" s="13">
        <f t="shared" ca="1" si="32"/>
        <v>0</v>
      </c>
      <c r="AW86" s="13">
        <f ca="1">ROUNDUP(($AT86+$AV86)*VLOOKUP($AP86,Paraméterek!$P$38:$Q$38,2)/12*IF($D87="Nem",IF($M$13=0,1,$M$13),1),IF($D$4="Forint",0,2))</f>
        <v>0</v>
      </c>
      <c r="AX86" s="13"/>
      <c r="AY86" s="13"/>
      <c r="AZ86" s="13">
        <f>ROUNDUP(IF(SUM($AX86:$AY86)=0,0,IF(IF(ISBLANK($AY86),$AX86,$AY86)*Paraméterek!$J$112&lt;IF($D$4="Forint",Paraméterek!$J$113,Paraméterek!$K$113),IF($D$4="Forint",Paraméterek!$J$113,Paraméterek!$K$113),IF(IF(ISBLANK($AY86),$AX86,$AY86)*Paraméterek!$J$112&gt;IF($D$4="Forint",Paraméterek!$J$114,Paraméterek!$K$114),IF($D$4="Forint",Paraméterek!$J$114,Paraméterek!$K$114),IF(ISBLANK($AY86),$AX86,$AY86)*Paraméterek!$J$112))),IF($D$4="Forint",0,2))</f>
        <v>0</v>
      </c>
      <c r="BA86" s="13">
        <f ca="1">$AT86+$AV86-$AW86-IF(ROUNDDOWN(IF(ISBLANK($AY86),$AX86,$AY86),IF($D$4="Forint",0,2))&gt;$AT86+$AV86-$AW86-IF($D$4="Forint",Paraméterek!$J$114,Paraméterek!$K$114),0,ROUNDDOWN(IF(ISBLANK($AY86),$AX86,$AY86),IF($D$4="Forint",0,2))-$AZ86)</f>
        <v>0</v>
      </c>
      <c r="BB86" s="13">
        <f t="shared" ca="1" si="33"/>
        <v>0</v>
      </c>
      <c r="BD86" s="32">
        <v>67</v>
      </c>
      <c r="BE86" s="32">
        <v>6</v>
      </c>
      <c r="BF86" s="32">
        <v>7</v>
      </c>
      <c r="BG86" s="34">
        <f t="shared" ref="BG86:BG149" ca="1" si="42">$BG85+IF(MOD(MONTH($D$14)+$BD86-1,12)=1,1,0)</f>
        <v>2024</v>
      </c>
      <c r="BH86" s="32" t="str">
        <f ca="1">IF(MOD(MONTH($D$14)+$BD86-1,12)=Paraméterek!$C$288,"Igen","")</f>
        <v/>
      </c>
      <c r="BI86" s="13">
        <f ca="1">IF($BH86="Igen",MIN(ROUNDDOWN((SUMIF($BG$20:$BG$1027,$BG86-1,$K$20:$K$1027)-SUMIF($BG$20:$BG$1027,$BG86-1,$I$20:$I$1027))*Paraméterek!$C$289,IF($D$4="Forint",0,2)),IF($D$4="Forint",Paraméterek!$C$285,Paraméterek!$D$285)),0)</f>
        <v>0</v>
      </c>
      <c r="BJ86" s="13">
        <f t="shared" ca="1" si="34"/>
        <v>0</v>
      </c>
      <c r="BK86" s="13">
        <f t="shared" ref="BK86:BK149" ca="1" si="43">$BJ86+IF($D86="Igen",$BO85,0)</f>
        <v>0</v>
      </c>
      <c r="BL86" s="33"/>
      <c r="BM86" s="13">
        <f t="shared" ca="1" si="35"/>
        <v>0</v>
      </c>
      <c r="BN86" s="13">
        <f ca="1">ROUNDUP(($BK86+$BM86)*VLOOKUP($BE86,Paraméterek!$P$38:$Q$38,2)/12*IF($D87="Nem",IF($M$13=0,1,$M$13),1),IF($D$4="Forint",0,2))</f>
        <v>0</v>
      </c>
      <c r="BO86" s="13">
        <f t="shared" ca="1" si="36"/>
        <v>0</v>
      </c>
      <c r="BP86" s="13">
        <f ca="1">IF($D87="Nem",$BO86,$BO86-ROUNDUP(SUM($BI$20:$BI86)*120%,IF($D$4="Forint",0,2)))</f>
        <v>0</v>
      </c>
    </row>
    <row r="87" spans="1:68" x14ac:dyDescent="0.2">
      <c r="A87" s="32">
        <v>68</v>
      </c>
      <c r="B87" s="32">
        <v>6</v>
      </c>
      <c r="C87" s="32">
        <v>8</v>
      </c>
      <c r="D87" s="32" t="str">
        <f t="shared" ca="1" si="22"/>
        <v>Nem</v>
      </c>
      <c r="E87" s="13">
        <f t="shared" ca="1" si="23"/>
        <v>0</v>
      </c>
      <c r="F87" s="13"/>
      <c r="G87" s="13"/>
      <c r="H87" s="13"/>
      <c r="I87" s="13">
        <f t="shared" ca="1" si="24"/>
        <v>0</v>
      </c>
      <c r="J87" s="13">
        <f t="shared" ca="1" si="25"/>
        <v>0</v>
      </c>
      <c r="K87" s="13">
        <f t="shared" ca="1" si="26"/>
        <v>0</v>
      </c>
      <c r="L87" s="13" t="e">
        <f ca="1">ROUNDUP(IF($D$2="Egyszeri",$E87,IF($D$2="Havi",SUM($E$20:$E$31),IF(MOD($C87,$M$1)-1=0,SUM($E$20:$E$31),0))/12*$M$1)*VLOOKUP($B87,Paraméterek!$I$28:$P$31,IF($D$2="Egyszeri",8,HLOOKUP(ROUNDUP($M$11+$M$13,0),Paraméterek!$J$26:$O$27,2))),IF($D$4="Forint",0,2))</f>
        <v>#N/A</v>
      </c>
      <c r="M87" s="13">
        <f t="shared" ca="1" si="27"/>
        <v>0</v>
      </c>
      <c r="N87" s="13">
        <f t="shared" ca="1" si="37"/>
        <v>0</v>
      </c>
      <c r="O87" s="13">
        <f ca="1">IF($D87="Igen",IF($W86&gt;=IF($D$4="Forint",Paraméterek!$J$121,Paraméterek!$K$121),0,IF($D$4="Forint",Paraméterek!$J$121,Paraméterek!$K$121)-$W86),0)</f>
        <v>0</v>
      </c>
      <c r="P87" s="13" t="e">
        <f ca="1">ROUNDUP($O87*VLOOKUP($M$4+$B87-1,Paraméterek!$H$58:$I$105,2,0)/Paraméterek!$I$56,IF($D$4="Forint",0,2))</f>
        <v>#N/A</v>
      </c>
      <c r="Q87" s="13">
        <f t="shared" ca="1" si="28"/>
        <v>0</v>
      </c>
      <c r="R87" s="33"/>
      <c r="S87" s="13" t="e">
        <f t="shared" ca="1" si="29"/>
        <v>#N/A</v>
      </c>
      <c r="T87" s="13" t="e">
        <f ca="1">ROUNDUP(($N87-$P87-$Q87+$S87)*VLOOKUP($B87,Paraméterek!$I$38:$K$39,IF($D$2="Egyszeri",3,2))/12*IF($D88="Nem",IF($M$13=0,1,$M$13),1),IF($D$4="Forint",0,2))</f>
        <v>#N/A</v>
      </c>
      <c r="U87" s="13"/>
      <c r="V87" s="13"/>
      <c r="W87" s="13" t="e">
        <f ca="1">$N87-$P87-$Q87+$S87-$T87-IF(ROUNDUP(IF(ISBLANK($V87),$U87*0,$V87)/IF($D$2="Egyszeri",VLOOKUP($B87+IF($C87=12,1,0),Paraméterek!$V$257:$W$262,2),IF($B87=1,1,VLOOKUP($B87+IF($C87=12,1,0),Paraméterek!$I$258:$T$278,HLOOKUP($M$11+1,Paraméterek!$J$256:$T$257,2)))),IF($D$4="Forint",0,2))&gt;$N87-$P87-$Q87+$S87-$T87-IF($D$4="Forint",Paraméterek!$C$216,Paraméterek!$D$216),0,ROUNDUP(IF(ISBLANK($V87),$U87*0,$V87)/IF($D$2="Egyszeri",VLOOKUP($B87+IF($C87=12,1,0),Paraméterek!$V$257:$W$262,2),IF($B87=1,1,VLOOKUP($B87+IF($C87=12,1,0),Paraméterek!$I$258:$T$278,HLOOKUP($M$11+1,Paraméterek!$J$256:$T$257,2)))),IF($D$4="Forint",0,2)))</f>
        <v>#N/A</v>
      </c>
      <c r="X87" s="13" t="e">
        <f ca="1">ROUNDDOWN($W87*IF($D$2="Egyszeri",VLOOKUP($B87+IF($C87=12,1,0),Paraméterek!$V$257:$W$262,2),VLOOKUP($B87+IF($C87=12,1,0),Paraméterek!$I$258:$T$278,HLOOKUP($M$11+1,Paraméterek!$I$256:$T$257,2))),IF($D$4="Forint",0,2))</f>
        <v>#N/A</v>
      </c>
      <c r="Z87" s="32">
        <v>68</v>
      </c>
      <c r="AA87" s="32">
        <v>6</v>
      </c>
      <c r="AB87" s="32">
        <v>8</v>
      </c>
      <c r="AC87" s="13">
        <f t="shared" ca="1" si="38"/>
        <v>0</v>
      </c>
      <c r="AD87" s="33"/>
      <c r="AE87" s="13">
        <f t="shared" ca="1" si="30"/>
        <v>0</v>
      </c>
      <c r="AF87" s="13">
        <f ca="1">ROUNDUP(($AC87+$AE87)*VLOOKUP($AA87,Paraméterek!$P$38:$Q$38,2)/12*IF($D88="Nem",IF($M$13=0,1,$M$13),1),IF($D$4="Forint",0,2))</f>
        <v>0</v>
      </c>
      <c r="AG87" s="13">
        <f ca="1">IF($D$2="Egyszeri",IF($D$7&gt;=IF($D$4="Forint",Paraméterek!$P$223,Paraméterek!$P$224),$D$7-IF($D$4="Forint",Paraméterek!$P$223,Paraméterek!$P$224),0),MIN(IF($AB87=12,AVERAGEIF($E$20:$E87,"&gt;0",$E$20:$E87)*12,0),SUM($E$20:$E$31)))</f>
        <v>0</v>
      </c>
      <c r="AH87" s="13">
        <f>IF($AA87=10,$AG87*IF($AB87=12,IF($AG87&lt;IF($D$4="Forint",Paraméterek!$L$223,Paraméterek!$L$224),0,VLOOKUP($AA87,Paraméterek!$K$226:$M$228,IF($AG87&lt;IF($D$4="Forint",Paraméterek!$M$223,Paraméterek!$M$224),2,3))),0),0)</f>
        <v>0</v>
      </c>
      <c r="AI87" s="13">
        <f ca="1">IF(AND($AA87=$M$11+1,$AB87=$M$12+1),SUMIF($AA$20:$AA$1027,$AA87,$AG$20:$AG$1027)*IF(SUMIF($AA$20:$AA$1027,$AA87,$AG$20:$AG$1027)&lt;IF($D$4="Forint",Paraméterek!$L$223,Paraméterek!$L$224),0,VLOOKUP($AA87,Paraméterek!$K$230:$M$250,IF(SUMIF($AA$20:$AA$1027,$AA87,$AG$20:$AG$1027)&lt;IF($D$4="Forint",Paraméterek!$M$223,Paraméterek!$M$224),2,3))),0)</f>
        <v>0</v>
      </c>
      <c r="AJ87" s="13">
        <f ca="1">IF(AND($AA87&gt;=5,MOD($AA87,5)=0),IF($AB87=12,VLOOKUP($AA87,Paraméterek!$O$225:$P$240,2),0),IF(OR($AA87=3,$AA87=4),IF($AB87=12,VLOOKUP($AA87,Paraméterek!$O$225:$P$240,2,0),0),0))*$AG87</f>
        <v>0</v>
      </c>
      <c r="AK87" s="13">
        <f t="shared" ca="1" si="31"/>
        <v>0</v>
      </c>
      <c r="AL87" s="13">
        <f t="shared" ca="1" si="39"/>
        <v>0</v>
      </c>
      <c r="AM87" s="13">
        <f t="shared" ca="1" si="40"/>
        <v>0</v>
      </c>
      <c r="AO87" s="32">
        <v>68</v>
      </c>
      <c r="AP87" s="32">
        <v>6</v>
      </c>
      <c r="AQ87" s="32">
        <v>8</v>
      </c>
      <c r="AR87" s="13"/>
      <c r="AS87" s="32"/>
      <c r="AT87" s="13">
        <f t="shared" ca="1" si="41"/>
        <v>0</v>
      </c>
      <c r="AU87" s="33"/>
      <c r="AV87" s="13">
        <f t="shared" ca="1" si="32"/>
        <v>0</v>
      </c>
      <c r="AW87" s="13">
        <f ca="1">ROUNDUP(($AT87+$AV87)*VLOOKUP($AP87,Paraméterek!$P$38:$Q$38,2)/12*IF($D88="Nem",IF($M$13=0,1,$M$13),1),IF($D$4="Forint",0,2))</f>
        <v>0</v>
      </c>
      <c r="AX87" s="13"/>
      <c r="AY87" s="13"/>
      <c r="AZ87" s="13">
        <f>ROUNDUP(IF(SUM($AX87:$AY87)=0,0,IF(IF(ISBLANK($AY87),$AX87,$AY87)*Paraméterek!$J$112&lt;IF($D$4="Forint",Paraméterek!$J$113,Paraméterek!$K$113),IF($D$4="Forint",Paraméterek!$J$113,Paraméterek!$K$113),IF(IF(ISBLANK($AY87),$AX87,$AY87)*Paraméterek!$J$112&gt;IF($D$4="Forint",Paraméterek!$J$114,Paraméterek!$K$114),IF($D$4="Forint",Paraméterek!$J$114,Paraméterek!$K$114),IF(ISBLANK($AY87),$AX87,$AY87)*Paraméterek!$J$112))),IF($D$4="Forint",0,2))</f>
        <v>0</v>
      </c>
      <c r="BA87" s="13">
        <f ca="1">$AT87+$AV87-$AW87-IF(ROUNDDOWN(IF(ISBLANK($AY87),$AX87,$AY87),IF($D$4="Forint",0,2))&gt;$AT87+$AV87-$AW87-IF($D$4="Forint",Paraméterek!$J$114,Paraméterek!$K$114),0,ROUNDDOWN(IF(ISBLANK($AY87),$AX87,$AY87),IF($D$4="Forint",0,2))-$AZ87)</f>
        <v>0</v>
      </c>
      <c r="BB87" s="13">
        <f t="shared" ca="1" si="33"/>
        <v>0</v>
      </c>
      <c r="BD87" s="32">
        <v>68</v>
      </c>
      <c r="BE87" s="32">
        <v>6</v>
      </c>
      <c r="BF87" s="32">
        <v>8</v>
      </c>
      <c r="BG87" s="34">
        <f t="shared" ca="1" si="42"/>
        <v>2025</v>
      </c>
      <c r="BH87" s="32" t="str">
        <f ca="1">IF(MOD(MONTH($D$14)+$BD87-1,12)=Paraméterek!$C$288,"Igen","")</f>
        <v/>
      </c>
      <c r="BI87" s="13">
        <f ca="1">IF($BH87="Igen",MIN(ROUNDDOWN((SUMIF($BG$20:$BG$1027,$BG87-1,$K$20:$K$1027)-SUMIF($BG$20:$BG$1027,$BG87-1,$I$20:$I$1027))*Paraméterek!$C$289,IF($D$4="Forint",0,2)),IF($D$4="Forint",Paraméterek!$C$285,Paraméterek!$D$285)),0)</f>
        <v>0</v>
      </c>
      <c r="BJ87" s="13">
        <f t="shared" ca="1" si="34"/>
        <v>0</v>
      </c>
      <c r="BK87" s="13">
        <f t="shared" ca="1" si="43"/>
        <v>0</v>
      </c>
      <c r="BL87" s="33"/>
      <c r="BM87" s="13">
        <f t="shared" ca="1" si="35"/>
        <v>0</v>
      </c>
      <c r="BN87" s="13">
        <f ca="1">ROUNDUP(($BK87+$BM87)*VLOOKUP($BE87,Paraméterek!$P$38:$Q$38,2)/12*IF($D88="Nem",IF($M$13=0,1,$M$13),1),IF($D$4="Forint",0,2))</f>
        <v>0</v>
      </c>
      <c r="BO87" s="13">
        <f t="shared" ca="1" si="36"/>
        <v>0</v>
      </c>
      <c r="BP87" s="13">
        <f ca="1">IF($D88="Nem",$BO87,$BO87-ROUNDUP(SUM($BI$20:$BI87)*120%,IF($D$4="Forint",0,2)))</f>
        <v>0</v>
      </c>
    </row>
    <row r="88" spans="1:68" x14ac:dyDescent="0.2">
      <c r="A88" s="32">
        <v>69</v>
      </c>
      <c r="B88" s="32">
        <v>6</v>
      </c>
      <c r="C88" s="32">
        <v>9</v>
      </c>
      <c r="D88" s="32" t="str">
        <f t="shared" ca="1" si="22"/>
        <v>Nem</v>
      </c>
      <c r="E88" s="13">
        <f t="shared" ca="1" si="23"/>
        <v>0</v>
      </c>
      <c r="F88" s="13"/>
      <c r="G88" s="13"/>
      <c r="H88" s="13"/>
      <c r="I88" s="13">
        <f t="shared" ca="1" si="24"/>
        <v>0</v>
      </c>
      <c r="J88" s="13">
        <f t="shared" ca="1" si="25"/>
        <v>0</v>
      </c>
      <c r="K88" s="13">
        <f t="shared" ca="1" si="26"/>
        <v>0</v>
      </c>
      <c r="L88" s="13" t="e">
        <f ca="1">ROUNDUP(IF($D$2="Egyszeri",$E88,IF($D$2="Havi",SUM($E$20:$E$31),IF(MOD($C88,$M$1)-1=0,SUM($E$20:$E$31),0))/12*$M$1)*VLOOKUP($B88,Paraméterek!$I$28:$P$31,IF($D$2="Egyszeri",8,HLOOKUP(ROUNDUP($M$11+$M$13,0),Paraméterek!$J$26:$O$27,2))),IF($D$4="Forint",0,2))</f>
        <v>#N/A</v>
      </c>
      <c r="M88" s="13">
        <f t="shared" ca="1" si="27"/>
        <v>0</v>
      </c>
      <c r="N88" s="13">
        <f t="shared" ca="1" si="37"/>
        <v>0</v>
      </c>
      <c r="O88" s="13">
        <f ca="1">IF($D88="Igen",IF($W87&gt;=IF($D$4="Forint",Paraméterek!$J$121,Paraméterek!$K$121),0,IF($D$4="Forint",Paraméterek!$J$121,Paraméterek!$K$121)-$W87),0)</f>
        <v>0</v>
      </c>
      <c r="P88" s="13" t="e">
        <f ca="1">ROUNDUP($O88*VLOOKUP($M$4+$B88-1,Paraméterek!$H$58:$I$105,2,0)/Paraméterek!$I$56,IF($D$4="Forint",0,2))</f>
        <v>#N/A</v>
      </c>
      <c r="Q88" s="13">
        <f t="shared" ca="1" si="28"/>
        <v>0</v>
      </c>
      <c r="R88" s="33"/>
      <c r="S88" s="13" t="e">
        <f t="shared" ca="1" si="29"/>
        <v>#N/A</v>
      </c>
      <c r="T88" s="13" t="e">
        <f ca="1">ROUNDUP(($N88-$P88-$Q88+$S88)*VLOOKUP($B88,Paraméterek!$I$38:$K$39,IF($D$2="Egyszeri",3,2))/12*IF($D89="Nem",IF($M$13=0,1,$M$13),1),IF($D$4="Forint",0,2))</f>
        <v>#N/A</v>
      </c>
      <c r="U88" s="13"/>
      <c r="V88" s="13"/>
      <c r="W88" s="13" t="e">
        <f ca="1">$N88-$P88-$Q88+$S88-$T88-IF(ROUNDUP(IF(ISBLANK($V88),$U88*0,$V88)/IF($D$2="Egyszeri",VLOOKUP($B88+IF($C88=12,1,0),Paraméterek!$V$257:$W$262,2),IF($B88=1,1,VLOOKUP($B88+IF($C88=12,1,0),Paraméterek!$I$258:$T$278,HLOOKUP($M$11+1,Paraméterek!$J$256:$T$257,2)))),IF($D$4="Forint",0,2))&gt;$N88-$P88-$Q88+$S88-$T88-IF($D$4="Forint",Paraméterek!$C$216,Paraméterek!$D$216),0,ROUNDUP(IF(ISBLANK($V88),$U88*0,$V88)/IF($D$2="Egyszeri",VLOOKUP($B88+IF($C88=12,1,0),Paraméterek!$V$257:$W$262,2),IF($B88=1,1,VLOOKUP($B88+IF($C88=12,1,0),Paraméterek!$I$258:$T$278,HLOOKUP($M$11+1,Paraméterek!$J$256:$T$257,2)))),IF($D$4="Forint",0,2)))</f>
        <v>#N/A</v>
      </c>
      <c r="X88" s="13" t="e">
        <f ca="1">ROUNDDOWN($W88*IF($D$2="Egyszeri",VLOOKUP($B88+IF($C88=12,1,0),Paraméterek!$V$257:$W$262,2),VLOOKUP($B88+IF($C88=12,1,0),Paraméterek!$I$258:$T$278,HLOOKUP($M$11+1,Paraméterek!$I$256:$T$257,2))),IF($D$4="Forint",0,2))</f>
        <v>#N/A</v>
      </c>
      <c r="Z88" s="32">
        <v>69</v>
      </c>
      <c r="AA88" s="32">
        <v>6</v>
      </c>
      <c r="AB88" s="32">
        <v>9</v>
      </c>
      <c r="AC88" s="13">
        <f t="shared" ca="1" si="38"/>
        <v>0</v>
      </c>
      <c r="AD88" s="33"/>
      <c r="AE88" s="13">
        <f t="shared" ca="1" si="30"/>
        <v>0</v>
      </c>
      <c r="AF88" s="13">
        <f ca="1">ROUNDUP(($AC88+$AE88)*VLOOKUP($AA88,Paraméterek!$P$38:$Q$38,2)/12*IF($D89="Nem",IF($M$13=0,1,$M$13),1),IF($D$4="Forint",0,2))</f>
        <v>0</v>
      </c>
      <c r="AG88" s="13">
        <f ca="1">IF($D$2="Egyszeri",IF($D$7&gt;=IF($D$4="Forint",Paraméterek!$P$223,Paraméterek!$P$224),$D$7-IF($D$4="Forint",Paraméterek!$P$223,Paraméterek!$P$224),0),MIN(IF($AB88=12,AVERAGEIF($E$20:$E88,"&gt;0",$E$20:$E88)*12,0),SUM($E$20:$E$31)))</f>
        <v>0</v>
      </c>
      <c r="AH88" s="13">
        <f>IF($AA88=10,$AG88*IF($AB88=12,IF($AG88&lt;IF($D$4="Forint",Paraméterek!$L$223,Paraméterek!$L$224),0,VLOOKUP($AA88,Paraméterek!$K$226:$M$228,IF($AG88&lt;IF($D$4="Forint",Paraméterek!$M$223,Paraméterek!$M$224),2,3))),0),0)</f>
        <v>0</v>
      </c>
      <c r="AI88" s="13">
        <f ca="1">IF(AND($AA88=$M$11+1,$AB88=$M$12+1),SUMIF($AA$20:$AA$1027,$AA88,$AG$20:$AG$1027)*IF(SUMIF($AA$20:$AA$1027,$AA88,$AG$20:$AG$1027)&lt;IF($D$4="Forint",Paraméterek!$L$223,Paraméterek!$L$224),0,VLOOKUP($AA88,Paraméterek!$K$230:$M$250,IF(SUMIF($AA$20:$AA$1027,$AA88,$AG$20:$AG$1027)&lt;IF($D$4="Forint",Paraméterek!$M$223,Paraméterek!$M$224),2,3))),0)</f>
        <v>0</v>
      </c>
      <c r="AJ88" s="13">
        <f ca="1">IF(AND($AA88&gt;=5,MOD($AA88,5)=0),IF($AB88=12,VLOOKUP($AA88,Paraméterek!$O$225:$P$240,2),0),IF(OR($AA88=3,$AA88=4),IF($AB88=12,VLOOKUP($AA88,Paraméterek!$O$225:$P$240,2,0),0),0))*$AG88</f>
        <v>0</v>
      </c>
      <c r="AK88" s="13">
        <f t="shared" ca="1" si="31"/>
        <v>0</v>
      </c>
      <c r="AL88" s="13">
        <f t="shared" ca="1" si="39"/>
        <v>0</v>
      </c>
      <c r="AM88" s="13">
        <f t="shared" ca="1" si="40"/>
        <v>0</v>
      </c>
      <c r="AO88" s="32">
        <v>69</v>
      </c>
      <c r="AP88" s="32">
        <v>6</v>
      </c>
      <c r="AQ88" s="32">
        <v>9</v>
      </c>
      <c r="AR88" s="13"/>
      <c r="AS88" s="32"/>
      <c r="AT88" s="13">
        <f t="shared" ca="1" si="41"/>
        <v>0</v>
      </c>
      <c r="AU88" s="33"/>
      <c r="AV88" s="13">
        <f t="shared" ca="1" si="32"/>
        <v>0</v>
      </c>
      <c r="AW88" s="13">
        <f ca="1">ROUNDUP(($AT88+$AV88)*VLOOKUP($AP88,Paraméterek!$P$38:$Q$38,2)/12*IF($D89="Nem",IF($M$13=0,1,$M$13),1),IF($D$4="Forint",0,2))</f>
        <v>0</v>
      </c>
      <c r="AX88" s="13"/>
      <c r="AY88" s="13"/>
      <c r="AZ88" s="13">
        <f>ROUNDUP(IF(SUM($AX88:$AY88)=0,0,IF(IF(ISBLANK($AY88),$AX88,$AY88)*Paraméterek!$J$112&lt;IF($D$4="Forint",Paraméterek!$J$113,Paraméterek!$K$113),IF($D$4="Forint",Paraméterek!$J$113,Paraméterek!$K$113),IF(IF(ISBLANK($AY88),$AX88,$AY88)*Paraméterek!$J$112&gt;IF($D$4="Forint",Paraméterek!$J$114,Paraméterek!$K$114),IF($D$4="Forint",Paraméterek!$J$114,Paraméterek!$K$114),IF(ISBLANK($AY88),$AX88,$AY88)*Paraméterek!$J$112))),IF($D$4="Forint",0,2))</f>
        <v>0</v>
      </c>
      <c r="BA88" s="13">
        <f ca="1">$AT88+$AV88-$AW88-IF(ROUNDDOWN(IF(ISBLANK($AY88),$AX88,$AY88),IF($D$4="Forint",0,2))&gt;$AT88+$AV88-$AW88-IF($D$4="Forint",Paraméterek!$J$114,Paraméterek!$K$114),0,ROUNDDOWN(IF(ISBLANK($AY88),$AX88,$AY88),IF($D$4="Forint",0,2))-$AZ88)</f>
        <v>0</v>
      </c>
      <c r="BB88" s="13">
        <f t="shared" ca="1" si="33"/>
        <v>0</v>
      </c>
      <c r="BD88" s="32">
        <v>69</v>
      </c>
      <c r="BE88" s="32">
        <v>6</v>
      </c>
      <c r="BF88" s="32">
        <v>9</v>
      </c>
      <c r="BG88" s="34">
        <f t="shared" ca="1" si="42"/>
        <v>2025</v>
      </c>
      <c r="BH88" s="32" t="str">
        <f ca="1">IF(MOD(MONTH($D$14)+$BD88-1,12)=Paraméterek!$C$288,"Igen","")</f>
        <v/>
      </c>
      <c r="BI88" s="13">
        <f ca="1">IF($BH88="Igen",MIN(ROUNDDOWN((SUMIF($BG$20:$BG$1027,$BG88-1,$K$20:$K$1027)-SUMIF($BG$20:$BG$1027,$BG88-1,$I$20:$I$1027))*Paraméterek!$C$289,IF($D$4="Forint",0,2)),IF($D$4="Forint",Paraméterek!$C$285,Paraméterek!$D$285)),0)</f>
        <v>0</v>
      </c>
      <c r="BJ88" s="13">
        <f t="shared" ca="1" si="34"/>
        <v>0</v>
      </c>
      <c r="BK88" s="13">
        <f t="shared" ca="1" si="43"/>
        <v>0</v>
      </c>
      <c r="BL88" s="33"/>
      <c r="BM88" s="13">
        <f t="shared" ca="1" si="35"/>
        <v>0</v>
      </c>
      <c r="BN88" s="13">
        <f ca="1">ROUNDUP(($BK88+$BM88)*VLOOKUP($BE88,Paraméterek!$P$38:$Q$38,2)/12*IF($D89="Nem",IF($M$13=0,1,$M$13),1),IF($D$4="Forint",0,2))</f>
        <v>0</v>
      </c>
      <c r="BO88" s="13">
        <f t="shared" ca="1" si="36"/>
        <v>0</v>
      </c>
      <c r="BP88" s="13">
        <f ca="1">IF($D89="Nem",$BO88,$BO88-ROUNDUP(SUM($BI$20:$BI88)*120%,IF($D$4="Forint",0,2)))</f>
        <v>0</v>
      </c>
    </row>
    <row r="89" spans="1:68" x14ac:dyDescent="0.2">
      <c r="A89" s="32">
        <v>70</v>
      </c>
      <c r="B89" s="32">
        <v>6</v>
      </c>
      <c r="C89" s="32">
        <v>10</v>
      </c>
      <c r="D89" s="32" t="str">
        <f t="shared" ca="1" si="22"/>
        <v>Nem</v>
      </c>
      <c r="E89" s="13">
        <f t="shared" ca="1" si="23"/>
        <v>0</v>
      </c>
      <c r="F89" s="13"/>
      <c r="G89" s="13"/>
      <c r="H89" s="13"/>
      <c r="I89" s="13">
        <f t="shared" ca="1" si="24"/>
        <v>0</v>
      </c>
      <c r="J89" s="13">
        <f t="shared" ca="1" si="25"/>
        <v>0</v>
      </c>
      <c r="K89" s="13">
        <f t="shared" ca="1" si="26"/>
        <v>0</v>
      </c>
      <c r="L89" s="13" t="e">
        <f ca="1">ROUNDUP(IF($D$2="Egyszeri",$E89,IF($D$2="Havi",SUM($E$20:$E$31),IF(MOD($C89,$M$1)-1=0,SUM($E$20:$E$31),0))/12*$M$1)*VLOOKUP($B89,Paraméterek!$I$28:$P$31,IF($D$2="Egyszeri",8,HLOOKUP(ROUNDUP($M$11+$M$13,0),Paraméterek!$J$26:$O$27,2))),IF($D$4="Forint",0,2))</f>
        <v>#N/A</v>
      </c>
      <c r="M89" s="13">
        <f t="shared" ca="1" si="27"/>
        <v>0</v>
      </c>
      <c r="N89" s="13">
        <f t="shared" ca="1" si="37"/>
        <v>0</v>
      </c>
      <c r="O89" s="13">
        <f ca="1">IF($D89="Igen",IF($W88&gt;=IF($D$4="Forint",Paraméterek!$J$121,Paraméterek!$K$121),0,IF($D$4="Forint",Paraméterek!$J$121,Paraméterek!$K$121)-$W88),0)</f>
        <v>0</v>
      </c>
      <c r="P89" s="13" t="e">
        <f ca="1">ROUNDUP($O89*VLOOKUP($M$4+$B89-1,Paraméterek!$H$58:$I$105,2,0)/Paraméterek!$I$56,IF($D$4="Forint",0,2))</f>
        <v>#N/A</v>
      </c>
      <c r="Q89" s="13">
        <f t="shared" ca="1" si="28"/>
        <v>0</v>
      </c>
      <c r="R89" s="33"/>
      <c r="S89" s="13" t="e">
        <f t="shared" ca="1" si="29"/>
        <v>#N/A</v>
      </c>
      <c r="T89" s="13" t="e">
        <f ca="1">ROUNDUP(($N89-$P89-$Q89+$S89)*VLOOKUP($B89,Paraméterek!$I$38:$K$39,IF($D$2="Egyszeri",3,2))/12*IF($D90="Nem",IF($M$13=0,1,$M$13),1),IF($D$4="Forint",0,2))</f>
        <v>#N/A</v>
      </c>
      <c r="U89" s="13"/>
      <c r="V89" s="13"/>
      <c r="W89" s="13" t="e">
        <f ca="1">$N89-$P89-$Q89+$S89-$T89-IF(ROUNDUP(IF(ISBLANK($V89),$U89*0,$V89)/IF($D$2="Egyszeri",VLOOKUP($B89+IF($C89=12,1,0),Paraméterek!$V$257:$W$262,2),IF($B89=1,1,VLOOKUP($B89+IF($C89=12,1,0),Paraméterek!$I$258:$T$278,HLOOKUP($M$11+1,Paraméterek!$J$256:$T$257,2)))),IF($D$4="Forint",0,2))&gt;$N89-$P89-$Q89+$S89-$T89-IF($D$4="Forint",Paraméterek!$C$216,Paraméterek!$D$216),0,ROUNDUP(IF(ISBLANK($V89),$U89*0,$V89)/IF($D$2="Egyszeri",VLOOKUP($B89+IF($C89=12,1,0),Paraméterek!$V$257:$W$262,2),IF($B89=1,1,VLOOKUP($B89+IF($C89=12,1,0),Paraméterek!$I$258:$T$278,HLOOKUP($M$11+1,Paraméterek!$J$256:$T$257,2)))),IF($D$4="Forint",0,2)))</f>
        <v>#N/A</v>
      </c>
      <c r="X89" s="13" t="e">
        <f ca="1">ROUNDDOWN($W89*IF($D$2="Egyszeri",VLOOKUP($B89+IF($C89=12,1,0),Paraméterek!$V$257:$W$262,2),VLOOKUP($B89+IF($C89=12,1,0),Paraméterek!$I$258:$T$278,HLOOKUP($M$11+1,Paraméterek!$I$256:$T$257,2))),IF($D$4="Forint",0,2))</f>
        <v>#N/A</v>
      </c>
      <c r="Z89" s="32">
        <v>70</v>
      </c>
      <c r="AA89" s="32">
        <v>6</v>
      </c>
      <c r="AB89" s="32">
        <v>10</v>
      </c>
      <c r="AC89" s="13">
        <f t="shared" ca="1" si="38"/>
        <v>0</v>
      </c>
      <c r="AD89" s="33"/>
      <c r="AE89" s="13">
        <f t="shared" ca="1" si="30"/>
        <v>0</v>
      </c>
      <c r="AF89" s="13">
        <f ca="1">ROUNDUP(($AC89+$AE89)*VLOOKUP($AA89,Paraméterek!$P$38:$Q$38,2)/12*IF($D90="Nem",IF($M$13=0,1,$M$13),1),IF($D$4="Forint",0,2))</f>
        <v>0</v>
      </c>
      <c r="AG89" s="13">
        <f ca="1">IF($D$2="Egyszeri",IF($D$7&gt;=IF($D$4="Forint",Paraméterek!$P$223,Paraméterek!$P$224),$D$7-IF($D$4="Forint",Paraméterek!$P$223,Paraméterek!$P$224),0),MIN(IF($AB89=12,AVERAGEIF($E$20:$E89,"&gt;0",$E$20:$E89)*12,0),SUM($E$20:$E$31)))</f>
        <v>0</v>
      </c>
      <c r="AH89" s="13">
        <f>IF($AA89=10,$AG89*IF($AB89=12,IF($AG89&lt;IF($D$4="Forint",Paraméterek!$L$223,Paraméterek!$L$224),0,VLOOKUP($AA89,Paraméterek!$K$226:$M$228,IF($AG89&lt;IF($D$4="Forint",Paraméterek!$M$223,Paraméterek!$M$224),2,3))),0),0)</f>
        <v>0</v>
      </c>
      <c r="AI89" s="13">
        <f ca="1">IF(AND($AA89=$M$11+1,$AB89=$M$12+1),SUMIF($AA$20:$AA$1027,$AA89,$AG$20:$AG$1027)*IF(SUMIF($AA$20:$AA$1027,$AA89,$AG$20:$AG$1027)&lt;IF($D$4="Forint",Paraméterek!$L$223,Paraméterek!$L$224),0,VLOOKUP($AA89,Paraméterek!$K$230:$M$250,IF(SUMIF($AA$20:$AA$1027,$AA89,$AG$20:$AG$1027)&lt;IF($D$4="Forint",Paraméterek!$M$223,Paraméterek!$M$224),2,3))),0)</f>
        <v>0</v>
      </c>
      <c r="AJ89" s="13">
        <f ca="1">IF(AND($AA89&gt;=5,MOD($AA89,5)=0),IF($AB89=12,VLOOKUP($AA89,Paraméterek!$O$225:$P$240,2),0),IF(OR($AA89=3,$AA89=4),IF($AB89=12,VLOOKUP($AA89,Paraméterek!$O$225:$P$240,2,0),0),0))*$AG89</f>
        <v>0</v>
      </c>
      <c r="AK89" s="13">
        <f t="shared" ca="1" si="31"/>
        <v>0</v>
      </c>
      <c r="AL89" s="13">
        <f t="shared" ca="1" si="39"/>
        <v>0</v>
      </c>
      <c r="AM89" s="13">
        <f t="shared" ca="1" si="40"/>
        <v>0</v>
      </c>
      <c r="AO89" s="32">
        <v>70</v>
      </c>
      <c r="AP89" s="32">
        <v>6</v>
      </c>
      <c r="AQ89" s="32">
        <v>10</v>
      </c>
      <c r="AR89" s="13"/>
      <c r="AS89" s="32"/>
      <c r="AT89" s="13">
        <f t="shared" ca="1" si="41"/>
        <v>0</v>
      </c>
      <c r="AU89" s="33"/>
      <c r="AV89" s="13">
        <f t="shared" ca="1" si="32"/>
        <v>0</v>
      </c>
      <c r="AW89" s="13">
        <f ca="1">ROUNDUP(($AT89+$AV89)*VLOOKUP($AP89,Paraméterek!$P$38:$Q$38,2)/12*IF($D90="Nem",IF($M$13=0,1,$M$13),1),IF($D$4="Forint",0,2))</f>
        <v>0</v>
      </c>
      <c r="AX89" s="13"/>
      <c r="AY89" s="13"/>
      <c r="AZ89" s="13">
        <f>ROUNDUP(IF(SUM($AX89:$AY89)=0,0,IF(IF(ISBLANK($AY89),$AX89,$AY89)*Paraméterek!$J$112&lt;IF($D$4="Forint",Paraméterek!$J$113,Paraméterek!$K$113),IF($D$4="Forint",Paraméterek!$J$113,Paraméterek!$K$113),IF(IF(ISBLANK($AY89),$AX89,$AY89)*Paraméterek!$J$112&gt;IF($D$4="Forint",Paraméterek!$J$114,Paraméterek!$K$114),IF($D$4="Forint",Paraméterek!$J$114,Paraméterek!$K$114),IF(ISBLANK($AY89),$AX89,$AY89)*Paraméterek!$J$112))),IF($D$4="Forint",0,2))</f>
        <v>0</v>
      </c>
      <c r="BA89" s="13">
        <f ca="1">$AT89+$AV89-$AW89-IF(ROUNDDOWN(IF(ISBLANK($AY89),$AX89,$AY89),IF($D$4="Forint",0,2))&gt;$AT89+$AV89-$AW89-IF($D$4="Forint",Paraméterek!$J$114,Paraméterek!$K$114),0,ROUNDDOWN(IF(ISBLANK($AY89),$AX89,$AY89),IF($D$4="Forint",0,2))-$AZ89)</f>
        <v>0</v>
      </c>
      <c r="BB89" s="13">
        <f t="shared" ca="1" si="33"/>
        <v>0</v>
      </c>
      <c r="BD89" s="32">
        <v>70</v>
      </c>
      <c r="BE89" s="32">
        <v>6</v>
      </c>
      <c r="BF89" s="32">
        <v>10</v>
      </c>
      <c r="BG89" s="34">
        <f t="shared" ca="1" si="42"/>
        <v>2025</v>
      </c>
      <c r="BH89" s="32" t="str">
        <f ca="1">IF(MOD(MONTH($D$14)+$BD89-1,12)=Paraméterek!$C$288,"Igen","")</f>
        <v/>
      </c>
      <c r="BI89" s="13">
        <f ca="1">IF($BH89="Igen",MIN(ROUNDDOWN((SUMIF($BG$20:$BG$1027,$BG89-1,$K$20:$K$1027)-SUMIF($BG$20:$BG$1027,$BG89-1,$I$20:$I$1027))*Paraméterek!$C$289,IF($D$4="Forint",0,2)),IF($D$4="Forint",Paraméterek!$C$285,Paraméterek!$D$285)),0)</f>
        <v>0</v>
      </c>
      <c r="BJ89" s="13">
        <f t="shared" ca="1" si="34"/>
        <v>0</v>
      </c>
      <c r="BK89" s="13">
        <f t="shared" ca="1" si="43"/>
        <v>0</v>
      </c>
      <c r="BL89" s="33"/>
      <c r="BM89" s="13">
        <f t="shared" ca="1" si="35"/>
        <v>0</v>
      </c>
      <c r="BN89" s="13">
        <f ca="1">ROUNDUP(($BK89+$BM89)*VLOOKUP($BE89,Paraméterek!$P$38:$Q$38,2)/12*IF($D90="Nem",IF($M$13=0,1,$M$13),1),IF($D$4="Forint",0,2))</f>
        <v>0</v>
      </c>
      <c r="BO89" s="13">
        <f t="shared" ca="1" si="36"/>
        <v>0</v>
      </c>
      <c r="BP89" s="13">
        <f ca="1">IF($D90="Nem",$BO89,$BO89-ROUNDUP(SUM($BI$20:$BI89)*120%,IF($D$4="Forint",0,2)))</f>
        <v>0</v>
      </c>
    </row>
    <row r="90" spans="1:68" x14ac:dyDescent="0.2">
      <c r="A90" s="32">
        <v>71</v>
      </c>
      <c r="B90" s="32">
        <v>6</v>
      </c>
      <c r="C90" s="32">
        <v>11</v>
      </c>
      <c r="D90" s="32" t="str">
        <f t="shared" ca="1" si="22"/>
        <v>Nem</v>
      </c>
      <c r="E90" s="13">
        <f t="shared" ca="1" si="23"/>
        <v>0</v>
      </c>
      <c r="F90" s="13"/>
      <c r="G90" s="13"/>
      <c r="H90" s="13"/>
      <c r="I90" s="13">
        <f t="shared" ca="1" si="24"/>
        <v>0</v>
      </c>
      <c r="J90" s="13">
        <f t="shared" ca="1" si="25"/>
        <v>0</v>
      </c>
      <c r="K90" s="13">
        <f t="shared" ca="1" si="26"/>
        <v>0</v>
      </c>
      <c r="L90" s="13" t="e">
        <f ca="1">ROUNDUP(IF($D$2="Egyszeri",$E90,IF($D$2="Havi",SUM($E$20:$E$31),IF(MOD($C90,$M$1)-1=0,SUM($E$20:$E$31),0))/12*$M$1)*VLOOKUP($B90,Paraméterek!$I$28:$P$31,IF($D$2="Egyszeri",8,HLOOKUP(ROUNDUP($M$11+$M$13,0),Paraméterek!$J$26:$O$27,2))),IF($D$4="Forint",0,2))</f>
        <v>#N/A</v>
      </c>
      <c r="M90" s="13">
        <f t="shared" ca="1" si="27"/>
        <v>0</v>
      </c>
      <c r="N90" s="13">
        <f t="shared" ca="1" si="37"/>
        <v>0</v>
      </c>
      <c r="O90" s="13">
        <f ca="1">IF($D90="Igen",IF($W89&gt;=IF($D$4="Forint",Paraméterek!$J$121,Paraméterek!$K$121),0,IF($D$4="Forint",Paraméterek!$J$121,Paraméterek!$K$121)-$W89),0)</f>
        <v>0</v>
      </c>
      <c r="P90" s="13" t="e">
        <f ca="1">ROUNDUP($O90*VLOOKUP($M$4+$B90-1,Paraméterek!$H$58:$I$105,2,0)/Paraméterek!$I$56,IF($D$4="Forint",0,2))</f>
        <v>#N/A</v>
      </c>
      <c r="Q90" s="13">
        <f t="shared" ca="1" si="28"/>
        <v>0</v>
      </c>
      <c r="R90" s="33"/>
      <c r="S90" s="13" t="e">
        <f t="shared" ca="1" si="29"/>
        <v>#N/A</v>
      </c>
      <c r="T90" s="13" t="e">
        <f ca="1">ROUNDUP(($N90-$P90-$Q90+$S90)*VLOOKUP($B90,Paraméterek!$I$38:$K$39,IF($D$2="Egyszeri",3,2))/12*IF($D91="Nem",IF($M$13=0,1,$M$13),1),IF($D$4="Forint",0,2))</f>
        <v>#N/A</v>
      </c>
      <c r="U90" s="13"/>
      <c r="V90" s="13"/>
      <c r="W90" s="13" t="e">
        <f ca="1">$N90-$P90-$Q90+$S90-$T90-IF(ROUNDUP(IF(ISBLANK($V90),$U90*0,$V90)/IF($D$2="Egyszeri",VLOOKUP($B90+IF($C90=12,1,0),Paraméterek!$V$257:$W$262,2),IF($B90=1,1,VLOOKUP($B90+IF($C90=12,1,0),Paraméterek!$I$258:$T$278,HLOOKUP($M$11+1,Paraméterek!$J$256:$T$257,2)))),IF($D$4="Forint",0,2))&gt;$N90-$P90-$Q90+$S90-$T90-IF($D$4="Forint",Paraméterek!$C$216,Paraméterek!$D$216),0,ROUNDUP(IF(ISBLANK($V90),$U90*0,$V90)/IF($D$2="Egyszeri",VLOOKUP($B90+IF($C90=12,1,0),Paraméterek!$V$257:$W$262,2),IF($B90=1,1,VLOOKUP($B90+IF($C90=12,1,0),Paraméterek!$I$258:$T$278,HLOOKUP($M$11+1,Paraméterek!$J$256:$T$257,2)))),IF($D$4="Forint",0,2)))</f>
        <v>#N/A</v>
      </c>
      <c r="X90" s="13" t="e">
        <f ca="1">ROUNDDOWN($W90*IF($D$2="Egyszeri",VLOOKUP($B90+IF($C90=12,1,0),Paraméterek!$V$257:$W$262,2),VLOOKUP($B90+IF($C90=12,1,0),Paraméterek!$I$258:$T$278,HLOOKUP($M$11+1,Paraméterek!$I$256:$T$257,2))),IF($D$4="Forint",0,2))</f>
        <v>#N/A</v>
      </c>
      <c r="Z90" s="32">
        <v>71</v>
      </c>
      <c r="AA90" s="32">
        <v>6</v>
      </c>
      <c r="AB90" s="32">
        <v>11</v>
      </c>
      <c r="AC90" s="13">
        <f t="shared" ca="1" si="38"/>
        <v>0</v>
      </c>
      <c r="AD90" s="33"/>
      <c r="AE90" s="13">
        <f t="shared" ca="1" si="30"/>
        <v>0</v>
      </c>
      <c r="AF90" s="13">
        <f ca="1">ROUNDUP(($AC90+$AE90)*VLOOKUP($AA90,Paraméterek!$P$38:$Q$38,2)/12*IF($D91="Nem",IF($M$13=0,1,$M$13),1),IF($D$4="Forint",0,2))</f>
        <v>0</v>
      </c>
      <c r="AG90" s="13">
        <f ca="1">IF($D$2="Egyszeri",IF($D$7&gt;=IF($D$4="Forint",Paraméterek!$P$223,Paraméterek!$P$224),$D$7-IF($D$4="Forint",Paraméterek!$P$223,Paraméterek!$P$224),0),MIN(IF($AB90=12,AVERAGEIF($E$20:$E90,"&gt;0",$E$20:$E90)*12,0),SUM($E$20:$E$31)))</f>
        <v>0</v>
      </c>
      <c r="AH90" s="13">
        <f>IF($AA90=10,$AG90*IF($AB90=12,IF($AG90&lt;IF($D$4="Forint",Paraméterek!$L$223,Paraméterek!$L$224),0,VLOOKUP($AA90,Paraméterek!$K$226:$M$228,IF($AG90&lt;IF($D$4="Forint",Paraméterek!$M$223,Paraméterek!$M$224),2,3))),0),0)</f>
        <v>0</v>
      </c>
      <c r="AI90" s="13">
        <f ca="1">IF(AND($AA90=$M$11+1,$AB90=$M$12+1),SUMIF($AA$20:$AA$1027,$AA90,$AG$20:$AG$1027)*IF(SUMIF($AA$20:$AA$1027,$AA90,$AG$20:$AG$1027)&lt;IF($D$4="Forint",Paraméterek!$L$223,Paraméterek!$L$224),0,VLOOKUP($AA90,Paraméterek!$K$230:$M$250,IF(SUMIF($AA$20:$AA$1027,$AA90,$AG$20:$AG$1027)&lt;IF($D$4="Forint",Paraméterek!$M$223,Paraméterek!$M$224),2,3))),0)</f>
        <v>0</v>
      </c>
      <c r="AJ90" s="13">
        <f ca="1">IF(AND($AA90&gt;=5,MOD($AA90,5)=0),IF($AB90=12,VLOOKUP($AA90,Paraméterek!$O$225:$P$240,2),0),IF(OR($AA90=3,$AA90=4),IF($AB90=12,VLOOKUP($AA90,Paraméterek!$O$225:$P$240,2,0),0),0))*$AG90</f>
        <v>0</v>
      </c>
      <c r="AK90" s="13">
        <f t="shared" ca="1" si="31"/>
        <v>0</v>
      </c>
      <c r="AL90" s="13">
        <f t="shared" ca="1" si="39"/>
        <v>0</v>
      </c>
      <c r="AM90" s="13">
        <f t="shared" ca="1" si="40"/>
        <v>0</v>
      </c>
      <c r="AO90" s="32">
        <v>71</v>
      </c>
      <c r="AP90" s="32">
        <v>6</v>
      </c>
      <c r="AQ90" s="32">
        <v>11</v>
      </c>
      <c r="AR90" s="13"/>
      <c r="AS90" s="32"/>
      <c r="AT90" s="13">
        <f t="shared" ca="1" si="41"/>
        <v>0</v>
      </c>
      <c r="AU90" s="33"/>
      <c r="AV90" s="13">
        <f t="shared" ca="1" si="32"/>
        <v>0</v>
      </c>
      <c r="AW90" s="13">
        <f ca="1">ROUNDUP(($AT90+$AV90)*VLOOKUP($AP90,Paraméterek!$P$38:$Q$38,2)/12*IF($D91="Nem",IF($M$13=0,1,$M$13),1),IF($D$4="Forint",0,2))</f>
        <v>0</v>
      </c>
      <c r="AX90" s="13"/>
      <c r="AY90" s="13"/>
      <c r="AZ90" s="13">
        <f>ROUNDUP(IF(SUM($AX90:$AY90)=0,0,IF(IF(ISBLANK($AY90),$AX90,$AY90)*Paraméterek!$J$112&lt;IF($D$4="Forint",Paraméterek!$J$113,Paraméterek!$K$113),IF($D$4="Forint",Paraméterek!$J$113,Paraméterek!$K$113),IF(IF(ISBLANK($AY90),$AX90,$AY90)*Paraméterek!$J$112&gt;IF($D$4="Forint",Paraméterek!$J$114,Paraméterek!$K$114),IF($D$4="Forint",Paraméterek!$J$114,Paraméterek!$K$114),IF(ISBLANK($AY90),$AX90,$AY90)*Paraméterek!$J$112))),IF($D$4="Forint",0,2))</f>
        <v>0</v>
      </c>
      <c r="BA90" s="13">
        <f ca="1">$AT90+$AV90-$AW90-IF(ROUNDDOWN(IF(ISBLANK($AY90),$AX90,$AY90),IF($D$4="Forint",0,2))&gt;$AT90+$AV90-$AW90-IF($D$4="Forint",Paraméterek!$J$114,Paraméterek!$K$114),0,ROUNDDOWN(IF(ISBLANK($AY90),$AX90,$AY90),IF($D$4="Forint",0,2))-$AZ90)</f>
        <v>0</v>
      </c>
      <c r="BB90" s="13">
        <f t="shared" ca="1" si="33"/>
        <v>0</v>
      </c>
      <c r="BD90" s="32">
        <v>71</v>
      </c>
      <c r="BE90" s="32">
        <v>6</v>
      </c>
      <c r="BF90" s="32">
        <v>11</v>
      </c>
      <c r="BG90" s="34">
        <f t="shared" ca="1" si="42"/>
        <v>2025</v>
      </c>
      <c r="BH90" s="32" t="str">
        <f ca="1">IF(MOD(MONTH($D$14)+$BD90-1,12)=Paraméterek!$C$288,"Igen","")</f>
        <v/>
      </c>
      <c r="BI90" s="13">
        <f ca="1">IF($BH90="Igen",MIN(ROUNDDOWN((SUMIF($BG$20:$BG$1027,$BG90-1,$K$20:$K$1027)-SUMIF($BG$20:$BG$1027,$BG90-1,$I$20:$I$1027))*Paraméterek!$C$289,IF($D$4="Forint",0,2)),IF($D$4="Forint",Paraméterek!$C$285,Paraméterek!$D$285)),0)</f>
        <v>0</v>
      </c>
      <c r="BJ90" s="13">
        <f t="shared" ca="1" si="34"/>
        <v>0</v>
      </c>
      <c r="BK90" s="13">
        <f t="shared" ca="1" si="43"/>
        <v>0</v>
      </c>
      <c r="BL90" s="33"/>
      <c r="BM90" s="13">
        <f t="shared" ca="1" si="35"/>
        <v>0</v>
      </c>
      <c r="BN90" s="13">
        <f ca="1">ROUNDUP(($BK90+$BM90)*VLOOKUP($BE90,Paraméterek!$P$38:$Q$38,2)/12*IF($D91="Nem",IF($M$13=0,1,$M$13),1),IF($D$4="Forint",0,2))</f>
        <v>0</v>
      </c>
      <c r="BO90" s="13">
        <f t="shared" ca="1" si="36"/>
        <v>0</v>
      </c>
      <c r="BP90" s="13">
        <f ca="1">IF($D91="Nem",$BO90,$BO90-ROUNDUP(SUM($BI$20:$BI90)*120%,IF($D$4="Forint",0,2)))</f>
        <v>0</v>
      </c>
    </row>
    <row r="91" spans="1:68" x14ac:dyDescent="0.2">
      <c r="A91" s="32">
        <v>72</v>
      </c>
      <c r="B91" s="32">
        <v>6</v>
      </c>
      <c r="C91" s="32">
        <v>12</v>
      </c>
      <c r="D91" s="32" t="str">
        <f t="shared" ca="1" si="22"/>
        <v>Nem</v>
      </c>
      <c r="E91" s="13">
        <f t="shared" ca="1" si="23"/>
        <v>0</v>
      </c>
      <c r="F91" s="13"/>
      <c r="G91" s="13"/>
      <c r="H91" s="13"/>
      <c r="I91" s="13">
        <f t="shared" ca="1" si="24"/>
        <v>0</v>
      </c>
      <c r="J91" s="13">
        <f t="shared" ca="1" si="25"/>
        <v>0</v>
      </c>
      <c r="K91" s="13">
        <f t="shared" ca="1" si="26"/>
        <v>0</v>
      </c>
      <c r="L91" s="13" t="e">
        <f ca="1">ROUNDUP(IF($D$2="Egyszeri",$E91,IF($D$2="Havi",SUM($E$20:$E$31),IF(MOD($C91,$M$1)-1=0,SUM($E$20:$E$31),0))/12*$M$1)*VLOOKUP($B91,Paraméterek!$I$28:$P$31,IF($D$2="Egyszeri",8,HLOOKUP(ROUNDUP($M$11+$M$13,0),Paraméterek!$J$26:$O$27,2))),IF($D$4="Forint",0,2))</f>
        <v>#N/A</v>
      </c>
      <c r="M91" s="13">
        <f t="shared" ca="1" si="27"/>
        <v>0</v>
      </c>
      <c r="N91" s="13">
        <f t="shared" ca="1" si="37"/>
        <v>0</v>
      </c>
      <c r="O91" s="13">
        <f ca="1">IF($D91="Igen",IF($W90&gt;=IF($D$4="Forint",Paraméterek!$J$121,Paraméterek!$K$121),0,IF($D$4="Forint",Paraméterek!$J$121,Paraméterek!$K$121)-$W90),0)</f>
        <v>0</v>
      </c>
      <c r="P91" s="13" t="e">
        <f ca="1">ROUNDUP($O91*VLOOKUP($M$4+$B91-1,Paraméterek!$H$58:$I$105,2,0)/Paraméterek!$I$56,IF($D$4="Forint",0,2))</f>
        <v>#N/A</v>
      </c>
      <c r="Q91" s="13">
        <f t="shared" ca="1" si="28"/>
        <v>0</v>
      </c>
      <c r="R91" s="33"/>
      <c r="S91" s="13" t="e">
        <f t="shared" ca="1" si="29"/>
        <v>#N/A</v>
      </c>
      <c r="T91" s="13" t="e">
        <f ca="1">ROUNDUP(($N91-$P91-$Q91+$S91)*VLOOKUP($B91,Paraméterek!$I$38:$K$39,IF($D$2="Egyszeri",3,2))/12*IF($D92="Nem",IF($M$13=0,1,$M$13),1),IF($D$4="Forint",0,2))</f>
        <v>#N/A</v>
      </c>
      <c r="U91" s="13">
        <f>Tranzakciók!$F$37</f>
        <v>0</v>
      </c>
      <c r="V91" s="13"/>
      <c r="W91" s="13" t="e">
        <f ca="1">$N91-$P91-$Q91+$S91-$T91-IF(ROUNDUP(IF(ISBLANK($V91),$U91*0,$V91)/IF($D$2="Egyszeri",VLOOKUP($B91+IF($C91=12,1,0),Paraméterek!$V$257:$W$262,2),IF($B91=1,1,VLOOKUP($B91+IF($C91=12,1,0),Paraméterek!$I$258:$T$278,HLOOKUP($M$11+1,Paraméterek!$J$256:$T$257,2)))),IF($D$4="Forint",0,2))&gt;$N91-$P91-$Q91+$S91-$T91-IF($D$4="Forint",Paraméterek!$C$216,Paraméterek!$D$216),0,ROUNDUP(IF(ISBLANK($V91),$U91*0,$V91)/IF($D$2="Egyszeri",VLOOKUP($B91+IF($C91=12,1,0),Paraméterek!$V$257:$W$262,2),IF($B91=1,1,VLOOKUP($B91+IF($C91=12,1,0),Paraméterek!$I$258:$T$278,HLOOKUP($M$11+1,Paraméterek!$J$256:$T$257,2)))),IF($D$4="Forint",0,2)))</f>
        <v>#N/A</v>
      </c>
      <c r="X91" s="13" t="e">
        <f ca="1">ROUNDDOWN($W91*IF($D$2="Egyszeri",VLOOKUP($B91+IF($C91=12,1,0),Paraméterek!$V$257:$W$262,2),VLOOKUP($B91+IF($C91=12,1,0),Paraméterek!$I$258:$T$278,HLOOKUP($M$11+1,Paraméterek!$I$256:$T$257,2))),IF($D$4="Forint",0,2))</f>
        <v>#N/A</v>
      </c>
      <c r="Z91" s="32">
        <v>72</v>
      </c>
      <c r="AA91" s="32">
        <v>6</v>
      </c>
      <c r="AB91" s="32">
        <v>12</v>
      </c>
      <c r="AC91" s="13">
        <f t="shared" ca="1" si="38"/>
        <v>0</v>
      </c>
      <c r="AD91" s="33"/>
      <c r="AE91" s="13">
        <f t="shared" ca="1" si="30"/>
        <v>0</v>
      </c>
      <c r="AF91" s="13">
        <f ca="1">ROUNDUP(($AC91+$AE91)*VLOOKUP($AA91,Paraméterek!$P$38:$Q$38,2)/12*IF($D92="Nem",IF($M$13=0,1,$M$13),1),IF($D$4="Forint",0,2))</f>
        <v>0</v>
      </c>
      <c r="AG91" s="13" t="e">
        <f ca="1">IF($D$2="Egyszeri",IF($D$7&gt;=IF($D$4="Forint",Paraméterek!$P$223,Paraméterek!$P$224),$D$7-IF($D$4="Forint",Paraméterek!$P$223,Paraméterek!$P$224),0),MIN(IF($AB91=12,AVERAGEIF($E$20:$E91,"&gt;0",$E$20:$E91)*12,0),SUM($E$20:$E$31)))</f>
        <v>#DIV/0!</v>
      </c>
      <c r="AH91" s="13">
        <f>IF($AA91=10,$AG91*IF($AB91=12,IF($AG91&lt;IF($D$4="Forint",Paraméterek!$L$223,Paraméterek!$L$224),0,VLOOKUP($AA91,Paraméterek!$K$226:$M$228,IF($AG91&lt;IF($D$4="Forint",Paraméterek!$M$223,Paraméterek!$M$224),2,3))),0),0)</f>
        <v>0</v>
      </c>
      <c r="AI91" s="13">
        <f ca="1">IF(AND($AA91=$M$11+1,$AB91=$M$12+1),SUMIF($AA$20:$AA$1027,$AA91,$AG$20:$AG$1027)*IF(SUMIF($AA$20:$AA$1027,$AA91,$AG$20:$AG$1027)&lt;IF($D$4="Forint",Paraméterek!$L$223,Paraméterek!$L$224),0,VLOOKUP($AA91,Paraméterek!$K$230:$M$250,IF(SUMIF($AA$20:$AA$1027,$AA91,$AG$20:$AG$1027)&lt;IF($D$4="Forint",Paraméterek!$M$223,Paraméterek!$M$224),2,3))),0)</f>
        <v>0</v>
      </c>
      <c r="AJ91" s="13" t="e">
        <f ca="1">IF(AND($AA91&gt;=5,MOD($AA91,5)=0),IF($AB91=12,VLOOKUP($AA91,Paraméterek!$O$225:$P$240,2),0),IF(OR($AA91=3,$AA91=4),IF($AB91=12,VLOOKUP($AA91,Paraméterek!$O$225:$P$240,2,0),0),0))*$AG91</f>
        <v>#DIV/0!</v>
      </c>
      <c r="AK91" s="13">
        <f t="shared" ca="1" si="31"/>
        <v>0</v>
      </c>
      <c r="AL91" s="13">
        <f t="shared" ca="1" si="39"/>
        <v>0</v>
      </c>
      <c r="AM91" s="13">
        <f t="shared" ca="1" si="40"/>
        <v>0</v>
      </c>
      <c r="AO91" s="32">
        <v>72</v>
      </c>
      <c r="AP91" s="32">
        <v>6</v>
      </c>
      <c r="AQ91" s="32">
        <v>12</v>
      </c>
      <c r="AR91" s="13"/>
      <c r="AS91" s="32"/>
      <c r="AT91" s="13">
        <f t="shared" ca="1" si="41"/>
        <v>0</v>
      </c>
      <c r="AU91" s="33"/>
      <c r="AV91" s="13">
        <f t="shared" ca="1" si="32"/>
        <v>0</v>
      </c>
      <c r="AW91" s="13">
        <f ca="1">ROUNDUP(($AT91+$AV91)*VLOOKUP($AP91,Paraméterek!$P$38:$Q$38,2)/12*IF($D92="Nem",IF($M$13=0,1,$M$13),1),IF($D$4="Forint",0,2))</f>
        <v>0</v>
      </c>
      <c r="AX91" s="13">
        <f>Tranzakciók!$M$37</f>
        <v>0</v>
      </c>
      <c r="AY91" s="13"/>
      <c r="AZ91" s="13">
        <f>ROUNDUP(IF(SUM($AX91:$AY91)=0,0,IF(IF(ISBLANK($AY91),$AX91,$AY91)*Paraméterek!$J$112&lt;IF($D$4="Forint",Paraméterek!$J$113,Paraméterek!$K$113),IF($D$4="Forint",Paraméterek!$J$113,Paraméterek!$K$113),IF(IF(ISBLANK($AY91),$AX91,$AY91)*Paraméterek!$J$112&gt;IF($D$4="Forint",Paraméterek!$J$114,Paraméterek!$K$114),IF($D$4="Forint",Paraméterek!$J$114,Paraméterek!$K$114),IF(ISBLANK($AY91),$AX91,$AY91)*Paraméterek!$J$112))),IF($D$4="Forint",0,2))</f>
        <v>0</v>
      </c>
      <c r="BA91" s="13">
        <f ca="1">$AT91+$AV91-$AW91-IF(ROUNDDOWN(IF(ISBLANK($AY91),$AX91,$AY91),IF($D$4="Forint",0,2))&gt;$AT91+$AV91-$AW91-IF($D$4="Forint",Paraméterek!$J$114,Paraméterek!$K$114),0,ROUNDDOWN(IF(ISBLANK($AY91),$AX91,$AY91),IF($D$4="Forint",0,2))-$AZ91)</f>
        <v>0</v>
      </c>
      <c r="BB91" s="13">
        <f t="shared" ca="1" si="33"/>
        <v>0</v>
      </c>
      <c r="BD91" s="32">
        <v>72</v>
      </c>
      <c r="BE91" s="32">
        <v>6</v>
      </c>
      <c r="BF91" s="32">
        <v>12</v>
      </c>
      <c r="BG91" s="34">
        <f t="shared" ca="1" si="42"/>
        <v>2025</v>
      </c>
      <c r="BH91" s="32" t="str">
        <f ca="1">IF(MOD(MONTH($D$14)+$BD91-1,12)=Paraméterek!$C$288,"Igen","")</f>
        <v/>
      </c>
      <c r="BI91" s="13">
        <f ca="1">IF($BH91="Igen",MIN(ROUNDDOWN((SUMIF($BG$20:$BG$1027,$BG91-1,$K$20:$K$1027)-SUMIF($BG$20:$BG$1027,$BG91-1,$I$20:$I$1027))*Paraméterek!$C$289,IF($D$4="Forint",0,2)),IF($D$4="Forint",Paraméterek!$C$285,Paraméterek!$D$285)),0)</f>
        <v>0</v>
      </c>
      <c r="BJ91" s="13">
        <f t="shared" ca="1" si="34"/>
        <v>0</v>
      </c>
      <c r="BK91" s="13">
        <f t="shared" ca="1" si="43"/>
        <v>0</v>
      </c>
      <c r="BL91" s="33"/>
      <c r="BM91" s="13">
        <f t="shared" ca="1" si="35"/>
        <v>0</v>
      </c>
      <c r="BN91" s="13">
        <f ca="1">ROUNDUP(($BK91+$BM91)*VLOOKUP($BE91,Paraméterek!$P$38:$Q$38,2)/12*IF($D92="Nem",IF($M$13=0,1,$M$13),1),IF($D$4="Forint",0,2))</f>
        <v>0</v>
      </c>
      <c r="BO91" s="13">
        <f t="shared" ca="1" si="36"/>
        <v>0</v>
      </c>
      <c r="BP91" s="13">
        <f ca="1">IF($D92="Nem",$BO91,$BO91-ROUNDUP(SUM($BI$20:$BI91)*120%,IF($D$4="Forint",0,2)))</f>
        <v>0</v>
      </c>
    </row>
    <row r="92" spans="1:68" x14ac:dyDescent="0.2">
      <c r="A92" s="32">
        <v>73</v>
      </c>
      <c r="B92" s="32">
        <v>7</v>
      </c>
      <c r="C92" s="32">
        <v>1</v>
      </c>
      <c r="D92" s="32" t="str">
        <f t="shared" ca="1" si="22"/>
        <v>Nem</v>
      </c>
      <c r="E92" s="13">
        <f t="shared" ca="1" si="23"/>
        <v>0</v>
      </c>
      <c r="F92" s="13"/>
      <c r="G92" s="13">
        <f>Tranzakciók!$D$38</f>
        <v>0</v>
      </c>
      <c r="H92" s="13"/>
      <c r="I92" s="13">
        <f t="shared" ca="1" si="24"/>
        <v>0</v>
      </c>
      <c r="J92" s="13">
        <f t="shared" ca="1" si="25"/>
        <v>0</v>
      </c>
      <c r="K92" s="13">
        <f t="shared" ca="1" si="26"/>
        <v>0</v>
      </c>
      <c r="L92" s="13" t="e">
        <f ca="1">ROUNDUP(IF($D$2="Egyszeri",$E92,IF($D$2="Havi",SUM($E$20:$E$31),IF(MOD($C92,$M$1)-1=0,SUM($E$20:$E$31),0))/12*$M$1)*VLOOKUP($B92,Paraméterek!$I$28:$P$31,IF($D$2="Egyszeri",8,HLOOKUP(ROUNDUP($M$11+$M$13,0),Paraméterek!$J$26:$O$27,2))),IF($D$4="Forint",0,2))</f>
        <v>#N/A</v>
      </c>
      <c r="M92" s="13">
        <f t="shared" ca="1" si="27"/>
        <v>0</v>
      </c>
      <c r="N92" s="13">
        <f t="shared" ca="1" si="37"/>
        <v>0</v>
      </c>
      <c r="O92" s="13">
        <f ca="1">IF($D92="Igen",IF($W91&gt;=IF($D$4="Forint",Paraméterek!$J$121,Paraméterek!$K$121),0,IF($D$4="Forint",Paraméterek!$J$121,Paraméterek!$K$121)-$W91),0)</f>
        <v>0</v>
      </c>
      <c r="P92" s="13" t="e">
        <f ca="1">ROUNDUP($O92*VLOOKUP($M$4+$B92-1,Paraméterek!$H$58:$I$105,2,0)/Paraméterek!$I$56,IF($D$4="Forint",0,2))</f>
        <v>#N/A</v>
      </c>
      <c r="Q92" s="13">
        <f t="shared" ca="1" si="28"/>
        <v>0</v>
      </c>
      <c r="R92" s="33"/>
      <c r="S92" s="13" t="e">
        <f t="shared" ca="1" si="29"/>
        <v>#N/A</v>
      </c>
      <c r="T92" s="13" t="e">
        <f ca="1">ROUNDUP(($N92-$P92-$Q92+$S92)*VLOOKUP($B92,Paraméterek!$I$38:$K$39,IF($D$2="Egyszeri",3,2))/12*IF($D93="Nem",IF($M$13=0,1,$M$13),1),IF($D$4="Forint",0,2))</f>
        <v>#N/A</v>
      </c>
      <c r="U92" s="13"/>
      <c r="V92" s="13"/>
      <c r="W92" s="13" t="e">
        <f ca="1">$N92-$P92-$Q92+$S92-$T92-IF(ROUNDUP(IF(ISBLANK($V92),$U92*0,$V92)/IF($D$2="Egyszeri",VLOOKUP($B92+IF($C92=12,1,0),Paraméterek!$V$257:$W$262,2),IF($B92=1,1,VLOOKUP($B92+IF($C92=12,1,0),Paraméterek!$I$258:$T$278,HLOOKUP($M$11+1,Paraméterek!$J$256:$T$257,2)))),IF($D$4="Forint",0,2))&gt;$N92-$P92-$Q92+$S92-$T92-IF($D$4="Forint",Paraméterek!$C$216,Paraméterek!$D$216),0,ROUNDUP(IF(ISBLANK($V92),$U92*0,$V92)/IF($D$2="Egyszeri",VLOOKUP($B92+IF($C92=12,1,0),Paraméterek!$V$257:$W$262,2),IF($B92=1,1,VLOOKUP($B92+IF($C92=12,1,0),Paraméterek!$I$258:$T$278,HLOOKUP($M$11+1,Paraméterek!$J$256:$T$257,2)))),IF($D$4="Forint",0,2)))</f>
        <v>#N/A</v>
      </c>
      <c r="X92" s="13" t="e">
        <f ca="1">ROUNDDOWN($W92*IF($D$2="Egyszeri",VLOOKUP($B92+IF($C92=12,1,0),Paraméterek!$V$257:$W$262,2),VLOOKUP($B92+IF($C92=12,1,0),Paraméterek!$I$258:$T$278,HLOOKUP($M$11+1,Paraméterek!$I$256:$T$257,2))),IF($D$4="Forint",0,2))</f>
        <v>#N/A</v>
      </c>
      <c r="Z92" s="32">
        <v>73</v>
      </c>
      <c r="AA92" s="32">
        <v>7</v>
      </c>
      <c r="AB92" s="32">
        <v>1</v>
      </c>
      <c r="AC92" s="13">
        <f t="shared" ca="1" si="38"/>
        <v>0</v>
      </c>
      <c r="AD92" s="33"/>
      <c r="AE92" s="13">
        <f t="shared" ca="1" si="30"/>
        <v>0</v>
      </c>
      <c r="AF92" s="13">
        <f ca="1">ROUNDUP(($AC92+$AE92)*VLOOKUP($AA92,Paraméterek!$P$38:$Q$38,2)/12*IF($D93="Nem",IF($M$13=0,1,$M$13),1),IF($D$4="Forint",0,2))</f>
        <v>0</v>
      </c>
      <c r="AG92" s="13">
        <f ca="1">IF($D$2="Egyszeri",IF($D$7&gt;=IF($D$4="Forint",Paraméterek!$P$223,Paraméterek!$P$224),$D$7-IF($D$4="Forint",Paraméterek!$P$223,Paraméterek!$P$224),0),MIN(IF($AB92=12,AVERAGEIF($E$20:$E92,"&gt;0",$E$20:$E92)*12,0),SUM($E$20:$E$31)))</f>
        <v>0</v>
      </c>
      <c r="AH92" s="13">
        <f>IF($AA92=10,$AG92*IF($AB92=12,IF($AG92&lt;IF($D$4="Forint",Paraméterek!$L$223,Paraméterek!$L$224),0,VLOOKUP($AA92,Paraméterek!$K$226:$M$228,IF($AG92&lt;IF($D$4="Forint",Paraméterek!$M$223,Paraméterek!$M$224),2,3))),0),0)</f>
        <v>0</v>
      </c>
      <c r="AI92" s="13">
        <f ca="1">IF(AND($AA92=$M$11+1,$AB92=$M$12+1),SUMIF($AA$20:$AA$1027,$AA92,$AG$20:$AG$1027)*IF(SUMIF($AA$20:$AA$1027,$AA92,$AG$20:$AG$1027)&lt;IF($D$4="Forint",Paraméterek!$L$223,Paraméterek!$L$224),0,VLOOKUP($AA92,Paraméterek!$K$230:$M$250,IF(SUMIF($AA$20:$AA$1027,$AA92,$AG$20:$AG$1027)&lt;IF($D$4="Forint",Paraméterek!$M$223,Paraméterek!$M$224),2,3))),0)</f>
        <v>0</v>
      </c>
      <c r="AJ92" s="13">
        <f ca="1">IF(AND($AA92&gt;=5,MOD($AA92,5)=0),IF($AB92=12,VLOOKUP($AA92,Paraméterek!$O$225:$P$240,2),0),IF(OR($AA92=3,$AA92=4),IF($AB92=12,VLOOKUP($AA92,Paraméterek!$O$225:$P$240,2,0),0),0))*$AG92</f>
        <v>0</v>
      </c>
      <c r="AK92" s="13">
        <f t="shared" ca="1" si="31"/>
        <v>0</v>
      </c>
      <c r="AL92" s="13">
        <f t="shared" ca="1" si="39"/>
        <v>0</v>
      </c>
      <c r="AM92" s="13">
        <f t="shared" ca="1" si="40"/>
        <v>0</v>
      </c>
      <c r="AO92" s="32">
        <v>73</v>
      </c>
      <c r="AP92" s="32">
        <v>7</v>
      </c>
      <c r="AQ92" s="32">
        <v>1</v>
      </c>
      <c r="AR92" s="13">
        <f>Tranzakciók!$K$38</f>
        <v>0</v>
      </c>
      <c r="AS92" s="32"/>
      <c r="AT92" s="13">
        <f t="shared" ca="1" si="41"/>
        <v>0</v>
      </c>
      <c r="AU92" s="33"/>
      <c r="AV92" s="13">
        <f t="shared" ca="1" si="32"/>
        <v>0</v>
      </c>
      <c r="AW92" s="13">
        <f ca="1">ROUNDUP(($AT92+$AV92)*VLOOKUP($AP92,Paraméterek!$P$38:$Q$38,2)/12*IF($D93="Nem",IF($M$13=0,1,$M$13),1),IF($D$4="Forint",0,2))</f>
        <v>0</v>
      </c>
      <c r="AX92" s="13"/>
      <c r="AY92" s="13"/>
      <c r="AZ92" s="13">
        <f>ROUNDUP(IF(SUM($AX92:$AY92)=0,0,IF(IF(ISBLANK($AY92),$AX92,$AY92)*Paraméterek!$J$112&lt;IF($D$4="Forint",Paraméterek!$J$113,Paraméterek!$K$113),IF($D$4="Forint",Paraméterek!$J$113,Paraméterek!$K$113),IF(IF(ISBLANK($AY92),$AX92,$AY92)*Paraméterek!$J$112&gt;IF($D$4="Forint",Paraméterek!$J$114,Paraméterek!$K$114),IF($D$4="Forint",Paraméterek!$J$114,Paraméterek!$K$114),IF(ISBLANK($AY92),$AX92,$AY92)*Paraméterek!$J$112))),IF($D$4="Forint",0,2))</f>
        <v>0</v>
      </c>
      <c r="BA92" s="13">
        <f ca="1">$AT92+$AV92-$AW92-IF(ROUNDDOWN(IF(ISBLANK($AY92),$AX92,$AY92),IF($D$4="Forint",0,2))&gt;$AT92+$AV92-$AW92-IF($D$4="Forint",Paraméterek!$J$114,Paraméterek!$K$114),0,ROUNDDOWN(IF(ISBLANK($AY92),$AX92,$AY92),IF($D$4="Forint",0,2))-$AZ92)</f>
        <v>0</v>
      </c>
      <c r="BB92" s="13">
        <f t="shared" ca="1" si="33"/>
        <v>0</v>
      </c>
      <c r="BD92" s="32">
        <v>73</v>
      </c>
      <c r="BE92" s="32">
        <v>7</v>
      </c>
      <c r="BF92" s="32">
        <v>1</v>
      </c>
      <c r="BG92" s="34">
        <f t="shared" ca="1" si="42"/>
        <v>2025</v>
      </c>
      <c r="BH92" s="32" t="str">
        <f ca="1">IF(MOD(MONTH($D$14)+$BD92-1,12)=Paraméterek!$C$288,"Igen","")</f>
        <v/>
      </c>
      <c r="BI92" s="13">
        <f ca="1">IF($BH92="Igen",MIN(ROUNDDOWN((SUMIF($BG$20:$BG$1027,$BG92-1,$K$20:$K$1027)-SUMIF($BG$20:$BG$1027,$BG92-1,$I$20:$I$1027))*Paraméterek!$C$289,IF($D$4="Forint",0,2)),IF($D$4="Forint",Paraméterek!$C$285,Paraméterek!$D$285)),0)</f>
        <v>0</v>
      </c>
      <c r="BJ92" s="13">
        <f t="shared" ca="1" si="34"/>
        <v>0</v>
      </c>
      <c r="BK92" s="13">
        <f t="shared" ca="1" si="43"/>
        <v>0</v>
      </c>
      <c r="BL92" s="33"/>
      <c r="BM92" s="13">
        <f t="shared" ca="1" si="35"/>
        <v>0</v>
      </c>
      <c r="BN92" s="13">
        <f ca="1">ROUNDUP(($BK92+$BM92)*VLOOKUP($BE92,Paraméterek!$P$38:$Q$38,2)/12*IF($D93="Nem",IF($M$13=0,1,$M$13),1),IF($D$4="Forint",0,2))</f>
        <v>0</v>
      </c>
      <c r="BO92" s="13">
        <f t="shared" ca="1" si="36"/>
        <v>0</v>
      </c>
      <c r="BP92" s="13">
        <f ca="1">IF($D93="Nem",$BO92,$BO92-ROUNDUP(SUM($BI$20:$BI92)*120%,IF($D$4="Forint",0,2)))</f>
        <v>0</v>
      </c>
    </row>
    <row r="93" spans="1:68" x14ac:dyDescent="0.2">
      <c r="A93" s="32">
        <v>74</v>
      </c>
      <c r="B93" s="32">
        <v>7</v>
      </c>
      <c r="C93" s="32">
        <v>2</v>
      </c>
      <c r="D93" s="32" t="str">
        <f t="shared" ca="1" si="22"/>
        <v>Nem</v>
      </c>
      <c r="E93" s="13">
        <f t="shared" ca="1" si="23"/>
        <v>0</v>
      </c>
      <c r="F93" s="13"/>
      <c r="G93" s="13"/>
      <c r="H93" s="13"/>
      <c r="I93" s="13">
        <f t="shared" ca="1" si="24"/>
        <v>0</v>
      </c>
      <c r="J93" s="13">
        <f t="shared" ca="1" si="25"/>
        <v>0</v>
      </c>
      <c r="K93" s="13">
        <f t="shared" ca="1" si="26"/>
        <v>0</v>
      </c>
      <c r="L93" s="13" t="e">
        <f ca="1">ROUNDUP(IF($D$2="Egyszeri",$E93,IF($D$2="Havi",SUM($E$20:$E$31),IF(MOD($C93,$M$1)-1=0,SUM($E$20:$E$31),0))/12*$M$1)*VLOOKUP($B93,Paraméterek!$I$28:$P$31,IF($D$2="Egyszeri",8,HLOOKUP(ROUNDUP($M$11+$M$13,0),Paraméterek!$J$26:$O$27,2))),IF($D$4="Forint",0,2))</f>
        <v>#N/A</v>
      </c>
      <c r="M93" s="13">
        <f t="shared" ca="1" si="27"/>
        <v>0</v>
      </c>
      <c r="N93" s="13">
        <f t="shared" ca="1" si="37"/>
        <v>0</v>
      </c>
      <c r="O93" s="13">
        <f ca="1">IF($D93="Igen",IF($W92&gt;=IF($D$4="Forint",Paraméterek!$J$121,Paraméterek!$K$121),0,IF($D$4="Forint",Paraméterek!$J$121,Paraméterek!$K$121)-$W92),0)</f>
        <v>0</v>
      </c>
      <c r="P93" s="13" t="e">
        <f ca="1">ROUNDUP($O93*VLOOKUP($M$4+$B93-1,Paraméterek!$H$58:$I$105,2,0)/Paraméterek!$I$56,IF($D$4="Forint",0,2))</f>
        <v>#N/A</v>
      </c>
      <c r="Q93" s="13">
        <f t="shared" ca="1" si="28"/>
        <v>0</v>
      </c>
      <c r="R93" s="33"/>
      <c r="S93" s="13" t="e">
        <f t="shared" ca="1" si="29"/>
        <v>#N/A</v>
      </c>
      <c r="T93" s="13" t="e">
        <f ca="1">ROUNDUP(($N93-$P93-$Q93+$S93)*VLOOKUP($B93,Paraméterek!$I$38:$K$39,IF($D$2="Egyszeri",3,2))/12*IF($D94="Nem",IF($M$13=0,1,$M$13),1),IF($D$4="Forint",0,2))</f>
        <v>#N/A</v>
      </c>
      <c r="U93" s="13"/>
      <c r="V93" s="13"/>
      <c r="W93" s="13" t="e">
        <f ca="1">$N93-$P93-$Q93+$S93-$T93-IF(ROUNDUP(IF(ISBLANK($V93),$U93*0,$V93)/IF($D$2="Egyszeri",VLOOKUP($B93+IF($C93=12,1,0),Paraméterek!$V$257:$W$262,2),IF($B93=1,1,VLOOKUP($B93+IF($C93=12,1,0),Paraméterek!$I$258:$T$278,HLOOKUP($M$11+1,Paraméterek!$J$256:$T$257,2)))),IF($D$4="Forint",0,2))&gt;$N93-$P93-$Q93+$S93-$T93-IF($D$4="Forint",Paraméterek!$C$216,Paraméterek!$D$216),0,ROUNDUP(IF(ISBLANK($V93),$U93*0,$V93)/IF($D$2="Egyszeri",VLOOKUP($B93+IF($C93=12,1,0),Paraméterek!$V$257:$W$262,2),IF($B93=1,1,VLOOKUP($B93+IF($C93=12,1,0),Paraméterek!$I$258:$T$278,HLOOKUP($M$11+1,Paraméterek!$J$256:$T$257,2)))),IF($D$4="Forint",0,2)))</f>
        <v>#N/A</v>
      </c>
      <c r="X93" s="13" t="e">
        <f ca="1">ROUNDDOWN($W93*IF($D$2="Egyszeri",VLOOKUP($B93+IF($C93=12,1,0),Paraméterek!$V$257:$W$262,2),VLOOKUP($B93+IF($C93=12,1,0),Paraméterek!$I$258:$T$278,HLOOKUP($M$11+1,Paraméterek!$I$256:$T$257,2))),IF($D$4="Forint",0,2))</f>
        <v>#N/A</v>
      </c>
      <c r="Z93" s="32">
        <v>74</v>
      </c>
      <c r="AA93" s="32">
        <v>7</v>
      </c>
      <c r="AB93" s="32">
        <v>2</v>
      </c>
      <c r="AC93" s="13">
        <f t="shared" ca="1" si="38"/>
        <v>0</v>
      </c>
      <c r="AD93" s="33"/>
      <c r="AE93" s="13">
        <f t="shared" ca="1" si="30"/>
        <v>0</v>
      </c>
      <c r="AF93" s="13">
        <f ca="1">ROUNDUP(($AC93+$AE93)*VLOOKUP($AA93,Paraméterek!$P$38:$Q$38,2)/12*IF($D94="Nem",IF($M$13=0,1,$M$13),1),IF($D$4="Forint",0,2))</f>
        <v>0</v>
      </c>
      <c r="AG93" s="13">
        <f ca="1">IF($D$2="Egyszeri",IF($D$7&gt;=IF($D$4="Forint",Paraméterek!$P$223,Paraméterek!$P$224),$D$7-IF($D$4="Forint",Paraméterek!$P$223,Paraméterek!$P$224),0),MIN(IF($AB93=12,AVERAGEIF($E$20:$E93,"&gt;0",$E$20:$E93)*12,0),SUM($E$20:$E$31)))</f>
        <v>0</v>
      </c>
      <c r="AH93" s="13">
        <f>IF($AA93=10,$AG93*IF($AB93=12,IF($AG93&lt;IF($D$4="Forint",Paraméterek!$L$223,Paraméterek!$L$224),0,VLOOKUP($AA93,Paraméterek!$K$226:$M$228,IF($AG93&lt;IF($D$4="Forint",Paraméterek!$M$223,Paraméterek!$M$224),2,3))),0),0)</f>
        <v>0</v>
      </c>
      <c r="AI93" s="13">
        <f ca="1">IF(AND($AA93=$M$11+1,$AB93=$M$12+1),SUMIF($AA$20:$AA$1027,$AA93,$AG$20:$AG$1027)*IF(SUMIF($AA$20:$AA$1027,$AA93,$AG$20:$AG$1027)&lt;IF($D$4="Forint",Paraméterek!$L$223,Paraméterek!$L$224),0,VLOOKUP($AA93,Paraméterek!$K$230:$M$250,IF(SUMIF($AA$20:$AA$1027,$AA93,$AG$20:$AG$1027)&lt;IF($D$4="Forint",Paraméterek!$M$223,Paraméterek!$M$224),2,3))),0)</f>
        <v>0</v>
      </c>
      <c r="AJ93" s="13">
        <f ca="1">IF(AND($AA93&gt;=5,MOD($AA93,5)=0),IF($AB93=12,VLOOKUP($AA93,Paraméterek!$O$225:$P$240,2),0),IF(OR($AA93=3,$AA93=4),IF($AB93=12,VLOOKUP($AA93,Paraméterek!$O$225:$P$240,2,0),0),0))*$AG93</f>
        <v>0</v>
      </c>
      <c r="AK93" s="13">
        <f t="shared" ca="1" si="31"/>
        <v>0</v>
      </c>
      <c r="AL93" s="13">
        <f t="shared" ca="1" si="39"/>
        <v>0</v>
      </c>
      <c r="AM93" s="13">
        <f t="shared" ca="1" si="40"/>
        <v>0</v>
      </c>
      <c r="AO93" s="32">
        <v>74</v>
      </c>
      <c r="AP93" s="32">
        <v>7</v>
      </c>
      <c r="AQ93" s="32">
        <v>2</v>
      </c>
      <c r="AR93" s="13"/>
      <c r="AS93" s="32"/>
      <c r="AT93" s="13">
        <f t="shared" ca="1" si="41"/>
        <v>0</v>
      </c>
      <c r="AU93" s="33"/>
      <c r="AV93" s="13">
        <f t="shared" ca="1" si="32"/>
        <v>0</v>
      </c>
      <c r="AW93" s="13">
        <f ca="1">ROUNDUP(($AT93+$AV93)*VLOOKUP($AP93,Paraméterek!$P$38:$Q$38,2)/12*IF($D94="Nem",IF($M$13=0,1,$M$13),1),IF($D$4="Forint",0,2))</f>
        <v>0</v>
      </c>
      <c r="AX93" s="13"/>
      <c r="AY93" s="13"/>
      <c r="AZ93" s="13">
        <f>ROUNDUP(IF(SUM($AX93:$AY93)=0,0,IF(IF(ISBLANK($AY93),$AX93,$AY93)*Paraméterek!$J$112&lt;IF($D$4="Forint",Paraméterek!$J$113,Paraméterek!$K$113),IF($D$4="Forint",Paraméterek!$J$113,Paraméterek!$K$113),IF(IF(ISBLANK($AY93),$AX93,$AY93)*Paraméterek!$J$112&gt;IF($D$4="Forint",Paraméterek!$J$114,Paraméterek!$K$114),IF($D$4="Forint",Paraméterek!$J$114,Paraméterek!$K$114),IF(ISBLANK($AY93),$AX93,$AY93)*Paraméterek!$J$112))),IF($D$4="Forint",0,2))</f>
        <v>0</v>
      </c>
      <c r="BA93" s="13">
        <f ca="1">$AT93+$AV93-$AW93-IF(ROUNDDOWN(IF(ISBLANK($AY93),$AX93,$AY93),IF($D$4="Forint",0,2))&gt;$AT93+$AV93-$AW93-IF($D$4="Forint",Paraméterek!$J$114,Paraméterek!$K$114),0,ROUNDDOWN(IF(ISBLANK($AY93),$AX93,$AY93),IF($D$4="Forint",0,2))-$AZ93)</f>
        <v>0</v>
      </c>
      <c r="BB93" s="13">
        <f t="shared" ca="1" si="33"/>
        <v>0</v>
      </c>
      <c r="BD93" s="32">
        <v>74</v>
      </c>
      <c r="BE93" s="32">
        <v>7</v>
      </c>
      <c r="BF93" s="32">
        <v>2</v>
      </c>
      <c r="BG93" s="34">
        <f t="shared" ca="1" si="42"/>
        <v>2025</v>
      </c>
      <c r="BH93" s="32" t="str">
        <f ca="1">IF(MOD(MONTH($D$14)+$BD93-1,12)=Paraméterek!$C$288,"Igen","")</f>
        <v>Igen</v>
      </c>
      <c r="BI93" s="13">
        <f ca="1">IF($BH93="Igen",MIN(ROUNDDOWN((SUMIF($BG$20:$BG$1027,$BG93-1,$K$20:$K$1027)-SUMIF($BG$20:$BG$1027,$BG93-1,$I$20:$I$1027))*Paraméterek!$C$289,IF($D$4="Forint",0,2)),IF($D$4="Forint",Paraméterek!$C$285,Paraméterek!$D$285)),0)</f>
        <v>0</v>
      </c>
      <c r="BJ93" s="13">
        <f t="shared" ca="1" si="34"/>
        <v>0</v>
      </c>
      <c r="BK93" s="13">
        <f t="shared" ca="1" si="43"/>
        <v>0</v>
      </c>
      <c r="BL93" s="33"/>
      <c r="BM93" s="13">
        <f t="shared" ca="1" si="35"/>
        <v>0</v>
      </c>
      <c r="BN93" s="13">
        <f ca="1">ROUNDUP(($BK93+$BM93)*VLOOKUP($BE93,Paraméterek!$P$38:$Q$38,2)/12*IF($D94="Nem",IF($M$13=0,1,$M$13),1),IF($D$4="Forint",0,2))</f>
        <v>0</v>
      </c>
      <c r="BO93" s="13">
        <f t="shared" ca="1" si="36"/>
        <v>0</v>
      </c>
      <c r="BP93" s="13">
        <f ca="1">IF($D94="Nem",$BO93,$BO93-ROUNDUP(SUM($BI$20:$BI93)*120%,IF($D$4="Forint",0,2)))</f>
        <v>0</v>
      </c>
    </row>
    <row r="94" spans="1:68" x14ac:dyDescent="0.2">
      <c r="A94" s="32">
        <v>75</v>
      </c>
      <c r="B94" s="32">
        <v>7</v>
      </c>
      <c r="C94" s="32">
        <v>3</v>
      </c>
      <c r="D94" s="32" t="str">
        <f t="shared" ca="1" si="22"/>
        <v>Nem</v>
      </c>
      <c r="E94" s="13">
        <f t="shared" ca="1" si="23"/>
        <v>0</v>
      </c>
      <c r="F94" s="13"/>
      <c r="G94" s="13"/>
      <c r="H94" s="13"/>
      <c r="I94" s="13">
        <f t="shared" ca="1" si="24"/>
        <v>0</v>
      </c>
      <c r="J94" s="13">
        <f t="shared" ca="1" si="25"/>
        <v>0</v>
      </c>
      <c r="K94" s="13">
        <f t="shared" ca="1" si="26"/>
        <v>0</v>
      </c>
      <c r="L94" s="13" t="e">
        <f ca="1">ROUNDUP(IF($D$2="Egyszeri",$E94,IF($D$2="Havi",SUM($E$20:$E$31),IF(MOD($C94,$M$1)-1=0,SUM($E$20:$E$31),0))/12*$M$1)*VLOOKUP($B94,Paraméterek!$I$28:$P$31,IF($D$2="Egyszeri",8,HLOOKUP(ROUNDUP($M$11+$M$13,0),Paraméterek!$J$26:$O$27,2))),IF($D$4="Forint",0,2))</f>
        <v>#N/A</v>
      </c>
      <c r="M94" s="13">
        <f t="shared" ca="1" si="27"/>
        <v>0</v>
      </c>
      <c r="N94" s="13">
        <f t="shared" ca="1" si="37"/>
        <v>0</v>
      </c>
      <c r="O94" s="13">
        <f ca="1">IF($D94="Igen",IF($W93&gt;=IF($D$4="Forint",Paraméterek!$J$121,Paraméterek!$K$121),0,IF($D$4="Forint",Paraméterek!$J$121,Paraméterek!$K$121)-$W93),0)</f>
        <v>0</v>
      </c>
      <c r="P94" s="13" t="e">
        <f ca="1">ROUNDUP($O94*VLOOKUP($M$4+$B94-1,Paraméterek!$H$58:$I$105,2,0)/Paraméterek!$I$56,IF($D$4="Forint",0,2))</f>
        <v>#N/A</v>
      </c>
      <c r="Q94" s="13">
        <f t="shared" ca="1" si="28"/>
        <v>0</v>
      </c>
      <c r="R94" s="33"/>
      <c r="S94" s="13" t="e">
        <f t="shared" ca="1" si="29"/>
        <v>#N/A</v>
      </c>
      <c r="T94" s="13" t="e">
        <f ca="1">ROUNDUP(($N94-$P94-$Q94+$S94)*VLOOKUP($B94,Paraméterek!$I$38:$K$39,IF($D$2="Egyszeri",3,2))/12*IF($D95="Nem",IF($M$13=0,1,$M$13),1),IF($D$4="Forint",0,2))</f>
        <v>#N/A</v>
      </c>
      <c r="U94" s="13"/>
      <c r="V94" s="13"/>
      <c r="W94" s="13" t="e">
        <f ca="1">$N94-$P94-$Q94+$S94-$T94-IF(ROUNDUP(IF(ISBLANK($V94),$U94*0,$V94)/IF($D$2="Egyszeri",VLOOKUP($B94+IF($C94=12,1,0),Paraméterek!$V$257:$W$262,2),IF($B94=1,1,VLOOKUP($B94+IF($C94=12,1,0),Paraméterek!$I$258:$T$278,HLOOKUP($M$11+1,Paraméterek!$J$256:$T$257,2)))),IF($D$4="Forint",0,2))&gt;$N94-$P94-$Q94+$S94-$T94-IF($D$4="Forint",Paraméterek!$C$216,Paraméterek!$D$216),0,ROUNDUP(IF(ISBLANK($V94),$U94*0,$V94)/IF($D$2="Egyszeri",VLOOKUP($B94+IF($C94=12,1,0),Paraméterek!$V$257:$W$262,2),IF($B94=1,1,VLOOKUP($B94+IF($C94=12,1,0),Paraméterek!$I$258:$T$278,HLOOKUP($M$11+1,Paraméterek!$J$256:$T$257,2)))),IF($D$4="Forint",0,2)))</f>
        <v>#N/A</v>
      </c>
      <c r="X94" s="13" t="e">
        <f ca="1">ROUNDDOWN($W94*IF($D$2="Egyszeri",VLOOKUP($B94+IF($C94=12,1,0),Paraméterek!$V$257:$W$262,2),VLOOKUP($B94+IF($C94=12,1,0),Paraméterek!$I$258:$T$278,HLOOKUP($M$11+1,Paraméterek!$I$256:$T$257,2))),IF($D$4="Forint",0,2))</f>
        <v>#N/A</v>
      </c>
      <c r="Z94" s="32">
        <v>75</v>
      </c>
      <c r="AA94" s="32">
        <v>7</v>
      </c>
      <c r="AB94" s="32">
        <v>3</v>
      </c>
      <c r="AC94" s="13">
        <f t="shared" ca="1" si="38"/>
        <v>0</v>
      </c>
      <c r="AD94" s="33"/>
      <c r="AE94" s="13">
        <f t="shared" ca="1" si="30"/>
        <v>0</v>
      </c>
      <c r="AF94" s="13">
        <f ca="1">ROUNDUP(($AC94+$AE94)*VLOOKUP($AA94,Paraméterek!$P$38:$Q$38,2)/12*IF($D95="Nem",IF($M$13=0,1,$M$13),1),IF($D$4="Forint",0,2))</f>
        <v>0</v>
      </c>
      <c r="AG94" s="13">
        <f ca="1">IF($D$2="Egyszeri",IF($D$7&gt;=IF($D$4="Forint",Paraméterek!$P$223,Paraméterek!$P$224),$D$7-IF($D$4="Forint",Paraméterek!$P$223,Paraméterek!$P$224),0),MIN(IF($AB94=12,AVERAGEIF($E$20:$E94,"&gt;0",$E$20:$E94)*12,0),SUM($E$20:$E$31)))</f>
        <v>0</v>
      </c>
      <c r="AH94" s="13">
        <f>IF($AA94=10,$AG94*IF($AB94=12,IF($AG94&lt;IF($D$4="Forint",Paraméterek!$L$223,Paraméterek!$L$224),0,VLOOKUP($AA94,Paraméterek!$K$226:$M$228,IF($AG94&lt;IF($D$4="Forint",Paraméterek!$M$223,Paraméterek!$M$224),2,3))),0),0)</f>
        <v>0</v>
      </c>
      <c r="AI94" s="13">
        <f ca="1">IF(AND($AA94=$M$11+1,$AB94=$M$12+1),SUMIF($AA$20:$AA$1027,$AA94,$AG$20:$AG$1027)*IF(SUMIF($AA$20:$AA$1027,$AA94,$AG$20:$AG$1027)&lt;IF($D$4="Forint",Paraméterek!$L$223,Paraméterek!$L$224),0,VLOOKUP($AA94,Paraméterek!$K$230:$M$250,IF(SUMIF($AA$20:$AA$1027,$AA94,$AG$20:$AG$1027)&lt;IF($D$4="Forint",Paraméterek!$M$223,Paraméterek!$M$224),2,3))),0)</f>
        <v>0</v>
      </c>
      <c r="AJ94" s="13">
        <f ca="1">IF(AND($AA94&gt;=5,MOD($AA94,5)=0),IF($AB94=12,VLOOKUP($AA94,Paraméterek!$O$225:$P$240,2),0),IF(OR($AA94=3,$AA94=4),IF($AB94=12,VLOOKUP($AA94,Paraméterek!$O$225:$P$240,2,0),0),0))*$AG94</f>
        <v>0</v>
      </c>
      <c r="AK94" s="13">
        <f t="shared" ca="1" si="31"/>
        <v>0</v>
      </c>
      <c r="AL94" s="13">
        <f t="shared" ca="1" si="39"/>
        <v>0</v>
      </c>
      <c r="AM94" s="13">
        <f t="shared" ca="1" si="40"/>
        <v>0</v>
      </c>
      <c r="AO94" s="32">
        <v>75</v>
      </c>
      <c r="AP94" s="32">
        <v>7</v>
      </c>
      <c r="AQ94" s="32">
        <v>3</v>
      </c>
      <c r="AR94" s="13"/>
      <c r="AS94" s="32"/>
      <c r="AT94" s="13">
        <f t="shared" ca="1" si="41"/>
        <v>0</v>
      </c>
      <c r="AU94" s="33"/>
      <c r="AV94" s="13">
        <f t="shared" ca="1" si="32"/>
        <v>0</v>
      </c>
      <c r="AW94" s="13">
        <f ca="1">ROUNDUP(($AT94+$AV94)*VLOOKUP($AP94,Paraméterek!$P$38:$Q$38,2)/12*IF($D95="Nem",IF($M$13=0,1,$M$13),1),IF($D$4="Forint",0,2))</f>
        <v>0</v>
      </c>
      <c r="AX94" s="13"/>
      <c r="AY94" s="13"/>
      <c r="AZ94" s="13">
        <f>ROUNDUP(IF(SUM($AX94:$AY94)=0,0,IF(IF(ISBLANK($AY94),$AX94,$AY94)*Paraméterek!$J$112&lt;IF($D$4="Forint",Paraméterek!$J$113,Paraméterek!$K$113),IF($D$4="Forint",Paraméterek!$J$113,Paraméterek!$K$113),IF(IF(ISBLANK($AY94),$AX94,$AY94)*Paraméterek!$J$112&gt;IF($D$4="Forint",Paraméterek!$J$114,Paraméterek!$K$114),IF($D$4="Forint",Paraméterek!$J$114,Paraméterek!$K$114),IF(ISBLANK($AY94),$AX94,$AY94)*Paraméterek!$J$112))),IF($D$4="Forint",0,2))</f>
        <v>0</v>
      </c>
      <c r="BA94" s="13">
        <f ca="1">$AT94+$AV94-$AW94-IF(ROUNDDOWN(IF(ISBLANK($AY94),$AX94,$AY94),IF($D$4="Forint",0,2))&gt;$AT94+$AV94-$AW94-IF($D$4="Forint",Paraméterek!$J$114,Paraméterek!$K$114),0,ROUNDDOWN(IF(ISBLANK($AY94),$AX94,$AY94),IF($D$4="Forint",0,2))-$AZ94)</f>
        <v>0</v>
      </c>
      <c r="BB94" s="13">
        <f t="shared" ca="1" si="33"/>
        <v>0</v>
      </c>
      <c r="BD94" s="32">
        <v>75</v>
      </c>
      <c r="BE94" s="32">
        <v>7</v>
      </c>
      <c r="BF94" s="32">
        <v>3</v>
      </c>
      <c r="BG94" s="34">
        <f t="shared" ca="1" si="42"/>
        <v>2025</v>
      </c>
      <c r="BH94" s="32" t="str">
        <f ca="1">IF(MOD(MONTH($D$14)+$BD94-1,12)=Paraméterek!$C$288,"Igen","")</f>
        <v/>
      </c>
      <c r="BI94" s="13">
        <f ca="1">IF($BH94="Igen",MIN(ROUNDDOWN((SUMIF($BG$20:$BG$1027,$BG94-1,$K$20:$K$1027)-SUMIF($BG$20:$BG$1027,$BG94-1,$I$20:$I$1027))*Paraméterek!$C$289,IF($D$4="Forint",0,2)),IF($D$4="Forint",Paraméterek!$C$285,Paraméterek!$D$285)),0)</f>
        <v>0</v>
      </c>
      <c r="BJ94" s="13">
        <f t="shared" ca="1" si="34"/>
        <v>0</v>
      </c>
      <c r="BK94" s="13">
        <f t="shared" ca="1" si="43"/>
        <v>0</v>
      </c>
      <c r="BL94" s="33"/>
      <c r="BM94" s="13">
        <f t="shared" ca="1" si="35"/>
        <v>0</v>
      </c>
      <c r="BN94" s="13">
        <f ca="1">ROUNDUP(($BK94+$BM94)*VLOOKUP($BE94,Paraméterek!$P$38:$Q$38,2)/12*IF($D95="Nem",IF($M$13=0,1,$M$13),1),IF($D$4="Forint",0,2))</f>
        <v>0</v>
      </c>
      <c r="BO94" s="13">
        <f t="shared" ca="1" si="36"/>
        <v>0</v>
      </c>
      <c r="BP94" s="13">
        <f ca="1">IF($D95="Nem",$BO94,$BO94-ROUNDUP(SUM($BI$20:$BI94)*120%,IF($D$4="Forint",0,2)))</f>
        <v>0</v>
      </c>
    </row>
    <row r="95" spans="1:68" x14ac:dyDescent="0.2">
      <c r="A95" s="32">
        <v>76</v>
      </c>
      <c r="B95" s="32">
        <v>7</v>
      </c>
      <c r="C95" s="32">
        <v>4</v>
      </c>
      <c r="D95" s="32" t="str">
        <f t="shared" ca="1" si="22"/>
        <v>Nem</v>
      </c>
      <c r="E95" s="13">
        <f t="shared" ca="1" si="23"/>
        <v>0</v>
      </c>
      <c r="F95" s="13"/>
      <c r="G95" s="13"/>
      <c r="H95" s="13"/>
      <c r="I95" s="13">
        <f t="shared" ca="1" si="24"/>
        <v>0</v>
      </c>
      <c r="J95" s="13">
        <f t="shared" ca="1" si="25"/>
        <v>0</v>
      </c>
      <c r="K95" s="13">
        <f t="shared" ca="1" si="26"/>
        <v>0</v>
      </c>
      <c r="L95" s="13" t="e">
        <f ca="1">ROUNDUP(IF($D$2="Egyszeri",$E95,IF($D$2="Havi",SUM($E$20:$E$31),IF(MOD($C95,$M$1)-1=0,SUM($E$20:$E$31),0))/12*$M$1)*VLOOKUP($B95,Paraméterek!$I$28:$P$31,IF($D$2="Egyszeri",8,HLOOKUP(ROUNDUP($M$11+$M$13,0),Paraméterek!$J$26:$O$27,2))),IF($D$4="Forint",0,2))</f>
        <v>#N/A</v>
      </c>
      <c r="M95" s="13">
        <f t="shared" ca="1" si="27"/>
        <v>0</v>
      </c>
      <c r="N95" s="13">
        <f t="shared" ca="1" si="37"/>
        <v>0</v>
      </c>
      <c r="O95" s="13">
        <f ca="1">IF($D95="Igen",IF($W94&gt;=IF($D$4="Forint",Paraméterek!$J$121,Paraméterek!$K$121),0,IF($D$4="Forint",Paraméterek!$J$121,Paraméterek!$K$121)-$W94),0)</f>
        <v>0</v>
      </c>
      <c r="P95" s="13" t="e">
        <f ca="1">ROUNDUP($O95*VLOOKUP($M$4+$B95-1,Paraméterek!$H$58:$I$105,2,0)/Paraméterek!$I$56,IF($D$4="Forint",0,2))</f>
        <v>#N/A</v>
      </c>
      <c r="Q95" s="13">
        <f t="shared" ca="1" si="28"/>
        <v>0</v>
      </c>
      <c r="R95" s="33"/>
      <c r="S95" s="13" t="e">
        <f t="shared" ca="1" si="29"/>
        <v>#N/A</v>
      </c>
      <c r="T95" s="13" t="e">
        <f ca="1">ROUNDUP(($N95-$P95-$Q95+$S95)*VLOOKUP($B95,Paraméterek!$I$38:$K$39,IF($D$2="Egyszeri",3,2))/12*IF($D96="Nem",IF($M$13=0,1,$M$13),1),IF($D$4="Forint",0,2))</f>
        <v>#N/A</v>
      </c>
      <c r="U95" s="13"/>
      <c r="V95" s="13"/>
      <c r="W95" s="13" t="e">
        <f ca="1">$N95-$P95-$Q95+$S95-$T95-IF(ROUNDUP(IF(ISBLANK($V95),$U95*0,$V95)/IF($D$2="Egyszeri",VLOOKUP($B95+IF($C95=12,1,0),Paraméterek!$V$257:$W$262,2),IF($B95=1,1,VLOOKUP($B95+IF($C95=12,1,0),Paraméterek!$I$258:$T$278,HLOOKUP($M$11+1,Paraméterek!$J$256:$T$257,2)))),IF($D$4="Forint",0,2))&gt;$N95-$P95-$Q95+$S95-$T95-IF($D$4="Forint",Paraméterek!$C$216,Paraméterek!$D$216),0,ROUNDUP(IF(ISBLANK($V95),$U95*0,$V95)/IF($D$2="Egyszeri",VLOOKUP($B95+IF($C95=12,1,0),Paraméterek!$V$257:$W$262,2),IF($B95=1,1,VLOOKUP($B95+IF($C95=12,1,0),Paraméterek!$I$258:$T$278,HLOOKUP($M$11+1,Paraméterek!$J$256:$T$257,2)))),IF($D$4="Forint",0,2)))</f>
        <v>#N/A</v>
      </c>
      <c r="X95" s="13" t="e">
        <f ca="1">ROUNDDOWN($W95*IF($D$2="Egyszeri",VLOOKUP($B95+IF($C95=12,1,0),Paraméterek!$V$257:$W$262,2),VLOOKUP($B95+IF($C95=12,1,0),Paraméterek!$I$258:$T$278,HLOOKUP($M$11+1,Paraméterek!$I$256:$T$257,2))),IF($D$4="Forint",0,2))</f>
        <v>#N/A</v>
      </c>
      <c r="Z95" s="32">
        <v>76</v>
      </c>
      <c r="AA95" s="32">
        <v>7</v>
      </c>
      <c r="AB95" s="32">
        <v>4</v>
      </c>
      <c r="AC95" s="13">
        <f t="shared" ca="1" si="38"/>
        <v>0</v>
      </c>
      <c r="AD95" s="33"/>
      <c r="AE95" s="13">
        <f t="shared" ca="1" si="30"/>
        <v>0</v>
      </c>
      <c r="AF95" s="13">
        <f ca="1">ROUNDUP(($AC95+$AE95)*VLOOKUP($AA95,Paraméterek!$P$38:$Q$38,2)/12*IF($D96="Nem",IF($M$13=0,1,$M$13),1),IF($D$4="Forint",0,2))</f>
        <v>0</v>
      </c>
      <c r="AG95" s="13">
        <f ca="1">IF($D$2="Egyszeri",IF($D$7&gt;=IF($D$4="Forint",Paraméterek!$P$223,Paraméterek!$P$224),$D$7-IF($D$4="Forint",Paraméterek!$P$223,Paraméterek!$P$224),0),MIN(IF($AB95=12,AVERAGEIF($E$20:$E95,"&gt;0",$E$20:$E95)*12,0),SUM($E$20:$E$31)))</f>
        <v>0</v>
      </c>
      <c r="AH95" s="13">
        <f>IF($AA95=10,$AG95*IF($AB95=12,IF($AG95&lt;IF($D$4="Forint",Paraméterek!$L$223,Paraméterek!$L$224),0,VLOOKUP($AA95,Paraméterek!$K$226:$M$228,IF($AG95&lt;IF($D$4="Forint",Paraméterek!$M$223,Paraméterek!$M$224),2,3))),0),0)</f>
        <v>0</v>
      </c>
      <c r="AI95" s="13">
        <f ca="1">IF(AND($AA95=$M$11+1,$AB95=$M$12+1),SUMIF($AA$20:$AA$1027,$AA95,$AG$20:$AG$1027)*IF(SUMIF($AA$20:$AA$1027,$AA95,$AG$20:$AG$1027)&lt;IF($D$4="Forint",Paraméterek!$L$223,Paraméterek!$L$224),0,VLOOKUP($AA95,Paraméterek!$K$230:$M$250,IF(SUMIF($AA$20:$AA$1027,$AA95,$AG$20:$AG$1027)&lt;IF($D$4="Forint",Paraméterek!$M$223,Paraméterek!$M$224),2,3))),0)</f>
        <v>0</v>
      </c>
      <c r="AJ95" s="13">
        <f ca="1">IF(AND($AA95&gt;=5,MOD($AA95,5)=0),IF($AB95=12,VLOOKUP($AA95,Paraméterek!$O$225:$P$240,2),0),IF(OR($AA95=3,$AA95=4),IF($AB95=12,VLOOKUP($AA95,Paraméterek!$O$225:$P$240,2,0),0),0))*$AG95</f>
        <v>0</v>
      </c>
      <c r="AK95" s="13">
        <f t="shared" ca="1" si="31"/>
        <v>0</v>
      </c>
      <c r="AL95" s="13">
        <f t="shared" ca="1" si="39"/>
        <v>0</v>
      </c>
      <c r="AM95" s="13">
        <f t="shared" ca="1" si="40"/>
        <v>0</v>
      </c>
      <c r="AO95" s="32">
        <v>76</v>
      </c>
      <c r="AP95" s="32">
        <v>7</v>
      </c>
      <c r="AQ95" s="32">
        <v>4</v>
      </c>
      <c r="AR95" s="13"/>
      <c r="AS95" s="32"/>
      <c r="AT95" s="13">
        <f t="shared" ca="1" si="41"/>
        <v>0</v>
      </c>
      <c r="AU95" s="33"/>
      <c r="AV95" s="13">
        <f t="shared" ca="1" si="32"/>
        <v>0</v>
      </c>
      <c r="AW95" s="13">
        <f ca="1">ROUNDUP(($AT95+$AV95)*VLOOKUP($AP95,Paraméterek!$P$38:$Q$38,2)/12*IF($D96="Nem",IF($M$13=0,1,$M$13),1),IF($D$4="Forint",0,2))</f>
        <v>0</v>
      </c>
      <c r="AX95" s="13"/>
      <c r="AY95" s="13"/>
      <c r="AZ95" s="13">
        <f>ROUNDUP(IF(SUM($AX95:$AY95)=0,0,IF(IF(ISBLANK($AY95),$AX95,$AY95)*Paraméterek!$J$112&lt;IF($D$4="Forint",Paraméterek!$J$113,Paraméterek!$K$113),IF($D$4="Forint",Paraméterek!$J$113,Paraméterek!$K$113),IF(IF(ISBLANK($AY95),$AX95,$AY95)*Paraméterek!$J$112&gt;IF($D$4="Forint",Paraméterek!$J$114,Paraméterek!$K$114),IF($D$4="Forint",Paraméterek!$J$114,Paraméterek!$K$114),IF(ISBLANK($AY95),$AX95,$AY95)*Paraméterek!$J$112))),IF($D$4="Forint",0,2))</f>
        <v>0</v>
      </c>
      <c r="BA95" s="13">
        <f ca="1">$AT95+$AV95-$AW95-IF(ROUNDDOWN(IF(ISBLANK($AY95),$AX95,$AY95),IF($D$4="Forint",0,2))&gt;$AT95+$AV95-$AW95-IF($D$4="Forint",Paraméterek!$J$114,Paraméterek!$K$114),0,ROUNDDOWN(IF(ISBLANK($AY95),$AX95,$AY95),IF($D$4="Forint",0,2))-$AZ95)</f>
        <v>0</v>
      </c>
      <c r="BB95" s="13">
        <f t="shared" ca="1" si="33"/>
        <v>0</v>
      </c>
      <c r="BD95" s="32">
        <v>76</v>
      </c>
      <c r="BE95" s="32">
        <v>7</v>
      </c>
      <c r="BF95" s="32">
        <v>4</v>
      </c>
      <c r="BG95" s="34">
        <f t="shared" ca="1" si="42"/>
        <v>2025</v>
      </c>
      <c r="BH95" s="32" t="str">
        <f ca="1">IF(MOD(MONTH($D$14)+$BD95-1,12)=Paraméterek!$C$288,"Igen","")</f>
        <v/>
      </c>
      <c r="BI95" s="13">
        <f ca="1">IF($BH95="Igen",MIN(ROUNDDOWN((SUMIF($BG$20:$BG$1027,$BG95-1,$K$20:$K$1027)-SUMIF($BG$20:$BG$1027,$BG95-1,$I$20:$I$1027))*Paraméterek!$C$289,IF($D$4="Forint",0,2)),IF($D$4="Forint",Paraméterek!$C$285,Paraméterek!$D$285)),0)</f>
        <v>0</v>
      </c>
      <c r="BJ95" s="13">
        <f t="shared" ca="1" si="34"/>
        <v>0</v>
      </c>
      <c r="BK95" s="13">
        <f t="shared" ca="1" si="43"/>
        <v>0</v>
      </c>
      <c r="BL95" s="33"/>
      <c r="BM95" s="13">
        <f t="shared" ca="1" si="35"/>
        <v>0</v>
      </c>
      <c r="BN95" s="13">
        <f ca="1">ROUNDUP(($BK95+$BM95)*VLOOKUP($BE95,Paraméterek!$P$38:$Q$38,2)/12*IF($D96="Nem",IF($M$13=0,1,$M$13),1),IF($D$4="Forint",0,2))</f>
        <v>0</v>
      </c>
      <c r="BO95" s="13">
        <f t="shared" ca="1" si="36"/>
        <v>0</v>
      </c>
      <c r="BP95" s="13">
        <f ca="1">IF($D96="Nem",$BO95,$BO95-ROUNDUP(SUM($BI$20:$BI95)*120%,IF($D$4="Forint",0,2)))</f>
        <v>0</v>
      </c>
    </row>
    <row r="96" spans="1:68" x14ac:dyDescent="0.2">
      <c r="A96" s="32">
        <v>77</v>
      </c>
      <c r="B96" s="32">
        <v>7</v>
      </c>
      <c r="C96" s="32">
        <v>5</v>
      </c>
      <c r="D96" s="32" t="str">
        <f t="shared" ca="1" si="22"/>
        <v>Nem</v>
      </c>
      <c r="E96" s="13">
        <f t="shared" ca="1" si="23"/>
        <v>0</v>
      </c>
      <c r="F96" s="13"/>
      <c r="G96" s="13"/>
      <c r="H96" s="13"/>
      <c r="I96" s="13">
        <f t="shared" ca="1" si="24"/>
        <v>0</v>
      </c>
      <c r="J96" s="13">
        <f t="shared" ca="1" si="25"/>
        <v>0</v>
      </c>
      <c r="K96" s="13">
        <f t="shared" ca="1" si="26"/>
        <v>0</v>
      </c>
      <c r="L96" s="13" t="e">
        <f ca="1">ROUNDUP(IF($D$2="Egyszeri",$E96,IF($D$2="Havi",SUM($E$20:$E$31),IF(MOD($C96,$M$1)-1=0,SUM($E$20:$E$31),0))/12*$M$1)*VLOOKUP($B96,Paraméterek!$I$28:$P$31,IF($D$2="Egyszeri",8,HLOOKUP(ROUNDUP($M$11+$M$13,0),Paraméterek!$J$26:$O$27,2))),IF($D$4="Forint",0,2))</f>
        <v>#N/A</v>
      </c>
      <c r="M96" s="13">
        <f t="shared" ca="1" si="27"/>
        <v>0</v>
      </c>
      <c r="N96" s="13">
        <f t="shared" ca="1" si="37"/>
        <v>0</v>
      </c>
      <c r="O96" s="13">
        <f ca="1">IF($D96="Igen",IF($W95&gt;=IF($D$4="Forint",Paraméterek!$J$121,Paraméterek!$K$121),0,IF($D$4="Forint",Paraméterek!$J$121,Paraméterek!$K$121)-$W95),0)</f>
        <v>0</v>
      </c>
      <c r="P96" s="13" t="e">
        <f ca="1">ROUNDUP($O96*VLOOKUP($M$4+$B96-1,Paraméterek!$H$58:$I$105,2,0)/Paraméterek!$I$56,IF($D$4="Forint",0,2))</f>
        <v>#N/A</v>
      </c>
      <c r="Q96" s="13">
        <f t="shared" ca="1" si="28"/>
        <v>0</v>
      </c>
      <c r="R96" s="33"/>
      <c r="S96" s="13" t="e">
        <f t="shared" ca="1" si="29"/>
        <v>#N/A</v>
      </c>
      <c r="T96" s="13" t="e">
        <f ca="1">ROUNDUP(($N96-$P96-$Q96+$S96)*VLOOKUP($B96,Paraméterek!$I$38:$K$39,IF($D$2="Egyszeri",3,2))/12*IF($D97="Nem",IF($M$13=0,1,$M$13),1),IF($D$4="Forint",0,2))</f>
        <v>#N/A</v>
      </c>
      <c r="U96" s="13"/>
      <c r="V96" s="13"/>
      <c r="W96" s="13" t="e">
        <f ca="1">$N96-$P96-$Q96+$S96-$T96-IF(ROUNDUP(IF(ISBLANK($V96),$U96*0,$V96)/IF($D$2="Egyszeri",VLOOKUP($B96+IF($C96=12,1,0),Paraméterek!$V$257:$W$262,2),IF($B96=1,1,VLOOKUP($B96+IF($C96=12,1,0),Paraméterek!$I$258:$T$278,HLOOKUP($M$11+1,Paraméterek!$J$256:$T$257,2)))),IF($D$4="Forint",0,2))&gt;$N96-$P96-$Q96+$S96-$T96-IF($D$4="Forint",Paraméterek!$C$216,Paraméterek!$D$216),0,ROUNDUP(IF(ISBLANK($V96),$U96*0,$V96)/IF($D$2="Egyszeri",VLOOKUP($B96+IF($C96=12,1,0),Paraméterek!$V$257:$W$262,2),IF($B96=1,1,VLOOKUP($B96+IF($C96=12,1,0),Paraméterek!$I$258:$T$278,HLOOKUP($M$11+1,Paraméterek!$J$256:$T$257,2)))),IF($D$4="Forint",0,2)))</f>
        <v>#N/A</v>
      </c>
      <c r="X96" s="13" t="e">
        <f ca="1">ROUNDDOWN($W96*IF($D$2="Egyszeri",VLOOKUP($B96+IF($C96=12,1,0),Paraméterek!$V$257:$W$262,2),VLOOKUP($B96+IF($C96=12,1,0),Paraméterek!$I$258:$T$278,HLOOKUP($M$11+1,Paraméterek!$I$256:$T$257,2))),IF($D$4="Forint",0,2))</f>
        <v>#N/A</v>
      </c>
      <c r="Z96" s="32">
        <v>77</v>
      </c>
      <c r="AA96" s="32">
        <v>7</v>
      </c>
      <c r="AB96" s="32">
        <v>5</v>
      </c>
      <c r="AC96" s="13">
        <f t="shared" ca="1" si="38"/>
        <v>0</v>
      </c>
      <c r="AD96" s="33"/>
      <c r="AE96" s="13">
        <f t="shared" ca="1" si="30"/>
        <v>0</v>
      </c>
      <c r="AF96" s="13">
        <f ca="1">ROUNDUP(($AC96+$AE96)*VLOOKUP($AA96,Paraméterek!$P$38:$Q$38,2)/12*IF($D97="Nem",IF($M$13=0,1,$M$13),1),IF($D$4="Forint",0,2))</f>
        <v>0</v>
      </c>
      <c r="AG96" s="13">
        <f ca="1">IF($D$2="Egyszeri",IF($D$7&gt;=IF($D$4="Forint",Paraméterek!$P$223,Paraméterek!$P$224),$D$7-IF($D$4="Forint",Paraméterek!$P$223,Paraméterek!$P$224),0),MIN(IF($AB96=12,AVERAGEIF($E$20:$E96,"&gt;0",$E$20:$E96)*12,0),SUM($E$20:$E$31)))</f>
        <v>0</v>
      </c>
      <c r="AH96" s="13">
        <f>IF($AA96=10,$AG96*IF($AB96=12,IF($AG96&lt;IF($D$4="Forint",Paraméterek!$L$223,Paraméterek!$L$224),0,VLOOKUP($AA96,Paraméterek!$K$226:$M$228,IF($AG96&lt;IF($D$4="Forint",Paraméterek!$M$223,Paraméterek!$M$224),2,3))),0),0)</f>
        <v>0</v>
      </c>
      <c r="AI96" s="13">
        <f ca="1">IF(AND($AA96=$M$11+1,$AB96=$M$12+1),SUMIF($AA$20:$AA$1027,$AA96,$AG$20:$AG$1027)*IF(SUMIF($AA$20:$AA$1027,$AA96,$AG$20:$AG$1027)&lt;IF($D$4="Forint",Paraméterek!$L$223,Paraméterek!$L$224),0,VLOOKUP($AA96,Paraméterek!$K$230:$M$250,IF(SUMIF($AA$20:$AA$1027,$AA96,$AG$20:$AG$1027)&lt;IF($D$4="Forint",Paraméterek!$M$223,Paraméterek!$M$224),2,3))),0)</f>
        <v>0</v>
      </c>
      <c r="AJ96" s="13">
        <f ca="1">IF(AND($AA96&gt;=5,MOD($AA96,5)=0),IF($AB96=12,VLOOKUP($AA96,Paraméterek!$O$225:$P$240,2),0),IF(OR($AA96=3,$AA96=4),IF($AB96=12,VLOOKUP($AA96,Paraméterek!$O$225:$P$240,2,0),0),0))*$AG96</f>
        <v>0</v>
      </c>
      <c r="AK96" s="13">
        <f t="shared" ca="1" si="31"/>
        <v>0</v>
      </c>
      <c r="AL96" s="13">
        <f t="shared" ca="1" si="39"/>
        <v>0</v>
      </c>
      <c r="AM96" s="13">
        <f t="shared" ca="1" si="40"/>
        <v>0</v>
      </c>
      <c r="AO96" s="32">
        <v>77</v>
      </c>
      <c r="AP96" s="32">
        <v>7</v>
      </c>
      <c r="AQ96" s="32">
        <v>5</v>
      </c>
      <c r="AR96" s="13"/>
      <c r="AS96" s="32"/>
      <c r="AT96" s="13">
        <f t="shared" ca="1" si="41"/>
        <v>0</v>
      </c>
      <c r="AU96" s="33"/>
      <c r="AV96" s="13">
        <f t="shared" ca="1" si="32"/>
        <v>0</v>
      </c>
      <c r="AW96" s="13">
        <f ca="1">ROUNDUP(($AT96+$AV96)*VLOOKUP($AP96,Paraméterek!$P$38:$Q$38,2)/12*IF($D97="Nem",IF($M$13=0,1,$M$13),1),IF($D$4="Forint",0,2))</f>
        <v>0</v>
      </c>
      <c r="AX96" s="13"/>
      <c r="AY96" s="13"/>
      <c r="AZ96" s="13">
        <f>ROUNDUP(IF(SUM($AX96:$AY96)=0,0,IF(IF(ISBLANK($AY96),$AX96,$AY96)*Paraméterek!$J$112&lt;IF($D$4="Forint",Paraméterek!$J$113,Paraméterek!$K$113),IF($D$4="Forint",Paraméterek!$J$113,Paraméterek!$K$113),IF(IF(ISBLANK($AY96),$AX96,$AY96)*Paraméterek!$J$112&gt;IF($D$4="Forint",Paraméterek!$J$114,Paraméterek!$K$114),IF($D$4="Forint",Paraméterek!$J$114,Paraméterek!$K$114),IF(ISBLANK($AY96),$AX96,$AY96)*Paraméterek!$J$112))),IF($D$4="Forint",0,2))</f>
        <v>0</v>
      </c>
      <c r="BA96" s="13">
        <f ca="1">$AT96+$AV96-$AW96-IF(ROUNDDOWN(IF(ISBLANK($AY96),$AX96,$AY96),IF($D$4="Forint",0,2))&gt;$AT96+$AV96-$AW96-IF($D$4="Forint",Paraméterek!$J$114,Paraméterek!$K$114),0,ROUNDDOWN(IF(ISBLANK($AY96),$AX96,$AY96),IF($D$4="Forint",0,2))-$AZ96)</f>
        <v>0</v>
      </c>
      <c r="BB96" s="13">
        <f t="shared" ca="1" si="33"/>
        <v>0</v>
      </c>
      <c r="BD96" s="32">
        <v>77</v>
      </c>
      <c r="BE96" s="32">
        <v>7</v>
      </c>
      <c r="BF96" s="32">
        <v>5</v>
      </c>
      <c r="BG96" s="34">
        <f t="shared" ca="1" si="42"/>
        <v>2025</v>
      </c>
      <c r="BH96" s="32" t="str">
        <f ca="1">IF(MOD(MONTH($D$14)+$BD96-1,12)=Paraméterek!$C$288,"Igen","")</f>
        <v/>
      </c>
      <c r="BI96" s="13">
        <f ca="1">IF($BH96="Igen",MIN(ROUNDDOWN((SUMIF($BG$20:$BG$1027,$BG96-1,$K$20:$K$1027)-SUMIF($BG$20:$BG$1027,$BG96-1,$I$20:$I$1027))*Paraméterek!$C$289,IF($D$4="Forint",0,2)),IF($D$4="Forint",Paraméterek!$C$285,Paraméterek!$D$285)),0)</f>
        <v>0</v>
      </c>
      <c r="BJ96" s="13">
        <f t="shared" ca="1" si="34"/>
        <v>0</v>
      </c>
      <c r="BK96" s="13">
        <f t="shared" ca="1" si="43"/>
        <v>0</v>
      </c>
      <c r="BL96" s="33"/>
      <c r="BM96" s="13">
        <f t="shared" ca="1" si="35"/>
        <v>0</v>
      </c>
      <c r="BN96" s="13">
        <f ca="1">ROUNDUP(($BK96+$BM96)*VLOOKUP($BE96,Paraméterek!$P$38:$Q$38,2)/12*IF($D97="Nem",IF($M$13=0,1,$M$13),1),IF($D$4="Forint",0,2))</f>
        <v>0</v>
      </c>
      <c r="BO96" s="13">
        <f t="shared" ca="1" si="36"/>
        <v>0</v>
      </c>
      <c r="BP96" s="13">
        <f ca="1">IF($D97="Nem",$BO96,$BO96-ROUNDUP(SUM($BI$20:$BI96)*120%,IF($D$4="Forint",0,2)))</f>
        <v>0</v>
      </c>
    </row>
    <row r="97" spans="1:68" x14ac:dyDescent="0.2">
      <c r="A97" s="32">
        <v>78</v>
      </c>
      <c r="B97" s="32">
        <v>7</v>
      </c>
      <c r="C97" s="32">
        <v>6</v>
      </c>
      <c r="D97" s="32" t="str">
        <f t="shared" ca="1" si="22"/>
        <v>Nem</v>
      </c>
      <c r="E97" s="13">
        <f t="shared" ca="1" si="23"/>
        <v>0</v>
      </c>
      <c r="F97" s="13"/>
      <c r="G97" s="13"/>
      <c r="H97" s="13"/>
      <c r="I97" s="13">
        <f t="shared" ca="1" si="24"/>
        <v>0</v>
      </c>
      <c r="J97" s="13">
        <f t="shared" ca="1" si="25"/>
        <v>0</v>
      </c>
      <c r="K97" s="13">
        <f t="shared" ca="1" si="26"/>
        <v>0</v>
      </c>
      <c r="L97" s="13" t="e">
        <f ca="1">ROUNDUP(IF($D$2="Egyszeri",$E97,IF($D$2="Havi",SUM($E$20:$E$31),IF(MOD($C97,$M$1)-1=0,SUM($E$20:$E$31),0))/12*$M$1)*VLOOKUP($B97,Paraméterek!$I$28:$P$31,IF($D$2="Egyszeri",8,HLOOKUP(ROUNDUP($M$11+$M$13,0),Paraméterek!$J$26:$O$27,2))),IF($D$4="Forint",0,2))</f>
        <v>#N/A</v>
      </c>
      <c r="M97" s="13">
        <f t="shared" ca="1" si="27"/>
        <v>0</v>
      </c>
      <c r="N97" s="13">
        <f t="shared" ca="1" si="37"/>
        <v>0</v>
      </c>
      <c r="O97" s="13">
        <f ca="1">IF($D97="Igen",IF($W96&gt;=IF($D$4="Forint",Paraméterek!$J$121,Paraméterek!$K$121),0,IF($D$4="Forint",Paraméterek!$J$121,Paraméterek!$K$121)-$W96),0)</f>
        <v>0</v>
      </c>
      <c r="P97" s="13" t="e">
        <f ca="1">ROUNDUP($O97*VLOOKUP($M$4+$B97-1,Paraméterek!$H$58:$I$105,2,0)/Paraméterek!$I$56,IF($D$4="Forint",0,2))</f>
        <v>#N/A</v>
      </c>
      <c r="Q97" s="13">
        <f t="shared" ca="1" si="28"/>
        <v>0</v>
      </c>
      <c r="R97" s="33"/>
      <c r="S97" s="13" t="e">
        <f t="shared" ca="1" si="29"/>
        <v>#N/A</v>
      </c>
      <c r="T97" s="13" t="e">
        <f ca="1">ROUNDUP(($N97-$P97-$Q97+$S97)*VLOOKUP($B97,Paraméterek!$I$38:$K$39,IF($D$2="Egyszeri",3,2))/12*IF($D98="Nem",IF($M$13=0,1,$M$13),1),IF($D$4="Forint",0,2))</f>
        <v>#N/A</v>
      </c>
      <c r="U97" s="13"/>
      <c r="V97" s="13"/>
      <c r="W97" s="13" t="e">
        <f ca="1">$N97-$P97-$Q97+$S97-$T97-IF(ROUNDUP(IF(ISBLANK($V97),$U97*0,$V97)/IF($D$2="Egyszeri",VLOOKUP($B97+IF($C97=12,1,0),Paraméterek!$V$257:$W$262,2),IF($B97=1,1,VLOOKUP($B97+IF($C97=12,1,0),Paraméterek!$I$258:$T$278,HLOOKUP($M$11+1,Paraméterek!$J$256:$T$257,2)))),IF($D$4="Forint",0,2))&gt;$N97-$P97-$Q97+$S97-$T97-IF($D$4="Forint",Paraméterek!$C$216,Paraméterek!$D$216),0,ROUNDUP(IF(ISBLANK($V97),$U97*0,$V97)/IF($D$2="Egyszeri",VLOOKUP($B97+IF($C97=12,1,0),Paraméterek!$V$257:$W$262,2),IF($B97=1,1,VLOOKUP($B97+IF($C97=12,1,0),Paraméterek!$I$258:$T$278,HLOOKUP($M$11+1,Paraméterek!$J$256:$T$257,2)))),IF($D$4="Forint",0,2)))</f>
        <v>#N/A</v>
      </c>
      <c r="X97" s="13" t="e">
        <f ca="1">ROUNDDOWN($W97*IF($D$2="Egyszeri",VLOOKUP($B97+IF($C97=12,1,0),Paraméterek!$V$257:$W$262,2),VLOOKUP($B97+IF($C97=12,1,0),Paraméterek!$I$258:$T$278,HLOOKUP($M$11+1,Paraméterek!$I$256:$T$257,2))),IF($D$4="Forint",0,2))</f>
        <v>#N/A</v>
      </c>
      <c r="Z97" s="32">
        <v>78</v>
      </c>
      <c r="AA97" s="32">
        <v>7</v>
      </c>
      <c r="AB97" s="32">
        <v>6</v>
      </c>
      <c r="AC97" s="13">
        <f t="shared" ca="1" si="38"/>
        <v>0</v>
      </c>
      <c r="AD97" s="33"/>
      <c r="AE97" s="13">
        <f t="shared" ca="1" si="30"/>
        <v>0</v>
      </c>
      <c r="AF97" s="13">
        <f ca="1">ROUNDUP(($AC97+$AE97)*VLOOKUP($AA97,Paraméterek!$P$38:$Q$38,2)/12*IF($D98="Nem",IF($M$13=0,1,$M$13),1),IF($D$4="Forint",0,2))</f>
        <v>0</v>
      </c>
      <c r="AG97" s="13">
        <f ca="1">IF($D$2="Egyszeri",IF($D$7&gt;=IF($D$4="Forint",Paraméterek!$P$223,Paraméterek!$P$224),$D$7-IF($D$4="Forint",Paraméterek!$P$223,Paraméterek!$P$224),0),MIN(IF($AB97=12,AVERAGEIF($E$20:$E97,"&gt;0",$E$20:$E97)*12,0),SUM($E$20:$E$31)))</f>
        <v>0</v>
      </c>
      <c r="AH97" s="13">
        <f>IF($AA97=10,$AG97*IF($AB97=12,IF($AG97&lt;IF($D$4="Forint",Paraméterek!$L$223,Paraméterek!$L$224),0,VLOOKUP($AA97,Paraméterek!$K$226:$M$228,IF($AG97&lt;IF($D$4="Forint",Paraméterek!$M$223,Paraméterek!$M$224),2,3))),0),0)</f>
        <v>0</v>
      </c>
      <c r="AI97" s="13">
        <f ca="1">IF(AND($AA97=$M$11+1,$AB97=$M$12+1),SUMIF($AA$20:$AA$1027,$AA97,$AG$20:$AG$1027)*IF(SUMIF($AA$20:$AA$1027,$AA97,$AG$20:$AG$1027)&lt;IF($D$4="Forint",Paraméterek!$L$223,Paraméterek!$L$224),0,VLOOKUP($AA97,Paraméterek!$K$230:$M$250,IF(SUMIF($AA$20:$AA$1027,$AA97,$AG$20:$AG$1027)&lt;IF($D$4="Forint",Paraméterek!$M$223,Paraméterek!$M$224),2,3))),0)</f>
        <v>0</v>
      </c>
      <c r="AJ97" s="13">
        <f ca="1">IF(AND($AA97&gt;=5,MOD($AA97,5)=0),IF($AB97=12,VLOOKUP($AA97,Paraméterek!$O$225:$P$240,2),0),IF(OR($AA97=3,$AA97=4),IF($AB97=12,VLOOKUP($AA97,Paraméterek!$O$225:$P$240,2,0),0),0))*$AG97</f>
        <v>0</v>
      </c>
      <c r="AK97" s="13">
        <f t="shared" ca="1" si="31"/>
        <v>0</v>
      </c>
      <c r="AL97" s="13">
        <f t="shared" ca="1" si="39"/>
        <v>0</v>
      </c>
      <c r="AM97" s="13">
        <f t="shared" ca="1" si="40"/>
        <v>0</v>
      </c>
      <c r="AO97" s="32">
        <v>78</v>
      </c>
      <c r="AP97" s="32">
        <v>7</v>
      </c>
      <c r="AQ97" s="32">
        <v>6</v>
      </c>
      <c r="AR97" s="13"/>
      <c r="AS97" s="32"/>
      <c r="AT97" s="13">
        <f t="shared" ca="1" si="41"/>
        <v>0</v>
      </c>
      <c r="AU97" s="33"/>
      <c r="AV97" s="13">
        <f t="shared" ca="1" si="32"/>
        <v>0</v>
      </c>
      <c r="AW97" s="13">
        <f ca="1">ROUNDUP(($AT97+$AV97)*VLOOKUP($AP97,Paraméterek!$P$38:$Q$38,2)/12*IF($D98="Nem",IF($M$13=0,1,$M$13),1),IF($D$4="Forint",0,2))</f>
        <v>0</v>
      </c>
      <c r="AX97" s="13"/>
      <c r="AY97" s="13"/>
      <c r="AZ97" s="13">
        <f>ROUNDUP(IF(SUM($AX97:$AY97)=0,0,IF(IF(ISBLANK($AY97),$AX97,$AY97)*Paraméterek!$J$112&lt;IF($D$4="Forint",Paraméterek!$J$113,Paraméterek!$K$113),IF($D$4="Forint",Paraméterek!$J$113,Paraméterek!$K$113),IF(IF(ISBLANK($AY97),$AX97,$AY97)*Paraméterek!$J$112&gt;IF($D$4="Forint",Paraméterek!$J$114,Paraméterek!$K$114),IF($D$4="Forint",Paraméterek!$J$114,Paraméterek!$K$114),IF(ISBLANK($AY97),$AX97,$AY97)*Paraméterek!$J$112))),IF($D$4="Forint",0,2))</f>
        <v>0</v>
      </c>
      <c r="BA97" s="13">
        <f ca="1">$AT97+$AV97-$AW97-IF(ROUNDDOWN(IF(ISBLANK($AY97),$AX97,$AY97),IF($D$4="Forint",0,2))&gt;$AT97+$AV97-$AW97-IF($D$4="Forint",Paraméterek!$J$114,Paraméterek!$K$114),0,ROUNDDOWN(IF(ISBLANK($AY97),$AX97,$AY97),IF($D$4="Forint",0,2))-$AZ97)</f>
        <v>0</v>
      </c>
      <c r="BB97" s="13">
        <f t="shared" ca="1" si="33"/>
        <v>0</v>
      </c>
      <c r="BD97" s="32">
        <v>78</v>
      </c>
      <c r="BE97" s="32">
        <v>7</v>
      </c>
      <c r="BF97" s="32">
        <v>6</v>
      </c>
      <c r="BG97" s="34">
        <f t="shared" ca="1" si="42"/>
        <v>2025</v>
      </c>
      <c r="BH97" s="32" t="str">
        <f ca="1">IF(MOD(MONTH($D$14)+$BD97-1,12)=Paraméterek!$C$288,"Igen","")</f>
        <v/>
      </c>
      <c r="BI97" s="13">
        <f ca="1">IF($BH97="Igen",MIN(ROUNDDOWN((SUMIF($BG$20:$BG$1027,$BG97-1,$K$20:$K$1027)-SUMIF($BG$20:$BG$1027,$BG97-1,$I$20:$I$1027))*Paraméterek!$C$289,IF($D$4="Forint",0,2)),IF($D$4="Forint",Paraméterek!$C$285,Paraméterek!$D$285)),0)</f>
        <v>0</v>
      </c>
      <c r="BJ97" s="13">
        <f t="shared" ca="1" si="34"/>
        <v>0</v>
      </c>
      <c r="BK97" s="13">
        <f t="shared" ca="1" si="43"/>
        <v>0</v>
      </c>
      <c r="BL97" s="33"/>
      <c r="BM97" s="13">
        <f t="shared" ca="1" si="35"/>
        <v>0</v>
      </c>
      <c r="BN97" s="13">
        <f ca="1">ROUNDUP(($BK97+$BM97)*VLOOKUP($BE97,Paraméterek!$P$38:$Q$38,2)/12*IF($D98="Nem",IF($M$13=0,1,$M$13),1),IF($D$4="Forint",0,2))</f>
        <v>0</v>
      </c>
      <c r="BO97" s="13">
        <f t="shared" ca="1" si="36"/>
        <v>0</v>
      </c>
      <c r="BP97" s="13">
        <f ca="1">IF($D98="Nem",$BO97,$BO97-ROUNDUP(SUM($BI$20:$BI97)*120%,IF($D$4="Forint",0,2)))</f>
        <v>0</v>
      </c>
    </row>
    <row r="98" spans="1:68" x14ac:dyDescent="0.2">
      <c r="A98" s="32">
        <v>79</v>
      </c>
      <c r="B98" s="32">
        <v>7</v>
      </c>
      <c r="C98" s="32">
        <v>7</v>
      </c>
      <c r="D98" s="32" t="str">
        <f t="shared" ca="1" si="22"/>
        <v>Nem</v>
      </c>
      <c r="E98" s="13">
        <f t="shared" ca="1" si="23"/>
        <v>0</v>
      </c>
      <c r="F98" s="13"/>
      <c r="G98" s="13"/>
      <c r="H98" s="13"/>
      <c r="I98" s="13">
        <f t="shared" ca="1" si="24"/>
        <v>0</v>
      </c>
      <c r="J98" s="13">
        <f t="shared" ca="1" si="25"/>
        <v>0</v>
      </c>
      <c r="K98" s="13">
        <f t="shared" ca="1" si="26"/>
        <v>0</v>
      </c>
      <c r="L98" s="13" t="e">
        <f ca="1">ROUNDUP(IF($D$2="Egyszeri",$E98,IF($D$2="Havi",SUM($E$20:$E$31),IF(MOD($C98,$M$1)-1=0,SUM($E$20:$E$31),0))/12*$M$1)*VLOOKUP($B98,Paraméterek!$I$28:$P$31,IF($D$2="Egyszeri",8,HLOOKUP(ROUNDUP($M$11+$M$13,0),Paraméterek!$J$26:$O$27,2))),IF($D$4="Forint",0,2))</f>
        <v>#N/A</v>
      </c>
      <c r="M98" s="13">
        <f t="shared" ca="1" si="27"/>
        <v>0</v>
      </c>
      <c r="N98" s="13">
        <f t="shared" ca="1" si="37"/>
        <v>0</v>
      </c>
      <c r="O98" s="13">
        <f ca="1">IF($D98="Igen",IF($W97&gt;=IF($D$4="Forint",Paraméterek!$J$121,Paraméterek!$K$121),0,IF($D$4="Forint",Paraméterek!$J$121,Paraméterek!$K$121)-$W97),0)</f>
        <v>0</v>
      </c>
      <c r="P98" s="13" t="e">
        <f ca="1">ROUNDUP($O98*VLOOKUP($M$4+$B98-1,Paraméterek!$H$58:$I$105,2,0)/Paraméterek!$I$56,IF($D$4="Forint",0,2))</f>
        <v>#N/A</v>
      </c>
      <c r="Q98" s="13">
        <f t="shared" ca="1" si="28"/>
        <v>0</v>
      </c>
      <c r="R98" s="33"/>
      <c r="S98" s="13" t="e">
        <f t="shared" ca="1" si="29"/>
        <v>#N/A</v>
      </c>
      <c r="T98" s="13" t="e">
        <f ca="1">ROUNDUP(($N98-$P98-$Q98+$S98)*VLOOKUP($B98,Paraméterek!$I$38:$K$39,IF($D$2="Egyszeri",3,2))/12*IF($D99="Nem",IF($M$13=0,1,$M$13),1),IF($D$4="Forint",0,2))</f>
        <v>#N/A</v>
      </c>
      <c r="U98" s="13"/>
      <c r="V98" s="13"/>
      <c r="W98" s="13" t="e">
        <f ca="1">$N98-$P98-$Q98+$S98-$T98-IF(ROUNDUP(IF(ISBLANK($V98),$U98*0,$V98)/IF($D$2="Egyszeri",VLOOKUP($B98+IF($C98=12,1,0),Paraméterek!$V$257:$W$262,2),IF($B98=1,1,VLOOKUP($B98+IF($C98=12,1,0),Paraméterek!$I$258:$T$278,HLOOKUP($M$11+1,Paraméterek!$J$256:$T$257,2)))),IF($D$4="Forint",0,2))&gt;$N98-$P98-$Q98+$S98-$T98-IF($D$4="Forint",Paraméterek!$C$216,Paraméterek!$D$216),0,ROUNDUP(IF(ISBLANK($V98),$U98*0,$V98)/IF($D$2="Egyszeri",VLOOKUP($B98+IF($C98=12,1,0),Paraméterek!$V$257:$W$262,2),IF($B98=1,1,VLOOKUP($B98+IF($C98=12,1,0),Paraméterek!$I$258:$T$278,HLOOKUP($M$11+1,Paraméterek!$J$256:$T$257,2)))),IF($D$4="Forint",0,2)))</f>
        <v>#N/A</v>
      </c>
      <c r="X98" s="13" t="e">
        <f ca="1">ROUNDDOWN($W98*IF($D$2="Egyszeri",VLOOKUP($B98+IF($C98=12,1,0),Paraméterek!$V$257:$W$262,2),VLOOKUP($B98+IF($C98=12,1,0),Paraméterek!$I$258:$T$278,HLOOKUP($M$11+1,Paraméterek!$I$256:$T$257,2))),IF($D$4="Forint",0,2))</f>
        <v>#N/A</v>
      </c>
      <c r="Z98" s="32">
        <v>79</v>
      </c>
      <c r="AA98" s="32">
        <v>7</v>
      </c>
      <c r="AB98" s="32">
        <v>7</v>
      </c>
      <c r="AC98" s="13">
        <f t="shared" ca="1" si="38"/>
        <v>0</v>
      </c>
      <c r="AD98" s="33"/>
      <c r="AE98" s="13">
        <f t="shared" ca="1" si="30"/>
        <v>0</v>
      </c>
      <c r="AF98" s="13">
        <f ca="1">ROUNDUP(($AC98+$AE98)*VLOOKUP($AA98,Paraméterek!$P$38:$Q$38,2)/12*IF($D99="Nem",IF($M$13=0,1,$M$13),1),IF($D$4="Forint",0,2))</f>
        <v>0</v>
      </c>
      <c r="AG98" s="13">
        <f ca="1">IF($D$2="Egyszeri",IF($D$7&gt;=IF($D$4="Forint",Paraméterek!$P$223,Paraméterek!$P$224),$D$7-IF($D$4="Forint",Paraméterek!$P$223,Paraméterek!$P$224),0),MIN(IF($AB98=12,AVERAGEIF($E$20:$E98,"&gt;0",$E$20:$E98)*12,0),SUM($E$20:$E$31)))</f>
        <v>0</v>
      </c>
      <c r="AH98" s="13">
        <f>IF($AA98=10,$AG98*IF($AB98=12,IF($AG98&lt;IF($D$4="Forint",Paraméterek!$L$223,Paraméterek!$L$224),0,VLOOKUP($AA98,Paraméterek!$K$226:$M$228,IF($AG98&lt;IF($D$4="Forint",Paraméterek!$M$223,Paraméterek!$M$224),2,3))),0),0)</f>
        <v>0</v>
      </c>
      <c r="AI98" s="13">
        <f ca="1">IF(AND($AA98=$M$11+1,$AB98=$M$12+1),SUMIF($AA$20:$AA$1027,$AA98,$AG$20:$AG$1027)*IF(SUMIF($AA$20:$AA$1027,$AA98,$AG$20:$AG$1027)&lt;IF($D$4="Forint",Paraméterek!$L$223,Paraméterek!$L$224),0,VLOOKUP($AA98,Paraméterek!$K$230:$M$250,IF(SUMIF($AA$20:$AA$1027,$AA98,$AG$20:$AG$1027)&lt;IF($D$4="Forint",Paraméterek!$M$223,Paraméterek!$M$224),2,3))),0)</f>
        <v>0</v>
      </c>
      <c r="AJ98" s="13">
        <f ca="1">IF(AND($AA98&gt;=5,MOD($AA98,5)=0),IF($AB98=12,VLOOKUP($AA98,Paraméterek!$O$225:$P$240,2),0),IF(OR($AA98=3,$AA98=4),IF($AB98=12,VLOOKUP($AA98,Paraméterek!$O$225:$P$240,2,0),0),0))*$AG98</f>
        <v>0</v>
      </c>
      <c r="AK98" s="13">
        <f t="shared" ca="1" si="31"/>
        <v>0</v>
      </c>
      <c r="AL98" s="13">
        <f t="shared" ca="1" si="39"/>
        <v>0</v>
      </c>
      <c r="AM98" s="13">
        <f t="shared" ca="1" si="40"/>
        <v>0</v>
      </c>
      <c r="AO98" s="32">
        <v>79</v>
      </c>
      <c r="AP98" s="32">
        <v>7</v>
      </c>
      <c r="AQ98" s="32">
        <v>7</v>
      </c>
      <c r="AR98" s="13"/>
      <c r="AS98" s="32"/>
      <c r="AT98" s="13">
        <f t="shared" ca="1" si="41"/>
        <v>0</v>
      </c>
      <c r="AU98" s="33"/>
      <c r="AV98" s="13">
        <f t="shared" ca="1" si="32"/>
        <v>0</v>
      </c>
      <c r="AW98" s="13">
        <f ca="1">ROUNDUP(($AT98+$AV98)*VLOOKUP($AP98,Paraméterek!$P$38:$Q$38,2)/12*IF($D99="Nem",IF($M$13=0,1,$M$13),1),IF($D$4="Forint",0,2))</f>
        <v>0</v>
      </c>
      <c r="AX98" s="13"/>
      <c r="AY98" s="13"/>
      <c r="AZ98" s="13">
        <f>ROUNDUP(IF(SUM($AX98:$AY98)=0,0,IF(IF(ISBLANK($AY98),$AX98,$AY98)*Paraméterek!$J$112&lt;IF($D$4="Forint",Paraméterek!$J$113,Paraméterek!$K$113),IF($D$4="Forint",Paraméterek!$J$113,Paraméterek!$K$113),IF(IF(ISBLANK($AY98),$AX98,$AY98)*Paraméterek!$J$112&gt;IF($D$4="Forint",Paraméterek!$J$114,Paraméterek!$K$114),IF($D$4="Forint",Paraméterek!$J$114,Paraméterek!$K$114),IF(ISBLANK($AY98),$AX98,$AY98)*Paraméterek!$J$112))),IF($D$4="Forint",0,2))</f>
        <v>0</v>
      </c>
      <c r="BA98" s="13">
        <f ca="1">$AT98+$AV98-$AW98-IF(ROUNDDOWN(IF(ISBLANK($AY98),$AX98,$AY98),IF($D$4="Forint",0,2))&gt;$AT98+$AV98-$AW98-IF($D$4="Forint",Paraméterek!$J$114,Paraméterek!$K$114),0,ROUNDDOWN(IF(ISBLANK($AY98),$AX98,$AY98),IF($D$4="Forint",0,2))-$AZ98)</f>
        <v>0</v>
      </c>
      <c r="BB98" s="13">
        <f t="shared" ca="1" si="33"/>
        <v>0</v>
      </c>
      <c r="BD98" s="32">
        <v>79</v>
      </c>
      <c r="BE98" s="32">
        <v>7</v>
      </c>
      <c r="BF98" s="32">
        <v>7</v>
      </c>
      <c r="BG98" s="34">
        <f t="shared" ca="1" si="42"/>
        <v>2025</v>
      </c>
      <c r="BH98" s="32" t="str">
        <f ca="1">IF(MOD(MONTH($D$14)+$BD98-1,12)=Paraméterek!$C$288,"Igen","")</f>
        <v/>
      </c>
      <c r="BI98" s="13">
        <f ca="1">IF($BH98="Igen",MIN(ROUNDDOWN((SUMIF($BG$20:$BG$1027,$BG98-1,$K$20:$K$1027)-SUMIF($BG$20:$BG$1027,$BG98-1,$I$20:$I$1027))*Paraméterek!$C$289,IF($D$4="Forint",0,2)),IF($D$4="Forint",Paraméterek!$C$285,Paraméterek!$D$285)),0)</f>
        <v>0</v>
      </c>
      <c r="BJ98" s="13">
        <f t="shared" ca="1" si="34"/>
        <v>0</v>
      </c>
      <c r="BK98" s="13">
        <f t="shared" ca="1" si="43"/>
        <v>0</v>
      </c>
      <c r="BL98" s="33"/>
      <c r="BM98" s="13">
        <f t="shared" ca="1" si="35"/>
        <v>0</v>
      </c>
      <c r="BN98" s="13">
        <f ca="1">ROUNDUP(($BK98+$BM98)*VLOOKUP($BE98,Paraméterek!$P$38:$Q$38,2)/12*IF($D99="Nem",IF($M$13=0,1,$M$13),1),IF($D$4="Forint",0,2))</f>
        <v>0</v>
      </c>
      <c r="BO98" s="13">
        <f t="shared" ca="1" si="36"/>
        <v>0</v>
      </c>
      <c r="BP98" s="13">
        <f ca="1">IF($D99="Nem",$BO98,$BO98-ROUNDUP(SUM($BI$20:$BI98)*120%,IF($D$4="Forint",0,2)))</f>
        <v>0</v>
      </c>
    </row>
    <row r="99" spans="1:68" x14ac:dyDescent="0.2">
      <c r="A99" s="32">
        <v>80</v>
      </c>
      <c r="B99" s="32">
        <v>7</v>
      </c>
      <c r="C99" s="32">
        <v>8</v>
      </c>
      <c r="D99" s="32" t="str">
        <f t="shared" ca="1" si="22"/>
        <v>Nem</v>
      </c>
      <c r="E99" s="13">
        <f t="shared" ca="1" si="23"/>
        <v>0</v>
      </c>
      <c r="F99" s="13"/>
      <c r="G99" s="13"/>
      <c r="H99" s="13"/>
      <c r="I99" s="13">
        <f t="shared" ca="1" si="24"/>
        <v>0</v>
      </c>
      <c r="J99" s="13">
        <f t="shared" ca="1" si="25"/>
        <v>0</v>
      </c>
      <c r="K99" s="13">
        <f t="shared" ca="1" si="26"/>
        <v>0</v>
      </c>
      <c r="L99" s="13" t="e">
        <f ca="1">ROUNDUP(IF($D$2="Egyszeri",$E99,IF($D$2="Havi",SUM($E$20:$E$31),IF(MOD($C99,$M$1)-1=0,SUM($E$20:$E$31),0))/12*$M$1)*VLOOKUP($B99,Paraméterek!$I$28:$P$31,IF($D$2="Egyszeri",8,HLOOKUP(ROUNDUP($M$11+$M$13,0),Paraméterek!$J$26:$O$27,2))),IF($D$4="Forint",0,2))</f>
        <v>#N/A</v>
      </c>
      <c r="M99" s="13">
        <f t="shared" ca="1" si="27"/>
        <v>0</v>
      </c>
      <c r="N99" s="13">
        <f t="shared" ca="1" si="37"/>
        <v>0</v>
      </c>
      <c r="O99" s="13">
        <f ca="1">IF($D99="Igen",IF($W98&gt;=IF($D$4="Forint",Paraméterek!$J$121,Paraméterek!$K$121),0,IF($D$4="Forint",Paraméterek!$J$121,Paraméterek!$K$121)-$W98),0)</f>
        <v>0</v>
      </c>
      <c r="P99" s="13" t="e">
        <f ca="1">ROUNDUP($O99*VLOOKUP($M$4+$B99-1,Paraméterek!$H$58:$I$105,2,0)/Paraméterek!$I$56,IF($D$4="Forint",0,2))</f>
        <v>#N/A</v>
      </c>
      <c r="Q99" s="13">
        <f t="shared" ca="1" si="28"/>
        <v>0</v>
      </c>
      <c r="R99" s="33"/>
      <c r="S99" s="13" t="e">
        <f t="shared" ca="1" si="29"/>
        <v>#N/A</v>
      </c>
      <c r="T99" s="13" t="e">
        <f ca="1">ROUNDUP(($N99-$P99-$Q99+$S99)*VLOOKUP($B99,Paraméterek!$I$38:$K$39,IF($D$2="Egyszeri",3,2))/12*IF($D100="Nem",IF($M$13=0,1,$M$13),1),IF($D$4="Forint",0,2))</f>
        <v>#N/A</v>
      </c>
      <c r="U99" s="13"/>
      <c r="V99" s="13"/>
      <c r="W99" s="13" t="e">
        <f ca="1">$N99-$P99-$Q99+$S99-$T99-IF(ROUNDUP(IF(ISBLANK($V99),$U99*0,$V99)/IF($D$2="Egyszeri",VLOOKUP($B99+IF($C99=12,1,0),Paraméterek!$V$257:$W$262,2),IF($B99=1,1,VLOOKUP($B99+IF($C99=12,1,0),Paraméterek!$I$258:$T$278,HLOOKUP($M$11+1,Paraméterek!$J$256:$T$257,2)))),IF($D$4="Forint",0,2))&gt;$N99-$P99-$Q99+$S99-$T99-IF($D$4="Forint",Paraméterek!$C$216,Paraméterek!$D$216),0,ROUNDUP(IF(ISBLANK($V99),$U99*0,$V99)/IF($D$2="Egyszeri",VLOOKUP($B99+IF($C99=12,1,0),Paraméterek!$V$257:$W$262,2),IF($B99=1,1,VLOOKUP($B99+IF($C99=12,1,0),Paraméterek!$I$258:$T$278,HLOOKUP($M$11+1,Paraméterek!$J$256:$T$257,2)))),IF($D$4="Forint",0,2)))</f>
        <v>#N/A</v>
      </c>
      <c r="X99" s="13" t="e">
        <f ca="1">ROUNDDOWN($W99*IF($D$2="Egyszeri",VLOOKUP($B99+IF($C99=12,1,0),Paraméterek!$V$257:$W$262,2),VLOOKUP($B99+IF($C99=12,1,0),Paraméterek!$I$258:$T$278,HLOOKUP($M$11+1,Paraméterek!$I$256:$T$257,2))),IF($D$4="Forint",0,2))</f>
        <v>#N/A</v>
      </c>
      <c r="Z99" s="32">
        <v>80</v>
      </c>
      <c r="AA99" s="32">
        <v>7</v>
      </c>
      <c r="AB99" s="32">
        <v>8</v>
      </c>
      <c r="AC99" s="13">
        <f t="shared" ca="1" si="38"/>
        <v>0</v>
      </c>
      <c r="AD99" s="33"/>
      <c r="AE99" s="13">
        <f t="shared" ca="1" si="30"/>
        <v>0</v>
      </c>
      <c r="AF99" s="13">
        <f ca="1">ROUNDUP(($AC99+$AE99)*VLOOKUP($AA99,Paraméterek!$P$38:$Q$38,2)/12*IF($D100="Nem",IF($M$13=0,1,$M$13),1),IF($D$4="Forint",0,2))</f>
        <v>0</v>
      </c>
      <c r="AG99" s="13">
        <f ca="1">IF($D$2="Egyszeri",IF($D$7&gt;=IF($D$4="Forint",Paraméterek!$P$223,Paraméterek!$P$224),$D$7-IF($D$4="Forint",Paraméterek!$P$223,Paraméterek!$P$224),0),MIN(IF($AB99=12,AVERAGEIF($E$20:$E99,"&gt;0",$E$20:$E99)*12,0),SUM($E$20:$E$31)))</f>
        <v>0</v>
      </c>
      <c r="AH99" s="13">
        <f>IF($AA99=10,$AG99*IF($AB99=12,IF($AG99&lt;IF($D$4="Forint",Paraméterek!$L$223,Paraméterek!$L$224),0,VLOOKUP($AA99,Paraméterek!$K$226:$M$228,IF($AG99&lt;IF($D$4="Forint",Paraméterek!$M$223,Paraméterek!$M$224),2,3))),0),0)</f>
        <v>0</v>
      </c>
      <c r="AI99" s="13">
        <f ca="1">IF(AND($AA99=$M$11+1,$AB99=$M$12+1),SUMIF($AA$20:$AA$1027,$AA99,$AG$20:$AG$1027)*IF(SUMIF($AA$20:$AA$1027,$AA99,$AG$20:$AG$1027)&lt;IF($D$4="Forint",Paraméterek!$L$223,Paraméterek!$L$224),0,VLOOKUP($AA99,Paraméterek!$K$230:$M$250,IF(SUMIF($AA$20:$AA$1027,$AA99,$AG$20:$AG$1027)&lt;IF($D$4="Forint",Paraméterek!$M$223,Paraméterek!$M$224),2,3))),0)</f>
        <v>0</v>
      </c>
      <c r="AJ99" s="13">
        <f ca="1">IF(AND($AA99&gt;=5,MOD($AA99,5)=0),IF($AB99=12,VLOOKUP($AA99,Paraméterek!$O$225:$P$240,2),0),IF(OR($AA99=3,$AA99=4),IF($AB99=12,VLOOKUP($AA99,Paraméterek!$O$225:$P$240,2,0),0),0))*$AG99</f>
        <v>0</v>
      </c>
      <c r="AK99" s="13">
        <f t="shared" ca="1" si="31"/>
        <v>0</v>
      </c>
      <c r="AL99" s="13">
        <f t="shared" ca="1" si="39"/>
        <v>0</v>
      </c>
      <c r="AM99" s="13">
        <f t="shared" ca="1" si="40"/>
        <v>0</v>
      </c>
      <c r="AO99" s="32">
        <v>80</v>
      </c>
      <c r="AP99" s="32">
        <v>7</v>
      </c>
      <c r="AQ99" s="32">
        <v>8</v>
      </c>
      <c r="AR99" s="13"/>
      <c r="AS99" s="32"/>
      <c r="AT99" s="13">
        <f t="shared" ca="1" si="41"/>
        <v>0</v>
      </c>
      <c r="AU99" s="33"/>
      <c r="AV99" s="13">
        <f t="shared" ca="1" si="32"/>
        <v>0</v>
      </c>
      <c r="AW99" s="13">
        <f ca="1">ROUNDUP(($AT99+$AV99)*VLOOKUP($AP99,Paraméterek!$P$38:$Q$38,2)/12*IF($D100="Nem",IF($M$13=0,1,$M$13),1),IF($D$4="Forint",0,2))</f>
        <v>0</v>
      </c>
      <c r="AX99" s="13"/>
      <c r="AY99" s="13"/>
      <c r="AZ99" s="13">
        <f>ROUNDUP(IF(SUM($AX99:$AY99)=0,0,IF(IF(ISBLANK($AY99),$AX99,$AY99)*Paraméterek!$J$112&lt;IF($D$4="Forint",Paraméterek!$J$113,Paraméterek!$K$113),IF($D$4="Forint",Paraméterek!$J$113,Paraméterek!$K$113),IF(IF(ISBLANK($AY99),$AX99,$AY99)*Paraméterek!$J$112&gt;IF($D$4="Forint",Paraméterek!$J$114,Paraméterek!$K$114),IF($D$4="Forint",Paraméterek!$J$114,Paraméterek!$K$114),IF(ISBLANK($AY99),$AX99,$AY99)*Paraméterek!$J$112))),IF($D$4="Forint",0,2))</f>
        <v>0</v>
      </c>
      <c r="BA99" s="13">
        <f ca="1">$AT99+$AV99-$AW99-IF(ROUNDDOWN(IF(ISBLANK($AY99),$AX99,$AY99),IF($D$4="Forint",0,2))&gt;$AT99+$AV99-$AW99-IF($D$4="Forint",Paraméterek!$J$114,Paraméterek!$K$114),0,ROUNDDOWN(IF(ISBLANK($AY99),$AX99,$AY99),IF($D$4="Forint",0,2))-$AZ99)</f>
        <v>0</v>
      </c>
      <c r="BB99" s="13">
        <f t="shared" ca="1" si="33"/>
        <v>0</v>
      </c>
      <c r="BD99" s="32">
        <v>80</v>
      </c>
      <c r="BE99" s="32">
        <v>7</v>
      </c>
      <c r="BF99" s="32">
        <v>8</v>
      </c>
      <c r="BG99" s="34">
        <f t="shared" ca="1" si="42"/>
        <v>2026</v>
      </c>
      <c r="BH99" s="32" t="str">
        <f ca="1">IF(MOD(MONTH($D$14)+$BD99-1,12)=Paraméterek!$C$288,"Igen","")</f>
        <v/>
      </c>
      <c r="BI99" s="13">
        <f ca="1">IF($BH99="Igen",MIN(ROUNDDOWN((SUMIF($BG$20:$BG$1027,$BG99-1,$K$20:$K$1027)-SUMIF($BG$20:$BG$1027,$BG99-1,$I$20:$I$1027))*Paraméterek!$C$289,IF($D$4="Forint",0,2)),IF($D$4="Forint",Paraméterek!$C$285,Paraméterek!$D$285)),0)</f>
        <v>0</v>
      </c>
      <c r="BJ99" s="13">
        <f t="shared" ca="1" si="34"/>
        <v>0</v>
      </c>
      <c r="BK99" s="13">
        <f t="shared" ca="1" si="43"/>
        <v>0</v>
      </c>
      <c r="BL99" s="33"/>
      <c r="BM99" s="13">
        <f t="shared" ca="1" si="35"/>
        <v>0</v>
      </c>
      <c r="BN99" s="13">
        <f ca="1">ROUNDUP(($BK99+$BM99)*VLOOKUP($BE99,Paraméterek!$P$38:$Q$38,2)/12*IF($D100="Nem",IF($M$13=0,1,$M$13),1),IF($D$4="Forint",0,2))</f>
        <v>0</v>
      </c>
      <c r="BO99" s="13">
        <f t="shared" ca="1" si="36"/>
        <v>0</v>
      </c>
      <c r="BP99" s="13">
        <f ca="1">IF($D100="Nem",$BO99,$BO99-ROUNDUP(SUM($BI$20:$BI99)*120%,IF($D$4="Forint",0,2)))</f>
        <v>0</v>
      </c>
    </row>
    <row r="100" spans="1:68" x14ac:dyDescent="0.2">
      <c r="A100" s="32">
        <v>81</v>
      </c>
      <c r="B100" s="32">
        <v>7</v>
      </c>
      <c r="C100" s="32">
        <v>9</v>
      </c>
      <c r="D100" s="32" t="str">
        <f t="shared" ca="1" si="22"/>
        <v>Nem</v>
      </c>
      <c r="E100" s="13">
        <f t="shared" ca="1" si="23"/>
        <v>0</v>
      </c>
      <c r="F100" s="13"/>
      <c r="G100" s="13"/>
      <c r="H100" s="13"/>
      <c r="I100" s="13">
        <f t="shared" ca="1" si="24"/>
        <v>0</v>
      </c>
      <c r="J100" s="13">
        <f t="shared" ca="1" si="25"/>
        <v>0</v>
      </c>
      <c r="K100" s="13">
        <f t="shared" ca="1" si="26"/>
        <v>0</v>
      </c>
      <c r="L100" s="13" t="e">
        <f ca="1">ROUNDUP(IF($D$2="Egyszeri",$E100,IF($D$2="Havi",SUM($E$20:$E$31),IF(MOD($C100,$M$1)-1=0,SUM($E$20:$E$31),0))/12*$M$1)*VLOOKUP($B100,Paraméterek!$I$28:$P$31,IF($D$2="Egyszeri",8,HLOOKUP(ROUNDUP($M$11+$M$13,0),Paraméterek!$J$26:$O$27,2))),IF($D$4="Forint",0,2))</f>
        <v>#N/A</v>
      </c>
      <c r="M100" s="13">
        <f t="shared" ca="1" si="27"/>
        <v>0</v>
      </c>
      <c r="N100" s="13">
        <f t="shared" ca="1" si="37"/>
        <v>0</v>
      </c>
      <c r="O100" s="13">
        <f ca="1">IF($D100="Igen",IF($W99&gt;=IF($D$4="Forint",Paraméterek!$J$121,Paraméterek!$K$121),0,IF($D$4="Forint",Paraméterek!$J$121,Paraméterek!$K$121)-$W99),0)</f>
        <v>0</v>
      </c>
      <c r="P100" s="13" t="e">
        <f ca="1">ROUNDUP($O100*VLOOKUP($M$4+$B100-1,Paraméterek!$H$58:$I$105,2,0)/Paraméterek!$I$56,IF($D$4="Forint",0,2))</f>
        <v>#N/A</v>
      </c>
      <c r="Q100" s="13">
        <f t="shared" ca="1" si="28"/>
        <v>0</v>
      </c>
      <c r="R100" s="33"/>
      <c r="S100" s="13" t="e">
        <f t="shared" ca="1" si="29"/>
        <v>#N/A</v>
      </c>
      <c r="T100" s="13" t="e">
        <f ca="1">ROUNDUP(($N100-$P100-$Q100+$S100)*VLOOKUP($B100,Paraméterek!$I$38:$K$39,IF($D$2="Egyszeri",3,2))/12*IF($D101="Nem",IF($M$13=0,1,$M$13),1),IF($D$4="Forint",0,2))</f>
        <v>#N/A</v>
      </c>
      <c r="U100" s="13"/>
      <c r="V100" s="13"/>
      <c r="W100" s="13" t="e">
        <f ca="1">$N100-$P100-$Q100+$S100-$T100-IF(ROUNDUP(IF(ISBLANK($V100),$U100*0,$V100)/IF($D$2="Egyszeri",VLOOKUP($B100+IF($C100=12,1,0),Paraméterek!$V$257:$W$262,2),IF($B100=1,1,VLOOKUP($B100+IF($C100=12,1,0),Paraméterek!$I$258:$T$278,HLOOKUP($M$11+1,Paraméterek!$J$256:$T$257,2)))),IF($D$4="Forint",0,2))&gt;$N100-$P100-$Q100+$S100-$T100-IF($D$4="Forint",Paraméterek!$C$216,Paraméterek!$D$216),0,ROUNDUP(IF(ISBLANK($V100),$U100*0,$V100)/IF($D$2="Egyszeri",VLOOKUP($B100+IF($C100=12,1,0),Paraméterek!$V$257:$W$262,2),IF($B100=1,1,VLOOKUP($B100+IF($C100=12,1,0),Paraméterek!$I$258:$T$278,HLOOKUP($M$11+1,Paraméterek!$J$256:$T$257,2)))),IF($D$4="Forint",0,2)))</f>
        <v>#N/A</v>
      </c>
      <c r="X100" s="13" t="e">
        <f ca="1">ROUNDDOWN($W100*IF($D$2="Egyszeri",VLOOKUP($B100+IF($C100=12,1,0),Paraméterek!$V$257:$W$262,2),VLOOKUP($B100+IF($C100=12,1,0),Paraméterek!$I$258:$T$278,HLOOKUP($M$11+1,Paraméterek!$I$256:$T$257,2))),IF($D$4="Forint",0,2))</f>
        <v>#N/A</v>
      </c>
      <c r="Z100" s="32">
        <v>81</v>
      </c>
      <c r="AA100" s="32">
        <v>7</v>
      </c>
      <c r="AB100" s="32">
        <v>9</v>
      </c>
      <c r="AC100" s="13">
        <f t="shared" ca="1" si="38"/>
        <v>0</v>
      </c>
      <c r="AD100" s="33"/>
      <c r="AE100" s="13">
        <f t="shared" ca="1" si="30"/>
        <v>0</v>
      </c>
      <c r="AF100" s="13">
        <f ca="1">ROUNDUP(($AC100+$AE100)*VLOOKUP($AA100,Paraméterek!$P$38:$Q$38,2)/12*IF($D101="Nem",IF($M$13=0,1,$M$13),1),IF($D$4="Forint",0,2))</f>
        <v>0</v>
      </c>
      <c r="AG100" s="13">
        <f ca="1">IF($D$2="Egyszeri",IF($D$7&gt;=IF($D$4="Forint",Paraméterek!$P$223,Paraméterek!$P$224),$D$7-IF($D$4="Forint",Paraméterek!$P$223,Paraméterek!$P$224),0),MIN(IF($AB100=12,AVERAGEIF($E$20:$E100,"&gt;0",$E$20:$E100)*12,0),SUM($E$20:$E$31)))</f>
        <v>0</v>
      </c>
      <c r="AH100" s="13">
        <f>IF($AA100=10,$AG100*IF($AB100=12,IF($AG100&lt;IF($D$4="Forint",Paraméterek!$L$223,Paraméterek!$L$224),0,VLOOKUP($AA100,Paraméterek!$K$226:$M$228,IF($AG100&lt;IF($D$4="Forint",Paraméterek!$M$223,Paraméterek!$M$224),2,3))),0),0)</f>
        <v>0</v>
      </c>
      <c r="AI100" s="13">
        <f ca="1">IF(AND($AA100=$M$11+1,$AB100=$M$12+1),SUMIF($AA$20:$AA$1027,$AA100,$AG$20:$AG$1027)*IF(SUMIF($AA$20:$AA$1027,$AA100,$AG$20:$AG$1027)&lt;IF($D$4="Forint",Paraméterek!$L$223,Paraméterek!$L$224),0,VLOOKUP($AA100,Paraméterek!$K$230:$M$250,IF(SUMIF($AA$20:$AA$1027,$AA100,$AG$20:$AG$1027)&lt;IF($D$4="Forint",Paraméterek!$M$223,Paraméterek!$M$224),2,3))),0)</f>
        <v>0</v>
      </c>
      <c r="AJ100" s="13">
        <f ca="1">IF(AND($AA100&gt;=5,MOD($AA100,5)=0),IF($AB100=12,VLOOKUP($AA100,Paraméterek!$O$225:$P$240,2),0),IF(OR($AA100=3,$AA100=4),IF($AB100=12,VLOOKUP($AA100,Paraméterek!$O$225:$P$240,2,0),0),0))*$AG100</f>
        <v>0</v>
      </c>
      <c r="AK100" s="13">
        <f t="shared" ca="1" si="31"/>
        <v>0</v>
      </c>
      <c r="AL100" s="13">
        <f t="shared" ca="1" si="39"/>
        <v>0</v>
      </c>
      <c r="AM100" s="13">
        <f t="shared" ca="1" si="40"/>
        <v>0</v>
      </c>
      <c r="AO100" s="32">
        <v>81</v>
      </c>
      <c r="AP100" s="32">
        <v>7</v>
      </c>
      <c r="AQ100" s="32">
        <v>9</v>
      </c>
      <c r="AR100" s="13"/>
      <c r="AS100" s="32"/>
      <c r="AT100" s="13">
        <f t="shared" ca="1" si="41"/>
        <v>0</v>
      </c>
      <c r="AU100" s="33"/>
      <c r="AV100" s="13">
        <f t="shared" ca="1" si="32"/>
        <v>0</v>
      </c>
      <c r="AW100" s="13">
        <f ca="1">ROUNDUP(($AT100+$AV100)*VLOOKUP($AP100,Paraméterek!$P$38:$Q$38,2)/12*IF($D101="Nem",IF($M$13=0,1,$M$13),1),IF($D$4="Forint",0,2))</f>
        <v>0</v>
      </c>
      <c r="AX100" s="13"/>
      <c r="AY100" s="13"/>
      <c r="AZ100" s="13">
        <f>ROUNDUP(IF(SUM($AX100:$AY100)=0,0,IF(IF(ISBLANK($AY100),$AX100,$AY100)*Paraméterek!$J$112&lt;IF($D$4="Forint",Paraméterek!$J$113,Paraméterek!$K$113),IF($D$4="Forint",Paraméterek!$J$113,Paraméterek!$K$113),IF(IF(ISBLANK($AY100),$AX100,$AY100)*Paraméterek!$J$112&gt;IF($D$4="Forint",Paraméterek!$J$114,Paraméterek!$K$114),IF($D$4="Forint",Paraméterek!$J$114,Paraméterek!$K$114),IF(ISBLANK($AY100),$AX100,$AY100)*Paraméterek!$J$112))),IF($D$4="Forint",0,2))</f>
        <v>0</v>
      </c>
      <c r="BA100" s="13">
        <f ca="1">$AT100+$AV100-$AW100-IF(ROUNDDOWN(IF(ISBLANK($AY100),$AX100,$AY100),IF($D$4="Forint",0,2))&gt;$AT100+$AV100-$AW100-IF($D$4="Forint",Paraméterek!$J$114,Paraméterek!$K$114),0,ROUNDDOWN(IF(ISBLANK($AY100),$AX100,$AY100),IF($D$4="Forint",0,2))-$AZ100)</f>
        <v>0</v>
      </c>
      <c r="BB100" s="13">
        <f t="shared" ca="1" si="33"/>
        <v>0</v>
      </c>
      <c r="BD100" s="32">
        <v>81</v>
      </c>
      <c r="BE100" s="32">
        <v>7</v>
      </c>
      <c r="BF100" s="32">
        <v>9</v>
      </c>
      <c r="BG100" s="34">
        <f t="shared" ca="1" si="42"/>
        <v>2026</v>
      </c>
      <c r="BH100" s="32" t="str">
        <f ca="1">IF(MOD(MONTH($D$14)+$BD100-1,12)=Paraméterek!$C$288,"Igen","")</f>
        <v/>
      </c>
      <c r="BI100" s="13">
        <f ca="1">IF($BH100="Igen",MIN(ROUNDDOWN((SUMIF($BG$20:$BG$1027,$BG100-1,$K$20:$K$1027)-SUMIF($BG$20:$BG$1027,$BG100-1,$I$20:$I$1027))*Paraméterek!$C$289,IF($D$4="Forint",0,2)),IF($D$4="Forint",Paraméterek!$C$285,Paraméterek!$D$285)),0)</f>
        <v>0</v>
      </c>
      <c r="BJ100" s="13">
        <f t="shared" ca="1" si="34"/>
        <v>0</v>
      </c>
      <c r="BK100" s="13">
        <f t="shared" ca="1" si="43"/>
        <v>0</v>
      </c>
      <c r="BL100" s="33"/>
      <c r="BM100" s="13">
        <f t="shared" ca="1" si="35"/>
        <v>0</v>
      </c>
      <c r="BN100" s="13">
        <f ca="1">ROUNDUP(($BK100+$BM100)*VLOOKUP($BE100,Paraméterek!$P$38:$Q$38,2)/12*IF($D101="Nem",IF($M$13=0,1,$M$13),1),IF($D$4="Forint",0,2))</f>
        <v>0</v>
      </c>
      <c r="BO100" s="13">
        <f t="shared" ca="1" si="36"/>
        <v>0</v>
      </c>
      <c r="BP100" s="13">
        <f ca="1">IF($D101="Nem",$BO100,$BO100-ROUNDUP(SUM($BI$20:$BI100)*120%,IF($D$4="Forint",0,2)))</f>
        <v>0</v>
      </c>
    </row>
    <row r="101" spans="1:68" x14ac:dyDescent="0.2">
      <c r="A101" s="32">
        <v>82</v>
      </c>
      <c r="B101" s="32">
        <v>7</v>
      </c>
      <c r="C101" s="32">
        <v>10</v>
      </c>
      <c r="D101" s="32" t="str">
        <f t="shared" ca="1" si="22"/>
        <v>Nem</v>
      </c>
      <c r="E101" s="13">
        <f t="shared" ca="1" si="23"/>
        <v>0</v>
      </c>
      <c r="F101" s="13"/>
      <c r="G101" s="13"/>
      <c r="H101" s="13"/>
      <c r="I101" s="13">
        <f t="shared" ca="1" si="24"/>
        <v>0</v>
      </c>
      <c r="J101" s="13">
        <f t="shared" ca="1" si="25"/>
        <v>0</v>
      </c>
      <c r="K101" s="13">
        <f t="shared" ca="1" si="26"/>
        <v>0</v>
      </c>
      <c r="L101" s="13" t="e">
        <f ca="1">ROUNDUP(IF($D$2="Egyszeri",$E101,IF($D$2="Havi",SUM($E$20:$E$31),IF(MOD($C101,$M$1)-1=0,SUM($E$20:$E$31),0))/12*$M$1)*VLOOKUP($B101,Paraméterek!$I$28:$P$31,IF($D$2="Egyszeri",8,HLOOKUP(ROUNDUP($M$11+$M$13,0),Paraméterek!$J$26:$O$27,2))),IF($D$4="Forint",0,2))</f>
        <v>#N/A</v>
      </c>
      <c r="M101" s="13">
        <f t="shared" ca="1" si="27"/>
        <v>0</v>
      </c>
      <c r="N101" s="13">
        <f t="shared" ca="1" si="37"/>
        <v>0</v>
      </c>
      <c r="O101" s="13">
        <f ca="1">IF($D101="Igen",IF($W100&gt;=IF($D$4="Forint",Paraméterek!$J$121,Paraméterek!$K$121),0,IF($D$4="Forint",Paraméterek!$J$121,Paraméterek!$K$121)-$W100),0)</f>
        <v>0</v>
      </c>
      <c r="P101" s="13" t="e">
        <f ca="1">ROUNDUP($O101*VLOOKUP($M$4+$B101-1,Paraméterek!$H$58:$I$105,2,0)/Paraméterek!$I$56,IF($D$4="Forint",0,2))</f>
        <v>#N/A</v>
      </c>
      <c r="Q101" s="13">
        <f t="shared" ca="1" si="28"/>
        <v>0</v>
      </c>
      <c r="R101" s="33"/>
      <c r="S101" s="13" t="e">
        <f t="shared" ca="1" si="29"/>
        <v>#N/A</v>
      </c>
      <c r="T101" s="13" t="e">
        <f ca="1">ROUNDUP(($N101-$P101-$Q101+$S101)*VLOOKUP($B101,Paraméterek!$I$38:$K$39,IF($D$2="Egyszeri",3,2))/12*IF($D102="Nem",IF($M$13=0,1,$M$13),1),IF($D$4="Forint",0,2))</f>
        <v>#N/A</v>
      </c>
      <c r="U101" s="13"/>
      <c r="V101" s="13"/>
      <c r="W101" s="13" t="e">
        <f ca="1">$N101-$P101-$Q101+$S101-$T101-IF(ROUNDUP(IF(ISBLANK($V101),$U101*0,$V101)/IF($D$2="Egyszeri",VLOOKUP($B101+IF($C101=12,1,0),Paraméterek!$V$257:$W$262,2),IF($B101=1,1,VLOOKUP($B101+IF($C101=12,1,0),Paraméterek!$I$258:$T$278,HLOOKUP($M$11+1,Paraméterek!$J$256:$T$257,2)))),IF($D$4="Forint",0,2))&gt;$N101-$P101-$Q101+$S101-$T101-IF($D$4="Forint",Paraméterek!$C$216,Paraméterek!$D$216),0,ROUNDUP(IF(ISBLANK($V101),$U101*0,$V101)/IF($D$2="Egyszeri",VLOOKUP($B101+IF($C101=12,1,0),Paraméterek!$V$257:$W$262,2),IF($B101=1,1,VLOOKUP($B101+IF($C101=12,1,0),Paraméterek!$I$258:$T$278,HLOOKUP($M$11+1,Paraméterek!$J$256:$T$257,2)))),IF($D$4="Forint",0,2)))</f>
        <v>#N/A</v>
      </c>
      <c r="X101" s="13" t="e">
        <f ca="1">ROUNDDOWN($W101*IF($D$2="Egyszeri",VLOOKUP($B101+IF($C101=12,1,0),Paraméterek!$V$257:$W$262,2),VLOOKUP($B101+IF($C101=12,1,0),Paraméterek!$I$258:$T$278,HLOOKUP($M$11+1,Paraméterek!$I$256:$T$257,2))),IF($D$4="Forint",0,2))</f>
        <v>#N/A</v>
      </c>
      <c r="Z101" s="32">
        <v>82</v>
      </c>
      <c r="AA101" s="32">
        <v>7</v>
      </c>
      <c r="AB101" s="32">
        <v>10</v>
      </c>
      <c r="AC101" s="13">
        <f t="shared" ca="1" si="38"/>
        <v>0</v>
      </c>
      <c r="AD101" s="33"/>
      <c r="AE101" s="13">
        <f t="shared" ca="1" si="30"/>
        <v>0</v>
      </c>
      <c r="AF101" s="13">
        <f ca="1">ROUNDUP(($AC101+$AE101)*VLOOKUP($AA101,Paraméterek!$P$38:$Q$38,2)/12*IF($D102="Nem",IF($M$13=0,1,$M$13),1),IF($D$4="Forint",0,2))</f>
        <v>0</v>
      </c>
      <c r="AG101" s="13">
        <f ca="1">IF($D$2="Egyszeri",IF($D$7&gt;=IF($D$4="Forint",Paraméterek!$P$223,Paraméterek!$P$224),$D$7-IF($D$4="Forint",Paraméterek!$P$223,Paraméterek!$P$224),0),MIN(IF($AB101=12,AVERAGEIF($E$20:$E101,"&gt;0",$E$20:$E101)*12,0),SUM($E$20:$E$31)))</f>
        <v>0</v>
      </c>
      <c r="AH101" s="13">
        <f>IF($AA101=10,$AG101*IF($AB101=12,IF($AG101&lt;IF($D$4="Forint",Paraméterek!$L$223,Paraméterek!$L$224),0,VLOOKUP($AA101,Paraméterek!$K$226:$M$228,IF($AG101&lt;IF($D$4="Forint",Paraméterek!$M$223,Paraméterek!$M$224),2,3))),0),0)</f>
        <v>0</v>
      </c>
      <c r="AI101" s="13">
        <f ca="1">IF(AND($AA101=$M$11+1,$AB101=$M$12+1),SUMIF($AA$20:$AA$1027,$AA101,$AG$20:$AG$1027)*IF(SUMIF($AA$20:$AA$1027,$AA101,$AG$20:$AG$1027)&lt;IF($D$4="Forint",Paraméterek!$L$223,Paraméterek!$L$224),0,VLOOKUP($AA101,Paraméterek!$K$230:$M$250,IF(SUMIF($AA$20:$AA$1027,$AA101,$AG$20:$AG$1027)&lt;IF($D$4="Forint",Paraméterek!$M$223,Paraméterek!$M$224),2,3))),0)</f>
        <v>0</v>
      </c>
      <c r="AJ101" s="13">
        <f ca="1">IF(AND($AA101&gt;=5,MOD($AA101,5)=0),IF($AB101=12,VLOOKUP($AA101,Paraméterek!$O$225:$P$240,2),0),IF(OR($AA101=3,$AA101=4),IF($AB101=12,VLOOKUP($AA101,Paraméterek!$O$225:$P$240,2,0),0),0))*$AG101</f>
        <v>0</v>
      </c>
      <c r="AK101" s="13">
        <f t="shared" ca="1" si="31"/>
        <v>0</v>
      </c>
      <c r="AL101" s="13">
        <f t="shared" ca="1" si="39"/>
        <v>0</v>
      </c>
      <c r="AM101" s="13">
        <f t="shared" ca="1" si="40"/>
        <v>0</v>
      </c>
      <c r="AO101" s="32">
        <v>82</v>
      </c>
      <c r="AP101" s="32">
        <v>7</v>
      </c>
      <c r="AQ101" s="32">
        <v>10</v>
      </c>
      <c r="AR101" s="13"/>
      <c r="AS101" s="32"/>
      <c r="AT101" s="13">
        <f t="shared" ca="1" si="41"/>
        <v>0</v>
      </c>
      <c r="AU101" s="33"/>
      <c r="AV101" s="13">
        <f t="shared" ca="1" si="32"/>
        <v>0</v>
      </c>
      <c r="AW101" s="13">
        <f ca="1">ROUNDUP(($AT101+$AV101)*VLOOKUP($AP101,Paraméterek!$P$38:$Q$38,2)/12*IF($D102="Nem",IF($M$13=0,1,$M$13),1),IF($D$4="Forint",0,2))</f>
        <v>0</v>
      </c>
      <c r="AX101" s="13"/>
      <c r="AY101" s="13"/>
      <c r="AZ101" s="13">
        <f>ROUNDUP(IF(SUM($AX101:$AY101)=0,0,IF(IF(ISBLANK($AY101),$AX101,$AY101)*Paraméterek!$J$112&lt;IF($D$4="Forint",Paraméterek!$J$113,Paraméterek!$K$113),IF($D$4="Forint",Paraméterek!$J$113,Paraméterek!$K$113),IF(IF(ISBLANK($AY101),$AX101,$AY101)*Paraméterek!$J$112&gt;IF($D$4="Forint",Paraméterek!$J$114,Paraméterek!$K$114),IF($D$4="Forint",Paraméterek!$J$114,Paraméterek!$K$114),IF(ISBLANK($AY101),$AX101,$AY101)*Paraméterek!$J$112))),IF($D$4="Forint",0,2))</f>
        <v>0</v>
      </c>
      <c r="BA101" s="13">
        <f ca="1">$AT101+$AV101-$AW101-IF(ROUNDDOWN(IF(ISBLANK($AY101),$AX101,$AY101),IF($D$4="Forint",0,2))&gt;$AT101+$AV101-$AW101-IF($D$4="Forint",Paraméterek!$J$114,Paraméterek!$K$114),0,ROUNDDOWN(IF(ISBLANK($AY101),$AX101,$AY101),IF($D$4="Forint",0,2))-$AZ101)</f>
        <v>0</v>
      </c>
      <c r="BB101" s="13">
        <f t="shared" ca="1" si="33"/>
        <v>0</v>
      </c>
      <c r="BD101" s="32">
        <v>82</v>
      </c>
      <c r="BE101" s="32">
        <v>7</v>
      </c>
      <c r="BF101" s="32">
        <v>10</v>
      </c>
      <c r="BG101" s="34">
        <f t="shared" ca="1" si="42"/>
        <v>2026</v>
      </c>
      <c r="BH101" s="32" t="str">
        <f ca="1">IF(MOD(MONTH($D$14)+$BD101-1,12)=Paraméterek!$C$288,"Igen","")</f>
        <v/>
      </c>
      <c r="BI101" s="13">
        <f ca="1">IF($BH101="Igen",MIN(ROUNDDOWN((SUMIF($BG$20:$BG$1027,$BG101-1,$K$20:$K$1027)-SUMIF($BG$20:$BG$1027,$BG101-1,$I$20:$I$1027))*Paraméterek!$C$289,IF($D$4="Forint",0,2)),IF($D$4="Forint",Paraméterek!$C$285,Paraméterek!$D$285)),0)</f>
        <v>0</v>
      </c>
      <c r="BJ101" s="13">
        <f t="shared" ca="1" si="34"/>
        <v>0</v>
      </c>
      <c r="BK101" s="13">
        <f t="shared" ca="1" si="43"/>
        <v>0</v>
      </c>
      <c r="BL101" s="33"/>
      <c r="BM101" s="13">
        <f t="shared" ca="1" si="35"/>
        <v>0</v>
      </c>
      <c r="BN101" s="13">
        <f ca="1">ROUNDUP(($BK101+$BM101)*VLOOKUP($BE101,Paraméterek!$P$38:$Q$38,2)/12*IF($D102="Nem",IF($M$13=0,1,$M$13),1),IF($D$4="Forint",0,2))</f>
        <v>0</v>
      </c>
      <c r="BO101" s="13">
        <f t="shared" ca="1" si="36"/>
        <v>0</v>
      </c>
      <c r="BP101" s="13">
        <f ca="1">IF($D102="Nem",$BO101,$BO101-ROUNDUP(SUM($BI$20:$BI101)*120%,IF($D$4="Forint",0,2)))</f>
        <v>0</v>
      </c>
    </row>
    <row r="102" spans="1:68" x14ac:dyDescent="0.2">
      <c r="A102" s="32">
        <v>83</v>
      </c>
      <c r="B102" s="32">
        <v>7</v>
      </c>
      <c r="C102" s="32">
        <v>11</v>
      </c>
      <c r="D102" s="32" t="str">
        <f t="shared" ca="1" si="22"/>
        <v>Nem</v>
      </c>
      <c r="E102" s="13">
        <f t="shared" ca="1" si="23"/>
        <v>0</v>
      </c>
      <c r="F102" s="13"/>
      <c r="G102" s="13"/>
      <c r="H102" s="13"/>
      <c r="I102" s="13">
        <f t="shared" ca="1" si="24"/>
        <v>0</v>
      </c>
      <c r="J102" s="13">
        <f t="shared" ca="1" si="25"/>
        <v>0</v>
      </c>
      <c r="K102" s="13">
        <f t="shared" ca="1" si="26"/>
        <v>0</v>
      </c>
      <c r="L102" s="13" t="e">
        <f ca="1">ROUNDUP(IF($D$2="Egyszeri",$E102,IF($D$2="Havi",SUM($E$20:$E$31),IF(MOD($C102,$M$1)-1=0,SUM($E$20:$E$31),0))/12*$M$1)*VLOOKUP($B102,Paraméterek!$I$28:$P$31,IF($D$2="Egyszeri",8,HLOOKUP(ROUNDUP($M$11+$M$13,0),Paraméterek!$J$26:$O$27,2))),IF($D$4="Forint",0,2))</f>
        <v>#N/A</v>
      </c>
      <c r="M102" s="13">
        <f t="shared" ca="1" si="27"/>
        <v>0</v>
      </c>
      <c r="N102" s="13">
        <f t="shared" ca="1" si="37"/>
        <v>0</v>
      </c>
      <c r="O102" s="13">
        <f ca="1">IF($D102="Igen",IF($W101&gt;=IF($D$4="Forint",Paraméterek!$J$121,Paraméterek!$K$121),0,IF($D$4="Forint",Paraméterek!$J$121,Paraméterek!$K$121)-$W101),0)</f>
        <v>0</v>
      </c>
      <c r="P102" s="13" t="e">
        <f ca="1">ROUNDUP($O102*VLOOKUP($M$4+$B102-1,Paraméterek!$H$58:$I$105,2,0)/Paraméterek!$I$56,IF($D$4="Forint",0,2))</f>
        <v>#N/A</v>
      </c>
      <c r="Q102" s="13">
        <f t="shared" ca="1" si="28"/>
        <v>0</v>
      </c>
      <c r="R102" s="33"/>
      <c r="S102" s="13" t="e">
        <f t="shared" ca="1" si="29"/>
        <v>#N/A</v>
      </c>
      <c r="T102" s="13" t="e">
        <f ca="1">ROUNDUP(($N102-$P102-$Q102+$S102)*VLOOKUP($B102,Paraméterek!$I$38:$K$39,IF($D$2="Egyszeri",3,2))/12*IF($D103="Nem",IF($M$13=0,1,$M$13),1),IF($D$4="Forint",0,2))</f>
        <v>#N/A</v>
      </c>
      <c r="U102" s="13"/>
      <c r="V102" s="13"/>
      <c r="W102" s="13" t="e">
        <f ca="1">$N102-$P102-$Q102+$S102-$T102-IF(ROUNDUP(IF(ISBLANK($V102),$U102*0,$V102)/IF($D$2="Egyszeri",VLOOKUP($B102+IF($C102=12,1,0),Paraméterek!$V$257:$W$262,2),IF($B102=1,1,VLOOKUP($B102+IF($C102=12,1,0),Paraméterek!$I$258:$T$278,HLOOKUP($M$11+1,Paraméterek!$J$256:$T$257,2)))),IF($D$4="Forint",0,2))&gt;$N102-$P102-$Q102+$S102-$T102-IF($D$4="Forint",Paraméterek!$C$216,Paraméterek!$D$216),0,ROUNDUP(IF(ISBLANK($V102),$U102*0,$V102)/IF($D$2="Egyszeri",VLOOKUP($B102+IF($C102=12,1,0),Paraméterek!$V$257:$W$262,2),IF($B102=1,1,VLOOKUP($B102+IF($C102=12,1,0),Paraméterek!$I$258:$T$278,HLOOKUP($M$11+1,Paraméterek!$J$256:$T$257,2)))),IF($D$4="Forint",0,2)))</f>
        <v>#N/A</v>
      </c>
      <c r="X102" s="13" t="e">
        <f ca="1">ROUNDDOWN($W102*IF($D$2="Egyszeri",VLOOKUP($B102+IF($C102=12,1,0),Paraméterek!$V$257:$W$262,2),VLOOKUP($B102+IF($C102=12,1,0),Paraméterek!$I$258:$T$278,HLOOKUP($M$11+1,Paraméterek!$I$256:$T$257,2))),IF($D$4="Forint",0,2))</f>
        <v>#N/A</v>
      </c>
      <c r="Z102" s="32">
        <v>83</v>
      </c>
      <c r="AA102" s="32">
        <v>7</v>
      </c>
      <c r="AB102" s="32">
        <v>11</v>
      </c>
      <c r="AC102" s="13">
        <f t="shared" ca="1" si="38"/>
        <v>0</v>
      </c>
      <c r="AD102" s="33"/>
      <c r="AE102" s="13">
        <f t="shared" ca="1" si="30"/>
        <v>0</v>
      </c>
      <c r="AF102" s="13">
        <f ca="1">ROUNDUP(($AC102+$AE102)*VLOOKUP($AA102,Paraméterek!$P$38:$Q$38,2)/12*IF($D103="Nem",IF($M$13=0,1,$M$13),1),IF($D$4="Forint",0,2))</f>
        <v>0</v>
      </c>
      <c r="AG102" s="13">
        <f ca="1">IF($D$2="Egyszeri",IF($D$7&gt;=IF($D$4="Forint",Paraméterek!$P$223,Paraméterek!$P$224),$D$7-IF($D$4="Forint",Paraméterek!$P$223,Paraméterek!$P$224),0),MIN(IF($AB102=12,AVERAGEIF($E$20:$E102,"&gt;0",$E$20:$E102)*12,0),SUM($E$20:$E$31)))</f>
        <v>0</v>
      </c>
      <c r="AH102" s="13">
        <f>IF($AA102=10,$AG102*IF($AB102=12,IF($AG102&lt;IF($D$4="Forint",Paraméterek!$L$223,Paraméterek!$L$224),0,VLOOKUP($AA102,Paraméterek!$K$226:$M$228,IF($AG102&lt;IF($D$4="Forint",Paraméterek!$M$223,Paraméterek!$M$224),2,3))),0),0)</f>
        <v>0</v>
      </c>
      <c r="AI102" s="13">
        <f ca="1">IF(AND($AA102=$M$11+1,$AB102=$M$12+1),SUMIF($AA$20:$AA$1027,$AA102,$AG$20:$AG$1027)*IF(SUMIF($AA$20:$AA$1027,$AA102,$AG$20:$AG$1027)&lt;IF($D$4="Forint",Paraméterek!$L$223,Paraméterek!$L$224),0,VLOOKUP($AA102,Paraméterek!$K$230:$M$250,IF(SUMIF($AA$20:$AA$1027,$AA102,$AG$20:$AG$1027)&lt;IF($D$4="Forint",Paraméterek!$M$223,Paraméterek!$M$224),2,3))),0)</f>
        <v>0</v>
      </c>
      <c r="AJ102" s="13">
        <f ca="1">IF(AND($AA102&gt;=5,MOD($AA102,5)=0),IF($AB102=12,VLOOKUP($AA102,Paraméterek!$O$225:$P$240,2),0),IF(OR($AA102=3,$AA102=4),IF($AB102=12,VLOOKUP($AA102,Paraméterek!$O$225:$P$240,2,0),0),0))*$AG102</f>
        <v>0</v>
      </c>
      <c r="AK102" s="13">
        <f t="shared" ca="1" si="31"/>
        <v>0</v>
      </c>
      <c r="AL102" s="13">
        <f t="shared" ca="1" si="39"/>
        <v>0</v>
      </c>
      <c r="AM102" s="13">
        <f t="shared" ca="1" si="40"/>
        <v>0</v>
      </c>
      <c r="AO102" s="32">
        <v>83</v>
      </c>
      <c r="AP102" s="32">
        <v>7</v>
      </c>
      <c r="AQ102" s="32">
        <v>11</v>
      </c>
      <c r="AR102" s="13"/>
      <c r="AS102" s="32"/>
      <c r="AT102" s="13">
        <f t="shared" ca="1" si="41"/>
        <v>0</v>
      </c>
      <c r="AU102" s="33"/>
      <c r="AV102" s="13">
        <f t="shared" ca="1" si="32"/>
        <v>0</v>
      </c>
      <c r="AW102" s="13">
        <f ca="1">ROUNDUP(($AT102+$AV102)*VLOOKUP($AP102,Paraméterek!$P$38:$Q$38,2)/12*IF($D103="Nem",IF($M$13=0,1,$M$13),1),IF($D$4="Forint",0,2))</f>
        <v>0</v>
      </c>
      <c r="AX102" s="13"/>
      <c r="AY102" s="13"/>
      <c r="AZ102" s="13">
        <f>ROUNDUP(IF(SUM($AX102:$AY102)=0,0,IF(IF(ISBLANK($AY102),$AX102,$AY102)*Paraméterek!$J$112&lt;IF($D$4="Forint",Paraméterek!$J$113,Paraméterek!$K$113),IF($D$4="Forint",Paraméterek!$J$113,Paraméterek!$K$113),IF(IF(ISBLANK($AY102),$AX102,$AY102)*Paraméterek!$J$112&gt;IF($D$4="Forint",Paraméterek!$J$114,Paraméterek!$K$114),IF($D$4="Forint",Paraméterek!$J$114,Paraméterek!$K$114),IF(ISBLANK($AY102),$AX102,$AY102)*Paraméterek!$J$112))),IF($D$4="Forint",0,2))</f>
        <v>0</v>
      </c>
      <c r="BA102" s="13">
        <f ca="1">$AT102+$AV102-$AW102-IF(ROUNDDOWN(IF(ISBLANK($AY102),$AX102,$AY102),IF($D$4="Forint",0,2))&gt;$AT102+$AV102-$AW102-IF($D$4="Forint",Paraméterek!$J$114,Paraméterek!$K$114),0,ROUNDDOWN(IF(ISBLANK($AY102),$AX102,$AY102),IF($D$4="Forint",0,2))-$AZ102)</f>
        <v>0</v>
      </c>
      <c r="BB102" s="13">
        <f t="shared" ca="1" si="33"/>
        <v>0</v>
      </c>
      <c r="BD102" s="32">
        <v>83</v>
      </c>
      <c r="BE102" s="32">
        <v>7</v>
      </c>
      <c r="BF102" s="32">
        <v>11</v>
      </c>
      <c r="BG102" s="34">
        <f t="shared" ca="1" si="42"/>
        <v>2026</v>
      </c>
      <c r="BH102" s="32" t="str">
        <f ca="1">IF(MOD(MONTH($D$14)+$BD102-1,12)=Paraméterek!$C$288,"Igen","")</f>
        <v/>
      </c>
      <c r="BI102" s="13">
        <f ca="1">IF($BH102="Igen",MIN(ROUNDDOWN((SUMIF($BG$20:$BG$1027,$BG102-1,$K$20:$K$1027)-SUMIF($BG$20:$BG$1027,$BG102-1,$I$20:$I$1027))*Paraméterek!$C$289,IF($D$4="Forint",0,2)),IF($D$4="Forint",Paraméterek!$C$285,Paraméterek!$D$285)),0)</f>
        <v>0</v>
      </c>
      <c r="BJ102" s="13">
        <f t="shared" ca="1" si="34"/>
        <v>0</v>
      </c>
      <c r="BK102" s="13">
        <f t="shared" ca="1" si="43"/>
        <v>0</v>
      </c>
      <c r="BL102" s="33"/>
      <c r="BM102" s="13">
        <f t="shared" ca="1" si="35"/>
        <v>0</v>
      </c>
      <c r="BN102" s="13">
        <f ca="1">ROUNDUP(($BK102+$BM102)*VLOOKUP($BE102,Paraméterek!$P$38:$Q$38,2)/12*IF($D103="Nem",IF($M$13=0,1,$M$13),1),IF($D$4="Forint",0,2))</f>
        <v>0</v>
      </c>
      <c r="BO102" s="13">
        <f t="shared" ca="1" si="36"/>
        <v>0</v>
      </c>
      <c r="BP102" s="13">
        <f ca="1">IF($D103="Nem",$BO102,$BO102-ROUNDUP(SUM($BI$20:$BI102)*120%,IF($D$4="Forint",0,2)))</f>
        <v>0</v>
      </c>
    </row>
    <row r="103" spans="1:68" x14ac:dyDescent="0.2">
      <c r="A103" s="32">
        <v>84</v>
      </c>
      <c r="B103" s="32">
        <v>7</v>
      </c>
      <c r="C103" s="32">
        <v>12</v>
      </c>
      <c r="D103" s="32" t="str">
        <f t="shared" ca="1" si="22"/>
        <v>Nem</v>
      </c>
      <c r="E103" s="13">
        <f t="shared" ca="1" si="23"/>
        <v>0</v>
      </c>
      <c r="F103" s="13"/>
      <c r="G103" s="13"/>
      <c r="H103" s="13"/>
      <c r="I103" s="13">
        <f t="shared" ca="1" si="24"/>
        <v>0</v>
      </c>
      <c r="J103" s="13">
        <f t="shared" ca="1" si="25"/>
        <v>0</v>
      </c>
      <c r="K103" s="13">
        <f t="shared" ca="1" si="26"/>
        <v>0</v>
      </c>
      <c r="L103" s="13" t="e">
        <f ca="1">ROUNDUP(IF($D$2="Egyszeri",$E103,IF($D$2="Havi",SUM($E$20:$E$31),IF(MOD($C103,$M$1)-1=0,SUM($E$20:$E$31),0))/12*$M$1)*VLOOKUP($B103,Paraméterek!$I$28:$P$31,IF($D$2="Egyszeri",8,HLOOKUP(ROUNDUP($M$11+$M$13,0),Paraméterek!$J$26:$O$27,2))),IF($D$4="Forint",0,2))</f>
        <v>#N/A</v>
      </c>
      <c r="M103" s="13">
        <f t="shared" ca="1" si="27"/>
        <v>0</v>
      </c>
      <c r="N103" s="13">
        <f t="shared" ca="1" si="37"/>
        <v>0</v>
      </c>
      <c r="O103" s="13">
        <f ca="1">IF($D103="Igen",IF($W102&gt;=IF($D$4="Forint",Paraméterek!$J$121,Paraméterek!$K$121),0,IF($D$4="Forint",Paraméterek!$J$121,Paraméterek!$K$121)-$W102),0)</f>
        <v>0</v>
      </c>
      <c r="P103" s="13" t="e">
        <f ca="1">ROUNDUP($O103*VLOOKUP($M$4+$B103-1,Paraméterek!$H$58:$I$105,2,0)/Paraméterek!$I$56,IF($D$4="Forint",0,2))</f>
        <v>#N/A</v>
      </c>
      <c r="Q103" s="13">
        <f t="shared" ca="1" si="28"/>
        <v>0</v>
      </c>
      <c r="R103" s="33"/>
      <c r="S103" s="13" t="e">
        <f t="shared" ca="1" si="29"/>
        <v>#N/A</v>
      </c>
      <c r="T103" s="13" t="e">
        <f ca="1">ROUNDUP(($N103-$P103-$Q103+$S103)*VLOOKUP($B103,Paraméterek!$I$38:$K$39,IF($D$2="Egyszeri",3,2))/12*IF($D104="Nem",IF($M$13=0,1,$M$13),1),IF($D$4="Forint",0,2))</f>
        <v>#N/A</v>
      </c>
      <c r="U103" s="13">
        <f>Tranzakciók!$F$38</f>
        <v>0</v>
      </c>
      <c r="V103" s="13"/>
      <c r="W103" s="13" t="e">
        <f ca="1">$N103-$P103-$Q103+$S103-$T103-IF(ROUNDUP(IF(ISBLANK($V103),$U103*0,$V103)/IF($D$2="Egyszeri",VLOOKUP($B103+IF($C103=12,1,0),Paraméterek!$V$257:$W$262,2),IF($B103=1,1,VLOOKUP($B103+IF($C103=12,1,0),Paraméterek!$I$258:$T$278,HLOOKUP($M$11+1,Paraméterek!$J$256:$T$257,2)))),IF($D$4="Forint",0,2))&gt;$N103-$P103-$Q103+$S103-$T103-IF($D$4="Forint",Paraméterek!$C$216,Paraméterek!$D$216),0,ROUNDUP(IF(ISBLANK($V103),$U103*0,$V103)/IF($D$2="Egyszeri",VLOOKUP($B103+IF($C103=12,1,0),Paraméterek!$V$257:$W$262,2),IF($B103=1,1,VLOOKUP($B103+IF($C103=12,1,0),Paraméterek!$I$258:$T$278,HLOOKUP($M$11+1,Paraméterek!$J$256:$T$257,2)))),IF($D$4="Forint",0,2)))</f>
        <v>#N/A</v>
      </c>
      <c r="X103" s="13" t="e">
        <f ca="1">ROUNDDOWN($W103*IF($D$2="Egyszeri",VLOOKUP($B103+IF($C103=12,1,0),Paraméterek!$V$257:$W$262,2),VLOOKUP($B103+IF($C103=12,1,0),Paraméterek!$I$258:$T$278,HLOOKUP($M$11+1,Paraméterek!$I$256:$T$257,2))),IF($D$4="Forint",0,2))</f>
        <v>#N/A</v>
      </c>
      <c r="Z103" s="32">
        <v>84</v>
      </c>
      <c r="AA103" s="32">
        <v>7</v>
      </c>
      <c r="AB103" s="32">
        <v>12</v>
      </c>
      <c r="AC103" s="13">
        <f t="shared" ca="1" si="38"/>
        <v>0</v>
      </c>
      <c r="AD103" s="33"/>
      <c r="AE103" s="13">
        <f t="shared" ca="1" si="30"/>
        <v>0</v>
      </c>
      <c r="AF103" s="13">
        <f ca="1">ROUNDUP(($AC103+$AE103)*VLOOKUP($AA103,Paraméterek!$P$38:$Q$38,2)/12*IF($D104="Nem",IF($M$13=0,1,$M$13),1),IF($D$4="Forint",0,2))</f>
        <v>0</v>
      </c>
      <c r="AG103" s="13" t="e">
        <f ca="1">IF($D$2="Egyszeri",IF($D$7&gt;=IF($D$4="Forint",Paraméterek!$P$223,Paraméterek!$P$224),$D$7-IF($D$4="Forint",Paraméterek!$P$223,Paraméterek!$P$224),0),MIN(IF($AB103=12,AVERAGEIF($E$20:$E103,"&gt;0",$E$20:$E103)*12,0),SUM($E$20:$E$31)))</f>
        <v>#DIV/0!</v>
      </c>
      <c r="AH103" s="13">
        <f>IF($AA103=10,$AG103*IF($AB103=12,IF($AG103&lt;IF($D$4="Forint",Paraméterek!$L$223,Paraméterek!$L$224),0,VLOOKUP($AA103,Paraméterek!$K$226:$M$228,IF($AG103&lt;IF($D$4="Forint",Paraméterek!$M$223,Paraméterek!$M$224),2,3))),0),0)</f>
        <v>0</v>
      </c>
      <c r="AI103" s="13">
        <f ca="1">IF(AND($AA103=$M$11+1,$AB103=$M$12+1),SUMIF($AA$20:$AA$1027,$AA103,$AG$20:$AG$1027)*IF(SUMIF($AA$20:$AA$1027,$AA103,$AG$20:$AG$1027)&lt;IF($D$4="Forint",Paraméterek!$L$223,Paraméterek!$L$224),0,VLOOKUP($AA103,Paraméterek!$K$230:$M$250,IF(SUMIF($AA$20:$AA$1027,$AA103,$AG$20:$AG$1027)&lt;IF($D$4="Forint",Paraméterek!$M$223,Paraméterek!$M$224),2,3))),0)</f>
        <v>0</v>
      </c>
      <c r="AJ103" s="13" t="e">
        <f ca="1">IF(AND($AA103&gt;=5,MOD($AA103,5)=0),IF($AB103=12,VLOOKUP($AA103,Paraméterek!$O$225:$P$240,2),0),IF(OR($AA103=3,$AA103=4),IF($AB103=12,VLOOKUP($AA103,Paraméterek!$O$225:$P$240,2,0),0),0))*$AG103</f>
        <v>#DIV/0!</v>
      </c>
      <c r="AK103" s="13">
        <f t="shared" ca="1" si="31"/>
        <v>0</v>
      </c>
      <c r="AL103" s="13">
        <f t="shared" ca="1" si="39"/>
        <v>0</v>
      </c>
      <c r="AM103" s="13">
        <f t="shared" ca="1" si="40"/>
        <v>0</v>
      </c>
      <c r="AO103" s="32">
        <v>84</v>
      </c>
      <c r="AP103" s="32">
        <v>7</v>
      </c>
      <c r="AQ103" s="32">
        <v>12</v>
      </c>
      <c r="AR103" s="13"/>
      <c r="AS103" s="32"/>
      <c r="AT103" s="13">
        <f t="shared" ca="1" si="41"/>
        <v>0</v>
      </c>
      <c r="AU103" s="33"/>
      <c r="AV103" s="13">
        <f t="shared" ca="1" si="32"/>
        <v>0</v>
      </c>
      <c r="AW103" s="13">
        <f ca="1">ROUNDUP(($AT103+$AV103)*VLOOKUP($AP103,Paraméterek!$P$38:$Q$38,2)/12*IF($D104="Nem",IF($M$13=0,1,$M$13),1),IF($D$4="Forint",0,2))</f>
        <v>0</v>
      </c>
      <c r="AX103" s="13">
        <f>Tranzakciók!$M$38</f>
        <v>0</v>
      </c>
      <c r="AY103" s="13"/>
      <c r="AZ103" s="13">
        <f>ROUNDUP(IF(SUM($AX103:$AY103)=0,0,IF(IF(ISBLANK($AY103),$AX103,$AY103)*Paraméterek!$J$112&lt;IF($D$4="Forint",Paraméterek!$J$113,Paraméterek!$K$113),IF($D$4="Forint",Paraméterek!$J$113,Paraméterek!$K$113),IF(IF(ISBLANK($AY103),$AX103,$AY103)*Paraméterek!$J$112&gt;IF($D$4="Forint",Paraméterek!$J$114,Paraméterek!$K$114),IF($D$4="Forint",Paraméterek!$J$114,Paraméterek!$K$114),IF(ISBLANK($AY103),$AX103,$AY103)*Paraméterek!$J$112))),IF($D$4="Forint",0,2))</f>
        <v>0</v>
      </c>
      <c r="BA103" s="13">
        <f ca="1">$AT103+$AV103-$AW103-IF(ROUNDDOWN(IF(ISBLANK($AY103),$AX103,$AY103),IF($D$4="Forint",0,2))&gt;$AT103+$AV103-$AW103-IF($D$4="Forint",Paraméterek!$J$114,Paraméterek!$K$114),0,ROUNDDOWN(IF(ISBLANK($AY103),$AX103,$AY103),IF($D$4="Forint",0,2))-$AZ103)</f>
        <v>0</v>
      </c>
      <c r="BB103" s="13">
        <f t="shared" ca="1" si="33"/>
        <v>0</v>
      </c>
      <c r="BD103" s="32">
        <v>84</v>
      </c>
      <c r="BE103" s="32">
        <v>7</v>
      </c>
      <c r="BF103" s="32">
        <v>12</v>
      </c>
      <c r="BG103" s="34">
        <f t="shared" ca="1" si="42"/>
        <v>2026</v>
      </c>
      <c r="BH103" s="32" t="str">
        <f ca="1">IF(MOD(MONTH($D$14)+$BD103-1,12)=Paraméterek!$C$288,"Igen","")</f>
        <v/>
      </c>
      <c r="BI103" s="13">
        <f ca="1">IF($BH103="Igen",MIN(ROUNDDOWN((SUMIF($BG$20:$BG$1027,$BG103-1,$K$20:$K$1027)-SUMIF($BG$20:$BG$1027,$BG103-1,$I$20:$I$1027))*Paraméterek!$C$289,IF($D$4="Forint",0,2)),IF($D$4="Forint",Paraméterek!$C$285,Paraméterek!$D$285)),0)</f>
        <v>0</v>
      </c>
      <c r="BJ103" s="13">
        <f t="shared" ca="1" si="34"/>
        <v>0</v>
      </c>
      <c r="BK103" s="13">
        <f t="shared" ca="1" si="43"/>
        <v>0</v>
      </c>
      <c r="BL103" s="33"/>
      <c r="BM103" s="13">
        <f t="shared" ca="1" si="35"/>
        <v>0</v>
      </c>
      <c r="BN103" s="13">
        <f ca="1">ROUNDUP(($BK103+$BM103)*VLOOKUP($BE103,Paraméterek!$P$38:$Q$38,2)/12*IF($D104="Nem",IF($M$13=0,1,$M$13),1),IF($D$4="Forint",0,2))</f>
        <v>0</v>
      </c>
      <c r="BO103" s="13">
        <f t="shared" ca="1" si="36"/>
        <v>0</v>
      </c>
      <c r="BP103" s="13">
        <f ca="1">IF($D104="Nem",$BO103,$BO103-ROUNDUP(SUM($BI$20:$BI103)*120%,IF($D$4="Forint",0,2)))</f>
        <v>0</v>
      </c>
    </row>
    <row r="104" spans="1:68" x14ac:dyDescent="0.2">
      <c r="A104" s="32">
        <v>85</v>
      </c>
      <c r="B104" s="32">
        <v>8</v>
      </c>
      <c r="C104" s="32">
        <v>1</v>
      </c>
      <c r="D104" s="32" t="str">
        <f t="shared" ca="1" si="22"/>
        <v>Nem</v>
      </c>
      <c r="E104" s="13">
        <f t="shared" ca="1" si="23"/>
        <v>0</v>
      </c>
      <c r="F104" s="13"/>
      <c r="G104" s="13">
        <f>Tranzakciók!$D$39</f>
        <v>0</v>
      </c>
      <c r="H104" s="13"/>
      <c r="I104" s="13">
        <f t="shared" ca="1" si="24"/>
        <v>0</v>
      </c>
      <c r="J104" s="13">
        <f t="shared" ca="1" si="25"/>
        <v>0</v>
      </c>
      <c r="K104" s="13">
        <f t="shared" ca="1" si="26"/>
        <v>0</v>
      </c>
      <c r="L104" s="13" t="e">
        <f ca="1">ROUNDUP(IF($D$2="Egyszeri",$E104,IF($D$2="Havi",SUM($E$20:$E$31),IF(MOD($C104,$M$1)-1=0,SUM($E$20:$E$31),0))/12*$M$1)*VLOOKUP($B104,Paraméterek!$I$28:$P$31,IF($D$2="Egyszeri",8,HLOOKUP(ROUNDUP($M$11+$M$13,0),Paraméterek!$J$26:$O$27,2))),IF($D$4="Forint",0,2))</f>
        <v>#N/A</v>
      </c>
      <c r="M104" s="13">
        <f t="shared" ca="1" si="27"/>
        <v>0</v>
      </c>
      <c r="N104" s="13">
        <f t="shared" ca="1" si="37"/>
        <v>0</v>
      </c>
      <c r="O104" s="13">
        <f ca="1">IF($D104="Igen",IF($W103&gt;=IF($D$4="Forint",Paraméterek!$J$121,Paraméterek!$K$121),0,IF($D$4="Forint",Paraméterek!$J$121,Paraméterek!$K$121)-$W103),0)</f>
        <v>0</v>
      </c>
      <c r="P104" s="13" t="e">
        <f ca="1">ROUNDUP($O104*VLOOKUP($M$4+$B104-1,Paraméterek!$H$58:$I$105,2,0)/Paraméterek!$I$56,IF($D$4="Forint",0,2))</f>
        <v>#N/A</v>
      </c>
      <c r="Q104" s="13">
        <f t="shared" ca="1" si="28"/>
        <v>0</v>
      </c>
      <c r="R104" s="33"/>
      <c r="S104" s="13" t="e">
        <f t="shared" ca="1" si="29"/>
        <v>#N/A</v>
      </c>
      <c r="T104" s="13" t="e">
        <f ca="1">ROUNDUP(($N104-$P104-$Q104+$S104)*VLOOKUP($B104,Paraméterek!$I$38:$K$39,IF($D$2="Egyszeri",3,2))/12*IF($D105="Nem",IF($M$13=0,1,$M$13),1),IF($D$4="Forint",0,2))</f>
        <v>#N/A</v>
      </c>
      <c r="U104" s="13"/>
      <c r="V104" s="13"/>
      <c r="W104" s="13" t="e">
        <f ca="1">$N104-$P104-$Q104+$S104-$T104-IF(ROUNDUP(IF(ISBLANK($V104),$U104*0,$V104)/IF($D$2="Egyszeri",VLOOKUP($B104+IF($C104=12,1,0),Paraméterek!$V$257:$W$262,2),IF($B104=1,1,VLOOKUP($B104+IF($C104=12,1,0),Paraméterek!$I$258:$T$278,HLOOKUP($M$11+1,Paraméterek!$J$256:$T$257,2)))),IF($D$4="Forint",0,2))&gt;$N104-$P104-$Q104+$S104-$T104-IF($D$4="Forint",Paraméterek!$C$216,Paraméterek!$D$216),0,ROUNDUP(IF(ISBLANK($V104),$U104*0,$V104)/IF($D$2="Egyszeri",VLOOKUP($B104+IF($C104=12,1,0),Paraméterek!$V$257:$W$262,2),IF($B104=1,1,VLOOKUP($B104+IF($C104=12,1,0),Paraméterek!$I$258:$T$278,HLOOKUP($M$11+1,Paraméterek!$J$256:$T$257,2)))),IF($D$4="Forint",0,2)))</f>
        <v>#N/A</v>
      </c>
      <c r="X104" s="13" t="e">
        <f ca="1">ROUNDDOWN($W104*IF($D$2="Egyszeri",VLOOKUP($B104+IF($C104=12,1,0),Paraméterek!$V$257:$W$262,2),VLOOKUP($B104+IF($C104=12,1,0),Paraméterek!$I$258:$T$278,HLOOKUP($M$11+1,Paraméterek!$I$256:$T$257,2))),IF($D$4="Forint",0,2))</f>
        <v>#N/A</v>
      </c>
      <c r="Z104" s="32">
        <v>85</v>
      </c>
      <c r="AA104" s="32">
        <v>8</v>
      </c>
      <c r="AB104" s="32">
        <v>1</v>
      </c>
      <c r="AC104" s="13">
        <f t="shared" ca="1" si="38"/>
        <v>0</v>
      </c>
      <c r="AD104" s="33"/>
      <c r="AE104" s="13">
        <f t="shared" ca="1" si="30"/>
        <v>0</v>
      </c>
      <c r="AF104" s="13">
        <f ca="1">ROUNDUP(($AC104+$AE104)*VLOOKUP($AA104,Paraméterek!$P$38:$Q$38,2)/12*IF($D105="Nem",IF($M$13=0,1,$M$13),1),IF($D$4="Forint",0,2))</f>
        <v>0</v>
      </c>
      <c r="AG104" s="13">
        <f ca="1">IF($D$2="Egyszeri",IF($D$7&gt;=IF($D$4="Forint",Paraméterek!$P$223,Paraméterek!$P$224),$D$7-IF($D$4="Forint",Paraméterek!$P$223,Paraméterek!$P$224),0),MIN(IF($AB104=12,AVERAGEIF($E$20:$E104,"&gt;0",$E$20:$E104)*12,0),SUM($E$20:$E$31)))</f>
        <v>0</v>
      </c>
      <c r="AH104" s="13">
        <f>IF($AA104=10,$AG104*IF($AB104=12,IF($AG104&lt;IF($D$4="Forint",Paraméterek!$L$223,Paraméterek!$L$224),0,VLOOKUP($AA104,Paraméterek!$K$226:$M$228,IF($AG104&lt;IF($D$4="Forint",Paraméterek!$M$223,Paraméterek!$M$224),2,3))),0),0)</f>
        <v>0</v>
      </c>
      <c r="AI104" s="13">
        <f ca="1">IF(AND($AA104=$M$11+1,$AB104=$M$12+1),SUMIF($AA$20:$AA$1027,$AA104,$AG$20:$AG$1027)*IF(SUMIF($AA$20:$AA$1027,$AA104,$AG$20:$AG$1027)&lt;IF($D$4="Forint",Paraméterek!$L$223,Paraméterek!$L$224),0,VLOOKUP($AA104,Paraméterek!$K$230:$M$250,IF(SUMIF($AA$20:$AA$1027,$AA104,$AG$20:$AG$1027)&lt;IF($D$4="Forint",Paraméterek!$M$223,Paraméterek!$M$224),2,3))),0)</f>
        <v>0</v>
      </c>
      <c r="AJ104" s="13">
        <f ca="1">IF(AND($AA104&gt;=5,MOD($AA104,5)=0),IF($AB104=12,VLOOKUP($AA104,Paraméterek!$O$225:$P$240,2),0),IF(OR($AA104=3,$AA104=4),IF($AB104=12,VLOOKUP($AA104,Paraméterek!$O$225:$P$240,2,0),0),0))*$AG104</f>
        <v>0</v>
      </c>
      <c r="AK104" s="13">
        <f t="shared" ca="1" si="31"/>
        <v>0</v>
      </c>
      <c r="AL104" s="13">
        <f t="shared" ca="1" si="39"/>
        <v>0</v>
      </c>
      <c r="AM104" s="13">
        <f t="shared" ca="1" si="40"/>
        <v>0</v>
      </c>
      <c r="AO104" s="32">
        <v>85</v>
      </c>
      <c r="AP104" s="32">
        <v>8</v>
      </c>
      <c r="AQ104" s="32">
        <v>1</v>
      </c>
      <c r="AR104" s="13">
        <f>Tranzakciók!$K$39</f>
        <v>0</v>
      </c>
      <c r="AS104" s="32"/>
      <c r="AT104" s="13">
        <f t="shared" ca="1" si="41"/>
        <v>0</v>
      </c>
      <c r="AU104" s="33"/>
      <c r="AV104" s="13">
        <f t="shared" ca="1" si="32"/>
        <v>0</v>
      </c>
      <c r="AW104" s="13">
        <f ca="1">ROUNDUP(($AT104+$AV104)*VLOOKUP($AP104,Paraméterek!$P$38:$Q$38,2)/12*IF($D105="Nem",IF($M$13=0,1,$M$13),1),IF($D$4="Forint",0,2))</f>
        <v>0</v>
      </c>
      <c r="AX104" s="13"/>
      <c r="AY104" s="13"/>
      <c r="AZ104" s="13">
        <f>ROUNDUP(IF(SUM($AX104:$AY104)=0,0,IF(IF(ISBLANK($AY104),$AX104,$AY104)*Paraméterek!$J$112&lt;IF($D$4="Forint",Paraméterek!$J$113,Paraméterek!$K$113),IF($D$4="Forint",Paraméterek!$J$113,Paraméterek!$K$113),IF(IF(ISBLANK($AY104),$AX104,$AY104)*Paraméterek!$J$112&gt;IF($D$4="Forint",Paraméterek!$J$114,Paraméterek!$K$114),IF($D$4="Forint",Paraméterek!$J$114,Paraméterek!$K$114),IF(ISBLANK($AY104),$AX104,$AY104)*Paraméterek!$J$112))),IF($D$4="Forint",0,2))</f>
        <v>0</v>
      </c>
      <c r="BA104" s="13">
        <f ca="1">$AT104+$AV104-$AW104-IF(ROUNDDOWN(IF(ISBLANK($AY104),$AX104,$AY104),IF($D$4="Forint",0,2))&gt;$AT104+$AV104-$AW104-IF($D$4="Forint",Paraméterek!$J$114,Paraméterek!$K$114),0,ROUNDDOWN(IF(ISBLANK($AY104),$AX104,$AY104),IF($D$4="Forint",0,2))-$AZ104)</f>
        <v>0</v>
      </c>
      <c r="BB104" s="13">
        <f t="shared" ca="1" si="33"/>
        <v>0</v>
      </c>
      <c r="BD104" s="32">
        <v>85</v>
      </c>
      <c r="BE104" s="32">
        <v>8</v>
      </c>
      <c r="BF104" s="32">
        <v>1</v>
      </c>
      <c r="BG104" s="34">
        <f t="shared" ca="1" si="42"/>
        <v>2026</v>
      </c>
      <c r="BH104" s="32" t="str">
        <f ca="1">IF(MOD(MONTH($D$14)+$BD104-1,12)=Paraméterek!$C$288,"Igen","")</f>
        <v/>
      </c>
      <c r="BI104" s="13">
        <f ca="1">IF($BH104="Igen",MIN(ROUNDDOWN((SUMIF($BG$20:$BG$1027,$BG104-1,$K$20:$K$1027)-SUMIF($BG$20:$BG$1027,$BG104-1,$I$20:$I$1027))*Paraméterek!$C$289,IF($D$4="Forint",0,2)),IF($D$4="Forint",Paraméterek!$C$285,Paraméterek!$D$285)),0)</f>
        <v>0</v>
      </c>
      <c r="BJ104" s="13">
        <f t="shared" ca="1" si="34"/>
        <v>0</v>
      </c>
      <c r="BK104" s="13">
        <f t="shared" ca="1" si="43"/>
        <v>0</v>
      </c>
      <c r="BL104" s="33"/>
      <c r="BM104" s="13">
        <f t="shared" ca="1" si="35"/>
        <v>0</v>
      </c>
      <c r="BN104" s="13">
        <f ca="1">ROUNDUP(($BK104+$BM104)*VLOOKUP($BE104,Paraméterek!$P$38:$Q$38,2)/12*IF($D105="Nem",IF($M$13=0,1,$M$13),1),IF($D$4="Forint",0,2))</f>
        <v>0</v>
      </c>
      <c r="BO104" s="13">
        <f t="shared" ca="1" si="36"/>
        <v>0</v>
      </c>
      <c r="BP104" s="13">
        <f ca="1">IF($D105="Nem",$BO104,$BO104-ROUNDUP(SUM($BI$20:$BI104)*120%,IF($D$4="Forint",0,2)))</f>
        <v>0</v>
      </c>
    </row>
    <row r="105" spans="1:68" x14ac:dyDescent="0.2">
      <c r="A105" s="32">
        <v>86</v>
      </c>
      <c r="B105" s="32">
        <v>8</v>
      </c>
      <c r="C105" s="32">
        <v>2</v>
      </c>
      <c r="D105" s="32" t="str">
        <f t="shared" ca="1" si="22"/>
        <v>Nem</v>
      </c>
      <c r="E105" s="13">
        <f t="shared" ca="1" si="23"/>
        <v>0</v>
      </c>
      <c r="F105" s="13"/>
      <c r="G105" s="13"/>
      <c r="H105" s="13"/>
      <c r="I105" s="13">
        <f t="shared" ca="1" si="24"/>
        <v>0</v>
      </c>
      <c r="J105" s="13">
        <f t="shared" ca="1" si="25"/>
        <v>0</v>
      </c>
      <c r="K105" s="13">
        <f t="shared" ca="1" si="26"/>
        <v>0</v>
      </c>
      <c r="L105" s="13" t="e">
        <f ca="1">ROUNDUP(IF($D$2="Egyszeri",$E105,IF($D$2="Havi",SUM($E$20:$E$31),IF(MOD($C105,$M$1)-1=0,SUM($E$20:$E$31),0))/12*$M$1)*VLOOKUP($B105,Paraméterek!$I$28:$P$31,IF($D$2="Egyszeri",8,HLOOKUP(ROUNDUP($M$11+$M$13,0),Paraméterek!$J$26:$O$27,2))),IF($D$4="Forint",0,2))</f>
        <v>#N/A</v>
      </c>
      <c r="M105" s="13">
        <f t="shared" ca="1" si="27"/>
        <v>0</v>
      </c>
      <c r="N105" s="13">
        <f t="shared" ca="1" si="37"/>
        <v>0</v>
      </c>
      <c r="O105" s="13">
        <f ca="1">IF($D105="Igen",IF($W104&gt;=IF($D$4="Forint",Paraméterek!$J$121,Paraméterek!$K$121),0,IF($D$4="Forint",Paraméterek!$J$121,Paraméterek!$K$121)-$W104),0)</f>
        <v>0</v>
      </c>
      <c r="P105" s="13" t="e">
        <f ca="1">ROUNDUP($O105*VLOOKUP($M$4+$B105-1,Paraméterek!$H$58:$I$105,2,0)/Paraméterek!$I$56,IF($D$4="Forint",0,2))</f>
        <v>#N/A</v>
      </c>
      <c r="Q105" s="13">
        <f t="shared" ca="1" si="28"/>
        <v>0</v>
      </c>
      <c r="R105" s="33"/>
      <c r="S105" s="13" t="e">
        <f t="shared" ca="1" si="29"/>
        <v>#N/A</v>
      </c>
      <c r="T105" s="13" t="e">
        <f ca="1">ROUNDUP(($N105-$P105-$Q105+$S105)*VLOOKUP($B105,Paraméterek!$I$38:$K$39,IF($D$2="Egyszeri",3,2))/12*IF($D106="Nem",IF($M$13=0,1,$M$13),1),IF($D$4="Forint",0,2))</f>
        <v>#N/A</v>
      </c>
      <c r="U105" s="13"/>
      <c r="V105" s="13"/>
      <c r="W105" s="13" t="e">
        <f ca="1">$N105-$P105-$Q105+$S105-$T105-IF(ROUNDUP(IF(ISBLANK($V105),$U105*0,$V105)/IF($D$2="Egyszeri",VLOOKUP($B105+IF($C105=12,1,0),Paraméterek!$V$257:$W$262,2),IF($B105=1,1,VLOOKUP($B105+IF($C105=12,1,0),Paraméterek!$I$258:$T$278,HLOOKUP($M$11+1,Paraméterek!$J$256:$T$257,2)))),IF($D$4="Forint",0,2))&gt;$N105-$P105-$Q105+$S105-$T105-IF($D$4="Forint",Paraméterek!$C$216,Paraméterek!$D$216),0,ROUNDUP(IF(ISBLANK($V105),$U105*0,$V105)/IF($D$2="Egyszeri",VLOOKUP($B105+IF($C105=12,1,0),Paraméterek!$V$257:$W$262,2),IF($B105=1,1,VLOOKUP($B105+IF($C105=12,1,0),Paraméterek!$I$258:$T$278,HLOOKUP($M$11+1,Paraméterek!$J$256:$T$257,2)))),IF($D$4="Forint",0,2)))</f>
        <v>#N/A</v>
      </c>
      <c r="X105" s="13" t="e">
        <f ca="1">ROUNDDOWN($W105*IF($D$2="Egyszeri",VLOOKUP($B105+IF($C105=12,1,0),Paraméterek!$V$257:$W$262,2),VLOOKUP($B105+IF($C105=12,1,0),Paraméterek!$I$258:$T$278,HLOOKUP($M$11+1,Paraméterek!$I$256:$T$257,2))),IF($D$4="Forint",0,2))</f>
        <v>#N/A</v>
      </c>
      <c r="Z105" s="32">
        <v>86</v>
      </c>
      <c r="AA105" s="32">
        <v>8</v>
      </c>
      <c r="AB105" s="32">
        <v>2</v>
      </c>
      <c r="AC105" s="13">
        <f t="shared" ca="1" si="38"/>
        <v>0</v>
      </c>
      <c r="AD105" s="33"/>
      <c r="AE105" s="13">
        <f t="shared" ca="1" si="30"/>
        <v>0</v>
      </c>
      <c r="AF105" s="13">
        <f ca="1">ROUNDUP(($AC105+$AE105)*VLOOKUP($AA105,Paraméterek!$P$38:$Q$38,2)/12*IF($D106="Nem",IF($M$13=0,1,$M$13),1),IF($D$4="Forint",0,2))</f>
        <v>0</v>
      </c>
      <c r="AG105" s="13">
        <f ca="1">IF($D$2="Egyszeri",IF($D$7&gt;=IF($D$4="Forint",Paraméterek!$P$223,Paraméterek!$P$224),$D$7-IF($D$4="Forint",Paraméterek!$P$223,Paraméterek!$P$224),0),MIN(IF($AB105=12,AVERAGEIF($E$20:$E105,"&gt;0",$E$20:$E105)*12,0),SUM($E$20:$E$31)))</f>
        <v>0</v>
      </c>
      <c r="AH105" s="13">
        <f>IF($AA105=10,$AG105*IF($AB105=12,IF($AG105&lt;IF($D$4="Forint",Paraméterek!$L$223,Paraméterek!$L$224),0,VLOOKUP($AA105,Paraméterek!$K$226:$M$228,IF($AG105&lt;IF($D$4="Forint",Paraméterek!$M$223,Paraméterek!$M$224),2,3))),0),0)</f>
        <v>0</v>
      </c>
      <c r="AI105" s="13">
        <f ca="1">IF(AND($AA105=$M$11+1,$AB105=$M$12+1),SUMIF($AA$20:$AA$1027,$AA105,$AG$20:$AG$1027)*IF(SUMIF($AA$20:$AA$1027,$AA105,$AG$20:$AG$1027)&lt;IF($D$4="Forint",Paraméterek!$L$223,Paraméterek!$L$224),0,VLOOKUP($AA105,Paraméterek!$K$230:$M$250,IF(SUMIF($AA$20:$AA$1027,$AA105,$AG$20:$AG$1027)&lt;IF($D$4="Forint",Paraméterek!$M$223,Paraméterek!$M$224),2,3))),0)</f>
        <v>0</v>
      </c>
      <c r="AJ105" s="13">
        <f ca="1">IF(AND($AA105&gt;=5,MOD($AA105,5)=0),IF($AB105=12,VLOOKUP($AA105,Paraméterek!$O$225:$P$240,2),0),IF(OR($AA105=3,$AA105=4),IF($AB105=12,VLOOKUP($AA105,Paraméterek!$O$225:$P$240,2,0),0),0))*$AG105</f>
        <v>0</v>
      </c>
      <c r="AK105" s="13">
        <f t="shared" ca="1" si="31"/>
        <v>0</v>
      </c>
      <c r="AL105" s="13">
        <f t="shared" ca="1" si="39"/>
        <v>0</v>
      </c>
      <c r="AM105" s="13">
        <f t="shared" ca="1" si="40"/>
        <v>0</v>
      </c>
      <c r="AO105" s="32">
        <v>86</v>
      </c>
      <c r="AP105" s="32">
        <v>8</v>
      </c>
      <c r="AQ105" s="32">
        <v>2</v>
      </c>
      <c r="AR105" s="13"/>
      <c r="AS105" s="32"/>
      <c r="AT105" s="13">
        <f t="shared" ca="1" si="41"/>
        <v>0</v>
      </c>
      <c r="AU105" s="33"/>
      <c r="AV105" s="13">
        <f t="shared" ca="1" si="32"/>
        <v>0</v>
      </c>
      <c r="AW105" s="13">
        <f ca="1">ROUNDUP(($AT105+$AV105)*VLOOKUP($AP105,Paraméterek!$P$38:$Q$38,2)/12*IF($D106="Nem",IF($M$13=0,1,$M$13),1),IF($D$4="Forint",0,2))</f>
        <v>0</v>
      </c>
      <c r="AX105" s="13"/>
      <c r="AY105" s="13"/>
      <c r="AZ105" s="13">
        <f>ROUNDUP(IF(SUM($AX105:$AY105)=0,0,IF(IF(ISBLANK($AY105),$AX105,$AY105)*Paraméterek!$J$112&lt;IF($D$4="Forint",Paraméterek!$J$113,Paraméterek!$K$113),IF($D$4="Forint",Paraméterek!$J$113,Paraméterek!$K$113),IF(IF(ISBLANK($AY105),$AX105,$AY105)*Paraméterek!$J$112&gt;IF($D$4="Forint",Paraméterek!$J$114,Paraméterek!$K$114),IF($D$4="Forint",Paraméterek!$J$114,Paraméterek!$K$114),IF(ISBLANK($AY105),$AX105,$AY105)*Paraméterek!$J$112))),IF($D$4="Forint",0,2))</f>
        <v>0</v>
      </c>
      <c r="BA105" s="13">
        <f ca="1">$AT105+$AV105-$AW105-IF(ROUNDDOWN(IF(ISBLANK($AY105),$AX105,$AY105),IF($D$4="Forint",0,2))&gt;$AT105+$AV105-$AW105-IF($D$4="Forint",Paraméterek!$J$114,Paraméterek!$K$114),0,ROUNDDOWN(IF(ISBLANK($AY105),$AX105,$AY105),IF($D$4="Forint",0,2))-$AZ105)</f>
        <v>0</v>
      </c>
      <c r="BB105" s="13">
        <f t="shared" ca="1" si="33"/>
        <v>0</v>
      </c>
      <c r="BD105" s="32">
        <v>86</v>
      </c>
      <c r="BE105" s="32">
        <v>8</v>
      </c>
      <c r="BF105" s="32">
        <v>2</v>
      </c>
      <c r="BG105" s="34">
        <f t="shared" ca="1" si="42"/>
        <v>2026</v>
      </c>
      <c r="BH105" s="32" t="str">
        <f ca="1">IF(MOD(MONTH($D$14)+$BD105-1,12)=Paraméterek!$C$288,"Igen","")</f>
        <v>Igen</v>
      </c>
      <c r="BI105" s="13">
        <f ca="1">IF($BH105="Igen",MIN(ROUNDDOWN((SUMIF($BG$20:$BG$1027,$BG105-1,$K$20:$K$1027)-SUMIF($BG$20:$BG$1027,$BG105-1,$I$20:$I$1027))*Paraméterek!$C$289,IF($D$4="Forint",0,2)),IF($D$4="Forint",Paraméterek!$C$285,Paraméterek!$D$285)),0)</f>
        <v>0</v>
      </c>
      <c r="BJ105" s="13">
        <f t="shared" ca="1" si="34"/>
        <v>0</v>
      </c>
      <c r="BK105" s="13">
        <f t="shared" ca="1" si="43"/>
        <v>0</v>
      </c>
      <c r="BL105" s="33"/>
      <c r="BM105" s="13">
        <f t="shared" ca="1" si="35"/>
        <v>0</v>
      </c>
      <c r="BN105" s="13">
        <f ca="1">ROUNDUP(($BK105+$BM105)*VLOOKUP($BE105,Paraméterek!$P$38:$Q$38,2)/12*IF($D106="Nem",IF($M$13=0,1,$M$13),1),IF($D$4="Forint",0,2))</f>
        <v>0</v>
      </c>
      <c r="BO105" s="13">
        <f t="shared" ca="1" si="36"/>
        <v>0</v>
      </c>
      <c r="BP105" s="13">
        <f ca="1">IF($D106="Nem",$BO105,$BO105-ROUNDUP(SUM($BI$20:$BI105)*120%,IF($D$4="Forint",0,2)))</f>
        <v>0</v>
      </c>
    </row>
    <row r="106" spans="1:68" x14ac:dyDescent="0.2">
      <c r="A106" s="32">
        <v>87</v>
      </c>
      <c r="B106" s="32">
        <v>8</v>
      </c>
      <c r="C106" s="32">
        <v>3</v>
      </c>
      <c r="D106" s="32" t="str">
        <f t="shared" ca="1" si="22"/>
        <v>Nem</v>
      </c>
      <c r="E106" s="13">
        <f t="shared" ca="1" si="23"/>
        <v>0</v>
      </c>
      <c r="F106" s="13"/>
      <c r="G106" s="13"/>
      <c r="H106" s="13"/>
      <c r="I106" s="13">
        <f t="shared" ca="1" si="24"/>
        <v>0</v>
      </c>
      <c r="J106" s="13">
        <f t="shared" ca="1" si="25"/>
        <v>0</v>
      </c>
      <c r="K106" s="13">
        <f t="shared" ca="1" si="26"/>
        <v>0</v>
      </c>
      <c r="L106" s="13" t="e">
        <f ca="1">ROUNDUP(IF($D$2="Egyszeri",$E106,IF($D$2="Havi",SUM($E$20:$E$31),IF(MOD($C106,$M$1)-1=0,SUM($E$20:$E$31),0))/12*$M$1)*VLOOKUP($B106,Paraméterek!$I$28:$P$31,IF($D$2="Egyszeri",8,HLOOKUP(ROUNDUP($M$11+$M$13,0),Paraméterek!$J$26:$O$27,2))),IF($D$4="Forint",0,2))</f>
        <v>#N/A</v>
      </c>
      <c r="M106" s="13">
        <f t="shared" ca="1" si="27"/>
        <v>0</v>
      </c>
      <c r="N106" s="13">
        <f t="shared" ca="1" si="37"/>
        <v>0</v>
      </c>
      <c r="O106" s="13">
        <f ca="1">IF($D106="Igen",IF($W105&gt;=IF($D$4="Forint",Paraméterek!$J$121,Paraméterek!$K$121),0,IF($D$4="Forint",Paraméterek!$J$121,Paraméterek!$K$121)-$W105),0)</f>
        <v>0</v>
      </c>
      <c r="P106" s="13" t="e">
        <f ca="1">ROUNDUP($O106*VLOOKUP($M$4+$B106-1,Paraméterek!$H$58:$I$105,2,0)/Paraméterek!$I$56,IF($D$4="Forint",0,2))</f>
        <v>#N/A</v>
      </c>
      <c r="Q106" s="13">
        <f t="shared" ca="1" si="28"/>
        <v>0</v>
      </c>
      <c r="R106" s="33"/>
      <c r="S106" s="13" t="e">
        <f t="shared" ca="1" si="29"/>
        <v>#N/A</v>
      </c>
      <c r="T106" s="13" t="e">
        <f ca="1">ROUNDUP(($N106-$P106-$Q106+$S106)*VLOOKUP($B106,Paraméterek!$I$38:$K$39,IF($D$2="Egyszeri",3,2))/12*IF($D107="Nem",IF($M$13=0,1,$M$13),1),IF($D$4="Forint",0,2))</f>
        <v>#N/A</v>
      </c>
      <c r="U106" s="13"/>
      <c r="V106" s="13"/>
      <c r="W106" s="13" t="e">
        <f ca="1">$N106-$P106-$Q106+$S106-$T106-IF(ROUNDUP(IF(ISBLANK($V106),$U106*0,$V106)/IF($D$2="Egyszeri",VLOOKUP($B106+IF($C106=12,1,0),Paraméterek!$V$257:$W$262,2),IF($B106=1,1,VLOOKUP($B106+IF($C106=12,1,0),Paraméterek!$I$258:$T$278,HLOOKUP($M$11+1,Paraméterek!$J$256:$T$257,2)))),IF($D$4="Forint",0,2))&gt;$N106-$P106-$Q106+$S106-$T106-IF($D$4="Forint",Paraméterek!$C$216,Paraméterek!$D$216),0,ROUNDUP(IF(ISBLANK($V106),$U106*0,$V106)/IF($D$2="Egyszeri",VLOOKUP($B106+IF($C106=12,1,0),Paraméterek!$V$257:$W$262,2),IF($B106=1,1,VLOOKUP($B106+IF($C106=12,1,0),Paraméterek!$I$258:$T$278,HLOOKUP($M$11+1,Paraméterek!$J$256:$T$257,2)))),IF($D$4="Forint",0,2)))</f>
        <v>#N/A</v>
      </c>
      <c r="X106" s="13" t="e">
        <f ca="1">ROUNDDOWN($W106*IF($D$2="Egyszeri",VLOOKUP($B106+IF($C106=12,1,0),Paraméterek!$V$257:$W$262,2),VLOOKUP($B106+IF($C106=12,1,0),Paraméterek!$I$258:$T$278,HLOOKUP($M$11+1,Paraméterek!$I$256:$T$257,2))),IF($D$4="Forint",0,2))</f>
        <v>#N/A</v>
      </c>
      <c r="Z106" s="32">
        <v>87</v>
      </c>
      <c r="AA106" s="32">
        <v>8</v>
      </c>
      <c r="AB106" s="32">
        <v>3</v>
      </c>
      <c r="AC106" s="13">
        <f t="shared" ca="1" si="38"/>
        <v>0</v>
      </c>
      <c r="AD106" s="33"/>
      <c r="AE106" s="13">
        <f t="shared" ca="1" si="30"/>
        <v>0</v>
      </c>
      <c r="AF106" s="13">
        <f ca="1">ROUNDUP(($AC106+$AE106)*VLOOKUP($AA106,Paraméterek!$P$38:$Q$38,2)/12*IF($D107="Nem",IF($M$13=0,1,$M$13),1),IF($D$4="Forint",0,2))</f>
        <v>0</v>
      </c>
      <c r="AG106" s="13">
        <f ca="1">IF($D$2="Egyszeri",IF($D$7&gt;=IF($D$4="Forint",Paraméterek!$P$223,Paraméterek!$P$224),$D$7-IF($D$4="Forint",Paraméterek!$P$223,Paraméterek!$P$224),0),MIN(IF($AB106=12,AVERAGEIF($E$20:$E106,"&gt;0",$E$20:$E106)*12,0),SUM($E$20:$E$31)))</f>
        <v>0</v>
      </c>
      <c r="AH106" s="13">
        <f>IF($AA106=10,$AG106*IF($AB106=12,IF($AG106&lt;IF($D$4="Forint",Paraméterek!$L$223,Paraméterek!$L$224),0,VLOOKUP($AA106,Paraméterek!$K$226:$M$228,IF($AG106&lt;IF($D$4="Forint",Paraméterek!$M$223,Paraméterek!$M$224),2,3))),0),0)</f>
        <v>0</v>
      </c>
      <c r="AI106" s="13">
        <f ca="1">IF(AND($AA106=$M$11+1,$AB106=$M$12+1),SUMIF($AA$20:$AA$1027,$AA106,$AG$20:$AG$1027)*IF(SUMIF($AA$20:$AA$1027,$AA106,$AG$20:$AG$1027)&lt;IF($D$4="Forint",Paraméterek!$L$223,Paraméterek!$L$224),0,VLOOKUP($AA106,Paraméterek!$K$230:$M$250,IF(SUMIF($AA$20:$AA$1027,$AA106,$AG$20:$AG$1027)&lt;IF($D$4="Forint",Paraméterek!$M$223,Paraméterek!$M$224),2,3))),0)</f>
        <v>0</v>
      </c>
      <c r="AJ106" s="13">
        <f ca="1">IF(AND($AA106&gt;=5,MOD($AA106,5)=0),IF($AB106=12,VLOOKUP($AA106,Paraméterek!$O$225:$P$240,2),0),IF(OR($AA106=3,$AA106=4),IF($AB106=12,VLOOKUP($AA106,Paraméterek!$O$225:$P$240,2,0),0),0))*$AG106</f>
        <v>0</v>
      </c>
      <c r="AK106" s="13">
        <f t="shared" ca="1" si="31"/>
        <v>0</v>
      </c>
      <c r="AL106" s="13">
        <f t="shared" ca="1" si="39"/>
        <v>0</v>
      </c>
      <c r="AM106" s="13">
        <f t="shared" ca="1" si="40"/>
        <v>0</v>
      </c>
      <c r="AO106" s="32">
        <v>87</v>
      </c>
      <c r="AP106" s="32">
        <v>8</v>
      </c>
      <c r="AQ106" s="32">
        <v>3</v>
      </c>
      <c r="AR106" s="13"/>
      <c r="AS106" s="32"/>
      <c r="AT106" s="13">
        <f t="shared" ca="1" si="41"/>
        <v>0</v>
      </c>
      <c r="AU106" s="33"/>
      <c r="AV106" s="13">
        <f t="shared" ca="1" si="32"/>
        <v>0</v>
      </c>
      <c r="AW106" s="13">
        <f ca="1">ROUNDUP(($AT106+$AV106)*VLOOKUP($AP106,Paraméterek!$P$38:$Q$38,2)/12*IF($D107="Nem",IF($M$13=0,1,$M$13),1),IF($D$4="Forint",0,2))</f>
        <v>0</v>
      </c>
      <c r="AX106" s="13"/>
      <c r="AY106" s="13"/>
      <c r="AZ106" s="13">
        <f>ROUNDUP(IF(SUM($AX106:$AY106)=0,0,IF(IF(ISBLANK($AY106),$AX106,$AY106)*Paraméterek!$J$112&lt;IF($D$4="Forint",Paraméterek!$J$113,Paraméterek!$K$113),IF($D$4="Forint",Paraméterek!$J$113,Paraméterek!$K$113),IF(IF(ISBLANK($AY106),$AX106,$AY106)*Paraméterek!$J$112&gt;IF($D$4="Forint",Paraméterek!$J$114,Paraméterek!$K$114),IF($D$4="Forint",Paraméterek!$J$114,Paraméterek!$K$114),IF(ISBLANK($AY106),$AX106,$AY106)*Paraméterek!$J$112))),IF($D$4="Forint",0,2))</f>
        <v>0</v>
      </c>
      <c r="BA106" s="13">
        <f ca="1">$AT106+$AV106-$AW106-IF(ROUNDDOWN(IF(ISBLANK($AY106),$AX106,$AY106),IF($D$4="Forint",0,2))&gt;$AT106+$AV106-$AW106-IF($D$4="Forint",Paraméterek!$J$114,Paraméterek!$K$114),0,ROUNDDOWN(IF(ISBLANK($AY106),$AX106,$AY106),IF($D$4="Forint",0,2))-$AZ106)</f>
        <v>0</v>
      </c>
      <c r="BB106" s="13">
        <f t="shared" ca="1" si="33"/>
        <v>0</v>
      </c>
      <c r="BD106" s="32">
        <v>87</v>
      </c>
      <c r="BE106" s="32">
        <v>8</v>
      </c>
      <c r="BF106" s="32">
        <v>3</v>
      </c>
      <c r="BG106" s="34">
        <f t="shared" ca="1" si="42"/>
        <v>2026</v>
      </c>
      <c r="BH106" s="32" t="str">
        <f ca="1">IF(MOD(MONTH($D$14)+$BD106-1,12)=Paraméterek!$C$288,"Igen","")</f>
        <v/>
      </c>
      <c r="BI106" s="13">
        <f ca="1">IF($BH106="Igen",MIN(ROUNDDOWN((SUMIF($BG$20:$BG$1027,$BG106-1,$K$20:$K$1027)-SUMIF($BG$20:$BG$1027,$BG106-1,$I$20:$I$1027))*Paraméterek!$C$289,IF($D$4="Forint",0,2)),IF($D$4="Forint",Paraméterek!$C$285,Paraméterek!$D$285)),0)</f>
        <v>0</v>
      </c>
      <c r="BJ106" s="13">
        <f t="shared" ca="1" si="34"/>
        <v>0</v>
      </c>
      <c r="BK106" s="13">
        <f t="shared" ca="1" si="43"/>
        <v>0</v>
      </c>
      <c r="BL106" s="33"/>
      <c r="BM106" s="13">
        <f t="shared" ca="1" si="35"/>
        <v>0</v>
      </c>
      <c r="BN106" s="13">
        <f ca="1">ROUNDUP(($BK106+$BM106)*VLOOKUP($BE106,Paraméterek!$P$38:$Q$38,2)/12*IF($D107="Nem",IF($M$13=0,1,$M$13),1),IF($D$4="Forint",0,2))</f>
        <v>0</v>
      </c>
      <c r="BO106" s="13">
        <f t="shared" ca="1" si="36"/>
        <v>0</v>
      </c>
      <c r="BP106" s="13">
        <f ca="1">IF($D107="Nem",$BO106,$BO106-ROUNDUP(SUM($BI$20:$BI106)*120%,IF($D$4="Forint",0,2)))</f>
        <v>0</v>
      </c>
    </row>
    <row r="107" spans="1:68" x14ac:dyDescent="0.2">
      <c r="A107" s="32">
        <v>88</v>
      </c>
      <c r="B107" s="32">
        <v>8</v>
      </c>
      <c r="C107" s="32">
        <v>4</v>
      </c>
      <c r="D107" s="32" t="str">
        <f t="shared" ca="1" si="22"/>
        <v>Nem</v>
      </c>
      <c r="E107" s="13">
        <f t="shared" ca="1" si="23"/>
        <v>0</v>
      </c>
      <c r="F107" s="13"/>
      <c r="G107" s="13"/>
      <c r="H107" s="13"/>
      <c r="I107" s="13">
        <f t="shared" ca="1" si="24"/>
        <v>0</v>
      </c>
      <c r="J107" s="13">
        <f t="shared" ca="1" si="25"/>
        <v>0</v>
      </c>
      <c r="K107" s="13">
        <f t="shared" ca="1" si="26"/>
        <v>0</v>
      </c>
      <c r="L107" s="13" t="e">
        <f ca="1">ROUNDUP(IF($D$2="Egyszeri",$E107,IF($D$2="Havi",SUM($E$20:$E$31),IF(MOD($C107,$M$1)-1=0,SUM($E$20:$E$31),0))/12*$M$1)*VLOOKUP($B107,Paraméterek!$I$28:$P$31,IF($D$2="Egyszeri",8,HLOOKUP(ROUNDUP($M$11+$M$13,0),Paraméterek!$J$26:$O$27,2))),IF($D$4="Forint",0,2))</f>
        <v>#N/A</v>
      </c>
      <c r="M107" s="13">
        <f t="shared" ca="1" si="27"/>
        <v>0</v>
      </c>
      <c r="N107" s="13">
        <f t="shared" ca="1" si="37"/>
        <v>0</v>
      </c>
      <c r="O107" s="13">
        <f ca="1">IF($D107="Igen",IF($W106&gt;=IF($D$4="Forint",Paraméterek!$J$121,Paraméterek!$K$121),0,IF($D$4="Forint",Paraméterek!$J$121,Paraméterek!$K$121)-$W106),0)</f>
        <v>0</v>
      </c>
      <c r="P107" s="13" t="e">
        <f ca="1">ROUNDUP($O107*VLOOKUP($M$4+$B107-1,Paraméterek!$H$58:$I$105,2,0)/Paraméterek!$I$56,IF($D$4="Forint",0,2))</f>
        <v>#N/A</v>
      </c>
      <c r="Q107" s="13">
        <f t="shared" ca="1" si="28"/>
        <v>0</v>
      </c>
      <c r="R107" s="33"/>
      <c r="S107" s="13" t="e">
        <f t="shared" ca="1" si="29"/>
        <v>#N/A</v>
      </c>
      <c r="T107" s="13" t="e">
        <f ca="1">ROUNDUP(($N107-$P107-$Q107+$S107)*VLOOKUP($B107,Paraméterek!$I$38:$K$39,IF($D$2="Egyszeri",3,2))/12*IF($D108="Nem",IF($M$13=0,1,$M$13),1),IF($D$4="Forint",0,2))</f>
        <v>#N/A</v>
      </c>
      <c r="U107" s="13"/>
      <c r="V107" s="13"/>
      <c r="W107" s="13" t="e">
        <f ca="1">$N107-$P107-$Q107+$S107-$T107-IF(ROUNDUP(IF(ISBLANK($V107),$U107*0,$V107)/IF($D$2="Egyszeri",VLOOKUP($B107+IF($C107=12,1,0),Paraméterek!$V$257:$W$262,2),IF($B107=1,1,VLOOKUP($B107+IF($C107=12,1,0),Paraméterek!$I$258:$T$278,HLOOKUP($M$11+1,Paraméterek!$J$256:$T$257,2)))),IF($D$4="Forint",0,2))&gt;$N107-$P107-$Q107+$S107-$T107-IF($D$4="Forint",Paraméterek!$C$216,Paraméterek!$D$216),0,ROUNDUP(IF(ISBLANK($V107),$U107*0,$V107)/IF($D$2="Egyszeri",VLOOKUP($B107+IF($C107=12,1,0),Paraméterek!$V$257:$W$262,2),IF($B107=1,1,VLOOKUP($B107+IF($C107=12,1,0),Paraméterek!$I$258:$T$278,HLOOKUP($M$11+1,Paraméterek!$J$256:$T$257,2)))),IF($D$4="Forint",0,2)))</f>
        <v>#N/A</v>
      </c>
      <c r="X107" s="13" t="e">
        <f ca="1">ROUNDDOWN($W107*IF($D$2="Egyszeri",VLOOKUP($B107+IF($C107=12,1,0),Paraméterek!$V$257:$W$262,2),VLOOKUP($B107+IF($C107=12,1,0),Paraméterek!$I$258:$T$278,HLOOKUP($M$11+1,Paraméterek!$I$256:$T$257,2))),IF($D$4="Forint",0,2))</f>
        <v>#N/A</v>
      </c>
      <c r="Z107" s="32">
        <v>88</v>
      </c>
      <c r="AA107" s="32">
        <v>8</v>
      </c>
      <c r="AB107" s="32">
        <v>4</v>
      </c>
      <c r="AC107" s="13">
        <f t="shared" ca="1" si="38"/>
        <v>0</v>
      </c>
      <c r="AD107" s="33"/>
      <c r="AE107" s="13">
        <f t="shared" ca="1" si="30"/>
        <v>0</v>
      </c>
      <c r="AF107" s="13">
        <f ca="1">ROUNDUP(($AC107+$AE107)*VLOOKUP($AA107,Paraméterek!$P$38:$Q$38,2)/12*IF($D108="Nem",IF($M$13=0,1,$M$13),1),IF($D$4="Forint",0,2))</f>
        <v>0</v>
      </c>
      <c r="AG107" s="13">
        <f ca="1">IF($D$2="Egyszeri",IF($D$7&gt;=IF($D$4="Forint",Paraméterek!$P$223,Paraméterek!$P$224),$D$7-IF($D$4="Forint",Paraméterek!$P$223,Paraméterek!$P$224),0),MIN(IF($AB107=12,AVERAGEIF($E$20:$E107,"&gt;0",$E$20:$E107)*12,0),SUM($E$20:$E$31)))</f>
        <v>0</v>
      </c>
      <c r="AH107" s="13">
        <f>IF($AA107=10,$AG107*IF($AB107=12,IF($AG107&lt;IF($D$4="Forint",Paraméterek!$L$223,Paraméterek!$L$224),0,VLOOKUP($AA107,Paraméterek!$K$226:$M$228,IF($AG107&lt;IF($D$4="Forint",Paraméterek!$M$223,Paraméterek!$M$224),2,3))),0),0)</f>
        <v>0</v>
      </c>
      <c r="AI107" s="13">
        <f ca="1">IF(AND($AA107=$M$11+1,$AB107=$M$12+1),SUMIF($AA$20:$AA$1027,$AA107,$AG$20:$AG$1027)*IF(SUMIF($AA$20:$AA$1027,$AA107,$AG$20:$AG$1027)&lt;IF($D$4="Forint",Paraméterek!$L$223,Paraméterek!$L$224),0,VLOOKUP($AA107,Paraméterek!$K$230:$M$250,IF(SUMIF($AA$20:$AA$1027,$AA107,$AG$20:$AG$1027)&lt;IF($D$4="Forint",Paraméterek!$M$223,Paraméterek!$M$224),2,3))),0)</f>
        <v>0</v>
      </c>
      <c r="AJ107" s="13">
        <f ca="1">IF(AND($AA107&gt;=5,MOD($AA107,5)=0),IF($AB107=12,VLOOKUP($AA107,Paraméterek!$O$225:$P$240,2),0),IF(OR($AA107=3,$AA107=4),IF($AB107=12,VLOOKUP($AA107,Paraméterek!$O$225:$P$240,2,0),0),0))*$AG107</f>
        <v>0</v>
      </c>
      <c r="AK107" s="13">
        <f t="shared" ca="1" si="31"/>
        <v>0</v>
      </c>
      <c r="AL107" s="13">
        <f t="shared" ca="1" si="39"/>
        <v>0</v>
      </c>
      <c r="AM107" s="13">
        <f t="shared" ca="1" si="40"/>
        <v>0</v>
      </c>
      <c r="AO107" s="32">
        <v>88</v>
      </c>
      <c r="AP107" s="32">
        <v>8</v>
      </c>
      <c r="AQ107" s="32">
        <v>4</v>
      </c>
      <c r="AR107" s="13"/>
      <c r="AS107" s="32"/>
      <c r="AT107" s="13">
        <f t="shared" ca="1" si="41"/>
        <v>0</v>
      </c>
      <c r="AU107" s="33"/>
      <c r="AV107" s="13">
        <f t="shared" ca="1" si="32"/>
        <v>0</v>
      </c>
      <c r="AW107" s="13">
        <f ca="1">ROUNDUP(($AT107+$AV107)*VLOOKUP($AP107,Paraméterek!$P$38:$Q$38,2)/12*IF($D108="Nem",IF($M$13=0,1,$M$13),1),IF($D$4="Forint",0,2))</f>
        <v>0</v>
      </c>
      <c r="AX107" s="13"/>
      <c r="AY107" s="13"/>
      <c r="AZ107" s="13">
        <f>ROUNDUP(IF(SUM($AX107:$AY107)=0,0,IF(IF(ISBLANK($AY107),$AX107,$AY107)*Paraméterek!$J$112&lt;IF($D$4="Forint",Paraméterek!$J$113,Paraméterek!$K$113),IF($D$4="Forint",Paraméterek!$J$113,Paraméterek!$K$113),IF(IF(ISBLANK($AY107),$AX107,$AY107)*Paraméterek!$J$112&gt;IF($D$4="Forint",Paraméterek!$J$114,Paraméterek!$K$114),IF($D$4="Forint",Paraméterek!$J$114,Paraméterek!$K$114),IF(ISBLANK($AY107),$AX107,$AY107)*Paraméterek!$J$112))),IF($D$4="Forint",0,2))</f>
        <v>0</v>
      </c>
      <c r="BA107" s="13">
        <f ca="1">$AT107+$AV107-$AW107-IF(ROUNDDOWN(IF(ISBLANK($AY107),$AX107,$AY107),IF($D$4="Forint",0,2))&gt;$AT107+$AV107-$AW107-IF($D$4="Forint",Paraméterek!$J$114,Paraméterek!$K$114),0,ROUNDDOWN(IF(ISBLANK($AY107),$AX107,$AY107),IF($D$4="Forint",0,2))-$AZ107)</f>
        <v>0</v>
      </c>
      <c r="BB107" s="13">
        <f t="shared" ca="1" si="33"/>
        <v>0</v>
      </c>
      <c r="BD107" s="32">
        <v>88</v>
      </c>
      <c r="BE107" s="32">
        <v>8</v>
      </c>
      <c r="BF107" s="32">
        <v>4</v>
      </c>
      <c r="BG107" s="34">
        <f t="shared" ca="1" si="42"/>
        <v>2026</v>
      </c>
      <c r="BH107" s="32" t="str">
        <f ca="1">IF(MOD(MONTH($D$14)+$BD107-1,12)=Paraméterek!$C$288,"Igen","")</f>
        <v/>
      </c>
      <c r="BI107" s="13">
        <f ca="1">IF($BH107="Igen",MIN(ROUNDDOWN((SUMIF($BG$20:$BG$1027,$BG107-1,$K$20:$K$1027)-SUMIF($BG$20:$BG$1027,$BG107-1,$I$20:$I$1027))*Paraméterek!$C$289,IF($D$4="Forint",0,2)),IF($D$4="Forint",Paraméterek!$C$285,Paraméterek!$D$285)),0)</f>
        <v>0</v>
      </c>
      <c r="BJ107" s="13">
        <f t="shared" ca="1" si="34"/>
        <v>0</v>
      </c>
      <c r="BK107" s="13">
        <f t="shared" ca="1" si="43"/>
        <v>0</v>
      </c>
      <c r="BL107" s="33"/>
      <c r="BM107" s="13">
        <f t="shared" ca="1" si="35"/>
        <v>0</v>
      </c>
      <c r="BN107" s="13">
        <f ca="1">ROUNDUP(($BK107+$BM107)*VLOOKUP($BE107,Paraméterek!$P$38:$Q$38,2)/12*IF($D108="Nem",IF($M$13=0,1,$M$13),1),IF($D$4="Forint",0,2))</f>
        <v>0</v>
      </c>
      <c r="BO107" s="13">
        <f t="shared" ca="1" si="36"/>
        <v>0</v>
      </c>
      <c r="BP107" s="13">
        <f ca="1">IF($D108="Nem",$BO107,$BO107-ROUNDUP(SUM($BI$20:$BI107)*120%,IF($D$4="Forint",0,2)))</f>
        <v>0</v>
      </c>
    </row>
    <row r="108" spans="1:68" x14ac:dyDescent="0.2">
      <c r="A108" s="32">
        <v>89</v>
      </c>
      <c r="B108" s="32">
        <v>8</v>
      </c>
      <c r="C108" s="32">
        <v>5</v>
      </c>
      <c r="D108" s="32" t="str">
        <f t="shared" ca="1" si="22"/>
        <v>Nem</v>
      </c>
      <c r="E108" s="13">
        <f t="shared" ca="1" si="23"/>
        <v>0</v>
      </c>
      <c r="F108" s="13"/>
      <c r="G108" s="13"/>
      <c r="H108" s="13"/>
      <c r="I108" s="13">
        <f t="shared" ca="1" si="24"/>
        <v>0</v>
      </c>
      <c r="J108" s="13">
        <f t="shared" ca="1" si="25"/>
        <v>0</v>
      </c>
      <c r="K108" s="13">
        <f t="shared" ca="1" si="26"/>
        <v>0</v>
      </c>
      <c r="L108" s="13" t="e">
        <f ca="1">ROUNDUP(IF($D$2="Egyszeri",$E108,IF($D$2="Havi",SUM($E$20:$E$31),IF(MOD($C108,$M$1)-1=0,SUM($E$20:$E$31),0))/12*$M$1)*VLOOKUP($B108,Paraméterek!$I$28:$P$31,IF($D$2="Egyszeri",8,HLOOKUP(ROUNDUP($M$11+$M$13,0),Paraméterek!$J$26:$O$27,2))),IF($D$4="Forint",0,2))</f>
        <v>#N/A</v>
      </c>
      <c r="M108" s="13">
        <f t="shared" ca="1" si="27"/>
        <v>0</v>
      </c>
      <c r="N108" s="13">
        <f t="shared" ca="1" si="37"/>
        <v>0</v>
      </c>
      <c r="O108" s="13">
        <f ca="1">IF($D108="Igen",IF($W107&gt;=IF($D$4="Forint",Paraméterek!$J$121,Paraméterek!$K$121),0,IF($D$4="Forint",Paraméterek!$J$121,Paraméterek!$K$121)-$W107),0)</f>
        <v>0</v>
      </c>
      <c r="P108" s="13" t="e">
        <f ca="1">ROUNDUP($O108*VLOOKUP($M$4+$B108-1,Paraméterek!$H$58:$I$105,2,0)/Paraméterek!$I$56,IF($D$4="Forint",0,2))</f>
        <v>#N/A</v>
      </c>
      <c r="Q108" s="13">
        <f t="shared" ca="1" si="28"/>
        <v>0</v>
      </c>
      <c r="R108" s="33"/>
      <c r="S108" s="13" t="e">
        <f t="shared" ca="1" si="29"/>
        <v>#N/A</v>
      </c>
      <c r="T108" s="13" t="e">
        <f ca="1">ROUNDUP(($N108-$P108-$Q108+$S108)*VLOOKUP($B108,Paraméterek!$I$38:$K$39,IF($D$2="Egyszeri",3,2))/12*IF($D109="Nem",IF($M$13=0,1,$M$13),1),IF($D$4="Forint",0,2))</f>
        <v>#N/A</v>
      </c>
      <c r="U108" s="13"/>
      <c r="V108" s="13"/>
      <c r="W108" s="13" t="e">
        <f ca="1">$N108-$P108-$Q108+$S108-$T108-IF(ROUNDUP(IF(ISBLANK($V108),$U108*0,$V108)/IF($D$2="Egyszeri",VLOOKUP($B108+IF($C108=12,1,0),Paraméterek!$V$257:$W$262,2),IF($B108=1,1,VLOOKUP($B108+IF($C108=12,1,0),Paraméterek!$I$258:$T$278,HLOOKUP($M$11+1,Paraméterek!$J$256:$T$257,2)))),IF($D$4="Forint",0,2))&gt;$N108-$P108-$Q108+$S108-$T108-IF($D$4="Forint",Paraméterek!$C$216,Paraméterek!$D$216),0,ROUNDUP(IF(ISBLANK($V108),$U108*0,$V108)/IF($D$2="Egyszeri",VLOOKUP($B108+IF($C108=12,1,0),Paraméterek!$V$257:$W$262,2),IF($B108=1,1,VLOOKUP($B108+IF($C108=12,1,0),Paraméterek!$I$258:$T$278,HLOOKUP($M$11+1,Paraméterek!$J$256:$T$257,2)))),IF($D$4="Forint",0,2)))</f>
        <v>#N/A</v>
      </c>
      <c r="X108" s="13" t="e">
        <f ca="1">ROUNDDOWN($W108*IF($D$2="Egyszeri",VLOOKUP($B108+IF($C108=12,1,0),Paraméterek!$V$257:$W$262,2),VLOOKUP($B108+IF($C108=12,1,0),Paraméterek!$I$258:$T$278,HLOOKUP($M$11+1,Paraméterek!$I$256:$T$257,2))),IF($D$4="Forint",0,2))</f>
        <v>#N/A</v>
      </c>
      <c r="Z108" s="32">
        <v>89</v>
      </c>
      <c r="AA108" s="32">
        <v>8</v>
      </c>
      <c r="AB108" s="32">
        <v>5</v>
      </c>
      <c r="AC108" s="13">
        <f t="shared" ca="1" si="38"/>
        <v>0</v>
      </c>
      <c r="AD108" s="33"/>
      <c r="AE108" s="13">
        <f t="shared" ca="1" si="30"/>
        <v>0</v>
      </c>
      <c r="AF108" s="13">
        <f ca="1">ROUNDUP(($AC108+$AE108)*VLOOKUP($AA108,Paraméterek!$P$38:$Q$38,2)/12*IF($D109="Nem",IF($M$13=0,1,$M$13),1),IF($D$4="Forint",0,2))</f>
        <v>0</v>
      </c>
      <c r="AG108" s="13">
        <f ca="1">IF($D$2="Egyszeri",IF($D$7&gt;=IF($D$4="Forint",Paraméterek!$P$223,Paraméterek!$P$224),$D$7-IF($D$4="Forint",Paraméterek!$P$223,Paraméterek!$P$224),0),MIN(IF($AB108=12,AVERAGEIF($E$20:$E108,"&gt;0",$E$20:$E108)*12,0),SUM($E$20:$E$31)))</f>
        <v>0</v>
      </c>
      <c r="AH108" s="13">
        <f>IF($AA108=10,$AG108*IF($AB108=12,IF($AG108&lt;IF($D$4="Forint",Paraméterek!$L$223,Paraméterek!$L$224),0,VLOOKUP($AA108,Paraméterek!$K$226:$M$228,IF($AG108&lt;IF($D$4="Forint",Paraméterek!$M$223,Paraméterek!$M$224),2,3))),0),0)</f>
        <v>0</v>
      </c>
      <c r="AI108" s="13">
        <f ca="1">IF(AND($AA108=$M$11+1,$AB108=$M$12+1),SUMIF($AA$20:$AA$1027,$AA108,$AG$20:$AG$1027)*IF(SUMIF($AA$20:$AA$1027,$AA108,$AG$20:$AG$1027)&lt;IF($D$4="Forint",Paraméterek!$L$223,Paraméterek!$L$224),0,VLOOKUP($AA108,Paraméterek!$K$230:$M$250,IF(SUMIF($AA$20:$AA$1027,$AA108,$AG$20:$AG$1027)&lt;IF($D$4="Forint",Paraméterek!$M$223,Paraméterek!$M$224),2,3))),0)</f>
        <v>0</v>
      </c>
      <c r="AJ108" s="13">
        <f ca="1">IF(AND($AA108&gt;=5,MOD($AA108,5)=0),IF($AB108=12,VLOOKUP($AA108,Paraméterek!$O$225:$P$240,2),0),IF(OR($AA108=3,$AA108=4),IF($AB108=12,VLOOKUP($AA108,Paraméterek!$O$225:$P$240,2,0),0),0))*$AG108</f>
        <v>0</v>
      </c>
      <c r="AK108" s="13">
        <f t="shared" ca="1" si="31"/>
        <v>0</v>
      </c>
      <c r="AL108" s="13">
        <f t="shared" ca="1" si="39"/>
        <v>0</v>
      </c>
      <c r="AM108" s="13">
        <f t="shared" ca="1" si="40"/>
        <v>0</v>
      </c>
      <c r="AO108" s="32">
        <v>89</v>
      </c>
      <c r="AP108" s="32">
        <v>8</v>
      </c>
      <c r="AQ108" s="32">
        <v>5</v>
      </c>
      <c r="AR108" s="13"/>
      <c r="AS108" s="32"/>
      <c r="AT108" s="13">
        <f t="shared" ca="1" si="41"/>
        <v>0</v>
      </c>
      <c r="AU108" s="33"/>
      <c r="AV108" s="13">
        <f t="shared" ca="1" si="32"/>
        <v>0</v>
      </c>
      <c r="AW108" s="13">
        <f ca="1">ROUNDUP(($AT108+$AV108)*VLOOKUP($AP108,Paraméterek!$P$38:$Q$38,2)/12*IF($D109="Nem",IF($M$13=0,1,$M$13),1),IF($D$4="Forint",0,2))</f>
        <v>0</v>
      </c>
      <c r="AX108" s="13"/>
      <c r="AY108" s="13"/>
      <c r="AZ108" s="13">
        <f>ROUNDUP(IF(SUM($AX108:$AY108)=0,0,IF(IF(ISBLANK($AY108),$AX108,$AY108)*Paraméterek!$J$112&lt;IF($D$4="Forint",Paraméterek!$J$113,Paraméterek!$K$113),IF($D$4="Forint",Paraméterek!$J$113,Paraméterek!$K$113),IF(IF(ISBLANK($AY108),$AX108,$AY108)*Paraméterek!$J$112&gt;IF($D$4="Forint",Paraméterek!$J$114,Paraméterek!$K$114),IF($D$4="Forint",Paraméterek!$J$114,Paraméterek!$K$114),IF(ISBLANK($AY108),$AX108,$AY108)*Paraméterek!$J$112))),IF($D$4="Forint",0,2))</f>
        <v>0</v>
      </c>
      <c r="BA108" s="13">
        <f ca="1">$AT108+$AV108-$AW108-IF(ROUNDDOWN(IF(ISBLANK($AY108),$AX108,$AY108),IF($D$4="Forint",0,2))&gt;$AT108+$AV108-$AW108-IF($D$4="Forint",Paraméterek!$J$114,Paraméterek!$K$114),0,ROUNDDOWN(IF(ISBLANK($AY108),$AX108,$AY108),IF($D$4="Forint",0,2))-$AZ108)</f>
        <v>0</v>
      </c>
      <c r="BB108" s="13">
        <f t="shared" ca="1" si="33"/>
        <v>0</v>
      </c>
      <c r="BD108" s="32">
        <v>89</v>
      </c>
      <c r="BE108" s="32">
        <v>8</v>
      </c>
      <c r="BF108" s="32">
        <v>5</v>
      </c>
      <c r="BG108" s="34">
        <f t="shared" ca="1" si="42"/>
        <v>2026</v>
      </c>
      <c r="BH108" s="32" t="str">
        <f ca="1">IF(MOD(MONTH($D$14)+$BD108-1,12)=Paraméterek!$C$288,"Igen","")</f>
        <v/>
      </c>
      <c r="BI108" s="13">
        <f ca="1">IF($BH108="Igen",MIN(ROUNDDOWN((SUMIF($BG$20:$BG$1027,$BG108-1,$K$20:$K$1027)-SUMIF($BG$20:$BG$1027,$BG108-1,$I$20:$I$1027))*Paraméterek!$C$289,IF($D$4="Forint",0,2)),IF($D$4="Forint",Paraméterek!$C$285,Paraméterek!$D$285)),0)</f>
        <v>0</v>
      </c>
      <c r="BJ108" s="13">
        <f t="shared" ca="1" si="34"/>
        <v>0</v>
      </c>
      <c r="BK108" s="13">
        <f t="shared" ca="1" si="43"/>
        <v>0</v>
      </c>
      <c r="BL108" s="33"/>
      <c r="BM108" s="13">
        <f t="shared" ca="1" si="35"/>
        <v>0</v>
      </c>
      <c r="BN108" s="13">
        <f ca="1">ROUNDUP(($BK108+$BM108)*VLOOKUP($BE108,Paraméterek!$P$38:$Q$38,2)/12*IF($D109="Nem",IF($M$13=0,1,$M$13),1),IF($D$4="Forint",0,2))</f>
        <v>0</v>
      </c>
      <c r="BO108" s="13">
        <f t="shared" ca="1" si="36"/>
        <v>0</v>
      </c>
      <c r="BP108" s="13">
        <f ca="1">IF($D109="Nem",$BO108,$BO108-ROUNDUP(SUM($BI$20:$BI108)*120%,IF($D$4="Forint",0,2)))</f>
        <v>0</v>
      </c>
    </row>
    <row r="109" spans="1:68" x14ac:dyDescent="0.2">
      <c r="A109" s="32">
        <v>90</v>
      </c>
      <c r="B109" s="32">
        <v>8</v>
      </c>
      <c r="C109" s="32">
        <v>6</v>
      </c>
      <c r="D109" s="32" t="str">
        <f t="shared" ca="1" si="22"/>
        <v>Nem</v>
      </c>
      <c r="E109" s="13">
        <f t="shared" ca="1" si="23"/>
        <v>0</v>
      </c>
      <c r="F109" s="13"/>
      <c r="G109" s="13"/>
      <c r="H109" s="13"/>
      <c r="I109" s="13">
        <f t="shared" ca="1" si="24"/>
        <v>0</v>
      </c>
      <c r="J109" s="13">
        <f t="shared" ca="1" si="25"/>
        <v>0</v>
      </c>
      <c r="K109" s="13">
        <f t="shared" ca="1" si="26"/>
        <v>0</v>
      </c>
      <c r="L109" s="13" t="e">
        <f ca="1">ROUNDUP(IF($D$2="Egyszeri",$E109,IF($D$2="Havi",SUM($E$20:$E$31),IF(MOD($C109,$M$1)-1=0,SUM($E$20:$E$31),0))/12*$M$1)*VLOOKUP($B109,Paraméterek!$I$28:$P$31,IF($D$2="Egyszeri",8,HLOOKUP(ROUNDUP($M$11+$M$13,0),Paraméterek!$J$26:$O$27,2))),IF($D$4="Forint",0,2))</f>
        <v>#N/A</v>
      </c>
      <c r="M109" s="13">
        <f t="shared" ca="1" si="27"/>
        <v>0</v>
      </c>
      <c r="N109" s="13">
        <f t="shared" ca="1" si="37"/>
        <v>0</v>
      </c>
      <c r="O109" s="13">
        <f ca="1">IF($D109="Igen",IF($W108&gt;=IF($D$4="Forint",Paraméterek!$J$121,Paraméterek!$K$121),0,IF($D$4="Forint",Paraméterek!$J$121,Paraméterek!$K$121)-$W108),0)</f>
        <v>0</v>
      </c>
      <c r="P109" s="13" t="e">
        <f ca="1">ROUNDUP($O109*VLOOKUP($M$4+$B109-1,Paraméterek!$H$58:$I$105,2,0)/Paraméterek!$I$56,IF($D$4="Forint",0,2))</f>
        <v>#N/A</v>
      </c>
      <c r="Q109" s="13">
        <f t="shared" ca="1" si="28"/>
        <v>0</v>
      </c>
      <c r="R109" s="33"/>
      <c r="S109" s="13" t="e">
        <f t="shared" ca="1" si="29"/>
        <v>#N/A</v>
      </c>
      <c r="T109" s="13" t="e">
        <f ca="1">ROUNDUP(($N109-$P109-$Q109+$S109)*VLOOKUP($B109,Paraméterek!$I$38:$K$39,IF($D$2="Egyszeri",3,2))/12*IF($D110="Nem",IF($M$13=0,1,$M$13),1),IF($D$4="Forint",0,2))</f>
        <v>#N/A</v>
      </c>
      <c r="U109" s="13"/>
      <c r="V109" s="13"/>
      <c r="W109" s="13" t="e">
        <f ca="1">$N109-$P109-$Q109+$S109-$T109-IF(ROUNDUP(IF(ISBLANK($V109),$U109*0,$V109)/IF($D$2="Egyszeri",VLOOKUP($B109+IF($C109=12,1,0),Paraméterek!$V$257:$W$262,2),IF($B109=1,1,VLOOKUP($B109+IF($C109=12,1,0),Paraméterek!$I$258:$T$278,HLOOKUP($M$11+1,Paraméterek!$J$256:$T$257,2)))),IF($D$4="Forint",0,2))&gt;$N109-$P109-$Q109+$S109-$T109-IF($D$4="Forint",Paraméterek!$C$216,Paraméterek!$D$216),0,ROUNDUP(IF(ISBLANK($V109),$U109*0,$V109)/IF($D$2="Egyszeri",VLOOKUP($B109+IF($C109=12,1,0),Paraméterek!$V$257:$W$262,2),IF($B109=1,1,VLOOKUP($B109+IF($C109=12,1,0),Paraméterek!$I$258:$T$278,HLOOKUP($M$11+1,Paraméterek!$J$256:$T$257,2)))),IF($D$4="Forint",0,2)))</f>
        <v>#N/A</v>
      </c>
      <c r="X109" s="13" t="e">
        <f ca="1">ROUNDDOWN($W109*IF($D$2="Egyszeri",VLOOKUP($B109+IF($C109=12,1,0),Paraméterek!$V$257:$W$262,2),VLOOKUP($B109+IF($C109=12,1,0),Paraméterek!$I$258:$T$278,HLOOKUP($M$11+1,Paraméterek!$I$256:$T$257,2))),IF($D$4="Forint",0,2))</f>
        <v>#N/A</v>
      </c>
      <c r="Z109" s="32">
        <v>90</v>
      </c>
      <c r="AA109" s="32">
        <v>8</v>
      </c>
      <c r="AB109" s="32">
        <v>6</v>
      </c>
      <c r="AC109" s="13">
        <f t="shared" ca="1" si="38"/>
        <v>0</v>
      </c>
      <c r="AD109" s="33"/>
      <c r="AE109" s="13">
        <f t="shared" ca="1" si="30"/>
        <v>0</v>
      </c>
      <c r="AF109" s="13">
        <f ca="1">ROUNDUP(($AC109+$AE109)*VLOOKUP($AA109,Paraméterek!$P$38:$Q$38,2)/12*IF($D110="Nem",IF($M$13=0,1,$M$13),1),IF($D$4="Forint",0,2))</f>
        <v>0</v>
      </c>
      <c r="AG109" s="13">
        <f ca="1">IF($D$2="Egyszeri",IF($D$7&gt;=IF($D$4="Forint",Paraméterek!$P$223,Paraméterek!$P$224),$D$7-IF($D$4="Forint",Paraméterek!$P$223,Paraméterek!$P$224),0),MIN(IF($AB109=12,AVERAGEIF($E$20:$E109,"&gt;0",$E$20:$E109)*12,0),SUM($E$20:$E$31)))</f>
        <v>0</v>
      </c>
      <c r="AH109" s="13">
        <f>IF($AA109=10,$AG109*IF($AB109=12,IF($AG109&lt;IF($D$4="Forint",Paraméterek!$L$223,Paraméterek!$L$224),0,VLOOKUP($AA109,Paraméterek!$K$226:$M$228,IF($AG109&lt;IF($D$4="Forint",Paraméterek!$M$223,Paraméterek!$M$224),2,3))),0),0)</f>
        <v>0</v>
      </c>
      <c r="AI109" s="13">
        <f ca="1">IF(AND($AA109=$M$11+1,$AB109=$M$12+1),SUMIF($AA$20:$AA$1027,$AA109,$AG$20:$AG$1027)*IF(SUMIF($AA$20:$AA$1027,$AA109,$AG$20:$AG$1027)&lt;IF($D$4="Forint",Paraméterek!$L$223,Paraméterek!$L$224),0,VLOOKUP($AA109,Paraméterek!$K$230:$M$250,IF(SUMIF($AA$20:$AA$1027,$AA109,$AG$20:$AG$1027)&lt;IF($D$4="Forint",Paraméterek!$M$223,Paraméterek!$M$224),2,3))),0)</f>
        <v>0</v>
      </c>
      <c r="AJ109" s="13">
        <f ca="1">IF(AND($AA109&gt;=5,MOD($AA109,5)=0),IF($AB109=12,VLOOKUP($AA109,Paraméterek!$O$225:$P$240,2),0),IF(OR($AA109=3,$AA109=4),IF($AB109=12,VLOOKUP($AA109,Paraméterek!$O$225:$P$240,2,0),0),0))*$AG109</f>
        <v>0</v>
      </c>
      <c r="AK109" s="13">
        <f t="shared" ca="1" si="31"/>
        <v>0</v>
      </c>
      <c r="AL109" s="13">
        <f t="shared" ca="1" si="39"/>
        <v>0</v>
      </c>
      <c r="AM109" s="13">
        <f t="shared" ca="1" si="40"/>
        <v>0</v>
      </c>
      <c r="AO109" s="32">
        <v>90</v>
      </c>
      <c r="AP109" s="32">
        <v>8</v>
      </c>
      <c r="AQ109" s="32">
        <v>6</v>
      </c>
      <c r="AR109" s="13"/>
      <c r="AS109" s="32"/>
      <c r="AT109" s="13">
        <f t="shared" ca="1" si="41"/>
        <v>0</v>
      </c>
      <c r="AU109" s="33"/>
      <c r="AV109" s="13">
        <f t="shared" ca="1" si="32"/>
        <v>0</v>
      </c>
      <c r="AW109" s="13">
        <f ca="1">ROUNDUP(($AT109+$AV109)*VLOOKUP($AP109,Paraméterek!$P$38:$Q$38,2)/12*IF($D110="Nem",IF($M$13=0,1,$M$13),1),IF($D$4="Forint",0,2))</f>
        <v>0</v>
      </c>
      <c r="AX109" s="13"/>
      <c r="AY109" s="13"/>
      <c r="AZ109" s="13">
        <f>ROUNDUP(IF(SUM($AX109:$AY109)=0,0,IF(IF(ISBLANK($AY109),$AX109,$AY109)*Paraméterek!$J$112&lt;IF($D$4="Forint",Paraméterek!$J$113,Paraméterek!$K$113),IF($D$4="Forint",Paraméterek!$J$113,Paraméterek!$K$113),IF(IF(ISBLANK($AY109),$AX109,$AY109)*Paraméterek!$J$112&gt;IF($D$4="Forint",Paraméterek!$J$114,Paraméterek!$K$114),IF($D$4="Forint",Paraméterek!$J$114,Paraméterek!$K$114),IF(ISBLANK($AY109),$AX109,$AY109)*Paraméterek!$J$112))),IF($D$4="Forint",0,2))</f>
        <v>0</v>
      </c>
      <c r="BA109" s="13">
        <f ca="1">$AT109+$AV109-$AW109-IF(ROUNDDOWN(IF(ISBLANK($AY109),$AX109,$AY109),IF($D$4="Forint",0,2))&gt;$AT109+$AV109-$AW109-IF($D$4="Forint",Paraméterek!$J$114,Paraméterek!$K$114),0,ROUNDDOWN(IF(ISBLANK($AY109),$AX109,$AY109),IF($D$4="Forint",0,2))-$AZ109)</f>
        <v>0</v>
      </c>
      <c r="BB109" s="13">
        <f t="shared" ca="1" si="33"/>
        <v>0</v>
      </c>
      <c r="BD109" s="32">
        <v>90</v>
      </c>
      <c r="BE109" s="32">
        <v>8</v>
      </c>
      <c r="BF109" s="32">
        <v>6</v>
      </c>
      <c r="BG109" s="34">
        <f t="shared" ca="1" si="42"/>
        <v>2026</v>
      </c>
      <c r="BH109" s="32" t="str">
        <f ca="1">IF(MOD(MONTH($D$14)+$BD109-1,12)=Paraméterek!$C$288,"Igen","")</f>
        <v/>
      </c>
      <c r="BI109" s="13">
        <f ca="1">IF($BH109="Igen",MIN(ROUNDDOWN((SUMIF($BG$20:$BG$1027,$BG109-1,$K$20:$K$1027)-SUMIF($BG$20:$BG$1027,$BG109-1,$I$20:$I$1027))*Paraméterek!$C$289,IF($D$4="Forint",0,2)),IF($D$4="Forint",Paraméterek!$C$285,Paraméterek!$D$285)),0)</f>
        <v>0</v>
      </c>
      <c r="BJ109" s="13">
        <f t="shared" ca="1" si="34"/>
        <v>0</v>
      </c>
      <c r="BK109" s="13">
        <f t="shared" ca="1" si="43"/>
        <v>0</v>
      </c>
      <c r="BL109" s="33"/>
      <c r="BM109" s="13">
        <f t="shared" ca="1" si="35"/>
        <v>0</v>
      </c>
      <c r="BN109" s="13">
        <f ca="1">ROUNDUP(($BK109+$BM109)*VLOOKUP($BE109,Paraméterek!$P$38:$Q$38,2)/12*IF($D110="Nem",IF($M$13=0,1,$M$13),1),IF($D$4="Forint",0,2))</f>
        <v>0</v>
      </c>
      <c r="BO109" s="13">
        <f t="shared" ca="1" si="36"/>
        <v>0</v>
      </c>
      <c r="BP109" s="13">
        <f ca="1">IF($D110="Nem",$BO109,$BO109-ROUNDUP(SUM($BI$20:$BI109)*120%,IF($D$4="Forint",0,2)))</f>
        <v>0</v>
      </c>
    </row>
    <row r="110" spans="1:68" x14ac:dyDescent="0.2">
      <c r="A110" s="32">
        <v>91</v>
      </c>
      <c r="B110" s="32">
        <v>8</v>
      </c>
      <c r="C110" s="32">
        <v>7</v>
      </c>
      <c r="D110" s="32" t="str">
        <f t="shared" ca="1" si="22"/>
        <v>Nem</v>
      </c>
      <c r="E110" s="13">
        <f t="shared" ca="1" si="23"/>
        <v>0</v>
      </c>
      <c r="F110" s="13"/>
      <c r="G110" s="13"/>
      <c r="H110" s="13"/>
      <c r="I110" s="13">
        <f t="shared" ca="1" si="24"/>
        <v>0</v>
      </c>
      <c r="J110" s="13">
        <f t="shared" ca="1" si="25"/>
        <v>0</v>
      </c>
      <c r="K110" s="13">
        <f t="shared" ca="1" si="26"/>
        <v>0</v>
      </c>
      <c r="L110" s="13" t="e">
        <f ca="1">ROUNDUP(IF($D$2="Egyszeri",$E110,IF($D$2="Havi",SUM($E$20:$E$31),IF(MOD($C110,$M$1)-1=0,SUM($E$20:$E$31),0))/12*$M$1)*VLOOKUP($B110,Paraméterek!$I$28:$P$31,IF($D$2="Egyszeri",8,HLOOKUP(ROUNDUP($M$11+$M$13,0),Paraméterek!$J$26:$O$27,2))),IF($D$4="Forint",0,2))</f>
        <v>#N/A</v>
      </c>
      <c r="M110" s="13">
        <f t="shared" ca="1" si="27"/>
        <v>0</v>
      </c>
      <c r="N110" s="13">
        <f t="shared" ca="1" si="37"/>
        <v>0</v>
      </c>
      <c r="O110" s="13">
        <f ca="1">IF($D110="Igen",IF($W109&gt;=IF($D$4="Forint",Paraméterek!$J$121,Paraméterek!$K$121),0,IF($D$4="Forint",Paraméterek!$J$121,Paraméterek!$K$121)-$W109),0)</f>
        <v>0</v>
      </c>
      <c r="P110" s="13" t="e">
        <f ca="1">ROUNDUP($O110*VLOOKUP($M$4+$B110-1,Paraméterek!$H$58:$I$105,2,0)/Paraméterek!$I$56,IF($D$4="Forint",0,2))</f>
        <v>#N/A</v>
      </c>
      <c r="Q110" s="13">
        <f t="shared" ca="1" si="28"/>
        <v>0</v>
      </c>
      <c r="R110" s="33"/>
      <c r="S110" s="13" t="e">
        <f t="shared" ca="1" si="29"/>
        <v>#N/A</v>
      </c>
      <c r="T110" s="13" t="e">
        <f ca="1">ROUNDUP(($N110-$P110-$Q110+$S110)*VLOOKUP($B110,Paraméterek!$I$38:$K$39,IF($D$2="Egyszeri",3,2))/12*IF($D111="Nem",IF($M$13=0,1,$M$13),1),IF($D$4="Forint",0,2))</f>
        <v>#N/A</v>
      </c>
      <c r="U110" s="13"/>
      <c r="V110" s="13"/>
      <c r="W110" s="13" t="e">
        <f ca="1">$N110-$P110-$Q110+$S110-$T110-IF(ROUNDUP(IF(ISBLANK($V110),$U110*0,$V110)/IF($D$2="Egyszeri",VLOOKUP($B110+IF($C110=12,1,0),Paraméterek!$V$257:$W$262,2),IF($B110=1,1,VLOOKUP($B110+IF($C110=12,1,0),Paraméterek!$I$258:$T$278,HLOOKUP($M$11+1,Paraméterek!$J$256:$T$257,2)))),IF($D$4="Forint",0,2))&gt;$N110-$P110-$Q110+$S110-$T110-IF($D$4="Forint",Paraméterek!$C$216,Paraméterek!$D$216),0,ROUNDUP(IF(ISBLANK($V110),$U110*0,$V110)/IF($D$2="Egyszeri",VLOOKUP($B110+IF($C110=12,1,0),Paraméterek!$V$257:$W$262,2),IF($B110=1,1,VLOOKUP($B110+IF($C110=12,1,0),Paraméterek!$I$258:$T$278,HLOOKUP($M$11+1,Paraméterek!$J$256:$T$257,2)))),IF($D$4="Forint",0,2)))</f>
        <v>#N/A</v>
      </c>
      <c r="X110" s="13" t="e">
        <f ca="1">ROUNDDOWN($W110*IF($D$2="Egyszeri",VLOOKUP($B110+IF($C110=12,1,0),Paraméterek!$V$257:$W$262,2),VLOOKUP($B110+IF($C110=12,1,0),Paraméterek!$I$258:$T$278,HLOOKUP($M$11+1,Paraméterek!$I$256:$T$257,2))),IF($D$4="Forint",0,2))</f>
        <v>#N/A</v>
      </c>
      <c r="Z110" s="32">
        <v>91</v>
      </c>
      <c r="AA110" s="32">
        <v>8</v>
      </c>
      <c r="AB110" s="32">
        <v>7</v>
      </c>
      <c r="AC110" s="13">
        <f t="shared" ca="1" si="38"/>
        <v>0</v>
      </c>
      <c r="AD110" s="33"/>
      <c r="AE110" s="13">
        <f t="shared" ca="1" si="30"/>
        <v>0</v>
      </c>
      <c r="AF110" s="13">
        <f ca="1">ROUNDUP(($AC110+$AE110)*VLOOKUP($AA110,Paraméterek!$P$38:$Q$38,2)/12*IF($D111="Nem",IF($M$13=0,1,$M$13),1),IF($D$4="Forint",0,2))</f>
        <v>0</v>
      </c>
      <c r="AG110" s="13">
        <f ca="1">IF($D$2="Egyszeri",IF($D$7&gt;=IF($D$4="Forint",Paraméterek!$P$223,Paraméterek!$P$224),$D$7-IF($D$4="Forint",Paraméterek!$P$223,Paraméterek!$P$224),0),MIN(IF($AB110=12,AVERAGEIF($E$20:$E110,"&gt;0",$E$20:$E110)*12,0),SUM($E$20:$E$31)))</f>
        <v>0</v>
      </c>
      <c r="AH110" s="13">
        <f>IF($AA110=10,$AG110*IF($AB110=12,IF($AG110&lt;IF($D$4="Forint",Paraméterek!$L$223,Paraméterek!$L$224),0,VLOOKUP($AA110,Paraméterek!$K$226:$M$228,IF($AG110&lt;IF($D$4="Forint",Paraméterek!$M$223,Paraméterek!$M$224),2,3))),0),0)</f>
        <v>0</v>
      </c>
      <c r="AI110" s="13">
        <f ca="1">IF(AND($AA110=$M$11+1,$AB110=$M$12+1),SUMIF($AA$20:$AA$1027,$AA110,$AG$20:$AG$1027)*IF(SUMIF($AA$20:$AA$1027,$AA110,$AG$20:$AG$1027)&lt;IF($D$4="Forint",Paraméterek!$L$223,Paraméterek!$L$224),0,VLOOKUP($AA110,Paraméterek!$K$230:$M$250,IF(SUMIF($AA$20:$AA$1027,$AA110,$AG$20:$AG$1027)&lt;IF($D$4="Forint",Paraméterek!$M$223,Paraméterek!$M$224),2,3))),0)</f>
        <v>0</v>
      </c>
      <c r="AJ110" s="13">
        <f ca="1">IF(AND($AA110&gt;=5,MOD($AA110,5)=0),IF($AB110=12,VLOOKUP($AA110,Paraméterek!$O$225:$P$240,2),0),IF(OR($AA110=3,$AA110=4),IF($AB110=12,VLOOKUP($AA110,Paraméterek!$O$225:$P$240,2,0),0),0))*$AG110</f>
        <v>0</v>
      </c>
      <c r="AK110" s="13">
        <f t="shared" ca="1" si="31"/>
        <v>0</v>
      </c>
      <c r="AL110" s="13">
        <f t="shared" ca="1" si="39"/>
        <v>0</v>
      </c>
      <c r="AM110" s="13">
        <f t="shared" ca="1" si="40"/>
        <v>0</v>
      </c>
      <c r="AO110" s="32">
        <v>91</v>
      </c>
      <c r="AP110" s="32">
        <v>8</v>
      </c>
      <c r="AQ110" s="32">
        <v>7</v>
      </c>
      <c r="AR110" s="13"/>
      <c r="AS110" s="32"/>
      <c r="AT110" s="13">
        <f t="shared" ca="1" si="41"/>
        <v>0</v>
      </c>
      <c r="AU110" s="33"/>
      <c r="AV110" s="13">
        <f t="shared" ca="1" si="32"/>
        <v>0</v>
      </c>
      <c r="AW110" s="13">
        <f ca="1">ROUNDUP(($AT110+$AV110)*VLOOKUP($AP110,Paraméterek!$P$38:$Q$38,2)/12*IF($D111="Nem",IF($M$13=0,1,$M$13),1),IF($D$4="Forint",0,2))</f>
        <v>0</v>
      </c>
      <c r="AX110" s="13"/>
      <c r="AY110" s="13"/>
      <c r="AZ110" s="13">
        <f>ROUNDUP(IF(SUM($AX110:$AY110)=0,0,IF(IF(ISBLANK($AY110),$AX110,$AY110)*Paraméterek!$J$112&lt;IF($D$4="Forint",Paraméterek!$J$113,Paraméterek!$K$113),IF($D$4="Forint",Paraméterek!$J$113,Paraméterek!$K$113),IF(IF(ISBLANK($AY110),$AX110,$AY110)*Paraméterek!$J$112&gt;IF($D$4="Forint",Paraméterek!$J$114,Paraméterek!$K$114),IF($D$4="Forint",Paraméterek!$J$114,Paraméterek!$K$114),IF(ISBLANK($AY110),$AX110,$AY110)*Paraméterek!$J$112))),IF($D$4="Forint",0,2))</f>
        <v>0</v>
      </c>
      <c r="BA110" s="13">
        <f ca="1">$AT110+$AV110-$AW110-IF(ROUNDDOWN(IF(ISBLANK($AY110),$AX110,$AY110),IF($D$4="Forint",0,2))&gt;$AT110+$AV110-$AW110-IF($D$4="Forint",Paraméterek!$J$114,Paraméterek!$K$114),0,ROUNDDOWN(IF(ISBLANK($AY110),$AX110,$AY110),IF($D$4="Forint",0,2))-$AZ110)</f>
        <v>0</v>
      </c>
      <c r="BB110" s="13">
        <f t="shared" ca="1" si="33"/>
        <v>0</v>
      </c>
      <c r="BD110" s="32">
        <v>91</v>
      </c>
      <c r="BE110" s="32">
        <v>8</v>
      </c>
      <c r="BF110" s="32">
        <v>7</v>
      </c>
      <c r="BG110" s="34">
        <f t="shared" ca="1" si="42"/>
        <v>2026</v>
      </c>
      <c r="BH110" s="32" t="str">
        <f ca="1">IF(MOD(MONTH($D$14)+$BD110-1,12)=Paraméterek!$C$288,"Igen","")</f>
        <v/>
      </c>
      <c r="BI110" s="13">
        <f ca="1">IF($BH110="Igen",MIN(ROUNDDOWN((SUMIF($BG$20:$BG$1027,$BG110-1,$K$20:$K$1027)-SUMIF($BG$20:$BG$1027,$BG110-1,$I$20:$I$1027))*Paraméterek!$C$289,IF($D$4="Forint",0,2)),IF($D$4="Forint",Paraméterek!$C$285,Paraméterek!$D$285)),0)</f>
        <v>0</v>
      </c>
      <c r="BJ110" s="13">
        <f t="shared" ca="1" si="34"/>
        <v>0</v>
      </c>
      <c r="BK110" s="13">
        <f t="shared" ca="1" si="43"/>
        <v>0</v>
      </c>
      <c r="BL110" s="33"/>
      <c r="BM110" s="13">
        <f t="shared" ca="1" si="35"/>
        <v>0</v>
      </c>
      <c r="BN110" s="13">
        <f ca="1">ROUNDUP(($BK110+$BM110)*VLOOKUP($BE110,Paraméterek!$P$38:$Q$38,2)/12*IF($D111="Nem",IF($M$13=0,1,$M$13),1),IF($D$4="Forint",0,2))</f>
        <v>0</v>
      </c>
      <c r="BO110" s="13">
        <f t="shared" ca="1" si="36"/>
        <v>0</v>
      </c>
      <c r="BP110" s="13">
        <f ca="1">IF($D111="Nem",$BO110,$BO110-ROUNDUP(SUM($BI$20:$BI110)*120%,IF($D$4="Forint",0,2)))</f>
        <v>0</v>
      </c>
    </row>
    <row r="111" spans="1:68" x14ac:dyDescent="0.2">
      <c r="A111" s="32">
        <v>92</v>
      </c>
      <c r="B111" s="32">
        <v>8</v>
      </c>
      <c r="C111" s="32">
        <v>8</v>
      </c>
      <c r="D111" s="32" t="str">
        <f t="shared" ca="1" si="22"/>
        <v>Nem</v>
      </c>
      <c r="E111" s="13">
        <f t="shared" ca="1" si="23"/>
        <v>0</v>
      </c>
      <c r="F111" s="13"/>
      <c r="G111" s="13"/>
      <c r="H111" s="13"/>
      <c r="I111" s="13">
        <f t="shared" ca="1" si="24"/>
        <v>0</v>
      </c>
      <c r="J111" s="13">
        <f t="shared" ca="1" si="25"/>
        <v>0</v>
      </c>
      <c r="K111" s="13">
        <f t="shared" ca="1" si="26"/>
        <v>0</v>
      </c>
      <c r="L111" s="13" t="e">
        <f ca="1">ROUNDUP(IF($D$2="Egyszeri",$E111,IF($D$2="Havi",SUM($E$20:$E$31),IF(MOD($C111,$M$1)-1=0,SUM($E$20:$E$31),0))/12*$M$1)*VLOOKUP($B111,Paraméterek!$I$28:$P$31,IF($D$2="Egyszeri",8,HLOOKUP(ROUNDUP($M$11+$M$13,0),Paraméterek!$J$26:$O$27,2))),IF($D$4="Forint",0,2))</f>
        <v>#N/A</v>
      </c>
      <c r="M111" s="13">
        <f t="shared" ca="1" si="27"/>
        <v>0</v>
      </c>
      <c r="N111" s="13">
        <f t="shared" ca="1" si="37"/>
        <v>0</v>
      </c>
      <c r="O111" s="13">
        <f ca="1">IF($D111="Igen",IF($W110&gt;=IF($D$4="Forint",Paraméterek!$J$121,Paraméterek!$K$121),0,IF($D$4="Forint",Paraméterek!$J$121,Paraméterek!$K$121)-$W110),0)</f>
        <v>0</v>
      </c>
      <c r="P111" s="13" t="e">
        <f ca="1">ROUNDUP($O111*VLOOKUP($M$4+$B111-1,Paraméterek!$H$58:$I$105,2,0)/Paraméterek!$I$56,IF($D$4="Forint",0,2))</f>
        <v>#N/A</v>
      </c>
      <c r="Q111" s="13">
        <f t="shared" ca="1" si="28"/>
        <v>0</v>
      </c>
      <c r="R111" s="33"/>
      <c r="S111" s="13" t="e">
        <f t="shared" ca="1" si="29"/>
        <v>#N/A</v>
      </c>
      <c r="T111" s="13" t="e">
        <f ca="1">ROUNDUP(($N111-$P111-$Q111+$S111)*VLOOKUP($B111,Paraméterek!$I$38:$K$39,IF($D$2="Egyszeri",3,2))/12*IF($D112="Nem",IF($M$13=0,1,$M$13),1),IF($D$4="Forint",0,2))</f>
        <v>#N/A</v>
      </c>
      <c r="U111" s="13"/>
      <c r="V111" s="13"/>
      <c r="W111" s="13" t="e">
        <f ca="1">$N111-$P111-$Q111+$S111-$T111-IF(ROUNDUP(IF(ISBLANK($V111),$U111*0,$V111)/IF($D$2="Egyszeri",VLOOKUP($B111+IF($C111=12,1,0),Paraméterek!$V$257:$W$262,2),IF($B111=1,1,VLOOKUP($B111+IF($C111=12,1,0),Paraméterek!$I$258:$T$278,HLOOKUP($M$11+1,Paraméterek!$J$256:$T$257,2)))),IF($D$4="Forint",0,2))&gt;$N111-$P111-$Q111+$S111-$T111-IF($D$4="Forint",Paraméterek!$C$216,Paraméterek!$D$216),0,ROUNDUP(IF(ISBLANK($V111),$U111*0,$V111)/IF($D$2="Egyszeri",VLOOKUP($B111+IF($C111=12,1,0),Paraméterek!$V$257:$W$262,2),IF($B111=1,1,VLOOKUP($B111+IF($C111=12,1,0),Paraméterek!$I$258:$T$278,HLOOKUP($M$11+1,Paraméterek!$J$256:$T$257,2)))),IF($D$4="Forint",0,2)))</f>
        <v>#N/A</v>
      </c>
      <c r="X111" s="13" t="e">
        <f ca="1">ROUNDDOWN($W111*IF($D$2="Egyszeri",VLOOKUP($B111+IF($C111=12,1,0),Paraméterek!$V$257:$W$262,2),VLOOKUP($B111+IF($C111=12,1,0),Paraméterek!$I$258:$T$278,HLOOKUP($M$11+1,Paraméterek!$I$256:$T$257,2))),IF($D$4="Forint",0,2))</f>
        <v>#N/A</v>
      </c>
      <c r="Z111" s="32">
        <v>92</v>
      </c>
      <c r="AA111" s="32">
        <v>8</v>
      </c>
      <c r="AB111" s="32">
        <v>8</v>
      </c>
      <c r="AC111" s="13">
        <f t="shared" ca="1" si="38"/>
        <v>0</v>
      </c>
      <c r="AD111" s="33"/>
      <c r="AE111" s="13">
        <f t="shared" ca="1" si="30"/>
        <v>0</v>
      </c>
      <c r="AF111" s="13">
        <f ca="1">ROUNDUP(($AC111+$AE111)*VLOOKUP($AA111,Paraméterek!$P$38:$Q$38,2)/12*IF($D112="Nem",IF($M$13=0,1,$M$13),1),IF($D$4="Forint",0,2))</f>
        <v>0</v>
      </c>
      <c r="AG111" s="13">
        <f ca="1">IF($D$2="Egyszeri",IF($D$7&gt;=IF($D$4="Forint",Paraméterek!$P$223,Paraméterek!$P$224),$D$7-IF($D$4="Forint",Paraméterek!$P$223,Paraméterek!$P$224),0),MIN(IF($AB111=12,AVERAGEIF($E$20:$E111,"&gt;0",$E$20:$E111)*12,0),SUM($E$20:$E$31)))</f>
        <v>0</v>
      </c>
      <c r="AH111" s="13">
        <f>IF($AA111=10,$AG111*IF($AB111=12,IF($AG111&lt;IF($D$4="Forint",Paraméterek!$L$223,Paraméterek!$L$224),0,VLOOKUP($AA111,Paraméterek!$K$226:$M$228,IF($AG111&lt;IF($D$4="Forint",Paraméterek!$M$223,Paraméterek!$M$224),2,3))),0),0)</f>
        <v>0</v>
      </c>
      <c r="AI111" s="13">
        <f ca="1">IF(AND($AA111=$M$11+1,$AB111=$M$12+1),SUMIF($AA$20:$AA$1027,$AA111,$AG$20:$AG$1027)*IF(SUMIF($AA$20:$AA$1027,$AA111,$AG$20:$AG$1027)&lt;IF($D$4="Forint",Paraméterek!$L$223,Paraméterek!$L$224),0,VLOOKUP($AA111,Paraméterek!$K$230:$M$250,IF(SUMIF($AA$20:$AA$1027,$AA111,$AG$20:$AG$1027)&lt;IF($D$4="Forint",Paraméterek!$M$223,Paraméterek!$M$224),2,3))),0)</f>
        <v>0</v>
      </c>
      <c r="AJ111" s="13">
        <f ca="1">IF(AND($AA111&gt;=5,MOD($AA111,5)=0),IF($AB111=12,VLOOKUP($AA111,Paraméterek!$O$225:$P$240,2),0),IF(OR($AA111=3,$AA111=4),IF($AB111=12,VLOOKUP($AA111,Paraméterek!$O$225:$P$240,2,0),0),0))*$AG111</f>
        <v>0</v>
      </c>
      <c r="AK111" s="13">
        <f t="shared" ca="1" si="31"/>
        <v>0</v>
      </c>
      <c r="AL111" s="13">
        <f t="shared" ca="1" si="39"/>
        <v>0</v>
      </c>
      <c r="AM111" s="13">
        <f t="shared" ca="1" si="40"/>
        <v>0</v>
      </c>
      <c r="AO111" s="32">
        <v>92</v>
      </c>
      <c r="AP111" s="32">
        <v>8</v>
      </c>
      <c r="AQ111" s="32">
        <v>8</v>
      </c>
      <c r="AR111" s="13"/>
      <c r="AS111" s="32"/>
      <c r="AT111" s="13">
        <f t="shared" ca="1" si="41"/>
        <v>0</v>
      </c>
      <c r="AU111" s="33"/>
      <c r="AV111" s="13">
        <f t="shared" ca="1" si="32"/>
        <v>0</v>
      </c>
      <c r="AW111" s="13">
        <f ca="1">ROUNDUP(($AT111+$AV111)*VLOOKUP($AP111,Paraméterek!$P$38:$Q$38,2)/12*IF($D112="Nem",IF($M$13=0,1,$M$13),1),IF($D$4="Forint",0,2))</f>
        <v>0</v>
      </c>
      <c r="AX111" s="13"/>
      <c r="AY111" s="13"/>
      <c r="AZ111" s="13">
        <f>ROUNDUP(IF(SUM($AX111:$AY111)=0,0,IF(IF(ISBLANK($AY111),$AX111,$AY111)*Paraméterek!$J$112&lt;IF($D$4="Forint",Paraméterek!$J$113,Paraméterek!$K$113),IF($D$4="Forint",Paraméterek!$J$113,Paraméterek!$K$113),IF(IF(ISBLANK($AY111),$AX111,$AY111)*Paraméterek!$J$112&gt;IF($D$4="Forint",Paraméterek!$J$114,Paraméterek!$K$114),IF($D$4="Forint",Paraméterek!$J$114,Paraméterek!$K$114),IF(ISBLANK($AY111),$AX111,$AY111)*Paraméterek!$J$112))),IF($D$4="Forint",0,2))</f>
        <v>0</v>
      </c>
      <c r="BA111" s="13">
        <f ca="1">$AT111+$AV111-$AW111-IF(ROUNDDOWN(IF(ISBLANK($AY111),$AX111,$AY111),IF($D$4="Forint",0,2))&gt;$AT111+$AV111-$AW111-IF($D$4="Forint",Paraméterek!$J$114,Paraméterek!$K$114),0,ROUNDDOWN(IF(ISBLANK($AY111),$AX111,$AY111),IF($D$4="Forint",0,2))-$AZ111)</f>
        <v>0</v>
      </c>
      <c r="BB111" s="13">
        <f t="shared" ca="1" si="33"/>
        <v>0</v>
      </c>
      <c r="BD111" s="32">
        <v>92</v>
      </c>
      <c r="BE111" s="32">
        <v>8</v>
      </c>
      <c r="BF111" s="32">
        <v>8</v>
      </c>
      <c r="BG111" s="34">
        <f t="shared" ca="1" si="42"/>
        <v>2027</v>
      </c>
      <c r="BH111" s="32" t="str">
        <f ca="1">IF(MOD(MONTH($D$14)+$BD111-1,12)=Paraméterek!$C$288,"Igen","")</f>
        <v/>
      </c>
      <c r="BI111" s="13">
        <f ca="1">IF($BH111="Igen",MIN(ROUNDDOWN((SUMIF($BG$20:$BG$1027,$BG111-1,$K$20:$K$1027)-SUMIF($BG$20:$BG$1027,$BG111-1,$I$20:$I$1027))*Paraméterek!$C$289,IF($D$4="Forint",0,2)),IF($D$4="Forint",Paraméterek!$C$285,Paraméterek!$D$285)),0)</f>
        <v>0</v>
      </c>
      <c r="BJ111" s="13">
        <f t="shared" ca="1" si="34"/>
        <v>0</v>
      </c>
      <c r="BK111" s="13">
        <f t="shared" ca="1" si="43"/>
        <v>0</v>
      </c>
      <c r="BL111" s="33"/>
      <c r="BM111" s="13">
        <f t="shared" ca="1" si="35"/>
        <v>0</v>
      </c>
      <c r="BN111" s="13">
        <f ca="1">ROUNDUP(($BK111+$BM111)*VLOOKUP($BE111,Paraméterek!$P$38:$Q$38,2)/12*IF($D112="Nem",IF($M$13=0,1,$M$13),1),IF($D$4="Forint",0,2))</f>
        <v>0</v>
      </c>
      <c r="BO111" s="13">
        <f t="shared" ca="1" si="36"/>
        <v>0</v>
      </c>
      <c r="BP111" s="13">
        <f ca="1">IF($D112="Nem",$BO111,$BO111-ROUNDUP(SUM($BI$20:$BI111)*120%,IF($D$4="Forint",0,2)))</f>
        <v>0</v>
      </c>
    </row>
    <row r="112" spans="1:68" x14ac:dyDescent="0.2">
      <c r="A112" s="32">
        <v>93</v>
      </c>
      <c r="B112" s="32">
        <v>8</v>
      </c>
      <c r="C112" s="32">
        <v>9</v>
      </c>
      <c r="D112" s="32" t="str">
        <f t="shared" ca="1" si="22"/>
        <v>Nem</v>
      </c>
      <c r="E112" s="13">
        <f t="shared" ca="1" si="23"/>
        <v>0</v>
      </c>
      <c r="F112" s="13"/>
      <c r="G112" s="13"/>
      <c r="H112" s="13"/>
      <c r="I112" s="13">
        <f t="shared" ca="1" si="24"/>
        <v>0</v>
      </c>
      <c r="J112" s="13">
        <f t="shared" ca="1" si="25"/>
        <v>0</v>
      </c>
      <c r="K112" s="13">
        <f t="shared" ca="1" si="26"/>
        <v>0</v>
      </c>
      <c r="L112" s="13" t="e">
        <f ca="1">ROUNDUP(IF($D$2="Egyszeri",$E112,IF($D$2="Havi",SUM($E$20:$E$31),IF(MOD($C112,$M$1)-1=0,SUM($E$20:$E$31),0))/12*$M$1)*VLOOKUP($B112,Paraméterek!$I$28:$P$31,IF($D$2="Egyszeri",8,HLOOKUP(ROUNDUP($M$11+$M$13,0),Paraméterek!$J$26:$O$27,2))),IF($D$4="Forint",0,2))</f>
        <v>#N/A</v>
      </c>
      <c r="M112" s="13">
        <f t="shared" ca="1" si="27"/>
        <v>0</v>
      </c>
      <c r="N112" s="13">
        <f t="shared" ca="1" si="37"/>
        <v>0</v>
      </c>
      <c r="O112" s="13">
        <f ca="1">IF($D112="Igen",IF($W111&gt;=IF($D$4="Forint",Paraméterek!$J$121,Paraméterek!$K$121),0,IF($D$4="Forint",Paraméterek!$J$121,Paraméterek!$K$121)-$W111),0)</f>
        <v>0</v>
      </c>
      <c r="P112" s="13" t="e">
        <f ca="1">ROUNDUP($O112*VLOOKUP($M$4+$B112-1,Paraméterek!$H$58:$I$105,2,0)/Paraméterek!$I$56,IF($D$4="Forint",0,2))</f>
        <v>#N/A</v>
      </c>
      <c r="Q112" s="13">
        <f t="shared" ca="1" si="28"/>
        <v>0</v>
      </c>
      <c r="R112" s="33"/>
      <c r="S112" s="13" t="e">
        <f t="shared" ca="1" si="29"/>
        <v>#N/A</v>
      </c>
      <c r="T112" s="13" t="e">
        <f ca="1">ROUNDUP(($N112-$P112-$Q112+$S112)*VLOOKUP($B112,Paraméterek!$I$38:$K$39,IF($D$2="Egyszeri",3,2))/12*IF($D113="Nem",IF($M$13=0,1,$M$13),1),IF($D$4="Forint",0,2))</f>
        <v>#N/A</v>
      </c>
      <c r="U112" s="13"/>
      <c r="V112" s="13"/>
      <c r="W112" s="13" t="e">
        <f ca="1">$N112-$P112-$Q112+$S112-$T112-IF(ROUNDUP(IF(ISBLANK($V112),$U112*0,$V112)/IF($D$2="Egyszeri",VLOOKUP($B112+IF($C112=12,1,0),Paraméterek!$V$257:$W$262,2),IF($B112=1,1,VLOOKUP($B112+IF($C112=12,1,0),Paraméterek!$I$258:$T$278,HLOOKUP($M$11+1,Paraméterek!$J$256:$T$257,2)))),IF($D$4="Forint",0,2))&gt;$N112-$P112-$Q112+$S112-$T112-IF($D$4="Forint",Paraméterek!$C$216,Paraméterek!$D$216),0,ROUNDUP(IF(ISBLANK($V112),$U112*0,$V112)/IF($D$2="Egyszeri",VLOOKUP($B112+IF($C112=12,1,0),Paraméterek!$V$257:$W$262,2),IF($B112=1,1,VLOOKUP($B112+IF($C112=12,1,0),Paraméterek!$I$258:$T$278,HLOOKUP($M$11+1,Paraméterek!$J$256:$T$257,2)))),IF($D$4="Forint",0,2)))</f>
        <v>#N/A</v>
      </c>
      <c r="X112" s="13" t="e">
        <f ca="1">ROUNDDOWN($W112*IF($D$2="Egyszeri",VLOOKUP($B112+IF($C112=12,1,0),Paraméterek!$V$257:$W$262,2),VLOOKUP($B112+IF($C112=12,1,0),Paraméterek!$I$258:$T$278,HLOOKUP($M$11+1,Paraméterek!$I$256:$T$257,2))),IF($D$4="Forint",0,2))</f>
        <v>#N/A</v>
      </c>
      <c r="Z112" s="32">
        <v>93</v>
      </c>
      <c r="AA112" s="32">
        <v>8</v>
      </c>
      <c r="AB112" s="32">
        <v>9</v>
      </c>
      <c r="AC112" s="13">
        <f t="shared" ca="1" si="38"/>
        <v>0</v>
      </c>
      <c r="AD112" s="33"/>
      <c r="AE112" s="13">
        <f t="shared" ca="1" si="30"/>
        <v>0</v>
      </c>
      <c r="AF112" s="13">
        <f ca="1">ROUNDUP(($AC112+$AE112)*VLOOKUP($AA112,Paraméterek!$P$38:$Q$38,2)/12*IF($D113="Nem",IF($M$13=0,1,$M$13),1),IF($D$4="Forint",0,2))</f>
        <v>0</v>
      </c>
      <c r="AG112" s="13">
        <f ca="1">IF($D$2="Egyszeri",IF($D$7&gt;=IF($D$4="Forint",Paraméterek!$P$223,Paraméterek!$P$224),$D$7-IF($D$4="Forint",Paraméterek!$P$223,Paraméterek!$P$224),0),MIN(IF($AB112=12,AVERAGEIF($E$20:$E112,"&gt;0",$E$20:$E112)*12,0),SUM($E$20:$E$31)))</f>
        <v>0</v>
      </c>
      <c r="AH112" s="13">
        <f>IF($AA112=10,$AG112*IF($AB112=12,IF($AG112&lt;IF($D$4="Forint",Paraméterek!$L$223,Paraméterek!$L$224),0,VLOOKUP($AA112,Paraméterek!$K$226:$M$228,IF($AG112&lt;IF($D$4="Forint",Paraméterek!$M$223,Paraméterek!$M$224),2,3))),0),0)</f>
        <v>0</v>
      </c>
      <c r="AI112" s="13">
        <f ca="1">IF(AND($AA112=$M$11+1,$AB112=$M$12+1),SUMIF($AA$20:$AA$1027,$AA112,$AG$20:$AG$1027)*IF(SUMIF($AA$20:$AA$1027,$AA112,$AG$20:$AG$1027)&lt;IF($D$4="Forint",Paraméterek!$L$223,Paraméterek!$L$224),0,VLOOKUP($AA112,Paraméterek!$K$230:$M$250,IF(SUMIF($AA$20:$AA$1027,$AA112,$AG$20:$AG$1027)&lt;IF($D$4="Forint",Paraméterek!$M$223,Paraméterek!$M$224),2,3))),0)</f>
        <v>0</v>
      </c>
      <c r="AJ112" s="13">
        <f ca="1">IF(AND($AA112&gt;=5,MOD($AA112,5)=0),IF($AB112=12,VLOOKUP($AA112,Paraméterek!$O$225:$P$240,2),0),IF(OR($AA112=3,$AA112=4),IF($AB112=12,VLOOKUP($AA112,Paraméterek!$O$225:$P$240,2,0),0),0))*$AG112</f>
        <v>0</v>
      </c>
      <c r="AK112" s="13">
        <f t="shared" ca="1" si="31"/>
        <v>0</v>
      </c>
      <c r="AL112" s="13">
        <f t="shared" ca="1" si="39"/>
        <v>0</v>
      </c>
      <c r="AM112" s="13">
        <f t="shared" ca="1" si="40"/>
        <v>0</v>
      </c>
      <c r="AO112" s="32">
        <v>93</v>
      </c>
      <c r="AP112" s="32">
        <v>8</v>
      </c>
      <c r="AQ112" s="32">
        <v>9</v>
      </c>
      <c r="AR112" s="13"/>
      <c r="AS112" s="32"/>
      <c r="AT112" s="13">
        <f t="shared" ca="1" si="41"/>
        <v>0</v>
      </c>
      <c r="AU112" s="33"/>
      <c r="AV112" s="13">
        <f t="shared" ca="1" si="32"/>
        <v>0</v>
      </c>
      <c r="AW112" s="13">
        <f ca="1">ROUNDUP(($AT112+$AV112)*VLOOKUP($AP112,Paraméterek!$P$38:$Q$38,2)/12*IF($D113="Nem",IF($M$13=0,1,$M$13),1),IF($D$4="Forint",0,2))</f>
        <v>0</v>
      </c>
      <c r="AX112" s="13"/>
      <c r="AY112" s="13"/>
      <c r="AZ112" s="13">
        <f>ROUNDUP(IF(SUM($AX112:$AY112)=0,0,IF(IF(ISBLANK($AY112),$AX112,$AY112)*Paraméterek!$J$112&lt;IF($D$4="Forint",Paraméterek!$J$113,Paraméterek!$K$113),IF($D$4="Forint",Paraméterek!$J$113,Paraméterek!$K$113),IF(IF(ISBLANK($AY112),$AX112,$AY112)*Paraméterek!$J$112&gt;IF($D$4="Forint",Paraméterek!$J$114,Paraméterek!$K$114),IF($D$4="Forint",Paraméterek!$J$114,Paraméterek!$K$114),IF(ISBLANK($AY112),$AX112,$AY112)*Paraméterek!$J$112))),IF($D$4="Forint",0,2))</f>
        <v>0</v>
      </c>
      <c r="BA112" s="13">
        <f ca="1">$AT112+$AV112-$AW112-IF(ROUNDDOWN(IF(ISBLANK($AY112),$AX112,$AY112),IF($D$4="Forint",0,2))&gt;$AT112+$AV112-$AW112-IF($D$4="Forint",Paraméterek!$J$114,Paraméterek!$K$114),0,ROUNDDOWN(IF(ISBLANK($AY112),$AX112,$AY112),IF($D$4="Forint",0,2))-$AZ112)</f>
        <v>0</v>
      </c>
      <c r="BB112" s="13">
        <f t="shared" ca="1" si="33"/>
        <v>0</v>
      </c>
      <c r="BD112" s="32">
        <v>93</v>
      </c>
      <c r="BE112" s="32">
        <v>8</v>
      </c>
      <c r="BF112" s="32">
        <v>9</v>
      </c>
      <c r="BG112" s="34">
        <f t="shared" ca="1" si="42"/>
        <v>2027</v>
      </c>
      <c r="BH112" s="32" t="str">
        <f ca="1">IF(MOD(MONTH($D$14)+$BD112-1,12)=Paraméterek!$C$288,"Igen","")</f>
        <v/>
      </c>
      <c r="BI112" s="13">
        <f ca="1">IF($BH112="Igen",MIN(ROUNDDOWN((SUMIF($BG$20:$BG$1027,$BG112-1,$K$20:$K$1027)-SUMIF($BG$20:$BG$1027,$BG112-1,$I$20:$I$1027))*Paraméterek!$C$289,IF($D$4="Forint",0,2)),IF($D$4="Forint",Paraméterek!$C$285,Paraméterek!$D$285)),0)</f>
        <v>0</v>
      </c>
      <c r="BJ112" s="13">
        <f t="shared" ca="1" si="34"/>
        <v>0</v>
      </c>
      <c r="BK112" s="13">
        <f t="shared" ca="1" si="43"/>
        <v>0</v>
      </c>
      <c r="BL112" s="33"/>
      <c r="BM112" s="13">
        <f t="shared" ca="1" si="35"/>
        <v>0</v>
      </c>
      <c r="BN112" s="13">
        <f ca="1">ROUNDUP(($BK112+$BM112)*VLOOKUP($BE112,Paraméterek!$P$38:$Q$38,2)/12*IF($D113="Nem",IF($M$13=0,1,$M$13),1),IF($D$4="Forint",0,2))</f>
        <v>0</v>
      </c>
      <c r="BO112" s="13">
        <f t="shared" ca="1" si="36"/>
        <v>0</v>
      </c>
      <c r="BP112" s="13">
        <f ca="1">IF($D113="Nem",$BO112,$BO112-ROUNDUP(SUM($BI$20:$BI112)*120%,IF($D$4="Forint",0,2)))</f>
        <v>0</v>
      </c>
    </row>
    <row r="113" spans="1:68" x14ac:dyDescent="0.2">
      <c r="A113" s="32">
        <v>94</v>
      </c>
      <c r="B113" s="32">
        <v>8</v>
      </c>
      <c r="C113" s="32">
        <v>10</v>
      </c>
      <c r="D113" s="32" t="str">
        <f t="shared" ca="1" si="22"/>
        <v>Nem</v>
      </c>
      <c r="E113" s="13">
        <f t="shared" ca="1" si="23"/>
        <v>0</v>
      </c>
      <c r="F113" s="13"/>
      <c r="G113" s="13"/>
      <c r="H113" s="13"/>
      <c r="I113" s="13">
        <f t="shared" ca="1" si="24"/>
        <v>0</v>
      </c>
      <c r="J113" s="13">
        <f t="shared" ca="1" si="25"/>
        <v>0</v>
      </c>
      <c r="K113" s="13">
        <f t="shared" ca="1" si="26"/>
        <v>0</v>
      </c>
      <c r="L113" s="13" t="e">
        <f ca="1">ROUNDUP(IF($D$2="Egyszeri",$E113,IF($D$2="Havi",SUM($E$20:$E$31),IF(MOD($C113,$M$1)-1=0,SUM($E$20:$E$31),0))/12*$M$1)*VLOOKUP($B113,Paraméterek!$I$28:$P$31,IF($D$2="Egyszeri",8,HLOOKUP(ROUNDUP($M$11+$M$13,0),Paraméterek!$J$26:$O$27,2))),IF($D$4="Forint",0,2))</f>
        <v>#N/A</v>
      </c>
      <c r="M113" s="13">
        <f t="shared" ca="1" si="27"/>
        <v>0</v>
      </c>
      <c r="N113" s="13">
        <f t="shared" ca="1" si="37"/>
        <v>0</v>
      </c>
      <c r="O113" s="13">
        <f ca="1">IF($D113="Igen",IF($W112&gt;=IF($D$4="Forint",Paraméterek!$J$121,Paraméterek!$K$121),0,IF($D$4="Forint",Paraméterek!$J$121,Paraméterek!$K$121)-$W112),0)</f>
        <v>0</v>
      </c>
      <c r="P113" s="13" t="e">
        <f ca="1">ROUNDUP($O113*VLOOKUP($M$4+$B113-1,Paraméterek!$H$58:$I$105,2,0)/Paraméterek!$I$56,IF($D$4="Forint",0,2))</f>
        <v>#N/A</v>
      </c>
      <c r="Q113" s="13">
        <f t="shared" ca="1" si="28"/>
        <v>0</v>
      </c>
      <c r="R113" s="33"/>
      <c r="S113" s="13" t="e">
        <f t="shared" ca="1" si="29"/>
        <v>#N/A</v>
      </c>
      <c r="T113" s="13" t="e">
        <f ca="1">ROUNDUP(($N113-$P113-$Q113+$S113)*VLOOKUP($B113,Paraméterek!$I$38:$K$39,IF($D$2="Egyszeri",3,2))/12*IF($D114="Nem",IF($M$13=0,1,$M$13),1),IF($D$4="Forint",0,2))</f>
        <v>#N/A</v>
      </c>
      <c r="U113" s="13"/>
      <c r="V113" s="13"/>
      <c r="W113" s="13" t="e">
        <f ca="1">$N113-$P113-$Q113+$S113-$T113-IF(ROUNDUP(IF(ISBLANK($V113),$U113*0,$V113)/IF($D$2="Egyszeri",VLOOKUP($B113+IF($C113=12,1,0),Paraméterek!$V$257:$W$262,2),IF($B113=1,1,VLOOKUP($B113+IF($C113=12,1,0),Paraméterek!$I$258:$T$278,HLOOKUP($M$11+1,Paraméterek!$J$256:$T$257,2)))),IF($D$4="Forint",0,2))&gt;$N113-$P113-$Q113+$S113-$T113-IF($D$4="Forint",Paraméterek!$C$216,Paraméterek!$D$216),0,ROUNDUP(IF(ISBLANK($V113),$U113*0,$V113)/IF($D$2="Egyszeri",VLOOKUP($B113+IF($C113=12,1,0),Paraméterek!$V$257:$W$262,2),IF($B113=1,1,VLOOKUP($B113+IF($C113=12,1,0),Paraméterek!$I$258:$T$278,HLOOKUP($M$11+1,Paraméterek!$J$256:$T$257,2)))),IF($D$4="Forint",0,2)))</f>
        <v>#N/A</v>
      </c>
      <c r="X113" s="13" t="e">
        <f ca="1">ROUNDDOWN($W113*IF($D$2="Egyszeri",VLOOKUP($B113+IF($C113=12,1,0),Paraméterek!$V$257:$W$262,2),VLOOKUP($B113+IF($C113=12,1,0),Paraméterek!$I$258:$T$278,HLOOKUP($M$11+1,Paraméterek!$I$256:$T$257,2))),IF($D$4="Forint",0,2))</f>
        <v>#N/A</v>
      </c>
      <c r="Z113" s="32">
        <v>94</v>
      </c>
      <c r="AA113" s="32">
        <v>8</v>
      </c>
      <c r="AB113" s="32">
        <v>10</v>
      </c>
      <c r="AC113" s="13">
        <f t="shared" ca="1" si="38"/>
        <v>0</v>
      </c>
      <c r="AD113" s="33"/>
      <c r="AE113" s="13">
        <f t="shared" ca="1" si="30"/>
        <v>0</v>
      </c>
      <c r="AF113" s="13">
        <f ca="1">ROUNDUP(($AC113+$AE113)*VLOOKUP($AA113,Paraméterek!$P$38:$Q$38,2)/12*IF($D114="Nem",IF($M$13=0,1,$M$13),1),IF($D$4="Forint",0,2))</f>
        <v>0</v>
      </c>
      <c r="AG113" s="13">
        <f ca="1">IF($D$2="Egyszeri",IF($D$7&gt;=IF($D$4="Forint",Paraméterek!$P$223,Paraméterek!$P$224),$D$7-IF($D$4="Forint",Paraméterek!$P$223,Paraméterek!$P$224),0),MIN(IF($AB113=12,AVERAGEIF($E$20:$E113,"&gt;0",$E$20:$E113)*12,0),SUM($E$20:$E$31)))</f>
        <v>0</v>
      </c>
      <c r="AH113" s="13">
        <f>IF($AA113=10,$AG113*IF($AB113=12,IF($AG113&lt;IF($D$4="Forint",Paraméterek!$L$223,Paraméterek!$L$224),0,VLOOKUP($AA113,Paraméterek!$K$226:$M$228,IF($AG113&lt;IF($D$4="Forint",Paraméterek!$M$223,Paraméterek!$M$224),2,3))),0),0)</f>
        <v>0</v>
      </c>
      <c r="AI113" s="13">
        <f ca="1">IF(AND($AA113=$M$11+1,$AB113=$M$12+1),SUMIF($AA$20:$AA$1027,$AA113,$AG$20:$AG$1027)*IF(SUMIF($AA$20:$AA$1027,$AA113,$AG$20:$AG$1027)&lt;IF($D$4="Forint",Paraméterek!$L$223,Paraméterek!$L$224),0,VLOOKUP($AA113,Paraméterek!$K$230:$M$250,IF(SUMIF($AA$20:$AA$1027,$AA113,$AG$20:$AG$1027)&lt;IF($D$4="Forint",Paraméterek!$M$223,Paraméterek!$M$224),2,3))),0)</f>
        <v>0</v>
      </c>
      <c r="AJ113" s="13">
        <f ca="1">IF(AND($AA113&gt;=5,MOD($AA113,5)=0),IF($AB113=12,VLOOKUP($AA113,Paraméterek!$O$225:$P$240,2),0),IF(OR($AA113=3,$AA113=4),IF($AB113=12,VLOOKUP($AA113,Paraméterek!$O$225:$P$240,2,0),0),0))*$AG113</f>
        <v>0</v>
      </c>
      <c r="AK113" s="13">
        <f t="shared" ca="1" si="31"/>
        <v>0</v>
      </c>
      <c r="AL113" s="13">
        <f t="shared" ca="1" si="39"/>
        <v>0</v>
      </c>
      <c r="AM113" s="13">
        <f t="shared" ca="1" si="40"/>
        <v>0</v>
      </c>
      <c r="AO113" s="32">
        <v>94</v>
      </c>
      <c r="AP113" s="32">
        <v>8</v>
      </c>
      <c r="AQ113" s="32">
        <v>10</v>
      </c>
      <c r="AR113" s="13"/>
      <c r="AS113" s="32"/>
      <c r="AT113" s="13">
        <f t="shared" ca="1" si="41"/>
        <v>0</v>
      </c>
      <c r="AU113" s="33"/>
      <c r="AV113" s="13">
        <f t="shared" ca="1" si="32"/>
        <v>0</v>
      </c>
      <c r="AW113" s="13">
        <f ca="1">ROUNDUP(($AT113+$AV113)*VLOOKUP($AP113,Paraméterek!$P$38:$Q$38,2)/12*IF($D114="Nem",IF($M$13=0,1,$M$13),1),IF($D$4="Forint",0,2))</f>
        <v>0</v>
      </c>
      <c r="AX113" s="13"/>
      <c r="AY113" s="13"/>
      <c r="AZ113" s="13">
        <f>ROUNDUP(IF(SUM($AX113:$AY113)=0,0,IF(IF(ISBLANK($AY113),$AX113,$AY113)*Paraméterek!$J$112&lt;IF($D$4="Forint",Paraméterek!$J$113,Paraméterek!$K$113),IF($D$4="Forint",Paraméterek!$J$113,Paraméterek!$K$113),IF(IF(ISBLANK($AY113),$AX113,$AY113)*Paraméterek!$J$112&gt;IF($D$4="Forint",Paraméterek!$J$114,Paraméterek!$K$114),IF($D$4="Forint",Paraméterek!$J$114,Paraméterek!$K$114),IF(ISBLANK($AY113),$AX113,$AY113)*Paraméterek!$J$112))),IF($D$4="Forint",0,2))</f>
        <v>0</v>
      </c>
      <c r="BA113" s="13">
        <f ca="1">$AT113+$AV113-$AW113-IF(ROUNDDOWN(IF(ISBLANK($AY113),$AX113,$AY113),IF($D$4="Forint",0,2))&gt;$AT113+$AV113-$AW113-IF($D$4="Forint",Paraméterek!$J$114,Paraméterek!$K$114),0,ROUNDDOWN(IF(ISBLANK($AY113),$AX113,$AY113),IF($D$4="Forint",0,2))-$AZ113)</f>
        <v>0</v>
      </c>
      <c r="BB113" s="13">
        <f t="shared" ca="1" si="33"/>
        <v>0</v>
      </c>
      <c r="BD113" s="32">
        <v>94</v>
      </c>
      <c r="BE113" s="32">
        <v>8</v>
      </c>
      <c r="BF113" s="32">
        <v>10</v>
      </c>
      <c r="BG113" s="34">
        <f t="shared" ca="1" si="42"/>
        <v>2027</v>
      </c>
      <c r="BH113" s="32" t="str">
        <f ca="1">IF(MOD(MONTH($D$14)+$BD113-1,12)=Paraméterek!$C$288,"Igen","")</f>
        <v/>
      </c>
      <c r="BI113" s="13">
        <f ca="1">IF($BH113="Igen",MIN(ROUNDDOWN((SUMIF($BG$20:$BG$1027,$BG113-1,$K$20:$K$1027)-SUMIF($BG$20:$BG$1027,$BG113-1,$I$20:$I$1027))*Paraméterek!$C$289,IF($D$4="Forint",0,2)),IF($D$4="Forint",Paraméterek!$C$285,Paraméterek!$D$285)),0)</f>
        <v>0</v>
      </c>
      <c r="BJ113" s="13">
        <f t="shared" ca="1" si="34"/>
        <v>0</v>
      </c>
      <c r="BK113" s="13">
        <f t="shared" ca="1" si="43"/>
        <v>0</v>
      </c>
      <c r="BL113" s="33"/>
      <c r="BM113" s="13">
        <f t="shared" ca="1" si="35"/>
        <v>0</v>
      </c>
      <c r="BN113" s="13">
        <f ca="1">ROUNDUP(($BK113+$BM113)*VLOOKUP($BE113,Paraméterek!$P$38:$Q$38,2)/12*IF($D114="Nem",IF($M$13=0,1,$M$13),1),IF($D$4="Forint",0,2))</f>
        <v>0</v>
      </c>
      <c r="BO113" s="13">
        <f t="shared" ca="1" si="36"/>
        <v>0</v>
      </c>
      <c r="BP113" s="13">
        <f ca="1">IF($D114="Nem",$BO113,$BO113-ROUNDUP(SUM($BI$20:$BI113)*120%,IF($D$4="Forint",0,2)))</f>
        <v>0</v>
      </c>
    </row>
    <row r="114" spans="1:68" x14ac:dyDescent="0.2">
      <c r="A114" s="32">
        <v>95</v>
      </c>
      <c r="B114" s="32">
        <v>8</v>
      </c>
      <c r="C114" s="32">
        <v>11</v>
      </c>
      <c r="D114" s="32" t="str">
        <f t="shared" ca="1" si="22"/>
        <v>Nem</v>
      </c>
      <c r="E114" s="13">
        <f t="shared" ca="1" si="23"/>
        <v>0</v>
      </c>
      <c r="F114" s="13"/>
      <c r="G114" s="13"/>
      <c r="H114" s="13"/>
      <c r="I114" s="13">
        <f t="shared" ca="1" si="24"/>
        <v>0</v>
      </c>
      <c r="J114" s="13">
        <f t="shared" ca="1" si="25"/>
        <v>0</v>
      </c>
      <c r="K114" s="13">
        <f t="shared" ca="1" si="26"/>
        <v>0</v>
      </c>
      <c r="L114" s="13" t="e">
        <f ca="1">ROUNDUP(IF($D$2="Egyszeri",$E114,IF($D$2="Havi",SUM($E$20:$E$31),IF(MOD($C114,$M$1)-1=0,SUM($E$20:$E$31),0))/12*$M$1)*VLOOKUP($B114,Paraméterek!$I$28:$P$31,IF($D$2="Egyszeri",8,HLOOKUP(ROUNDUP($M$11+$M$13,0),Paraméterek!$J$26:$O$27,2))),IF($D$4="Forint",0,2))</f>
        <v>#N/A</v>
      </c>
      <c r="M114" s="13">
        <f t="shared" ca="1" si="27"/>
        <v>0</v>
      </c>
      <c r="N114" s="13">
        <f t="shared" ca="1" si="37"/>
        <v>0</v>
      </c>
      <c r="O114" s="13">
        <f ca="1">IF($D114="Igen",IF($W113&gt;=IF($D$4="Forint",Paraméterek!$J$121,Paraméterek!$K$121),0,IF($D$4="Forint",Paraméterek!$J$121,Paraméterek!$K$121)-$W113),0)</f>
        <v>0</v>
      </c>
      <c r="P114" s="13" t="e">
        <f ca="1">ROUNDUP($O114*VLOOKUP($M$4+$B114-1,Paraméterek!$H$58:$I$105,2,0)/Paraméterek!$I$56,IF($D$4="Forint",0,2))</f>
        <v>#N/A</v>
      </c>
      <c r="Q114" s="13">
        <f t="shared" ca="1" si="28"/>
        <v>0</v>
      </c>
      <c r="R114" s="33"/>
      <c r="S114" s="13" t="e">
        <f t="shared" ca="1" si="29"/>
        <v>#N/A</v>
      </c>
      <c r="T114" s="13" t="e">
        <f ca="1">ROUNDUP(($N114-$P114-$Q114+$S114)*VLOOKUP($B114,Paraméterek!$I$38:$K$39,IF($D$2="Egyszeri",3,2))/12*IF($D115="Nem",IF($M$13=0,1,$M$13),1),IF($D$4="Forint",0,2))</f>
        <v>#N/A</v>
      </c>
      <c r="U114" s="13"/>
      <c r="V114" s="13"/>
      <c r="W114" s="13" t="e">
        <f ca="1">$N114-$P114-$Q114+$S114-$T114-IF(ROUNDUP(IF(ISBLANK($V114),$U114*0,$V114)/IF($D$2="Egyszeri",VLOOKUP($B114+IF($C114=12,1,0),Paraméterek!$V$257:$W$262,2),IF($B114=1,1,VLOOKUP($B114+IF($C114=12,1,0),Paraméterek!$I$258:$T$278,HLOOKUP($M$11+1,Paraméterek!$J$256:$T$257,2)))),IF($D$4="Forint",0,2))&gt;$N114-$P114-$Q114+$S114-$T114-IF($D$4="Forint",Paraméterek!$C$216,Paraméterek!$D$216),0,ROUNDUP(IF(ISBLANK($V114),$U114*0,$V114)/IF($D$2="Egyszeri",VLOOKUP($B114+IF($C114=12,1,0),Paraméterek!$V$257:$W$262,2),IF($B114=1,1,VLOOKUP($B114+IF($C114=12,1,0),Paraméterek!$I$258:$T$278,HLOOKUP($M$11+1,Paraméterek!$J$256:$T$257,2)))),IF($D$4="Forint",0,2)))</f>
        <v>#N/A</v>
      </c>
      <c r="X114" s="13" t="e">
        <f ca="1">ROUNDDOWN($W114*IF($D$2="Egyszeri",VLOOKUP($B114+IF($C114=12,1,0),Paraméterek!$V$257:$W$262,2),VLOOKUP($B114+IF($C114=12,1,0),Paraméterek!$I$258:$T$278,HLOOKUP($M$11+1,Paraméterek!$I$256:$T$257,2))),IF($D$4="Forint",0,2))</f>
        <v>#N/A</v>
      </c>
      <c r="Z114" s="32">
        <v>95</v>
      </c>
      <c r="AA114" s="32">
        <v>8</v>
      </c>
      <c r="AB114" s="32">
        <v>11</v>
      </c>
      <c r="AC114" s="13">
        <f t="shared" ca="1" si="38"/>
        <v>0</v>
      </c>
      <c r="AD114" s="33"/>
      <c r="AE114" s="13">
        <f t="shared" ca="1" si="30"/>
        <v>0</v>
      </c>
      <c r="AF114" s="13">
        <f ca="1">ROUNDUP(($AC114+$AE114)*VLOOKUP($AA114,Paraméterek!$P$38:$Q$38,2)/12*IF($D115="Nem",IF($M$13=0,1,$M$13),1),IF($D$4="Forint",0,2))</f>
        <v>0</v>
      </c>
      <c r="AG114" s="13">
        <f ca="1">IF($D$2="Egyszeri",IF($D$7&gt;=IF($D$4="Forint",Paraméterek!$P$223,Paraméterek!$P$224),$D$7-IF($D$4="Forint",Paraméterek!$P$223,Paraméterek!$P$224),0),MIN(IF($AB114=12,AVERAGEIF($E$20:$E114,"&gt;0",$E$20:$E114)*12,0),SUM($E$20:$E$31)))</f>
        <v>0</v>
      </c>
      <c r="AH114" s="13">
        <f>IF($AA114=10,$AG114*IF($AB114=12,IF($AG114&lt;IF($D$4="Forint",Paraméterek!$L$223,Paraméterek!$L$224),0,VLOOKUP($AA114,Paraméterek!$K$226:$M$228,IF($AG114&lt;IF($D$4="Forint",Paraméterek!$M$223,Paraméterek!$M$224),2,3))),0),0)</f>
        <v>0</v>
      </c>
      <c r="AI114" s="13">
        <f ca="1">IF(AND($AA114=$M$11+1,$AB114=$M$12+1),SUMIF($AA$20:$AA$1027,$AA114,$AG$20:$AG$1027)*IF(SUMIF($AA$20:$AA$1027,$AA114,$AG$20:$AG$1027)&lt;IF($D$4="Forint",Paraméterek!$L$223,Paraméterek!$L$224),0,VLOOKUP($AA114,Paraméterek!$K$230:$M$250,IF(SUMIF($AA$20:$AA$1027,$AA114,$AG$20:$AG$1027)&lt;IF($D$4="Forint",Paraméterek!$M$223,Paraméterek!$M$224),2,3))),0)</f>
        <v>0</v>
      </c>
      <c r="AJ114" s="13">
        <f ca="1">IF(AND($AA114&gt;=5,MOD($AA114,5)=0),IF($AB114=12,VLOOKUP($AA114,Paraméterek!$O$225:$P$240,2),0),IF(OR($AA114=3,$AA114=4),IF($AB114=12,VLOOKUP($AA114,Paraméterek!$O$225:$P$240,2,0),0),0))*$AG114</f>
        <v>0</v>
      </c>
      <c r="AK114" s="13">
        <f t="shared" ca="1" si="31"/>
        <v>0</v>
      </c>
      <c r="AL114" s="13">
        <f t="shared" ca="1" si="39"/>
        <v>0</v>
      </c>
      <c r="AM114" s="13">
        <f t="shared" ca="1" si="40"/>
        <v>0</v>
      </c>
      <c r="AO114" s="32">
        <v>95</v>
      </c>
      <c r="AP114" s="32">
        <v>8</v>
      </c>
      <c r="AQ114" s="32">
        <v>11</v>
      </c>
      <c r="AR114" s="13"/>
      <c r="AS114" s="32"/>
      <c r="AT114" s="13">
        <f t="shared" ca="1" si="41"/>
        <v>0</v>
      </c>
      <c r="AU114" s="33"/>
      <c r="AV114" s="13">
        <f t="shared" ca="1" si="32"/>
        <v>0</v>
      </c>
      <c r="AW114" s="13">
        <f ca="1">ROUNDUP(($AT114+$AV114)*VLOOKUP($AP114,Paraméterek!$P$38:$Q$38,2)/12*IF($D115="Nem",IF($M$13=0,1,$M$13),1),IF($D$4="Forint",0,2))</f>
        <v>0</v>
      </c>
      <c r="AX114" s="13"/>
      <c r="AY114" s="13"/>
      <c r="AZ114" s="13">
        <f>ROUNDUP(IF(SUM($AX114:$AY114)=0,0,IF(IF(ISBLANK($AY114),$AX114,$AY114)*Paraméterek!$J$112&lt;IF($D$4="Forint",Paraméterek!$J$113,Paraméterek!$K$113),IF($D$4="Forint",Paraméterek!$J$113,Paraméterek!$K$113),IF(IF(ISBLANK($AY114),$AX114,$AY114)*Paraméterek!$J$112&gt;IF($D$4="Forint",Paraméterek!$J$114,Paraméterek!$K$114),IF($D$4="Forint",Paraméterek!$J$114,Paraméterek!$K$114),IF(ISBLANK($AY114),$AX114,$AY114)*Paraméterek!$J$112))),IF($D$4="Forint",0,2))</f>
        <v>0</v>
      </c>
      <c r="BA114" s="13">
        <f ca="1">$AT114+$AV114-$AW114-IF(ROUNDDOWN(IF(ISBLANK($AY114),$AX114,$AY114),IF($D$4="Forint",0,2))&gt;$AT114+$AV114-$AW114-IF($D$4="Forint",Paraméterek!$J$114,Paraméterek!$K$114),0,ROUNDDOWN(IF(ISBLANK($AY114),$AX114,$AY114),IF($D$4="Forint",0,2))-$AZ114)</f>
        <v>0</v>
      </c>
      <c r="BB114" s="13">
        <f t="shared" ca="1" si="33"/>
        <v>0</v>
      </c>
      <c r="BD114" s="32">
        <v>95</v>
      </c>
      <c r="BE114" s="32">
        <v>8</v>
      </c>
      <c r="BF114" s="32">
        <v>11</v>
      </c>
      <c r="BG114" s="34">
        <f t="shared" ca="1" si="42"/>
        <v>2027</v>
      </c>
      <c r="BH114" s="32" t="str">
        <f ca="1">IF(MOD(MONTH($D$14)+$BD114-1,12)=Paraméterek!$C$288,"Igen","")</f>
        <v/>
      </c>
      <c r="BI114" s="13">
        <f ca="1">IF($BH114="Igen",MIN(ROUNDDOWN((SUMIF($BG$20:$BG$1027,$BG114-1,$K$20:$K$1027)-SUMIF($BG$20:$BG$1027,$BG114-1,$I$20:$I$1027))*Paraméterek!$C$289,IF($D$4="Forint",0,2)),IF($D$4="Forint",Paraméterek!$C$285,Paraméterek!$D$285)),0)</f>
        <v>0</v>
      </c>
      <c r="BJ114" s="13">
        <f t="shared" ca="1" si="34"/>
        <v>0</v>
      </c>
      <c r="BK114" s="13">
        <f t="shared" ca="1" si="43"/>
        <v>0</v>
      </c>
      <c r="BL114" s="33"/>
      <c r="BM114" s="13">
        <f t="shared" ca="1" si="35"/>
        <v>0</v>
      </c>
      <c r="BN114" s="13">
        <f ca="1">ROUNDUP(($BK114+$BM114)*VLOOKUP($BE114,Paraméterek!$P$38:$Q$38,2)/12*IF($D115="Nem",IF($M$13=0,1,$M$13),1),IF($D$4="Forint",0,2))</f>
        <v>0</v>
      </c>
      <c r="BO114" s="13">
        <f t="shared" ca="1" si="36"/>
        <v>0</v>
      </c>
      <c r="BP114" s="13">
        <f ca="1">IF($D115="Nem",$BO114,$BO114-ROUNDUP(SUM($BI$20:$BI114)*120%,IF($D$4="Forint",0,2)))</f>
        <v>0</v>
      </c>
    </row>
    <row r="115" spans="1:68" x14ac:dyDescent="0.2">
      <c r="A115" s="32">
        <v>96</v>
      </c>
      <c r="B115" s="32">
        <v>8</v>
      </c>
      <c r="C115" s="32">
        <v>12</v>
      </c>
      <c r="D115" s="32" t="str">
        <f t="shared" ca="1" si="22"/>
        <v>Nem</v>
      </c>
      <c r="E115" s="13">
        <f t="shared" ca="1" si="23"/>
        <v>0</v>
      </c>
      <c r="F115" s="13"/>
      <c r="G115" s="13"/>
      <c r="H115" s="13"/>
      <c r="I115" s="13">
        <f t="shared" ca="1" si="24"/>
        <v>0</v>
      </c>
      <c r="J115" s="13">
        <f t="shared" ca="1" si="25"/>
        <v>0</v>
      </c>
      <c r="K115" s="13">
        <f t="shared" ca="1" si="26"/>
        <v>0</v>
      </c>
      <c r="L115" s="13" t="e">
        <f ca="1">ROUNDUP(IF($D$2="Egyszeri",$E115,IF($D$2="Havi",SUM($E$20:$E$31),IF(MOD($C115,$M$1)-1=0,SUM($E$20:$E$31),0))/12*$M$1)*VLOOKUP($B115,Paraméterek!$I$28:$P$31,IF($D$2="Egyszeri",8,HLOOKUP(ROUNDUP($M$11+$M$13,0),Paraméterek!$J$26:$O$27,2))),IF($D$4="Forint",0,2))</f>
        <v>#N/A</v>
      </c>
      <c r="M115" s="13">
        <f t="shared" ca="1" si="27"/>
        <v>0</v>
      </c>
      <c r="N115" s="13">
        <f t="shared" ca="1" si="37"/>
        <v>0</v>
      </c>
      <c r="O115" s="13">
        <f ca="1">IF($D115="Igen",IF($W114&gt;=IF($D$4="Forint",Paraméterek!$J$121,Paraméterek!$K$121),0,IF($D$4="Forint",Paraméterek!$J$121,Paraméterek!$K$121)-$W114),0)</f>
        <v>0</v>
      </c>
      <c r="P115" s="13" t="e">
        <f ca="1">ROUNDUP($O115*VLOOKUP($M$4+$B115-1,Paraméterek!$H$58:$I$105,2,0)/Paraméterek!$I$56,IF($D$4="Forint",0,2))</f>
        <v>#N/A</v>
      </c>
      <c r="Q115" s="13">
        <f t="shared" ca="1" si="28"/>
        <v>0</v>
      </c>
      <c r="R115" s="33"/>
      <c r="S115" s="13" t="e">
        <f t="shared" ca="1" si="29"/>
        <v>#N/A</v>
      </c>
      <c r="T115" s="13" t="e">
        <f ca="1">ROUNDUP(($N115-$P115-$Q115+$S115)*VLOOKUP($B115,Paraméterek!$I$38:$K$39,IF($D$2="Egyszeri",3,2))/12*IF($D116="Nem",IF($M$13=0,1,$M$13),1),IF($D$4="Forint",0,2))</f>
        <v>#N/A</v>
      </c>
      <c r="U115" s="13">
        <f>Tranzakciók!$F$39</f>
        <v>0</v>
      </c>
      <c r="V115" s="13"/>
      <c r="W115" s="13" t="e">
        <f ca="1">$N115-$P115-$Q115+$S115-$T115-IF(ROUNDUP(IF(ISBLANK($V115),$U115*0,$V115)/IF($D$2="Egyszeri",VLOOKUP($B115+IF($C115=12,1,0),Paraméterek!$V$257:$W$262,2),IF($B115=1,1,VLOOKUP($B115+IF($C115=12,1,0),Paraméterek!$I$258:$T$278,HLOOKUP($M$11+1,Paraméterek!$J$256:$T$257,2)))),IF($D$4="Forint",0,2))&gt;$N115-$P115-$Q115+$S115-$T115-IF($D$4="Forint",Paraméterek!$C$216,Paraméterek!$D$216),0,ROUNDUP(IF(ISBLANK($V115),$U115*0,$V115)/IF($D$2="Egyszeri",VLOOKUP($B115+IF($C115=12,1,0),Paraméterek!$V$257:$W$262,2),IF($B115=1,1,VLOOKUP($B115+IF($C115=12,1,0),Paraméterek!$I$258:$T$278,HLOOKUP($M$11+1,Paraméterek!$J$256:$T$257,2)))),IF($D$4="Forint",0,2)))</f>
        <v>#N/A</v>
      </c>
      <c r="X115" s="13" t="e">
        <f ca="1">ROUNDDOWN($W115*IF($D$2="Egyszeri",VLOOKUP($B115+IF($C115=12,1,0),Paraméterek!$V$257:$W$262,2),VLOOKUP($B115+IF($C115=12,1,0),Paraméterek!$I$258:$T$278,HLOOKUP($M$11+1,Paraméterek!$I$256:$T$257,2))),IF($D$4="Forint",0,2))</f>
        <v>#N/A</v>
      </c>
      <c r="Z115" s="32">
        <v>96</v>
      </c>
      <c r="AA115" s="32">
        <v>8</v>
      </c>
      <c r="AB115" s="32">
        <v>12</v>
      </c>
      <c r="AC115" s="13">
        <f t="shared" ca="1" si="38"/>
        <v>0</v>
      </c>
      <c r="AD115" s="33"/>
      <c r="AE115" s="13">
        <f t="shared" ca="1" si="30"/>
        <v>0</v>
      </c>
      <c r="AF115" s="13">
        <f ca="1">ROUNDUP(($AC115+$AE115)*VLOOKUP($AA115,Paraméterek!$P$38:$Q$38,2)/12*IF($D116="Nem",IF($M$13=0,1,$M$13),1),IF($D$4="Forint",0,2))</f>
        <v>0</v>
      </c>
      <c r="AG115" s="13" t="e">
        <f ca="1">IF($D$2="Egyszeri",IF($D$7&gt;=IF($D$4="Forint",Paraméterek!$P$223,Paraméterek!$P$224),$D$7-IF($D$4="Forint",Paraméterek!$P$223,Paraméterek!$P$224),0),MIN(IF($AB115=12,AVERAGEIF($E$20:$E115,"&gt;0",$E$20:$E115)*12,0),SUM($E$20:$E$31)))</f>
        <v>#DIV/0!</v>
      </c>
      <c r="AH115" s="13">
        <f>IF($AA115=10,$AG115*IF($AB115=12,IF($AG115&lt;IF($D$4="Forint",Paraméterek!$L$223,Paraméterek!$L$224),0,VLOOKUP($AA115,Paraméterek!$K$226:$M$228,IF($AG115&lt;IF($D$4="Forint",Paraméterek!$M$223,Paraméterek!$M$224),2,3))),0),0)</f>
        <v>0</v>
      </c>
      <c r="AI115" s="13">
        <f ca="1">IF(AND($AA115=$M$11+1,$AB115=$M$12+1),SUMIF($AA$20:$AA$1027,$AA115,$AG$20:$AG$1027)*IF(SUMIF($AA$20:$AA$1027,$AA115,$AG$20:$AG$1027)&lt;IF($D$4="Forint",Paraméterek!$L$223,Paraméterek!$L$224),0,VLOOKUP($AA115,Paraméterek!$K$230:$M$250,IF(SUMIF($AA$20:$AA$1027,$AA115,$AG$20:$AG$1027)&lt;IF($D$4="Forint",Paraméterek!$M$223,Paraméterek!$M$224),2,3))),0)</f>
        <v>0</v>
      </c>
      <c r="AJ115" s="13" t="e">
        <f ca="1">IF(AND($AA115&gt;=5,MOD($AA115,5)=0),IF($AB115=12,VLOOKUP($AA115,Paraméterek!$O$225:$P$240,2),0),IF(OR($AA115=3,$AA115=4),IF($AB115=12,VLOOKUP($AA115,Paraméterek!$O$225:$P$240,2,0),0),0))*$AG115</f>
        <v>#DIV/0!</v>
      </c>
      <c r="AK115" s="13">
        <f t="shared" ca="1" si="31"/>
        <v>0</v>
      </c>
      <c r="AL115" s="13">
        <f t="shared" ca="1" si="39"/>
        <v>0</v>
      </c>
      <c r="AM115" s="13">
        <f t="shared" ca="1" si="40"/>
        <v>0</v>
      </c>
      <c r="AO115" s="32">
        <v>96</v>
      </c>
      <c r="AP115" s="32">
        <v>8</v>
      </c>
      <c r="AQ115" s="32">
        <v>12</v>
      </c>
      <c r="AR115" s="13"/>
      <c r="AS115" s="32"/>
      <c r="AT115" s="13">
        <f t="shared" ca="1" si="41"/>
        <v>0</v>
      </c>
      <c r="AU115" s="33"/>
      <c r="AV115" s="13">
        <f t="shared" ca="1" si="32"/>
        <v>0</v>
      </c>
      <c r="AW115" s="13">
        <f ca="1">ROUNDUP(($AT115+$AV115)*VLOOKUP($AP115,Paraméterek!$P$38:$Q$38,2)/12*IF($D116="Nem",IF($M$13=0,1,$M$13),1),IF($D$4="Forint",0,2))</f>
        <v>0</v>
      </c>
      <c r="AX115" s="13">
        <f>Tranzakciók!$M$39</f>
        <v>0</v>
      </c>
      <c r="AY115" s="13"/>
      <c r="AZ115" s="13">
        <f>ROUNDUP(IF(SUM($AX115:$AY115)=0,0,IF(IF(ISBLANK($AY115),$AX115,$AY115)*Paraméterek!$J$112&lt;IF($D$4="Forint",Paraméterek!$J$113,Paraméterek!$K$113),IF($D$4="Forint",Paraméterek!$J$113,Paraméterek!$K$113),IF(IF(ISBLANK($AY115),$AX115,$AY115)*Paraméterek!$J$112&gt;IF($D$4="Forint",Paraméterek!$J$114,Paraméterek!$K$114),IF($D$4="Forint",Paraméterek!$J$114,Paraméterek!$K$114),IF(ISBLANK($AY115),$AX115,$AY115)*Paraméterek!$J$112))),IF($D$4="Forint",0,2))</f>
        <v>0</v>
      </c>
      <c r="BA115" s="13">
        <f ca="1">$AT115+$AV115-$AW115-IF(ROUNDDOWN(IF(ISBLANK($AY115),$AX115,$AY115),IF($D$4="Forint",0,2))&gt;$AT115+$AV115-$AW115-IF($D$4="Forint",Paraméterek!$J$114,Paraméterek!$K$114),0,ROUNDDOWN(IF(ISBLANK($AY115),$AX115,$AY115),IF($D$4="Forint",0,2))-$AZ115)</f>
        <v>0</v>
      </c>
      <c r="BB115" s="13">
        <f t="shared" ca="1" si="33"/>
        <v>0</v>
      </c>
      <c r="BD115" s="32">
        <v>96</v>
      </c>
      <c r="BE115" s="32">
        <v>8</v>
      </c>
      <c r="BF115" s="32">
        <v>12</v>
      </c>
      <c r="BG115" s="34">
        <f t="shared" ca="1" si="42"/>
        <v>2027</v>
      </c>
      <c r="BH115" s="32" t="str">
        <f ca="1">IF(MOD(MONTH($D$14)+$BD115-1,12)=Paraméterek!$C$288,"Igen","")</f>
        <v/>
      </c>
      <c r="BI115" s="13">
        <f ca="1">IF($BH115="Igen",MIN(ROUNDDOWN((SUMIF($BG$20:$BG$1027,$BG115-1,$K$20:$K$1027)-SUMIF($BG$20:$BG$1027,$BG115-1,$I$20:$I$1027))*Paraméterek!$C$289,IF($D$4="Forint",0,2)),IF($D$4="Forint",Paraméterek!$C$285,Paraméterek!$D$285)),0)</f>
        <v>0</v>
      </c>
      <c r="BJ115" s="13">
        <f t="shared" ca="1" si="34"/>
        <v>0</v>
      </c>
      <c r="BK115" s="13">
        <f t="shared" ca="1" si="43"/>
        <v>0</v>
      </c>
      <c r="BL115" s="33"/>
      <c r="BM115" s="13">
        <f t="shared" ca="1" si="35"/>
        <v>0</v>
      </c>
      <c r="BN115" s="13">
        <f ca="1">ROUNDUP(($BK115+$BM115)*VLOOKUP($BE115,Paraméterek!$P$38:$Q$38,2)/12*IF($D116="Nem",IF($M$13=0,1,$M$13),1),IF($D$4="Forint",0,2))</f>
        <v>0</v>
      </c>
      <c r="BO115" s="13">
        <f t="shared" ca="1" si="36"/>
        <v>0</v>
      </c>
      <c r="BP115" s="13">
        <f ca="1">IF($D116="Nem",$BO115,$BO115-ROUNDUP(SUM($BI$20:$BI115)*120%,IF($D$4="Forint",0,2)))</f>
        <v>0</v>
      </c>
    </row>
    <row r="116" spans="1:68" x14ac:dyDescent="0.2">
      <c r="A116" s="32">
        <v>97</v>
      </c>
      <c r="B116" s="32">
        <v>9</v>
      </c>
      <c r="C116" s="32">
        <v>1</v>
      </c>
      <c r="D116" s="32" t="str">
        <f t="shared" ca="1" si="22"/>
        <v>Nem</v>
      </c>
      <c r="E116" s="13">
        <f t="shared" ca="1" si="23"/>
        <v>0</v>
      </c>
      <c r="F116" s="13"/>
      <c r="G116" s="13">
        <f>Tranzakciók!$D$40</f>
        <v>0</v>
      </c>
      <c r="H116" s="13"/>
      <c r="I116" s="13">
        <f t="shared" ca="1" si="24"/>
        <v>0</v>
      </c>
      <c r="J116" s="13">
        <f t="shared" ca="1" si="25"/>
        <v>0</v>
      </c>
      <c r="K116" s="13">
        <f t="shared" ca="1" si="26"/>
        <v>0</v>
      </c>
      <c r="L116" s="13" t="e">
        <f ca="1">ROUNDUP(IF($D$2="Egyszeri",$E116,IF($D$2="Havi",SUM($E$20:$E$31),IF(MOD($C116,$M$1)-1=0,SUM($E$20:$E$31),0))/12*$M$1)*VLOOKUP($B116,Paraméterek!$I$28:$P$31,IF($D$2="Egyszeri",8,HLOOKUP(ROUNDUP($M$11+$M$13,0),Paraméterek!$J$26:$O$27,2))),IF($D$4="Forint",0,2))</f>
        <v>#N/A</v>
      </c>
      <c r="M116" s="13">
        <f t="shared" ca="1" si="27"/>
        <v>0</v>
      </c>
      <c r="N116" s="13">
        <f t="shared" ca="1" si="37"/>
        <v>0</v>
      </c>
      <c r="O116" s="13">
        <f ca="1">IF($D116="Igen",IF($W115&gt;=IF($D$4="Forint",Paraméterek!$J$121,Paraméterek!$K$121),0,IF($D$4="Forint",Paraméterek!$J$121,Paraméterek!$K$121)-$W115),0)</f>
        <v>0</v>
      </c>
      <c r="P116" s="13" t="e">
        <f ca="1">ROUNDUP($O116*VLOOKUP($M$4+$B116-1,Paraméterek!$H$58:$I$105,2,0)/Paraméterek!$I$56,IF($D$4="Forint",0,2))</f>
        <v>#N/A</v>
      </c>
      <c r="Q116" s="13">
        <f t="shared" ca="1" si="28"/>
        <v>0</v>
      </c>
      <c r="R116" s="33"/>
      <c r="S116" s="13" t="e">
        <f t="shared" ca="1" si="29"/>
        <v>#N/A</v>
      </c>
      <c r="T116" s="13" t="e">
        <f ca="1">ROUNDUP(($N116-$P116-$Q116+$S116)*VLOOKUP($B116,Paraméterek!$I$38:$K$39,IF($D$2="Egyszeri",3,2))/12*IF($D117="Nem",IF($M$13=0,1,$M$13),1),IF($D$4="Forint",0,2))</f>
        <v>#N/A</v>
      </c>
      <c r="U116" s="13"/>
      <c r="V116" s="13"/>
      <c r="W116" s="13" t="e">
        <f ca="1">$N116-$P116-$Q116+$S116-$T116-IF(ROUNDUP(IF(ISBLANK($V116),$U116*0,$V116)/IF($D$2="Egyszeri",VLOOKUP($B116+IF($C116=12,1,0),Paraméterek!$V$257:$W$262,2),IF($B116=1,1,VLOOKUP($B116+IF($C116=12,1,0),Paraméterek!$I$258:$T$278,HLOOKUP($M$11+1,Paraméterek!$J$256:$T$257,2)))),IF($D$4="Forint",0,2))&gt;$N116-$P116-$Q116+$S116-$T116-IF($D$4="Forint",Paraméterek!$C$216,Paraméterek!$D$216),0,ROUNDUP(IF(ISBLANK($V116),$U116*0,$V116)/IF($D$2="Egyszeri",VLOOKUP($B116+IF($C116=12,1,0),Paraméterek!$V$257:$W$262,2),IF($B116=1,1,VLOOKUP($B116+IF($C116=12,1,0),Paraméterek!$I$258:$T$278,HLOOKUP($M$11+1,Paraméterek!$J$256:$T$257,2)))),IF($D$4="Forint",0,2)))</f>
        <v>#N/A</v>
      </c>
      <c r="X116" s="13" t="e">
        <f ca="1">ROUNDDOWN($W116*IF($D$2="Egyszeri",VLOOKUP($B116+IF($C116=12,1,0),Paraméterek!$V$257:$W$262,2),VLOOKUP($B116+IF($C116=12,1,0),Paraméterek!$I$258:$T$278,HLOOKUP($M$11+1,Paraméterek!$I$256:$T$257,2))),IF($D$4="Forint",0,2))</f>
        <v>#N/A</v>
      </c>
      <c r="Z116" s="32">
        <v>97</v>
      </c>
      <c r="AA116" s="32">
        <v>9</v>
      </c>
      <c r="AB116" s="32">
        <v>1</v>
      </c>
      <c r="AC116" s="13">
        <f t="shared" ca="1" si="38"/>
        <v>0</v>
      </c>
      <c r="AD116" s="33"/>
      <c r="AE116" s="13">
        <f t="shared" ca="1" si="30"/>
        <v>0</v>
      </c>
      <c r="AF116" s="13">
        <f ca="1">ROUNDUP(($AC116+$AE116)*VLOOKUP($AA116,Paraméterek!$P$38:$Q$38,2)/12*IF($D117="Nem",IF($M$13=0,1,$M$13),1),IF($D$4="Forint",0,2))</f>
        <v>0</v>
      </c>
      <c r="AG116" s="13">
        <f ca="1">IF($D$2="Egyszeri",IF($D$7&gt;=IF($D$4="Forint",Paraméterek!$P$223,Paraméterek!$P$224),$D$7-IF($D$4="Forint",Paraméterek!$P$223,Paraméterek!$P$224),0),MIN(IF($AB116=12,AVERAGEIF($E$20:$E116,"&gt;0",$E$20:$E116)*12,0),SUM($E$20:$E$31)))</f>
        <v>0</v>
      </c>
      <c r="AH116" s="13">
        <f>IF($AA116=10,$AG116*IF($AB116=12,IF($AG116&lt;IF($D$4="Forint",Paraméterek!$L$223,Paraméterek!$L$224),0,VLOOKUP($AA116,Paraméterek!$K$226:$M$228,IF($AG116&lt;IF($D$4="Forint",Paraméterek!$M$223,Paraméterek!$M$224),2,3))),0),0)</f>
        <v>0</v>
      </c>
      <c r="AI116" s="13">
        <f ca="1">IF(AND($AA116=$M$11+1,$AB116=$M$12+1),SUMIF($AA$20:$AA$1027,$AA116,$AG$20:$AG$1027)*IF(SUMIF($AA$20:$AA$1027,$AA116,$AG$20:$AG$1027)&lt;IF($D$4="Forint",Paraméterek!$L$223,Paraméterek!$L$224),0,VLOOKUP($AA116,Paraméterek!$K$230:$M$250,IF(SUMIF($AA$20:$AA$1027,$AA116,$AG$20:$AG$1027)&lt;IF($D$4="Forint",Paraméterek!$M$223,Paraméterek!$M$224),2,3))),0)</f>
        <v>0</v>
      </c>
      <c r="AJ116" s="13">
        <f ca="1">IF(AND($AA116&gt;=5,MOD($AA116,5)=0),IF($AB116=12,VLOOKUP($AA116,Paraméterek!$O$225:$P$240,2),0),IF(OR($AA116=3,$AA116=4),IF($AB116=12,VLOOKUP($AA116,Paraméterek!$O$225:$P$240,2,0),0),0))*$AG116</f>
        <v>0</v>
      </c>
      <c r="AK116" s="13">
        <f t="shared" ca="1" si="31"/>
        <v>0</v>
      </c>
      <c r="AL116" s="13">
        <f t="shared" ca="1" si="39"/>
        <v>0</v>
      </c>
      <c r="AM116" s="13">
        <f t="shared" ca="1" si="40"/>
        <v>0</v>
      </c>
      <c r="AO116" s="32">
        <v>97</v>
      </c>
      <c r="AP116" s="32">
        <v>9</v>
      </c>
      <c r="AQ116" s="32">
        <v>1</v>
      </c>
      <c r="AR116" s="13">
        <f>Tranzakciók!$K$40</f>
        <v>0</v>
      </c>
      <c r="AS116" s="32"/>
      <c r="AT116" s="13">
        <f t="shared" ca="1" si="41"/>
        <v>0</v>
      </c>
      <c r="AU116" s="33"/>
      <c r="AV116" s="13">
        <f t="shared" ca="1" si="32"/>
        <v>0</v>
      </c>
      <c r="AW116" s="13">
        <f ca="1">ROUNDUP(($AT116+$AV116)*VLOOKUP($AP116,Paraméterek!$P$38:$Q$38,2)/12*IF($D117="Nem",IF($M$13=0,1,$M$13),1),IF($D$4="Forint",0,2))</f>
        <v>0</v>
      </c>
      <c r="AX116" s="13"/>
      <c r="AY116" s="13"/>
      <c r="AZ116" s="13">
        <f>ROUNDUP(IF(SUM($AX116:$AY116)=0,0,IF(IF(ISBLANK($AY116),$AX116,$AY116)*Paraméterek!$J$112&lt;IF($D$4="Forint",Paraméterek!$J$113,Paraméterek!$K$113),IF($D$4="Forint",Paraméterek!$J$113,Paraméterek!$K$113),IF(IF(ISBLANK($AY116),$AX116,$AY116)*Paraméterek!$J$112&gt;IF($D$4="Forint",Paraméterek!$J$114,Paraméterek!$K$114),IF($D$4="Forint",Paraméterek!$J$114,Paraméterek!$K$114),IF(ISBLANK($AY116),$AX116,$AY116)*Paraméterek!$J$112))),IF($D$4="Forint",0,2))</f>
        <v>0</v>
      </c>
      <c r="BA116" s="13">
        <f ca="1">$AT116+$AV116-$AW116-IF(ROUNDDOWN(IF(ISBLANK($AY116),$AX116,$AY116),IF($D$4="Forint",0,2))&gt;$AT116+$AV116-$AW116-IF($D$4="Forint",Paraméterek!$J$114,Paraméterek!$K$114),0,ROUNDDOWN(IF(ISBLANK($AY116),$AX116,$AY116),IF($D$4="Forint",0,2))-$AZ116)</f>
        <v>0</v>
      </c>
      <c r="BB116" s="13">
        <f t="shared" ca="1" si="33"/>
        <v>0</v>
      </c>
      <c r="BD116" s="32">
        <v>97</v>
      </c>
      <c r="BE116" s="32">
        <v>9</v>
      </c>
      <c r="BF116" s="32">
        <v>1</v>
      </c>
      <c r="BG116" s="34">
        <f t="shared" ca="1" si="42"/>
        <v>2027</v>
      </c>
      <c r="BH116" s="32" t="str">
        <f ca="1">IF(MOD(MONTH($D$14)+$BD116-1,12)=Paraméterek!$C$288,"Igen","")</f>
        <v/>
      </c>
      <c r="BI116" s="13">
        <f ca="1">IF($BH116="Igen",MIN(ROUNDDOWN((SUMIF($BG$20:$BG$1027,$BG116-1,$K$20:$K$1027)-SUMIF($BG$20:$BG$1027,$BG116-1,$I$20:$I$1027))*Paraméterek!$C$289,IF($D$4="Forint",0,2)),IF($D$4="Forint",Paraméterek!$C$285,Paraméterek!$D$285)),0)</f>
        <v>0</v>
      </c>
      <c r="BJ116" s="13">
        <f t="shared" ca="1" si="34"/>
        <v>0</v>
      </c>
      <c r="BK116" s="13">
        <f t="shared" ca="1" si="43"/>
        <v>0</v>
      </c>
      <c r="BL116" s="33"/>
      <c r="BM116" s="13">
        <f t="shared" ca="1" si="35"/>
        <v>0</v>
      </c>
      <c r="BN116" s="13">
        <f ca="1">ROUNDUP(($BK116+$BM116)*VLOOKUP($BE116,Paraméterek!$P$38:$Q$38,2)/12*IF($D117="Nem",IF($M$13=0,1,$M$13),1),IF($D$4="Forint",0,2))</f>
        <v>0</v>
      </c>
      <c r="BO116" s="13">
        <f t="shared" ca="1" si="36"/>
        <v>0</v>
      </c>
      <c r="BP116" s="13">
        <f ca="1">IF($D117="Nem",$BO116,$BO116-ROUNDUP(SUM($BI$20:$BI116)*120%,IF($D$4="Forint",0,2)))</f>
        <v>0</v>
      </c>
    </row>
    <row r="117" spans="1:68" x14ac:dyDescent="0.2">
      <c r="A117" s="32">
        <v>98</v>
      </c>
      <c r="B117" s="32">
        <v>9</v>
      </c>
      <c r="C117" s="32">
        <v>2</v>
      </c>
      <c r="D117" s="32" t="str">
        <f t="shared" ca="1" si="22"/>
        <v>Nem</v>
      </c>
      <c r="E117" s="13">
        <f t="shared" ca="1" si="23"/>
        <v>0</v>
      </c>
      <c r="F117" s="13"/>
      <c r="G117" s="13"/>
      <c r="H117" s="13"/>
      <c r="I117" s="13">
        <f t="shared" ca="1" si="24"/>
        <v>0</v>
      </c>
      <c r="J117" s="13">
        <f t="shared" ca="1" si="25"/>
        <v>0</v>
      </c>
      <c r="K117" s="13">
        <f t="shared" ca="1" si="26"/>
        <v>0</v>
      </c>
      <c r="L117" s="13" t="e">
        <f ca="1">ROUNDUP(IF($D$2="Egyszeri",$E117,IF($D$2="Havi",SUM($E$20:$E$31),IF(MOD($C117,$M$1)-1=0,SUM($E$20:$E$31),0))/12*$M$1)*VLOOKUP($B117,Paraméterek!$I$28:$P$31,IF($D$2="Egyszeri",8,HLOOKUP(ROUNDUP($M$11+$M$13,0),Paraméterek!$J$26:$O$27,2))),IF($D$4="Forint",0,2))</f>
        <v>#N/A</v>
      </c>
      <c r="M117" s="13">
        <f t="shared" ca="1" si="27"/>
        <v>0</v>
      </c>
      <c r="N117" s="13">
        <f t="shared" ca="1" si="37"/>
        <v>0</v>
      </c>
      <c r="O117" s="13">
        <f ca="1">IF($D117="Igen",IF($W116&gt;=IF($D$4="Forint",Paraméterek!$J$121,Paraméterek!$K$121),0,IF($D$4="Forint",Paraméterek!$J$121,Paraméterek!$K$121)-$W116),0)</f>
        <v>0</v>
      </c>
      <c r="P117" s="13" t="e">
        <f ca="1">ROUNDUP($O117*VLOOKUP($M$4+$B117-1,Paraméterek!$H$58:$I$105,2,0)/Paraméterek!$I$56,IF($D$4="Forint",0,2))</f>
        <v>#N/A</v>
      </c>
      <c r="Q117" s="13">
        <f t="shared" ca="1" si="28"/>
        <v>0</v>
      </c>
      <c r="R117" s="33"/>
      <c r="S117" s="13" t="e">
        <f t="shared" ca="1" si="29"/>
        <v>#N/A</v>
      </c>
      <c r="T117" s="13" t="e">
        <f ca="1">ROUNDUP(($N117-$P117-$Q117+$S117)*VLOOKUP($B117,Paraméterek!$I$38:$K$39,IF($D$2="Egyszeri",3,2))/12*IF($D118="Nem",IF($M$13=0,1,$M$13),1),IF($D$4="Forint",0,2))</f>
        <v>#N/A</v>
      </c>
      <c r="U117" s="13"/>
      <c r="V117" s="13"/>
      <c r="W117" s="13" t="e">
        <f ca="1">$N117-$P117-$Q117+$S117-$T117-IF(ROUNDUP(IF(ISBLANK($V117),$U117*0,$V117)/IF($D$2="Egyszeri",VLOOKUP($B117+IF($C117=12,1,0),Paraméterek!$V$257:$W$262,2),IF($B117=1,1,VLOOKUP($B117+IF($C117=12,1,0),Paraméterek!$I$258:$T$278,HLOOKUP($M$11+1,Paraméterek!$J$256:$T$257,2)))),IF($D$4="Forint",0,2))&gt;$N117-$P117-$Q117+$S117-$T117-IF($D$4="Forint",Paraméterek!$C$216,Paraméterek!$D$216),0,ROUNDUP(IF(ISBLANK($V117),$U117*0,$V117)/IF($D$2="Egyszeri",VLOOKUP($B117+IF($C117=12,1,0),Paraméterek!$V$257:$W$262,2),IF($B117=1,1,VLOOKUP($B117+IF($C117=12,1,0),Paraméterek!$I$258:$T$278,HLOOKUP($M$11+1,Paraméterek!$J$256:$T$257,2)))),IF($D$4="Forint",0,2)))</f>
        <v>#N/A</v>
      </c>
      <c r="X117" s="13" t="e">
        <f ca="1">ROUNDDOWN($W117*IF($D$2="Egyszeri",VLOOKUP($B117+IF($C117=12,1,0),Paraméterek!$V$257:$W$262,2),VLOOKUP($B117+IF($C117=12,1,0),Paraméterek!$I$258:$T$278,HLOOKUP($M$11+1,Paraméterek!$I$256:$T$257,2))),IF($D$4="Forint",0,2))</f>
        <v>#N/A</v>
      </c>
      <c r="Z117" s="32">
        <v>98</v>
      </c>
      <c r="AA117" s="32">
        <v>9</v>
      </c>
      <c r="AB117" s="32">
        <v>2</v>
      </c>
      <c r="AC117" s="13">
        <f t="shared" ca="1" si="38"/>
        <v>0</v>
      </c>
      <c r="AD117" s="33"/>
      <c r="AE117" s="13">
        <f t="shared" ca="1" si="30"/>
        <v>0</v>
      </c>
      <c r="AF117" s="13">
        <f ca="1">ROUNDUP(($AC117+$AE117)*VLOOKUP($AA117,Paraméterek!$P$38:$Q$38,2)/12*IF($D118="Nem",IF($M$13=0,1,$M$13),1),IF($D$4="Forint",0,2))</f>
        <v>0</v>
      </c>
      <c r="AG117" s="13">
        <f ca="1">IF($D$2="Egyszeri",IF($D$7&gt;=IF($D$4="Forint",Paraméterek!$P$223,Paraméterek!$P$224),$D$7-IF($D$4="Forint",Paraméterek!$P$223,Paraméterek!$P$224),0),MIN(IF($AB117=12,AVERAGEIF($E$20:$E117,"&gt;0",$E$20:$E117)*12,0),SUM($E$20:$E$31)))</f>
        <v>0</v>
      </c>
      <c r="AH117" s="13">
        <f>IF($AA117=10,$AG117*IF($AB117=12,IF($AG117&lt;IF($D$4="Forint",Paraméterek!$L$223,Paraméterek!$L$224),0,VLOOKUP($AA117,Paraméterek!$K$226:$M$228,IF($AG117&lt;IF($D$4="Forint",Paraméterek!$M$223,Paraméterek!$M$224),2,3))),0),0)</f>
        <v>0</v>
      </c>
      <c r="AI117" s="13">
        <f ca="1">IF(AND($AA117=$M$11+1,$AB117=$M$12+1),SUMIF($AA$20:$AA$1027,$AA117,$AG$20:$AG$1027)*IF(SUMIF($AA$20:$AA$1027,$AA117,$AG$20:$AG$1027)&lt;IF($D$4="Forint",Paraméterek!$L$223,Paraméterek!$L$224),0,VLOOKUP($AA117,Paraméterek!$K$230:$M$250,IF(SUMIF($AA$20:$AA$1027,$AA117,$AG$20:$AG$1027)&lt;IF($D$4="Forint",Paraméterek!$M$223,Paraméterek!$M$224),2,3))),0)</f>
        <v>0</v>
      </c>
      <c r="AJ117" s="13">
        <f ca="1">IF(AND($AA117&gt;=5,MOD($AA117,5)=0),IF($AB117=12,VLOOKUP($AA117,Paraméterek!$O$225:$P$240,2),0),IF(OR($AA117=3,$AA117=4),IF($AB117=12,VLOOKUP($AA117,Paraméterek!$O$225:$P$240,2,0),0),0))*$AG117</f>
        <v>0</v>
      </c>
      <c r="AK117" s="13">
        <f t="shared" ca="1" si="31"/>
        <v>0</v>
      </c>
      <c r="AL117" s="13">
        <f t="shared" ca="1" si="39"/>
        <v>0</v>
      </c>
      <c r="AM117" s="13">
        <f t="shared" ca="1" si="40"/>
        <v>0</v>
      </c>
      <c r="AO117" s="32">
        <v>98</v>
      </c>
      <c r="AP117" s="32">
        <v>9</v>
      </c>
      <c r="AQ117" s="32">
        <v>2</v>
      </c>
      <c r="AR117" s="13"/>
      <c r="AS117" s="32"/>
      <c r="AT117" s="13">
        <f t="shared" ca="1" si="41"/>
        <v>0</v>
      </c>
      <c r="AU117" s="33"/>
      <c r="AV117" s="13">
        <f t="shared" ca="1" si="32"/>
        <v>0</v>
      </c>
      <c r="AW117" s="13">
        <f ca="1">ROUNDUP(($AT117+$AV117)*VLOOKUP($AP117,Paraméterek!$P$38:$Q$38,2)/12*IF($D118="Nem",IF($M$13=0,1,$M$13),1),IF($D$4="Forint",0,2))</f>
        <v>0</v>
      </c>
      <c r="AX117" s="13"/>
      <c r="AY117" s="13"/>
      <c r="AZ117" s="13">
        <f>ROUNDUP(IF(SUM($AX117:$AY117)=0,0,IF(IF(ISBLANK($AY117),$AX117,$AY117)*Paraméterek!$J$112&lt;IF($D$4="Forint",Paraméterek!$J$113,Paraméterek!$K$113),IF($D$4="Forint",Paraméterek!$J$113,Paraméterek!$K$113),IF(IF(ISBLANK($AY117),$AX117,$AY117)*Paraméterek!$J$112&gt;IF($D$4="Forint",Paraméterek!$J$114,Paraméterek!$K$114),IF($D$4="Forint",Paraméterek!$J$114,Paraméterek!$K$114),IF(ISBLANK($AY117),$AX117,$AY117)*Paraméterek!$J$112))),IF($D$4="Forint",0,2))</f>
        <v>0</v>
      </c>
      <c r="BA117" s="13">
        <f ca="1">$AT117+$AV117-$AW117-IF(ROUNDDOWN(IF(ISBLANK($AY117),$AX117,$AY117),IF($D$4="Forint",0,2))&gt;$AT117+$AV117-$AW117-IF($D$4="Forint",Paraméterek!$J$114,Paraméterek!$K$114),0,ROUNDDOWN(IF(ISBLANK($AY117),$AX117,$AY117),IF($D$4="Forint",0,2))-$AZ117)</f>
        <v>0</v>
      </c>
      <c r="BB117" s="13">
        <f t="shared" ca="1" si="33"/>
        <v>0</v>
      </c>
      <c r="BD117" s="32">
        <v>98</v>
      </c>
      <c r="BE117" s="32">
        <v>9</v>
      </c>
      <c r="BF117" s="32">
        <v>2</v>
      </c>
      <c r="BG117" s="34">
        <f t="shared" ca="1" si="42"/>
        <v>2027</v>
      </c>
      <c r="BH117" s="32" t="str">
        <f ca="1">IF(MOD(MONTH($D$14)+$BD117-1,12)=Paraméterek!$C$288,"Igen","")</f>
        <v>Igen</v>
      </c>
      <c r="BI117" s="13">
        <f ca="1">IF($BH117="Igen",MIN(ROUNDDOWN((SUMIF($BG$20:$BG$1027,$BG117-1,$K$20:$K$1027)-SUMIF($BG$20:$BG$1027,$BG117-1,$I$20:$I$1027))*Paraméterek!$C$289,IF($D$4="Forint",0,2)),IF($D$4="Forint",Paraméterek!$C$285,Paraméterek!$D$285)),0)</f>
        <v>0</v>
      </c>
      <c r="BJ117" s="13">
        <f t="shared" ca="1" si="34"/>
        <v>0</v>
      </c>
      <c r="BK117" s="13">
        <f t="shared" ca="1" si="43"/>
        <v>0</v>
      </c>
      <c r="BL117" s="33"/>
      <c r="BM117" s="13">
        <f t="shared" ca="1" si="35"/>
        <v>0</v>
      </c>
      <c r="BN117" s="13">
        <f ca="1">ROUNDUP(($BK117+$BM117)*VLOOKUP($BE117,Paraméterek!$P$38:$Q$38,2)/12*IF($D118="Nem",IF($M$13=0,1,$M$13),1),IF($D$4="Forint",0,2))</f>
        <v>0</v>
      </c>
      <c r="BO117" s="13">
        <f t="shared" ca="1" si="36"/>
        <v>0</v>
      </c>
      <c r="BP117" s="13">
        <f ca="1">IF($D118="Nem",$BO117,$BO117-ROUNDUP(SUM($BI$20:$BI117)*120%,IF($D$4="Forint",0,2)))</f>
        <v>0</v>
      </c>
    </row>
    <row r="118" spans="1:68" x14ac:dyDescent="0.2">
      <c r="A118" s="32">
        <v>99</v>
      </c>
      <c r="B118" s="32">
        <v>9</v>
      </c>
      <c r="C118" s="32">
        <v>3</v>
      </c>
      <c r="D118" s="32" t="str">
        <f t="shared" ca="1" si="22"/>
        <v>Nem</v>
      </c>
      <c r="E118" s="13">
        <f t="shared" ca="1" si="23"/>
        <v>0</v>
      </c>
      <c r="F118" s="13"/>
      <c r="G118" s="13"/>
      <c r="H118" s="13"/>
      <c r="I118" s="13">
        <f t="shared" ca="1" si="24"/>
        <v>0</v>
      </c>
      <c r="J118" s="13">
        <f t="shared" ca="1" si="25"/>
        <v>0</v>
      </c>
      <c r="K118" s="13">
        <f t="shared" ca="1" si="26"/>
        <v>0</v>
      </c>
      <c r="L118" s="13" t="e">
        <f ca="1">ROUNDUP(IF($D$2="Egyszeri",$E118,IF($D$2="Havi",SUM($E$20:$E$31),IF(MOD($C118,$M$1)-1=0,SUM($E$20:$E$31),0))/12*$M$1)*VLOOKUP($B118,Paraméterek!$I$28:$P$31,IF($D$2="Egyszeri",8,HLOOKUP(ROUNDUP($M$11+$M$13,0),Paraméterek!$J$26:$O$27,2))),IF($D$4="Forint",0,2))</f>
        <v>#N/A</v>
      </c>
      <c r="M118" s="13">
        <f t="shared" ca="1" si="27"/>
        <v>0</v>
      </c>
      <c r="N118" s="13">
        <f t="shared" ca="1" si="37"/>
        <v>0</v>
      </c>
      <c r="O118" s="13">
        <f ca="1">IF($D118="Igen",IF($W117&gt;=IF($D$4="Forint",Paraméterek!$J$121,Paraméterek!$K$121),0,IF($D$4="Forint",Paraméterek!$J$121,Paraméterek!$K$121)-$W117),0)</f>
        <v>0</v>
      </c>
      <c r="P118" s="13" t="e">
        <f ca="1">ROUNDUP($O118*VLOOKUP($M$4+$B118-1,Paraméterek!$H$58:$I$105,2,0)/Paraméterek!$I$56,IF($D$4="Forint",0,2))</f>
        <v>#N/A</v>
      </c>
      <c r="Q118" s="13">
        <f t="shared" ca="1" si="28"/>
        <v>0</v>
      </c>
      <c r="R118" s="33"/>
      <c r="S118" s="13" t="e">
        <f t="shared" ca="1" si="29"/>
        <v>#N/A</v>
      </c>
      <c r="T118" s="13" t="e">
        <f ca="1">ROUNDUP(($N118-$P118-$Q118+$S118)*VLOOKUP($B118,Paraméterek!$I$38:$K$39,IF($D$2="Egyszeri",3,2))/12*IF($D119="Nem",IF($M$13=0,1,$M$13),1),IF($D$4="Forint",0,2))</f>
        <v>#N/A</v>
      </c>
      <c r="U118" s="13"/>
      <c r="V118" s="13"/>
      <c r="W118" s="13" t="e">
        <f ca="1">$N118-$P118-$Q118+$S118-$T118-IF(ROUNDUP(IF(ISBLANK($V118),$U118*0,$V118)/IF($D$2="Egyszeri",VLOOKUP($B118+IF($C118=12,1,0),Paraméterek!$V$257:$W$262,2),IF($B118=1,1,VLOOKUP($B118+IF($C118=12,1,0),Paraméterek!$I$258:$T$278,HLOOKUP($M$11+1,Paraméterek!$J$256:$T$257,2)))),IF($D$4="Forint",0,2))&gt;$N118-$P118-$Q118+$S118-$T118-IF($D$4="Forint",Paraméterek!$C$216,Paraméterek!$D$216),0,ROUNDUP(IF(ISBLANK($V118),$U118*0,$V118)/IF($D$2="Egyszeri",VLOOKUP($B118+IF($C118=12,1,0),Paraméterek!$V$257:$W$262,2),IF($B118=1,1,VLOOKUP($B118+IF($C118=12,1,0),Paraméterek!$I$258:$T$278,HLOOKUP($M$11+1,Paraméterek!$J$256:$T$257,2)))),IF($D$4="Forint",0,2)))</f>
        <v>#N/A</v>
      </c>
      <c r="X118" s="13" t="e">
        <f ca="1">ROUNDDOWN($W118*IF($D$2="Egyszeri",VLOOKUP($B118+IF($C118=12,1,0),Paraméterek!$V$257:$W$262,2),VLOOKUP($B118+IF($C118=12,1,0),Paraméterek!$I$258:$T$278,HLOOKUP($M$11+1,Paraméterek!$I$256:$T$257,2))),IF($D$4="Forint",0,2))</f>
        <v>#N/A</v>
      </c>
      <c r="Z118" s="32">
        <v>99</v>
      </c>
      <c r="AA118" s="32">
        <v>9</v>
      </c>
      <c r="AB118" s="32">
        <v>3</v>
      </c>
      <c r="AC118" s="13">
        <f t="shared" ca="1" si="38"/>
        <v>0</v>
      </c>
      <c r="AD118" s="33"/>
      <c r="AE118" s="13">
        <f t="shared" ca="1" si="30"/>
        <v>0</v>
      </c>
      <c r="AF118" s="13">
        <f ca="1">ROUNDUP(($AC118+$AE118)*VLOOKUP($AA118,Paraméterek!$P$38:$Q$38,2)/12*IF($D119="Nem",IF($M$13=0,1,$M$13),1),IF($D$4="Forint",0,2))</f>
        <v>0</v>
      </c>
      <c r="AG118" s="13">
        <f ca="1">IF($D$2="Egyszeri",IF($D$7&gt;=IF($D$4="Forint",Paraméterek!$P$223,Paraméterek!$P$224),$D$7-IF($D$4="Forint",Paraméterek!$P$223,Paraméterek!$P$224),0),MIN(IF($AB118=12,AVERAGEIF($E$20:$E118,"&gt;0",$E$20:$E118)*12,0),SUM($E$20:$E$31)))</f>
        <v>0</v>
      </c>
      <c r="AH118" s="13">
        <f>IF($AA118=10,$AG118*IF($AB118=12,IF($AG118&lt;IF($D$4="Forint",Paraméterek!$L$223,Paraméterek!$L$224),0,VLOOKUP($AA118,Paraméterek!$K$226:$M$228,IF($AG118&lt;IF($D$4="Forint",Paraméterek!$M$223,Paraméterek!$M$224),2,3))),0),0)</f>
        <v>0</v>
      </c>
      <c r="AI118" s="13">
        <f ca="1">IF(AND($AA118=$M$11+1,$AB118=$M$12+1),SUMIF($AA$20:$AA$1027,$AA118,$AG$20:$AG$1027)*IF(SUMIF($AA$20:$AA$1027,$AA118,$AG$20:$AG$1027)&lt;IF($D$4="Forint",Paraméterek!$L$223,Paraméterek!$L$224),0,VLOOKUP($AA118,Paraméterek!$K$230:$M$250,IF(SUMIF($AA$20:$AA$1027,$AA118,$AG$20:$AG$1027)&lt;IF($D$4="Forint",Paraméterek!$M$223,Paraméterek!$M$224),2,3))),0)</f>
        <v>0</v>
      </c>
      <c r="AJ118" s="13">
        <f ca="1">IF(AND($AA118&gt;=5,MOD($AA118,5)=0),IF($AB118=12,VLOOKUP($AA118,Paraméterek!$O$225:$P$240,2),0),IF(OR($AA118=3,$AA118=4),IF($AB118=12,VLOOKUP($AA118,Paraméterek!$O$225:$P$240,2,0),0),0))*$AG118</f>
        <v>0</v>
      </c>
      <c r="AK118" s="13">
        <f t="shared" ca="1" si="31"/>
        <v>0</v>
      </c>
      <c r="AL118" s="13">
        <f t="shared" ca="1" si="39"/>
        <v>0</v>
      </c>
      <c r="AM118" s="13">
        <f t="shared" ca="1" si="40"/>
        <v>0</v>
      </c>
      <c r="AO118" s="32">
        <v>99</v>
      </c>
      <c r="AP118" s="32">
        <v>9</v>
      </c>
      <c r="AQ118" s="32">
        <v>3</v>
      </c>
      <c r="AR118" s="13"/>
      <c r="AS118" s="32"/>
      <c r="AT118" s="13">
        <f t="shared" ca="1" si="41"/>
        <v>0</v>
      </c>
      <c r="AU118" s="33"/>
      <c r="AV118" s="13">
        <f t="shared" ca="1" si="32"/>
        <v>0</v>
      </c>
      <c r="AW118" s="13">
        <f ca="1">ROUNDUP(($AT118+$AV118)*VLOOKUP($AP118,Paraméterek!$P$38:$Q$38,2)/12*IF($D119="Nem",IF($M$13=0,1,$M$13),1),IF($D$4="Forint",0,2))</f>
        <v>0</v>
      </c>
      <c r="AX118" s="13"/>
      <c r="AY118" s="13"/>
      <c r="AZ118" s="13">
        <f>ROUNDUP(IF(SUM($AX118:$AY118)=0,0,IF(IF(ISBLANK($AY118),$AX118,$AY118)*Paraméterek!$J$112&lt;IF($D$4="Forint",Paraméterek!$J$113,Paraméterek!$K$113),IF($D$4="Forint",Paraméterek!$J$113,Paraméterek!$K$113),IF(IF(ISBLANK($AY118),$AX118,$AY118)*Paraméterek!$J$112&gt;IF($D$4="Forint",Paraméterek!$J$114,Paraméterek!$K$114),IF($D$4="Forint",Paraméterek!$J$114,Paraméterek!$K$114),IF(ISBLANK($AY118),$AX118,$AY118)*Paraméterek!$J$112))),IF($D$4="Forint",0,2))</f>
        <v>0</v>
      </c>
      <c r="BA118" s="13">
        <f ca="1">$AT118+$AV118-$AW118-IF(ROUNDDOWN(IF(ISBLANK($AY118),$AX118,$AY118),IF($D$4="Forint",0,2))&gt;$AT118+$AV118-$AW118-IF($D$4="Forint",Paraméterek!$J$114,Paraméterek!$K$114),0,ROUNDDOWN(IF(ISBLANK($AY118),$AX118,$AY118),IF($D$4="Forint",0,2))-$AZ118)</f>
        <v>0</v>
      </c>
      <c r="BB118" s="13">
        <f t="shared" ca="1" si="33"/>
        <v>0</v>
      </c>
      <c r="BD118" s="32">
        <v>99</v>
      </c>
      <c r="BE118" s="32">
        <v>9</v>
      </c>
      <c r="BF118" s="32">
        <v>3</v>
      </c>
      <c r="BG118" s="34">
        <f t="shared" ca="1" si="42"/>
        <v>2027</v>
      </c>
      <c r="BH118" s="32" t="str">
        <f ca="1">IF(MOD(MONTH($D$14)+$BD118-1,12)=Paraméterek!$C$288,"Igen","")</f>
        <v/>
      </c>
      <c r="BI118" s="13">
        <f ca="1">IF($BH118="Igen",MIN(ROUNDDOWN((SUMIF($BG$20:$BG$1027,$BG118-1,$K$20:$K$1027)-SUMIF($BG$20:$BG$1027,$BG118-1,$I$20:$I$1027))*Paraméterek!$C$289,IF($D$4="Forint",0,2)),IF($D$4="Forint",Paraméterek!$C$285,Paraméterek!$D$285)),0)</f>
        <v>0</v>
      </c>
      <c r="BJ118" s="13">
        <f t="shared" ca="1" si="34"/>
        <v>0</v>
      </c>
      <c r="BK118" s="13">
        <f t="shared" ca="1" si="43"/>
        <v>0</v>
      </c>
      <c r="BL118" s="33"/>
      <c r="BM118" s="13">
        <f t="shared" ca="1" si="35"/>
        <v>0</v>
      </c>
      <c r="BN118" s="13">
        <f ca="1">ROUNDUP(($BK118+$BM118)*VLOOKUP($BE118,Paraméterek!$P$38:$Q$38,2)/12*IF($D119="Nem",IF($M$13=0,1,$M$13),1),IF($D$4="Forint",0,2))</f>
        <v>0</v>
      </c>
      <c r="BO118" s="13">
        <f t="shared" ca="1" si="36"/>
        <v>0</v>
      </c>
      <c r="BP118" s="13">
        <f ca="1">IF($D119="Nem",$BO118,$BO118-ROUNDUP(SUM($BI$20:$BI118)*120%,IF($D$4="Forint",0,2)))</f>
        <v>0</v>
      </c>
    </row>
    <row r="119" spans="1:68" x14ac:dyDescent="0.2">
      <c r="A119" s="32">
        <v>100</v>
      </c>
      <c r="B119" s="32">
        <v>9</v>
      </c>
      <c r="C119" s="32">
        <v>4</v>
      </c>
      <c r="D119" s="32" t="str">
        <f t="shared" ca="1" si="22"/>
        <v>Nem</v>
      </c>
      <c r="E119" s="13">
        <f t="shared" ca="1" si="23"/>
        <v>0</v>
      </c>
      <c r="F119" s="13"/>
      <c r="G119" s="13"/>
      <c r="H119" s="13"/>
      <c r="I119" s="13">
        <f t="shared" ca="1" si="24"/>
        <v>0</v>
      </c>
      <c r="J119" s="13">
        <f t="shared" ca="1" si="25"/>
        <v>0</v>
      </c>
      <c r="K119" s="13">
        <f t="shared" ca="1" si="26"/>
        <v>0</v>
      </c>
      <c r="L119" s="13" t="e">
        <f ca="1">ROUNDUP(IF($D$2="Egyszeri",$E119,IF($D$2="Havi",SUM($E$20:$E$31),IF(MOD($C119,$M$1)-1=0,SUM($E$20:$E$31),0))/12*$M$1)*VLOOKUP($B119,Paraméterek!$I$28:$P$31,IF($D$2="Egyszeri",8,HLOOKUP(ROUNDUP($M$11+$M$13,0),Paraméterek!$J$26:$O$27,2))),IF($D$4="Forint",0,2))</f>
        <v>#N/A</v>
      </c>
      <c r="M119" s="13">
        <f t="shared" ca="1" si="27"/>
        <v>0</v>
      </c>
      <c r="N119" s="13">
        <f t="shared" ca="1" si="37"/>
        <v>0</v>
      </c>
      <c r="O119" s="13">
        <f ca="1">IF($D119="Igen",IF($W118&gt;=IF($D$4="Forint",Paraméterek!$J$121,Paraméterek!$K$121),0,IF($D$4="Forint",Paraméterek!$J$121,Paraméterek!$K$121)-$W118),0)</f>
        <v>0</v>
      </c>
      <c r="P119" s="13" t="e">
        <f ca="1">ROUNDUP($O119*VLOOKUP($M$4+$B119-1,Paraméterek!$H$58:$I$105,2,0)/Paraméterek!$I$56,IF($D$4="Forint",0,2))</f>
        <v>#N/A</v>
      </c>
      <c r="Q119" s="13">
        <f t="shared" ca="1" si="28"/>
        <v>0</v>
      </c>
      <c r="R119" s="33"/>
      <c r="S119" s="13" t="e">
        <f t="shared" ca="1" si="29"/>
        <v>#N/A</v>
      </c>
      <c r="T119" s="13" t="e">
        <f ca="1">ROUNDUP(($N119-$P119-$Q119+$S119)*VLOOKUP($B119,Paraméterek!$I$38:$K$39,IF($D$2="Egyszeri",3,2))/12*IF($D120="Nem",IF($M$13=0,1,$M$13),1),IF($D$4="Forint",0,2))</f>
        <v>#N/A</v>
      </c>
      <c r="U119" s="13"/>
      <c r="V119" s="13"/>
      <c r="W119" s="13" t="e">
        <f ca="1">$N119-$P119-$Q119+$S119-$T119-IF(ROUNDUP(IF(ISBLANK($V119),$U119*0,$V119)/IF($D$2="Egyszeri",VLOOKUP($B119+IF($C119=12,1,0),Paraméterek!$V$257:$W$262,2),IF($B119=1,1,VLOOKUP($B119+IF($C119=12,1,0),Paraméterek!$I$258:$T$278,HLOOKUP($M$11+1,Paraméterek!$J$256:$T$257,2)))),IF($D$4="Forint",0,2))&gt;$N119-$P119-$Q119+$S119-$T119-IF($D$4="Forint",Paraméterek!$C$216,Paraméterek!$D$216),0,ROUNDUP(IF(ISBLANK($V119),$U119*0,$V119)/IF($D$2="Egyszeri",VLOOKUP($B119+IF($C119=12,1,0),Paraméterek!$V$257:$W$262,2),IF($B119=1,1,VLOOKUP($B119+IF($C119=12,1,0),Paraméterek!$I$258:$T$278,HLOOKUP($M$11+1,Paraméterek!$J$256:$T$257,2)))),IF($D$4="Forint",0,2)))</f>
        <v>#N/A</v>
      </c>
      <c r="X119" s="13" t="e">
        <f ca="1">ROUNDDOWN($W119*IF($D$2="Egyszeri",VLOOKUP($B119+IF($C119=12,1,0),Paraméterek!$V$257:$W$262,2),VLOOKUP($B119+IF($C119=12,1,0),Paraméterek!$I$258:$T$278,HLOOKUP($M$11+1,Paraméterek!$I$256:$T$257,2))),IF($D$4="Forint",0,2))</f>
        <v>#N/A</v>
      </c>
      <c r="Z119" s="32">
        <v>100</v>
      </c>
      <c r="AA119" s="32">
        <v>9</v>
      </c>
      <c r="AB119" s="32">
        <v>4</v>
      </c>
      <c r="AC119" s="13">
        <f t="shared" ca="1" si="38"/>
        <v>0</v>
      </c>
      <c r="AD119" s="33"/>
      <c r="AE119" s="13">
        <f t="shared" ca="1" si="30"/>
        <v>0</v>
      </c>
      <c r="AF119" s="13">
        <f ca="1">ROUNDUP(($AC119+$AE119)*VLOOKUP($AA119,Paraméterek!$P$38:$Q$38,2)/12*IF($D120="Nem",IF($M$13=0,1,$M$13),1),IF($D$4="Forint",0,2))</f>
        <v>0</v>
      </c>
      <c r="AG119" s="13">
        <f ca="1">IF($D$2="Egyszeri",IF($D$7&gt;=IF($D$4="Forint",Paraméterek!$P$223,Paraméterek!$P$224),$D$7-IF($D$4="Forint",Paraméterek!$P$223,Paraméterek!$P$224),0),MIN(IF($AB119=12,AVERAGEIF($E$20:$E119,"&gt;0",$E$20:$E119)*12,0),SUM($E$20:$E$31)))</f>
        <v>0</v>
      </c>
      <c r="AH119" s="13">
        <f>IF($AA119=10,$AG119*IF($AB119=12,IF($AG119&lt;IF($D$4="Forint",Paraméterek!$L$223,Paraméterek!$L$224),0,VLOOKUP($AA119,Paraméterek!$K$226:$M$228,IF($AG119&lt;IF($D$4="Forint",Paraméterek!$M$223,Paraméterek!$M$224),2,3))),0),0)</f>
        <v>0</v>
      </c>
      <c r="AI119" s="13">
        <f ca="1">IF(AND($AA119=$M$11+1,$AB119=$M$12+1),SUMIF($AA$20:$AA$1027,$AA119,$AG$20:$AG$1027)*IF(SUMIF($AA$20:$AA$1027,$AA119,$AG$20:$AG$1027)&lt;IF($D$4="Forint",Paraméterek!$L$223,Paraméterek!$L$224),0,VLOOKUP($AA119,Paraméterek!$K$230:$M$250,IF(SUMIF($AA$20:$AA$1027,$AA119,$AG$20:$AG$1027)&lt;IF($D$4="Forint",Paraméterek!$M$223,Paraméterek!$M$224),2,3))),0)</f>
        <v>0</v>
      </c>
      <c r="AJ119" s="13">
        <f ca="1">IF(AND($AA119&gt;=5,MOD($AA119,5)=0),IF($AB119=12,VLOOKUP($AA119,Paraméterek!$O$225:$P$240,2),0),IF(OR($AA119=3,$AA119=4),IF($AB119=12,VLOOKUP($AA119,Paraméterek!$O$225:$P$240,2,0),0),0))*$AG119</f>
        <v>0</v>
      </c>
      <c r="AK119" s="13">
        <f t="shared" ca="1" si="31"/>
        <v>0</v>
      </c>
      <c r="AL119" s="13">
        <f t="shared" ca="1" si="39"/>
        <v>0</v>
      </c>
      <c r="AM119" s="13">
        <f t="shared" ca="1" si="40"/>
        <v>0</v>
      </c>
      <c r="AO119" s="32">
        <v>100</v>
      </c>
      <c r="AP119" s="32">
        <v>9</v>
      </c>
      <c r="AQ119" s="32">
        <v>4</v>
      </c>
      <c r="AR119" s="13"/>
      <c r="AS119" s="32"/>
      <c r="AT119" s="13">
        <f t="shared" ca="1" si="41"/>
        <v>0</v>
      </c>
      <c r="AU119" s="33"/>
      <c r="AV119" s="13">
        <f t="shared" ca="1" si="32"/>
        <v>0</v>
      </c>
      <c r="AW119" s="13">
        <f ca="1">ROUNDUP(($AT119+$AV119)*VLOOKUP($AP119,Paraméterek!$P$38:$Q$38,2)/12*IF($D120="Nem",IF($M$13=0,1,$M$13),1),IF($D$4="Forint",0,2))</f>
        <v>0</v>
      </c>
      <c r="AX119" s="13"/>
      <c r="AY119" s="13"/>
      <c r="AZ119" s="13">
        <f>ROUNDUP(IF(SUM($AX119:$AY119)=0,0,IF(IF(ISBLANK($AY119),$AX119,$AY119)*Paraméterek!$J$112&lt;IF($D$4="Forint",Paraméterek!$J$113,Paraméterek!$K$113),IF($D$4="Forint",Paraméterek!$J$113,Paraméterek!$K$113),IF(IF(ISBLANK($AY119),$AX119,$AY119)*Paraméterek!$J$112&gt;IF($D$4="Forint",Paraméterek!$J$114,Paraméterek!$K$114),IF($D$4="Forint",Paraméterek!$J$114,Paraméterek!$K$114),IF(ISBLANK($AY119),$AX119,$AY119)*Paraméterek!$J$112))),IF($D$4="Forint",0,2))</f>
        <v>0</v>
      </c>
      <c r="BA119" s="13">
        <f ca="1">$AT119+$AV119-$AW119-IF(ROUNDDOWN(IF(ISBLANK($AY119),$AX119,$AY119),IF($D$4="Forint",0,2))&gt;$AT119+$AV119-$AW119-IF($D$4="Forint",Paraméterek!$J$114,Paraméterek!$K$114),0,ROUNDDOWN(IF(ISBLANK($AY119),$AX119,$AY119),IF($D$4="Forint",0,2))-$AZ119)</f>
        <v>0</v>
      </c>
      <c r="BB119" s="13">
        <f t="shared" ca="1" si="33"/>
        <v>0</v>
      </c>
      <c r="BD119" s="32">
        <v>100</v>
      </c>
      <c r="BE119" s="32">
        <v>9</v>
      </c>
      <c r="BF119" s="32">
        <v>4</v>
      </c>
      <c r="BG119" s="34">
        <f t="shared" ca="1" si="42"/>
        <v>2027</v>
      </c>
      <c r="BH119" s="32" t="str">
        <f ca="1">IF(MOD(MONTH($D$14)+$BD119-1,12)=Paraméterek!$C$288,"Igen","")</f>
        <v/>
      </c>
      <c r="BI119" s="13">
        <f ca="1">IF($BH119="Igen",MIN(ROUNDDOWN((SUMIF($BG$20:$BG$1027,$BG119-1,$K$20:$K$1027)-SUMIF($BG$20:$BG$1027,$BG119-1,$I$20:$I$1027))*Paraméterek!$C$289,IF($D$4="Forint",0,2)),IF($D$4="Forint",Paraméterek!$C$285,Paraméterek!$D$285)),0)</f>
        <v>0</v>
      </c>
      <c r="BJ119" s="13">
        <f t="shared" ca="1" si="34"/>
        <v>0</v>
      </c>
      <c r="BK119" s="13">
        <f t="shared" ca="1" si="43"/>
        <v>0</v>
      </c>
      <c r="BL119" s="33"/>
      <c r="BM119" s="13">
        <f t="shared" ca="1" si="35"/>
        <v>0</v>
      </c>
      <c r="BN119" s="13">
        <f ca="1">ROUNDUP(($BK119+$BM119)*VLOOKUP($BE119,Paraméterek!$P$38:$Q$38,2)/12*IF($D120="Nem",IF($M$13=0,1,$M$13),1),IF($D$4="Forint",0,2))</f>
        <v>0</v>
      </c>
      <c r="BO119" s="13">
        <f t="shared" ca="1" si="36"/>
        <v>0</v>
      </c>
      <c r="BP119" s="13">
        <f ca="1">IF($D120="Nem",$BO119,$BO119-ROUNDUP(SUM($BI$20:$BI119)*120%,IF($D$4="Forint",0,2)))</f>
        <v>0</v>
      </c>
    </row>
    <row r="120" spans="1:68" x14ac:dyDescent="0.2">
      <c r="A120" s="32">
        <v>101</v>
      </c>
      <c r="B120" s="32">
        <v>9</v>
      </c>
      <c r="C120" s="32">
        <v>5</v>
      </c>
      <c r="D120" s="32" t="str">
        <f t="shared" ca="1" si="22"/>
        <v>Nem</v>
      </c>
      <c r="E120" s="13">
        <f t="shared" ca="1" si="23"/>
        <v>0</v>
      </c>
      <c r="F120" s="13"/>
      <c r="G120" s="13"/>
      <c r="H120" s="13"/>
      <c r="I120" s="13">
        <f t="shared" ca="1" si="24"/>
        <v>0</v>
      </c>
      <c r="J120" s="13">
        <f t="shared" ca="1" si="25"/>
        <v>0</v>
      </c>
      <c r="K120" s="13">
        <f t="shared" ca="1" si="26"/>
        <v>0</v>
      </c>
      <c r="L120" s="13" t="e">
        <f ca="1">ROUNDUP(IF($D$2="Egyszeri",$E120,IF($D$2="Havi",SUM($E$20:$E$31),IF(MOD($C120,$M$1)-1=0,SUM($E$20:$E$31),0))/12*$M$1)*VLOOKUP($B120,Paraméterek!$I$28:$P$31,IF($D$2="Egyszeri",8,HLOOKUP(ROUNDUP($M$11+$M$13,0),Paraméterek!$J$26:$O$27,2))),IF($D$4="Forint",0,2))</f>
        <v>#N/A</v>
      </c>
      <c r="M120" s="13">
        <f t="shared" ca="1" si="27"/>
        <v>0</v>
      </c>
      <c r="N120" s="13">
        <f t="shared" ca="1" si="37"/>
        <v>0</v>
      </c>
      <c r="O120" s="13">
        <f ca="1">IF($D120="Igen",IF($W119&gt;=IF($D$4="Forint",Paraméterek!$J$121,Paraméterek!$K$121),0,IF($D$4="Forint",Paraméterek!$J$121,Paraméterek!$K$121)-$W119),0)</f>
        <v>0</v>
      </c>
      <c r="P120" s="13" t="e">
        <f ca="1">ROUNDUP($O120*VLOOKUP($M$4+$B120-1,Paraméterek!$H$58:$I$105,2,0)/Paraméterek!$I$56,IF($D$4="Forint",0,2))</f>
        <v>#N/A</v>
      </c>
      <c r="Q120" s="13">
        <f t="shared" ca="1" si="28"/>
        <v>0</v>
      </c>
      <c r="R120" s="33"/>
      <c r="S120" s="13" t="e">
        <f t="shared" ca="1" si="29"/>
        <v>#N/A</v>
      </c>
      <c r="T120" s="13" t="e">
        <f ca="1">ROUNDUP(($N120-$P120-$Q120+$S120)*VLOOKUP($B120,Paraméterek!$I$38:$K$39,IF($D$2="Egyszeri",3,2))/12*IF($D121="Nem",IF($M$13=0,1,$M$13),1),IF($D$4="Forint",0,2))</f>
        <v>#N/A</v>
      </c>
      <c r="U120" s="13"/>
      <c r="V120" s="13"/>
      <c r="W120" s="13" t="e">
        <f ca="1">$N120-$P120-$Q120+$S120-$T120-IF(ROUNDUP(IF(ISBLANK($V120),$U120*0,$V120)/IF($D$2="Egyszeri",VLOOKUP($B120+IF($C120=12,1,0),Paraméterek!$V$257:$W$262,2),IF($B120=1,1,VLOOKUP($B120+IF($C120=12,1,0),Paraméterek!$I$258:$T$278,HLOOKUP($M$11+1,Paraméterek!$J$256:$T$257,2)))),IF($D$4="Forint",0,2))&gt;$N120-$P120-$Q120+$S120-$T120-IF($D$4="Forint",Paraméterek!$C$216,Paraméterek!$D$216),0,ROUNDUP(IF(ISBLANK($V120),$U120*0,$V120)/IF($D$2="Egyszeri",VLOOKUP($B120+IF($C120=12,1,0),Paraméterek!$V$257:$W$262,2),IF($B120=1,1,VLOOKUP($B120+IF($C120=12,1,0),Paraméterek!$I$258:$T$278,HLOOKUP($M$11+1,Paraméterek!$J$256:$T$257,2)))),IF($D$4="Forint",0,2)))</f>
        <v>#N/A</v>
      </c>
      <c r="X120" s="13" t="e">
        <f ca="1">ROUNDDOWN($W120*IF($D$2="Egyszeri",VLOOKUP($B120+IF($C120=12,1,0),Paraméterek!$V$257:$W$262,2),VLOOKUP($B120+IF($C120=12,1,0),Paraméterek!$I$258:$T$278,HLOOKUP($M$11+1,Paraméterek!$I$256:$T$257,2))),IF($D$4="Forint",0,2))</f>
        <v>#N/A</v>
      </c>
      <c r="Z120" s="32">
        <v>101</v>
      </c>
      <c r="AA120" s="32">
        <v>9</v>
      </c>
      <c r="AB120" s="32">
        <v>5</v>
      </c>
      <c r="AC120" s="13">
        <f t="shared" ca="1" si="38"/>
        <v>0</v>
      </c>
      <c r="AD120" s="33"/>
      <c r="AE120" s="13">
        <f t="shared" ca="1" si="30"/>
        <v>0</v>
      </c>
      <c r="AF120" s="13">
        <f ca="1">ROUNDUP(($AC120+$AE120)*VLOOKUP($AA120,Paraméterek!$P$38:$Q$38,2)/12*IF($D121="Nem",IF($M$13=0,1,$M$13),1),IF($D$4="Forint",0,2))</f>
        <v>0</v>
      </c>
      <c r="AG120" s="13">
        <f ca="1">IF($D$2="Egyszeri",IF($D$7&gt;=IF($D$4="Forint",Paraméterek!$P$223,Paraméterek!$P$224),$D$7-IF($D$4="Forint",Paraméterek!$P$223,Paraméterek!$P$224),0),MIN(IF($AB120=12,AVERAGEIF($E$20:$E120,"&gt;0",$E$20:$E120)*12,0),SUM($E$20:$E$31)))</f>
        <v>0</v>
      </c>
      <c r="AH120" s="13">
        <f>IF($AA120=10,$AG120*IF($AB120=12,IF($AG120&lt;IF($D$4="Forint",Paraméterek!$L$223,Paraméterek!$L$224),0,VLOOKUP($AA120,Paraméterek!$K$226:$M$228,IF($AG120&lt;IF($D$4="Forint",Paraméterek!$M$223,Paraméterek!$M$224),2,3))),0),0)</f>
        <v>0</v>
      </c>
      <c r="AI120" s="13">
        <f ca="1">IF(AND($AA120=$M$11+1,$AB120=$M$12+1),SUMIF($AA$20:$AA$1027,$AA120,$AG$20:$AG$1027)*IF(SUMIF($AA$20:$AA$1027,$AA120,$AG$20:$AG$1027)&lt;IF($D$4="Forint",Paraméterek!$L$223,Paraméterek!$L$224),0,VLOOKUP($AA120,Paraméterek!$K$230:$M$250,IF(SUMIF($AA$20:$AA$1027,$AA120,$AG$20:$AG$1027)&lt;IF($D$4="Forint",Paraméterek!$M$223,Paraméterek!$M$224),2,3))),0)</f>
        <v>0</v>
      </c>
      <c r="AJ120" s="13">
        <f ca="1">IF(AND($AA120&gt;=5,MOD($AA120,5)=0),IF($AB120=12,VLOOKUP($AA120,Paraméterek!$O$225:$P$240,2),0),IF(OR($AA120=3,$AA120=4),IF($AB120=12,VLOOKUP($AA120,Paraméterek!$O$225:$P$240,2,0),0),0))*$AG120</f>
        <v>0</v>
      </c>
      <c r="AK120" s="13">
        <f t="shared" ca="1" si="31"/>
        <v>0</v>
      </c>
      <c r="AL120" s="13">
        <f t="shared" ca="1" si="39"/>
        <v>0</v>
      </c>
      <c r="AM120" s="13">
        <f t="shared" ca="1" si="40"/>
        <v>0</v>
      </c>
      <c r="AO120" s="32">
        <v>101</v>
      </c>
      <c r="AP120" s="32">
        <v>9</v>
      </c>
      <c r="AQ120" s="32">
        <v>5</v>
      </c>
      <c r="AR120" s="13"/>
      <c r="AS120" s="32"/>
      <c r="AT120" s="13">
        <f t="shared" ca="1" si="41"/>
        <v>0</v>
      </c>
      <c r="AU120" s="33"/>
      <c r="AV120" s="13">
        <f t="shared" ca="1" si="32"/>
        <v>0</v>
      </c>
      <c r="AW120" s="13">
        <f ca="1">ROUNDUP(($AT120+$AV120)*VLOOKUP($AP120,Paraméterek!$P$38:$Q$38,2)/12*IF($D121="Nem",IF($M$13=0,1,$M$13),1),IF($D$4="Forint",0,2))</f>
        <v>0</v>
      </c>
      <c r="AX120" s="13"/>
      <c r="AY120" s="13"/>
      <c r="AZ120" s="13">
        <f>ROUNDUP(IF(SUM($AX120:$AY120)=0,0,IF(IF(ISBLANK($AY120),$AX120,$AY120)*Paraméterek!$J$112&lt;IF($D$4="Forint",Paraméterek!$J$113,Paraméterek!$K$113),IF($D$4="Forint",Paraméterek!$J$113,Paraméterek!$K$113),IF(IF(ISBLANK($AY120),$AX120,$AY120)*Paraméterek!$J$112&gt;IF($D$4="Forint",Paraméterek!$J$114,Paraméterek!$K$114),IF($D$4="Forint",Paraméterek!$J$114,Paraméterek!$K$114),IF(ISBLANK($AY120),$AX120,$AY120)*Paraméterek!$J$112))),IF($D$4="Forint",0,2))</f>
        <v>0</v>
      </c>
      <c r="BA120" s="13">
        <f ca="1">$AT120+$AV120-$AW120-IF(ROUNDDOWN(IF(ISBLANK($AY120),$AX120,$AY120),IF($D$4="Forint",0,2))&gt;$AT120+$AV120-$AW120-IF($D$4="Forint",Paraméterek!$J$114,Paraméterek!$K$114),0,ROUNDDOWN(IF(ISBLANK($AY120),$AX120,$AY120),IF($D$4="Forint",0,2))-$AZ120)</f>
        <v>0</v>
      </c>
      <c r="BB120" s="13">
        <f t="shared" ca="1" si="33"/>
        <v>0</v>
      </c>
      <c r="BD120" s="32">
        <v>101</v>
      </c>
      <c r="BE120" s="32">
        <v>9</v>
      </c>
      <c r="BF120" s="32">
        <v>5</v>
      </c>
      <c r="BG120" s="34">
        <f t="shared" ca="1" si="42"/>
        <v>2027</v>
      </c>
      <c r="BH120" s="32" t="str">
        <f ca="1">IF(MOD(MONTH($D$14)+$BD120-1,12)=Paraméterek!$C$288,"Igen","")</f>
        <v/>
      </c>
      <c r="BI120" s="13">
        <f ca="1">IF($BH120="Igen",MIN(ROUNDDOWN((SUMIF($BG$20:$BG$1027,$BG120-1,$K$20:$K$1027)-SUMIF($BG$20:$BG$1027,$BG120-1,$I$20:$I$1027))*Paraméterek!$C$289,IF($D$4="Forint",0,2)),IF($D$4="Forint",Paraméterek!$C$285,Paraméterek!$D$285)),0)</f>
        <v>0</v>
      </c>
      <c r="BJ120" s="13">
        <f t="shared" ca="1" si="34"/>
        <v>0</v>
      </c>
      <c r="BK120" s="13">
        <f t="shared" ca="1" si="43"/>
        <v>0</v>
      </c>
      <c r="BL120" s="33"/>
      <c r="BM120" s="13">
        <f t="shared" ca="1" si="35"/>
        <v>0</v>
      </c>
      <c r="BN120" s="13">
        <f ca="1">ROUNDUP(($BK120+$BM120)*VLOOKUP($BE120,Paraméterek!$P$38:$Q$38,2)/12*IF($D121="Nem",IF($M$13=0,1,$M$13),1),IF($D$4="Forint",0,2))</f>
        <v>0</v>
      </c>
      <c r="BO120" s="13">
        <f t="shared" ca="1" si="36"/>
        <v>0</v>
      </c>
      <c r="BP120" s="13">
        <f ca="1">IF($D121="Nem",$BO120,$BO120-ROUNDUP(SUM($BI$20:$BI120)*120%,IF($D$4="Forint",0,2)))</f>
        <v>0</v>
      </c>
    </row>
    <row r="121" spans="1:68" x14ac:dyDescent="0.2">
      <c r="A121" s="32">
        <v>102</v>
      </c>
      <c r="B121" s="32">
        <v>9</v>
      </c>
      <c r="C121" s="32">
        <v>6</v>
      </c>
      <c r="D121" s="32" t="str">
        <f t="shared" ca="1" si="22"/>
        <v>Nem</v>
      </c>
      <c r="E121" s="13">
        <f t="shared" ca="1" si="23"/>
        <v>0</v>
      </c>
      <c r="F121" s="13"/>
      <c r="G121" s="13"/>
      <c r="H121" s="13"/>
      <c r="I121" s="13">
        <f t="shared" ca="1" si="24"/>
        <v>0</v>
      </c>
      <c r="J121" s="13">
        <f t="shared" ca="1" si="25"/>
        <v>0</v>
      </c>
      <c r="K121" s="13">
        <f t="shared" ca="1" si="26"/>
        <v>0</v>
      </c>
      <c r="L121" s="13" t="e">
        <f ca="1">ROUNDUP(IF($D$2="Egyszeri",$E121,IF($D$2="Havi",SUM($E$20:$E$31),IF(MOD($C121,$M$1)-1=0,SUM($E$20:$E$31),0))/12*$M$1)*VLOOKUP($B121,Paraméterek!$I$28:$P$31,IF($D$2="Egyszeri",8,HLOOKUP(ROUNDUP($M$11+$M$13,0),Paraméterek!$J$26:$O$27,2))),IF($D$4="Forint",0,2))</f>
        <v>#N/A</v>
      </c>
      <c r="M121" s="13">
        <f t="shared" ca="1" si="27"/>
        <v>0</v>
      </c>
      <c r="N121" s="13">
        <f t="shared" ca="1" si="37"/>
        <v>0</v>
      </c>
      <c r="O121" s="13">
        <f ca="1">IF($D121="Igen",IF($W120&gt;=IF($D$4="Forint",Paraméterek!$J$121,Paraméterek!$K$121),0,IF($D$4="Forint",Paraméterek!$J$121,Paraméterek!$K$121)-$W120),0)</f>
        <v>0</v>
      </c>
      <c r="P121" s="13" t="e">
        <f ca="1">ROUNDUP($O121*VLOOKUP($M$4+$B121-1,Paraméterek!$H$58:$I$105,2,0)/Paraméterek!$I$56,IF($D$4="Forint",0,2))</f>
        <v>#N/A</v>
      </c>
      <c r="Q121" s="13">
        <f t="shared" ca="1" si="28"/>
        <v>0</v>
      </c>
      <c r="R121" s="33"/>
      <c r="S121" s="13" t="e">
        <f t="shared" ca="1" si="29"/>
        <v>#N/A</v>
      </c>
      <c r="T121" s="13" t="e">
        <f ca="1">ROUNDUP(($N121-$P121-$Q121+$S121)*VLOOKUP($B121,Paraméterek!$I$38:$K$39,IF($D$2="Egyszeri",3,2))/12*IF($D122="Nem",IF($M$13=0,1,$M$13),1),IF($D$4="Forint",0,2))</f>
        <v>#N/A</v>
      </c>
      <c r="U121" s="13"/>
      <c r="V121" s="13"/>
      <c r="W121" s="13" t="e">
        <f ca="1">$N121-$P121-$Q121+$S121-$T121-IF(ROUNDUP(IF(ISBLANK($V121),$U121*0,$V121)/IF($D$2="Egyszeri",VLOOKUP($B121+IF($C121=12,1,0),Paraméterek!$V$257:$W$262,2),IF($B121=1,1,VLOOKUP($B121+IF($C121=12,1,0),Paraméterek!$I$258:$T$278,HLOOKUP($M$11+1,Paraméterek!$J$256:$T$257,2)))),IF($D$4="Forint",0,2))&gt;$N121-$P121-$Q121+$S121-$T121-IF($D$4="Forint",Paraméterek!$C$216,Paraméterek!$D$216),0,ROUNDUP(IF(ISBLANK($V121),$U121*0,$V121)/IF($D$2="Egyszeri",VLOOKUP($B121+IF($C121=12,1,0),Paraméterek!$V$257:$W$262,2),IF($B121=1,1,VLOOKUP($B121+IF($C121=12,1,0),Paraméterek!$I$258:$T$278,HLOOKUP($M$11+1,Paraméterek!$J$256:$T$257,2)))),IF($D$4="Forint",0,2)))</f>
        <v>#N/A</v>
      </c>
      <c r="X121" s="13" t="e">
        <f ca="1">ROUNDDOWN($W121*IF($D$2="Egyszeri",VLOOKUP($B121+IF($C121=12,1,0),Paraméterek!$V$257:$W$262,2),VLOOKUP($B121+IF($C121=12,1,0),Paraméterek!$I$258:$T$278,HLOOKUP($M$11+1,Paraméterek!$I$256:$T$257,2))),IF($D$4="Forint",0,2))</f>
        <v>#N/A</v>
      </c>
      <c r="Z121" s="32">
        <v>102</v>
      </c>
      <c r="AA121" s="32">
        <v>9</v>
      </c>
      <c r="AB121" s="32">
        <v>6</v>
      </c>
      <c r="AC121" s="13">
        <f t="shared" ca="1" si="38"/>
        <v>0</v>
      </c>
      <c r="AD121" s="33"/>
      <c r="AE121" s="13">
        <f t="shared" ca="1" si="30"/>
        <v>0</v>
      </c>
      <c r="AF121" s="13">
        <f ca="1">ROUNDUP(($AC121+$AE121)*VLOOKUP($AA121,Paraméterek!$P$38:$Q$38,2)/12*IF($D122="Nem",IF($M$13=0,1,$M$13),1),IF($D$4="Forint",0,2))</f>
        <v>0</v>
      </c>
      <c r="AG121" s="13">
        <f ca="1">IF($D$2="Egyszeri",IF($D$7&gt;=IF($D$4="Forint",Paraméterek!$P$223,Paraméterek!$P$224),$D$7-IF($D$4="Forint",Paraméterek!$P$223,Paraméterek!$P$224),0),MIN(IF($AB121=12,AVERAGEIF($E$20:$E121,"&gt;0",$E$20:$E121)*12,0),SUM($E$20:$E$31)))</f>
        <v>0</v>
      </c>
      <c r="AH121" s="13">
        <f>IF($AA121=10,$AG121*IF($AB121=12,IF($AG121&lt;IF($D$4="Forint",Paraméterek!$L$223,Paraméterek!$L$224),0,VLOOKUP($AA121,Paraméterek!$K$226:$M$228,IF($AG121&lt;IF($D$4="Forint",Paraméterek!$M$223,Paraméterek!$M$224),2,3))),0),0)</f>
        <v>0</v>
      </c>
      <c r="AI121" s="13">
        <f ca="1">IF(AND($AA121=$M$11+1,$AB121=$M$12+1),SUMIF($AA$20:$AA$1027,$AA121,$AG$20:$AG$1027)*IF(SUMIF($AA$20:$AA$1027,$AA121,$AG$20:$AG$1027)&lt;IF($D$4="Forint",Paraméterek!$L$223,Paraméterek!$L$224),0,VLOOKUP($AA121,Paraméterek!$K$230:$M$250,IF(SUMIF($AA$20:$AA$1027,$AA121,$AG$20:$AG$1027)&lt;IF($D$4="Forint",Paraméterek!$M$223,Paraméterek!$M$224),2,3))),0)</f>
        <v>0</v>
      </c>
      <c r="AJ121" s="13">
        <f ca="1">IF(AND($AA121&gt;=5,MOD($AA121,5)=0),IF($AB121=12,VLOOKUP($AA121,Paraméterek!$O$225:$P$240,2),0),IF(OR($AA121=3,$AA121=4),IF($AB121=12,VLOOKUP($AA121,Paraméterek!$O$225:$P$240,2,0),0),0))*$AG121</f>
        <v>0</v>
      </c>
      <c r="AK121" s="13">
        <f t="shared" ca="1" si="31"/>
        <v>0</v>
      </c>
      <c r="AL121" s="13">
        <f t="shared" ca="1" si="39"/>
        <v>0</v>
      </c>
      <c r="AM121" s="13">
        <f t="shared" ca="1" si="40"/>
        <v>0</v>
      </c>
      <c r="AO121" s="32">
        <v>102</v>
      </c>
      <c r="AP121" s="32">
        <v>9</v>
      </c>
      <c r="AQ121" s="32">
        <v>6</v>
      </c>
      <c r="AR121" s="13"/>
      <c r="AS121" s="32"/>
      <c r="AT121" s="13">
        <f t="shared" ca="1" si="41"/>
        <v>0</v>
      </c>
      <c r="AU121" s="33"/>
      <c r="AV121" s="13">
        <f t="shared" ca="1" si="32"/>
        <v>0</v>
      </c>
      <c r="AW121" s="13">
        <f ca="1">ROUNDUP(($AT121+$AV121)*VLOOKUP($AP121,Paraméterek!$P$38:$Q$38,2)/12*IF($D122="Nem",IF($M$13=0,1,$M$13),1),IF($D$4="Forint",0,2))</f>
        <v>0</v>
      </c>
      <c r="AX121" s="13"/>
      <c r="AY121" s="13"/>
      <c r="AZ121" s="13">
        <f>ROUNDUP(IF(SUM($AX121:$AY121)=0,0,IF(IF(ISBLANK($AY121),$AX121,$AY121)*Paraméterek!$J$112&lt;IF($D$4="Forint",Paraméterek!$J$113,Paraméterek!$K$113),IF($D$4="Forint",Paraméterek!$J$113,Paraméterek!$K$113),IF(IF(ISBLANK($AY121),$AX121,$AY121)*Paraméterek!$J$112&gt;IF($D$4="Forint",Paraméterek!$J$114,Paraméterek!$K$114),IF($D$4="Forint",Paraméterek!$J$114,Paraméterek!$K$114),IF(ISBLANK($AY121),$AX121,$AY121)*Paraméterek!$J$112))),IF($D$4="Forint",0,2))</f>
        <v>0</v>
      </c>
      <c r="BA121" s="13">
        <f ca="1">$AT121+$AV121-$AW121-IF(ROUNDDOWN(IF(ISBLANK($AY121),$AX121,$AY121),IF($D$4="Forint",0,2))&gt;$AT121+$AV121-$AW121-IF($D$4="Forint",Paraméterek!$J$114,Paraméterek!$K$114),0,ROUNDDOWN(IF(ISBLANK($AY121),$AX121,$AY121),IF($D$4="Forint",0,2))-$AZ121)</f>
        <v>0</v>
      </c>
      <c r="BB121" s="13">
        <f t="shared" ca="1" si="33"/>
        <v>0</v>
      </c>
      <c r="BD121" s="32">
        <v>102</v>
      </c>
      <c r="BE121" s="32">
        <v>9</v>
      </c>
      <c r="BF121" s="32">
        <v>6</v>
      </c>
      <c r="BG121" s="34">
        <f t="shared" ca="1" si="42"/>
        <v>2027</v>
      </c>
      <c r="BH121" s="32" t="str">
        <f ca="1">IF(MOD(MONTH($D$14)+$BD121-1,12)=Paraméterek!$C$288,"Igen","")</f>
        <v/>
      </c>
      <c r="BI121" s="13">
        <f ca="1">IF($BH121="Igen",MIN(ROUNDDOWN((SUMIF($BG$20:$BG$1027,$BG121-1,$K$20:$K$1027)-SUMIF($BG$20:$BG$1027,$BG121-1,$I$20:$I$1027))*Paraméterek!$C$289,IF($D$4="Forint",0,2)),IF($D$4="Forint",Paraméterek!$C$285,Paraméterek!$D$285)),0)</f>
        <v>0</v>
      </c>
      <c r="BJ121" s="13">
        <f t="shared" ca="1" si="34"/>
        <v>0</v>
      </c>
      <c r="BK121" s="13">
        <f t="shared" ca="1" si="43"/>
        <v>0</v>
      </c>
      <c r="BL121" s="33"/>
      <c r="BM121" s="13">
        <f t="shared" ca="1" si="35"/>
        <v>0</v>
      </c>
      <c r="BN121" s="13">
        <f ca="1">ROUNDUP(($BK121+$BM121)*VLOOKUP($BE121,Paraméterek!$P$38:$Q$38,2)/12*IF($D122="Nem",IF($M$13=0,1,$M$13),1),IF($D$4="Forint",0,2))</f>
        <v>0</v>
      </c>
      <c r="BO121" s="13">
        <f t="shared" ca="1" si="36"/>
        <v>0</v>
      </c>
      <c r="BP121" s="13">
        <f ca="1">IF($D122="Nem",$BO121,$BO121-ROUNDUP(SUM($BI$20:$BI121)*120%,IF($D$4="Forint",0,2)))</f>
        <v>0</v>
      </c>
    </row>
    <row r="122" spans="1:68" x14ac:dyDescent="0.2">
      <c r="A122" s="32">
        <v>103</v>
      </c>
      <c r="B122" s="32">
        <v>9</v>
      </c>
      <c r="C122" s="32">
        <v>7</v>
      </c>
      <c r="D122" s="32" t="str">
        <f t="shared" ca="1" si="22"/>
        <v>Nem</v>
      </c>
      <c r="E122" s="13">
        <f t="shared" ca="1" si="23"/>
        <v>0</v>
      </c>
      <c r="F122" s="13"/>
      <c r="G122" s="13"/>
      <c r="H122" s="13"/>
      <c r="I122" s="13">
        <f t="shared" ca="1" si="24"/>
        <v>0</v>
      </c>
      <c r="J122" s="13">
        <f t="shared" ca="1" si="25"/>
        <v>0</v>
      </c>
      <c r="K122" s="13">
        <f t="shared" ca="1" si="26"/>
        <v>0</v>
      </c>
      <c r="L122" s="13" t="e">
        <f ca="1">ROUNDUP(IF($D$2="Egyszeri",$E122,IF($D$2="Havi",SUM($E$20:$E$31),IF(MOD($C122,$M$1)-1=0,SUM($E$20:$E$31),0))/12*$M$1)*VLOOKUP($B122,Paraméterek!$I$28:$P$31,IF($D$2="Egyszeri",8,HLOOKUP(ROUNDUP($M$11+$M$13,0),Paraméterek!$J$26:$O$27,2))),IF($D$4="Forint",0,2))</f>
        <v>#N/A</v>
      </c>
      <c r="M122" s="13">
        <f t="shared" ca="1" si="27"/>
        <v>0</v>
      </c>
      <c r="N122" s="13">
        <f t="shared" ca="1" si="37"/>
        <v>0</v>
      </c>
      <c r="O122" s="13">
        <f ca="1">IF($D122="Igen",IF($W121&gt;=IF($D$4="Forint",Paraméterek!$J$121,Paraméterek!$K$121),0,IF($D$4="Forint",Paraméterek!$J$121,Paraméterek!$K$121)-$W121),0)</f>
        <v>0</v>
      </c>
      <c r="P122" s="13" t="e">
        <f ca="1">ROUNDUP($O122*VLOOKUP($M$4+$B122-1,Paraméterek!$H$58:$I$105,2,0)/Paraméterek!$I$56,IF($D$4="Forint",0,2))</f>
        <v>#N/A</v>
      </c>
      <c r="Q122" s="13">
        <f t="shared" ca="1" si="28"/>
        <v>0</v>
      </c>
      <c r="R122" s="33"/>
      <c r="S122" s="13" t="e">
        <f t="shared" ca="1" si="29"/>
        <v>#N/A</v>
      </c>
      <c r="T122" s="13" t="e">
        <f ca="1">ROUNDUP(($N122-$P122-$Q122+$S122)*VLOOKUP($B122,Paraméterek!$I$38:$K$39,IF($D$2="Egyszeri",3,2))/12*IF($D123="Nem",IF($M$13=0,1,$M$13),1),IF($D$4="Forint",0,2))</f>
        <v>#N/A</v>
      </c>
      <c r="U122" s="13"/>
      <c r="V122" s="13"/>
      <c r="W122" s="13" t="e">
        <f ca="1">$N122-$P122-$Q122+$S122-$T122-IF(ROUNDUP(IF(ISBLANK($V122),$U122*0,$V122)/IF($D$2="Egyszeri",VLOOKUP($B122+IF($C122=12,1,0),Paraméterek!$V$257:$W$262,2),IF($B122=1,1,VLOOKUP($B122+IF($C122=12,1,0),Paraméterek!$I$258:$T$278,HLOOKUP($M$11+1,Paraméterek!$J$256:$T$257,2)))),IF($D$4="Forint",0,2))&gt;$N122-$P122-$Q122+$S122-$T122-IF($D$4="Forint",Paraméterek!$C$216,Paraméterek!$D$216),0,ROUNDUP(IF(ISBLANK($V122),$U122*0,$V122)/IF($D$2="Egyszeri",VLOOKUP($B122+IF($C122=12,1,0),Paraméterek!$V$257:$W$262,2),IF($B122=1,1,VLOOKUP($B122+IF($C122=12,1,0),Paraméterek!$I$258:$T$278,HLOOKUP($M$11+1,Paraméterek!$J$256:$T$257,2)))),IF($D$4="Forint",0,2)))</f>
        <v>#N/A</v>
      </c>
      <c r="X122" s="13" t="e">
        <f ca="1">ROUNDDOWN($W122*IF($D$2="Egyszeri",VLOOKUP($B122+IF($C122=12,1,0),Paraméterek!$V$257:$W$262,2),VLOOKUP($B122+IF($C122=12,1,0),Paraméterek!$I$258:$T$278,HLOOKUP($M$11+1,Paraméterek!$I$256:$T$257,2))),IF($D$4="Forint",0,2))</f>
        <v>#N/A</v>
      </c>
      <c r="Z122" s="32">
        <v>103</v>
      </c>
      <c r="AA122" s="32">
        <v>9</v>
      </c>
      <c r="AB122" s="32">
        <v>7</v>
      </c>
      <c r="AC122" s="13">
        <f t="shared" ca="1" si="38"/>
        <v>0</v>
      </c>
      <c r="AD122" s="33"/>
      <c r="AE122" s="13">
        <f t="shared" ca="1" si="30"/>
        <v>0</v>
      </c>
      <c r="AF122" s="13">
        <f ca="1">ROUNDUP(($AC122+$AE122)*VLOOKUP($AA122,Paraméterek!$P$38:$Q$38,2)/12*IF($D123="Nem",IF($M$13=0,1,$M$13),1),IF($D$4="Forint",0,2))</f>
        <v>0</v>
      </c>
      <c r="AG122" s="13">
        <f ca="1">IF($D$2="Egyszeri",IF($D$7&gt;=IF($D$4="Forint",Paraméterek!$P$223,Paraméterek!$P$224),$D$7-IF($D$4="Forint",Paraméterek!$P$223,Paraméterek!$P$224),0),MIN(IF($AB122=12,AVERAGEIF($E$20:$E122,"&gt;0",$E$20:$E122)*12,0),SUM($E$20:$E$31)))</f>
        <v>0</v>
      </c>
      <c r="AH122" s="13">
        <f>IF($AA122=10,$AG122*IF($AB122=12,IF($AG122&lt;IF($D$4="Forint",Paraméterek!$L$223,Paraméterek!$L$224),0,VLOOKUP($AA122,Paraméterek!$K$226:$M$228,IF($AG122&lt;IF($D$4="Forint",Paraméterek!$M$223,Paraméterek!$M$224),2,3))),0),0)</f>
        <v>0</v>
      </c>
      <c r="AI122" s="13">
        <f ca="1">IF(AND($AA122=$M$11+1,$AB122=$M$12+1),SUMIF($AA$20:$AA$1027,$AA122,$AG$20:$AG$1027)*IF(SUMIF($AA$20:$AA$1027,$AA122,$AG$20:$AG$1027)&lt;IF($D$4="Forint",Paraméterek!$L$223,Paraméterek!$L$224),0,VLOOKUP($AA122,Paraméterek!$K$230:$M$250,IF(SUMIF($AA$20:$AA$1027,$AA122,$AG$20:$AG$1027)&lt;IF($D$4="Forint",Paraméterek!$M$223,Paraméterek!$M$224),2,3))),0)</f>
        <v>0</v>
      </c>
      <c r="AJ122" s="13">
        <f ca="1">IF(AND($AA122&gt;=5,MOD($AA122,5)=0),IF($AB122=12,VLOOKUP($AA122,Paraméterek!$O$225:$P$240,2),0),IF(OR($AA122=3,$AA122=4),IF($AB122=12,VLOOKUP($AA122,Paraméterek!$O$225:$P$240,2,0),0),0))*$AG122</f>
        <v>0</v>
      </c>
      <c r="AK122" s="13">
        <f t="shared" ca="1" si="31"/>
        <v>0</v>
      </c>
      <c r="AL122" s="13">
        <f t="shared" ca="1" si="39"/>
        <v>0</v>
      </c>
      <c r="AM122" s="13">
        <f t="shared" ca="1" si="40"/>
        <v>0</v>
      </c>
      <c r="AO122" s="32">
        <v>103</v>
      </c>
      <c r="AP122" s="32">
        <v>9</v>
      </c>
      <c r="AQ122" s="32">
        <v>7</v>
      </c>
      <c r="AR122" s="13"/>
      <c r="AS122" s="32"/>
      <c r="AT122" s="13">
        <f t="shared" ca="1" si="41"/>
        <v>0</v>
      </c>
      <c r="AU122" s="33"/>
      <c r="AV122" s="13">
        <f t="shared" ca="1" si="32"/>
        <v>0</v>
      </c>
      <c r="AW122" s="13">
        <f ca="1">ROUNDUP(($AT122+$AV122)*VLOOKUP($AP122,Paraméterek!$P$38:$Q$38,2)/12*IF($D123="Nem",IF($M$13=0,1,$M$13),1),IF($D$4="Forint",0,2))</f>
        <v>0</v>
      </c>
      <c r="AX122" s="13"/>
      <c r="AY122" s="13"/>
      <c r="AZ122" s="13">
        <f>ROUNDUP(IF(SUM($AX122:$AY122)=0,0,IF(IF(ISBLANK($AY122),$AX122,$AY122)*Paraméterek!$J$112&lt;IF($D$4="Forint",Paraméterek!$J$113,Paraméterek!$K$113),IF($D$4="Forint",Paraméterek!$J$113,Paraméterek!$K$113),IF(IF(ISBLANK($AY122),$AX122,$AY122)*Paraméterek!$J$112&gt;IF($D$4="Forint",Paraméterek!$J$114,Paraméterek!$K$114),IF($D$4="Forint",Paraméterek!$J$114,Paraméterek!$K$114),IF(ISBLANK($AY122),$AX122,$AY122)*Paraméterek!$J$112))),IF($D$4="Forint",0,2))</f>
        <v>0</v>
      </c>
      <c r="BA122" s="13">
        <f ca="1">$AT122+$AV122-$AW122-IF(ROUNDDOWN(IF(ISBLANK($AY122),$AX122,$AY122),IF($D$4="Forint",0,2))&gt;$AT122+$AV122-$AW122-IF($D$4="Forint",Paraméterek!$J$114,Paraméterek!$K$114),0,ROUNDDOWN(IF(ISBLANK($AY122),$AX122,$AY122),IF($D$4="Forint",0,2))-$AZ122)</f>
        <v>0</v>
      </c>
      <c r="BB122" s="13">
        <f t="shared" ca="1" si="33"/>
        <v>0</v>
      </c>
      <c r="BD122" s="32">
        <v>103</v>
      </c>
      <c r="BE122" s="32">
        <v>9</v>
      </c>
      <c r="BF122" s="32">
        <v>7</v>
      </c>
      <c r="BG122" s="34">
        <f t="shared" ca="1" si="42"/>
        <v>2027</v>
      </c>
      <c r="BH122" s="32" t="str">
        <f ca="1">IF(MOD(MONTH($D$14)+$BD122-1,12)=Paraméterek!$C$288,"Igen","")</f>
        <v/>
      </c>
      <c r="BI122" s="13">
        <f ca="1">IF($BH122="Igen",MIN(ROUNDDOWN((SUMIF($BG$20:$BG$1027,$BG122-1,$K$20:$K$1027)-SUMIF($BG$20:$BG$1027,$BG122-1,$I$20:$I$1027))*Paraméterek!$C$289,IF($D$4="Forint",0,2)),IF($D$4="Forint",Paraméterek!$C$285,Paraméterek!$D$285)),0)</f>
        <v>0</v>
      </c>
      <c r="BJ122" s="13">
        <f t="shared" ca="1" si="34"/>
        <v>0</v>
      </c>
      <c r="BK122" s="13">
        <f t="shared" ca="1" si="43"/>
        <v>0</v>
      </c>
      <c r="BL122" s="33"/>
      <c r="BM122" s="13">
        <f t="shared" ca="1" si="35"/>
        <v>0</v>
      </c>
      <c r="BN122" s="13">
        <f ca="1">ROUNDUP(($BK122+$BM122)*VLOOKUP($BE122,Paraméterek!$P$38:$Q$38,2)/12*IF($D123="Nem",IF($M$13=0,1,$M$13),1),IF($D$4="Forint",0,2))</f>
        <v>0</v>
      </c>
      <c r="BO122" s="13">
        <f t="shared" ca="1" si="36"/>
        <v>0</v>
      </c>
      <c r="BP122" s="13">
        <f ca="1">IF($D123="Nem",$BO122,$BO122-ROUNDUP(SUM($BI$20:$BI122)*120%,IF($D$4="Forint",0,2)))</f>
        <v>0</v>
      </c>
    </row>
    <row r="123" spans="1:68" x14ac:dyDescent="0.2">
      <c r="A123" s="32">
        <v>104</v>
      </c>
      <c r="B123" s="32">
        <v>9</v>
      </c>
      <c r="C123" s="32">
        <v>8</v>
      </c>
      <c r="D123" s="32" t="str">
        <f t="shared" ca="1" si="22"/>
        <v>Nem</v>
      </c>
      <c r="E123" s="13">
        <f t="shared" ca="1" si="23"/>
        <v>0</v>
      </c>
      <c r="F123" s="13"/>
      <c r="G123" s="13"/>
      <c r="H123" s="13"/>
      <c r="I123" s="13">
        <f t="shared" ca="1" si="24"/>
        <v>0</v>
      </c>
      <c r="J123" s="13">
        <f t="shared" ca="1" si="25"/>
        <v>0</v>
      </c>
      <c r="K123" s="13">
        <f t="shared" ca="1" si="26"/>
        <v>0</v>
      </c>
      <c r="L123" s="13" t="e">
        <f ca="1">ROUNDUP(IF($D$2="Egyszeri",$E123,IF($D$2="Havi",SUM($E$20:$E$31),IF(MOD($C123,$M$1)-1=0,SUM($E$20:$E$31),0))/12*$M$1)*VLOOKUP($B123,Paraméterek!$I$28:$P$31,IF($D$2="Egyszeri",8,HLOOKUP(ROUNDUP($M$11+$M$13,0),Paraméterek!$J$26:$O$27,2))),IF($D$4="Forint",0,2))</f>
        <v>#N/A</v>
      </c>
      <c r="M123" s="13">
        <f t="shared" ca="1" si="27"/>
        <v>0</v>
      </c>
      <c r="N123" s="13">
        <f t="shared" ca="1" si="37"/>
        <v>0</v>
      </c>
      <c r="O123" s="13">
        <f ca="1">IF($D123="Igen",IF($W122&gt;=IF($D$4="Forint",Paraméterek!$J$121,Paraméterek!$K$121),0,IF($D$4="Forint",Paraméterek!$J$121,Paraméterek!$K$121)-$W122),0)</f>
        <v>0</v>
      </c>
      <c r="P123" s="13" t="e">
        <f ca="1">ROUNDUP($O123*VLOOKUP($M$4+$B123-1,Paraméterek!$H$58:$I$105,2,0)/Paraméterek!$I$56,IF($D$4="Forint",0,2))</f>
        <v>#N/A</v>
      </c>
      <c r="Q123" s="13">
        <f t="shared" ca="1" si="28"/>
        <v>0</v>
      </c>
      <c r="R123" s="33"/>
      <c r="S123" s="13" t="e">
        <f t="shared" ca="1" si="29"/>
        <v>#N/A</v>
      </c>
      <c r="T123" s="13" t="e">
        <f ca="1">ROUNDUP(($N123-$P123-$Q123+$S123)*VLOOKUP($B123,Paraméterek!$I$38:$K$39,IF($D$2="Egyszeri",3,2))/12*IF($D124="Nem",IF($M$13=0,1,$M$13),1),IF($D$4="Forint",0,2))</f>
        <v>#N/A</v>
      </c>
      <c r="U123" s="13"/>
      <c r="V123" s="13"/>
      <c r="W123" s="13" t="e">
        <f ca="1">$N123-$P123-$Q123+$S123-$T123-IF(ROUNDUP(IF(ISBLANK($V123),$U123*0,$V123)/IF($D$2="Egyszeri",VLOOKUP($B123+IF($C123=12,1,0),Paraméterek!$V$257:$W$262,2),IF($B123=1,1,VLOOKUP($B123+IF($C123=12,1,0),Paraméterek!$I$258:$T$278,HLOOKUP($M$11+1,Paraméterek!$J$256:$T$257,2)))),IF($D$4="Forint",0,2))&gt;$N123-$P123-$Q123+$S123-$T123-IF($D$4="Forint",Paraméterek!$C$216,Paraméterek!$D$216),0,ROUNDUP(IF(ISBLANK($V123),$U123*0,$V123)/IF($D$2="Egyszeri",VLOOKUP($B123+IF($C123=12,1,0),Paraméterek!$V$257:$W$262,2),IF($B123=1,1,VLOOKUP($B123+IF($C123=12,1,0),Paraméterek!$I$258:$T$278,HLOOKUP($M$11+1,Paraméterek!$J$256:$T$257,2)))),IF($D$4="Forint",0,2)))</f>
        <v>#N/A</v>
      </c>
      <c r="X123" s="13" t="e">
        <f ca="1">ROUNDDOWN($W123*IF($D$2="Egyszeri",VLOOKUP($B123+IF($C123=12,1,0),Paraméterek!$V$257:$W$262,2),VLOOKUP($B123+IF($C123=12,1,0),Paraméterek!$I$258:$T$278,HLOOKUP($M$11+1,Paraméterek!$I$256:$T$257,2))),IF($D$4="Forint",0,2))</f>
        <v>#N/A</v>
      </c>
      <c r="Z123" s="32">
        <v>104</v>
      </c>
      <c r="AA123" s="32">
        <v>9</v>
      </c>
      <c r="AB123" s="32">
        <v>8</v>
      </c>
      <c r="AC123" s="13">
        <f t="shared" ca="1" si="38"/>
        <v>0</v>
      </c>
      <c r="AD123" s="33"/>
      <c r="AE123" s="13">
        <f t="shared" ca="1" si="30"/>
        <v>0</v>
      </c>
      <c r="AF123" s="13">
        <f ca="1">ROUNDUP(($AC123+$AE123)*VLOOKUP($AA123,Paraméterek!$P$38:$Q$38,2)/12*IF($D124="Nem",IF($M$13=0,1,$M$13),1),IF($D$4="Forint",0,2))</f>
        <v>0</v>
      </c>
      <c r="AG123" s="13">
        <f ca="1">IF($D$2="Egyszeri",IF($D$7&gt;=IF($D$4="Forint",Paraméterek!$P$223,Paraméterek!$P$224),$D$7-IF($D$4="Forint",Paraméterek!$P$223,Paraméterek!$P$224),0),MIN(IF($AB123=12,AVERAGEIF($E$20:$E123,"&gt;0",$E$20:$E123)*12,0),SUM($E$20:$E$31)))</f>
        <v>0</v>
      </c>
      <c r="AH123" s="13">
        <f>IF($AA123=10,$AG123*IF($AB123=12,IF($AG123&lt;IF($D$4="Forint",Paraméterek!$L$223,Paraméterek!$L$224),0,VLOOKUP($AA123,Paraméterek!$K$226:$M$228,IF($AG123&lt;IF($D$4="Forint",Paraméterek!$M$223,Paraméterek!$M$224),2,3))),0),0)</f>
        <v>0</v>
      </c>
      <c r="AI123" s="13">
        <f ca="1">IF(AND($AA123=$M$11+1,$AB123=$M$12+1),SUMIF($AA$20:$AA$1027,$AA123,$AG$20:$AG$1027)*IF(SUMIF($AA$20:$AA$1027,$AA123,$AG$20:$AG$1027)&lt;IF($D$4="Forint",Paraméterek!$L$223,Paraméterek!$L$224),0,VLOOKUP($AA123,Paraméterek!$K$230:$M$250,IF(SUMIF($AA$20:$AA$1027,$AA123,$AG$20:$AG$1027)&lt;IF($D$4="Forint",Paraméterek!$M$223,Paraméterek!$M$224),2,3))),0)</f>
        <v>0</v>
      </c>
      <c r="AJ123" s="13">
        <f ca="1">IF(AND($AA123&gt;=5,MOD($AA123,5)=0),IF($AB123=12,VLOOKUP($AA123,Paraméterek!$O$225:$P$240,2),0),IF(OR($AA123=3,$AA123=4),IF($AB123=12,VLOOKUP($AA123,Paraméterek!$O$225:$P$240,2,0),0),0))*$AG123</f>
        <v>0</v>
      </c>
      <c r="AK123" s="13">
        <f t="shared" ca="1" si="31"/>
        <v>0</v>
      </c>
      <c r="AL123" s="13">
        <f t="shared" ca="1" si="39"/>
        <v>0</v>
      </c>
      <c r="AM123" s="13">
        <f t="shared" ca="1" si="40"/>
        <v>0</v>
      </c>
      <c r="AO123" s="32">
        <v>104</v>
      </c>
      <c r="AP123" s="32">
        <v>9</v>
      </c>
      <c r="AQ123" s="32">
        <v>8</v>
      </c>
      <c r="AR123" s="13"/>
      <c r="AS123" s="32"/>
      <c r="AT123" s="13">
        <f t="shared" ca="1" si="41"/>
        <v>0</v>
      </c>
      <c r="AU123" s="33"/>
      <c r="AV123" s="13">
        <f t="shared" ca="1" si="32"/>
        <v>0</v>
      </c>
      <c r="AW123" s="13">
        <f ca="1">ROUNDUP(($AT123+$AV123)*VLOOKUP($AP123,Paraméterek!$P$38:$Q$38,2)/12*IF($D124="Nem",IF($M$13=0,1,$M$13),1),IF($D$4="Forint",0,2))</f>
        <v>0</v>
      </c>
      <c r="AX123" s="13"/>
      <c r="AY123" s="13"/>
      <c r="AZ123" s="13">
        <f>ROUNDUP(IF(SUM($AX123:$AY123)=0,0,IF(IF(ISBLANK($AY123),$AX123,$AY123)*Paraméterek!$J$112&lt;IF($D$4="Forint",Paraméterek!$J$113,Paraméterek!$K$113),IF($D$4="Forint",Paraméterek!$J$113,Paraméterek!$K$113),IF(IF(ISBLANK($AY123),$AX123,$AY123)*Paraméterek!$J$112&gt;IF($D$4="Forint",Paraméterek!$J$114,Paraméterek!$K$114),IF($D$4="Forint",Paraméterek!$J$114,Paraméterek!$K$114),IF(ISBLANK($AY123),$AX123,$AY123)*Paraméterek!$J$112))),IF($D$4="Forint",0,2))</f>
        <v>0</v>
      </c>
      <c r="BA123" s="13">
        <f ca="1">$AT123+$AV123-$AW123-IF(ROUNDDOWN(IF(ISBLANK($AY123),$AX123,$AY123),IF($D$4="Forint",0,2))&gt;$AT123+$AV123-$AW123-IF($D$4="Forint",Paraméterek!$J$114,Paraméterek!$K$114),0,ROUNDDOWN(IF(ISBLANK($AY123),$AX123,$AY123),IF($D$4="Forint",0,2))-$AZ123)</f>
        <v>0</v>
      </c>
      <c r="BB123" s="13">
        <f t="shared" ca="1" si="33"/>
        <v>0</v>
      </c>
      <c r="BD123" s="32">
        <v>104</v>
      </c>
      <c r="BE123" s="32">
        <v>9</v>
      </c>
      <c r="BF123" s="32">
        <v>8</v>
      </c>
      <c r="BG123" s="34">
        <f t="shared" ca="1" si="42"/>
        <v>2028</v>
      </c>
      <c r="BH123" s="32" t="str">
        <f ca="1">IF(MOD(MONTH($D$14)+$BD123-1,12)=Paraméterek!$C$288,"Igen","")</f>
        <v/>
      </c>
      <c r="BI123" s="13">
        <f ca="1">IF($BH123="Igen",MIN(ROUNDDOWN((SUMIF($BG$20:$BG$1027,$BG123-1,$K$20:$K$1027)-SUMIF($BG$20:$BG$1027,$BG123-1,$I$20:$I$1027))*Paraméterek!$C$289,IF($D$4="Forint",0,2)),IF($D$4="Forint",Paraméterek!$C$285,Paraméterek!$D$285)),0)</f>
        <v>0</v>
      </c>
      <c r="BJ123" s="13">
        <f t="shared" ca="1" si="34"/>
        <v>0</v>
      </c>
      <c r="BK123" s="13">
        <f t="shared" ca="1" si="43"/>
        <v>0</v>
      </c>
      <c r="BL123" s="33"/>
      <c r="BM123" s="13">
        <f t="shared" ca="1" si="35"/>
        <v>0</v>
      </c>
      <c r="BN123" s="13">
        <f ca="1">ROUNDUP(($BK123+$BM123)*VLOOKUP($BE123,Paraméterek!$P$38:$Q$38,2)/12*IF($D124="Nem",IF($M$13=0,1,$M$13),1),IF($D$4="Forint",0,2))</f>
        <v>0</v>
      </c>
      <c r="BO123" s="13">
        <f t="shared" ca="1" si="36"/>
        <v>0</v>
      </c>
      <c r="BP123" s="13">
        <f ca="1">IF($D124="Nem",$BO123,$BO123-ROUNDUP(SUM($BI$20:$BI123)*120%,IF($D$4="Forint",0,2)))</f>
        <v>0</v>
      </c>
    </row>
    <row r="124" spans="1:68" x14ac:dyDescent="0.2">
      <c r="A124" s="32">
        <v>105</v>
      </c>
      <c r="B124" s="32">
        <v>9</v>
      </c>
      <c r="C124" s="32">
        <v>9</v>
      </c>
      <c r="D124" s="32" t="str">
        <f t="shared" ca="1" si="22"/>
        <v>Nem</v>
      </c>
      <c r="E124" s="13">
        <f t="shared" ca="1" si="23"/>
        <v>0</v>
      </c>
      <c r="F124" s="13"/>
      <c r="G124" s="13"/>
      <c r="H124" s="13"/>
      <c r="I124" s="13">
        <f t="shared" ca="1" si="24"/>
        <v>0</v>
      </c>
      <c r="J124" s="13">
        <f t="shared" ca="1" si="25"/>
        <v>0</v>
      </c>
      <c r="K124" s="13">
        <f t="shared" ca="1" si="26"/>
        <v>0</v>
      </c>
      <c r="L124" s="13" t="e">
        <f ca="1">ROUNDUP(IF($D$2="Egyszeri",$E124,IF($D$2="Havi",SUM($E$20:$E$31),IF(MOD($C124,$M$1)-1=0,SUM($E$20:$E$31),0))/12*$M$1)*VLOOKUP($B124,Paraméterek!$I$28:$P$31,IF($D$2="Egyszeri",8,HLOOKUP(ROUNDUP($M$11+$M$13,0),Paraméterek!$J$26:$O$27,2))),IF($D$4="Forint",0,2))</f>
        <v>#N/A</v>
      </c>
      <c r="M124" s="13">
        <f t="shared" ca="1" si="27"/>
        <v>0</v>
      </c>
      <c r="N124" s="13">
        <f t="shared" ca="1" si="37"/>
        <v>0</v>
      </c>
      <c r="O124" s="13">
        <f ca="1">IF($D124="Igen",IF($W123&gt;=IF($D$4="Forint",Paraméterek!$J$121,Paraméterek!$K$121),0,IF($D$4="Forint",Paraméterek!$J$121,Paraméterek!$K$121)-$W123),0)</f>
        <v>0</v>
      </c>
      <c r="P124" s="13" t="e">
        <f ca="1">ROUNDUP($O124*VLOOKUP($M$4+$B124-1,Paraméterek!$H$58:$I$105,2,0)/Paraméterek!$I$56,IF($D$4="Forint",0,2))</f>
        <v>#N/A</v>
      </c>
      <c r="Q124" s="13">
        <f t="shared" ca="1" si="28"/>
        <v>0</v>
      </c>
      <c r="R124" s="33"/>
      <c r="S124" s="13" t="e">
        <f t="shared" ca="1" si="29"/>
        <v>#N/A</v>
      </c>
      <c r="T124" s="13" t="e">
        <f ca="1">ROUNDUP(($N124-$P124-$Q124+$S124)*VLOOKUP($B124,Paraméterek!$I$38:$K$39,IF($D$2="Egyszeri",3,2))/12*IF($D125="Nem",IF($M$13=0,1,$M$13),1),IF($D$4="Forint",0,2))</f>
        <v>#N/A</v>
      </c>
      <c r="U124" s="13"/>
      <c r="V124" s="13"/>
      <c r="W124" s="13" t="e">
        <f ca="1">$N124-$P124-$Q124+$S124-$T124-IF(ROUNDUP(IF(ISBLANK($V124),$U124*0,$V124)/IF($D$2="Egyszeri",VLOOKUP($B124+IF($C124=12,1,0),Paraméterek!$V$257:$W$262,2),IF($B124=1,1,VLOOKUP($B124+IF($C124=12,1,0),Paraméterek!$I$258:$T$278,HLOOKUP($M$11+1,Paraméterek!$J$256:$T$257,2)))),IF($D$4="Forint",0,2))&gt;$N124-$P124-$Q124+$S124-$T124-IF($D$4="Forint",Paraméterek!$C$216,Paraméterek!$D$216),0,ROUNDUP(IF(ISBLANK($V124),$U124*0,$V124)/IF($D$2="Egyszeri",VLOOKUP($B124+IF($C124=12,1,0),Paraméterek!$V$257:$W$262,2),IF($B124=1,1,VLOOKUP($B124+IF($C124=12,1,0),Paraméterek!$I$258:$T$278,HLOOKUP($M$11+1,Paraméterek!$J$256:$T$257,2)))),IF($D$4="Forint",0,2)))</f>
        <v>#N/A</v>
      </c>
      <c r="X124" s="13" t="e">
        <f ca="1">ROUNDDOWN($W124*IF($D$2="Egyszeri",VLOOKUP($B124+IF($C124=12,1,0),Paraméterek!$V$257:$W$262,2),VLOOKUP($B124+IF($C124=12,1,0),Paraméterek!$I$258:$T$278,HLOOKUP($M$11+1,Paraméterek!$I$256:$T$257,2))),IF($D$4="Forint",0,2))</f>
        <v>#N/A</v>
      </c>
      <c r="Z124" s="32">
        <v>105</v>
      </c>
      <c r="AA124" s="32">
        <v>9</v>
      </c>
      <c r="AB124" s="32">
        <v>9</v>
      </c>
      <c r="AC124" s="13">
        <f t="shared" ca="1" si="38"/>
        <v>0</v>
      </c>
      <c r="AD124" s="33"/>
      <c r="AE124" s="13">
        <f t="shared" ca="1" si="30"/>
        <v>0</v>
      </c>
      <c r="AF124" s="13">
        <f ca="1">ROUNDUP(($AC124+$AE124)*VLOOKUP($AA124,Paraméterek!$P$38:$Q$38,2)/12*IF($D125="Nem",IF($M$13=0,1,$M$13),1),IF($D$4="Forint",0,2))</f>
        <v>0</v>
      </c>
      <c r="AG124" s="13">
        <f ca="1">IF($D$2="Egyszeri",IF($D$7&gt;=IF($D$4="Forint",Paraméterek!$P$223,Paraméterek!$P$224),$D$7-IF($D$4="Forint",Paraméterek!$P$223,Paraméterek!$P$224),0),MIN(IF($AB124=12,AVERAGEIF($E$20:$E124,"&gt;0",$E$20:$E124)*12,0),SUM($E$20:$E$31)))</f>
        <v>0</v>
      </c>
      <c r="AH124" s="13">
        <f>IF($AA124=10,$AG124*IF($AB124=12,IF($AG124&lt;IF($D$4="Forint",Paraméterek!$L$223,Paraméterek!$L$224),0,VLOOKUP($AA124,Paraméterek!$K$226:$M$228,IF($AG124&lt;IF($D$4="Forint",Paraméterek!$M$223,Paraméterek!$M$224),2,3))),0),0)</f>
        <v>0</v>
      </c>
      <c r="AI124" s="13">
        <f ca="1">IF(AND($AA124=$M$11+1,$AB124=$M$12+1),SUMIF($AA$20:$AA$1027,$AA124,$AG$20:$AG$1027)*IF(SUMIF($AA$20:$AA$1027,$AA124,$AG$20:$AG$1027)&lt;IF($D$4="Forint",Paraméterek!$L$223,Paraméterek!$L$224),0,VLOOKUP($AA124,Paraméterek!$K$230:$M$250,IF(SUMIF($AA$20:$AA$1027,$AA124,$AG$20:$AG$1027)&lt;IF($D$4="Forint",Paraméterek!$M$223,Paraméterek!$M$224),2,3))),0)</f>
        <v>0</v>
      </c>
      <c r="AJ124" s="13">
        <f ca="1">IF(AND($AA124&gt;=5,MOD($AA124,5)=0),IF($AB124=12,VLOOKUP($AA124,Paraméterek!$O$225:$P$240,2),0),IF(OR($AA124=3,$AA124=4),IF($AB124=12,VLOOKUP($AA124,Paraméterek!$O$225:$P$240,2,0),0),0))*$AG124</f>
        <v>0</v>
      </c>
      <c r="AK124" s="13">
        <f t="shared" ca="1" si="31"/>
        <v>0</v>
      </c>
      <c r="AL124" s="13">
        <f t="shared" ca="1" si="39"/>
        <v>0</v>
      </c>
      <c r="AM124" s="13">
        <f t="shared" ca="1" si="40"/>
        <v>0</v>
      </c>
      <c r="AO124" s="32">
        <v>105</v>
      </c>
      <c r="AP124" s="32">
        <v>9</v>
      </c>
      <c r="AQ124" s="32">
        <v>9</v>
      </c>
      <c r="AR124" s="13"/>
      <c r="AS124" s="32"/>
      <c r="AT124" s="13">
        <f t="shared" ca="1" si="41"/>
        <v>0</v>
      </c>
      <c r="AU124" s="33"/>
      <c r="AV124" s="13">
        <f t="shared" ca="1" si="32"/>
        <v>0</v>
      </c>
      <c r="AW124" s="13">
        <f ca="1">ROUNDUP(($AT124+$AV124)*VLOOKUP($AP124,Paraméterek!$P$38:$Q$38,2)/12*IF($D125="Nem",IF($M$13=0,1,$M$13),1),IF($D$4="Forint",0,2))</f>
        <v>0</v>
      </c>
      <c r="AX124" s="13"/>
      <c r="AY124" s="13"/>
      <c r="AZ124" s="13">
        <f>ROUNDUP(IF(SUM($AX124:$AY124)=0,0,IF(IF(ISBLANK($AY124),$AX124,$AY124)*Paraméterek!$J$112&lt;IF($D$4="Forint",Paraméterek!$J$113,Paraméterek!$K$113),IF($D$4="Forint",Paraméterek!$J$113,Paraméterek!$K$113),IF(IF(ISBLANK($AY124),$AX124,$AY124)*Paraméterek!$J$112&gt;IF($D$4="Forint",Paraméterek!$J$114,Paraméterek!$K$114),IF($D$4="Forint",Paraméterek!$J$114,Paraméterek!$K$114),IF(ISBLANK($AY124),$AX124,$AY124)*Paraméterek!$J$112))),IF($D$4="Forint",0,2))</f>
        <v>0</v>
      </c>
      <c r="BA124" s="13">
        <f ca="1">$AT124+$AV124-$AW124-IF(ROUNDDOWN(IF(ISBLANK($AY124),$AX124,$AY124),IF($D$4="Forint",0,2))&gt;$AT124+$AV124-$AW124-IF($D$4="Forint",Paraméterek!$J$114,Paraméterek!$K$114),0,ROUNDDOWN(IF(ISBLANK($AY124),$AX124,$AY124),IF($D$4="Forint",0,2))-$AZ124)</f>
        <v>0</v>
      </c>
      <c r="BB124" s="13">
        <f t="shared" ca="1" si="33"/>
        <v>0</v>
      </c>
      <c r="BD124" s="32">
        <v>105</v>
      </c>
      <c r="BE124" s="32">
        <v>9</v>
      </c>
      <c r="BF124" s="32">
        <v>9</v>
      </c>
      <c r="BG124" s="34">
        <f t="shared" ca="1" si="42"/>
        <v>2028</v>
      </c>
      <c r="BH124" s="32" t="str">
        <f ca="1">IF(MOD(MONTH($D$14)+$BD124-1,12)=Paraméterek!$C$288,"Igen","")</f>
        <v/>
      </c>
      <c r="BI124" s="13">
        <f ca="1">IF($BH124="Igen",MIN(ROUNDDOWN((SUMIF($BG$20:$BG$1027,$BG124-1,$K$20:$K$1027)-SUMIF($BG$20:$BG$1027,$BG124-1,$I$20:$I$1027))*Paraméterek!$C$289,IF($D$4="Forint",0,2)),IF($D$4="Forint",Paraméterek!$C$285,Paraméterek!$D$285)),0)</f>
        <v>0</v>
      </c>
      <c r="BJ124" s="13">
        <f t="shared" ca="1" si="34"/>
        <v>0</v>
      </c>
      <c r="BK124" s="13">
        <f t="shared" ca="1" si="43"/>
        <v>0</v>
      </c>
      <c r="BL124" s="33"/>
      <c r="BM124" s="13">
        <f t="shared" ca="1" si="35"/>
        <v>0</v>
      </c>
      <c r="BN124" s="13">
        <f ca="1">ROUNDUP(($BK124+$BM124)*VLOOKUP($BE124,Paraméterek!$P$38:$Q$38,2)/12*IF($D125="Nem",IF($M$13=0,1,$M$13),1),IF($D$4="Forint",0,2))</f>
        <v>0</v>
      </c>
      <c r="BO124" s="13">
        <f t="shared" ca="1" si="36"/>
        <v>0</v>
      </c>
      <c r="BP124" s="13">
        <f ca="1">IF($D125="Nem",$BO124,$BO124-ROUNDUP(SUM($BI$20:$BI124)*120%,IF($D$4="Forint",0,2)))</f>
        <v>0</v>
      </c>
    </row>
    <row r="125" spans="1:68" x14ac:dyDescent="0.2">
      <c r="A125" s="32">
        <v>106</v>
      </c>
      <c r="B125" s="32">
        <v>9</v>
      </c>
      <c r="C125" s="32">
        <v>10</v>
      </c>
      <c r="D125" s="32" t="str">
        <f t="shared" ca="1" si="22"/>
        <v>Nem</v>
      </c>
      <c r="E125" s="13">
        <f t="shared" ca="1" si="23"/>
        <v>0</v>
      </c>
      <c r="F125" s="13"/>
      <c r="G125" s="13"/>
      <c r="H125" s="13"/>
      <c r="I125" s="13">
        <f t="shared" ca="1" si="24"/>
        <v>0</v>
      </c>
      <c r="J125" s="13">
        <f t="shared" ca="1" si="25"/>
        <v>0</v>
      </c>
      <c r="K125" s="13">
        <f t="shared" ca="1" si="26"/>
        <v>0</v>
      </c>
      <c r="L125" s="13" t="e">
        <f ca="1">ROUNDUP(IF($D$2="Egyszeri",$E125,IF($D$2="Havi",SUM($E$20:$E$31),IF(MOD($C125,$M$1)-1=0,SUM($E$20:$E$31),0))/12*$M$1)*VLOOKUP($B125,Paraméterek!$I$28:$P$31,IF($D$2="Egyszeri",8,HLOOKUP(ROUNDUP($M$11+$M$13,0),Paraméterek!$J$26:$O$27,2))),IF($D$4="Forint",0,2))</f>
        <v>#N/A</v>
      </c>
      <c r="M125" s="13">
        <f t="shared" ca="1" si="27"/>
        <v>0</v>
      </c>
      <c r="N125" s="13">
        <f t="shared" ca="1" si="37"/>
        <v>0</v>
      </c>
      <c r="O125" s="13">
        <f ca="1">IF($D125="Igen",IF($W124&gt;=IF($D$4="Forint",Paraméterek!$J$121,Paraméterek!$K$121),0,IF($D$4="Forint",Paraméterek!$J$121,Paraméterek!$K$121)-$W124),0)</f>
        <v>0</v>
      </c>
      <c r="P125" s="13" t="e">
        <f ca="1">ROUNDUP($O125*VLOOKUP($M$4+$B125-1,Paraméterek!$H$58:$I$105,2,0)/Paraméterek!$I$56,IF($D$4="Forint",0,2))</f>
        <v>#N/A</v>
      </c>
      <c r="Q125" s="13">
        <f t="shared" ca="1" si="28"/>
        <v>0</v>
      </c>
      <c r="R125" s="33"/>
      <c r="S125" s="13" t="e">
        <f t="shared" ca="1" si="29"/>
        <v>#N/A</v>
      </c>
      <c r="T125" s="13" t="e">
        <f ca="1">ROUNDUP(($N125-$P125-$Q125+$S125)*VLOOKUP($B125,Paraméterek!$I$38:$K$39,IF($D$2="Egyszeri",3,2))/12*IF($D126="Nem",IF($M$13=0,1,$M$13),1),IF($D$4="Forint",0,2))</f>
        <v>#N/A</v>
      </c>
      <c r="U125" s="13"/>
      <c r="V125" s="13"/>
      <c r="W125" s="13" t="e">
        <f ca="1">$N125-$P125-$Q125+$S125-$T125-IF(ROUNDUP(IF(ISBLANK($V125),$U125*0,$V125)/IF($D$2="Egyszeri",VLOOKUP($B125+IF($C125=12,1,0),Paraméterek!$V$257:$W$262,2),IF($B125=1,1,VLOOKUP($B125+IF($C125=12,1,0),Paraméterek!$I$258:$T$278,HLOOKUP($M$11+1,Paraméterek!$J$256:$T$257,2)))),IF($D$4="Forint",0,2))&gt;$N125-$P125-$Q125+$S125-$T125-IF($D$4="Forint",Paraméterek!$C$216,Paraméterek!$D$216),0,ROUNDUP(IF(ISBLANK($V125),$U125*0,$V125)/IF($D$2="Egyszeri",VLOOKUP($B125+IF($C125=12,1,0),Paraméterek!$V$257:$W$262,2),IF($B125=1,1,VLOOKUP($B125+IF($C125=12,1,0),Paraméterek!$I$258:$T$278,HLOOKUP($M$11+1,Paraméterek!$J$256:$T$257,2)))),IF($D$4="Forint",0,2)))</f>
        <v>#N/A</v>
      </c>
      <c r="X125" s="13" t="e">
        <f ca="1">ROUNDDOWN($W125*IF($D$2="Egyszeri",VLOOKUP($B125+IF($C125=12,1,0),Paraméterek!$V$257:$W$262,2),VLOOKUP($B125+IF($C125=12,1,0),Paraméterek!$I$258:$T$278,HLOOKUP($M$11+1,Paraméterek!$I$256:$T$257,2))),IF($D$4="Forint",0,2))</f>
        <v>#N/A</v>
      </c>
      <c r="Z125" s="32">
        <v>106</v>
      </c>
      <c r="AA125" s="32">
        <v>9</v>
      </c>
      <c r="AB125" s="32">
        <v>10</v>
      </c>
      <c r="AC125" s="13">
        <f t="shared" ca="1" si="38"/>
        <v>0</v>
      </c>
      <c r="AD125" s="33"/>
      <c r="AE125" s="13">
        <f t="shared" ca="1" si="30"/>
        <v>0</v>
      </c>
      <c r="AF125" s="13">
        <f ca="1">ROUNDUP(($AC125+$AE125)*VLOOKUP($AA125,Paraméterek!$P$38:$Q$38,2)/12*IF($D126="Nem",IF($M$13=0,1,$M$13),1),IF($D$4="Forint",0,2))</f>
        <v>0</v>
      </c>
      <c r="AG125" s="13">
        <f ca="1">IF($D$2="Egyszeri",IF($D$7&gt;=IF($D$4="Forint",Paraméterek!$P$223,Paraméterek!$P$224),$D$7-IF($D$4="Forint",Paraméterek!$P$223,Paraméterek!$P$224),0),MIN(IF($AB125=12,AVERAGEIF($E$20:$E125,"&gt;0",$E$20:$E125)*12,0),SUM($E$20:$E$31)))</f>
        <v>0</v>
      </c>
      <c r="AH125" s="13">
        <f>IF($AA125=10,$AG125*IF($AB125=12,IF($AG125&lt;IF($D$4="Forint",Paraméterek!$L$223,Paraméterek!$L$224),0,VLOOKUP($AA125,Paraméterek!$K$226:$M$228,IF($AG125&lt;IF($D$4="Forint",Paraméterek!$M$223,Paraméterek!$M$224),2,3))),0),0)</f>
        <v>0</v>
      </c>
      <c r="AI125" s="13">
        <f ca="1">IF(AND($AA125=$M$11+1,$AB125=$M$12+1),SUMIF($AA$20:$AA$1027,$AA125,$AG$20:$AG$1027)*IF(SUMIF($AA$20:$AA$1027,$AA125,$AG$20:$AG$1027)&lt;IF($D$4="Forint",Paraméterek!$L$223,Paraméterek!$L$224),0,VLOOKUP($AA125,Paraméterek!$K$230:$M$250,IF(SUMIF($AA$20:$AA$1027,$AA125,$AG$20:$AG$1027)&lt;IF($D$4="Forint",Paraméterek!$M$223,Paraméterek!$M$224),2,3))),0)</f>
        <v>0</v>
      </c>
      <c r="AJ125" s="13">
        <f ca="1">IF(AND($AA125&gt;=5,MOD($AA125,5)=0),IF($AB125=12,VLOOKUP($AA125,Paraméterek!$O$225:$P$240,2),0),IF(OR($AA125=3,$AA125=4),IF($AB125=12,VLOOKUP($AA125,Paraméterek!$O$225:$P$240,2,0),0),0))*$AG125</f>
        <v>0</v>
      </c>
      <c r="AK125" s="13">
        <f t="shared" ca="1" si="31"/>
        <v>0</v>
      </c>
      <c r="AL125" s="13">
        <f t="shared" ca="1" si="39"/>
        <v>0</v>
      </c>
      <c r="AM125" s="13">
        <f t="shared" ca="1" si="40"/>
        <v>0</v>
      </c>
      <c r="AO125" s="32">
        <v>106</v>
      </c>
      <c r="AP125" s="32">
        <v>9</v>
      </c>
      <c r="AQ125" s="32">
        <v>10</v>
      </c>
      <c r="AR125" s="13"/>
      <c r="AS125" s="32"/>
      <c r="AT125" s="13">
        <f t="shared" ca="1" si="41"/>
        <v>0</v>
      </c>
      <c r="AU125" s="33"/>
      <c r="AV125" s="13">
        <f t="shared" ca="1" si="32"/>
        <v>0</v>
      </c>
      <c r="AW125" s="13">
        <f ca="1">ROUNDUP(($AT125+$AV125)*VLOOKUP($AP125,Paraméterek!$P$38:$Q$38,2)/12*IF($D126="Nem",IF($M$13=0,1,$M$13),1),IF($D$4="Forint",0,2))</f>
        <v>0</v>
      </c>
      <c r="AX125" s="13"/>
      <c r="AY125" s="13"/>
      <c r="AZ125" s="13">
        <f>ROUNDUP(IF(SUM($AX125:$AY125)=0,0,IF(IF(ISBLANK($AY125),$AX125,$AY125)*Paraméterek!$J$112&lt;IF($D$4="Forint",Paraméterek!$J$113,Paraméterek!$K$113),IF($D$4="Forint",Paraméterek!$J$113,Paraméterek!$K$113),IF(IF(ISBLANK($AY125),$AX125,$AY125)*Paraméterek!$J$112&gt;IF($D$4="Forint",Paraméterek!$J$114,Paraméterek!$K$114),IF($D$4="Forint",Paraméterek!$J$114,Paraméterek!$K$114),IF(ISBLANK($AY125),$AX125,$AY125)*Paraméterek!$J$112))),IF($D$4="Forint",0,2))</f>
        <v>0</v>
      </c>
      <c r="BA125" s="13">
        <f ca="1">$AT125+$AV125-$AW125-IF(ROUNDDOWN(IF(ISBLANK($AY125),$AX125,$AY125),IF($D$4="Forint",0,2))&gt;$AT125+$AV125-$AW125-IF($D$4="Forint",Paraméterek!$J$114,Paraméterek!$K$114),0,ROUNDDOWN(IF(ISBLANK($AY125),$AX125,$AY125),IF($D$4="Forint",0,2))-$AZ125)</f>
        <v>0</v>
      </c>
      <c r="BB125" s="13">
        <f t="shared" ca="1" si="33"/>
        <v>0</v>
      </c>
      <c r="BD125" s="32">
        <v>106</v>
      </c>
      <c r="BE125" s="32">
        <v>9</v>
      </c>
      <c r="BF125" s="32">
        <v>10</v>
      </c>
      <c r="BG125" s="34">
        <f t="shared" ca="1" si="42"/>
        <v>2028</v>
      </c>
      <c r="BH125" s="32" t="str">
        <f ca="1">IF(MOD(MONTH($D$14)+$BD125-1,12)=Paraméterek!$C$288,"Igen","")</f>
        <v/>
      </c>
      <c r="BI125" s="13">
        <f ca="1">IF($BH125="Igen",MIN(ROUNDDOWN((SUMIF($BG$20:$BG$1027,$BG125-1,$K$20:$K$1027)-SUMIF($BG$20:$BG$1027,$BG125-1,$I$20:$I$1027))*Paraméterek!$C$289,IF($D$4="Forint",0,2)),IF($D$4="Forint",Paraméterek!$C$285,Paraméterek!$D$285)),0)</f>
        <v>0</v>
      </c>
      <c r="BJ125" s="13">
        <f t="shared" ca="1" si="34"/>
        <v>0</v>
      </c>
      <c r="BK125" s="13">
        <f t="shared" ca="1" si="43"/>
        <v>0</v>
      </c>
      <c r="BL125" s="33"/>
      <c r="BM125" s="13">
        <f t="shared" ca="1" si="35"/>
        <v>0</v>
      </c>
      <c r="BN125" s="13">
        <f ca="1">ROUNDUP(($BK125+$BM125)*VLOOKUP($BE125,Paraméterek!$P$38:$Q$38,2)/12*IF($D126="Nem",IF($M$13=0,1,$M$13),1),IF($D$4="Forint",0,2))</f>
        <v>0</v>
      </c>
      <c r="BO125" s="13">
        <f t="shared" ca="1" si="36"/>
        <v>0</v>
      </c>
      <c r="BP125" s="13">
        <f ca="1">IF($D126="Nem",$BO125,$BO125-ROUNDUP(SUM($BI$20:$BI125)*120%,IF($D$4="Forint",0,2)))</f>
        <v>0</v>
      </c>
    </row>
    <row r="126" spans="1:68" x14ac:dyDescent="0.2">
      <c r="A126" s="32">
        <v>107</v>
      </c>
      <c r="B126" s="32">
        <v>9</v>
      </c>
      <c r="C126" s="32">
        <v>11</v>
      </c>
      <c r="D126" s="32" t="str">
        <f t="shared" ca="1" si="22"/>
        <v>Nem</v>
      </c>
      <c r="E126" s="13">
        <f t="shared" ca="1" si="23"/>
        <v>0</v>
      </c>
      <c r="F126" s="13"/>
      <c r="G126" s="13"/>
      <c r="H126" s="13"/>
      <c r="I126" s="13">
        <f t="shared" ca="1" si="24"/>
        <v>0</v>
      </c>
      <c r="J126" s="13">
        <f t="shared" ca="1" si="25"/>
        <v>0</v>
      </c>
      <c r="K126" s="13">
        <f t="shared" ca="1" si="26"/>
        <v>0</v>
      </c>
      <c r="L126" s="13" t="e">
        <f ca="1">ROUNDUP(IF($D$2="Egyszeri",$E126,IF($D$2="Havi",SUM($E$20:$E$31),IF(MOD($C126,$M$1)-1=0,SUM($E$20:$E$31),0))/12*$M$1)*VLOOKUP($B126,Paraméterek!$I$28:$P$31,IF($D$2="Egyszeri",8,HLOOKUP(ROUNDUP($M$11+$M$13,0),Paraméterek!$J$26:$O$27,2))),IF($D$4="Forint",0,2))</f>
        <v>#N/A</v>
      </c>
      <c r="M126" s="13">
        <f t="shared" ca="1" si="27"/>
        <v>0</v>
      </c>
      <c r="N126" s="13">
        <f t="shared" ca="1" si="37"/>
        <v>0</v>
      </c>
      <c r="O126" s="13">
        <f ca="1">IF($D126="Igen",IF($W125&gt;=IF($D$4="Forint",Paraméterek!$J$121,Paraméterek!$K$121),0,IF($D$4="Forint",Paraméterek!$J$121,Paraméterek!$K$121)-$W125),0)</f>
        <v>0</v>
      </c>
      <c r="P126" s="13" t="e">
        <f ca="1">ROUNDUP($O126*VLOOKUP($M$4+$B126-1,Paraméterek!$H$58:$I$105,2,0)/Paraméterek!$I$56,IF($D$4="Forint",0,2))</f>
        <v>#N/A</v>
      </c>
      <c r="Q126" s="13">
        <f t="shared" ca="1" si="28"/>
        <v>0</v>
      </c>
      <c r="R126" s="33"/>
      <c r="S126" s="13" t="e">
        <f t="shared" ca="1" si="29"/>
        <v>#N/A</v>
      </c>
      <c r="T126" s="13" t="e">
        <f ca="1">ROUNDUP(($N126-$P126-$Q126+$S126)*VLOOKUP($B126,Paraméterek!$I$38:$K$39,IF($D$2="Egyszeri",3,2))/12*IF($D127="Nem",IF($M$13=0,1,$M$13),1),IF($D$4="Forint",0,2))</f>
        <v>#N/A</v>
      </c>
      <c r="U126" s="13"/>
      <c r="V126" s="13"/>
      <c r="W126" s="13" t="e">
        <f ca="1">$N126-$P126-$Q126+$S126-$T126-IF(ROUNDUP(IF(ISBLANK($V126),$U126*0,$V126)/IF($D$2="Egyszeri",VLOOKUP($B126+IF($C126=12,1,0),Paraméterek!$V$257:$W$262,2),IF($B126=1,1,VLOOKUP($B126+IF($C126=12,1,0),Paraméterek!$I$258:$T$278,HLOOKUP($M$11+1,Paraméterek!$J$256:$T$257,2)))),IF($D$4="Forint",0,2))&gt;$N126-$P126-$Q126+$S126-$T126-IF($D$4="Forint",Paraméterek!$C$216,Paraméterek!$D$216),0,ROUNDUP(IF(ISBLANK($V126),$U126*0,$V126)/IF($D$2="Egyszeri",VLOOKUP($B126+IF($C126=12,1,0),Paraméterek!$V$257:$W$262,2),IF($B126=1,1,VLOOKUP($B126+IF($C126=12,1,0),Paraméterek!$I$258:$T$278,HLOOKUP($M$11+1,Paraméterek!$J$256:$T$257,2)))),IF($D$4="Forint",0,2)))</f>
        <v>#N/A</v>
      </c>
      <c r="X126" s="13" t="e">
        <f ca="1">ROUNDDOWN($W126*IF($D$2="Egyszeri",VLOOKUP($B126+IF($C126=12,1,0),Paraméterek!$V$257:$W$262,2),VLOOKUP($B126+IF($C126=12,1,0),Paraméterek!$I$258:$T$278,HLOOKUP($M$11+1,Paraméterek!$I$256:$T$257,2))),IF($D$4="Forint",0,2))</f>
        <v>#N/A</v>
      </c>
      <c r="Z126" s="32">
        <v>107</v>
      </c>
      <c r="AA126" s="32">
        <v>9</v>
      </c>
      <c r="AB126" s="32">
        <v>11</v>
      </c>
      <c r="AC126" s="13">
        <f t="shared" ca="1" si="38"/>
        <v>0</v>
      </c>
      <c r="AD126" s="33"/>
      <c r="AE126" s="13">
        <f t="shared" ca="1" si="30"/>
        <v>0</v>
      </c>
      <c r="AF126" s="13">
        <f ca="1">ROUNDUP(($AC126+$AE126)*VLOOKUP($AA126,Paraméterek!$P$38:$Q$38,2)/12*IF($D127="Nem",IF($M$13=0,1,$M$13),1),IF($D$4="Forint",0,2))</f>
        <v>0</v>
      </c>
      <c r="AG126" s="13">
        <f ca="1">IF($D$2="Egyszeri",IF($D$7&gt;=IF($D$4="Forint",Paraméterek!$P$223,Paraméterek!$P$224),$D$7-IF($D$4="Forint",Paraméterek!$P$223,Paraméterek!$P$224),0),MIN(IF($AB126=12,AVERAGEIF($E$20:$E126,"&gt;0",$E$20:$E126)*12,0),SUM($E$20:$E$31)))</f>
        <v>0</v>
      </c>
      <c r="AH126" s="13">
        <f>IF($AA126=10,$AG126*IF($AB126=12,IF($AG126&lt;IF($D$4="Forint",Paraméterek!$L$223,Paraméterek!$L$224),0,VLOOKUP($AA126,Paraméterek!$K$226:$M$228,IF($AG126&lt;IF($D$4="Forint",Paraméterek!$M$223,Paraméterek!$M$224),2,3))),0),0)</f>
        <v>0</v>
      </c>
      <c r="AI126" s="13">
        <f ca="1">IF(AND($AA126=$M$11+1,$AB126=$M$12+1),SUMIF($AA$20:$AA$1027,$AA126,$AG$20:$AG$1027)*IF(SUMIF($AA$20:$AA$1027,$AA126,$AG$20:$AG$1027)&lt;IF($D$4="Forint",Paraméterek!$L$223,Paraméterek!$L$224),0,VLOOKUP($AA126,Paraméterek!$K$230:$M$250,IF(SUMIF($AA$20:$AA$1027,$AA126,$AG$20:$AG$1027)&lt;IF($D$4="Forint",Paraméterek!$M$223,Paraméterek!$M$224),2,3))),0)</f>
        <v>0</v>
      </c>
      <c r="AJ126" s="13">
        <f ca="1">IF(AND($AA126&gt;=5,MOD($AA126,5)=0),IF($AB126=12,VLOOKUP($AA126,Paraméterek!$O$225:$P$240,2),0),IF(OR($AA126=3,$AA126=4),IF($AB126=12,VLOOKUP($AA126,Paraméterek!$O$225:$P$240,2,0),0),0))*$AG126</f>
        <v>0</v>
      </c>
      <c r="AK126" s="13">
        <f t="shared" ca="1" si="31"/>
        <v>0</v>
      </c>
      <c r="AL126" s="13">
        <f t="shared" ca="1" si="39"/>
        <v>0</v>
      </c>
      <c r="AM126" s="13">
        <f t="shared" ca="1" si="40"/>
        <v>0</v>
      </c>
      <c r="AO126" s="32">
        <v>107</v>
      </c>
      <c r="AP126" s="32">
        <v>9</v>
      </c>
      <c r="AQ126" s="32">
        <v>11</v>
      </c>
      <c r="AR126" s="13"/>
      <c r="AS126" s="32"/>
      <c r="AT126" s="13">
        <f t="shared" ca="1" si="41"/>
        <v>0</v>
      </c>
      <c r="AU126" s="33"/>
      <c r="AV126" s="13">
        <f t="shared" ca="1" si="32"/>
        <v>0</v>
      </c>
      <c r="AW126" s="13">
        <f ca="1">ROUNDUP(($AT126+$AV126)*VLOOKUP($AP126,Paraméterek!$P$38:$Q$38,2)/12*IF($D127="Nem",IF($M$13=0,1,$M$13),1),IF($D$4="Forint",0,2))</f>
        <v>0</v>
      </c>
      <c r="AX126" s="13"/>
      <c r="AY126" s="13"/>
      <c r="AZ126" s="13">
        <f>ROUNDUP(IF(SUM($AX126:$AY126)=0,0,IF(IF(ISBLANK($AY126),$AX126,$AY126)*Paraméterek!$J$112&lt;IF($D$4="Forint",Paraméterek!$J$113,Paraméterek!$K$113),IF($D$4="Forint",Paraméterek!$J$113,Paraméterek!$K$113),IF(IF(ISBLANK($AY126),$AX126,$AY126)*Paraméterek!$J$112&gt;IF($D$4="Forint",Paraméterek!$J$114,Paraméterek!$K$114),IF($D$4="Forint",Paraméterek!$J$114,Paraméterek!$K$114),IF(ISBLANK($AY126),$AX126,$AY126)*Paraméterek!$J$112))),IF($D$4="Forint",0,2))</f>
        <v>0</v>
      </c>
      <c r="BA126" s="13">
        <f ca="1">$AT126+$AV126-$AW126-IF(ROUNDDOWN(IF(ISBLANK($AY126),$AX126,$AY126),IF($D$4="Forint",0,2))&gt;$AT126+$AV126-$AW126-IF($D$4="Forint",Paraméterek!$J$114,Paraméterek!$K$114),0,ROUNDDOWN(IF(ISBLANK($AY126),$AX126,$AY126),IF($D$4="Forint",0,2))-$AZ126)</f>
        <v>0</v>
      </c>
      <c r="BB126" s="13">
        <f t="shared" ca="1" si="33"/>
        <v>0</v>
      </c>
      <c r="BD126" s="32">
        <v>107</v>
      </c>
      <c r="BE126" s="32">
        <v>9</v>
      </c>
      <c r="BF126" s="32">
        <v>11</v>
      </c>
      <c r="BG126" s="34">
        <f t="shared" ca="1" si="42"/>
        <v>2028</v>
      </c>
      <c r="BH126" s="32" t="str">
        <f ca="1">IF(MOD(MONTH($D$14)+$BD126-1,12)=Paraméterek!$C$288,"Igen","")</f>
        <v/>
      </c>
      <c r="BI126" s="13">
        <f ca="1">IF($BH126="Igen",MIN(ROUNDDOWN((SUMIF($BG$20:$BG$1027,$BG126-1,$K$20:$K$1027)-SUMIF($BG$20:$BG$1027,$BG126-1,$I$20:$I$1027))*Paraméterek!$C$289,IF($D$4="Forint",0,2)),IF($D$4="Forint",Paraméterek!$C$285,Paraméterek!$D$285)),0)</f>
        <v>0</v>
      </c>
      <c r="BJ126" s="13">
        <f t="shared" ca="1" si="34"/>
        <v>0</v>
      </c>
      <c r="BK126" s="13">
        <f t="shared" ca="1" si="43"/>
        <v>0</v>
      </c>
      <c r="BL126" s="33"/>
      <c r="BM126" s="13">
        <f t="shared" ca="1" si="35"/>
        <v>0</v>
      </c>
      <c r="BN126" s="13">
        <f ca="1">ROUNDUP(($BK126+$BM126)*VLOOKUP($BE126,Paraméterek!$P$38:$Q$38,2)/12*IF($D127="Nem",IF($M$13=0,1,$M$13),1),IF($D$4="Forint",0,2))</f>
        <v>0</v>
      </c>
      <c r="BO126" s="13">
        <f t="shared" ca="1" si="36"/>
        <v>0</v>
      </c>
      <c r="BP126" s="13">
        <f ca="1">IF($D127="Nem",$BO126,$BO126-ROUNDUP(SUM($BI$20:$BI126)*120%,IF($D$4="Forint",0,2)))</f>
        <v>0</v>
      </c>
    </row>
    <row r="127" spans="1:68" x14ac:dyDescent="0.2">
      <c r="A127" s="32">
        <v>108</v>
      </c>
      <c r="B127" s="32">
        <v>9</v>
      </c>
      <c r="C127" s="32">
        <v>12</v>
      </c>
      <c r="D127" s="32" t="str">
        <f t="shared" ca="1" si="22"/>
        <v>Nem</v>
      </c>
      <c r="E127" s="13">
        <f t="shared" ca="1" si="23"/>
        <v>0</v>
      </c>
      <c r="F127" s="13"/>
      <c r="G127" s="13"/>
      <c r="H127" s="13"/>
      <c r="I127" s="13">
        <f t="shared" ca="1" si="24"/>
        <v>0</v>
      </c>
      <c r="J127" s="13">
        <f t="shared" ca="1" si="25"/>
        <v>0</v>
      </c>
      <c r="K127" s="13">
        <f t="shared" ca="1" si="26"/>
        <v>0</v>
      </c>
      <c r="L127" s="13" t="e">
        <f ca="1">ROUNDUP(IF($D$2="Egyszeri",$E127,IF($D$2="Havi",SUM($E$20:$E$31),IF(MOD($C127,$M$1)-1=0,SUM($E$20:$E$31),0))/12*$M$1)*VLOOKUP($B127,Paraméterek!$I$28:$P$31,IF($D$2="Egyszeri",8,HLOOKUP(ROUNDUP($M$11+$M$13,0),Paraméterek!$J$26:$O$27,2))),IF($D$4="Forint",0,2))</f>
        <v>#N/A</v>
      </c>
      <c r="M127" s="13">
        <f t="shared" ca="1" si="27"/>
        <v>0</v>
      </c>
      <c r="N127" s="13">
        <f t="shared" ca="1" si="37"/>
        <v>0</v>
      </c>
      <c r="O127" s="13">
        <f ca="1">IF($D127="Igen",IF($W126&gt;=IF($D$4="Forint",Paraméterek!$J$121,Paraméterek!$K$121),0,IF($D$4="Forint",Paraméterek!$J$121,Paraméterek!$K$121)-$W126),0)</f>
        <v>0</v>
      </c>
      <c r="P127" s="13" t="e">
        <f ca="1">ROUNDUP($O127*VLOOKUP($M$4+$B127-1,Paraméterek!$H$58:$I$105,2,0)/Paraméterek!$I$56,IF($D$4="Forint",0,2))</f>
        <v>#N/A</v>
      </c>
      <c r="Q127" s="13">
        <f t="shared" ca="1" si="28"/>
        <v>0</v>
      </c>
      <c r="R127" s="33"/>
      <c r="S127" s="13" t="e">
        <f t="shared" ca="1" si="29"/>
        <v>#N/A</v>
      </c>
      <c r="T127" s="13" t="e">
        <f ca="1">ROUNDUP(($N127-$P127-$Q127+$S127)*VLOOKUP($B127,Paraméterek!$I$38:$K$39,IF($D$2="Egyszeri",3,2))/12*IF($D128="Nem",IF($M$13=0,1,$M$13),1),IF($D$4="Forint",0,2))</f>
        <v>#N/A</v>
      </c>
      <c r="U127" s="13">
        <f>Tranzakciók!$F$40</f>
        <v>0</v>
      </c>
      <c r="V127" s="13"/>
      <c r="W127" s="13" t="e">
        <f ca="1">$N127-$P127-$Q127+$S127-$T127-IF(ROUNDUP(IF(ISBLANK($V127),$U127*0,$V127)/IF($D$2="Egyszeri",VLOOKUP($B127+IF($C127=12,1,0),Paraméterek!$V$257:$W$262,2),IF($B127=1,1,VLOOKUP($B127+IF($C127=12,1,0),Paraméterek!$I$258:$T$278,HLOOKUP($M$11+1,Paraméterek!$J$256:$T$257,2)))),IF($D$4="Forint",0,2))&gt;$N127-$P127-$Q127+$S127-$T127-IF($D$4="Forint",Paraméterek!$C$216,Paraméterek!$D$216),0,ROUNDUP(IF(ISBLANK($V127),$U127*0,$V127)/IF($D$2="Egyszeri",VLOOKUP($B127+IF($C127=12,1,0),Paraméterek!$V$257:$W$262,2),IF($B127=1,1,VLOOKUP($B127+IF($C127=12,1,0),Paraméterek!$I$258:$T$278,HLOOKUP($M$11+1,Paraméterek!$J$256:$T$257,2)))),IF($D$4="Forint",0,2)))</f>
        <v>#N/A</v>
      </c>
      <c r="X127" s="13" t="e">
        <f ca="1">ROUNDDOWN($W127*IF($D$2="Egyszeri",VLOOKUP($B127+IF($C127=12,1,0),Paraméterek!$V$257:$W$262,2),VLOOKUP($B127+IF($C127=12,1,0),Paraméterek!$I$258:$T$278,HLOOKUP($M$11+1,Paraméterek!$I$256:$T$257,2))),IF($D$4="Forint",0,2))</f>
        <v>#N/A</v>
      </c>
      <c r="Z127" s="32">
        <v>108</v>
      </c>
      <c r="AA127" s="32">
        <v>9</v>
      </c>
      <c r="AB127" s="32">
        <v>12</v>
      </c>
      <c r="AC127" s="13">
        <f t="shared" ca="1" si="38"/>
        <v>0</v>
      </c>
      <c r="AD127" s="33"/>
      <c r="AE127" s="13">
        <f t="shared" ca="1" si="30"/>
        <v>0</v>
      </c>
      <c r="AF127" s="13">
        <f ca="1">ROUNDUP(($AC127+$AE127)*VLOOKUP($AA127,Paraméterek!$P$38:$Q$38,2)/12*IF($D128="Nem",IF($M$13=0,1,$M$13),1),IF($D$4="Forint",0,2))</f>
        <v>0</v>
      </c>
      <c r="AG127" s="13" t="e">
        <f ca="1">IF($D$2="Egyszeri",IF($D$7&gt;=IF($D$4="Forint",Paraméterek!$P$223,Paraméterek!$P$224),$D$7-IF($D$4="Forint",Paraméterek!$P$223,Paraméterek!$P$224),0),MIN(IF($AB127=12,AVERAGEIF($E$20:$E127,"&gt;0",$E$20:$E127)*12,0),SUM($E$20:$E$31)))</f>
        <v>#DIV/0!</v>
      </c>
      <c r="AH127" s="13">
        <f>IF($AA127=10,$AG127*IF($AB127=12,IF($AG127&lt;IF($D$4="Forint",Paraméterek!$L$223,Paraméterek!$L$224),0,VLOOKUP($AA127,Paraméterek!$K$226:$M$228,IF($AG127&lt;IF($D$4="Forint",Paraméterek!$M$223,Paraméterek!$M$224),2,3))),0),0)</f>
        <v>0</v>
      </c>
      <c r="AI127" s="13">
        <f ca="1">IF(AND($AA127=$M$11+1,$AB127=$M$12+1),SUMIF($AA$20:$AA$1027,$AA127,$AG$20:$AG$1027)*IF(SUMIF($AA$20:$AA$1027,$AA127,$AG$20:$AG$1027)&lt;IF($D$4="Forint",Paraméterek!$L$223,Paraméterek!$L$224),0,VLOOKUP($AA127,Paraméterek!$K$230:$M$250,IF(SUMIF($AA$20:$AA$1027,$AA127,$AG$20:$AG$1027)&lt;IF($D$4="Forint",Paraméterek!$M$223,Paraméterek!$M$224),2,3))),0)</f>
        <v>0</v>
      </c>
      <c r="AJ127" s="13" t="e">
        <f ca="1">IF(AND($AA127&gt;=5,MOD($AA127,5)=0),IF($AB127=12,VLOOKUP($AA127,Paraméterek!$O$225:$P$240,2),0),IF(OR($AA127=3,$AA127=4),IF($AB127=12,VLOOKUP($AA127,Paraméterek!$O$225:$P$240,2,0),0),0))*$AG127</f>
        <v>#DIV/0!</v>
      </c>
      <c r="AK127" s="13">
        <f t="shared" ca="1" si="31"/>
        <v>0</v>
      </c>
      <c r="AL127" s="13">
        <f t="shared" ca="1" si="39"/>
        <v>0</v>
      </c>
      <c r="AM127" s="13">
        <f t="shared" ca="1" si="40"/>
        <v>0</v>
      </c>
      <c r="AO127" s="32">
        <v>108</v>
      </c>
      <c r="AP127" s="32">
        <v>9</v>
      </c>
      <c r="AQ127" s="32">
        <v>12</v>
      </c>
      <c r="AR127" s="13"/>
      <c r="AS127" s="32"/>
      <c r="AT127" s="13">
        <f t="shared" ca="1" si="41"/>
        <v>0</v>
      </c>
      <c r="AU127" s="33"/>
      <c r="AV127" s="13">
        <f t="shared" ca="1" si="32"/>
        <v>0</v>
      </c>
      <c r="AW127" s="13">
        <f ca="1">ROUNDUP(($AT127+$AV127)*VLOOKUP($AP127,Paraméterek!$P$38:$Q$38,2)/12*IF($D128="Nem",IF($M$13=0,1,$M$13),1),IF($D$4="Forint",0,2))</f>
        <v>0</v>
      </c>
      <c r="AX127" s="13">
        <f>Tranzakciók!$M$40</f>
        <v>0</v>
      </c>
      <c r="AY127" s="13"/>
      <c r="AZ127" s="13">
        <f>ROUNDUP(IF(SUM($AX127:$AY127)=0,0,IF(IF(ISBLANK($AY127),$AX127,$AY127)*Paraméterek!$J$112&lt;IF($D$4="Forint",Paraméterek!$J$113,Paraméterek!$K$113),IF($D$4="Forint",Paraméterek!$J$113,Paraméterek!$K$113),IF(IF(ISBLANK($AY127),$AX127,$AY127)*Paraméterek!$J$112&gt;IF($D$4="Forint",Paraméterek!$J$114,Paraméterek!$K$114),IF($D$4="Forint",Paraméterek!$J$114,Paraméterek!$K$114),IF(ISBLANK($AY127),$AX127,$AY127)*Paraméterek!$J$112))),IF($D$4="Forint",0,2))</f>
        <v>0</v>
      </c>
      <c r="BA127" s="13">
        <f ca="1">$AT127+$AV127-$AW127-IF(ROUNDDOWN(IF(ISBLANK($AY127),$AX127,$AY127),IF($D$4="Forint",0,2))&gt;$AT127+$AV127-$AW127-IF($D$4="Forint",Paraméterek!$J$114,Paraméterek!$K$114),0,ROUNDDOWN(IF(ISBLANK($AY127),$AX127,$AY127),IF($D$4="Forint",0,2))-$AZ127)</f>
        <v>0</v>
      </c>
      <c r="BB127" s="13">
        <f t="shared" ca="1" si="33"/>
        <v>0</v>
      </c>
      <c r="BD127" s="32">
        <v>108</v>
      </c>
      <c r="BE127" s="32">
        <v>9</v>
      </c>
      <c r="BF127" s="32">
        <v>12</v>
      </c>
      <c r="BG127" s="34">
        <f t="shared" ca="1" si="42"/>
        <v>2028</v>
      </c>
      <c r="BH127" s="32" t="str">
        <f ca="1">IF(MOD(MONTH($D$14)+$BD127-1,12)=Paraméterek!$C$288,"Igen","")</f>
        <v/>
      </c>
      <c r="BI127" s="13">
        <f ca="1">IF($BH127="Igen",MIN(ROUNDDOWN((SUMIF($BG$20:$BG$1027,$BG127-1,$K$20:$K$1027)-SUMIF($BG$20:$BG$1027,$BG127-1,$I$20:$I$1027))*Paraméterek!$C$289,IF($D$4="Forint",0,2)),IF($D$4="Forint",Paraméterek!$C$285,Paraméterek!$D$285)),0)</f>
        <v>0</v>
      </c>
      <c r="BJ127" s="13">
        <f t="shared" ca="1" si="34"/>
        <v>0</v>
      </c>
      <c r="BK127" s="13">
        <f t="shared" ca="1" si="43"/>
        <v>0</v>
      </c>
      <c r="BL127" s="33"/>
      <c r="BM127" s="13">
        <f t="shared" ca="1" si="35"/>
        <v>0</v>
      </c>
      <c r="BN127" s="13">
        <f ca="1">ROUNDUP(($BK127+$BM127)*VLOOKUP($BE127,Paraméterek!$P$38:$Q$38,2)/12*IF($D128="Nem",IF($M$13=0,1,$M$13),1),IF($D$4="Forint",0,2))</f>
        <v>0</v>
      </c>
      <c r="BO127" s="13">
        <f t="shared" ca="1" si="36"/>
        <v>0</v>
      </c>
      <c r="BP127" s="13">
        <f ca="1">IF($D128="Nem",$BO127,$BO127-ROUNDUP(SUM($BI$20:$BI127)*120%,IF($D$4="Forint",0,2)))</f>
        <v>0</v>
      </c>
    </row>
    <row r="128" spans="1:68" x14ac:dyDescent="0.2">
      <c r="A128" s="32">
        <v>109</v>
      </c>
      <c r="B128" s="32">
        <v>10</v>
      </c>
      <c r="C128" s="32">
        <v>1</v>
      </c>
      <c r="D128" s="32" t="str">
        <f t="shared" ca="1" si="22"/>
        <v>Nem</v>
      </c>
      <c r="E128" s="13">
        <f t="shared" ca="1" si="23"/>
        <v>0</v>
      </c>
      <c r="F128" s="13"/>
      <c r="G128" s="13">
        <f>Tranzakciók!$D$41</f>
        <v>0</v>
      </c>
      <c r="H128" s="13"/>
      <c r="I128" s="13">
        <f t="shared" ca="1" si="24"/>
        <v>0</v>
      </c>
      <c r="J128" s="13">
        <f t="shared" ca="1" si="25"/>
        <v>0</v>
      </c>
      <c r="K128" s="13">
        <f t="shared" ca="1" si="26"/>
        <v>0</v>
      </c>
      <c r="L128" s="13" t="e">
        <f ca="1">ROUNDUP(IF($D$2="Egyszeri",$E128,IF($D$2="Havi",SUM($E$20:$E$31),IF(MOD($C128,$M$1)-1=0,SUM($E$20:$E$31),0))/12*$M$1)*VLOOKUP($B128,Paraméterek!$I$28:$P$31,IF($D$2="Egyszeri",8,HLOOKUP(ROUNDUP($M$11+$M$13,0),Paraméterek!$J$26:$O$27,2))),IF($D$4="Forint",0,2))</f>
        <v>#N/A</v>
      </c>
      <c r="M128" s="13">
        <f t="shared" ca="1" si="27"/>
        <v>0</v>
      </c>
      <c r="N128" s="13">
        <f t="shared" ca="1" si="37"/>
        <v>0</v>
      </c>
      <c r="O128" s="13">
        <f ca="1">IF($D128="Igen",IF($W127&gt;=IF($D$4="Forint",Paraméterek!$J$121,Paraméterek!$K$121),0,IF($D$4="Forint",Paraméterek!$J$121,Paraméterek!$K$121)-$W127),0)</f>
        <v>0</v>
      </c>
      <c r="P128" s="13" t="e">
        <f ca="1">ROUNDUP($O128*VLOOKUP($M$4+$B128-1,Paraméterek!$H$58:$I$105,2,0)/Paraméterek!$I$56,IF($D$4="Forint",0,2))</f>
        <v>#N/A</v>
      </c>
      <c r="Q128" s="13">
        <f t="shared" ca="1" si="28"/>
        <v>0</v>
      </c>
      <c r="R128" s="33"/>
      <c r="S128" s="13" t="e">
        <f t="shared" ca="1" si="29"/>
        <v>#N/A</v>
      </c>
      <c r="T128" s="13" t="e">
        <f ca="1">ROUNDUP(($N128-$P128-$Q128+$S128)*VLOOKUP($B128,Paraméterek!$I$38:$K$39,IF($D$2="Egyszeri",3,2))/12*IF($D129="Nem",IF($M$13=0,1,$M$13),1),IF($D$4="Forint",0,2))</f>
        <v>#N/A</v>
      </c>
      <c r="U128" s="13"/>
      <c r="V128" s="13"/>
      <c r="W128" s="13" t="e">
        <f ca="1">$N128-$P128-$Q128+$S128-$T128-IF(ROUNDUP(IF(ISBLANK($V128),$U128*0,$V128)/IF($D$2="Egyszeri",VLOOKUP($B128+IF($C128=12,1,0),Paraméterek!$V$257:$W$262,2),IF($B128=1,1,VLOOKUP($B128+IF($C128=12,1,0),Paraméterek!$I$258:$T$278,HLOOKUP($M$11+1,Paraméterek!$J$256:$T$257,2)))),IF($D$4="Forint",0,2))&gt;$N128-$P128-$Q128+$S128-$T128-IF($D$4="Forint",Paraméterek!$C$216,Paraméterek!$D$216),0,ROUNDUP(IF(ISBLANK($V128),$U128*0,$V128)/IF($D$2="Egyszeri",VLOOKUP($B128+IF($C128=12,1,0),Paraméterek!$V$257:$W$262,2),IF($B128=1,1,VLOOKUP($B128+IF($C128=12,1,0),Paraméterek!$I$258:$T$278,HLOOKUP($M$11+1,Paraméterek!$J$256:$T$257,2)))),IF($D$4="Forint",0,2)))</f>
        <v>#N/A</v>
      </c>
      <c r="X128" s="13" t="e">
        <f ca="1">ROUNDDOWN($W128*IF($D$2="Egyszeri",VLOOKUP($B128+IF($C128=12,1,0),Paraméterek!$V$257:$W$262,2),VLOOKUP($B128+IF($C128=12,1,0),Paraméterek!$I$258:$T$278,HLOOKUP($M$11+1,Paraméterek!$I$256:$T$257,2))),IF($D$4="Forint",0,2))</f>
        <v>#N/A</v>
      </c>
      <c r="Z128" s="32">
        <v>109</v>
      </c>
      <c r="AA128" s="32">
        <v>10</v>
      </c>
      <c r="AB128" s="32">
        <v>1</v>
      </c>
      <c r="AC128" s="13">
        <f t="shared" ca="1" si="38"/>
        <v>0</v>
      </c>
      <c r="AD128" s="33"/>
      <c r="AE128" s="13">
        <f t="shared" ca="1" si="30"/>
        <v>0</v>
      </c>
      <c r="AF128" s="13">
        <f ca="1">ROUNDUP(($AC128+$AE128)*VLOOKUP($AA128,Paraméterek!$P$38:$Q$38,2)/12*IF($D129="Nem",IF($M$13=0,1,$M$13),1),IF($D$4="Forint",0,2))</f>
        <v>0</v>
      </c>
      <c r="AG128" s="13">
        <f ca="1">IF($D$2="Egyszeri",IF($D$7&gt;=IF($D$4="Forint",Paraméterek!$P$223,Paraméterek!$P$224),$D$7-IF($D$4="Forint",Paraméterek!$P$223,Paraméterek!$P$224),0),MIN(IF($AB128=12,AVERAGEIF($E$20:$E128,"&gt;0",$E$20:$E128)*12,0),SUM($E$20:$E$31)))</f>
        <v>0</v>
      </c>
      <c r="AH128" s="13">
        <f ca="1">IF($AA128=10,$AG128*IF($AB128=12,IF($AG128&lt;IF($D$4="Forint",Paraméterek!$L$223,Paraméterek!$L$224),0,VLOOKUP($AA128,Paraméterek!$K$226:$M$228,IF($AG128&lt;IF($D$4="Forint",Paraméterek!$M$223,Paraméterek!$M$224),2,3))),0),0)</f>
        <v>0</v>
      </c>
      <c r="AI128" s="13">
        <f ca="1">IF(AND($AA128=$M$11+1,$AB128=$M$12+1),SUMIF($AA$20:$AA$1027,$AA128,$AG$20:$AG$1027)*IF(SUMIF($AA$20:$AA$1027,$AA128,$AG$20:$AG$1027)&lt;IF($D$4="Forint",Paraméterek!$L$223,Paraméterek!$L$224),0,VLOOKUP($AA128,Paraméterek!$K$230:$M$250,IF(SUMIF($AA$20:$AA$1027,$AA128,$AG$20:$AG$1027)&lt;IF($D$4="Forint",Paraméterek!$M$223,Paraméterek!$M$224),2,3))),0)</f>
        <v>0</v>
      </c>
      <c r="AJ128" s="13">
        <f ca="1">IF(AND($AA128&gt;=5,MOD($AA128,5)=0),IF($AB128=12,VLOOKUP($AA128,Paraméterek!$O$225:$P$240,2),0),IF(OR($AA128=3,$AA128=4),IF($AB128=12,VLOOKUP($AA128,Paraméterek!$O$225:$P$240,2,0),0),0))*$AG128</f>
        <v>0</v>
      </c>
      <c r="AK128" s="13">
        <f t="shared" ca="1" si="31"/>
        <v>0</v>
      </c>
      <c r="AL128" s="13">
        <f t="shared" ca="1" si="39"/>
        <v>0</v>
      </c>
      <c r="AM128" s="13">
        <f t="shared" ca="1" si="40"/>
        <v>0</v>
      </c>
      <c r="AO128" s="32">
        <v>109</v>
      </c>
      <c r="AP128" s="32">
        <v>10</v>
      </c>
      <c r="AQ128" s="32">
        <v>1</v>
      </c>
      <c r="AR128" s="13">
        <f>Tranzakciók!$K$41</f>
        <v>0</v>
      </c>
      <c r="AS128" s="32"/>
      <c r="AT128" s="13">
        <f t="shared" ca="1" si="41"/>
        <v>0</v>
      </c>
      <c r="AU128" s="33"/>
      <c r="AV128" s="13">
        <f t="shared" ca="1" si="32"/>
        <v>0</v>
      </c>
      <c r="AW128" s="13">
        <f ca="1">ROUNDUP(($AT128+$AV128)*VLOOKUP($AP128,Paraméterek!$P$38:$Q$38,2)/12*IF($D129="Nem",IF($M$13=0,1,$M$13),1),IF($D$4="Forint",0,2))</f>
        <v>0</v>
      </c>
      <c r="AX128" s="13"/>
      <c r="AY128" s="13"/>
      <c r="AZ128" s="13">
        <f>ROUNDUP(IF(SUM($AX128:$AY128)=0,0,IF(IF(ISBLANK($AY128),$AX128,$AY128)*Paraméterek!$J$112&lt;IF($D$4="Forint",Paraméterek!$J$113,Paraméterek!$K$113),IF($D$4="Forint",Paraméterek!$J$113,Paraméterek!$K$113),IF(IF(ISBLANK($AY128),$AX128,$AY128)*Paraméterek!$J$112&gt;IF($D$4="Forint",Paraméterek!$J$114,Paraméterek!$K$114),IF($D$4="Forint",Paraméterek!$J$114,Paraméterek!$K$114),IF(ISBLANK($AY128),$AX128,$AY128)*Paraméterek!$J$112))),IF($D$4="Forint",0,2))</f>
        <v>0</v>
      </c>
      <c r="BA128" s="13">
        <f ca="1">$AT128+$AV128-$AW128-IF(ROUNDDOWN(IF(ISBLANK($AY128),$AX128,$AY128),IF($D$4="Forint",0,2))&gt;$AT128+$AV128-$AW128-IF($D$4="Forint",Paraméterek!$J$114,Paraméterek!$K$114),0,ROUNDDOWN(IF(ISBLANK($AY128),$AX128,$AY128),IF($D$4="Forint",0,2))-$AZ128)</f>
        <v>0</v>
      </c>
      <c r="BB128" s="13">
        <f t="shared" ca="1" si="33"/>
        <v>0</v>
      </c>
      <c r="BD128" s="32">
        <v>109</v>
      </c>
      <c r="BE128" s="32">
        <v>10</v>
      </c>
      <c r="BF128" s="32">
        <v>1</v>
      </c>
      <c r="BG128" s="34">
        <f t="shared" ca="1" si="42"/>
        <v>2028</v>
      </c>
      <c r="BH128" s="32" t="str">
        <f ca="1">IF(MOD(MONTH($D$14)+$BD128-1,12)=Paraméterek!$C$288,"Igen","")</f>
        <v/>
      </c>
      <c r="BI128" s="13">
        <f ca="1">IF($BH128="Igen",MIN(ROUNDDOWN((SUMIF($BG$20:$BG$1027,$BG128-1,$K$20:$K$1027)-SUMIF($BG$20:$BG$1027,$BG128-1,$I$20:$I$1027))*Paraméterek!$C$289,IF($D$4="Forint",0,2)),IF($D$4="Forint",Paraméterek!$C$285,Paraméterek!$D$285)),0)</f>
        <v>0</v>
      </c>
      <c r="BJ128" s="13">
        <f t="shared" ca="1" si="34"/>
        <v>0</v>
      </c>
      <c r="BK128" s="13">
        <f t="shared" ca="1" si="43"/>
        <v>0</v>
      </c>
      <c r="BL128" s="33"/>
      <c r="BM128" s="13">
        <f t="shared" ca="1" si="35"/>
        <v>0</v>
      </c>
      <c r="BN128" s="13">
        <f ca="1">ROUNDUP(($BK128+$BM128)*VLOOKUP($BE128,Paraméterek!$P$38:$Q$38,2)/12*IF($D129="Nem",IF($M$13=0,1,$M$13),1),IF($D$4="Forint",0,2))</f>
        <v>0</v>
      </c>
      <c r="BO128" s="13">
        <f t="shared" ca="1" si="36"/>
        <v>0</v>
      </c>
      <c r="BP128" s="13">
        <f ca="1">IF($D129="Nem",$BO128,$BO128-ROUNDUP(SUM($BI$20:$BI128)*120%,IF($D$4="Forint",0,2)))</f>
        <v>0</v>
      </c>
    </row>
    <row r="129" spans="1:68" x14ac:dyDescent="0.2">
      <c r="A129" s="32">
        <v>110</v>
      </c>
      <c r="B129" s="32">
        <v>10</v>
      </c>
      <c r="C129" s="32">
        <v>2</v>
      </c>
      <c r="D129" s="32" t="str">
        <f t="shared" ca="1" si="22"/>
        <v>Nem</v>
      </c>
      <c r="E129" s="13">
        <f t="shared" ca="1" si="23"/>
        <v>0</v>
      </c>
      <c r="F129" s="13"/>
      <c r="G129" s="13"/>
      <c r="H129" s="13"/>
      <c r="I129" s="13">
        <f t="shared" ca="1" si="24"/>
        <v>0</v>
      </c>
      <c r="J129" s="13">
        <f t="shared" ca="1" si="25"/>
        <v>0</v>
      </c>
      <c r="K129" s="13">
        <f t="shared" ca="1" si="26"/>
        <v>0</v>
      </c>
      <c r="L129" s="13" t="e">
        <f ca="1">ROUNDUP(IF($D$2="Egyszeri",$E129,IF($D$2="Havi",SUM($E$20:$E$31),IF(MOD($C129,$M$1)-1=0,SUM($E$20:$E$31),0))/12*$M$1)*VLOOKUP($B129,Paraméterek!$I$28:$P$31,IF($D$2="Egyszeri",8,HLOOKUP(ROUNDUP($M$11+$M$13,0),Paraméterek!$J$26:$O$27,2))),IF($D$4="Forint",0,2))</f>
        <v>#N/A</v>
      </c>
      <c r="M129" s="13">
        <f t="shared" ca="1" si="27"/>
        <v>0</v>
      </c>
      <c r="N129" s="13">
        <f t="shared" ca="1" si="37"/>
        <v>0</v>
      </c>
      <c r="O129" s="13">
        <f ca="1">IF($D129="Igen",IF($W128&gt;=IF($D$4="Forint",Paraméterek!$J$121,Paraméterek!$K$121),0,IF($D$4="Forint",Paraméterek!$J$121,Paraméterek!$K$121)-$W128),0)</f>
        <v>0</v>
      </c>
      <c r="P129" s="13" t="e">
        <f ca="1">ROUNDUP($O129*VLOOKUP($M$4+$B129-1,Paraméterek!$H$58:$I$105,2,0)/Paraméterek!$I$56,IF($D$4="Forint",0,2))</f>
        <v>#N/A</v>
      </c>
      <c r="Q129" s="13">
        <f t="shared" ca="1" si="28"/>
        <v>0</v>
      </c>
      <c r="R129" s="33"/>
      <c r="S129" s="13" t="e">
        <f t="shared" ca="1" si="29"/>
        <v>#N/A</v>
      </c>
      <c r="T129" s="13" t="e">
        <f ca="1">ROUNDUP(($N129-$P129-$Q129+$S129)*VLOOKUP($B129,Paraméterek!$I$38:$K$39,IF($D$2="Egyszeri",3,2))/12*IF($D130="Nem",IF($M$13=0,1,$M$13),1),IF($D$4="Forint",0,2))</f>
        <v>#N/A</v>
      </c>
      <c r="U129" s="13"/>
      <c r="V129" s="13"/>
      <c r="W129" s="13" t="e">
        <f ca="1">$N129-$P129-$Q129+$S129-$T129-IF(ROUNDUP(IF(ISBLANK($V129),$U129*0,$V129)/IF($D$2="Egyszeri",VLOOKUP($B129+IF($C129=12,1,0),Paraméterek!$V$257:$W$262,2),IF($B129=1,1,VLOOKUP($B129+IF($C129=12,1,0),Paraméterek!$I$258:$T$278,HLOOKUP($M$11+1,Paraméterek!$J$256:$T$257,2)))),IF($D$4="Forint",0,2))&gt;$N129-$P129-$Q129+$S129-$T129-IF($D$4="Forint",Paraméterek!$C$216,Paraméterek!$D$216),0,ROUNDUP(IF(ISBLANK($V129),$U129*0,$V129)/IF($D$2="Egyszeri",VLOOKUP($B129+IF($C129=12,1,0),Paraméterek!$V$257:$W$262,2),IF($B129=1,1,VLOOKUP($B129+IF($C129=12,1,0),Paraméterek!$I$258:$T$278,HLOOKUP($M$11+1,Paraméterek!$J$256:$T$257,2)))),IF($D$4="Forint",0,2)))</f>
        <v>#N/A</v>
      </c>
      <c r="X129" s="13" t="e">
        <f ca="1">ROUNDDOWN($W129*IF($D$2="Egyszeri",VLOOKUP($B129+IF($C129=12,1,0),Paraméterek!$V$257:$W$262,2),VLOOKUP($B129+IF($C129=12,1,0),Paraméterek!$I$258:$T$278,HLOOKUP($M$11+1,Paraméterek!$I$256:$T$257,2))),IF($D$4="Forint",0,2))</f>
        <v>#N/A</v>
      </c>
      <c r="Z129" s="32">
        <v>110</v>
      </c>
      <c r="AA129" s="32">
        <v>10</v>
      </c>
      <c r="AB129" s="32">
        <v>2</v>
      </c>
      <c r="AC129" s="13">
        <f t="shared" ca="1" si="38"/>
        <v>0</v>
      </c>
      <c r="AD129" s="33"/>
      <c r="AE129" s="13">
        <f t="shared" ca="1" si="30"/>
        <v>0</v>
      </c>
      <c r="AF129" s="13">
        <f ca="1">ROUNDUP(($AC129+$AE129)*VLOOKUP($AA129,Paraméterek!$P$38:$Q$38,2)/12*IF($D130="Nem",IF($M$13=0,1,$M$13),1),IF($D$4="Forint",0,2))</f>
        <v>0</v>
      </c>
      <c r="AG129" s="13">
        <f ca="1">IF($D$2="Egyszeri",IF($D$7&gt;=IF($D$4="Forint",Paraméterek!$P$223,Paraméterek!$P$224),$D$7-IF($D$4="Forint",Paraméterek!$P$223,Paraméterek!$P$224),0),MIN(IF($AB129=12,AVERAGEIF($E$20:$E129,"&gt;0",$E$20:$E129)*12,0),SUM($E$20:$E$31)))</f>
        <v>0</v>
      </c>
      <c r="AH129" s="13">
        <f ca="1">IF($AA129=10,$AG129*IF($AB129=12,IF($AG129&lt;IF($D$4="Forint",Paraméterek!$L$223,Paraméterek!$L$224),0,VLOOKUP($AA129,Paraméterek!$K$226:$M$228,IF($AG129&lt;IF($D$4="Forint",Paraméterek!$M$223,Paraméterek!$M$224),2,3))),0),0)</f>
        <v>0</v>
      </c>
      <c r="AI129" s="13">
        <f ca="1">IF(AND($AA129=$M$11+1,$AB129=$M$12+1),SUMIF($AA$20:$AA$1027,$AA129,$AG$20:$AG$1027)*IF(SUMIF($AA$20:$AA$1027,$AA129,$AG$20:$AG$1027)&lt;IF($D$4="Forint",Paraméterek!$L$223,Paraméterek!$L$224),0,VLOOKUP($AA129,Paraméterek!$K$230:$M$250,IF(SUMIF($AA$20:$AA$1027,$AA129,$AG$20:$AG$1027)&lt;IF($D$4="Forint",Paraméterek!$M$223,Paraméterek!$M$224),2,3))),0)</f>
        <v>0</v>
      </c>
      <c r="AJ129" s="13">
        <f ca="1">IF(AND($AA129&gt;=5,MOD($AA129,5)=0),IF($AB129=12,VLOOKUP($AA129,Paraméterek!$O$225:$P$240,2),0),IF(OR($AA129=3,$AA129=4),IF($AB129=12,VLOOKUP($AA129,Paraméterek!$O$225:$P$240,2,0),0),0))*$AG129</f>
        <v>0</v>
      </c>
      <c r="AK129" s="13">
        <f t="shared" ca="1" si="31"/>
        <v>0</v>
      </c>
      <c r="AL129" s="13">
        <f t="shared" ca="1" si="39"/>
        <v>0</v>
      </c>
      <c r="AM129" s="13">
        <f t="shared" ca="1" si="40"/>
        <v>0</v>
      </c>
      <c r="AO129" s="32">
        <v>110</v>
      </c>
      <c r="AP129" s="32">
        <v>10</v>
      </c>
      <c r="AQ129" s="32">
        <v>2</v>
      </c>
      <c r="AR129" s="13"/>
      <c r="AS129" s="32"/>
      <c r="AT129" s="13">
        <f t="shared" ca="1" si="41"/>
        <v>0</v>
      </c>
      <c r="AU129" s="33"/>
      <c r="AV129" s="13">
        <f t="shared" ca="1" si="32"/>
        <v>0</v>
      </c>
      <c r="AW129" s="13">
        <f ca="1">ROUNDUP(($AT129+$AV129)*VLOOKUP($AP129,Paraméterek!$P$38:$Q$38,2)/12*IF($D130="Nem",IF($M$13=0,1,$M$13),1),IF($D$4="Forint",0,2))</f>
        <v>0</v>
      </c>
      <c r="AX129" s="13"/>
      <c r="AY129" s="13"/>
      <c r="AZ129" s="13">
        <f>ROUNDUP(IF(SUM($AX129:$AY129)=0,0,IF(IF(ISBLANK($AY129),$AX129,$AY129)*Paraméterek!$J$112&lt;IF($D$4="Forint",Paraméterek!$J$113,Paraméterek!$K$113),IF($D$4="Forint",Paraméterek!$J$113,Paraméterek!$K$113),IF(IF(ISBLANK($AY129),$AX129,$AY129)*Paraméterek!$J$112&gt;IF($D$4="Forint",Paraméterek!$J$114,Paraméterek!$K$114),IF($D$4="Forint",Paraméterek!$J$114,Paraméterek!$K$114),IF(ISBLANK($AY129),$AX129,$AY129)*Paraméterek!$J$112))),IF($D$4="Forint",0,2))</f>
        <v>0</v>
      </c>
      <c r="BA129" s="13">
        <f ca="1">$AT129+$AV129-$AW129-IF(ROUNDDOWN(IF(ISBLANK($AY129),$AX129,$AY129),IF($D$4="Forint",0,2))&gt;$AT129+$AV129-$AW129-IF($D$4="Forint",Paraméterek!$J$114,Paraméterek!$K$114),0,ROUNDDOWN(IF(ISBLANK($AY129),$AX129,$AY129),IF($D$4="Forint",0,2))-$AZ129)</f>
        <v>0</v>
      </c>
      <c r="BB129" s="13">
        <f t="shared" ca="1" si="33"/>
        <v>0</v>
      </c>
      <c r="BD129" s="32">
        <v>110</v>
      </c>
      <c r="BE129" s="32">
        <v>10</v>
      </c>
      <c r="BF129" s="32">
        <v>2</v>
      </c>
      <c r="BG129" s="34">
        <f t="shared" ca="1" si="42"/>
        <v>2028</v>
      </c>
      <c r="BH129" s="32" t="str">
        <f ca="1">IF(MOD(MONTH($D$14)+$BD129-1,12)=Paraméterek!$C$288,"Igen","")</f>
        <v>Igen</v>
      </c>
      <c r="BI129" s="13">
        <f ca="1">IF($BH129="Igen",MIN(ROUNDDOWN((SUMIF($BG$20:$BG$1027,$BG129-1,$K$20:$K$1027)-SUMIF($BG$20:$BG$1027,$BG129-1,$I$20:$I$1027))*Paraméterek!$C$289,IF($D$4="Forint",0,2)),IF($D$4="Forint",Paraméterek!$C$285,Paraméterek!$D$285)),0)</f>
        <v>0</v>
      </c>
      <c r="BJ129" s="13">
        <f t="shared" ca="1" si="34"/>
        <v>0</v>
      </c>
      <c r="BK129" s="13">
        <f t="shared" ca="1" si="43"/>
        <v>0</v>
      </c>
      <c r="BL129" s="33"/>
      <c r="BM129" s="13">
        <f t="shared" ca="1" si="35"/>
        <v>0</v>
      </c>
      <c r="BN129" s="13">
        <f ca="1">ROUNDUP(($BK129+$BM129)*VLOOKUP($BE129,Paraméterek!$P$38:$Q$38,2)/12*IF($D130="Nem",IF($M$13=0,1,$M$13),1),IF($D$4="Forint",0,2))</f>
        <v>0</v>
      </c>
      <c r="BO129" s="13">
        <f t="shared" ca="1" si="36"/>
        <v>0</v>
      </c>
      <c r="BP129" s="13">
        <f ca="1">IF($D130="Nem",$BO129,$BO129-ROUNDUP(SUM($BI$20:$BI129)*120%,IF($D$4="Forint",0,2)))</f>
        <v>0</v>
      </c>
    </row>
    <row r="130" spans="1:68" x14ac:dyDescent="0.2">
      <c r="A130" s="32">
        <v>111</v>
      </c>
      <c r="B130" s="32">
        <v>10</v>
      </c>
      <c r="C130" s="32">
        <v>3</v>
      </c>
      <c r="D130" s="32" t="str">
        <f t="shared" ca="1" si="22"/>
        <v>Nem</v>
      </c>
      <c r="E130" s="13">
        <f t="shared" ca="1" si="23"/>
        <v>0</v>
      </c>
      <c r="F130" s="13"/>
      <c r="G130" s="13"/>
      <c r="H130" s="13"/>
      <c r="I130" s="13">
        <f t="shared" ca="1" si="24"/>
        <v>0</v>
      </c>
      <c r="J130" s="13">
        <f t="shared" ca="1" si="25"/>
        <v>0</v>
      </c>
      <c r="K130" s="13">
        <f t="shared" ca="1" si="26"/>
        <v>0</v>
      </c>
      <c r="L130" s="13" t="e">
        <f ca="1">ROUNDUP(IF($D$2="Egyszeri",$E130,IF($D$2="Havi",SUM($E$20:$E$31),IF(MOD($C130,$M$1)-1=0,SUM($E$20:$E$31),0))/12*$M$1)*VLOOKUP($B130,Paraméterek!$I$28:$P$31,IF($D$2="Egyszeri",8,HLOOKUP(ROUNDUP($M$11+$M$13,0),Paraméterek!$J$26:$O$27,2))),IF($D$4="Forint",0,2))</f>
        <v>#N/A</v>
      </c>
      <c r="M130" s="13">
        <f t="shared" ca="1" si="27"/>
        <v>0</v>
      </c>
      <c r="N130" s="13">
        <f t="shared" ca="1" si="37"/>
        <v>0</v>
      </c>
      <c r="O130" s="13">
        <f ca="1">IF($D130="Igen",IF($W129&gt;=IF($D$4="Forint",Paraméterek!$J$121,Paraméterek!$K$121),0,IF($D$4="Forint",Paraméterek!$J$121,Paraméterek!$K$121)-$W129),0)</f>
        <v>0</v>
      </c>
      <c r="P130" s="13" t="e">
        <f ca="1">ROUNDUP($O130*VLOOKUP($M$4+$B130-1,Paraméterek!$H$58:$I$105,2,0)/Paraméterek!$I$56,IF($D$4="Forint",0,2))</f>
        <v>#N/A</v>
      </c>
      <c r="Q130" s="13">
        <f t="shared" ca="1" si="28"/>
        <v>0</v>
      </c>
      <c r="R130" s="33"/>
      <c r="S130" s="13" t="e">
        <f t="shared" ca="1" si="29"/>
        <v>#N/A</v>
      </c>
      <c r="T130" s="13" t="e">
        <f ca="1">ROUNDUP(($N130-$P130-$Q130+$S130)*VLOOKUP($B130,Paraméterek!$I$38:$K$39,IF($D$2="Egyszeri",3,2))/12*IF($D131="Nem",IF($M$13=0,1,$M$13),1),IF($D$4="Forint",0,2))</f>
        <v>#N/A</v>
      </c>
      <c r="U130" s="13"/>
      <c r="V130" s="13"/>
      <c r="W130" s="13" t="e">
        <f ca="1">$N130-$P130-$Q130+$S130-$T130-IF(ROUNDUP(IF(ISBLANK($V130),$U130*0,$V130)/IF($D$2="Egyszeri",VLOOKUP($B130+IF($C130=12,1,0),Paraméterek!$V$257:$W$262,2),IF($B130=1,1,VLOOKUP($B130+IF($C130=12,1,0),Paraméterek!$I$258:$T$278,HLOOKUP($M$11+1,Paraméterek!$J$256:$T$257,2)))),IF($D$4="Forint",0,2))&gt;$N130-$P130-$Q130+$S130-$T130-IF($D$4="Forint",Paraméterek!$C$216,Paraméterek!$D$216),0,ROUNDUP(IF(ISBLANK($V130),$U130*0,$V130)/IF($D$2="Egyszeri",VLOOKUP($B130+IF($C130=12,1,0),Paraméterek!$V$257:$W$262,2),IF($B130=1,1,VLOOKUP($B130+IF($C130=12,1,0),Paraméterek!$I$258:$T$278,HLOOKUP($M$11+1,Paraméterek!$J$256:$T$257,2)))),IF($D$4="Forint",0,2)))</f>
        <v>#N/A</v>
      </c>
      <c r="X130" s="13" t="e">
        <f ca="1">ROUNDDOWN($W130*IF($D$2="Egyszeri",VLOOKUP($B130+IF($C130=12,1,0),Paraméterek!$V$257:$W$262,2),VLOOKUP($B130+IF($C130=12,1,0),Paraméterek!$I$258:$T$278,HLOOKUP($M$11+1,Paraméterek!$I$256:$T$257,2))),IF($D$4="Forint",0,2))</f>
        <v>#N/A</v>
      </c>
      <c r="Z130" s="32">
        <v>111</v>
      </c>
      <c r="AA130" s="32">
        <v>10</v>
      </c>
      <c r="AB130" s="32">
        <v>3</v>
      </c>
      <c r="AC130" s="13">
        <f t="shared" ca="1" si="38"/>
        <v>0</v>
      </c>
      <c r="AD130" s="33"/>
      <c r="AE130" s="13">
        <f t="shared" ca="1" si="30"/>
        <v>0</v>
      </c>
      <c r="AF130" s="13">
        <f ca="1">ROUNDUP(($AC130+$AE130)*VLOOKUP($AA130,Paraméterek!$P$38:$Q$38,2)/12*IF($D131="Nem",IF($M$13=0,1,$M$13),1),IF($D$4="Forint",0,2))</f>
        <v>0</v>
      </c>
      <c r="AG130" s="13">
        <f ca="1">IF($D$2="Egyszeri",IF($D$7&gt;=IF($D$4="Forint",Paraméterek!$P$223,Paraméterek!$P$224),$D$7-IF($D$4="Forint",Paraméterek!$P$223,Paraméterek!$P$224),0),MIN(IF($AB130=12,AVERAGEIF($E$20:$E130,"&gt;0",$E$20:$E130)*12,0),SUM($E$20:$E$31)))</f>
        <v>0</v>
      </c>
      <c r="AH130" s="13">
        <f ca="1">IF($AA130=10,$AG130*IF($AB130=12,IF($AG130&lt;IF($D$4="Forint",Paraméterek!$L$223,Paraméterek!$L$224),0,VLOOKUP($AA130,Paraméterek!$K$226:$M$228,IF($AG130&lt;IF($D$4="Forint",Paraméterek!$M$223,Paraméterek!$M$224),2,3))),0),0)</f>
        <v>0</v>
      </c>
      <c r="AI130" s="13">
        <f ca="1">IF(AND($AA130=$M$11+1,$AB130=$M$12+1),SUMIF($AA$20:$AA$1027,$AA130,$AG$20:$AG$1027)*IF(SUMIF($AA$20:$AA$1027,$AA130,$AG$20:$AG$1027)&lt;IF($D$4="Forint",Paraméterek!$L$223,Paraméterek!$L$224),0,VLOOKUP($AA130,Paraméterek!$K$230:$M$250,IF(SUMIF($AA$20:$AA$1027,$AA130,$AG$20:$AG$1027)&lt;IF($D$4="Forint",Paraméterek!$M$223,Paraméterek!$M$224),2,3))),0)</f>
        <v>0</v>
      </c>
      <c r="AJ130" s="13">
        <f ca="1">IF(AND($AA130&gt;=5,MOD($AA130,5)=0),IF($AB130=12,VLOOKUP($AA130,Paraméterek!$O$225:$P$240,2),0),IF(OR($AA130=3,$AA130=4),IF($AB130=12,VLOOKUP($AA130,Paraméterek!$O$225:$P$240,2,0),0),0))*$AG130</f>
        <v>0</v>
      </c>
      <c r="AK130" s="13">
        <f t="shared" ca="1" si="31"/>
        <v>0</v>
      </c>
      <c r="AL130" s="13">
        <f t="shared" ca="1" si="39"/>
        <v>0</v>
      </c>
      <c r="AM130" s="13">
        <f t="shared" ca="1" si="40"/>
        <v>0</v>
      </c>
      <c r="AO130" s="32">
        <v>111</v>
      </c>
      <c r="AP130" s="32">
        <v>10</v>
      </c>
      <c r="AQ130" s="32">
        <v>3</v>
      </c>
      <c r="AR130" s="13"/>
      <c r="AS130" s="32"/>
      <c r="AT130" s="13">
        <f t="shared" ca="1" si="41"/>
        <v>0</v>
      </c>
      <c r="AU130" s="33"/>
      <c r="AV130" s="13">
        <f t="shared" ca="1" si="32"/>
        <v>0</v>
      </c>
      <c r="AW130" s="13">
        <f ca="1">ROUNDUP(($AT130+$AV130)*VLOOKUP($AP130,Paraméterek!$P$38:$Q$38,2)/12*IF($D131="Nem",IF($M$13=0,1,$M$13),1),IF($D$4="Forint",0,2))</f>
        <v>0</v>
      </c>
      <c r="AX130" s="13"/>
      <c r="AY130" s="13"/>
      <c r="AZ130" s="13">
        <f>ROUNDUP(IF(SUM($AX130:$AY130)=0,0,IF(IF(ISBLANK($AY130),$AX130,$AY130)*Paraméterek!$J$112&lt;IF($D$4="Forint",Paraméterek!$J$113,Paraméterek!$K$113),IF($D$4="Forint",Paraméterek!$J$113,Paraméterek!$K$113),IF(IF(ISBLANK($AY130),$AX130,$AY130)*Paraméterek!$J$112&gt;IF($D$4="Forint",Paraméterek!$J$114,Paraméterek!$K$114),IF($D$4="Forint",Paraméterek!$J$114,Paraméterek!$K$114),IF(ISBLANK($AY130),$AX130,$AY130)*Paraméterek!$J$112))),IF($D$4="Forint",0,2))</f>
        <v>0</v>
      </c>
      <c r="BA130" s="13">
        <f ca="1">$AT130+$AV130-$AW130-IF(ROUNDDOWN(IF(ISBLANK($AY130),$AX130,$AY130),IF($D$4="Forint",0,2))&gt;$AT130+$AV130-$AW130-IF($D$4="Forint",Paraméterek!$J$114,Paraméterek!$K$114),0,ROUNDDOWN(IF(ISBLANK($AY130),$AX130,$AY130),IF($D$4="Forint",0,2))-$AZ130)</f>
        <v>0</v>
      </c>
      <c r="BB130" s="13">
        <f t="shared" ca="1" si="33"/>
        <v>0</v>
      </c>
      <c r="BD130" s="32">
        <v>111</v>
      </c>
      <c r="BE130" s="32">
        <v>10</v>
      </c>
      <c r="BF130" s="32">
        <v>3</v>
      </c>
      <c r="BG130" s="34">
        <f t="shared" ca="1" si="42"/>
        <v>2028</v>
      </c>
      <c r="BH130" s="32" t="str">
        <f ca="1">IF(MOD(MONTH($D$14)+$BD130-1,12)=Paraméterek!$C$288,"Igen","")</f>
        <v/>
      </c>
      <c r="BI130" s="13">
        <f ca="1">IF($BH130="Igen",MIN(ROUNDDOWN((SUMIF($BG$20:$BG$1027,$BG130-1,$K$20:$K$1027)-SUMIF($BG$20:$BG$1027,$BG130-1,$I$20:$I$1027))*Paraméterek!$C$289,IF($D$4="Forint",0,2)),IF($D$4="Forint",Paraméterek!$C$285,Paraméterek!$D$285)),0)</f>
        <v>0</v>
      </c>
      <c r="BJ130" s="13">
        <f t="shared" ca="1" si="34"/>
        <v>0</v>
      </c>
      <c r="BK130" s="13">
        <f t="shared" ca="1" si="43"/>
        <v>0</v>
      </c>
      <c r="BL130" s="33"/>
      <c r="BM130" s="13">
        <f t="shared" ca="1" si="35"/>
        <v>0</v>
      </c>
      <c r="BN130" s="13">
        <f ca="1">ROUNDUP(($BK130+$BM130)*VLOOKUP($BE130,Paraméterek!$P$38:$Q$38,2)/12*IF($D131="Nem",IF($M$13=0,1,$M$13),1),IF($D$4="Forint",0,2))</f>
        <v>0</v>
      </c>
      <c r="BO130" s="13">
        <f t="shared" ca="1" si="36"/>
        <v>0</v>
      </c>
      <c r="BP130" s="13">
        <f ca="1">IF($D131="Nem",$BO130,$BO130-ROUNDUP(SUM($BI$20:$BI130)*120%,IF($D$4="Forint",0,2)))</f>
        <v>0</v>
      </c>
    </row>
    <row r="131" spans="1:68" x14ac:dyDescent="0.2">
      <c r="A131" s="32">
        <v>112</v>
      </c>
      <c r="B131" s="32">
        <v>10</v>
      </c>
      <c r="C131" s="32">
        <v>4</v>
      </c>
      <c r="D131" s="32" t="str">
        <f t="shared" ca="1" si="22"/>
        <v>Nem</v>
      </c>
      <c r="E131" s="13">
        <f t="shared" ca="1" si="23"/>
        <v>0</v>
      </c>
      <c r="F131" s="13"/>
      <c r="G131" s="13"/>
      <c r="H131" s="13"/>
      <c r="I131" s="13">
        <f t="shared" ca="1" si="24"/>
        <v>0</v>
      </c>
      <c r="J131" s="13">
        <f t="shared" ca="1" si="25"/>
        <v>0</v>
      </c>
      <c r="K131" s="13">
        <f t="shared" ca="1" si="26"/>
        <v>0</v>
      </c>
      <c r="L131" s="13" t="e">
        <f ca="1">ROUNDUP(IF($D$2="Egyszeri",$E131,IF($D$2="Havi",SUM($E$20:$E$31),IF(MOD($C131,$M$1)-1=0,SUM($E$20:$E$31),0))/12*$M$1)*VLOOKUP($B131,Paraméterek!$I$28:$P$31,IF($D$2="Egyszeri",8,HLOOKUP(ROUNDUP($M$11+$M$13,0),Paraméterek!$J$26:$O$27,2))),IF($D$4="Forint",0,2))</f>
        <v>#N/A</v>
      </c>
      <c r="M131" s="13">
        <f t="shared" ca="1" si="27"/>
        <v>0</v>
      </c>
      <c r="N131" s="13">
        <f t="shared" ca="1" si="37"/>
        <v>0</v>
      </c>
      <c r="O131" s="13">
        <f ca="1">IF($D131="Igen",IF($W130&gt;=IF($D$4="Forint",Paraméterek!$J$121,Paraméterek!$K$121),0,IF($D$4="Forint",Paraméterek!$J$121,Paraméterek!$K$121)-$W130),0)</f>
        <v>0</v>
      </c>
      <c r="P131" s="13" t="e">
        <f ca="1">ROUNDUP($O131*VLOOKUP($M$4+$B131-1,Paraméterek!$H$58:$I$105,2,0)/Paraméterek!$I$56,IF($D$4="Forint",0,2))</f>
        <v>#N/A</v>
      </c>
      <c r="Q131" s="13">
        <f t="shared" ca="1" si="28"/>
        <v>0</v>
      </c>
      <c r="R131" s="33"/>
      <c r="S131" s="13" t="e">
        <f t="shared" ca="1" si="29"/>
        <v>#N/A</v>
      </c>
      <c r="T131" s="13" t="e">
        <f ca="1">ROUNDUP(($N131-$P131-$Q131+$S131)*VLOOKUP($B131,Paraméterek!$I$38:$K$39,IF($D$2="Egyszeri",3,2))/12*IF($D132="Nem",IF($M$13=0,1,$M$13),1),IF($D$4="Forint",0,2))</f>
        <v>#N/A</v>
      </c>
      <c r="U131" s="13"/>
      <c r="V131" s="13"/>
      <c r="W131" s="13" t="e">
        <f ca="1">$N131-$P131-$Q131+$S131-$T131-IF(ROUNDUP(IF(ISBLANK($V131),$U131*0,$V131)/IF($D$2="Egyszeri",VLOOKUP($B131+IF($C131=12,1,0),Paraméterek!$V$257:$W$262,2),IF($B131=1,1,VLOOKUP($B131+IF($C131=12,1,0),Paraméterek!$I$258:$T$278,HLOOKUP($M$11+1,Paraméterek!$J$256:$T$257,2)))),IF($D$4="Forint",0,2))&gt;$N131-$P131-$Q131+$S131-$T131-IF($D$4="Forint",Paraméterek!$C$216,Paraméterek!$D$216),0,ROUNDUP(IF(ISBLANK($V131),$U131*0,$V131)/IF($D$2="Egyszeri",VLOOKUP($B131+IF($C131=12,1,0),Paraméterek!$V$257:$W$262,2),IF($B131=1,1,VLOOKUP($B131+IF($C131=12,1,0),Paraméterek!$I$258:$T$278,HLOOKUP($M$11+1,Paraméterek!$J$256:$T$257,2)))),IF($D$4="Forint",0,2)))</f>
        <v>#N/A</v>
      </c>
      <c r="X131" s="13" t="e">
        <f ca="1">ROUNDDOWN($W131*IF($D$2="Egyszeri",VLOOKUP($B131+IF($C131=12,1,0),Paraméterek!$V$257:$W$262,2),VLOOKUP($B131+IF($C131=12,1,0),Paraméterek!$I$258:$T$278,HLOOKUP($M$11+1,Paraméterek!$I$256:$T$257,2))),IF($D$4="Forint",0,2))</f>
        <v>#N/A</v>
      </c>
      <c r="Z131" s="32">
        <v>112</v>
      </c>
      <c r="AA131" s="32">
        <v>10</v>
      </c>
      <c r="AB131" s="32">
        <v>4</v>
      </c>
      <c r="AC131" s="13">
        <f t="shared" ca="1" si="38"/>
        <v>0</v>
      </c>
      <c r="AD131" s="33"/>
      <c r="AE131" s="13">
        <f t="shared" ca="1" si="30"/>
        <v>0</v>
      </c>
      <c r="AF131" s="13">
        <f ca="1">ROUNDUP(($AC131+$AE131)*VLOOKUP($AA131,Paraméterek!$P$38:$Q$38,2)/12*IF($D132="Nem",IF($M$13=0,1,$M$13),1),IF($D$4="Forint",0,2))</f>
        <v>0</v>
      </c>
      <c r="AG131" s="13">
        <f ca="1">IF($D$2="Egyszeri",IF($D$7&gt;=IF($D$4="Forint",Paraméterek!$P$223,Paraméterek!$P$224),$D$7-IF($D$4="Forint",Paraméterek!$P$223,Paraméterek!$P$224),0),MIN(IF($AB131=12,AVERAGEIF($E$20:$E131,"&gt;0",$E$20:$E131)*12,0),SUM($E$20:$E$31)))</f>
        <v>0</v>
      </c>
      <c r="AH131" s="13">
        <f ca="1">IF($AA131=10,$AG131*IF($AB131=12,IF($AG131&lt;IF($D$4="Forint",Paraméterek!$L$223,Paraméterek!$L$224),0,VLOOKUP($AA131,Paraméterek!$K$226:$M$228,IF($AG131&lt;IF($D$4="Forint",Paraméterek!$M$223,Paraméterek!$M$224),2,3))),0),0)</f>
        <v>0</v>
      </c>
      <c r="AI131" s="13">
        <f ca="1">IF(AND($AA131=$M$11+1,$AB131=$M$12+1),SUMIF($AA$20:$AA$1027,$AA131,$AG$20:$AG$1027)*IF(SUMIF($AA$20:$AA$1027,$AA131,$AG$20:$AG$1027)&lt;IF($D$4="Forint",Paraméterek!$L$223,Paraméterek!$L$224),0,VLOOKUP($AA131,Paraméterek!$K$230:$M$250,IF(SUMIF($AA$20:$AA$1027,$AA131,$AG$20:$AG$1027)&lt;IF($D$4="Forint",Paraméterek!$M$223,Paraméterek!$M$224),2,3))),0)</f>
        <v>0</v>
      </c>
      <c r="AJ131" s="13">
        <f ca="1">IF(AND($AA131&gt;=5,MOD($AA131,5)=0),IF($AB131=12,VLOOKUP($AA131,Paraméterek!$O$225:$P$240,2),0),IF(OR($AA131=3,$AA131=4),IF($AB131=12,VLOOKUP($AA131,Paraméterek!$O$225:$P$240,2,0),0),0))*$AG131</f>
        <v>0</v>
      </c>
      <c r="AK131" s="13">
        <f t="shared" ca="1" si="31"/>
        <v>0</v>
      </c>
      <c r="AL131" s="13">
        <f t="shared" ca="1" si="39"/>
        <v>0</v>
      </c>
      <c r="AM131" s="13">
        <f t="shared" ca="1" si="40"/>
        <v>0</v>
      </c>
      <c r="AO131" s="32">
        <v>112</v>
      </c>
      <c r="AP131" s="32">
        <v>10</v>
      </c>
      <c r="AQ131" s="32">
        <v>4</v>
      </c>
      <c r="AR131" s="13"/>
      <c r="AS131" s="32"/>
      <c r="AT131" s="13">
        <f t="shared" ca="1" si="41"/>
        <v>0</v>
      </c>
      <c r="AU131" s="33"/>
      <c r="AV131" s="13">
        <f t="shared" ca="1" si="32"/>
        <v>0</v>
      </c>
      <c r="AW131" s="13">
        <f ca="1">ROUNDUP(($AT131+$AV131)*VLOOKUP($AP131,Paraméterek!$P$38:$Q$38,2)/12*IF($D132="Nem",IF($M$13=0,1,$M$13),1),IF($D$4="Forint",0,2))</f>
        <v>0</v>
      </c>
      <c r="AX131" s="13"/>
      <c r="AY131" s="13"/>
      <c r="AZ131" s="13">
        <f>ROUNDUP(IF(SUM($AX131:$AY131)=0,0,IF(IF(ISBLANK($AY131),$AX131,$AY131)*Paraméterek!$J$112&lt;IF($D$4="Forint",Paraméterek!$J$113,Paraméterek!$K$113),IF($D$4="Forint",Paraméterek!$J$113,Paraméterek!$K$113),IF(IF(ISBLANK($AY131),$AX131,$AY131)*Paraméterek!$J$112&gt;IF($D$4="Forint",Paraméterek!$J$114,Paraméterek!$K$114),IF($D$4="Forint",Paraméterek!$J$114,Paraméterek!$K$114),IF(ISBLANK($AY131),$AX131,$AY131)*Paraméterek!$J$112))),IF($D$4="Forint",0,2))</f>
        <v>0</v>
      </c>
      <c r="BA131" s="13">
        <f ca="1">$AT131+$AV131-$AW131-IF(ROUNDDOWN(IF(ISBLANK($AY131),$AX131,$AY131),IF($D$4="Forint",0,2))&gt;$AT131+$AV131-$AW131-IF($D$4="Forint",Paraméterek!$J$114,Paraméterek!$K$114),0,ROUNDDOWN(IF(ISBLANK($AY131),$AX131,$AY131),IF($D$4="Forint",0,2))-$AZ131)</f>
        <v>0</v>
      </c>
      <c r="BB131" s="13">
        <f t="shared" ca="1" si="33"/>
        <v>0</v>
      </c>
      <c r="BD131" s="32">
        <v>112</v>
      </c>
      <c r="BE131" s="32">
        <v>10</v>
      </c>
      <c r="BF131" s="32">
        <v>4</v>
      </c>
      <c r="BG131" s="34">
        <f t="shared" ca="1" si="42"/>
        <v>2028</v>
      </c>
      <c r="BH131" s="32" t="str">
        <f ca="1">IF(MOD(MONTH($D$14)+$BD131-1,12)=Paraméterek!$C$288,"Igen","")</f>
        <v/>
      </c>
      <c r="BI131" s="13">
        <f ca="1">IF($BH131="Igen",MIN(ROUNDDOWN((SUMIF($BG$20:$BG$1027,$BG131-1,$K$20:$K$1027)-SUMIF($BG$20:$BG$1027,$BG131-1,$I$20:$I$1027))*Paraméterek!$C$289,IF($D$4="Forint",0,2)),IF($D$4="Forint",Paraméterek!$C$285,Paraméterek!$D$285)),0)</f>
        <v>0</v>
      </c>
      <c r="BJ131" s="13">
        <f t="shared" ca="1" si="34"/>
        <v>0</v>
      </c>
      <c r="BK131" s="13">
        <f t="shared" ca="1" si="43"/>
        <v>0</v>
      </c>
      <c r="BL131" s="33"/>
      <c r="BM131" s="13">
        <f t="shared" ca="1" si="35"/>
        <v>0</v>
      </c>
      <c r="BN131" s="13">
        <f ca="1">ROUNDUP(($BK131+$BM131)*VLOOKUP($BE131,Paraméterek!$P$38:$Q$38,2)/12*IF($D132="Nem",IF($M$13=0,1,$M$13),1),IF($D$4="Forint",0,2))</f>
        <v>0</v>
      </c>
      <c r="BO131" s="13">
        <f t="shared" ca="1" si="36"/>
        <v>0</v>
      </c>
      <c r="BP131" s="13">
        <f ca="1">IF($D132="Nem",$BO131,$BO131-ROUNDUP(SUM($BI$20:$BI131)*120%,IF($D$4="Forint",0,2)))</f>
        <v>0</v>
      </c>
    </row>
    <row r="132" spans="1:68" x14ac:dyDescent="0.2">
      <c r="A132" s="32">
        <v>113</v>
      </c>
      <c r="B132" s="32">
        <v>10</v>
      </c>
      <c r="C132" s="32">
        <v>5</v>
      </c>
      <c r="D132" s="32" t="str">
        <f t="shared" ca="1" si="22"/>
        <v>Nem</v>
      </c>
      <c r="E132" s="13">
        <f t="shared" ca="1" si="23"/>
        <v>0</v>
      </c>
      <c r="F132" s="13"/>
      <c r="G132" s="13"/>
      <c r="H132" s="13"/>
      <c r="I132" s="13">
        <f t="shared" ca="1" si="24"/>
        <v>0</v>
      </c>
      <c r="J132" s="13">
        <f t="shared" ca="1" si="25"/>
        <v>0</v>
      </c>
      <c r="K132" s="13">
        <f t="shared" ca="1" si="26"/>
        <v>0</v>
      </c>
      <c r="L132" s="13" t="e">
        <f ca="1">ROUNDUP(IF($D$2="Egyszeri",$E132,IF($D$2="Havi",SUM($E$20:$E$31),IF(MOD($C132,$M$1)-1=0,SUM($E$20:$E$31),0))/12*$M$1)*VLOOKUP($B132,Paraméterek!$I$28:$P$31,IF($D$2="Egyszeri",8,HLOOKUP(ROUNDUP($M$11+$M$13,0),Paraméterek!$J$26:$O$27,2))),IF($D$4="Forint",0,2))</f>
        <v>#N/A</v>
      </c>
      <c r="M132" s="13">
        <f t="shared" ca="1" si="27"/>
        <v>0</v>
      </c>
      <c r="N132" s="13">
        <f t="shared" ca="1" si="37"/>
        <v>0</v>
      </c>
      <c r="O132" s="13">
        <f ca="1">IF($D132="Igen",IF($W131&gt;=IF($D$4="Forint",Paraméterek!$J$121,Paraméterek!$K$121),0,IF($D$4="Forint",Paraméterek!$J$121,Paraméterek!$K$121)-$W131),0)</f>
        <v>0</v>
      </c>
      <c r="P132" s="13" t="e">
        <f ca="1">ROUNDUP($O132*VLOOKUP($M$4+$B132-1,Paraméterek!$H$58:$I$105,2,0)/Paraméterek!$I$56,IF($D$4="Forint",0,2))</f>
        <v>#N/A</v>
      </c>
      <c r="Q132" s="13">
        <f t="shared" ca="1" si="28"/>
        <v>0</v>
      </c>
      <c r="R132" s="33"/>
      <c r="S132" s="13" t="e">
        <f t="shared" ca="1" si="29"/>
        <v>#N/A</v>
      </c>
      <c r="T132" s="13" t="e">
        <f ca="1">ROUNDUP(($N132-$P132-$Q132+$S132)*VLOOKUP($B132,Paraméterek!$I$38:$K$39,IF($D$2="Egyszeri",3,2))/12*IF($D133="Nem",IF($M$13=0,1,$M$13),1),IF($D$4="Forint",0,2))</f>
        <v>#N/A</v>
      </c>
      <c r="U132" s="13"/>
      <c r="V132" s="13"/>
      <c r="W132" s="13" t="e">
        <f ca="1">$N132-$P132-$Q132+$S132-$T132-IF(ROUNDUP(IF(ISBLANK($V132),$U132*0,$V132)/IF($D$2="Egyszeri",VLOOKUP($B132+IF($C132=12,1,0),Paraméterek!$V$257:$W$262,2),IF($B132=1,1,VLOOKUP($B132+IF($C132=12,1,0),Paraméterek!$I$258:$T$278,HLOOKUP($M$11+1,Paraméterek!$J$256:$T$257,2)))),IF($D$4="Forint",0,2))&gt;$N132-$P132-$Q132+$S132-$T132-IF($D$4="Forint",Paraméterek!$C$216,Paraméterek!$D$216),0,ROUNDUP(IF(ISBLANK($V132),$U132*0,$V132)/IF($D$2="Egyszeri",VLOOKUP($B132+IF($C132=12,1,0),Paraméterek!$V$257:$W$262,2),IF($B132=1,1,VLOOKUP($B132+IF($C132=12,1,0),Paraméterek!$I$258:$T$278,HLOOKUP($M$11+1,Paraméterek!$J$256:$T$257,2)))),IF($D$4="Forint",0,2)))</f>
        <v>#N/A</v>
      </c>
      <c r="X132" s="13" t="e">
        <f ca="1">ROUNDDOWN($W132*IF($D$2="Egyszeri",VLOOKUP($B132+IF($C132=12,1,0),Paraméterek!$V$257:$W$262,2),VLOOKUP($B132+IF($C132=12,1,0),Paraméterek!$I$258:$T$278,HLOOKUP($M$11+1,Paraméterek!$I$256:$T$257,2))),IF($D$4="Forint",0,2))</f>
        <v>#N/A</v>
      </c>
      <c r="Z132" s="32">
        <v>113</v>
      </c>
      <c r="AA132" s="32">
        <v>10</v>
      </c>
      <c r="AB132" s="32">
        <v>5</v>
      </c>
      <c r="AC132" s="13">
        <f t="shared" ca="1" si="38"/>
        <v>0</v>
      </c>
      <c r="AD132" s="33"/>
      <c r="AE132" s="13">
        <f t="shared" ca="1" si="30"/>
        <v>0</v>
      </c>
      <c r="AF132" s="13">
        <f ca="1">ROUNDUP(($AC132+$AE132)*VLOOKUP($AA132,Paraméterek!$P$38:$Q$38,2)/12*IF($D133="Nem",IF($M$13=0,1,$M$13),1),IF($D$4="Forint",0,2))</f>
        <v>0</v>
      </c>
      <c r="AG132" s="13">
        <f ca="1">IF($D$2="Egyszeri",IF($D$7&gt;=IF($D$4="Forint",Paraméterek!$P$223,Paraméterek!$P$224),$D$7-IF($D$4="Forint",Paraméterek!$P$223,Paraméterek!$P$224),0),MIN(IF($AB132=12,AVERAGEIF($E$20:$E132,"&gt;0",$E$20:$E132)*12,0),SUM($E$20:$E$31)))</f>
        <v>0</v>
      </c>
      <c r="AH132" s="13">
        <f ca="1">IF($AA132=10,$AG132*IF($AB132=12,IF($AG132&lt;IF($D$4="Forint",Paraméterek!$L$223,Paraméterek!$L$224),0,VLOOKUP($AA132,Paraméterek!$K$226:$M$228,IF($AG132&lt;IF($D$4="Forint",Paraméterek!$M$223,Paraméterek!$M$224),2,3))),0),0)</f>
        <v>0</v>
      </c>
      <c r="AI132" s="13">
        <f ca="1">IF(AND($AA132=$M$11+1,$AB132=$M$12+1),SUMIF($AA$20:$AA$1027,$AA132,$AG$20:$AG$1027)*IF(SUMIF($AA$20:$AA$1027,$AA132,$AG$20:$AG$1027)&lt;IF($D$4="Forint",Paraméterek!$L$223,Paraméterek!$L$224),0,VLOOKUP($AA132,Paraméterek!$K$230:$M$250,IF(SUMIF($AA$20:$AA$1027,$AA132,$AG$20:$AG$1027)&lt;IF($D$4="Forint",Paraméterek!$M$223,Paraméterek!$M$224),2,3))),0)</f>
        <v>0</v>
      </c>
      <c r="AJ132" s="13">
        <f ca="1">IF(AND($AA132&gt;=5,MOD($AA132,5)=0),IF($AB132=12,VLOOKUP($AA132,Paraméterek!$O$225:$P$240,2),0),IF(OR($AA132=3,$AA132=4),IF($AB132=12,VLOOKUP($AA132,Paraméterek!$O$225:$P$240,2,0),0),0))*$AG132</f>
        <v>0</v>
      </c>
      <c r="AK132" s="13">
        <f t="shared" ca="1" si="31"/>
        <v>0</v>
      </c>
      <c r="AL132" s="13">
        <f t="shared" ca="1" si="39"/>
        <v>0</v>
      </c>
      <c r="AM132" s="13">
        <f t="shared" ca="1" si="40"/>
        <v>0</v>
      </c>
      <c r="AO132" s="32">
        <v>113</v>
      </c>
      <c r="AP132" s="32">
        <v>10</v>
      </c>
      <c r="AQ132" s="32">
        <v>5</v>
      </c>
      <c r="AR132" s="13"/>
      <c r="AS132" s="32"/>
      <c r="AT132" s="13">
        <f t="shared" ca="1" si="41"/>
        <v>0</v>
      </c>
      <c r="AU132" s="33"/>
      <c r="AV132" s="13">
        <f t="shared" ca="1" si="32"/>
        <v>0</v>
      </c>
      <c r="AW132" s="13">
        <f ca="1">ROUNDUP(($AT132+$AV132)*VLOOKUP($AP132,Paraméterek!$P$38:$Q$38,2)/12*IF($D133="Nem",IF($M$13=0,1,$M$13),1),IF($D$4="Forint",0,2))</f>
        <v>0</v>
      </c>
      <c r="AX132" s="13"/>
      <c r="AY132" s="13"/>
      <c r="AZ132" s="13">
        <f>ROUNDUP(IF(SUM($AX132:$AY132)=0,0,IF(IF(ISBLANK($AY132),$AX132,$AY132)*Paraméterek!$J$112&lt;IF($D$4="Forint",Paraméterek!$J$113,Paraméterek!$K$113),IF($D$4="Forint",Paraméterek!$J$113,Paraméterek!$K$113),IF(IF(ISBLANK($AY132),$AX132,$AY132)*Paraméterek!$J$112&gt;IF($D$4="Forint",Paraméterek!$J$114,Paraméterek!$K$114),IF($D$4="Forint",Paraméterek!$J$114,Paraméterek!$K$114),IF(ISBLANK($AY132),$AX132,$AY132)*Paraméterek!$J$112))),IF($D$4="Forint",0,2))</f>
        <v>0</v>
      </c>
      <c r="BA132" s="13">
        <f ca="1">$AT132+$AV132-$AW132-IF(ROUNDDOWN(IF(ISBLANK($AY132),$AX132,$AY132),IF($D$4="Forint",0,2))&gt;$AT132+$AV132-$AW132-IF($D$4="Forint",Paraméterek!$J$114,Paraméterek!$K$114),0,ROUNDDOWN(IF(ISBLANK($AY132),$AX132,$AY132),IF($D$4="Forint",0,2))-$AZ132)</f>
        <v>0</v>
      </c>
      <c r="BB132" s="13">
        <f t="shared" ca="1" si="33"/>
        <v>0</v>
      </c>
      <c r="BD132" s="32">
        <v>113</v>
      </c>
      <c r="BE132" s="32">
        <v>10</v>
      </c>
      <c r="BF132" s="32">
        <v>5</v>
      </c>
      <c r="BG132" s="34">
        <f t="shared" ca="1" si="42"/>
        <v>2028</v>
      </c>
      <c r="BH132" s="32" t="str">
        <f ca="1">IF(MOD(MONTH($D$14)+$BD132-1,12)=Paraméterek!$C$288,"Igen","")</f>
        <v/>
      </c>
      <c r="BI132" s="13">
        <f ca="1">IF($BH132="Igen",MIN(ROUNDDOWN((SUMIF($BG$20:$BG$1027,$BG132-1,$K$20:$K$1027)-SUMIF($BG$20:$BG$1027,$BG132-1,$I$20:$I$1027))*Paraméterek!$C$289,IF($D$4="Forint",0,2)),IF($D$4="Forint",Paraméterek!$C$285,Paraméterek!$D$285)),0)</f>
        <v>0</v>
      </c>
      <c r="BJ132" s="13">
        <f t="shared" ca="1" si="34"/>
        <v>0</v>
      </c>
      <c r="BK132" s="13">
        <f t="shared" ca="1" si="43"/>
        <v>0</v>
      </c>
      <c r="BL132" s="33"/>
      <c r="BM132" s="13">
        <f t="shared" ca="1" si="35"/>
        <v>0</v>
      </c>
      <c r="BN132" s="13">
        <f ca="1">ROUNDUP(($BK132+$BM132)*VLOOKUP($BE132,Paraméterek!$P$38:$Q$38,2)/12*IF($D133="Nem",IF($M$13=0,1,$M$13),1),IF($D$4="Forint",0,2))</f>
        <v>0</v>
      </c>
      <c r="BO132" s="13">
        <f t="shared" ca="1" si="36"/>
        <v>0</v>
      </c>
      <c r="BP132" s="13">
        <f ca="1">IF($D133="Nem",$BO132,$BO132-ROUNDUP(SUM($BI$20:$BI132)*120%,IF($D$4="Forint",0,2)))</f>
        <v>0</v>
      </c>
    </row>
    <row r="133" spans="1:68" x14ac:dyDescent="0.2">
      <c r="A133" s="32">
        <v>114</v>
      </c>
      <c r="B133" s="32">
        <v>10</v>
      </c>
      <c r="C133" s="32">
        <v>6</v>
      </c>
      <c r="D133" s="32" t="str">
        <f t="shared" ca="1" si="22"/>
        <v>Nem</v>
      </c>
      <c r="E133" s="13">
        <f t="shared" ca="1" si="23"/>
        <v>0</v>
      </c>
      <c r="F133" s="13"/>
      <c r="G133" s="13"/>
      <c r="H133" s="13"/>
      <c r="I133" s="13">
        <f t="shared" ca="1" si="24"/>
        <v>0</v>
      </c>
      <c r="J133" s="13">
        <f t="shared" ca="1" si="25"/>
        <v>0</v>
      </c>
      <c r="K133" s="13">
        <f t="shared" ca="1" si="26"/>
        <v>0</v>
      </c>
      <c r="L133" s="13" t="e">
        <f ca="1">ROUNDUP(IF($D$2="Egyszeri",$E133,IF($D$2="Havi",SUM($E$20:$E$31),IF(MOD($C133,$M$1)-1=0,SUM($E$20:$E$31),0))/12*$M$1)*VLOOKUP($B133,Paraméterek!$I$28:$P$31,IF($D$2="Egyszeri",8,HLOOKUP(ROUNDUP($M$11+$M$13,0),Paraméterek!$J$26:$O$27,2))),IF($D$4="Forint",0,2))</f>
        <v>#N/A</v>
      </c>
      <c r="M133" s="13">
        <f t="shared" ca="1" si="27"/>
        <v>0</v>
      </c>
      <c r="N133" s="13">
        <f t="shared" ca="1" si="37"/>
        <v>0</v>
      </c>
      <c r="O133" s="13">
        <f ca="1">IF($D133="Igen",IF($W132&gt;=IF($D$4="Forint",Paraméterek!$J$121,Paraméterek!$K$121),0,IF($D$4="Forint",Paraméterek!$J$121,Paraméterek!$K$121)-$W132),0)</f>
        <v>0</v>
      </c>
      <c r="P133" s="13" t="e">
        <f ca="1">ROUNDUP($O133*VLOOKUP($M$4+$B133-1,Paraméterek!$H$58:$I$105,2,0)/Paraméterek!$I$56,IF($D$4="Forint",0,2))</f>
        <v>#N/A</v>
      </c>
      <c r="Q133" s="13">
        <f t="shared" ca="1" si="28"/>
        <v>0</v>
      </c>
      <c r="R133" s="33"/>
      <c r="S133" s="13" t="e">
        <f t="shared" ca="1" si="29"/>
        <v>#N/A</v>
      </c>
      <c r="T133" s="13" t="e">
        <f ca="1">ROUNDUP(($N133-$P133-$Q133+$S133)*VLOOKUP($B133,Paraméterek!$I$38:$K$39,IF($D$2="Egyszeri",3,2))/12*IF($D134="Nem",IF($M$13=0,1,$M$13),1),IF($D$4="Forint",0,2))</f>
        <v>#N/A</v>
      </c>
      <c r="U133" s="13"/>
      <c r="V133" s="13"/>
      <c r="W133" s="13" t="e">
        <f ca="1">$N133-$P133-$Q133+$S133-$T133-IF(ROUNDUP(IF(ISBLANK($V133),$U133*0,$V133)/IF($D$2="Egyszeri",VLOOKUP($B133+IF($C133=12,1,0),Paraméterek!$V$257:$W$262,2),IF($B133=1,1,VLOOKUP($B133+IF($C133=12,1,0),Paraméterek!$I$258:$T$278,HLOOKUP($M$11+1,Paraméterek!$J$256:$T$257,2)))),IF($D$4="Forint",0,2))&gt;$N133-$P133-$Q133+$S133-$T133-IF($D$4="Forint",Paraméterek!$C$216,Paraméterek!$D$216),0,ROUNDUP(IF(ISBLANK($V133),$U133*0,$V133)/IF($D$2="Egyszeri",VLOOKUP($B133+IF($C133=12,1,0),Paraméterek!$V$257:$W$262,2),IF($B133=1,1,VLOOKUP($B133+IF($C133=12,1,0),Paraméterek!$I$258:$T$278,HLOOKUP($M$11+1,Paraméterek!$J$256:$T$257,2)))),IF($D$4="Forint",0,2)))</f>
        <v>#N/A</v>
      </c>
      <c r="X133" s="13" t="e">
        <f ca="1">ROUNDDOWN($W133*IF($D$2="Egyszeri",VLOOKUP($B133+IF($C133=12,1,0),Paraméterek!$V$257:$W$262,2),VLOOKUP($B133+IF($C133=12,1,0),Paraméterek!$I$258:$T$278,HLOOKUP($M$11+1,Paraméterek!$I$256:$T$257,2))),IF($D$4="Forint",0,2))</f>
        <v>#N/A</v>
      </c>
      <c r="Z133" s="32">
        <v>114</v>
      </c>
      <c r="AA133" s="32">
        <v>10</v>
      </c>
      <c r="AB133" s="32">
        <v>6</v>
      </c>
      <c r="AC133" s="13">
        <f t="shared" ca="1" si="38"/>
        <v>0</v>
      </c>
      <c r="AD133" s="33"/>
      <c r="AE133" s="13">
        <f t="shared" ca="1" si="30"/>
        <v>0</v>
      </c>
      <c r="AF133" s="13">
        <f ca="1">ROUNDUP(($AC133+$AE133)*VLOOKUP($AA133,Paraméterek!$P$38:$Q$38,2)/12*IF($D134="Nem",IF($M$13=0,1,$M$13),1),IF($D$4="Forint",0,2))</f>
        <v>0</v>
      </c>
      <c r="AG133" s="13">
        <f ca="1">IF($D$2="Egyszeri",IF($D$7&gt;=IF($D$4="Forint",Paraméterek!$P$223,Paraméterek!$P$224),$D$7-IF($D$4="Forint",Paraméterek!$P$223,Paraméterek!$P$224),0),MIN(IF($AB133=12,AVERAGEIF($E$20:$E133,"&gt;0",$E$20:$E133)*12,0),SUM($E$20:$E$31)))</f>
        <v>0</v>
      </c>
      <c r="AH133" s="13">
        <f ca="1">IF($AA133=10,$AG133*IF($AB133=12,IF($AG133&lt;IF($D$4="Forint",Paraméterek!$L$223,Paraméterek!$L$224),0,VLOOKUP($AA133,Paraméterek!$K$226:$M$228,IF($AG133&lt;IF($D$4="Forint",Paraméterek!$M$223,Paraméterek!$M$224),2,3))),0),0)</f>
        <v>0</v>
      </c>
      <c r="AI133" s="13">
        <f ca="1">IF(AND($AA133=$M$11+1,$AB133=$M$12+1),SUMIF($AA$20:$AA$1027,$AA133,$AG$20:$AG$1027)*IF(SUMIF($AA$20:$AA$1027,$AA133,$AG$20:$AG$1027)&lt;IF($D$4="Forint",Paraméterek!$L$223,Paraméterek!$L$224),0,VLOOKUP($AA133,Paraméterek!$K$230:$M$250,IF(SUMIF($AA$20:$AA$1027,$AA133,$AG$20:$AG$1027)&lt;IF($D$4="Forint",Paraméterek!$M$223,Paraméterek!$M$224),2,3))),0)</f>
        <v>0</v>
      </c>
      <c r="AJ133" s="13">
        <f ca="1">IF(AND($AA133&gt;=5,MOD($AA133,5)=0),IF($AB133=12,VLOOKUP($AA133,Paraméterek!$O$225:$P$240,2),0),IF(OR($AA133=3,$AA133=4),IF($AB133=12,VLOOKUP($AA133,Paraméterek!$O$225:$P$240,2,0),0),0))*$AG133</f>
        <v>0</v>
      </c>
      <c r="AK133" s="13">
        <f t="shared" ca="1" si="31"/>
        <v>0</v>
      </c>
      <c r="AL133" s="13">
        <f t="shared" ca="1" si="39"/>
        <v>0</v>
      </c>
      <c r="AM133" s="13">
        <f t="shared" ca="1" si="40"/>
        <v>0</v>
      </c>
      <c r="AO133" s="32">
        <v>114</v>
      </c>
      <c r="AP133" s="32">
        <v>10</v>
      </c>
      <c r="AQ133" s="32">
        <v>6</v>
      </c>
      <c r="AR133" s="13"/>
      <c r="AS133" s="32"/>
      <c r="AT133" s="13">
        <f t="shared" ca="1" si="41"/>
        <v>0</v>
      </c>
      <c r="AU133" s="33"/>
      <c r="AV133" s="13">
        <f t="shared" ca="1" si="32"/>
        <v>0</v>
      </c>
      <c r="AW133" s="13">
        <f ca="1">ROUNDUP(($AT133+$AV133)*VLOOKUP($AP133,Paraméterek!$P$38:$Q$38,2)/12*IF($D134="Nem",IF($M$13=0,1,$M$13),1),IF($D$4="Forint",0,2))</f>
        <v>0</v>
      </c>
      <c r="AX133" s="13"/>
      <c r="AY133" s="13"/>
      <c r="AZ133" s="13">
        <f>ROUNDUP(IF(SUM($AX133:$AY133)=0,0,IF(IF(ISBLANK($AY133),$AX133,$AY133)*Paraméterek!$J$112&lt;IF($D$4="Forint",Paraméterek!$J$113,Paraméterek!$K$113),IF($D$4="Forint",Paraméterek!$J$113,Paraméterek!$K$113),IF(IF(ISBLANK($AY133),$AX133,$AY133)*Paraméterek!$J$112&gt;IF($D$4="Forint",Paraméterek!$J$114,Paraméterek!$K$114),IF($D$4="Forint",Paraméterek!$J$114,Paraméterek!$K$114),IF(ISBLANK($AY133),$AX133,$AY133)*Paraméterek!$J$112))),IF($D$4="Forint",0,2))</f>
        <v>0</v>
      </c>
      <c r="BA133" s="13">
        <f ca="1">$AT133+$AV133-$AW133-IF(ROUNDDOWN(IF(ISBLANK($AY133),$AX133,$AY133),IF($D$4="Forint",0,2))&gt;$AT133+$AV133-$AW133-IF($D$4="Forint",Paraméterek!$J$114,Paraméterek!$K$114),0,ROUNDDOWN(IF(ISBLANK($AY133),$AX133,$AY133),IF($D$4="Forint",0,2))-$AZ133)</f>
        <v>0</v>
      </c>
      <c r="BB133" s="13">
        <f t="shared" ca="1" si="33"/>
        <v>0</v>
      </c>
      <c r="BD133" s="32">
        <v>114</v>
      </c>
      <c r="BE133" s="32">
        <v>10</v>
      </c>
      <c r="BF133" s="32">
        <v>6</v>
      </c>
      <c r="BG133" s="34">
        <f t="shared" ca="1" si="42"/>
        <v>2028</v>
      </c>
      <c r="BH133" s="32" t="str">
        <f ca="1">IF(MOD(MONTH($D$14)+$BD133-1,12)=Paraméterek!$C$288,"Igen","")</f>
        <v/>
      </c>
      <c r="BI133" s="13">
        <f ca="1">IF($BH133="Igen",MIN(ROUNDDOWN((SUMIF($BG$20:$BG$1027,$BG133-1,$K$20:$K$1027)-SUMIF($BG$20:$BG$1027,$BG133-1,$I$20:$I$1027))*Paraméterek!$C$289,IF($D$4="Forint",0,2)),IF($D$4="Forint",Paraméterek!$C$285,Paraméterek!$D$285)),0)</f>
        <v>0</v>
      </c>
      <c r="BJ133" s="13">
        <f t="shared" ca="1" si="34"/>
        <v>0</v>
      </c>
      <c r="BK133" s="13">
        <f t="shared" ca="1" si="43"/>
        <v>0</v>
      </c>
      <c r="BL133" s="33"/>
      <c r="BM133" s="13">
        <f t="shared" ca="1" si="35"/>
        <v>0</v>
      </c>
      <c r="BN133" s="13">
        <f ca="1">ROUNDUP(($BK133+$BM133)*VLOOKUP($BE133,Paraméterek!$P$38:$Q$38,2)/12*IF($D134="Nem",IF($M$13=0,1,$M$13),1),IF($D$4="Forint",0,2))</f>
        <v>0</v>
      </c>
      <c r="BO133" s="13">
        <f t="shared" ca="1" si="36"/>
        <v>0</v>
      </c>
      <c r="BP133" s="13">
        <f ca="1">IF($D134="Nem",$BO133,$BO133-ROUNDUP(SUM($BI$20:$BI133)*120%,IF($D$4="Forint",0,2)))</f>
        <v>0</v>
      </c>
    </row>
    <row r="134" spans="1:68" x14ac:dyDescent="0.2">
      <c r="A134" s="32">
        <v>115</v>
      </c>
      <c r="B134" s="32">
        <v>10</v>
      </c>
      <c r="C134" s="32">
        <v>7</v>
      </c>
      <c r="D134" s="32" t="str">
        <f t="shared" ca="1" si="22"/>
        <v>Nem</v>
      </c>
      <c r="E134" s="13">
        <f t="shared" ca="1" si="23"/>
        <v>0</v>
      </c>
      <c r="F134" s="13"/>
      <c r="G134" s="13"/>
      <c r="H134" s="13"/>
      <c r="I134" s="13">
        <f t="shared" ca="1" si="24"/>
        <v>0</v>
      </c>
      <c r="J134" s="13">
        <f t="shared" ca="1" si="25"/>
        <v>0</v>
      </c>
      <c r="K134" s="13">
        <f t="shared" ca="1" si="26"/>
        <v>0</v>
      </c>
      <c r="L134" s="13" t="e">
        <f ca="1">ROUNDUP(IF($D$2="Egyszeri",$E134,IF($D$2="Havi",SUM($E$20:$E$31),IF(MOD($C134,$M$1)-1=0,SUM($E$20:$E$31),0))/12*$M$1)*VLOOKUP($B134,Paraméterek!$I$28:$P$31,IF($D$2="Egyszeri",8,HLOOKUP(ROUNDUP($M$11+$M$13,0),Paraméterek!$J$26:$O$27,2))),IF($D$4="Forint",0,2))</f>
        <v>#N/A</v>
      </c>
      <c r="M134" s="13">
        <f t="shared" ca="1" si="27"/>
        <v>0</v>
      </c>
      <c r="N134" s="13">
        <f t="shared" ca="1" si="37"/>
        <v>0</v>
      </c>
      <c r="O134" s="13">
        <f ca="1">IF($D134="Igen",IF($W133&gt;=IF($D$4="Forint",Paraméterek!$J$121,Paraméterek!$K$121),0,IF($D$4="Forint",Paraméterek!$J$121,Paraméterek!$K$121)-$W133),0)</f>
        <v>0</v>
      </c>
      <c r="P134" s="13" t="e">
        <f ca="1">ROUNDUP($O134*VLOOKUP($M$4+$B134-1,Paraméterek!$H$58:$I$105,2,0)/Paraméterek!$I$56,IF($D$4="Forint",0,2))</f>
        <v>#N/A</v>
      </c>
      <c r="Q134" s="13">
        <f t="shared" ca="1" si="28"/>
        <v>0</v>
      </c>
      <c r="R134" s="33"/>
      <c r="S134" s="13" t="e">
        <f t="shared" ca="1" si="29"/>
        <v>#N/A</v>
      </c>
      <c r="T134" s="13" t="e">
        <f ca="1">ROUNDUP(($N134-$P134-$Q134+$S134)*VLOOKUP($B134,Paraméterek!$I$38:$K$39,IF($D$2="Egyszeri",3,2))/12*IF($D135="Nem",IF($M$13=0,1,$M$13),1),IF($D$4="Forint",0,2))</f>
        <v>#N/A</v>
      </c>
      <c r="U134" s="13"/>
      <c r="V134" s="13"/>
      <c r="W134" s="13" t="e">
        <f ca="1">$N134-$P134-$Q134+$S134-$T134-IF(ROUNDUP(IF(ISBLANK($V134),$U134*0,$V134)/IF($D$2="Egyszeri",VLOOKUP($B134+IF($C134=12,1,0),Paraméterek!$V$257:$W$262,2),IF($B134=1,1,VLOOKUP($B134+IF($C134=12,1,0),Paraméterek!$I$258:$T$278,HLOOKUP($M$11+1,Paraméterek!$J$256:$T$257,2)))),IF($D$4="Forint",0,2))&gt;$N134-$P134-$Q134+$S134-$T134-IF($D$4="Forint",Paraméterek!$C$216,Paraméterek!$D$216),0,ROUNDUP(IF(ISBLANK($V134),$U134*0,$V134)/IF($D$2="Egyszeri",VLOOKUP($B134+IF($C134=12,1,0),Paraméterek!$V$257:$W$262,2),IF($B134=1,1,VLOOKUP($B134+IF($C134=12,1,0),Paraméterek!$I$258:$T$278,HLOOKUP($M$11+1,Paraméterek!$J$256:$T$257,2)))),IF($D$4="Forint",0,2)))</f>
        <v>#N/A</v>
      </c>
      <c r="X134" s="13" t="e">
        <f ca="1">ROUNDDOWN($W134*IF($D$2="Egyszeri",VLOOKUP($B134+IF($C134=12,1,0),Paraméterek!$V$257:$W$262,2),VLOOKUP($B134+IF($C134=12,1,0),Paraméterek!$I$258:$T$278,HLOOKUP($M$11+1,Paraméterek!$I$256:$T$257,2))),IF($D$4="Forint",0,2))</f>
        <v>#N/A</v>
      </c>
      <c r="Z134" s="32">
        <v>115</v>
      </c>
      <c r="AA134" s="32">
        <v>10</v>
      </c>
      <c r="AB134" s="32">
        <v>7</v>
      </c>
      <c r="AC134" s="13">
        <f t="shared" ca="1" si="38"/>
        <v>0</v>
      </c>
      <c r="AD134" s="33"/>
      <c r="AE134" s="13">
        <f t="shared" ca="1" si="30"/>
        <v>0</v>
      </c>
      <c r="AF134" s="13">
        <f ca="1">ROUNDUP(($AC134+$AE134)*VLOOKUP($AA134,Paraméterek!$P$38:$Q$38,2)/12*IF($D135="Nem",IF($M$13=0,1,$M$13),1),IF($D$4="Forint",0,2))</f>
        <v>0</v>
      </c>
      <c r="AG134" s="13">
        <f ca="1">IF($D$2="Egyszeri",IF($D$7&gt;=IF($D$4="Forint",Paraméterek!$P$223,Paraméterek!$P$224),$D$7-IF($D$4="Forint",Paraméterek!$P$223,Paraméterek!$P$224),0),MIN(IF($AB134=12,AVERAGEIF($E$20:$E134,"&gt;0",$E$20:$E134)*12,0),SUM($E$20:$E$31)))</f>
        <v>0</v>
      </c>
      <c r="AH134" s="13">
        <f ca="1">IF($AA134=10,$AG134*IF($AB134=12,IF($AG134&lt;IF($D$4="Forint",Paraméterek!$L$223,Paraméterek!$L$224),0,VLOOKUP($AA134,Paraméterek!$K$226:$M$228,IF($AG134&lt;IF($D$4="Forint",Paraméterek!$M$223,Paraméterek!$M$224),2,3))),0),0)</f>
        <v>0</v>
      </c>
      <c r="AI134" s="13">
        <f ca="1">IF(AND($AA134=$M$11+1,$AB134=$M$12+1),SUMIF($AA$20:$AA$1027,$AA134,$AG$20:$AG$1027)*IF(SUMIF($AA$20:$AA$1027,$AA134,$AG$20:$AG$1027)&lt;IF($D$4="Forint",Paraméterek!$L$223,Paraméterek!$L$224),0,VLOOKUP($AA134,Paraméterek!$K$230:$M$250,IF(SUMIF($AA$20:$AA$1027,$AA134,$AG$20:$AG$1027)&lt;IF($D$4="Forint",Paraméterek!$M$223,Paraméterek!$M$224),2,3))),0)</f>
        <v>0</v>
      </c>
      <c r="AJ134" s="13">
        <f ca="1">IF(AND($AA134&gt;=5,MOD($AA134,5)=0),IF($AB134=12,VLOOKUP($AA134,Paraméterek!$O$225:$P$240,2),0),IF(OR($AA134=3,$AA134=4),IF($AB134=12,VLOOKUP($AA134,Paraméterek!$O$225:$P$240,2,0),0),0))*$AG134</f>
        <v>0</v>
      </c>
      <c r="AK134" s="13">
        <f t="shared" ca="1" si="31"/>
        <v>0</v>
      </c>
      <c r="AL134" s="13">
        <f t="shared" ca="1" si="39"/>
        <v>0</v>
      </c>
      <c r="AM134" s="13">
        <f t="shared" ca="1" si="40"/>
        <v>0</v>
      </c>
      <c r="AO134" s="32">
        <v>115</v>
      </c>
      <c r="AP134" s="32">
        <v>10</v>
      </c>
      <c r="AQ134" s="32">
        <v>7</v>
      </c>
      <c r="AR134" s="13"/>
      <c r="AS134" s="32"/>
      <c r="AT134" s="13">
        <f t="shared" ca="1" si="41"/>
        <v>0</v>
      </c>
      <c r="AU134" s="33"/>
      <c r="AV134" s="13">
        <f t="shared" ca="1" si="32"/>
        <v>0</v>
      </c>
      <c r="AW134" s="13">
        <f ca="1">ROUNDUP(($AT134+$AV134)*VLOOKUP($AP134,Paraméterek!$P$38:$Q$38,2)/12*IF($D135="Nem",IF($M$13=0,1,$M$13),1),IF($D$4="Forint",0,2))</f>
        <v>0</v>
      </c>
      <c r="AX134" s="13"/>
      <c r="AY134" s="13"/>
      <c r="AZ134" s="13">
        <f>ROUNDUP(IF(SUM($AX134:$AY134)=0,0,IF(IF(ISBLANK($AY134),$AX134,$AY134)*Paraméterek!$J$112&lt;IF($D$4="Forint",Paraméterek!$J$113,Paraméterek!$K$113),IF($D$4="Forint",Paraméterek!$J$113,Paraméterek!$K$113),IF(IF(ISBLANK($AY134),$AX134,$AY134)*Paraméterek!$J$112&gt;IF($D$4="Forint",Paraméterek!$J$114,Paraméterek!$K$114),IF($D$4="Forint",Paraméterek!$J$114,Paraméterek!$K$114),IF(ISBLANK($AY134),$AX134,$AY134)*Paraméterek!$J$112))),IF($D$4="Forint",0,2))</f>
        <v>0</v>
      </c>
      <c r="BA134" s="13">
        <f ca="1">$AT134+$AV134-$AW134-IF(ROUNDDOWN(IF(ISBLANK($AY134),$AX134,$AY134),IF($D$4="Forint",0,2))&gt;$AT134+$AV134-$AW134-IF($D$4="Forint",Paraméterek!$J$114,Paraméterek!$K$114),0,ROUNDDOWN(IF(ISBLANK($AY134),$AX134,$AY134),IF($D$4="Forint",0,2))-$AZ134)</f>
        <v>0</v>
      </c>
      <c r="BB134" s="13">
        <f t="shared" ca="1" si="33"/>
        <v>0</v>
      </c>
      <c r="BD134" s="32">
        <v>115</v>
      </c>
      <c r="BE134" s="32">
        <v>10</v>
      </c>
      <c r="BF134" s="32">
        <v>7</v>
      </c>
      <c r="BG134" s="34">
        <f t="shared" ca="1" si="42"/>
        <v>2028</v>
      </c>
      <c r="BH134" s="32" t="str">
        <f ca="1">IF(MOD(MONTH($D$14)+$BD134-1,12)=Paraméterek!$C$288,"Igen","")</f>
        <v/>
      </c>
      <c r="BI134" s="13">
        <f ca="1">IF($BH134="Igen",MIN(ROUNDDOWN((SUMIF($BG$20:$BG$1027,$BG134-1,$K$20:$K$1027)-SUMIF($BG$20:$BG$1027,$BG134-1,$I$20:$I$1027))*Paraméterek!$C$289,IF($D$4="Forint",0,2)),IF($D$4="Forint",Paraméterek!$C$285,Paraméterek!$D$285)),0)</f>
        <v>0</v>
      </c>
      <c r="BJ134" s="13">
        <f t="shared" ca="1" si="34"/>
        <v>0</v>
      </c>
      <c r="BK134" s="13">
        <f t="shared" ca="1" si="43"/>
        <v>0</v>
      </c>
      <c r="BL134" s="33"/>
      <c r="BM134" s="13">
        <f t="shared" ca="1" si="35"/>
        <v>0</v>
      </c>
      <c r="BN134" s="13">
        <f ca="1">ROUNDUP(($BK134+$BM134)*VLOOKUP($BE134,Paraméterek!$P$38:$Q$38,2)/12*IF($D135="Nem",IF($M$13=0,1,$M$13),1),IF($D$4="Forint",0,2))</f>
        <v>0</v>
      </c>
      <c r="BO134" s="13">
        <f t="shared" ca="1" si="36"/>
        <v>0</v>
      </c>
      <c r="BP134" s="13">
        <f ca="1">IF($D135="Nem",$BO134,$BO134-ROUNDUP(SUM($BI$20:$BI134)*120%,IF($D$4="Forint",0,2)))</f>
        <v>0</v>
      </c>
    </row>
    <row r="135" spans="1:68" x14ac:dyDescent="0.2">
      <c r="A135" s="32">
        <v>116</v>
      </c>
      <c r="B135" s="32">
        <v>10</v>
      </c>
      <c r="C135" s="32">
        <v>8</v>
      </c>
      <c r="D135" s="32" t="str">
        <f t="shared" ca="1" si="22"/>
        <v>Nem</v>
      </c>
      <c r="E135" s="13">
        <f t="shared" ca="1" si="23"/>
        <v>0</v>
      </c>
      <c r="F135" s="13"/>
      <c r="G135" s="13"/>
      <c r="H135" s="13"/>
      <c r="I135" s="13">
        <f t="shared" ca="1" si="24"/>
        <v>0</v>
      </c>
      <c r="J135" s="13">
        <f t="shared" ca="1" si="25"/>
        <v>0</v>
      </c>
      <c r="K135" s="13">
        <f t="shared" ca="1" si="26"/>
        <v>0</v>
      </c>
      <c r="L135" s="13" t="e">
        <f ca="1">ROUNDUP(IF($D$2="Egyszeri",$E135,IF($D$2="Havi",SUM($E$20:$E$31),IF(MOD($C135,$M$1)-1=0,SUM($E$20:$E$31),0))/12*$M$1)*VLOOKUP($B135,Paraméterek!$I$28:$P$31,IF($D$2="Egyszeri",8,HLOOKUP(ROUNDUP($M$11+$M$13,0),Paraméterek!$J$26:$O$27,2))),IF($D$4="Forint",0,2))</f>
        <v>#N/A</v>
      </c>
      <c r="M135" s="13">
        <f t="shared" ca="1" si="27"/>
        <v>0</v>
      </c>
      <c r="N135" s="13">
        <f t="shared" ca="1" si="37"/>
        <v>0</v>
      </c>
      <c r="O135" s="13">
        <f ca="1">IF($D135="Igen",IF($W134&gt;=IF($D$4="Forint",Paraméterek!$J$121,Paraméterek!$K$121),0,IF($D$4="Forint",Paraméterek!$J$121,Paraméterek!$K$121)-$W134),0)</f>
        <v>0</v>
      </c>
      <c r="P135" s="13" t="e">
        <f ca="1">ROUNDUP($O135*VLOOKUP($M$4+$B135-1,Paraméterek!$H$58:$I$105,2,0)/Paraméterek!$I$56,IF($D$4="Forint",0,2))</f>
        <v>#N/A</v>
      </c>
      <c r="Q135" s="13">
        <f t="shared" ca="1" si="28"/>
        <v>0</v>
      </c>
      <c r="R135" s="33"/>
      <c r="S135" s="13" t="e">
        <f t="shared" ca="1" si="29"/>
        <v>#N/A</v>
      </c>
      <c r="T135" s="13" t="e">
        <f ca="1">ROUNDUP(($N135-$P135-$Q135+$S135)*VLOOKUP($B135,Paraméterek!$I$38:$K$39,IF($D$2="Egyszeri",3,2))/12*IF($D136="Nem",IF($M$13=0,1,$M$13),1),IF($D$4="Forint",0,2))</f>
        <v>#N/A</v>
      </c>
      <c r="U135" s="13"/>
      <c r="V135" s="13"/>
      <c r="W135" s="13" t="e">
        <f ca="1">$N135-$P135-$Q135+$S135-$T135-IF(ROUNDUP(IF(ISBLANK($V135),$U135*0,$V135)/IF($D$2="Egyszeri",VLOOKUP($B135+IF($C135=12,1,0),Paraméterek!$V$257:$W$262,2),IF($B135=1,1,VLOOKUP($B135+IF($C135=12,1,0),Paraméterek!$I$258:$T$278,HLOOKUP($M$11+1,Paraméterek!$J$256:$T$257,2)))),IF($D$4="Forint",0,2))&gt;$N135-$P135-$Q135+$S135-$T135-IF($D$4="Forint",Paraméterek!$C$216,Paraméterek!$D$216),0,ROUNDUP(IF(ISBLANK($V135),$U135*0,$V135)/IF($D$2="Egyszeri",VLOOKUP($B135+IF($C135=12,1,0),Paraméterek!$V$257:$W$262,2),IF($B135=1,1,VLOOKUP($B135+IF($C135=12,1,0),Paraméterek!$I$258:$T$278,HLOOKUP($M$11+1,Paraméterek!$J$256:$T$257,2)))),IF($D$4="Forint",0,2)))</f>
        <v>#N/A</v>
      </c>
      <c r="X135" s="13" t="e">
        <f ca="1">ROUNDDOWN($W135*IF($D$2="Egyszeri",VLOOKUP($B135+IF($C135=12,1,0),Paraméterek!$V$257:$W$262,2),VLOOKUP($B135+IF($C135=12,1,0),Paraméterek!$I$258:$T$278,HLOOKUP($M$11+1,Paraméterek!$I$256:$T$257,2))),IF($D$4="Forint",0,2))</f>
        <v>#N/A</v>
      </c>
      <c r="Z135" s="32">
        <v>116</v>
      </c>
      <c r="AA135" s="32">
        <v>10</v>
      </c>
      <c r="AB135" s="32">
        <v>8</v>
      </c>
      <c r="AC135" s="13">
        <f t="shared" ca="1" si="38"/>
        <v>0</v>
      </c>
      <c r="AD135" s="33"/>
      <c r="AE135" s="13">
        <f t="shared" ca="1" si="30"/>
        <v>0</v>
      </c>
      <c r="AF135" s="13">
        <f ca="1">ROUNDUP(($AC135+$AE135)*VLOOKUP($AA135,Paraméterek!$P$38:$Q$38,2)/12*IF($D136="Nem",IF($M$13=0,1,$M$13),1),IF($D$4="Forint",0,2))</f>
        <v>0</v>
      </c>
      <c r="AG135" s="13">
        <f ca="1">IF($D$2="Egyszeri",IF($D$7&gt;=IF($D$4="Forint",Paraméterek!$P$223,Paraméterek!$P$224),$D$7-IF($D$4="Forint",Paraméterek!$P$223,Paraméterek!$P$224),0),MIN(IF($AB135=12,AVERAGEIF($E$20:$E135,"&gt;0",$E$20:$E135)*12,0),SUM($E$20:$E$31)))</f>
        <v>0</v>
      </c>
      <c r="AH135" s="13">
        <f ca="1">IF($AA135=10,$AG135*IF($AB135=12,IF($AG135&lt;IF($D$4="Forint",Paraméterek!$L$223,Paraméterek!$L$224),0,VLOOKUP($AA135,Paraméterek!$K$226:$M$228,IF($AG135&lt;IF($D$4="Forint",Paraméterek!$M$223,Paraméterek!$M$224),2,3))),0),0)</f>
        <v>0</v>
      </c>
      <c r="AI135" s="13">
        <f ca="1">IF(AND($AA135=$M$11+1,$AB135=$M$12+1),SUMIF($AA$20:$AA$1027,$AA135,$AG$20:$AG$1027)*IF(SUMIF($AA$20:$AA$1027,$AA135,$AG$20:$AG$1027)&lt;IF($D$4="Forint",Paraméterek!$L$223,Paraméterek!$L$224),0,VLOOKUP($AA135,Paraméterek!$K$230:$M$250,IF(SUMIF($AA$20:$AA$1027,$AA135,$AG$20:$AG$1027)&lt;IF($D$4="Forint",Paraméterek!$M$223,Paraméterek!$M$224),2,3))),0)</f>
        <v>0</v>
      </c>
      <c r="AJ135" s="13">
        <f ca="1">IF(AND($AA135&gt;=5,MOD($AA135,5)=0),IF($AB135=12,VLOOKUP($AA135,Paraméterek!$O$225:$P$240,2),0),IF(OR($AA135=3,$AA135=4),IF($AB135=12,VLOOKUP($AA135,Paraméterek!$O$225:$P$240,2,0),0),0))*$AG135</f>
        <v>0</v>
      </c>
      <c r="AK135" s="13">
        <f t="shared" ca="1" si="31"/>
        <v>0</v>
      </c>
      <c r="AL135" s="13">
        <f t="shared" ca="1" si="39"/>
        <v>0</v>
      </c>
      <c r="AM135" s="13">
        <f t="shared" ca="1" si="40"/>
        <v>0</v>
      </c>
      <c r="AO135" s="32">
        <v>116</v>
      </c>
      <c r="AP135" s="32">
        <v>10</v>
      </c>
      <c r="AQ135" s="32">
        <v>8</v>
      </c>
      <c r="AR135" s="13"/>
      <c r="AS135" s="32"/>
      <c r="AT135" s="13">
        <f t="shared" ca="1" si="41"/>
        <v>0</v>
      </c>
      <c r="AU135" s="33"/>
      <c r="AV135" s="13">
        <f t="shared" ca="1" si="32"/>
        <v>0</v>
      </c>
      <c r="AW135" s="13">
        <f ca="1">ROUNDUP(($AT135+$AV135)*VLOOKUP($AP135,Paraméterek!$P$38:$Q$38,2)/12*IF($D136="Nem",IF($M$13=0,1,$M$13),1),IF($D$4="Forint",0,2))</f>
        <v>0</v>
      </c>
      <c r="AX135" s="13"/>
      <c r="AY135" s="13"/>
      <c r="AZ135" s="13">
        <f>ROUNDUP(IF(SUM($AX135:$AY135)=0,0,IF(IF(ISBLANK($AY135),$AX135,$AY135)*Paraméterek!$J$112&lt;IF($D$4="Forint",Paraméterek!$J$113,Paraméterek!$K$113),IF($D$4="Forint",Paraméterek!$J$113,Paraméterek!$K$113),IF(IF(ISBLANK($AY135),$AX135,$AY135)*Paraméterek!$J$112&gt;IF($D$4="Forint",Paraméterek!$J$114,Paraméterek!$K$114),IF($D$4="Forint",Paraméterek!$J$114,Paraméterek!$K$114),IF(ISBLANK($AY135),$AX135,$AY135)*Paraméterek!$J$112))),IF($D$4="Forint",0,2))</f>
        <v>0</v>
      </c>
      <c r="BA135" s="13">
        <f ca="1">$AT135+$AV135-$AW135-IF(ROUNDDOWN(IF(ISBLANK($AY135),$AX135,$AY135),IF($D$4="Forint",0,2))&gt;$AT135+$AV135-$AW135-IF($D$4="Forint",Paraméterek!$J$114,Paraméterek!$K$114),0,ROUNDDOWN(IF(ISBLANK($AY135),$AX135,$AY135),IF($D$4="Forint",0,2))-$AZ135)</f>
        <v>0</v>
      </c>
      <c r="BB135" s="13">
        <f t="shared" ca="1" si="33"/>
        <v>0</v>
      </c>
      <c r="BD135" s="32">
        <v>116</v>
      </c>
      <c r="BE135" s="32">
        <v>10</v>
      </c>
      <c r="BF135" s="32">
        <v>8</v>
      </c>
      <c r="BG135" s="34">
        <f t="shared" ca="1" si="42"/>
        <v>2029</v>
      </c>
      <c r="BH135" s="32" t="str">
        <f ca="1">IF(MOD(MONTH($D$14)+$BD135-1,12)=Paraméterek!$C$288,"Igen","")</f>
        <v/>
      </c>
      <c r="BI135" s="13">
        <f ca="1">IF($BH135="Igen",MIN(ROUNDDOWN((SUMIF($BG$20:$BG$1027,$BG135-1,$K$20:$K$1027)-SUMIF($BG$20:$BG$1027,$BG135-1,$I$20:$I$1027))*Paraméterek!$C$289,IF($D$4="Forint",0,2)),IF($D$4="Forint",Paraméterek!$C$285,Paraméterek!$D$285)),0)</f>
        <v>0</v>
      </c>
      <c r="BJ135" s="13">
        <f t="shared" ca="1" si="34"/>
        <v>0</v>
      </c>
      <c r="BK135" s="13">
        <f t="shared" ca="1" si="43"/>
        <v>0</v>
      </c>
      <c r="BL135" s="33"/>
      <c r="BM135" s="13">
        <f t="shared" ca="1" si="35"/>
        <v>0</v>
      </c>
      <c r="BN135" s="13">
        <f ca="1">ROUNDUP(($BK135+$BM135)*VLOOKUP($BE135,Paraméterek!$P$38:$Q$38,2)/12*IF($D136="Nem",IF($M$13=0,1,$M$13),1),IF($D$4="Forint",0,2))</f>
        <v>0</v>
      </c>
      <c r="BO135" s="13">
        <f t="shared" ca="1" si="36"/>
        <v>0</v>
      </c>
      <c r="BP135" s="13">
        <f ca="1">IF($D136="Nem",$BO135,$BO135-ROUNDUP(SUM($BI$20:$BI135)*120%,IF($D$4="Forint",0,2)))</f>
        <v>0</v>
      </c>
    </row>
    <row r="136" spans="1:68" x14ac:dyDescent="0.2">
      <c r="A136" s="32">
        <v>117</v>
      </c>
      <c r="B136" s="32">
        <v>10</v>
      </c>
      <c r="C136" s="32">
        <v>9</v>
      </c>
      <c r="D136" s="32" t="str">
        <f t="shared" ca="1" si="22"/>
        <v>Nem</v>
      </c>
      <c r="E136" s="13">
        <f t="shared" ca="1" si="23"/>
        <v>0</v>
      </c>
      <c r="F136" s="13"/>
      <c r="G136" s="13"/>
      <c r="H136" s="13"/>
      <c r="I136" s="13">
        <f t="shared" ca="1" si="24"/>
        <v>0</v>
      </c>
      <c r="J136" s="13">
        <f t="shared" ca="1" si="25"/>
        <v>0</v>
      </c>
      <c r="K136" s="13">
        <f t="shared" ca="1" si="26"/>
        <v>0</v>
      </c>
      <c r="L136" s="13" t="e">
        <f ca="1">ROUNDUP(IF($D$2="Egyszeri",$E136,IF($D$2="Havi",SUM($E$20:$E$31),IF(MOD($C136,$M$1)-1=0,SUM($E$20:$E$31),0))/12*$M$1)*VLOOKUP($B136,Paraméterek!$I$28:$P$31,IF($D$2="Egyszeri",8,HLOOKUP(ROUNDUP($M$11+$M$13,0),Paraméterek!$J$26:$O$27,2))),IF($D$4="Forint",0,2))</f>
        <v>#N/A</v>
      </c>
      <c r="M136" s="13">
        <f t="shared" ca="1" si="27"/>
        <v>0</v>
      </c>
      <c r="N136" s="13">
        <f t="shared" ca="1" si="37"/>
        <v>0</v>
      </c>
      <c r="O136" s="13">
        <f ca="1">IF($D136="Igen",IF($W135&gt;=IF($D$4="Forint",Paraméterek!$J$121,Paraméterek!$K$121),0,IF($D$4="Forint",Paraméterek!$J$121,Paraméterek!$K$121)-$W135),0)</f>
        <v>0</v>
      </c>
      <c r="P136" s="13" t="e">
        <f ca="1">ROUNDUP($O136*VLOOKUP($M$4+$B136-1,Paraméterek!$H$58:$I$105,2,0)/Paraméterek!$I$56,IF($D$4="Forint",0,2))</f>
        <v>#N/A</v>
      </c>
      <c r="Q136" s="13">
        <f t="shared" ca="1" si="28"/>
        <v>0</v>
      </c>
      <c r="R136" s="33"/>
      <c r="S136" s="13" t="e">
        <f t="shared" ca="1" si="29"/>
        <v>#N/A</v>
      </c>
      <c r="T136" s="13" t="e">
        <f ca="1">ROUNDUP(($N136-$P136-$Q136+$S136)*VLOOKUP($B136,Paraméterek!$I$38:$K$39,IF($D$2="Egyszeri",3,2))/12*IF($D137="Nem",IF($M$13=0,1,$M$13),1),IF($D$4="Forint",0,2))</f>
        <v>#N/A</v>
      </c>
      <c r="U136" s="13"/>
      <c r="V136" s="13"/>
      <c r="W136" s="13" t="e">
        <f ca="1">$N136-$P136-$Q136+$S136-$T136-IF(ROUNDUP(IF(ISBLANK($V136),$U136*0,$V136)/IF($D$2="Egyszeri",VLOOKUP($B136+IF($C136=12,1,0),Paraméterek!$V$257:$W$262,2),IF($B136=1,1,VLOOKUP($B136+IF($C136=12,1,0),Paraméterek!$I$258:$T$278,HLOOKUP($M$11+1,Paraméterek!$J$256:$T$257,2)))),IF($D$4="Forint",0,2))&gt;$N136-$P136-$Q136+$S136-$T136-IF($D$4="Forint",Paraméterek!$C$216,Paraméterek!$D$216),0,ROUNDUP(IF(ISBLANK($V136),$U136*0,$V136)/IF($D$2="Egyszeri",VLOOKUP($B136+IF($C136=12,1,0),Paraméterek!$V$257:$W$262,2),IF($B136=1,1,VLOOKUP($B136+IF($C136=12,1,0),Paraméterek!$I$258:$T$278,HLOOKUP($M$11+1,Paraméterek!$J$256:$T$257,2)))),IF($D$4="Forint",0,2)))</f>
        <v>#N/A</v>
      </c>
      <c r="X136" s="13" t="e">
        <f ca="1">ROUNDDOWN($W136*IF($D$2="Egyszeri",VLOOKUP($B136+IF($C136=12,1,0),Paraméterek!$V$257:$W$262,2),VLOOKUP($B136+IF($C136=12,1,0),Paraméterek!$I$258:$T$278,HLOOKUP($M$11+1,Paraméterek!$I$256:$T$257,2))),IF($D$4="Forint",0,2))</f>
        <v>#N/A</v>
      </c>
      <c r="Z136" s="32">
        <v>117</v>
      </c>
      <c r="AA136" s="32">
        <v>10</v>
      </c>
      <c r="AB136" s="32">
        <v>9</v>
      </c>
      <c r="AC136" s="13">
        <f t="shared" ca="1" si="38"/>
        <v>0</v>
      </c>
      <c r="AD136" s="33"/>
      <c r="AE136" s="13">
        <f t="shared" ca="1" si="30"/>
        <v>0</v>
      </c>
      <c r="AF136" s="13">
        <f ca="1">ROUNDUP(($AC136+$AE136)*VLOOKUP($AA136,Paraméterek!$P$38:$Q$38,2)/12*IF($D137="Nem",IF($M$13=0,1,$M$13),1),IF($D$4="Forint",0,2))</f>
        <v>0</v>
      </c>
      <c r="AG136" s="13">
        <f ca="1">IF($D$2="Egyszeri",IF($D$7&gt;=IF($D$4="Forint",Paraméterek!$P$223,Paraméterek!$P$224),$D$7-IF($D$4="Forint",Paraméterek!$P$223,Paraméterek!$P$224),0),MIN(IF($AB136=12,AVERAGEIF($E$20:$E136,"&gt;0",$E$20:$E136)*12,0),SUM($E$20:$E$31)))</f>
        <v>0</v>
      </c>
      <c r="AH136" s="13">
        <f ca="1">IF($AA136=10,$AG136*IF($AB136=12,IF($AG136&lt;IF($D$4="Forint",Paraméterek!$L$223,Paraméterek!$L$224),0,VLOOKUP($AA136,Paraméterek!$K$226:$M$228,IF($AG136&lt;IF($D$4="Forint",Paraméterek!$M$223,Paraméterek!$M$224),2,3))),0),0)</f>
        <v>0</v>
      </c>
      <c r="AI136" s="13">
        <f ca="1">IF(AND($AA136=$M$11+1,$AB136=$M$12+1),SUMIF($AA$20:$AA$1027,$AA136,$AG$20:$AG$1027)*IF(SUMIF($AA$20:$AA$1027,$AA136,$AG$20:$AG$1027)&lt;IF($D$4="Forint",Paraméterek!$L$223,Paraméterek!$L$224),0,VLOOKUP($AA136,Paraméterek!$K$230:$M$250,IF(SUMIF($AA$20:$AA$1027,$AA136,$AG$20:$AG$1027)&lt;IF($D$4="Forint",Paraméterek!$M$223,Paraméterek!$M$224),2,3))),0)</f>
        <v>0</v>
      </c>
      <c r="AJ136" s="13">
        <f ca="1">IF(AND($AA136&gt;=5,MOD($AA136,5)=0),IF($AB136=12,VLOOKUP($AA136,Paraméterek!$O$225:$P$240,2),0),IF(OR($AA136=3,$AA136=4),IF($AB136=12,VLOOKUP($AA136,Paraméterek!$O$225:$P$240,2,0),0),0))*$AG136</f>
        <v>0</v>
      </c>
      <c r="AK136" s="13">
        <f t="shared" ca="1" si="31"/>
        <v>0</v>
      </c>
      <c r="AL136" s="13">
        <f t="shared" ca="1" si="39"/>
        <v>0</v>
      </c>
      <c r="AM136" s="13">
        <f t="shared" ca="1" si="40"/>
        <v>0</v>
      </c>
      <c r="AO136" s="32">
        <v>117</v>
      </c>
      <c r="AP136" s="32">
        <v>10</v>
      </c>
      <c r="AQ136" s="32">
        <v>9</v>
      </c>
      <c r="AR136" s="13"/>
      <c r="AS136" s="32"/>
      <c r="AT136" s="13">
        <f t="shared" ca="1" si="41"/>
        <v>0</v>
      </c>
      <c r="AU136" s="33"/>
      <c r="AV136" s="13">
        <f t="shared" ca="1" si="32"/>
        <v>0</v>
      </c>
      <c r="AW136" s="13">
        <f ca="1">ROUNDUP(($AT136+$AV136)*VLOOKUP($AP136,Paraméterek!$P$38:$Q$38,2)/12*IF($D137="Nem",IF($M$13=0,1,$M$13),1),IF($D$4="Forint",0,2))</f>
        <v>0</v>
      </c>
      <c r="AX136" s="13"/>
      <c r="AY136" s="13"/>
      <c r="AZ136" s="13">
        <f>ROUNDUP(IF(SUM($AX136:$AY136)=0,0,IF(IF(ISBLANK($AY136),$AX136,$AY136)*Paraméterek!$J$112&lt;IF($D$4="Forint",Paraméterek!$J$113,Paraméterek!$K$113),IF($D$4="Forint",Paraméterek!$J$113,Paraméterek!$K$113),IF(IF(ISBLANK($AY136),$AX136,$AY136)*Paraméterek!$J$112&gt;IF($D$4="Forint",Paraméterek!$J$114,Paraméterek!$K$114),IF($D$4="Forint",Paraméterek!$J$114,Paraméterek!$K$114),IF(ISBLANK($AY136),$AX136,$AY136)*Paraméterek!$J$112))),IF($D$4="Forint",0,2))</f>
        <v>0</v>
      </c>
      <c r="BA136" s="13">
        <f ca="1">$AT136+$AV136-$AW136-IF(ROUNDDOWN(IF(ISBLANK($AY136),$AX136,$AY136),IF($D$4="Forint",0,2))&gt;$AT136+$AV136-$AW136-IF($D$4="Forint",Paraméterek!$J$114,Paraméterek!$K$114),0,ROUNDDOWN(IF(ISBLANK($AY136),$AX136,$AY136),IF($D$4="Forint",0,2))-$AZ136)</f>
        <v>0</v>
      </c>
      <c r="BB136" s="13">
        <f t="shared" ca="1" si="33"/>
        <v>0</v>
      </c>
      <c r="BD136" s="32">
        <v>117</v>
      </c>
      <c r="BE136" s="32">
        <v>10</v>
      </c>
      <c r="BF136" s="32">
        <v>9</v>
      </c>
      <c r="BG136" s="34">
        <f t="shared" ca="1" si="42"/>
        <v>2029</v>
      </c>
      <c r="BH136" s="32" t="str">
        <f ca="1">IF(MOD(MONTH($D$14)+$BD136-1,12)=Paraméterek!$C$288,"Igen","")</f>
        <v/>
      </c>
      <c r="BI136" s="13">
        <f ca="1">IF($BH136="Igen",MIN(ROUNDDOWN((SUMIF($BG$20:$BG$1027,$BG136-1,$K$20:$K$1027)-SUMIF($BG$20:$BG$1027,$BG136-1,$I$20:$I$1027))*Paraméterek!$C$289,IF($D$4="Forint",0,2)),IF($D$4="Forint",Paraméterek!$C$285,Paraméterek!$D$285)),0)</f>
        <v>0</v>
      </c>
      <c r="BJ136" s="13">
        <f t="shared" ca="1" si="34"/>
        <v>0</v>
      </c>
      <c r="BK136" s="13">
        <f t="shared" ca="1" si="43"/>
        <v>0</v>
      </c>
      <c r="BL136" s="33"/>
      <c r="BM136" s="13">
        <f t="shared" ca="1" si="35"/>
        <v>0</v>
      </c>
      <c r="BN136" s="13">
        <f ca="1">ROUNDUP(($BK136+$BM136)*VLOOKUP($BE136,Paraméterek!$P$38:$Q$38,2)/12*IF($D137="Nem",IF($M$13=0,1,$M$13),1),IF($D$4="Forint",0,2))</f>
        <v>0</v>
      </c>
      <c r="BO136" s="13">
        <f t="shared" ca="1" si="36"/>
        <v>0</v>
      </c>
      <c r="BP136" s="13">
        <f ca="1">IF($D137="Nem",$BO136,$BO136-ROUNDUP(SUM($BI$20:$BI136)*120%,IF($D$4="Forint",0,2)))</f>
        <v>0</v>
      </c>
    </row>
    <row r="137" spans="1:68" x14ac:dyDescent="0.2">
      <c r="A137" s="32">
        <v>118</v>
      </c>
      <c r="B137" s="32">
        <v>10</v>
      </c>
      <c r="C137" s="32">
        <v>10</v>
      </c>
      <c r="D137" s="32" t="str">
        <f t="shared" ca="1" si="22"/>
        <v>Nem</v>
      </c>
      <c r="E137" s="13">
        <f t="shared" ca="1" si="23"/>
        <v>0</v>
      </c>
      <c r="F137" s="13"/>
      <c r="G137" s="13"/>
      <c r="H137" s="13"/>
      <c r="I137" s="13">
        <f t="shared" ca="1" si="24"/>
        <v>0</v>
      </c>
      <c r="J137" s="13">
        <f t="shared" ca="1" si="25"/>
        <v>0</v>
      </c>
      <c r="K137" s="13">
        <f t="shared" ca="1" si="26"/>
        <v>0</v>
      </c>
      <c r="L137" s="13" t="e">
        <f ca="1">ROUNDUP(IF($D$2="Egyszeri",$E137,IF($D$2="Havi",SUM($E$20:$E$31),IF(MOD($C137,$M$1)-1=0,SUM($E$20:$E$31),0))/12*$M$1)*VLOOKUP($B137,Paraméterek!$I$28:$P$31,IF($D$2="Egyszeri",8,HLOOKUP(ROUNDUP($M$11+$M$13,0),Paraméterek!$J$26:$O$27,2))),IF($D$4="Forint",0,2))</f>
        <v>#N/A</v>
      </c>
      <c r="M137" s="13">
        <f t="shared" ca="1" si="27"/>
        <v>0</v>
      </c>
      <c r="N137" s="13">
        <f t="shared" ca="1" si="37"/>
        <v>0</v>
      </c>
      <c r="O137" s="13">
        <f ca="1">IF($D137="Igen",IF($W136&gt;=IF($D$4="Forint",Paraméterek!$J$121,Paraméterek!$K$121),0,IF($D$4="Forint",Paraméterek!$J$121,Paraméterek!$K$121)-$W136),0)</f>
        <v>0</v>
      </c>
      <c r="P137" s="13" t="e">
        <f ca="1">ROUNDUP($O137*VLOOKUP($M$4+$B137-1,Paraméterek!$H$58:$I$105,2,0)/Paraméterek!$I$56,IF($D$4="Forint",0,2))</f>
        <v>#N/A</v>
      </c>
      <c r="Q137" s="13">
        <f t="shared" ca="1" si="28"/>
        <v>0</v>
      </c>
      <c r="R137" s="33"/>
      <c r="S137" s="13" t="e">
        <f t="shared" ca="1" si="29"/>
        <v>#N/A</v>
      </c>
      <c r="T137" s="13" t="e">
        <f ca="1">ROUNDUP(($N137-$P137-$Q137+$S137)*VLOOKUP($B137,Paraméterek!$I$38:$K$39,IF($D$2="Egyszeri",3,2))/12*IF($D138="Nem",IF($M$13=0,1,$M$13),1),IF($D$4="Forint",0,2))</f>
        <v>#N/A</v>
      </c>
      <c r="U137" s="13"/>
      <c r="V137" s="13"/>
      <c r="W137" s="13" t="e">
        <f ca="1">$N137-$P137-$Q137+$S137-$T137-IF(ROUNDUP(IF(ISBLANK($V137),$U137*0,$V137)/IF($D$2="Egyszeri",VLOOKUP($B137+IF($C137=12,1,0),Paraméterek!$V$257:$W$262,2),IF($B137=1,1,VLOOKUP($B137+IF($C137=12,1,0),Paraméterek!$I$258:$T$278,HLOOKUP($M$11+1,Paraméterek!$J$256:$T$257,2)))),IF($D$4="Forint",0,2))&gt;$N137-$P137-$Q137+$S137-$T137-IF($D$4="Forint",Paraméterek!$C$216,Paraméterek!$D$216),0,ROUNDUP(IF(ISBLANK($V137),$U137*0,$V137)/IF($D$2="Egyszeri",VLOOKUP($B137+IF($C137=12,1,0),Paraméterek!$V$257:$W$262,2),IF($B137=1,1,VLOOKUP($B137+IF($C137=12,1,0),Paraméterek!$I$258:$T$278,HLOOKUP($M$11+1,Paraméterek!$J$256:$T$257,2)))),IF($D$4="Forint",0,2)))</f>
        <v>#N/A</v>
      </c>
      <c r="X137" s="13" t="e">
        <f ca="1">ROUNDDOWN($W137*IF($D$2="Egyszeri",VLOOKUP($B137+IF($C137=12,1,0),Paraméterek!$V$257:$W$262,2),VLOOKUP($B137+IF($C137=12,1,0),Paraméterek!$I$258:$T$278,HLOOKUP($M$11+1,Paraméterek!$I$256:$T$257,2))),IF($D$4="Forint",0,2))</f>
        <v>#N/A</v>
      </c>
      <c r="Z137" s="32">
        <v>118</v>
      </c>
      <c r="AA137" s="32">
        <v>10</v>
      </c>
      <c r="AB137" s="32">
        <v>10</v>
      </c>
      <c r="AC137" s="13">
        <f t="shared" ca="1" si="38"/>
        <v>0</v>
      </c>
      <c r="AD137" s="33"/>
      <c r="AE137" s="13">
        <f t="shared" ca="1" si="30"/>
        <v>0</v>
      </c>
      <c r="AF137" s="13">
        <f ca="1">ROUNDUP(($AC137+$AE137)*VLOOKUP($AA137,Paraméterek!$P$38:$Q$38,2)/12*IF($D138="Nem",IF($M$13=0,1,$M$13),1),IF($D$4="Forint",0,2))</f>
        <v>0</v>
      </c>
      <c r="AG137" s="13">
        <f ca="1">IF($D$2="Egyszeri",IF($D$7&gt;=IF($D$4="Forint",Paraméterek!$P$223,Paraméterek!$P$224),$D$7-IF($D$4="Forint",Paraméterek!$P$223,Paraméterek!$P$224),0),MIN(IF($AB137=12,AVERAGEIF($E$20:$E137,"&gt;0",$E$20:$E137)*12,0),SUM($E$20:$E$31)))</f>
        <v>0</v>
      </c>
      <c r="AH137" s="13">
        <f ca="1">IF($AA137=10,$AG137*IF($AB137=12,IF($AG137&lt;IF($D$4="Forint",Paraméterek!$L$223,Paraméterek!$L$224),0,VLOOKUP($AA137,Paraméterek!$K$226:$M$228,IF($AG137&lt;IF($D$4="Forint",Paraméterek!$M$223,Paraméterek!$M$224),2,3))),0),0)</f>
        <v>0</v>
      </c>
      <c r="AI137" s="13">
        <f ca="1">IF(AND($AA137=$M$11+1,$AB137=$M$12+1),SUMIF($AA$20:$AA$1027,$AA137,$AG$20:$AG$1027)*IF(SUMIF($AA$20:$AA$1027,$AA137,$AG$20:$AG$1027)&lt;IF($D$4="Forint",Paraméterek!$L$223,Paraméterek!$L$224),0,VLOOKUP($AA137,Paraméterek!$K$230:$M$250,IF(SUMIF($AA$20:$AA$1027,$AA137,$AG$20:$AG$1027)&lt;IF($D$4="Forint",Paraméterek!$M$223,Paraméterek!$M$224),2,3))),0)</f>
        <v>0</v>
      </c>
      <c r="AJ137" s="13">
        <f ca="1">IF(AND($AA137&gt;=5,MOD($AA137,5)=0),IF($AB137=12,VLOOKUP($AA137,Paraméterek!$O$225:$P$240,2),0),IF(OR($AA137=3,$AA137=4),IF($AB137=12,VLOOKUP($AA137,Paraméterek!$O$225:$P$240,2,0),0),0))*$AG137</f>
        <v>0</v>
      </c>
      <c r="AK137" s="13">
        <f t="shared" ca="1" si="31"/>
        <v>0</v>
      </c>
      <c r="AL137" s="13">
        <f t="shared" ca="1" si="39"/>
        <v>0</v>
      </c>
      <c r="AM137" s="13">
        <f t="shared" ca="1" si="40"/>
        <v>0</v>
      </c>
      <c r="AO137" s="32">
        <v>118</v>
      </c>
      <c r="AP137" s="32">
        <v>10</v>
      </c>
      <c r="AQ137" s="32">
        <v>10</v>
      </c>
      <c r="AR137" s="13"/>
      <c r="AS137" s="32"/>
      <c r="AT137" s="13">
        <f t="shared" ca="1" si="41"/>
        <v>0</v>
      </c>
      <c r="AU137" s="33"/>
      <c r="AV137" s="13">
        <f t="shared" ca="1" si="32"/>
        <v>0</v>
      </c>
      <c r="AW137" s="13">
        <f ca="1">ROUNDUP(($AT137+$AV137)*VLOOKUP($AP137,Paraméterek!$P$38:$Q$38,2)/12*IF($D138="Nem",IF($M$13=0,1,$M$13),1),IF($D$4="Forint",0,2))</f>
        <v>0</v>
      </c>
      <c r="AX137" s="13"/>
      <c r="AY137" s="13"/>
      <c r="AZ137" s="13">
        <f>ROUNDUP(IF(SUM($AX137:$AY137)=0,0,IF(IF(ISBLANK($AY137),$AX137,$AY137)*Paraméterek!$J$112&lt;IF($D$4="Forint",Paraméterek!$J$113,Paraméterek!$K$113),IF($D$4="Forint",Paraméterek!$J$113,Paraméterek!$K$113),IF(IF(ISBLANK($AY137),$AX137,$AY137)*Paraméterek!$J$112&gt;IF($D$4="Forint",Paraméterek!$J$114,Paraméterek!$K$114),IF($D$4="Forint",Paraméterek!$J$114,Paraméterek!$K$114),IF(ISBLANK($AY137),$AX137,$AY137)*Paraméterek!$J$112))),IF($D$4="Forint",0,2))</f>
        <v>0</v>
      </c>
      <c r="BA137" s="13">
        <f ca="1">$AT137+$AV137-$AW137-IF(ROUNDDOWN(IF(ISBLANK($AY137),$AX137,$AY137),IF($D$4="Forint",0,2))&gt;$AT137+$AV137-$AW137-IF($D$4="Forint",Paraméterek!$J$114,Paraméterek!$K$114),0,ROUNDDOWN(IF(ISBLANK($AY137),$AX137,$AY137),IF($D$4="Forint",0,2))-$AZ137)</f>
        <v>0</v>
      </c>
      <c r="BB137" s="13">
        <f t="shared" ca="1" si="33"/>
        <v>0</v>
      </c>
      <c r="BD137" s="32">
        <v>118</v>
      </c>
      <c r="BE137" s="32">
        <v>10</v>
      </c>
      <c r="BF137" s="32">
        <v>10</v>
      </c>
      <c r="BG137" s="34">
        <f t="shared" ca="1" si="42"/>
        <v>2029</v>
      </c>
      <c r="BH137" s="32" t="str">
        <f ca="1">IF(MOD(MONTH($D$14)+$BD137-1,12)=Paraméterek!$C$288,"Igen","")</f>
        <v/>
      </c>
      <c r="BI137" s="13">
        <f ca="1">IF($BH137="Igen",MIN(ROUNDDOWN((SUMIF($BG$20:$BG$1027,$BG137-1,$K$20:$K$1027)-SUMIF($BG$20:$BG$1027,$BG137-1,$I$20:$I$1027))*Paraméterek!$C$289,IF($D$4="Forint",0,2)),IF($D$4="Forint",Paraméterek!$C$285,Paraméterek!$D$285)),0)</f>
        <v>0</v>
      </c>
      <c r="BJ137" s="13">
        <f t="shared" ca="1" si="34"/>
        <v>0</v>
      </c>
      <c r="BK137" s="13">
        <f t="shared" ca="1" si="43"/>
        <v>0</v>
      </c>
      <c r="BL137" s="33"/>
      <c r="BM137" s="13">
        <f t="shared" ca="1" si="35"/>
        <v>0</v>
      </c>
      <c r="BN137" s="13">
        <f ca="1">ROUNDUP(($BK137+$BM137)*VLOOKUP($BE137,Paraméterek!$P$38:$Q$38,2)/12*IF($D138="Nem",IF($M$13=0,1,$M$13),1),IF($D$4="Forint",0,2))</f>
        <v>0</v>
      </c>
      <c r="BO137" s="13">
        <f t="shared" ca="1" si="36"/>
        <v>0</v>
      </c>
      <c r="BP137" s="13">
        <f ca="1">IF($D138="Nem",$BO137,$BO137-ROUNDUP(SUM($BI$20:$BI137)*120%,IF($D$4="Forint",0,2)))</f>
        <v>0</v>
      </c>
    </row>
    <row r="138" spans="1:68" x14ac:dyDescent="0.2">
      <c r="A138" s="32">
        <v>119</v>
      </c>
      <c r="B138" s="32">
        <v>10</v>
      </c>
      <c r="C138" s="32">
        <v>11</v>
      </c>
      <c r="D138" s="32" t="str">
        <f t="shared" ca="1" si="22"/>
        <v>Nem</v>
      </c>
      <c r="E138" s="13">
        <f t="shared" ca="1" si="23"/>
        <v>0</v>
      </c>
      <c r="F138" s="13"/>
      <c r="G138" s="13"/>
      <c r="H138" s="13"/>
      <c r="I138" s="13">
        <f t="shared" ca="1" si="24"/>
        <v>0</v>
      </c>
      <c r="J138" s="13">
        <f t="shared" ca="1" si="25"/>
        <v>0</v>
      </c>
      <c r="K138" s="13">
        <f t="shared" ca="1" si="26"/>
        <v>0</v>
      </c>
      <c r="L138" s="13" t="e">
        <f ca="1">ROUNDUP(IF($D$2="Egyszeri",$E138,IF($D$2="Havi",SUM($E$20:$E$31),IF(MOD($C138,$M$1)-1=0,SUM($E$20:$E$31),0))/12*$M$1)*VLOOKUP($B138,Paraméterek!$I$28:$P$31,IF($D$2="Egyszeri",8,HLOOKUP(ROUNDUP($M$11+$M$13,0),Paraméterek!$J$26:$O$27,2))),IF($D$4="Forint",0,2))</f>
        <v>#N/A</v>
      </c>
      <c r="M138" s="13">
        <f t="shared" ca="1" si="27"/>
        <v>0</v>
      </c>
      <c r="N138" s="13">
        <f t="shared" ca="1" si="37"/>
        <v>0</v>
      </c>
      <c r="O138" s="13">
        <f ca="1">IF($D138="Igen",IF($W137&gt;=IF($D$4="Forint",Paraméterek!$J$121,Paraméterek!$K$121),0,IF($D$4="Forint",Paraméterek!$J$121,Paraméterek!$K$121)-$W137),0)</f>
        <v>0</v>
      </c>
      <c r="P138" s="13" t="e">
        <f ca="1">ROUNDUP($O138*VLOOKUP($M$4+$B138-1,Paraméterek!$H$58:$I$105,2,0)/Paraméterek!$I$56,IF($D$4="Forint",0,2))</f>
        <v>#N/A</v>
      </c>
      <c r="Q138" s="13">
        <f t="shared" ca="1" si="28"/>
        <v>0</v>
      </c>
      <c r="R138" s="33"/>
      <c r="S138" s="13" t="e">
        <f t="shared" ca="1" si="29"/>
        <v>#N/A</v>
      </c>
      <c r="T138" s="13" t="e">
        <f ca="1">ROUNDUP(($N138-$P138-$Q138+$S138)*VLOOKUP($B138,Paraméterek!$I$38:$K$39,IF($D$2="Egyszeri",3,2))/12*IF($D139="Nem",IF($M$13=0,1,$M$13),1),IF($D$4="Forint",0,2))</f>
        <v>#N/A</v>
      </c>
      <c r="U138" s="13"/>
      <c r="V138" s="13"/>
      <c r="W138" s="13" t="e">
        <f ca="1">$N138-$P138-$Q138+$S138-$T138-IF(ROUNDUP(IF(ISBLANK($V138),$U138*0,$V138)/IF($D$2="Egyszeri",VLOOKUP($B138+IF($C138=12,1,0),Paraméterek!$V$257:$W$262,2),IF($B138=1,1,VLOOKUP($B138+IF($C138=12,1,0),Paraméterek!$I$258:$T$278,HLOOKUP($M$11+1,Paraméterek!$J$256:$T$257,2)))),IF($D$4="Forint",0,2))&gt;$N138-$P138-$Q138+$S138-$T138-IF($D$4="Forint",Paraméterek!$C$216,Paraméterek!$D$216),0,ROUNDUP(IF(ISBLANK($V138),$U138*0,$V138)/IF($D$2="Egyszeri",VLOOKUP($B138+IF($C138=12,1,0),Paraméterek!$V$257:$W$262,2),IF($B138=1,1,VLOOKUP($B138+IF($C138=12,1,0),Paraméterek!$I$258:$T$278,HLOOKUP($M$11+1,Paraméterek!$J$256:$T$257,2)))),IF($D$4="Forint",0,2)))</f>
        <v>#N/A</v>
      </c>
      <c r="X138" s="13" t="e">
        <f ca="1">ROUNDDOWN($W138*IF($D$2="Egyszeri",VLOOKUP($B138+IF($C138=12,1,0),Paraméterek!$V$257:$W$262,2),VLOOKUP($B138+IF($C138=12,1,0),Paraméterek!$I$258:$T$278,HLOOKUP($M$11+1,Paraméterek!$I$256:$T$257,2))),IF($D$4="Forint",0,2))</f>
        <v>#N/A</v>
      </c>
      <c r="Z138" s="32">
        <v>119</v>
      </c>
      <c r="AA138" s="32">
        <v>10</v>
      </c>
      <c r="AB138" s="32">
        <v>11</v>
      </c>
      <c r="AC138" s="13">
        <f t="shared" ca="1" si="38"/>
        <v>0</v>
      </c>
      <c r="AD138" s="33"/>
      <c r="AE138" s="13">
        <f t="shared" ca="1" si="30"/>
        <v>0</v>
      </c>
      <c r="AF138" s="13">
        <f ca="1">ROUNDUP(($AC138+$AE138)*VLOOKUP($AA138,Paraméterek!$P$38:$Q$38,2)/12*IF($D139="Nem",IF($M$13=0,1,$M$13),1),IF($D$4="Forint",0,2))</f>
        <v>0</v>
      </c>
      <c r="AG138" s="13">
        <f ca="1">IF($D$2="Egyszeri",IF($D$7&gt;=IF($D$4="Forint",Paraméterek!$P$223,Paraméterek!$P$224),$D$7-IF($D$4="Forint",Paraméterek!$P$223,Paraméterek!$P$224),0),MIN(IF($AB138=12,AVERAGEIF($E$20:$E138,"&gt;0",$E$20:$E138)*12,0),SUM($E$20:$E$31)))</f>
        <v>0</v>
      </c>
      <c r="AH138" s="13">
        <f ca="1">IF($AA138=10,$AG138*IF($AB138=12,IF($AG138&lt;IF($D$4="Forint",Paraméterek!$L$223,Paraméterek!$L$224),0,VLOOKUP($AA138,Paraméterek!$K$226:$M$228,IF($AG138&lt;IF($D$4="Forint",Paraméterek!$M$223,Paraméterek!$M$224),2,3))),0),0)</f>
        <v>0</v>
      </c>
      <c r="AI138" s="13">
        <f ca="1">IF(AND($AA138=$M$11+1,$AB138=$M$12+1),SUMIF($AA$20:$AA$1027,$AA138,$AG$20:$AG$1027)*IF(SUMIF($AA$20:$AA$1027,$AA138,$AG$20:$AG$1027)&lt;IF($D$4="Forint",Paraméterek!$L$223,Paraméterek!$L$224),0,VLOOKUP($AA138,Paraméterek!$K$230:$M$250,IF(SUMIF($AA$20:$AA$1027,$AA138,$AG$20:$AG$1027)&lt;IF($D$4="Forint",Paraméterek!$M$223,Paraméterek!$M$224),2,3))),0)</f>
        <v>0</v>
      </c>
      <c r="AJ138" s="13">
        <f ca="1">IF(AND($AA138&gt;=5,MOD($AA138,5)=0),IF($AB138=12,VLOOKUP($AA138,Paraméterek!$O$225:$P$240,2),0),IF(OR($AA138=3,$AA138=4),IF($AB138=12,VLOOKUP($AA138,Paraméterek!$O$225:$P$240,2,0),0),0))*$AG138</f>
        <v>0</v>
      </c>
      <c r="AK138" s="13">
        <f t="shared" ca="1" si="31"/>
        <v>0</v>
      </c>
      <c r="AL138" s="13">
        <f t="shared" ca="1" si="39"/>
        <v>0</v>
      </c>
      <c r="AM138" s="13">
        <f t="shared" ca="1" si="40"/>
        <v>0</v>
      </c>
      <c r="AO138" s="32">
        <v>119</v>
      </c>
      <c r="AP138" s="32">
        <v>10</v>
      </c>
      <c r="AQ138" s="32">
        <v>11</v>
      </c>
      <c r="AR138" s="13"/>
      <c r="AS138" s="32"/>
      <c r="AT138" s="13">
        <f t="shared" ca="1" si="41"/>
        <v>0</v>
      </c>
      <c r="AU138" s="33"/>
      <c r="AV138" s="13">
        <f t="shared" ca="1" si="32"/>
        <v>0</v>
      </c>
      <c r="AW138" s="13">
        <f ca="1">ROUNDUP(($AT138+$AV138)*VLOOKUP($AP138,Paraméterek!$P$38:$Q$38,2)/12*IF($D139="Nem",IF($M$13=0,1,$M$13),1),IF($D$4="Forint",0,2))</f>
        <v>0</v>
      </c>
      <c r="AX138" s="13"/>
      <c r="AY138" s="13"/>
      <c r="AZ138" s="13">
        <f>ROUNDUP(IF(SUM($AX138:$AY138)=0,0,IF(IF(ISBLANK($AY138),$AX138,$AY138)*Paraméterek!$J$112&lt;IF($D$4="Forint",Paraméterek!$J$113,Paraméterek!$K$113),IF($D$4="Forint",Paraméterek!$J$113,Paraméterek!$K$113),IF(IF(ISBLANK($AY138),$AX138,$AY138)*Paraméterek!$J$112&gt;IF($D$4="Forint",Paraméterek!$J$114,Paraméterek!$K$114),IF($D$4="Forint",Paraméterek!$J$114,Paraméterek!$K$114),IF(ISBLANK($AY138),$AX138,$AY138)*Paraméterek!$J$112))),IF($D$4="Forint",0,2))</f>
        <v>0</v>
      </c>
      <c r="BA138" s="13">
        <f ca="1">$AT138+$AV138-$AW138-IF(ROUNDDOWN(IF(ISBLANK($AY138),$AX138,$AY138),IF($D$4="Forint",0,2))&gt;$AT138+$AV138-$AW138-IF($D$4="Forint",Paraméterek!$J$114,Paraméterek!$K$114),0,ROUNDDOWN(IF(ISBLANK($AY138),$AX138,$AY138),IF($D$4="Forint",0,2))-$AZ138)</f>
        <v>0</v>
      </c>
      <c r="BB138" s="13">
        <f t="shared" ca="1" si="33"/>
        <v>0</v>
      </c>
      <c r="BD138" s="32">
        <v>119</v>
      </c>
      <c r="BE138" s="32">
        <v>10</v>
      </c>
      <c r="BF138" s="32">
        <v>11</v>
      </c>
      <c r="BG138" s="34">
        <f t="shared" ca="1" si="42"/>
        <v>2029</v>
      </c>
      <c r="BH138" s="32" t="str">
        <f ca="1">IF(MOD(MONTH($D$14)+$BD138-1,12)=Paraméterek!$C$288,"Igen","")</f>
        <v/>
      </c>
      <c r="BI138" s="13">
        <f ca="1">IF($BH138="Igen",MIN(ROUNDDOWN((SUMIF($BG$20:$BG$1027,$BG138-1,$K$20:$K$1027)-SUMIF($BG$20:$BG$1027,$BG138-1,$I$20:$I$1027))*Paraméterek!$C$289,IF($D$4="Forint",0,2)),IF($D$4="Forint",Paraméterek!$C$285,Paraméterek!$D$285)),0)</f>
        <v>0</v>
      </c>
      <c r="BJ138" s="13">
        <f t="shared" ca="1" si="34"/>
        <v>0</v>
      </c>
      <c r="BK138" s="13">
        <f t="shared" ca="1" si="43"/>
        <v>0</v>
      </c>
      <c r="BL138" s="33"/>
      <c r="BM138" s="13">
        <f t="shared" ca="1" si="35"/>
        <v>0</v>
      </c>
      <c r="BN138" s="13">
        <f ca="1">ROUNDUP(($BK138+$BM138)*VLOOKUP($BE138,Paraméterek!$P$38:$Q$38,2)/12*IF($D139="Nem",IF($M$13=0,1,$M$13),1),IF($D$4="Forint",0,2))</f>
        <v>0</v>
      </c>
      <c r="BO138" s="13">
        <f t="shared" ca="1" si="36"/>
        <v>0</v>
      </c>
      <c r="BP138" s="13">
        <f ca="1">IF($D139="Nem",$BO138,$BO138-ROUNDUP(SUM($BI$20:$BI138)*120%,IF($D$4="Forint",0,2)))</f>
        <v>0</v>
      </c>
    </row>
    <row r="139" spans="1:68" x14ac:dyDescent="0.2">
      <c r="A139" s="32">
        <v>120</v>
      </c>
      <c r="B139" s="32">
        <v>10</v>
      </c>
      <c r="C139" s="32">
        <v>12</v>
      </c>
      <c r="D139" s="32" t="str">
        <f t="shared" ca="1" si="22"/>
        <v>Nem</v>
      </c>
      <c r="E139" s="13">
        <f t="shared" ca="1" si="23"/>
        <v>0</v>
      </c>
      <c r="F139" s="13"/>
      <c r="G139" s="13"/>
      <c r="H139" s="13"/>
      <c r="I139" s="13">
        <f t="shared" ca="1" si="24"/>
        <v>0</v>
      </c>
      <c r="J139" s="13">
        <f t="shared" ca="1" si="25"/>
        <v>0</v>
      </c>
      <c r="K139" s="13">
        <f t="shared" ca="1" si="26"/>
        <v>0</v>
      </c>
      <c r="L139" s="13" t="e">
        <f ca="1">ROUNDUP(IF($D$2="Egyszeri",$E139,IF($D$2="Havi",SUM($E$20:$E$31),IF(MOD($C139,$M$1)-1=0,SUM($E$20:$E$31),0))/12*$M$1)*VLOOKUP($B139,Paraméterek!$I$28:$P$31,IF($D$2="Egyszeri",8,HLOOKUP(ROUNDUP($M$11+$M$13,0),Paraméterek!$J$26:$O$27,2))),IF($D$4="Forint",0,2))</f>
        <v>#N/A</v>
      </c>
      <c r="M139" s="13">
        <f t="shared" ca="1" si="27"/>
        <v>0</v>
      </c>
      <c r="N139" s="13">
        <f t="shared" ca="1" si="37"/>
        <v>0</v>
      </c>
      <c r="O139" s="13">
        <f ca="1">IF($D139="Igen",IF($W138&gt;=IF($D$4="Forint",Paraméterek!$J$121,Paraméterek!$K$121),0,IF($D$4="Forint",Paraméterek!$J$121,Paraméterek!$K$121)-$W138),0)</f>
        <v>0</v>
      </c>
      <c r="P139" s="13" t="e">
        <f ca="1">ROUNDUP($O139*VLOOKUP($M$4+$B139-1,Paraméterek!$H$58:$I$105,2,0)/Paraméterek!$I$56,IF($D$4="Forint",0,2))</f>
        <v>#N/A</v>
      </c>
      <c r="Q139" s="13">
        <f t="shared" ca="1" si="28"/>
        <v>0</v>
      </c>
      <c r="R139" s="33"/>
      <c r="S139" s="13" t="e">
        <f t="shared" ca="1" si="29"/>
        <v>#N/A</v>
      </c>
      <c r="T139" s="13" t="e">
        <f ca="1">ROUNDUP(($N139-$P139-$Q139+$S139)*VLOOKUP($B139,Paraméterek!$I$38:$K$39,IF($D$2="Egyszeri",3,2))/12*IF($D140="Nem",IF($M$13=0,1,$M$13),1),IF($D$4="Forint",0,2))</f>
        <v>#N/A</v>
      </c>
      <c r="U139" s="13">
        <f>Tranzakciók!$F$41</f>
        <v>0</v>
      </c>
      <c r="V139" s="13"/>
      <c r="W139" s="13" t="e">
        <f ca="1">$N139-$P139-$Q139+$S139-$T139-IF(ROUNDUP(IF(ISBLANK($V139),$U139*0,$V139)/IF($D$2="Egyszeri",VLOOKUP($B139+IF($C139=12,1,0),Paraméterek!$V$257:$W$262,2),IF($B139=1,1,VLOOKUP($B139+IF($C139=12,1,0),Paraméterek!$I$258:$T$278,HLOOKUP($M$11+1,Paraméterek!$J$256:$T$257,2)))),IF($D$4="Forint",0,2))&gt;$N139-$P139-$Q139+$S139-$T139-IF($D$4="Forint",Paraméterek!$C$216,Paraméterek!$D$216),0,ROUNDUP(IF(ISBLANK($V139),$U139*0,$V139)/IF($D$2="Egyszeri",VLOOKUP($B139+IF($C139=12,1,0),Paraméterek!$V$257:$W$262,2),IF($B139=1,1,VLOOKUP($B139+IF($C139=12,1,0),Paraméterek!$I$258:$T$278,HLOOKUP($M$11+1,Paraméterek!$J$256:$T$257,2)))),IF($D$4="Forint",0,2)))</f>
        <v>#N/A</v>
      </c>
      <c r="X139" s="13" t="e">
        <f ca="1">ROUNDDOWN($W139*IF($D$2="Egyszeri",VLOOKUP($B139+IF($C139=12,1,0),Paraméterek!$V$257:$W$262,2),VLOOKUP($B139+IF($C139=12,1,0),Paraméterek!$I$258:$T$278,HLOOKUP($M$11+1,Paraméterek!$I$256:$T$257,2))),IF($D$4="Forint",0,2))</f>
        <v>#N/A</v>
      </c>
      <c r="Z139" s="32">
        <v>120</v>
      </c>
      <c r="AA139" s="32">
        <v>10</v>
      </c>
      <c r="AB139" s="32">
        <v>12</v>
      </c>
      <c r="AC139" s="13">
        <f t="shared" ca="1" si="38"/>
        <v>0</v>
      </c>
      <c r="AD139" s="33"/>
      <c r="AE139" s="13">
        <f t="shared" ca="1" si="30"/>
        <v>0</v>
      </c>
      <c r="AF139" s="13">
        <f ca="1">ROUNDUP(($AC139+$AE139)*VLOOKUP($AA139,Paraméterek!$P$38:$Q$38,2)/12*IF($D140="Nem",IF($M$13=0,1,$M$13),1),IF($D$4="Forint",0,2))</f>
        <v>0</v>
      </c>
      <c r="AG139" s="13" t="e">
        <f ca="1">IF($D$2="Egyszeri",IF($D$7&gt;=IF($D$4="Forint",Paraméterek!$P$223,Paraméterek!$P$224),$D$7-IF($D$4="Forint",Paraméterek!$P$223,Paraméterek!$P$224),0),MIN(IF($AB139=12,AVERAGEIF($E$20:$E139,"&gt;0",$E$20:$E139)*12,0),SUM($E$20:$E$31)))</f>
        <v>#DIV/0!</v>
      </c>
      <c r="AH139" s="13" t="e">
        <f ca="1">IF($AA139=10,$AG139*IF($AB139=12,IF($AG139&lt;IF($D$4="Forint",Paraméterek!$L$223,Paraméterek!$L$224),0,VLOOKUP($AA139,Paraméterek!$K$226:$M$228,IF($AG139&lt;IF($D$4="Forint",Paraméterek!$M$223,Paraméterek!$M$224),2,3))),0),0)</f>
        <v>#DIV/0!</v>
      </c>
      <c r="AI139" s="13">
        <f ca="1">IF(AND($AA139=$M$11+1,$AB139=$M$12+1),SUMIF($AA$20:$AA$1027,$AA139,$AG$20:$AG$1027)*IF(SUMIF($AA$20:$AA$1027,$AA139,$AG$20:$AG$1027)&lt;IF($D$4="Forint",Paraméterek!$L$223,Paraméterek!$L$224),0,VLOOKUP($AA139,Paraméterek!$K$230:$M$250,IF(SUMIF($AA$20:$AA$1027,$AA139,$AG$20:$AG$1027)&lt;IF($D$4="Forint",Paraméterek!$M$223,Paraméterek!$M$224),2,3))),0)</f>
        <v>0</v>
      </c>
      <c r="AJ139" s="13" t="e">
        <f ca="1">IF(AND($AA139&gt;=5,MOD($AA139,5)=0),IF($AB139=12,VLOOKUP($AA139,Paraméterek!$O$225:$P$240,2),0),IF(OR($AA139=3,$AA139=4),IF($AB139=12,VLOOKUP($AA139,Paraméterek!$O$225:$P$240,2,0),0),0))*$AG139</f>
        <v>#DIV/0!</v>
      </c>
      <c r="AK139" s="13" t="e">
        <f t="shared" ca="1" si="31"/>
        <v>#DIV/0!</v>
      </c>
      <c r="AL139" s="13" t="e">
        <f t="shared" ca="1" si="39"/>
        <v>#DIV/0!</v>
      </c>
      <c r="AM139" s="13" t="e">
        <f t="shared" ca="1" si="40"/>
        <v>#DIV/0!</v>
      </c>
      <c r="AO139" s="32">
        <v>120</v>
      </c>
      <c r="AP139" s="32">
        <v>10</v>
      </c>
      <c r="AQ139" s="32">
        <v>12</v>
      </c>
      <c r="AR139" s="13"/>
      <c r="AS139" s="32"/>
      <c r="AT139" s="13">
        <f t="shared" ca="1" si="41"/>
        <v>0</v>
      </c>
      <c r="AU139" s="33"/>
      <c r="AV139" s="13">
        <f t="shared" ca="1" si="32"/>
        <v>0</v>
      </c>
      <c r="AW139" s="13">
        <f ca="1">ROUNDUP(($AT139+$AV139)*VLOOKUP($AP139,Paraméterek!$P$38:$Q$38,2)/12*IF($D140="Nem",IF($M$13=0,1,$M$13),1),IF($D$4="Forint",0,2))</f>
        <v>0</v>
      </c>
      <c r="AX139" s="13">
        <f>Tranzakciók!$M$41</f>
        <v>0</v>
      </c>
      <c r="AY139" s="13"/>
      <c r="AZ139" s="13">
        <f>ROUNDUP(IF(SUM($AX139:$AY139)=0,0,IF(IF(ISBLANK($AY139),$AX139,$AY139)*Paraméterek!$J$112&lt;IF($D$4="Forint",Paraméterek!$J$113,Paraméterek!$K$113),IF($D$4="Forint",Paraméterek!$J$113,Paraméterek!$K$113),IF(IF(ISBLANK($AY139),$AX139,$AY139)*Paraméterek!$J$112&gt;IF($D$4="Forint",Paraméterek!$J$114,Paraméterek!$K$114),IF($D$4="Forint",Paraméterek!$J$114,Paraméterek!$K$114),IF(ISBLANK($AY139),$AX139,$AY139)*Paraméterek!$J$112))),IF($D$4="Forint",0,2))</f>
        <v>0</v>
      </c>
      <c r="BA139" s="13">
        <f ca="1">$AT139+$AV139-$AW139-IF(ROUNDDOWN(IF(ISBLANK($AY139),$AX139,$AY139),IF($D$4="Forint",0,2))&gt;$AT139+$AV139-$AW139-IF($D$4="Forint",Paraméterek!$J$114,Paraméterek!$K$114),0,ROUNDDOWN(IF(ISBLANK($AY139),$AX139,$AY139),IF($D$4="Forint",0,2))-$AZ139)</f>
        <v>0</v>
      </c>
      <c r="BB139" s="13">
        <f t="shared" ca="1" si="33"/>
        <v>0</v>
      </c>
      <c r="BD139" s="32">
        <v>120</v>
      </c>
      <c r="BE139" s="32">
        <v>10</v>
      </c>
      <c r="BF139" s="32">
        <v>12</v>
      </c>
      <c r="BG139" s="34">
        <f t="shared" ca="1" si="42"/>
        <v>2029</v>
      </c>
      <c r="BH139" s="32" t="str">
        <f ca="1">IF(MOD(MONTH($D$14)+$BD139-1,12)=Paraméterek!$C$288,"Igen","")</f>
        <v/>
      </c>
      <c r="BI139" s="13">
        <f ca="1">IF($BH139="Igen",MIN(ROUNDDOWN((SUMIF($BG$20:$BG$1027,$BG139-1,$K$20:$K$1027)-SUMIF($BG$20:$BG$1027,$BG139-1,$I$20:$I$1027))*Paraméterek!$C$289,IF($D$4="Forint",0,2)),IF($D$4="Forint",Paraméterek!$C$285,Paraméterek!$D$285)),0)</f>
        <v>0</v>
      </c>
      <c r="BJ139" s="13">
        <f t="shared" ca="1" si="34"/>
        <v>0</v>
      </c>
      <c r="BK139" s="13">
        <f t="shared" ca="1" si="43"/>
        <v>0</v>
      </c>
      <c r="BL139" s="33"/>
      <c r="BM139" s="13">
        <f t="shared" ca="1" si="35"/>
        <v>0</v>
      </c>
      <c r="BN139" s="13">
        <f ca="1">ROUNDUP(($BK139+$BM139)*VLOOKUP($BE139,Paraméterek!$P$38:$Q$38,2)/12*IF($D140="Nem",IF($M$13=0,1,$M$13),1),IF($D$4="Forint",0,2))</f>
        <v>0</v>
      </c>
      <c r="BO139" s="13">
        <f t="shared" ca="1" si="36"/>
        <v>0</v>
      </c>
      <c r="BP139" s="13">
        <f ca="1">IF($D140="Nem",$BO139,$BO139-ROUNDUP(SUM($BI$20:$BI139)*120%,IF($D$4="Forint",0,2)))</f>
        <v>0</v>
      </c>
    </row>
    <row r="140" spans="1:68" x14ac:dyDescent="0.2">
      <c r="A140" s="32">
        <v>121</v>
      </c>
      <c r="B140" s="32">
        <v>11</v>
      </c>
      <c r="C140" s="32">
        <v>1</v>
      </c>
      <c r="D140" s="32" t="str">
        <f t="shared" ca="1" si="22"/>
        <v>Nem</v>
      </c>
      <c r="E140" s="13">
        <f t="shared" ca="1" si="23"/>
        <v>0</v>
      </c>
      <c r="F140" s="13"/>
      <c r="G140" s="13">
        <f>Tranzakciók!$D$42</f>
        <v>0</v>
      </c>
      <c r="H140" s="13"/>
      <c r="I140" s="13">
        <f t="shared" ca="1" si="24"/>
        <v>0</v>
      </c>
      <c r="J140" s="13">
        <f t="shared" ca="1" si="25"/>
        <v>0</v>
      </c>
      <c r="K140" s="13">
        <f t="shared" ca="1" si="26"/>
        <v>0</v>
      </c>
      <c r="L140" s="13" t="e">
        <f ca="1">ROUNDUP(IF($D$2="Egyszeri",$E140,IF($D$2="Havi",SUM($E$20:$E$31),IF(MOD($C140,$M$1)-1=0,SUM($E$20:$E$31),0))/12*$M$1)*VLOOKUP($B140,Paraméterek!$I$28:$P$31,IF($D$2="Egyszeri",8,HLOOKUP(ROUNDUP($M$11+$M$13,0),Paraméterek!$J$26:$O$27,2))),IF($D$4="Forint",0,2))</f>
        <v>#N/A</v>
      </c>
      <c r="M140" s="13">
        <f t="shared" ca="1" si="27"/>
        <v>0</v>
      </c>
      <c r="N140" s="13">
        <f t="shared" ca="1" si="37"/>
        <v>0</v>
      </c>
      <c r="O140" s="13">
        <f ca="1">IF($D140="Igen",IF($W139&gt;=IF($D$4="Forint",Paraméterek!$J$121,Paraméterek!$K$121),0,IF($D$4="Forint",Paraméterek!$J$121,Paraméterek!$K$121)-$W139),0)</f>
        <v>0</v>
      </c>
      <c r="P140" s="13" t="e">
        <f ca="1">ROUNDUP($O140*VLOOKUP($M$4+$B140-1,Paraméterek!$H$58:$I$105,2,0)/Paraméterek!$I$56,IF($D$4="Forint",0,2))</f>
        <v>#N/A</v>
      </c>
      <c r="Q140" s="13">
        <f t="shared" ca="1" si="28"/>
        <v>0</v>
      </c>
      <c r="R140" s="33"/>
      <c r="S140" s="13" t="e">
        <f t="shared" ca="1" si="29"/>
        <v>#N/A</v>
      </c>
      <c r="T140" s="13" t="e">
        <f ca="1">ROUNDUP(($N140-$P140-$Q140+$S140)*VLOOKUP($B140,Paraméterek!$I$38:$K$39,IF($D$2="Egyszeri",3,2))/12*IF($D141="Nem",IF($M$13=0,1,$M$13),1),IF($D$4="Forint",0,2))</f>
        <v>#N/A</v>
      </c>
      <c r="U140" s="13"/>
      <c r="V140" s="13"/>
      <c r="W140" s="13" t="e">
        <f ca="1">$N140-$P140-$Q140+$S140-$T140-IF(ROUNDUP(IF(ISBLANK($V140),$U140*0,$V140)/IF($D$2="Egyszeri",VLOOKUP($B140+IF($C140=12,1,0),Paraméterek!$V$257:$W$262,2),IF($B140=1,1,VLOOKUP($B140+IF($C140=12,1,0),Paraméterek!$I$258:$T$278,HLOOKUP($M$11+1,Paraméterek!$J$256:$T$257,2)))),IF($D$4="Forint",0,2))&gt;$N140-$P140-$Q140+$S140-$T140-IF($D$4="Forint",Paraméterek!$C$216,Paraméterek!$D$216),0,ROUNDUP(IF(ISBLANK($V140),$U140*0,$V140)/IF($D$2="Egyszeri",VLOOKUP($B140+IF($C140=12,1,0),Paraméterek!$V$257:$W$262,2),IF($B140=1,1,VLOOKUP($B140+IF($C140=12,1,0),Paraméterek!$I$258:$T$278,HLOOKUP($M$11+1,Paraméterek!$J$256:$T$257,2)))),IF($D$4="Forint",0,2)))</f>
        <v>#N/A</v>
      </c>
      <c r="X140" s="13" t="e">
        <f ca="1">ROUNDDOWN($W140*IF($D$2="Egyszeri",VLOOKUP($B140+IF($C140=12,1,0),Paraméterek!$V$257:$W$262,2),VLOOKUP($B140+IF($C140=12,1,0),Paraméterek!$I$258:$T$278,HLOOKUP($M$11+1,Paraméterek!$I$256:$T$257,2))),IF($D$4="Forint",0,2))</f>
        <v>#N/A</v>
      </c>
      <c r="Z140" s="32">
        <v>121</v>
      </c>
      <c r="AA140" s="32">
        <v>11</v>
      </c>
      <c r="AB140" s="32">
        <v>1</v>
      </c>
      <c r="AC140" s="13">
        <f t="shared" ca="1" si="38"/>
        <v>0</v>
      </c>
      <c r="AD140" s="33"/>
      <c r="AE140" s="13">
        <f t="shared" ca="1" si="30"/>
        <v>0</v>
      </c>
      <c r="AF140" s="13">
        <f ca="1">ROUNDUP(($AC140+$AE140)*VLOOKUP($AA140,Paraméterek!$P$38:$Q$38,2)/12*IF($D141="Nem",IF($M$13=0,1,$M$13),1),IF($D$4="Forint",0,2))</f>
        <v>0</v>
      </c>
      <c r="AG140" s="13">
        <f ca="1">IF($D$2="Egyszeri",IF($D$7&gt;=IF($D$4="Forint",Paraméterek!$P$223,Paraméterek!$P$224),$D$7-IF($D$4="Forint",Paraméterek!$P$223,Paraméterek!$P$224),0),MIN(IF($AB140=12,AVERAGEIF($E$20:$E140,"&gt;0",$E$20:$E140)*12,0),SUM($E$20:$E$31)))</f>
        <v>0</v>
      </c>
      <c r="AH140" s="13">
        <f>IF($AA140=10,$AG140*IF($AB140=12,IF($AG140&lt;IF($D$4="Forint",Paraméterek!$L$223,Paraméterek!$L$224),0,VLOOKUP($AA140,Paraméterek!$K$226:$M$228,IF($AG140&lt;IF($D$4="Forint",Paraméterek!$M$223,Paraméterek!$M$224),2,3))),0),0)</f>
        <v>0</v>
      </c>
      <c r="AI140" s="13">
        <f ca="1">IF(AND($AA140=$M$11+1,$AB140=$M$12+1),SUMIF($AA$20:$AA$1027,$AA140,$AG$20:$AG$1027)*IF(SUMIF($AA$20:$AA$1027,$AA140,$AG$20:$AG$1027)&lt;IF($D$4="Forint",Paraméterek!$L$223,Paraméterek!$L$224),0,VLOOKUP($AA140,Paraméterek!$K$230:$M$250,IF(SUMIF($AA$20:$AA$1027,$AA140,$AG$20:$AG$1027)&lt;IF($D$4="Forint",Paraméterek!$M$223,Paraméterek!$M$224),2,3))),0)</f>
        <v>0</v>
      </c>
      <c r="AJ140" s="13">
        <f ca="1">IF(AND($AA140&gt;=5,MOD($AA140,5)=0),IF($AB140=12,VLOOKUP($AA140,Paraméterek!$O$225:$P$240,2),0),IF(OR($AA140=3,$AA140=4),IF($AB140=12,VLOOKUP($AA140,Paraméterek!$O$225:$P$240,2,0),0),0))*$AG140</f>
        <v>0</v>
      </c>
      <c r="AK140" s="13">
        <f t="shared" ca="1" si="31"/>
        <v>0</v>
      </c>
      <c r="AL140" s="13">
        <f t="shared" ca="1" si="39"/>
        <v>0</v>
      </c>
      <c r="AM140" s="13">
        <f t="shared" ca="1" si="40"/>
        <v>0</v>
      </c>
      <c r="AO140" s="32">
        <v>121</v>
      </c>
      <c r="AP140" s="32">
        <v>11</v>
      </c>
      <c r="AQ140" s="32">
        <v>1</v>
      </c>
      <c r="AR140" s="13">
        <f>Tranzakciók!$K$42</f>
        <v>0</v>
      </c>
      <c r="AS140" s="32"/>
      <c r="AT140" s="13">
        <f t="shared" ca="1" si="41"/>
        <v>0</v>
      </c>
      <c r="AU140" s="33"/>
      <c r="AV140" s="13">
        <f t="shared" ca="1" si="32"/>
        <v>0</v>
      </c>
      <c r="AW140" s="13">
        <f ca="1">ROUNDUP(($AT140+$AV140)*VLOOKUP($AP140,Paraméterek!$P$38:$Q$38,2)/12*IF($D141="Nem",IF($M$13=0,1,$M$13),1),IF($D$4="Forint",0,2))</f>
        <v>0</v>
      </c>
      <c r="AX140" s="13"/>
      <c r="AY140" s="13"/>
      <c r="AZ140" s="13">
        <f>ROUNDUP(IF(SUM($AX140:$AY140)=0,0,IF(IF(ISBLANK($AY140),$AX140,$AY140)*Paraméterek!$J$112&lt;IF($D$4="Forint",Paraméterek!$J$113,Paraméterek!$K$113),IF($D$4="Forint",Paraméterek!$J$113,Paraméterek!$K$113),IF(IF(ISBLANK($AY140),$AX140,$AY140)*Paraméterek!$J$112&gt;IF($D$4="Forint",Paraméterek!$J$114,Paraméterek!$K$114),IF($D$4="Forint",Paraméterek!$J$114,Paraméterek!$K$114),IF(ISBLANK($AY140),$AX140,$AY140)*Paraméterek!$J$112))),IF($D$4="Forint",0,2))</f>
        <v>0</v>
      </c>
      <c r="BA140" s="13">
        <f ca="1">$AT140+$AV140-$AW140-IF(ROUNDDOWN(IF(ISBLANK($AY140),$AX140,$AY140),IF($D$4="Forint",0,2))&gt;$AT140+$AV140-$AW140-IF($D$4="Forint",Paraméterek!$J$114,Paraméterek!$K$114),0,ROUNDDOWN(IF(ISBLANK($AY140),$AX140,$AY140),IF($D$4="Forint",0,2))-$AZ140)</f>
        <v>0</v>
      </c>
      <c r="BB140" s="13">
        <f t="shared" ca="1" si="33"/>
        <v>0</v>
      </c>
      <c r="BD140" s="32">
        <v>121</v>
      </c>
      <c r="BE140" s="32">
        <v>11</v>
      </c>
      <c r="BF140" s="32">
        <v>1</v>
      </c>
      <c r="BG140" s="34">
        <f t="shared" ca="1" si="42"/>
        <v>2029</v>
      </c>
      <c r="BH140" s="32" t="str">
        <f ca="1">IF(MOD(MONTH($D$14)+$BD140-1,12)=Paraméterek!$C$288,"Igen","")</f>
        <v/>
      </c>
      <c r="BI140" s="13">
        <f ca="1">IF($BH140="Igen",MIN(ROUNDDOWN((SUMIF($BG$20:$BG$1027,$BG140-1,$K$20:$K$1027)-SUMIF($BG$20:$BG$1027,$BG140-1,$I$20:$I$1027))*Paraméterek!$C$289,IF($D$4="Forint",0,2)),IF($D$4="Forint",Paraméterek!$C$285,Paraméterek!$D$285)),0)</f>
        <v>0</v>
      </c>
      <c r="BJ140" s="13">
        <f t="shared" ca="1" si="34"/>
        <v>0</v>
      </c>
      <c r="BK140" s="13">
        <f t="shared" ca="1" si="43"/>
        <v>0</v>
      </c>
      <c r="BL140" s="33"/>
      <c r="BM140" s="13">
        <f t="shared" ca="1" si="35"/>
        <v>0</v>
      </c>
      <c r="BN140" s="13">
        <f ca="1">ROUNDUP(($BK140+$BM140)*VLOOKUP($BE140,Paraméterek!$P$38:$Q$38,2)/12*IF($D141="Nem",IF($M$13=0,1,$M$13),1),IF($D$4="Forint",0,2))</f>
        <v>0</v>
      </c>
      <c r="BO140" s="13">
        <f t="shared" ca="1" si="36"/>
        <v>0</v>
      </c>
      <c r="BP140" s="13">
        <f ca="1">IF($D141="Nem",$BO140,$BO140-ROUNDUP(SUM($BI$20:$BI140)*120%,IF($D$4="Forint",0,2)))</f>
        <v>0</v>
      </c>
    </row>
    <row r="141" spans="1:68" x14ac:dyDescent="0.2">
      <c r="A141" s="32">
        <v>122</v>
      </c>
      <c r="B141" s="32">
        <v>11</v>
      </c>
      <c r="C141" s="32">
        <v>2</v>
      </c>
      <c r="D141" s="32" t="str">
        <f t="shared" ca="1" si="22"/>
        <v>Nem</v>
      </c>
      <c r="E141" s="13">
        <f t="shared" ca="1" si="23"/>
        <v>0</v>
      </c>
      <c r="F141" s="13"/>
      <c r="G141" s="13"/>
      <c r="H141" s="13"/>
      <c r="I141" s="13">
        <f t="shared" ca="1" si="24"/>
        <v>0</v>
      </c>
      <c r="J141" s="13">
        <f t="shared" ca="1" si="25"/>
        <v>0</v>
      </c>
      <c r="K141" s="13">
        <f t="shared" ca="1" si="26"/>
        <v>0</v>
      </c>
      <c r="L141" s="13" t="e">
        <f ca="1">ROUNDUP(IF($D$2="Egyszeri",$E141,IF($D$2="Havi",SUM($E$20:$E$31),IF(MOD($C141,$M$1)-1=0,SUM($E$20:$E$31),0))/12*$M$1)*VLOOKUP($B141,Paraméterek!$I$28:$P$31,IF($D$2="Egyszeri",8,HLOOKUP(ROUNDUP($M$11+$M$13,0),Paraméterek!$J$26:$O$27,2))),IF($D$4="Forint",0,2))</f>
        <v>#N/A</v>
      </c>
      <c r="M141" s="13">
        <f t="shared" ca="1" si="27"/>
        <v>0</v>
      </c>
      <c r="N141" s="13">
        <f t="shared" ca="1" si="37"/>
        <v>0</v>
      </c>
      <c r="O141" s="13">
        <f ca="1">IF($D141="Igen",IF($W140&gt;=IF($D$4="Forint",Paraméterek!$J$121,Paraméterek!$K$121),0,IF($D$4="Forint",Paraméterek!$J$121,Paraméterek!$K$121)-$W140),0)</f>
        <v>0</v>
      </c>
      <c r="P141" s="13" t="e">
        <f ca="1">ROUNDUP($O141*VLOOKUP($M$4+$B141-1,Paraméterek!$H$58:$I$105,2,0)/Paraméterek!$I$56,IF($D$4="Forint",0,2))</f>
        <v>#N/A</v>
      </c>
      <c r="Q141" s="13">
        <f t="shared" ca="1" si="28"/>
        <v>0</v>
      </c>
      <c r="R141" s="33"/>
      <c r="S141" s="13" t="e">
        <f t="shared" ca="1" si="29"/>
        <v>#N/A</v>
      </c>
      <c r="T141" s="13" t="e">
        <f ca="1">ROUNDUP(($N141-$P141-$Q141+$S141)*VLOOKUP($B141,Paraméterek!$I$38:$K$39,IF($D$2="Egyszeri",3,2))/12*IF($D142="Nem",IF($M$13=0,1,$M$13),1),IF($D$4="Forint",0,2))</f>
        <v>#N/A</v>
      </c>
      <c r="U141" s="13"/>
      <c r="V141" s="13"/>
      <c r="W141" s="13" t="e">
        <f ca="1">$N141-$P141-$Q141+$S141-$T141-IF(ROUNDUP(IF(ISBLANK($V141),$U141*0,$V141)/IF($D$2="Egyszeri",VLOOKUP($B141+IF($C141=12,1,0),Paraméterek!$V$257:$W$262,2),IF($B141=1,1,VLOOKUP($B141+IF($C141=12,1,0),Paraméterek!$I$258:$T$278,HLOOKUP($M$11+1,Paraméterek!$J$256:$T$257,2)))),IF($D$4="Forint",0,2))&gt;$N141-$P141-$Q141+$S141-$T141-IF($D$4="Forint",Paraméterek!$C$216,Paraméterek!$D$216),0,ROUNDUP(IF(ISBLANK($V141),$U141*0,$V141)/IF($D$2="Egyszeri",VLOOKUP($B141+IF($C141=12,1,0),Paraméterek!$V$257:$W$262,2),IF($B141=1,1,VLOOKUP($B141+IF($C141=12,1,0),Paraméterek!$I$258:$T$278,HLOOKUP($M$11+1,Paraméterek!$J$256:$T$257,2)))),IF($D$4="Forint",0,2)))</f>
        <v>#N/A</v>
      </c>
      <c r="X141" s="13" t="e">
        <f ca="1">ROUNDDOWN($W141*IF($D$2="Egyszeri",VLOOKUP($B141+IF($C141=12,1,0),Paraméterek!$V$257:$W$262,2),VLOOKUP($B141+IF($C141=12,1,0),Paraméterek!$I$258:$T$278,HLOOKUP($M$11+1,Paraméterek!$I$256:$T$257,2))),IF($D$4="Forint",0,2))</f>
        <v>#N/A</v>
      </c>
      <c r="Z141" s="32">
        <v>122</v>
      </c>
      <c r="AA141" s="32">
        <v>11</v>
      </c>
      <c r="AB141" s="32">
        <v>2</v>
      </c>
      <c r="AC141" s="13">
        <f t="shared" ca="1" si="38"/>
        <v>0</v>
      </c>
      <c r="AD141" s="33"/>
      <c r="AE141" s="13">
        <f t="shared" ca="1" si="30"/>
        <v>0</v>
      </c>
      <c r="AF141" s="13">
        <f ca="1">ROUNDUP(($AC141+$AE141)*VLOOKUP($AA141,Paraméterek!$P$38:$Q$38,2)/12*IF($D142="Nem",IF($M$13=0,1,$M$13),1),IF($D$4="Forint",0,2))</f>
        <v>0</v>
      </c>
      <c r="AG141" s="13">
        <f ca="1">IF($D$2="Egyszeri",IF($D$7&gt;=IF($D$4="Forint",Paraméterek!$P$223,Paraméterek!$P$224),$D$7-IF($D$4="Forint",Paraméterek!$P$223,Paraméterek!$P$224),0),MIN(IF($AB141=12,AVERAGEIF($E$20:$E141,"&gt;0",$E$20:$E141)*12,0),SUM($E$20:$E$31)))</f>
        <v>0</v>
      </c>
      <c r="AH141" s="13">
        <f>IF($AA141=10,$AG141*IF($AB141=12,IF($AG141&lt;IF($D$4="Forint",Paraméterek!$L$223,Paraméterek!$L$224),0,VLOOKUP($AA141,Paraméterek!$K$226:$M$228,IF($AG141&lt;IF($D$4="Forint",Paraméterek!$M$223,Paraméterek!$M$224),2,3))),0),0)</f>
        <v>0</v>
      </c>
      <c r="AI141" s="13">
        <f ca="1">IF(AND($AA141=$M$11+1,$AB141=$M$12+1),SUMIF($AA$20:$AA$1027,$AA141,$AG$20:$AG$1027)*IF(SUMIF($AA$20:$AA$1027,$AA141,$AG$20:$AG$1027)&lt;IF($D$4="Forint",Paraméterek!$L$223,Paraméterek!$L$224),0,VLOOKUP($AA141,Paraméterek!$K$230:$M$250,IF(SUMIF($AA$20:$AA$1027,$AA141,$AG$20:$AG$1027)&lt;IF($D$4="Forint",Paraméterek!$M$223,Paraméterek!$M$224),2,3))),0)</f>
        <v>0</v>
      </c>
      <c r="AJ141" s="13">
        <f ca="1">IF(AND($AA141&gt;=5,MOD($AA141,5)=0),IF($AB141=12,VLOOKUP($AA141,Paraméterek!$O$225:$P$240,2),0),IF(OR($AA141=3,$AA141=4),IF($AB141=12,VLOOKUP($AA141,Paraméterek!$O$225:$P$240,2,0),0),0))*$AG141</f>
        <v>0</v>
      </c>
      <c r="AK141" s="13">
        <f t="shared" ca="1" si="31"/>
        <v>0</v>
      </c>
      <c r="AL141" s="13">
        <f t="shared" ca="1" si="39"/>
        <v>0</v>
      </c>
      <c r="AM141" s="13">
        <f t="shared" ca="1" si="40"/>
        <v>0</v>
      </c>
      <c r="AO141" s="32">
        <v>122</v>
      </c>
      <c r="AP141" s="32">
        <v>11</v>
      </c>
      <c r="AQ141" s="32">
        <v>2</v>
      </c>
      <c r="AR141" s="13"/>
      <c r="AS141" s="32"/>
      <c r="AT141" s="13">
        <f t="shared" ca="1" si="41"/>
        <v>0</v>
      </c>
      <c r="AU141" s="33"/>
      <c r="AV141" s="13">
        <f t="shared" ca="1" si="32"/>
        <v>0</v>
      </c>
      <c r="AW141" s="13">
        <f ca="1">ROUNDUP(($AT141+$AV141)*VLOOKUP($AP141,Paraméterek!$P$38:$Q$38,2)/12*IF($D142="Nem",IF($M$13=0,1,$M$13),1),IF($D$4="Forint",0,2))</f>
        <v>0</v>
      </c>
      <c r="AX141" s="13"/>
      <c r="AY141" s="13"/>
      <c r="AZ141" s="13">
        <f>ROUNDUP(IF(SUM($AX141:$AY141)=0,0,IF(IF(ISBLANK($AY141),$AX141,$AY141)*Paraméterek!$J$112&lt;IF($D$4="Forint",Paraméterek!$J$113,Paraméterek!$K$113),IF($D$4="Forint",Paraméterek!$J$113,Paraméterek!$K$113),IF(IF(ISBLANK($AY141),$AX141,$AY141)*Paraméterek!$J$112&gt;IF($D$4="Forint",Paraméterek!$J$114,Paraméterek!$K$114),IF($D$4="Forint",Paraméterek!$J$114,Paraméterek!$K$114),IF(ISBLANK($AY141),$AX141,$AY141)*Paraméterek!$J$112))),IF($D$4="Forint",0,2))</f>
        <v>0</v>
      </c>
      <c r="BA141" s="13">
        <f ca="1">$AT141+$AV141-$AW141-IF(ROUNDDOWN(IF(ISBLANK($AY141),$AX141,$AY141),IF($D$4="Forint",0,2))&gt;$AT141+$AV141-$AW141-IF($D$4="Forint",Paraméterek!$J$114,Paraméterek!$K$114),0,ROUNDDOWN(IF(ISBLANK($AY141),$AX141,$AY141),IF($D$4="Forint",0,2))-$AZ141)</f>
        <v>0</v>
      </c>
      <c r="BB141" s="13">
        <f t="shared" ca="1" si="33"/>
        <v>0</v>
      </c>
      <c r="BD141" s="32">
        <v>122</v>
      </c>
      <c r="BE141" s="32">
        <v>11</v>
      </c>
      <c r="BF141" s="32">
        <v>2</v>
      </c>
      <c r="BG141" s="34">
        <f t="shared" ca="1" si="42"/>
        <v>2029</v>
      </c>
      <c r="BH141" s="32" t="str">
        <f ca="1">IF(MOD(MONTH($D$14)+$BD141-1,12)=Paraméterek!$C$288,"Igen","")</f>
        <v>Igen</v>
      </c>
      <c r="BI141" s="13">
        <f ca="1">IF($BH141="Igen",MIN(ROUNDDOWN((SUMIF($BG$20:$BG$1027,$BG141-1,$K$20:$K$1027)-SUMIF($BG$20:$BG$1027,$BG141-1,$I$20:$I$1027))*Paraméterek!$C$289,IF($D$4="Forint",0,2)),IF($D$4="Forint",Paraméterek!$C$285,Paraméterek!$D$285)),0)</f>
        <v>0</v>
      </c>
      <c r="BJ141" s="13">
        <f t="shared" ca="1" si="34"/>
        <v>0</v>
      </c>
      <c r="BK141" s="13">
        <f t="shared" ca="1" si="43"/>
        <v>0</v>
      </c>
      <c r="BL141" s="33"/>
      <c r="BM141" s="13">
        <f t="shared" ca="1" si="35"/>
        <v>0</v>
      </c>
      <c r="BN141" s="13">
        <f ca="1">ROUNDUP(($BK141+$BM141)*VLOOKUP($BE141,Paraméterek!$P$38:$Q$38,2)/12*IF($D142="Nem",IF($M$13=0,1,$M$13),1),IF($D$4="Forint",0,2))</f>
        <v>0</v>
      </c>
      <c r="BO141" s="13">
        <f t="shared" ca="1" si="36"/>
        <v>0</v>
      </c>
      <c r="BP141" s="13">
        <f ca="1">IF($D142="Nem",$BO141,$BO141-ROUNDUP(SUM($BI$20:$BI141)*120%,IF($D$4="Forint",0,2)))</f>
        <v>0</v>
      </c>
    </row>
    <row r="142" spans="1:68" x14ac:dyDescent="0.2">
      <c r="A142" s="32">
        <v>123</v>
      </c>
      <c r="B142" s="32">
        <v>11</v>
      </c>
      <c r="C142" s="32">
        <v>3</v>
      </c>
      <c r="D142" s="32" t="str">
        <f t="shared" ca="1" si="22"/>
        <v>Nem</v>
      </c>
      <c r="E142" s="13">
        <f t="shared" ca="1" si="23"/>
        <v>0</v>
      </c>
      <c r="F142" s="13"/>
      <c r="G142" s="13"/>
      <c r="H142" s="13"/>
      <c r="I142" s="13">
        <f t="shared" ca="1" si="24"/>
        <v>0</v>
      </c>
      <c r="J142" s="13">
        <f t="shared" ca="1" si="25"/>
        <v>0</v>
      </c>
      <c r="K142" s="13">
        <f t="shared" ca="1" si="26"/>
        <v>0</v>
      </c>
      <c r="L142" s="13" t="e">
        <f ca="1">ROUNDUP(IF($D$2="Egyszeri",$E142,IF($D$2="Havi",SUM($E$20:$E$31),IF(MOD($C142,$M$1)-1=0,SUM($E$20:$E$31),0))/12*$M$1)*VLOOKUP($B142,Paraméterek!$I$28:$P$31,IF($D$2="Egyszeri",8,HLOOKUP(ROUNDUP($M$11+$M$13,0),Paraméterek!$J$26:$O$27,2))),IF($D$4="Forint",0,2))</f>
        <v>#N/A</v>
      </c>
      <c r="M142" s="13">
        <f t="shared" ca="1" si="27"/>
        <v>0</v>
      </c>
      <c r="N142" s="13">
        <f t="shared" ca="1" si="37"/>
        <v>0</v>
      </c>
      <c r="O142" s="13">
        <f ca="1">IF($D142="Igen",IF($W141&gt;=IF($D$4="Forint",Paraméterek!$J$121,Paraméterek!$K$121),0,IF($D$4="Forint",Paraméterek!$J$121,Paraméterek!$K$121)-$W141),0)</f>
        <v>0</v>
      </c>
      <c r="P142" s="13" t="e">
        <f ca="1">ROUNDUP($O142*VLOOKUP($M$4+$B142-1,Paraméterek!$H$58:$I$105,2,0)/Paraméterek!$I$56,IF($D$4="Forint",0,2))</f>
        <v>#N/A</v>
      </c>
      <c r="Q142" s="13">
        <f t="shared" ca="1" si="28"/>
        <v>0</v>
      </c>
      <c r="R142" s="33"/>
      <c r="S142" s="13" t="e">
        <f t="shared" ca="1" si="29"/>
        <v>#N/A</v>
      </c>
      <c r="T142" s="13" t="e">
        <f ca="1">ROUNDUP(($N142-$P142-$Q142+$S142)*VLOOKUP($B142,Paraméterek!$I$38:$K$39,IF($D$2="Egyszeri",3,2))/12*IF($D143="Nem",IF($M$13=0,1,$M$13),1),IF($D$4="Forint",0,2))</f>
        <v>#N/A</v>
      </c>
      <c r="U142" s="13"/>
      <c r="V142" s="13"/>
      <c r="W142" s="13" t="e">
        <f ca="1">$N142-$P142-$Q142+$S142-$T142-IF(ROUNDUP(IF(ISBLANK($V142),$U142*0,$V142)/IF($D$2="Egyszeri",VLOOKUP($B142+IF($C142=12,1,0),Paraméterek!$V$257:$W$262,2),IF($B142=1,1,VLOOKUP($B142+IF($C142=12,1,0),Paraméterek!$I$258:$T$278,HLOOKUP($M$11+1,Paraméterek!$J$256:$T$257,2)))),IF($D$4="Forint",0,2))&gt;$N142-$P142-$Q142+$S142-$T142-IF($D$4="Forint",Paraméterek!$C$216,Paraméterek!$D$216),0,ROUNDUP(IF(ISBLANK($V142),$U142*0,$V142)/IF($D$2="Egyszeri",VLOOKUP($B142+IF($C142=12,1,0),Paraméterek!$V$257:$W$262,2),IF($B142=1,1,VLOOKUP($B142+IF($C142=12,1,0),Paraméterek!$I$258:$T$278,HLOOKUP($M$11+1,Paraméterek!$J$256:$T$257,2)))),IF($D$4="Forint",0,2)))</f>
        <v>#N/A</v>
      </c>
      <c r="X142" s="13" t="e">
        <f ca="1">ROUNDDOWN($W142*IF($D$2="Egyszeri",VLOOKUP($B142+IF($C142=12,1,0),Paraméterek!$V$257:$W$262,2),VLOOKUP($B142+IF($C142=12,1,0),Paraméterek!$I$258:$T$278,HLOOKUP($M$11+1,Paraméterek!$I$256:$T$257,2))),IF($D$4="Forint",0,2))</f>
        <v>#N/A</v>
      </c>
      <c r="Z142" s="32">
        <v>123</v>
      </c>
      <c r="AA142" s="32">
        <v>11</v>
      </c>
      <c r="AB142" s="32">
        <v>3</v>
      </c>
      <c r="AC142" s="13">
        <f t="shared" ca="1" si="38"/>
        <v>0</v>
      </c>
      <c r="AD142" s="33"/>
      <c r="AE142" s="13">
        <f t="shared" ca="1" si="30"/>
        <v>0</v>
      </c>
      <c r="AF142" s="13">
        <f ca="1">ROUNDUP(($AC142+$AE142)*VLOOKUP($AA142,Paraméterek!$P$38:$Q$38,2)/12*IF($D143="Nem",IF($M$13=0,1,$M$13),1),IF($D$4="Forint",0,2))</f>
        <v>0</v>
      </c>
      <c r="AG142" s="13">
        <f ca="1">IF($D$2="Egyszeri",IF($D$7&gt;=IF($D$4="Forint",Paraméterek!$P$223,Paraméterek!$P$224),$D$7-IF($D$4="Forint",Paraméterek!$P$223,Paraméterek!$P$224),0),MIN(IF($AB142=12,AVERAGEIF($E$20:$E142,"&gt;0",$E$20:$E142)*12,0),SUM($E$20:$E$31)))</f>
        <v>0</v>
      </c>
      <c r="AH142" s="13">
        <f>IF($AA142=10,$AG142*IF($AB142=12,IF($AG142&lt;IF($D$4="Forint",Paraméterek!$L$223,Paraméterek!$L$224),0,VLOOKUP($AA142,Paraméterek!$K$226:$M$228,IF($AG142&lt;IF($D$4="Forint",Paraméterek!$M$223,Paraméterek!$M$224),2,3))),0),0)</f>
        <v>0</v>
      </c>
      <c r="AI142" s="13">
        <f ca="1">IF(AND($AA142=$M$11+1,$AB142=$M$12+1),SUMIF($AA$20:$AA$1027,$AA142,$AG$20:$AG$1027)*IF(SUMIF($AA$20:$AA$1027,$AA142,$AG$20:$AG$1027)&lt;IF($D$4="Forint",Paraméterek!$L$223,Paraméterek!$L$224),0,VLOOKUP($AA142,Paraméterek!$K$230:$M$250,IF(SUMIF($AA$20:$AA$1027,$AA142,$AG$20:$AG$1027)&lt;IF($D$4="Forint",Paraméterek!$M$223,Paraméterek!$M$224),2,3))),0)</f>
        <v>0</v>
      </c>
      <c r="AJ142" s="13">
        <f ca="1">IF(AND($AA142&gt;=5,MOD($AA142,5)=0),IF($AB142=12,VLOOKUP($AA142,Paraméterek!$O$225:$P$240,2),0),IF(OR($AA142=3,$AA142=4),IF($AB142=12,VLOOKUP($AA142,Paraméterek!$O$225:$P$240,2,0),0),0))*$AG142</f>
        <v>0</v>
      </c>
      <c r="AK142" s="13">
        <f t="shared" ca="1" si="31"/>
        <v>0</v>
      </c>
      <c r="AL142" s="13">
        <f t="shared" ca="1" si="39"/>
        <v>0</v>
      </c>
      <c r="AM142" s="13">
        <f t="shared" ca="1" si="40"/>
        <v>0</v>
      </c>
      <c r="AO142" s="32">
        <v>123</v>
      </c>
      <c r="AP142" s="32">
        <v>11</v>
      </c>
      <c r="AQ142" s="32">
        <v>3</v>
      </c>
      <c r="AR142" s="13"/>
      <c r="AS142" s="32"/>
      <c r="AT142" s="13">
        <f t="shared" ca="1" si="41"/>
        <v>0</v>
      </c>
      <c r="AU142" s="33"/>
      <c r="AV142" s="13">
        <f t="shared" ca="1" si="32"/>
        <v>0</v>
      </c>
      <c r="AW142" s="13">
        <f ca="1">ROUNDUP(($AT142+$AV142)*VLOOKUP($AP142,Paraméterek!$P$38:$Q$38,2)/12*IF($D143="Nem",IF($M$13=0,1,$M$13),1),IF($D$4="Forint",0,2))</f>
        <v>0</v>
      </c>
      <c r="AX142" s="13"/>
      <c r="AY142" s="13"/>
      <c r="AZ142" s="13">
        <f>ROUNDUP(IF(SUM($AX142:$AY142)=0,0,IF(IF(ISBLANK($AY142),$AX142,$AY142)*Paraméterek!$J$112&lt;IF($D$4="Forint",Paraméterek!$J$113,Paraméterek!$K$113),IF($D$4="Forint",Paraméterek!$J$113,Paraméterek!$K$113),IF(IF(ISBLANK($AY142),$AX142,$AY142)*Paraméterek!$J$112&gt;IF($D$4="Forint",Paraméterek!$J$114,Paraméterek!$K$114),IF($D$4="Forint",Paraméterek!$J$114,Paraméterek!$K$114),IF(ISBLANK($AY142),$AX142,$AY142)*Paraméterek!$J$112))),IF($D$4="Forint",0,2))</f>
        <v>0</v>
      </c>
      <c r="BA142" s="13">
        <f ca="1">$AT142+$AV142-$AW142-IF(ROUNDDOWN(IF(ISBLANK($AY142),$AX142,$AY142),IF($D$4="Forint",0,2))&gt;$AT142+$AV142-$AW142-IF($D$4="Forint",Paraméterek!$J$114,Paraméterek!$K$114),0,ROUNDDOWN(IF(ISBLANK($AY142),$AX142,$AY142),IF($D$4="Forint",0,2))-$AZ142)</f>
        <v>0</v>
      </c>
      <c r="BB142" s="13">
        <f t="shared" ca="1" si="33"/>
        <v>0</v>
      </c>
      <c r="BD142" s="32">
        <v>123</v>
      </c>
      <c r="BE142" s="32">
        <v>11</v>
      </c>
      <c r="BF142" s="32">
        <v>3</v>
      </c>
      <c r="BG142" s="34">
        <f t="shared" ca="1" si="42"/>
        <v>2029</v>
      </c>
      <c r="BH142" s="32" t="str">
        <f ca="1">IF(MOD(MONTH($D$14)+$BD142-1,12)=Paraméterek!$C$288,"Igen","")</f>
        <v/>
      </c>
      <c r="BI142" s="13">
        <f ca="1">IF($BH142="Igen",MIN(ROUNDDOWN((SUMIF($BG$20:$BG$1027,$BG142-1,$K$20:$K$1027)-SUMIF($BG$20:$BG$1027,$BG142-1,$I$20:$I$1027))*Paraméterek!$C$289,IF($D$4="Forint",0,2)),IF($D$4="Forint",Paraméterek!$C$285,Paraméterek!$D$285)),0)</f>
        <v>0</v>
      </c>
      <c r="BJ142" s="13">
        <f t="shared" ca="1" si="34"/>
        <v>0</v>
      </c>
      <c r="BK142" s="13">
        <f t="shared" ca="1" si="43"/>
        <v>0</v>
      </c>
      <c r="BL142" s="33"/>
      <c r="BM142" s="13">
        <f t="shared" ca="1" si="35"/>
        <v>0</v>
      </c>
      <c r="BN142" s="13">
        <f ca="1">ROUNDUP(($BK142+$BM142)*VLOOKUP($BE142,Paraméterek!$P$38:$Q$38,2)/12*IF($D143="Nem",IF($M$13=0,1,$M$13),1),IF($D$4="Forint",0,2))</f>
        <v>0</v>
      </c>
      <c r="BO142" s="13">
        <f t="shared" ca="1" si="36"/>
        <v>0</v>
      </c>
      <c r="BP142" s="13">
        <f ca="1">IF($D143="Nem",$BO142,$BO142-ROUNDUP(SUM($BI$20:$BI142)*120%,IF($D$4="Forint",0,2)))</f>
        <v>0</v>
      </c>
    </row>
    <row r="143" spans="1:68" x14ac:dyDescent="0.2">
      <c r="A143" s="32">
        <v>124</v>
      </c>
      <c r="B143" s="32">
        <v>11</v>
      </c>
      <c r="C143" s="32">
        <v>4</v>
      </c>
      <c r="D143" s="32" t="str">
        <f t="shared" ca="1" si="22"/>
        <v>Nem</v>
      </c>
      <c r="E143" s="13">
        <f t="shared" ca="1" si="23"/>
        <v>0</v>
      </c>
      <c r="F143" s="13"/>
      <c r="G143" s="13"/>
      <c r="H143" s="13"/>
      <c r="I143" s="13">
        <f t="shared" ca="1" si="24"/>
        <v>0</v>
      </c>
      <c r="J143" s="13">
        <f t="shared" ca="1" si="25"/>
        <v>0</v>
      </c>
      <c r="K143" s="13">
        <f t="shared" ca="1" si="26"/>
        <v>0</v>
      </c>
      <c r="L143" s="13" t="e">
        <f ca="1">ROUNDUP(IF($D$2="Egyszeri",$E143,IF($D$2="Havi",SUM($E$20:$E$31),IF(MOD($C143,$M$1)-1=0,SUM($E$20:$E$31),0))/12*$M$1)*VLOOKUP($B143,Paraméterek!$I$28:$P$31,IF($D$2="Egyszeri",8,HLOOKUP(ROUNDUP($M$11+$M$13,0),Paraméterek!$J$26:$O$27,2))),IF($D$4="Forint",0,2))</f>
        <v>#N/A</v>
      </c>
      <c r="M143" s="13">
        <f t="shared" ca="1" si="27"/>
        <v>0</v>
      </c>
      <c r="N143" s="13">
        <f t="shared" ca="1" si="37"/>
        <v>0</v>
      </c>
      <c r="O143" s="13">
        <f ca="1">IF($D143="Igen",IF($W142&gt;=IF($D$4="Forint",Paraméterek!$J$121,Paraméterek!$K$121),0,IF($D$4="Forint",Paraméterek!$J$121,Paraméterek!$K$121)-$W142),0)</f>
        <v>0</v>
      </c>
      <c r="P143" s="13" t="e">
        <f ca="1">ROUNDUP($O143*VLOOKUP($M$4+$B143-1,Paraméterek!$H$58:$I$105,2,0)/Paraméterek!$I$56,IF($D$4="Forint",0,2))</f>
        <v>#N/A</v>
      </c>
      <c r="Q143" s="13">
        <f t="shared" ca="1" si="28"/>
        <v>0</v>
      </c>
      <c r="R143" s="33"/>
      <c r="S143" s="13" t="e">
        <f t="shared" ca="1" si="29"/>
        <v>#N/A</v>
      </c>
      <c r="T143" s="13" t="e">
        <f ca="1">ROUNDUP(($N143-$P143-$Q143+$S143)*VLOOKUP($B143,Paraméterek!$I$38:$K$39,IF($D$2="Egyszeri",3,2))/12*IF($D144="Nem",IF($M$13=0,1,$M$13),1),IF($D$4="Forint",0,2))</f>
        <v>#N/A</v>
      </c>
      <c r="U143" s="13"/>
      <c r="V143" s="13"/>
      <c r="W143" s="13" t="e">
        <f ca="1">$N143-$P143-$Q143+$S143-$T143-IF(ROUNDUP(IF(ISBLANK($V143),$U143*0,$V143)/IF($D$2="Egyszeri",VLOOKUP($B143+IF($C143=12,1,0),Paraméterek!$V$257:$W$262,2),IF($B143=1,1,VLOOKUP($B143+IF($C143=12,1,0),Paraméterek!$I$258:$T$278,HLOOKUP($M$11+1,Paraméterek!$J$256:$T$257,2)))),IF($D$4="Forint",0,2))&gt;$N143-$P143-$Q143+$S143-$T143-IF($D$4="Forint",Paraméterek!$C$216,Paraméterek!$D$216),0,ROUNDUP(IF(ISBLANK($V143),$U143*0,$V143)/IF($D$2="Egyszeri",VLOOKUP($B143+IF($C143=12,1,0),Paraméterek!$V$257:$W$262,2),IF($B143=1,1,VLOOKUP($B143+IF($C143=12,1,0),Paraméterek!$I$258:$T$278,HLOOKUP($M$11+1,Paraméterek!$J$256:$T$257,2)))),IF($D$4="Forint",0,2)))</f>
        <v>#N/A</v>
      </c>
      <c r="X143" s="13" t="e">
        <f ca="1">ROUNDDOWN($W143*IF($D$2="Egyszeri",VLOOKUP($B143+IF($C143=12,1,0),Paraméterek!$V$257:$W$262,2),VLOOKUP($B143+IF($C143=12,1,0),Paraméterek!$I$258:$T$278,HLOOKUP($M$11+1,Paraméterek!$I$256:$T$257,2))),IF($D$4="Forint",0,2))</f>
        <v>#N/A</v>
      </c>
      <c r="Z143" s="32">
        <v>124</v>
      </c>
      <c r="AA143" s="32">
        <v>11</v>
      </c>
      <c r="AB143" s="32">
        <v>4</v>
      </c>
      <c r="AC143" s="13">
        <f t="shared" ca="1" si="38"/>
        <v>0</v>
      </c>
      <c r="AD143" s="33"/>
      <c r="AE143" s="13">
        <f t="shared" ca="1" si="30"/>
        <v>0</v>
      </c>
      <c r="AF143" s="13">
        <f ca="1">ROUNDUP(($AC143+$AE143)*VLOOKUP($AA143,Paraméterek!$P$38:$Q$38,2)/12*IF($D144="Nem",IF($M$13=0,1,$M$13),1),IF($D$4="Forint",0,2))</f>
        <v>0</v>
      </c>
      <c r="AG143" s="13">
        <f ca="1">IF($D$2="Egyszeri",IF($D$7&gt;=IF($D$4="Forint",Paraméterek!$P$223,Paraméterek!$P$224),$D$7-IF($D$4="Forint",Paraméterek!$P$223,Paraméterek!$P$224),0),MIN(IF($AB143=12,AVERAGEIF($E$20:$E143,"&gt;0",$E$20:$E143)*12,0),SUM($E$20:$E$31)))</f>
        <v>0</v>
      </c>
      <c r="AH143" s="13">
        <f>IF($AA143=10,$AG143*IF($AB143=12,IF($AG143&lt;IF($D$4="Forint",Paraméterek!$L$223,Paraméterek!$L$224),0,VLOOKUP($AA143,Paraméterek!$K$226:$M$228,IF($AG143&lt;IF($D$4="Forint",Paraméterek!$M$223,Paraméterek!$M$224),2,3))),0),0)</f>
        <v>0</v>
      </c>
      <c r="AI143" s="13">
        <f ca="1">IF(AND($AA143=$M$11+1,$AB143=$M$12+1),SUMIF($AA$20:$AA$1027,$AA143,$AG$20:$AG$1027)*IF(SUMIF($AA$20:$AA$1027,$AA143,$AG$20:$AG$1027)&lt;IF($D$4="Forint",Paraméterek!$L$223,Paraméterek!$L$224),0,VLOOKUP($AA143,Paraméterek!$K$230:$M$250,IF(SUMIF($AA$20:$AA$1027,$AA143,$AG$20:$AG$1027)&lt;IF($D$4="Forint",Paraméterek!$M$223,Paraméterek!$M$224),2,3))),0)</f>
        <v>0</v>
      </c>
      <c r="AJ143" s="13">
        <f ca="1">IF(AND($AA143&gt;=5,MOD($AA143,5)=0),IF($AB143=12,VLOOKUP($AA143,Paraméterek!$O$225:$P$240,2),0),IF(OR($AA143=3,$AA143=4),IF($AB143=12,VLOOKUP($AA143,Paraméterek!$O$225:$P$240,2,0),0),0))*$AG143</f>
        <v>0</v>
      </c>
      <c r="AK143" s="13">
        <f t="shared" ca="1" si="31"/>
        <v>0</v>
      </c>
      <c r="AL143" s="13">
        <f t="shared" ca="1" si="39"/>
        <v>0</v>
      </c>
      <c r="AM143" s="13">
        <f t="shared" ca="1" si="40"/>
        <v>0</v>
      </c>
      <c r="AO143" s="32">
        <v>124</v>
      </c>
      <c r="AP143" s="32">
        <v>11</v>
      </c>
      <c r="AQ143" s="32">
        <v>4</v>
      </c>
      <c r="AR143" s="13"/>
      <c r="AS143" s="32"/>
      <c r="AT143" s="13">
        <f t="shared" ca="1" si="41"/>
        <v>0</v>
      </c>
      <c r="AU143" s="33"/>
      <c r="AV143" s="13">
        <f t="shared" ca="1" si="32"/>
        <v>0</v>
      </c>
      <c r="AW143" s="13">
        <f ca="1">ROUNDUP(($AT143+$AV143)*VLOOKUP($AP143,Paraméterek!$P$38:$Q$38,2)/12*IF($D144="Nem",IF($M$13=0,1,$M$13),1),IF($D$4="Forint",0,2))</f>
        <v>0</v>
      </c>
      <c r="AX143" s="13"/>
      <c r="AY143" s="13"/>
      <c r="AZ143" s="13">
        <f>ROUNDUP(IF(SUM($AX143:$AY143)=0,0,IF(IF(ISBLANK($AY143),$AX143,$AY143)*Paraméterek!$J$112&lt;IF($D$4="Forint",Paraméterek!$J$113,Paraméterek!$K$113),IF($D$4="Forint",Paraméterek!$J$113,Paraméterek!$K$113),IF(IF(ISBLANK($AY143),$AX143,$AY143)*Paraméterek!$J$112&gt;IF($D$4="Forint",Paraméterek!$J$114,Paraméterek!$K$114),IF($D$4="Forint",Paraméterek!$J$114,Paraméterek!$K$114),IF(ISBLANK($AY143),$AX143,$AY143)*Paraméterek!$J$112))),IF($D$4="Forint",0,2))</f>
        <v>0</v>
      </c>
      <c r="BA143" s="13">
        <f ca="1">$AT143+$AV143-$AW143-IF(ROUNDDOWN(IF(ISBLANK($AY143),$AX143,$AY143),IF($D$4="Forint",0,2))&gt;$AT143+$AV143-$AW143-IF($D$4="Forint",Paraméterek!$J$114,Paraméterek!$K$114),0,ROUNDDOWN(IF(ISBLANK($AY143),$AX143,$AY143),IF($D$4="Forint",0,2))-$AZ143)</f>
        <v>0</v>
      </c>
      <c r="BB143" s="13">
        <f t="shared" ca="1" si="33"/>
        <v>0</v>
      </c>
      <c r="BD143" s="32">
        <v>124</v>
      </c>
      <c r="BE143" s="32">
        <v>11</v>
      </c>
      <c r="BF143" s="32">
        <v>4</v>
      </c>
      <c r="BG143" s="34">
        <f t="shared" ca="1" si="42"/>
        <v>2029</v>
      </c>
      <c r="BH143" s="32" t="str">
        <f ca="1">IF(MOD(MONTH($D$14)+$BD143-1,12)=Paraméterek!$C$288,"Igen","")</f>
        <v/>
      </c>
      <c r="BI143" s="13">
        <f ca="1">IF($BH143="Igen",MIN(ROUNDDOWN((SUMIF($BG$20:$BG$1027,$BG143-1,$K$20:$K$1027)-SUMIF($BG$20:$BG$1027,$BG143-1,$I$20:$I$1027))*Paraméterek!$C$289,IF($D$4="Forint",0,2)),IF($D$4="Forint",Paraméterek!$C$285,Paraméterek!$D$285)),0)</f>
        <v>0</v>
      </c>
      <c r="BJ143" s="13">
        <f t="shared" ca="1" si="34"/>
        <v>0</v>
      </c>
      <c r="BK143" s="13">
        <f t="shared" ca="1" si="43"/>
        <v>0</v>
      </c>
      <c r="BL143" s="33"/>
      <c r="BM143" s="13">
        <f t="shared" ca="1" si="35"/>
        <v>0</v>
      </c>
      <c r="BN143" s="13">
        <f ca="1">ROUNDUP(($BK143+$BM143)*VLOOKUP($BE143,Paraméterek!$P$38:$Q$38,2)/12*IF($D144="Nem",IF($M$13=0,1,$M$13),1),IF($D$4="Forint",0,2))</f>
        <v>0</v>
      </c>
      <c r="BO143" s="13">
        <f t="shared" ca="1" si="36"/>
        <v>0</v>
      </c>
      <c r="BP143" s="13">
        <f ca="1">IF($D144="Nem",$BO143,$BO143-ROUNDUP(SUM($BI$20:$BI143)*120%,IF($D$4="Forint",0,2)))</f>
        <v>0</v>
      </c>
    </row>
    <row r="144" spans="1:68" x14ac:dyDescent="0.2">
      <c r="A144" s="32">
        <v>125</v>
      </c>
      <c r="B144" s="32">
        <v>11</v>
      </c>
      <c r="C144" s="32">
        <v>5</v>
      </c>
      <c r="D144" s="32" t="str">
        <f t="shared" ca="1" si="22"/>
        <v>Nem</v>
      </c>
      <c r="E144" s="13">
        <f t="shared" ca="1" si="23"/>
        <v>0</v>
      </c>
      <c r="F144" s="13"/>
      <c r="G144" s="13"/>
      <c r="H144" s="13"/>
      <c r="I144" s="13">
        <f t="shared" ca="1" si="24"/>
        <v>0</v>
      </c>
      <c r="J144" s="13">
        <f t="shared" ca="1" si="25"/>
        <v>0</v>
      </c>
      <c r="K144" s="13">
        <f t="shared" ca="1" si="26"/>
        <v>0</v>
      </c>
      <c r="L144" s="13" t="e">
        <f ca="1">ROUNDUP(IF($D$2="Egyszeri",$E144,IF($D$2="Havi",SUM($E$20:$E$31),IF(MOD($C144,$M$1)-1=0,SUM($E$20:$E$31),0))/12*$M$1)*VLOOKUP($B144,Paraméterek!$I$28:$P$31,IF($D$2="Egyszeri",8,HLOOKUP(ROUNDUP($M$11+$M$13,0),Paraméterek!$J$26:$O$27,2))),IF($D$4="Forint",0,2))</f>
        <v>#N/A</v>
      </c>
      <c r="M144" s="13">
        <f t="shared" ca="1" si="27"/>
        <v>0</v>
      </c>
      <c r="N144" s="13">
        <f t="shared" ca="1" si="37"/>
        <v>0</v>
      </c>
      <c r="O144" s="13">
        <f ca="1">IF($D144="Igen",IF($W143&gt;=IF($D$4="Forint",Paraméterek!$J$121,Paraméterek!$K$121),0,IF($D$4="Forint",Paraméterek!$J$121,Paraméterek!$K$121)-$W143),0)</f>
        <v>0</v>
      </c>
      <c r="P144" s="13" t="e">
        <f ca="1">ROUNDUP($O144*VLOOKUP($M$4+$B144-1,Paraméterek!$H$58:$I$105,2,0)/Paraméterek!$I$56,IF($D$4="Forint",0,2))</f>
        <v>#N/A</v>
      </c>
      <c r="Q144" s="13">
        <f t="shared" ca="1" si="28"/>
        <v>0</v>
      </c>
      <c r="R144" s="33"/>
      <c r="S144" s="13" t="e">
        <f t="shared" ca="1" si="29"/>
        <v>#N/A</v>
      </c>
      <c r="T144" s="13" t="e">
        <f ca="1">ROUNDUP(($N144-$P144-$Q144+$S144)*VLOOKUP($B144,Paraméterek!$I$38:$K$39,IF($D$2="Egyszeri",3,2))/12*IF($D145="Nem",IF($M$13=0,1,$M$13),1),IF($D$4="Forint",0,2))</f>
        <v>#N/A</v>
      </c>
      <c r="U144" s="13"/>
      <c r="V144" s="13"/>
      <c r="W144" s="13" t="e">
        <f ca="1">$N144-$P144-$Q144+$S144-$T144-IF(ROUNDUP(IF(ISBLANK($V144),$U144*0,$V144)/IF($D$2="Egyszeri",VLOOKUP($B144+IF($C144=12,1,0),Paraméterek!$V$257:$W$262,2),IF($B144=1,1,VLOOKUP($B144+IF($C144=12,1,0),Paraméterek!$I$258:$T$278,HLOOKUP($M$11+1,Paraméterek!$J$256:$T$257,2)))),IF($D$4="Forint",0,2))&gt;$N144-$P144-$Q144+$S144-$T144-IF($D$4="Forint",Paraméterek!$C$216,Paraméterek!$D$216),0,ROUNDUP(IF(ISBLANK($V144),$U144*0,$V144)/IF($D$2="Egyszeri",VLOOKUP($B144+IF($C144=12,1,0),Paraméterek!$V$257:$W$262,2),IF($B144=1,1,VLOOKUP($B144+IF($C144=12,1,0),Paraméterek!$I$258:$T$278,HLOOKUP($M$11+1,Paraméterek!$J$256:$T$257,2)))),IF($D$4="Forint",0,2)))</f>
        <v>#N/A</v>
      </c>
      <c r="X144" s="13" t="e">
        <f ca="1">ROUNDDOWN($W144*IF($D$2="Egyszeri",VLOOKUP($B144+IF($C144=12,1,0),Paraméterek!$V$257:$W$262,2),VLOOKUP($B144+IF($C144=12,1,0),Paraméterek!$I$258:$T$278,HLOOKUP($M$11+1,Paraméterek!$I$256:$T$257,2))),IF($D$4="Forint",0,2))</f>
        <v>#N/A</v>
      </c>
      <c r="Z144" s="32">
        <v>125</v>
      </c>
      <c r="AA144" s="32">
        <v>11</v>
      </c>
      <c r="AB144" s="32">
        <v>5</v>
      </c>
      <c r="AC144" s="13">
        <f t="shared" ca="1" si="38"/>
        <v>0</v>
      </c>
      <c r="AD144" s="33"/>
      <c r="AE144" s="13">
        <f t="shared" ca="1" si="30"/>
        <v>0</v>
      </c>
      <c r="AF144" s="13">
        <f ca="1">ROUNDUP(($AC144+$AE144)*VLOOKUP($AA144,Paraméterek!$P$38:$Q$38,2)/12*IF($D145="Nem",IF($M$13=0,1,$M$13),1),IF($D$4="Forint",0,2))</f>
        <v>0</v>
      </c>
      <c r="AG144" s="13">
        <f ca="1">IF($D$2="Egyszeri",IF($D$7&gt;=IF($D$4="Forint",Paraméterek!$P$223,Paraméterek!$P$224),$D$7-IF($D$4="Forint",Paraméterek!$P$223,Paraméterek!$P$224),0),MIN(IF($AB144=12,AVERAGEIF($E$20:$E144,"&gt;0",$E$20:$E144)*12,0),SUM($E$20:$E$31)))</f>
        <v>0</v>
      </c>
      <c r="AH144" s="13">
        <f>IF($AA144=10,$AG144*IF($AB144=12,IF($AG144&lt;IF($D$4="Forint",Paraméterek!$L$223,Paraméterek!$L$224),0,VLOOKUP($AA144,Paraméterek!$K$226:$M$228,IF($AG144&lt;IF($D$4="Forint",Paraméterek!$M$223,Paraméterek!$M$224),2,3))),0),0)</f>
        <v>0</v>
      </c>
      <c r="AI144" s="13">
        <f ca="1">IF(AND($AA144=$M$11+1,$AB144=$M$12+1),SUMIF($AA$20:$AA$1027,$AA144,$AG$20:$AG$1027)*IF(SUMIF($AA$20:$AA$1027,$AA144,$AG$20:$AG$1027)&lt;IF($D$4="Forint",Paraméterek!$L$223,Paraméterek!$L$224),0,VLOOKUP($AA144,Paraméterek!$K$230:$M$250,IF(SUMIF($AA$20:$AA$1027,$AA144,$AG$20:$AG$1027)&lt;IF($D$4="Forint",Paraméterek!$M$223,Paraméterek!$M$224),2,3))),0)</f>
        <v>0</v>
      </c>
      <c r="AJ144" s="13">
        <f ca="1">IF(AND($AA144&gt;=5,MOD($AA144,5)=0),IF($AB144=12,VLOOKUP($AA144,Paraméterek!$O$225:$P$240,2),0),IF(OR($AA144=3,$AA144=4),IF($AB144=12,VLOOKUP($AA144,Paraméterek!$O$225:$P$240,2,0),0),0))*$AG144</f>
        <v>0</v>
      </c>
      <c r="AK144" s="13">
        <f t="shared" ca="1" si="31"/>
        <v>0</v>
      </c>
      <c r="AL144" s="13">
        <f t="shared" ca="1" si="39"/>
        <v>0</v>
      </c>
      <c r="AM144" s="13">
        <f t="shared" ca="1" si="40"/>
        <v>0</v>
      </c>
      <c r="AO144" s="32">
        <v>125</v>
      </c>
      <c r="AP144" s="32">
        <v>11</v>
      </c>
      <c r="AQ144" s="32">
        <v>5</v>
      </c>
      <c r="AR144" s="13"/>
      <c r="AS144" s="32"/>
      <c r="AT144" s="13">
        <f t="shared" ca="1" si="41"/>
        <v>0</v>
      </c>
      <c r="AU144" s="33"/>
      <c r="AV144" s="13">
        <f t="shared" ca="1" si="32"/>
        <v>0</v>
      </c>
      <c r="AW144" s="13">
        <f ca="1">ROUNDUP(($AT144+$AV144)*VLOOKUP($AP144,Paraméterek!$P$38:$Q$38,2)/12*IF($D145="Nem",IF($M$13=0,1,$M$13),1),IF($D$4="Forint",0,2))</f>
        <v>0</v>
      </c>
      <c r="AX144" s="13"/>
      <c r="AY144" s="13"/>
      <c r="AZ144" s="13">
        <f>ROUNDUP(IF(SUM($AX144:$AY144)=0,0,IF(IF(ISBLANK($AY144),$AX144,$AY144)*Paraméterek!$J$112&lt;IF($D$4="Forint",Paraméterek!$J$113,Paraméterek!$K$113),IF($D$4="Forint",Paraméterek!$J$113,Paraméterek!$K$113),IF(IF(ISBLANK($AY144),$AX144,$AY144)*Paraméterek!$J$112&gt;IF($D$4="Forint",Paraméterek!$J$114,Paraméterek!$K$114),IF($D$4="Forint",Paraméterek!$J$114,Paraméterek!$K$114),IF(ISBLANK($AY144),$AX144,$AY144)*Paraméterek!$J$112))),IF($D$4="Forint",0,2))</f>
        <v>0</v>
      </c>
      <c r="BA144" s="13">
        <f ca="1">$AT144+$AV144-$AW144-IF(ROUNDDOWN(IF(ISBLANK($AY144),$AX144,$AY144),IF($D$4="Forint",0,2))&gt;$AT144+$AV144-$AW144-IF($D$4="Forint",Paraméterek!$J$114,Paraméterek!$K$114),0,ROUNDDOWN(IF(ISBLANK($AY144),$AX144,$AY144),IF($D$4="Forint",0,2))-$AZ144)</f>
        <v>0</v>
      </c>
      <c r="BB144" s="13">
        <f t="shared" ca="1" si="33"/>
        <v>0</v>
      </c>
      <c r="BD144" s="32">
        <v>125</v>
      </c>
      <c r="BE144" s="32">
        <v>11</v>
      </c>
      <c r="BF144" s="32">
        <v>5</v>
      </c>
      <c r="BG144" s="34">
        <f t="shared" ca="1" si="42"/>
        <v>2029</v>
      </c>
      <c r="BH144" s="32" t="str">
        <f ca="1">IF(MOD(MONTH($D$14)+$BD144-1,12)=Paraméterek!$C$288,"Igen","")</f>
        <v/>
      </c>
      <c r="BI144" s="13">
        <f ca="1">IF($BH144="Igen",MIN(ROUNDDOWN((SUMIF($BG$20:$BG$1027,$BG144-1,$K$20:$K$1027)-SUMIF($BG$20:$BG$1027,$BG144-1,$I$20:$I$1027))*Paraméterek!$C$289,IF($D$4="Forint",0,2)),IF($D$4="Forint",Paraméterek!$C$285,Paraméterek!$D$285)),0)</f>
        <v>0</v>
      </c>
      <c r="BJ144" s="13">
        <f t="shared" ca="1" si="34"/>
        <v>0</v>
      </c>
      <c r="BK144" s="13">
        <f t="shared" ca="1" si="43"/>
        <v>0</v>
      </c>
      <c r="BL144" s="33"/>
      <c r="BM144" s="13">
        <f t="shared" ca="1" si="35"/>
        <v>0</v>
      </c>
      <c r="BN144" s="13">
        <f ca="1">ROUNDUP(($BK144+$BM144)*VLOOKUP($BE144,Paraméterek!$P$38:$Q$38,2)/12*IF($D145="Nem",IF($M$13=0,1,$M$13),1),IF($D$4="Forint",0,2))</f>
        <v>0</v>
      </c>
      <c r="BO144" s="13">
        <f t="shared" ca="1" si="36"/>
        <v>0</v>
      </c>
      <c r="BP144" s="13">
        <f ca="1">IF($D145="Nem",$BO144,$BO144-ROUNDUP(SUM($BI$20:$BI144)*120%,IF($D$4="Forint",0,2)))</f>
        <v>0</v>
      </c>
    </row>
    <row r="145" spans="1:68" x14ac:dyDescent="0.2">
      <c r="A145" s="32">
        <v>126</v>
      </c>
      <c r="B145" s="32">
        <v>11</v>
      </c>
      <c r="C145" s="32">
        <v>6</v>
      </c>
      <c r="D145" s="32" t="str">
        <f t="shared" ca="1" si="22"/>
        <v>Nem</v>
      </c>
      <c r="E145" s="13">
        <f t="shared" ca="1" si="23"/>
        <v>0</v>
      </c>
      <c r="F145" s="13"/>
      <c r="G145" s="13"/>
      <c r="H145" s="13"/>
      <c r="I145" s="13">
        <f t="shared" ca="1" si="24"/>
        <v>0</v>
      </c>
      <c r="J145" s="13">
        <f t="shared" ca="1" si="25"/>
        <v>0</v>
      </c>
      <c r="K145" s="13">
        <f t="shared" ca="1" si="26"/>
        <v>0</v>
      </c>
      <c r="L145" s="13" t="e">
        <f ca="1">ROUNDUP(IF($D$2="Egyszeri",$E145,IF($D$2="Havi",SUM($E$20:$E$31),IF(MOD($C145,$M$1)-1=0,SUM($E$20:$E$31),0))/12*$M$1)*VLOOKUP($B145,Paraméterek!$I$28:$P$31,IF($D$2="Egyszeri",8,HLOOKUP(ROUNDUP($M$11+$M$13,0),Paraméterek!$J$26:$O$27,2))),IF($D$4="Forint",0,2))</f>
        <v>#N/A</v>
      </c>
      <c r="M145" s="13">
        <f t="shared" ca="1" si="27"/>
        <v>0</v>
      </c>
      <c r="N145" s="13">
        <f t="shared" ca="1" si="37"/>
        <v>0</v>
      </c>
      <c r="O145" s="13">
        <f ca="1">IF($D145="Igen",IF($W144&gt;=IF($D$4="Forint",Paraméterek!$J$121,Paraméterek!$K$121),0,IF($D$4="Forint",Paraméterek!$J$121,Paraméterek!$K$121)-$W144),0)</f>
        <v>0</v>
      </c>
      <c r="P145" s="13" t="e">
        <f ca="1">ROUNDUP($O145*VLOOKUP($M$4+$B145-1,Paraméterek!$H$58:$I$105,2,0)/Paraméterek!$I$56,IF($D$4="Forint",0,2))</f>
        <v>#N/A</v>
      </c>
      <c r="Q145" s="13">
        <f t="shared" ca="1" si="28"/>
        <v>0</v>
      </c>
      <c r="R145" s="33"/>
      <c r="S145" s="13" t="e">
        <f t="shared" ca="1" si="29"/>
        <v>#N/A</v>
      </c>
      <c r="T145" s="13" t="e">
        <f ca="1">ROUNDUP(($N145-$P145-$Q145+$S145)*VLOOKUP($B145,Paraméterek!$I$38:$K$39,IF($D$2="Egyszeri",3,2))/12*IF($D146="Nem",IF($M$13=0,1,$M$13),1),IF($D$4="Forint",0,2))</f>
        <v>#N/A</v>
      </c>
      <c r="U145" s="13"/>
      <c r="V145" s="13"/>
      <c r="W145" s="13" t="e">
        <f ca="1">$N145-$P145-$Q145+$S145-$T145-IF(ROUNDUP(IF(ISBLANK($V145),$U145*0,$V145)/IF($D$2="Egyszeri",VLOOKUP($B145+IF($C145=12,1,0),Paraméterek!$V$257:$W$262,2),IF($B145=1,1,VLOOKUP($B145+IF($C145=12,1,0),Paraméterek!$I$258:$T$278,HLOOKUP($M$11+1,Paraméterek!$J$256:$T$257,2)))),IF($D$4="Forint",0,2))&gt;$N145-$P145-$Q145+$S145-$T145-IF($D$4="Forint",Paraméterek!$C$216,Paraméterek!$D$216),0,ROUNDUP(IF(ISBLANK($V145),$U145*0,$V145)/IF($D$2="Egyszeri",VLOOKUP($B145+IF($C145=12,1,0),Paraméterek!$V$257:$W$262,2),IF($B145=1,1,VLOOKUP($B145+IF($C145=12,1,0),Paraméterek!$I$258:$T$278,HLOOKUP($M$11+1,Paraméterek!$J$256:$T$257,2)))),IF($D$4="Forint",0,2)))</f>
        <v>#N/A</v>
      </c>
      <c r="X145" s="13" t="e">
        <f ca="1">ROUNDDOWN($W145*IF($D$2="Egyszeri",VLOOKUP($B145+IF($C145=12,1,0),Paraméterek!$V$257:$W$262,2),VLOOKUP($B145+IF($C145=12,1,0),Paraméterek!$I$258:$T$278,HLOOKUP($M$11+1,Paraméterek!$I$256:$T$257,2))),IF($D$4="Forint",0,2))</f>
        <v>#N/A</v>
      </c>
      <c r="Z145" s="32">
        <v>126</v>
      </c>
      <c r="AA145" s="32">
        <v>11</v>
      </c>
      <c r="AB145" s="32">
        <v>6</v>
      </c>
      <c r="AC145" s="13">
        <f t="shared" ca="1" si="38"/>
        <v>0</v>
      </c>
      <c r="AD145" s="33"/>
      <c r="AE145" s="13">
        <f t="shared" ca="1" si="30"/>
        <v>0</v>
      </c>
      <c r="AF145" s="13">
        <f ca="1">ROUNDUP(($AC145+$AE145)*VLOOKUP($AA145,Paraméterek!$P$38:$Q$38,2)/12*IF($D146="Nem",IF($M$13=0,1,$M$13),1),IF($D$4="Forint",0,2))</f>
        <v>0</v>
      </c>
      <c r="AG145" s="13">
        <f ca="1">IF($D$2="Egyszeri",IF($D$7&gt;=IF($D$4="Forint",Paraméterek!$P$223,Paraméterek!$P$224),$D$7-IF($D$4="Forint",Paraméterek!$P$223,Paraméterek!$P$224),0),MIN(IF($AB145=12,AVERAGEIF($E$20:$E145,"&gt;0",$E$20:$E145)*12,0),SUM($E$20:$E$31)))</f>
        <v>0</v>
      </c>
      <c r="AH145" s="13">
        <f>IF($AA145=10,$AG145*IF($AB145=12,IF($AG145&lt;IF($D$4="Forint",Paraméterek!$L$223,Paraméterek!$L$224),0,VLOOKUP($AA145,Paraméterek!$K$226:$M$228,IF($AG145&lt;IF($D$4="Forint",Paraméterek!$M$223,Paraméterek!$M$224),2,3))),0),0)</f>
        <v>0</v>
      </c>
      <c r="AI145" s="13">
        <f ca="1">IF(AND($AA145=$M$11+1,$AB145=$M$12+1),SUMIF($AA$20:$AA$1027,$AA145,$AG$20:$AG$1027)*IF(SUMIF($AA$20:$AA$1027,$AA145,$AG$20:$AG$1027)&lt;IF($D$4="Forint",Paraméterek!$L$223,Paraméterek!$L$224),0,VLOOKUP($AA145,Paraméterek!$K$230:$M$250,IF(SUMIF($AA$20:$AA$1027,$AA145,$AG$20:$AG$1027)&lt;IF($D$4="Forint",Paraméterek!$M$223,Paraméterek!$M$224),2,3))),0)</f>
        <v>0</v>
      </c>
      <c r="AJ145" s="13">
        <f ca="1">IF(AND($AA145&gt;=5,MOD($AA145,5)=0),IF($AB145=12,VLOOKUP($AA145,Paraméterek!$O$225:$P$240,2),0),IF(OR($AA145=3,$AA145=4),IF($AB145=12,VLOOKUP($AA145,Paraméterek!$O$225:$P$240,2,0),0),0))*$AG145</f>
        <v>0</v>
      </c>
      <c r="AK145" s="13">
        <f t="shared" ca="1" si="31"/>
        <v>0</v>
      </c>
      <c r="AL145" s="13">
        <f t="shared" ca="1" si="39"/>
        <v>0</v>
      </c>
      <c r="AM145" s="13">
        <f t="shared" ca="1" si="40"/>
        <v>0</v>
      </c>
      <c r="AO145" s="32">
        <v>126</v>
      </c>
      <c r="AP145" s="32">
        <v>11</v>
      </c>
      <c r="AQ145" s="32">
        <v>6</v>
      </c>
      <c r="AR145" s="13"/>
      <c r="AS145" s="32"/>
      <c r="AT145" s="13">
        <f t="shared" ca="1" si="41"/>
        <v>0</v>
      </c>
      <c r="AU145" s="33"/>
      <c r="AV145" s="13">
        <f t="shared" ca="1" si="32"/>
        <v>0</v>
      </c>
      <c r="AW145" s="13">
        <f ca="1">ROUNDUP(($AT145+$AV145)*VLOOKUP($AP145,Paraméterek!$P$38:$Q$38,2)/12*IF($D146="Nem",IF($M$13=0,1,$M$13),1),IF($D$4="Forint",0,2))</f>
        <v>0</v>
      </c>
      <c r="AX145" s="13"/>
      <c r="AY145" s="13"/>
      <c r="AZ145" s="13">
        <f>ROUNDUP(IF(SUM($AX145:$AY145)=0,0,IF(IF(ISBLANK($AY145),$AX145,$AY145)*Paraméterek!$J$112&lt;IF($D$4="Forint",Paraméterek!$J$113,Paraméterek!$K$113),IF($D$4="Forint",Paraméterek!$J$113,Paraméterek!$K$113),IF(IF(ISBLANK($AY145),$AX145,$AY145)*Paraméterek!$J$112&gt;IF($D$4="Forint",Paraméterek!$J$114,Paraméterek!$K$114),IF($D$4="Forint",Paraméterek!$J$114,Paraméterek!$K$114),IF(ISBLANK($AY145),$AX145,$AY145)*Paraméterek!$J$112))),IF($D$4="Forint",0,2))</f>
        <v>0</v>
      </c>
      <c r="BA145" s="13">
        <f ca="1">$AT145+$AV145-$AW145-IF(ROUNDDOWN(IF(ISBLANK($AY145),$AX145,$AY145),IF($D$4="Forint",0,2))&gt;$AT145+$AV145-$AW145-IF($D$4="Forint",Paraméterek!$J$114,Paraméterek!$K$114),0,ROUNDDOWN(IF(ISBLANK($AY145),$AX145,$AY145),IF($D$4="Forint",0,2))-$AZ145)</f>
        <v>0</v>
      </c>
      <c r="BB145" s="13">
        <f t="shared" ca="1" si="33"/>
        <v>0</v>
      </c>
      <c r="BD145" s="32">
        <v>126</v>
      </c>
      <c r="BE145" s="32">
        <v>11</v>
      </c>
      <c r="BF145" s="32">
        <v>6</v>
      </c>
      <c r="BG145" s="34">
        <f t="shared" ca="1" si="42"/>
        <v>2029</v>
      </c>
      <c r="BH145" s="32" t="str">
        <f ca="1">IF(MOD(MONTH($D$14)+$BD145-1,12)=Paraméterek!$C$288,"Igen","")</f>
        <v/>
      </c>
      <c r="BI145" s="13">
        <f ca="1">IF($BH145="Igen",MIN(ROUNDDOWN((SUMIF($BG$20:$BG$1027,$BG145-1,$K$20:$K$1027)-SUMIF($BG$20:$BG$1027,$BG145-1,$I$20:$I$1027))*Paraméterek!$C$289,IF($D$4="Forint",0,2)),IF($D$4="Forint",Paraméterek!$C$285,Paraméterek!$D$285)),0)</f>
        <v>0</v>
      </c>
      <c r="BJ145" s="13">
        <f t="shared" ca="1" si="34"/>
        <v>0</v>
      </c>
      <c r="BK145" s="13">
        <f t="shared" ca="1" si="43"/>
        <v>0</v>
      </c>
      <c r="BL145" s="33"/>
      <c r="BM145" s="13">
        <f t="shared" ca="1" si="35"/>
        <v>0</v>
      </c>
      <c r="BN145" s="13">
        <f ca="1">ROUNDUP(($BK145+$BM145)*VLOOKUP($BE145,Paraméterek!$P$38:$Q$38,2)/12*IF($D146="Nem",IF($M$13=0,1,$M$13),1),IF($D$4="Forint",0,2))</f>
        <v>0</v>
      </c>
      <c r="BO145" s="13">
        <f t="shared" ca="1" si="36"/>
        <v>0</v>
      </c>
      <c r="BP145" s="13">
        <f ca="1">IF($D146="Nem",$BO145,$BO145-ROUNDUP(SUM($BI$20:$BI145)*120%,IF($D$4="Forint",0,2)))</f>
        <v>0</v>
      </c>
    </row>
    <row r="146" spans="1:68" x14ac:dyDescent="0.2">
      <c r="A146" s="32">
        <v>127</v>
      </c>
      <c r="B146" s="32">
        <v>11</v>
      </c>
      <c r="C146" s="32">
        <v>7</v>
      </c>
      <c r="D146" s="32" t="str">
        <f t="shared" ca="1" si="22"/>
        <v>Nem</v>
      </c>
      <c r="E146" s="13">
        <f t="shared" ca="1" si="23"/>
        <v>0</v>
      </c>
      <c r="F146" s="13"/>
      <c r="G146" s="13"/>
      <c r="H146" s="13"/>
      <c r="I146" s="13">
        <f t="shared" ca="1" si="24"/>
        <v>0</v>
      </c>
      <c r="J146" s="13">
        <f t="shared" ca="1" si="25"/>
        <v>0</v>
      </c>
      <c r="K146" s="13">
        <f t="shared" ca="1" si="26"/>
        <v>0</v>
      </c>
      <c r="L146" s="13" t="e">
        <f ca="1">ROUNDUP(IF($D$2="Egyszeri",$E146,IF($D$2="Havi",SUM($E$20:$E$31),IF(MOD($C146,$M$1)-1=0,SUM($E$20:$E$31),0))/12*$M$1)*VLOOKUP($B146,Paraméterek!$I$28:$P$31,IF($D$2="Egyszeri",8,HLOOKUP(ROUNDUP($M$11+$M$13,0),Paraméterek!$J$26:$O$27,2))),IF($D$4="Forint",0,2))</f>
        <v>#N/A</v>
      </c>
      <c r="M146" s="13">
        <f t="shared" ca="1" si="27"/>
        <v>0</v>
      </c>
      <c r="N146" s="13">
        <f t="shared" ca="1" si="37"/>
        <v>0</v>
      </c>
      <c r="O146" s="13">
        <f ca="1">IF($D146="Igen",IF($W145&gt;=IF($D$4="Forint",Paraméterek!$J$121,Paraméterek!$K$121),0,IF($D$4="Forint",Paraméterek!$J$121,Paraméterek!$K$121)-$W145),0)</f>
        <v>0</v>
      </c>
      <c r="P146" s="13" t="e">
        <f ca="1">ROUNDUP($O146*VLOOKUP($M$4+$B146-1,Paraméterek!$H$58:$I$105,2,0)/Paraméterek!$I$56,IF($D$4="Forint",0,2))</f>
        <v>#N/A</v>
      </c>
      <c r="Q146" s="13">
        <f t="shared" ca="1" si="28"/>
        <v>0</v>
      </c>
      <c r="R146" s="33"/>
      <c r="S146" s="13" t="e">
        <f t="shared" ca="1" si="29"/>
        <v>#N/A</v>
      </c>
      <c r="T146" s="13" t="e">
        <f ca="1">ROUNDUP(($N146-$P146-$Q146+$S146)*VLOOKUP($B146,Paraméterek!$I$38:$K$39,IF($D$2="Egyszeri",3,2))/12*IF($D147="Nem",IF($M$13=0,1,$M$13),1),IF($D$4="Forint",0,2))</f>
        <v>#N/A</v>
      </c>
      <c r="U146" s="13"/>
      <c r="V146" s="13"/>
      <c r="W146" s="13" t="e">
        <f ca="1">$N146-$P146-$Q146+$S146-$T146-IF(ROUNDUP(IF(ISBLANK($V146),$U146*0,$V146)/IF($D$2="Egyszeri",VLOOKUP($B146+IF($C146=12,1,0),Paraméterek!$V$257:$W$262,2),IF($B146=1,1,VLOOKUP($B146+IF($C146=12,1,0),Paraméterek!$I$258:$T$278,HLOOKUP($M$11+1,Paraméterek!$J$256:$T$257,2)))),IF($D$4="Forint",0,2))&gt;$N146-$P146-$Q146+$S146-$T146-IF($D$4="Forint",Paraméterek!$C$216,Paraméterek!$D$216),0,ROUNDUP(IF(ISBLANK($V146),$U146*0,$V146)/IF($D$2="Egyszeri",VLOOKUP($B146+IF($C146=12,1,0),Paraméterek!$V$257:$W$262,2),IF($B146=1,1,VLOOKUP($B146+IF($C146=12,1,0),Paraméterek!$I$258:$T$278,HLOOKUP($M$11+1,Paraméterek!$J$256:$T$257,2)))),IF($D$4="Forint",0,2)))</f>
        <v>#N/A</v>
      </c>
      <c r="X146" s="13" t="e">
        <f ca="1">ROUNDDOWN($W146*IF($D$2="Egyszeri",VLOOKUP($B146+IF($C146=12,1,0),Paraméterek!$V$257:$W$262,2),VLOOKUP($B146+IF($C146=12,1,0),Paraméterek!$I$258:$T$278,HLOOKUP($M$11+1,Paraméterek!$I$256:$T$257,2))),IF($D$4="Forint",0,2))</f>
        <v>#N/A</v>
      </c>
      <c r="Z146" s="32">
        <v>127</v>
      </c>
      <c r="AA146" s="32">
        <v>11</v>
      </c>
      <c r="AB146" s="32">
        <v>7</v>
      </c>
      <c r="AC146" s="13">
        <f t="shared" ca="1" si="38"/>
        <v>0</v>
      </c>
      <c r="AD146" s="33"/>
      <c r="AE146" s="13">
        <f t="shared" ca="1" si="30"/>
        <v>0</v>
      </c>
      <c r="AF146" s="13">
        <f ca="1">ROUNDUP(($AC146+$AE146)*VLOOKUP($AA146,Paraméterek!$P$38:$Q$38,2)/12*IF($D147="Nem",IF($M$13=0,1,$M$13),1),IF($D$4="Forint",0,2))</f>
        <v>0</v>
      </c>
      <c r="AG146" s="13">
        <f ca="1">IF($D$2="Egyszeri",IF($D$7&gt;=IF($D$4="Forint",Paraméterek!$P$223,Paraméterek!$P$224),$D$7-IF($D$4="Forint",Paraméterek!$P$223,Paraméterek!$P$224),0),MIN(IF($AB146=12,AVERAGEIF($E$20:$E146,"&gt;0",$E$20:$E146)*12,0),SUM($E$20:$E$31)))</f>
        <v>0</v>
      </c>
      <c r="AH146" s="13">
        <f>IF($AA146=10,$AG146*IF($AB146=12,IF($AG146&lt;IF($D$4="Forint",Paraméterek!$L$223,Paraméterek!$L$224),0,VLOOKUP($AA146,Paraméterek!$K$226:$M$228,IF($AG146&lt;IF($D$4="Forint",Paraméterek!$M$223,Paraméterek!$M$224),2,3))),0),0)</f>
        <v>0</v>
      </c>
      <c r="AI146" s="13">
        <f ca="1">IF(AND($AA146=$M$11+1,$AB146=$M$12+1),SUMIF($AA$20:$AA$1027,$AA146,$AG$20:$AG$1027)*IF(SUMIF($AA$20:$AA$1027,$AA146,$AG$20:$AG$1027)&lt;IF($D$4="Forint",Paraméterek!$L$223,Paraméterek!$L$224),0,VLOOKUP($AA146,Paraméterek!$K$230:$M$250,IF(SUMIF($AA$20:$AA$1027,$AA146,$AG$20:$AG$1027)&lt;IF($D$4="Forint",Paraméterek!$M$223,Paraméterek!$M$224),2,3))),0)</f>
        <v>0</v>
      </c>
      <c r="AJ146" s="13">
        <f ca="1">IF(AND($AA146&gt;=5,MOD($AA146,5)=0),IF($AB146=12,VLOOKUP($AA146,Paraméterek!$O$225:$P$240,2),0),IF(OR($AA146=3,$AA146=4),IF($AB146=12,VLOOKUP($AA146,Paraméterek!$O$225:$P$240,2,0),0),0))*$AG146</f>
        <v>0</v>
      </c>
      <c r="AK146" s="13">
        <f t="shared" ca="1" si="31"/>
        <v>0</v>
      </c>
      <c r="AL146" s="13">
        <f t="shared" ca="1" si="39"/>
        <v>0</v>
      </c>
      <c r="AM146" s="13">
        <f t="shared" ca="1" si="40"/>
        <v>0</v>
      </c>
      <c r="AO146" s="32">
        <v>127</v>
      </c>
      <c r="AP146" s="32">
        <v>11</v>
      </c>
      <c r="AQ146" s="32">
        <v>7</v>
      </c>
      <c r="AR146" s="13"/>
      <c r="AS146" s="32"/>
      <c r="AT146" s="13">
        <f t="shared" ca="1" si="41"/>
        <v>0</v>
      </c>
      <c r="AU146" s="33"/>
      <c r="AV146" s="13">
        <f t="shared" ca="1" si="32"/>
        <v>0</v>
      </c>
      <c r="AW146" s="13">
        <f ca="1">ROUNDUP(($AT146+$AV146)*VLOOKUP($AP146,Paraméterek!$P$38:$Q$38,2)/12*IF($D147="Nem",IF($M$13=0,1,$M$13),1),IF($D$4="Forint",0,2))</f>
        <v>0</v>
      </c>
      <c r="AX146" s="13"/>
      <c r="AY146" s="13"/>
      <c r="AZ146" s="13">
        <f>ROUNDUP(IF(SUM($AX146:$AY146)=0,0,IF(IF(ISBLANK($AY146),$AX146,$AY146)*Paraméterek!$J$112&lt;IF($D$4="Forint",Paraméterek!$J$113,Paraméterek!$K$113),IF($D$4="Forint",Paraméterek!$J$113,Paraméterek!$K$113),IF(IF(ISBLANK($AY146),$AX146,$AY146)*Paraméterek!$J$112&gt;IF($D$4="Forint",Paraméterek!$J$114,Paraméterek!$K$114),IF($D$4="Forint",Paraméterek!$J$114,Paraméterek!$K$114),IF(ISBLANK($AY146),$AX146,$AY146)*Paraméterek!$J$112))),IF($D$4="Forint",0,2))</f>
        <v>0</v>
      </c>
      <c r="BA146" s="13">
        <f ca="1">$AT146+$AV146-$AW146-IF(ROUNDDOWN(IF(ISBLANK($AY146),$AX146,$AY146),IF($D$4="Forint",0,2))&gt;$AT146+$AV146-$AW146-IF($D$4="Forint",Paraméterek!$J$114,Paraméterek!$K$114),0,ROUNDDOWN(IF(ISBLANK($AY146),$AX146,$AY146),IF($D$4="Forint",0,2))-$AZ146)</f>
        <v>0</v>
      </c>
      <c r="BB146" s="13">
        <f t="shared" ca="1" si="33"/>
        <v>0</v>
      </c>
      <c r="BD146" s="32">
        <v>127</v>
      </c>
      <c r="BE146" s="32">
        <v>11</v>
      </c>
      <c r="BF146" s="32">
        <v>7</v>
      </c>
      <c r="BG146" s="34">
        <f t="shared" ca="1" si="42"/>
        <v>2029</v>
      </c>
      <c r="BH146" s="32" t="str">
        <f ca="1">IF(MOD(MONTH($D$14)+$BD146-1,12)=Paraméterek!$C$288,"Igen","")</f>
        <v/>
      </c>
      <c r="BI146" s="13">
        <f ca="1">IF($BH146="Igen",MIN(ROUNDDOWN((SUMIF($BG$20:$BG$1027,$BG146-1,$K$20:$K$1027)-SUMIF($BG$20:$BG$1027,$BG146-1,$I$20:$I$1027))*Paraméterek!$C$289,IF($D$4="Forint",0,2)),IF($D$4="Forint",Paraméterek!$C$285,Paraméterek!$D$285)),0)</f>
        <v>0</v>
      </c>
      <c r="BJ146" s="13">
        <f t="shared" ca="1" si="34"/>
        <v>0</v>
      </c>
      <c r="BK146" s="13">
        <f t="shared" ca="1" si="43"/>
        <v>0</v>
      </c>
      <c r="BL146" s="33"/>
      <c r="BM146" s="13">
        <f t="shared" ca="1" si="35"/>
        <v>0</v>
      </c>
      <c r="BN146" s="13">
        <f ca="1">ROUNDUP(($BK146+$BM146)*VLOOKUP($BE146,Paraméterek!$P$38:$Q$38,2)/12*IF($D147="Nem",IF($M$13=0,1,$M$13),1),IF($D$4="Forint",0,2))</f>
        <v>0</v>
      </c>
      <c r="BO146" s="13">
        <f t="shared" ca="1" si="36"/>
        <v>0</v>
      </c>
      <c r="BP146" s="13">
        <f ca="1">IF($D147="Nem",$BO146,$BO146-ROUNDUP(SUM($BI$20:$BI146)*120%,IF($D$4="Forint",0,2)))</f>
        <v>0</v>
      </c>
    </row>
    <row r="147" spans="1:68" x14ac:dyDescent="0.2">
      <c r="A147" s="32">
        <v>128</v>
      </c>
      <c r="B147" s="32">
        <v>11</v>
      </c>
      <c r="C147" s="32">
        <v>8</v>
      </c>
      <c r="D147" s="32" t="str">
        <f t="shared" ca="1" si="22"/>
        <v>Nem</v>
      </c>
      <c r="E147" s="13">
        <f t="shared" ca="1" si="23"/>
        <v>0</v>
      </c>
      <c r="F147" s="13"/>
      <c r="G147" s="13"/>
      <c r="H147" s="13"/>
      <c r="I147" s="13">
        <f t="shared" ca="1" si="24"/>
        <v>0</v>
      </c>
      <c r="J147" s="13">
        <f t="shared" ca="1" si="25"/>
        <v>0</v>
      </c>
      <c r="K147" s="13">
        <f t="shared" ca="1" si="26"/>
        <v>0</v>
      </c>
      <c r="L147" s="13" t="e">
        <f ca="1">ROUNDUP(IF($D$2="Egyszeri",$E147,IF($D$2="Havi",SUM($E$20:$E$31),IF(MOD($C147,$M$1)-1=0,SUM($E$20:$E$31),0))/12*$M$1)*VLOOKUP($B147,Paraméterek!$I$28:$P$31,IF($D$2="Egyszeri",8,HLOOKUP(ROUNDUP($M$11+$M$13,0),Paraméterek!$J$26:$O$27,2))),IF($D$4="Forint",0,2))</f>
        <v>#N/A</v>
      </c>
      <c r="M147" s="13">
        <f t="shared" ca="1" si="27"/>
        <v>0</v>
      </c>
      <c r="N147" s="13">
        <f t="shared" ca="1" si="37"/>
        <v>0</v>
      </c>
      <c r="O147" s="13">
        <f ca="1">IF($D147="Igen",IF($W146&gt;=IF($D$4="Forint",Paraméterek!$J$121,Paraméterek!$K$121),0,IF($D$4="Forint",Paraméterek!$J$121,Paraméterek!$K$121)-$W146),0)</f>
        <v>0</v>
      </c>
      <c r="P147" s="13" t="e">
        <f ca="1">ROUNDUP($O147*VLOOKUP($M$4+$B147-1,Paraméterek!$H$58:$I$105,2,0)/Paraméterek!$I$56,IF($D$4="Forint",0,2))</f>
        <v>#N/A</v>
      </c>
      <c r="Q147" s="13">
        <f t="shared" ca="1" si="28"/>
        <v>0</v>
      </c>
      <c r="R147" s="33"/>
      <c r="S147" s="13" t="e">
        <f t="shared" ca="1" si="29"/>
        <v>#N/A</v>
      </c>
      <c r="T147" s="13" t="e">
        <f ca="1">ROUNDUP(($N147-$P147-$Q147+$S147)*VLOOKUP($B147,Paraméterek!$I$38:$K$39,IF($D$2="Egyszeri",3,2))/12*IF($D148="Nem",IF($M$13=0,1,$M$13),1),IF($D$4="Forint",0,2))</f>
        <v>#N/A</v>
      </c>
      <c r="U147" s="13"/>
      <c r="V147" s="13"/>
      <c r="W147" s="13" t="e">
        <f ca="1">$N147-$P147-$Q147+$S147-$T147-IF(ROUNDUP(IF(ISBLANK($V147),$U147*0,$V147)/IF($D$2="Egyszeri",VLOOKUP($B147+IF($C147=12,1,0),Paraméterek!$V$257:$W$262,2),IF($B147=1,1,VLOOKUP($B147+IF($C147=12,1,0),Paraméterek!$I$258:$T$278,HLOOKUP($M$11+1,Paraméterek!$J$256:$T$257,2)))),IF($D$4="Forint",0,2))&gt;$N147-$P147-$Q147+$S147-$T147-IF($D$4="Forint",Paraméterek!$C$216,Paraméterek!$D$216),0,ROUNDUP(IF(ISBLANK($V147),$U147*0,$V147)/IF($D$2="Egyszeri",VLOOKUP($B147+IF($C147=12,1,0),Paraméterek!$V$257:$W$262,2),IF($B147=1,1,VLOOKUP($B147+IF($C147=12,1,0),Paraméterek!$I$258:$T$278,HLOOKUP($M$11+1,Paraméterek!$J$256:$T$257,2)))),IF($D$4="Forint",0,2)))</f>
        <v>#N/A</v>
      </c>
      <c r="X147" s="13" t="e">
        <f ca="1">ROUNDDOWN($W147*IF($D$2="Egyszeri",VLOOKUP($B147+IF($C147=12,1,0),Paraméterek!$V$257:$W$262,2),VLOOKUP($B147+IF($C147=12,1,0),Paraméterek!$I$258:$T$278,HLOOKUP($M$11+1,Paraméterek!$I$256:$T$257,2))),IF($D$4="Forint",0,2))</f>
        <v>#N/A</v>
      </c>
      <c r="Z147" s="32">
        <v>128</v>
      </c>
      <c r="AA147" s="32">
        <v>11</v>
      </c>
      <c r="AB147" s="32">
        <v>8</v>
      </c>
      <c r="AC147" s="13">
        <f t="shared" ca="1" si="38"/>
        <v>0</v>
      </c>
      <c r="AD147" s="33"/>
      <c r="AE147" s="13">
        <f t="shared" ca="1" si="30"/>
        <v>0</v>
      </c>
      <c r="AF147" s="13">
        <f ca="1">ROUNDUP(($AC147+$AE147)*VLOOKUP($AA147,Paraméterek!$P$38:$Q$38,2)/12*IF($D148="Nem",IF($M$13=0,1,$M$13),1),IF($D$4="Forint",0,2))</f>
        <v>0</v>
      </c>
      <c r="AG147" s="13">
        <f ca="1">IF($D$2="Egyszeri",IF($D$7&gt;=IF($D$4="Forint",Paraméterek!$P$223,Paraméterek!$P$224),$D$7-IF($D$4="Forint",Paraméterek!$P$223,Paraméterek!$P$224),0),MIN(IF($AB147=12,AVERAGEIF($E$20:$E147,"&gt;0",$E$20:$E147)*12,0),SUM($E$20:$E$31)))</f>
        <v>0</v>
      </c>
      <c r="AH147" s="13">
        <f>IF($AA147=10,$AG147*IF($AB147=12,IF($AG147&lt;IF($D$4="Forint",Paraméterek!$L$223,Paraméterek!$L$224),0,VLOOKUP($AA147,Paraméterek!$K$226:$M$228,IF($AG147&lt;IF($D$4="Forint",Paraméterek!$M$223,Paraméterek!$M$224),2,3))),0),0)</f>
        <v>0</v>
      </c>
      <c r="AI147" s="13">
        <f ca="1">IF(AND($AA147=$M$11+1,$AB147=$M$12+1),SUMIF($AA$20:$AA$1027,$AA147,$AG$20:$AG$1027)*IF(SUMIF($AA$20:$AA$1027,$AA147,$AG$20:$AG$1027)&lt;IF($D$4="Forint",Paraméterek!$L$223,Paraméterek!$L$224),0,VLOOKUP($AA147,Paraméterek!$K$230:$M$250,IF(SUMIF($AA$20:$AA$1027,$AA147,$AG$20:$AG$1027)&lt;IF($D$4="Forint",Paraméterek!$M$223,Paraméterek!$M$224),2,3))),0)</f>
        <v>0</v>
      </c>
      <c r="AJ147" s="13">
        <f ca="1">IF(AND($AA147&gt;=5,MOD($AA147,5)=0),IF($AB147=12,VLOOKUP($AA147,Paraméterek!$O$225:$P$240,2),0),IF(OR($AA147=3,$AA147=4),IF($AB147=12,VLOOKUP($AA147,Paraméterek!$O$225:$P$240,2,0),0),0))*$AG147</f>
        <v>0</v>
      </c>
      <c r="AK147" s="13">
        <f t="shared" ca="1" si="31"/>
        <v>0</v>
      </c>
      <c r="AL147" s="13">
        <f t="shared" ca="1" si="39"/>
        <v>0</v>
      </c>
      <c r="AM147" s="13">
        <f t="shared" ca="1" si="40"/>
        <v>0</v>
      </c>
      <c r="AO147" s="32">
        <v>128</v>
      </c>
      <c r="AP147" s="32">
        <v>11</v>
      </c>
      <c r="AQ147" s="32">
        <v>8</v>
      </c>
      <c r="AR147" s="13"/>
      <c r="AS147" s="32"/>
      <c r="AT147" s="13">
        <f t="shared" ca="1" si="41"/>
        <v>0</v>
      </c>
      <c r="AU147" s="33"/>
      <c r="AV147" s="13">
        <f t="shared" ca="1" si="32"/>
        <v>0</v>
      </c>
      <c r="AW147" s="13">
        <f ca="1">ROUNDUP(($AT147+$AV147)*VLOOKUP($AP147,Paraméterek!$P$38:$Q$38,2)/12*IF($D148="Nem",IF($M$13=0,1,$M$13),1),IF($D$4="Forint",0,2))</f>
        <v>0</v>
      </c>
      <c r="AX147" s="13"/>
      <c r="AY147" s="13"/>
      <c r="AZ147" s="13">
        <f>ROUNDUP(IF(SUM($AX147:$AY147)=0,0,IF(IF(ISBLANK($AY147),$AX147,$AY147)*Paraméterek!$J$112&lt;IF($D$4="Forint",Paraméterek!$J$113,Paraméterek!$K$113),IF($D$4="Forint",Paraméterek!$J$113,Paraméterek!$K$113),IF(IF(ISBLANK($AY147),$AX147,$AY147)*Paraméterek!$J$112&gt;IF($D$4="Forint",Paraméterek!$J$114,Paraméterek!$K$114),IF($D$4="Forint",Paraméterek!$J$114,Paraméterek!$K$114),IF(ISBLANK($AY147),$AX147,$AY147)*Paraméterek!$J$112))),IF($D$4="Forint",0,2))</f>
        <v>0</v>
      </c>
      <c r="BA147" s="13">
        <f ca="1">$AT147+$AV147-$AW147-IF(ROUNDDOWN(IF(ISBLANK($AY147),$AX147,$AY147),IF($D$4="Forint",0,2))&gt;$AT147+$AV147-$AW147-IF($D$4="Forint",Paraméterek!$J$114,Paraméterek!$K$114),0,ROUNDDOWN(IF(ISBLANK($AY147),$AX147,$AY147),IF($D$4="Forint",0,2))-$AZ147)</f>
        <v>0</v>
      </c>
      <c r="BB147" s="13">
        <f t="shared" ca="1" si="33"/>
        <v>0</v>
      </c>
      <c r="BD147" s="32">
        <v>128</v>
      </c>
      <c r="BE147" s="32">
        <v>11</v>
      </c>
      <c r="BF147" s="32">
        <v>8</v>
      </c>
      <c r="BG147" s="34">
        <f t="shared" ca="1" si="42"/>
        <v>2030</v>
      </c>
      <c r="BH147" s="32" t="str">
        <f ca="1">IF(MOD(MONTH($D$14)+$BD147-1,12)=Paraméterek!$C$288,"Igen","")</f>
        <v/>
      </c>
      <c r="BI147" s="13">
        <f ca="1">IF($BH147="Igen",MIN(ROUNDDOWN((SUMIF($BG$20:$BG$1027,$BG147-1,$K$20:$K$1027)-SUMIF($BG$20:$BG$1027,$BG147-1,$I$20:$I$1027))*Paraméterek!$C$289,IF($D$4="Forint",0,2)),IF($D$4="Forint",Paraméterek!$C$285,Paraméterek!$D$285)),0)</f>
        <v>0</v>
      </c>
      <c r="BJ147" s="13">
        <f t="shared" ca="1" si="34"/>
        <v>0</v>
      </c>
      <c r="BK147" s="13">
        <f t="shared" ca="1" si="43"/>
        <v>0</v>
      </c>
      <c r="BL147" s="33"/>
      <c r="BM147" s="13">
        <f t="shared" ca="1" si="35"/>
        <v>0</v>
      </c>
      <c r="BN147" s="13">
        <f ca="1">ROUNDUP(($BK147+$BM147)*VLOOKUP($BE147,Paraméterek!$P$38:$Q$38,2)/12*IF($D148="Nem",IF($M$13=0,1,$M$13),1),IF($D$4="Forint",0,2))</f>
        <v>0</v>
      </c>
      <c r="BO147" s="13">
        <f t="shared" ca="1" si="36"/>
        <v>0</v>
      </c>
      <c r="BP147" s="13">
        <f ca="1">IF($D148="Nem",$BO147,$BO147-ROUNDUP(SUM($BI$20:$BI147)*120%,IF($D$4="Forint",0,2)))</f>
        <v>0</v>
      </c>
    </row>
    <row r="148" spans="1:68" x14ac:dyDescent="0.2">
      <c r="A148" s="32">
        <v>129</v>
      </c>
      <c r="B148" s="32">
        <v>11</v>
      </c>
      <c r="C148" s="32">
        <v>9</v>
      </c>
      <c r="D148" s="32" t="str">
        <f t="shared" ca="1" si="22"/>
        <v>Nem</v>
      </c>
      <c r="E148" s="13">
        <f t="shared" ca="1" si="23"/>
        <v>0</v>
      </c>
      <c r="F148" s="13"/>
      <c r="G148" s="13"/>
      <c r="H148" s="13"/>
      <c r="I148" s="13">
        <f t="shared" ca="1" si="24"/>
        <v>0</v>
      </c>
      <c r="J148" s="13">
        <f t="shared" ca="1" si="25"/>
        <v>0</v>
      </c>
      <c r="K148" s="13">
        <f t="shared" ca="1" si="26"/>
        <v>0</v>
      </c>
      <c r="L148" s="13" t="e">
        <f ca="1">ROUNDUP(IF($D$2="Egyszeri",$E148,IF($D$2="Havi",SUM($E$20:$E$31),IF(MOD($C148,$M$1)-1=0,SUM($E$20:$E$31),0))/12*$M$1)*VLOOKUP($B148,Paraméterek!$I$28:$P$31,IF($D$2="Egyszeri",8,HLOOKUP(ROUNDUP($M$11+$M$13,0),Paraméterek!$J$26:$O$27,2))),IF($D$4="Forint",0,2))</f>
        <v>#N/A</v>
      </c>
      <c r="M148" s="13">
        <f t="shared" ca="1" si="27"/>
        <v>0</v>
      </c>
      <c r="N148" s="13">
        <f t="shared" ca="1" si="37"/>
        <v>0</v>
      </c>
      <c r="O148" s="13">
        <f ca="1">IF($D148="Igen",IF($W147&gt;=IF($D$4="Forint",Paraméterek!$J$121,Paraméterek!$K$121),0,IF($D$4="Forint",Paraméterek!$J$121,Paraméterek!$K$121)-$W147),0)</f>
        <v>0</v>
      </c>
      <c r="P148" s="13" t="e">
        <f ca="1">ROUNDUP($O148*VLOOKUP($M$4+$B148-1,Paraméterek!$H$58:$I$105,2,0)/Paraméterek!$I$56,IF($D$4="Forint",0,2))</f>
        <v>#N/A</v>
      </c>
      <c r="Q148" s="13">
        <f t="shared" ca="1" si="28"/>
        <v>0</v>
      </c>
      <c r="R148" s="33"/>
      <c r="S148" s="13" t="e">
        <f t="shared" ca="1" si="29"/>
        <v>#N/A</v>
      </c>
      <c r="T148" s="13" t="e">
        <f ca="1">ROUNDUP(($N148-$P148-$Q148+$S148)*VLOOKUP($B148,Paraméterek!$I$38:$K$39,IF($D$2="Egyszeri",3,2))/12*IF($D149="Nem",IF($M$13=0,1,$M$13),1),IF($D$4="Forint",0,2))</f>
        <v>#N/A</v>
      </c>
      <c r="U148" s="13"/>
      <c r="V148" s="13"/>
      <c r="W148" s="13" t="e">
        <f ca="1">$N148-$P148-$Q148+$S148-$T148-IF(ROUNDUP(IF(ISBLANK($V148),$U148*0,$V148)/IF($D$2="Egyszeri",VLOOKUP($B148+IF($C148=12,1,0),Paraméterek!$V$257:$W$262,2),IF($B148=1,1,VLOOKUP($B148+IF($C148=12,1,0),Paraméterek!$I$258:$T$278,HLOOKUP($M$11+1,Paraméterek!$J$256:$T$257,2)))),IF($D$4="Forint",0,2))&gt;$N148-$P148-$Q148+$S148-$T148-IF($D$4="Forint",Paraméterek!$C$216,Paraméterek!$D$216),0,ROUNDUP(IF(ISBLANK($V148),$U148*0,$V148)/IF($D$2="Egyszeri",VLOOKUP($B148+IF($C148=12,1,0),Paraméterek!$V$257:$W$262,2),IF($B148=1,1,VLOOKUP($B148+IF($C148=12,1,0),Paraméterek!$I$258:$T$278,HLOOKUP($M$11+1,Paraméterek!$J$256:$T$257,2)))),IF($D$4="Forint",0,2)))</f>
        <v>#N/A</v>
      </c>
      <c r="X148" s="13" t="e">
        <f ca="1">ROUNDDOWN($W148*IF($D$2="Egyszeri",VLOOKUP($B148+IF($C148=12,1,0),Paraméterek!$V$257:$W$262,2),VLOOKUP($B148+IF($C148=12,1,0),Paraméterek!$I$258:$T$278,HLOOKUP($M$11+1,Paraméterek!$I$256:$T$257,2))),IF($D$4="Forint",0,2))</f>
        <v>#N/A</v>
      </c>
      <c r="Z148" s="32">
        <v>129</v>
      </c>
      <c r="AA148" s="32">
        <v>11</v>
      </c>
      <c r="AB148" s="32">
        <v>9</v>
      </c>
      <c r="AC148" s="13">
        <f t="shared" ca="1" si="38"/>
        <v>0</v>
      </c>
      <c r="AD148" s="33"/>
      <c r="AE148" s="13">
        <f t="shared" ca="1" si="30"/>
        <v>0</v>
      </c>
      <c r="AF148" s="13">
        <f ca="1">ROUNDUP(($AC148+$AE148)*VLOOKUP($AA148,Paraméterek!$P$38:$Q$38,2)/12*IF($D149="Nem",IF($M$13=0,1,$M$13),1),IF($D$4="Forint",0,2))</f>
        <v>0</v>
      </c>
      <c r="AG148" s="13">
        <f ca="1">IF($D$2="Egyszeri",IF($D$7&gt;=IF($D$4="Forint",Paraméterek!$P$223,Paraméterek!$P$224),$D$7-IF($D$4="Forint",Paraméterek!$P$223,Paraméterek!$P$224),0),MIN(IF($AB148=12,AVERAGEIF($E$20:$E148,"&gt;0",$E$20:$E148)*12,0),SUM($E$20:$E$31)))</f>
        <v>0</v>
      </c>
      <c r="AH148" s="13">
        <f>IF($AA148=10,$AG148*IF($AB148=12,IF($AG148&lt;IF($D$4="Forint",Paraméterek!$L$223,Paraméterek!$L$224),0,VLOOKUP($AA148,Paraméterek!$K$226:$M$228,IF($AG148&lt;IF($D$4="Forint",Paraméterek!$M$223,Paraméterek!$M$224),2,3))),0),0)</f>
        <v>0</v>
      </c>
      <c r="AI148" s="13">
        <f ca="1">IF(AND($AA148=$M$11+1,$AB148=$M$12+1),SUMIF($AA$20:$AA$1027,$AA148,$AG$20:$AG$1027)*IF(SUMIF($AA$20:$AA$1027,$AA148,$AG$20:$AG$1027)&lt;IF($D$4="Forint",Paraméterek!$L$223,Paraméterek!$L$224),0,VLOOKUP($AA148,Paraméterek!$K$230:$M$250,IF(SUMIF($AA$20:$AA$1027,$AA148,$AG$20:$AG$1027)&lt;IF($D$4="Forint",Paraméterek!$M$223,Paraméterek!$M$224),2,3))),0)</f>
        <v>0</v>
      </c>
      <c r="AJ148" s="13">
        <f ca="1">IF(AND($AA148&gt;=5,MOD($AA148,5)=0),IF($AB148=12,VLOOKUP($AA148,Paraméterek!$O$225:$P$240,2),0),IF(OR($AA148=3,$AA148=4),IF($AB148=12,VLOOKUP($AA148,Paraméterek!$O$225:$P$240,2,0),0),0))*$AG148</f>
        <v>0</v>
      </c>
      <c r="AK148" s="13">
        <f t="shared" ca="1" si="31"/>
        <v>0</v>
      </c>
      <c r="AL148" s="13">
        <f t="shared" ca="1" si="39"/>
        <v>0</v>
      </c>
      <c r="AM148" s="13">
        <f t="shared" ca="1" si="40"/>
        <v>0</v>
      </c>
      <c r="AO148" s="32">
        <v>129</v>
      </c>
      <c r="AP148" s="32">
        <v>11</v>
      </c>
      <c r="AQ148" s="32">
        <v>9</v>
      </c>
      <c r="AR148" s="13"/>
      <c r="AS148" s="32"/>
      <c r="AT148" s="13">
        <f t="shared" ca="1" si="41"/>
        <v>0</v>
      </c>
      <c r="AU148" s="33"/>
      <c r="AV148" s="13">
        <f t="shared" ca="1" si="32"/>
        <v>0</v>
      </c>
      <c r="AW148" s="13">
        <f ca="1">ROUNDUP(($AT148+$AV148)*VLOOKUP($AP148,Paraméterek!$P$38:$Q$38,2)/12*IF($D149="Nem",IF($M$13=0,1,$M$13),1),IF($D$4="Forint",0,2))</f>
        <v>0</v>
      </c>
      <c r="AX148" s="13"/>
      <c r="AY148" s="13"/>
      <c r="AZ148" s="13">
        <f>ROUNDUP(IF(SUM($AX148:$AY148)=0,0,IF(IF(ISBLANK($AY148),$AX148,$AY148)*Paraméterek!$J$112&lt;IF($D$4="Forint",Paraméterek!$J$113,Paraméterek!$K$113),IF($D$4="Forint",Paraméterek!$J$113,Paraméterek!$K$113),IF(IF(ISBLANK($AY148),$AX148,$AY148)*Paraméterek!$J$112&gt;IF($D$4="Forint",Paraméterek!$J$114,Paraméterek!$K$114),IF($D$4="Forint",Paraméterek!$J$114,Paraméterek!$K$114),IF(ISBLANK($AY148),$AX148,$AY148)*Paraméterek!$J$112))),IF($D$4="Forint",0,2))</f>
        <v>0</v>
      </c>
      <c r="BA148" s="13">
        <f ca="1">$AT148+$AV148-$AW148-IF(ROUNDDOWN(IF(ISBLANK($AY148),$AX148,$AY148),IF($D$4="Forint",0,2))&gt;$AT148+$AV148-$AW148-IF($D$4="Forint",Paraméterek!$J$114,Paraméterek!$K$114),0,ROUNDDOWN(IF(ISBLANK($AY148),$AX148,$AY148),IF($D$4="Forint",0,2))-$AZ148)</f>
        <v>0</v>
      </c>
      <c r="BB148" s="13">
        <f t="shared" ca="1" si="33"/>
        <v>0</v>
      </c>
      <c r="BD148" s="32">
        <v>129</v>
      </c>
      <c r="BE148" s="32">
        <v>11</v>
      </c>
      <c r="BF148" s="32">
        <v>9</v>
      </c>
      <c r="BG148" s="34">
        <f t="shared" ca="1" si="42"/>
        <v>2030</v>
      </c>
      <c r="BH148" s="32" t="str">
        <f ca="1">IF(MOD(MONTH($D$14)+$BD148-1,12)=Paraméterek!$C$288,"Igen","")</f>
        <v/>
      </c>
      <c r="BI148" s="13">
        <f ca="1">IF($BH148="Igen",MIN(ROUNDDOWN((SUMIF($BG$20:$BG$1027,$BG148-1,$K$20:$K$1027)-SUMIF($BG$20:$BG$1027,$BG148-1,$I$20:$I$1027))*Paraméterek!$C$289,IF($D$4="Forint",0,2)),IF($D$4="Forint",Paraméterek!$C$285,Paraméterek!$D$285)),0)</f>
        <v>0</v>
      </c>
      <c r="BJ148" s="13">
        <f t="shared" ca="1" si="34"/>
        <v>0</v>
      </c>
      <c r="BK148" s="13">
        <f t="shared" ca="1" si="43"/>
        <v>0</v>
      </c>
      <c r="BL148" s="33"/>
      <c r="BM148" s="13">
        <f t="shared" ca="1" si="35"/>
        <v>0</v>
      </c>
      <c r="BN148" s="13">
        <f ca="1">ROUNDUP(($BK148+$BM148)*VLOOKUP($BE148,Paraméterek!$P$38:$Q$38,2)/12*IF($D149="Nem",IF($M$13=0,1,$M$13),1),IF($D$4="Forint",0,2))</f>
        <v>0</v>
      </c>
      <c r="BO148" s="13">
        <f t="shared" ca="1" si="36"/>
        <v>0</v>
      </c>
      <c r="BP148" s="13">
        <f ca="1">IF($D149="Nem",$BO148,$BO148-ROUNDUP(SUM($BI$20:$BI148)*120%,IF($D$4="Forint",0,2)))</f>
        <v>0</v>
      </c>
    </row>
    <row r="149" spans="1:68" x14ac:dyDescent="0.2">
      <c r="A149" s="32">
        <v>130</v>
      </c>
      <c r="B149" s="32">
        <v>11</v>
      </c>
      <c r="C149" s="32">
        <v>10</v>
      </c>
      <c r="D149" s="32" t="str">
        <f t="shared" ref="D149:D212" ca="1" si="44">IF($B149&lt;$M$11+1,"Igen",IF($B149&gt;$M$11+1,"Nem",IF($C149&lt;=$M$12+IF($M$13&gt;0,1,0),"Igen","Nem")))</f>
        <v>Nem</v>
      </c>
      <c r="E149" s="13">
        <f t="shared" ref="E149:E212" ca="1" si="45">IF($D149="Igen",IF($D$2="Egyszeri",IF($A149=1,$D$7,0),ROUNDUP(IF($D$2="Havi",$D$7,IF(MOD($C149,$M$1)-1=0,$D$7,0))*(1+$D$6)^($B149-1),IF($D$4="Forint",0,2))),0)</f>
        <v>0</v>
      </c>
      <c r="F149" s="13"/>
      <c r="G149" s="13"/>
      <c r="H149" s="13"/>
      <c r="I149" s="13">
        <f t="shared" ref="I149:I212" ca="1" si="46">ROUNDUP(IF(AND($D$8="Nincs",$D$2&lt;&gt;"Egyszeri"),$E149*10%,0),IF($D$4="Forint",0,2))</f>
        <v>0</v>
      </c>
      <c r="J149" s="13">
        <f t="shared" ref="J149:J212" ca="1" si="47">IF($D149="Igen",IF($D$2="Egyszeri",IF($A149=1,$M$3,0),ROUNDUP(IF($D$2="Havi",$M$3,IF(MOD($C149,$M$1)-1=0,$M$3,0))*(1+$M$2)^($B149-1),IF($D$4="Forint",0,2))),0)</f>
        <v>0</v>
      </c>
      <c r="K149" s="13">
        <f t="shared" ref="K149:K212" ca="1" si="48">IF($D149="Igen",IF(ISBLANK($F149),$E149,$F149)+IF(ISBLANK($H149),$G149,$H149)+$I149+$J149,0)</f>
        <v>0</v>
      </c>
      <c r="L149" s="13" t="e">
        <f ca="1">ROUNDUP(IF($D$2="Egyszeri",$E149,IF($D$2="Havi",SUM($E$20:$E$31),IF(MOD($C149,$M$1)-1=0,SUM($E$20:$E$31),0))/12*$M$1)*VLOOKUP($B149,Paraméterek!$I$28:$P$31,IF($D$2="Egyszeri",8,HLOOKUP(ROUNDUP($M$11+$M$13,0),Paraméterek!$J$26:$O$27,2))),IF($D$4="Forint",0,2))</f>
        <v>#N/A</v>
      </c>
      <c r="M149" s="13">
        <f t="shared" ref="M149:M212" ca="1" si="49">IF($D149="Igen",$E149-$L149+IF(ISBLANK($H149),$G149,$H149),0)</f>
        <v>0</v>
      </c>
      <c r="N149" s="13">
        <f t="shared" ca="1" si="37"/>
        <v>0</v>
      </c>
      <c r="O149" s="13">
        <f ca="1">IF($D149="Igen",IF($W148&gt;=IF($D$4="Forint",Paraméterek!$J$121,Paraméterek!$K$121),0,IF($D$4="Forint",Paraméterek!$J$121,Paraméterek!$K$121)-$W148),0)</f>
        <v>0</v>
      </c>
      <c r="P149" s="13" t="e">
        <f ca="1">ROUNDUP($O149*VLOOKUP($M$4+$B149-1,Paraméterek!$H$58:$I$105,2,0)/Paraméterek!$I$56,IF($D$4="Forint",0,2))</f>
        <v>#N/A</v>
      </c>
      <c r="Q149" s="13">
        <f t="shared" ref="Q149:Q212" ca="1" si="50">IF($D149="Igen",ROUNDUP($M$5*(1+$M$2)^($B149-1),IF($D$4="Forint",0,2)),0)</f>
        <v>0</v>
      </c>
      <c r="R149" s="33"/>
      <c r="S149" s="13" t="e">
        <f t="shared" ref="S149:S212" ca="1" si="51">ROUNDDOWN(($N149-$P149-$Q149)*IF(ISBLANK($R149),$M$6,$R149)*IF($D150="Nem",IF($M$13=0,1,$M$13),1),IF($D$4="Forint",0,2))</f>
        <v>#N/A</v>
      </c>
      <c r="T149" s="13" t="e">
        <f ca="1">ROUNDUP(($N149-$P149-$Q149+$S149)*VLOOKUP($B149,Paraméterek!$I$38:$K$39,IF($D$2="Egyszeri",3,2))/12*IF($D150="Nem",IF($M$13=0,1,$M$13),1),IF($D$4="Forint",0,2))</f>
        <v>#N/A</v>
      </c>
      <c r="U149" s="13"/>
      <c r="V149" s="13"/>
      <c r="W149" s="13" t="e">
        <f ca="1">$N149-$P149-$Q149+$S149-$T149-IF(ROUNDUP(IF(ISBLANK($V149),$U149*0,$V149)/IF($D$2="Egyszeri",VLOOKUP($B149+IF($C149=12,1,0),Paraméterek!$V$257:$W$262,2),IF($B149=1,1,VLOOKUP($B149+IF($C149=12,1,0),Paraméterek!$I$258:$T$278,HLOOKUP($M$11+1,Paraméterek!$J$256:$T$257,2)))),IF($D$4="Forint",0,2))&gt;$N149-$P149-$Q149+$S149-$T149-IF($D$4="Forint",Paraméterek!$C$216,Paraméterek!$D$216),0,ROUNDUP(IF(ISBLANK($V149),$U149*0,$V149)/IF($D$2="Egyszeri",VLOOKUP($B149+IF($C149=12,1,0),Paraméterek!$V$257:$W$262,2),IF($B149=1,1,VLOOKUP($B149+IF($C149=12,1,0),Paraméterek!$I$258:$T$278,HLOOKUP($M$11+1,Paraméterek!$J$256:$T$257,2)))),IF($D$4="Forint",0,2)))</f>
        <v>#N/A</v>
      </c>
      <c r="X149" s="13" t="e">
        <f ca="1">ROUNDDOWN($W149*IF($D$2="Egyszeri",VLOOKUP($B149+IF($C149=12,1,0),Paraméterek!$V$257:$W$262,2),VLOOKUP($B149+IF($C149=12,1,0),Paraméterek!$I$258:$T$278,HLOOKUP($M$11+1,Paraméterek!$I$256:$T$257,2))),IF($D$4="Forint",0,2))</f>
        <v>#N/A</v>
      </c>
      <c r="Z149" s="32">
        <v>130</v>
      </c>
      <c r="AA149" s="32">
        <v>11</v>
      </c>
      <c r="AB149" s="32">
        <v>10</v>
      </c>
      <c r="AC149" s="13">
        <f t="shared" ca="1" si="38"/>
        <v>0</v>
      </c>
      <c r="AD149" s="33"/>
      <c r="AE149" s="13">
        <f t="shared" ref="AE149:AE212" ca="1" si="52">ROUNDDOWN($AC149*IF(ISBLANK($AD149),$M$8,$AD149)*IF($D150="Nem",IF($M$13=0,1,$M$13),1),IF($D$4="Forint",0,2))</f>
        <v>0</v>
      </c>
      <c r="AF149" s="13">
        <f ca="1">ROUNDUP(($AC149+$AE149)*VLOOKUP($AA149,Paraméterek!$P$38:$Q$38,2)/12*IF($D150="Nem",IF($M$13=0,1,$M$13),1),IF($D$4="Forint",0,2))</f>
        <v>0</v>
      </c>
      <c r="AG149" s="13">
        <f ca="1">IF($D$2="Egyszeri",IF($D$7&gt;=IF($D$4="Forint",Paraméterek!$P$223,Paraméterek!$P$224),$D$7-IF($D$4="Forint",Paraméterek!$P$223,Paraméterek!$P$224),0),MIN(IF($AB149=12,AVERAGEIF($E$20:$E149,"&gt;0",$E$20:$E149)*12,0),SUM($E$20:$E$31)))</f>
        <v>0</v>
      </c>
      <c r="AH149" s="13">
        <f>IF($AA149=10,$AG149*IF($AB149=12,IF($AG149&lt;IF($D$4="Forint",Paraméterek!$L$223,Paraméterek!$L$224),0,VLOOKUP($AA149,Paraméterek!$K$226:$M$228,IF($AG149&lt;IF($D$4="Forint",Paraméterek!$M$223,Paraméterek!$M$224),2,3))),0),0)</f>
        <v>0</v>
      </c>
      <c r="AI149" s="13">
        <f ca="1">IF(AND($AA149=$M$11+1,$AB149=$M$12+1),SUMIF($AA$20:$AA$1027,$AA149,$AG$20:$AG$1027)*IF(SUMIF($AA$20:$AA$1027,$AA149,$AG$20:$AG$1027)&lt;IF($D$4="Forint",Paraméterek!$L$223,Paraméterek!$L$224),0,VLOOKUP($AA149,Paraméterek!$K$230:$M$250,IF(SUMIF($AA$20:$AA$1027,$AA149,$AG$20:$AG$1027)&lt;IF($D$4="Forint",Paraméterek!$M$223,Paraméterek!$M$224),2,3))),0)</f>
        <v>0</v>
      </c>
      <c r="AJ149" s="13">
        <f ca="1">IF(AND($AA149&gt;=5,MOD($AA149,5)=0),IF($AB149=12,VLOOKUP($AA149,Paraméterek!$O$225:$P$240,2),0),IF(OR($AA149=3,$AA149=4),IF($AB149=12,VLOOKUP($AA149,Paraméterek!$O$225:$P$240,2,0),0),0))*$AG149</f>
        <v>0</v>
      </c>
      <c r="AK149" s="13">
        <f t="shared" ref="AK149:AK212" ca="1" si="53">ROUNDDOWN(IF($D$2="Egyszeri",$AJ149,$AH149+$AI149),IF($D$4="Forint",0,2))</f>
        <v>0</v>
      </c>
      <c r="AL149" s="13">
        <f t="shared" ca="1" si="39"/>
        <v>0</v>
      </c>
      <c r="AM149" s="13">
        <f t="shared" ca="1" si="40"/>
        <v>0</v>
      </c>
      <c r="AO149" s="32">
        <v>130</v>
      </c>
      <c r="AP149" s="32">
        <v>11</v>
      </c>
      <c r="AQ149" s="32">
        <v>10</v>
      </c>
      <c r="AR149" s="13"/>
      <c r="AS149" s="32"/>
      <c r="AT149" s="13">
        <f t="shared" ca="1" si="41"/>
        <v>0</v>
      </c>
      <c r="AU149" s="33"/>
      <c r="AV149" s="13">
        <f t="shared" ref="AV149:AV212" ca="1" si="54">ROUNDDOWN($AT149*IF(ISBLANK($AU149),$M$7,$AU149)*IF($D150="Nem",IF($M$13=0,1,$M$13),1),IF($D$4="Forint",0,2))</f>
        <v>0</v>
      </c>
      <c r="AW149" s="13">
        <f ca="1">ROUNDUP(($AT149+$AV149)*VLOOKUP($AP149,Paraméterek!$P$38:$Q$38,2)/12*IF($D150="Nem",IF($M$13=0,1,$M$13),1),IF($D$4="Forint",0,2))</f>
        <v>0</v>
      </c>
      <c r="AX149" s="13"/>
      <c r="AY149" s="13"/>
      <c r="AZ149" s="13">
        <f>ROUNDUP(IF(SUM($AX149:$AY149)=0,0,IF(IF(ISBLANK($AY149),$AX149,$AY149)*Paraméterek!$J$112&lt;IF($D$4="Forint",Paraméterek!$J$113,Paraméterek!$K$113),IF($D$4="Forint",Paraméterek!$J$113,Paraméterek!$K$113),IF(IF(ISBLANK($AY149),$AX149,$AY149)*Paraméterek!$J$112&gt;IF($D$4="Forint",Paraméterek!$J$114,Paraméterek!$K$114),IF($D$4="Forint",Paraméterek!$J$114,Paraméterek!$K$114),IF(ISBLANK($AY149),$AX149,$AY149)*Paraméterek!$J$112))),IF($D$4="Forint",0,2))</f>
        <v>0</v>
      </c>
      <c r="BA149" s="13">
        <f ca="1">$AT149+$AV149-$AW149-IF(ROUNDDOWN(IF(ISBLANK($AY149),$AX149,$AY149),IF($D$4="Forint",0,2))&gt;$AT149+$AV149-$AW149-IF($D$4="Forint",Paraméterek!$J$114,Paraméterek!$K$114),0,ROUNDDOWN(IF(ISBLANK($AY149),$AX149,$AY149),IF($D$4="Forint",0,2))-$AZ149)</f>
        <v>0</v>
      </c>
      <c r="BB149" s="13">
        <f t="shared" ref="BB149:BB212" ca="1" si="55">$BA149</f>
        <v>0</v>
      </c>
      <c r="BD149" s="32">
        <v>130</v>
      </c>
      <c r="BE149" s="32">
        <v>11</v>
      </c>
      <c r="BF149" s="32">
        <v>10</v>
      </c>
      <c r="BG149" s="34">
        <f t="shared" ca="1" si="42"/>
        <v>2030</v>
      </c>
      <c r="BH149" s="32" t="str">
        <f ca="1">IF(MOD(MONTH($D$14)+$BD149-1,12)=Paraméterek!$C$288,"Igen","")</f>
        <v/>
      </c>
      <c r="BI149" s="13">
        <f ca="1">IF($BH149="Igen",MIN(ROUNDDOWN((SUMIF($BG$20:$BG$1027,$BG149-1,$K$20:$K$1027)-SUMIF($BG$20:$BG$1027,$BG149-1,$I$20:$I$1027))*Paraméterek!$C$289,IF($D$4="Forint",0,2)),IF($D$4="Forint",Paraméterek!$C$285,Paraméterek!$D$285)),0)</f>
        <v>0</v>
      </c>
      <c r="BJ149" s="13">
        <f t="shared" ref="BJ149:BJ212" ca="1" si="56">IF(AND($D149="Igen",$BH149="Igen"),$BI149,0)</f>
        <v>0</v>
      </c>
      <c r="BK149" s="13">
        <f t="shared" ca="1" si="43"/>
        <v>0</v>
      </c>
      <c r="BL149" s="33"/>
      <c r="BM149" s="13">
        <f t="shared" ref="BM149:BM212" ca="1" si="57">ROUNDDOWN($BK149*IF(ISBLANK($BL149),$M$9,$BL149)*IF($D150="Nem",IF($M$13=0,1,$M$13),1),IF($D$4="Forint",0,2))</f>
        <v>0</v>
      </c>
      <c r="BN149" s="13">
        <f ca="1">ROUNDUP(($BK149+$BM149)*VLOOKUP($BE149,Paraméterek!$P$38:$Q$38,2)/12*IF($D150="Nem",IF($M$13=0,1,$M$13),1),IF($D$4="Forint",0,2))</f>
        <v>0</v>
      </c>
      <c r="BO149" s="13">
        <f t="shared" ref="BO149:BO212" ca="1" si="58">$BK149+$BM149-$BN149</f>
        <v>0</v>
      </c>
      <c r="BP149" s="13">
        <f ca="1">IF($D150="Nem",$BO149,$BO149-ROUNDUP(SUM($BI$20:$BI149)*120%,IF($D$4="Forint",0,2)))</f>
        <v>0</v>
      </c>
    </row>
    <row r="150" spans="1:68" x14ac:dyDescent="0.2">
      <c r="A150" s="32">
        <v>131</v>
      </c>
      <c r="B150" s="32">
        <v>11</v>
      </c>
      <c r="C150" s="32">
        <v>11</v>
      </c>
      <c r="D150" s="32" t="str">
        <f t="shared" ca="1" si="44"/>
        <v>Nem</v>
      </c>
      <c r="E150" s="13">
        <f t="shared" ca="1" si="45"/>
        <v>0</v>
      </c>
      <c r="F150" s="13"/>
      <c r="G150" s="13"/>
      <c r="H150" s="13"/>
      <c r="I150" s="13">
        <f t="shared" ca="1" si="46"/>
        <v>0</v>
      </c>
      <c r="J150" s="13">
        <f t="shared" ca="1" si="47"/>
        <v>0</v>
      </c>
      <c r="K150" s="13">
        <f t="shared" ca="1" si="48"/>
        <v>0</v>
      </c>
      <c r="L150" s="13" t="e">
        <f ca="1">ROUNDUP(IF($D$2="Egyszeri",$E150,IF($D$2="Havi",SUM($E$20:$E$31),IF(MOD($C150,$M$1)-1=0,SUM($E$20:$E$31),0))/12*$M$1)*VLOOKUP($B150,Paraméterek!$I$28:$P$31,IF($D$2="Egyszeri",8,HLOOKUP(ROUNDUP($M$11+$M$13,0),Paraméterek!$J$26:$O$27,2))),IF($D$4="Forint",0,2))</f>
        <v>#N/A</v>
      </c>
      <c r="M150" s="13">
        <f t="shared" ca="1" si="49"/>
        <v>0</v>
      </c>
      <c r="N150" s="13">
        <f t="shared" ref="N150:N213" ca="1" si="59">IF($D150="Igen",$M150+$W149,0)</f>
        <v>0</v>
      </c>
      <c r="O150" s="13">
        <f ca="1">IF($D150="Igen",IF($W149&gt;=IF($D$4="Forint",Paraméterek!$J$121,Paraméterek!$K$121),0,IF($D$4="Forint",Paraméterek!$J$121,Paraméterek!$K$121)-$W149),0)</f>
        <v>0</v>
      </c>
      <c r="P150" s="13" t="e">
        <f ca="1">ROUNDUP($O150*VLOOKUP($M$4+$B150-1,Paraméterek!$H$58:$I$105,2,0)/Paraméterek!$I$56,IF($D$4="Forint",0,2))</f>
        <v>#N/A</v>
      </c>
      <c r="Q150" s="13">
        <f t="shared" ca="1" si="50"/>
        <v>0</v>
      </c>
      <c r="R150" s="33"/>
      <c r="S150" s="13" t="e">
        <f t="shared" ca="1" si="51"/>
        <v>#N/A</v>
      </c>
      <c r="T150" s="13" t="e">
        <f ca="1">ROUNDUP(($N150-$P150-$Q150+$S150)*VLOOKUP($B150,Paraméterek!$I$38:$K$39,IF($D$2="Egyszeri",3,2))/12*IF($D151="Nem",IF($M$13=0,1,$M$13),1),IF($D$4="Forint",0,2))</f>
        <v>#N/A</v>
      </c>
      <c r="U150" s="13"/>
      <c r="V150" s="13"/>
      <c r="W150" s="13" t="e">
        <f ca="1">$N150-$P150-$Q150+$S150-$T150-IF(ROUNDUP(IF(ISBLANK($V150),$U150*0,$V150)/IF($D$2="Egyszeri",VLOOKUP($B150+IF($C150=12,1,0),Paraméterek!$V$257:$W$262,2),IF($B150=1,1,VLOOKUP($B150+IF($C150=12,1,0),Paraméterek!$I$258:$T$278,HLOOKUP($M$11+1,Paraméterek!$J$256:$T$257,2)))),IF($D$4="Forint",0,2))&gt;$N150-$P150-$Q150+$S150-$T150-IF($D$4="Forint",Paraméterek!$C$216,Paraméterek!$D$216),0,ROUNDUP(IF(ISBLANK($V150),$U150*0,$V150)/IF($D$2="Egyszeri",VLOOKUP($B150+IF($C150=12,1,0),Paraméterek!$V$257:$W$262,2),IF($B150=1,1,VLOOKUP($B150+IF($C150=12,1,0),Paraméterek!$I$258:$T$278,HLOOKUP($M$11+1,Paraméterek!$J$256:$T$257,2)))),IF($D$4="Forint",0,2)))</f>
        <v>#N/A</v>
      </c>
      <c r="X150" s="13" t="e">
        <f ca="1">ROUNDDOWN($W150*IF($D$2="Egyszeri",VLOOKUP($B150+IF($C150=12,1,0),Paraméterek!$V$257:$W$262,2),VLOOKUP($B150+IF($C150=12,1,0),Paraméterek!$I$258:$T$278,HLOOKUP($M$11+1,Paraméterek!$I$256:$T$257,2))),IF($D$4="Forint",0,2))</f>
        <v>#N/A</v>
      </c>
      <c r="Z150" s="32">
        <v>131</v>
      </c>
      <c r="AA150" s="32">
        <v>11</v>
      </c>
      <c r="AB150" s="32">
        <v>11</v>
      </c>
      <c r="AC150" s="13">
        <f t="shared" ref="AC150:AC213" ca="1" si="60">IF($D150="Igen",$AL149,0)</f>
        <v>0</v>
      </c>
      <c r="AD150" s="33"/>
      <c r="AE150" s="13">
        <f t="shared" ca="1" si="52"/>
        <v>0</v>
      </c>
      <c r="AF150" s="13">
        <f ca="1">ROUNDUP(($AC150+$AE150)*VLOOKUP($AA150,Paraméterek!$P$38:$Q$38,2)/12*IF($D151="Nem",IF($M$13=0,1,$M$13),1),IF($D$4="Forint",0,2))</f>
        <v>0</v>
      </c>
      <c r="AG150" s="13">
        <f ca="1">IF($D$2="Egyszeri",IF($D$7&gt;=IF($D$4="Forint",Paraméterek!$P$223,Paraméterek!$P$224),$D$7-IF($D$4="Forint",Paraméterek!$P$223,Paraméterek!$P$224),0),MIN(IF($AB150=12,AVERAGEIF($E$20:$E150,"&gt;0",$E$20:$E150)*12,0),SUM($E$20:$E$31)))</f>
        <v>0</v>
      </c>
      <c r="AH150" s="13">
        <f>IF($AA150=10,$AG150*IF($AB150=12,IF($AG150&lt;IF($D$4="Forint",Paraméterek!$L$223,Paraméterek!$L$224),0,VLOOKUP($AA150,Paraméterek!$K$226:$M$228,IF($AG150&lt;IF($D$4="Forint",Paraméterek!$M$223,Paraméterek!$M$224),2,3))),0),0)</f>
        <v>0</v>
      </c>
      <c r="AI150" s="13">
        <f ca="1">IF(AND($AA150=$M$11+1,$AB150=$M$12+1),SUMIF($AA$20:$AA$1027,$AA150,$AG$20:$AG$1027)*IF(SUMIF($AA$20:$AA$1027,$AA150,$AG$20:$AG$1027)&lt;IF($D$4="Forint",Paraméterek!$L$223,Paraméterek!$L$224),0,VLOOKUP($AA150,Paraméterek!$K$230:$M$250,IF(SUMIF($AA$20:$AA$1027,$AA150,$AG$20:$AG$1027)&lt;IF($D$4="Forint",Paraméterek!$M$223,Paraméterek!$M$224),2,3))),0)</f>
        <v>0</v>
      </c>
      <c r="AJ150" s="13">
        <f ca="1">IF(AND($AA150&gt;=5,MOD($AA150,5)=0),IF($AB150=12,VLOOKUP($AA150,Paraméterek!$O$225:$P$240,2),0),IF(OR($AA150=3,$AA150=4),IF($AB150=12,VLOOKUP($AA150,Paraméterek!$O$225:$P$240,2,0),0),0))*$AG150</f>
        <v>0</v>
      </c>
      <c r="AK150" s="13">
        <f t="shared" ca="1" si="53"/>
        <v>0</v>
      </c>
      <c r="AL150" s="13">
        <f t="shared" ref="AL150:AL213" ca="1" si="61">$AC150+$AE150-$AF150+$AK150</f>
        <v>0</v>
      </c>
      <c r="AM150" s="13">
        <f t="shared" ref="AM150:AM213" ca="1" si="62">$AL150</f>
        <v>0</v>
      </c>
      <c r="AO150" s="32">
        <v>131</v>
      </c>
      <c r="AP150" s="32">
        <v>11</v>
      </c>
      <c r="AQ150" s="32">
        <v>11</v>
      </c>
      <c r="AR150" s="13"/>
      <c r="AS150" s="32"/>
      <c r="AT150" s="13">
        <f t="shared" ref="AT150:AT213" ca="1" si="63">IF($D150="Igen",IF(ISBLANK($AS150),$AR150,$AS150)+$BA149,0)</f>
        <v>0</v>
      </c>
      <c r="AU150" s="33"/>
      <c r="AV150" s="13">
        <f t="shared" ca="1" si="54"/>
        <v>0</v>
      </c>
      <c r="AW150" s="13">
        <f ca="1">ROUNDUP(($AT150+$AV150)*VLOOKUP($AP150,Paraméterek!$P$38:$Q$38,2)/12*IF($D151="Nem",IF($M$13=0,1,$M$13),1),IF($D$4="Forint",0,2))</f>
        <v>0</v>
      </c>
      <c r="AX150" s="13"/>
      <c r="AY150" s="13"/>
      <c r="AZ150" s="13">
        <f>ROUNDUP(IF(SUM($AX150:$AY150)=0,0,IF(IF(ISBLANK($AY150),$AX150,$AY150)*Paraméterek!$J$112&lt;IF($D$4="Forint",Paraméterek!$J$113,Paraméterek!$K$113),IF($D$4="Forint",Paraméterek!$J$113,Paraméterek!$K$113),IF(IF(ISBLANK($AY150),$AX150,$AY150)*Paraméterek!$J$112&gt;IF($D$4="Forint",Paraméterek!$J$114,Paraméterek!$K$114),IF($D$4="Forint",Paraméterek!$J$114,Paraméterek!$K$114),IF(ISBLANK($AY150),$AX150,$AY150)*Paraméterek!$J$112))),IF($D$4="Forint",0,2))</f>
        <v>0</v>
      </c>
      <c r="BA150" s="13">
        <f ca="1">$AT150+$AV150-$AW150-IF(ROUNDDOWN(IF(ISBLANK($AY150),$AX150,$AY150),IF($D$4="Forint",0,2))&gt;$AT150+$AV150-$AW150-IF($D$4="Forint",Paraméterek!$J$114,Paraméterek!$K$114),0,ROUNDDOWN(IF(ISBLANK($AY150),$AX150,$AY150),IF($D$4="Forint",0,2))-$AZ150)</f>
        <v>0</v>
      </c>
      <c r="BB150" s="13">
        <f t="shared" ca="1" si="55"/>
        <v>0</v>
      </c>
      <c r="BD150" s="32">
        <v>131</v>
      </c>
      <c r="BE150" s="32">
        <v>11</v>
      </c>
      <c r="BF150" s="32">
        <v>11</v>
      </c>
      <c r="BG150" s="34">
        <f t="shared" ref="BG150:BG213" ca="1" si="64">$BG149+IF(MOD(MONTH($D$14)+$BD150-1,12)=1,1,0)</f>
        <v>2030</v>
      </c>
      <c r="BH150" s="32" t="str">
        <f ca="1">IF(MOD(MONTH($D$14)+$BD150-1,12)=Paraméterek!$C$288,"Igen","")</f>
        <v/>
      </c>
      <c r="BI150" s="13">
        <f ca="1">IF($BH150="Igen",MIN(ROUNDDOWN((SUMIF($BG$20:$BG$1027,$BG150-1,$K$20:$K$1027)-SUMIF($BG$20:$BG$1027,$BG150-1,$I$20:$I$1027))*Paraméterek!$C$289,IF($D$4="Forint",0,2)),IF($D$4="Forint",Paraméterek!$C$285,Paraméterek!$D$285)),0)</f>
        <v>0</v>
      </c>
      <c r="BJ150" s="13">
        <f t="shared" ca="1" si="56"/>
        <v>0</v>
      </c>
      <c r="BK150" s="13">
        <f t="shared" ref="BK150:BK213" ca="1" si="65">$BJ150+IF($D150="Igen",$BO149,0)</f>
        <v>0</v>
      </c>
      <c r="BL150" s="33"/>
      <c r="BM150" s="13">
        <f t="shared" ca="1" si="57"/>
        <v>0</v>
      </c>
      <c r="BN150" s="13">
        <f ca="1">ROUNDUP(($BK150+$BM150)*VLOOKUP($BE150,Paraméterek!$P$38:$Q$38,2)/12*IF($D151="Nem",IF($M$13=0,1,$M$13),1),IF($D$4="Forint",0,2))</f>
        <v>0</v>
      </c>
      <c r="BO150" s="13">
        <f t="shared" ca="1" si="58"/>
        <v>0</v>
      </c>
      <c r="BP150" s="13">
        <f ca="1">IF($D151="Nem",$BO150,$BO150-ROUNDUP(SUM($BI$20:$BI150)*120%,IF($D$4="Forint",0,2)))</f>
        <v>0</v>
      </c>
    </row>
    <row r="151" spans="1:68" x14ac:dyDescent="0.2">
      <c r="A151" s="32">
        <v>132</v>
      </c>
      <c r="B151" s="32">
        <v>11</v>
      </c>
      <c r="C151" s="32">
        <v>12</v>
      </c>
      <c r="D151" s="32" t="str">
        <f t="shared" ca="1" si="44"/>
        <v>Nem</v>
      </c>
      <c r="E151" s="13">
        <f t="shared" ca="1" si="45"/>
        <v>0</v>
      </c>
      <c r="F151" s="13"/>
      <c r="G151" s="13"/>
      <c r="H151" s="13"/>
      <c r="I151" s="13">
        <f t="shared" ca="1" si="46"/>
        <v>0</v>
      </c>
      <c r="J151" s="13">
        <f t="shared" ca="1" si="47"/>
        <v>0</v>
      </c>
      <c r="K151" s="13">
        <f t="shared" ca="1" si="48"/>
        <v>0</v>
      </c>
      <c r="L151" s="13" t="e">
        <f ca="1">ROUNDUP(IF($D$2="Egyszeri",$E151,IF($D$2="Havi",SUM($E$20:$E$31),IF(MOD($C151,$M$1)-1=0,SUM($E$20:$E$31),0))/12*$M$1)*VLOOKUP($B151,Paraméterek!$I$28:$P$31,IF($D$2="Egyszeri",8,HLOOKUP(ROUNDUP($M$11+$M$13,0),Paraméterek!$J$26:$O$27,2))),IF($D$4="Forint",0,2))</f>
        <v>#N/A</v>
      </c>
      <c r="M151" s="13">
        <f t="shared" ca="1" si="49"/>
        <v>0</v>
      </c>
      <c r="N151" s="13">
        <f t="shared" ca="1" si="59"/>
        <v>0</v>
      </c>
      <c r="O151" s="13">
        <f ca="1">IF($D151="Igen",IF($W150&gt;=IF($D$4="Forint",Paraméterek!$J$121,Paraméterek!$K$121),0,IF($D$4="Forint",Paraméterek!$J$121,Paraméterek!$K$121)-$W150),0)</f>
        <v>0</v>
      </c>
      <c r="P151" s="13" t="e">
        <f ca="1">ROUNDUP($O151*VLOOKUP($M$4+$B151-1,Paraméterek!$H$58:$I$105,2,0)/Paraméterek!$I$56,IF($D$4="Forint",0,2))</f>
        <v>#N/A</v>
      </c>
      <c r="Q151" s="13">
        <f t="shared" ca="1" si="50"/>
        <v>0</v>
      </c>
      <c r="R151" s="33"/>
      <c r="S151" s="13" t="e">
        <f t="shared" ca="1" si="51"/>
        <v>#N/A</v>
      </c>
      <c r="T151" s="13" t="e">
        <f ca="1">ROUNDUP(($N151-$P151-$Q151+$S151)*VLOOKUP($B151,Paraméterek!$I$38:$K$39,IF($D$2="Egyszeri",3,2))/12*IF($D152="Nem",IF($M$13=0,1,$M$13),1),IF($D$4="Forint",0,2))</f>
        <v>#N/A</v>
      </c>
      <c r="U151" s="13">
        <f>Tranzakciók!$F$42</f>
        <v>0</v>
      </c>
      <c r="V151" s="13"/>
      <c r="W151" s="13" t="e">
        <f ca="1">$N151-$P151-$Q151+$S151-$T151-IF(ROUNDUP(IF(ISBLANK($V151),$U151*0,$V151)/IF($D$2="Egyszeri",VLOOKUP($B151+IF($C151=12,1,0),Paraméterek!$V$257:$W$262,2),IF($B151=1,1,VLOOKUP($B151+IF($C151=12,1,0),Paraméterek!$I$258:$T$278,HLOOKUP($M$11+1,Paraméterek!$J$256:$T$257,2)))),IF($D$4="Forint",0,2))&gt;$N151-$P151-$Q151+$S151-$T151-IF($D$4="Forint",Paraméterek!$C$216,Paraméterek!$D$216),0,ROUNDUP(IF(ISBLANK($V151),$U151*0,$V151)/IF($D$2="Egyszeri",VLOOKUP($B151+IF($C151=12,1,0),Paraméterek!$V$257:$W$262,2),IF($B151=1,1,VLOOKUP($B151+IF($C151=12,1,0),Paraméterek!$I$258:$T$278,HLOOKUP($M$11+1,Paraméterek!$J$256:$T$257,2)))),IF($D$4="Forint",0,2)))</f>
        <v>#N/A</v>
      </c>
      <c r="X151" s="13" t="e">
        <f ca="1">ROUNDDOWN($W151*IF($D$2="Egyszeri",VLOOKUP($B151+IF($C151=12,1,0),Paraméterek!$V$257:$W$262,2),VLOOKUP($B151+IF($C151=12,1,0),Paraméterek!$I$258:$T$278,HLOOKUP($M$11+1,Paraméterek!$I$256:$T$257,2))),IF($D$4="Forint",0,2))</f>
        <v>#N/A</v>
      </c>
      <c r="Z151" s="32">
        <v>132</v>
      </c>
      <c r="AA151" s="32">
        <v>11</v>
      </c>
      <c r="AB151" s="32">
        <v>12</v>
      </c>
      <c r="AC151" s="13">
        <f t="shared" ca="1" si="60"/>
        <v>0</v>
      </c>
      <c r="AD151" s="33"/>
      <c r="AE151" s="13">
        <f t="shared" ca="1" si="52"/>
        <v>0</v>
      </c>
      <c r="AF151" s="13">
        <f ca="1">ROUNDUP(($AC151+$AE151)*VLOOKUP($AA151,Paraméterek!$P$38:$Q$38,2)/12*IF($D152="Nem",IF($M$13=0,1,$M$13),1),IF($D$4="Forint",0,2))</f>
        <v>0</v>
      </c>
      <c r="AG151" s="13" t="e">
        <f ca="1">IF($D$2="Egyszeri",IF($D$7&gt;=IF($D$4="Forint",Paraméterek!$P$223,Paraméterek!$P$224),$D$7-IF($D$4="Forint",Paraméterek!$P$223,Paraméterek!$P$224),0),MIN(IF($AB151=12,AVERAGEIF($E$20:$E151,"&gt;0",$E$20:$E151)*12,0),SUM($E$20:$E$31)))</f>
        <v>#DIV/0!</v>
      </c>
      <c r="AH151" s="13">
        <f>IF($AA151=10,$AG151*IF($AB151=12,IF($AG151&lt;IF($D$4="Forint",Paraméterek!$L$223,Paraméterek!$L$224),0,VLOOKUP($AA151,Paraméterek!$K$226:$M$228,IF($AG151&lt;IF($D$4="Forint",Paraméterek!$M$223,Paraméterek!$M$224),2,3))),0),0)</f>
        <v>0</v>
      </c>
      <c r="AI151" s="13">
        <f ca="1">IF(AND($AA151=$M$11+1,$AB151=$M$12+1),SUMIF($AA$20:$AA$1027,$AA151,$AG$20:$AG$1027)*IF(SUMIF($AA$20:$AA$1027,$AA151,$AG$20:$AG$1027)&lt;IF($D$4="Forint",Paraméterek!$L$223,Paraméterek!$L$224),0,VLOOKUP($AA151,Paraméterek!$K$230:$M$250,IF(SUMIF($AA$20:$AA$1027,$AA151,$AG$20:$AG$1027)&lt;IF($D$4="Forint",Paraméterek!$M$223,Paraméterek!$M$224),2,3))),0)</f>
        <v>0</v>
      </c>
      <c r="AJ151" s="13" t="e">
        <f ca="1">IF(AND($AA151&gt;=5,MOD($AA151,5)=0),IF($AB151=12,VLOOKUP($AA151,Paraméterek!$O$225:$P$240,2),0),IF(OR($AA151=3,$AA151=4),IF($AB151=12,VLOOKUP($AA151,Paraméterek!$O$225:$P$240,2,0),0),0))*$AG151</f>
        <v>#DIV/0!</v>
      </c>
      <c r="AK151" s="13">
        <f t="shared" ca="1" si="53"/>
        <v>0</v>
      </c>
      <c r="AL151" s="13">
        <f t="shared" ca="1" si="61"/>
        <v>0</v>
      </c>
      <c r="AM151" s="13">
        <f t="shared" ca="1" si="62"/>
        <v>0</v>
      </c>
      <c r="AO151" s="32">
        <v>132</v>
      </c>
      <c r="AP151" s="32">
        <v>11</v>
      </c>
      <c r="AQ151" s="32">
        <v>12</v>
      </c>
      <c r="AR151" s="13"/>
      <c r="AS151" s="32"/>
      <c r="AT151" s="13">
        <f t="shared" ca="1" si="63"/>
        <v>0</v>
      </c>
      <c r="AU151" s="33"/>
      <c r="AV151" s="13">
        <f t="shared" ca="1" si="54"/>
        <v>0</v>
      </c>
      <c r="AW151" s="13">
        <f ca="1">ROUNDUP(($AT151+$AV151)*VLOOKUP($AP151,Paraméterek!$P$38:$Q$38,2)/12*IF($D152="Nem",IF($M$13=0,1,$M$13),1),IF($D$4="Forint",0,2))</f>
        <v>0</v>
      </c>
      <c r="AX151" s="13">
        <f>Tranzakciók!$M$42</f>
        <v>0</v>
      </c>
      <c r="AY151" s="13"/>
      <c r="AZ151" s="13">
        <f>ROUNDUP(IF(SUM($AX151:$AY151)=0,0,IF(IF(ISBLANK($AY151),$AX151,$AY151)*Paraméterek!$J$112&lt;IF($D$4="Forint",Paraméterek!$J$113,Paraméterek!$K$113),IF($D$4="Forint",Paraméterek!$J$113,Paraméterek!$K$113),IF(IF(ISBLANK($AY151),$AX151,$AY151)*Paraméterek!$J$112&gt;IF($D$4="Forint",Paraméterek!$J$114,Paraméterek!$K$114),IF($D$4="Forint",Paraméterek!$J$114,Paraméterek!$K$114),IF(ISBLANK($AY151),$AX151,$AY151)*Paraméterek!$J$112))),IF($D$4="Forint",0,2))</f>
        <v>0</v>
      </c>
      <c r="BA151" s="13">
        <f ca="1">$AT151+$AV151-$AW151-IF(ROUNDDOWN(IF(ISBLANK($AY151),$AX151,$AY151),IF($D$4="Forint",0,2))&gt;$AT151+$AV151-$AW151-IF($D$4="Forint",Paraméterek!$J$114,Paraméterek!$K$114),0,ROUNDDOWN(IF(ISBLANK($AY151),$AX151,$AY151),IF($D$4="Forint",0,2))-$AZ151)</f>
        <v>0</v>
      </c>
      <c r="BB151" s="13">
        <f t="shared" ca="1" si="55"/>
        <v>0</v>
      </c>
      <c r="BD151" s="32">
        <v>132</v>
      </c>
      <c r="BE151" s="32">
        <v>11</v>
      </c>
      <c r="BF151" s="32">
        <v>12</v>
      </c>
      <c r="BG151" s="34">
        <f t="shared" ca="1" si="64"/>
        <v>2030</v>
      </c>
      <c r="BH151" s="32" t="str">
        <f ca="1">IF(MOD(MONTH($D$14)+$BD151-1,12)=Paraméterek!$C$288,"Igen","")</f>
        <v/>
      </c>
      <c r="BI151" s="13">
        <f ca="1">IF($BH151="Igen",MIN(ROUNDDOWN((SUMIF($BG$20:$BG$1027,$BG151-1,$K$20:$K$1027)-SUMIF($BG$20:$BG$1027,$BG151-1,$I$20:$I$1027))*Paraméterek!$C$289,IF($D$4="Forint",0,2)),IF($D$4="Forint",Paraméterek!$C$285,Paraméterek!$D$285)),0)</f>
        <v>0</v>
      </c>
      <c r="BJ151" s="13">
        <f t="shared" ca="1" si="56"/>
        <v>0</v>
      </c>
      <c r="BK151" s="13">
        <f t="shared" ca="1" si="65"/>
        <v>0</v>
      </c>
      <c r="BL151" s="33"/>
      <c r="BM151" s="13">
        <f t="shared" ca="1" si="57"/>
        <v>0</v>
      </c>
      <c r="BN151" s="13">
        <f ca="1">ROUNDUP(($BK151+$BM151)*VLOOKUP($BE151,Paraméterek!$P$38:$Q$38,2)/12*IF($D152="Nem",IF($M$13=0,1,$M$13),1),IF($D$4="Forint",0,2))</f>
        <v>0</v>
      </c>
      <c r="BO151" s="13">
        <f t="shared" ca="1" si="58"/>
        <v>0</v>
      </c>
      <c r="BP151" s="13">
        <f ca="1">IF($D152="Nem",$BO151,$BO151-ROUNDUP(SUM($BI$20:$BI151)*120%,IF($D$4="Forint",0,2)))</f>
        <v>0</v>
      </c>
    </row>
    <row r="152" spans="1:68" x14ac:dyDescent="0.2">
      <c r="A152" s="32">
        <v>133</v>
      </c>
      <c r="B152" s="32">
        <v>12</v>
      </c>
      <c r="C152" s="32">
        <v>1</v>
      </c>
      <c r="D152" s="32" t="str">
        <f t="shared" ca="1" si="44"/>
        <v>Nem</v>
      </c>
      <c r="E152" s="13">
        <f t="shared" ca="1" si="45"/>
        <v>0</v>
      </c>
      <c r="F152" s="13"/>
      <c r="G152" s="13">
        <f>Tranzakciók!$D$43</f>
        <v>0</v>
      </c>
      <c r="H152" s="13"/>
      <c r="I152" s="13">
        <f t="shared" ca="1" si="46"/>
        <v>0</v>
      </c>
      <c r="J152" s="13">
        <f t="shared" ca="1" si="47"/>
        <v>0</v>
      </c>
      <c r="K152" s="13">
        <f t="shared" ca="1" si="48"/>
        <v>0</v>
      </c>
      <c r="L152" s="13" t="e">
        <f ca="1">ROUNDUP(IF($D$2="Egyszeri",$E152,IF($D$2="Havi",SUM($E$20:$E$31),IF(MOD($C152,$M$1)-1=0,SUM($E$20:$E$31),0))/12*$M$1)*VLOOKUP($B152,Paraméterek!$I$28:$P$31,IF($D$2="Egyszeri",8,HLOOKUP(ROUNDUP($M$11+$M$13,0),Paraméterek!$J$26:$O$27,2))),IF($D$4="Forint",0,2))</f>
        <v>#N/A</v>
      </c>
      <c r="M152" s="13">
        <f t="shared" ca="1" si="49"/>
        <v>0</v>
      </c>
      <c r="N152" s="13">
        <f t="shared" ca="1" si="59"/>
        <v>0</v>
      </c>
      <c r="O152" s="13">
        <f ca="1">IF($D152="Igen",IF($W151&gt;=IF($D$4="Forint",Paraméterek!$J$121,Paraméterek!$K$121),0,IF($D$4="Forint",Paraméterek!$J$121,Paraméterek!$K$121)-$W151),0)</f>
        <v>0</v>
      </c>
      <c r="P152" s="13" t="e">
        <f ca="1">ROUNDUP($O152*VLOOKUP($M$4+$B152-1,Paraméterek!$H$58:$I$105,2,0)/Paraméterek!$I$56,IF($D$4="Forint",0,2))</f>
        <v>#N/A</v>
      </c>
      <c r="Q152" s="13">
        <f t="shared" ca="1" si="50"/>
        <v>0</v>
      </c>
      <c r="R152" s="33"/>
      <c r="S152" s="13" t="e">
        <f t="shared" ca="1" si="51"/>
        <v>#N/A</v>
      </c>
      <c r="T152" s="13" t="e">
        <f ca="1">ROUNDUP(($N152-$P152-$Q152+$S152)*VLOOKUP($B152,Paraméterek!$I$38:$K$39,IF($D$2="Egyszeri",3,2))/12*IF($D153="Nem",IF($M$13=0,1,$M$13),1),IF($D$4="Forint",0,2))</f>
        <v>#N/A</v>
      </c>
      <c r="U152" s="13"/>
      <c r="V152" s="13"/>
      <c r="W152" s="13" t="e">
        <f ca="1">$N152-$P152-$Q152+$S152-$T152-IF(ROUNDUP(IF(ISBLANK($V152),$U152*0,$V152)/IF($D$2="Egyszeri",VLOOKUP($B152+IF($C152=12,1,0),Paraméterek!$V$257:$W$262,2),IF($B152=1,1,VLOOKUP($B152+IF($C152=12,1,0),Paraméterek!$I$258:$T$278,HLOOKUP($M$11+1,Paraméterek!$J$256:$T$257,2)))),IF($D$4="Forint",0,2))&gt;$N152-$P152-$Q152+$S152-$T152-IF($D$4="Forint",Paraméterek!$C$216,Paraméterek!$D$216),0,ROUNDUP(IF(ISBLANK($V152),$U152*0,$V152)/IF($D$2="Egyszeri",VLOOKUP($B152+IF($C152=12,1,0),Paraméterek!$V$257:$W$262,2),IF($B152=1,1,VLOOKUP($B152+IF($C152=12,1,0),Paraméterek!$I$258:$T$278,HLOOKUP($M$11+1,Paraméterek!$J$256:$T$257,2)))),IF($D$4="Forint",0,2)))</f>
        <v>#N/A</v>
      </c>
      <c r="X152" s="13" t="e">
        <f ca="1">ROUNDDOWN($W152*IF($D$2="Egyszeri",VLOOKUP($B152+IF($C152=12,1,0),Paraméterek!$V$257:$W$262,2),VLOOKUP($B152+IF($C152=12,1,0),Paraméterek!$I$258:$T$278,HLOOKUP($M$11+1,Paraméterek!$I$256:$T$257,2))),IF($D$4="Forint",0,2))</f>
        <v>#N/A</v>
      </c>
      <c r="Z152" s="32">
        <v>133</v>
      </c>
      <c r="AA152" s="32">
        <v>12</v>
      </c>
      <c r="AB152" s="32">
        <v>1</v>
      </c>
      <c r="AC152" s="13">
        <f t="shared" ca="1" si="60"/>
        <v>0</v>
      </c>
      <c r="AD152" s="33"/>
      <c r="AE152" s="13">
        <f t="shared" ca="1" si="52"/>
        <v>0</v>
      </c>
      <c r="AF152" s="13">
        <f ca="1">ROUNDUP(($AC152+$AE152)*VLOOKUP($AA152,Paraméterek!$P$38:$Q$38,2)/12*IF($D153="Nem",IF($M$13=0,1,$M$13),1),IF($D$4="Forint",0,2))</f>
        <v>0</v>
      </c>
      <c r="AG152" s="13">
        <f ca="1">IF($D$2="Egyszeri",IF($D$7&gt;=IF($D$4="Forint",Paraméterek!$P$223,Paraméterek!$P$224),$D$7-IF($D$4="Forint",Paraméterek!$P$223,Paraméterek!$P$224),0),MIN(IF($AB152=12,AVERAGEIF($E$20:$E152,"&gt;0",$E$20:$E152)*12,0),SUM($E$20:$E$31)))</f>
        <v>0</v>
      </c>
      <c r="AH152" s="13">
        <f>IF($AA152=10,$AG152*IF($AB152=12,IF($AG152&lt;IF($D$4="Forint",Paraméterek!$L$223,Paraméterek!$L$224),0,VLOOKUP($AA152,Paraméterek!$K$226:$M$228,IF($AG152&lt;IF($D$4="Forint",Paraméterek!$M$223,Paraméterek!$M$224),2,3))),0),0)</f>
        <v>0</v>
      </c>
      <c r="AI152" s="13">
        <f ca="1">IF(AND($AA152=$M$11+1,$AB152=$M$12+1),SUMIF($AA$20:$AA$1027,$AA152,$AG$20:$AG$1027)*IF(SUMIF($AA$20:$AA$1027,$AA152,$AG$20:$AG$1027)&lt;IF($D$4="Forint",Paraméterek!$L$223,Paraméterek!$L$224),0,VLOOKUP($AA152,Paraméterek!$K$230:$M$250,IF(SUMIF($AA$20:$AA$1027,$AA152,$AG$20:$AG$1027)&lt;IF($D$4="Forint",Paraméterek!$M$223,Paraméterek!$M$224),2,3))),0)</f>
        <v>0</v>
      </c>
      <c r="AJ152" s="13">
        <f ca="1">IF(AND($AA152&gt;=5,MOD($AA152,5)=0),IF($AB152=12,VLOOKUP($AA152,Paraméterek!$O$225:$P$240,2),0),IF(OR($AA152=3,$AA152=4),IF($AB152=12,VLOOKUP($AA152,Paraméterek!$O$225:$P$240,2,0),0),0))*$AG152</f>
        <v>0</v>
      </c>
      <c r="AK152" s="13">
        <f t="shared" ca="1" si="53"/>
        <v>0</v>
      </c>
      <c r="AL152" s="13">
        <f t="shared" ca="1" si="61"/>
        <v>0</v>
      </c>
      <c r="AM152" s="13">
        <f t="shared" ca="1" si="62"/>
        <v>0</v>
      </c>
      <c r="AO152" s="32">
        <v>133</v>
      </c>
      <c r="AP152" s="32">
        <v>12</v>
      </c>
      <c r="AQ152" s="32">
        <v>1</v>
      </c>
      <c r="AR152" s="13">
        <f>Tranzakciók!$K$43</f>
        <v>0</v>
      </c>
      <c r="AS152" s="32"/>
      <c r="AT152" s="13">
        <f t="shared" ca="1" si="63"/>
        <v>0</v>
      </c>
      <c r="AU152" s="33"/>
      <c r="AV152" s="13">
        <f t="shared" ca="1" si="54"/>
        <v>0</v>
      </c>
      <c r="AW152" s="13">
        <f ca="1">ROUNDUP(($AT152+$AV152)*VLOOKUP($AP152,Paraméterek!$P$38:$Q$38,2)/12*IF($D153="Nem",IF($M$13=0,1,$M$13),1),IF($D$4="Forint",0,2))</f>
        <v>0</v>
      </c>
      <c r="AX152" s="13"/>
      <c r="AY152" s="13"/>
      <c r="AZ152" s="13">
        <f>ROUNDUP(IF(SUM($AX152:$AY152)=0,0,IF(IF(ISBLANK($AY152),$AX152,$AY152)*Paraméterek!$J$112&lt;IF($D$4="Forint",Paraméterek!$J$113,Paraméterek!$K$113),IF($D$4="Forint",Paraméterek!$J$113,Paraméterek!$K$113),IF(IF(ISBLANK($AY152),$AX152,$AY152)*Paraméterek!$J$112&gt;IF($D$4="Forint",Paraméterek!$J$114,Paraméterek!$K$114),IF($D$4="Forint",Paraméterek!$J$114,Paraméterek!$K$114),IF(ISBLANK($AY152),$AX152,$AY152)*Paraméterek!$J$112))),IF($D$4="Forint",0,2))</f>
        <v>0</v>
      </c>
      <c r="BA152" s="13">
        <f ca="1">$AT152+$AV152-$AW152-IF(ROUNDDOWN(IF(ISBLANK($AY152),$AX152,$AY152),IF($D$4="Forint",0,2))&gt;$AT152+$AV152-$AW152-IF($D$4="Forint",Paraméterek!$J$114,Paraméterek!$K$114),0,ROUNDDOWN(IF(ISBLANK($AY152),$AX152,$AY152),IF($D$4="Forint",0,2))-$AZ152)</f>
        <v>0</v>
      </c>
      <c r="BB152" s="13">
        <f t="shared" ca="1" si="55"/>
        <v>0</v>
      </c>
      <c r="BD152" s="32">
        <v>133</v>
      </c>
      <c r="BE152" s="32">
        <v>12</v>
      </c>
      <c r="BF152" s="32">
        <v>1</v>
      </c>
      <c r="BG152" s="34">
        <f t="shared" ca="1" si="64"/>
        <v>2030</v>
      </c>
      <c r="BH152" s="32" t="str">
        <f ca="1">IF(MOD(MONTH($D$14)+$BD152-1,12)=Paraméterek!$C$288,"Igen","")</f>
        <v/>
      </c>
      <c r="BI152" s="13">
        <f ca="1">IF($BH152="Igen",MIN(ROUNDDOWN((SUMIF($BG$20:$BG$1027,$BG152-1,$K$20:$K$1027)-SUMIF($BG$20:$BG$1027,$BG152-1,$I$20:$I$1027))*Paraméterek!$C$289,IF($D$4="Forint",0,2)),IF($D$4="Forint",Paraméterek!$C$285,Paraméterek!$D$285)),0)</f>
        <v>0</v>
      </c>
      <c r="BJ152" s="13">
        <f t="shared" ca="1" si="56"/>
        <v>0</v>
      </c>
      <c r="BK152" s="13">
        <f t="shared" ca="1" si="65"/>
        <v>0</v>
      </c>
      <c r="BL152" s="33"/>
      <c r="BM152" s="13">
        <f t="shared" ca="1" si="57"/>
        <v>0</v>
      </c>
      <c r="BN152" s="13">
        <f ca="1">ROUNDUP(($BK152+$BM152)*VLOOKUP($BE152,Paraméterek!$P$38:$Q$38,2)/12*IF($D153="Nem",IF($M$13=0,1,$M$13),1),IF($D$4="Forint",0,2))</f>
        <v>0</v>
      </c>
      <c r="BO152" s="13">
        <f t="shared" ca="1" si="58"/>
        <v>0</v>
      </c>
      <c r="BP152" s="13">
        <f ca="1">IF($D153="Nem",$BO152,$BO152-ROUNDUP(SUM($BI$20:$BI152)*120%,IF($D$4="Forint",0,2)))</f>
        <v>0</v>
      </c>
    </row>
    <row r="153" spans="1:68" x14ac:dyDescent="0.2">
      <c r="A153" s="32">
        <v>134</v>
      </c>
      <c r="B153" s="32">
        <v>12</v>
      </c>
      <c r="C153" s="32">
        <v>2</v>
      </c>
      <c r="D153" s="32" t="str">
        <f t="shared" ca="1" si="44"/>
        <v>Nem</v>
      </c>
      <c r="E153" s="13">
        <f t="shared" ca="1" si="45"/>
        <v>0</v>
      </c>
      <c r="F153" s="13"/>
      <c r="G153" s="13"/>
      <c r="H153" s="13"/>
      <c r="I153" s="13">
        <f t="shared" ca="1" si="46"/>
        <v>0</v>
      </c>
      <c r="J153" s="13">
        <f t="shared" ca="1" si="47"/>
        <v>0</v>
      </c>
      <c r="K153" s="13">
        <f t="shared" ca="1" si="48"/>
        <v>0</v>
      </c>
      <c r="L153" s="13" t="e">
        <f ca="1">ROUNDUP(IF($D$2="Egyszeri",$E153,IF($D$2="Havi",SUM($E$20:$E$31),IF(MOD($C153,$M$1)-1=0,SUM($E$20:$E$31),0))/12*$M$1)*VLOOKUP($B153,Paraméterek!$I$28:$P$31,IF($D$2="Egyszeri",8,HLOOKUP(ROUNDUP($M$11+$M$13,0),Paraméterek!$J$26:$O$27,2))),IF($D$4="Forint",0,2))</f>
        <v>#N/A</v>
      </c>
      <c r="M153" s="13">
        <f t="shared" ca="1" si="49"/>
        <v>0</v>
      </c>
      <c r="N153" s="13">
        <f t="shared" ca="1" si="59"/>
        <v>0</v>
      </c>
      <c r="O153" s="13">
        <f ca="1">IF($D153="Igen",IF($W152&gt;=IF($D$4="Forint",Paraméterek!$J$121,Paraméterek!$K$121),0,IF($D$4="Forint",Paraméterek!$J$121,Paraméterek!$K$121)-$W152),0)</f>
        <v>0</v>
      </c>
      <c r="P153" s="13" t="e">
        <f ca="1">ROUNDUP($O153*VLOOKUP($M$4+$B153-1,Paraméterek!$H$58:$I$105,2,0)/Paraméterek!$I$56,IF($D$4="Forint",0,2))</f>
        <v>#N/A</v>
      </c>
      <c r="Q153" s="13">
        <f t="shared" ca="1" si="50"/>
        <v>0</v>
      </c>
      <c r="R153" s="33"/>
      <c r="S153" s="13" t="e">
        <f t="shared" ca="1" si="51"/>
        <v>#N/A</v>
      </c>
      <c r="T153" s="13" t="e">
        <f ca="1">ROUNDUP(($N153-$P153-$Q153+$S153)*VLOOKUP($B153,Paraméterek!$I$38:$K$39,IF($D$2="Egyszeri",3,2))/12*IF($D154="Nem",IF($M$13=0,1,$M$13),1),IF($D$4="Forint",0,2))</f>
        <v>#N/A</v>
      </c>
      <c r="U153" s="13"/>
      <c r="V153" s="13"/>
      <c r="W153" s="13" t="e">
        <f ca="1">$N153-$P153-$Q153+$S153-$T153-IF(ROUNDUP(IF(ISBLANK($V153),$U153*0,$V153)/IF($D$2="Egyszeri",VLOOKUP($B153+IF($C153=12,1,0),Paraméterek!$V$257:$W$262,2),IF($B153=1,1,VLOOKUP($B153+IF($C153=12,1,0),Paraméterek!$I$258:$T$278,HLOOKUP($M$11+1,Paraméterek!$J$256:$T$257,2)))),IF($D$4="Forint",0,2))&gt;$N153-$P153-$Q153+$S153-$T153-IF($D$4="Forint",Paraméterek!$C$216,Paraméterek!$D$216),0,ROUNDUP(IF(ISBLANK($V153),$U153*0,$V153)/IF($D$2="Egyszeri",VLOOKUP($B153+IF($C153=12,1,0),Paraméterek!$V$257:$W$262,2),IF($B153=1,1,VLOOKUP($B153+IF($C153=12,1,0),Paraméterek!$I$258:$T$278,HLOOKUP($M$11+1,Paraméterek!$J$256:$T$257,2)))),IF($D$4="Forint",0,2)))</f>
        <v>#N/A</v>
      </c>
      <c r="X153" s="13" t="e">
        <f ca="1">ROUNDDOWN($W153*IF($D$2="Egyszeri",VLOOKUP($B153+IF($C153=12,1,0),Paraméterek!$V$257:$W$262,2),VLOOKUP($B153+IF($C153=12,1,0),Paraméterek!$I$258:$T$278,HLOOKUP($M$11+1,Paraméterek!$I$256:$T$257,2))),IF($D$4="Forint",0,2))</f>
        <v>#N/A</v>
      </c>
      <c r="Z153" s="32">
        <v>134</v>
      </c>
      <c r="AA153" s="32">
        <v>12</v>
      </c>
      <c r="AB153" s="32">
        <v>2</v>
      </c>
      <c r="AC153" s="13">
        <f t="shared" ca="1" si="60"/>
        <v>0</v>
      </c>
      <c r="AD153" s="33"/>
      <c r="AE153" s="13">
        <f t="shared" ca="1" si="52"/>
        <v>0</v>
      </c>
      <c r="AF153" s="13">
        <f ca="1">ROUNDUP(($AC153+$AE153)*VLOOKUP($AA153,Paraméterek!$P$38:$Q$38,2)/12*IF($D154="Nem",IF($M$13=0,1,$M$13),1),IF($D$4="Forint",0,2))</f>
        <v>0</v>
      </c>
      <c r="AG153" s="13">
        <f ca="1">IF($D$2="Egyszeri",IF($D$7&gt;=IF($D$4="Forint",Paraméterek!$P$223,Paraméterek!$P$224),$D$7-IF($D$4="Forint",Paraméterek!$P$223,Paraméterek!$P$224),0),MIN(IF($AB153=12,AVERAGEIF($E$20:$E153,"&gt;0",$E$20:$E153)*12,0),SUM($E$20:$E$31)))</f>
        <v>0</v>
      </c>
      <c r="AH153" s="13">
        <f>IF($AA153=10,$AG153*IF($AB153=12,IF($AG153&lt;IF($D$4="Forint",Paraméterek!$L$223,Paraméterek!$L$224),0,VLOOKUP($AA153,Paraméterek!$K$226:$M$228,IF($AG153&lt;IF($D$4="Forint",Paraméterek!$M$223,Paraméterek!$M$224),2,3))),0),0)</f>
        <v>0</v>
      </c>
      <c r="AI153" s="13">
        <f ca="1">IF(AND($AA153=$M$11+1,$AB153=$M$12+1),SUMIF($AA$20:$AA$1027,$AA153,$AG$20:$AG$1027)*IF(SUMIF($AA$20:$AA$1027,$AA153,$AG$20:$AG$1027)&lt;IF($D$4="Forint",Paraméterek!$L$223,Paraméterek!$L$224),0,VLOOKUP($AA153,Paraméterek!$K$230:$M$250,IF(SUMIF($AA$20:$AA$1027,$AA153,$AG$20:$AG$1027)&lt;IF($D$4="Forint",Paraméterek!$M$223,Paraméterek!$M$224),2,3))),0)</f>
        <v>0</v>
      </c>
      <c r="AJ153" s="13">
        <f ca="1">IF(AND($AA153&gt;=5,MOD($AA153,5)=0),IF($AB153=12,VLOOKUP($AA153,Paraméterek!$O$225:$P$240,2),0),IF(OR($AA153=3,$AA153=4),IF($AB153=12,VLOOKUP($AA153,Paraméterek!$O$225:$P$240,2,0),0),0))*$AG153</f>
        <v>0</v>
      </c>
      <c r="AK153" s="13">
        <f t="shared" ca="1" si="53"/>
        <v>0</v>
      </c>
      <c r="AL153" s="13">
        <f t="shared" ca="1" si="61"/>
        <v>0</v>
      </c>
      <c r="AM153" s="13">
        <f t="shared" ca="1" si="62"/>
        <v>0</v>
      </c>
      <c r="AO153" s="32">
        <v>134</v>
      </c>
      <c r="AP153" s="32">
        <v>12</v>
      </c>
      <c r="AQ153" s="32">
        <v>2</v>
      </c>
      <c r="AR153" s="13"/>
      <c r="AS153" s="32"/>
      <c r="AT153" s="13">
        <f t="shared" ca="1" si="63"/>
        <v>0</v>
      </c>
      <c r="AU153" s="33"/>
      <c r="AV153" s="13">
        <f t="shared" ca="1" si="54"/>
        <v>0</v>
      </c>
      <c r="AW153" s="13">
        <f ca="1">ROUNDUP(($AT153+$AV153)*VLOOKUP($AP153,Paraméterek!$P$38:$Q$38,2)/12*IF($D154="Nem",IF($M$13=0,1,$M$13),1),IF($D$4="Forint",0,2))</f>
        <v>0</v>
      </c>
      <c r="AX153" s="13"/>
      <c r="AY153" s="13"/>
      <c r="AZ153" s="13">
        <f>ROUNDUP(IF(SUM($AX153:$AY153)=0,0,IF(IF(ISBLANK($AY153),$AX153,$AY153)*Paraméterek!$J$112&lt;IF($D$4="Forint",Paraméterek!$J$113,Paraméterek!$K$113),IF($D$4="Forint",Paraméterek!$J$113,Paraméterek!$K$113),IF(IF(ISBLANK($AY153),$AX153,$AY153)*Paraméterek!$J$112&gt;IF($D$4="Forint",Paraméterek!$J$114,Paraméterek!$K$114),IF($D$4="Forint",Paraméterek!$J$114,Paraméterek!$K$114),IF(ISBLANK($AY153),$AX153,$AY153)*Paraméterek!$J$112))),IF($D$4="Forint",0,2))</f>
        <v>0</v>
      </c>
      <c r="BA153" s="13">
        <f ca="1">$AT153+$AV153-$AW153-IF(ROUNDDOWN(IF(ISBLANK($AY153),$AX153,$AY153),IF($D$4="Forint",0,2))&gt;$AT153+$AV153-$AW153-IF($D$4="Forint",Paraméterek!$J$114,Paraméterek!$K$114),0,ROUNDDOWN(IF(ISBLANK($AY153),$AX153,$AY153),IF($D$4="Forint",0,2))-$AZ153)</f>
        <v>0</v>
      </c>
      <c r="BB153" s="13">
        <f t="shared" ca="1" si="55"/>
        <v>0</v>
      </c>
      <c r="BD153" s="32">
        <v>134</v>
      </c>
      <c r="BE153" s="32">
        <v>12</v>
      </c>
      <c r="BF153" s="32">
        <v>2</v>
      </c>
      <c r="BG153" s="34">
        <f t="shared" ca="1" si="64"/>
        <v>2030</v>
      </c>
      <c r="BH153" s="32" t="str">
        <f ca="1">IF(MOD(MONTH($D$14)+$BD153-1,12)=Paraméterek!$C$288,"Igen","")</f>
        <v>Igen</v>
      </c>
      <c r="BI153" s="13">
        <f ca="1">IF($BH153="Igen",MIN(ROUNDDOWN((SUMIF($BG$20:$BG$1027,$BG153-1,$K$20:$K$1027)-SUMIF($BG$20:$BG$1027,$BG153-1,$I$20:$I$1027))*Paraméterek!$C$289,IF($D$4="Forint",0,2)),IF($D$4="Forint",Paraméterek!$C$285,Paraméterek!$D$285)),0)</f>
        <v>0</v>
      </c>
      <c r="BJ153" s="13">
        <f t="shared" ca="1" si="56"/>
        <v>0</v>
      </c>
      <c r="BK153" s="13">
        <f t="shared" ca="1" si="65"/>
        <v>0</v>
      </c>
      <c r="BL153" s="33"/>
      <c r="BM153" s="13">
        <f t="shared" ca="1" si="57"/>
        <v>0</v>
      </c>
      <c r="BN153" s="13">
        <f ca="1">ROUNDUP(($BK153+$BM153)*VLOOKUP($BE153,Paraméterek!$P$38:$Q$38,2)/12*IF($D154="Nem",IF($M$13=0,1,$M$13),1),IF($D$4="Forint",0,2))</f>
        <v>0</v>
      </c>
      <c r="BO153" s="13">
        <f t="shared" ca="1" si="58"/>
        <v>0</v>
      </c>
      <c r="BP153" s="13">
        <f ca="1">IF($D154="Nem",$BO153,$BO153-ROUNDUP(SUM($BI$20:$BI153)*120%,IF($D$4="Forint",0,2)))</f>
        <v>0</v>
      </c>
    </row>
    <row r="154" spans="1:68" x14ac:dyDescent="0.2">
      <c r="A154" s="32">
        <v>135</v>
      </c>
      <c r="B154" s="32">
        <v>12</v>
      </c>
      <c r="C154" s="32">
        <v>3</v>
      </c>
      <c r="D154" s="32" t="str">
        <f t="shared" ca="1" si="44"/>
        <v>Nem</v>
      </c>
      <c r="E154" s="13">
        <f t="shared" ca="1" si="45"/>
        <v>0</v>
      </c>
      <c r="F154" s="13"/>
      <c r="G154" s="13"/>
      <c r="H154" s="13"/>
      <c r="I154" s="13">
        <f t="shared" ca="1" si="46"/>
        <v>0</v>
      </c>
      <c r="J154" s="13">
        <f t="shared" ca="1" si="47"/>
        <v>0</v>
      </c>
      <c r="K154" s="13">
        <f t="shared" ca="1" si="48"/>
        <v>0</v>
      </c>
      <c r="L154" s="13" t="e">
        <f ca="1">ROUNDUP(IF($D$2="Egyszeri",$E154,IF($D$2="Havi",SUM($E$20:$E$31),IF(MOD($C154,$M$1)-1=0,SUM($E$20:$E$31),0))/12*$M$1)*VLOOKUP($B154,Paraméterek!$I$28:$P$31,IF($D$2="Egyszeri",8,HLOOKUP(ROUNDUP($M$11+$M$13,0),Paraméterek!$J$26:$O$27,2))),IF($D$4="Forint",0,2))</f>
        <v>#N/A</v>
      </c>
      <c r="M154" s="13">
        <f t="shared" ca="1" si="49"/>
        <v>0</v>
      </c>
      <c r="N154" s="13">
        <f t="shared" ca="1" si="59"/>
        <v>0</v>
      </c>
      <c r="O154" s="13">
        <f ca="1">IF($D154="Igen",IF($W153&gt;=IF($D$4="Forint",Paraméterek!$J$121,Paraméterek!$K$121),0,IF($D$4="Forint",Paraméterek!$J$121,Paraméterek!$K$121)-$W153),0)</f>
        <v>0</v>
      </c>
      <c r="P154" s="13" t="e">
        <f ca="1">ROUNDUP($O154*VLOOKUP($M$4+$B154-1,Paraméterek!$H$58:$I$105,2,0)/Paraméterek!$I$56,IF($D$4="Forint",0,2))</f>
        <v>#N/A</v>
      </c>
      <c r="Q154" s="13">
        <f t="shared" ca="1" si="50"/>
        <v>0</v>
      </c>
      <c r="R154" s="33"/>
      <c r="S154" s="13" t="e">
        <f t="shared" ca="1" si="51"/>
        <v>#N/A</v>
      </c>
      <c r="T154" s="13" t="e">
        <f ca="1">ROUNDUP(($N154-$P154-$Q154+$S154)*VLOOKUP($B154,Paraméterek!$I$38:$K$39,IF($D$2="Egyszeri",3,2))/12*IF($D155="Nem",IF($M$13=0,1,$M$13),1),IF($D$4="Forint",0,2))</f>
        <v>#N/A</v>
      </c>
      <c r="U154" s="13"/>
      <c r="V154" s="13"/>
      <c r="W154" s="13" t="e">
        <f ca="1">$N154-$P154-$Q154+$S154-$T154-IF(ROUNDUP(IF(ISBLANK($V154),$U154*0,$V154)/IF($D$2="Egyszeri",VLOOKUP($B154+IF($C154=12,1,0),Paraméterek!$V$257:$W$262,2),IF($B154=1,1,VLOOKUP($B154+IF($C154=12,1,0),Paraméterek!$I$258:$T$278,HLOOKUP($M$11+1,Paraméterek!$J$256:$T$257,2)))),IF($D$4="Forint",0,2))&gt;$N154-$P154-$Q154+$S154-$T154-IF($D$4="Forint",Paraméterek!$C$216,Paraméterek!$D$216),0,ROUNDUP(IF(ISBLANK($V154),$U154*0,$V154)/IF($D$2="Egyszeri",VLOOKUP($B154+IF($C154=12,1,0),Paraméterek!$V$257:$W$262,2),IF($B154=1,1,VLOOKUP($B154+IF($C154=12,1,0),Paraméterek!$I$258:$T$278,HLOOKUP($M$11+1,Paraméterek!$J$256:$T$257,2)))),IF($D$4="Forint",0,2)))</f>
        <v>#N/A</v>
      </c>
      <c r="X154" s="13" t="e">
        <f ca="1">ROUNDDOWN($W154*IF($D$2="Egyszeri",VLOOKUP($B154+IF($C154=12,1,0),Paraméterek!$V$257:$W$262,2),VLOOKUP($B154+IF($C154=12,1,0),Paraméterek!$I$258:$T$278,HLOOKUP($M$11+1,Paraméterek!$I$256:$T$257,2))),IF($D$4="Forint",0,2))</f>
        <v>#N/A</v>
      </c>
      <c r="Z154" s="32">
        <v>135</v>
      </c>
      <c r="AA154" s="32">
        <v>12</v>
      </c>
      <c r="AB154" s="32">
        <v>3</v>
      </c>
      <c r="AC154" s="13">
        <f t="shared" ca="1" si="60"/>
        <v>0</v>
      </c>
      <c r="AD154" s="33"/>
      <c r="AE154" s="13">
        <f t="shared" ca="1" si="52"/>
        <v>0</v>
      </c>
      <c r="AF154" s="13">
        <f ca="1">ROUNDUP(($AC154+$AE154)*VLOOKUP($AA154,Paraméterek!$P$38:$Q$38,2)/12*IF($D155="Nem",IF($M$13=0,1,$M$13),1),IF($D$4="Forint",0,2))</f>
        <v>0</v>
      </c>
      <c r="AG154" s="13">
        <f ca="1">IF($D$2="Egyszeri",IF($D$7&gt;=IF($D$4="Forint",Paraméterek!$P$223,Paraméterek!$P$224),$D$7-IF($D$4="Forint",Paraméterek!$P$223,Paraméterek!$P$224),0),MIN(IF($AB154=12,AVERAGEIF($E$20:$E154,"&gt;0",$E$20:$E154)*12,0),SUM($E$20:$E$31)))</f>
        <v>0</v>
      </c>
      <c r="AH154" s="13">
        <f>IF($AA154=10,$AG154*IF($AB154=12,IF($AG154&lt;IF($D$4="Forint",Paraméterek!$L$223,Paraméterek!$L$224),0,VLOOKUP($AA154,Paraméterek!$K$226:$M$228,IF($AG154&lt;IF($D$4="Forint",Paraméterek!$M$223,Paraméterek!$M$224),2,3))),0),0)</f>
        <v>0</v>
      </c>
      <c r="AI154" s="13">
        <f ca="1">IF(AND($AA154=$M$11+1,$AB154=$M$12+1),SUMIF($AA$20:$AA$1027,$AA154,$AG$20:$AG$1027)*IF(SUMIF($AA$20:$AA$1027,$AA154,$AG$20:$AG$1027)&lt;IF($D$4="Forint",Paraméterek!$L$223,Paraméterek!$L$224),0,VLOOKUP($AA154,Paraméterek!$K$230:$M$250,IF(SUMIF($AA$20:$AA$1027,$AA154,$AG$20:$AG$1027)&lt;IF($D$4="Forint",Paraméterek!$M$223,Paraméterek!$M$224),2,3))),0)</f>
        <v>0</v>
      </c>
      <c r="AJ154" s="13">
        <f ca="1">IF(AND($AA154&gt;=5,MOD($AA154,5)=0),IF($AB154=12,VLOOKUP($AA154,Paraméterek!$O$225:$P$240,2),0),IF(OR($AA154=3,$AA154=4),IF($AB154=12,VLOOKUP($AA154,Paraméterek!$O$225:$P$240,2,0),0),0))*$AG154</f>
        <v>0</v>
      </c>
      <c r="AK154" s="13">
        <f t="shared" ca="1" si="53"/>
        <v>0</v>
      </c>
      <c r="AL154" s="13">
        <f t="shared" ca="1" si="61"/>
        <v>0</v>
      </c>
      <c r="AM154" s="13">
        <f t="shared" ca="1" si="62"/>
        <v>0</v>
      </c>
      <c r="AO154" s="32">
        <v>135</v>
      </c>
      <c r="AP154" s="32">
        <v>12</v>
      </c>
      <c r="AQ154" s="32">
        <v>3</v>
      </c>
      <c r="AR154" s="13"/>
      <c r="AS154" s="32"/>
      <c r="AT154" s="13">
        <f t="shared" ca="1" si="63"/>
        <v>0</v>
      </c>
      <c r="AU154" s="33"/>
      <c r="AV154" s="13">
        <f t="shared" ca="1" si="54"/>
        <v>0</v>
      </c>
      <c r="AW154" s="13">
        <f ca="1">ROUNDUP(($AT154+$AV154)*VLOOKUP($AP154,Paraméterek!$P$38:$Q$38,2)/12*IF($D155="Nem",IF($M$13=0,1,$M$13),1),IF($D$4="Forint",0,2))</f>
        <v>0</v>
      </c>
      <c r="AX154" s="13"/>
      <c r="AY154" s="13"/>
      <c r="AZ154" s="13">
        <f>ROUNDUP(IF(SUM($AX154:$AY154)=0,0,IF(IF(ISBLANK($AY154),$AX154,$AY154)*Paraméterek!$J$112&lt;IF($D$4="Forint",Paraméterek!$J$113,Paraméterek!$K$113),IF($D$4="Forint",Paraméterek!$J$113,Paraméterek!$K$113),IF(IF(ISBLANK($AY154),$AX154,$AY154)*Paraméterek!$J$112&gt;IF($D$4="Forint",Paraméterek!$J$114,Paraméterek!$K$114),IF($D$4="Forint",Paraméterek!$J$114,Paraméterek!$K$114),IF(ISBLANK($AY154),$AX154,$AY154)*Paraméterek!$J$112))),IF($D$4="Forint",0,2))</f>
        <v>0</v>
      </c>
      <c r="BA154" s="13">
        <f ca="1">$AT154+$AV154-$AW154-IF(ROUNDDOWN(IF(ISBLANK($AY154),$AX154,$AY154),IF($D$4="Forint",0,2))&gt;$AT154+$AV154-$AW154-IF($D$4="Forint",Paraméterek!$J$114,Paraméterek!$K$114),0,ROUNDDOWN(IF(ISBLANK($AY154),$AX154,$AY154),IF($D$4="Forint",0,2))-$AZ154)</f>
        <v>0</v>
      </c>
      <c r="BB154" s="13">
        <f t="shared" ca="1" si="55"/>
        <v>0</v>
      </c>
      <c r="BD154" s="32">
        <v>135</v>
      </c>
      <c r="BE154" s="32">
        <v>12</v>
      </c>
      <c r="BF154" s="32">
        <v>3</v>
      </c>
      <c r="BG154" s="34">
        <f t="shared" ca="1" si="64"/>
        <v>2030</v>
      </c>
      <c r="BH154" s="32" t="str">
        <f ca="1">IF(MOD(MONTH($D$14)+$BD154-1,12)=Paraméterek!$C$288,"Igen","")</f>
        <v/>
      </c>
      <c r="BI154" s="13">
        <f ca="1">IF($BH154="Igen",MIN(ROUNDDOWN((SUMIF($BG$20:$BG$1027,$BG154-1,$K$20:$K$1027)-SUMIF($BG$20:$BG$1027,$BG154-1,$I$20:$I$1027))*Paraméterek!$C$289,IF($D$4="Forint",0,2)),IF($D$4="Forint",Paraméterek!$C$285,Paraméterek!$D$285)),0)</f>
        <v>0</v>
      </c>
      <c r="BJ154" s="13">
        <f t="shared" ca="1" si="56"/>
        <v>0</v>
      </c>
      <c r="BK154" s="13">
        <f t="shared" ca="1" si="65"/>
        <v>0</v>
      </c>
      <c r="BL154" s="33"/>
      <c r="BM154" s="13">
        <f t="shared" ca="1" si="57"/>
        <v>0</v>
      </c>
      <c r="BN154" s="13">
        <f ca="1">ROUNDUP(($BK154+$BM154)*VLOOKUP($BE154,Paraméterek!$P$38:$Q$38,2)/12*IF($D155="Nem",IF($M$13=0,1,$M$13),1),IF($D$4="Forint",0,2))</f>
        <v>0</v>
      </c>
      <c r="BO154" s="13">
        <f t="shared" ca="1" si="58"/>
        <v>0</v>
      </c>
      <c r="BP154" s="13">
        <f ca="1">IF($D155="Nem",$BO154,$BO154-ROUNDUP(SUM($BI$20:$BI154)*120%,IF($D$4="Forint",0,2)))</f>
        <v>0</v>
      </c>
    </row>
    <row r="155" spans="1:68" x14ac:dyDescent="0.2">
      <c r="A155" s="32">
        <v>136</v>
      </c>
      <c r="B155" s="32">
        <v>12</v>
      </c>
      <c r="C155" s="32">
        <v>4</v>
      </c>
      <c r="D155" s="32" t="str">
        <f t="shared" ca="1" si="44"/>
        <v>Nem</v>
      </c>
      <c r="E155" s="13">
        <f t="shared" ca="1" si="45"/>
        <v>0</v>
      </c>
      <c r="F155" s="13"/>
      <c r="G155" s="13"/>
      <c r="H155" s="13"/>
      <c r="I155" s="13">
        <f t="shared" ca="1" si="46"/>
        <v>0</v>
      </c>
      <c r="J155" s="13">
        <f t="shared" ca="1" si="47"/>
        <v>0</v>
      </c>
      <c r="K155" s="13">
        <f t="shared" ca="1" si="48"/>
        <v>0</v>
      </c>
      <c r="L155" s="13" t="e">
        <f ca="1">ROUNDUP(IF($D$2="Egyszeri",$E155,IF($D$2="Havi",SUM($E$20:$E$31),IF(MOD($C155,$M$1)-1=0,SUM($E$20:$E$31),0))/12*$M$1)*VLOOKUP($B155,Paraméterek!$I$28:$P$31,IF($D$2="Egyszeri",8,HLOOKUP(ROUNDUP($M$11+$M$13,0),Paraméterek!$J$26:$O$27,2))),IF($D$4="Forint",0,2))</f>
        <v>#N/A</v>
      </c>
      <c r="M155" s="13">
        <f t="shared" ca="1" si="49"/>
        <v>0</v>
      </c>
      <c r="N155" s="13">
        <f t="shared" ca="1" si="59"/>
        <v>0</v>
      </c>
      <c r="O155" s="13">
        <f ca="1">IF($D155="Igen",IF($W154&gt;=IF($D$4="Forint",Paraméterek!$J$121,Paraméterek!$K$121),0,IF($D$4="Forint",Paraméterek!$J$121,Paraméterek!$K$121)-$W154),0)</f>
        <v>0</v>
      </c>
      <c r="P155" s="13" t="e">
        <f ca="1">ROUNDUP($O155*VLOOKUP($M$4+$B155-1,Paraméterek!$H$58:$I$105,2,0)/Paraméterek!$I$56,IF($D$4="Forint",0,2))</f>
        <v>#N/A</v>
      </c>
      <c r="Q155" s="13">
        <f t="shared" ca="1" si="50"/>
        <v>0</v>
      </c>
      <c r="R155" s="33"/>
      <c r="S155" s="13" t="e">
        <f t="shared" ca="1" si="51"/>
        <v>#N/A</v>
      </c>
      <c r="T155" s="13" t="e">
        <f ca="1">ROUNDUP(($N155-$P155-$Q155+$S155)*VLOOKUP($B155,Paraméterek!$I$38:$K$39,IF($D$2="Egyszeri",3,2))/12*IF($D156="Nem",IF($M$13=0,1,$M$13),1),IF($D$4="Forint",0,2))</f>
        <v>#N/A</v>
      </c>
      <c r="U155" s="13"/>
      <c r="V155" s="13"/>
      <c r="W155" s="13" t="e">
        <f ca="1">$N155-$P155-$Q155+$S155-$T155-IF(ROUNDUP(IF(ISBLANK($V155),$U155*0,$V155)/IF($D$2="Egyszeri",VLOOKUP($B155+IF($C155=12,1,0),Paraméterek!$V$257:$W$262,2),IF($B155=1,1,VLOOKUP($B155+IF($C155=12,1,0),Paraméterek!$I$258:$T$278,HLOOKUP($M$11+1,Paraméterek!$J$256:$T$257,2)))),IF($D$4="Forint",0,2))&gt;$N155-$P155-$Q155+$S155-$T155-IF($D$4="Forint",Paraméterek!$C$216,Paraméterek!$D$216),0,ROUNDUP(IF(ISBLANK($V155),$U155*0,$V155)/IF($D$2="Egyszeri",VLOOKUP($B155+IF($C155=12,1,0),Paraméterek!$V$257:$W$262,2),IF($B155=1,1,VLOOKUP($B155+IF($C155=12,1,0),Paraméterek!$I$258:$T$278,HLOOKUP($M$11+1,Paraméterek!$J$256:$T$257,2)))),IF($D$4="Forint",0,2)))</f>
        <v>#N/A</v>
      </c>
      <c r="X155" s="13" t="e">
        <f ca="1">ROUNDDOWN($W155*IF($D$2="Egyszeri",VLOOKUP($B155+IF($C155=12,1,0),Paraméterek!$V$257:$W$262,2),VLOOKUP($B155+IF($C155=12,1,0),Paraméterek!$I$258:$T$278,HLOOKUP($M$11+1,Paraméterek!$I$256:$T$257,2))),IF($D$4="Forint",0,2))</f>
        <v>#N/A</v>
      </c>
      <c r="Z155" s="32">
        <v>136</v>
      </c>
      <c r="AA155" s="32">
        <v>12</v>
      </c>
      <c r="AB155" s="32">
        <v>4</v>
      </c>
      <c r="AC155" s="13">
        <f t="shared" ca="1" si="60"/>
        <v>0</v>
      </c>
      <c r="AD155" s="33"/>
      <c r="AE155" s="13">
        <f t="shared" ca="1" si="52"/>
        <v>0</v>
      </c>
      <c r="AF155" s="13">
        <f ca="1">ROUNDUP(($AC155+$AE155)*VLOOKUP($AA155,Paraméterek!$P$38:$Q$38,2)/12*IF($D156="Nem",IF($M$13=0,1,$M$13),1),IF($D$4="Forint",0,2))</f>
        <v>0</v>
      </c>
      <c r="AG155" s="13">
        <f ca="1">IF($D$2="Egyszeri",IF($D$7&gt;=IF($D$4="Forint",Paraméterek!$P$223,Paraméterek!$P$224),$D$7-IF($D$4="Forint",Paraméterek!$P$223,Paraméterek!$P$224),0),MIN(IF($AB155=12,AVERAGEIF($E$20:$E155,"&gt;0",$E$20:$E155)*12,0),SUM($E$20:$E$31)))</f>
        <v>0</v>
      </c>
      <c r="AH155" s="13">
        <f>IF($AA155=10,$AG155*IF($AB155=12,IF($AG155&lt;IF($D$4="Forint",Paraméterek!$L$223,Paraméterek!$L$224),0,VLOOKUP($AA155,Paraméterek!$K$226:$M$228,IF($AG155&lt;IF($D$4="Forint",Paraméterek!$M$223,Paraméterek!$M$224),2,3))),0),0)</f>
        <v>0</v>
      </c>
      <c r="AI155" s="13">
        <f ca="1">IF(AND($AA155=$M$11+1,$AB155=$M$12+1),SUMIF($AA$20:$AA$1027,$AA155,$AG$20:$AG$1027)*IF(SUMIF($AA$20:$AA$1027,$AA155,$AG$20:$AG$1027)&lt;IF($D$4="Forint",Paraméterek!$L$223,Paraméterek!$L$224),0,VLOOKUP($AA155,Paraméterek!$K$230:$M$250,IF(SUMIF($AA$20:$AA$1027,$AA155,$AG$20:$AG$1027)&lt;IF($D$4="Forint",Paraméterek!$M$223,Paraméterek!$M$224),2,3))),0)</f>
        <v>0</v>
      </c>
      <c r="AJ155" s="13">
        <f ca="1">IF(AND($AA155&gt;=5,MOD($AA155,5)=0),IF($AB155=12,VLOOKUP($AA155,Paraméterek!$O$225:$P$240,2),0),IF(OR($AA155=3,$AA155=4),IF($AB155=12,VLOOKUP($AA155,Paraméterek!$O$225:$P$240,2,0),0),0))*$AG155</f>
        <v>0</v>
      </c>
      <c r="AK155" s="13">
        <f t="shared" ca="1" si="53"/>
        <v>0</v>
      </c>
      <c r="AL155" s="13">
        <f t="shared" ca="1" si="61"/>
        <v>0</v>
      </c>
      <c r="AM155" s="13">
        <f t="shared" ca="1" si="62"/>
        <v>0</v>
      </c>
      <c r="AO155" s="32">
        <v>136</v>
      </c>
      <c r="AP155" s="32">
        <v>12</v>
      </c>
      <c r="AQ155" s="32">
        <v>4</v>
      </c>
      <c r="AR155" s="13"/>
      <c r="AS155" s="32"/>
      <c r="AT155" s="13">
        <f t="shared" ca="1" si="63"/>
        <v>0</v>
      </c>
      <c r="AU155" s="33"/>
      <c r="AV155" s="13">
        <f t="shared" ca="1" si="54"/>
        <v>0</v>
      </c>
      <c r="AW155" s="13">
        <f ca="1">ROUNDUP(($AT155+$AV155)*VLOOKUP($AP155,Paraméterek!$P$38:$Q$38,2)/12*IF($D156="Nem",IF($M$13=0,1,$M$13),1),IF($D$4="Forint",0,2))</f>
        <v>0</v>
      </c>
      <c r="AX155" s="13"/>
      <c r="AY155" s="13"/>
      <c r="AZ155" s="13">
        <f>ROUNDUP(IF(SUM($AX155:$AY155)=0,0,IF(IF(ISBLANK($AY155),$AX155,$AY155)*Paraméterek!$J$112&lt;IF($D$4="Forint",Paraméterek!$J$113,Paraméterek!$K$113),IF($D$4="Forint",Paraméterek!$J$113,Paraméterek!$K$113),IF(IF(ISBLANK($AY155),$AX155,$AY155)*Paraméterek!$J$112&gt;IF($D$4="Forint",Paraméterek!$J$114,Paraméterek!$K$114),IF($D$4="Forint",Paraméterek!$J$114,Paraméterek!$K$114),IF(ISBLANK($AY155),$AX155,$AY155)*Paraméterek!$J$112))),IF($D$4="Forint",0,2))</f>
        <v>0</v>
      </c>
      <c r="BA155" s="13">
        <f ca="1">$AT155+$AV155-$AW155-IF(ROUNDDOWN(IF(ISBLANK($AY155),$AX155,$AY155),IF($D$4="Forint",0,2))&gt;$AT155+$AV155-$AW155-IF($D$4="Forint",Paraméterek!$J$114,Paraméterek!$K$114),0,ROUNDDOWN(IF(ISBLANK($AY155),$AX155,$AY155),IF($D$4="Forint",0,2))-$AZ155)</f>
        <v>0</v>
      </c>
      <c r="BB155" s="13">
        <f t="shared" ca="1" si="55"/>
        <v>0</v>
      </c>
      <c r="BD155" s="32">
        <v>136</v>
      </c>
      <c r="BE155" s="32">
        <v>12</v>
      </c>
      <c r="BF155" s="32">
        <v>4</v>
      </c>
      <c r="BG155" s="34">
        <f t="shared" ca="1" si="64"/>
        <v>2030</v>
      </c>
      <c r="BH155" s="32" t="str">
        <f ca="1">IF(MOD(MONTH($D$14)+$BD155-1,12)=Paraméterek!$C$288,"Igen","")</f>
        <v/>
      </c>
      <c r="BI155" s="13">
        <f ca="1">IF($BH155="Igen",MIN(ROUNDDOWN((SUMIF($BG$20:$BG$1027,$BG155-1,$K$20:$K$1027)-SUMIF($BG$20:$BG$1027,$BG155-1,$I$20:$I$1027))*Paraméterek!$C$289,IF($D$4="Forint",0,2)),IF($D$4="Forint",Paraméterek!$C$285,Paraméterek!$D$285)),0)</f>
        <v>0</v>
      </c>
      <c r="BJ155" s="13">
        <f t="shared" ca="1" si="56"/>
        <v>0</v>
      </c>
      <c r="BK155" s="13">
        <f t="shared" ca="1" si="65"/>
        <v>0</v>
      </c>
      <c r="BL155" s="33"/>
      <c r="BM155" s="13">
        <f t="shared" ca="1" si="57"/>
        <v>0</v>
      </c>
      <c r="BN155" s="13">
        <f ca="1">ROUNDUP(($BK155+$BM155)*VLOOKUP($BE155,Paraméterek!$P$38:$Q$38,2)/12*IF($D156="Nem",IF($M$13=0,1,$M$13),1),IF($D$4="Forint",0,2))</f>
        <v>0</v>
      </c>
      <c r="BO155" s="13">
        <f t="shared" ca="1" si="58"/>
        <v>0</v>
      </c>
      <c r="BP155" s="13">
        <f ca="1">IF($D156="Nem",$BO155,$BO155-ROUNDUP(SUM($BI$20:$BI155)*120%,IF($D$4="Forint",0,2)))</f>
        <v>0</v>
      </c>
    </row>
    <row r="156" spans="1:68" x14ac:dyDescent="0.2">
      <c r="A156" s="32">
        <v>137</v>
      </c>
      <c r="B156" s="32">
        <v>12</v>
      </c>
      <c r="C156" s="32">
        <v>5</v>
      </c>
      <c r="D156" s="32" t="str">
        <f t="shared" ca="1" si="44"/>
        <v>Nem</v>
      </c>
      <c r="E156" s="13">
        <f t="shared" ca="1" si="45"/>
        <v>0</v>
      </c>
      <c r="F156" s="13"/>
      <c r="G156" s="13"/>
      <c r="H156" s="13"/>
      <c r="I156" s="13">
        <f t="shared" ca="1" si="46"/>
        <v>0</v>
      </c>
      <c r="J156" s="13">
        <f t="shared" ca="1" si="47"/>
        <v>0</v>
      </c>
      <c r="K156" s="13">
        <f t="shared" ca="1" si="48"/>
        <v>0</v>
      </c>
      <c r="L156" s="13" t="e">
        <f ca="1">ROUNDUP(IF($D$2="Egyszeri",$E156,IF($D$2="Havi",SUM($E$20:$E$31),IF(MOD($C156,$M$1)-1=0,SUM($E$20:$E$31),0))/12*$M$1)*VLOOKUP($B156,Paraméterek!$I$28:$P$31,IF($D$2="Egyszeri",8,HLOOKUP(ROUNDUP($M$11+$M$13,0),Paraméterek!$J$26:$O$27,2))),IF($D$4="Forint",0,2))</f>
        <v>#N/A</v>
      </c>
      <c r="M156" s="13">
        <f t="shared" ca="1" si="49"/>
        <v>0</v>
      </c>
      <c r="N156" s="13">
        <f t="shared" ca="1" si="59"/>
        <v>0</v>
      </c>
      <c r="O156" s="13">
        <f ca="1">IF($D156="Igen",IF($W155&gt;=IF($D$4="Forint",Paraméterek!$J$121,Paraméterek!$K$121),0,IF($D$4="Forint",Paraméterek!$J$121,Paraméterek!$K$121)-$W155),0)</f>
        <v>0</v>
      </c>
      <c r="P156" s="13" t="e">
        <f ca="1">ROUNDUP($O156*VLOOKUP($M$4+$B156-1,Paraméterek!$H$58:$I$105,2,0)/Paraméterek!$I$56,IF($D$4="Forint",0,2))</f>
        <v>#N/A</v>
      </c>
      <c r="Q156" s="13">
        <f t="shared" ca="1" si="50"/>
        <v>0</v>
      </c>
      <c r="R156" s="33"/>
      <c r="S156" s="13" t="e">
        <f t="shared" ca="1" si="51"/>
        <v>#N/A</v>
      </c>
      <c r="T156" s="13" t="e">
        <f ca="1">ROUNDUP(($N156-$P156-$Q156+$S156)*VLOOKUP($B156,Paraméterek!$I$38:$K$39,IF($D$2="Egyszeri",3,2))/12*IF($D157="Nem",IF($M$13=0,1,$M$13),1),IF($D$4="Forint",0,2))</f>
        <v>#N/A</v>
      </c>
      <c r="U156" s="13"/>
      <c r="V156" s="13"/>
      <c r="W156" s="13" t="e">
        <f ca="1">$N156-$P156-$Q156+$S156-$T156-IF(ROUNDUP(IF(ISBLANK($V156),$U156*0,$V156)/IF($D$2="Egyszeri",VLOOKUP($B156+IF($C156=12,1,0),Paraméterek!$V$257:$W$262,2),IF($B156=1,1,VLOOKUP($B156+IF($C156=12,1,0),Paraméterek!$I$258:$T$278,HLOOKUP($M$11+1,Paraméterek!$J$256:$T$257,2)))),IF($D$4="Forint",0,2))&gt;$N156-$P156-$Q156+$S156-$T156-IF($D$4="Forint",Paraméterek!$C$216,Paraméterek!$D$216),0,ROUNDUP(IF(ISBLANK($V156),$U156*0,$V156)/IF($D$2="Egyszeri",VLOOKUP($B156+IF($C156=12,1,0),Paraméterek!$V$257:$W$262,2),IF($B156=1,1,VLOOKUP($B156+IF($C156=12,1,0),Paraméterek!$I$258:$T$278,HLOOKUP($M$11+1,Paraméterek!$J$256:$T$257,2)))),IF($D$4="Forint",0,2)))</f>
        <v>#N/A</v>
      </c>
      <c r="X156" s="13" t="e">
        <f ca="1">ROUNDDOWN($W156*IF($D$2="Egyszeri",VLOOKUP($B156+IF($C156=12,1,0),Paraméterek!$V$257:$W$262,2),VLOOKUP($B156+IF($C156=12,1,0),Paraméterek!$I$258:$T$278,HLOOKUP($M$11+1,Paraméterek!$I$256:$T$257,2))),IF($D$4="Forint",0,2))</f>
        <v>#N/A</v>
      </c>
      <c r="Z156" s="32">
        <v>137</v>
      </c>
      <c r="AA156" s="32">
        <v>12</v>
      </c>
      <c r="AB156" s="32">
        <v>5</v>
      </c>
      <c r="AC156" s="13">
        <f t="shared" ca="1" si="60"/>
        <v>0</v>
      </c>
      <c r="AD156" s="33"/>
      <c r="AE156" s="13">
        <f t="shared" ca="1" si="52"/>
        <v>0</v>
      </c>
      <c r="AF156" s="13">
        <f ca="1">ROUNDUP(($AC156+$AE156)*VLOOKUP($AA156,Paraméterek!$P$38:$Q$38,2)/12*IF($D157="Nem",IF($M$13=0,1,$M$13),1),IF($D$4="Forint",0,2))</f>
        <v>0</v>
      </c>
      <c r="AG156" s="13">
        <f ca="1">IF($D$2="Egyszeri",IF($D$7&gt;=IF($D$4="Forint",Paraméterek!$P$223,Paraméterek!$P$224),$D$7-IF($D$4="Forint",Paraméterek!$P$223,Paraméterek!$P$224),0),MIN(IF($AB156=12,AVERAGEIF($E$20:$E156,"&gt;0",$E$20:$E156)*12,0),SUM($E$20:$E$31)))</f>
        <v>0</v>
      </c>
      <c r="AH156" s="13">
        <f>IF($AA156=10,$AG156*IF($AB156=12,IF($AG156&lt;IF($D$4="Forint",Paraméterek!$L$223,Paraméterek!$L$224),0,VLOOKUP($AA156,Paraméterek!$K$226:$M$228,IF($AG156&lt;IF($D$4="Forint",Paraméterek!$M$223,Paraméterek!$M$224),2,3))),0),0)</f>
        <v>0</v>
      </c>
      <c r="AI156" s="13">
        <f ca="1">IF(AND($AA156=$M$11+1,$AB156=$M$12+1),SUMIF($AA$20:$AA$1027,$AA156,$AG$20:$AG$1027)*IF(SUMIF($AA$20:$AA$1027,$AA156,$AG$20:$AG$1027)&lt;IF($D$4="Forint",Paraméterek!$L$223,Paraméterek!$L$224),0,VLOOKUP($AA156,Paraméterek!$K$230:$M$250,IF(SUMIF($AA$20:$AA$1027,$AA156,$AG$20:$AG$1027)&lt;IF($D$4="Forint",Paraméterek!$M$223,Paraméterek!$M$224),2,3))),0)</f>
        <v>0</v>
      </c>
      <c r="AJ156" s="13">
        <f ca="1">IF(AND($AA156&gt;=5,MOD($AA156,5)=0),IF($AB156=12,VLOOKUP($AA156,Paraméterek!$O$225:$P$240,2),0),IF(OR($AA156=3,$AA156=4),IF($AB156=12,VLOOKUP($AA156,Paraméterek!$O$225:$P$240,2,0),0),0))*$AG156</f>
        <v>0</v>
      </c>
      <c r="AK156" s="13">
        <f t="shared" ca="1" si="53"/>
        <v>0</v>
      </c>
      <c r="AL156" s="13">
        <f t="shared" ca="1" si="61"/>
        <v>0</v>
      </c>
      <c r="AM156" s="13">
        <f t="shared" ca="1" si="62"/>
        <v>0</v>
      </c>
      <c r="AO156" s="32">
        <v>137</v>
      </c>
      <c r="AP156" s="32">
        <v>12</v>
      </c>
      <c r="AQ156" s="32">
        <v>5</v>
      </c>
      <c r="AR156" s="13"/>
      <c r="AS156" s="32"/>
      <c r="AT156" s="13">
        <f t="shared" ca="1" si="63"/>
        <v>0</v>
      </c>
      <c r="AU156" s="33"/>
      <c r="AV156" s="13">
        <f t="shared" ca="1" si="54"/>
        <v>0</v>
      </c>
      <c r="AW156" s="13">
        <f ca="1">ROUNDUP(($AT156+$AV156)*VLOOKUP($AP156,Paraméterek!$P$38:$Q$38,2)/12*IF($D157="Nem",IF($M$13=0,1,$M$13),1),IF($D$4="Forint",0,2))</f>
        <v>0</v>
      </c>
      <c r="AX156" s="13"/>
      <c r="AY156" s="13"/>
      <c r="AZ156" s="13">
        <f>ROUNDUP(IF(SUM($AX156:$AY156)=0,0,IF(IF(ISBLANK($AY156),$AX156,$AY156)*Paraméterek!$J$112&lt;IF($D$4="Forint",Paraméterek!$J$113,Paraméterek!$K$113),IF($D$4="Forint",Paraméterek!$J$113,Paraméterek!$K$113),IF(IF(ISBLANK($AY156),$AX156,$AY156)*Paraméterek!$J$112&gt;IF($D$4="Forint",Paraméterek!$J$114,Paraméterek!$K$114),IF($D$4="Forint",Paraméterek!$J$114,Paraméterek!$K$114),IF(ISBLANK($AY156),$AX156,$AY156)*Paraméterek!$J$112))),IF($D$4="Forint",0,2))</f>
        <v>0</v>
      </c>
      <c r="BA156" s="13">
        <f ca="1">$AT156+$AV156-$AW156-IF(ROUNDDOWN(IF(ISBLANK($AY156),$AX156,$AY156),IF($D$4="Forint",0,2))&gt;$AT156+$AV156-$AW156-IF($D$4="Forint",Paraméterek!$J$114,Paraméterek!$K$114),0,ROUNDDOWN(IF(ISBLANK($AY156),$AX156,$AY156),IF($D$4="Forint",0,2))-$AZ156)</f>
        <v>0</v>
      </c>
      <c r="BB156" s="13">
        <f t="shared" ca="1" si="55"/>
        <v>0</v>
      </c>
      <c r="BD156" s="32">
        <v>137</v>
      </c>
      <c r="BE156" s="32">
        <v>12</v>
      </c>
      <c r="BF156" s="32">
        <v>5</v>
      </c>
      <c r="BG156" s="34">
        <f t="shared" ca="1" si="64"/>
        <v>2030</v>
      </c>
      <c r="BH156" s="32" t="str">
        <f ca="1">IF(MOD(MONTH($D$14)+$BD156-1,12)=Paraméterek!$C$288,"Igen","")</f>
        <v/>
      </c>
      <c r="BI156" s="13">
        <f ca="1">IF($BH156="Igen",MIN(ROUNDDOWN((SUMIF($BG$20:$BG$1027,$BG156-1,$K$20:$K$1027)-SUMIF($BG$20:$BG$1027,$BG156-1,$I$20:$I$1027))*Paraméterek!$C$289,IF($D$4="Forint",0,2)),IF($D$4="Forint",Paraméterek!$C$285,Paraméterek!$D$285)),0)</f>
        <v>0</v>
      </c>
      <c r="BJ156" s="13">
        <f t="shared" ca="1" si="56"/>
        <v>0</v>
      </c>
      <c r="BK156" s="13">
        <f t="shared" ca="1" si="65"/>
        <v>0</v>
      </c>
      <c r="BL156" s="33"/>
      <c r="BM156" s="13">
        <f t="shared" ca="1" si="57"/>
        <v>0</v>
      </c>
      <c r="BN156" s="13">
        <f ca="1">ROUNDUP(($BK156+$BM156)*VLOOKUP($BE156,Paraméterek!$P$38:$Q$38,2)/12*IF($D157="Nem",IF($M$13=0,1,$M$13),1),IF($D$4="Forint",0,2))</f>
        <v>0</v>
      </c>
      <c r="BO156" s="13">
        <f t="shared" ca="1" si="58"/>
        <v>0</v>
      </c>
      <c r="BP156" s="13">
        <f ca="1">IF($D157="Nem",$BO156,$BO156-ROUNDUP(SUM($BI$20:$BI156)*120%,IF($D$4="Forint",0,2)))</f>
        <v>0</v>
      </c>
    </row>
    <row r="157" spans="1:68" x14ac:dyDescent="0.2">
      <c r="A157" s="32">
        <v>138</v>
      </c>
      <c r="B157" s="32">
        <v>12</v>
      </c>
      <c r="C157" s="32">
        <v>6</v>
      </c>
      <c r="D157" s="32" t="str">
        <f t="shared" ca="1" si="44"/>
        <v>Nem</v>
      </c>
      <c r="E157" s="13">
        <f t="shared" ca="1" si="45"/>
        <v>0</v>
      </c>
      <c r="F157" s="13"/>
      <c r="G157" s="13"/>
      <c r="H157" s="13"/>
      <c r="I157" s="13">
        <f t="shared" ca="1" si="46"/>
        <v>0</v>
      </c>
      <c r="J157" s="13">
        <f t="shared" ca="1" si="47"/>
        <v>0</v>
      </c>
      <c r="K157" s="13">
        <f t="shared" ca="1" si="48"/>
        <v>0</v>
      </c>
      <c r="L157" s="13" t="e">
        <f ca="1">ROUNDUP(IF($D$2="Egyszeri",$E157,IF($D$2="Havi",SUM($E$20:$E$31),IF(MOD($C157,$M$1)-1=0,SUM($E$20:$E$31),0))/12*$M$1)*VLOOKUP($B157,Paraméterek!$I$28:$P$31,IF($D$2="Egyszeri",8,HLOOKUP(ROUNDUP($M$11+$M$13,0),Paraméterek!$J$26:$O$27,2))),IF($D$4="Forint",0,2))</f>
        <v>#N/A</v>
      </c>
      <c r="M157" s="13">
        <f t="shared" ca="1" si="49"/>
        <v>0</v>
      </c>
      <c r="N157" s="13">
        <f t="shared" ca="1" si="59"/>
        <v>0</v>
      </c>
      <c r="O157" s="13">
        <f ca="1">IF($D157="Igen",IF($W156&gt;=IF($D$4="Forint",Paraméterek!$J$121,Paraméterek!$K$121),0,IF($D$4="Forint",Paraméterek!$J$121,Paraméterek!$K$121)-$W156),0)</f>
        <v>0</v>
      </c>
      <c r="P157" s="13" t="e">
        <f ca="1">ROUNDUP($O157*VLOOKUP($M$4+$B157-1,Paraméterek!$H$58:$I$105,2,0)/Paraméterek!$I$56,IF($D$4="Forint",0,2))</f>
        <v>#N/A</v>
      </c>
      <c r="Q157" s="13">
        <f t="shared" ca="1" si="50"/>
        <v>0</v>
      </c>
      <c r="R157" s="33"/>
      <c r="S157" s="13" t="e">
        <f t="shared" ca="1" si="51"/>
        <v>#N/A</v>
      </c>
      <c r="T157" s="13" t="e">
        <f ca="1">ROUNDUP(($N157-$P157-$Q157+$S157)*VLOOKUP($B157,Paraméterek!$I$38:$K$39,IF($D$2="Egyszeri",3,2))/12*IF($D158="Nem",IF($M$13=0,1,$M$13),1),IF($D$4="Forint",0,2))</f>
        <v>#N/A</v>
      </c>
      <c r="U157" s="13"/>
      <c r="V157" s="13"/>
      <c r="W157" s="13" t="e">
        <f ca="1">$N157-$P157-$Q157+$S157-$T157-IF(ROUNDUP(IF(ISBLANK($V157),$U157*0,$V157)/IF($D$2="Egyszeri",VLOOKUP($B157+IF($C157=12,1,0),Paraméterek!$V$257:$W$262,2),IF($B157=1,1,VLOOKUP($B157+IF($C157=12,1,0),Paraméterek!$I$258:$T$278,HLOOKUP($M$11+1,Paraméterek!$J$256:$T$257,2)))),IF($D$4="Forint",0,2))&gt;$N157-$P157-$Q157+$S157-$T157-IF($D$4="Forint",Paraméterek!$C$216,Paraméterek!$D$216),0,ROUNDUP(IF(ISBLANK($V157),$U157*0,$V157)/IF($D$2="Egyszeri",VLOOKUP($B157+IF($C157=12,1,0),Paraméterek!$V$257:$W$262,2),IF($B157=1,1,VLOOKUP($B157+IF($C157=12,1,0),Paraméterek!$I$258:$T$278,HLOOKUP($M$11+1,Paraméterek!$J$256:$T$257,2)))),IF($D$4="Forint",0,2)))</f>
        <v>#N/A</v>
      </c>
      <c r="X157" s="13" t="e">
        <f ca="1">ROUNDDOWN($W157*IF($D$2="Egyszeri",VLOOKUP($B157+IF($C157=12,1,0),Paraméterek!$V$257:$W$262,2),VLOOKUP($B157+IF($C157=12,1,0),Paraméterek!$I$258:$T$278,HLOOKUP($M$11+1,Paraméterek!$I$256:$T$257,2))),IF($D$4="Forint",0,2))</f>
        <v>#N/A</v>
      </c>
      <c r="Z157" s="32">
        <v>138</v>
      </c>
      <c r="AA157" s="32">
        <v>12</v>
      </c>
      <c r="AB157" s="32">
        <v>6</v>
      </c>
      <c r="AC157" s="13">
        <f t="shared" ca="1" si="60"/>
        <v>0</v>
      </c>
      <c r="AD157" s="33"/>
      <c r="AE157" s="13">
        <f t="shared" ca="1" si="52"/>
        <v>0</v>
      </c>
      <c r="AF157" s="13">
        <f ca="1">ROUNDUP(($AC157+$AE157)*VLOOKUP($AA157,Paraméterek!$P$38:$Q$38,2)/12*IF($D158="Nem",IF($M$13=0,1,$M$13),1),IF($D$4="Forint",0,2))</f>
        <v>0</v>
      </c>
      <c r="AG157" s="13">
        <f ca="1">IF($D$2="Egyszeri",IF($D$7&gt;=IF($D$4="Forint",Paraméterek!$P$223,Paraméterek!$P$224),$D$7-IF($D$4="Forint",Paraméterek!$P$223,Paraméterek!$P$224),0),MIN(IF($AB157=12,AVERAGEIF($E$20:$E157,"&gt;0",$E$20:$E157)*12,0),SUM($E$20:$E$31)))</f>
        <v>0</v>
      </c>
      <c r="AH157" s="13">
        <f>IF($AA157=10,$AG157*IF($AB157=12,IF($AG157&lt;IF($D$4="Forint",Paraméterek!$L$223,Paraméterek!$L$224),0,VLOOKUP($AA157,Paraméterek!$K$226:$M$228,IF($AG157&lt;IF($D$4="Forint",Paraméterek!$M$223,Paraméterek!$M$224),2,3))),0),0)</f>
        <v>0</v>
      </c>
      <c r="AI157" s="13">
        <f ca="1">IF(AND($AA157=$M$11+1,$AB157=$M$12+1),SUMIF($AA$20:$AA$1027,$AA157,$AG$20:$AG$1027)*IF(SUMIF($AA$20:$AA$1027,$AA157,$AG$20:$AG$1027)&lt;IF($D$4="Forint",Paraméterek!$L$223,Paraméterek!$L$224),0,VLOOKUP($AA157,Paraméterek!$K$230:$M$250,IF(SUMIF($AA$20:$AA$1027,$AA157,$AG$20:$AG$1027)&lt;IF($D$4="Forint",Paraméterek!$M$223,Paraméterek!$M$224),2,3))),0)</f>
        <v>0</v>
      </c>
      <c r="AJ157" s="13">
        <f ca="1">IF(AND($AA157&gt;=5,MOD($AA157,5)=0),IF($AB157=12,VLOOKUP($AA157,Paraméterek!$O$225:$P$240,2),0),IF(OR($AA157=3,$AA157=4),IF($AB157=12,VLOOKUP($AA157,Paraméterek!$O$225:$P$240,2,0),0),0))*$AG157</f>
        <v>0</v>
      </c>
      <c r="AK157" s="13">
        <f t="shared" ca="1" si="53"/>
        <v>0</v>
      </c>
      <c r="AL157" s="13">
        <f t="shared" ca="1" si="61"/>
        <v>0</v>
      </c>
      <c r="AM157" s="13">
        <f t="shared" ca="1" si="62"/>
        <v>0</v>
      </c>
      <c r="AO157" s="32">
        <v>138</v>
      </c>
      <c r="AP157" s="32">
        <v>12</v>
      </c>
      <c r="AQ157" s="32">
        <v>6</v>
      </c>
      <c r="AR157" s="13"/>
      <c r="AS157" s="32"/>
      <c r="AT157" s="13">
        <f t="shared" ca="1" si="63"/>
        <v>0</v>
      </c>
      <c r="AU157" s="33"/>
      <c r="AV157" s="13">
        <f t="shared" ca="1" si="54"/>
        <v>0</v>
      </c>
      <c r="AW157" s="13">
        <f ca="1">ROUNDUP(($AT157+$AV157)*VLOOKUP($AP157,Paraméterek!$P$38:$Q$38,2)/12*IF($D158="Nem",IF($M$13=0,1,$M$13),1),IF($D$4="Forint",0,2))</f>
        <v>0</v>
      </c>
      <c r="AX157" s="13"/>
      <c r="AY157" s="13"/>
      <c r="AZ157" s="13">
        <f>ROUNDUP(IF(SUM($AX157:$AY157)=0,0,IF(IF(ISBLANK($AY157),$AX157,$AY157)*Paraméterek!$J$112&lt;IF($D$4="Forint",Paraméterek!$J$113,Paraméterek!$K$113),IF($D$4="Forint",Paraméterek!$J$113,Paraméterek!$K$113),IF(IF(ISBLANK($AY157),$AX157,$AY157)*Paraméterek!$J$112&gt;IF($D$4="Forint",Paraméterek!$J$114,Paraméterek!$K$114),IF($D$4="Forint",Paraméterek!$J$114,Paraméterek!$K$114),IF(ISBLANK($AY157),$AX157,$AY157)*Paraméterek!$J$112))),IF($D$4="Forint",0,2))</f>
        <v>0</v>
      </c>
      <c r="BA157" s="13">
        <f ca="1">$AT157+$AV157-$AW157-IF(ROUNDDOWN(IF(ISBLANK($AY157),$AX157,$AY157),IF($D$4="Forint",0,2))&gt;$AT157+$AV157-$AW157-IF($D$4="Forint",Paraméterek!$J$114,Paraméterek!$K$114),0,ROUNDDOWN(IF(ISBLANK($AY157),$AX157,$AY157),IF($D$4="Forint",0,2))-$AZ157)</f>
        <v>0</v>
      </c>
      <c r="BB157" s="13">
        <f t="shared" ca="1" si="55"/>
        <v>0</v>
      </c>
      <c r="BD157" s="32">
        <v>138</v>
      </c>
      <c r="BE157" s="32">
        <v>12</v>
      </c>
      <c r="BF157" s="32">
        <v>6</v>
      </c>
      <c r="BG157" s="34">
        <f t="shared" ca="1" si="64"/>
        <v>2030</v>
      </c>
      <c r="BH157" s="32" t="str">
        <f ca="1">IF(MOD(MONTH($D$14)+$BD157-1,12)=Paraméterek!$C$288,"Igen","")</f>
        <v/>
      </c>
      <c r="BI157" s="13">
        <f ca="1">IF($BH157="Igen",MIN(ROUNDDOWN((SUMIF($BG$20:$BG$1027,$BG157-1,$K$20:$K$1027)-SUMIF($BG$20:$BG$1027,$BG157-1,$I$20:$I$1027))*Paraméterek!$C$289,IF($D$4="Forint",0,2)),IF($D$4="Forint",Paraméterek!$C$285,Paraméterek!$D$285)),0)</f>
        <v>0</v>
      </c>
      <c r="BJ157" s="13">
        <f t="shared" ca="1" si="56"/>
        <v>0</v>
      </c>
      <c r="BK157" s="13">
        <f t="shared" ca="1" si="65"/>
        <v>0</v>
      </c>
      <c r="BL157" s="33"/>
      <c r="BM157" s="13">
        <f t="shared" ca="1" si="57"/>
        <v>0</v>
      </c>
      <c r="BN157" s="13">
        <f ca="1">ROUNDUP(($BK157+$BM157)*VLOOKUP($BE157,Paraméterek!$P$38:$Q$38,2)/12*IF($D158="Nem",IF($M$13=0,1,$M$13),1),IF($D$4="Forint",0,2))</f>
        <v>0</v>
      </c>
      <c r="BO157" s="13">
        <f t="shared" ca="1" si="58"/>
        <v>0</v>
      </c>
      <c r="BP157" s="13">
        <f ca="1">IF($D158="Nem",$BO157,$BO157-ROUNDUP(SUM($BI$20:$BI157)*120%,IF($D$4="Forint",0,2)))</f>
        <v>0</v>
      </c>
    </row>
    <row r="158" spans="1:68" x14ac:dyDescent="0.2">
      <c r="A158" s="32">
        <v>139</v>
      </c>
      <c r="B158" s="32">
        <v>12</v>
      </c>
      <c r="C158" s="32">
        <v>7</v>
      </c>
      <c r="D158" s="32" t="str">
        <f t="shared" ca="1" si="44"/>
        <v>Nem</v>
      </c>
      <c r="E158" s="13">
        <f t="shared" ca="1" si="45"/>
        <v>0</v>
      </c>
      <c r="F158" s="13"/>
      <c r="G158" s="13"/>
      <c r="H158" s="13"/>
      <c r="I158" s="13">
        <f t="shared" ca="1" si="46"/>
        <v>0</v>
      </c>
      <c r="J158" s="13">
        <f t="shared" ca="1" si="47"/>
        <v>0</v>
      </c>
      <c r="K158" s="13">
        <f t="shared" ca="1" si="48"/>
        <v>0</v>
      </c>
      <c r="L158" s="13" t="e">
        <f ca="1">ROUNDUP(IF($D$2="Egyszeri",$E158,IF($D$2="Havi",SUM($E$20:$E$31),IF(MOD($C158,$M$1)-1=0,SUM($E$20:$E$31),0))/12*$M$1)*VLOOKUP($B158,Paraméterek!$I$28:$P$31,IF($D$2="Egyszeri",8,HLOOKUP(ROUNDUP($M$11+$M$13,0),Paraméterek!$J$26:$O$27,2))),IF($D$4="Forint",0,2))</f>
        <v>#N/A</v>
      </c>
      <c r="M158" s="13">
        <f t="shared" ca="1" si="49"/>
        <v>0</v>
      </c>
      <c r="N158" s="13">
        <f t="shared" ca="1" si="59"/>
        <v>0</v>
      </c>
      <c r="O158" s="13">
        <f ca="1">IF($D158="Igen",IF($W157&gt;=IF($D$4="Forint",Paraméterek!$J$121,Paraméterek!$K$121),0,IF($D$4="Forint",Paraméterek!$J$121,Paraméterek!$K$121)-$W157),0)</f>
        <v>0</v>
      </c>
      <c r="P158" s="13" t="e">
        <f ca="1">ROUNDUP($O158*VLOOKUP($M$4+$B158-1,Paraméterek!$H$58:$I$105,2,0)/Paraméterek!$I$56,IF($D$4="Forint",0,2))</f>
        <v>#N/A</v>
      </c>
      <c r="Q158" s="13">
        <f t="shared" ca="1" si="50"/>
        <v>0</v>
      </c>
      <c r="R158" s="33"/>
      <c r="S158" s="13" t="e">
        <f t="shared" ca="1" si="51"/>
        <v>#N/A</v>
      </c>
      <c r="T158" s="13" t="e">
        <f ca="1">ROUNDUP(($N158-$P158-$Q158+$S158)*VLOOKUP($B158,Paraméterek!$I$38:$K$39,IF($D$2="Egyszeri",3,2))/12*IF($D159="Nem",IF($M$13=0,1,$M$13),1),IF($D$4="Forint",0,2))</f>
        <v>#N/A</v>
      </c>
      <c r="U158" s="13"/>
      <c r="V158" s="13"/>
      <c r="W158" s="13" t="e">
        <f ca="1">$N158-$P158-$Q158+$S158-$T158-IF(ROUNDUP(IF(ISBLANK($V158),$U158*0,$V158)/IF($D$2="Egyszeri",VLOOKUP($B158+IF($C158=12,1,0),Paraméterek!$V$257:$W$262,2),IF($B158=1,1,VLOOKUP($B158+IF($C158=12,1,0),Paraméterek!$I$258:$T$278,HLOOKUP($M$11+1,Paraméterek!$J$256:$T$257,2)))),IF($D$4="Forint",0,2))&gt;$N158-$P158-$Q158+$S158-$T158-IF($D$4="Forint",Paraméterek!$C$216,Paraméterek!$D$216),0,ROUNDUP(IF(ISBLANK($V158),$U158*0,$V158)/IF($D$2="Egyszeri",VLOOKUP($B158+IF($C158=12,1,0),Paraméterek!$V$257:$W$262,2),IF($B158=1,1,VLOOKUP($B158+IF($C158=12,1,0),Paraméterek!$I$258:$T$278,HLOOKUP($M$11+1,Paraméterek!$J$256:$T$257,2)))),IF($D$4="Forint",0,2)))</f>
        <v>#N/A</v>
      </c>
      <c r="X158" s="13" t="e">
        <f ca="1">ROUNDDOWN($W158*IF($D$2="Egyszeri",VLOOKUP($B158+IF($C158=12,1,0),Paraméterek!$V$257:$W$262,2),VLOOKUP($B158+IF($C158=12,1,0),Paraméterek!$I$258:$T$278,HLOOKUP($M$11+1,Paraméterek!$I$256:$T$257,2))),IF($D$4="Forint",0,2))</f>
        <v>#N/A</v>
      </c>
      <c r="Z158" s="32">
        <v>139</v>
      </c>
      <c r="AA158" s="32">
        <v>12</v>
      </c>
      <c r="AB158" s="32">
        <v>7</v>
      </c>
      <c r="AC158" s="13">
        <f t="shared" ca="1" si="60"/>
        <v>0</v>
      </c>
      <c r="AD158" s="33"/>
      <c r="AE158" s="13">
        <f t="shared" ca="1" si="52"/>
        <v>0</v>
      </c>
      <c r="AF158" s="13">
        <f ca="1">ROUNDUP(($AC158+$AE158)*VLOOKUP($AA158,Paraméterek!$P$38:$Q$38,2)/12*IF($D159="Nem",IF($M$13=0,1,$M$13),1),IF($D$4="Forint",0,2))</f>
        <v>0</v>
      </c>
      <c r="AG158" s="13">
        <f ca="1">IF($D$2="Egyszeri",IF($D$7&gt;=IF($D$4="Forint",Paraméterek!$P$223,Paraméterek!$P$224),$D$7-IF($D$4="Forint",Paraméterek!$P$223,Paraméterek!$P$224),0),MIN(IF($AB158=12,AVERAGEIF($E$20:$E158,"&gt;0",$E$20:$E158)*12,0),SUM($E$20:$E$31)))</f>
        <v>0</v>
      </c>
      <c r="AH158" s="13">
        <f>IF($AA158=10,$AG158*IF($AB158=12,IF($AG158&lt;IF($D$4="Forint",Paraméterek!$L$223,Paraméterek!$L$224),0,VLOOKUP($AA158,Paraméterek!$K$226:$M$228,IF($AG158&lt;IF($D$4="Forint",Paraméterek!$M$223,Paraméterek!$M$224),2,3))),0),0)</f>
        <v>0</v>
      </c>
      <c r="AI158" s="13">
        <f ca="1">IF(AND($AA158=$M$11+1,$AB158=$M$12+1),SUMIF($AA$20:$AA$1027,$AA158,$AG$20:$AG$1027)*IF(SUMIF($AA$20:$AA$1027,$AA158,$AG$20:$AG$1027)&lt;IF($D$4="Forint",Paraméterek!$L$223,Paraméterek!$L$224),0,VLOOKUP($AA158,Paraméterek!$K$230:$M$250,IF(SUMIF($AA$20:$AA$1027,$AA158,$AG$20:$AG$1027)&lt;IF($D$4="Forint",Paraméterek!$M$223,Paraméterek!$M$224),2,3))),0)</f>
        <v>0</v>
      </c>
      <c r="AJ158" s="13">
        <f ca="1">IF(AND($AA158&gt;=5,MOD($AA158,5)=0),IF($AB158=12,VLOOKUP($AA158,Paraméterek!$O$225:$P$240,2),0),IF(OR($AA158=3,$AA158=4),IF($AB158=12,VLOOKUP($AA158,Paraméterek!$O$225:$P$240,2,0),0),0))*$AG158</f>
        <v>0</v>
      </c>
      <c r="AK158" s="13">
        <f t="shared" ca="1" si="53"/>
        <v>0</v>
      </c>
      <c r="AL158" s="13">
        <f t="shared" ca="1" si="61"/>
        <v>0</v>
      </c>
      <c r="AM158" s="13">
        <f t="shared" ca="1" si="62"/>
        <v>0</v>
      </c>
      <c r="AO158" s="32">
        <v>139</v>
      </c>
      <c r="AP158" s="32">
        <v>12</v>
      </c>
      <c r="AQ158" s="32">
        <v>7</v>
      </c>
      <c r="AR158" s="13"/>
      <c r="AS158" s="32"/>
      <c r="AT158" s="13">
        <f t="shared" ca="1" si="63"/>
        <v>0</v>
      </c>
      <c r="AU158" s="33"/>
      <c r="AV158" s="13">
        <f t="shared" ca="1" si="54"/>
        <v>0</v>
      </c>
      <c r="AW158" s="13">
        <f ca="1">ROUNDUP(($AT158+$AV158)*VLOOKUP($AP158,Paraméterek!$P$38:$Q$38,2)/12*IF($D159="Nem",IF($M$13=0,1,$M$13),1),IF($D$4="Forint",0,2))</f>
        <v>0</v>
      </c>
      <c r="AX158" s="13"/>
      <c r="AY158" s="13"/>
      <c r="AZ158" s="13">
        <f>ROUNDUP(IF(SUM($AX158:$AY158)=0,0,IF(IF(ISBLANK($AY158),$AX158,$AY158)*Paraméterek!$J$112&lt;IF($D$4="Forint",Paraméterek!$J$113,Paraméterek!$K$113),IF($D$4="Forint",Paraméterek!$J$113,Paraméterek!$K$113),IF(IF(ISBLANK($AY158),$AX158,$AY158)*Paraméterek!$J$112&gt;IF($D$4="Forint",Paraméterek!$J$114,Paraméterek!$K$114),IF($D$4="Forint",Paraméterek!$J$114,Paraméterek!$K$114),IF(ISBLANK($AY158),$AX158,$AY158)*Paraméterek!$J$112))),IF($D$4="Forint",0,2))</f>
        <v>0</v>
      </c>
      <c r="BA158" s="13">
        <f ca="1">$AT158+$AV158-$AW158-IF(ROUNDDOWN(IF(ISBLANK($AY158),$AX158,$AY158),IF($D$4="Forint",0,2))&gt;$AT158+$AV158-$AW158-IF($D$4="Forint",Paraméterek!$J$114,Paraméterek!$K$114),0,ROUNDDOWN(IF(ISBLANK($AY158),$AX158,$AY158),IF($D$4="Forint",0,2))-$AZ158)</f>
        <v>0</v>
      </c>
      <c r="BB158" s="13">
        <f t="shared" ca="1" si="55"/>
        <v>0</v>
      </c>
      <c r="BD158" s="32">
        <v>139</v>
      </c>
      <c r="BE158" s="32">
        <v>12</v>
      </c>
      <c r="BF158" s="32">
        <v>7</v>
      </c>
      <c r="BG158" s="34">
        <f t="shared" ca="1" si="64"/>
        <v>2030</v>
      </c>
      <c r="BH158" s="32" t="str">
        <f ca="1">IF(MOD(MONTH($D$14)+$BD158-1,12)=Paraméterek!$C$288,"Igen","")</f>
        <v/>
      </c>
      <c r="BI158" s="13">
        <f ca="1">IF($BH158="Igen",MIN(ROUNDDOWN((SUMIF($BG$20:$BG$1027,$BG158-1,$K$20:$K$1027)-SUMIF($BG$20:$BG$1027,$BG158-1,$I$20:$I$1027))*Paraméterek!$C$289,IF($D$4="Forint",0,2)),IF($D$4="Forint",Paraméterek!$C$285,Paraméterek!$D$285)),0)</f>
        <v>0</v>
      </c>
      <c r="BJ158" s="13">
        <f t="shared" ca="1" si="56"/>
        <v>0</v>
      </c>
      <c r="BK158" s="13">
        <f t="shared" ca="1" si="65"/>
        <v>0</v>
      </c>
      <c r="BL158" s="33"/>
      <c r="BM158" s="13">
        <f t="shared" ca="1" si="57"/>
        <v>0</v>
      </c>
      <c r="BN158" s="13">
        <f ca="1">ROUNDUP(($BK158+$BM158)*VLOOKUP($BE158,Paraméterek!$P$38:$Q$38,2)/12*IF($D159="Nem",IF($M$13=0,1,$M$13),1),IF($D$4="Forint",0,2))</f>
        <v>0</v>
      </c>
      <c r="BO158" s="13">
        <f t="shared" ca="1" si="58"/>
        <v>0</v>
      </c>
      <c r="BP158" s="13">
        <f ca="1">IF($D159="Nem",$BO158,$BO158-ROUNDUP(SUM($BI$20:$BI158)*120%,IF($D$4="Forint",0,2)))</f>
        <v>0</v>
      </c>
    </row>
    <row r="159" spans="1:68" x14ac:dyDescent="0.2">
      <c r="A159" s="32">
        <v>140</v>
      </c>
      <c r="B159" s="32">
        <v>12</v>
      </c>
      <c r="C159" s="32">
        <v>8</v>
      </c>
      <c r="D159" s="32" t="str">
        <f t="shared" ca="1" si="44"/>
        <v>Nem</v>
      </c>
      <c r="E159" s="13">
        <f t="shared" ca="1" si="45"/>
        <v>0</v>
      </c>
      <c r="F159" s="13"/>
      <c r="G159" s="13"/>
      <c r="H159" s="13"/>
      <c r="I159" s="13">
        <f t="shared" ca="1" si="46"/>
        <v>0</v>
      </c>
      <c r="J159" s="13">
        <f t="shared" ca="1" si="47"/>
        <v>0</v>
      </c>
      <c r="K159" s="13">
        <f t="shared" ca="1" si="48"/>
        <v>0</v>
      </c>
      <c r="L159" s="13" t="e">
        <f ca="1">ROUNDUP(IF($D$2="Egyszeri",$E159,IF($D$2="Havi",SUM($E$20:$E$31),IF(MOD($C159,$M$1)-1=0,SUM($E$20:$E$31),0))/12*$M$1)*VLOOKUP($B159,Paraméterek!$I$28:$P$31,IF($D$2="Egyszeri",8,HLOOKUP(ROUNDUP($M$11+$M$13,0),Paraméterek!$J$26:$O$27,2))),IF($D$4="Forint",0,2))</f>
        <v>#N/A</v>
      </c>
      <c r="M159" s="13">
        <f t="shared" ca="1" si="49"/>
        <v>0</v>
      </c>
      <c r="N159" s="13">
        <f t="shared" ca="1" si="59"/>
        <v>0</v>
      </c>
      <c r="O159" s="13">
        <f ca="1">IF($D159="Igen",IF($W158&gt;=IF($D$4="Forint",Paraméterek!$J$121,Paraméterek!$K$121),0,IF($D$4="Forint",Paraméterek!$J$121,Paraméterek!$K$121)-$W158),0)</f>
        <v>0</v>
      </c>
      <c r="P159" s="13" t="e">
        <f ca="1">ROUNDUP($O159*VLOOKUP($M$4+$B159-1,Paraméterek!$H$58:$I$105,2,0)/Paraméterek!$I$56,IF($D$4="Forint",0,2))</f>
        <v>#N/A</v>
      </c>
      <c r="Q159" s="13">
        <f t="shared" ca="1" si="50"/>
        <v>0</v>
      </c>
      <c r="R159" s="33"/>
      <c r="S159" s="13" t="e">
        <f t="shared" ca="1" si="51"/>
        <v>#N/A</v>
      </c>
      <c r="T159" s="13" t="e">
        <f ca="1">ROUNDUP(($N159-$P159-$Q159+$S159)*VLOOKUP($B159,Paraméterek!$I$38:$K$39,IF($D$2="Egyszeri",3,2))/12*IF($D160="Nem",IF($M$13=0,1,$M$13),1),IF($D$4="Forint",0,2))</f>
        <v>#N/A</v>
      </c>
      <c r="U159" s="13"/>
      <c r="V159" s="13"/>
      <c r="W159" s="13" t="e">
        <f ca="1">$N159-$P159-$Q159+$S159-$T159-IF(ROUNDUP(IF(ISBLANK($V159),$U159*0,$V159)/IF($D$2="Egyszeri",VLOOKUP($B159+IF($C159=12,1,0),Paraméterek!$V$257:$W$262,2),IF($B159=1,1,VLOOKUP($B159+IF($C159=12,1,0),Paraméterek!$I$258:$T$278,HLOOKUP($M$11+1,Paraméterek!$J$256:$T$257,2)))),IF($D$4="Forint",0,2))&gt;$N159-$P159-$Q159+$S159-$T159-IF($D$4="Forint",Paraméterek!$C$216,Paraméterek!$D$216),0,ROUNDUP(IF(ISBLANK($V159),$U159*0,$V159)/IF($D$2="Egyszeri",VLOOKUP($B159+IF($C159=12,1,0),Paraméterek!$V$257:$W$262,2),IF($B159=1,1,VLOOKUP($B159+IF($C159=12,1,0),Paraméterek!$I$258:$T$278,HLOOKUP($M$11+1,Paraméterek!$J$256:$T$257,2)))),IF($D$4="Forint",0,2)))</f>
        <v>#N/A</v>
      </c>
      <c r="X159" s="13" t="e">
        <f ca="1">ROUNDDOWN($W159*IF($D$2="Egyszeri",VLOOKUP($B159+IF($C159=12,1,0),Paraméterek!$V$257:$W$262,2),VLOOKUP($B159+IF($C159=12,1,0),Paraméterek!$I$258:$T$278,HLOOKUP($M$11+1,Paraméterek!$I$256:$T$257,2))),IF($D$4="Forint",0,2))</f>
        <v>#N/A</v>
      </c>
      <c r="Z159" s="32">
        <v>140</v>
      </c>
      <c r="AA159" s="32">
        <v>12</v>
      </c>
      <c r="AB159" s="32">
        <v>8</v>
      </c>
      <c r="AC159" s="13">
        <f t="shared" ca="1" si="60"/>
        <v>0</v>
      </c>
      <c r="AD159" s="33"/>
      <c r="AE159" s="13">
        <f t="shared" ca="1" si="52"/>
        <v>0</v>
      </c>
      <c r="AF159" s="13">
        <f ca="1">ROUNDUP(($AC159+$AE159)*VLOOKUP($AA159,Paraméterek!$P$38:$Q$38,2)/12*IF($D160="Nem",IF($M$13=0,1,$M$13),1),IF($D$4="Forint",0,2))</f>
        <v>0</v>
      </c>
      <c r="AG159" s="13">
        <f ca="1">IF($D$2="Egyszeri",IF($D$7&gt;=IF($D$4="Forint",Paraméterek!$P$223,Paraméterek!$P$224),$D$7-IF($D$4="Forint",Paraméterek!$P$223,Paraméterek!$P$224),0),MIN(IF($AB159=12,AVERAGEIF($E$20:$E159,"&gt;0",$E$20:$E159)*12,0),SUM($E$20:$E$31)))</f>
        <v>0</v>
      </c>
      <c r="AH159" s="13">
        <f>IF($AA159=10,$AG159*IF($AB159=12,IF($AG159&lt;IF($D$4="Forint",Paraméterek!$L$223,Paraméterek!$L$224),0,VLOOKUP($AA159,Paraméterek!$K$226:$M$228,IF($AG159&lt;IF($D$4="Forint",Paraméterek!$M$223,Paraméterek!$M$224),2,3))),0),0)</f>
        <v>0</v>
      </c>
      <c r="AI159" s="13">
        <f ca="1">IF(AND($AA159=$M$11+1,$AB159=$M$12+1),SUMIF($AA$20:$AA$1027,$AA159,$AG$20:$AG$1027)*IF(SUMIF($AA$20:$AA$1027,$AA159,$AG$20:$AG$1027)&lt;IF($D$4="Forint",Paraméterek!$L$223,Paraméterek!$L$224),0,VLOOKUP($AA159,Paraméterek!$K$230:$M$250,IF(SUMIF($AA$20:$AA$1027,$AA159,$AG$20:$AG$1027)&lt;IF($D$4="Forint",Paraméterek!$M$223,Paraméterek!$M$224),2,3))),0)</f>
        <v>0</v>
      </c>
      <c r="AJ159" s="13">
        <f ca="1">IF(AND($AA159&gt;=5,MOD($AA159,5)=0),IF($AB159=12,VLOOKUP($AA159,Paraméterek!$O$225:$P$240,2),0),IF(OR($AA159=3,$AA159=4),IF($AB159=12,VLOOKUP($AA159,Paraméterek!$O$225:$P$240,2,0),0),0))*$AG159</f>
        <v>0</v>
      </c>
      <c r="AK159" s="13">
        <f t="shared" ca="1" si="53"/>
        <v>0</v>
      </c>
      <c r="AL159" s="13">
        <f t="shared" ca="1" si="61"/>
        <v>0</v>
      </c>
      <c r="AM159" s="13">
        <f t="shared" ca="1" si="62"/>
        <v>0</v>
      </c>
      <c r="AO159" s="32">
        <v>140</v>
      </c>
      <c r="AP159" s="32">
        <v>12</v>
      </c>
      <c r="AQ159" s="32">
        <v>8</v>
      </c>
      <c r="AR159" s="13"/>
      <c r="AS159" s="32"/>
      <c r="AT159" s="13">
        <f t="shared" ca="1" si="63"/>
        <v>0</v>
      </c>
      <c r="AU159" s="33"/>
      <c r="AV159" s="13">
        <f t="shared" ca="1" si="54"/>
        <v>0</v>
      </c>
      <c r="AW159" s="13">
        <f ca="1">ROUNDUP(($AT159+$AV159)*VLOOKUP($AP159,Paraméterek!$P$38:$Q$38,2)/12*IF($D160="Nem",IF($M$13=0,1,$M$13),1),IF($D$4="Forint",0,2))</f>
        <v>0</v>
      </c>
      <c r="AX159" s="13"/>
      <c r="AY159" s="13"/>
      <c r="AZ159" s="13">
        <f>ROUNDUP(IF(SUM($AX159:$AY159)=0,0,IF(IF(ISBLANK($AY159),$AX159,$AY159)*Paraméterek!$J$112&lt;IF($D$4="Forint",Paraméterek!$J$113,Paraméterek!$K$113),IF($D$4="Forint",Paraméterek!$J$113,Paraméterek!$K$113),IF(IF(ISBLANK($AY159),$AX159,$AY159)*Paraméterek!$J$112&gt;IF($D$4="Forint",Paraméterek!$J$114,Paraméterek!$K$114),IF($D$4="Forint",Paraméterek!$J$114,Paraméterek!$K$114),IF(ISBLANK($AY159),$AX159,$AY159)*Paraméterek!$J$112))),IF($D$4="Forint",0,2))</f>
        <v>0</v>
      </c>
      <c r="BA159" s="13">
        <f ca="1">$AT159+$AV159-$AW159-IF(ROUNDDOWN(IF(ISBLANK($AY159),$AX159,$AY159),IF($D$4="Forint",0,2))&gt;$AT159+$AV159-$AW159-IF($D$4="Forint",Paraméterek!$J$114,Paraméterek!$K$114),0,ROUNDDOWN(IF(ISBLANK($AY159),$AX159,$AY159),IF($D$4="Forint",0,2))-$AZ159)</f>
        <v>0</v>
      </c>
      <c r="BB159" s="13">
        <f t="shared" ca="1" si="55"/>
        <v>0</v>
      </c>
      <c r="BD159" s="32">
        <v>140</v>
      </c>
      <c r="BE159" s="32">
        <v>12</v>
      </c>
      <c r="BF159" s="32">
        <v>8</v>
      </c>
      <c r="BG159" s="34">
        <f t="shared" ca="1" si="64"/>
        <v>2031</v>
      </c>
      <c r="BH159" s="32" t="str">
        <f ca="1">IF(MOD(MONTH($D$14)+$BD159-1,12)=Paraméterek!$C$288,"Igen","")</f>
        <v/>
      </c>
      <c r="BI159" s="13">
        <f ca="1">IF($BH159="Igen",MIN(ROUNDDOWN((SUMIF($BG$20:$BG$1027,$BG159-1,$K$20:$K$1027)-SUMIF($BG$20:$BG$1027,$BG159-1,$I$20:$I$1027))*Paraméterek!$C$289,IF($D$4="Forint",0,2)),IF($D$4="Forint",Paraméterek!$C$285,Paraméterek!$D$285)),0)</f>
        <v>0</v>
      </c>
      <c r="BJ159" s="13">
        <f t="shared" ca="1" si="56"/>
        <v>0</v>
      </c>
      <c r="BK159" s="13">
        <f t="shared" ca="1" si="65"/>
        <v>0</v>
      </c>
      <c r="BL159" s="33"/>
      <c r="BM159" s="13">
        <f t="shared" ca="1" si="57"/>
        <v>0</v>
      </c>
      <c r="BN159" s="13">
        <f ca="1">ROUNDUP(($BK159+$BM159)*VLOOKUP($BE159,Paraméterek!$P$38:$Q$38,2)/12*IF($D160="Nem",IF($M$13=0,1,$M$13),1),IF($D$4="Forint",0,2))</f>
        <v>0</v>
      </c>
      <c r="BO159" s="13">
        <f t="shared" ca="1" si="58"/>
        <v>0</v>
      </c>
      <c r="BP159" s="13">
        <f ca="1">IF($D160="Nem",$BO159,$BO159-ROUNDUP(SUM($BI$20:$BI159)*120%,IF($D$4="Forint",0,2)))</f>
        <v>0</v>
      </c>
    </row>
    <row r="160" spans="1:68" x14ac:dyDescent="0.2">
      <c r="A160" s="32">
        <v>141</v>
      </c>
      <c r="B160" s="32">
        <v>12</v>
      </c>
      <c r="C160" s="32">
        <v>9</v>
      </c>
      <c r="D160" s="32" t="str">
        <f t="shared" ca="1" si="44"/>
        <v>Nem</v>
      </c>
      <c r="E160" s="13">
        <f t="shared" ca="1" si="45"/>
        <v>0</v>
      </c>
      <c r="F160" s="13"/>
      <c r="G160" s="13"/>
      <c r="H160" s="13"/>
      <c r="I160" s="13">
        <f t="shared" ca="1" si="46"/>
        <v>0</v>
      </c>
      <c r="J160" s="13">
        <f t="shared" ca="1" si="47"/>
        <v>0</v>
      </c>
      <c r="K160" s="13">
        <f t="shared" ca="1" si="48"/>
        <v>0</v>
      </c>
      <c r="L160" s="13" t="e">
        <f ca="1">ROUNDUP(IF($D$2="Egyszeri",$E160,IF($D$2="Havi",SUM($E$20:$E$31),IF(MOD($C160,$M$1)-1=0,SUM($E$20:$E$31),0))/12*$M$1)*VLOOKUP($B160,Paraméterek!$I$28:$P$31,IF($D$2="Egyszeri",8,HLOOKUP(ROUNDUP($M$11+$M$13,0),Paraméterek!$J$26:$O$27,2))),IF($D$4="Forint",0,2))</f>
        <v>#N/A</v>
      </c>
      <c r="M160" s="13">
        <f t="shared" ca="1" si="49"/>
        <v>0</v>
      </c>
      <c r="N160" s="13">
        <f t="shared" ca="1" si="59"/>
        <v>0</v>
      </c>
      <c r="O160" s="13">
        <f ca="1">IF($D160="Igen",IF($W159&gt;=IF($D$4="Forint",Paraméterek!$J$121,Paraméterek!$K$121),0,IF($D$4="Forint",Paraméterek!$J$121,Paraméterek!$K$121)-$W159),0)</f>
        <v>0</v>
      </c>
      <c r="P160" s="13" t="e">
        <f ca="1">ROUNDUP($O160*VLOOKUP($M$4+$B160-1,Paraméterek!$H$58:$I$105,2,0)/Paraméterek!$I$56,IF($D$4="Forint",0,2))</f>
        <v>#N/A</v>
      </c>
      <c r="Q160" s="13">
        <f t="shared" ca="1" si="50"/>
        <v>0</v>
      </c>
      <c r="R160" s="33"/>
      <c r="S160" s="13" t="e">
        <f t="shared" ca="1" si="51"/>
        <v>#N/A</v>
      </c>
      <c r="T160" s="13" t="e">
        <f ca="1">ROUNDUP(($N160-$P160-$Q160+$S160)*VLOOKUP($B160,Paraméterek!$I$38:$K$39,IF($D$2="Egyszeri",3,2))/12*IF($D161="Nem",IF($M$13=0,1,$M$13),1),IF($D$4="Forint",0,2))</f>
        <v>#N/A</v>
      </c>
      <c r="U160" s="13"/>
      <c r="V160" s="13"/>
      <c r="W160" s="13" t="e">
        <f ca="1">$N160-$P160-$Q160+$S160-$T160-IF(ROUNDUP(IF(ISBLANK($V160),$U160*0,$V160)/IF($D$2="Egyszeri",VLOOKUP($B160+IF($C160=12,1,0),Paraméterek!$V$257:$W$262,2),IF($B160=1,1,VLOOKUP($B160+IF($C160=12,1,0),Paraméterek!$I$258:$T$278,HLOOKUP($M$11+1,Paraméterek!$J$256:$T$257,2)))),IF($D$4="Forint",0,2))&gt;$N160-$P160-$Q160+$S160-$T160-IF($D$4="Forint",Paraméterek!$C$216,Paraméterek!$D$216),0,ROUNDUP(IF(ISBLANK($V160),$U160*0,$V160)/IF($D$2="Egyszeri",VLOOKUP($B160+IF($C160=12,1,0),Paraméterek!$V$257:$W$262,2),IF($B160=1,1,VLOOKUP($B160+IF($C160=12,1,0),Paraméterek!$I$258:$T$278,HLOOKUP($M$11+1,Paraméterek!$J$256:$T$257,2)))),IF($D$4="Forint",0,2)))</f>
        <v>#N/A</v>
      </c>
      <c r="X160" s="13" t="e">
        <f ca="1">ROUNDDOWN($W160*IF($D$2="Egyszeri",VLOOKUP($B160+IF($C160=12,1,0),Paraméterek!$V$257:$W$262,2),VLOOKUP($B160+IF($C160=12,1,0),Paraméterek!$I$258:$T$278,HLOOKUP($M$11+1,Paraméterek!$I$256:$T$257,2))),IF($D$4="Forint",0,2))</f>
        <v>#N/A</v>
      </c>
      <c r="Z160" s="32">
        <v>141</v>
      </c>
      <c r="AA160" s="32">
        <v>12</v>
      </c>
      <c r="AB160" s="32">
        <v>9</v>
      </c>
      <c r="AC160" s="13">
        <f t="shared" ca="1" si="60"/>
        <v>0</v>
      </c>
      <c r="AD160" s="33"/>
      <c r="AE160" s="13">
        <f t="shared" ca="1" si="52"/>
        <v>0</v>
      </c>
      <c r="AF160" s="13">
        <f ca="1">ROUNDUP(($AC160+$AE160)*VLOOKUP($AA160,Paraméterek!$P$38:$Q$38,2)/12*IF($D161="Nem",IF($M$13=0,1,$M$13),1),IF($D$4="Forint",0,2))</f>
        <v>0</v>
      </c>
      <c r="AG160" s="13">
        <f ca="1">IF($D$2="Egyszeri",IF($D$7&gt;=IF($D$4="Forint",Paraméterek!$P$223,Paraméterek!$P$224),$D$7-IF($D$4="Forint",Paraméterek!$P$223,Paraméterek!$P$224),0),MIN(IF($AB160=12,AVERAGEIF($E$20:$E160,"&gt;0",$E$20:$E160)*12,0),SUM($E$20:$E$31)))</f>
        <v>0</v>
      </c>
      <c r="AH160" s="13">
        <f>IF($AA160=10,$AG160*IF($AB160=12,IF($AG160&lt;IF($D$4="Forint",Paraméterek!$L$223,Paraméterek!$L$224),0,VLOOKUP($AA160,Paraméterek!$K$226:$M$228,IF($AG160&lt;IF($D$4="Forint",Paraméterek!$M$223,Paraméterek!$M$224),2,3))),0),0)</f>
        <v>0</v>
      </c>
      <c r="AI160" s="13">
        <f ca="1">IF(AND($AA160=$M$11+1,$AB160=$M$12+1),SUMIF($AA$20:$AA$1027,$AA160,$AG$20:$AG$1027)*IF(SUMIF($AA$20:$AA$1027,$AA160,$AG$20:$AG$1027)&lt;IF($D$4="Forint",Paraméterek!$L$223,Paraméterek!$L$224),0,VLOOKUP($AA160,Paraméterek!$K$230:$M$250,IF(SUMIF($AA$20:$AA$1027,$AA160,$AG$20:$AG$1027)&lt;IF($D$4="Forint",Paraméterek!$M$223,Paraméterek!$M$224),2,3))),0)</f>
        <v>0</v>
      </c>
      <c r="AJ160" s="13">
        <f ca="1">IF(AND($AA160&gt;=5,MOD($AA160,5)=0),IF($AB160=12,VLOOKUP($AA160,Paraméterek!$O$225:$P$240,2),0),IF(OR($AA160=3,$AA160=4),IF($AB160=12,VLOOKUP($AA160,Paraméterek!$O$225:$P$240,2,0),0),0))*$AG160</f>
        <v>0</v>
      </c>
      <c r="AK160" s="13">
        <f t="shared" ca="1" si="53"/>
        <v>0</v>
      </c>
      <c r="AL160" s="13">
        <f t="shared" ca="1" si="61"/>
        <v>0</v>
      </c>
      <c r="AM160" s="13">
        <f t="shared" ca="1" si="62"/>
        <v>0</v>
      </c>
      <c r="AO160" s="32">
        <v>141</v>
      </c>
      <c r="AP160" s="32">
        <v>12</v>
      </c>
      <c r="AQ160" s="32">
        <v>9</v>
      </c>
      <c r="AR160" s="13"/>
      <c r="AS160" s="32"/>
      <c r="AT160" s="13">
        <f t="shared" ca="1" si="63"/>
        <v>0</v>
      </c>
      <c r="AU160" s="33"/>
      <c r="AV160" s="13">
        <f t="shared" ca="1" si="54"/>
        <v>0</v>
      </c>
      <c r="AW160" s="13">
        <f ca="1">ROUNDUP(($AT160+$AV160)*VLOOKUP($AP160,Paraméterek!$P$38:$Q$38,2)/12*IF($D161="Nem",IF($M$13=0,1,$M$13),1),IF($D$4="Forint",0,2))</f>
        <v>0</v>
      </c>
      <c r="AX160" s="13"/>
      <c r="AY160" s="13"/>
      <c r="AZ160" s="13">
        <f>ROUNDUP(IF(SUM($AX160:$AY160)=0,0,IF(IF(ISBLANK($AY160),$AX160,$AY160)*Paraméterek!$J$112&lt;IF($D$4="Forint",Paraméterek!$J$113,Paraméterek!$K$113),IF($D$4="Forint",Paraméterek!$J$113,Paraméterek!$K$113),IF(IF(ISBLANK($AY160),$AX160,$AY160)*Paraméterek!$J$112&gt;IF($D$4="Forint",Paraméterek!$J$114,Paraméterek!$K$114),IF($D$4="Forint",Paraméterek!$J$114,Paraméterek!$K$114),IF(ISBLANK($AY160),$AX160,$AY160)*Paraméterek!$J$112))),IF($D$4="Forint",0,2))</f>
        <v>0</v>
      </c>
      <c r="BA160" s="13">
        <f ca="1">$AT160+$AV160-$AW160-IF(ROUNDDOWN(IF(ISBLANK($AY160),$AX160,$AY160),IF($D$4="Forint",0,2))&gt;$AT160+$AV160-$AW160-IF($D$4="Forint",Paraméterek!$J$114,Paraméterek!$K$114),0,ROUNDDOWN(IF(ISBLANK($AY160),$AX160,$AY160),IF($D$4="Forint",0,2))-$AZ160)</f>
        <v>0</v>
      </c>
      <c r="BB160" s="13">
        <f t="shared" ca="1" si="55"/>
        <v>0</v>
      </c>
      <c r="BD160" s="32">
        <v>141</v>
      </c>
      <c r="BE160" s="32">
        <v>12</v>
      </c>
      <c r="BF160" s="32">
        <v>9</v>
      </c>
      <c r="BG160" s="34">
        <f t="shared" ca="1" si="64"/>
        <v>2031</v>
      </c>
      <c r="BH160" s="32" t="str">
        <f ca="1">IF(MOD(MONTH($D$14)+$BD160-1,12)=Paraméterek!$C$288,"Igen","")</f>
        <v/>
      </c>
      <c r="BI160" s="13">
        <f ca="1">IF($BH160="Igen",MIN(ROUNDDOWN((SUMIF($BG$20:$BG$1027,$BG160-1,$K$20:$K$1027)-SUMIF($BG$20:$BG$1027,$BG160-1,$I$20:$I$1027))*Paraméterek!$C$289,IF($D$4="Forint",0,2)),IF($D$4="Forint",Paraméterek!$C$285,Paraméterek!$D$285)),0)</f>
        <v>0</v>
      </c>
      <c r="BJ160" s="13">
        <f t="shared" ca="1" si="56"/>
        <v>0</v>
      </c>
      <c r="BK160" s="13">
        <f t="shared" ca="1" si="65"/>
        <v>0</v>
      </c>
      <c r="BL160" s="33"/>
      <c r="BM160" s="13">
        <f t="shared" ca="1" si="57"/>
        <v>0</v>
      </c>
      <c r="BN160" s="13">
        <f ca="1">ROUNDUP(($BK160+$BM160)*VLOOKUP($BE160,Paraméterek!$P$38:$Q$38,2)/12*IF($D161="Nem",IF($M$13=0,1,$M$13),1),IF($D$4="Forint",0,2))</f>
        <v>0</v>
      </c>
      <c r="BO160" s="13">
        <f t="shared" ca="1" si="58"/>
        <v>0</v>
      </c>
      <c r="BP160" s="13">
        <f ca="1">IF($D161="Nem",$BO160,$BO160-ROUNDUP(SUM($BI$20:$BI160)*120%,IF($D$4="Forint",0,2)))</f>
        <v>0</v>
      </c>
    </row>
    <row r="161" spans="1:68" x14ac:dyDescent="0.2">
      <c r="A161" s="32">
        <v>142</v>
      </c>
      <c r="B161" s="32">
        <v>12</v>
      </c>
      <c r="C161" s="32">
        <v>10</v>
      </c>
      <c r="D161" s="32" t="str">
        <f t="shared" ca="1" si="44"/>
        <v>Nem</v>
      </c>
      <c r="E161" s="13">
        <f t="shared" ca="1" si="45"/>
        <v>0</v>
      </c>
      <c r="F161" s="13"/>
      <c r="G161" s="13"/>
      <c r="H161" s="13"/>
      <c r="I161" s="13">
        <f t="shared" ca="1" si="46"/>
        <v>0</v>
      </c>
      <c r="J161" s="13">
        <f t="shared" ca="1" si="47"/>
        <v>0</v>
      </c>
      <c r="K161" s="13">
        <f t="shared" ca="1" si="48"/>
        <v>0</v>
      </c>
      <c r="L161" s="13" t="e">
        <f ca="1">ROUNDUP(IF($D$2="Egyszeri",$E161,IF($D$2="Havi",SUM($E$20:$E$31),IF(MOD($C161,$M$1)-1=0,SUM($E$20:$E$31),0))/12*$M$1)*VLOOKUP($B161,Paraméterek!$I$28:$P$31,IF($D$2="Egyszeri",8,HLOOKUP(ROUNDUP($M$11+$M$13,0),Paraméterek!$J$26:$O$27,2))),IF($D$4="Forint",0,2))</f>
        <v>#N/A</v>
      </c>
      <c r="M161" s="13">
        <f t="shared" ca="1" si="49"/>
        <v>0</v>
      </c>
      <c r="N161" s="13">
        <f t="shared" ca="1" si="59"/>
        <v>0</v>
      </c>
      <c r="O161" s="13">
        <f ca="1">IF($D161="Igen",IF($W160&gt;=IF($D$4="Forint",Paraméterek!$J$121,Paraméterek!$K$121),0,IF($D$4="Forint",Paraméterek!$J$121,Paraméterek!$K$121)-$W160),0)</f>
        <v>0</v>
      </c>
      <c r="P161" s="13" t="e">
        <f ca="1">ROUNDUP($O161*VLOOKUP($M$4+$B161-1,Paraméterek!$H$58:$I$105,2,0)/Paraméterek!$I$56,IF($D$4="Forint",0,2))</f>
        <v>#N/A</v>
      </c>
      <c r="Q161" s="13">
        <f t="shared" ca="1" si="50"/>
        <v>0</v>
      </c>
      <c r="R161" s="33"/>
      <c r="S161" s="13" t="e">
        <f t="shared" ca="1" si="51"/>
        <v>#N/A</v>
      </c>
      <c r="T161" s="13" t="e">
        <f ca="1">ROUNDUP(($N161-$P161-$Q161+$S161)*VLOOKUP($B161,Paraméterek!$I$38:$K$39,IF($D$2="Egyszeri",3,2))/12*IF($D162="Nem",IF($M$13=0,1,$M$13),1),IF($D$4="Forint",0,2))</f>
        <v>#N/A</v>
      </c>
      <c r="U161" s="13"/>
      <c r="V161" s="13"/>
      <c r="W161" s="13" t="e">
        <f ca="1">$N161-$P161-$Q161+$S161-$T161-IF(ROUNDUP(IF(ISBLANK($V161),$U161*0,$V161)/IF($D$2="Egyszeri",VLOOKUP($B161+IF($C161=12,1,0),Paraméterek!$V$257:$W$262,2),IF($B161=1,1,VLOOKUP($B161+IF($C161=12,1,0),Paraméterek!$I$258:$T$278,HLOOKUP($M$11+1,Paraméterek!$J$256:$T$257,2)))),IF($D$4="Forint",0,2))&gt;$N161-$P161-$Q161+$S161-$T161-IF($D$4="Forint",Paraméterek!$C$216,Paraméterek!$D$216),0,ROUNDUP(IF(ISBLANK($V161),$U161*0,$V161)/IF($D$2="Egyszeri",VLOOKUP($B161+IF($C161=12,1,0),Paraméterek!$V$257:$W$262,2),IF($B161=1,1,VLOOKUP($B161+IF($C161=12,1,0),Paraméterek!$I$258:$T$278,HLOOKUP($M$11+1,Paraméterek!$J$256:$T$257,2)))),IF($D$4="Forint",0,2)))</f>
        <v>#N/A</v>
      </c>
      <c r="X161" s="13" t="e">
        <f ca="1">ROUNDDOWN($W161*IF($D$2="Egyszeri",VLOOKUP($B161+IF($C161=12,1,0),Paraméterek!$V$257:$W$262,2),VLOOKUP($B161+IF($C161=12,1,0),Paraméterek!$I$258:$T$278,HLOOKUP($M$11+1,Paraméterek!$I$256:$T$257,2))),IF($D$4="Forint",0,2))</f>
        <v>#N/A</v>
      </c>
      <c r="Z161" s="32">
        <v>142</v>
      </c>
      <c r="AA161" s="32">
        <v>12</v>
      </c>
      <c r="AB161" s="32">
        <v>10</v>
      </c>
      <c r="AC161" s="13">
        <f t="shared" ca="1" si="60"/>
        <v>0</v>
      </c>
      <c r="AD161" s="33"/>
      <c r="AE161" s="13">
        <f t="shared" ca="1" si="52"/>
        <v>0</v>
      </c>
      <c r="AF161" s="13">
        <f ca="1">ROUNDUP(($AC161+$AE161)*VLOOKUP($AA161,Paraméterek!$P$38:$Q$38,2)/12*IF($D162="Nem",IF($M$13=0,1,$M$13),1),IF($D$4="Forint",0,2))</f>
        <v>0</v>
      </c>
      <c r="AG161" s="13">
        <f ca="1">IF($D$2="Egyszeri",IF($D$7&gt;=IF($D$4="Forint",Paraméterek!$P$223,Paraméterek!$P$224),$D$7-IF($D$4="Forint",Paraméterek!$P$223,Paraméterek!$P$224),0),MIN(IF($AB161=12,AVERAGEIF($E$20:$E161,"&gt;0",$E$20:$E161)*12,0),SUM($E$20:$E$31)))</f>
        <v>0</v>
      </c>
      <c r="AH161" s="13">
        <f>IF($AA161=10,$AG161*IF($AB161=12,IF($AG161&lt;IF($D$4="Forint",Paraméterek!$L$223,Paraméterek!$L$224),0,VLOOKUP($AA161,Paraméterek!$K$226:$M$228,IF($AG161&lt;IF($D$4="Forint",Paraméterek!$M$223,Paraméterek!$M$224),2,3))),0),0)</f>
        <v>0</v>
      </c>
      <c r="AI161" s="13">
        <f ca="1">IF(AND($AA161=$M$11+1,$AB161=$M$12+1),SUMIF($AA$20:$AA$1027,$AA161,$AG$20:$AG$1027)*IF(SUMIF($AA$20:$AA$1027,$AA161,$AG$20:$AG$1027)&lt;IF($D$4="Forint",Paraméterek!$L$223,Paraméterek!$L$224),0,VLOOKUP($AA161,Paraméterek!$K$230:$M$250,IF(SUMIF($AA$20:$AA$1027,$AA161,$AG$20:$AG$1027)&lt;IF($D$4="Forint",Paraméterek!$M$223,Paraméterek!$M$224),2,3))),0)</f>
        <v>0</v>
      </c>
      <c r="AJ161" s="13">
        <f ca="1">IF(AND($AA161&gt;=5,MOD($AA161,5)=0),IF($AB161=12,VLOOKUP($AA161,Paraméterek!$O$225:$P$240,2),0),IF(OR($AA161=3,$AA161=4),IF($AB161=12,VLOOKUP($AA161,Paraméterek!$O$225:$P$240,2,0),0),0))*$AG161</f>
        <v>0</v>
      </c>
      <c r="AK161" s="13">
        <f t="shared" ca="1" si="53"/>
        <v>0</v>
      </c>
      <c r="AL161" s="13">
        <f t="shared" ca="1" si="61"/>
        <v>0</v>
      </c>
      <c r="AM161" s="13">
        <f t="shared" ca="1" si="62"/>
        <v>0</v>
      </c>
      <c r="AO161" s="32">
        <v>142</v>
      </c>
      <c r="AP161" s="32">
        <v>12</v>
      </c>
      <c r="AQ161" s="32">
        <v>10</v>
      </c>
      <c r="AR161" s="13"/>
      <c r="AS161" s="32"/>
      <c r="AT161" s="13">
        <f t="shared" ca="1" si="63"/>
        <v>0</v>
      </c>
      <c r="AU161" s="33"/>
      <c r="AV161" s="13">
        <f t="shared" ca="1" si="54"/>
        <v>0</v>
      </c>
      <c r="AW161" s="13">
        <f ca="1">ROUNDUP(($AT161+$AV161)*VLOOKUP($AP161,Paraméterek!$P$38:$Q$38,2)/12*IF($D162="Nem",IF($M$13=0,1,$M$13),1),IF($D$4="Forint",0,2))</f>
        <v>0</v>
      </c>
      <c r="AX161" s="13"/>
      <c r="AY161" s="13"/>
      <c r="AZ161" s="13">
        <f>ROUNDUP(IF(SUM($AX161:$AY161)=0,0,IF(IF(ISBLANK($AY161),$AX161,$AY161)*Paraméterek!$J$112&lt;IF($D$4="Forint",Paraméterek!$J$113,Paraméterek!$K$113),IF($D$4="Forint",Paraméterek!$J$113,Paraméterek!$K$113),IF(IF(ISBLANK($AY161),$AX161,$AY161)*Paraméterek!$J$112&gt;IF($D$4="Forint",Paraméterek!$J$114,Paraméterek!$K$114),IF($D$4="Forint",Paraméterek!$J$114,Paraméterek!$K$114),IF(ISBLANK($AY161),$AX161,$AY161)*Paraméterek!$J$112))),IF($D$4="Forint",0,2))</f>
        <v>0</v>
      </c>
      <c r="BA161" s="13">
        <f ca="1">$AT161+$AV161-$AW161-IF(ROUNDDOWN(IF(ISBLANK($AY161),$AX161,$AY161),IF($D$4="Forint",0,2))&gt;$AT161+$AV161-$AW161-IF($D$4="Forint",Paraméterek!$J$114,Paraméterek!$K$114),0,ROUNDDOWN(IF(ISBLANK($AY161),$AX161,$AY161),IF($D$4="Forint",0,2))-$AZ161)</f>
        <v>0</v>
      </c>
      <c r="BB161" s="13">
        <f t="shared" ca="1" si="55"/>
        <v>0</v>
      </c>
      <c r="BD161" s="32">
        <v>142</v>
      </c>
      <c r="BE161" s="32">
        <v>12</v>
      </c>
      <c r="BF161" s="32">
        <v>10</v>
      </c>
      <c r="BG161" s="34">
        <f t="shared" ca="1" si="64"/>
        <v>2031</v>
      </c>
      <c r="BH161" s="32" t="str">
        <f ca="1">IF(MOD(MONTH($D$14)+$BD161-1,12)=Paraméterek!$C$288,"Igen","")</f>
        <v/>
      </c>
      <c r="BI161" s="13">
        <f ca="1">IF($BH161="Igen",MIN(ROUNDDOWN((SUMIF($BG$20:$BG$1027,$BG161-1,$K$20:$K$1027)-SUMIF($BG$20:$BG$1027,$BG161-1,$I$20:$I$1027))*Paraméterek!$C$289,IF($D$4="Forint",0,2)),IF($D$4="Forint",Paraméterek!$C$285,Paraméterek!$D$285)),0)</f>
        <v>0</v>
      </c>
      <c r="BJ161" s="13">
        <f t="shared" ca="1" si="56"/>
        <v>0</v>
      </c>
      <c r="BK161" s="13">
        <f t="shared" ca="1" si="65"/>
        <v>0</v>
      </c>
      <c r="BL161" s="33"/>
      <c r="BM161" s="13">
        <f t="shared" ca="1" si="57"/>
        <v>0</v>
      </c>
      <c r="BN161" s="13">
        <f ca="1">ROUNDUP(($BK161+$BM161)*VLOOKUP($BE161,Paraméterek!$P$38:$Q$38,2)/12*IF($D162="Nem",IF($M$13=0,1,$M$13),1),IF($D$4="Forint",0,2))</f>
        <v>0</v>
      </c>
      <c r="BO161" s="13">
        <f t="shared" ca="1" si="58"/>
        <v>0</v>
      </c>
      <c r="BP161" s="13">
        <f ca="1">IF($D162="Nem",$BO161,$BO161-ROUNDUP(SUM($BI$20:$BI161)*120%,IF($D$4="Forint",0,2)))</f>
        <v>0</v>
      </c>
    </row>
    <row r="162" spans="1:68" x14ac:dyDescent="0.2">
      <c r="A162" s="32">
        <v>143</v>
      </c>
      <c r="B162" s="32">
        <v>12</v>
      </c>
      <c r="C162" s="32">
        <v>11</v>
      </c>
      <c r="D162" s="32" t="str">
        <f t="shared" ca="1" si="44"/>
        <v>Nem</v>
      </c>
      <c r="E162" s="13">
        <f t="shared" ca="1" si="45"/>
        <v>0</v>
      </c>
      <c r="F162" s="13"/>
      <c r="G162" s="13"/>
      <c r="H162" s="13"/>
      <c r="I162" s="13">
        <f t="shared" ca="1" si="46"/>
        <v>0</v>
      </c>
      <c r="J162" s="13">
        <f t="shared" ca="1" si="47"/>
        <v>0</v>
      </c>
      <c r="K162" s="13">
        <f t="shared" ca="1" si="48"/>
        <v>0</v>
      </c>
      <c r="L162" s="13" t="e">
        <f ca="1">ROUNDUP(IF($D$2="Egyszeri",$E162,IF($D$2="Havi",SUM($E$20:$E$31),IF(MOD($C162,$M$1)-1=0,SUM($E$20:$E$31),0))/12*$M$1)*VLOOKUP($B162,Paraméterek!$I$28:$P$31,IF($D$2="Egyszeri",8,HLOOKUP(ROUNDUP($M$11+$M$13,0),Paraméterek!$J$26:$O$27,2))),IF($D$4="Forint",0,2))</f>
        <v>#N/A</v>
      </c>
      <c r="M162" s="13">
        <f t="shared" ca="1" si="49"/>
        <v>0</v>
      </c>
      <c r="N162" s="13">
        <f t="shared" ca="1" si="59"/>
        <v>0</v>
      </c>
      <c r="O162" s="13">
        <f ca="1">IF($D162="Igen",IF($W161&gt;=IF($D$4="Forint",Paraméterek!$J$121,Paraméterek!$K$121),0,IF($D$4="Forint",Paraméterek!$J$121,Paraméterek!$K$121)-$W161),0)</f>
        <v>0</v>
      </c>
      <c r="P162" s="13" t="e">
        <f ca="1">ROUNDUP($O162*VLOOKUP($M$4+$B162-1,Paraméterek!$H$58:$I$105,2,0)/Paraméterek!$I$56,IF($D$4="Forint",0,2))</f>
        <v>#N/A</v>
      </c>
      <c r="Q162" s="13">
        <f t="shared" ca="1" si="50"/>
        <v>0</v>
      </c>
      <c r="R162" s="33"/>
      <c r="S162" s="13" t="e">
        <f t="shared" ca="1" si="51"/>
        <v>#N/A</v>
      </c>
      <c r="T162" s="13" t="e">
        <f ca="1">ROUNDUP(($N162-$P162-$Q162+$S162)*VLOOKUP($B162,Paraméterek!$I$38:$K$39,IF($D$2="Egyszeri",3,2))/12*IF($D163="Nem",IF($M$13=0,1,$M$13),1),IF($D$4="Forint",0,2))</f>
        <v>#N/A</v>
      </c>
      <c r="U162" s="13"/>
      <c r="V162" s="13"/>
      <c r="W162" s="13" t="e">
        <f ca="1">$N162-$P162-$Q162+$S162-$T162-IF(ROUNDUP(IF(ISBLANK($V162),$U162*0,$V162)/IF($D$2="Egyszeri",VLOOKUP($B162+IF($C162=12,1,0),Paraméterek!$V$257:$W$262,2),IF($B162=1,1,VLOOKUP($B162+IF($C162=12,1,0),Paraméterek!$I$258:$T$278,HLOOKUP($M$11+1,Paraméterek!$J$256:$T$257,2)))),IF($D$4="Forint",0,2))&gt;$N162-$P162-$Q162+$S162-$T162-IF($D$4="Forint",Paraméterek!$C$216,Paraméterek!$D$216),0,ROUNDUP(IF(ISBLANK($V162),$U162*0,$V162)/IF($D$2="Egyszeri",VLOOKUP($B162+IF($C162=12,1,0),Paraméterek!$V$257:$W$262,2),IF($B162=1,1,VLOOKUP($B162+IF($C162=12,1,0),Paraméterek!$I$258:$T$278,HLOOKUP($M$11+1,Paraméterek!$J$256:$T$257,2)))),IF($D$4="Forint",0,2)))</f>
        <v>#N/A</v>
      </c>
      <c r="X162" s="13" t="e">
        <f ca="1">ROUNDDOWN($W162*IF($D$2="Egyszeri",VLOOKUP($B162+IF($C162=12,1,0),Paraméterek!$V$257:$W$262,2),VLOOKUP($B162+IF($C162=12,1,0),Paraméterek!$I$258:$T$278,HLOOKUP($M$11+1,Paraméterek!$I$256:$T$257,2))),IF($D$4="Forint",0,2))</f>
        <v>#N/A</v>
      </c>
      <c r="Z162" s="32">
        <v>143</v>
      </c>
      <c r="AA162" s="32">
        <v>12</v>
      </c>
      <c r="AB162" s="32">
        <v>11</v>
      </c>
      <c r="AC162" s="13">
        <f t="shared" ca="1" si="60"/>
        <v>0</v>
      </c>
      <c r="AD162" s="33"/>
      <c r="AE162" s="13">
        <f t="shared" ca="1" si="52"/>
        <v>0</v>
      </c>
      <c r="AF162" s="13">
        <f ca="1">ROUNDUP(($AC162+$AE162)*VLOOKUP($AA162,Paraméterek!$P$38:$Q$38,2)/12*IF($D163="Nem",IF($M$13=0,1,$M$13),1),IF($D$4="Forint",0,2))</f>
        <v>0</v>
      </c>
      <c r="AG162" s="13">
        <f ca="1">IF($D$2="Egyszeri",IF($D$7&gt;=IF($D$4="Forint",Paraméterek!$P$223,Paraméterek!$P$224),$D$7-IF($D$4="Forint",Paraméterek!$P$223,Paraméterek!$P$224),0),MIN(IF($AB162=12,AVERAGEIF($E$20:$E162,"&gt;0",$E$20:$E162)*12,0),SUM($E$20:$E$31)))</f>
        <v>0</v>
      </c>
      <c r="AH162" s="13">
        <f>IF($AA162=10,$AG162*IF($AB162=12,IF($AG162&lt;IF($D$4="Forint",Paraméterek!$L$223,Paraméterek!$L$224),0,VLOOKUP($AA162,Paraméterek!$K$226:$M$228,IF($AG162&lt;IF($D$4="Forint",Paraméterek!$M$223,Paraméterek!$M$224),2,3))),0),0)</f>
        <v>0</v>
      </c>
      <c r="AI162" s="13">
        <f ca="1">IF(AND($AA162=$M$11+1,$AB162=$M$12+1),SUMIF($AA$20:$AA$1027,$AA162,$AG$20:$AG$1027)*IF(SUMIF($AA$20:$AA$1027,$AA162,$AG$20:$AG$1027)&lt;IF($D$4="Forint",Paraméterek!$L$223,Paraméterek!$L$224),0,VLOOKUP($AA162,Paraméterek!$K$230:$M$250,IF(SUMIF($AA$20:$AA$1027,$AA162,$AG$20:$AG$1027)&lt;IF($D$4="Forint",Paraméterek!$M$223,Paraméterek!$M$224),2,3))),0)</f>
        <v>0</v>
      </c>
      <c r="AJ162" s="13">
        <f ca="1">IF(AND($AA162&gt;=5,MOD($AA162,5)=0),IF($AB162=12,VLOOKUP($AA162,Paraméterek!$O$225:$P$240,2),0),IF(OR($AA162=3,$AA162=4),IF($AB162=12,VLOOKUP($AA162,Paraméterek!$O$225:$P$240,2,0),0),0))*$AG162</f>
        <v>0</v>
      </c>
      <c r="AK162" s="13">
        <f t="shared" ca="1" si="53"/>
        <v>0</v>
      </c>
      <c r="AL162" s="13">
        <f t="shared" ca="1" si="61"/>
        <v>0</v>
      </c>
      <c r="AM162" s="13">
        <f t="shared" ca="1" si="62"/>
        <v>0</v>
      </c>
      <c r="AO162" s="32">
        <v>143</v>
      </c>
      <c r="AP162" s="32">
        <v>12</v>
      </c>
      <c r="AQ162" s="32">
        <v>11</v>
      </c>
      <c r="AR162" s="13"/>
      <c r="AS162" s="32"/>
      <c r="AT162" s="13">
        <f t="shared" ca="1" si="63"/>
        <v>0</v>
      </c>
      <c r="AU162" s="33"/>
      <c r="AV162" s="13">
        <f t="shared" ca="1" si="54"/>
        <v>0</v>
      </c>
      <c r="AW162" s="13">
        <f ca="1">ROUNDUP(($AT162+$AV162)*VLOOKUP($AP162,Paraméterek!$P$38:$Q$38,2)/12*IF($D163="Nem",IF($M$13=0,1,$M$13),1),IF($D$4="Forint",0,2))</f>
        <v>0</v>
      </c>
      <c r="AX162" s="13"/>
      <c r="AY162" s="13"/>
      <c r="AZ162" s="13">
        <f>ROUNDUP(IF(SUM($AX162:$AY162)=0,0,IF(IF(ISBLANK($AY162),$AX162,$AY162)*Paraméterek!$J$112&lt;IF($D$4="Forint",Paraméterek!$J$113,Paraméterek!$K$113),IF($D$4="Forint",Paraméterek!$J$113,Paraméterek!$K$113),IF(IF(ISBLANK($AY162),$AX162,$AY162)*Paraméterek!$J$112&gt;IF($D$4="Forint",Paraméterek!$J$114,Paraméterek!$K$114),IF($D$4="Forint",Paraméterek!$J$114,Paraméterek!$K$114),IF(ISBLANK($AY162),$AX162,$AY162)*Paraméterek!$J$112))),IF($D$4="Forint",0,2))</f>
        <v>0</v>
      </c>
      <c r="BA162" s="13">
        <f ca="1">$AT162+$AV162-$AW162-IF(ROUNDDOWN(IF(ISBLANK($AY162),$AX162,$AY162),IF($D$4="Forint",0,2))&gt;$AT162+$AV162-$AW162-IF($D$4="Forint",Paraméterek!$J$114,Paraméterek!$K$114),0,ROUNDDOWN(IF(ISBLANK($AY162),$AX162,$AY162),IF($D$4="Forint",0,2))-$AZ162)</f>
        <v>0</v>
      </c>
      <c r="BB162" s="13">
        <f t="shared" ca="1" si="55"/>
        <v>0</v>
      </c>
      <c r="BD162" s="32">
        <v>143</v>
      </c>
      <c r="BE162" s="32">
        <v>12</v>
      </c>
      <c r="BF162" s="32">
        <v>11</v>
      </c>
      <c r="BG162" s="34">
        <f t="shared" ca="1" si="64"/>
        <v>2031</v>
      </c>
      <c r="BH162" s="32" t="str">
        <f ca="1">IF(MOD(MONTH($D$14)+$BD162-1,12)=Paraméterek!$C$288,"Igen","")</f>
        <v/>
      </c>
      <c r="BI162" s="13">
        <f ca="1">IF($BH162="Igen",MIN(ROUNDDOWN((SUMIF($BG$20:$BG$1027,$BG162-1,$K$20:$K$1027)-SUMIF($BG$20:$BG$1027,$BG162-1,$I$20:$I$1027))*Paraméterek!$C$289,IF($D$4="Forint",0,2)),IF($D$4="Forint",Paraméterek!$C$285,Paraméterek!$D$285)),0)</f>
        <v>0</v>
      </c>
      <c r="BJ162" s="13">
        <f t="shared" ca="1" si="56"/>
        <v>0</v>
      </c>
      <c r="BK162" s="13">
        <f t="shared" ca="1" si="65"/>
        <v>0</v>
      </c>
      <c r="BL162" s="33"/>
      <c r="BM162" s="13">
        <f t="shared" ca="1" si="57"/>
        <v>0</v>
      </c>
      <c r="BN162" s="13">
        <f ca="1">ROUNDUP(($BK162+$BM162)*VLOOKUP($BE162,Paraméterek!$P$38:$Q$38,2)/12*IF($D163="Nem",IF($M$13=0,1,$M$13),1),IF($D$4="Forint",0,2))</f>
        <v>0</v>
      </c>
      <c r="BO162" s="13">
        <f t="shared" ca="1" si="58"/>
        <v>0</v>
      </c>
      <c r="BP162" s="13">
        <f ca="1">IF($D163="Nem",$BO162,$BO162-ROUNDUP(SUM($BI$20:$BI162)*120%,IF($D$4="Forint",0,2)))</f>
        <v>0</v>
      </c>
    </row>
    <row r="163" spans="1:68" x14ac:dyDescent="0.2">
      <c r="A163" s="32">
        <v>144</v>
      </c>
      <c r="B163" s="32">
        <v>12</v>
      </c>
      <c r="C163" s="32">
        <v>12</v>
      </c>
      <c r="D163" s="32" t="str">
        <f t="shared" ca="1" si="44"/>
        <v>Nem</v>
      </c>
      <c r="E163" s="13">
        <f t="shared" ca="1" si="45"/>
        <v>0</v>
      </c>
      <c r="F163" s="13"/>
      <c r="G163" s="13"/>
      <c r="H163" s="13"/>
      <c r="I163" s="13">
        <f t="shared" ca="1" si="46"/>
        <v>0</v>
      </c>
      <c r="J163" s="13">
        <f t="shared" ca="1" si="47"/>
        <v>0</v>
      </c>
      <c r="K163" s="13">
        <f t="shared" ca="1" si="48"/>
        <v>0</v>
      </c>
      <c r="L163" s="13" t="e">
        <f ca="1">ROUNDUP(IF($D$2="Egyszeri",$E163,IF($D$2="Havi",SUM($E$20:$E$31),IF(MOD($C163,$M$1)-1=0,SUM($E$20:$E$31),0))/12*$M$1)*VLOOKUP($B163,Paraméterek!$I$28:$P$31,IF($D$2="Egyszeri",8,HLOOKUP(ROUNDUP($M$11+$M$13,0),Paraméterek!$J$26:$O$27,2))),IF($D$4="Forint",0,2))</f>
        <v>#N/A</v>
      </c>
      <c r="M163" s="13">
        <f t="shared" ca="1" si="49"/>
        <v>0</v>
      </c>
      <c r="N163" s="13">
        <f t="shared" ca="1" si="59"/>
        <v>0</v>
      </c>
      <c r="O163" s="13">
        <f ca="1">IF($D163="Igen",IF($W162&gt;=IF($D$4="Forint",Paraméterek!$J$121,Paraméterek!$K$121),0,IF($D$4="Forint",Paraméterek!$J$121,Paraméterek!$K$121)-$W162),0)</f>
        <v>0</v>
      </c>
      <c r="P163" s="13" t="e">
        <f ca="1">ROUNDUP($O163*VLOOKUP($M$4+$B163-1,Paraméterek!$H$58:$I$105,2,0)/Paraméterek!$I$56,IF($D$4="Forint",0,2))</f>
        <v>#N/A</v>
      </c>
      <c r="Q163" s="13">
        <f t="shared" ca="1" si="50"/>
        <v>0</v>
      </c>
      <c r="R163" s="33"/>
      <c r="S163" s="13" t="e">
        <f t="shared" ca="1" si="51"/>
        <v>#N/A</v>
      </c>
      <c r="T163" s="13" t="e">
        <f ca="1">ROUNDUP(($N163-$P163-$Q163+$S163)*VLOOKUP($B163,Paraméterek!$I$38:$K$39,IF($D$2="Egyszeri",3,2))/12*IF($D164="Nem",IF($M$13=0,1,$M$13),1),IF($D$4="Forint",0,2))</f>
        <v>#N/A</v>
      </c>
      <c r="U163" s="13">
        <f>Tranzakciók!$F$43</f>
        <v>0</v>
      </c>
      <c r="V163" s="13"/>
      <c r="W163" s="13" t="e">
        <f ca="1">$N163-$P163-$Q163+$S163-$T163-IF(ROUNDUP(IF(ISBLANK($V163),$U163*0,$V163)/IF($D$2="Egyszeri",VLOOKUP($B163+IF($C163=12,1,0),Paraméterek!$V$257:$W$262,2),IF($B163=1,1,VLOOKUP($B163+IF($C163=12,1,0),Paraméterek!$I$258:$T$278,HLOOKUP($M$11+1,Paraméterek!$J$256:$T$257,2)))),IF($D$4="Forint",0,2))&gt;$N163-$P163-$Q163+$S163-$T163-IF($D$4="Forint",Paraméterek!$C$216,Paraméterek!$D$216),0,ROUNDUP(IF(ISBLANK($V163),$U163*0,$V163)/IF($D$2="Egyszeri",VLOOKUP($B163+IF($C163=12,1,0),Paraméterek!$V$257:$W$262,2),IF($B163=1,1,VLOOKUP($B163+IF($C163=12,1,0),Paraméterek!$I$258:$T$278,HLOOKUP($M$11+1,Paraméterek!$J$256:$T$257,2)))),IF($D$4="Forint",0,2)))</f>
        <v>#N/A</v>
      </c>
      <c r="X163" s="13" t="e">
        <f ca="1">ROUNDDOWN($W163*IF($D$2="Egyszeri",VLOOKUP($B163+IF($C163=12,1,0),Paraméterek!$V$257:$W$262,2),VLOOKUP($B163+IF($C163=12,1,0),Paraméterek!$I$258:$T$278,HLOOKUP($M$11+1,Paraméterek!$I$256:$T$257,2))),IF($D$4="Forint",0,2))</f>
        <v>#N/A</v>
      </c>
      <c r="Z163" s="32">
        <v>144</v>
      </c>
      <c r="AA163" s="32">
        <v>12</v>
      </c>
      <c r="AB163" s="32">
        <v>12</v>
      </c>
      <c r="AC163" s="13">
        <f t="shared" ca="1" si="60"/>
        <v>0</v>
      </c>
      <c r="AD163" s="33"/>
      <c r="AE163" s="13">
        <f t="shared" ca="1" si="52"/>
        <v>0</v>
      </c>
      <c r="AF163" s="13">
        <f ca="1">ROUNDUP(($AC163+$AE163)*VLOOKUP($AA163,Paraméterek!$P$38:$Q$38,2)/12*IF($D164="Nem",IF($M$13=0,1,$M$13),1),IF($D$4="Forint",0,2))</f>
        <v>0</v>
      </c>
      <c r="AG163" s="13" t="e">
        <f ca="1">IF($D$2="Egyszeri",IF($D$7&gt;=IF($D$4="Forint",Paraméterek!$P$223,Paraméterek!$P$224),$D$7-IF($D$4="Forint",Paraméterek!$P$223,Paraméterek!$P$224),0),MIN(IF($AB163=12,AVERAGEIF($E$20:$E163,"&gt;0",$E$20:$E163)*12,0),SUM($E$20:$E$31)))</f>
        <v>#DIV/0!</v>
      </c>
      <c r="AH163" s="13">
        <f>IF($AA163=10,$AG163*IF($AB163=12,IF($AG163&lt;IF($D$4="Forint",Paraméterek!$L$223,Paraméterek!$L$224),0,VLOOKUP($AA163,Paraméterek!$K$226:$M$228,IF($AG163&lt;IF($D$4="Forint",Paraméterek!$M$223,Paraméterek!$M$224),2,3))),0),0)</f>
        <v>0</v>
      </c>
      <c r="AI163" s="13">
        <f ca="1">IF(AND($AA163=$M$11+1,$AB163=$M$12+1),SUMIF($AA$20:$AA$1027,$AA163,$AG$20:$AG$1027)*IF(SUMIF($AA$20:$AA$1027,$AA163,$AG$20:$AG$1027)&lt;IF($D$4="Forint",Paraméterek!$L$223,Paraméterek!$L$224),0,VLOOKUP($AA163,Paraméterek!$K$230:$M$250,IF(SUMIF($AA$20:$AA$1027,$AA163,$AG$20:$AG$1027)&lt;IF($D$4="Forint",Paraméterek!$M$223,Paraméterek!$M$224),2,3))),0)</f>
        <v>0</v>
      </c>
      <c r="AJ163" s="13" t="e">
        <f ca="1">IF(AND($AA163&gt;=5,MOD($AA163,5)=0),IF($AB163=12,VLOOKUP($AA163,Paraméterek!$O$225:$P$240,2),0),IF(OR($AA163=3,$AA163=4),IF($AB163=12,VLOOKUP($AA163,Paraméterek!$O$225:$P$240,2,0),0),0))*$AG163</f>
        <v>#DIV/0!</v>
      </c>
      <c r="AK163" s="13">
        <f t="shared" ca="1" si="53"/>
        <v>0</v>
      </c>
      <c r="AL163" s="13">
        <f t="shared" ca="1" si="61"/>
        <v>0</v>
      </c>
      <c r="AM163" s="13">
        <f t="shared" ca="1" si="62"/>
        <v>0</v>
      </c>
      <c r="AO163" s="32">
        <v>144</v>
      </c>
      <c r="AP163" s="32">
        <v>12</v>
      </c>
      <c r="AQ163" s="32">
        <v>12</v>
      </c>
      <c r="AR163" s="13"/>
      <c r="AS163" s="32"/>
      <c r="AT163" s="13">
        <f t="shared" ca="1" si="63"/>
        <v>0</v>
      </c>
      <c r="AU163" s="33"/>
      <c r="AV163" s="13">
        <f t="shared" ca="1" si="54"/>
        <v>0</v>
      </c>
      <c r="AW163" s="13">
        <f ca="1">ROUNDUP(($AT163+$AV163)*VLOOKUP($AP163,Paraméterek!$P$38:$Q$38,2)/12*IF($D164="Nem",IF($M$13=0,1,$M$13),1),IF($D$4="Forint",0,2))</f>
        <v>0</v>
      </c>
      <c r="AX163" s="13">
        <f>Tranzakciók!$M$43</f>
        <v>0</v>
      </c>
      <c r="AY163" s="13"/>
      <c r="AZ163" s="13">
        <f>ROUNDUP(IF(SUM($AX163:$AY163)=0,0,IF(IF(ISBLANK($AY163),$AX163,$AY163)*Paraméterek!$J$112&lt;IF($D$4="Forint",Paraméterek!$J$113,Paraméterek!$K$113),IF($D$4="Forint",Paraméterek!$J$113,Paraméterek!$K$113),IF(IF(ISBLANK($AY163),$AX163,$AY163)*Paraméterek!$J$112&gt;IF($D$4="Forint",Paraméterek!$J$114,Paraméterek!$K$114),IF($D$4="Forint",Paraméterek!$J$114,Paraméterek!$K$114),IF(ISBLANK($AY163),$AX163,$AY163)*Paraméterek!$J$112))),IF($D$4="Forint",0,2))</f>
        <v>0</v>
      </c>
      <c r="BA163" s="13">
        <f ca="1">$AT163+$AV163-$AW163-IF(ROUNDDOWN(IF(ISBLANK($AY163),$AX163,$AY163),IF($D$4="Forint",0,2))&gt;$AT163+$AV163-$AW163-IF($D$4="Forint",Paraméterek!$J$114,Paraméterek!$K$114),0,ROUNDDOWN(IF(ISBLANK($AY163),$AX163,$AY163),IF($D$4="Forint",0,2))-$AZ163)</f>
        <v>0</v>
      </c>
      <c r="BB163" s="13">
        <f t="shared" ca="1" si="55"/>
        <v>0</v>
      </c>
      <c r="BD163" s="32">
        <v>144</v>
      </c>
      <c r="BE163" s="32">
        <v>12</v>
      </c>
      <c r="BF163" s="32">
        <v>12</v>
      </c>
      <c r="BG163" s="34">
        <f t="shared" ca="1" si="64"/>
        <v>2031</v>
      </c>
      <c r="BH163" s="32" t="str">
        <f ca="1">IF(MOD(MONTH($D$14)+$BD163-1,12)=Paraméterek!$C$288,"Igen","")</f>
        <v/>
      </c>
      <c r="BI163" s="13">
        <f ca="1">IF($BH163="Igen",MIN(ROUNDDOWN((SUMIF($BG$20:$BG$1027,$BG163-1,$K$20:$K$1027)-SUMIF($BG$20:$BG$1027,$BG163-1,$I$20:$I$1027))*Paraméterek!$C$289,IF($D$4="Forint",0,2)),IF($D$4="Forint",Paraméterek!$C$285,Paraméterek!$D$285)),0)</f>
        <v>0</v>
      </c>
      <c r="BJ163" s="13">
        <f t="shared" ca="1" si="56"/>
        <v>0</v>
      </c>
      <c r="BK163" s="13">
        <f t="shared" ca="1" si="65"/>
        <v>0</v>
      </c>
      <c r="BL163" s="33"/>
      <c r="BM163" s="13">
        <f t="shared" ca="1" si="57"/>
        <v>0</v>
      </c>
      <c r="BN163" s="13">
        <f ca="1">ROUNDUP(($BK163+$BM163)*VLOOKUP($BE163,Paraméterek!$P$38:$Q$38,2)/12*IF($D164="Nem",IF($M$13=0,1,$M$13),1),IF($D$4="Forint",0,2))</f>
        <v>0</v>
      </c>
      <c r="BO163" s="13">
        <f t="shared" ca="1" si="58"/>
        <v>0</v>
      </c>
      <c r="BP163" s="13">
        <f ca="1">IF($D164="Nem",$BO163,$BO163-ROUNDUP(SUM($BI$20:$BI163)*120%,IF($D$4="Forint",0,2)))</f>
        <v>0</v>
      </c>
    </row>
    <row r="164" spans="1:68" x14ac:dyDescent="0.2">
      <c r="A164" s="32">
        <v>145</v>
      </c>
      <c r="B164" s="32">
        <v>13</v>
      </c>
      <c r="C164" s="32">
        <v>1</v>
      </c>
      <c r="D164" s="32" t="str">
        <f t="shared" ca="1" si="44"/>
        <v>Nem</v>
      </c>
      <c r="E164" s="13">
        <f t="shared" ca="1" si="45"/>
        <v>0</v>
      </c>
      <c r="F164" s="13"/>
      <c r="G164" s="13">
        <f>Tranzakciók!$D$44</f>
        <v>0</v>
      </c>
      <c r="H164" s="13"/>
      <c r="I164" s="13">
        <f t="shared" ca="1" si="46"/>
        <v>0</v>
      </c>
      <c r="J164" s="13">
        <f t="shared" ca="1" si="47"/>
        <v>0</v>
      </c>
      <c r="K164" s="13">
        <f t="shared" ca="1" si="48"/>
        <v>0</v>
      </c>
      <c r="L164" s="13" t="e">
        <f ca="1">ROUNDUP(IF($D$2="Egyszeri",$E164,IF($D$2="Havi",SUM($E$20:$E$31),IF(MOD($C164,$M$1)-1=0,SUM($E$20:$E$31),0))/12*$M$1)*VLOOKUP($B164,Paraméterek!$I$28:$P$31,IF($D$2="Egyszeri",8,HLOOKUP(ROUNDUP($M$11+$M$13,0),Paraméterek!$J$26:$O$27,2))),IF($D$4="Forint",0,2))</f>
        <v>#N/A</v>
      </c>
      <c r="M164" s="13">
        <f t="shared" ca="1" si="49"/>
        <v>0</v>
      </c>
      <c r="N164" s="13">
        <f t="shared" ca="1" si="59"/>
        <v>0</v>
      </c>
      <c r="O164" s="13">
        <f ca="1">IF($D164="Igen",IF($W163&gt;=IF($D$4="Forint",Paraméterek!$J$121,Paraméterek!$K$121),0,IF($D$4="Forint",Paraméterek!$J$121,Paraméterek!$K$121)-$W163),0)</f>
        <v>0</v>
      </c>
      <c r="P164" s="13" t="e">
        <f ca="1">ROUNDUP($O164*VLOOKUP($M$4+$B164-1,Paraméterek!$H$58:$I$105,2,0)/Paraméterek!$I$56,IF($D$4="Forint",0,2))</f>
        <v>#N/A</v>
      </c>
      <c r="Q164" s="13">
        <f t="shared" ca="1" si="50"/>
        <v>0</v>
      </c>
      <c r="R164" s="33"/>
      <c r="S164" s="13" t="e">
        <f t="shared" ca="1" si="51"/>
        <v>#N/A</v>
      </c>
      <c r="T164" s="13" t="e">
        <f ca="1">ROUNDUP(($N164-$P164-$Q164+$S164)*VLOOKUP($B164,Paraméterek!$I$38:$K$39,IF($D$2="Egyszeri",3,2))/12*IF($D165="Nem",IF($M$13=0,1,$M$13),1),IF($D$4="Forint",0,2))</f>
        <v>#N/A</v>
      </c>
      <c r="U164" s="13"/>
      <c r="V164" s="13"/>
      <c r="W164" s="13" t="e">
        <f ca="1">$N164-$P164-$Q164+$S164-$T164-IF(ROUNDUP(IF(ISBLANK($V164),$U164*0,$V164)/IF($D$2="Egyszeri",VLOOKUP($B164+IF($C164=12,1,0),Paraméterek!$V$257:$W$262,2),IF($B164=1,1,VLOOKUP($B164+IF($C164=12,1,0),Paraméterek!$I$258:$T$278,HLOOKUP($M$11+1,Paraméterek!$J$256:$T$257,2)))),IF($D$4="Forint",0,2))&gt;$N164-$P164-$Q164+$S164-$T164-IF($D$4="Forint",Paraméterek!$C$216,Paraméterek!$D$216),0,ROUNDUP(IF(ISBLANK($V164),$U164*0,$V164)/IF($D$2="Egyszeri",VLOOKUP($B164+IF($C164=12,1,0),Paraméterek!$V$257:$W$262,2),IF($B164=1,1,VLOOKUP($B164+IF($C164=12,1,0),Paraméterek!$I$258:$T$278,HLOOKUP($M$11+1,Paraméterek!$J$256:$T$257,2)))),IF($D$4="Forint",0,2)))</f>
        <v>#N/A</v>
      </c>
      <c r="X164" s="13" t="e">
        <f ca="1">ROUNDDOWN($W164*IF($D$2="Egyszeri",VLOOKUP($B164+IF($C164=12,1,0),Paraméterek!$V$257:$W$262,2),VLOOKUP($B164+IF($C164=12,1,0),Paraméterek!$I$258:$T$278,HLOOKUP($M$11+1,Paraméterek!$I$256:$T$257,2))),IF($D$4="Forint",0,2))</f>
        <v>#N/A</v>
      </c>
      <c r="Z164" s="32">
        <v>145</v>
      </c>
      <c r="AA164" s="32">
        <v>13</v>
      </c>
      <c r="AB164" s="32">
        <v>1</v>
      </c>
      <c r="AC164" s="13">
        <f t="shared" ca="1" si="60"/>
        <v>0</v>
      </c>
      <c r="AD164" s="33"/>
      <c r="AE164" s="13">
        <f t="shared" ca="1" si="52"/>
        <v>0</v>
      </c>
      <c r="AF164" s="13">
        <f ca="1">ROUNDUP(($AC164+$AE164)*VLOOKUP($AA164,Paraméterek!$P$38:$Q$38,2)/12*IF($D165="Nem",IF($M$13=0,1,$M$13),1),IF($D$4="Forint",0,2))</f>
        <v>0</v>
      </c>
      <c r="AG164" s="13">
        <f ca="1">IF($D$2="Egyszeri",IF($D$7&gt;=IF($D$4="Forint",Paraméterek!$P$223,Paraméterek!$P$224),$D$7-IF($D$4="Forint",Paraméterek!$P$223,Paraméterek!$P$224),0),MIN(IF($AB164=12,AVERAGEIF($E$20:$E164,"&gt;0",$E$20:$E164)*12,0),SUM($E$20:$E$31)))</f>
        <v>0</v>
      </c>
      <c r="AH164" s="13">
        <f>IF($AA164=10,$AG164*IF($AB164=12,IF($AG164&lt;IF($D$4="Forint",Paraméterek!$L$223,Paraméterek!$L$224),0,VLOOKUP($AA164,Paraméterek!$K$226:$M$228,IF($AG164&lt;IF($D$4="Forint",Paraméterek!$M$223,Paraméterek!$M$224),2,3))),0),0)</f>
        <v>0</v>
      </c>
      <c r="AI164" s="13">
        <f ca="1">IF(AND($AA164=$M$11+1,$AB164=$M$12+1),SUMIF($AA$20:$AA$1027,$AA164,$AG$20:$AG$1027)*IF(SUMIF($AA$20:$AA$1027,$AA164,$AG$20:$AG$1027)&lt;IF($D$4="Forint",Paraméterek!$L$223,Paraméterek!$L$224),0,VLOOKUP($AA164,Paraméterek!$K$230:$M$250,IF(SUMIF($AA$20:$AA$1027,$AA164,$AG$20:$AG$1027)&lt;IF($D$4="Forint",Paraméterek!$M$223,Paraméterek!$M$224),2,3))),0)</f>
        <v>0</v>
      </c>
      <c r="AJ164" s="13">
        <f ca="1">IF(AND($AA164&gt;=5,MOD($AA164,5)=0),IF($AB164=12,VLOOKUP($AA164,Paraméterek!$O$225:$P$240,2),0),IF(OR($AA164=3,$AA164=4),IF($AB164=12,VLOOKUP($AA164,Paraméterek!$O$225:$P$240,2,0),0),0))*$AG164</f>
        <v>0</v>
      </c>
      <c r="AK164" s="13">
        <f t="shared" ca="1" si="53"/>
        <v>0</v>
      </c>
      <c r="AL164" s="13">
        <f t="shared" ca="1" si="61"/>
        <v>0</v>
      </c>
      <c r="AM164" s="13">
        <f t="shared" ca="1" si="62"/>
        <v>0</v>
      </c>
      <c r="AO164" s="32">
        <v>145</v>
      </c>
      <c r="AP164" s="32">
        <v>13</v>
      </c>
      <c r="AQ164" s="32">
        <v>1</v>
      </c>
      <c r="AR164" s="13">
        <f>Tranzakciók!$K$44</f>
        <v>0</v>
      </c>
      <c r="AS164" s="32"/>
      <c r="AT164" s="13">
        <f t="shared" ca="1" si="63"/>
        <v>0</v>
      </c>
      <c r="AU164" s="33"/>
      <c r="AV164" s="13">
        <f t="shared" ca="1" si="54"/>
        <v>0</v>
      </c>
      <c r="AW164" s="13">
        <f ca="1">ROUNDUP(($AT164+$AV164)*VLOOKUP($AP164,Paraméterek!$P$38:$Q$38,2)/12*IF($D165="Nem",IF($M$13=0,1,$M$13),1),IF($D$4="Forint",0,2))</f>
        <v>0</v>
      </c>
      <c r="AX164" s="13"/>
      <c r="AY164" s="13"/>
      <c r="AZ164" s="13">
        <f>ROUNDUP(IF(SUM($AX164:$AY164)=0,0,IF(IF(ISBLANK($AY164),$AX164,$AY164)*Paraméterek!$J$112&lt;IF($D$4="Forint",Paraméterek!$J$113,Paraméterek!$K$113),IF($D$4="Forint",Paraméterek!$J$113,Paraméterek!$K$113),IF(IF(ISBLANK($AY164),$AX164,$AY164)*Paraméterek!$J$112&gt;IF($D$4="Forint",Paraméterek!$J$114,Paraméterek!$K$114),IF($D$4="Forint",Paraméterek!$J$114,Paraméterek!$K$114),IF(ISBLANK($AY164),$AX164,$AY164)*Paraméterek!$J$112))),IF($D$4="Forint",0,2))</f>
        <v>0</v>
      </c>
      <c r="BA164" s="13">
        <f ca="1">$AT164+$AV164-$AW164-IF(ROUNDDOWN(IF(ISBLANK($AY164),$AX164,$AY164),IF($D$4="Forint",0,2))&gt;$AT164+$AV164-$AW164-IF($D$4="Forint",Paraméterek!$J$114,Paraméterek!$K$114),0,ROUNDDOWN(IF(ISBLANK($AY164),$AX164,$AY164),IF($D$4="Forint",0,2))-$AZ164)</f>
        <v>0</v>
      </c>
      <c r="BB164" s="13">
        <f t="shared" ca="1" si="55"/>
        <v>0</v>
      </c>
      <c r="BD164" s="32">
        <v>145</v>
      </c>
      <c r="BE164" s="32">
        <v>13</v>
      </c>
      <c r="BF164" s="32">
        <v>1</v>
      </c>
      <c r="BG164" s="34">
        <f t="shared" ca="1" si="64"/>
        <v>2031</v>
      </c>
      <c r="BH164" s="32" t="str">
        <f ca="1">IF(MOD(MONTH($D$14)+$BD164-1,12)=Paraméterek!$C$288,"Igen","")</f>
        <v/>
      </c>
      <c r="BI164" s="13">
        <f ca="1">IF($BH164="Igen",MIN(ROUNDDOWN((SUMIF($BG$20:$BG$1027,$BG164-1,$K$20:$K$1027)-SUMIF($BG$20:$BG$1027,$BG164-1,$I$20:$I$1027))*Paraméterek!$C$289,IF($D$4="Forint",0,2)),IF($D$4="Forint",Paraméterek!$C$285,Paraméterek!$D$285)),0)</f>
        <v>0</v>
      </c>
      <c r="BJ164" s="13">
        <f t="shared" ca="1" si="56"/>
        <v>0</v>
      </c>
      <c r="BK164" s="13">
        <f t="shared" ca="1" si="65"/>
        <v>0</v>
      </c>
      <c r="BL164" s="33"/>
      <c r="BM164" s="13">
        <f t="shared" ca="1" si="57"/>
        <v>0</v>
      </c>
      <c r="BN164" s="13">
        <f ca="1">ROUNDUP(($BK164+$BM164)*VLOOKUP($BE164,Paraméterek!$P$38:$Q$38,2)/12*IF($D165="Nem",IF($M$13=0,1,$M$13),1),IF($D$4="Forint",0,2))</f>
        <v>0</v>
      </c>
      <c r="BO164" s="13">
        <f t="shared" ca="1" si="58"/>
        <v>0</v>
      </c>
      <c r="BP164" s="13">
        <f ca="1">IF($D165="Nem",$BO164,$BO164-ROUNDUP(SUM($BI$20:$BI164)*120%,IF($D$4="Forint",0,2)))</f>
        <v>0</v>
      </c>
    </row>
    <row r="165" spans="1:68" x14ac:dyDescent="0.2">
      <c r="A165" s="32">
        <v>146</v>
      </c>
      <c r="B165" s="32">
        <v>13</v>
      </c>
      <c r="C165" s="32">
        <v>2</v>
      </c>
      <c r="D165" s="32" t="str">
        <f t="shared" ca="1" si="44"/>
        <v>Nem</v>
      </c>
      <c r="E165" s="13">
        <f t="shared" ca="1" si="45"/>
        <v>0</v>
      </c>
      <c r="F165" s="13"/>
      <c r="G165" s="13"/>
      <c r="H165" s="13"/>
      <c r="I165" s="13">
        <f t="shared" ca="1" si="46"/>
        <v>0</v>
      </c>
      <c r="J165" s="13">
        <f t="shared" ca="1" si="47"/>
        <v>0</v>
      </c>
      <c r="K165" s="13">
        <f t="shared" ca="1" si="48"/>
        <v>0</v>
      </c>
      <c r="L165" s="13" t="e">
        <f ca="1">ROUNDUP(IF($D$2="Egyszeri",$E165,IF($D$2="Havi",SUM($E$20:$E$31),IF(MOD($C165,$M$1)-1=0,SUM($E$20:$E$31),0))/12*$M$1)*VLOOKUP($B165,Paraméterek!$I$28:$P$31,IF($D$2="Egyszeri",8,HLOOKUP(ROUNDUP($M$11+$M$13,0),Paraméterek!$J$26:$O$27,2))),IF($D$4="Forint",0,2))</f>
        <v>#N/A</v>
      </c>
      <c r="M165" s="13">
        <f t="shared" ca="1" si="49"/>
        <v>0</v>
      </c>
      <c r="N165" s="13">
        <f t="shared" ca="1" si="59"/>
        <v>0</v>
      </c>
      <c r="O165" s="13">
        <f ca="1">IF($D165="Igen",IF($W164&gt;=IF($D$4="Forint",Paraméterek!$J$121,Paraméterek!$K$121),0,IF($D$4="Forint",Paraméterek!$J$121,Paraméterek!$K$121)-$W164),0)</f>
        <v>0</v>
      </c>
      <c r="P165" s="13" t="e">
        <f ca="1">ROUNDUP($O165*VLOOKUP($M$4+$B165-1,Paraméterek!$H$58:$I$105,2,0)/Paraméterek!$I$56,IF($D$4="Forint",0,2))</f>
        <v>#N/A</v>
      </c>
      <c r="Q165" s="13">
        <f t="shared" ca="1" si="50"/>
        <v>0</v>
      </c>
      <c r="R165" s="33"/>
      <c r="S165" s="13" t="e">
        <f t="shared" ca="1" si="51"/>
        <v>#N/A</v>
      </c>
      <c r="T165" s="13" t="e">
        <f ca="1">ROUNDUP(($N165-$P165-$Q165+$S165)*VLOOKUP($B165,Paraméterek!$I$38:$K$39,IF($D$2="Egyszeri",3,2))/12*IF($D166="Nem",IF($M$13=0,1,$M$13),1),IF($D$4="Forint",0,2))</f>
        <v>#N/A</v>
      </c>
      <c r="U165" s="13"/>
      <c r="V165" s="13"/>
      <c r="W165" s="13" t="e">
        <f ca="1">$N165-$P165-$Q165+$S165-$T165-IF(ROUNDUP(IF(ISBLANK($V165),$U165*0,$V165)/IF($D$2="Egyszeri",VLOOKUP($B165+IF($C165=12,1,0),Paraméterek!$V$257:$W$262,2),IF($B165=1,1,VLOOKUP($B165+IF($C165=12,1,0),Paraméterek!$I$258:$T$278,HLOOKUP($M$11+1,Paraméterek!$J$256:$T$257,2)))),IF($D$4="Forint",0,2))&gt;$N165-$P165-$Q165+$S165-$T165-IF($D$4="Forint",Paraméterek!$C$216,Paraméterek!$D$216),0,ROUNDUP(IF(ISBLANK($V165),$U165*0,$V165)/IF($D$2="Egyszeri",VLOOKUP($B165+IF($C165=12,1,0),Paraméterek!$V$257:$W$262,2),IF($B165=1,1,VLOOKUP($B165+IF($C165=12,1,0),Paraméterek!$I$258:$T$278,HLOOKUP($M$11+1,Paraméterek!$J$256:$T$257,2)))),IF($D$4="Forint",0,2)))</f>
        <v>#N/A</v>
      </c>
      <c r="X165" s="13" t="e">
        <f ca="1">ROUNDDOWN($W165*IF($D$2="Egyszeri",VLOOKUP($B165+IF($C165=12,1,0),Paraméterek!$V$257:$W$262,2),VLOOKUP($B165+IF($C165=12,1,0),Paraméterek!$I$258:$T$278,HLOOKUP($M$11+1,Paraméterek!$I$256:$T$257,2))),IF($D$4="Forint",0,2))</f>
        <v>#N/A</v>
      </c>
      <c r="Z165" s="32">
        <v>146</v>
      </c>
      <c r="AA165" s="32">
        <v>13</v>
      </c>
      <c r="AB165" s="32">
        <v>2</v>
      </c>
      <c r="AC165" s="13">
        <f t="shared" ca="1" si="60"/>
        <v>0</v>
      </c>
      <c r="AD165" s="33"/>
      <c r="AE165" s="13">
        <f t="shared" ca="1" si="52"/>
        <v>0</v>
      </c>
      <c r="AF165" s="13">
        <f ca="1">ROUNDUP(($AC165+$AE165)*VLOOKUP($AA165,Paraméterek!$P$38:$Q$38,2)/12*IF($D166="Nem",IF($M$13=0,1,$M$13),1),IF($D$4="Forint",0,2))</f>
        <v>0</v>
      </c>
      <c r="AG165" s="13">
        <f ca="1">IF($D$2="Egyszeri",IF($D$7&gt;=IF($D$4="Forint",Paraméterek!$P$223,Paraméterek!$P$224),$D$7-IF($D$4="Forint",Paraméterek!$P$223,Paraméterek!$P$224),0),MIN(IF($AB165=12,AVERAGEIF($E$20:$E165,"&gt;0",$E$20:$E165)*12,0),SUM($E$20:$E$31)))</f>
        <v>0</v>
      </c>
      <c r="AH165" s="13">
        <f>IF($AA165=10,$AG165*IF($AB165=12,IF($AG165&lt;IF($D$4="Forint",Paraméterek!$L$223,Paraméterek!$L$224),0,VLOOKUP($AA165,Paraméterek!$K$226:$M$228,IF($AG165&lt;IF($D$4="Forint",Paraméterek!$M$223,Paraméterek!$M$224),2,3))),0),0)</f>
        <v>0</v>
      </c>
      <c r="AI165" s="13">
        <f ca="1">IF(AND($AA165=$M$11+1,$AB165=$M$12+1),SUMIF($AA$20:$AA$1027,$AA165,$AG$20:$AG$1027)*IF(SUMIF($AA$20:$AA$1027,$AA165,$AG$20:$AG$1027)&lt;IF($D$4="Forint",Paraméterek!$L$223,Paraméterek!$L$224),0,VLOOKUP($AA165,Paraméterek!$K$230:$M$250,IF(SUMIF($AA$20:$AA$1027,$AA165,$AG$20:$AG$1027)&lt;IF($D$4="Forint",Paraméterek!$M$223,Paraméterek!$M$224),2,3))),0)</f>
        <v>0</v>
      </c>
      <c r="AJ165" s="13">
        <f ca="1">IF(AND($AA165&gt;=5,MOD($AA165,5)=0),IF($AB165=12,VLOOKUP($AA165,Paraméterek!$O$225:$P$240,2),0),IF(OR($AA165=3,$AA165=4),IF($AB165=12,VLOOKUP($AA165,Paraméterek!$O$225:$P$240,2,0),0),0))*$AG165</f>
        <v>0</v>
      </c>
      <c r="AK165" s="13">
        <f t="shared" ca="1" si="53"/>
        <v>0</v>
      </c>
      <c r="AL165" s="13">
        <f t="shared" ca="1" si="61"/>
        <v>0</v>
      </c>
      <c r="AM165" s="13">
        <f t="shared" ca="1" si="62"/>
        <v>0</v>
      </c>
      <c r="AO165" s="32">
        <v>146</v>
      </c>
      <c r="AP165" s="32">
        <v>13</v>
      </c>
      <c r="AQ165" s="32">
        <v>2</v>
      </c>
      <c r="AR165" s="13"/>
      <c r="AS165" s="32"/>
      <c r="AT165" s="13">
        <f t="shared" ca="1" si="63"/>
        <v>0</v>
      </c>
      <c r="AU165" s="33"/>
      <c r="AV165" s="13">
        <f t="shared" ca="1" si="54"/>
        <v>0</v>
      </c>
      <c r="AW165" s="13">
        <f ca="1">ROUNDUP(($AT165+$AV165)*VLOOKUP($AP165,Paraméterek!$P$38:$Q$38,2)/12*IF($D166="Nem",IF($M$13=0,1,$M$13),1),IF($D$4="Forint",0,2))</f>
        <v>0</v>
      </c>
      <c r="AX165" s="13"/>
      <c r="AY165" s="13"/>
      <c r="AZ165" s="13">
        <f>ROUNDUP(IF(SUM($AX165:$AY165)=0,0,IF(IF(ISBLANK($AY165),$AX165,$AY165)*Paraméterek!$J$112&lt;IF($D$4="Forint",Paraméterek!$J$113,Paraméterek!$K$113),IF($D$4="Forint",Paraméterek!$J$113,Paraméterek!$K$113),IF(IF(ISBLANK($AY165),$AX165,$AY165)*Paraméterek!$J$112&gt;IF($D$4="Forint",Paraméterek!$J$114,Paraméterek!$K$114),IF($D$4="Forint",Paraméterek!$J$114,Paraméterek!$K$114),IF(ISBLANK($AY165),$AX165,$AY165)*Paraméterek!$J$112))),IF($D$4="Forint",0,2))</f>
        <v>0</v>
      </c>
      <c r="BA165" s="13">
        <f ca="1">$AT165+$AV165-$AW165-IF(ROUNDDOWN(IF(ISBLANK($AY165),$AX165,$AY165),IF($D$4="Forint",0,2))&gt;$AT165+$AV165-$AW165-IF($D$4="Forint",Paraméterek!$J$114,Paraméterek!$K$114),0,ROUNDDOWN(IF(ISBLANK($AY165),$AX165,$AY165),IF($D$4="Forint",0,2))-$AZ165)</f>
        <v>0</v>
      </c>
      <c r="BB165" s="13">
        <f t="shared" ca="1" si="55"/>
        <v>0</v>
      </c>
      <c r="BD165" s="32">
        <v>146</v>
      </c>
      <c r="BE165" s="32">
        <v>13</v>
      </c>
      <c r="BF165" s="32">
        <v>2</v>
      </c>
      <c r="BG165" s="34">
        <f t="shared" ca="1" si="64"/>
        <v>2031</v>
      </c>
      <c r="BH165" s="32" t="str">
        <f ca="1">IF(MOD(MONTH($D$14)+$BD165-1,12)=Paraméterek!$C$288,"Igen","")</f>
        <v>Igen</v>
      </c>
      <c r="BI165" s="13">
        <f ca="1">IF($BH165="Igen",MIN(ROUNDDOWN((SUMIF($BG$20:$BG$1027,$BG165-1,$K$20:$K$1027)-SUMIF($BG$20:$BG$1027,$BG165-1,$I$20:$I$1027))*Paraméterek!$C$289,IF($D$4="Forint",0,2)),IF($D$4="Forint",Paraméterek!$C$285,Paraméterek!$D$285)),0)</f>
        <v>0</v>
      </c>
      <c r="BJ165" s="13">
        <f t="shared" ca="1" si="56"/>
        <v>0</v>
      </c>
      <c r="BK165" s="13">
        <f t="shared" ca="1" si="65"/>
        <v>0</v>
      </c>
      <c r="BL165" s="33"/>
      <c r="BM165" s="13">
        <f t="shared" ca="1" si="57"/>
        <v>0</v>
      </c>
      <c r="BN165" s="13">
        <f ca="1">ROUNDUP(($BK165+$BM165)*VLOOKUP($BE165,Paraméterek!$P$38:$Q$38,2)/12*IF($D166="Nem",IF($M$13=0,1,$M$13),1),IF($D$4="Forint",0,2))</f>
        <v>0</v>
      </c>
      <c r="BO165" s="13">
        <f t="shared" ca="1" si="58"/>
        <v>0</v>
      </c>
      <c r="BP165" s="13">
        <f ca="1">IF($D166="Nem",$BO165,$BO165-ROUNDUP(SUM($BI$20:$BI165)*120%,IF($D$4="Forint",0,2)))</f>
        <v>0</v>
      </c>
    </row>
    <row r="166" spans="1:68" x14ac:dyDescent="0.2">
      <c r="A166" s="32">
        <v>147</v>
      </c>
      <c r="B166" s="32">
        <v>13</v>
      </c>
      <c r="C166" s="32">
        <v>3</v>
      </c>
      <c r="D166" s="32" t="str">
        <f t="shared" ca="1" si="44"/>
        <v>Nem</v>
      </c>
      <c r="E166" s="13">
        <f t="shared" ca="1" si="45"/>
        <v>0</v>
      </c>
      <c r="F166" s="13"/>
      <c r="G166" s="13"/>
      <c r="H166" s="13"/>
      <c r="I166" s="13">
        <f t="shared" ca="1" si="46"/>
        <v>0</v>
      </c>
      <c r="J166" s="13">
        <f t="shared" ca="1" si="47"/>
        <v>0</v>
      </c>
      <c r="K166" s="13">
        <f t="shared" ca="1" si="48"/>
        <v>0</v>
      </c>
      <c r="L166" s="13" t="e">
        <f ca="1">ROUNDUP(IF($D$2="Egyszeri",$E166,IF($D$2="Havi",SUM($E$20:$E$31),IF(MOD($C166,$M$1)-1=0,SUM($E$20:$E$31),0))/12*$M$1)*VLOOKUP($B166,Paraméterek!$I$28:$P$31,IF($D$2="Egyszeri",8,HLOOKUP(ROUNDUP($M$11+$M$13,0),Paraméterek!$J$26:$O$27,2))),IF($D$4="Forint",0,2))</f>
        <v>#N/A</v>
      </c>
      <c r="M166" s="13">
        <f t="shared" ca="1" si="49"/>
        <v>0</v>
      </c>
      <c r="N166" s="13">
        <f t="shared" ca="1" si="59"/>
        <v>0</v>
      </c>
      <c r="O166" s="13">
        <f ca="1">IF($D166="Igen",IF($W165&gt;=IF($D$4="Forint",Paraméterek!$J$121,Paraméterek!$K$121),0,IF($D$4="Forint",Paraméterek!$J$121,Paraméterek!$K$121)-$W165),0)</f>
        <v>0</v>
      </c>
      <c r="P166" s="13" t="e">
        <f ca="1">ROUNDUP($O166*VLOOKUP($M$4+$B166-1,Paraméterek!$H$58:$I$105,2,0)/Paraméterek!$I$56,IF($D$4="Forint",0,2))</f>
        <v>#N/A</v>
      </c>
      <c r="Q166" s="13">
        <f t="shared" ca="1" si="50"/>
        <v>0</v>
      </c>
      <c r="R166" s="33"/>
      <c r="S166" s="13" t="e">
        <f t="shared" ca="1" si="51"/>
        <v>#N/A</v>
      </c>
      <c r="T166" s="13" t="e">
        <f ca="1">ROUNDUP(($N166-$P166-$Q166+$S166)*VLOOKUP($B166,Paraméterek!$I$38:$K$39,IF($D$2="Egyszeri",3,2))/12*IF($D167="Nem",IF($M$13=0,1,$M$13),1),IF($D$4="Forint",0,2))</f>
        <v>#N/A</v>
      </c>
      <c r="U166" s="13"/>
      <c r="V166" s="13"/>
      <c r="W166" s="13" t="e">
        <f ca="1">$N166-$P166-$Q166+$S166-$T166-IF(ROUNDUP(IF(ISBLANK($V166),$U166*0,$V166)/IF($D$2="Egyszeri",VLOOKUP($B166+IF($C166=12,1,0),Paraméterek!$V$257:$W$262,2),IF($B166=1,1,VLOOKUP($B166+IF($C166=12,1,0),Paraméterek!$I$258:$T$278,HLOOKUP($M$11+1,Paraméterek!$J$256:$T$257,2)))),IF($D$4="Forint",0,2))&gt;$N166-$P166-$Q166+$S166-$T166-IF($D$4="Forint",Paraméterek!$C$216,Paraméterek!$D$216),0,ROUNDUP(IF(ISBLANK($V166),$U166*0,$V166)/IF($D$2="Egyszeri",VLOOKUP($B166+IF($C166=12,1,0),Paraméterek!$V$257:$W$262,2),IF($B166=1,1,VLOOKUP($B166+IF($C166=12,1,0),Paraméterek!$I$258:$T$278,HLOOKUP($M$11+1,Paraméterek!$J$256:$T$257,2)))),IF($D$4="Forint",0,2)))</f>
        <v>#N/A</v>
      </c>
      <c r="X166" s="13" t="e">
        <f ca="1">ROUNDDOWN($W166*IF($D$2="Egyszeri",VLOOKUP($B166+IF($C166=12,1,0),Paraméterek!$V$257:$W$262,2),VLOOKUP($B166+IF($C166=12,1,0),Paraméterek!$I$258:$T$278,HLOOKUP($M$11+1,Paraméterek!$I$256:$T$257,2))),IF($D$4="Forint",0,2))</f>
        <v>#N/A</v>
      </c>
      <c r="Z166" s="32">
        <v>147</v>
      </c>
      <c r="AA166" s="32">
        <v>13</v>
      </c>
      <c r="AB166" s="32">
        <v>3</v>
      </c>
      <c r="AC166" s="13">
        <f t="shared" ca="1" si="60"/>
        <v>0</v>
      </c>
      <c r="AD166" s="33"/>
      <c r="AE166" s="13">
        <f t="shared" ca="1" si="52"/>
        <v>0</v>
      </c>
      <c r="AF166" s="13">
        <f ca="1">ROUNDUP(($AC166+$AE166)*VLOOKUP($AA166,Paraméterek!$P$38:$Q$38,2)/12*IF($D167="Nem",IF($M$13=0,1,$M$13),1),IF($D$4="Forint",0,2))</f>
        <v>0</v>
      </c>
      <c r="AG166" s="13">
        <f ca="1">IF($D$2="Egyszeri",IF($D$7&gt;=IF($D$4="Forint",Paraméterek!$P$223,Paraméterek!$P$224),$D$7-IF($D$4="Forint",Paraméterek!$P$223,Paraméterek!$P$224),0),MIN(IF($AB166=12,AVERAGEIF($E$20:$E166,"&gt;0",$E$20:$E166)*12,0),SUM($E$20:$E$31)))</f>
        <v>0</v>
      </c>
      <c r="AH166" s="13">
        <f>IF($AA166=10,$AG166*IF($AB166=12,IF($AG166&lt;IF($D$4="Forint",Paraméterek!$L$223,Paraméterek!$L$224),0,VLOOKUP($AA166,Paraméterek!$K$226:$M$228,IF($AG166&lt;IF($D$4="Forint",Paraméterek!$M$223,Paraméterek!$M$224),2,3))),0),0)</f>
        <v>0</v>
      </c>
      <c r="AI166" s="13">
        <f ca="1">IF(AND($AA166=$M$11+1,$AB166=$M$12+1),SUMIF($AA$20:$AA$1027,$AA166,$AG$20:$AG$1027)*IF(SUMIF($AA$20:$AA$1027,$AA166,$AG$20:$AG$1027)&lt;IF($D$4="Forint",Paraméterek!$L$223,Paraméterek!$L$224),0,VLOOKUP($AA166,Paraméterek!$K$230:$M$250,IF(SUMIF($AA$20:$AA$1027,$AA166,$AG$20:$AG$1027)&lt;IF($D$4="Forint",Paraméterek!$M$223,Paraméterek!$M$224),2,3))),0)</f>
        <v>0</v>
      </c>
      <c r="AJ166" s="13">
        <f ca="1">IF(AND($AA166&gt;=5,MOD($AA166,5)=0),IF($AB166=12,VLOOKUP($AA166,Paraméterek!$O$225:$P$240,2),0),IF(OR($AA166=3,$AA166=4),IF($AB166=12,VLOOKUP($AA166,Paraméterek!$O$225:$P$240,2,0),0),0))*$AG166</f>
        <v>0</v>
      </c>
      <c r="AK166" s="13">
        <f t="shared" ca="1" si="53"/>
        <v>0</v>
      </c>
      <c r="AL166" s="13">
        <f t="shared" ca="1" si="61"/>
        <v>0</v>
      </c>
      <c r="AM166" s="13">
        <f t="shared" ca="1" si="62"/>
        <v>0</v>
      </c>
      <c r="AO166" s="32">
        <v>147</v>
      </c>
      <c r="AP166" s="32">
        <v>13</v>
      </c>
      <c r="AQ166" s="32">
        <v>3</v>
      </c>
      <c r="AR166" s="13"/>
      <c r="AS166" s="32"/>
      <c r="AT166" s="13">
        <f t="shared" ca="1" si="63"/>
        <v>0</v>
      </c>
      <c r="AU166" s="33"/>
      <c r="AV166" s="13">
        <f t="shared" ca="1" si="54"/>
        <v>0</v>
      </c>
      <c r="AW166" s="13">
        <f ca="1">ROUNDUP(($AT166+$AV166)*VLOOKUP($AP166,Paraméterek!$P$38:$Q$38,2)/12*IF($D167="Nem",IF($M$13=0,1,$M$13),1),IF($D$4="Forint",0,2))</f>
        <v>0</v>
      </c>
      <c r="AX166" s="13"/>
      <c r="AY166" s="13"/>
      <c r="AZ166" s="13">
        <f>ROUNDUP(IF(SUM($AX166:$AY166)=0,0,IF(IF(ISBLANK($AY166),$AX166,$AY166)*Paraméterek!$J$112&lt;IF($D$4="Forint",Paraméterek!$J$113,Paraméterek!$K$113),IF($D$4="Forint",Paraméterek!$J$113,Paraméterek!$K$113),IF(IF(ISBLANK($AY166),$AX166,$AY166)*Paraméterek!$J$112&gt;IF($D$4="Forint",Paraméterek!$J$114,Paraméterek!$K$114),IF($D$4="Forint",Paraméterek!$J$114,Paraméterek!$K$114),IF(ISBLANK($AY166),$AX166,$AY166)*Paraméterek!$J$112))),IF($D$4="Forint",0,2))</f>
        <v>0</v>
      </c>
      <c r="BA166" s="13">
        <f ca="1">$AT166+$AV166-$AW166-IF(ROUNDDOWN(IF(ISBLANK($AY166),$AX166,$AY166),IF($D$4="Forint",0,2))&gt;$AT166+$AV166-$AW166-IF($D$4="Forint",Paraméterek!$J$114,Paraméterek!$K$114),0,ROUNDDOWN(IF(ISBLANK($AY166),$AX166,$AY166),IF($D$4="Forint",0,2))-$AZ166)</f>
        <v>0</v>
      </c>
      <c r="BB166" s="13">
        <f t="shared" ca="1" si="55"/>
        <v>0</v>
      </c>
      <c r="BD166" s="32">
        <v>147</v>
      </c>
      <c r="BE166" s="32">
        <v>13</v>
      </c>
      <c r="BF166" s="32">
        <v>3</v>
      </c>
      <c r="BG166" s="34">
        <f t="shared" ca="1" si="64"/>
        <v>2031</v>
      </c>
      <c r="BH166" s="32" t="str">
        <f ca="1">IF(MOD(MONTH($D$14)+$BD166-1,12)=Paraméterek!$C$288,"Igen","")</f>
        <v/>
      </c>
      <c r="BI166" s="13">
        <f ca="1">IF($BH166="Igen",MIN(ROUNDDOWN((SUMIF($BG$20:$BG$1027,$BG166-1,$K$20:$K$1027)-SUMIF($BG$20:$BG$1027,$BG166-1,$I$20:$I$1027))*Paraméterek!$C$289,IF($D$4="Forint",0,2)),IF($D$4="Forint",Paraméterek!$C$285,Paraméterek!$D$285)),0)</f>
        <v>0</v>
      </c>
      <c r="BJ166" s="13">
        <f t="shared" ca="1" si="56"/>
        <v>0</v>
      </c>
      <c r="BK166" s="13">
        <f t="shared" ca="1" si="65"/>
        <v>0</v>
      </c>
      <c r="BL166" s="33"/>
      <c r="BM166" s="13">
        <f t="shared" ca="1" si="57"/>
        <v>0</v>
      </c>
      <c r="BN166" s="13">
        <f ca="1">ROUNDUP(($BK166+$BM166)*VLOOKUP($BE166,Paraméterek!$P$38:$Q$38,2)/12*IF($D167="Nem",IF($M$13=0,1,$M$13),1),IF($D$4="Forint",0,2))</f>
        <v>0</v>
      </c>
      <c r="BO166" s="13">
        <f t="shared" ca="1" si="58"/>
        <v>0</v>
      </c>
      <c r="BP166" s="13">
        <f ca="1">IF($D167="Nem",$BO166,$BO166-ROUNDUP(SUM($BI$20:$BI166)*120%,IF($D$4="Forint",0,2)))</f>
        <v>0</v>
      </c>
    </row>
    <row r="167" spans="1:68" x14ac:dyDescent="0.2">
      <c r="A167" s="32">
        <v>148</v>
      </c>
      <c r="B167" s="32">
        <v>13</v>
      </c>
      <c r="C167" s="32">
        <v>4</v>
      </c>
      <c r="D167" s="32" t="str">
        <f t="shared" ca="1" si="44"/>
        <v>Nem</v>
      </c>
      <c r="E167" s="13">
        <f t="shared" ca="1" si="45"/>
        <v>0</v>
      </c>
      <c r="F167" s="13"/>
      <c r="G167" s="13"/>
      <c r="H167" s="13"/>
      <c r="I167" s="13">
        <f t="shared" ca="1" si="46"/>
        <v>0</v>
      </c>
      <c r="J167" s="13">
        <f t="shared" ca="1" si="47"/>
        <v>0</v>
      </c>
      <c r="K167" s="13">
        <f t="shared" ca="1" si="48"/>
        <v>0</v>
      </c>
      <c r="L167" s="13" t="e">
        <f ca="1">ROUNDUP(IF($D$2="Egyszeri",$E167,IF($D$2="Havi",SUM($E$20:$E$31),IF(MOD($C167,$M$1)-1=0,SUM($E$20:$E$31),0))/12*$M$1)*VLOOKUP($B167,Paraméterek!$I$28:$P$31,IF($D$2="Egyszeri",8,HLOOKUP(ROUNDUP($M$11+$M$13,0),Paraméterek!$J$26:$O$27,2))),IF($D$4="Forint",0,2))</f>
        <v>#N/A</v>
      </c>
      <c r="M167" s="13">
        <f t="shared" ca="1" si="49"/>
        <v>0</v>
      </c>
      <c r="N167" s="13">
        <f t="shared" ca="1" si="59"/>
        <v>0</v>
      </c>
      <c r="O167" s="13">
        <f ca="1">IF($D167="Igen",IF($W166&gt;=IF($D$4="Forint",Paraméterek!$J$121,Paraméterek!$K$121),0,IF($D$4="Forint",Paraméterek!$J$121,Paraméterek!$K$121)-$W166),0)</f>
        <v>0</v>
      </c>
      <c r="P167" s="13" t="e">
        <f ca="1">ROUNDUP($O167*VLOOKUP($M$4+$B167-1,Paraméterek!$H$58:$I$105,2,0)/Paraméterek!$I$56,IF($D$4="Forint",0,2))</f>
        <v>#N/A</v>
      </c>
      <c r="Q167" s="13">
        <f t="shared" ca="1" si="50"/>
        <v>0</v>
      </c>
      <c r="R167" s="33"/>
      <c r="S167" s="13" t="e">
        <f t="shared" ca="1" si="51"/>
        <v>#N/A</v>
      </c>
      <c r="T167" s="13" t="e">
        <f ca="1">ROUNDUP(($N167-$P167-$Q167+$S167)*VLOOKUP($B167,Paraméterek!$I$38:$K$39,IF($D$2="Egyszeri",3,2))/12*IF($D168="Nem",IF($M$13=0,1,$M$13),1),IF($D$4="Forint",0,2))</f>
        <v>#N/A</v>
      </c>
      <c r="U167" s="13"/>
      <c r="V167" s="13"/>
      <c r="W167" s="13" t="e">
        <f ca="1">$N167-$P167-$Q167+$S167-$T167-IF(ROUNDUP(IF(ISBLANK($V167),$U167*0,$V167)/IF($D$2="Egyszeri",VLOOKUP($B167+IF($C167=12,1,0),Paraméterek!$V$257:$W$262,2),IF($B167=1,1,VLOOKUP($B167+IF($C167=12,1,0),Paraméterek!$I$258:$T$278,HLOOKUP($M$11+1,Paraméterek!$J$256:$T$257,2)))),IF($D$4="Forint",0,2))&gt;$N167-$P167-$Q167+$S167-$T167-IF($D$4="Forint",Paraméterek!$C$216,Paraméterek!$D$216),0,ROUNDUP(IF(ISBLANK($V167),$U167*0,$V167)/IF($D$2="Egyszeri",VLOOKUP($B167+IF($C167=12,1,0),Paraméterek!$V$257:$W$262,2),IF($B167=1,1,VLOOKUP($B167+IF($C167=12,1,0),Paraméterek!$I$258:$T$278,HLOOKUP($M$11+1,Paraméterek!$J$256:$T$257,2)))),IF($D$4="Forint",0,2)))</f>
        <v>#N/A</v>
      </c>
      <c r="X167" s="13" t="e">
        <f ca="1">ROUNDDOWN($W167*IF($D$2="Egyszeri",VLOOKUP($B167+IF($C167=12,1,0),Paraméterek!$V$257:$W$262,2),VLOOKUP($B167+IF($C167=12,1,0),Paraméterek!$I$258:$T$278,HLOOKUP($M$11+1,Paraméterek!$I$256:$T$257,2))),IF($D$4="Forint",0,2))</f>
        <v>#N/A</v>
      </c>
      <c r="Z167" s="32">
        <v>148</v>
      </c>
      <c r="AA167" s="32">
        <v>13</v>
      </c>
      <c r="AB167" s="32">
        <v>4</v>
      </c>
      <c r="AC167" s="13">
        <f t="shared" ca="1" si="60"/>
        <v>0</v>
      </c>
      <c r="AD167" s="33"/>
      <c r="AE167" s="13">
        <f t="shared" ca="1" si="52"/>
        <v>0</v>
      </c>
      <c r="AF167" s="13">
        <f ca="1">ROUNDUP(($AC167+$AE167)*VLOOKUP($AA167,Paraméterek!$P$38:$Q$38,2)/12*IF($D168="Nem",IF($M$13=0,1,$M$13),1),IF($D$4="Forint",0,2))</f>
        <v>0</v>
      </c>
      <c r="AG167" s="13">
        <f ca="1">IF($D$2="Egyszeri",IF($D$7&gt;=IF($D$4="Forint",Paraméterek!$P$223,Paraméterek!$P$224),$D$7-IF($D$4="Forint",Paraméterek!$P$223,Paraméterek!$P$224),0),MIN(IF($AB167=12,AVERAGEIF($E$20:$E167,"&gt;0",$E$20:$E167)*12,0),SUM($E$20:$E$31)))</f>
        <v>0</v>
      </c>
      <c r="AH167" s="13">
        <f>IF($AA167=10,$AG167*IF($AB167=12,IF($AG167&lt;IF($D$4="Forint",Paraméterek!$L$223,Paraméterek!$L$224),0,VLOOKUP($AA167,Paraméterek!$K$226:$M$228,IF($AG167&lt;IF($D$4="Forint",Paraméterek!$M$223,Paraméterek!$M$224),2,3))),0),0)</f>
        <v>0</v>
      </c>
      <c r="AI167" s="13">
        <f ca="1">IF(AND($AA167=$M$11+1,$AB167=$M$12+1),SUMIF($AA$20:$AA$1027,$AA167,$AG$20:$AG$1027)*IF(SUMIF($AA$20:$AA$1027,$AA167,$AG$20:$AG$1027)&lt;IF($D$4="Forint",Paraméterek!$L$223,Paraméterek!$L$224),0,VLOOKUP($AA167,Paraméterek!$K$230:$M$250,IF(SUMIF($AA$20:$AA$1027,$AA167,$AG$20:$AG$1027)&lt;IF($D$4="Forint",Paraméterek!$M$223,Paraméterek!$M$224),2,3))),0)</f>
        <v>0</v>
      </c>
      <c r="AJ167" s="13">
        <f ca="1">IF(AND($AA167&gt;=5,MOD($AA167,5)=0),IF($AB167=12,VLOOKUP($AA167,Paraméterek!$O$225:$P$240,2),0),IF(OR($AA167=3,$AA167=4),IF($AB167=12,VLOOKUP($AA167,Paraméterek!$O$225:$P$240,2,0),0),0))*$AG167</f>
        <v>0</v>
      </c>
      <c r="AK167" s="13">
        <f t="shared" ca="1" si="53"/>
        <v>0</v>
      </c>
      <c r="AL167" s="13">
        <f t="shared" ca="1" si="61"/>
        <v>0</v>
      </c>
      <c r="AM167" s="13">
        <f t="shared" ca="1" si="62"/>
        <v>0</v>
      </c>
      <c r="AO167" s="32">
        <v>148</v>
      </c>
      <c r="AP167" s="32">
        <v>13</v>
      </c>
      <c r="AQ167" s="32">
        <v>4</v>
      </c>
      <c r="AR167" s="13"/>
      <c r="AS167" s="32"/>
      <c r="AT167" s="13">
        <f t="shared" ca="1" si="63"/>
        <v>0</v>
      </c>
      <c r="AU167" s="33"/>
      <c r="AV167" s="13">
        <f t="shared" ca="1" si="54"/>
        <v>0</v>
      </c>
      <c r="AW167" s="13">
        <f ca="1">ROUNDUP(($AT167+$AV167)*VLOOKUP($AP167,Paraméterek!$P$38:$Q$38,2)/12*IF($D168="Nem",IF($M$13=0,1,$M$13),1),IF($D$4="Forint",0,2))</f>
        <v>0</v>
      </c>
      <c r="AX167" s="13"/>
      <c r="AY167" s="13"/>
      <c r="AZ167" s="13">
        <f>ROUNDUP(IF(SUM($AX167:$AY167)=0,0,IF(IF(ISBLANK($AY167),$AX167,$AY167)*Paraméterek!$J$112&lt;IF($D$4="Forint",Paraméterek!$J$113,Paraméterek!$K$113),IF($D$4="Forint",Paraméterek!$J$113,Paraméterek!$K$113),IF(IF(ISBLANK($AY167),$AX167,$AY167)*Paraméterek!$J$112&gt;IF($D$4="Forint",Paraméterek!$J$114,Paraméterek!$K$114),IF($D$4="Forint",Paraméterek!$J$114,Paraméterek!$K$114),IF(ISBLANK($AY167),$AX167,$AY167)*Paraméterek!$J$112))),IF($D$4="Forint",0,2))</f>
        <v>0</v>
      </c>
      <c r="BA167" s="13">
        <f ca="1">$AT167+$AV167-$AW167-IF(ROUNDDOWN(IF(ISBLANK($AY167),$AX167,$AY167),IF($D$4="Forint",0,2))&gt;$AT167+$AV167-$AW167-IF($D$4="Forint",Paraméterek!$J$114,Paraméterek!$K$114),0,ROUNDDOWN(IF(ISBLANK($AY167),$AX167,$AY167),IF($D$4="Forint",0,2))-$AZ167)</f>
        <v>0</v>
      </c>
      <c r="BB167" s="13">
        <f t="shared" ca="1" si="55"/>
        <v>0</v>
      </c>
      <c r="BD167" s="32">
        <v>148</v>
      </c>
      <c r="BE167" s="32">
        <v>13</v>
      </c>
      <c r="BF167" s="32">
        <v>4</v>
      </c>
      <c r="BG167" s="34">
        <f t="shared" ca="1" si="64"/>
        <v>2031</v>
      </c>
      <c r="BH167" s="32" t="str">
        <f ca="1">IF(MOD(MONTH($D$14)+$BD167-1,12)=Paraméterek!$C$288,"Igen","")</f>
        <v/>
      </c>
      <c r="BI167" s="13">
        <f ca="1">IF($BH167="Igen",MIN(ROUNDDOWN((SUMIF($BG$20:$BG$1027,$BG167-1,$K$20:$K$1027)-SUMIF($BG$20:$BG$1027,$BG167-1,$I$20:$I$1027))*Paraméterek!$C$289,IF($D$4="Forint",0,2)),IF($D$4="Forint",Paraméterek!$C$285,Paraméterek!$D$285)),0)</f>
        <v>0</v>
      </c>
      <c r="BJ167" s="13">
        <f t="shared" ca="1" si="56"/>
        <v>0</v>
      </c>
      <c r="BK167" s="13">
        <f t="shared" ca="1" si="65"/>
        <v>0</v>
      </c>
      <c r="BL167" s="33"/>
      <c r="BM167" s="13">
        <f t="shared" ca="1" si="57"/>
        <v>0</v>
      </c>
      <c r="BN167" s="13">
        <f ca="1">ROUNDUP(($BK167+$BM167)*VLOOKUP($BE167,Paraméterek!$P$38:$Q$38,2)/12*IF($D168="Nem",IF($M$13=0,1,$M$13),1),IF($D$4="Forint",0,2))</f>
        <v>0</v>
      </c>
      <c r="BO167" s="13">
        <f t="shared" ca="1" si="58"/>
        <v>0</v>
      </c>
      <c r="BP167" s="13">
        <f ca="1">IF($D168="Nem",$BO167,$BO167-ROUNDUP(SUM($BI$20:$BI167)*120%,IF($D$4="Forint",0,2)))</f>
        <v>0</v>
      </c>
    </row>
    <row r="168" spans="1:68" x14ac:dyDescent="0.2">
      <c r="A168" s="32">
        <v>149</v>
      </c>
      <c r="B168" s="32">
        <v>13</v>
      </c>
      <c r="C168" s="32">
        <v>5</v>
      </c>
      <c r="D168" s="32" t="str">
        <f t="shared" ca="1" si="44"/>
        <v>Nem</v>
      </c>
      <c r="E168" s="13">
        <f t="shared" ca="1" si="45"/>
        <v>0</v>
      </c>
      <c r="F168" s="13"/>
      <c r="G168" s="13"/>
      <c r="H168" s="13"/>
      <c r="I168" s="13">
        <f t="shared" ca="1" si="46"/>
        <v>0</v>
      </c>
      <c r="J168" s="13">
        <f t="shared" ca="1" si="47"/>
        <v>0</v>
      </c>
      <c r="K168" s="13">
        <f t="shared" ca="1" si="48"/>
        <v>0</v>
      </c>
      <c r="L168" s="13" t="e">
        <f ca="1">ROUNDUP(IF($D$2="Egyszeri",$E168,IF($D$2="Havi",SUM($E$20:$E$31),IF(MOD($C168,$M$1)-1=0,SUM($E$20:$E$31),0))/12*$M$1)*VLOOKUP($B168,Paraméterek!$I$28:$P$31,IF($D$2="Egyszeri",8,HLOOKUP(ROUNDUP($M$11+$M$13,0),Paraméterek!$J$26:$O$27,2))),IF($D$4="Forint",0,2))</f>
        <v>#N/A</v>
      </c>
      <c r="M168" s="13">
        <f t="shared" ca="1" si="49"/>
        <v>0</v>
      </c>
      <c r="N168" s="13">
        <f t="shared" ca="1" si="59"/>
        <v>0</v>
      </c>
      <c r="O168" s="13">
        <f ca="1">IF($D168="Igen",IF($W167&gt;=IF($D$4="Forint",Paraméterek!$J$121,Paraméterek!$K$121),0,IF($D$4="Forint",Paraméterek!$J$121,Paraméterek!$K$121)-$W167),0)</f>
        <v>0</v>
      </c>
      <c r="P168" s="13" t="e">
        <f ca="1">ROUNDUP($O168*VLOOKUP($M$4+$B168-1,Paraméterek!$H$58:$I$105,2,0)/Paraméterek!$I$56,IF($D$4="Forint",0,2))</f>
        <v>#N/A</v>
      </c>
      <c r="Q168" s="13">
        <f t="shared" ca="1" si="50"/>
        <v>0</v>
      </c>
      <c r="R168" s="33"/>
      <c r="S168" s="13" t="e">
        <f t="shared" ca="1" si="51"/>
        <v>#N/A</v>
      </c>
      <c r="T168" s="13" t="e">
        <f ca="1">ROUNDUP(($N168-$P168-$Q168+$S168)*VLOOKUP($B168,Paraméterek!$I$38:$K$39,IF($D$2="Egyszeri",3,2))/12*IF($D169="Nem",IF($M$13=0,1,$M$13),1),IF($D$4="Forint",0,2))</f>
        <v>#N/A</v>
      </c>
      <c r="U168" s="13"/>
      <c r="V168" s="13"/>
      <c r="W168" s="13" t="e">
        <f ca="1">$N168-$P168-$Q168+$S168-$T168-IF(ROUNDUP(IF(ISBLANK($V168),$U168*0,$V168)/IF($D$2="Egyszeri",VLOOKUP($B168+IF($C168=12,1,0),Paraméterek!$V$257:$W$262,2),IF($B168=1,1,VLOOKUP($B168+IF($C168=12,1,0),Paraméterek!$I$258:$T$278,HLOOKUP($M$11+1,Paraméterek!$J$256:$T$257,2)))),IF($D$4="Forint",0,2))&gt;$N168-$P168-$Q168+$S168-$T168-IF($D$4="Forint",Paraméterek!$C$216,Paraméterek!$D$216),0,ROUNDUP(IF(ISBLANK($V168),$U168*0,$V168)/IF($D$2="Egyszeri",VLOOKUP($B168+IF($C168=12,1,0),Paraméterek!$V$257:$W$262,2),IF($B168=1,1,VLOOKUP($B168+IF($C168=12,1,0),Paraméterek!$I$258:$T$278,HLOOKUP($M$11+1,Paraméterek!$J$256:$T$257,2)))),IF($D$4="Forint",0,2)))</f>
        <v>#N/A</v>
      </c>
      <c r="X168" s="13" t="e">
        <f ca="1">ROUNDDOWN($W168*IF($D$2="Egyszeri",VLOOKUP($B168+IF($C168=12,1,0),Paraméterek!$V$257:$W$262,2),VLOOKUP($B168+IF($C168=12,1,0),Paraméterek!$I$258:$T$278,HLOOKUP($M$11+1,Paraméterek!$I$256:$T$257,2))),IF($D$4="Forint",0,2))</f>
        <v>#N/A</v>
      </c>
      <c r="Z168" s="32">
        <v>149</v>
      </c>
      <c r="AA168" s="32">
        <v>13</v>
      </c>
      <c r="AB168" s="32">
        <v>5</v>
      </c>
      <c r="AC168" s="13">
        <f t="shared" ca="1" si="60"/>
        <v>0</v>
      </c>
      <c r="AD168" s="33"/>
      <c r="AE168" s="13">
        <f t="shared" ca="1" si="52"/>
        <v>0</v>
      </c>
      <c r="AF168" s="13">
        <f ca="1">ROUNDUP(($AC168+$AE168)*VLOOKUP($AA168,Paraméterek!$P$38:$Q$38,2)/12*IF($D169="Nem",IF($M$13=0,1,$M$13),1),IF($D$4="Forint",0,2))</f>
        <v>0</v>
      </c>
      <c r="AG168" s="13">
        <f ca="1">IF($D$2="Egyszeri",IF($D$7&gt;=IF($D$4="Forint",Paraméterek!$P$223,Paraméterek!$P$224),$D$7-IF($D$4="Forint",Paraméterek!$P$223,Paraméterek!$P$224),0),MIN(IF($AB168=12,AVERAGEIF($E$20:$E168,"&gt;0",$E$20:$E168)*12,0),SUM($E$20:$E$31)))</f>
        <v>0</v>
      </c>
      <c r="AH168" s="13">
        <f>IF($AA168=10,$AG168*IF($AB168=12,IF($AG168&lt;IF($D$4="Forint",Paraméterek!$L$223,Paraméterek!$L$224),0,VLOOKUP($AA168,Paraméterek!$K$226:$M$228,IF($AG168&lt;IF($D$4="Forint",Paraméterek!$M$223,Paraméterek!$M$224),2,3))),0),0)</f>
        <v>0</v>
      </c>
      <c r="AI168" s="13">
        <f ca="1">IF(AND($AA168=$M$11+1,$AB168=$M$12+1),SUMIF($AA$20:$AA$1027,$AA168,$AG$20:$AG$1027)*IF(SUMIF($AA$20:$AA$1027,$AA168,$AG$20:$AG$1027)&lt;IF($D$4="Forint",Paraméterek!$L$223,Paraméterek!$L$224),0,VLOOKUP($AA168,Paraméterek!$K$230:$M$250,IF(SUMIF($AA$20:$AA$1027,$AA168,$AG$20:$AG$1027)&lt;IF($D$4="Forint",Paraméterek!$M$223,Paraméterek!$M$224),2,3))),0)</f>
        <v>0</v>
      </c>
      <c r="AJ168" s="13">
        <f ca="1">IF(AND($AA168&gt;=5,MOD($AA168,5)=0),IF($AB168=12,VLOOKUP($AA168,Paraméterek!$O$225:$P$240,2),0),IF(OR($AA168=3,$AA168=4),IF($AB168=12,VLOOKUP($AA168,Paraméterek!$O$225:$P$240,2,0),0),0))*$AG168</f>
        <v>0</v>
      </c>
      <c r="AK168" s="13">
        <f t="shared" ca="1" si="53"/>
        <v>0</v>
      </c>
      <c r="AL168" s="13">
        <f t="shared" ca="1" si="61"/>
        <v>0</v>
      </c>
      <c r="AM168" s="13">
        <f t="shared" ca="1" si="62"/>
        <v>0</v>
      </c>
      <c r="AO168" s="32">
        <v>149</v>
      </c>
      <c r="AP168" s="32">
        <v>13</v>
      </c>
      <c r="AQ168" s="32">
        <v>5</v>
      </c>
      <c r="AR168" s="13"/>
      <c r="AS168" s="32"/>
      <c r="AT168" s="13">
        <f t="shared" ca="1" si="63"/>
        <v>0</v>
      </c>
      <c r="AU168" s="33"/>
      <c r="AV168" s="13">
        <f t="shared" ca="1" si="54"/>
        <v>0</v>
      </c>
      <c r="AW168" s="13">
        <f ca="1">ROUNDUP(($AT168+$AV168)*VLOOKUP($AP168,Paraméterek!$P$38:$Q$38,2)/12*IF($D169="Nem",IF($M$13=0,1,$M$13),1),IF($D$4="Forint",0,2))</f>
        <v>0</v>
      </c>
      <c r="AX168" s="13"/>
      <c r="AY168" s="13"/>
      <c r="AZ168" s="13">
        <f>ROUNDUP(IF(SUM($AX168:$AY168)=0,0,IF(IF(ISBLANK($AY168),$AX168,$AY168)*Paraméterek!$J$112&lt;IF($D$4="Forint",Paraméterek!$J$113,Paraméterek!$K$113),IF($D$4="Forint",Paraméterek!$J$113,Paraméterek!$K$113),IF(IF(ISBLANK($AY168),$AX168,$AY168)*Paraméterek!$J$112&gt;IF($D$4="Forint",Paraméterek!$J$114,Paraméterek!$K$114),IF($D$4="Forint",Paraméterek!$J$114,Paraméterek!$K$114),IF(ISBLANK($AY168),$AX168,$AY168)*Paraméterek!$J$112))),IF($D$4="Forint",0,2))</f>
        <v>0</v>
      </c>
      <c r="BA168" s="13">
        <f ca="1">$AT168+$AV168-$AW168-IF(ROUNDDOWN(IF(ISBLANK($AY168),$AX168,$AY168),IF($D$4="Forint",0,2))&gt;$AT168+$AV168-$AW168-IF($D$4="Forint",Paraméterek!$J$114,Paraméterek!$K$114),0,ROUNDDOWN(IF(ISBLANK($AY168),$AX168,$AY168),IF($D$4="Forint",0,2))-$AZ168)</f>
        <v>0</v>
      </c>
      <c r="BB168" s="13">
        <f t="shared" ca="1" si="55"/>
        <v>0</v>
      </c>
      <c r="BD168" s="32">
        <v>149</v>
      </c>
      <c r="BE168" s="32">
        <v>13</v>
      </c>
      <c r="BF168" s="32">
        <v>5</v>
      </c>
      <c r="BG168" s="34">
        <f t="shared" ca="1" si="64"/>
        <v>2031</v>
      </c>
      <c r="BH168" s="32" t="str">
        <f ca="1">IF(MOD(MONTH($D$14)+$BD168-1,12)=Paraméterek!$C$288,"Igen","")</f>
        <v/>
      </c>
      <c r="BI168" s="13">
        <f ca="1">IF($BH168="Igen",MIN(ROUNDDOWN((SUMIF($BG$20:$BG$1027,$BG168-1,$K$20:$K$1027)-SUMIF($BG$20:$BG$1027,$BG168-1,$I$20:$I$1027))*Paraméterek!$C$289,IF($D$4="Forint",0,2)),IF($D$4="Forint",Paraméterek!$C$285,Paraméterek!$D$285)),0)</f>
        <v>0</v>
      </c>
      <c r="BJ168" s="13">
        <f t="shared" ca="1" si="56"/>
        <v>0</v>
      </c>
      <c r="BK168" s="13">
        <f t="shared" ca="1" si="65"/>
        <v>0</v>
      </c>
      <c r="BL168" s="33"/>
      <c r="BM168" s="13">
        <f t="shared" ca="1" si="57"/>
        <v>0</v>
      </c>
      <c r="BN168" s="13">
        <f ca="1">ROUNDUP(($BK168+$BM168)*VLOOKUP($BE168,Paraméterek!$P$38:$Q$38,2)/12*IF($D169="Nem",IF($M$13=0,1,$M$13),1),IF($D$4="Forint",0,2))</f>
        <v>0</v>
      </c>
      <c r="BO168" s="13">
        <f t="shared" ca="1" si="58"/>
        <v>0</v>
      </c>
      <c r="BP168" s="13">
        <f ca="1">IF($D169="Nem",$BO168,$BO168-ROUNDUP(SUM($BI$20:$BI168)*120%,IF($D$4="Forint",0,2)))</f>
        <v>0</v>
      </c>
    </row>
    <row r="169" spans="1:68" x14ac:dyDescent="0.2">
      <c r="A169" s="32">
        <v>150</v>
      </c>
      <c r="B169" s="32">
        <v>13</v>
      </c>
      <c r="C169" s="32">
        <v>6</v>
      </c>
      <c r="D169" s="32" t="str">
        <f t="shared" ca="1" si="44"/>
        <v>Nem</v>
      </c>
      <c r="E169" s="13">
        <f t="shared" ca="1" si="45"/>
        <v>0</v>
      </c>
      <c r="F169" s="13"/>
      <c r="G169" s="13"/>
      <c r="H169" s="13"/>
      <c r="I169" s="13">
        <f t="shared" ca="1" si="46"/>
        <v>0</v>
      </c>
      <c r="J169" s="13">
        <f t="shared" ca="1" si="47"/>
        <v>0</v>
      </c>
      <c r="K169" s="13">
        <f t="shared" ca="1" si="48"/>
        <v>0</v>
      </c>
      <c r="L169" s="13" t="e">
        <f ca="1">ROUNDUP(IF($D$2="Egyszeri",$E169,IF($D$2="Havi",SUM($E$20:$E$31),IF(MOD($C169,$M$1)-1=0,SUM($E$20:$E$31),0))/12*$M$1)*VLOOKUP($B169,Paraméterek!$I$28:$P$31,IF($D$2="Egyszeri",8,HLOOKUP(ROUNDUP($M$11+$M$13,0),Paraméterek!$J$26:$O$27,2))),IF($D$4="Forint",0,2))</f>
        <v>#N/A</v>
      </c>
      <c r="M169" s="13">
        <f t="shared" ca="1" si="49"/>
        <v>0</v>
      </c>
      <c r="N169" s="13">
        <f t="shared" ca="1" si="59"/>
        <v>0</v>
      </c>
      <c r="O169" s="13">
        <f ca="1">IF($D169="Igen",IF($W168&gt;=IF($D$4="Forint",Paraméterek!$J$121,Paraméterek!$K$121),0,IF($D$4="Forint",Paraméterek!$J$121,Paraméterek!$K$121)-$W168),0)</f>
        <v>0</v>
      </c>
      <c r="P169" s="13" t="e">
        <f ca="1">ROUNDUP($O169*VLOOKUP($M$4+$B169-1,Paraméterek!$H$58:$I$105,2,0)/Paraméterek!$I$56,IF($D$4="Forint",0,2))</f>
        <v>#N/A</v>
      </c>
      <c r="Q169" s="13">
        <f t="shared" ca="1" si="50"/>
        <v>0</v>
      </c>
      <c r="R169" s="33"/>
      <c r="S169" s="13" t="e">
        <f t="shared" ca="1" si="51"/>
        <v>#N/A</v>
      </c>
      <c r="T169" s="13" t="e">
        <f ca="1">ROUNDUP(($N169-$P169-$Q169+$S169)*VLOOKUP($B169,Paraméterek!$I$38:$K$39,IF($D$2="Egyszeri",3,2))/12*IF($D170="Nem",IF($M$13=0,1,$M$13),1),IF($D$4="Forint",0,2))</f>
        <v>#N/A</v>
      </c>
      <c r="U169" s="13"/>
      <c r="V169" s="13"/>
      <c r="W169" s="13" t="e">
        <f ca="1">$N169-$P169-$Q169+$S169-$T169-IF(ROUNDUP(IF(ISBLANK($V169),$U169*0,$V169)/IF($D$2="Egyszeri",VLOOKUP($B169+IF($C169=12,1,0),Paraméterek!$V$257:$W$262,2),IF($B169=1,1,VLOOKUP($B169+IF($C169=12,1,0),Paraméterek!$I$258:$T$278,HLOOKUP($M$11+1,Paraméterek!$J$256:$T$257,2)))),IF($D$4="Forint",0,2))&gt;$N169-$P169-$Q169+$S169-$T169-IF($D$4="Forint",Paraméterek!$C$216,Paraméterek!$D$216),0,ROUNDUP(IF(ISBLANK($V169),$U169*0,$V169)/IF($D$2="Egyszeri",VLOOKUP($B169+IF($C169=12,1,0),Paraméterek!$V$257:$W$262,2),IF($B169=1,1,VLOOKUP($B169+IF($C169=12,1,0),Paraméterek!$I$258:$T$278,HLOOKUP($M$11+1,Paraméterek!$J$256:$T$257,2)))),IF($D$4="Forint",0,2)))</f>
        <v>#N/A</v>
      </c>
      <c r="X169" s="13" t="e">
        <f ca="1">ROUNDDOWN($W169*IF($D$2="Egyszeri",VLOOKUP($B169+IF($C169=12,1,0),Paraméterek!$V$257:$W$262,2),VLOOKUP($B169+IF($C169=12,1,0),Paraméterek!$I$258:$T$278,HLOOKUP($M$11+1,Paraméterek!$I$256:$T$257,2))),IF($D$4="Forint",0,2))</f>
        <v>#N/A</v>
      </c>
      <c r="Z169" s="32">
        <v>150</v>
      </c>
      <c r="AA169" s="32">
        <v>13</v>
      </c>
      <c r="AB169" s="32">
        <v>6</v>
      </c>
      <c r="AC169" s="13">
        <f t="shared" ca="1" si="60"/>
        <v>0</v>
      </c>
      <c r="AD169" s="33"/>
      <c r="AE169" s="13">
        <f t="shared" ca="1" si="52"/>
        <v>0</v>
      </c>
      <c r="AF169" s="13">
        <f ca="1">ROUNDUP(($AC169+$AE169)*VLOOKUP($AA169,Paraméterek!$P$38:$Q$38,2)/12*IF($D170="Nem",IF($M$13=0,1,$M$13),1),IF($D$4="Forint",0,2))</f>
        <v>0</v>
      </c>
      <c r="AG169" s="13">
        <f ca="1">IF($D$2="Egyszeri",IF($D$7&gt;=IF($D$4="Forint",Paraméterek!$P$223,Paraméterek!$P$224),$D$7-IF($D$4="Forint",Paraméterek!$P$223,Paraméterek!$P$224),0),MIN(IF($AB169=12,AVERAGEIF($E$20:$E169,"&gt;0",$E$20:$E169)*12,0),SUM($E$20:$E$31)))</f>
        <v>0</v>
      </c>
      <c r="AH169" s="13">
        <f>IF($AA169=10,$AG169*IF($AB169=12,IF($AG169&lt;IF($D$4="Forint",Paraméterek!$L$223,Paraméterek!$L$224),0,VLOOKUP($AA169,Paraméterek!$K$226:$M$228,IF($AG169&lt;IF($D$4="Forint",Paraméterek!$M$223,Paraméterek!$M$224),2,3))),0),0)</f>
        <v>0</v>
      </c>
      <c r="AI169" s="13">
        <f ca="1">IF(AND($AA169=$M$11+1,$AB169=$M$12+1),SUMIF($AA$20:$AA$1027,$AA169,$AG$20:$AG$1027)*IF(SUMIF($AA$20:$AA$1027,$AA169,$AG$20:$AG$1027)&lt;IF($D$4="Forint",Paraméterek!$L$223,Paraméterek!$L$224),0,VLOOKUP($AA169,Paraméterek!$K$230:$M$250,IF(SUMIF($AA$20:$AA$1027,$AA169,$AG$20:$AG$1027)&lt;IF($D$4="Forint",Paraméterek!$M$223,Paraméterek!$M$224),2,3))),0)</f>
        <v>0</v>
      </c>
      <c r="AJ169" s="13">
        <f ca="1">IF(AND($AA169&gt;=5,MOD($AA169,5)=0),IF($AB169=12,VLOOKUP($AA169,Paraméterek!$O$225:$P$240,2),0),IF(OR($AA169=3,$AA169=4),IF($AB169=12,VLOOKUP($AA169,Paraméterek!$O$225:$P$240,2,0),0),0))*$AG169</f>
        <v>0</v>
      </c>
      <c r="AK169" s="13">
        <f t="shared" ca="1" si="53"/>
        <v>0</v>
      </c>
      <c r="AL169" s="13">
        <f t="shared" ca="1" si="61"/>
        <v>0</v>
      </c>
      <c r="AM169" s="13">
        <f t="shared" ca="1" si="62"/>
        <v>0</v>
      </c>
      <c r="AO169" s="32">
        <v>150</v>
      </c>
      <c r="AP169" s="32">
        <v>13</v>
      </c>
      <c r="AQ169" s="32">
        <v>6</v>
      </c>
      <c r="AR169" s="13"/>
      <c r="AS169" s="32"/>
      <c r="AT169" s="13">
        <f t="shared" ca="1" si="63"/>
        <v>0</v>
      </c>
      <c r="AU169" s="33"/>
      <c r="AV169" s="13">
        <f t="shared" ca="1" si="54"/>
        <v>0</v>
      </c>
      <c r="AW169" s="13">
        <f ca="1">ROUNDUP(($AT169+$AV169)*VLOOKUP($AP169,Paraméterek!$P$38:$Q$38,2)/12*IF($D170="Nem",IF($M$13=0,1,$M$13),1),IF($D$4="Forint",0,2))</f>
        <v>0</v>
      </c>
      <c r="AX169" s="13"/>
      <c r="AY169" s="13"/>
      <c r="AZ169" s="13">
        <f>ROUNDUP(IF(SUM($AX169:$AY169)=0,0,IF(IF(ISBLANK($AY169),$AX169,$AY169)*Paraméterek!$J$112&lt;IF($D$4="Forint",Paraméterek!$J$113,Paraméterek!$K$113),IF($D$4="Forint",Paraméterek!$J$113,Paraméterek!$K$113),IF(IF(ISBLANK($AY169),$AX169,$AY169)*Paraméterek!$J$112&gt;IF($D$4="Forint",Paraméterek!$J$114,Paraméterek!$K$114),IF($D$4="Forint",Paraméterek!$J$114,Paraméterek!$K$114),IF(ISBLANK($AY169),$AX169,$AY169)*Paraméterek!$J$112))),IF($D$4="Forint",0,2))</f>
        <v>0</v>
      </c>
      <c r="BA169" s="13">
        <f ca="1">$AT169+$AV169-$AW169-IF(ROUNDDOWN(IF(ISBLANK($AY169),$AX169,$AY169),IF($D$4="Forint",0,2))&gt;$AT169+$AV169-$AW169-IF($D$4="Forint",Paraméterek!$J$114,Paraméterek!$K$114),0,ROUNDDOWN(IF(ISBLANK($AY169),$AX169,$AY169),IF($D$4="Forint",0,2))-$AZ169)</f>
        <v>0</v>
      </c>
      <c r="BB169" s="13">
        <f t="shared" ca="1" si="55"/>
        <v>0</v>
      </c>
      <c r="BD169" s="32">
        <v>150</v>
      </c>
      <c r="BE169" s="32">
        <v>13</v>
      </c>
      <c r="BF169" s="32">
        <v>6</v>
      </c>
      <c r="BG169" s="34">
        <f t="shared" ca="1" si="64"/>
        <v>2031</v>
      </c>
      <c r="BH169" s="32" t="str">
        <f ca="1">IF(MOD(MONTH($D$14)+$BD169-1,12)=Paraméterek!$C$288,"Igen","")</f>
        <v/>
      </c>
      <c r="BI169" s="13">
        <f ca="1">IF($BH169="Igen",MIN(ROUNDDOWN((SUMIF($BG$20:$BG$1027,$BG169-1,$K$20:$K$1027)-SUMIF($BG$20:$BG$1027,$BG169-1,$I$20:$I$1027))*Paraméterek!$C$289,IF($D$4="Forint",0,2)),IF($D$4="Forint",Paraméterek!$C$285,Paraméterek!$D$285)),0)</f>
        <v>0</v>
      </c>
      <c r="BJ169" s="13">
        <f t="shared" ca="1" si="56"/>
        <v>0</v>
      </c>
      <c r="BK169" s="13">
        <f t="shared" ca="1" si="65"/>
        <v>0</v>
      </c>
      <c r="BL169" s="33"/>
      <c r="BM169" s="13">
        <f t="shared" ca="1" si="57"/>
        <v>0</v>
      </c>
      <c r="BN169" s="13">
        <f ca="1">ROUNDUP(($BK169+$BM169)*VLOOKUP($BE169,Paraméterek!$P$38:$Q$38,2)/12*IF($D170="Nem",IF($M$13=0,1,$M$13),1),IF($D$4="Forint",0,2))</f>
        <v>0</v>
      </c>
      <c r="BO169" s="13">
        <f t="shared" ca="1" si="58"/>
        <v>0</v>
      </c>
      <c r="BP169" s="13">
        <f ca="1">IF($D170="Nem",$BO169,$BO169-ROUNDUP(SUM($BI$20:$BI169)*120%,IF($D$4="Forint",0,2)))</f>
        <v>0</v>
      </c>
    </row>
    <row r="170" spans="1:68" x14ac:dyDescent="0.2">
      <c r="A170" s="32">
        <v>151</v>
      </c>
      <c r="B170" s="32">
        <v>13</v>
      </c>
      <c r="C170" s="32">
        <v>7</v>
      </c>
      <c r="D170" s="32" t="str">
        <f t="shared" ca="1" si="44"/>
        <v>Nem</v>
      </c>
      <c r="E170" s="13">
        <f t="shared" ca="1" si="45"/>
        <v>0</v>
      </c>
      <c r="F170" s="13"/>
      <c r="G170" s="13"/>
      <c r="H170" s="13"/>
      <c r="I170" s="13">
        <f t="shared" ca="1" si="46"/>
        <v>0</v>
      </c>
      <c r="J170" s="13">
        <f t="shared" ca="1" si="47"/>
        <v>0</v>
      </c>
      <c r="K170" s="13">
        <f t="shared" ca="1" si="48"/>
        <v>0</v>
      </c>
      <c r="L170" s="13" t="e">
        <f ca="1">ROUNDUP(IF($D$2="Egyszeri",$E170,IF($D$2="Havi",SUM($E$20:$E$31),IF(MOD($C170,$M$1)-1=0,SUM($E$20:$E$31),0))/12*$M$1)*VLOOKUP($B170,Paraméterek!$I$28:$P$31,IF($D$2="Egyszeri",8,HLOOKUP(ROUNDUP($M$11+$M$13,0),Paraméterek!$J$26:$O$27,2))),IF($D$4="Forint",0,2))</f>
        <v>#N/A</v>
      </c>
      <c r="M170" s="13">
        <f t="shared" ca="1" si="49"/>
        <v>0</v>
      </c>
      <c r="N170" s="13">
        <f t="shared" ca="1" si="59"/>
        <v>0</v>
      </c>
      <c r="O170" s="13">
        <f ca="1">IF($D170="Igen",IF($W169&gt;=IF($D$4="Forint",Paraméterek!$J$121,Paraméterek!$K$121),0,IF($D$4="Forint",Paraméterek!$J$121,Paraméterek!$K$121)-$W169),0)</f>
        <v>0</v>
      </c>
      <c r="P170" s="13" t="e">
        <f ca="1">ROUNDUP($O170*VLOOKUP($M$4+$B170-1,Paraméterek!$H$58:$I$105,2,0)/Paraméterek!$I$56,IF($D$4="Forint",0,2))</f>
        <v>#N/A</v>
      </c>
      <c r="Q170" s="13">
        <f t="shared" ca="1" si="50"/>
        <v>0</v>
      </c>
      <c r="R170" s="33"/>
      <c r="S170" s="13" t="e">
        <f t="shared" ca="1" si="51"/>
        <v>#N/A</v>
      </c>
      <c r="T170" s="13" t="e">
        <f ca="1">ROUNDUP(($N170-$P170-$Q170+$S170)*VLOOKUP($B170,Paraméterek!$I$38:$K$39,IF($D$2="Egyszeri",3,2))/12*IF($D171="Nem",IF($M$13=0,1,$M$13),1),IF($D$4="Forint",0,2))</f>
        <v>#N/A</v>
      </c>
      <c r="U170" s="13"/>
      <c r="V170" s="13"/>
      <c r="W170" s="13" t="e">
        <f ca="1">$N170-$P170-$Q170+$S170-$T170-IF(ROUNDUP(IF(ISBLANK($V170),$U170*0,$V170)/IF($D$2="Egyszeri",VLOOKUP($B170+IF($C170=12,1,0),Paraméterek!$V$257:$W$262,2),IF($B170=1,1,VLOOKUP($B170+IF($C170=12,1,0),Paraméterek!$I$258:$T$278,HLOOKUP($M$11+1,Paraméterek!$J$256:$T$257,2)))),IF($D$4="Forint",0,2))&gt;$N170-$P170-$Q170+$S170-$T170-IF($D$4="Forint",Paraméterek!$C$216,Paraméterek!$D$216),0,ROUNDUP(IF(ISBLANK($V170),$U170*0,$V170)/IF($D$2="Egyszeri",VLOOKUP($B170+IF($C170=12,1,0),Paraméterek!$V$257:$W$262,2),IF($B170=1,1,VLOOKUP($B170+IF($C170=12,1,0),Paraméterek!$I$258:$T$278,HLOOKUP($M$11+1,Paraméterek!$J$256:$T$257,2)))),IF($D$4="Forint",0,2)))</f>
        <v>#N/A</v>
      </c>
      <c r="X170" s="13" t="e">
        <f ca="1">ROUNDDOWN($W170*IF($D$2="Egyszeri",VLOOKUP($B170+IF($C170=12,1,0),Paraméterek!$V$257:$W$262,2),VLOOKUP($B170+IF($C170=12,1,0),Paraméterek!$I$258:$T$278,HLOOKUP($M$11+1,Paraméterek!$I$256:$T$257,2))),IF($D$4="Forint",0,2))</f>
        <v>#N/A</v>
      </c>
      <c r="Z170" s="32">
        <v>151</v>
      </c>
      <c r="AA170" s="32">
        <v>13</v>
      </c>
      <c r="AB170" s="32">
        <v>7</v>
      </c>
      <c r="AC170" s="13">
        <f t="shared" ca="1" si="60"/>
        <v>0</v>
      </c>
      <c r="AD170" s="33"/>
      <c r="AE170" s="13">
        <f t="shared" ca="1" si="52"/>
        <v>0</v>
      </c>
      <c r="AF170" s="13">
        <f ca="1">ROUNDUP(($AC170+$AE170)*VLOOKUP($AA170,Paraméterek!$P$38:$Q$38,2)/12*IF($D171="Nem",IF($M$13=0,1,$M$13),1),IF($D$4="Forint",0,2))</f>
        <v>0</v>
      </c>
      <c r="AG170" s="13">
        <f ca="1">IF($D$2="Egyszeri",IF($D$7&gt;=IF($D$4="Forint",Paraméterek!$P$223,Paraméterek!$P$224),$D$7-IF($D$4="Forint",Paraméterek!$P$223,Paraméterek!$P$224),0),MIN(IF($AB170=12,AVERAGEIF($E$20:$E170,"&gt;0",$E$20:$E170)*12,0),SUM($E$20:$E$31)))</f>
        <v>0</v>
      </c>
      <c r="AH170" s="13">
        <f>IF($AA170=10,$AG170*IF($AB170=12,IF($AG170&lt;IF($D$4="Forint",Paraméterek!$L$223,Paraméterek!$L$224),0,VLOOKUP($AA170,Paraméterek!$K$226:$M$228,IF($AG170&lt;IF($D$4="Forint",Paraméterek!$M$223,Paraméterek!$M$224),2,3))),0),0)</f>
        <v>0</v>
      </c>
      <c r="AI170" s="13">
        <f ca="1">IF(AND($AA170=$M$11+1,$AB170=$M$12+1),SUMIF($AA$20:$AA$1027,$AA170,$AG$20:$AG$1027)*IF(SUMIF($AA$20:$AA$1027,$AA170,$AG$20:$AG$1027)&lt;IF($D$4="Forint",Paraméterek!$L$223,Paraméterek!$L$224),0,VLOOKUP($AA170,Paraméterek!$K$230:$M$250,IF(SUMIF($AA$20:$AA$1027,$AA170,$AG$20:$AG$1027)&lt;IF($D$4="Forint",Paraméterek!$M$223,Paraméterek!$M$224),2,3))),0)</f>
        <v>0</v>
      </c>
      <c r="AJ170" s="13">
        <f ca="1">IF(AND($AA170&gt;=5,MOD($AA170,5)=0),IF($AB170=12,VLOOKUP($AA170,Paraméterek!$O$225:$P$240,2),0),IF(OR($AA170=3,$AA170=4),IF($AB170=12,VLOOKUP($AA170,Paraméterek!$O$225:$P$240,2,0),0),0))*$AG170</f>
        <v>0</v>
      </c>
      <c r="AK170" s="13">
        <f t="shared" ca="1" si="53"/>
        <v>0</v>
      </c>
      <c r="AL170" s="13">
        <f t="shared" ca="1" si="61"/>
        <v>0</v>
      </c>
      <c r="AM170" s="13">
        <f t="shared" ca="1" si="62"/>
        <v>0</v>
      </c>
      <c r="AO170" s="32">
        <v>151</v>
      </c>
      <c r="AP170" s="32">
        <v>13</v>
      </c>
      <c r="AQ170" s="32">
        <v>7</v>
      </c>
      <c r="AR170" s="13"/>
      <c r="AS170" s="32"/>
      <c r="AT170" s="13">
        <f t="shared" ca="1" si="63"/>
        <v>0</v>
      </c>
      <c r="AU170" s="33"/>
      <c r="AV170" s="13">
        <f t="shared" ca="1" si="54"/>
        <v>0</v>
      </c>
      <c r="AW170" s="13">
        <f ca="1">ROUNDUP(($AT170+$AV170)*VLOOKUP($AP170,Paraméterek!$P$38:$Q$38,2)/12*IF($D171="Nem",IF($M$13=0,1,$M$13),1),IF($D$4="Forint",0,2))</f>
        <v>0</v>
      </c>
      <c r="AX170" s="13"/>
      <c r="AY170" s="13"/>
      <c r="AZ170" s="13">
        <f>ROUNDUP(IF(SUM($AX170:$AY170)=0,0,IF(IF(ISBLANK($AY170),$AX170,$AY170)*Paraméterek!$J$112&lt;IF($D$4="Forint",Paraméterek!$J$113,Paraméterek!$K$113),IF($D$4="Forint",Paraméterek!$J$113,Paraméterek!$K$113),IF(IF(ISBLANK($AY170),$AX170,$AY170)*Paraméterek!$J$112&gt;IF($D$4="Forint",Paraméterek!$J$114,Paraméterek!$K$114),IF($D$4="Forint",Paraméterek!$J$114,Paraméterek!$K$114),IF(ISBLANK($AY170),$AX170,$AY170)*Paraméterek!$J$112))),IF($D$4="Forint",0,2))</f>
        <v>0</v>
      </c>
      <c r="BA170" s="13">
        <f ca="1">$AT170+$AV170-$AW170-IF(ROUNDDOWN(IF(ISBLANK($AY170),$AX170,$AY170),IF($D$4="Forint",0,2))&gt;$AT170+$AV170-$AW170-IF($D$4="Forint",Paraméterek!$J$114,Paraméterek!$K$114),0,ROUNDDOWN(IF(ISBLANK($AY170),$AX170,$AY170),IF($D$4="Forint",0,2))-$AZ170)</f>
        <v>0</v>
      </c>
      <c r="BB170" s="13">
        <f t="shared" ca="1" si="55"/>
        <v>0</v>
      </c>
      <c r="BD170" s="32">
        <v>151</v>
      </c>
      <c r="BE170" s="32">
        <v>13</v>
      </c>
      <c r="BF170" s="32">
        <v>7</v>
      </c>
      <c r="BG170" s="34">
        <f t="shared" ca="1" si="64"/>
        <v>2031</v>
      </c>
      <c r="BH170" s="32" t="str">
        <f ca="1">IF(MOD(MONTH($D$14)+$BD170-1,12)=Paraméterek!$C$288,"Igen","")</f>
        <v/>
      </c>
      <c r="BI170" s="13">
        <f ca="1">IF($BH170="Igen",MIN(ROUNDDOWN((SUMIF($BG$20:$BG$1027,$BG170-1,$K$20:$K$1027)-SUMIF($BG$20:$BG$1027,$BG170-1,$I$20:$I$1027))*Paraméterek!$C$289,IF($D$4="Forint",0,2)),IF($D$4="Forint",Paraméterek!$C$285,Paraméterek!$D$285)),0)</f>
        <v>0</v>
      </c>
      <c r="BJ170" s="13">
        <f t="shared" ca="1" si="56"/>
        <v>0</v>
      </c>
      <c r="BK170" s="13">
        <f t="shared" ca="1" si="65"/>
        <v>0</v>
      </c>
      <c r="BL170" s="33"/>
      <c r="BM170" s="13">
        <f t="shared" ca="1" si="57"/>
        <v>0</v>
      </c>
      <c r="BN170" s="13">
        <f ca="1">ROUNDUP(($BK170+$BM170)*VLOOKUP($BE170,Paraméterek!$P$38:$Q$38,2)/12*IF($D171="Nem",IF($M$13=0,1,$M$13),1),IF($D$4="Forint",0,2))</f>
        <v>0</v>
      </c>
      <c r="BO170" s="13">
        <f t="shared" ca="1" si="58"/>
        <v>0</v>
      </c>
      <c r="BP170" s="13">
        <f ca="1">IF($D171="Nem",$BO170,$BO170-ROUNDUP(SUM($BI$20:$BI170)*120%,IF($D$4="Forint",0,2)))</f>
        <v>0</v>
      </c>
    </row>
    <row r="171" spans="1:68" x14ac:dyDescent="0.2">
      <c r="A171" s="32">
        <v>152</v>
      </c>
      <c r="B171" s="32">
        <v>13</v>
      </c>
      <c r="C171" s="32">
        <v>8</v>
      </c>
      <c r="D171" s="32" t="str">
        <f t="shared" ca="1" si="44"/>
        <v>Nem</v>
      </c>
      <c r="E171" s="13">
        <f t="shared" ca="1" si="45"/>
        <v>0</v>
      </c>
      <c r="F171" s="13"/>
      <c r="G171" s="13"/>
      <c r="H171" s="13"/>
      <c r="I171" s="13">
        <f t="shared" ca="1" si="46"/>
        <v>0</v>
      </c>
      <c r="J171" s="13">
        <f t="shared" ca="1" si="47"/>
        <v>0</v>
      </c>
      <c r="K171" s="13">
        <f t="shared" ca="1" si="48"/>
        <v>0</v>
      </c>
      <c r="L171" s="13" t="e">
        <f ca="1">ROUNDUP(IF($D$2="Egyszeri",$E171,IF($D$2="Havi",SUM($E$20:$E$31),IF(MOD($C171,$M$1)-1=0,SUM($E$20:$E$31),0))/12*$M$1)*VLOOKUP($B171,Paraméterek!$I$28:$P$31,IF($D$2="Egyszeri",8,HLOOKUP(ROUNDUP($M$11+$M$13,0),Paraméterek!$J$26:$O$27,2))),IF($D$4="Forint",0,2))</f>
        <v>#N/A</v>
      </c>
      <c r="M171" s="13">
        <f t="shared" ca="1" si="49"/>
        <v>0</v>
      </c>
      <c r="N171" s="13">
        <f t="shared" ca="1" si="59"/>
        <v>0</v>
      </c>
      <c r="O171" s="13">
        <f ca="1">IF($D171="Igen",IF($W170&gt;=IF($D$4="Forint",Paraméterek!$J$121,Paraméterek!$K$121),0,IF($D$4="Forint",Paraméterek!$J$121,Paraméterek!$K$121)-$W170),0)</f>
        <v>0</v>
      </c>
      <c r="P171" s="13" t="e">
        <f ca="1">ROUNDUP($O171*VLOOKUP($M$4+$B171-1,Paraméterek!$H$58:$I$105,2,0)/Paraméterek!$I$56,IF($D$4="Forint",0,2))</f>
        <v>#N/A</v>
      </c>
      <c r="Q171" s="13">
        <f t="shared" ca="1" si="50"/>
        <v>0</v>
      </c>
      <c r="R171" s="33"/>
      <c r="S171" s="13" t="e">
        <f t="shared" ca="1" si="51"/>
        <v>#N/A</v>
      </c>
      <c r="T171" s="13" t="e">
        <f ca="1">ROUNDUP(($N171-$P171-$Q171+$S171)*VLOOKUP($B171,Paraméterek!$I$38:$K$39,IF($D$2="Egyszeri",3,2))/12*IF($D172="Nem",IF($M$13=0,1,$M$13),1),IF($D$4="Forint",0,2))</f>
        <v>#N/A</v>
      </c>
      <c r="U171" s="13"/>
      <c r="V171" s="13"/>
      <c r="W171" s="13" t="e">
        <f ca="1">$N171-$P171-$Q171+$S171-$T171-IF(ROUNDUP(IF(ISBLANK($V171),$U171*0,$V171)/IF($D$2="Egyszeri",VLOOKUP($B171+IF($C171=12,1,0),Paraméterek!$V$257:$W$262,2),IF($B171=1,1,VLOOKUP($B171+IF($C171=12,1,0),Paraméterek!$I$258:$T$278,HLOOKUP($M$11+1,Paraméterek!$J$256:$T$257,2)))),IF($D$4="Forint",0,2))&gt;$N171-$P171-$Q171+$S171-$T171-IF($D$4="Forint",Paraméterek!$C$216,Paraméterek!$D$216),0,ROUNDUP(IF(ISBLANK($V171),$U171*0,$V171)/IF($D$2="Egyszeri",VLOOKUP($B171+IF($C171=12,1,0),Paraméterek!$V$257:$W$262,2),IF($B171=1,1,VLOOKUP($B171+IF($C171=12,1,0),Paraméterek!$I$258:$T$278,HLOOKUP($M$11+1,Paraméterek!$J$256:$T$257,2)))),IF($D$4="Forint",0,2)))</f>
        <v>#N/A</v>
      </c>
      <c r="X171" s="13" t="e">
        <f ca="1">ROUNDDOWN($W171*IF($D$2="Egyszeri",VLOOKUP($B171+IF($C171=12,1,0),Paraméterek!$V$257:$W$262,2),VLOOKUP($B171+IF($C171=12,1,0),Paraméterek!$I$258:$T$278,HLOOKUP($M$11+1,Paraméterek!$I$256:$T$257,2))),IF($D$4="Forint",0,2))</f>
        <v>#N/A</v>
      </c>
      <c r="Z171" s="32">
        <v>152</v>
      </c>
      <c r="AA171" s="32">
        <v>13</v>
      </c>
      <c r="AB171" s="32">
        <v>8</v>
      </c>
      <c r="AC171" s="13">
        <f t="shared" ca="1" si="60"/>
        <v>0</v>
      </c>
      <c r="AD171" s="33"/>
      <c r="AE171" s="13">
        <f t="shared" ca="1" si="52"/>
        <v>0</v>
      </c>
      <c r="AF171" s="13">
        <f ca="1">ROUNDUP(($AC171+$AE171)*VLOOKUP($AA171,Paraméterek!$P$38:$Q$38,2)/12*IF($D172="Nem",IF($M$13=0,1,$M$13),1),IF($D$4="Forint",0,2))</f>
        <v>0</v>
      </c>
      <c r="AG171" s="13">
        <f ca="1">IF($D$2="Egyszeri",IF($D$7&gt;=IF($D$4="Forint",Paraméterek!$P$223,Paraméterek!$P$224),$D$7-IF($D$4="Forint",Paraméterek!$P$223,Paraméterek!$P$224),0),MIN(IF($AB171=12,AVERAGEIF($E$20:$E171,"&gt;0",$E$20:$E171)*12,0),SUM($E$20:$E$31)))</f>
        <v>0</v>
      </c>
      <c r="AH171" s="13">
        <f>IF($AA171=10,$AG171*IF($AB171=12,IF($AG171&lt;IF($D$4="Forint",Paraméterek!$L$223,Paraméterek!$L$224),0,VLOOKUP($AA171,Paraméterek!$K$226:$M$228,IF($AG171&lt;IF($D$4="Forint",Paraméterek!$M$223,Paraméterek!$M$224),2,3))),0),0)</f>
        <v>0</v>
      </c>
      <c r="AI171" s="13">
        <f ca="1">IF(AND($AA171=$M$11+1,$AB171=$M$12+1),SUMIF($AA$20:$AA$1027,$AA171,$AG$20:$AG$1027)*IF(SUMIF($AA$20:$AA$1027,$AA171,$AG$20:$AG$1027)&lt;IF($D$4="Forint",Paraméterek!$L$223,Paraméterek!$L$224),0,VLOOKUP($AA171,Paraméterek!$K$230:$M$250,IF(SUMIF($AA$20:$AA$1027,$AA171,$AG$20:$AG$1027)&lt;IF($D$4="Forint",Paraméterek!$M$223,Paraméterek!$M$224),2,3))),0)</f>
        <v>0</v>
      </c>
      <c r="AJ171" s="13">
        <f ca="1">IF(AND($AA171&gt;=5,MOD($AA171,5)=0),IF($AB171=12,VLOOKUP($AA171,Paraméterek!$O$225:$P$240,2),0),IF(OR($AA171=3,$AA171=4),IF($AB171=12,VLOOKUP($AA171,Paraméterek!$O$225:$P$240,2,0),0),0))*$AG171</f>
        <v>0</v>
      </c>
      <c r="AK171" s="13">
        <f t="shared" ca="1" si="53"/>
        <v>0</v>
      </c>
      <c r="AL171" s="13">
        <f t="shared" ca="1" si="61"/>
        <v>0</v>
      </c>
      <c r="AM171" s="13">
        <f t="shared" ca="1" si="62"/>
        <v>0</v>
      </c>
      <c r="AO171" s="32">
        <v>152</v>
      </c>
      <c r="AP171" s="32">
        <v>13</v>
      </c>
      <c r="AQ171" s="32">
        <v>8</v>
      </c>
      <c r="AR171" s="13"/>
      <c r="AS171" s="32"/>
      <c r="AT171" s="13">
        <f t="shared" ca="1" si="63"/>
        <v>0</v>
      </c>
      <c r="AU171" s="33"/>
      <c r="AV171" s="13">
        <f t="shared" ca="1" si="54"/>
        <v>0</v>
      </c>
      <c r="AW171" s="13">
        <f ca="1">ROUNDUP(($AT171+$AV171)*VLOOKUP($AP171,Paraméterek!$P$38:$Q$38,2)/12*IF($D172="Nem",IF($M$13=0,1,$M$13),1),IF($D$4="Forint",0,2))</f>
        <v>0</v>
      </c>
      <c r="AX171" s="13"/>
      <c r="AY171" s="13"/>
      <c r="AZ171" s="13">
        <f>ROUNDUP(IF(SUM($AX171:$AY171)=0,0,IF(IF(ISBLANK($AY171),$AX171,$AY171)*Paraméterek!$J$112&lt;IF($D$4="Forint",Paraméterek!$J$113,Paraméterek!$K$113),IF($D$4="Forint",Paraméterek!$J$113,Paraméterek!$K$113),IF(IF(ISBLANK($AY171),$AX171,$AY171)*Paraméterek!$J$112&gt;IF($D$4="Forint",Paraméterek!$J$114,Paraméterek!$K$114),IF($D$4="Forint",Paraméterek!$J$114,Paraméterek!$K$114),IF(ISBLANK($AY171),$AX171,$AY171)*Paraméterek!$J$112))),IF($D$4="Forint",0,2))</f>
        <v>0</v>
      </c>
      <c r="BA171" s="13">
        <f ca="1">$AT171+$AV171-$AW171-IF(ROUNDDOWN(IF(ISBLANK($AY171),$AX171,$AY171),IF($D$4="Forint",0,2))&gt;$AT171+$AV171-$AW171-IF($D$4="Forint",Paraméterek!$J$114,Paraméterek!$K$114),0,ROUNDDOWN(IF(ISBLANK($AY171),$AX171,$AY171),IF($D$4="Forint",0,2))-$AZ171)</f>
        <v>0</v>
      </c>
      <c r="BB171" s="13">
        <f t="shared" ca="1" si="55"/>
        <v>0</v>
      </c>
      <c r="BD171" s="32">
        <v>152</v>
      </c>
      <c r="BE171" s="32">
        <v>13</v>
      </c>
      <c r="BF171" s="32">
        <v>8</v>
      </c>
      <c r="BG171" s="34">
        <f t="shared" ca="1" si="64"/>
        <v>2032</v>
      </c>
      <c r="BH171" s="32" t="str">
        <f ca="1">IF(MOD(MONTH($D$14)+$BD171-1,12)=Paraméterek!$C$288,"Igen","")</f>
        <v/>
      </c>
      <c r="BI171" s="13">
        <f ca="1">IF($BH171="Igen",MIN(ROUNDDOWN((SUMIF($BG$20:$BG$1027,$BG171-1,$K$20:$K$1027)-SUMIF($BG$20:$BG$1027,$BG171-1,$I$20:$I$1027))*Paraméterek!$C$289,IF($D$4="Forint",0,2)),IF($D$4="Forint",Paraméterek!$C$285,Paraméterek!$D$285)),0)</f>
        <v>0</v>
      </c>
      <c r="BJ171" s="13">
        <f t="shared" ca="1" si="56"/>
        <v>0</v>
      </c>
      <c r="BK171" s="13">
        <f t="shared" ca="1" si="65"/>
        <v>0</v>
      </c>
      <c r="BL171" s="33"/>
      <c r="BM171" s="13">
        <f t="shared" ca="1" si="57"/>
        <v>0</v>
      </c>
      <c r="BN171" s="13">
        <f ca="1">ROUNDUP(($BK171+$BM171)*VLOOKUP($BE171,Paraméterek!$P$38:$Q$38,2)/12*IF($D172="Nem",IF($M$13=0,1,$M$13),1),IF($D$4="Forint",0,2))</f>
        <v>0</v>
      </c>
      <c r="BO171" s="13">
        <f t="shared" ca="1" si="58"/>
        <v>0</v>
      </c>
      <c r="BP171" s="13">
        <f ca="1">IF($D172="Nem",$BO171,$BO171-ROUNDUP(SUM($BI$20:$BI171)*120%,IF($D$4="Forint",0,2)))</f>
        <v>0</v>
      </c>
    </row>
    <row r="172" spans="1:68" x14ac:dyDescent="0.2">
      <c r="A172" s="32">
        <v>153</v>
      </c>
      <c r="B172" s="32">
        <v>13</v>
      </c>
      <c r="C172" s="32">
        <v>9</v>
      </c>
      <c r="D172" s="32" t="str">
        <f t="shared" ca="1" si="44"/>
        <v>Nem</v>
      </c>
      <c r="E172" s="13">
        <f t="shared" ca="1" si="45"/>
        <v>0</v>
      </c>
      <c r="F172" s="13"/>
      <c r="G172" s="13"/>
      <c r="H172" s="13"/>
      <c r="I172" s="13">
        <f t="shared" ca="1" si="46"/>
        <v>0</v>
      </c>
      <c r="J172" s="13">
        <f t="shared" ca="1" si="47"/>
        <v>0</v>
      </c>
      <c r="K172" s="13">
        <f t="shared" ca="1" si="48"/>
        <v>0</v>
      </c>
      <c r="L172" s="13" t="e">
        <f ca="1">ROUNDUP(IF($D$2="Egyszeri",$E172,IF($D$2="Havi",SUM($E$20:$E$31),IF(MOD($C172,$M$1)-1=0,SUM($E$20:$E$31),0))/12*$M$1)*VLOOKUP($B172,Paraméterek!$I$28:$P$31,IF($D$2="Egyszeri",8,HLOOKUP(ROUNDUP($M$11+$M$13,0),Paraméterek!$J$26:$O$27,2))),IF($D$4="Forint",0,2))</f>
        <v>#N/A</v>
      </c>
      <c r="M172" s="13">
        <f t="shared" ca="1" si="49"/>
        <v>0</v>
      </c>
      <c r="N172" s="13">
        <f t="shared" ca="1" si="59"/>
        <v>0</v>
      </c>
      <c r="O172" s="13">
        <f ca="1">IF($D172="Igen",IF($W171&gt;=IF($D$4="Forint",Paraméterek!$J$121,Paraméterek!$K$121),0,IF($D$4="Forint",Paraméterek!$J$121,Paraméterek!$K$121)-$W171),0)</f>
        <v>0</v>
      </c>
      <c r="P172" s="13" t="e">
        <f ca="1">ROUNDUP($O172*VLOOKUP($M$4+$B172-1,Paraméterek!$H$58:$I$105,2,0)/Paraméterek!$I$56,IF($D$4="Forint",0,2))</f>
        <v>#N/A</v>
      </c>
      <c r="Q172" s="13">
        <f t="shared" ca="1" si="50"/>
        <v>0</v>
      </c>
      <c r="R172" s="33"/>
      <c r="S172" s="13" t="e">
        <f t="shared" ca="1" si="51"/>
        <v>#N/A</v>
      </c>
      <c r="T172" s="13" t="e">
        <f ca="1">ROUNDUP(($N172-$P172-$Q172+$S172)*VLOOKUP($B172,Paraméterek!$I$38:$K$39,IF($D$2="Egyszeri",3,2))/12*IF($D173="Nem",IF($M$13=0,1,$M$13),1),IF($D$4="Forint",0,2))</f>
        <v>#N/A</v>
      </c>
      <c r="U172" s="13"/>
      <c r="V172" s="13"/>
      <c r="W172" s="13" t="e">
        <f ca="1">$N172-$P172-$Q172+$S172-$T172-IF(ROUNDUP(IF(ISBLANK($V172),$U172*0,$V172)/IF($D$2="Egyszeri",VLOOKUP($B172+IF($C172=12,1,0),Paraméterek!$V$257:$W$262,2),IF($B172=1,1,VLOOKUP($B172+IF($C172=12,1,0),Paraméterek!$I$258:$T$278,HLOOKUP($M$11+1,Paraméterek!$J$256:$T$257,2)))),IF($D$4="Forint",0,2))&gt;$N172-$P172-$Q172+$S172-$T172-IF($D$4="Forint",Paraméterek!$C$216,Paraméterek!$D$216),0,ROUNDUP(IF(ISBLANK($V172),$U172*0,$V172)/IF($D$2="Egyszeri",VLOOKUP($B172+IF($C172=12,1,0),Paraméterek!$V$257:$W$262,2),IF($B172=1,1,VLOOKUP($B172+IF($C172=12,1,0),Paraméterek!$I$258:$T$278,HLOOKUP($M$11+1,Paraméterek!$J$256:$T$257,2)))),IF($D$4="Forint",0,2)))</f>
        <v>#N/A</v>
      </c>
      <c r="X172" s="13" t="e">
        <f ca="1">ROUNDDOWN($W172*IF($D$2="Egyszeri",VLOOKUP($B172+IF($C172=12,1,0),Paraméterek!$V$257:$W$262,2),VLOOKUP($B172+IF($C172=12,1,0),Paraméterek!$I$258:$T$278,HLOOKUP($M$11+1,Paraméterek!$I$256:$T$257,2))),IF($D$4="Forint",0,2))</f>
        <v>#N/A</v>
      </c>
      <c r="Z172" s="32">
        <v>153</v>
      </c>
      <c r="AA172" s="32">
        <v>13</v>
      </c>
      <c r="AB172" s="32">
        <v>9</v>
      </c>
      <c r="AC172" s="13">
        <f t="shared" ca="1" si="60"/>
        <v>0</v>
      </c>
      <c r="AD172" s="33"/>
      <c r="AE172" s="13">
        <f t="shared" ca="1" si="52"/>
        <v>0</v>
      </c>
      <c r="AF172" s="13">
        <f ca="1">ROUNDUP(($AC172+$AE172)*VLOOKUP($AA172,Paraméterek!$P$38:$Q$38,2)/12*IF($D173="Nem",IF($M$13=0,1,$M$13),1),IF($D$4="Forint",0,2))</f>
        <v>0</v>
      </c>
      <c r="AG172" s="13">
        <f ca="1">IF($D$2="Egyszeri",IF($D$7&gt;=IF($D$4="Forint",Paraméterek!$P$223,Paraméterek!$P$224),$D$7-IF($D$4="Forint",Paraméterek!$P$223,Paraméterek!$P$224),0),MIN(IF($AB172=12,AVERAGEIF($E$20:$E172,"&gt;0",$E$20:$E172)*12,0),SUM($E$20:$E$31)))</f>
        <v>0</v>
      </c>
      <c r="AH172" s="13">
        <f>IF($AA172=10,$AG172*IF($AB172=12,IF($AG172&lt;IF($D$4="Forint",Paraméterek!$L$223,Paraméterek!$L$224),0,VLOOKUP($AA172,Paraméterek!$K$226:$M$228,IF($AG172&lt;IF($D$4="Forint",Paraméterek!$M$223,Paraméterek!$M$224),2,3))),0),0)</f>
        <v>0</v>
      </c>
      <c r="AI172" s="13">
        <f ca="1">IF(AND($AA172=$M$11+1,$AB172=$M$12+1),SUMIF($AA$20:$AA$1027,$AA172,$AG$20:$AG$1027)*IF(SUMIF($AA$20:$AA$1027,$AA172,$AG$20:$AG$1027)&lt;IF($D$4="Forint",Paraméterek!$L$223,Paraméterek!$L$224),0,VLOOKUP($AA172,Paraméterek!$K$230:$M$250,IF(SUMIF($AA$20:$AA$1027,$AA172,$AG$20:$AG$1027)&lt;IF($D$4="Forint",Paraméterek!$M$223,Paraméterek!$M$224),2,3))),0)</f>
        <v>0</v>
      </c>
      <c r="AJ172" s="13">
        <f ca="1">IF(AND($AA172&gt;=5,MOD($AA172,5)=0),IF($AB172=12,VLOOKUP($AA172,Paraméterek!$O$225:$P$240,2),0),IF(OR($AA172=3,$AA172=4),IF($AB172=12,VLOOKUP($AA172,Paraméterek!$O$225:$P$240,2,0),0),0))*$AG172</f>
        <v>0</v>
      </c>
      <c r="AK172" s="13">
        <f t="shared" ca="1" si="53"/>
        <v>0</v>
      </c>
      <c r="AL172" s="13">
        <f t="shared" ca="1" si="61"/>
        <v>0</v>
      </c>
      <c r="AM172" s="13">
        <f t="shared" ca="1" si="62"/>
        <v>0</v>
      </c>
      <c r="AO172" s="32">
        <v>153</v>
      </c>
      <c r="AP172" s="32">
        <v>13</v>
      </c>
      <c r="AQ172" s="32">
        <v>9</v>
      </c>
      <c r="AR172" s="13"/>
      <c r="AS172" s="32"/>
      <c r="AT172" s="13">
        <f t="shared" ca="1" si="63"/>
        <v>0</v>
      </c>
      <c r="AU172" s="33"/>
      <c r="AV172" s="13">
        <f t="shared" ca="1" si="54"/>
        <v>0</v>
      </c>
      <c r="AW172" s="13">
        <f ca="1">ROUNDUP(($AT172+$AV172)*VLOOKUP($AP172,Paraméterek!$P$38:$Q$38,2)/12*IF($D173="Nem",IF($M$13=0,1,$M$13),1),IF($D$4="Forint",0,2))</f>
        <v>0</v>
      </c>
      <c r="AX172" s="13"/>
      <c r="AY172" s="13"/>
      <c r="AZ172" s="13">
        <f>ROUNDUP(IF(SUM($AX172:$AY172)=0,0,IF(IF(ISBLANK($AY172),$AX172,$AY172)*Paraméterek!$J$112&lt;IF($D$4="Forint",Paraméterek!$J$113,Paraméterek!$K$113),IF($D$4="Forint",Paraméterek!$J$113,Paraméterek!$K$113),IF(IF(ISBLANK($AY172),$AX172,$AY172)*Paraméterek!$J$112&gt;IF($D$4="Forint",Paraméterek!$J$114,Paraméterek!$K$114),IF($D$4="Forint",Paraméterek!$J$114,Paraméterek!$K$114),IF(ISBLANK($AY172),$AX172,$AY172)*Paraméterek!$J$112))),IF($D$4="Forint",0,2))</f>
        <v>0</v>
      </c>
      <c r="BA172" s="13">
        <f ca="1">$AT172+$AV172-$AW172-IF(ROUNDDOWN(IF(ISBLANK($AY172),$AX172,$AY172),IF($D$4="Forint",0,2))&gt;$AT172+$AV172-$AW172-IF($D$4="Forint",Paraméterek!$J$114,Paraméterek!$K$114),0,ROUNDDOWN(IF(ISBLANK($AY172),$AX172,$AY172),IF($D$4="Forint",0,2))-$AZ172)</f>
        <v>0</v>
      </c>
      <c r="BB172" s="13">
        <f t="shared" ca="1" si="55"/>
        <v>0</v>
      </c>
      <c r="BD172" s="32">
        <v>153</v>
      </c>
      <c r="BE172" s="32">
        <v>13</v>
      </c>
      <c r="BF172" s="32">
        <v>9</v>
      </c>
      <c r="BG172" s="34">
        <f t="shared" ca="1" si="64"/>
        <v>2032</v>
      </c>
      <c r="BH172" s="32" t="str">
        <f ca="1">IF(MOD(MONTH($D$14)+$BD172-1,12)=Paraméterek!$C$288,"Igen","")</f>
        <v/>
      </c>
      <c r="BI172" s="13">
        <f ca="1">IF($BH172="Igen",MIN(ROUNDDOWN((SUMIF($BG$20:$BG$1027,$BG172-1,$K$20:$K$1027)-SUMIF($BG$20:$BG$1027,$BG172-1,$I$20:$I$1027))*Paraméterek!$C$289,IF($D$4="Forint",0,2)),IF($D$4="Forint",Paraméterek!$C$285,Paraméterek!$D$285)),0)</f>
        <v>0</v>
      </c>
      <c r="BJ172" s="13">
        <f t="shared" ca="1" si="56"/>
        <v>0</v>
      </c>
      <c r="BK172" s="13">
        <f t="shared" ca="1" si="65"/>
        <v>0</v>
      </c>
      <c r="BL172" s="33"/>
      <c r="BM172" s="13">
        <f t="shared" ca="1" si="57"/>
        <v>0</v>
      </c>
      <c r="BN172" s="13">
        <f ca="1">ROUNDUP(($BK172+$BM172)*VLOOKUP($BE172,Paraméterek!$P$38:$Q$38,2)/12*IF($D173="Nem",IF($M$13=0,1,$M$13),1),IF($D$4="Forint",0,2))</f>
        <v>0</v>
      </c>
      <c r="BO172" s="13">
        <f t="shared" ca="1" si="58"/>
        <v>0</v>
      </c>
      <c r="BP172" s="13">
        <f ca="1">IF($D173="Nem",$BO172,$BO172-ROUNDUP(SUM($BI$20:$BI172)*120%,IF($D$4="Forint",0,2)))</f>
        <v>0</v>
      </c>
    </row>
    <row r="173" spans="1:68" x14ac:dyDescent="0.2">
      <c r="A173" s="32">
        <v>154</v>
      </c>
      <c r="B173" s="32">
        <v>13</v>
      </c>
      <c r="C173" s="32">
        <v>10</v>
      </c>
      <c r="D173" s="32" t="str">
        <f t="shared" ca="1" si="44"/>
        <v>Nem</v>
      </c>
      <c r="E173" s="13">
        <f t="shared" ca="1" si="45"/>
        <v>0</v>
      </c>
      <c r="F173" s="13"/>
      <c r="G173" s="13"/>
      <c r="H173" s="13"/>
      <c r="I173" s="13">
        <f t="shared" ca="1" si="46"/>
        <v>0</v>
      </c>
      <c r="J173" s="13">
        <f t="shared" ca="1" si="47"/>
        <v>0</v>
      </c>
      <c r="K173" s="13">
        <f t="shared" ca="1" si="48"/>
        <v>0</v>
      </c>
      <c r="L173" s="13" t="e">
        <f ca="1">ROUNDUP(IF($D$2="Egyszeri",$E173,IF($D$2="Havi",SUM($E$20:$E$31),IF(MOD($C173,$M$1)-1=0,SUM($E$20:$E$31),0))/12*$M$1)*VLOOKUP($B173,Paraméterek!$I$28:$P$31,IF($D$2="Egyszeri",8,HLOOKUP(ROUNDUP($M$11+$M$13,0),Paraméterek!$J$26:$O$27,2))),IF($D$4="Forint",0,2))</f>
        <v>#N/A</v>
      </c>
      <c r="M173" s="13">
        <f t="shared" ca="1" si="49"/>
        <v>0</v>
      </c>
      <c r="N173" s="13">
        <f t="shared" ca="1" si="59"/>
        <v>0</v>
      </c>
      <c r="O173" s="13">
        <f ca="1">IF($D173="Igen",IF($W172&gt;=IF($D$4="Forint",Paraméterek!$J$121,Paraméterek!$K$121),0,IF($D$4="Forint",Paraméterek!$J$121,Paraméterek!$K$121)-$W172),0)</f>
        <v>0</v>
      </c>
      <c r="P173" s="13" t="e">
        <f ca="1">ROUNDUP($O173*VLOOKUP($M$4+$B173-1,Paraméterek!$H$58:$I$105,2,0)/Paraméterek!$I$56,IF($D$4="Forint",0,2))</f>
        <v>#N/A</v>
      </c>
      <c r="Q173" s="13">
        <f t="shared" ca="1" si="50"/>
        <v>0</v>
      </c>
      <c r="R173" s="33"/>
      <c r="S173" s="13" t="e">
        <f t="shared" ca="1" si="51"/>
        <v>#N/A</v>
      </c>
      <c r="T173" s="13" t="e">
        <f ca="1">ROUNDUP(($N173-$P173-$Q173+$S173)*VLOOKUP($B173,Paraméterek!$I$38:$K$39,IF($D$2="Egyszeri",3,2))/12*IF($D174="Nem",IF($M$13=0,1,$M$13),1),IF($D$4="Forint",0,2))</f>
        <v>#N/A</v>
      </c>
      <c r="U173" s="13"/>
      <c r="V173" s="13"/>
      <c r="W173" s="13" t="e">
        <f ca="1">$N173-$P173-$Q173+$S173-$T173-IF(ROUNDUP(IF(ISBLANK($V173),$U173*0,$V173)/IF($D$2="Egyszeri",VLOOKUP($B173+IF($C173=12,1,0),Paraméterek!$V$257:$W$262,2),IF($B173=1,1,VLOOKUP($B173+IF($C173=12,1,0),Paraméterek!$I$258:$T$278,HLOOKUP($M$11+1,Paraméterek!$J$256:$T$257,2)))),IF($D$4="Forint",0,2))&gt;$N173-$P173-$Q173+$S173-$T173-IF($D$4="Forint",Paraméterek!$C$216,Paraméterek!$D$216),0,ROUNDUP(IF(ISBLANK($V173),$U173*0,$V173)/IF($D$2="Egyszeri",VLOOKUP($B173+IF($C173=12,1,0),Paraméterek!$V$257:$W$262,2),IF($B173=1,1,VLOOKUP($B173+IF($C173=12,1,0),Paraméterek!$I$258:$T$278,HLOOKUP($M$11+1,Paraméterek!$J$256:$T$257,2)))),IF($D$4="Forint",0,2)))</f>
        <v>#N/A</v>
      </c>
      <c r="X173" s="13" t="e">
        <f ca="1">ROUNDDOWN($W173*IF($D$2="Egyszeri",VLOOKUP($B173+IF($C173=12,1,0),Paraméterek!$V$257:$W$262,2),VLOOKUP($B173+IF($C173=12,1,0),Paraméterek!$I$258:$T$278,HLOOKUP($M$11+1,Paraméterek!$I$256:$T$257,2))),IF($D$4="Forint",0,2))</f>
        <v>#N/A</v>
      </c>
      <c r="Z173" s="32">
        <v>154</v>
      </c>
      <c r="AA173" s="32">
        <v>13</v>
      </c>
      <c r="AB173" s="32">
        <v>10</v>
      </c>
      <c r="AC173" s="13">
        <f t="shared" ca="1" si="60"/>
        <v>0</v>
      </c>
      <c r="AD173" s="33"/>
      <c r="AE173" s="13">
        <f t="shared" ca="1" si="52"/>
        <v>0</v>
      </c>
      <c r="AF173" s="13">
        <f ca="1">ROUNDUP(($AC173+$AE173)*VLOOKUP($AA173,Paraméterek!$P$38:$Q$38,2)/12*IF($D174="Nem",IF($M$13=0,1,$M$13),1),IF($D$4="Forint",0,2))</f>
        <v>0</v>
      </c>
      <c r="AG173" s="13">
        <f ca="1">IF($D$2="Egyszeri",IF($D$7&gt;=IF($D$4="Forint",Paraméterek!$P$223,Paraméterek!$P$224),$D$7-IF($D$4="Forint",Paraméterek!$P$223,Paraméterek!$P$224),0),MIN(IF($AB173=12,AVERAGEIF($E$20:$E173,"&gt;0",$E$20:$E173)*12,0),SUM($E$20:$E$31)))</f>
        <v>0</v>
      </c>
      <c r="AH173" s="13">
        <f>IF($AA173=10,$AG173*IF($AB173=12,IF($AG173&lt;IF($D$4="Forint",Paraméterek!$L$223,Paraméterek!$L$224),0,VLOOKUP($AA173,Paraméterek!$K$226:$M$228,IF($AG173&lt;IF($D$4="Forint",Paraméterek!$M$223,Paraméterek!$M$224),2,3))),0),0)</f>
        <v>0</v>
      </c>
      <c r="AI173" s="13">
        <f ca="1">IF(AND($AA173=$M$11+1,$AB173=$M$12+1),SUMIF($AA$20:$AA$1027,$AA173,$AG$20:$AG$1027)*IF(SUMIF($AA$20:$AA$1027,$AA173,$AG$20:$AG$1027)&lt;IF($D$4="Forint",Paraméterek!$L$223,Paraméterek!$L$224),0,VLOOKUP($AA173,Paraméterek!$K$230:$M$250,IF(SUMIF($AA$20:$AA$1027,$AA173,$AG$20:$AG$1027)&lt;IF($D$4="Forint",Paraméterek!$M$223,Paraméterek!$M$224),2,3))),0)</f>
        <v>0</v>
      </c>
      <c r="AJ173" s="13">
        <f ca="1">IF(AND($AA173&gt;=5,MOD($AA173,5)=0),IF($AB173=12,VLOOKUP($AA173,Paraméterek!$O$225:$P$240,2),0),IF(OR($AA173=3,$AA173=4),IF($AB173=12,VLOOKUP($AA173,Paraméterek!$O$225:$P$240,2,0),0),0))*$AG173</f>
        <v>0</v>
      </c>
      <c r="AK173" s="13">
        <f t="shared" ca="1" si="53"/>
        <v>0</v>
      </c>
      <c r="AL173" s="13">
        <f t="shared" ca="1" si="61"/>
        <v>0</v>
      </c>
      <c r="AM173" s="13">
        <f t="shared" ca="1" si="62"/>
        <v>0</v>
      </c>
      <c r="AO173" s="32">
        <v>154</v>
      </c>
      <c r="AP173" s="32">
        <v>13</v>
      </c>
      <c r="AQ173" s="32">
        <v>10</v>
      </c>
      <c r="AR173" s="13"/>
      <c r="AS173" s="32"/>
      <c r="AT173" s="13">
        <f t="shared" ca="1" si="63"/>
        <v>0</v>
      </c>
      <c r="AU173" s="33"/>
      <c r="AV173" s="13">
        <f t="shared" ca="1" si="54"/>
        <v>0</v>
      </c>
      <c r="AW173" s="13">
        <f ca="1">ROUNDUP(($AT173+$AV173)*VLOOKUP($AP173,Paraméterek!$P$38:$Q$38,2)/12*IF($D174="Nem",IF($M$13=0,1,$M$13),1),IF($D$4="Forint",0,2))</f>
        <v>0</v>
      </c>
      <c r="AX173" s="13"/>
      <c r="AY173" s="13"/>
      <c r="AZ173" s="13">
        <f>ROUNDUP(IF(SUM($AX173:$AY173)=0,0,IF(IF(ISBLANK($AY173),$AX173,$AY173)*Paraméterek!$J$112&lt;IF($D$4="Forint",Paraméterek!$J$113,Paraméterek!$K$113),IF($D$4="Forint",Paraméterek!$J$113,Paraméterek!$K$113),IF(IF(ISBLANK($AY173),$AX173,$AY173)*Paraméterek!$J$112&gt;IF($D$4="Forint",Paraméterek!$J$114,Paraméterek!$K$114),IF($D$4="Forint",Paraméterek!$J$114,Paraméterek!$K$114),IF(ISBLANK($AY173),$AX173,$AY173)*Paraméterek!$J$112))),IF($D$4="Forint",0,2))</f>
        <v>0</v>
      </c>
      <c r="BA173" s="13">
        <f ca="1">$AT173+$AV173-$AW173-IF(ROUNDDOWN(IF(ISBLANK($AY173),$AX173,$AY173),IF($D$4="Forint",0,2))&gt;$AT173+$AV173-$AW173-IF($D$4="Forint",Paraméterek!$J$114,Paraméterek!$K$114),0,ROUNDDOWN(IF(ISBLANK($AY173),$AX173,$AY173),IF($D$4="Forint",0,2))-$AZ173)</f>
        <v>0</v>
      </c>
      <c r="BB173" s="13">
        <f t="shared" ca="1" si="55"/>
        <v>0</v>
      </c>
      <c r="BD173" s="32">
        <v>154</v>
      </c>
      <c r="BE173" s="32">
        <v>13</v>
      </c>
      <c r="BF173" s="32">
        <v>10</v>
      </c>
      <c r="BG173" s="34">
        <f t="shared" ca="1" si="64"/>
        <v>2032</v>
      </c>
      <c r="BH173" s="32" t="str">
        <f ca="1">IF(MOD(MONTH($D$14)+$BD173-1,12)=Paraméterek!$C$288,"Igen","")</f>
        <v/>
      </c>
      <c r="BI173" s="13">
        <f ca="1">IF($BH173="Igen",MIN(ROUNDDOWN((SUMIF($BG$20:$BG$1027,$BG173-1,$K$20:$K$1027)-SUMIF($BG$20:$BG$1027,$BG173-1,$I$20:$I$1027))*Paraméterek!$C$289,IF($D$4="Forint",0,2)),IF($D$4="Forint",Paraméterek!$C$285,Paraméterek!$D$285)),0)</f>
        <v>0</v>
      </c>
      <c r="BJ173" s="13">
        <f t="shared" ca="1" si="56"/>
        <v>0</v>
      </c>
      <c r="BK173" s="13">
        <f t="shared" ca="1" si="65"/>
        <v>0</v>
      </c>
      <c r="BL173" s="33"/>
      <c r="BM173" s="13">
        <f t="shared" ca="1" si="57"/>
        <v>0</v>
      </c>
      <c r="BN173" s="13">
        <f ca="1">ROUNDUP(($BK173+$BM173)*VLOOKUP($BE173,Paraméterek!$P$38:$Q$38,2)/12*IF($D174="Nem",IF($M$13=0,1,$M$13),1),IF($D$4="Forint",0,2))</f>
        <v>0</v>
      </c>
      <c r="BO173" s="13">
        <f t="shared" ca="1" si="58"/>
        <v>0</v>
      </c>
      <c r="BP173" s="13">
        <f ca="1">IF($D174="Nem",$BO173,$BO173-ROUNDUP(SUM($BI$20:$BI173)*120%,IF($D$4="Forint",0,2)))</f>
        <v>0</v>
      </c>
    </row>
    <row r="174" spans="1:68" x14ac:dyDescent="0.2">
      <c r="A174" s="32">
        <v>155</v>
      </c>
      <c r="B174" s="32">
        <v>13</v>
      </c>
      <c r="C174" s="32">
        <v>11</v>
      </c>
      <c r="D174" s="32" t="str">
        <f t="shared" ca="1" si="44"/>
        <v>Nem</v>
      </c>
      <c r="E174" s="13">
        <f t="shared" ca="1" si="45"/>
        <v>0</v>
      </c>
      <c r="F174" s="13"/>
      <c r="G174" s="13"/>
      <c r="H174" s="13"/>
      <c r="I174" s="13">
        <f t="shared" ca="1" si="46"/>
        <v>0</v>
      </c>
      <c r="J174" s="13">
        <f t="shared" ca="1" si="47"/>
        <v>0</v>
      </c>
      <c r="K174" s="13">
        <f t="shared" ca="1" si="48"/>
        <v>0</v>
      </c>
      <c r="L174" s="13" t="e">
        <f ca="1">ROUNDUP(IF($D$2="Egyszeri",$E174,IF($D$2="Havi",SUM($E$20:$E$31),IF(MOD($C174,$M$1)-1=0,SUM($E$20:$E$31),0))/12*$M$1)*VLOOKUP($B174,Paraméterek!$I$28:$P$31,IF($D$2="Egyszeri",8,HLOOKUP(ROUNDUP($M$11+$M$13,0),Paraméterek!$J$26:$O$27,2))),IF($D$4="Forint",0,2))</f>
        <v>#N/A</v>
      </c>
      <c r="M174" s="13">
        <f t="shared" ca="1" si="49"/>
        <v>0</v>
      </c>
      <c r="N174" s="13">
        <f t="shared" ca="1" si="59"/>
        <v>0</v>
      </c>
      <c r="O174" s="13">
        <f ca="1">IF($D174="Igen",IF($W173&gt;=IF($D$4="Forint",Paraméterek!$J$121,Paraméterek!$K$121),0,IF($D$4="Forint",Paraméterek!$J$121,Paraméterek!$K$121)-$W173),0)</f>
        <v>0</v>
      </c>
      <c r="P174" s="13" t="e">
        <f ca="1">ROUNDUP($O174*VLOOKUP($M$4+$B174-1,Paraméterek!$H$58:$I$105,2,0)/Paraméterek!$I$56,IF($D$4="Forint",0,2))</f>
        <v>#N/A</v>
      </c>
      <c r="Q174" s="13">
        <f t="shared" ca="1" si="50"/>
        <v>0</v>
      </c>
      <c r="R174" s="33"/>
      <c r="S174" s="13" t="e">
        <f t="shared" ca="1" si="51"/>
        <v>#N/A</v>
      </c>
      <c r="T174" s="13" t="e">
        <f ca="1">ROUNDUP(($N174-$P174-$Q174+$S174)*VLOOKUP($B174,Paraméterek!$I$38:$K$39,IF($D$2="Egyszeri",3,2))/12*IF($D175="Nem",IF($M$13=0,1,$M$13),1),IF($D$4="Forint",0,2))</f>
        <v>#N/A</v>
      </c>
      <c r="U174" s="13"/>
      <c r="V174" s="13"/>
      <c r="W174" s="13" t="e">
        <f ca="1">$N174-$P174-$Q174+$S174-$T174-IF(ROUNDUP(IF(ISBLANK($V174),$U174*0,$V174)/IF($D$2="Egyszeri",VLOOKUP($B174+IF($C174=12,1,0),Paraméterek!$V$257:$W$262,2),IF($B174=1,1,VLOOKUP($B174+IF($C174=12,1,0),Paraméterek!$I$258:$T$278,HLOOKUP($M$11+1,Paraméterek!$J$256:$T$257,2)))),IF($D$4="Forint",0,2))&gt;$N174-$P174-$Q174+$S174-$T174-IF($D$4="Forint",Paraméterek!$C$216,Paraméterek!$D$216),0,ROUNDUP(IF(ISBLANK($V174),$U174*0,$V174)/IF($D$2="Egyszeri",VLOOKUP($B174+IF($C174=12,1,0),Paraméterek!$V$257:$W$262,2),IF($B174=1,1,VLOOKUP($B174+IF($C174=12,1,0),Paraméterek!$I$258:$T$278,HLOOKUP($M$11+1,Paraméterek!$J$256:$T$257,2)))),IF($D$4="Forint",0,2)))</f>
        <v>#N/A</v>
      </c>
      <c r="X174" s="13" t="e">
        <f ca="1">ROUNDDOWN($W174*IF($D$2="Egyszeri",VLOOKUP($B174+IF($C174=12,1,0),Paraméterek!$V$257:$W$262,2),VLOOKUP($B174+IF($C174=12,1,0),Paraméterek!$I$258:$T$278,HLOOKUP($M$11+1,Paraméterek!$I$256:$T$257,2))),IF($D$4="Forint",0,2))</f>
        <v>#N/A</v>
      </c>
      <c r="Z174" s="32">
        <v>155</v>
      </c>
      <c r="AA174" s="32">
        <v>13</v>
      </c>
      <c r="AB174" s="32">
        <v>11</v>
      </c>
      <c r="AC174" s="13">
        <f t="shared" ca="1" si="60"/>
        <v>0</v>
      </c>
      <c r="AD174" s="33"/>
      <c r="AE174" s="13">
        <f t="shared" ca="1" si="52"/>
        <v>0</v>
      </c>
      <c r="AF174" s="13">
        <f ca="1">ROUNDUP(($AC174+$AE174)*VLOOKUP($AA174,Paraméterek!$P$38:$Q$38,2)/12*IF($D175="Nem",IF($M$13=0,1,$M$13),1),IF($D$4="Forint",0,2))</f>
        <v>0</v>
      </c>
      <c r="AG174" s="13">
        <f ca="1">IF($D$2="Egyszeri",IF($D$7&gt;=IF($D$4="Forint",Paraméterek!$P$223,Paraméterek!$P$224),$D$7-IF($D$4="Forint",Paraméterek!$P$223,Paraméterek!$P$224),0),MIN(IF($AB174=12,AVERAGEIF($E$20:$E174,"&gt;0",$E$20:$E174)*12,0),SUM($E$20:$E$31)))</f>
        <v>0</v>
      </c>
      <c r="AH174" s="13">
        <f>IF($AA174=10,$AG174*IF($AB174=12,IF($AG174&lt;IF($D$4="Forint",Paraméterek!$L$223,Paraméterek!$L$224),0,VLOOKUP($AA174,Paraméterek!$K$226:$M$228,IF($AG174&lt;IF($D$4="Forint",Paraméterek!$M$223,Paraméterek!$M$224),2,3))),0),0)</f>
        <v>0</v>
      </c>
      <c r="AI174" s="13">
        <f ca="1">IF(AND($AA174=$M$11+1,$AB174=$M$12+1),SUMIF($AA$20:$AA$1027,$AA174,$AG$20:$AG$1027)*IF(SUMIF($AA$20:$AA$1027,$AA174,$AG$20:$AG$1027)&lt;IF($D$4="Forint",Paraméterek!$L$223,Paraméterek!$L$224),0,VLOOKUP($AA174,Paraméterek!$K$230:$M$250,IF(SUMIF($AA$20:$AA$1027,$AA174,$AG$20:$AG$1027)&lt;IF($D$4="Forint",Paraméterek!$M$223,Paraméterek!$M$224),2,3))),0)</f>
        <v>0</v>
      </c>
      <c r="AJ174" s="13">
        <f ca="1">IF(AND($AA174&gt;=5,MOD($AA174,5)=0),IF($AB174=12,VLOOKUP($AA174,Paraméterek!$O$225:$P$240,2),0),IF(OR($AA174=3,$AA174=4),IF($AB174=12,VLOOKUP($AA174,Paraméterek!$O$225:$P$240,2,0),0),0))*$AG174</f>
        <v>0</v>
      </c>
      <c r="AK174" s="13">
        <f t="shared" ca="1" si="53"/>
        <v>0</v>
      </c>
      <c r="AL174" s="13">
        <f t="shared" ca="1" si="61"/>
        <v>0</v>
      </c>
      <c r="AM174" s="13">
        <f t="shared" ca="1" si="62"/>
        <v>0</v>
      </c>
      <c r="AO174" s="32">
        <v>155</v>
      </c>
      <c r="AP174" s="32">
        <v>13</v>
      </c>
      <c r="AQ174" s="32">
        <v>11</v>
      </c>
      <c r="AR174" s="13"/>
      <c r="AS174" s="32"/>
      <c r="AT174" s="13">
        <f t="shared" ca="1" si="63"/>
        <v>0</v>
      </c>
      <c r="AU174" s="33"/>
      <c r="AV174" s="13">
        <f t="shared" ca="1" si="54"/>
        <v>0</v>
      </c>
      <c r="AW174" s="13">
        <f ca="1">ROUNDUP(($AT174+$AV174)*VLOOKUP($AP174,Paraméterek!$P$38:$Q$38,2)/12*IF($D175="Nem",IF($M$13=0,1,$M$13),1),IF($D$4="Forint",0,2))</f>
        <v>0</v>
      </c>
      <c r="AX174" s="13"/>
      <c r="AY174" s="13"/>
      <c r="AZ174" s="13">
        <f>ROUNDUP(IF(SUM($AX174:$AY174)=0,0,IF(IF(ISBLANK($AY174),$AX174,$AY174)*Paraméterek!$J$112&lt;IF($D$4="Forint",Paraméterek!$J$113,Paraméterek!$K$113),IF($D$4="Forint",Paraméterek!$J$113,Paraméterek!$K$113),IF(IF(ISBLANK($AY174),$AX174,$AY174)*Paraméterek!$J$112&gt;IF($D$4="Forint",Paraméterek!$J$114,Paraméterek!$K$114),IF($D$4="Forint",Paraméterek!$J$114,Paraméterek!$K$114),IF(ISBLANK($AY174),$AX174,$AY174)*Paraméterek!$J$112))),IF($D$4="Forint",0,2))</f>
        <v>0</v>
      </c>
      <c r="BA174" s="13">
        <f ca="1">$AT174+$AV174-$AW174-IF(ROUNDDOWN(IF(ISBLANK($AY174),$AX174,$AY174),IF($D$4="Forint",0,2))&gt;$AT174+$AV174-$AW174-IF($D$4="Forint",Paraméterek!$J$114,Paraméterek!$K$114),0,ROUNDDOWN(IF(ISBLANK($AY174),$AX174,$AY174),IF($D$4="Forint",0,2))-$AZ174)</f>
        <v>0</v>
      </c>
      <c r="BB174" s="13">
        <f t="shared" ca="1" si="55"/>
        <v>0</v>
      </c>
      <c r="BD174" s="32">
        <v>155</v>
      </c>
      <c r="BE174" s="32">
        <v>13</v>
      </c>
      <c r="BF174" s="32">
        <v>11</v>
      </c>
      <c r="BG174" s="34">
        <f t="shared" ca="1" si="64"/>
        <v>2032</v>
      </c>
      <c r="BH174" s="32" t="str">
        <f ca="1">IF(MOD(MONTH($D$14)+$BD174-1,12)=Paraméterek!$C$288,"Igen","")</f>
        <v/>
      </c>
      <c r="BI174" s="13">
        <f ca="1">IF($BH174="Igen",MIN(ROUNDDOWN((SUMIF($BG$20:$BG$1027,$BG174-1,$K$20:$K$1027)-SUMIF($BG$20:$BG$1027,$BG174-1,$I$20:$I$1027))*Paraméterek!$C$289,IF($D$4="Forint",0,2)),IF($D$4="Forint",Paraméterek!$C$285,Paraméterek!$D$285)),0)</f>
        <v>0</v>
      </c>
      <c r="BJ174" s="13">
        <f t="shared" ca="1" si="56"/>
        <v>0</v>
      </c>
      <c r="BK174" s="13">
        <f t="shared" ca="1" si="65"/>
        <v>0</v>
      </c>
      <c r="BL174" s="33"/>
      <c r="BM174" s="13">
        <f t="shared" ca="1" si="57"/>
        <v>0</v>
      </c>
      <c r="BN174" s="13">
        <f ca="1">ROUNDUP(($BK174+$BM174)*VLOOKUP($BE174,Paraméterek!$P$38:$Q$38,2)/12*IF($D175="Nem",IF($M$13=0,1,$M$13),1),IF($D$4="Forint",0,2))</f>
        <v>0</v>
      </c>
      <c r="BO174" s="13">
        <f t="shared" ca="1" si="58"/>
        <v>0</v>
      </c>
      <c r="BP174" s="13">
        <f ca="1">IF($D175="Nem",$BO174,$BO174-ROUNDUP(SUM($BI$20:$BI174)*120%,IF($D$4="Forint",0,2)))</f>
        <v>0</v>
      </c>
    </row>
    <row r="175" spans="1:68" x14ac:dyDescent="0.2">
      <c r="A175" s="32">
        <v>156</v>
      </c>
      <c r="B175" s="32">
        <v>13</v>
      </c>
      <c r="C175" s="32">
        <v>12</v>
      </c>
      <c r="D175" s="32" t="str">
        <f t="shared" ca="1" si="44"/>
        <v>Nem</v>
      </c>
      <c r="E175" s="13">
        <f t="shared" ca="1" si="45"/>
        <v>0</v>
      </c>
      <c r="F175" s="13"/>
      <c r="G175" s="13"/>
      <c r="H175" s="13"/>
      <c r="I175" s="13">
        <f t="shared" ca="1" si="46"/>
        <v>0</v>
      </c>
      <c r="J175" s="13">
        <f t="shared" ca="1" si="47"/>
        <v>0</v>
      </c>
      <c r="K175" s="13">
        <f t="shared" ca="1" si="48"/>
        <v>0</v>
      </c>
      <c r="L175" s="13" t="e">
        <f ca="1">ROUNDUP(IF($D$2="Egyszeri",$E175,IF($D$2="Havi",SUM($E$20:$E$31),IF(MOD($C175,$M$1)-1=0,SUM($E$20:$E$31),0))/12*$M$1)*VLOOKUP($B175,Paraméterek!$I$28:$P$31,IF($D$2="Egyszeri",8,HLOOKUP(ROUNDUP($M$11+$M$13,0),Paraméterek!$J$26:$O$27,2))),IF($D$4="Forint",0,2))</f>
        <v>#N/A</v>
      </c>
      <c r="M175" s="13">
        <f t="shared" ca="1" si="49"/>
        <v>0</v>
      </c>
      <c r="N175" s="13">
        <f t="shared" ca="1" si="59"/>
        <v>0</v>
      </c>
      <c r="O175" s="13">
        <f ca="1">IF($D175="Igen",IF($W174&gt;=IF($D$4="Forint",Paraméterek!$J$121,Paraméterek!$K$121),0,IF($D$4="Forint",Paraméterek!$J$121,Paraméterek!$K$121)-$W174),0)</f>
        <v>0</v>
      </c>
      <c r="P175" s="13" t="e">
        <f ca="1">ROUNDUP($O175*VLOOKUP($M$4+$B175-1,Paraméterek!$H$58:$I$105,2,0)/Paraméterek!$I$56,IF($D$4="Forint",0,2))</f>
        <v>#N/A</v>
      </c>
      <c r="Q175" s="13">
        <f t="shared" ca="1" si="50"/>
        <v>0</v>
      </c>
      <c r="R175" s="33"/>
      <c r="S175" s="13" t="e">
        <f t="shared" ca="1" si="51"/>
        <v>#N/A</v>
      </c>
      <c r="T175" s="13" t="e">
        <f ca="1">ROUNDUP(($N175-$P175-$Q175+$S175)*VLOOKUP($B175,Paraméterek!$I$38:$K$39,IF($D$2="Egyszeri",3,2))/12*IF($D176="Nem",IF($M$13=0,1,$M$13),1),IF($D$4="Forint",0,2))</f>
        <v>#N/A</v>
      </c>
      <c r="U175" s="13">
        <f>Tranzakciók!$F$44</f>
        <v>0</v>
      </c>
      <c r="V175" s="13"/>
      <c r="W175" s="13" t="e">
        <f ca="1">$N175-$P175-$Q175+$S175-$T175-IF(ROUNDUP(IF(ISBLANK($V175),$U175*0,$V175)/IF($D$2="Egyszeri",VLOOKUP($B175+IF($C175=12,1,0),Paraméterek!$V$257:$W$262,2),IF($B175=1,1,VLOOKUP($B175+IF($C175=12,1,0),Paraméterek!$I$258:$T$278,HLOOKUP($M$11+1,Paraméterek!$J$256:$T$257,2)))),IF($D$4="Forint",0,2))&gt;$N175-$P175-$Q175+$S175-$T175-IF($D$4="Forint",Paraméterek!$C$216,Paraméterek!$D$216),0,ROUNDUP(IF(ISBLANK($V175),$U175*0,$V175)/IF($D$2="Egyszeri",VLOOKUP($B175+IF($C175=12,1,0),Paraméterek!$V$257:$W$262,2),IF($B175=1,1,VLOOKUP($B175+IF($C175=12,1,0),Paraméterek!$I$258:$T$278,HLOOKUP($M$11+1,Paraméterek!$J$256:$T$257,2)))),IF($D$4="Forint",0,2)))</f>
        <v>#N/A</v>
      </c>
      <c r="X175" s="13" t="e">
        <f ca="1">ROUNDDOWN($W175*IF($D$2="Egyszeri",VLOOKUP($B175+IF($C175=12,1,0),Paraméterek!$V$257:$W$262,2),VLOOKUP($B175+IF($C175=12,1,0),Paraméterek!$I$258:$T$278,HLOOKUP($M$11+1,Paraméterek!$I$256:$T$257,2))),IF($D$4="Forint",0,2))</f>
        <v>#N/A</v>
      </c>
      <c r="Z175" s="32">
        <v>156</v>
      </c>
      <c r="AA175" s="32">
        <v>13</v>
      </c>
      <c r="AB175" s="32">
        <v>12</v>
      </c>
      <c r="AC175" s="13">
        <f t="shared" ca="1" si="60"/>
        <v>0</v>
      </c>
      <c r="AD175" s="33"/>
      <c r="AE175" s="13">
        <f t="shared" ca="1" si="52"/>
        <v>0</v>
      </c>
      <c r="AF175" s="13">
        <f ca="1">ROUNDUP(($AC175+$AE175)*VLOOKUP($AA175,Paraméterek!$P$38:$Q$38,2)/12*IF($D176="Nem",IF($M$13=0,1,$M$13),1),IF($D$4="Forint",0,2))</f>
        <v>0</v>
      </c>
      <c r="AG175" s="13" t="e">
        <f ca="1">IF($D$2="Egyszeri",IF($D$7&gt;=IF($D$4="Forint",Paraméterek!$P$223,Paraméterek!$P$224),$D$7-IF($D$4="Forint",Paraméterek!$P$223,Paraméterek!$P$224),0),MIN(IF($AB175=12,AVERAGEIF($E$20:$E175,"&gt;0",$E$20:$E175)*12,0),SUM($E$20:$E$31)))</f>
        <v>#DIV/0!</v>
      </c>
      <c r="AH175" s="13">
        <f>IF($AA175=10,$AG175*IF($AB175=12,IF($AG175&lt;IF($D$4="Forint",Paraméterek!$L$223,Paraméterek!$L$224),0,VLOOKUP($AA175,Paraméterek!$K$226:$M$228,IF($AG175&lt;IF($D$4="Forint",Paraméterek!$M$223,Paraméterek!$M$224),2,3))),0),0)</f>
        <v>0</v>
      </c>
      <c r="AI175" s="13">
        <f ca="1">IF(AND($AA175=$M$11+1,$AB175=$M$12+1),SUMIF($AA$20:$AA$1027,$AA175,$AG$20:$AG$1027)*IF(SUMIF($AA$20:$AA$1027,$AA175,$AG$20:$AG$1027)&lt;IF($D$4="Forint",Paraméterek!$L$223,Paraméterek!$L$224),0,VLOOKUP($AA175,Paraméterek!$K$230:$M$250,IF(SUMIF($AA$20:$AA$1027,$AA175,$AG$20:$AG$1027)&lt;IF($D$4="Forint",Paraméterek!$M$223,Paraméterek!$M$224),2,3))),0)</f>
        <v>0</v>
      </c>
      <c r="AJ175" s="13" t="e">
        <f ca="1">IF(AND($AA175&gt;=5,MOD($AA175,5)=0),IF($AB175=12,VLOOKUP($AA175,Paraméterek!$O$225:$P$240,2),0),IF(OR($AA175=3,$AA175=4),IF($AB175=12,VLOOKUP($AA175,Paraméterek!$O$225:$P$240,2,0),0),0))*$AG175</f>
        <v>#DIV/0!</v>
      </c>
      <c r="AK175" s="13">
        <f t="shared" ca="1" si="53"/>
        <v>0</v>
      </c>
      <c r="AL175" s="13">
        <f t="shared" ca="1" si="61"/>
        <v>0</v>
      </c>
      <c r="AM175" s="13">
        <f t="shared" ca="1" si="62"/>
        <v>0</v>
      </c>
      <c r="AO175" s="32">
        <v>156</v>
      </c>
      <c r="AP175" s="32">
        <v>13</v>
      </c>
      <c r="AQ175" s="32">
        <v>12</v>
      </c>
      <c r="AR175" s="13"/>
      <c r="AS175" s="32"/>
      <c r="AT175" s="13">
        <f t="shared" ca="1" si="63"/>
        <v>0</v>
      </c>
      <c r="AU175" s="33"/>
      <c r="AV175" s="13">
        <f t="shared" ca="1" si="54"/>
        <v>0</v>
      </c>
      <c r="AW175" s="13">
        <f ca="1">ROUNDUP(($AT175+$AV175)*VLOOKUP($AP175,Paraméterek!$P$38:$Q$38,2)/12*IF($D176="Nem",IF($M$13=0,1,$M$13),1),IF($D$4="Forint",0,2))</f>
        <v>0</v>
      </c>
      <c r="AX175" s="13">
        <f>Tranzakciók!$M$44</f>
        <v>0</v>
      </c>
      <c r="AY175" s="13"/>
      <c r="AZ175" s="13">
        <f>ROUNDUP(IF(SUM($AX175:$AY175)=0,0,IF(IF(ISBLANK($AY175),$AX175,$AY175)*Paraméterek!$J$112&lt;IF($D$4="Forint",Paraméterek!$J$113,Paraméterek!$K$113),IF($D$4="Forint",Paraméterek!$J$113,Paraméterek!$K$113),IF(IF(ISBLANK($AY175),$AX175,$AY175)*Paraméterek!$J$112&gt;IF($D$4="Forint",Paraméterek!$J$114,Paraméterek!$K$114),IF($D$4="Forint",Paraméterek!$J$114,Paraméterek!$K$114),IF(ISBLANK($AY175),$AX175,$AY175)*Paraméterek!$J$112))),IF($D$4="Forint",0,2))</f>
        <v>0</v>
      </c>
      <c r="BA175" s="13">
        <f ca="1">$AT175+$AV175-$AW175-IF(ROUNDDOWN(IF(ISBLANK($AY175),$AX175,$AY175),IF($D$4="Forint",0,2))&gt;$AT175+$AV175-$AW175-IF($D$4="Forint",Paraméterek!$J$114,Paraméterek!$K$114),0,ROUNDDOWN(IF(ISBLANK($AY175),$AX175,$AY175),IF($D$4="Forint",0,2))-$AZ175)</f>
        <v>0</v>
      </c>
      <c r="BB175" s="13">
        <f t="shared" ca="1" si="55"/>
        <v>0</v>
      </c>
      <c r="BD175" s="32">
        <v>156</v>
      </c>
      <c r="BE175" s="32">
        <v>13</v>
      </c>
      <c r="BF175" s="32">
        <v>12</v>
      </c>
      <c r="BG175" s="34">
        <f t="shared" ca="1" si="64"/>
        <v>2032</v>
      </c>
      <c r="BH175" s="32" t="str">
        <f ca="1">IF(MOD(MONTH($D$14)+$BD175-1,12)=Paraméterek!$C$288,"Igen","")</f>
        <v/>
      </c>
      <c r="BI175" s="13">
        <f ca="1">IF($BH175="Igen",MIN(ROUNDDOWN((SUMIF($BG$20:$BG$1027,$BG175-1,$K$20:$K$1027)-SUMIF($BG$20:$BG$1027,$BG175-1,$I$20:$I$1027))*Paraméterek!$C$289,IF($D$4="Forint",0,2)),IF($D$4="Forint",Paraméterek!$C$285,Paraméterek!$D$285)),0)</f>
        <v>0</v>
      </c>
      <c r="BJ175" s="13">
        <f t="shared" ca="1" si="56"/>
        <v>0</v>
      </c>
      <c r="BK175" s="13">
        <f t="shared" ca="1" si="65"/>
        <v>0</v>
      </c>
      <c r="BL175" s="33"/>
      <c r="BM175" s="13">
        <f t="shared" ca="1" si="57"/>
        <v>0</v>
      </c>
      <c r="BN175" s="13">
        <f ca="1">ROUNDUP(($BK175+$BM175)*VLOOKUP($BE175,Paraméterek!$P$38:$Q$38,2)/12*IF($D176="Nem",IF($M$13=0,1,$M$13),1),IF($D$4="Forint",0,2))</f>
        <v>0</v>
      </c>
      <c r="BO175" s="13">
        <f t="shared" ca="1" si="58"/>
        <v>0</v>
      </c>
      <c r="BP175" s="13">
        <f ca="1">IF($D176="Nem",$BO175,$BO175-ROUNDUP(SUM($BI$20:$BI175)*120%,IF($D$4="Forint",0,2)))</f>
        <v>0</v>
      </c>
    </row>
    <row r="176" spans="1:68" x14ac:dyDescent="0.2">
      <c r="A176" s="32">
        <v>157</v>
      </c>
      <c r="B176" s="32">
        <v>14</v>
      </c>
      <c r="C176" s="32">
        <v>1</v>
      </c>
      <c r="D176" s="32" t="str">
        <f t="shared" ca="1" si="44"/>
        <v>Nem</v>
      </c>
      <c r="E176" s="13">
        <f t="shared" ca="1" si="45"/>
        <v>0</v>
      </c>
      <c r="F176" s="13"/>
      <c r="G176" s="13">
        <f>Tranzakciók!$D$45</f>
        <v>0</v>
      </c>
      <c r="H176" s="13"/>
      <c r="I176" s="13">
        <f t="shared" ca="1" si="46"/>
        <v>0</v>
      </c>
      <c r="J176" s="13">
        <f t="shared" ca="1" si="47"/>
        <v>0</v>
      </c>
      <c r="K176" s="13">
        <f t="shared" ca="1" si="48"/>
        <v>0</v>
      </c>
      <c r="L176" s="13" t="e">
        <f ca="1">ROUNDUP(IF($D$2="Egyszeri",$E176,IF($D$2="Havi",SUM($E$20:$E$31),IF(MOD($C176,$M$1)-1=0,SUM($E$20:$E$31),0))/12*$M$1)*VLOOKUP($B176,Paraméterek!$I$28:$P$31,IF($D$2="Egyszeri",8,HLOOKUP(ROUNDUP($M$11+$M$13,0),Paraméterek!$J$26:$O$27,2))),IF($D$4="Forint",0,2))</f>
        <v>#N/A</v>
      </c>
      <c r="M176" s="13">
        <f t="shared" ca="1" si="49"/>
        <v>0</v>
      </c>
      <c r="N176" s="13">
        <f t="shared" ca="1" si="59"/>
        <v>0</v>
      </c>
      <c r="O176" s="13">
        <f ca="1">IF($D176="Igen",IF($W175&gt;=IF($D$4="Forint",Paraméterek!$J$121,Paraméterek!$K$121),0,IF($D$4="Forint",Paraméterek!$J$121,Paraméterek!$K$121)-$W175),0)</f>
        <v>0</v>
      </c>
      <c r="P176" s="13" t="e">
        <f ca="1">ROUNDUP($O176*VLOOKUP($M$4+$B176-1,Paraméterek!$H$58:$I$105,2,0)/Paraméterek!$I$56,IF($D$4="Forint",0,2))</f>
        <v>#N/A</v>
      </c>
      <c r="Q176" s="13">
        <f t="shared" ca="1" si="50"/>
        <v>0</v>
      </c>
      <c r="R176" s="33"/>
      <c r="S176" s="13" t="e">
        <f t="shared" ca="1" si="51"/>
        <v>#N/A</v>
      </c>
      <c r="T176" s="13" t="e">
        <f ca="1">ROUNDUP(($N176-$P176-$Q176+$S176)*VLOOKUP($B176,Paraméterek!$I$38:$K$39,IF($D$2="Egyszeri",3,2))/12*IF($D177="Nem",IF($M$13=0,1,$M$13),1),IF($D$4="Forint",0,2))</f>
        <v>#N/A</v>
      </c>
      <c r="U176" s="13"/>
      <c r="V176" s="13"/>
      <c r="W176" s="13" t="e">
        <f ca="1">$N176-$P176-$Q176+$S176-$T176-IF(ROUNDUP(IF(ISBLANK($V176),$U176*0,$V176)/IF($D$2="Egyszeri",VLOOKUP($B176+IF($C176=12,1,0),Paraméterek!$V$257:$W$262,2),IF($B176=1,1,VLOOKUP($B176+IF($C176=12,1,0),Paraméterek!$I$258:$T$278,HLOOKUP($M$11+1,Paraméterek!$J$256:$T$257,2)))),IF($D$4="Forint",0,2))&gt;$N176-$P176-$Q176+$S176-$T176-IF($D$4="Forint",Paraméterek!$C$216,Paraméterek!$D$216),0,ROUNDUP(IF(ISBLANK($V176),$U176*0,$V176)/IF($D$2="Egyszeri",VLOOKUP($B176+IF($C176=12,1,0),Paraméterek!$V$257:$W$262,2),IF($B176=1,1,VLOOKUP($B176+IF($C176=12,1,0),Paraméterek!$I$258:$T$278,HLOOKUP($M$11+1,Paraméterek!$J$256:$T$257,2)))),IF($D$4="Forint",0,2)))</f>
        <v>#N/A</v>
      </c>
      <c r="X176" s="13" t="e">
        <f ca="1">ROUNDDOWN($W176*IF($D$2="Egyszeri",VLOOKUP($B176+IF($C176=12,1,0),Paraméterek!$V$257:$W$262,2),VLOOKUP($B176+IF($C176=12,1,0),Paraméterek!$I$258:$T$278,HLOOKUP($M$11+1,Paraméterek!$I$256:$T$257,2))),IF($D$4="Forint",0,2))</f>
        <v>#N/A</v>
      </c>
      <c r="Z176" s="32">
        <v>157</v>
      </c>
      <c r="AA176" s="32">
        <v>14</v>
      </c>
      <c r="AB176" s="32">
        <v>1</v>
      </c>
      <c r="AC176" s="13">
        <f t="shared" ca="1" si="60"/>
        <v>0</v>
      </c>
      <c r="AD176" s="33"/>
      <c r="AE176" s="13">
        <f t="shared" ca="1" si="52"/>
        <v>0</v>
      </c>
      <c r="AF176" s="13">
        <f ca="1">ROUNDUP(($AC176+$AE176)*VLOOKUP($AA176,Paraméterek!$P$38:$Q$38,2)/12*IF($D177="Nem",IF($M$13=0,1,$M$13),1),IF($D$4="Forint",0,2))</f>
        <v>0</v>
      </c>
      <c r="AG176" s="13">
        <f ca="1">IF($D$2="Egyszeri",IF($D$7&gt;=IF($D$4="Forint",Paraméterek!$P$223,Paraméterek!$P$224),$D$7-IF($D$4="Forint",Paraméterek!$P$223,Paraméterek!$P$224),0),MIN(IF($AB176=12,AVERAGEIF($E$20:$E176,"&gt;0",$E$20:$E176)*12,0),SUM($E$20:$E$31)))</f>
        <v>0</v>
      </c>
      <c r="AH176" s="13">
        <f>IF($AA176=10,$AG176*IF($AB176=12,IF($AG176&lt;IF($D$4="Forint",Paraméterek!$L$223,Paraméterek!$L$224),0,VLOOKUP($AA176,Paraméterek!$K$226:$M$228,IF($AG176&lt;IF($D$4="Forint",Paraméterek!$M$223,Paraméterek!$M$224),2,3))),0),0)</f>
        <v>0</v>
      </c>
      <c r="AI176" s="13">
        <f ca="1">IF(AND($AA176=$M$11+1,$AB176=$M$12+1),SUMIF($AA$20:$AA$1027,$AA176,$AG$20:$AG$1027)*IF(SUMIF($AA$20:$AA$1027,$AA176,$AG$20:$AG$1027)&lt;IF($D$4="Forint",Paraméterek!$L$223,Paraméterek!$L$224),0,VLOOKUP($AA176,Paraméterek!$K$230:$M$250,IF(SUMIF($AA$20:$AA$1027,$AA176,$AG$20:$AG$1027)&lt;IF($D$4="Forint",Paraméterek!$M$223,Paraméterek!$M$224),2,3))),0)</f>
        <v>0</v>
      </c>
      <c r="AJ176" s="13">
        <f ca="1">IF(AND($AA176&gt;=5,MOD($AA176,5)=0),IF($AB176=12,VLOOKUP($AA176,Paraméterek!$O$225:$P$240,2),0),IF(OR($AA176=3,$AA176=4),IF($AB176=12,VLOOKUP($AA176,Paraméterek!$O$225:$P$240,2,0),0),0))*$AG176</f>
        <v>0</v>
      </c>
      <c r="AK176" s="13">
        <f t="shared" ca="1" si="53"/>
        <v>0</v>
      </c>
      <c r="AL176" s="13">
        <f t="shared" ca="1" si="61"/>
        <v>0</v>
      </c>
      <c r="AM176" s="13">
        <f t="shared" ca="1" si="62"/>
        <v>0</v>
      </c>
      <c r="AO176" s="32">
        <v>157</v>
      </c>
      <c r="AP176" s="32">
        <v>14</v>
      </c>
      <c r="AQ176" s="32">
        <v>1</v>
      </c>
      <c r="AR176" s="13">
        <f>Tranzakciók!$K$45</f>
        <v>0</v>
      </c>
      <c r="AS176" s="32"/>
      <c r="AT176" s="13">
        <f t="shared" ca="1" si="63"/>
        <v>0</v>
      </c>
      <c r="AU176" s="33"/>
      <c r="AV176" s="13">
        <f t="shared" ca="1" si="54"/>
        <v>0</v>
      </c>
      <c r="AW176" s="13">
        <f ca="1">ROUNDUP(($AT176+$AV176)*VLOOKUP($AP176,Paraméterek!$P$38:$Q$38,2)/12*IF($D177="Nem",IF($M$13=0,1,$M$13),1),IF($D$4="Forint",0,2))</f>
        <v>0</v>
      </c>
      <c r="AX176" s="13"/>
      <c r="AY176" s="13"/>
      <c r="AZ176" s="13">
        <f>ROUNDUP(IF(SUM($AX176:$AY176)=0,0,IF(IF(ISBLANK($AY176),$AX176,$AY176)*Paraméterek!$J$112&lt;IF($D$4="Forint",Paraméterek!$J$113,Paraméterek!$K$113),IF($D$4="Forint",Paraméterek!$J$113,Paraméterek!$K$113),IF(IF(ISBLANK($AY176),$AX176,$AY176)*Paraméterek!$J$112&gt;IF($D$4="Forint",Paraméterek!$J$114,Paraméterek!$K$114),IF($D$4="Forint",Paraméterek!$J$114,Paraméterek!$K$114),IF(ISBLANK($AY176),$AX176,$AY176)*Paraméterek!$J$112))),IF($D$4="Forint",0,2))</f>
        <v>0</v>
      </c>
      <c r="BA176" s="13">
        <f ca="1">$AT176+$AV176-$AW176-IF(ROUNDDOWN(IF(ISBLANK($AY176),$AX176,$AY176),IF($D$4="Forint",0,2))&gt;$AT176+$AV176-$AW176-IF($D$4="Forint",Paraméterek!$J$114,Paraméterek!$K$114),0,ROUNDDOWN(IF(ISBLANK($AY176),$AX176,$AY176),IF($D$4="Forint",0,2))-$AZ176)</f>
        <v>0</v>
      </c>
      <c r="BB176" s="13">
        <f t="shared" ca="1" si="55"/>
        <v>0</v>
      </c>
      <c r="BD176" s="32">
        <v>157</v>
      </c>
      <c r="BE176" s="32">
        <v>14</v>
      </c>
      <c r="BF176" s="32">
        <v>1</v>
      </c>
      <c r="BG176" s="34">
        <f t="shared" ca="1" si="64"/>
        <v>2032</v>
      </c>
      <c r="BH176" s="32" t="str">
        <f ca="1">IF(MOD(MONTH($D$14)+$BD176-1,12)=Paraméterek!$C$288,"Igen","")</f>
        <v/>
      </c>
      <c r="BI176" s="13">
        <f ca="1">IF($BH176="Igen",MIN(ROUNDDOWN((SUMIF($BG$20:$BG$1027,$BG176-1,$K$20:$K$1027)-SUMIF($BG$20:$BG$1027,$BG176-1,$I$20:$I$1027))*Paraméterek!$C$289,IF($D$4="Forint",0,2)),IF($D$4="Forint",Paraméterek!$C$285,Paraméterek!$D$285)),0)</f>
        <v>0</v>
      </c>
      <c r="BJ176" s="13">
        <f t="shared" ca="1" si="56"/>
        <v>0</v>
      </c>
      <c r="BK176" s="13">
        <f t="shared" ca="1" si="65"/>
        <v>0</v>
      </c>
      <c r="BL176" s="33"/>
      <c r="BM176" s="13">
        <f t="shared" ca="1" si="57"/>
        <v>0</v>
      </c>
      <c r="BN176" s="13">
        <f ca="1">ROUNDUP(($BK176+$BM176)*VLOOKUP($BE176,Paraméterek!$P$38:$Q$38,2)/12*IF($D177="Nem",IF($M$13=0,1,$M$13),1),IF($D$4="Forint",0,2))</f>
        <v>0</v>
      </c>
      <c r="BO176" s="13">
        <f t="shared" ca="1" si="58"/>
        <v>0</v>
      </c>
      <c r="BP176" s="13">
        <f ca="1">IF($D177="Nem",$BO176,$BO176-ROUNDUP(SUM($BI$20:$BI176)*120%,IF($D$4="Forint",0,2)))</f>
        <v>0</v>
      </c>
    </row>
    <row r="177" spans="1:68" x14ac:dyDescent="0.2">
      <c r="A177" s="32">
        <v>158</v>
      </c>
      <c r="B177" s="32">
        <v>14</v>
      </c>
      <c r="C177" s="32">
        <v>2</v>
      </c>
      <c r="D177" s="32" t="str">
        <f t="shared" ca="1" si="44"/>
        <v>Nem</v>
      </c>
      <c r="E177" s="13">
        <f t="shared" ca="1" si="45"/>
        <v>0</v>
      </c>
      <c r="F177" s="13"/>
      <c r="G177" s="13"/>
      <c r="H177" s="13"/>
      <c r="I177" s="13">
        <f t="shared" ca="1" si="46"/>
        <v>0</v>
      </c>
      <c r="J177" s="13">
        <f t="shared" ca="1" si="47"/>
        <v>0</v>
      </c>
      <c r="K177" s="13">
        <f t="shared" ca="1" si="48"/>
        <v>0</v>
      </c>
      <c r="L177" s="13" t="e">
        <f ca="1">ROUNDUP(IF($D$2="Egyszeri",$E177,IF($D$2="Havi",SUM($E$20:$E$31),IF(MOD($C177,$M$1)-1=0,SUM($E$20:$E$31),0))/12*$M$1)*VLOOKUP($B177,Paraméterek!$I$28:$P$31,IF($D$2="Egyszeri",8,HLOOKUP(ROUNDUP($M$11+$M$13,0),Paraméterek!$J$26:$O$27,2))),IF($D$4="Forint",0,2))</f>
        <v>#N/A</v>
      </c>
      <c r="M177" s="13">
        <f t="shared" ca="1" si="49"/>
        <v>0</v>
      </c>
      <c r="N177" s="13">
        <f t="shared" ca="1" si="59"/>
        <v>0</v>
      </c>
      <c r="O177" s="13">
        <f ca="1">IF($D177="Igen",IF($W176&gt;=IF($D$4="Forint",Paraméterek!$J$121,Paraméterek!$K$121),0,IF($D$4="Forint",Paraméterek!$J$121,Paraméterek!$K$121)-$W176),0)</f>
        <v>0</v>
      </c>
      <c r="P177" s="13" t="e">
        <f ca="1">ROUNDUP($O177*VLOOKUP($M$4+$B177-1,Paraméterek!$H$58:$I$105,2,0)/Paraméterek!$I$56,IF($D$4="Forint",0,2))</f>
        <v>#N/A</v>
      </c>
      <c r="Q177" s="13">
        <f t="shared" ca="1" si="50"/>
        <v>0</v>
      </c>
      <c r="R177" s="33"/>
      <c r="S177" s="13" t="e">
        <f t="shared" ca="1" si="51"/>
        <v>#N/A</v>
      </c>
      <c r="T177" s="13" t="e">
        <f ca="1">ROUNDUP(($N177-$P177-$Q177+$S177)*VLOOKUP($B177,Paraméterek!$I$38:$K$39,IF($D$2="Egyszeri",3,2))/12*IF($D178="Nem",IF($M$13=0,1,$M$13),1),IF($D$4="Forint",0,2))</f>
        <v>#N/A</v>
      </c>
      <c r="U177" s="13"/>
      <c r="V177" s="13"/>
      <c r="W177" s="13" t="e">
        <f ca="1">$N177-$P177-$Q177+$S177-$T177-IF(ROUNDUP(IF(ISBLANK($V177),$U177*0,$V177)/IF($D$2="Egyszeri",VLOOKUP($B177+IF($C177=12,1,0),Paraméterek!$V$257:$W$262,2),IF($B177=1,1,VLOOKUP($B177+IF($C177=12,1,0),Paraméterek!$I$258:$T$278,HLOOKUP($M$11+1,Paraméterek!$J$256:$T$257,2)))),IF($D$4="Forint",0,2))&gt;$N177-$P177-$Q177+$S177-$T177-IF($D$4="Forint",Paraméterek!$C$216,Paraméterek!$D$216),0,ROUNDUP(IF(ISBLANK($V177),$U177*0,$V177)/IF($D$2="Egyszeri",VLOOKUP($B177+IF($C177=12,1,0),Paraméterek!$V$257:$W$262,2),IF($B177=1,1,VLOOKUP($B177+IF($C177=12,1,0),Paraméterek!$I$258:$T$278,HLOOKUP($M$11+1,Paraméterek!$J$256:$T$257,2)))),IF($D$4="Forint",0,2)))</f>
        <v>#N/A</v>
      </c>
      <c r="X177" s="13" t="e">
        <f ca="1">ROUNDDOWN($W177*IF($D$2="Egyszeri",VLOOKUP($B177+IF($C177=12,1,0),Paraméterek!$V$257:$W$262,2),VLOOKUP($B177+IF($C177=12,1,0),Paraméterek!$I$258:$T$278,HLOOKUP($M$11+1,Paraméterek!$I$256:$T$257,2))),IF($D$4="Forint",0,2))</f>
        <v>#N/A</v>
      </c>
      <c r="Z177" s="32">
        <v>158</v>
      </c>
      <c r="AA177" s="32">
        <v>14</v>
      </c>
      <c r="AB177" s="32">
        <v>2</v>
      </c>
      <c r="AC177" s="13">
        <f t="shared" ca="1" si="60"/>
        <v>0</v>
      </c>
      <c r="AD177" s="33"/>
      <c r="AE177" s="13">
        <f t="shared" ca="1" si="52"/>
        <v>0</v>
      </c>
      <c r="AF177" s="13">
        <f ca="1">ROUNDUP(($AC177+$AE177)*VLOOKUP($AA177,Paraméterek!$P$38:$Q$38,2)/12*IF($D178="Nem",IF($M$13=0,1,$M$13),1),IF($D$4="Forint",0,2))</f>
        <v>0</v>
      </c>
      <c r="AG177" s="13">
        <f ca="1">IF($D$2="Egyszeri",IF($D$7&gt;=IF($D$4="Forint",Paraméterek!$P$223,Paraméterek!$P$224),$D$7-IF($D$4="Forint",Paraméterek!$P$223,Paraméterek!$P$224),0),MIN(IF($AB177=12,AVERAGEIF($E$20:$E177,"&gt;0",$E$20:$E177)*12,0),SUM($E$20:$E$31)))</f>
        <v>0</v>
      </c>
      <c r="AH177" s="13">
        <f>IF($AA177=10,$AG177*IF($AB177=12,IF($AG177&lt;IF($D$4="Forint",Paraméterek!$L$223,Paraméterek!$L$224),0,VLOOKUP($AA177,Paraméterek!$K$226:$M$228,IF($AG177&lt;IF($D$4="Forint",Paraméterek!$M$223,Paraméterek!$M$224),2,3))),0),0)</f>
        <v>0</v>
      </c>
      <c r="AI177" s="13">
        <f ca="1">IF(AND($AA177=$M$11+1,$AB177=$M$12+1),SUMIF($AA$20:$AA$1027,$AA177,$AG$20:$AG$1027)*IF(SUMIF($AA$20:$AA$1027,$AA177,$AG$20:$AG$1027)&lt;IF($D$4="Forint",Paraméterek!$L$223,Paraméterek!$L$224),0,VLOOKUP($AA177,Paraméterek!$K$230:$M$250,IF(SUMIF($AA$20:$AA$1027,$AA177,$AG$20:$AG$1027)&lt;IF($D$4="Forint",Paraméterek!$M$223,Paraméterek!$M$224),2,3))),0)</f>
        <v>0</v>
      </c>
      <c r="AJ177" s="13">
        <f ca="1">IF(AND($AA177&gt;=5,MOD($AA177,5)=0),IF($AB177=12,VLOOKUP($AA177,Paraméterek!$O$225:$P$240,2),0),IF(OR($AA177=3,$AA177=4),IF($AB177=12,VLOOKUP($AA177,Paraméterek!$O$225:$P$240,2,0),0),0))*$AG177</f>
        <v>0</v>
      </c>
      <c r="AK177" s="13">
        <f t="shared" ca="1" si="53"/>
        <v>0</v>
      </c>
      <c r="AL177" s="13">
        <f t="shared" ca="1" si="61"/>
        <v>0</v>
      </c>
      <c r="AM177" s="13">
        <f t="shared" ca="1" si="62"/>
        <v>0</v>
      </c>
      <c r="AO177" s="32">
        <v>158</v>
      </c>
      <c r="AP177" s="32">
        <v>14</v>
      </c>
      <c r="AQ177" s="32">
        <v>2</v>
      </c>
      <c r="AR177" s="13"/>
      <c r="AS177" s="32"/>
      <c r="AT177" s="13">
        <f t="shared" ca="1" si="63"/>
        <v>0</v>
      </c>
      <c r="AU177" s="33"/>
      <c r="AV177" s="13">
        <f t="shared" ca="1" si="54"/>
        <v>0</v>
      </c>
      <c r="AW177" s="13">
        <f ca="1">ROUNDUP(($AT177+$AV177)*VLOOKUP($AP177,Paraméterek!$P$38:$Q$38,2)/12*IF($D178="Nem",IF($M$13=0,1,$M$13),1),IF($D$4="Forint",0,2))</f>
        <v>0</v>
      </c>
      <c r="AX177" s="13"/>
      <c r="AY177" s="13"/>
      <c r="AZ177" s="13">
        <f>ROUNDUP(IF(SUM($AX177:$AY177)=0,0,IF(IF(ISBLANK($AY177),$AX177,$AY177)*Paraméterek!$J$112&lt;IF($D$4="Forint",Paraméterek!$J$113,Paraméterek!$K$113),IF($D$4="Forint",Paraméterek!$J$113,Paraméterek!$K$113),IF(IF(ISBLANK($AY177),$AX177,$AY177)*Paraméterek!$J$112&gt;IF($D$4="Forint",Paraméterek!$J$114,Paraméterek!$K$114),IF($D$4="Forint",Paraméterek!$J$114,Paraméterek!$K$114),IF(ISBLANK($AY177),$AX177,$AY177)*Paraméterek!$J$112))),IF($D$4="Forint",0,2))</f>
        <v>0</v>
      </c>
      <c r="BA177" s="13">
        <f ca="1">$AT177+$AV177-$AW177-IF(ROUNDDOWN(IF(ISBLANK($AY177),$AX177,$AY177),IF($D$4="Forint",0,2))&gt;$AT177+$AV177-$AW177-IF($D$4="Forint",Paraméterek!$J$114,Paraméterek!$K$114),0,ROUNDDOWN(IF(ISBLANK($AY177),$AX177,$AY177),IF($D$4="Forint",0,2))-$AZ177)</f>
        <v>0</v>
      </c>
      <c r="BB177" s="13">
        <f t="shared" ca="1" si="55"/>
        <v>0</v>
      </c>
      <c r="BD177" s="32">
        <v>158</v>
      </c>
      <c r="BE177" s="32">
        <v>14</v>
      </c>
      <c r="BF177" s="32">
        <v>2</v>
      </c>
      <c r="BG177" s="34">
        <f t="shared" ca="1" si="64"/>
        <v>2032</v>
      </c>
      <c r="BH177" s="32" t="str">
        <f ca="1">IF(MOD(MONTH($D$14)+$BD177-1,12)=Paraméterek!$C$288,"Igen","")</f>
        <v>Igen</v>
      </c>
      <c r="BI177" s="13">
        <f ca="1">IF($BH177="Igen",MIN(ROUNDDOWN((SUMIF($BG$20:$BG$1027,$BG177-1,$K$20:$K$1027)-SUMIF($BG$20:$BG$1027,$BG177-1,$I$20:$I$1027))*Paraméterek!$C$289,IF($D$4="Forint",0,2)),IF($D$4="Forint",Paraméterek!$C$285,Paraméterek!$D$285)),0)</f>
        <v>0</v>
      </c>
      <c r="BJ177" s="13">
        <f t="shared" ca="1" si="56"/>
        <v>0</v>
      </c>
      <c r="BK177" s="13">
        <f t="shared" ca="1" si="65"/>
        <v>0</v>
      </c>
      <c r="BL177" s="33"/>
      <c r="BM177" s="13">
        <f t="shared" ca="1" si="57"/>
        <v>0</v>
      </c>
      <c r="BN177" s="13">
        <f ca="1">ROUNDUP(($BK177+$BM177)*VLOOKUP($BE177,Paraméterek!$P$38:$Q$38,2)/12*IF($D178="Nem",IF($M$13=0,1,$M$13),1),IF($D$4="Forint",0,2))</f>
        <v>0</v>
      </c>
      <c r="BO177" s="13">
        <f t="shared" ca="1" si="58"/>
        <v>0</v>
      </c>
      <c r="BP177" s="13">
        <f ca="1">IF($D178="Nem",$BO177,$BO177-ROUNDUP(SUM($BI$20:$BI177)*120%,IF($D$4="Forint",0,2)))</f>
        <v>0</v>
      </c>
    </row>
    <row r="178" spans="1:68" x14ac:dyDescent="0.2">
      <c r="A178" s="32">
        <v>159</v>
      </c>
      <c r="B178" s="32">
        <v>14</v>
      </c>
      <c r="C178" s="32">
        <v>3</v>
      </c>
      <c r="D178" s="32" t="str">
        <f t="shared" ca="1" si="44"/>
        <v>Nem</v>
      </c>
      <c r="E178" s="13">
        <f t="shared" ca="1" si="45"/>
        <v>0</v>
      </c>
      <c r="F178" s="13"/>
      <c r="G178" s="13"/>
      <c r="H178" s="13"/>
      <c r="I178" s="13">
        <f t="shared" ca="1" si="46"/>
        <v>0</v>
      </c>
      <c r="J178" s="13">
        <f t="shared" ca="1" si="47"/>
        <v>0</v>
      </c>
      <c r="K178" s="13">
        <f t="shared" ca="1" si="48"/>
        <v>0</v>
      </c>
      <c r="L178" s="13" t="e">
        <f ca="1">ROUNDUP(IF($D$2="Egyszeri",$E178,IF($D$2="Havi",SUM($E$20:$E$31),IF(MOD($C178,$M$1)-1=0,SUM($E$20:$E$31),0))/12*$M$1)*VLOOKUP($B178,Paraméterek!$I$28:$P$31,IF($D$2="Egyszeri",8,HLOOKUP(ROUNDUP($M$11+$M$13,0),Paraméterek!$J$26:$O$27,2))),IF($D$4="Forint",0,2))</f>
        <v>#N/A</v>
      </c>
      <c r="M178" s="13">
        <f t="shared" ca="1" si="49"/>
        <v>0</v>
      </c>
      <c r="N178" s="13">
        <f t="shared" ca="1" si="59"/>
        <v>0</v>
      </c>
      <c r="O178" s="13">
        <f ca="1">IF($D178="Igen",IF($W177&gt;=IF($D$4="Forint",Paraméterek!$J$121,Paraméterek!$K$121),0,IF($D$4="Forint",Paraméterek!$J$121,Paraméterek!$K$121)-$W177),0)</f>
        <v>0</v>
      </c>
      <c r="P178" s="13" t="e">
        <f ca="1">ROUNDUP($O178*VLOOKUP($M$4+$B178-1,Paraméterek!$H$58:$I$105,2,0)/Paraméterek!$I$56,IF($D$4="Forint",0,2))</f>
        <v>#N/A</v>
      </c>
      <c r="Q178" s="13">
        <f t="shared" ca="1" si="50"/>
        <v>0</v>
      </c>
      <c r="R178" s="33"/>
      <c r="S178" s="13" t="e">
        <f t="shared" ca="1" si="51"/>
        <v>#N/A</v>
      </c>
      <c r="T178" s="13" t="e">
        <f ca="1">ROUNDUP(($N178-$P178-$Q178+$S178)*VLOOKUP($B178,Paraméterek!$I$38:$K$39,IF($D$2="Egyszeri",3,2))/12*IF($D179="Nem",IF($M$13=0,1,$M$13),1),IF($D$4="Forint",0,2))</f>
        <v>#N/A</v>
      </c>
      <c r="U178" s="13"/>
      <c r="V178" s="13"/>
      <c r="W178" s="13" t="e">
        <f ca="1">$N178-$P178-$Q178+$S178-$T178-IF(ROUNDUP(IF(ISBLANK($V178),$U178*0,$V178)/IF($D$2="Egyszeri",VLOOKUP($B178+IF($C178=12,1,0),Paraméterek!$V$257:$W$262,2),IF($B178=1,1,VLOOKUP($B178+IF($C178=12,1,0),Paraméterek!$I$258:$T$278,HLOOKUP($M$11+1,Paraméterek!$J$256:$T$257,2)))),IF($D$4="Forint",0,2))&gt;$N178-$P178-$Q178+$S178-$T178-IF($D$4="Forint",Paraméterek!$C$216,Paraméterek!$D$216),0,ROUNDUP(IF(ISBLANK($V178),$U178*0,$V178)/IF($D$2="Egyszeri",VLOOKUP($B178+IF($C178=12,1,0),Paraméterek!$V$257:$W$262,2),IF($B178=1,1,VLOOKUP($B178+IF($C178=12,1,0),Paraméterek!$I$258:$T$278,HLOOKUP($M$11+1,Paraméterek!$J$256:$T$257,2)))),IF($D$4="Forint",0,2)))</f>
        <v>#N/A</v>
      </c>
      <c r="X178" s="13" t="e">
        <f ca="1">ROUNDDOWN($W178*IF($D$2="Egyszeri",VLOOKUP($B178+IF($C178=12,1,0),Paraméterek!$V$257:$W$262,2),VLOOKUP($B178+IF($C178=12,1,0),Paraméterek!$I$258:$T$278,HLOOKUP($M$11+1,Paraméterek!$I$256:$T$257,2))),IF($D$4="Forint",0,2))</f>
        <v>#N/A</v>
      </c>
      <c r="Z178" s="32">
        <v>159</v>
      </c>
      <c r="AA178" s="32">
        <v>14</v>
      </c>
      <c r="AB178" s="32">
        <v>3</v>
      </c>
      <c r="AC178" s="13">
        <f t="shared" ca="1" si="60"/>
        <v>0</v>
      </c>
      <c r="AD178" s="33"/>
      <c r="AE178" s="13">
        <f t="shared" ca="1" si="52"/>
        <v>0</v>
      </c>
      <c r="AF178" s="13">
        <f ca="1">ROUNDUP(($AC178+$AE178)*VLOOKUP($AA178,Paraméterek!$P$38:$Q$38,2)/12*IF($D179="Nem",IF($M$13=0,1,$M$13),1),IF($D$4="Forint",0,2))</f>
        <v>0</v>
      </c>
      <c r="AG178" s="13">
        <f ca="1">IF($D$2="Egyszeri",IF($D$7&gt;=IF($D$4="Forint",Paraméterek!$P$223,Paraméterek!$P$224),$D$7-IF($D$4="Forint",Paraméterek!$P$223,Paraméterek!$P$224),0),MIN(IF($AB178=12,AVERAGEIF($E$20:$E178,"&gt;0",$E$20:$E178)*12,0),SUM($E$20:$E$31)))</f>
        <v>0</v>
      </c>
      <c r="AH178" s="13">
        <f>IF($AA178=10,$AG178*IF($AB178=12,IF($AG178&lt;IF($D$4="Forint",Paraméterek!$L$223,Paraméterek!$L$224),0,VLOOKUP($AA178,Paraméterek!$K$226:$M$228,IF($AG178&lt;IF($D$4="Forint",Paraméterek!$M$223,Paraméterek!$M$224),2,3))),0),0)</f>
        <v>0</v>
      </c>
      <c r="AI178" s="13">
        <f ca="1">IF(AND($AA178=$M$11+1,$AB178=$M$12+1),SUMIF($AA$20:$AA$1027,$AA178,$AG$20:$AG$1027)*IF(SUMIF($AA$20:$AA$1027,$AA178,$AG$20:$AG$1027)&lt;IF($D$4="Forint",Paraméterek!$L$223,Paraméterek!$L$224),0,VLOOKUP($AA178,Paraméterek!$K$230:$M$250,IF(SUMIF($AA$20:$AA$1027,$AA178,$AG$20:$AG$1027)&lt;IF($D$4="Forint",Paraméterek!$M$223,Paraméterek!$M$224),2,3))),0)</f>
        <v>0</v>
      </c>
      <c r="AJ178" s="13">
        <f ca="1">IF(AND($AA178&gt;=5,MOD($AA178,5)=0),IF($AB178=12,VLOOKUP($AA178,Paraméterek!$O$225:$P$240,2),0),IF(OR($AA178=3,$AA178=4),IF($AB178=12,VLOOKUP($AA178,Paraméterek!$O$225:$P$240,2,0),0),0))*$AG178</f>
        <v>0</v>
      </c>
      <c r="AK178" s="13">
        <f t="shared" ca="1" si="53"/>
        <v>0</v>
      </c>
      <c r="AL178" s="13">
        <f t="shared" ca="1" si="61"/>
        <v>0</v>
      </c>
      <c r="AM178" s="13">
        <f t="shared" ca="1" si="62"/>
        <v>0</v>
      </c>
      <c r="AO178" s="32">
        <v>159</v>
      </c>
      <c r="AP178" s="32">
        <v>14</v>
      </c>
      <c r="AQ178" s="32">
        <v>3</v>
      </c>
      <c r="AR178" s="13"/>
      <c r="AS178" s="32"/>
      <c r="AT178" s="13">
        <f t="shared" ca="1" si="63"/>
        <v>0</v>
      </c>
      <c r="AU178" s="33"/>
      <c r="AV178" s="13">
        <f t="shared" ca="1" si="54"/>
        <v>0</v>
      </c>
      <c r="AW178" s="13">
        <f ca="1">ROUNDUP(($AT178+$AV178)*VLOOKUP($AP178,Paraméterek!$P$38:$Q$38,2)/12*IF($D179="Nem",IF($M$13=0,1,$M$13),1),IF($D$4="Forint",0,2))</f>
        <v>0</v>
      </c>
      <c r="AX178" s="13"/>
      <c r="AY178" s="13"/>
      <c r="AZ178" s="13">
        <f>ROUNDUP(IF(SUM($AX178:$AY178)=0,0,IF(IF(ISBLANK($AY178),$AX178,$AY178)*Paraméterek!$J$112&lt;IF($D$4="Forint",Paraméterek!$J$113,Paraméterek!$K$113),IF($D$4="Forint",Paraméterek!$J$113,Paraméterek!$K$113),IF(IF(ISBLANK($AY178),$AX178,$AY178)*Paraméterek!$J$112&gt;IF($D$4="Forint",Paraméterek!$J$114,Paraméterek!$K$114),IF($D$4="Forint",Paraméterek!$J$114,Paraméterek!$K$114),IF(ISBLANK($AY178),$AX178,$AY178)*Paraméterek!$J$112))),IF($D$4="Forint",0,2))</f>
        <v>0</v>
      </c>
      <c r="BA178" s="13">
        <f ca="1">$AT178+$AV178-$AW178-IF(ROUNDDOWN(IF(ISBLANK($AY178),$AX178,$AY178),IF($D$4="Forint",0,2))&gt;$AT178+$AV178-$AW178-IF($D$4="Forint",Paraméterek!$J$114,Paraméterek!$K$114),0,ROUNDDOWN(IF(ISBLANK($AY178),$AX178,$AY178),IF($D$4="Forint",0,2))-$AZ178)</f>
        <v>0</v>
      </c>
      <c r="BB178" s="13">
        <f t="shared" ca="1" si="55"/>
        <v>0</v>
      </c>
      <c r="BD178" s="32">
        <v>159</v>
      </c>
      <c r="BE178" s="32">
        <v>14</v>
      </c>
      <c r="BF178" s="32">
        <v>3</v>
      </c>
      <c r="BG178" s="34">
        <f t="shared" ca="1" si="64"/>
        <v>2032</v>
      </c>
      <c r="BH178" s="32" t="str">
        <f ca="1">IF(MOD(MONTH($D$14)+$BD178-1,12)=Paraméterek!$C$288,"Igen","")</f>
        <v/>
      </c>
      <c r="BI178" s="13">
        <f ca="1">IF($BH178="Igen",MIN(ROUNDDOWN((SUMIF($BG$20:$BG$1027,$BG178-1,$K$20:$K$1027)-SUMIF($BG$20:$BG$1027,$BG178-1,$I$20:$I$1027))*Paraméterek!$C$289,IF($D$4="Forint",0,2)),IF($D$4="Forint",Paraméterek!$C$285,Paraméterek!$D$285)),0)</f>
        <v>0</v>
      </c>
      <c r="BJ178" s="13">
        <f t="shared" ca="1" si="56"/>
        <v>0</v>
      </c>
      <c r="BK178" s="13">
        <f t="shared" ca="1" si="65"/>
        <v>0</v>
      </c>
      <c r="BL178" s="33"/>
      <c r="BM178" s="13">
        <f t="shared" ca="1" si="57"/>
        <v>0</v>
      </c>
      <c r="BN178" s="13">
        <f ca="1">ROUNDUP(($BK178+$BM178)*VLOOKUP($BE178,Paraméterek!$P$38:$Q$38,2)/12*IF($D179="Nem",IF($M$13=0,1,$M$13),1),IF($D$4="Forint",0,2))</f>
        <v>0</v>
      </c>
      <c r="BO178" s="13">
        <f t="shared" ca="1" si="58"/>
        <v>0</v>
      </c>
      <c r="BP178" s="13">
        <f ca="1">IF($D179="Nem",$BO178,$BO178-ROUNDUP(SUM($BI$20:$BI178)*120%,IF($D$4="Forint",0,2)))</f>
        <v>0</v>
      </c>
    </row>
    <row r="179" spans="1:68" x14ac:dyDescent="0.2">
      <c r="A179" s="32">
        <v>160</v>
      </c>
      <c r="B179" s="32">
        <v>14</v>
      </c>
      <c r="C179" s="32">
        <v>4</v>
      </c>
      <c r="D179" s="32" t="str">
        <f t="shared" ca="1" si="44"/>
        <v>Nem</v>
      </c>
      <c r="E179" s="13">
        <f t="shared" ca="1" si="45"/>
        <v>0</v>
      </c>
      <c r="F179" s="13"/>
      <c r="G179" s="13"/>
      <c r="H179" s="13"/>
      <c r="I179" s="13">
        <f t="shared" ca="1" si="46"/>
        <v>0</v>
      </c>
      <c r="J179" s="13">
        <f t="shared" ca="1" si="47"/>
        <v>0</v>
      </c>
      <c r="K179" s="13">
        <f t="shared" ca="1" si="48"/>
        <v>0</v>
      </c>
      <c r="L179" s="13" t="e">
        <f ca="1">ROUNDUP(IF($D$2="Egyszeri",$E179,IF($D$2="Havi",SUM($E$20:$E$31),IF(MOD($C179,$M$1)-1=0,SUM($E$20:$E$31),0))/12*$M$1)*VLOOKUP($B179,Paraméterek!$I$28:$P$31,IF($D$2="Egyszeri",8,HLOOKUP(ROUNDUP($M$11+$M$13,0),Paraméterek!$J$26:$O$27,2))),IF($D$4="Forint",0,2))</f>
        <v>#N/A</v>
      </c>
      <c r="M179" s="13">
        <f t="shared" ca="1" si="49"/>
        <v>0</v>
      </c>
      <c r="N179" s="13">
        <f t="shared" ca="1" si="59"/>
        <v>0</v>
      </c>
      <c r="O179" s="13">
        <f ca="1">IF($D179="Igen",IF($W178&gt;=IF($D$4="Forint",Paraméterek!$J$121,Paraméterek!$K$121),0,IF($D$4="Forint",Paraméterek!$J$121,Paraméterek!$K$121)-$W178),0)</f>
        <v>0</v>
      </c>
      <c r="P179" s="13" t="e">
        <f ca="1">ROUNDUP($O179*VLOOKUP($M$4+$B179-1,Paraméterek!$H$58:$I$105,2,0)/Paraméterek!$I$56,IF($D$4="Forint",0,2))</f>
        <v>#N/A</v>
      </c>
      <c r="Q179" s="13">
        <f t="shared" ca="1" si="50"/>
        <v>0</v>
      </c>
      <c r="R179" s="33"/>
      <c r="S179" s="13" t="e">
        <f t="shared" ca="1" si="51"/>
        <v>#N/A</v>
      </c>
      <c r="T179" s="13" t="e">
        <f ca="1">ROUNDUP(($N179-$P179-$Q179+$S179)*VLOOKUP($B179,Paraméterek!$I$38:$K$39,IF($D$2="Egyszeri",3,2))/12*IF($D180="Nem",IF($M$13=0,1,$M$13),1),IF($D$4="Forint",0,2))</f>
        <v>#N/A</v>
      </c>
      <c r="U179" s="13"/>
      <c r="V179" s="13"/>
      <c r="W179" s="13" t="e">
        <f ca="1">$N179-$P179-$Q179+$S179-$T179-IF(ROUNDUP(IF(ISBLANK($V179),$U179*0,$V179)/IF($D$2="Egyszeri",VLOOKUP($B179+IF($C179=12,1,0),Paraméterek!$V$257:$W$262,2),IF($B179=1,1,VLOOKUP($B179+IF($C179=12,1,0),Paraméterek!$I$258:$T$278,HLOOKUP($M$11+1,Paraméterek!$J$256:$T$257,2)))),IF($D$4="Forint",0,2))&gt;$N179-$P179-$Q179+$S179-$T179-IF($D$4="Forint",Paraméterek!$C$216,Paraméterek!$D$216),0,ROUNDUP(IF(ISBLANK($V179),$U179*0,$V179)/IF($D$2="Egyszeri",VLOOKUP($B179+IF($C179=12,1,0),Paraméterek!$V$257:$W$262,2),IF($B179=1,1,VLOOKUP($B179+IF($C179=12,1,0),Paraméterek!$I$258:$T$278,HLOOKUP($M$11+1,Paraméterek!$J$256:$T$257,2)))),IF($D$4="Forint",0,2)))</f>
        <v>#N/A</v>
      </c>
      <c r="X179" s="13" t="e">
        <f ca="1">ROUNDDOWN($W179*IF($D$2="Egyszeri",VLOOKUP($B179+IF($C179=12,1,0),Paraméterek!$V$257:$W$262,2),VLOOKUP($B179+IF($C179=12,1,0),Paraméterek!$I$258:$T$278,HLOOKUP($M$11+1,Paraméterek!$I$256:$T$257,2))),IF($D$4="Forint",0,2))</f>
        <v>#N/A</v>
      </c>
      <c r="Z179" s="32">
        <v>160</v>
      </c>
      <c r="AA179" s="32">
        <v>14</v>
      </c>
      <c r="AB179" s="32">
        <v>4</v>
      </c>
      <c r="AC179" s="13">
        <f t="shared" ca="1" si="60"/>
        <v>0</v>
      </c>
      <c r="AD179" s="33"/>
      <c r="AE179" s="13">
        <f t="shared" ca="1" si="52"/>
        <v>0</v>
      </c>
      <c r="AF179" s="13">
        <f ca="1">ROUNDUP(($AC179+$AE179)*VLOOKUP($AA179,Paraméterek!$P$38:$Q$38,2)/12*IF($D180="Nem",IF($M$13=0,1,$M$13),1),IF($D$4="Forint",0,2))</f>
        <v>0</v>
      </c>
      <c r="AG179" s="13">
        <f ca="1">IF($D$2="Egyszeri",IF($D$7&gt;=IF($D$4="Forint",Paraméterek!$P$223,Paraméterek!$P$224),$D$7-IF($D$4="Forint",Paraméterek!$P$223,Paraméterek!$P$224),0),MIN(IF($AB179=12,AVERAGEIF($E$20:$E179,"&gt;0",$E$20:$E179)*12,0),SUM($E$20:$E$31)))</f>
        <v>0</v>
      </c>
      <c r="AH179" s="13">
        <f>IF($AA179=10,$AG179*IF($AB179=12,IF($AG179&lt;IF($D$4="Forint",Paraméterek!$L$223,Paraméterek!$L$224),0,VLOOKUP($AA179,Paraméterek!$K$226:$M$228,IF($AG179&lt;IF($D$4="Forint",Paraméterek!$M$223,Paraméterek!$M$224),2,3))),0),0)</f>
        <v>0</v>
      </c>
      <c r="AI179" s="13">
        <f ca="1">IF(AND($AA179=$M$11+1,$AB179=$M$12+1),SUMIF($AA$20:$AA$1027,$AA179,$AG$20:$AG$1027)*IF(SUMIF($AA$20:$AA$1027,$AA179,$AG$20:$AG$1027)&lt;IF($D$4="Forint",Paraméterek!$L$223,Paraméterek!$L$224),0,VLOOKUP($AA179,Paraméterek!$K$230:$M$250,IF(SUMIF($AA$20:$AA$1027,$AA179,$AG$20:$AG$1027)&lt;IF($D$4="Forint",Paraméterek!$M$223,Paraméterek!$M$224),2,3))),0)</f>
        <v>0</v>
      </c>
      <c r="AJ179" s="13">
        <f ca="1">IF(AND($AA179&gt;=5,MOD($AA179,5)=0),IF($AB179=12,VLOOKUP($AA179,Paraméterek!$O$225:$P$240,2),0),IF(OR($AA179=3,$AA179=4),IF($AB179=12,VLOOKUP($AA179,Paraméterek!$O$225:$P$240,2,0),0),0))*$AG179</f>
        <v>0</v>
      </c>
      <c r="AK179" s="13">
        <f t="shared" ca="1" si="53"/>
        <v>0</v>
      </c>
      <c r="AL179" s="13">
        <f t="shared" ca="1" si="61"/>
        <v>0</v>
      </c>
      <c r="AM179" s="13">
        <f t="shared" ca="1" si="62"/>
        <v>0</v>
      </c>
      <c r="AO179" s="32">
        <v>160</v>
      </c>
      <c r="AP179" s="32">
        <v>14</v>
      </c>
      <c r="AQ179" s="32">
        <v>4</v>
      </c>
      <c r="AR179" s="13"/>
      <c r="AS179" s="32"/>
      <c r="AT179" s="13">
        <f t="shared" ca="1" si="63"/>
        <v>0</v>
      </c>
      <c r="AU179" s="33"/>
      <c r="AV179" s="13">
        <f t="shared" ca="1" si="54"/>
        <v>0</v>
      </c>
      <c r="AW179" s="13">
        <f ca="1">ROUNDUP(($AT179+$AV179)*VLOOKUP($AP179,Paraméterek!$P$38:$Q$38,2)/12*IF($D180="Nem",IF($M$13=0,1,$M$13),1),IF($D$4="Forint",0,2))</f>
        <v>0</v>
      </c>
      <c r="AX179" s="13"/>
      <c r="AY179" s="13"/>
      <c r="AZ179" s="13">
        <f>ROUNDUP(IF(SUM($AX179:$AY179)=0,0,IF(IF(ISBLANK($AY179),$AX179,$AY179)*Paraméterek!$J$112&lt;IF($D$4="Forint",Paraméterek!$J$113,Paraméterek!$K$113),IF($D$4="Forint",Paraméterek!$J$113,Paraméterek!$K$113),IF(IF(ISBLANK($AY179),$AX179,$AY179)*Paraméterek!$J$112&gt;IF($D$4="Forint",Paraméterek!$J$114,Paraméterek!$K$114),IF($D$4="Forint",Paraméterek!$J$114,Paraméterek!$K$114),IF(ISBLANK($AY179),$AX179,$AY179)*Paraméterek!$J$112))),IF($D$4="Forint",0,2))</f>
        <v>0</v>
      </c>
      <c r="BA179" s="13">
        <f ca="1">$AT179+$AV179-$AW179-IF(ROUNDDOWN(IF(ISBLANK($AY179),$AX179,$AY179),IF($D$4="Forint",0,2))&gt;$AT179+$AV179-$AW179-IF($D$4="Forint",Paraméterek!$J$114,Paraméterek!$K$114),0,ROUNDDOWN(IF(ISBLANK($AY179),$AX179,$AY179),IF($D$4="Forint",0,2))-$AZ179)</f>
        <v>0</v>
      </c>
      <c r="BB179" s="13">
        <f t="shared" ca="1" si="55"/>
        <v>0</v>
      </c>
      <c r="BD179" s="32">
        <v>160</v>
      </c>
      <c r="BE179" s="32">
        <v>14</v>
      </c>
      <c r="BF179" s="32">
        <v>4</v>
      </c>
      <c r="BG179" s="34">
        <f t="shared" ca="1" si="64"/>
        <v>2032</v>
      </c>
      <c r="BH179" s="32" t="str">
        <f ca="1">IF(MOD(MONTH($D$14)+$BD179-1,12)=Paraméterek!$C$288,"Igen","")</f>
        <v/>
      </c>
      <c r="BI179" s="13">
        <f ca="1">IF($BH179="Igen",MIN(ROUNDDOWN((SUMIF($BG$20:$BG$1027,$BG179-1,$K$20:$K$1027)-SUMIF($BG$20:$BG$1027,$BG179-1,$I$20:$I$1027))*Paraméterek!$C$289,IF($D$4="Forint",0,2)),IF($D$4="Forint",Paraméterek!$C$285,Paraméterek!$D$285)),0)</f>
        <v>0</v>
      </c>
      <c r="BJ179" s="13">
        <f t="shared" ca="1" si="56"/>
        <v>0</v>
      </c>
      <c r="BK179" s="13">
        <f t="shared" ca="1" si="65"/>
        <v>0</v>
      </c>
      <c r="BL179" s="33"/>
      <c r="BM179" s="13">
        <f t="shared" ca="1" si="57"/>
        <v>0</v>
      </c>
      <c r="BN179" s="13">
        <f ca="1">ROUNDUP(($BK179+$BM179)*VLOOKUP($BE179,Paraméterek!$P$38:$Q$38,2)/12*IF($D180="Nem",IF($M$13=0,1,$M$13),1),IF($D$4="Forint",0,2))</f>
        <v>0</v>
      </c>
      <c r="BO179" s="13">
        <f t="shared" ca="1" si="58"/>
        <v>0</v>
      </c>
      <c r="BP179" s="13">
        <f ca="1">IF($D180="Nem",$BO179,$BO179-ROUNDUP(SUM($BI$20:$BI179)*120%,IF($D$4="Forint",0,2)))</f>
        <v>0</v>
      </c>
    </row>
    <row r="180" spans="1:68" x14ac:dyDescent="0.2">
      <c r="A180" s="32">
        <v>161</v>
      </c>
      <c r="B180" s="32">
        <v>14</v>
      </c>
      <c r="C180" s="32">
        <v>5</v>
      </c>
      <c r="D180" s="32" t="str">
        <f t="shared" ca="1" si="44"/>
        <v>Nem</v>
      </c>
      <c r="E180" s="13">
        <f t="shared" ca="1" si="45"/>
        <v>0</v>
      </c>
      <c r="F180" s="13"/>
      <c r="G180" s="13"/>
      <c r="H180" s="13"/>
      <c r="I180" s="13">
        <f t="shared" ca="1" si="46"/>
        <v>0</v>
      </c>
      <c r="J180" s="13">
        <f t="shared" ca="1" si="47"/>
        <v>0</v>
      </c>
      <c r="K180" s="13">
        <f t="shared" ca="1" si="48"/>
        <v>0</v>
      </c>
      <c r="L180" s="13" t="e">
        <f ca="1">ROUNDUP(IF($D$2="Egyszeri",$E180,IF($D$2="Havi",SUM($E$20:$E$31),IF(MOD($C180,$M$1)-1=0,SUM($E$20:$E$31),0))/12*$M$1)*VLOOKUP($B180,Paraméterek!$I$28:$P$31,IF($D$2="Egyszeri",8,HLOOKUP(ROUNDUP($M$11+$M$13,0),Paraméterek!$J$26:$O$27,2))),IF($D$4="Forint",0,2))</f>
        <v>#N/A</v>
      </c>
      <c r="M180" s="13">
        <f t="shared" ca="1" si="49"/>
        <v>0</v>
      </c>
      <c r="N180" s="13">
        <f t="shared" ca="1" si="59"/>
        <v>0</v>
      </c>
      <c r="O180" s="13">
        <f ca="1">IF($D180="Igen",IF($W179&gt;=IF($D$4="Forint",Paraméterek!$J$121,Paraméterek!$K$121),0,IF($D$4="Forint",Paraméterek!$J$121,Paraméterek!$K$121)-$W179),0)</f>
        <v>0</v>
      </c>
      <c r="P180" s="13" t="e">
        <f ca="1">ROUNDUP($O180*VLOOKUP($M$4+$B180-1,Paraméterek!$H$58:$I$105,2,0)/Paraméterek!$I$56,IF($D$4="Forint",0,2))</f>
        <v>#N/A</v>
      </c>
      <c r="Q180" s="13">
        <f t="shared" ca="1" si="50"/>
        <v>0</v>
      </c>
      <c r="R180" s="33"/>
      <c r="S180" s="13" t="e">
        <f t="shared" ca="1" si="51"/>
        <v>#N/A</v>
      </c>
      <c r="T180" s="13" t="e">
        <f ca="1">ROUNDUP(($N180-$P180-$Q180+$S180)*VLOOKUP($B180,Paraméterek!$I$38:$K$39,IF($D$2="Egyszeri",3,2))/12*IF($D181="Nem",IF($M$13=0,1,$M$13),1),IF($D$4="Forint",0,2))</f>
        <v>#N/A</v>
      </c>
      <c r="U180" s="13"/>
      <c r="V180" s="13"/>
      <c r="W180" s="13" t="e">
        <f ca="1">$N180-$P180-$Q180+$S180-$T180-IF(ROUNDUP(IF(ISBLANK($V180),$U180*0,$V180)/IF($D$2="Egyszeri",VLOOKUP($B180+IF($C180=12,1,0),Paraméterek!$V$257:$W$262,2),IF($B180=1,1,VLOOKUP($B180+IF($C180=12,1,0),Paraméterek!$I$258:$T$278,HLOOKUP($M$11+1,Paraméterek!$J$256:$T$257,2)))),IF($D$4="Forint",0,2))&gt;$N180-$P180-$Q180+$S180-$T180-IF($D$4="Forint",Paraméterek!$C$216,Paraméterek!$D$216),0,ROUNDUP(IF(ISBLANK($V180),$U180*0,$V180)/IF($D$2="Egyszeri",VLOOKUP($B180+IF($C180=12,1,0),Paraméterek!$V$257:$W$262,2),IF($B180=1,1,VLOOKUP($B180+IF($C180=12,1,0),Paraméterek!$I$258:$T$278,HLOOKUP($M$11+1,Paraméterek!$J$256:$T$257,2)))),IF($D$4="Forint",0,2)))</f>
        <v>#N/A</v>
      </c>
      <c r="X180" s="13" t="e">
        <f ca="1">ROUNDDOWN($W180*IF($D$2="Egyszeri",VLOOKUP($B180+IF($C180=12,1,0),Paraméterek!$V$257:$W$262,2),VLOOKUP($B180+IF($C180=12,1,0),Paraméterek!$I$258:$T$278,HLOOKUP($M$11+1,Paraméterek!$I$256:$T$257,2))),IF($D$4="Forint",0,2))</f>
        <v>#N/A</v>
      </c>
      <c r="Z180" s="32">
        <v>161</v>
      </c>
      <c r="AA180" s="32">
        <v>14</v>
      </c>
      <c r="AB180" s="32">
        <v>5</v>
      </c>
      <c r="AC180" s="13">
        <f t="shared" ca="1" si="60"/>
        <v>0</v>
      </c>
      <c r="AD180" s="33"/>
      <c r="AE180" s="13">
        <f t="shared" ca="1" si="52"/>
        <v>0</v>
      </c>
      <c r="AF180" s="13">
        <f ca="1">ROUNDUP(($AC180+$AE180)*VLOOKUP($AA180,Paraméterek!$P$38:$Q$38,2)/12*IF($D181="Nem",IF($M$13=0,1,$M$13),1),IF($D$4="Forint",0,2))</f>
        <v>0</v>
      </c>
      <c r="AG180" s="13">
        <f ca="1">IF($D$2="Egyszeri",IF($D$7&gt;=IF($D$4="Forint",Paraméterek!$P$223,Paraméterek!$P$224),$D$7-IF($D$4="Forint",Paraméterek!$P$223,Paraméterek!$P$224),0),MIN(IF($AB180=12,AVERAGEIF($E$20:$E180,"&gt;0",$E$20:$E180)*12,0),SUM($E$20:$E$31)))</f>
        <v>0</v>
      </c>
      <c r="AH180" s="13">
        <f>IF($AA180=10,$AG180*IF($AB180=12,IF($AG180&lt;IF($D$4="Forint",Paraméterek!$L$223,Paraméterek!$L$224),0,VLOOKUP($AA180,Paraméterek!$K$226:$M$228,IF($AG180&lt;IF($D$4="Forint",Paraméterek!$M$223,Paraméterek!$M$224),2,3))),0),0)</f>
        <v>0</v>
      </c>
      <c r="AI180" s="13">
        <f ca="1">IF(AND($AA180=$M$11+1,$AB180=$M$12+1),SUMIF($AA$20:$AA$1027,$AA180,$AG$20:$AG$1027)*IF(SUMIF($AA$20:$AA$1027,$AA180,$AG$20:$AG$1027)&lt;IF($D$4="Forint",Paraméterek!$L$223,Paraméterek!$L$224),0,VLOOKUP($AA180,Paraméterek!$K$230:$M$250,IF(SUMIF($AA$20:$AA$1027,$AA180,$AG$20:$AG$1027)&lt;IF($D$4="Forint",Paraméterek!$M$223,Paraméterek!$M$224),2,3))),0)</f>
        <v>0</v>
      </c>
      <c r="AJ180" s="13">
        <f ca="1">IF(AND($AA180&gt;=5,MOD($AA180,5)=0),IF($AB180=12,VLOOKUP($AA180,Paraméterek!$O$225:$P$240,2),0),IF(OR($AA180=3,$AA180=4),IF($AB180=12,VLOOKUP($AA180,Paraméterek!$O$225:$P$240,2,0),0),0))*$AG180</f>
        <v>0</v>
      </c>
      <c r="AK180" s="13">
        <f t="shared" ca="1" si="53"/>
        <v>0</v>
      </c>
      <c r="AL180" s="13">
        <f t="shared" ca="1" si="61"/>
        <v>0</v>
      </c>
      <c r="AM180" s="13">
        <f t="shared" ca="1" si="62"/>
        <v>0</v>
      </c>
      <c r="AO180" s="32">
        <v>161</v>
      </c>
      <c r="AP180" s="32">
        <v>14</v>
      </c>
      <c r="AQ180" s="32">
        <v>5</v>
      </c>
      <c r="AR180" s="13"/>
      <c r="AS180" s="32"/>
      <c r="AT180" s="13">
        <f t="shared" ca="1" si="63"/>
        <v>0</v>
      </c>
      <c r="AU180" s="33"/>
      <c r="AV180" s="13">
        <f t="shared" ca="1" si="54"/>
        <v>0</v>
      </c>
      <c r="AW180" s="13">
        <f ca="1">ROUNDUP(($AT180+$AV180)*VLOOKUP($AP180,Paraméterek!$P$38:$Q$38,2)/12*IF($D181="Nem",IF($M$13=0,1,$M$13),1),IF($D$4="Forint",0,2))</f>
        <v>0</v>
      </c>
      <c r="AX180" s="13"/>
      <c r="AY180" s="13"/>
      <c r="AZ180" s="13">
        <f>ROUNDUP(IF(SUM($AX180:$AY180)=0,0,IF(IF(ISBLANK($AY180),$AX180,$AY180)*Paraméterek!$J$112&lt;IF($D$4="Forint",Paraméterek!$J$113,Paraméterek!$K$113),IF($D$4="Forint",Paraméterek!$J$113,Paraméterek!$K$113),IF(IF(ISBLANK($AY180),$AX180,$AY180)*Paraméterek!$J$112&gt;IF($D$4="Forint",Paraméterek!$J$114,Paraméterek!$K$114),IF($D$4="Forint",Paraméterek!$J$114,Paraméterek!$K$114),IF(ISBLANK($AY180),$AX180,$AY180)*Paraméterek!$J$112))),IF($D$4="Forint",0,2))</f>
        <v>0</v>
      </c>
      <c r="BA180" s="13">
        <f ca="1">$AT180+$AV180-$AW180-IF(ROUNDDOWN(IF(ISBLANK($AY180),$AX180,$AY180),IF($D$4="Forint",0,2))&gt;$AT180+$AV180-$AW180-IF($D$4="Forint",Paraméterek!$J$114,Paraméterek!$K$114),0,ROUNDDOWN(IF(ISBLANK($AY180),$AX180,$AY180),IF($D$4="Forint",0,2))-$AZ180)</f>
        <v>0</v>
      </c>
      <c r="BB180" s="13">
        <f t="shared" ca="1" si="55"/>
        <v>0</v>
      </c>
      <c r="BD180" s="32">
        <v>161</v>
      </c>
      <c r="BE180" s="32">
        <v>14</v>
      </c>
      <c r="BF180" s="32">
        <v>5</v>
      </c>
      <c r="BG180" s="34">
        <f t="shared" ca="1" si="64"/>
        <v>2032</v>
      </c>
      <c r="BH180" s="32" t="str">
        <f ca="1">IF(MOD(MONTH($D$14)+$BD180-1,12)=Paraméterek!$C$288,"Igen","")</f>
        <v/>
      </c>
      <c r="BI180" s="13">
        <f ca="1">IF($BH180="Igen",MIN(ROUNDDOWN((SUMIF($BG$20:$BG$1027,$BG180-1,$K$20:$K$1027)-SUMIF($BG$20:$BG$1027,$BG180-1,$I$20:$I$1027))*Paraméterek!$C$289,IF($D$4="Forint",0,2)),IF($D$4="Forint",Paraméterek!$C$285,Paraméterek!$D$285)),0)</f>
        <v>0</v>
      </c>
      <c r="BJ180" s="13">
        <f t="shared" ca="1" si="56"/>
        <v>0</v>
      </c>
      <c r="BK180" s="13">
        <f t="shared" ca="1" si="65"/>
        <v>0</v>
      </c>
      <c r="BL180" s="33"/>
      <c r="BM180" s="13">
        <f t="shared" ca="1" si="57"/>
        <v>0</v>
      </c>
      <c r="BN180" s="13">
        <f ca="1">ROUNDUP(($BK180+$BM180)*VLOOKUP($BE180,Paraméterek!$P$38:$Q$38,2)/12*IF($D181="Nem",IF($M$13=0,1,$M$13),1),IF($D$4="Forint",0,2))</f>
        <v>0</v>
      </c>
      <c r="BO180" s="13">
        <f t="shared" ca="1" si="58"/>
        <v>0</v>
      </c>
      <c r="BP180" s="13">
        <f ca="1">IF($D181="Nem",$BO180,$BO180-ROUNDUP(SUM($BI$20:$BI180)*120%,IF($D$4="Forint",0,2)))</f>
        <v>0</v>
      </c>
    </row>
    <row r="181" spans="1:68" x14ac:dyDescent="0.2">
      <c r="A181" s="32">
        <v>162</v>
      </c>
      <c r="B181" s="32">
        <v>14</v>
      </c>
      <c r="C181" s="32">
        <v>6</v>
      </c>
      <c r="D181" s="32" t="str">
        <f t="shared" ca="1" si="44"/>
        <v>Nem</v>
      </c>
      <c r="E181" s="13">
        <f t="shared" ca="1" si="45"/>
        <v>0</v>
      </c>
      <c r="F181" s="13"/>
      <c r="G181" s="13"/>
      <c r="H181" s="13"/>
      <c r="I181" s="13">
        <f t="shared" ca="1" si="46"/>
        <v>0</v>
      </c>
      <c r="J181" s="13">
        <f t="shared" ca="1" si="47"/>
        <v>0</v>
      </c>
      <c r="K181" s="13">
        <f t="shared" ca="1" si="48"/>
        <v>0</v>
      </c>
      <c r="L181" s="13" t="e">
        <f ca="1">ROUNDUP(IF($D$2="Egyszeri",$E181,IF($D$2="Havi",SUM($E$20:$E$31),IF(MOD($C181,$M$1)-1=0,SUM($E$20:$E$31),0))/12*$M$1)*VLOOKUP($B181,Paraméterek!$I$28:$P$31,IF($D$2="Egyszeri",8,HLOOKUP(ROUNDUP($M$11+$M$13,0),Paraméterek!$J$26:$O$27,2))),IF($D$4="Forint",0,2))</f>
        <v>#N/A</v>
      </c>
      <c r="M181" s="13">
        <f t="shared" ca="1" si="49"/>
        <v>0</v>
      </c>
      <c r="N181" s="13">
        <f t="shared" ca="1" si="59"/>
        <v>0</v>
      </c>
      <c r="O181" s="13">
        <f ca="1">IF($D181="Igen",IF($W180&gt;=IF($D$4="Forint",Paraméterek!$J$121,Paraméterek!$K$121),0,IF($D$4="Forint",Paraméterek!$J$121,Paraméterek!$K$121)-$W180),0)</f>
        <v>0</v>
      </c>
      <c r="P181" s="13" t="e">
        <f ca="1">ROUNDUP($O181*VLOOKUP($M$4+$B181-1,Paraméterek!$H$58:$I$105,2,0)/Paraméterek!$I$56,IF($D$4="Forint",0,2))</f>
        <v>#N/A</v>
      </c>
      <c r="Q181" s="13">
        <f t="shared" ca="1" si="50"/>
        <v>0</v>
      </c>
      <c r="R181" s="33"/>
      <c r="S181" s="13" t="e">
        <f t="shared" ca="1" si="51"/>
        <v>#N/A</v>
      </c>
      <c r="T181" s="13" t="e">
        <f ca="1">ROUNDUP(($N181-$P181-$Q181+$S181)*VLOOKUP($B181,Paraméterek!$I$38:$K$39,IF($D$2="Egyszeri",3,2))/12*IF($D182="Nem",IF($M$13=0,1,$M$13),1),IF($D$4="Forint",0,2))</f>
        <v>#N/A</v>
      </c>
      <c r="U181" s="13"/>
      <c r="V181" s="13"/>
      <c r="W181" s="13" t="e">
        <f ca="1">$N181-$P181-$Q181+$S181-$T181-IF(ROUNDUP(IF(ISBLANK($V181),$U181*0,$V181)/IF($D$2="Egyszeri",VLOOKUP($B181+IF($C181=12,1,0),Paraméterek!$V$257:$W$262,2),IF($B181=1,1,VLOOKUP($B181+IF($C181=12,1,0),Paraméterek!$I$258:$T$278,HLOOKUP($M$11+1,Paraméterek!$J$256:$T$257,2)))),IF($D$4="Forint",0,2))&gt;$N181-$P181-$Q181+$S181-$T181-IF($D$4="Forint",Paraméterek!$C$216,Paraméterek!$D$216),0,ROUNDUP(IF(ISBLANK($V181),$U181*0,$V181)/IF($D$2="Egyszeri",VLOOKUP($B181+IF($C181=12,1,0),Paraméterek!$V$257:$W$262,2),IF($B181=1,1,VLOOKUP($B181+IF($C181=12,1,0),Paraméterek!$I$258:$T$278,HLOOKUP($M$11+1,Paraméterek!$J$256:$T$257,2)))),IF($D$4="Forint",0,2)))</f>
        <v>#N/A</v>
      </c>
      <c r="X181" s="13" t="e">
        <f ca="1">ROUNDDOWN($W181*IF($D$2="Egyszeri",VLOOKUP($B181+IF($C181=12,1,0),Paraméterek!$V$257:$W$262,2),VLOOKUP($B181+IF($C181=12,1,0),Paraméterek!$I$258:$T$278,HLOOKUP($M$11+1,Paraméterek!$I$256:$T$257,2))),IF($D$4="Forint",0,2))</f>
        <v>#N/A</v>
      </c>
      <c r="Z181" s="32">
        <v>162</v>
      </c>
      <c r="AA181" s="32">
        <v>14</v>
      </c>
      <c r="AB181" s="32">
        <v>6</v>
      </c>
      <c r="AC181" s="13">
        <f t="shared" ca="1" si="60"/>
        <v>0</v>
      </c>
      <c r="AD181" s="33"/>
      <c r="AE181" s="13">
        <f t="shared" ca="1" si="52"/>
        <v>0</v>
      </c>
      <c r="AF181" s="13">
        <f ca="1">ROUNDUP(($AC181+$AE181)*VLOOKUP($AA181,Paraméterek!$P$38:$Q$38,2)/12*IF($D182="Nem",IF($M$13=0,1,$M$13),1),IF($D$4="Forint",0,2))</f>
        <v>0</v>
      </c>
      <c r="AG181" s="13">
        <f ca="1">IF($D$2="Egyszeri",IF($D$7&gt;=IF($D$4="Forint",Paraméterek!$P$223,Paraméterek!$P$224),$D$7-IF($D$4="Forint",Paraméterek!$P$223,Paraméterek!$P$224),0),MIN(IF($AB181=12,AVERAGEIF($E$20:$E181,"&gt;0",$E$20:$E181)*12,0),SUM($E$20:$E$31)))</f>
        <v>0</v>
      </c>
      <c r="AH181" s="13">
        <f>IF($AA181=10,$AG181*IF($AB181=12,IF($AG181&lt;IF($D$4="Forint",Paraméterek!$L$223,Paraméterek!$L$224),0,VLOOKUP($AA181,Paraméterek!$K$226:$M$228,IF($AG181&lt;IF($D$4="Forint",Paraméterek!$M$223,Paraméterek!$M$224),2,3))),0),0)</f>
        <v>0</v>
      </c>
      <c r="AI181" s="13">
        <f ca="1">IF(AND($AA181=$M$11+1,$AB181=$M$12+1),SUMIF($AA$20:$AA$1027,$AA181,$AG$20:$AG$1027)*IF(SUMIF($AA$20:$AA$1027,$AA181,$AG$20:$AG$1027)&lt;IF($D$4="Forint",Paraméterek!$L$223,Paraméterek!$L$224),0,VLOOKUP($AA181,Paraméterek!$K$230:$M$250,IF(SUMIF($AA$20:$AA$1027,$AA181,$AG$20:$AG$1027)&lt;IF($D$4="Forint",Paraméterek!$M$223,Paraméterek!$M$224),2,3))),0)</f>
        <v>0</v>
      </c>
      <c r="AJ181" s="13">
        <f ca="1">IF(AND($AA181&gt;=5,MOD($AA181,5)=0),IF($AB181=12,VLOOKUP($AA181,Paraméterek!$O$225:$P$240,2),0),IF(OR($AA181=3,$AA181=4),IF($AB181=12,VLOOKUP($AA181,Paraméterek!$O$225:$P$240,2,0),0),0))*$AG181</f>
        <v>0</v>
      </c>
      <c r="AK181" s="13">
        <f t="shared" ca="1" si="53"/>
        <v>0</v>
      </c>
      <c r="AL181" s="13">
        <f t="shared" ca="1" si="61"/>
        <v>0</v>
      </c>
      <c r="AM181" s="13">
        <f t="shared" ca="1" si="62"/>
        <v>0</v>
      </c>
      <c r="AO181" s="32">
        <v>162</v>
      </c>
      <c r="AP181" s="32">
        <v>14</v>
      </c>
      <c r="AQ181" s="32">
        <v>6</v>
      </c>
      <c r="AR181" s="13"/>
      <c r="AS181" s="32"/>
      <c r="AT181" s="13">
        <f t="shared" ca="1" si="63"/>
        <v>0</v>
      </c>
      <c r="AU181" s="33"/>
      <c r="AV181" s="13">
        <f t="shared" ca="1" si="54"/>
        <v>0</v>
      </c>
      <c r="AW181" s="13">
        <f ca="1">ROUNDUP(($AT181+$AV181)*VLOOKUP($AP181,Paraméterek!$P$38:$Q$38,2)/12*IF($D182="Nem",IF($M$13=0,1,$M$13),1),IF($D$4="Forint",0,2))</f>
        <v>0</v>
      </c>
      <c r="AX181" s="13"/>
      <c r="AY181" s="13"/>
      <c r="AZ181" s="13">
        <f>ROUNDUP(IF(SUM($AX181:$AY181)=0,0,IF(IF(ISBLANK($AY181),$AX181,$AY181)*Paraméterek!$J$112&lt;IF($D$4="Forint",Paraméterek!$J$113,Paraméterek!$K$113),IF($D$4="Forint",Paraméterek!$J$113,Paraméterek!$K$113),IF(IF(ISBLANK($AY181),$AX181,$AY181)*Paraméterek!$J$112&gt;IF($D$4="Forint",Paraméterek!$J$114,Paraméterek!$K$114),IF($D$4="Forint",Paraméterek!$J$114,Paraméterek!$K$114),IF(ISBLANK($AY181),$AX181,$AY181)*Paraméterek!$J$112))),IF($D$4="Forint",0,2))</f>
        <v>0</v>
      </c>
      <c r="BA181" s="13">
        <f ca="1">$AT181+$AV181-$AW181-IF(ROUNDDOWN(IF(ISBLANK($AY181),$AX181,$AY181),IF($D$4="Forint",0,2))&gt;$AT181+$AV181-$AW181-IF($D$4="Forint",Paraméterek!$J$114,Paraméterek!$K$114),0,ROUNDDOWN(IF(ISBLANK($AY181),$AX181,$AY181),IF($D$4="Forint",0,2))-$AZ181)</f>
        <v>0</v>
      </c>
      <c r="BB181" s="13">
        <f t="shared" ca="1" si="55"/>
        <v>0</v>
      </c>
      <c r="BD181" s="32">
        <v>162</v>
      </c>
      <c r="BE181" s="32">
        <v>14</v>
      </c>
      <c r="BF181" s="32">
        <v>6</v>
      </c>
      <c r="BG181" s="34">
        <f t="shared" ca="1" si="64"/>
        <v>2032</v>
      </c>
      <c r="BH181" s="32" t="str">
        <f ca="1">IF(MOD(MONTH($D$14)+$BD181-1,12)=Paraméterek!$C$288,"Igen","")</f>
        <v/>
      </c>
      <c r="BI181" s="13">
        <f ca="1">IF($BH181="Igen",MIN(ROUNDDOWN((SUMIF($BG$20:$BG$1027,$BG181-1,$K$20:$K$1027)-SUMIF($BG$20:$BG$1027,$BG181-1,$I$20:$I$1027))*Paraméterek!$C$289,IF($D$4="Forint",0,2)),IF($D$4="Forint",Paraméterek!$C$285,Paraméterek!$D$285)),0)</f>
        <v>0</v>
      </c>
      <c r="BJ181" s="13">
        <f t="shared" ca="1" si="56"/>
        <v>0</v>
      </c>
      <c r="BK181" s="13">
        <f t="shared" ca="1" si="65"/>
        <v>0</v>
      </c>
      <c r="BL181" s="33"/>
      <c r="BM181" s="13">
        <f t="shared" ca="1" si="57"/>
        <v>0</v>
      </c>
      <c r="BN181" s="13">
        <f ca="1">ROUNDUP(($BK181+$BM181)*VLOOKUP($BE181,Paraméterek!$P$38:$Q$38,2)/12*IF($D182="Nem",IF($M$13=0,1,$M$13),1),IF($D$4="Forint",0,2))</f>
        <v>0</v>
      </c>
      <c r="BO181" s="13">
        <f t="shared" ca="1" si="58"/>
        <v>0</v>
      </c>
      <c r="BP181" s="13">
        <f ca="1">IF($D182="Nem",$BO181,$BO181-ROUNDUP(SUM($BI$20:$BI181)*120%,IF($D$4="Forint",0,2)))</f>
        <v>0</v>
      </c>
    </row>
    <row r="182" spans="1:68" x14ac:dyDescent="0.2">
      <c r="A182" s="32">
        <v>163</v>
      </c>
      <c r="B182" s="32">
        <v>14</v>
      </c>
      <c r="C182" s="32">
        <v>7</v>
      </c>
      <c r="D182" s="32" t="str">
        <f t="shared" ca="1" si="44"/>
        <v>Nem</v>
      </c>
      <c r="E182" s="13">
        <f t="shared" ca="1" si="45"/>
        <v>0</v>
      </c>
      <c r="F182" s="13"/>
      <c r="G182" s="13"/>
      <c r="H182" s="13"/>
      <c r="I182" s="13">
        <f t="shared" ca="1" si="46"/>
        <v>0</v>
      </c>
      <c r="J182" s="13">
        <f t="shared" ca="1" si="47"/>
        <v>0</v>
      </c>
      <c r="K182" s="13">
        <f t="shared" ca="1" si="48"/>
        <v>0</v>
      </c>
      <c r="L182" s="13" t="e">
        <f ca="1">ROUNDUP(IF($D$2="Egyszeri",$E182,IF($D$2="Havi",SUM($E$20:$E$31),IF(MOD($C182,$M$1)-1=0,SUM($E$20:$E$31),0))/12*$M$1)*VLOOKUP($B182,Paraméterek!$I$28:$P$31,IF($D$2="Egyszeri",8,HLOOKUP(ROUNDUP($M$11+$M$13,0),Paraméterek!$J$26:$O$27,2))),IF($D$4="Forint",0,2))</f>
        <v>#N/A</v>
      </c>
      <c r="M182" s="13">
        <f t="shared" ca="1" si="49"/>
        <v>0</v>
      </c>
      <c r="N182" s="13">
        <f t="shared" ca="1" si="59"/>
        <v>0</v>
      </c>
      <c r="O182" s="13">
        <f ca="1">IF($D182="Igen",IF($W181&gt;=IF($D$4="Forint",Paraméterek!$J$121,Paraméterek!$K$121),0,IF($D$4="Forint",Paraméterek!$J$121,Paraméterek!$K$121)-$W181),0)</f>
        <v>0</v>
      </c>
      <c r="P182" s="13" t="e">
        <f ca="1">ROUNDUP($O182*VLOOKUP($M$4+$B182-1,Paraméterek!$H$58:$I$105,2,0)/Paraméterek!$I$56,IF($D$4="Forint",0,2))</f>
        <v>#N/A</v>
      </c>
      <c r="Q182" s="13">
        <f t="shared" ca="1" si="50"/>
        <v>0</v>
      </c>
      <c r="R182" s="33"/>
      <c r="S182" s="13" t="e">
        <f t="shared" ca="1" si="51"/>
        <v>#N/A</v>
      </c>
      <c r="T182" s="13" t="e">
        <f ca="1">ROUNDUP(($N182-$P182-$Q182+$S182)*VLOOKUP($B182,Paraméterek!$I$38:$K$39,IF($D$2="Egyszeri",3,2))/12*IF($D183="Nem",IF($M$13=0,1,$M$13),1),IF($D$4="Forint",0,2))</f>
        <v>#N/A</v>
      </c>
      <c r="U182" s="13"/>
      <c r="V182" s="13"/>
      <c r="W182" s="13" t="e">
        <f ca="1">$N182-$P182-$Q182+$S182-$T182-IF(ROUNDUP(IF(ISBLANK($V182),$U182*0,$V182)/IF($D$2="Egyszeri",VLOOKUP($B182+IF($C182=12,1,0),Paraméterek!$V$257:$W$262,2),IF($B182=1,1,VLOOKUP($B182+IF($C182=12,1,0),Paraméterek!$I$258:$T$278,HLOOKUP($M$11+1,Paraméterek!$J$256:$T$257,2)))),IF($D$4="Forint",0,2))&gt;$N182-$P182-$Q182+$S182-$T182-IF($D$4="Forint",Paraméterek!$C$216,Paraméterek!$D$216),0,ROUNDUP(IF(ISBLANK($V182),$U182*0,$V182)/IF($D$2="Egyszeri",VLOOKUP($B182+IF($C182=12,1,0),Paraméterek!$V$257:$W$262,2),IF($B182=1,1,VLOOKUP($B182+IF($C182=12,1,0),Paraméterek!$I$258:$T$278,HLOOKUP($M$11+1,Paraméterek!$J$256:$T$257,2)))),IF($D$4="Forint",0,2)))</f>
        <v>#N/A</v>
      </c>
      <c r="X182" s="13" t="e">
        <f ca="1">ROUNDDOWN($W182*IF($D$2="Egyszeri",VLOOKUP($B182+IF($C182=12,1,0),Paraméterek!$V$257:$W$262,2),VLOOKUP($B182+IF($C182=12,1,0),Paraméterek!$I$258:$T$278,HLOOKUP($M$11+1,Paraméterek!$I$256:$T$257,2))),IF($D$4="Forint",0,2))</f>
        <v>#N/A</v>
      </c>
      <c r="Z182" s="32">
        <v>163</v>
      </c>
      <c r="AA182" s="32">
        <v>14</v>
      </c>
      <c r="AB182" s="32">
        <v>7</v>
      </c>
      <c r="AC182" s="13">
        <f t="shared" ca="1" si="60"/>
        <v>0</v>
      </c>
      <c r="AD182" s="33"/>
      <c r="AE182" s="13">
        <f t="shared" ca="1" si="52"/>
        <v>0</v>
      </c>
      <c r="AF182" s="13">
        <f ca="1">ROUNDUP(($AC182+$AE182)*VLOOKUP($AA182,Paraméterek!$P$38:$Q$38,2)/12*IF($D183="Nem",IF($M$13=0,1,$M$13),1),IF($D$4="Forint",0,2))</f>
        <v>0</v>
      </c>
      <c r="AG182" s="13">
        <f ca="1">IF($D$2="Egyszeri",IF($D$7&gt;=IF($D$4="Forint",Paraméterek!$P$223,Paraméterek!$P$224),$D$7-IF($D$4="Forint",Paraméterek!$P$223,Paraméterek!$P$224),0),MIN(IF($AB182=12,AVERAGEIF($E$20:$E182,"&gt;0",$E$20:$E182)*12,0),SUM($E$20:$E$31)))</f>
        <v>0</v>
      </c>
      <c r="AH182" s="13">
        <f>IF($AA182=10,$AG182*IF($AB182=12,IF($AG182&lt;IF($D$4="Forint",Paraméterek!$L$223,Paraméterek!$L$224),0,VLOOKUP($AA182,Paraméterek!$K$226:$M$228,IF($AG182&lt;IF($D$4="Forint",Paraméterek!$M$223,Paraméterek!$M$224),2,3))),0),0)</f>
        <v>0</v>
      </c>
      <c r="AI182" s="13">
        <f ca="1">IF(AND($AA182=$M$11+1,$AB182=$M$12+1),SUMIF($AA$20:$AA$1027,$AA182,$AG$20:$AG$1027)*IF(SUMIF($AA$20:$AA$1027,$AA182,$AG$20:$AG$1027)&lt;IF($D$4="Forint",Paraméterek!$L$223,Paraméterek!$L$224),0,VLOOKUP($AA182,Paraméterek!$K$230:$M$250,IF(SUMIF($AA$20:$AA$1027,$AA182,$AG$20:$AG$1027)&lt;IF($D$4="Forint",Paraméterek!$M$223,Paraméterek!$M$224),2,3))),0)</f>
        <v>0</v>
      </c>
      <c r="AJ182" s="13">
        <f ca="1">IF(AND($AA182&gt;=5,MOD($AA182,5)=0),IF($AB182=12,VLOOKUP($AA182,Paraméterek!$O$225:$P$240,2),0),IF(OR($AA182=3,$AA182=4),IF($AB182=12,VLOOKUP($AA182,Paraméterek!$O$225:$P$240,2,0),0),0))*$AG182</f>
        <v>0</v>
      </c>
      <c r="AK182" s="13">
        <f t="shared" ca="1" si="53"/>
        <v>0</v>
      </c>
      <c r="AL182" s="13">
        <f t="shared" ca="1" si="61"/>
        <v>0</v>
      </c>
      <c r="AM182" s="13">
        <f t="shared" ca="1" si="62"/>
        <v>0</v>
      </c>
      <c r="AO182" s="32">
        <v>163</v>
      </c>
      <c r="AP182" s="32">
        <v>14</v>
      </c>
      <c r="AQ182" s="32">
        <v>7</v>
      </c>
      <c r="AR182" s="13"/>
      <c r="AS182" s="32"/>
      <c r="AT182" s="13">
        <f t="shared" ca="1" si="63"/>
        <v>0</v>
      </c>
      <c r="AU182" s="33"/>
      <c r="AV182" s="13">
        <f t="shared" ca="1" si="54"/>
        <v>0</v>
      </c>
      <c r="AW182" s="13">
        <f ca="1">ROUNDUP(($AT182+$AV182)*VLOOKUP($AP182,Paraméterek!$P$38:$Q$38,2)/12*IF($D183="Nem",IF($M$13=0,1,$M$13),1),IF($D$4="Forint",0,2))</f>
        <v>0</v>
      </c>
      <c r="AX182" s="13"/>
      <c r="AY182" s="13"/>
      <c r="AZ182" s="13">
        <f>ROUNDUP(IF(SUM($AX182:$AY182)=0,0,IF(IF(ISBLANK($AY182),$AX182,$AY182)*Paraméterek!$J$112&lt;IF($D$4="Forint",Paraméterek!$J$113,Paraméterek!$K$113),IF($D$4="Forint",Paraméterek!$J$113,Paraméterek!$K$113),IF(IF(ISBLANK($AY182),$AX182,$AY182)*Paraméterek!$J$112&gt;IF($D$4="Forint",Paraméterek!$J$114,Paraméterek!$K$114),IF($D$4="Forint",Paraméterek!$J$114,Paraméterek!$K$114),IF(ISBLANK($AY182),$AX182,$AY182)*Paraméterek!$J$112))),IF($D$4="Forint",0,2))</f>
        <v>0</v>
      </c>
      <c r="BA182" s="13">
        <f ca="1">$AT182+$AV182-$AW182-IF(ROUNDDOWN(IF(ISBLANK($AY182),$AX182,$AY182),IF($D$4="Forint",0,2))&gt;$AT182+$AV182-$AW182-IF($D$4="Forint",Paraméterek!$J$114,Paraméterek!$K$114),0,ROUNDDOWN(IF(ISBLANK($AY182),$AX182,$AY182),IF($D$4="Forint",0,2))-$AZ182)</f>
        <v>0</v>
      </c>
      <c r="BB182" s="13">
        <f t="shared" ca="1" si="55"/>
        <v>0</v>
      </c>
      <c r="BD182" s="32">
        <v>163</v>
      </c>
      <c r="BE182" s="32">
        <v>14</v>
      </c>
      <c r="BF182" s="32">
        <v>7</v>
      </c>
      <c r="BG182" s="34">
        <f t="shared" ca="1" si="64"/>
        <v>2032</v>
      </c>
      <c r="BH182" s="32" t="str">
        <f ca="1">IF(MOD(MONTH($D$14)+$BD182-1,12)=Paraméterek!$C$288,"Igen","")</f>
        <v/>
      </c>
      <c r="BI182" s="13">
        <f ca="1">IF($BH182="Igen",MIN(ROUNDDOWN((SUMIF($BG$20:$BG$1027,$BG182-1,$K$20:$K$1027)-SUMIF($BG$20:$BG$1027,$BG182-1,$I$20:$I$1027))*Paraméterek!$C$289,IF($D$4="Forint",0,2)),IF($D$4="Forint",Paraméterek!$C$285,Paraméterek!$D$285)),0)</f>
        <v>0</v>
      </c>
      <c r="BJ182" s="13">
        <f t="shared" ca="1" si="56"/>
        <v>0</v>
      </c>
      <c r="BK182" s="13">
        <f t="shared" ca="1" si="65"/>
        <v>0</v>
      </c>
      <c r="BL182" s="33"/>
      <c r="BM182" s="13">
        <f t="shared" ca="1" si="57"/>
        <v>0</v>
      </c>
      <c r="BN182" s="13">
        <f ca="1">ROUNDUP(($BK182+$BM182)*VLOOKUP($BE182,Paraméterek!$P$38:$Q$38,2)/12*IF($D183="Nem",IF($M$13=0,1,$M$13),1),IF($D$4="Forint",0,2))</f>
        <v>0</v>
      </c>
      <c r="BO182" s="13">
        <f t="shared" ca="1" si="58"/>
        <v>0</v>
      </c>
      <c r="BP182" s="13">
        <f ca="1">IF($D183="Nem",$BO182,$BO182-ROUNDUP(SUM($BI$20:$BI182)*120%,IF($D$4="Forint",0,2)))</f>
        <v>0</v>
      </c>
    </row>
    <row r="183" spans="1:68" x14ac:dyDescent="0.2">
      <c r="A183" s="32">
        <v>164</v>
      </c>
      <c r="B183" s="32">
        <v>14</v>
      </c>
      <c r="C183" s="32">
        <v>8</v>
      </c>
      <c r="D183" s="32" t="str">
        <f t="shared" ca="1" si="44"/>
        <v>Nem</v>
      </c>
      <c r="E183" s="13">
        <f t="shared" ca="1" si="45"/>
        <v>0</v>
      </c>
      <c r="F183" s="13"/>
      <c r="G183" s="13"/>
      <c r="H183" s="13"/>
      <c r="I183" s="13">
        <f t="shared" ca="1" si="46"/>
        <v>0</v>
      </c>
      <c r="J183" s="13">
        <f t="shared" ca="1" si="47"/>
        <v>0</v>
      </c>
      <c r="K183" s="13">
        <f t="shared" ca="1" si="48"/>
        <v>0</v>
      </c>
      <c r="L183" s="13" t="e">
        <f ca="1">ROUNDUP(IF($D$2="Egyszeri",$E183,IF($D$2="Havi",SUM($E$20:$E$31),IF(MOD($C183,$M$1)-1=0,SUM($E$20:$E$31),0))/12*$M$1)*VLOOKUP($B183,Paraméterek!$I$28:$P$31,IF($D$2="Egyszeri",8,HLOOKUP(ROUNDUP($M$11+$M$13,0),Paraméterek!$J$26:$O$27,2))),IF($D$4="Forint",0,2))</f>
        <v>#N/A</v>
      </c>
      <c r="M183" s="13">
        <f t="shared" ca="1" si="49"/>
        <v>0</v>
      </c>
      <c r="N183" s="13">
        <f t="shared" ca="1" si="59"/>
        <v>0</v>
      </c>
      <c r="O183" s="13">
        <f ca="1">IF($D183="Igen",IF($W182&gt;=IF($D$4="Forint",Paraméterek!$J$121,Paraméterek!$K$121),0,IF($D$4="Forint",Paraméterek!$J$121,Paraméterek!$K$121)-$W182),0)</f>
        <v>0</v>
      </c>
      <c r="P183" s="13" t="e">
        <f ca="1">ROUNDUP($O183*VLOOKUP($M$4+$B183-1,Paraméterek!$H$58:$I$105,2,0)/Paraméterek!$I$56,IF($D$4="Forint",0,2))</f>
        <v>#N/A</v>
      </c>
      <c r="Q183" s="13">
        <f t="shared" ca="1" si="50"/>
        <v>0</v>
      </c>
      <c r="R183" s="33"/>
      <c r="S183" s="13" t="e">
        <f t="shared" ca="1" si="51"/>
        <v>#N/A</v>
      </c>
      <c r="T183" s="13" t="e">
        <f ca="1">ROUNDUP(($N183-$P183-$Q183+$S183)*VLOOKUP($B183,Paraméterek!$I$38:$K$39,IF($D$2="Egyszeri",3,2))/12*IF($D184="Nem",IF($M$13=0,1,$M$13),1),IF($D$4="Forint",0,2))</f>
        <v>#N/A</v>
      </c>
      <c r="U183" s="13"/>
      <c r="V183" s="13"/>
      <c r="W183" s="13" t="e">
        <f ca="1">$N183-$P183-$Q183+$S183-$T183-IF(ROUNDUP(IF(ISBLANK($V183),$U183*0,$V183)/IF($D$2="Egyszeri",VLOOKUP($B183+IF($C183=12,1,0),Paraméterek!$V$257:$W$262,2),IF($B183=1,1,VLOOKUP($B183+IF($C183=12,1,0),Paraméterek!$I$258:$T$278,HLOOKUP($M$11+1,Paraméterek!$J$256:$T$257,2)))),IF($D$4="Forint",0,2))&gt;$N183-$P183-$Q183+$S183-$T183-IF($D$4="Forint",Paraméterek!$C$216,Paraméterek!$D$216),0,ROUNDUP(IF(ISBLANK($V183),$U183*0,$V183)/IF($D$2="Egyszeri",VLOOKUP($B183+IF($C183=12,1,0),Paraméterek!$V$257:$W$262,2),IF($B183=1,1,VLOOKUP($B183+IF($C183=12,1,0),Paraméterek!$I$258:$T$278,HLOOKUP($M$11+1,Paraméterek!$J$256:$T$257,2)))),IF($D$4="Forint",0,2)))</f>
        <v>#N/A</v>
      </c>
      <c r="X183" s="13" t="e">
        <f ca="1">ROUNDDOWN($W183*IF($D$2="Egyszeri",VLOOKUP($B183+IF($C183=12,1,0),Paraméterek!$V$257:$W$262,2),VLOOKUP($B183+IF($C183=12,1,0),Paraméterek!$I$258:$T$278,HLOOKUP($M$11+1,Paraméterek!$I$256:$T$257,2))),IF($D$4="Forint",0,2))</f>
        <v>#N/A</v>
      </c>
      <c r="Z183" s="32">
        <v>164</v>
      </c>
      <c r="AA183" s="32">
        <v>14</v>
      </c>
      <c r="AB183" s="32">
        <v>8</v>
      </c>
      <c r="AC183" s="13">
        <f t="shared" ca="1" si="60"/>
        <v>0</v>
      </c>
      <c r="AD183" s="33"/>
      <c r="AE183" s="13">
        <f t="shared" ca="1" si="52"/>
        <v>0</v>
      </c>
      <c r="AF183" s="13">
        <f ca="1">ROUNDUP(($AC183+$AE183)*VLOOKUP($AA183,Paraméterek!$P$38:$Q$38,2)/12*IF($D184="Nem",IF($M$13=0,1,$M$13),1),IF($D$4="Forint",0,2))</f>
        <v>0</v>
      </c>
      <c r="AG183" s="13">
        <f ca="1">IF($D$2="Egyszeri",IF($D$7&gt;=IF($D$4="Forint",Paraméterek!$P$223,Paraméterek!$P$224),$D$7-IF($D$4="Forint",Paraméterek!$P$223,Paraméterek!$P$224),0),MIN(IF($AB183=12,AVERAGEIF($E$20:$E183,"&gt;0",$E$20:$E183)*12,0),SUM($E$20:$E$31)))</f>
        <v>0</v>
      </c>
      <c r="AH183" s="13">
        <f>IF($AA183=10,$AG183*IF($AB183=12,IF($AG183&lt;IF($D$4="Forint",Paraméterek!$L$223,Paraméterek!$L$224),0,VLOOKUP($AA183,Paraméterek!$K$226:$M$228,IF($AG183&lt;IF($D$4="Forint",Paraméterek!$M$223,Paraméterek!$M$224),2,3))),0),0)</f>
        <v>0</v>
      </c>
      <c r="AI183" s="13">
        <f ca="1">IF(AND($AA183=$M$11+1,$AB183=$M$12+1),SUMIF($AA$20:$AA$1027,$AA183,$AG$20:$AG$1027)*IF(SUMIF($AA$20:$AA$1027,$AA183,$AG$20:$AG$1027)&lt;IF($D$4="Forint",Paraméterek!$L$223,Paraméterek!$L$224),0,VLOOKUP($AA183,Paraméterek!$K$230:$M$250,IF(SUMIF($AA$20:$AA$1027,$AA183,$AG$20:$AG$1027)&lt;IF($D$4="Forint",Paraméterek!$M$223,Paraméterek!$M$224),2,3))),0)</f>
        <v>0</v>
      </c>
      <c r="AJ183" s="13">
        <f ca="1">IF(AND($AA183&gt;=5,MOD($AA183,5)=0),IF($AB183=12,VLOOKUP($AA183,Paraméterek!$O$225:$P$240,2),0),IF(OR($AA183=3,$AA183=4),IF($AB183=12,VLOOKUP($AA183,Paraméterek!$O$225:$P$240,2,0),0),0))*$AG183</f>
        <v>0</v>
      </c>
      <c r="AK183" s="13">
        <f t="shared" ca="1" si="53"/>
        <v>0</v>
      </c>
      <c r="AL183" s="13">
        <f t="shared" ca="1" si="61"/>
        <v>0</v>
      </c>
      <c r="AM183" s="13">
        <f t="shared" ca="1" si="62"/>
        <v>0</v>
      </c>
      <c r="AO183" s="32">
        <v>164</v>
      </c>
      <c r="AP183" s="32">
        <v>14</v>
      </c>
      <c r="AQ183" s="32">
        <v>8</v>
      </c>
      <c r="AR183" s="13"/>
      <c r="AS183" s="32"/>
      <c r="AT183" s="13">
        <f t="shared" ca="1" si="63"/>
        <v>0</v>
      </c>
      <c r="AU183" s="33"/>
      <c r="AV183" s="13">
        <f t="shared" ca="1" si="54"/>
        <v>0</v>
      </c>
      <c r="AW183" s="13">
        <f ca="1">ROUNDUP(($AT183+$AV183)*VLOOKUP($AP183,Paraméterek!$P$38:$Q$38,2)/12*IF($D184="Nem",IF($M$13=0,1,$M$13),1),IF($D$4="Forint",0,2))</f>
        <v>0</v>
      </c>
      <c r="AX183" s="13"/>
      <c r="AY183" s="13"/>
      <c r="AZ183" s="13">
        <f>ROUNDUP(IF(SUM($AX183:$AY183)=0,0,IF(IF(ISBLANK($AY183),$AX183,$AY183)*Paraméterek!$J$112&lt;IF($D$4="Forint",Paraméterek!$J$113,Paraméterek!$K$113),IF($D$4="Forint",Paraméterek!$J$113,Paraméterek!$K$113),IF(IF(ISBLANK($AY183),$AX183,$AY183)*Paraméterek!$J$112&gt;IF($D$4="Forint",Paraméterek!$J$114,Paraméterek!$K$114),IF($D$4="Forint",Paraméterek!$J$114,Paraméterek!$K$114),IF(ISBLANK($AY183),$AX183,$AY183)*Paraméterek!$J$112))),IF($D$4="Forint",0,2))</f>
        <v>0</v>
      </c>
      <c r="BA183" s="13">
        <f ca="1">$AT183+$AV183-$AW183-IF(ROUNDDOWN(IF(ISBLANK($AY183),$AX183,$AY183),IF($D$4="Forint",0,2))&gt;$AT183+$AV183-$AW183-IF($D$4="Forint",Paraméterek!$J$114,Paraméterek!$K$114),0,ROUNDDOWN(IF(ISBLANK($AY183),$AX183,$AY183),IF($D$4="Forint",0,2))-$AZ183)</f>
        <v>0</v>
      </c>
      <c r="BB183" s="13">
        <f t="shared" ca="1" si="55"/>
        <v>0</v>
      </c>
      <c r="BD183" s="32">
        <v>164</v>
      </c>
      <c r="BE183" s="32">
        <v>14</v>
      </c>
      <c r="BF183" s="32">
        <v>8</v>
      </c>
      <c r="BG183" s="34">
        <f t="shared" ca="1" si="64"/>
        <v>2033</v>
      </c>
      <c r="BH183" s="32" t="str">
        <f ca="1">IF(MOD(MONTH($D$14)+$BD183-1,12)=Paraméterek!$C$288,"Igen","")</f>
        <v/>
      </c>
      <c r="BI183" s="13">
        <f ca="1">IF($BH183="Igen",MIN(ROUNDDOWN((SUMIF($BG$20:$BG$1027,$BG183-1,$K$20:$K$1027)-SUMIF($BG$20:$BG$1027,$BG183-1,$I$20:$I$1027))*Paraméterek!$C$289,IF($D$4="Forint",0,2)),IF($D$4="Forint",Paraméterek!$C$285,Paraméterek!$D$285)),0)</f>
        <v>0</v>
      </c>
      <c r="BJ183" s="13">
        <f t="shared" ca="1" si="56"/>
        <v>0</v>
      </c>
      <c r="BK183" s="13">
        <f t="shared" ca="1" si="65"/>
        <v>0</v>
      </c>
      <c r="BL183" s="33"/>
      <c r="BM183" s="13">
        <f t="shared" ca="1" si="57"/>
        <v>0</v>
      </c>
      <c r="BN183" s="13">
        <f ca="1">ROUNDUP(($BK183+$BM183)*VLOOKUP($BE183,Paraméterek!$P$38:$Q$38,2)/12*IF($D184="Nem",IF($M$13=0,1,$M$13),1),IF($D$4="Forint",0,2))</f>
        <v>0</v>
      </c>
      <c r="BO183" s="13">
        <f t="shared" ca="1" si="58"/>
        <v>0</v>
      </c>
      <c r="BP183" s="13">
        <f ca="1">IF($D184="Nem",$BO183,$BO183-ROUNDUP(SUM($BI$20:$BI183)*120%,IF($D$4="Forint",0,2)))</f>
        <v>0</v>
      </c>
    </row>
    <row r="184" spans="1:68" x14ac:dyDescent="0.2">
      <c r="A184" s="32">
        <v>165</v>
      </c>
      <c r="B184" s="32">
        <v>14</v>
      </c>
      <c r="C184" s="32">
        <v>9</v>
      </c>
      <c r="D184" s="32" t="str">
        <f t="shared" ca="1" si="44"/>
        <v>Nem</v>
      </c>
      <c r="E184" s="13">
        <f t="shared" ca="1" si="45"/>
        <v>0</v>
      </c>
      <c r="F184" s="13"/>
      <c r="G184" s="13"/>
      <c r="H184" s="13"/>
      <c r="I184" s="13">
        <f t="shared" ca="1" si="46"/>
        <v>0</v>
      </c>
      <c r="J184" s="13">
        <f t="shared" ca="1" si="47"/>
        <v>0</v>
      </c>
      <c r="K184" s="13">
        <f t="shared" ca="1" si="48"/>
        <v>0</v>
      </c>
      <c r="L184" s="13" t="e">
        <f ca="1">ROUNDUP(IF($D$2="Egyszeri",$E184,IF($D$2="Havi",SUM($E$20:$E$31),IF(MOD($C184,$M$1)-1=0,SUM($E$20:$E$31),0))/12*$M$1)*VLOOKUP($B184,Paraméterek!$I$28:$P$31,IF($D$2="Egyszeri",8,HLOOKUP(ROUNDUP($M$11+$M$13,0),Paraméterek!$J$26:$O$27,2))),IF($D$4="Forint",0,2))</f>
        <v>#N/A</v>
      </c>
      <c r="M184" s="13">
        <f t="shared" ca="1" si="49"/>
        <v>0</v>
      </c>
      <c r="N184" s="13">
        <f t="shared" ca="1" si="59"/>
        <v>0</v>
      </c>
      <c r="O184" s="13">
        <f ca="1">IF($D184="Igen",IF($W183&gt;=IF($D$4="Forint",Paraméterek!$J$121,Paraméterek!$K$121),0,IF($D$4="Forint",Paraméterek!$J$121,Paraméterek!$K$121)-$W183),0)</f>
        <v>0</v>
      </c>
      <c r="P184" s="13" t="e">
        <f ca="1">ROUNDUP($O184*VLOOKUP($M$4+$B184-1,Paraméterek!$H$58:$I$105,2,0)/Paraméterek!$I$56,IF($D$4="Forint",0,2))</f>
        <v>#N/A</v>
      </c>
      <c r="Q184" s="13">
        <f t="shared" ca="1" si="50"/>
        <v>0</v>
      </c>
      <c r="R184" s="33"/>
      <c r="S184" s="13" t="e">
        <f t="shared" ca="1" si="51"/>
        <v>#N/A</v>
      </c>
      <c r="T184" s="13" t="e">
        <f ca="1">ROUNDUP(($N184-$P184-$Q184+$S184)*VLOOKUP($B184,Paraméterek!$I$38:$K$39,IF($D$2="Egyszeri",3,2))/12*IF($D185="Nem",IF($M$13=0,1,$M$13),1),IF($D$4="Forint",0,2))</f>
        <v>#N/A</v>
      </c>
      <c r="U184" s="13"/>
      <c r="V184" s="13"/>
      <c r="W184" s="13" t="e">
        <f ca="1">$N184-$P184-$Q184+$S184-$T184-IF(ROUNDUP(IF(ISBLANK($V184),$U184*0,$V184)/IF($D$2="Egyszeri",VLOOKUP($B184+IF($C184=12,1,0),Paraméterek!$V$257:$W$262,2),IF($B184=1,1,VLOOKUP($B184+IF($C184=12,1,0),Paraméterek!$I$258:$T$278,HLOOKUP($M$11+1,Paraméterek!$J$256:$T$257,2)))),IF($D$4="Forint",0,2))&gt;$N184-$P184-$Q184+$S184-$T184-IF($D$4="Forint",Paraméterek!$C$216,Paraméterek!$D$216),0,ROUNDUP(IF(ISBLANK($V184),$U184*0,$V184)/IF($D$2="Egyszeri",VLOOKUP($B184+IF($C184=12,1,0),Paraméterek!$V$257:$W$262,2),IF($B184=1,1,VLOOKUP($B184+IF($C184=12,1,0),Paraméterek!$I$258:$T$278,HLOOKUP($M$11+1,Paraméterek!$J$256:$T$257,2)))),IF($D$4="Forint",0,2)))</f>
        <v>#N/A</v>
      </c>
      <c r="X184" s="13" t="e">
        <f ca="1">ROUNDDOWN($W184*IF($D$2="Egyszeri",VLOOKUP($B184+IF($C184=12,1,0),Paraméterek!$V$257:$W$262,2),VLOOKUP($B184+IF($C184=12,1,0),Paraméterek!$I$258:$T$278,HLOOKUP($M$11+1,Paraméterek!$I$256:$T$257,2))),IF($D$4="Forint",0,2))</f>
        <v>#N/A</v>
      </c>
      <c r="Z184" s="32">
        <v>165</v>
      </c>
      <c r="AA184" s="32">
        <v>14</v>
      </c>
      <c r="AB184" s="32">
        <v>9</v>
      </c>
      <c r="AC184" s="13">
        <f t="shared" ca="1" si="60"/>
        <v>0</v>
      </c>
      <c r="AD184" s="33"/>
      <c r="AE184" s="13">
        <f t="shared" ca="1" si="52"/>
        <v>0</v>
      </c>
      <c r="AF184" s="13">
        <f ca="1">ROUNDUP(($AC184+$AE184)*VLOOKUP($AA184,Paraméterek!$P$38:$Q$38,2)/12*IF($D185="Nem",IF($M$13=0,1,$M$13),1),IF($D$4="Forint",0,2))</f>
        <v>0</v>
      </c>
      <c r="AG184" s="13">
        <f ca="1">IF($D$2="Egyszeri",IF($D$7&gt;=IF($D$4="Forint",Paraméterek!$P$223,Paraméterek!$P$224),$D$7-IF($D$4="Forint",Paraméterek!$P$223,Paraméterek!$P$224),0),MIN(IF($AB184=12,AVERAGEIF($E$20:$E184,"&gt;0",$E$20:$E184)*12,0),SUM($E$20:$E$31)))</f>
        <v>0</v>
      </c>
      <c r="AH184" s="13">
        <f>IF($AA184=10,$AG184*IF($AB184=12,IF($AG184&lt;IF($D$4="Forint",Paraméterek!$L$223,Paraméterek!$L$224),0,VLOOKUP($AA184,Paraméterek!$K$226:$M$228,IF($AG184&lt;IF($D$4="Forint",Paraméterek!$M$223,Paraméterek!$M$224),2,3))),0),0)</f>
        <v>0</v>
      </c>
      <c r="AI184" s="13">
        <f ca="1">IF(AND($AA184=$M$11+1,$AB184=$M$12+1),SUMIF($AA$20:$AA$1027,$AA184,$AG$20:$AG$1027)*IF(SUMIF($AA$20:$AA$1027,$AA184,$AG$20:$AG$1027)&lt;IF($D$4="Forint",Paraméterek!$L$223,Paraméterek!$L$224),0,VLOOKUP($AA184,Paraméterek!$K$230:$M$250,IF(SUMIF($AA$20:$AA$1027,$AA184,$AG$20:$AG$1027)&lt;IF($D$4="Forint",Paraméterek!$M$223,Paraméterek!$M$224),2,3))),0)</f>
        <v>0</v>
      </c>
      <c r="AJ184" s="13">
        <f ca="1">IF(AND($AA184&gt;=5,MOD($AA184,5)=0),IF($AB184=12,VLOOKUP($AA184,Paraméterek!$O$225:$P$240,2),0),IF(OR($AA184=3,$AA184=4),IF($AB184=12,VLOOKUP($AA184,Paraméterek!$O$225:$P$240,2,0),0),0))*$AG184</f>
        <v>0</v>
      </c>
      <c r="AK184" s="13">
        <f t="shared" ca="1" si="53"/>
        <v>0</v>
      </c>
      <c r="AL184" s="13">
        <f t="shared" ca="1" si="61"/>
        <v>0</v>
      </c>
      <c r="AM184" s="13">
        <f t="shared" ca="1" si="62"/>
        <v>0</v>
      </c>
      <c r="AO184" s="32">
        <v>165</v>
      </c>
      <c r="AP184" s="32">
        <v>14</v>
      </c>
      <c r="AQ184" s="32">
        <v>9</v>
      </c>
      <c r="AR184" s="13"/>
      <c r="AS184" s="32"/>
      <c r="AT184" s="13">
        <f t="shared" ca="1" si="63"/>
        <v>0</v>
      </c>
      <c r="AU184" s="33"/>
      <c r="AV184" s="13">
        <f t="shared" ca="1" si="54"/>
        <v>0</v>
      </c>
      <c r="AW184" s="13">
        <f ca="1">ROUNDUP(($AT184+$AV184)*VLOOKUP($AP184,Paraméterek!$P$38:$Q$38,2)/12*IF($D185="Nem",IF($M$13=0,1,$M$13),1),IF($D$4="Forint",0,2))</f>
        <v>0</v>
      </c>
      <c r="AX184" s="13"/>
      <c r="AY184" s="13"/>
      <c r="AZ184" s="13">
        <f>ROUNDUP(IF(SUM($AX184:$AY184)=0,0,IF(IF(ISBLANK($AY184),$AX184,$AY184)*Paraméterek!$J$112&lt;IF($D$4="Forint",Paraméterek!$J$113,Paraméterek!$K$113),IF($D$4="Forint",Paraméterek!$J$113,Paraméterek!$K$113),IF(IF(ISBLANK($AY184),$AX184,$AY184)*Paraméterek!$J$112&gt;IF($D$4="Forint",Paraméterek!$J$114,Paraméterek!$K$114),IF($D$4="Forint",Paraméterek!$J$114,Paraméterek!$K$114),IF(ISBLANK($AY184),$AX184,$AY184)*Paraméterek!$J$112))),IF($D$4="Forint",0,2))</f>
        <v>0</v>
      </c>
      <c r="BA184" s="13">
        <f ca="1">$AT184+$AV184-$AW184-IF(ROUNDDOWN(IF(ISBLANK($AY184),$AX184,$AY184),IF($D$4="Forint",0,2))&gt;$AT184+$AV184-$AW184-IF($D$4="Forint",Paraméterek!$J$114,Paraméterek!$K$114),0,ROUNDDOWN(IF(ISBLANK($AY184),$AX184,$AY184),IF($D$4="Forint",0,2))-$AZ184)</f>
        <v>0</v>
      </c>
      <c r="BB184" s="13">
        <f t="shared" ca="1" si="55"/>
        <v>0</v>
      </c>
      <c r="BD184" s="32">
        <v>165</v>
      </c>
      <c r="BE184" s="32">
        <v>14</v>
      </c>
      <c r="BF184" s="32">
        <v>9</v>
      </c>
      <c r="BG184" s="34">
        <f t="shared" ca="1" si="64"/>
        <v>2033</v>
      </c>
      <c r="BH184" s="32" t="str">
        <f ca="1">IF(MOD(MONTH($D$14)+$BD184-1,12)=Paraméterek!$C$288,"Igen","")</f>
        <v/>
      </c>
      <c r="BI184" s="13">
        <f ca="1">IF($BH184="Igen",MIN(ROUNDDOWN((SUMIF($BG$20:$BG$1027,$BG184-1,$K$20:$K$1027)-SUMIF($BG$20:$BG$1027,$BG184-1,$I$20:$I$1027))*Paraméterek!$C$289,IF($D$4="Forint",0,2)),IF($D$4="Forint",Paraméterek!$C$285,Paraméterek!$D$285)),0)</f>
        <v>0</v>
      </c>
      <c r="BJ184" s="13">
        <f t="shared" ca="1" si="56"/>
        <v>0</v>
      </c>
      <c r="BK184" s="13">
        <f t="shared" ca="1" si="65"/>
        <v>0</v>
      </c>
      <c r="BL184" s="33"/>
      <c r="BM184" s="13">
        <f t="shared" ca="1" si="57"/>
        <v>0</v>
      </c>
      <c r="BN184" s="13">
        <f ca="1">ROUNDUP(($BK184+$BM184)*VLOOKUP($BE184,Paraméterek!$P$38:$Q$38,2)/12*IF($D185="Nem",IF($M$13=0,1,$M$13),1),IF($D$4="Forint",0,2))</f>
        <v>0</v>
      </c>
      <c r="BO184" s="13">
        <f t="shared" ca="1" si="58"/>
        <v>0</v>
      </c>
      <c r="BP184" s="13">
        <f ca="1">IF($D185="Nem",$BO184,$BO184-ROUNDUP(SUM($BI$20:$BI184)*120%,IF($D$4="Forint",0,2)))</f>
        <v>0</v>
      </c>
    </row>
    <row r="185" spans="1:68" x14ac:dyDescent="0.2">
      <c r="A185" s="32">
        <v>166</v>
      </c>
      <c r="B185" s="32">
        <v>14</v>
      </c>
      <c r="C185" s="32">
        <v>10</v>
      </c>
      <c r="D185" s="32" t="str">
        <f t="shared" ca="1" si="44"/>
        <v>Nem</v>
      </c>
      <c r="E185" s="13">
        <f t="shared" ca="1" si="45"/>
        <v>0</v>
      </c>
      <c r="F185" s="13"/>
      <c r="G185" s="13"/>
      <c r="H185" s="13"/>
      <c r="I185" s="13">
        <f t="shared" ca="1" si="46"/>
        <v>0</v>
      </c>
      <c r="J185" s="13">
        <f t="shared" ca="1" si="47"/>
        <v>0</v>
      </c>
      <c r="K185" s="13">
        <f t="shared" ca="1" si="48"/>
        <v>0</v>
      </c>
      <c r="L185" s="13" t="e">
        <f ca="1">ROUNDUP(IF($D$2="Egyszeri",$E185,IF($D$2="Havi",SUM($E$20:$E$31),IF(MOD($C185,$M$1)-1=0,SUM($E$20:$E$31),0))/12*$M$1)*VLOOKUP($B185,Paraméterek!$I$28:$P$31,IF($D$2="Egyszeri",8,HLOOKUP(ROUNDUP($M$11+$M$13,0),Paraméterek!$J$26:$O$27,2))),IF($D$4="Forint",0,2))</f>
        <v>#N/A</v>
      </c>
      <c r="M185" s="13">
        <f t="shared" ca="1" si="49"/>
        <v>0</v>
      </c>
      <c r="N185" s="13">
        <f t="shared" ca="1" si="59"/>
        <v>0</v>
      </c>
      <c r="O185" s="13">
        <f ca="1">IF($D185="Igen",IF($W184&gt;=IF($D$4="Forint",Paraméterek!$J$121,Paraméterek!$K$121),0,IF($D$4="Forint",Paraméterek!$J$121,Paraméterek!$K$121)-$W184),0)</f>
        <v>0</v>
      </c>
      <c r="P185" s="13" t="e">
        <f ca="1">ROUNDUP($O185*VLOOKUP($M$4+$B185-1,Paraméterek!$H$58:$I$105,2,0)/Paraméterek!$I$56,IF($D$4="Forint",0,2))</f>
        <v>#N/A</v>
      </c>
      <c r="Q185" s="13">
        <f t="shared" ca="1" si="50"/>
        <v>0</v>
      </c>
      <c r="R185" s="33"/>
      <c r="S185" s="13" t="e">
        <f t="shared" ca="1" si="51"/>
        <v>#N/A</v>
      </c>
      <c r="T185" s="13" t="e">
        <f ca="1">ROUNDUP(($N185-$P185-$Q185+$S185)*VLOOKUP($B185,Paraméterek!$I$38:$K$39,IF($D$2="Egyszeri",3,2))/12*IF($D186="Nem",IF($M$13=0,1,$M$13),1),IF($D$4="Forint",0,2))</f>
        <v>#N/A</v>
      </c>
      <c r="U185" s="13"/>
      <c r="V185" s="13"/>
      <c r="W185" s="13" t="e">
        <f ca="1">$N185-$P185-$Q185+$S185-$T185-IF(ROUNDUP(IF(ISBLANK($V185),$U185*0,$V185)/IF($D$2="Egyszeri",VLOOKUP($B185+IF($C185=12,1,0),Paraméterek!$V$257:$W$262,2),IF($B185=1,1,VLOOKUP($B185+IF($C185=12,1,0),Paraméterek!$I$258:$T$278,HLOOKUP($M$11+1,Paraméterek!$J$256:$T$257,2)))),IF($D$4="Forint",0,2))&gt;$N185-$P185-$Q185+$S185-$T185-IF($D$4="Forint",Paraméterek!$C$216,Paraméterek!$D$216),0,ROUNDUP(IF(ISBLANK($V185),$U185*0,$V185)/IF($D$2="Egyszeri",VLOOKUP($B185+IF($C185=12,1,0),Paraméterek!$V$257:$W$262,2),IF($B185=1,1,VLOOKUP($B185+IF($C185=12,1,0),Paraméterek!$I$258:$T$278,HLOOKUP($M$11+1,Paraméterek!$J$256:$T$257,2)))),IF($D$4="Forint",0,2)))</f>
        <v>#N/A</v>
      </c>
      <c r="X185" s="13" t="e">
        <f ca="1">ROUNDDOWN($W185*IF($D$2="Egyszeri",VLOOKUP($B185+IF($C185=12,1,0),Paraméterek!$V$257:$W$262,2),VLOOKUP($B185+IF($C185=12,1,0),Paraméterek!$I$258:$T$278,HLOOKUP($M$11+1,Paraméterek!$I$256:$T$257,2))),IF($D$4="Forint",0,2))</f>
        <v>#N/A</v>
      </c>
      <c r="Z185" s="32">
        <v>166</v>
      </c>
      <c r="AA185" s="32">
        <v>14</v>
      </c>
      <c r="AB185" s="32">
        <v>10</v>
      </c>
      <c r="AC185" s="13">
        <f t="shared" ca="1" si="60"/>
        <v>0</v>
      </c>
      <c r="AD185" s="33"/>
      <c r="AE185" s="13">
        <f t="shared" ca="1" si="52"/>
        <v>0</v>
      </c>
      <c r="AF185" s="13">
        <f ca="1">ROUNDUP(($AC185+$AE185)*VLOOKUP($AA185,Paraméterek!$P$38:$Q$38,2)/12*IF($D186="Nem",IF($M$13=0,1,$M$13),1),IF($D$4="Forint",0,2))</f>
        <v>0</v>
      </c>
      <c r="AG185" s="13">
        <f ca="1">IF($D$2="Egyszeri",IF($D$7&gt;=IF($D$4="Forint",Paraméterek!$P$223,Paraméterek!$P$224),$D$7-IF($D$4="Forint",Paraméterek!$P$223,Paraméterek!$P$224),0),MIN(IF($AB185=12,AVERAGEIF($E$20:$E185,"&gt;0",$E$20:$E185)*12,0),SUM($E$20:$E$31)))</f>
        <v>0</v>
      </c>
      <c r="AH185" s="13">
        <f>IF($AA185=10,$AG185*IF($AB185=12,IF($AG185&lt;IF($D$4="Forint",Paraméterek!$L$223,Paraméterek!$L$224),0,VLOOKUP($AA185,Paraméterek!$K$226:$M$228,IF($AG185&lt;IF($D$4="Forint",Paraméterek!$M$223,Paraméterek!$M$224),2,3))),0),0)</f>
        <v>0</v>
      </c>
      <c r="AI185" s="13">
        <f ca="1">IF(AND($AA185=$M$11+1,$AB185=$M$12+1),SUMIF($AA$20:$AA$1027,$AA185,$AG$20:$AG$1027)*IF(SUMIF($AA$20:$AA$1027,$AA185,$AG$20:$AG$1027)&lt;IF($D$4="Forint",Paraméterek!$L$223,Paraméterek!$L$224),0,VLOOKUP($AA185,Paraméterek!$K$230:$M$250,IF(SUMIF($AA$20:$AA$1027,$AA185,$AG$20:$AG$1027)&lt;IF($D$4="Forint",Paraméterek!$M$223,Paraméterek!$M$224),2,3))),0)</f>
        <v>0</v>
      </c>
      <c r="AJ185" s="13">
        <f ca="1">IF(AND($AA185&gt;=5,MOD($AA185,5)=0),IF($AB185=12,VLOOKUP($AA185,Paraméterek!$O$225:$P$240,2),0),IF(OR($AA185=3,$AA185=4),IF($AB185=12,VLOOKUP($AA185,Paraméterek!$O$225:$P$240,2,0),0),0))*$AG185</f>
        <v>0</v>
      </c>
      <c r="AK185" s="13">
        <f t="shared" ca="1" si="53"/>
        <v>0</v>
      </c>
      <c r="AL185" s="13">
        <f t="shared" ca="1" si="61"/>
        <v>0</v>
      </c>
      <c r="AM185" s="13">
        <f t="shared" ca="1" si="62"/>
        <v>0</v>
      </c>
      <c r="AO185" s="32">
        <v>166</v>
      </c>
      <c r="AP185" s="32">
        <v>14</v>
      </c>
      <c r="AQ185" s="32">
        <v>10</v>
      </c>
      <c r="AR185" s="13"/>
      <c r="AS185" s="32"/>
      <c r="AT185" s="13">
        <f t="shared" ca="1" si="63"/>
        <v>0</v>
      </c>
      <c r="AU185" s="33"/>
      <c r="AV185" s="13">
        <f t="shared" ca="1" si="54"/>
        <v>0</v>
      </c>
      <c r="AW185" s="13">
        <f ca="1">ROUNDUP(($AT185+$AV185)*VLOOKUP($AP185,Paraméterek!$P$38:$Q$38,2)/12*IF($D186="Nem",IF($M$13=0,1,$M$13),1),IF($D$4="Forint",0,2))</f>
        <v>0</v>
      </c>
      <c r="AX185" s="13"/>
      <c r="AY185" s="13"/>
      <c r="AZ185" s="13">
        <f>ROUNDUP(IF(SUM($AX185:$AY185)=0,0,IF(IF(ISBLANK($AY185),$AX185,$AY185)*Paraméterek!$J$112&lt;IF($D$4="Forint",Paraméterek!$J$113,Paraméterek!$K$113),IF($D$4="Forint",Paraméterek!$J$113,Paraméterek!$K$113),IF(IF(ISBLANK($AY185),$AX185,$AY185)*Paraméterek!$J$112&gt;IF($D$4="Forint",Paraméterek!$J$114,Paraméterek!$K$114),IF($D$4="Forint",Paraméterek!$J$114,Paraméterek!$K$114),IF(ISBLANK($AY185),$AX185,$AY185)*Paraméterek!$J$112))),IF($D$4="Forint",0,2))</f>
        <v>0</v>
      </c>
      <c r="BA185" s="13">
        <f ca="1">$AT185+$AV185-$AW185-IF(ROUNDDOWN(IF(ISBLANK($AY185),$AX185,$AY185),IF($D$4="Forint",0,2))&gt;$AT185+$AV185-$AW185-IF($D$4="Forint",Paraméterek!$J$114,Paraméterek!$K$114),0,ROUNDDOWN(IF(ISBLANK($AY185),$AX185,$AY185),IF($D$4="Forint",0,2))-$AZ185)</f>
        <v>0</v>
      </c>
      <c r="BB185" s="13">
        <f t="shared" ca="1" si="55"/>
        <v>0</v>
      </c>
      <c r="BD185" s="32">
        <v>166</v>
      </c>
      <c r="BE185" s="32">
        <v>14</v>
      </c>
      <c r="BF185" s="32">
        <v>10</v>
      </c>
      <c r="BG185" s="34">
        <f t="shared" ca="1" si="64"/>
        <v>2033</v>
      </c>
      <c r="BH185" s="32" t="str">
        <f ca="1">IF(MOD(MONTH($D$14)+$BD185-1,12)=Paraméterek!$C$288,"Igen","")</f>
        <v/>
      </c>
      <c r="BI185" s="13">
        <f ca="1">IF($BH185="Igen",MIN(ROUNDDOWN((SUMIF($BG$20:$BG$1027,$BG185-1,$K$20:$K$1027)-SUMIF($BG$20:$BG$1027,$BG185-1,$I$20:$I$1027))*Paraméterek!$C$289,IF($D$4="Forint",0,2)),IF($D$4="Forint",Paraméterek!$C$285,Paraméterek!$D$285)),0)</f>
        <v>0</v>
      </c>
      <c r="BJ185" s="13">
        <f t="shared" ca="1" si="56"/>
        <v>0</v>
      </c>
      <c r="BK185" s="13">
        <f t="shared" ca="1" si="65"/>
        <v>0</v>
      </c>
      <c r="BL185" s="33"/>
      <c r="BM185" s="13">
        <f t="shared" ca="1" si="57"/>
        <v>0</v>
      </c>
      <c r="BN185" s="13">
        <f ca="1">ROUNDUP(($BK185+$BM185)*VLOOKUP($BE185,Paraméterek!$P$38:$Q$38,2)/12*IF($D186="Nem",IF($M$13=0,1,$M$13),1),IF($D$4="Forint",0,2))</f>
        <v>0</v>
      </c>
      <c r="BO185" s="13">
        <f t="shared" ca="1" si="58"/>
        <v>0</v>
      </c>
      <c r="BP185" s="13">
        <f ca="1">IF($D186="Nem",$BO185,$BO185-ROUNDUP(SUM($BI$20:$BI185)*120%,IF($D$4="Forint",0,2)))</f>
        <v>0</v>
      </c>
    </row>
    <row r="186" spans="1:68" x14ac:dyDescent="0.2">
      <c r="A186" s="32">
        <v>167</v>
      </c>
      <c r="B186" s="32">
        <v>14</v>
      </c>
      <c r="C186" s="32">
        <v>11</v>
      </c>
      <c r="D186" s="32" t="str">
        <f t="shared" ca="1" si="44"/>
        <v>Nem</v>
      </c>
      <c r="E186" s="13">
        <f t="shared" ca="1" si="45"/>
        <v>0</v>
      </c>
      <c r="F186" s="13"/>
      <c r="G186" s="13"/>
      <c r="H186" s="13"/>
      <c r="I186" s="13">
        <f t="shared" ca="1" si="46"/>
        <v>0</v>
      </c>
      <c r="J186" s="13">
        <f t="shared" ca="1" si="47"/>
        <v>0</v>
      </c>
      <c r="K186" s="13">
        <f t="shared" ca="1" si="48"/>
        <v>0</v>
      </c>
      <c r="L186" s="13" t="e">
        <f ca="1">ROUNDUP(IF($D$2="Egyszeri",$E186,IF($D$2="Havi",SUM($E$20:$E$31),IF(MOD($C186,$M$1)-1=0,SUM($E$20:$E$31),0))/12*$M$1)*VLOOKUP($B186,Paraméterek!$I$28:$P$31,IF($D$2="Egyszeri",8,HLOOKUP(ROUNDUP($M$11+$M$13,0),Paraméterek!$J$26:$O$27,2))),IF($D$4="Forint",0,2))</f>
        <v>#N/A</v>
      </c>
      <c r="M186" s="13">
        <f t="shared" ca="1" si="49"/>
        <v>0</v>
      </c>
      <c r="N186" s="13">
        <f t="shared" ca="1" si="59"/>
        <v>0</v>
      </c>
      <c r="O186" s="13">
        <f ca="1">IF($D186="Igen",IF($W185&gt;=IF($D$4="Forint",Paraméterek!$J$121,Paraméterek!$K$121),0,IF($D$4="Forint",Paraméterek!$J$121,Paraméterek!$K$121)-$W185),0)</f>
        <v>0</v>
      </c>
      <c r="P186" s="13" t="e">
        <f ca="1">ROUNDUP($O186*VLOOKUP($M$4+$B186-1,Paraméterek!$H$58:$I$105,2,0)/Paraméterek!$I$56,IF($D$4="Forint",0,2))</f>
        <v>#N/A</v>
      </c>
      <c r="Q186" s="13">
        <f t="shared" ca="1" si="50"/>
        <v>0</v>
      </c>
      <c r="R186" s="33"/>
      <c r="S186" s="13" t="e">
        <f t="shared" ca="1" si="51"/>
        <v>#N/A</v>
      </c>
      <c r="T186" s="13" t="e">
        <f ca="1">ROUNDUP(($N186-$P186-$Q186+$S186)*VLOOKUP($B186,Paraméterek!$I$38:$K$39,IF($D$2="Egyszeri",3,2))/12*IF($D187="Nem",IF($M$13=0,1,$M$13),1),IF($D$4="Forint",0,2))</f>
        <v>#N/A</v>
      </c>
      <c r="U186" s="13"/>
      <c r="V186" s="13"/>
      <c r="W186" s="13" t="e">
        <f ca="1">$N186-$P186-$Q186+$S186-$T186-IF(ROUNDUP(IF(ISBLANK($V186),$U186*0,$V186)/IF($D$2="Egyszeri",VLOOKUP($B186+IF($C186=12,1,0),Paraméterek!$V$257:$W$262,2),IF($B186=1,1,VLOOKUP($B186+IF($C186=12,1,0),Paraméterek!$I$258:$T$278,HLOOKUP($M$11+1,Paraméterek!$J$256:$T$257,2)))),IF($D$4="Forint",0,2))&gt;$N186-$P186-$Q186+$S186-$T186-IF($D$4="Forint",Paraméterek!$C$216,Paraméterek!$D$216),0,ROUNDUP(IF(ISBLANK($V186),$U186*0,$V186)/IF($D$2="Egyszeri",VLOOKUP($B186+IF($C186=12,1,0),Paraméterek!$V$257:$W$262,2),IF($B186=1,1,VLOOKUP($B186+IF($C186=12,1,0),Paraméterek!$I$258:$T$278,HLOOKUP($M$11+1,Paraméterek!$J$256:$T$257,2)))),IF($D$4="Forint",0,2)))</f>
        <v>#N/A</v>
      </c>
      <c r="X186" s="13" t="e">
        <f ca="1">ROUNDDOWN($W186*IF($D$2="Egyszeri",VLOOKUP($B186+IF($C186=12,1,0),Paraméterek!$V$257:$W$262,2),VLOOKUP($B186+IF($C186=12,1,0),Paraméterek!$I$258:$T$278,HLOOKUP($M$11+1,Paraméterek!$I$256:$T$257,2))),IF($D$4="Forint",0,2))</f>
        <v>#N/A</v>
      </c>
      <c r="Z186" s="32">
        <v>167</v>
      </c>
      <c r="AA186" s="32">
        <v>14</v>
      </c>
      <c r="AB186" s="32">
        <v>11</v>
      </c>
      <c r="AC186" s="13">
        <f t="shared" ca="1" si="60"/>
        <v>0</v>
      </c>
      <c r="AD186" s="33"/>
      <c r="AE186" s="13">
        <f t="shared" ca="1" si="52"/>
        <v>0</v>
      </c>
      <c r="AF186" s="13">
        <f ca="1">ROUNDUP(($AC186+$AE186)*VLOOKUP($AA186,Paraméterek!$P$38:$Q$38,2)/12*IF($D187="Nem",IF($M$13=0,1,$M$13),1),IF($D$4="Forint",0,2))</f>
        <v>0</v>
      </c>
      <c r="AG186" s="13">
        <f ca="1">IF($D$2="Egyszeri",IF($D$7&gt;=IF($D$4="Forint",Paraméterek!$P$223,Paraméterek!$P$224),$D$7-IF($D$4="Forint",Paraméterek!$P$223,Paraméterek!$P$224),0),MIN(IF($AB186=12,AVERAGEIF($E$20:$E186,"&gt;0",$E$20:$E186)*12,0),SUM($E$20:$E$31)))</f>
        <v>0</v>
      </c>
      <c r="AH186" s="13">
        <f>IF($AA186=10,$AG186*IF($AB186=12,IF($AG186&lt;IF($D$4="Forint",Paraméterek!$L$223,Paraméterek!$L$224),0,VLOOKUP($AA186,Paraméterek!$K$226:$M$228,IF($AG186&lt;IF($D$4="Forint",Paraméterek!$M$223,Paraméterek!$M$224),2,3))),0),0)</f>
        <v>0</v>
      </c>
      <c r="AI186" s="13">
        <f ca="1">IF(AND($AA186=$M$11+1,$AB186=$M$12+1),SUMIF($AA$20:$AA$1027,$AA186,$AG$20:$AG$1027)*IF(SUMIF($AA$20:$AA$1027,$AA186,$AG$20:$AG$1027)&lt;IF($D$4="Forint",Paraméterek!$L$223,Paraméterek!$L$224),0,VLOOKUP($AA186,Paraméterek!$K$230:$M$250,IF(SUMIF($AA$20:$AA$1027,$AA186,$AG$20:$AG$1027)&lt;IF($D$4="Forint",Paraméterek!$M$223,Paraméterek!$M$224),2,3))),0)</f>
        <v>0</v>
      </c>
      <c r="AJ186" s="13">
        <f ca="1">IF(AND($AA186&gt;=5,MOD($AA186,5)=0),IF($AB186=12,VLOOKUP($AA186,Paraméterek!$O$225:$P$240,2),0),IF(OR($AA186=3,$AA186=4),IF($AB186=12,VLOOKUP($AA186,Paraméterek!$O$225:$P$240,2,0),0),0))*$AG186</f>
        <v>0</v>
      </c>
      <c r="AK186" s="13">
        <f t="shared" ca="1" si="53"/>
        <v>0</v>
      </c>
      <c r="AL186" s="13">
        <f t="shared" ca="1" si="61"/>
        <v>0</v>
      </c>
      <c r="AM186" s="13">
        <f t="shared" ca="1" si="62"/>
        <v>0</v>
      </c>
      <c r="AO186" s="32">
        <v>167</v>
      </c>
      <c r="AP186" s="32">
        <v>14</v>
      </c>
      <c r="AQ186" s="32">
        <v>11</v>
      </c>
      <c r="AR186" s="13"/>
      <c r="AS186" s="32"/>
      <c r="AT186" s="13">
        <f t="shared" ca="1" si="63"/>
        <v>0</v>
      </c>
      <c r="AU186" s="33"/>
      <c r="AV186" s="13">
        <f t="shared" ca="1" si="54"/>
        <v>0</v>
      </c>
      <c r="AW186" s="13">
        <f ca="1">ROUNDUP(($AT186+$AV186)*VLOOKUP($AP186,Paraméterek!$P$38:$Q$38,2)/12*IF($D187="Nem",IF($M$13=0,1,$M$13),1),IF($D$4="Forint",0,2))</f>
        <v>0</v>
      </c>
      <c r="AX186" s="13"/>
      <c r="AY186" s="13"/>
      <c r="AZ186" s="13">
        <f>ROUNDUP(IF(SUM($AX186:$AY186)=0,0,IF(IF(ISBLANK($AY186),$AX186,$AY186)*Paraméterek!$J$112&lt;IF($D$4="Forint",Paraméterek!$J$113,Paraméterek!$K$113),IF($D$4="Forint",Paraméterek!$J$113,Paraméterek!$K$113),IF(IF(ISBLANK($AY186),$AX186,$AY186)*Paraméterek!$J$112&gt;IF($D$4="Forint",Paraméterek!$J$114,Paraméterek!$K$114),IF($D$4="Forint",Paraméterek!$J$114,Paraméterek!$K$114),IF(ISBLANK($AY186),$AX186,$AY186)*Paraméterek!$J$112))),IF($D$4="Forint",0,2))</f>
        <v>0</v>
      </c>
      <c r="BA186" s="13">
        <f ca="1">$AT186+$AV186-$AW186-IF(ROUNDDOWN(IF(ISBLANK($AY186),$AX186,$AY186),IF($D$4="Forint",0,2))&gt;$AT186+$AV186-$AW186-IF($D$4="Forint",Paraméterek!$J$114,Paraméterek!$K$114),0,ROUNDDOWN(IF(ISBLANK($AY186),$AX186,$AY186),IF($D$4="Forint",0,2))-$AZ186)</f>
        <v>0</v>
      </c>
      <c r="BB186" s="13">
        <f t="shared" ca="1" si="55"/>
        <v>0</v>
      </c>
      <c r="BD186" s="32">
        <v>167</v>
      </c>
      <c r="BE186" s="32">
        <v>14</v>
      </c>
      <c r="BF186" s="32">
        <v>11</v>
      </c>
      <c r="BG186" s="34">
        <f t="shared" ca="1" si="64"/>
        <v>2033</v>
      </c>
      <c r="BH186" s="32" t="str">
        <f ca="1">IF(MOD(MONTH($D$14)+$BD186-1,12)=Paraméterek!$C$288,"Igen","")</f>
        <v/>
      </c>
      <c r="BI186" s="13">
        <f ca="1">IF($BH186="Igen",MIN(ROUNDDOWN((SUMIF($BG$20:$BG$1027,$BG186-1,$K$20:$K$1027)-SUMIF($BG$20:$BG$1027,$BG186-1,$I$20:$I$1027))*Paraméterek!$C$289,IF($D$4="Forint",0,2)),IF($D$4="Forint",Paraméterek!$C$285,Paraméterek!$D$285)),0)</f>
        <v>0</v>
      </c>
      <c r="BJ186" s="13">
        <f t="shared" ca="1" si="56"/>
        <v>0</v>
      </c>
      <c r="BK186" s="13">
        <f t="shared" ca="1" si="65"/>
        <v>0</v>
      </c>
      <c r="BL186" s="33"/>
      <c r="BM186" s="13">
        <f t="shared" ca="1" si="57"/>
        <v>0</v>
      </c>
      <c r="BN186" s="13">
        <f ca="1">ROUNDUP(($BK186+$BM186)*VLOOKUP($BE186,Paraméterek!$P$38:$Q$38,2)/12*IF($D187="Nem",IF($M$13=0,1,$M$13),1),IF($D$4="Forint",0,2))</f>
        <v>0</v>
      </c>
      <c r="BO186" s="13">
        <f t="shared" ca="1" si="58"/>
        <v>0</v>
      </c>
      <c r="BP186" s="13">
        <f ca="1">IF($D187="Nem",$BO186,$BO186-ROUNDUP(SUM($BI$20:$BI186)*120%,IF($D$4="Forint",0,2)))</f>
        <v>0</v>
      </c>
    </row>
    <row r="187" spans="1:68" x14ac:dyDescent="0.2">
      <c r="A187" s="32">
        <v>168</v>
      </c>
      <c r="B187" s="32">
        <v>14</v>
      </c>
      <c r="C187" s="32">
        <v>12</v>
      </c>
      <c r="D187" s="32" t="str">
        <f t="shared" ca="1" si="44"/>
        <v>Nem</v>
      </c>
      <c r="E187" s="13">
        <f t="shared" ca="1" si="45"/>
        <v>0</v>
      </c>
      <c r="F187" s="13"/>
      <c r="G187" s="13"/>
      <c r="H187" s="13"/>
      <c r="I187" s="13">
        <f t="shared" ca="1" si="46"/>
        <v>0</v>
      </c>
      <c r="J187" s="13">
        <f t="shared" ca="1" si="47"/>
        <v>0</v>
      </c>
      <c r="K187" s="13">
        <f t="shared" ca="1" si="48"/>
        <v>0</v>
      </c>
      <c r="L187" s="13" t="e">
        <f ca="1">ROUNDUP(IF($D$2="Egyszeri",$E187,IF($D$2="Havi",SUM($E$20:$E$31),IF(MOD($C187,$M$1)-1=0,SUM($E$20:$E$31),0))/12*$M$1)*VLOOKUP($B187,Paraméterek!$I$28:$P$31,IF($D$2="Egyszeri",8,HLOOKUP(ROUNDUP($M$11+$M$13,0),Paraméterek!$J$26:$O$27,2))),IF($D$4="Forint",0,2))</f>
        <v>#N/A</v>
      </c>
      <c r="M187" s="13">
        <f t="shared" ca="1" si="49"/>
        <v>0</v>
      </c>
      <c r="N187" s="13">
        <f t="shared" ca="1" si="59"/>
        <v>0</v>
      </c>
      <c r="O187" s="13">
        <f ca="1">IF($D187="Igen",IF($W186&gt;=IF($D$4="Forint",Paraméterek!$J$121,Paraméterek!$K$121),0,IF($D$4="Forint",Paraméterek!$J$121,Paraméterek!$K$121)-$W186),0)</f>
        <v>0</v>
      </c>
      <c r="P187" s="13" t="e">
        <f ca="1">ROUNDUP($O187*VLOOKUP($M$4+$B187-1,Paraméterek!$H$58:$I$105,2,0)/Paraméterek!$I$56,IF($D$4="Forint",0,2))</f>
        <v>#N/A</v>
      </c>
      <c r="Q187" s="13">
        <f t="shared" ca="1" si="50"/>
        <v>0</v>
      </c>
      <c r="R187" s="33"/>
      <c r="S187" s="13" t="e">
        <f t="shared" ca="1" si="51"/>
        <v>#N/A</v>
      </c>
      <c r="T187" s="13" t="e">
        <f ca="1">ROUNDUP(($N187-$P187-$Q187+$S187)*VLOOKUP($B187,Paraméterek!$I$38:$K$39,IF($D$2="Egyszeri",3,2))/12*IF($D188="Nem",IF($M$13=0,1,$M$13),1),IF($D$4="Forint",0,2))</f>
        <v>#N/A</v>
      </c>
      <c r="U187" s="13">
        <f>Tranzakciók!$F$45</f>
        <v>0</v>
      </c>
      <c r="V187" s="13"/>
      <c r="W187" s="13" t="e">
        <f ca="1">$N187-$P187-$Q187+$S187-$T187-IF(ROUNDUP(IF(ISBLANK($V187),$U187*0,$V187)/IF($D$2="Egyszeri",VLOOKUP($B187+IF($C187=12,1,0),Paraméterek!$V$257:$W$262,2),IF($B187=1,1,VLOOKUP($B187+IF($C187=12,1,0),Paraméterek!$I$258:$T$278,HLOOKUP($M$11+1,Paraméterek!$J$256:$T$257,2)))),IF($D$4="Forint",0,2))&gt;$N187-$P187-$Q187+$S187-$T187-IF($D$4="Forint",Paraméterek!$C$216,Paraméterek!$D$216),0,ROUNDUP(IF(ISBLANK($V187),$U187*0,$V187)/IF($D$2="Egyszeri",VLOOKUP($B187+IF($C187=12,1,0),Paraméterek!$V$257:$W$262,2),IF($B187=1,1,VLOOKUP($B187+IF($C187=12,1,0),Paraméterek!$I$258:$T$278,HLOOKUP($M$11+1,Paraméterek!$J$256:$T$257,2)))),IF($D$4="Forint",0,2)))</f>
        <v>#N/A</v>
      </c>
      <c r="X187" s="13" t="e">
        <f ca="1">ROUNDDOWN($W187*IF($D$2="Egyszeri",VLOOKUP($B187+IF($C187=12,1,0),Paraméterek!$V$257:$W$262,2),VLOOKUP($B187+IF($C187=12,1,0),Paraméterek!$I$258:$T$278,HLOOKUP($M$11+1,Paraméterek!$I$256:$T$257,2))),IF($D$4="Forint",0,2))</f>
        <v>#N/A</v>
      </c>
      <c r="Z187" s="32">
        <v>168</v>
      </c>
      <c r="AA187" s="32">
        <v>14</v>
      </c>
      <c r="AB187" s="32">
        <v>12</v>
      </c>
      <c r="AC187" s="13">
        <f t="shared" ca="1" si="60"/>
        <v>0</v>
      </c>
      <c r="AD187" s="33"/>
      <c r="AE187" s="13">
        <f t="shared" ca="1" si="52"/>
        <v>0</v>
      </c>
      <c r="AF187" s="13">
        <f ca="1">ROUNDUP(($AC187+$AE187)*VLOOKUP($AA187,Paraméterek!$P$38:$Q$38,2)/12*IF($D188="Nem",IF($M$13=0,1,$M$13),1),IF($D$4="Forint",0,2))</f>
        <v>0</v>
      </c>
      <c r="AG187" s="13" t="e">
        <f ca="1">IF($D$2="Egyszeri",IF($D$7&gt;=IF($D$4="Forint",Paraméterek!$P$223,Paraméterek!$P$224),$D$7-IF($D$4="Forint",Paraméterek!$P$223,Paraméterek!$P$224),0),MIN(IF($AB187=12,AVERAGEIF($E$20:$E187,"&gt;0",$E$20:$E187)*12,0),SUM($E$20:$E$31)))</f>
        <v>#DIV/0!</v>
      </c>
      <c r="AH187" s="13">
        <f>IF($AA187=10,$AG187*IF($AB187=12,IF($AG187&lt;IF($D$4="Forint",Paraméterek!$L$223,Paraméterek!$L$224),0,VLOOKUP($AA187,Paraméterek!$K$226:$M$228,IF($AG187&lt;IF($D$4="Forint",Paraméterek!$M$223,Paraméterek!$M$224),2,3))),0),0)</f>
        <v>0</v>
      </c>
      <c r="AI187" s="13">
        <f ca="1">IF(AND($AA187=$M$11+1,$AB187=$M$12+1),SUMIF($AA$20:$AA$1027,$AA187,$AG$20:$AG$1027)*IF(SUMIF($AA$20:$AA$1027,$AA187,$AG$20:$AG$1027)&lt;IF($D$4="Forint",Paraméterek!$L$223,Paraméterek!$L$224),0,VLOOKUP($AA187,Paraméterek!$K$230:$M$250,IF(SUMIF($AA$20:$AA$1027,$AA187,$AG$20:$AG$1027)&lt;IF($D$4="Forint",Paraméterek!$M$223,Paraméterek!$M$224),2,3))),0)</f>
        <v>0</v>
      </c>
      <c r="AJ187" s="13" t="e">
        <f ca="1">IF(AND($AA187&gt;=5,MOD($AA187,5)=0),IF($AB187=12,VLOOKUP($AA187,Paraméterek!$O$225:$P$240,2),0),IF(OR($AA187=3,$AA187=4),IF($AB187=12,VLOOKUP($AA187,Paraméterek!$O$225:$P$240,2,0),0),0))*$AG187</f>
        <v>#DIV/0!</v>
      </c>
      <c r="AK187" s="13">
        <f t="shared" ca="1" si="53"/>
        <v>0</v>
      </c>
      <c r="AL187" s="13">
        <f t="shared" ca="1" si="61"/>
        <v>0</v>
      </c>
      <c r="AM187" s="13">
        <f t="shared" ca="1" si="62"/>
        <v>0</v>
      </c>
      <c r="AO187" s="32">
        <v>168</v>
      </c>
      <c r="AP187" s="32">
        <v>14</v>
      </c>
      <c r="AQ187" s="32">
        <v>12</v>
      </c>
      <c r="AR187" s="13"/>
      <c r="AS187" s="32"/>
      <c r="AT187" s="13">
        <f t="shared" ca="1" si="63"/>
        <v>0</v>
      </c>
      <c r="AU187" s="33"/>
      <c r="AV187" s="13">
        <f t="shared" ca="1" si="54"/>
        <v>0</v>
      </c>
      <c r="AW187" s="13">
        <f ca="1">ROUNDUP(($AT187+$AV187)*VLOOKUP($AP187,Paraméterek!$P$38:$Q$38,2)/12*IF($D188="Nem",IF($M$13=0,1,$M$13),1),IF($D$4="Forint",0,2))</f>
        <v>0</v>
      </c>
      <c r="AX187" s="13">
        <f>Tranzakciók!$M$45</f>
        <v>0</v>
      </c>
      <c r="AY187" s="13"/>
      <c r="AZ187" s="13">
        <f>ROUNDUP(IF(SUM($AX187:$AY187)=0,0,IF(IF(ISBLANK($AY187),$AX187,$AY187)*Paraméterek!$J$112&lt;IF($D$4="Forint",Paraméterek!$J$113,Paraméterek!$K$113),IF($D$4="Forint",Paraméterek!$J$113,Paraméterek!$K$113),IF(IF(ISBLANK($AY187),$AX187,$AY187)*Paraméterek!$J$112&gt;IF($D$4="Forint",Paraméterek!$J$114,Paraméterek!$K$114),IF($D$4="Forint",Paraméterek!$J$114,Paraméterek!$K$114),IF(ISBLANK($AY187),$AX187,$AY187)*Paraméterek!$J$112))),IF($D$4="Forint",0,2))</f>
        <v>0</v>
      </c>
      <c r="BA187" s="13">
        <f ca="1">$AT187+$AV187-$AW187-IF(ROUNDDOWN(IF(ISBLANK($AY187),$AX187,$AY187),IF($D$4="Forint",0,2))&gt;$AT187+$AV187-$AW187-IF($D$4="Forint",Paraméterek!$J$114,Paraméterek!$K$114),0,ROUNDDOWN(IF(ISBLANK($AY187),$AX187,$AY187),IF($D$4="Forint",0,2))-$AZ187)</f>
        <v>0</v>
      </c>
      <c r="BB187" s="13">
        <f t="shared" ca="1" si="55"/>
        <v>0</v>
      </c>
      <c r="BD187" s="32">
        <v>168</v>
      </c>
      <c r="BE187" s="32">
        <v>14</v>
      </c>
      <c r="BF187" s="32">
        <v>12</v>
      </c>
      <c r="BG187" s="34">
        <f t="shared" ca="1" si="64"/>
        <v>2033</v>
      </c>
      <c r="BH187" s="32" t="str">
        <f ca="1">IF(MOD(MONTH($D$14)+$BD187-1,12)=Paraméterek!$C$288,"Igen","")</f>
        <v/>
      </c>
      <c r="BI187" s="13">
        <f ca="1">IF($BH187="Igen",MIN(ROUNDDOWN((SUMIF($BG$20:$BG$1027,$BG187-1,$K$20:$K$1027)-SUMIF($BG$20:$BG$1027,$BG187-1,$I$20:$I$1027))*Paraméterek!$C$289,IF($D$4="Forint",0,2)),IF($D$4="Forint",Paraméterek!$C$285,Paraméterek!$D$285)),0)</f>
        <v>0</v>
      </c>
      <c r="BJ187" s="13">
        <f t="shared" ca="1" si="56"/>
        <v>0</v>
      </c>
      <c r="BK187" s="13">
        <f t="shared" ca="1" si="65"/>
        <v>0</v>
      </c>
      <c r="BL187" s="33"/>
      <c r="BM187" s="13">
        <f t="shared" ca="1" si="57"/>
        <v>0</v>
      </c>
      <c r="BN187" s="13">
        <f ca="1">ROUNDUP(($BK187+$BM187)*VLOOKUP($BE187,Paraméterek!$P$38:$Q$38,2)/12*IF($D188="Nem",IF($M$13=0,1,$M$13),1),IF($D$4="Forint",0,2))</f>
        <v>0</v>
      </c>
      <c r="BO187" s="13">
        <f t="shared" ca="1" si="58"/>
        <v>0</v>
      </c>
      <c r="BP187" s="13">
        <f ca="1">IF($D188="Nem",$BO187,$BO187-ROUNDUP(SUM($BI$20:$BI187)*120%,IF($D$4="Forint",0,2)))</f>
        <v>0</v>
      </c>
    </row>
    <row r="188" spans="1:68" x14ac:dyDescent="0.2">
      <c r="A188" s="32">
        <v>169</v>
      </c>
      <c r="B188" s="32">
        <v>15</v>
      </c>
      <c r="C188" s="32">
        <v>1</v>
      </c>
      <c r="D188" s="32" t="str">
        <f t="shared" ca="1" si="44"/>
        <v>Nem</v>
      </c>
      <c r="E188" s="13">
        <f t="shared" ca="1" si="45"/>
        <v>0</v>
      </c>
      <c r="F188" s="13"/>
      <c r="G188" s="13">
        <f>Tranzakciók!$D$46</f>
        <v>0</v>
      </c>
      <c r="H188" s="13"/>
      <c r="I188" s="13">
        <f t="shared" ca="1" si="46"/>
        <v>0</v>
      </c>
      <c r="J188" s="13">
        <f t="shared" ca="1" si="47"/>
        <v>0</v>
      </c>
      <c r="K188" s="13">
        <f t="shared" ca="1" si="48"/>
        <v>0</v>
      </c>
      <c r="L188" s="13" t="e">
        <f ca="1">ROUNDUP(IF($D$2="Egyszeri",$E188,IF($D$2="Havi",SUM($E$20:$E$31),IF(MOD($C188,$M$1)-1=0,SUM($E$20:$E$31),0))/12*$M$1)*VLOOKUP($B188,Paraméterek!$I$28:$P$31,IF($D$2="Egyszeri",8,HLOOKUP(ROUNDUP($M$11+$M$13,0),Paraméterek!$J$26:$O$27,2))),IF($D$4="Forint",0,2))</f>
        <v>#N/A</v>
      </c>
      <c r="M188" s="13">
        <f t="shared" ca="1" si="49"/>
        <v>0</v>
      </c>
      <c r="N188" s="13">
        <f t="shared" ca="1" si="59"/>
        <v>0</v>
      </c>
      <c r="O188" s="13">
        <f ca="1">IF($D188="Igen",IF($W187&gt;=IF($D$4="Forint",Paraméterek!$J$121,Paraméterek!$K$121),0,IF($D$4="Forint",Paraméterek!$J$121,Paraméterek!$K$121)-$W187),0)</f>
        <v>0</v>
      </c>
      <c r="P188" s="13" t="e">
        <f ca="1">ROUNDUP($O188*VLOOKUP($M$4+$B188-1,Paraméterek!$H$58:$I$105,2,0)/Paraméterek!$I$56,IF($D$4="Forint",0,2))</f>
        <v>#N/A</v>
      </c>
      <c r="Q188" s="13">
        <f t="shared" ca="1" si="50"/>
        <v>0</v>
      </c>
      <c r="R188" s="33"/>
      <c r="S188" s="13" t="e">
        <f t="shared" ca="1" si="51"/>
        <v>#N/A</v>
      </c>
      <c r="T188" s="13" t="e">
        <f ca="1">ROUNDUP(($N188-$P188-$Q188+$S188)*VLOOKUP($B188,Paraméterek!$I$38:$K$39,IF($D$2="Egyszeri",3,2))/12*IF($D189="Nem",IF($M$13=0,1,$M$13),1),IF($D$4="Forint",0,2))</f>
        <v>#N/A</v>
      </c>
      <c r="U188" s="13"/>
      <c r="V188" s="13"/>
      <c r="W188" s="13" t="e">
        <f ca="1">$N188-$P188-$Q188+$S188-$T188-IF(ROUNDUP(IF(ISBLANK($V188),$U188*0,$V188)/IF($D$2="Egyszeri",VLOOKUP($B188+IF($C188=12,1,0),Paraméterek!$V$257:$W$262,2),IF($B188=1,1,VLOOKUP($B188+IF($C188=12,1,0),Paraméterek!$I$258:$T$278,HLOOKUP($M$11+1,Paraméterek!$J$256:$T$257,2)))),IF($D$4="Forint",0,2))&gt;$N188-$P188-$Q188+$S188-$T188-IF($D$4="Forint",Paraméterek!$C$216,Paraméterek!$D$216),0,ROUNDUP(IF(ISBLANK($V188),$U188*0,$V188)/IF($D$2="Egyszeri",VLOOKUP($B188+IF($C188=12,1,0),Paraméterek!$V$257:$W$262,2),IF($B188=1,1,VLOOKUP($B188+IF($C188=12,1,0),Paraméterek!$I$258:$T$278,HLOOKUP($M$11+1,Paraméterek!$J$256:$T$257,2)))),IF($D$4="Forint",0,2)))</f>
        <v>#N/A</v>
      </c>
      <c r="X188" s="13" t="e">
        <f ca="1">ROUNDDOWN($W188*IF($D$2="Egyszeri",VLOOKUP($B188+IF($C188=12,1,0),Paraméterek!$V$257:$W$262,2),VLOOKUP($B188+IF($C188=12,1,0),Paraméterek!$I$258:$T$278,HLOOKUP($M$11+1,Paraméterek!$I$256:$T$257,2))),IF($D$4="Forint",0,2))</f>
        <v>#N/A</v>
      </c>
      <c r="Z188" s="32">
        <v>169</v>
      </c>
      <c r="AA188" s="32">
        <v>15</v>
      </c>
      <c r="AB188" s="32">
        <v>1</v>
      </c>
      <c r="AC188" s="13">
        <f t="shared" ca="1" si="60"/>
        <v>0</v>
      </c>
      <c r="AD188" s="33"/>
      <c r="AE188" s="13">
        <f t="shared" ca="1" si="52"/>
        <v>0</v>
      </c>
      <c r="AF188" s="13">
        <f ca="1">ROUNDUP(($AC188+$AE188)*VLOOKUP($AA188,Paraméterek!$P$38:$Q$38,2)/12*IF($D189="Nem",IF($M$13=0,1,$M$13),1),IF($D$4="Forint",0,2))</f>
        <v>0</v>
      </c>
      <c r="AG188" s="13">
        <f ca="1">IF($D$2="Egyszeri",IF($D$7&gt;=IF($D$4="Forint",Paraméterek!$P$223,Paraméterek!$P$224),$D$7-IF($D$4="Forint",Paraméterek!$P$223,Paraméterek!$P$224),0),MIN(IF($AB188=12,AVERAGEIF($E$20:$E188,"&gt;0",$E$20:$E188)*12,0),SUM($E$20:$E$31)))</f>
        <v>0</v>
      </c>
      <c r="AH188" s="13">
        <f>IF($AA188=10,$AG188*IF($AB188=12,IF($AG188&lt;IF($D$4="Forint",Paraméterek!$L$223,Paraméterek!$L$224),0,VLOOKUP($AA188,Paraméterek!$K$226:$M$228,IF($AG188&lt;IF($D$4="Forint",Paraméterek!$M$223,Paraméterek!$M$224),2,3))),0),0)</f>
        <v>0</v>
      </c>
      <c r="AI188" s="13">
        <f ca="1">IF(AND($AA188=$M$11+1,$AB188=$M$12+1),SUMIF($AA$20:$AA$1027,$AA188,$AG$20:$AG$1027)*IF(SUMIF($AA$20:$AA$1027,$AA188,$AG$20:$AG$1027)&lt;IF($D$4="Forint",Paraméterek!$L$223,Paraméterek!$L$224),0,VLOOKUP($AA188,Paraméterek!$K$230:$M$250,IF(SUMIF($AA$20:$AA$1027,$AA188,$AG$20:$AG$1027)&lt;IF($D$4="Forint",Paraméterek!$M$223,Paraméterek!$M$224),2,3))),0)</f>
        <v>0</v>
      </c>
      <c r="AJ188" s="13">
        <f ca="1">IF(AND($AA188&gt;=5,MOD($AA188,5)=0),IF($AB188=12,VLOOKUP($AA188,Paraméterek!$O$225:$P$240,2),0),IF(OR($AA188=3,$AA188=4),IF($AB188=12,VLOOKUP($AA188,Paraméterek!$O$225:$P$240,2,0),0),0))*$AG188</f>
        <v>0</v>
      </c>
      <c r="AK188" s="13">
        <f t="shared" ca="1" si="53"/>
        <v>0</v>
      </c>
      <c r="AL188" s="13">
        <f t="shared" ca="1" si="61"/>
        <v>0</v>
      </c>
      <c r="AM188" s="13">
        <f t="shared" ca="1" si="62"/>
        <v>0</v>
      </c>
      <c r="AO188" s="32">
        <v>169</v>
      </c>
      <c r="AP188" s="32">
        <v>15</v>
      </c>
      <c r="AQ188" s="32">
        <v>1</v>
      </c>
      <c r="AR188" s="13">
        <f>Tranzakciók!$K$46</f>
        <v>0</v>
      </c>
      <c r="AS188" s="32"/>
      <c r="AT188" s="13">
        <f t="shared" ca="1" si="63"/>
        <v>0</v>
      </c>
      <c r="AU188" s="33"/>
      <c r="AV188" s="13">
        <f t="shared" ca="1" si="54"/>
        <v>0</v>
      </c>
      <c r="AW188" s="13">
        <f ca="1">ROUNDUP(($AT188+$AV188)*VLOOKUP($AP188,Paraméterek!$P$38:$Q$38,2)/12*IF($D189="Nem",IF($M$13=0,1,$M$13),1),IF($D$4="Forint",0,2))</f>
        <v>0</v>
      </c>
      <c r="AX188" s="13"/>
      <c r="AY188" s="13"/>
      <c r="AZ188" s="13">
        <f>ROUNDUP(IF(SUM($AX188:$AY188)=0,0,IF(IF(ISBLANK($AY188),$AX188,$AY188)*Paraméterek!$J$112&lt;IF($D$4="Forint",Paraméterek!$J$113,Paraméterek!$K$113),IF($D$4="Forint",Paraméterek!$J$113,Paraméterek!$K$113),IF(IF(ISBLANK($AY188),$AX188,$AY188)*Paraméterek!$J$112&gt;IF($D$4="Forint",Paraméterek!$J$114,Paraméterek!$K$114),IF($D$4="Forint",Paraméterek!$J$114,Paraméterek!$K$114),IF(ISBLANK($AY188),$AX188,$AY188)*Paraméterek!$J$112))),IF($D$4="Forint",0,2))</f>
        <v>0</v>
      </c>
      <c r="BA188" s="13">
        <f ca="1">$AT188+$AV188-$AW188-IF(ROUNDDOWN(IF(ISBLANK($AY188),$AX188,$AY188),IF($D$4="Forint",0,2))&gt;$AT188+$AV188-$AW188-IF($D$4="Forint",Paraméterek!$J$114,Paraméterek!$K$114),0,ROUNDDOWN(IF(ISBLANK($AY188),$AX188,$AY188),IF($D$4="Forint",0,2))-$AZ188)</f>
        <v>0</v>
      </c>
      <c r="BB188" s="13">
        <f t="shared" ca="1" si="55"/>
        <v>0</v>
      </c>
      <c r="BD188" s="32">
        <v>169</v>
      </c>
      <c r="BE188" s="32">
        <v>15</v>
      </c>
      <c r="BF188" s="32">
        <v>1</v>
      </c>
      <c r="BG188" s="34">
        <f t="shared" ca="1" si="64"/>
        <v>2033</v>
      </c>
      <c r="BH188" s="32" t="str">
        <f ca="1">IF(MOD(MONTH($D$14)+$BD188-1,12)=Paraméterek!$C$288,"Igen","")</f>
        <v/>
      </c>
      <c r="BI188" s="13">
        <f ca="1">IF($BH188="Igen",MIN(ROUNDDOWN((SUMIF($BG$20:$BG$1027,$BG188-1,$K$20:$K$1027)-SUMIF($BG$20:$BG$1027,$BG188-1,$I$20:$I$1027))*Paraméterek!$C$289,IF($D$4="Forint",0,2)),IF($D$4="Forint",Paraméterek!$C$285,Paraméterek!$D$285)),0)</f>
        <v>0</v>
      </c>
      <c r="BJ188" s="13">
        <f t="shared" ca="1" si="56"/>
        <v>0</v>
      </c>
      <c r="BK188" s="13">
        <f t="shared" ca="1" si="65"/>
        <v>0</v>
      </c>
      <c r="BL188" s="33"/>
      <c r="BM188" s="13">
        <f t="shared" ca="1" si="57"/>
        <v>0</v>
      </c>
      <c r="BN188" s="13">
        <f ca="1">ROUNDUP(($BK188+$BM188)*VLOOKUP($BE188,Paraméterek!$P$38:$Q$38,2)/12*IF($D189="Nem",IF($M$13=0,1,$M$13),1),IF($D$4="Forint",0,2))</f>
        <v>0</v>
      </c>
      <c r="BO188" s="13">
        <f t="shared" ca="1" si="58"/>
        <v>0</v>
      </c>
      <c r="BP188" s="13">
        <f ca="1">IF($D189="Nem",$BO188,$BO188-ROUNDUP(SUM($BI$20:$BI188)*120%,IF($D$4="Forint",0,2)))</f>
        <v>0</v>
      </c>
    </row>
    <row r="189" spans="1:68" x14ac:dyDescent="0.2">
      <c r="A189" s="32">
        <v>170</v>
      </c>
      <c r="B189" s="32">
        <v>15</v>
      </c>
      <c r="C189" s="32">
        <v>2</v>
      </c>
      <c r="D189" s="32" t="str">
        <f t="shared" ca="1" si="44"/>
        <v>Nem</v>
      </c>
      <c r="E189" s="13">
        <f t="shared" ca="1" si="45"/>
        <v>0</v>
      </c>
      <c r="F189" s="13"/>
      <c r="G189" s="13"/>
      <c r="H189" s="13"/>
      <c r="I189" s="13">
        <f t="shared" ca="1" si="46"/>
        <v>0</v>
      </c>
      <c r="J189" s="13">
        <f t="shared" ca="1" si="47"/>
        <v>0</v>
      </c>
      <c r="K189" s="13">
        <f t="shared" ca="1" si="48"/>
        <v>0</v>
      </c>
      <c r="L189" s="13" t="e">
        <f ca="1">ROUNDUP(IF($D$2="Egyszeri",$E189,IF($D$2="Havi",SUM($E$20:$E$31),IF(MOD($C189,$M$1)-1=0,SUM($E$20:$E$31),0))/12*$M$1)*VLOOKUP($B189,Paraméterek!$I$28:$P$31,IF($D$2="Egyszeri",8,HLOOKUP(ROUNDUP($M$11+$M$13,0),Paraméterek!$J$26:$O$27,2))),IF($D$4="Forint",0,2))</f>
        <v>#N/A</v>
      </c>
      <c r="M189" s="13">
        <f t="shared" ca="1" si="49"/>
        <v>0</v>
      </c>
      <c r="N189" s="13">
        <f t="shared" ca="1" si="59"/>
        <v>0</v>
      </c>
      <c r="O189" s="13">
        <f ca="1">IF($D189="Igen",IF($W188&gt;=IF($D$4="Forint",Paraméterek!$J$121,Paraméterek!$K$121),0,IF($D$4="Forint",Paraméterek!$J$121,Paraméterek!$K$121)-$W188),0)</f>
        <v>0</v>
      </c>
      <c r="P189" s="13" t="e">
        <f ca="1">ROUNDUP($O189*VLOOKUP($M$4+$B189-1,Paraméterek!$H$58:$I$105,2,0)/Paraméterek!$I$56,IF($D$4="Forint",0,2))</f>
        <v>#N/A</v>
      </c>
      <c r="Q189" s="13">
        <f t="shared" ca="1" si="50"/>
        <v>0</v>
      </c>
      <c r="R189" s="33"/>
      <c r="S189" s="13" t="e">
        <f t="shared" ca="1" si="51"/>
        <v>#N/A</v>
      </c>
      <c r="T189" s="13" t="e">
        <f ca="1">ROUNDUP(($N189-$P189-$Q189+$S189)*VLOOKUP($B189,Paraméterek!$I$38:$K$39,IF($D$2="Egyszeri",3,2))/12*IF($D190="Nem",IF($M$13=0,1,$M$13),1),IF($D$4="Forint",0,2))</f>
        <v>#N/A</v>
      </c>
      <c r="U189" s="13"/>
      <c r="V189" s="13"/>
      <c r="W189" s="13" t="e">
        <f ca="1">$N189-$P189-$Q189+$S189-$T189-IF(ROUNDUP(IF(ISBLANK($V189),$U189*0,$V189)/IF($D$2="Egyszeri",VLOOKUP($B189+IF($C189=12,1,0),Paraméterek!$V$257:$W$262,2),IF($B189=1,1,VLOOKUP($B189+IF($C189=12,1,0),Paraméterek!$I$258:$T$278,HLOOKUP($M$11+1,Paraméterek!$J$256:$T$257,2)))),IF($D$4="Forint",0,2))&gt;$N189-$P189-$Q189+$S189-$T189-IF($D$4="Forint",Paraméterek!$C$216,Paraméterek!$D$216),0,ROUNDUP(IF(ISBLANK($V189),$U189*0,$V189)/IF($D$2="Egyszeri",VLOOKUP($B189+IF($C189=12,1,0),Paraméterek!$V$257:$W$262,2),IF($B189=1,1,VLOOKUP($B189+IF($C189=12,1,0),Paraméterek!$I$258:$T$278,HLOOKUP($M$11+1,Paraméterek!$J$256:$T$257,2)))),IF($D$4="Forint",0,2)))</f>
        <v>#N/A</v>
      </c>
      <c r="X189" s="13" t="e">
        <f ca="1">ROUNDDOWN($W189*IF($D$2="Egyszeri",VLOOKUP($B189+IF($C189=12,1,0),Paraméterek!$V$257:$W$262,2),VLOOKUP($B189+IF($C189=12,1,0),Paraméterek!$I$258:$T$278,HLOOKUP($M$11+1,Paraméterek!$I$256:$T$257,2))),IF($D$4="Forint",0,2))</f>
        <v>#N/A</v>
      </c>
      <c r="Z189" s="32">
        <v>170</v>
      </c>
      <c r="AA189" s="32">
        <v>15</v>
      </c>
      <c r="AB189" s="32">
        <v>2</v>
      </c>
      <c r="AC189" s="13">
        <f t="shared" ca="1" si="60"/>
        <v>0</v>
      </c>
      <c r="AD189" s="33"/>
      <c r="AE189" s="13">
        <f t="shared" ca="1" si="52"/>
        <v>0</v>
      </c>
      <c r="AF189" s="13">
        <f ca="1">ROUNDUP(($AC189+$AE189)*VLOOKUP($AA189,Paraméterek!$P$38:$Q$38,2)/12*IF($D190="Nem",IF($M$13=0,1,$M$13),1),IF($D$4="Forint",0,2))</f>
        <v>0</v>
      </c>
      <c r="AG189" s="13">
        <f ca="1">IF($D$2="Egyszeri",IF($D$7&gt;=IF($D$4="Forint",Paraméterek!$P$223,Paraméterek!$P$224),$D$7-IF($D$4="Forint",Paraméterek!$P$223,Paraméterek!$P$224),0),MIN(IF($AB189=12,AVERAGEIF($E$20:$E189,"&gt;0",$E$20:$E189)*12,0),SUM($E$20:$E$31)))</f>
        <v>0</v>
      </c>
      <c r="AH189" s="13">
        <f>IF($AA189=10,$AG189*IF($AB189=12,IF($AG189&lt;IF($D$4="Forint",Paraméterek!$L$223,Paraméterek!$L$224),0,VLOOKUP($AA189,Paraméterek!$K$226:$M$228,IF($AG189&lt;IF($D$4="Forint",Paraméterek!$M$223,Paraméterek!$M$224),2,3))),0),0)</f>
        <v>0</v>
      </c>
      <c r="AI189" s="13">
        <f ca="1">IF(AND($AA189=$M$11+1,$AB189=$M$12+1),SUMIF($AA$20:$AA$1027,$AA189,$AG$20:$AG$1027)*IF(SUMIF($AA$20:$AA$1027,$AA189,$AG$20:$AG$1027)&lt;IF($D$4="Forint",Paraméterek!$L$223,Paraméterek!$L$224),0,VLOOKUP($AA189,Paraméterek!$K$230:$M$250,IF(SUMIF($AA$20:$AA$1027,$AA189,$AG$20:$AG$1027)&lt;IF($D$4="Forint",Paraméterek!$M$223,Paraméterek!$M$224),2,3))),0)</f>
        <v>0</v>
      </c>
      <c r="AJ189" s="13">
        <f ca="1">IF(AND($AA189&gt;=5,MOD($AA189,5)=0),IF($AB189=12,VLOOKUP($AA189,Paraméterek!$O$225:$P$240,2),0),IF(OR($AA189=3,$AA189=4),IF($AB189=12,VLOOKUP($AA189,Paraméterek!$O$225:$P$240,2,0),0),0))*$AG189</f>
        <v>0</v>
      </c>
      <c r="AK189" s="13">
        <f t="shared" ca="1" si="53"/>
        <v>0</v>
      </c>
      <c r="AL189" s="13">
        <f t="shared" ca="1" si="61"/>
        <v>0</v>
      </c>
      <c r="AM189" s="13">
        <f t="shared" ca="1" si="62"/>
        <v>0</v>
      </c>
      <c r="AO189" s="32">
        <v>170</v>
      </c>
      <c r="AP189" s="32">
        <v>15</v>
      </c>
      <c r="AQ189" s="32">
        <v>2</v>
      </c>
      <c r="AR189" s="13"/>
      <c r="AS189" s="32"/>
      <c r="AT189" s="13">
        <f t="shared" ca="1" si="63"/>
        <v>0</v>
      </c>
      <c r="AU189" s="33"/>
      <c r="AV189" s="13">
        <f t="shared" ca="1" si="54"/>
        <v>0</v>
      </c>
      <c r="AW189" s="13">
        <f ca="1">ROUNDUP(($AT189+$AV189)*VLOOKUP($AP189,Paraméterek!$P$38:$Q$38,2)/12*IF($D190="Nem",IF($M$13=0,1,$M$13),1),IF($D$4="Forint",0,2))</f>
        <v>0</v>
      </c>
      <c r="AX189" s="13"/>
      <c r="AY189" s="13"/>
      <c r="AZ189" s="13">
        <f>ROUNDUP(IF(SUM($AX189:$AY189)=0,0,IF(IF(ISBLANK($AY189),$AX189,$AY189)*Paraméterek!$J$112&lt;IF($D$4="Forint",Paraméterek!$J$113,Paraméterek!$K$113),IF($D$4="Forint",Paraméterek!$J$113,Paraméterek!$K$113),IF(IF(ISBLANK($AY189),$AX189,$AY189)*Paraméterek!$J$112&gt;IF($D$4="Forint",Paraméterek!$J$114,Paraméterek!$K$114),IF($D$4="Forint",Paraméterek!$J$114,Paraméterek!$K$114),IF(ISBLANK($AY189),$AX189,$AY189)*Paraméterek!$J$112))),IF($D$4="Forint",0,2))</f>
        <v>0</v>
      </c>
      <c r="BA189" s="13">
        <f ca="1">$AT189+$AV189-$AW189-IF(ROUNDDOWN(IF(ISBLANK($AY189),$AX189,$AY189),IF($D$4="Forint",0,2))&gt;$AT189+$AV189-$AW189-IF($D$4="Forint",Paraméterek!$J$114,Paraméterek!$K$114),0,ROUNDDOWN(IF(ISBLANK($AY189),$AX189,$AY189),IF($D$4="Forint",0,2))-$AZ189)</f>
        <v>0</v>
      </c>
      <c r="BB189" s="13">
        <f t="shared" ca="1" si="55"/>
        <v>0</v>
      </c>
      <c r="BD189" s="32">
        <v>170</v>
      </c>
      <c r="BE189" s="32">
        <v>15</v>
      </c>
      <c r="BF189" s="32">
        <v>2</v>
      </c>
      <c r="BG189" s="34">
        <f t="shared" ca="1" si="64"/>
        <v>2033</v>
      </c>
      <c r="BH189" s="32" t="str">
        <f ca="1">IF(MOD(MONTH($D$14)+$BD189-1,12)=Paraméterek!$C$288,"Igen","")</f>
        <v>Igen</v>
      </c>
      <c r="BI189" s="13">
        <f ca="1">IF($BH189="Igen",MIN(ROUNDDOWN((SUMIF($BG$20:$BG$1027,$BG189-1,$K$20:$K$1027)-SUMIF($BG$20:$BG$1027,$BG189-1,$I$20:$I$1027))*Paraméterek!$C$289,IF($D$4="Forint",0,2)),IF($D$4="Forint",Paraméterek!$C$285,Paraméterek!$D$285)),0)</f>
        <v>0</v>
      </c>
      <c r="BJ189" s="13">
        <f t="shared" ca="1" si="56"/>
        <v>0</v>
      </c>
      <c r="BK189" s="13">
        <f t="shared" ca="1" si="65"/>
        <v>0</v>
      </c>
      <c r="BL189" s="33"/>
      <c r="BM189" s="13">
        <f t="shared" ca="1" si="57"/>
        <v>0</v>
      </c>
      <c r="BN189" s="13">
        <f ca="1">ROUNDUP(($BK189+$BM189)*VLOOKUP($BE189,Paraméterek!$P$38:$Q$38,2)/12*IF($D190="Nem",IF($M$13=0,1,$M$13),1),IF($D$4="Forint",0,2))</f>
        <v>0</v>
      </c>
      <c r="BO189" s="13">
        <f t="shared" ca="1" si="58"/>
        <v>0</v>
      </c>
      <c r="BP189" s="13">
        <f ca="1">IF($D190="Nem",$BO189,$BO189-ROUNDUP(SUM($BI$20:$BI189)*120%,IF($D$4="Forint",0,2)))</f>
        <v>0</v>
      </c>
    </row>
    <row r="190" spans="1:68" x14ac:dyDescent="0.2">
      <c r="A190" s="32">
        <v>171</v>
      </c>
      <c r="B190" s="32">
        <v>15</v>
      </c>
      <c r="C190" s="32">
        <v>3</v>
      </c>
      <c r="D190" s="32" t="str">
        <f t="shared" ca="1" si="44"/>
        <v>Nem</v>
      </c>
      <c r="E190" s="13">
        <f t="shared" ca="1" si="45"/>
        <v>0</v>
      </c>
      <c r="F190" s="13"/>
      <c r="G190" s="13"/>
      <c r="H190" s="13"/>
      <c r="I190" s="13">
        <f t="shared" ca="1" si="46"/>
        <v>0</v>
      </c>
      <c r="J190" s="13">
        <f t="shared" ca="1" si="47"/>
        <v>0</v>
      </c>
      <c r="K190" s="13">
        <f t="shared" ca="1" si="48"/>
        <v>0</v>
      </c>
      <c r="L190" s="13" t="e">
        <f ca="1">ROUNDUP(IF($D$2="Egyszeri",$E190,IF($D$2="Havi",SUM($E$20:$E$31),IF(MOD($C190,$M$1)-1=0,SUM($E$20:$E$31),0))/12*$M$1)*VLOOKUP($B190,Paraméterek!$I$28:$P$31,IF($D$2="Egyszeri",8,HLOOKUP(ROUNDUP($M$11+$M$13,0),Paraméterek!$J$26:$O$27,2))),IF($D$4="Forint",0,2))</f>
        <v>#N/A</v>
      </c>
      <c r="M190" s="13">
        <f t="shared" ca="1" si="49"/>
        <v>0</v>
      </c>
      <c r="N190" s="13">
        <f t="shared" ca="1" si="59"/>
        <v>0</v>
      </c>
      <c r="O190" s="13">
        <f ca="1">IF($D190="Igen",IF($W189&gt;=IF($D$4="Forint",Paraméterek!$J$121,Paraméterek!$K$121),0,IF($D$4="Forint",Paraméterek!$J$121,Paraméterek!$K$121)-$W189),0)</f>
        <v>0</v>
      </c>
      <c r="P190" s="13" t="e">
        <f ca="1">ROUNDUP($O190*VLOOKUP($M$4+$B190-1,Paraméterek!$H$58:$I$105,2,0)/Paraméterek!$I$56,IF($D$4="Forint",0,2))</f>
        <v>#N/A</v>
      </c>
      <c r="Q190" s="13">
        <f t="shared" ca="1" si="50"/>
        <v>0</v>
      </c>
      <c r="R190" s="33"/>
      <c r="S190" s="13" t="e">
        <f t="shared" ca="1" si="51"/>
        <v>#N/A</v>
      </c>
      <c r="T190" s="13" t="e">
        <f ca="1">ROUNDUP(($N190-$P190-$Q190+$S190)*VLOOKUP($B190,Paraméterek!$I$38:$K$39,IF($D$2="Egyszeri",3,2))/12*IF($D191="Nem",IF($M$13=0,1,$M$13),1),IF($D$4="Forint",0,2))</f>
        <v>#N/A</v>
      </c>
      <c r="U190" s="13"/>
      <c r="V190" s="13"/>
      <c r="W190" s="13" t="e">
        <f ca="1">$N190-$P190-$Q190+$S190-$T190-IF(ROUNDUP(IF(ISBLANK($V190),$U190*0,$V190)/IF($D$2="Egyszeri",VLOOKUP($B190+IF($C190=12,1,0),Paraméterek!$V$257:$W$262,2),IF($B190=1,1,VLOOKUP($B190+IF($C190=12,1,0),Paraméterek!$I$258:$T$278,HLOOKUP($M$11+1,Paraméterek!$J$256:$T$257,2)))),IF($D$4="Forint",0,2))&gt;$N190-$P190-$Q190+$S190-$T190-IF($D$4="Forint",Paraméterek!$C$216,Paraméterek!$D$216),0,ROUNDUP(IF(ISBLANK($V190),$U190*0,$V190)/IF($D$2="Egyszeri",VLOOKUP($B190+IF($C190=12,1,0),Paraméterek!$V$257:$W$262,2),IF($B190=1,1,VLOOKUP($B190+IF($C190=12,1,0),Paraméterek!$I$258:$T$278,HLOOKUP($M$11+1,Paraméterek!$J$256:$T$257,2)))),IF($D$4="Forint",0,2)))</f>
        <v>#N/A</v>
      </c>
      <c r="X190" s="13" t="e">
        <f ca="1">ROUNDDOWN($W190*IF($D$2="Egyszeri",VLOOKUP($B190+IF($C190=12,1,0),Paraméterek!$V$257:$W$262,2),VLOOKUP($B190+IF($C190=12,1,0),Paraméterek!$I$258:$T$278,HLOOKUP($M$11+1,Paraméterek!$I$256:$T$257,2))),IF($D$4="Forint",0,2))</f>
        <v>#N/A</v>
      </c>
      <c r="Z190" s="32">
        <v>171</v>
      </c>
      <c r="AA190" s="32">
        <v>15</v>
      </c>
      <c r="AB190" s="32">
        <v>3</v>
      </c>
      <c r="AC190" s="13">
        <f t="shared" ca="1" si="60"/>
        <v>0</v>
      </c>
      <c r="AD190" s="33"/>
      <c r="AE190" s="13">
        <f t="shared" ca="1" si="52"/>
        <v>0</v>
      </c>
      <c r="AF190" s="13">
        <f ca="1">ROUNDUP(($AC190+$AE190)*VLOOKUP($AA190,Paraméterek!$P$38:$Q$38,2)/12*IF($D191="Nem",IF($M$13=0,1,$M$13),1),IF($D$4="Forint",0,2))</f>
        <v>0</v>
      </c>
      <c r="AG190" s="13">
        <f ca="1">IF($D$2="Egyszeri",IF($D$7&gt;=IF($D$4="Forint",Paraméterek!$P$223,Paraméterek!$P$224),$D$7-IF($D$4="Forint",Paraméterek!$P$223,Paraméterek!$P$224),0),MIN(IF($AB190=12,AVERAGEIF($E$20:$E190,"&gt;0",$E$20:$E190)*12,0),SUM($E$20:$E$31)))</f>
        <v>0</v>
      </c>
      <c r="AH190" s="13">
        <f>IF($AA190=10,$AG190*IF($AB190=12,IF($AG190&lt;IF($D$4="Forint",Paraméterek!$L$223,Paraméterek!$L$224),0,VLOOKUP($AA190,Paraméterek!$K$226:$M$228,IF($AG190&lt;IF($D$4="Forint",Paraméterek!$M$223,Paraméterek!$M$224),2,3))),0),0)</f>
        <v>0</v>
      </c>
      <c r="AI190" s="13">
        <f ca="1">IF(AND($AA190=$M$11+1,$AB190=$M$12+1),SUMIF($AA$20:$AA$1027,$AA190,$AG$20:$AG$1027)*IF(SUMIF($AA$20:$AA$1027,$AA190,$AG$20:$AG$1027)&lt;IF($D$4="Forint",Paraméterek!$L$223,Paraméterek!$L$224),0,VLOOKUP($AA190,Paraméterek!$K$230:$M$250,IF(SUMIF($AA$20:$AA$1027,$AA190,$AG$20:$AG$1027)&lt;IF($D$4="Forint",Paraméterek!$M$223,Paraméterek!$M$224),2,3))),0)</f>
        <v>0</v>
      </c>
      <c r="AJ190" s="13">
        <f ca="1">IF(AND($AA190&gt;=5,MOD($AA190,5)=0),IF($AB190=12,VLOOKUP($AA190,Paraméterek!$O$225:$P$240,2),0),IF(OR($AA190=3,$AA190=4),IF($AB190=12,VLOOKUP($AA190,Paraméterek!$O$225:$P$240,2,0),0),0))*$AG190</f>
        <v>0</v>
      </c>
      <c r="AK190" s="13">
        <f t="shared" ca="1" si="53"/>
        <v>0</v>
      </c>
      <c r="AL190" s="13">
        <f t="shared" ca="1" si="61"/>
        <v>0</v>
      </c>
      <c r="AM190" s="13">
        <f t="shared" ca="1" si="62"/>
        <v>0</v>
      </c>
      <c r="AO190" s="32">
        <v>171</v>
      </c>
      <c r="AP190" s="32">
        <v>15</v>
      </c>
      <c r="AQ190" s="32">
        <v>3</v>
      </c>
      <c r="AR190" s="13"/>
      <c r="AS190" s="32"/>
      <c r="AT190" s="13">
        <f t="shared" ca="1" si="63"/>
        <v>0</v>
      </c>
      <c r="AU190" s="33"/>
      <c r="AV190" s="13">
        <f t="shared" ca="1" si="54"/>
        <v>0</v>
      </c>
      <c r="AW190" s="13">
        <f ca="1">ROUNDUP(($AT190+$AV190)*VLOOKUP($AP190,Paraméterek!$P$38:$Q$38,2)/12*IF($D191="Nem",IF($M$13=0,1,$M$13),1),IF($D$4="Forint",0,2))</f>
        <v>0</v>
      </c>
      <c r="AX190" s="13"/>
      <c r="AY190" s="13"/>
      <c r="AZ190" s="13">
        <f>ROUNDUP(IF(SUM($AX190:$AY190)=0,0,IF(IF(ISBLANK($AY190),$AX190,$AY190)*Paraméterek!$J$112&lt;IF($D$4="Forint",Paraméterek!$J$113,Paraméterek!$K$113),IF($D$4="Forint",Paraméterek!$J$113,Paraméterek!$K$113),IF(IF(ISBLANK($AY190),$AX190,$AY190)*Paraméterek!$J$112&gt;IF($D$4="Forint",Paraméterek!$J$114,Paraméterek!$K$114),IF($D$4="Forint",Paraméterek!$J$114,Paraméterek!$K$114),IF(ISBLANK($AY190),$AX190,$AY190)*Paraméterek!$J$112))),IF($D$4="Forint",0,2))</f>
        <v>0</v>
      </c>
      <c r="BA190" s="13">
        <f ca="1">$AT190+$AV190-$AW190-IF(ROUNDDOWN(IF(ISBLANK($AY190),$AX190,$AY190),IF($D$4="Forint",0,2))&gt;$AT190+$AV190-$AW190-IF($D$4="Forint",Paraméterek!$J$114,Paraméterek!$K$114),0,ROUNDDOWN(IF(ISBLANK($AY190),$AX190,$AY190),IF($D$4="Forint",0,2))-$AZ190)</f>
        <v>0</v>
      </c>
      <c r="BB190" s="13">
        <f t="shared" ca="1" si="55"/>
        <v>0</v>
      </c>
      <c r="BD190" s="32">
        <v>171</v>
      </c>
      <c r="BE190" s="32">
        <v>15</v>
      </c>
      <c r="BF190" s="32">
        <v>3</v>
      </c>
      <c r="BG190" s="34">
        <f t="shared" ca="1" si="64"/>
        <v>2033</v>
      </c>
      <c r="BH190" s="32" t="str">
        <f ca="1">IF(MOD(MONTH($D$14)+$BD190-1,12)=Paraméterek!$C$288,"Igen","")</f>
        <v/>
      </c>
      <c r="BI190" s="13">
        <f ca="1">IF($BH190="Igen",MIN(ROUNDDOWN((SUMIF($BG$20:$BG$1027,$BG190-1,$K$20:$K$1027)-SUMIF($BG$20:$BG$1027,$BG190-1,$I$20:$I$1027))*Paraméterek!$C$289,IF($D$4="Forint",0,2)),IF($D$4="Forint",Paraméterek!$C$285,Paraméterek!$D$285)),0)</f>
        <v>0</v>
      </c>
      <c r="BJ190" s="13">
        <f t="shared" ca="1" si="56"/>
        <v>0</v>
      </c>
      <c r="BK190" s="13">
        <f t="shared" ca="1" si="65"/>
        <v>0</v>
      </c>
      <c r="BL190" s="33"/>
      <c r="BM190" s="13">
        <f t="shared" ca="1" si="57"/>
        <v>0</v>
      </c>
      <c r="BN190" s="13">
        <f ca="1">ROUNDUP(($BK190+$BM190)*VLOOKUP($BE190,Paraméterek!$P$38:$Q$38,2)/12*IF($D191="Nem",IF($M$13=0,1,$M$13),1),IF($D$4="Forint",0,2))</f>
        <v>0</v>
      </c>
      <c r="BO190" s="13">
        <f t="shared" ca="1" si="58"/>
        <v>0</v>
      </c>
      <c r="BP190" s="13">
        <f ca="1">IF($D191="Nem",$BO190,$BO190-ROUNDUP(SUM($BI$20:$BI190)*120%,IF($D$4="Forint",0,2)))</f>
        <v>0</v>
      </c>
    </row>
    <row r="191" spans="1:68" x14ac:dyDescent="0.2">
      <c r="A191" s="32">
        <v>172</v>
      </c>
      <c r="B191" s="32">
        <v>15</v>
      </c>
      <c r="C191" s="32">
        <v>4</v>
      </c>
      <c r="D191" s="32" t="str">
        <f t="shared" ca="1" si="44"/>
        <v>Nem</v>
      </c>
      <c r="E191" s="13">
        <f t="shared" ca="1" si="45"/>
        <v>0</v>
      </c>
      <c r="F191" s="13"/>
      <c r="G191" s="13"/>
      <c r="H191" s="13"/>
      <c r="I191" s="13">
        <f t="shared" ca="1" si="46"/>
        <v>0</v>
      </c>
      <c r="J191" s="13">
        <f t="shared" ca="1" si="47"/>
        <v>0</v>
      </c>
      <c r="K191" s="13">
        <f t="shared" ca="1" si="48"/>
        <v>0</v>
      </c>
      <c r="L191" s="13" t="e">
        <f ca="1">ROUNDUP(IF($D$2="Egyszeri",$E191,IF($D$2="Havi",SUM($E$20:$E$31),IF(MOD($C191,$M$1)-1=0,SUM($E$20:$E$31),0))/12*$M$1)*VLOOKUP($B191,Paraméterek!$I$28:$P$31,IF($D$2="Egyszeri",8,HLOOKUP(ROUNDUP($M$11+$M$13,0),Paraméterek!$J$26:$O$27,2))),IF($D$4="Forint",0,2))</f>
        <v>#N/A</v>
      </c>
      <c r="M191" s="13">
        <f t="shared" ca="1" si="49"/>
        <v>0</v>
      </c>
      <c r="N191" s="13">
        <f t="shared" ca="1" si="59"/>
        <v>0</v>
      </c>
      <c r="O191" s="13">
        <f ca="1">IF($D191="Igen",IF($W190&gt;=IF($D$4="Forint",Paraméterek!$J$121,Paraméterek!$K$121),0,IF($D$4="Forint",Paraméterek!$J$121,Paraméterek!$K$121)-$W190),0)</f>
        <v>0</v>
      </c>
      <c r="P191" s="13" t="e">
        <f ca="1">ROUNDUP($O191*VLOOKUP($M$4+$B191-1,Paraméterek!$H$58:$I$105,2,0)/Paraméterek!$I$56,IF($D$4="Forint",0,2))</f>
        <v>#N/A</v>
      </c>
      <c r="Q191" s="13">
        <f t="shared" ca="1" si="50"/>
        <v>0</v>
      </c>
      <c r="R191" s="33"/>
      <c r="S191" s="13" t="e">
        <f t="shared" ca="1" si="51"/>
        <v>#N/A</v>
      </c>
      <c r="T191" s="13" t="e">
        <f ca="1">ROUNDUP(($N191-$P191-$Q191+$S191)*VLOOKUP($B191,Paraméterek!$I$38:$K$39,IF($D$2="Egyszeri",3,2))/12*IF($D192="Nem",IF($M$13=0,1,$M$13),1),IF($D$4="Forint",0,2))</f>
        <v>#N/A</v>
      </c>
      <c r="U191" s="13"/>
      <c r="V191" s="13"/>
      <c r="W191" s="13" t="e">
        <f ca="1">$N191-$P191-$Q191+$S191-$T191-IF(ROUNDUP(IF(ISBLANK($V191),$U191*0,$V191)/IF($D$2="Egyszeri",VLOOKUP($B191+IF($C191=12,1,0),Paraméterek!$V$257:$W$262,2),IF($B191=1,1,VLOOKUP($B191+IF($C191=12,1,0),Paraméterek!$I$258:$T$278,HLOOKUP($M$11+1,Paraméterek!$J$256:$T$257,2)))),IF($D$4="Forint",0,2))&gt;$N191-$P191-$Q191+$S191-$T191-IF($D$4="Forint",Paraméterek!$C$216,Paraméterek!$D$216),0,ROUNDUP(IF(ISBLANK($V191),$U191*0,$V191)/IF($D$2="Egyszeri",VLOOKUP($B191+IF($C191=12,1,0),Paraméterek!$V$257:$W$262,2),IF($B191=1,1,VLOOKUP($B191+IF($C191=12,1,0),Paraméterek!$I$258:$T$278,HLOOKUP($M$11+1,Paraméterek!$J$256:$T$257,2)))),IF($D$4="Forint",0,2)))</f>
        <v>#N/A</v>
      </c>
      <c r="X191" s="13" t="e">
        <f ca="1">ROUNDDOWN($W191*IF($D$2="Egyszeri",VLOOKUP($B191+IF($C191=12,1,0),Paraméterek!$V$257:$W$262,2),VLOOKUP($B191+IF($C191=12,1,0),Paraméterek!$I$258:$T$278,HLOOKUP($M$11+1,Paraméterek!$I$256:$T$257,2))),IF($D$4="Forint",0,2))</f>
        <v>#N/A</v>
      </c>
      <c r="Z191" s="32">
        <v>172</v>
      </c>
      <c r="AA191" s="32">
        <v>15</v>
      </c>
      <c r="AB191" s="32">
        <v>4</v>
      </c>
      <c r="AC191" s="13">
        <f t="shared" ca="1" si="60"/>
        <v>0</v>
      </c>
      <c r="AD191" s="33"/>
      <c r="AE191" s="13">
        <f t="shared" ca="1" si="52"/>
        <v>0</v>
      </c>
      <c r="AF191" s="13">
        <f ca="1">ROUNDUP(($AC191+$AE191)*VLOOKUP($AA191,Paraméterek!$P$38:$Q$38,2)/12*IF($D192="Nem",IF($M$13=0,1,$M$13),1),IF($D$4="Forint",0,2))</f>
        <v>0</v>
      </c>
      <c r="AG191" s="13">
        <f ca="1">IF($D$2="Egyszeri",IF($D$7&gt;=IF($D$4="Forint",Paraméterek!$P$223,Paraméterek!$P$224),$D$7-IF($D$4="Forint",Paraméterek!$P$223,Paraméterek!$P$224),0),MIN(IF($AB191=12,AVERAGEIF($E$20:$E191,"&gt;0",$E$20:$E191)*12,0),SUM($E$20:$E$31)))</f>
        <v>0</v>
      </c>
      <c r="AH191" s="13">
        <f>IF($AA191=10,$AG191*IF($AB191=12,IF($AG191&lt;IF($D$4="Forint",Paraméterek!$L$223,Paraméterek!$L$224),0,VLOOKUP($AA191,Paraméterek!$K$226:$M$228,IF($AG191&lt;IF($D$4="Forint",Paraméterek!$M$223,Paraméterek!$M$224),2,3))),0),0)</f>
        <v>0</v>
      </c>
      <c r="AI191" s="13">
        <f ca="1">IF(AND($AA191=$M$11+1,$AB191=$M$12+1),SUMIF($AA$20:$AA$1027,$AA191,$AG$20:$AG$1027)*IF(SUMIF($AA$20:$AA$1027,$AA191,$AG$20:$AG$1027)&lt;IF($D$4="Forint",Paraméterek!$L$223,Paraméterek!$L$224),0,VLOOKUP($AA191,Paraméterek!$K$230:$M$250,IF(SUMIF($AA$20:$AA$1027,$AA191,$AG$20:$AG$1027)&lt;IF($D$4="Forint",Paraméterek!$M$223,Paraméterek!$M$224),2,3))),0)</f>
        <v>0</v>
      </c>
      <c r="AJ191" s="13">
        <f ca="1">IF(AND($AA191&gt;=5,MOD($AA191,5)=0),IF($AB191=12,VLOOKUP($AA191,Paraméterek!$O$225:$P$240,2),0),IF(OR($AA191=3,$AA191=4),IF($AB191=12,VLOOKUP($AA191,Paraméterek!$O$225:$P$240,2,0),0),0))*$AG191</f>
        <v>0</v>
      </c>
      <c r="AK191" s="13">
        <f t="shared" ca="1" si="53"/>
        <v>0</v>
      </c>
      <c r="AL191" s="13">
        <f t="shared" ca="1" si="61"/>
        <v>0</v>
      </c>
      <c r="AM191" s="13">
        <f t="shared" ca="1" si="62"/>
        <v>0</v>
      </c>
      <c r="AO191" s="32">
        <v>172</v>
      </c>
      <c r="AP191" s="32">
        <v>15</v>
      </c>
      <c r="AQ191" s="32">
        <v>4</v>
      </c>
      <c r="AR191" s="13"/>
      <c r="AS191" s="32"/>
      <c r="AT191" s="13">
        <f t="shared" ca="1" si="63"/>
        <v>0</v>
      </c>
      <c r="AU191" s="33"/>
      <c r="AV191" s="13">
        <f t="shared" ca="1" si="54"/>
        <v>0</v>
      </c>
      <c r="AW191" s="13">
        <f ca="1">ROUNDUP(($AT191+$AV191)*VLOOKUP($AP191,Paraméterek!$P$38:$Q$38,2)/12*IF($D192="Nem",IF($M$13=0,1,$M$13),1),IF($D$4="Forint",0,2))</f>
        <v>0</v>
      </c>
      <c r="AX191" s="13"/>
      <c r="AY191" s="13"/>
      <c r="AZ191" s="13">
        <f>ROUNDUP(IF(SUM($AX191:$AY191)=0,0,IF(IF(ISBLANK($AY191),$AX191,$AY191)*Paraméterek!$J$112&lt;IF($D$4="Forint",Paraméterek!$J$113,Paraméterek!$K$113),IF($D$4="Forint",Paraméterek!$J$113,Paraméterek!$K$113),IF(IF(ISBLANK($AY191),$AX191,$AY191)*Paraméterek!$J$112&gt;IF($D$4="Forint",Paraméterek!$J$114,Paraméterek!$K$114),IF($D$4="Forint",Paraméterek!$J$114,Paraméterek!$K$114),IF(ISBLANK($AY191),$AX191,$AY191)*Paraméterek!$J$112))),IF($D$4="Forint",0,2))</f>
        <v>0</v>
      </c>
      <c r="BA191" s="13">
        <f ca="1">$AT191+$AV191-$AW191-IF(ROUNDDOWN(IF(ISBLANK($AY191),$AX191,$AY191),IF($D$4="Forint",0,2))&gt;$AT191+$AV191-$AW191-IF($D$4="Forint",Paraméterek!$J$114,Paraméterek!$K$114),0,ROUNDDOWN(IF(ISBLANK($AY191),$AX191,$AY191),IF($D$4="Forint",0,2))-$AZ191)</f>
        <v>0</v>
      </c>
      <c r="BB191" s="13">
        <f t="shared" ca="1" si="55"/>
        <v>0</v>
      </c>
      <c r="BD191" s="32">
        <v>172</v>
      </c>
      <c r="BE191" s="32">
        <v>15</v>
      </c>
      <c r="BF191" s="32">
        <v>4</v>
      </c>
      <c r="BG191" s="34">
        <f t="shared" ca="1" si="64"/>
        <v>2033</v>
      </c>
      <c r="BH191" s="32" t="str">
        <f ca="1">IF(MOD(MONTH($D$14)+$BD191-1,12)=Paraméterek!$C$288,"Igen","")</f>
        <v/>
      </c>
      <c r="BI191" s="13">
        <f ca="1">IF($BH191="Igen",MIN(ROUNDDOWN((SUMIF($BG$20:$BG$1027,$BG191-1,$K$20:$K$1027)-SUMIF($BG$20:$BG$1027,$BG191-1,$I$20:$I$1027))*Paraméterek!$C$289,IF($D$4="Forint",0,2)),IF($D$4="Forint",Paraméterek!$C$285,Paraméterek!$D$285)),0)</f>
        <v>0</v>
      </c>
      <c r="BJ191" s="13">
        <f t="shared" ca="1" si="56"/>
        <v>0</v>
      </c>
      <c r="BK191" s="13">
        <f t="shared" ca="1" si="65"/>
        <v>0</v>
      </c>
      <c r="BL191" s="33"/>
      <c r="BM191" s="13">
        <f t="shared" ca="1" si="57"/>
        <v>0</v>
      </c>
      <c r="BN191" s="13">
        <f ca="1">ROUNDUP(($BK191+$BM191)*VLOOKUP($BE191,Paraméterek!$P$38:$Q$38,2)/12*IF($D192="Nem",IF($M$13=0,1,$M$13),1),IF($D$4="Forint",0,2))</f>
        <v>0</v>
      </c>
      <c r="BO191" s="13">
        <f t="shared" ca="1" si="58"/>
        <v>0</v>
      </c>
      <c r="BP191" s="13">
        <f ca="1">IF($D192="Nem",$BO191,$BO191-ROUNDUP(SUM($BI$20:$BI191)*120%,IF($D$4="Forint",0,2)))</f>
        <v>0</v>
      </c>
    </row>
    <row r="192" spans="1:68" x14ac:dyDescent="0.2">
      <c r="A192" s="32">
        <v>173</v>
      </c>
      <c r="B192" s="32">
        <v>15</v>
      </c>
      <c r="C192" s="32">
        <v>5</v>
      </c>
      <c r="D192" s="32" t="str">
        <f t="shared" ca="1" si="44"/>
        <v>Nem</v>
      </c>
      <c r="E192" s="13">
        <f t="shared" ca="1" si="45"/>
        <v>0</v>
      </c>
      <c r="F192" s="13"/>
      <c r="G192" s="13"/>
      <c r="H192" s="13"/>
      <c r="I192" s="13">
        <f t="shared" ca="1" si="46"/>
        <v>0</v>
      </c>
      <c r="J192" s="13">
        <f t="shared" ca="1" si="47"/>
        <v>0</v>
      </c>
      <c r="K192" s="13">
        <f t="shared" ca="1" si="48"/>
        <v>0</v>
      </c>
      <c r="L192" s="13" t="e">
        <f ca="1">ROUNDUP(IF($D$2="Egyszeri",$E192,IF($D$2="Havi",SUM($E$20:$E$31),IF(MOD($C192,$M$1)-1=0,SUM($E$20:$E$31),0))/12*$M$1)*VLOOKUP($B192,Paraméterek!$I$28:$P$31,IF($D$2="Egyszeri",8,HLOOKUP(ROUNDUP($M$11+$M$13,0),Paraméterek!$J$26:$O$27,2))),IF($D$4="Forint",0,2))</f>
        <v>#N/A</v>
      </c>
      <c r="M192" s="13">
        <f t="shared" ca="1" si="49"/>
        <v>0</v>
      </c>
      <c r="N192" s="13">
        <f t="shared" ca="1" si="59"/>
        <v>0</v>
      </c>
      <c r="O192" s="13">
        <f ca="1">IF($D192="Igen",IF($W191&gt;=IF($D$4="Forint",Paraméterek!$J$121,Paraméterek!$K$121),0,IF($D$4="Forint",Paraméterek!$J$121,Paraméterek!$K$121)-$W191),0)</f>
        <v>0</v>
      </c>
      <c r="P192" s="13" t="e">
        <f ca="1">ROUNDUP($O192*VLOOKUP($M$4+$B192-1,Paraméterek!$H$58:$I$105,2,0)/Paraméterek!$I$56,IF($D$4="Forint",0,2))</f>
        <v>#N/A</v>
      </c>
      <c r="Q192" s="13">
        <f t="shared" ca="1" si="50"/>
        <v>0</v>
      </c>
      <c r="R192" s="33"/>
      <c r="S192" s="13" t="e">
        <f t="shared" ca="1" si="51"/>
        <v>#N/A</v>
      </c>
      <c r="T192" s="13" t="e">
        <f ca="1">ROUNDUP(($N192-$P192-$Q192+$S192)*VLOOKUP($B192,Paraméterek!$I$38:$K$39,IF($D$2="Egyszeri",3,2))/12*IF($D193="Nem",IF($M$13=0,1,$M$13),1),IF($D$4="Forint",0,2))</f>
        <v>#N/A</v>
      </c>
      <c r="U192" s="13"/>
      <c r="V192" s="13"/>
      <c r="W192" s="13" t="e">
        <f ca="1">$N192-$P192-$Q192+$S192-$T192-IF(ROUNDUP(IF(ISBLANK($V192),$U192*0,$V192)/IF($D$2="Egyszeri",VLOOKUP($B192+IF($C192=12,1,0),Paraméterek!$V$257:$W$262,2),IF($B192=1,1,VLOOKUP($B192+IF($C192=12,1,0),Paraméterek!$I$258:$T$278,HLOOKUP($M$11+1,Paraméterek!$J$256:$T$257,2)))),IF($D$4="Forint",0,2))&gt;$N192-$P192-$Q192+$S192-$T192-IF($D$4="Forint",Paraméterek!$C$216,Paraméterek!$D$216),0,ROUNDUP(IF(ISBLANK($V192),$U192*0,$V192)/IF($D$2="Egyszeri",VLOOKUP($B192+IF($C192=12,1,0),Paraméterek!$V$257:$W$262,2),IF($B192=1,1,VLOOKUP($B192+IF($C192=12,1,0),Paraméterek!$I$258:$T$278,HLOOKUP($M$11+1,Paraméterek!$J$256:$T$257,2)))),IF($D$4="Forint",0,2)))</f>
        <v>#N/A</v>
      </c>
      <c r="X192" s="13" t="e">
        <f ca="1">ROUNDDOWN($W192*IF($D$2="Egyszeri",VLOOKUP($B192+IF($C192=12,1,0),Paraméterek!$V$257:$W$262,2),VLOOKUP($B192+IF($C192=12,1,0),Paraméterek!$I$258:$T$278,HLOOKUP($M$11+1,Paraméterek!$I$256:$T$257,2))),IF($D$4="Forint",0,2))</f>
        <v>#N/A</v>
      </c>
      <c r="Z192" s="32">
        <v>173</v>
      </c>
      <c r="AA192" s="32">
        <v>15</v>
      </c>
      <c r="AB192" s="32">
        <v>5</v>
      </c>
      <c r="AC192" s="13">
        <f t="shared" ca="1" si="60"/>
        <v>0</v>
      </c>
      <c r="AD192" s="33"/>
      <c r="AE192" s="13">
        <f t="shared" ca="1" si="52"/>
        <v>0</v>
      </c>
      <c r="AF192" s="13">
        <f ca="1">ROUNDUP(($AC192+$AE192)*VLOOKUP($AA192,Paraméterek!$P$38:$Q$38,2)/12*IF($D193="Nem",IF($M$13=0,1,$M$13),1),IF($D$4="Forint",0,2))</f>
        <v>0</v>
      </c>
      <c r="AG192" s="13">
        <f ca="1">IF($D$2="Egyszeri",IF($D$7&gt;=IF($D$4="Forint",Paraméterek!$P$223,Paraméterek!$P$224),$D$7-IF($D$4="Forint",Paraméterek!$P$223,Paraméterek!$P$224),0),MIN(IF($AB192=12,AVERAGEIF($E$20:$E192,"&gt;0",$E$20:$E192)*12,0),SUM($E$20:$E$31)))</f>
        <v>0</v>
      </c>
      <c r="AH192" s="13">
        <f>IF($AA192=10,$AG192*IF($AB192=12,IF($AG192&lt;IF($D$4="Forint",Paraméterek!$L$223,Paraméterek!$L$224),0,VLOOKUP($AA192,Paraméterek!$K$226:$M$228,IF($AG192&lt;IF($D$4="Forint",Paraméterek!$M$223,Paraméterek!$M$224),2,3))),0),0)</f>
        <v>0</v>
      </c>
      <c r="AI192" s="13">
        <f ca="1">IF(AND($AA192=$M$11+1,$AB192=$M$12+1),SUMIF($AA$20:$AA$1027,$AA192,$AG$20:$AG$1027)*IF(SUMIF($AA$20:$AA$1027,$AA192,$AG$20:$AG$1027)&lt;IF($D$4="Forint",Paraméterek!$L$223,Paraméterek!$L$224),0,VLOOKUP($AA192,Paraméterek!$K$230:$M$250,IF(SUMIF($AA$20:$AA$1027,$AA192,$AG$20:$AG$1027)&lt;IF($D$4="Forint",Paraméterek!$M$223,Paraméterek!$M$224),2,3))),0)</f>
        <v>0</v>
      </c>
      <c r="AJ192" s="13">
        <f ca="1">IF(AND($AA192&gt;=5,MOD($AA192,5)=0),IF($AB192=12,VLOOKUP($AA192,Paraméterek!$O$225:$P$240,2),0),IF(OR($AA192=3,$AA192=4),IF($AB192=12,VLOOKUP($AA192,Paraméterek!$O$225:$P$240,2,0),0),0))*$AG192</f>
        <v>0</v>
      </c>
      <c r="AK192" s="13">
        <f t="shared" ca="1" si="53"/>
        <v>0</v>
      </c>
      <c r="AL192" s="13">
        <f t="shared" ca="1" si="61"/>
        <v>0</v>
      </c>
      <c r="AM192" s="13">
        <f t="shared" ca="1" si="62"/>
        <v>0</v>
      </c>
      <c r="AO192" s="32">
        <v>173</v>
      </c>
      <c r="AP192" s="32">
        <v>15</v>
      </c>
      <c r="AQ192" s="32">
        <v>5</v>
      </c>
      <c r="AR192" s="13"/>
      <c r="AS192" s="32"/>
      <c r="AT192" s="13">
        <f t="shared" ca="1" si="63"/>
        <v>0</v>
      </c>
      <c r="AU192" s="33"/>
      <c r="AV192" s="13">
        <f t="shared" ca="1" si="54"/>
        <v>0</v>
      </c>
      <c r="AW192" s="13">
        <f ca="1">ROUNDUP(($AT192+$AV192)*VLOOKUP($AP192,Paraméterek!$P$38:$Q$38,2)/12*IF($D193="Nem",IF($M$13=0,1,$M$13),1),IF($D$4="Forint",0,2))</f>
        <v>0</v>
      </c>
      <c r="AX192" s="13"/>
      <c r="AY192" s="13"/>
      <c r="AZ192" s="13">
        <f>ROUNDUP(IF(SUM($AX192:$AY192)=0,0,IF(IF(ISBLANK($AY192),$AX192,$AY192)*Paraméterek!$J$112&lt;IF($D$4="Forint",Paraméterek!$J$113,Paraméterek!$K$113),IF($D$4="Forint",Paraméterek!$J$113,Paraméterek!$K$113),IF(IF(ISBLANK($AY192),$AX192,$AY192)*Paraméterek!$J$112&gt;IF($D$4="Forint",Paraméterek!$J$114,Paraméterek!$K$114),IF($D$4="Forint",Paraméterek!$J$114,Paraméterek!$K$114),IF(ISBLANK($AY192),$AX192,$AY192)*Paraméterek!$J$112))),IF($D$4="Forint",0,2))</f>
        <v>0</v>
      </c>
      <c r="BA192" s="13">
        <f ca="1">$AT192+$AV192-$AW192-IF(ROUNDDOWN(IF(ISBLANK($AY192),$AX192,$AY192),IF($D$4="Forint",0,2))&gt;$AT192+$AV192-$AW192-IF($D$4="Forint",Paraméterek!$J$114,Paraméterek!$K$114),0,ROUNDDOWN(IF(ISBLANK($AY192),$AX192,$AY192),IF($D$4="Forint",0,2))-$AZ192)</f>
        <v>0</v>
      </c>
      <c r="BB192" s="13">
        <f t="shared" ca="1" si="55"/>
        <v>0</v>
      </c>
      <c r="BD192" s="32">
        <v>173</v>
      </c>
      <c r="BE192" s="32">
        <v>15</v>
      </c>
      <c r="BF192" s="32">
        <v>5</v>
      </c>
      <c r="BG192" s="34">
        <f t="shared" ca="1" si="64"/>
        <v>2033</v>
      </c>
      <c r="BH192" s="32" t="str">
        <f ca="1">IF(MOD(MONTH($D$14)+$BD192-1,12)=Paraméterek!$C$288,"Igen","")</f>
        <v/>
      </c>
      <c r="BI192" s="13">
        <f ca="1">IF($BH192="Igen",MIN(ROUNDDOWN((SUMIF($BG$20:$BG$1027,$BG192-1,$K$20:$K$1027)-SUMIF($BG$20:$BG$1027,$BG192-1,$I$20:$I$1027))*Paraméterek!$C$289,IF($D$4="Forint",0,2)),IF($D$4="Forint",Paraméterek!$C$285,Paraméterek!$D$285)),0)</f>
        <v>0</v>
      </c>
      <c r="BJ192" s="13">
        <f t="shared" ca="1" si="56"/>
        <v>0</v>
      </c>
      <c r="BK192" s="13">
        <f t="shared" ca="1" si="65"/>
        <v>0</v>
      </c>
      <c r="BL192" s="33"/>
      <c r="BM192" s="13">
        <f t="shared" ca="1" si="57"/>
        <v>0</v>
      </c>
      <c r="BN192" s="13">
        <f ca="1">ROUNDUP(($BK192+$BM192)*VLOOKUP($BE192,Paraméterek!$P$38:$Q$38,2)/12*IF($D193="Nem",IF($M$13=0,1,$M$13),1),IF($D$4="Forint",0,2))</f>
        <v>0</v>
      </c>
      <c r="BO192" s="13">
        <f t="shared" ca="1" si="58"/>
        <v>0</v>
      </c>
      <c r="BP192" s="13">
        <f ca="1">IF($D193="Nem",$BO192,$BO192-ROUNDUP(SUM($BI$20:$BI192)*120%,IF($D$4="Forint",0,2)))</f>
        <v>0</v>
      </c>
    </row>
    <row r="193" spans="1:68" x14ac:dyDescent="0.2">
      <c r="A193" s="32">
        <v>174</v>
      </c>
      <c r="B193" s="32">
        <v>15</v>
      </c>
      <c r="C193" s="32">
        <v>6</v>
      </c>
      <c r="D193" s="32" t="str">
        <f t="shared" ca="1" si="44"/>
        <v>Nem</v>
      </c>
      <c r="E193" s="13">
        <f t="shared" ca="1" si="45"/>
        <v>0</v>
      </c>
      <c r="F193" s="13"/>
      <c r="G193" s="13"/>
      <c r="H193" s="13"/>
      <c r="I193" s="13">
        <f t="shared" ca="1" si="46"/>
        <v>0</v>
      </c>
      <c r="J193" s="13">
        <f t="shared" ca="1" si="47"/>
        <v>0</v>
      </c>
      <c r="K193" s="13">
        <f t="shared" ca="1" si="48"/>
        <v>0</v>
      </c>
      <c r="L193" s="13" t="e">
        <f ca="1">ROUNDUP(IF($D$2="Egyszeri",$E193,IF($D$2="Havi",SUM($E$20:$E$31),IF(MOD($C193,$M$1)-1=0,SUM($E$20:$E$31),0))/12*$M$1)*VLOOKUP($B193,Paraméterek!$I$28:$P$31,IF($D$2="Egyszeri",8,HLOOKUP(ROUNDUP($M$11+$M$13,0),Paraméterek!$J$26:$O$27,2))),IF($D$4="Forint",0,2))</f>
        <v>#N/A</v>
      </c>
      <c r="M193" s="13">
        <f t="shared" ca="1" si="49"/>
        <v>0</v>
      </c>
      <c r="N193" s="13">
        <f t="shared" ca="1" si="59"/>
        <v>0</v>
      </c>
      <c r="O193" s="13">
        <f ca="1">IF($D193="Igen",IF($W192&gt;=IF($D$4="Forint",Paraméterek!$J$121,Paraméterek!$K$121),0,IF($D$4="Forint",Paraméterek!$J$121,Paraméterek!$K$121)-$W192),0)</f>
        <v>0</v>
      </c>
      <c r="P193" s="13" t="e">
        <f ca="1">ROUNDUP($O193*VLOOKUP($M$4+$B193-1,Paraméterek!$H$58:$I$105,2,0)/Paraméterek!$I$56,IF($D$4="Forint",0,2))</f>
        <v>#N/A</v>
      </c>
      <c r="Q193" s="13">
        <f t="shared" ca="1" si="50"/>
        <v>0</v>
      </c>
      <c r="R193" s="33"/>
      <c r="S193" s="13" t="e">
        <f t="shared" ca="1" si="51"/>
        <v>#N/A</v>
      </c>
      <c r="T193" s="13" t="e">
        <f ca="1">ROUNDUP(($N193-$P193-$Q193+$S193)*VLOOKUP($B193,Paraméterek!$I$38:$K$39,IF($D$2="Egyszeri",3,2))/12*IF($D194="Nem",IF($M$13=0,1,$M$13),1),IF($D$4="Forint",0,2))</f>
        <v>#N/A</v>
      </c>
      <c r="U193" s="13"/>
      <c r="V193" s="13"/>
      <c r="W193" s="13" t="e">
        <f ca="1">$N193-$P193-$Q193+$S193-$T193-IF(ROUNDUP(IF(ISBLANK($V193),$U193*0,$V193)/IF($D$2="Egyszeri",VLOOKUP($B193+IF($C193=12,1,0),Paraméterek!$V$257:$W$262,2),IF($B193=1,1,VLOOKUP($B193+IF($C193=12,1,0),Paraméterek!$I$258:$T$278,HLOOKUP($M$11+1,Paraméterek!$J$256:$T$257,2)))),IF($D$4="Forint",0,2))&gt;$N193-$P193-$Q193+$S193-$T193-IF($D$4="Forint",Paraméterek!$C$216,Paraméterek!$D$216),0,ROUNDUP(IF(ISBLANK($V193),$U193*0,$V193)/IF($D$2="Egyszeri",VLOOKUP($B193+IF($C193=12,1,0),Paraméterek!$V$257:$W$262,2),IF($B193=1,1,VLOOKUP($B193+IF($C193=12,1,0),Paraméterek!$I$258:$T$278,HLOOKUP($M$11+1,Paraméterek!$J$256:$T$257,2)))),IF($D$4="Forint",0,2)))</f>
        <v>#N/A</v>
      </c>
      <c r="X193" s="13" t="e">
        <f ca="1">ROUNDDOWN($W193*IF($D$2="Egyszeri",VLOOKUP($B193+IF($C193=12,1,0),Paraméterek!$V$257:$W$262,2),VLOOKUP($B193+IF($C193=12,1,0),Paraméterek!$I$258:$T$278,HLOOKUP($M$11+1,Paraméterek!$I$256:$T$257,2))),IF($D$4="Forint",0,2))</f>
        <v>#N/A</v>
      </c>
      <c r="Z193" s="32">
        <v>174</v>
      </c>
      <c r="AA193" s="32">
        <v>15</v>
      </c>
      <c r="AB193" s="32">
        <v>6</v>
      </c>
      <c r="AC193" s="13">
        <f t="shared" ca="1" si="60"/>
        <v>0</v>
      </c>
      <c r="AD193" s="33"/>
      <c r="AE193" s="13">
        <f t="shared" ca="1" si="52"/>
        <v>0</v>
      </c>
      <c r="AF193" s="13">
        <f ca="1">ROUNDUP(($AC193+$AE193)*VLOOKUP($AA193,Paraméterek!$P$38:$Q$38,2)/12*IF($D194="Nem",IF($M$13=0,1,$M$13),1),IF($D$4="Forint",0,2))</f>
        <v>0</v>
      </c>
      <c r="AG193" s="13">
        <f ca="1">IF($D$2="Egyszeri",IF($D$7&gt;=IF($D$4="Forint",Paraméterek!$P$223,Paraméterek!$P$224),$D$7-IF($D$4="Forint",Paraméterek!$P$223,Paraméterek!$P$224),0),MIN(IF($AB193=12,AVERAGEIF($E$20:$E193,"&gt;0",$E$20:$E193)*12,0),SUM($E$20:$E$31)))</f>
        <v>0</v>
      </c>
      <c r="AH193" s="13">
        <f>IF($AA193=10,$AG193*IF($AB193=12,IF($AG193&lt;IF($D$4="Forint",Paraméterek!$L$223,Paraméterek!$L$224),0,VLOOKUP($AA193,Paraméterek!$K$226:$M$228,IF($AG193&lt;IF($D$4="Forint",Paraméterek!$M$223,Paraméterek!$M$224),2,3))),0),0)</f>
        <v>0</v>
      </c>
      <c r="AI193" s="13">
        <f ca="1">IF(AND($AA193=$M$11+1,$AB193=$M$12+1),SUMIF($AA$20:$AA$1027,$AA193,$AG$20:$AG$1027)*IF(SUMIF($AA$20:$AA$1027,$AA193,$AG$20:$AG$1027)&lt;IF($D$4="Forint",Paraméterek!$L$223,Paraméterek!$L$224),0,VLOOKUP($AA193,Paraméterek!$K$230:$M$250,IF(SUMIF($AA$20:$AA$1027,$AA193,$AG$20:$AG$1027)&lt;IF($D$4="Forint",Paraméterek!$M$223,Paraméterek!$M$224),2,3))),0)</f>
        <v>0</v>
      </c>
      <c r="AJ193" s="13">
        <f ca="1">IF(AND($AA193&gt;=5,MOD($AA193,5)=0),IF($AB193=12,VLOOKUP($AA193,Paraméterek!$O$225:$P$240,2),0),IF(OR($AA193=3,$AA193=4),IF($AB193=12,VLOOKUP($AA193,Paraméterek!$O$225:$P$240,2,0),0),0))*$AG193</f>
        <v>0</v>
      </c>
      <c r="AK193" s="13">
        <f t="shared" ca="1" si="53"/>
        <v>0</v>
      </c>
      <c r="AL193" s="13">
        <f t="shared" ca="1" si="61"/>
        <v>0</v>
      </c>
      <c r="AM193" s="13">
        <f t="shared" ca="1" si="62"/>
        <v>0</v>
      </c>
      <c r="AO193" s="32">
        <v>174</v>
      </c>
      <c r="AP193" s="32">
        <v>15</v>
      </c>
      <c r="AQ193" s="32">
        <v>6</v>
      </c>
      <c r="AR193" s="13"/>
      <c r="AS193" s="32"/>
      <c r="AT193" s="13">
        <f t="shared" ca="1" si="63"/>
        <v>0</v>
      </c>
      <c r="AU193" s="33"/>
      <c r="AV193" s="13">
        <f t="shared" ca="1" si="54"/>
        <v>0</v>
      </c>
      <c r="AW193" s="13">
        <f ca="1">ROUNDUP(($AT193+$AV193)*VLOOKUP($AP193,Paraméterek!$P$38:$Q$38,2)/12*IF($D194="Nem",IF($M$13=0,1,$M$13),1),IF($D$4="Forint",0,2))</f>
        <v>0</v>
      </c>
      <c r="AX193" s="13"/>
      <c r="AY193" s="13"/>
      <c r="AZ193" s="13">
        <f>ROUNDUP(IF(SUM($AX193:$AY193)=0,0,IF(IF(ISBLANK($AY193),$AX193,$AY193)*Paraméterek!$J$112&lt;IF($D$4="Forint",Paraméterek!$J$113,Paraméterek!$K$113),IF($D$4="Forint",Paraméterek!$J$113,Paraméterek!$K$113),IF(IF(ISBLANK($AY193),$AX193,$AY193)*Paraméterek!$J$112&gt;IF($D$4="Forint",Paraméterek!$J$114,Paraméterek!$K$114),IF($D$4="Forint",Paraméterek!$J$114,Paraméterek!$K$114),IF(ISBLANK($AY193),$AX193,$AY193)*Paraméterek!$J$112))),IF($D$4="Forint",0,2))</f>
        <v>0</v>
      </c>
      <c r="BA193" s="13">
        <f ca="1">$AT193+$AV193-$AW193-IF(ROUNDDOWN(IF(ISBLANK($AY193),$AX193,$AY193),IF($D$4="Forint",0,2))&gt;$AT193+$AV193-$AW193-IF($D$4="Forint",Paraméterek!$J$114,Paraméterek!$K$114),0,ROUNDDOWN(IF(ISBLANK($AY193),$AX193,$AY193),IF($D$4="Forint",0,2))-$AZ193)</f>
        <v>0</v>
      </c>
      <c r="BB193" s="13">
        <f t="shared" ca="1" si="55"/>
        <v>0</v>
      </c>
      <c r="BD193" s="32">
        <v>174</v>
      </c>
      <c r="BE193" s="32">
        <v>15</v>
      </c>
      <c r="BF193" s="32">
        <v>6</v>
      </c>
      <c r="BG193" s="34">
        <f t="shared" ca="1" si="64"/>
        <v>2033</v>
      </c>
      <c r="BH193" s="32" t="str">
        <f ca="1">IF(MOD(MONTH($D$14)+$BD193-1,12)=Paraméterek!$C$288,"Igen","")</f>
        <v/>
      </c>
      <c r="BI193" s="13">
        <f ca="1">IF($BH193="Igen",MIN(ROUNDDOWN((SUMIF($BG$20:$BG$1027,$BG193-1,$K$20:$K$1027)-SUMIF($BG$20:$BG$1027,$BG193-1,$I$20:$I$1027))*Paraméterek!$C$289,IF($D$4="Forint",0,2)),IF($D$4="Forint",Paraméterek!$C$285,Paraméterek!$D$285)),0)</f>
        <v>0</v>
      </c>
      <c r="BJ193" s="13">
        <f t="shared" ca="1" si="56"/>
        <v>0</v>
      </c>
      <c r="BK193" s="13">
        <f t="shared" ca="1" si="65"/>
        <v>0</v>
      </c>
      <c r="BL193" s="33"/>
      <c r="BM193" s="13">
        <f t="shared" ca="1" si="57"/>
        <v>0</v>
      </c>
      <c r="BN193" s="13">
        <f ca="1">ROUNDUP(($BK193+$BM193)*VLOOKUP($BE193,Paraméterek!$P$38:$Q$38,2)/12*IF($D194="Nem",IF($M$13=0,1,$M$13),1),IF($D$4="Forint",0,2))</f>
        <v>0</v>
      </c>
      <c r="BO193" s="13">
        <f t="shared" ca="1" si="58"/>
        <v>0</v>
      </c>
      <c r="BP193" s="13">
        <f ca="1">IF($D194="Nem",$BO193,$BO193-ROUNDUP(SUM($BI$20:$BI193)*120%,IF($D$4="Forint",0,2)))</f>
        <v>0</v>
      </c>
    </row>
    <row r="194" spans="1:68" x14ac:dyDescent="0.2">
      <c r="A194" s="32">
        <v>175</v>
      </c>
      <c r="B194" s="32">
        <v>15</v>
      </c>
      <c r="C194" s="32">
        <v>7</v>
      </c>
      <c r="D194" s="32" t="str">
        <f t="shared" ca="1" si="44"/>
        <v>Nem</v>
      </c>
      <c r="E194" s="13">
        <f t="shared" ca="1" si="45"/>
        <v>0</v>
      </c>
      <c r="F194" s="13"/>
      <c r="G194" s="13"/>
      <c r="H194" s="13"/>
      <c r="I194" s="13">
        <f t="shared" ca="1" si="46"/>
        <v>0</v>
      </c>
      <c r="J194" s="13">
        <f t="shared" ca="1" si="47"/>
        <v>0</v>
      </c>
      <c r="K194" s="13">
        <f t="shared" ca="1" si="48"/>
        <v>0</v>
      </c>
      <c r="L194" s="13" t="e">
        <f ca="1">ROUNDUP(IF($D$2="Egyszeri",$E194,IF($D$2="Havi",SUM($E$20:$E$31),IF(MOD($C194,$M$1)-1=0,SUM($E$20:$E$31),0))/12*$M$1)*VLOOKUP($B194,Paraméterek!$I$28:$P$31,IF($D$2="Egyszeri",8,HLOOKUP(ROUNDUP($M$11+$M$13,0),Paraméterek!$J$26:$O$27,2))),IF($D$4="Forint",0,2))</f>
        <v>#N/A</v>
      </c>
      <c r="M194" s="13">
        <f t="shared" ca="1" si="49"/>
        <v>0</v>
      </c>
      <c r="N194" s="13">
        <f t="shared" ca="1" si="59"/>
        <v>0</v>
      </c>
      <c r="O194" s="13">
        <f ca="1">IF($D194="Igen",IF($W193&gt;=IF($D$4="Forint",Paraméterek!$J$121,Paraméterek!$K$121),0,IF($D$4="Forint",Paraméterek!$J$121,Paraméterek!$K$121)-$W193),0)</f>
        <v>0</v>
      </c>
      <c r="P194" s="13" t="e">
        <f ca="1">ROUNDUP($O194*VLOOKUP($M$4+$B194-1,Paraméterek!$H$58:$I$105,2,0)/Paraméterek!$I$56,IF($D$4="Forint",0,2))</f>
        <v>#N/A</v>
      </c>
      <c r="Q194" s="13">
        <f t="shared" ca="1" si="50"/>
        <v>0</v>
      </c>
      <c r="R194" s="33"/>
      <c r="S194" s="13" t="e">
        <f t="shared" ca="1" si="51"/>
        <v>#N/A</v>
      </c>
      <c r="T194" s="13" t="e">
        <f ca="1">ROUNDUP(($N194-$P194-$Q194+$S194)*VLOOKUP($B194,Paraméterek!$I$38:$K$39,IF($D$2="Egyszeri",3,2))/12*IF($D195="Nem",IF($M$13=0,1,$M$13),1),IF($D$4="Forint",0,2))</f>
        <v>#N/A</v>
      </c>
      <c r="U194" s="13"/>
      <c r="V194" s="13"/>
      <c r="W194" s="13" t="e">
        <f ca="1">$N194-$P194-$Q194+$S194-$T194-IF(ROUNDUP(IF(ISBLANK($V194),$U194*0,$V194)/IF($D$2="Egyszeri",VLOOKUP($B194+IF($C194=12,1,0),Paraméterek!$V$257:$W$262,2),IF($B194=1,1,VLOOKUP($B194+IF($C194=12,1,0),Paraméterek!$I$258:$T$278,HLOOKUP($M$11+1,Paraméterek!$J$256:$T$257,2)))),IF($D$4="Forint",0,2))&gt;$N194-$P194-$Q194+$S194-$T194-IF($D$4="Forint",Paraméterek!$C$216,Paraméterek!$D$216),0,ROUNDUP(IF(ISBLANK($V194),$U194*0,$V194)/IF($D$2="Egyszeri",VLOOKUP($B194+IF($C194=12,1,0),Paraméterek!$V$257:$W$262,2),IF($B194=1,1,VLOOKUP($B194+IF($C194=12,1,0),Paraméterek!$I$258:$T$278,HLOOKUP($M$11+1,Paraméterek!$J$256:$T$257,2)))),IF($D$4="Forint",0,2)))</f>
        <v>#N/A</v>
      </c>
      <c r="X194" s="13" t="e">
        <f ca="1">ROUNDDOWN($W194*IF($D$2="Egyszeri",VLOOKUP($B194+IF($C194=12,1,0),Paraméterek!$V$257:$W$262,2),VLOOKUP($B194+IF($C194=12,1,0),Paraméterek!$I$258:$T$278,HLOOKUP($M$11+1,Paraméterek!$I$256:$T$257,2))),IF($D$4="Forint",0,2))</f>
        <v>#N/A</v>
      </c>
      <c r="Z194" s="32">
        <v>175</v>
      </c>
      <c r="AA194" s="32">
        <v>15</v>
      </c>
      <c r="AB194" s="32">
        <v>7</v>
      </c>
      <c r="AC194" s="13">
        <f t="shared" ca="1" si="60"/>
        <v>0</v>
      </c>
      <c r="AD194" s="33"/>
      <c r="AE194" s="13">
        <f t="shared" ca="1" si="52"/>
        <v>0</v>
      </c>
      <c r="AF194" s="13">
        <f ca="1">ROUNDUP(($AC194+$AE194)*VLOOKUP($AA194,Paraméterek!$P$38:$Q$38,2)/12*IF($D195="Nem",IF($M$13=0,1,$M$13),1),IF($D$4="Forint",0,2))</f>
        <v>0</v>
      </c>
      <c r="AG194" s="13">
        <f ca="1">IF($D$2="Egyszeri",IF($D$7&gt;=IF($D$4="Forint",Paraméterek!$P$223,Paraméterek!$P$224),$D$7-IF($D$4="Forint",Paraméterek!$P$223,Paraméterek!$P$224),0),MIN(IF($AB194=12,AVERAGEIF($E$20:$E194,"&gt;0",$E$20:$E194)*12,0),SUM($E$20:$E$31)))</f>
        <v>0</v>
      </c>
      <c r="AH194" s="13">
        <f>IF($AA194=10,$AG194*IF($AB194=12,IF($AG194&lt;IF($D$4="Forint",Paraméterek!$L$223,Paraméterek!$L$224),0,VLOOKUP($AA194,Paraméterek!$K$226:$M$228,IF($AG194&lt;IF($D$4="Forint",Paraméterek!$M$223,Paraméterek!$M$224),2,3))),0),0)</f>
        <v>0</v>
      </c>
      <c r="AI194" s="13">
        <f ca="1">IF(AND($AA194=$M$11+1,$AB194=$M$12+1),SUMIF($AA$20:$AA$1027,$AA194,$AG$20:$AG$1027)*IF(SUMIF($AA$20:$AA$1027,$AA194,$AG$20:$AG$1027)&lt;IF($D$4="Forint",Paraméterek!$L$223,Paraméterek!$L$224),0,VLOOKUP($AA194,Paraméterek!$K$230:$M$250,IF(SUMIF($AA$20:$AA$1027,$AA194,$AG$20:$AG$1027)&lt;IF($D$4="Forint",Paraméterek!$M$223,Paraméterek!$M$224),2,3))),0)</f>
        <v>0</v>
      </c>
      <c r="AJ194" s="13">
        <f ca="1">IF(AND($AA194&gt;=5,MOD($AA194,5)=0),IF($AB194=12,VLOOKUP($AA194,Paraméterek!$O$225:$P$240,2),0),IF(OR($AA194=3,$AA194=4),IF($AB194=12,VLOOKUP($AA194,Paraméterek!$O$225:$P$240,2,0),0),0))*$AG194</f>
        <v>0</v>
      </c>
      <c r="AK194" s="13">
        <f t="shared" ca="1" si="53"/>
        <v>0</v>
      </c>
      <c r="AL194" s="13">
        <f t="shared" ca="1" si="61"/>
        <v>0</v>
      </c>
      <c r="AM194" s="13">
        <f t="shared" ca="1" si="62"/>
        <v>0</v>
      </c>
      <c r="AO194" s="32">
        <v>175</v>
      </c>
      <c r="AP194" s="32">
        <v>15</v>
      </c>
      <c r="AQ194" s="32">
        <v>7</v>
      </c>
      <c r="AR194" s="13"/>
      <c r="AS194" s="32"/>
      <c r="AT194" s="13">
        <f t="shared" ca="1" si="63"/>
        <v>0</v>
      </c>
      <c r="AU194" s="33"/>
      <c r="AV194" s="13">
        <f t="shared" ca="1" si="54"/>
        <v>0</v>
      </c>
      <c r="AW194" s="13">
        <f ca="1">ROUNDUP(($AT194+$AV194)*VLOOKUP($AP194,Paraméterek!$P$38:$Q$38,2)/12*IF($D195="Nem",IF($M$13=0,1,$M$13),1),IF($D$4="Forint",0,2))</f>
        <v>0</v>
      </c>
      <c r="AX194" s="13"/>
      <c r="AY194" s="13"/>
      <c r="AZ194" s="13">
        <f>ROUNDUP(IF(SUM($AX194:$AY194)=0,0,IF(IF(ISBLANK($AY194),$AX194,$AY194)*Paraméterek!$J$112&lt;IF($D$4="Forint",Paraméterek!$J$113,Paraméterek!$K$113),IF($D$4="Forint",Paraméterek!$J$113,Paraméterek!$K$113),IF(IF(ISBLANK($AY194),$AX194,$AY194)*Paraméterek!$J$112&gt;IF($D$4="Forint",Paraméterek!$J$114,Paraméterek!$K$114),IF($D$4="Forint",Paraméterek!$J$114,Paraméterek!$K$114),IF(ISBLANK($AY194),$AX194,$AY194)*Paraméterek!$J$112))),IF($D$4="Forint",0,2))</f>
        <v>0</v>
      </c>
      <c r="BA194" s="13">
        <f ca="1">$AT194+$AV194-$AW194-IF(ROUNDDOWN(IF(ISBLANK($AY194),$AX194,$AY194),IF($D$4="Forint",0,2))&gt;$AT194+$AV194-$AW194-IF($D$4="Forint",Paraméterek!$J$114,Paraméterek!$K$114),0,ROUNDDOWN(IF(ISBLANK($AY194),$AX194,$AY194),IF($D$4="Forint",0,2))-$AZ194)</f>
        <v>0</v>
      </c>
      <c r="BB194" s="13">
        <f t="shared" ca="1" si="55"/>
        <v>0</v>
      </c>
      <c r="BD194" s="32">
        <v>175</v>
      </c>
      <c r="BE194" s="32">
        <v>15</v>
      </c>
      <c r="BF194" s="32">
        <v>7</v>
      </c>
      <c r="BG194" s="34">
        <f t="shared" ca="1" si="64"/>
        <v>2033</v>
      </c>
      <c r="BH194" s="32" t="str">
        <f ca="1">IF(MOD(MONTH($D$14)+$BD194-1,12)=Paraméterek!$C$288,"Igen","")</f>
        <v/>
      </c>
      <c r="BI194" s="13">
        <f ca="1">IF($BH194="Igen",MIN(ROUNDDOWN((SUMIF($BG$20:$BG$1027,$BG194-1,$K$20:$K$1027)-SUMIF($BG$20:$BG$1027,$BG194-1,$I$20:$I$1027))*Paraméterek!$C$289,IF($D$4="Forint",0,2)),IF($D$4="Forint",Paraméterek!$C$285,Paraméterek!$D$285)),0)</f>
        <v>0</v>
      </c>
      <c r="BJ194" s="13">
        <f t="shared" ca="1" si="56"/>
        <v>0</v>
      </c>
      <c r="BK194" s="13">
        <f t="shared" ca="1" si="65"/>
        <v>0</v>
      </c>
      <c r="BL194" s="33"/>
      <c r="BM194" s="13">
        <f t="shared" ca="1" si="57"/>
        <v>0</v>
      </c>
      <c r="BN194" s="13">
        <f ca="1">ROUNDUP(($BK194+$BM194)*VLOOKUP($BE194,Paraméterek!$P$38:$Q$38,2)/12*IF($D195="Nem",IF($M$13=0,1,$M$13),1),IF($D$4="Forint",0,2))</f>
        <v>0</v>
      </c>
      <c r="BO194" s="13">
        <f t="shared" ca="1" si="58"/>
        <v>0</v>
      </c>
      <c r="BP194" s="13">
        <f ca="1">IF($D195="Nem",$BO194,$BO194-ROUNDUP(SUM($BI$20:$BI194)*120%,IF($D$4="Forint",0,2)))</f>
        <v>0</v>
      </c>
    </row>
    <row r="195" spans="1:68" x14ac:dyDescent="0.2">
      <c r="A195" s="32">
        <v>176</v>
      </c>
      <c r="B195" s="32">
        <v>15</v>
      </c>
      <c r="C195" s="32">
        <v>8</v>
      </c>
      <c r="D195" s="32" t="str">
        <f t="shared" ca="1" si="44"/>
        <v>Nem</v>
      </c>
      <c r="E195" s="13">
        <f t="shared" ca="1" si="45"/>
        <v>0</v>
      </c>
      <c r="F195" s="13"/>
      <c r="G195" s="13"/>
      <c r="H195" s="13"/>
      <c r="I195" s="13">
        <f t="shared" ca="1" si="46"/>
        <v>0</v>
      </c>
      <c r="J195" s="13">
        <f t="shared" ca="1" si="47"/>
        <v>0</v>
      </c>
      <c r="K195" s="13">
        <f t="shared" ca="1" si="48"/>
        <v>0</v>
      </c>
      <c r="L195" s="13" t="e">
        <f ca="1">ROUNDUP(IF($D$2="Egyszeri",$E195,IF($D$2="Havi",SUM($E$20:$E$31),IF(MOD($C195,$M$1)-1=0,SUM($E$20:$E$31),0))/12*$M$1)*VLOOKUP($B195,Paraméterek!$I$28:$P$31,IF($D$2="Egyszeri",8,HLOOKUP(ROUNDUP($M$11+$M$13,0),Paraméterek!$J$26:$O$27,2))),IF($D$4="Forint",0,2))</f>
        <v>#N/A</v>
      </c>
      <c r="M195" s="13">
        <f t="shared" ca="1" si="49"/>
        <v>0</v>
      </c>
      <c r="N195" s="13">
        <f t="shared" ca="1" si="59"/>
        <v>0</v>
      </c>
      <c r="O195" s="13">
        <f ca="1">IF($D195="Igen",IF($W194&gt;=IF($D$4="Forint",Paraméterek!$J$121,Paraméterek!$K$121),0,IF($D$4="Forint",Paraméterek!$J$121,Paraméterek!$K$121)-$W194),0)</f>
        <v>0</v>
      </c>
      <c r="P195" s="13" t="e">
        <f ca="1">ROUNDUP($O195*VLOOKUP($M$4+$B195-1,Paraméterek!$H$58:$I$105,2,0)/Paraméterek!$I$56,IF($D$4="Forint",0,2))</f>
        <v>#N/A</v>
      </c>
      <c r="Q195" s="13">
        <f t="shared" ca="1" si="50"/>
        <v>0</v>
      </c>
      <c r="R195" s="33"/>
      <c r="S195" s="13" t="e">
        <f t="shared" ca="1" si="51"/>
        <v>#N/A</v>
      </c>
      <c r="T195" s="13" t="e">
        <f ca="1">ROUNDUP(($N195-$P195-$Q195+$S195)*VLOOKUP($B195,Paraméterek!$I$38:$K$39,IF($D$2="Egyszeri",3,2))/12*IF($D196="Nem",IF($M$13=0,1,$M$13),1),IF($D$4="Forint",0,2))</f>
        <v>#N/A</v>
      </c>
      <c r="U195" s="13"/>
      <c r="V195" s="13"/>
      <c r="W195" s="13" t="e">
        <f ca="1">$N195-$P195-$Q195+$S195-$T195-IF(ROUNDUP(IF(ISBLANK($V195),$U195*0,$V195)/IF($D$2="Egyszeri",VLOOKUP($B195+IF($C195=12,1,0),Paraméterek!$V$257:$W$262,2),IF($B195=1,1,VLOOKUP($B195+IF($C195=12,1,0),Paraméterek!$I$258:$T$278,HLOOKUP($M$11+1,Paraméterek!$J$256:$T$257,2)))),IF($D$4="Forint",0,2))&gt;$N195-$P195-$Q195+$S195-$T195-IF($D$4="Forint",Paraméterek!$C$216,Paraméterek!$D$216),0,ROUNDUP(IF(ISBLANK($V195),$U195*0,$V195)/IF($D$2="Egyszeri",VLOOKUP($B195+IF($C195=12,1,0),Paraméterek!$V$257:$W$262,2),IF($B195=1,1,VLOOKUP($B195+IF($C195=12,1,0),Paraméterek!$I$258:$T$278,HLOOKUP($M$11+1,Paraméterek!$J$256:$T$257,2)))),IF($D$4="Forint",0,2)))</f>
        <v>#N/A</v>
      </c>
      <c r="X195" s="13" t="e">
        <f ca="1">ROUNDDOWN($W195*IF($D$2="Egyszeri",VLOOKUP($B195+IF($C195=12,1,0),Paraméterek!$V$257:$W$262,2),VLOOKUP($B195+IF($C195=12,1,0),Paraméterek!$I$258:$T$278,HLOOKUP($M$11+1,Paraméterek!$I$256:$T$257,2))),IF($D$4="Forint",0,2))</f>
        <v>#N/A</v>
      </c>
      <c r="Z195" s="32">
        <v>176</v>
      </c>
      <c r="AA195" s="32">
        <v>15</v>
      </c>
      <c r="AB195" s="32">
        <v>8</v>
      </c>
      <c r="AC195" s="13">
        <f t="shared" ca="1" si="60"/>
        <v>0</v>
      </c>
      <c r="AD195" s="33"/>
      <c r="AE195" s="13">
        <f t="shared" ca="1" si="52"/>
        <v>0</v>
      </c>
      <c r="AF195" s="13">
        <f ca="1">ROUNDUP(($AC195+$AE195)*VLOOKUP($AA195,Paraméterek!$P$38:$Q$38,2)/12*IF($D196="Nem",IF($M$13=0,1,$M$13),1),IF($D$4="Forint",0,2))</f>
        <v>0</v>
      </c>
      <c r="AG195" s="13">
        <f ca="1">IF($D$2="Egyszeri",IF($D$7&gt;=IF($D$4="Forint",Paraméterek!$P$223,Paraméterek!$P$224),$D$7-IF($D$4="Forint",Paraméterek!$P$223,Paraméterek!$P$224),0),MIN(IF($AB195=12,AVERAGEIF($E$20:$E195,"&gt;0",$E$20:$E195)*12,0),SUM($E$20:$E$31)))</f>
        <v>0</v>
      </c>
      <c r="AH195" s="13">
        <f>IF($AA195=10,$AG195*IF($AB195=12,IF($AG195&lt;IF($D$4="Forint",Paraméterek!$L$223,Paraméterek!$L$224),0,VLOOKUP($AA195,Paraméterek!$K$226:$M$228,IF($AG195&lt;IF($D$4="Forint",Paraméterek!$M$223,Paraméterek!$M$224),2,3))),0),0)</f>
        <v>0</v>
      </c>
      <c r="AI195" s="13">
        <f ca="1">IF(AND($AA195=$M$11+1,$AB195=$M$12+1),SUMIF($AA$20:$AA$1027,$AA195,$AG$20:$AG$1027)*IF(SUMIF($AA$20:$AA$1027,$AA195,$AG$20:$AG$1027)&lt;IF($D$4="Forint",Paraméterek!$L$223,Paraméterek!$L$224),0,VLOOKUP($AA195,Paraméterek!$K$230:$M$250,IF(SUMIF($AA$20:$AA$1027,$AA195,$AG$20:$AG$1027)&lt;IF($D$4="Forint",Paraméterek!$M$223,Paraméterek!$M$224),2,3))),0)</f>
        <v>0</v>
      </c>
      <c r="AJ195" s="13">
        <f ca="1">IF(AND($AA195&gt;=5,MOD($AA195,5)=0),IF($AB195=12,VLOOKUP($AA195,Paraméterek!$O$225:$P$240,2),0),IF(OR($AA195=3,$AA195=4),IF($AB195=12,VLOOKUP($AA195,Paraméterek!$O$225:$P$240,2,0),0),0))*$AG195</f>
        <v>0</v>
      </c>
      <c r="AK195" s="13">
        <f t="shared" ca="1" si="53"/>
        <v>0</v>
      </c>
      <c r="AL195" s="13">
        <f t="shared" ca="1" si="61"/>
        <v>0</v>
      </c>
      <c r="AM195" s="13">
        <f t="shared" ca="1" si="62"/>
        <v>0</v>
      </c>
      <c r="AO195" s="32">
        <v>176</v>
      </c>
      <c r="AP195" s="32">
        <v>15</v>
      </c>
      <c r="AQ195" s="32">
        <v>8</v>
      </c>
      <c r="AR195" s="13"/>
      <c r="AS195" s="32"/>
      <c r="AT195" s="13">
        <f t="shared" ca="1" si="63"/>
        <v>0</v>
      </c>
      <c r="AU195" s="33"/>
      <c r="AV195" s="13">
        <f t="shared" ca="1" si="54"/>
        <v>0</v>
      </c>
      <c r="AW195" s="13">
        <f ca="1">ROUNDUP(($AT195+$AV195)*VLOOKUP($AP195,Paraméterek!$P$38:$Q$38,2)/12*IF($D196="Nem",IF($M$13=0,1,$M$13),1),IF($D$4="Forint",0,2))</f>
        <v>0</v>
      </c>
      <c r="AX195" s="13"/>
      <c r="AY195" s="13"/>
      <c r="AZ195" s="13">
        <f>ROUNDUP(IF(SUM($AX195:$AY195)=0,0,IF(IF(ISBLANK($AY195),$AX195,$AY195)*Paraméterek!$J$112&lt;IF($D$4="Forint",Paraméterek!$J$113,Paraméterek!$K$113),IF($D$4="Forint",Paraméterek!$J$113,Paraméterek!$K$113),IF(IF(ISBLANK($AY195),$AX195,$AY195)*Paraméterek!$J$112&gt;IF($D$4="Forint",Paraméterek!$J$114,Paraméterek!$K$114),IF($D$4="Forint",Paraméterek!$J$114,Paraméterek!$K$114),IF(ISBLANK($AY195),$AX195,$AY195)*Paraméterek!$J$112))),IF($D$4="Forint",0,2))</f>
        <v>0</v>
      </c>
      <c r="BA195" s="13">
        <f ca="1">$AT195+$AV195-$AW195-IF(ROUNDDOWN(IF(ISBLANK($AY195),$AX195,$AY195),IF($D$4="Forint",0,2))&gt;$AT195+$AV195-$AW195-IF($D$4="Forint",Paraméterek!$J$114,Paraméterek!$K$114),0,ROUNDDOWN(IF(ISBLANK($AY195),$AX195,$AY195),IF($D$4="Forint",0,2))-$AZ195)</f>
        <v>0</v>
      </c>
      <c r="BB195" s="13">
        <f t="shared" ca="1" si="55"/>
        <v>0</v>
      </c>
      <c r="BD195" s="32">
        <v>176</v>
      </c>
      <c r="BE195" s="32">
        <v>15</v>
      </c>
      <c r="BF195" s="32">
        <v>8</v>
      </c>
      <c r="BG195" s="34">
        <f t="shared" ca="1" si="64"/>
        <v>2034</v>
      </c>
      <c r="BH195" s="32" t="str">
        <f ca="1">IF(MOD(MONTH($D$14)+$BD195-1,12)=Paraméterek!$C$288,"Igen","")</f>
        <v/>
      </c>
      <c r="BI195" s="13">
        <f ca="1">IF($BH195="Igen",MIN(ROUNDDOWN((SUMIF($BG$20:$BG$1027,$BG195-1,$K$20:$K$1027)-SUMIF($BG$20:$BG$1027,$BG195-1,$I$20:$I$1027))*Paraméterek!$C$289,IF($D$4="Forint",0,2)),IF($D$4="Forint",Paraméterek!$C$285,Paraméterek!$D$285)),0)</f>
        <v>0</v>
      </c>
      <c r="BJ195" s="13">
        <f t="shared" ca="1" si="56"/>
        <v>0</v>
      </c>
      <c r="BK195" s="13">
        <f t="shared" ca="1" si="65"/>
        <v>0</v>
      </c>
      <c r="BL195" s="33"/>
      <c r="BM195" s="13">
        <f t="shared" ca="1" si="57"/>
        <v>0</v>
      </c>
      <c r="BN195" s="13">
        <f ca="1">ROUNDUP(($BK195+$BM195)*VLOOKUP($BE195,Paraméterek!$P$38:$Q$38,2)/12*IF($D196="Nem",IF($M$13=0,1,$M$13),1),IF($D$4="Forint",0,2))</f>
        <v>0</v>
      </c>
      <c r="BO195" s="13">
        <f t="shared" ca="1" si="58"/>
        <v>0</v>
      </c>
      <c r="BP195" s="13">
        <f ca="1">IF($D196="Nem",$BO195,$BO195-ROUNDUP(SUM($BI$20:$BI195)*120%,IF($D$4="Forint",0,2)))</f>
        <v>0</v>
      </c>
    </row>
    <row r="196" spans="1:68" x14ac:dyDescent="0.2">
      <c r="A196" s="32">
        <v>177</v>
      </c>
      <c r="B196" s="32">
        <v>15</v>
      </c>
      <c r="C196" s="32">
        <v>9</v>
      </c>
      <c r="D196" s="32" t="str">
        <f t="shared" ca="1" si="44"/>
        <v>Nem</v>
      </c>
      <c r="E196" s="13">
        <f t="shared" ca="1" si="45"/>
        <v>0</v>
      </c>
      <c r="F196" s="13"/>
      <c r="G196" s="13"/>
      <c r="H196" s="13"/>
      <c r="I196" s="13">
        <f t="shared" ca="1" si="46"/>
        <v>0</v>
      </c>
      <c r="J196" s="13">
        <f t="shared" ca="1" si="47"/>
        <v>0</v>
      </c>
      <c r="K196" s="13">
        <f t="shared" ca="1" si="48"/>
        <v>0</v>
      </c>
      <c r="L196" s="13" t="e">
        <f ca="1">ROUNDUP(IF($D$2="Egyszeri",$E196,IF($D$2="Havi",SUM($E$20:$E$31),IF(MOD($C196,$M$1)-1=0,SUM($E$20:$E$31),0))/12*$M$1)*VLOOKUP($B196,Paraméterek!$I$28:$P$31,IF($D$2="Egyszeri",8,HLOOKUP(ROUNDUP($M$11+$M$13,0),Paraméterek!$J$26:$O$27,2))),IF($D$4="Forint",0,2))</f>
        <v>#N/A</v>
      </c>
      <c r="M196" s="13">
        <f t="shared" ca="1" si="49"/>
        <v>0</v>
      </c>
      <c r="N196" s="13">
        <f t="shared" ca="1" si="59"/>
        <v>0</v>
      </c>
      <c r="O196" s="13">
        <f ca="1">IF($D196="Igen",IF($W195&gt;=IF($D$4="Forint",Paraméterek!$J$121,Paraméterek!$K$121),0,IF($D$4="Forint",Paraméterek!$J$121,Paraméterek!$K$121)-$W195),0)</f>
        <v>0</v>
      </c>
      <c r="P196" s="13" t="e">
        <f ca="1">ROUNDUP($O196*VLOOKUP($M$4+$B196-1,Paraméterek!$H$58:$I$105,2,0)/Paraméterek!$I$56,IF($D$4="Forint",0,2))</f>
        <v>#N/A</v>
      </c>
      <c r="Q196" s="13">
        <f t="shared" ca="1" si="50"/>
        <v>0</v>
      </c>
      <c r="R196" s="33"/>
      <c r="S196" s="13" t="e">
        <f t="shared" ca="1" si="51"/>
        <v>#N/A</v>
      </c>
      <c r="T196" s="13" t="e">
        <f ca="1">ROUNDUP(($N196-$P196-$Q196+$S196)*VLOOKUP($B196,Paraméterek!$I$38:$K$39,IF($D$2="Egyszeri",3,2))/12*IF($D197="Nem",IF($M$13=0,1,$M$13),1),IF($D$4="Forint",0,2))</f>
        <v>#N/A</v>
      </c>
      <c r="U196" s="13"/>
      <c r="V196" s="13"/>
      <c r="W196" s="13" t="e">
        <f ca="1">$N196-$P196-$Q196+$S196-$T196-IF(ROUNDUP(IF(ISBLANK($V196),$U196*0,$V196)/IF($D$2="Egyszeri",VLOOKUP($B196+IF($C196=12,1,0),Paraméterek!$V$257:$W$262,2),IF($B196=1,1,VLOOKUP($B196+IF($C196=12,1,0),Paraméterek!$I$258:$T$278,HLOOKUP($M$11+1,Paraméterek!$J$256:$T$257,2)))),IF($D$4="Forint",0,2))&gt;$N196-$P196-$Q196+$S196-$T196-IF($D$4="Forint",Paraméterek!$C$216,Paraméterek!$D$216),0,ROUNDUP(IF(ISBLANK($V196),$U196*0,$V196)/IF($D$2="Egyszeri",VLOOKUP($B196+IF($C196=12,1,0),Paraméterek!$V$257:$W$262,2),IF($B196=1,1,VLOOKUP($B196+IF($C196=12,1,0),Paraméterek!$I$258:$T$278,HLOOKUP($M$11+1,Paraméterek!$J$256:$T$257,2)))),IF($D$4="Forint",0,2)))</f>
        <v>#N/A</v>
      </c>
      <c r="X196" s="13" t="e">
        <f ca="1">ROUNDDOWN($W196*IF($D$2="Egyszeri",VLOOKUP($B196+IF($C196=12,1,0),Paraméterek!$V$257:$W$262,2),VLOOKUP($B196+IF($C196=12,1,0),Paraméterek!$I$258:$T$278,HLOOKUP($M$11+1,Paraméterek!$I$256:$T$257,2))),IF($D$4="Forint",0,2))</f>
        <v>#N/A</v>
      </c>
      <c r="Z196" s="32">
        <v>177</v>
      </c>
      <c r="AA196" s="32">
        <v>15</v>
      </c>
      <c r="AB196" s="32">
        <v>9</v>
      </c>
      <c r="AC196" s="13">
        <f t="shared" ca="1" si="60"/>
        <v>0</v>
      </c>
      <c r="AD196" s="33"/>
      <c r="AE196" s="13">
        <f t="shared" ca="1" si="52"/>
        <v>0</v>
      </c>
      <c r="AF196" s="13">
        <f ca="1">ROUNDUP(($AC196+$AE196)*VLOOKUP($AA196,Paraméterek!$P$38:$Q$38,2)/12*IF($D197="Nem",IF($M$13=0,1,$M$13),1),IF($D$4="Forint",0,2))</f>
        <v>0</v>
      </c>
      <c r="AG196" s="13">
        <f ca="1">IF($D$2="Egyszeri",IF($D$7&gt;=IF($D$4="Forint",Paraméterek!$P$223,Paraméterek!$P$224),$D$7-IF($D$4="Forint",Paraméterek!$P$223,Paraméterek!$P$224),0),MIN(IF($AB196=12,AVERAGEIF($E$20:$E196,"&gt;0",$E$20:$E196)*12,0),SUM($E$20:$E$31)))</f>
        <v>0</v>
      </c>
      <c r="AH196" s="13">
        <f>IF($AA196=10,$AG196*IF($AB196=12,IF($AG196&lt;IF($D$4="Forint",Paraméterek!$L$223,Paraméterek!$L$224),0,VLOOKUP($AA196,Paraméterek!$K$226:$M$228,IF($AG196&lt;IF($D$4="Forint",Paraméterek!$M$223,Paraméterek!$M$224),2,3))),0),0)</f>
        <v>0</v>
      </c>
      <c r="AI196" s="13">
        <f ca="1">IF(AND($AA196=$M$11+1,$AB196=$M$12+1),SUMIF($AA$20:$AA$1027,$AA196,$AG$20:$AG$1027)*IF(SUMIF($AA$20:$AA$1027,$AA196,$AG$20:$AG$1027)&lt;IF($D$4="Forint",Paraméterek!$L$223,Paraméterek!$L$224),0,VLOOKUP($AA196,Paraméterek!$K$230:$M$250,IF(SUMIF($AA$20:$AA$1027,$AA196,$AG$20:$AG$1027)&lt;IF($D$4="Forint",Paraméterek!$M$223,Paraméterek!$M$224),2,3))),0)</f>
        <v>0</v>
      </c>
      <c r="AJ196" s="13">
        <f ca="1">IF(AND($AA196&gt;=5,MOD($AA196,5)=0),IF($AB196=12,VLOOKUP($AA196,Paraméterek!$O$225:$P$240,2),0),IF(OR($AA196=3,$AA196=4),IF($AB196=12,VLOOKUP($AA196,Paraméterek!$O$225:$P$240,2,0),0),0))*$AG196</f>
        <v>0</v>
      </c>
      <c r="AK196" s="13">
        <f t="shared" ca="1" si="53"/>
        <v>0</v>
      </c>
      <c r="AL196" s="13">
        <f t="shared" ca="1" si="61"/>
        <v>0</v>
      </c>
      <c r="AM196" s="13">
        <f t="shared" ca="1" si="62"/>
        <v>0</v>
      </c>
      <c r="AO196" s="32">
        <v>177</v>
      </c>
      <c r="AP196" s="32">
        <v>15</v>
      </c>
      <c r="AQ196" s="32">
        <v>9</v>
      </c>
      <c r="AR196" s="13"/>
      <c r="AS196" s="32"/>
      <c r="AT196" s="13">
        <f t="shared" ca="1" si="63"/>
        <v>0</v>
      </c>
      <c r="AU196" s="33"/>
      <c r="AV196" s="13">
        <f t="shared" ca="1" si="54"/>
        <v>0</v>
      </c>
      <c r="AW196" s="13">
        <f ca="1">ROUNDUP(($AT196+$AV196)*VLOOKUP($AP196,Paraméterek!$P$38:$Q$38,2)/12*IF($D197="Nem",IF($M$13=0,1,$M$13),1),IF($D$4="Forint",0,2))</f>
        <v>0</v>
      </c>
      <c r="AX196" s="13"/>
      <c r="AY196" s="13"/>
      <c r="AZ196" s="13">
        <f>ROUNDUP(IF(SUM($AX196:$AY196)=0,0,IF(IF(ISBLANK($AY196),$AX196,$AY196)*Paraméterek!$J$112&lt;IF($D$4="Forint",Paraméterek!$J$113,Paraméterek!$K$113),IF($D$4="Forint",Paraméterek!$J$113,Paraméterek!$K$113),IF(IF(ISBLANK($AY196),$AX196,$AY196)*Paraméterek!$J$112&gt;IF($D$4="Forint",Paraméterek!$J$114,Paraméterek!$K$114),IF($D$4="Forint",Paraméterek!$J$114,Paraméterek!$K$114),IF(ISBLANK($AY196),$AX196,$AY196)*Paraméterek!$J$112))),IF($D$4="Forint",0,2))</f>
        <v>0</v>
      </c>
      <c r="BA196" s="13">
        <f ca="1">$AT196+$AV196-$AW196-IF(ROUNDDOWN(IF(ISBLANK($AY196),$AX196,$AY196),IF($D$4="Forint",0,2))&gt;$AT196+$AV196-$AW196-IF($D$4="Forint",Paraméterek!$J$114,Paraméterek!$K$114),0,ROUNDDOWN(IF(ISBLANK($AY196),$AX196,$AY196),IF($D$4="Forint",0,2))-$AZ196)</f>
        <v>0</v>
      </c>
      <c r="BB196" s="13">
        <f t="shared" ca="1" si="55"/>
        <v>0</v>
      </c>
      <c r="BD196" s="32">
        <v>177</v>
      </c>
      <c r="BE196" s="32">
        <v>15</v>
      </c>
      <c r="BF196" s="32">
        <v>9</v>
      </c>
      <c r="BG196" s="34">
        <f t="shared" ca="1" si="64"/>
        <v>2034</v>
      </c>
      <c r="BH196" s="32" t="str">
        <f ca="1">IF(MOD(MONTH($D$14)+$BD196-1,12)=Paraméterek!$C$288,"Igen","")</f>
        <v/>
      </c>
      <c r="BI196" s="13">
        <f ca="1">IF($BH196="Igen",MIN(ROUNDDOWN((SUMIF($BG$20:$BG$1027,$BG196-1,$K$20:$K$1027)-SUMIF($BG$20:$BG$1027,$BG196-1,$I$20:$I$1027))*Paraméterek!$C$289,IF($D$4="Forint",0,2)),IF($D$4="Forint",Paraméterek!$C$285,Paraméterek!$D$285)),0)</f>
        <v>0</v>
      </c>
      <c r="BJ196" s="13">
        <f t="shared" ca="1" si="56"/>
        <v>0</v>
      </c>
      <c r="BK196" s="13">
        <f t="shared" ca="1" si="65"/>
        <v>0</v>
      </c>
      <c r="BL196" s="33"/>
      <c r="BM196" s="13">
        <f t="shared" ca="1" si="57"/>
        <v>0</v>
      </c>
      <c r="BN196" s="13">
        <f ca="1">ROUNDUP(($BK196+$BM196)*VLOOKUP($BE196,Paraméterek!$P$38:$Q$38,2)/12*IF($D197="Nem",IF($M$13=0,1,$M$13),1),IF($D$4="Forint",0,2))</f>
        <v>0</v>
      </c>
      <c r="BO196" s="13">
        <f t="shared" ca="1" si="58"/>
        <v>0</v>
      </c>
      <c r="BP196" s="13">
        <f ca="1">IF($D197="Nem",$BO196,$BO196-ROUNDUP(SUM($BI$20:$BI196)*120%,IF($D$4="Forint",0,2)))</f>
        <v>0</v>
      </c>
    </row>
    <row r="197" spans="1:68" x14ac:dyDescent="0.2">
      <c r="A197" s="32">
        <v>178</v>
      </c>
      <c r="B197" s="32">
        <v>15</v>
      </c>
      <c r="C197" s="32">
        <v>10</v>
      </c>
      <c r="D197" s="32" t="str">
        <f t="shared" ca="1" si="44"/>
        <v>Nem</v>
      </c>
      <c r="E197" s="13">
        <f t="shared" ca="1" si="45"/>
        <v>0</v>
      </c>
      <c r="F197" s="13"/>
      <c r="G197" s="13"/>
      <c r="H197" s="13"/>
      <c r="I197" s="13">
        <f t="shared" ca="1" si="46"/>
        <v>0</v>
      </c>
      <c r="J197" s="13">
        <f t="shared" ca="1" si="47"/>
        <v>0</v>
      </c>
      <c r="K197" s="13">
        <f t="shared" ca="1" si="48"/>
        <v>0</v>
      </c>
      <c r="L197" s="13" t="e">
        <f ca="1">ROUNDUP(IF($D$2="Egyszeri",$E197,IF($D$2="Havi",SUM($E$20:$E$31),IF(MOD($C197,$M$1)-1=0,SUM($E$20:$E$31),0))/12*$M$1)*VLOOKUP($B197,Paraméterek!$I$28:$P$31,IF($D$2="Egyszeri",8,HLOOKUP(ROUNDUP($M$11+$M$13,0),Paraméterek!$J$26:$O$27,2))),IF($D$4="Forint",0,2))</f>
        <v>#N/A</v>
      </c>
      <c r="M197" s="13">
        <f t="shared" ca="1" si="49"/>
        <v>0</v>
      </c>
      <c r="N197" s="13">
        <f t="shared" ca="1" si="59"/>
        <v>0</v>
      </c>
      <c r="O197" s="13">
        <f ca="1">IF($D197="Igen",IF($W196&gt;=IF($D$4="Forint",Paraméterek!$J$121,Paraméterek!$K$121),0,IF($D$4="Forint",Paraméterek!$J$121,Paraméterek!$K$121)-$W196),0)</f>
        <v>0</v>
      </c>
      <c r="P197" s="13" t="e">
        <f ca="1">ROUNDUP($O197*VLOOKUP($M$4+$B197-1,Paraméterek!$H$58:$I$105,2,0)/Paraméterek!$I$56,IF($D$4="Forint",0,2))</f>
        <v>#N/A</v>
      </c>
      <c r="Q197" s="13">
        <f t="shared" ca="1" si="50"/>
        <v>0</v>
      </c>
      <c r="R197" s="33"/>
      <c r="S197" s="13" t="e">
        <f t="shared" ca="1" si="51"/>
        <v>#N/A</v>
      </c>
      <c r="T197" s="13" t="e">
        <f ca="1">ROUNDUP(($N197-$P197-$Q197+$S197)*VLOOKUP($B197,Paraméterek!$I$38:$K$39,IF($D$2="Egyszeri",3,2))/12*IF($D198="Nem",IF($M$13=0,1,$M$13),1),IF($D$4="Forint",0,2))</f>
        <v>#N/A</v>
      </c>
      <c r="U197" s="13"/>
      <c r="V197" s="13"/>
      <c r="W197" s="13" t="e">
        <f ca="1">$N197-$P197-$Q197+$S197-$T197-IF(ROUNDUP(IF(ISBLANK($V197),$U197*0,$V197)/IF($D$2="Egyszeri",VLOOKUP($B197+IF($C197=12,1,0),Paraméterek!$V$257:$W$262,2),IF($B197=1,1,VLOOKUP($B197+IF($C197=12,1,0),Paraméterek!$I$258:$T$278,HLOOKUP($M$11+1,Paraméterek!$J$256:$T$257,2)))),IF($D$4="Forint",0,2))&gt;$N197-$P197-$Q197+$S197-$T197-IF($D$4="Forint",Paraméterek!$C$216,Paraméterek!$D$216),0,ROUNDUP(IF(ISBLANK($V197),$U197*0,$V197)/IF($D$2="Egyszeri",VLOOKUP($B197+IF($C197=12,1,0),Paraméterek!$V$257:$W$262,2),IF($B197=1,1,VLOOKUP($B197+IF($C197=12,1,0),Paraméterek!$I$258:$T$278,HLOOKUP($M$11+1,Paraméterek!$J$256:$T$257,2)))),IF($D$4="Forint",0,2)))</f>
        <v>#N/A</v>
      </c>
      <c r="X197" s="13" t="e">
        <f ca="1">ROUNDDOWN($W197*IF($D$2="Egyszeri",VLOOKUP($B197+IF($C197=12,1,0),Paraméterek!$V$257:$W$262,2),VLOOKUP($B197+IF($C197=12,1,0),Paraméterek!$I$258:$T$278,HLOOKUP($M$11+1,Paraméterek!$I$256:$T$257,2))),IF($D$4="Forint",0,2))</f>
        <v>#N/A</v>
      </c>
      <c r="Z197" s="32">
        <v>178</v>
      </c>
      <c r="AA197" s="32">
        <v>15</v>
      </c>
      <c r="AB197" s="32">
        <v>10</v>
      </c>
      <c r="AC197" s="13">
        <f t="shared" ca="1" si="60"/>
        <v>0</v>
      </c>
      <c r="AD197" s="33"/>
      <c r="AE197" s="13">
        <f t="shared" ca="1" si="52"/>
        <v>0</v>
      </c>
      <c r="AF197" s="13">
        <f ca="1">ROUNDUP(($AC197+$AE197)*VLOOKUP($AA197,Paraméterek!$P$38:$Q$38,2)/12*IF($D198="Nem",IF($M$13=0,1,$M$13),1),IF($D$4="Forint",0,2))</f>
        <v>0</v>
      </c>
      <c r="AG197" s="13">
        <f ca="1">IF($D$2="Egyszeri",IF($D$7&gt;=IF($D$4="Forint",Paraméterek!$P$223,Paraméterek!$P$224),$D$7-IF($D$4="Forint",Paraméterek!$P$223,Paraméterek!$P$224),0),MIN(IF($AB197=12,AVERAGEIF($E$20:$E197,"&gt;0",$E$20:$E197)*12,0),SUM($E$20:$E$31)))</f>
        <v>0</v>
      </c>
      <c r="AH197" s="13">
        <f>IF($AA197=10,$AG197*IF($AB197=12,IF($AG197&lt;IF($D$4="Forint",Paraméterek!$L$223,Paraméterek!$L$224),0,VLOOKUP($AA197,Paraméterek!$K$226:$M$228,IF($AG197&lt;IF($D$4="Forint",Paraméterek!$M$223,Paraméterek!$M$224),2,3))),0),0)</f>
        <v>0</v>
      </c>
      <c r="AI197" s="13">
        <f ca="1">IF(AND($AA197=$M$11+1,$AB197=$M$12+1),SUMIF($AA$20:$AA$1027,$AA197,$AG$20:$AG$1027)*IF(SUMIF($AA$20:$AA$1027,$AA197,$AG$20:$AG$1027)&lt;IF($D$4="Forint",Paraméterek!$L$223,Paraméterek!$L$224),0,VLOOKUP($AA197,Paraméterek!$K$230:$M$250,IF(SUMIF($AA$20:$AA$1027,$AA197,$AG$20:$AG$1027)&lt;IF($D$4="Forint",Paraméterek!$M$223,Paraméterek!$M$224),2,3))),0)</f>
        <v>0</v>
      </c>
      <c r="AJ197" s="13">
        <f ca="1">IF(AND($AA197&gt;=5,MOD($AA197,5)=0),IF($AB197=12,VLOOKUP($AA197,Paraméterek!$O$225:$P$240,2),0),IF(OR($AA197=3,$AA197=4),IF($AB197=12,VLOOKUP($AA197,Paraméterek!$O$225:$P$240,2,0),0),0))*$AG197</f>
        <v>0</v>
      </c>
      <c r="AK197" s="13">
        <f t="shared" ca="1" si="53"/>
        <v>0</v>
      </c>
      <c r="AL197" s="13">
        <f t="shared" ca="1" si="61"/>
        <v>0</v>
      </c>
      <c r="AM197" s="13">
        <f t="shared" ca="1" si="62"/>
        <v>0</v>
      </c>
      <c r="AO197" s="32">
        <v>178</v>
      </c>
      <c r="AP197" s="32">
        <v>15</v>
      </c>
      <c r="AQ197" s="32">
        <v>10</v>
      </c>
      <c r="AR197" s="13"/>
      <c r="AS197" s="32"/>
      <c r="AT197" s="13">
        <f t="shared" ca="1" si="63"/>
        <v>0</v>
      </c>
      <c r="AU197" s="33"/>
      <c r="AV197" s="13">
        <f t="shared" ca="1" si="54"/>
        <v>0</v>
      </c>
      <c r="AW197" s="13">
        <f ca="1">ROUNDUP(($AT197+$AV197)*VLOOKUP($AP197,Paraméterek!$P$38:$Q$38,2)/12*IF($D198="Nem",IF($M$13=0,1,$M$13),1),IF($D$4="Forint",0,2))</f>
        <v>0</v>
      </c>
      <c r="AX197" s="13"/>
      <c r="AY197" s="13"/>
      <c r="AZ197" s="13">
        <f>ROUNDUP(IF(SUM($AX197:$AY197)=0,0,IF(IF(ISBLANK($AY197),$AX197,$AY197)*Paraméterek!$J$112&lt;IF($D$4="Forint",Paraméterek!$J$113,Paraméterek!$K$113),IF($D$4="Forint",Paraméterek!$J$113,Paraméterek!$K$113),IF(IF(ISBLANK($AY197),$AX197,$AY197)*Paraméterek!$J$112&gt;IF($D$4="Forint",Paraméterek!$J$114,Paraméterek!$K$114),IF($D$4="Forint",Paraméterek!$J$114,Paraméterek!$K$114),IF(ISBLANK($AY197),$AX197,$AY197)*Paraméterek!$J$112))),IF($D$4="Forint",0,2))</f>
        <v>0</v>
      </c>
      <c r="BA197" s="13">
        <f ca="1">$AT197+$AV197-$AW197-IF(ROUNDDOWN(IF(ISBLANK($AY197),$AX197,$AY197),IF($D$4="Forint",0,2))&gt;$AT197+$AV197-$AW197-IF($D$4="Forint",Paraméterek!$J$114,Paraméterek!$K$114),0,ROUNDDOWN(IF(ISBLANK($AY197),$AX197,$AY197),IF($D$4="Forint",0,2))-$AZ197)</f>
        <v>0</v>
      </c>
      <c r="BB197" s="13">
        <f t="shared" ca="1" si="55"/>
        <v>0</v>
      </c>
      <c r="BD197" s="32">
        <v>178</v>
      </c>
      <c r="BE197" s="32">
        <v>15</v>
      </c>
      <c r="BF197" s="32">
        <v>10</v>
      </c>
      <c r="BG197" s="34">
        <f t="shared" ca="1" si="64"/>
        <v>2034</v>
      </c>
      <c r="BH197" s="32" t="str">
        <f ca="1">IF(MOD(MONTH($D$14)+$BD197-1,12)=Paraméterek!$C$288,"Igen","")</f>
        <v/>
      </c>
      <c r="BI197" s="13">
        <f ca="1">IF($BH197="Igen",MIN(ROUNDDOWN((SUMIF($BG$20:$BG$1027,$BG197-1,$K$20:$K$1027)-SUMIF($BG$20:$BG$1027,$BG197-1,$I$20:$I$1027))*Paraméterek!$C$289,IF($D$4="Forint",0,2)),IF($D$4="Forint",Paraméterek!$C$285,Paraméterek!$D$285)),0)</f>
        <v>0</v>
      </c>
      <c r="BJ197" s="13">
        <f t="shared" ca="1" si="56"/>
        <v>0</v>
      </c>
      <c r="BK197" s="13">
        <f t="shared" ca="1" si="65"/>
        <v>0</v>
      </c>
      <c r="BL197" s="33"/>
      <c r="BM197" s="13">
        <f t="shared" ca="1" si="57"/>
        <v>0</v>
      </c>
      <c r="BN197" s="13">
        <f ca="1">ROUNDUP(($BK197+$BM197)*VLOOKUP($BE197,Paraméterek!$P$38:$Q$38,2)/12*IF($D198="Nem",IF($M$13=0,1,$M$13),1),IF($D$4="Forint",0,2))</f>
        <v>0</v>
      </c>
      <c r="BO197" s="13">
        <f t="shared" ca="1" si="58"/>
        <v>0</v>
      </c>
      <c r="BP197" s="13">
        <f ca="1">IF($D198="Nem",$BO197,$BO197-ROUNDUP(SUM($BI$20:$BI197)*120%,IF($D$4="Forint",0,2)))</f>
        <v>0</v>
      </c>
    </row>
    <row r="198" spans="1:68" x14ac:dyDescent="0.2">
      <c r="A198" s="32">
        <v>179</v>
      </c>
      <c r="B198" s="32">
        <v>15</v>
      </c>
      <c r="C198" s="32">
        <v>11</v>
      </c>
      <c r="D198" s="32" t="str">
        <f t="shared" ca="1" si="44"/>
        <v>Nem</v>
      </c>
      <c r="E198" s="13">
        <f t="shared" ca="1" si="45"/>
        <v>0</v>
      </c>
      <c r="F198" s="13"/>
      <c r="G198" s="13"/>
      <c r="H198" s="13"/>
      <c r="I198" s="13">
        <f t="shared" ca="1" si="46"/>
        <v>0</v>
      </c>
      <c r="J198" s="13">
        <f t="shared" ca="1" si="47"/>
        <v>0</v>
      </c>
      <c r="K198" s="13">
        <f t="shared" ca="1" si="48"/>
        <v>0</v>
      </c>
      <c r="L198" s="13" t="e">
        <f ca="1">ROUNDUP(IF($D$2="Egyszeri",$E198,IF($D$2="Havi",SUM($E$20:$E$31),IF(MOD($C198,$M$1)-1=0,SUM($E$20:$E$31),0))/12*$M$1)*VLOOKUP($B198,Paraméterek!$I$28:$P$31,IF($D$2="Egyszeri",8,HLOOKUP(ROUNDUP($M$11+$M$13,0),Paraméterek!$J$26:$O$27,2))),IF($D$4="Forint",0,2))</f>
        <v>#N/A</v>
      </c>
      <c r="M198" s="13">
        <f t="shared" ca="1" si="49"/>
        <v>0</v>
      </c>
      <c r="N198" s="13">
        <f t="shared" ca="1" si="59"/>
        <v>0</v>
      </c>
      <c r="O198" s="13">
        <f ca="1">IF($D198="Igen",IF($W197&gt;=IF($D$4="Forint",Paraméterek!$J$121,Paraméterek!$K$121),0,IF($D$4="Forint",Paraméterek!$J$121,Paraméterek!$K$121)-$W197),0)</f>
        <v>0</v>
      </c>
      <c r="P198" s="13" t="e">
        <f ca="1">ROUNDUP($O198*VLOOKUP($M$4+$B198-1,Paraméterek!$H$58:$I$105,2,0)/Paraméterek!$I$56,IF($D$4="Forint",0,2))</f>
        <v>#N/A</v>
      </c>
      <c r="Q198" s="13">
        <f t="shared" ca="1" si="50"/>
        <v>0</v>
      </c>
      <c r="R198" s="33"/>
      <c r="S198" s="13" t="e">
        <f t="shared" ca="1" si="51"/>
        <v>#N/A</v>
      </c>
      <c r="T198" s="13" t="e">
        <f ca="1">ROUNDUP(($N198-$P198-$Q198+$S198)*VLOOKUP($B198,Paraméterek!$I$38:$K$39,IF($D$2="Egyszeri",3,2))/12*IF($D199="Nem",IF($M$13=0,1,$M$13),1),IF($D$4="Forint",0,2))</f>
        <v>#N/A</v>
      </c>
      <c r="U198" s="13"/>
      <c r="V198" s="13"/>
      <c r="W198" s="13" t="e">
        <f ca="1">$N198-$P198-$Q198+$S198-$T198-IF(ROUNDUP(IF(ISBLANK($V198),$U198*0,$V198)/IF($D$2="Egyszeri",VLOOKUP($B198+IF($C198=12,1,0),Paraméterek!$V$257:$W$262,2),IF($B198=1,1,VLOOKUP($B198+IF($C198=12,1,0),Paraméterek!$I$258:$T$278,HLOOKUP($M$11+1,Paraméterek!$J$256:$T$257,2)))),IF($D$4="Forint",0,2))&gt;$N198-$P198-$Q198+$S198-$T198-IF($D$4="Forint",Paraméterek!$C$216,Paraméterek!$D$216),0,ROUNDUP(IF(ISBLANK($V198),$U198*0,$V198)/IF($D$2="Egyszeri",VLOOKUP($B198+IF($C198=12,1,0),Paraméterek!$V$257:$W$262,2),IF($B198=1,1,VLOOKUP($B198+IF($C198=12,1,0),Paraméterek!$I$258:$T$278,HLOOKUP($M$11+1,Paraméterek!$J$256:$T$257,2)))),IF($D$4="Forint",0,2)))</f>
        <v>#N/A</v>
      </c>
      <c r="X198" s="13" t="e">
        <f ca="1">ROUNDDOWN($W198*IF($D$2="Egyszeri",VLOOKUP($B198+IF($C198=12,1,0),Paraméterek!$V$257:$W$262,2),VLOOKUP($B198+IF($C198=12,1,0),Paraméterek!$I$258:$T$278,HLOOKUP($M$11+1,Paraméterek!$I$256:$T$257,2))),IF($D$4="Forint",0,2))</f>
        <v>#N/A</v>
      </c>
      <c r="Z198" s="32">
        <v>179</v>
      </c>
      <c r="AA198" s="32">
        <v>15</v>
      </c>
      <c r="AB198" s="32">
        <v>11</v>
      </c>
      <c r="AC198" s="13">
        <f t="shared" ca="1" si="60"/>
        <v>0</v>
      </c>
      <c r="AD198" s="33"/>
      <c r="AE198" s="13">
        <f t="shared" ca="1" si="52"/>
        <v>0</v>
      </c>
      <c r="AF198" s="13">
        <f ca="1">ROUNDUP(($AC198+$AE198)*VLOOKUP($AA198,Paraméterek!$P$38:$Q$38,2)/12*IF($D199="Nem",IF($M$13=0,1,$M$13),1),IF($D$4="Forint",0,2))</f>
        <v>0</v>
      </c>
      <c r="AG198" s="13">
        <f ca="1">IF($D$2="Egyszeri",IF($D$7&gt;=IF($D$4="Forint",Paraméterek!$P$223,Paraméterek!$P$224),$D$7-IF($D$4="Forint",Paraméterek!$P$223,Paraméterek!$P$224),0),MIN(IF($AB198=12,AVERAGEIF($E$20:$E198,"&gt;0",$E$20:$E198)*12,0),SUM($E$20:$E$31)))</f>
        <v>0</v>
      </c>
      <c r="AH198" s="13">
        <f>IF($AA198=10,$AG198*IF($AB198=12,IF($AG198&lt;IF($D$4="Forint",Paraméterek!$L$223,Paraméterek!$L$224),0,VLOOKUP($AA198,Paraméterek!$K$226:$M$228,IF($AG198&lt;IF($D$4="Forint",Paraméterek!$M$223,Paraméterek!$M$224),2,3))),0),0)</f>
        <v>0</v>
      </c>
      <c r="AI198" s="13">
        <f ca="1">IF(AND($AA198=$M$11+1,$AB198=$M$12+1),SUMIF($AA$20:$AA$1027,$AA198,$AG$20:$AG$1027)*IF(SUMIF($AA$20:$AA$1027,$AA198,$AG$20:$AG$1027)&lt;IF($D$4="Forint",Paraméterek!$L$223,Paraméterek!$L$224),0,VLOOKUP($AA198,Paraméterek!$K$230:$M$250,IF(SUMIF($AA$20:$AA$1027,$AA198,$AG$20:$AG$1027)&lt;IF($D$4="Forint",Paraméterek!$M$223,Paraméterek!$M$224),2,3))),0)</f>
        <v>0</v>
      </c>
      <c r="AJ198" s="13">
        <f ca="1">IF(AND($AA198&gt;=5,MOD($AA198,5)=0),IF($AB198=12,VLOOKUP($AA198,Paraméterek!$O$225:$P$240,2),0),IF(OR($AA198=3,$AA198=4),IF($AB198=12,VLOOKUP($AA198,Paraméterek!$O$225:$P$240,2,0),0),0))*$AG198</f>
        <v>0</v>
      </c>
      <c r="AK198" s="13">
        <f t="shared" ca="1" si="53"/>
        <v>0</v>
      </c>
      <c r="AL198" s="13">
        <f t="shared" ca="1" si="61"/>
        <v>0</v>
      </c>
      <c r="AM198" s="13">
        <f t="shared" ca="1" si="62"/>
        <v>0</v>
      </c>
      <c r="AO198" s="32">
        <v>179</v>
      </c>
      <c r="AP198" s="32">
        <v>15</v>
      </c>
      <c r="AQ198" s="32">
        <v>11</v>
      </c>
      <c r="AR198" s="13"/>
      <c r="AS198" s="32"/>
      <c r="AT198" s="13">
        <f t="shared" ca="1" si="63"/>
        <v>0</v>
      </c>
      <c r="AU198" s="33"/>
      <c r="AV198" s="13">
        <f t="shared" ca="1" si="54"/>
        <v>0</v>
      </c>
      <c r="AW198" s="13">
        <f ca="1">ROUNDUP(($AT198+$AV198)*VLOOKUP($AP198,Paraméterek!$P$38:$Q$38,2)/12*IF($D199="Nem",IF($M$13=0,1,$M$13),1),IF($D$4="Forint",0,2))</f>
        <v>0</v>
      </c>
      <c r="AX198" s="13"/>
      <c r="AY198" s="13"/>
      <c r="AZ198" s="13">
        <f>ROUNDUP(IF(SUM($AX198:$AY198)=0,0,IF(IF(ISBLANK($AY198),$AX198,$AY198)*Paraméterek!$J$112&lt;IF($D$4="Forint",Paraméterek!$J$113,Paraméterek!$K$113),IF($D$4="Forint",Paraméterek!$J$113,Paraméterek!$K$113),IF(IF(ISBLANK($AY198),$AX198,$AY198)*Paraméterek!$J$112&gt;IF($D$4="Forint",Paraméterek!$J$114,Paraméterek!$K$114),IF($D$4="Forint",Paraméterek!$J$114,Paraméterek!$K$114),IF(ISBLANK($AY198),$AX198,$AY198)*Paraméterek!$J$112))),IF($D$4="Forint",0,2))</f>
        <v>0</v>
      </c>
      <c r="BA198" s="13">
        <f ca="1">$AT198+$AV198-$AW198-IF(ROUNDDOWN(IF(ISBLANK($AY198),$AX198,$AY198),IF($D$4="Forint",0,2))&gt;$AT198+$AV198-$AW198-IF($D$4="Forint",Paraméterek!$J$114,Paraméterek!$K$114),0,ROUNDDOWN(IF(ISBLANK($AY198),$AX198,$AY198),IF($D$4="Forint",0,2))-$AZ198)</f>
        <v>0</v>
      </c>
      <c r="BB198" s="13">
        <f t="shared" ca="1" si="55"/>
        <v>0</v>
      </c>
      <c r="BD198" s="32">
        <v>179</v>
      </c>
      <c r="BE198" s="32">
        <v>15</v>
      </c>
      <c r="BF198" s="32">
        <v>11</v>
      </c>
      <c r="BG198" s="34">
        <f t="shared" ca="1" si="64"/>
        <v>2034</v>
      </c>
      <c r="BH198" s="32" t="str">
        <f ca="1">IF(MOD(MONTH($D$14)+$BD198-1,12)=Paraméterek!$C$288,"Igen","")</f>
        <v/>
      </c>
      <c r="BI198" s="13">
        <f ca="1">IF($BH198="Igen",MIN(ROUNDDOWN((SUMIF($BG$20:$BG$1027,$BG198-1,$K$20:$K$1027)-SUMIF($BG$20:$BG$1027,$BG198-1,$I$20:$I$1027))*Paraméterek!$C$289,IF($D$4="Forint",0,2)),IF($D$4="Forint",Paraméterek!$C$285,Paraméterek!$D$285)),0)</f>
        <v>0</v>
      </c>
      <c r="BJ198" s="13">
        <f t="shared" ca="1" si="56"/>
        <v>0</v>
      </c>
      <c r="BK198" s="13">
        <f t="shared" ca="1" si="65"/>
        <v>0</v>
      </c>
      <c r="BL198" s="33"/>
      <c r="BM198" s="13">
        <f t="shared" ca="1" si="57"/>
        <v>0</v>
      </c>
      <c r="BN198" s="13">
        <f ca="1">ROUNDUP(($BK198+$BM198)*VLOOKUP($BE198,Paraméterek!$P$38:$Q$38,2)/12*IF($D199="Nem",IF($M$13=0,1,$M$13),1),IF($D$4="Forint",0,2))</f>
        <v>0</v>
      </c>
      <c r="BO198" s="13">
        <f t="shared" ca="1" si="58"/>
        <v>0</v>
      </c>
      <c r="BP198" s="13">
        <f ca="1">IF($D199="Nem",$BO198,$BO198-ROUNDUP(SUM($BI$20:$BI198)*120%,IF($D$4="Forint",0,2)))</f>
        <v>0</v>
      </c>
    </row>
    <row r="199" spans="1:68" x14ac:dyDescent="0.2">
      <c r="A199" s="32">
        <v>180</v>
      </c>
      <c r="B199" s="32">
        <v>15</v>
      </c>
      <c r="C199" s="32">
        <v>12</v>
      </c>
      <c r="D199" s="32" t="str">
        <f t="shared" ca="1" si="44"/>
        <v>Nem</v>
      </c>
      <c r="E199" s="13">
        <f t="shared" ca="1" si="45"/>
        <v>0</v>
      </c>
      <c r="F199" s="13"/>
      <c r="G199" s="13"/>
      <c r="H199" s="13"/>
      <c r="I199" s="13">
        <f t="shared" ca="1" si="46"/>
        <v>0</v>
      </c>
      <c r="J199" s="13">
        <f t="shared" ca="1" si="47"/>
        <v>0</v>
      </c>
      <c r="K199" s="13">
        <f t="shared" ca="1" si="48"/>
        <v>0</v>
      </c>
      <c r="L199" s="13" t="e">
        <f ca="1">ROUNDUP(IF($D$2="Egyszeri",$E199,IF($D$2="Havi",SUM($E$20:$E$31),IF(MOD($C199,$M$1)-1=0,SUM($E$20:$E$31),0))/12*$M$1)*VLOOKUP($B199,Paraméterek!$I$28:$P$31,IF($D$2="Egyszeri",8,HLOOKUP(ROUNDUP($M$11+$M$13,0),Paraméterek!$J$26:$O$27,2))),IF($D$4="Forint",0,2))</f>
        <v>#N/A</v>
      </c>
      <c r="M199" s="13">
        <f t="shared" ca="1" si="49"/>
        <v>0</v>
      </c>
      <c r="N199" s="13">
        <f t="shared" ca="1" si="59"/>
        <v>0</v>
      </c>
      <c r="O199" s="13">
        <f ca="1">IF($D199="Igen",IF($W198&gt;=IF($D$4="Forint",Paraméterek!$J$121,Paraméterek!$K$121),0,IF($D$4="Forint",Paraméterek!$J$121,Paraméterek!$K$121)-$W198),0)</f>
        <v>0</v>
      </c>
      <c r="P199" s="13" t="e">
        <f ca="1">ROUNDUP($O199*VLOOKUP($M$4+$B199-1,Paraméterek!$H$58:$I$105,2,0)/Paraméterek!$I$56,IF($D$4="Forint",0,2))</f>
        <v>#N/A</v>
      </c>
      <c r="Q199" s="13">
        <f t="shared" ca="1" si="50"/>
        <v>0</v>
      </c>
      <c r="R199" s="33"/>
      <c r="S199" s="13" t="e">
        <f t="shared" ca="1" si="51"/>
        <v>#N/A</v>
      </c>
      <c r="T199" s="13" t="e">
        <f ca="1">ROUNDUP(($N199-$P199-$Q199+$S199)*VLOOKUP($B199,Paraméterek!$I$38:$K$39,IF($D$2="Egyszeri",3,2))/12*IF($D200="Nem",IF($M$13=0,1,$M$13),1),IF($D$4="Forint",0,2))</f>
        <v>#N/A</v>
      </c>
      <c r="U199" s="13">
        <f>Tranzakciók!$F$46</f>
        <v>0</v>
      </c>
      <c r="V199" s="13"/>
      <c r="W199" s="13" t="e">
        <f ca="1">$N199-$P199-$Q199+$S199-$T199-IF(ROUNDUP(IF(ISBLANK($V199),$U199*0,$V199)/IF($D$2="Egyszeri",VLOOKUP($B199+IF($C199=12,1,0),Paraméterek!$V$257:$W$262,2),IF($B199=1,1,VLOOKUP($B199+IF($C199=12,1,0),Paraméterek!$I$258:$T$278,HLOOKUP($M$11+1,Paraméterek!$J$256:$T$257,2)))),IF($D$4="Forint",0,2))&gt;$N199-$P199-$Q199+$S199-$T199-IF($D$4="Forint",Paraméterek!$C$216,Paraméterek!$D$216),0,ROUNDUP(IF(ISBLANK($V199),$U199*0,$V199)/IF($D$2="Egyszeri",VLOOKUP($B199+IF($C199=12,1,0),Paraméterek!$V$257:$W$262,2),IF($B199=1,1,VLOOKUP($B199+IF($C199=12,1,0),Paraméterek!$I$258:$T$278,HLOOKUP($M$11+1,Paraméterek!$J$256:$T$257,2)))),IF($D$4="Forint",0,2)))</f>
        <v>#N/A</v>
      </c>
      <c r="X199" s="13" t="e">
        <f ca="1">ROUNDDOWN($W199*IF($D$2="Egyszeri",VLOOKUP($B199+IF($C199=12,1,0),Paraméterek!$V$257:$W$262,2),VLOOKUP($B199+IF($C199=12,1,0),Paraméterek!$I$258:$T$278,HLOOKUP($M$11+1,Paraméterek!$I$256:$T$257,2))),IF($D$4="Forint",0,2))</f>
        <v>#N/A</v>
      </c>
      <c r="Z199" s="32">
        <v>180</v>
      </c>
      <c r="AA199" s="32">
        <v>15</v>
      </c>
      <c r="AB199" s="32">
        <v>12</v>
      </c>
      <c r="AC199" s="13">
        <f t="shared" ca="1" si="60"/>
        <v>0</v>
      </c>
      <c r="AD199" s="33"/>
      <c r="AE199" s="13">
        <f t="shared" ca="1" si="52"/>
        <v>0</v>
      </c>
      <c r="AF199" s="13">
        <f ca="1">ROUNDUP(($AC199+$AE199)*VLOOKUP($AA199,Paraméterek!$P$38:$Q$38,2)/12*IF($D200="Nem",IF($M$13=0,1,$M$13),1),IF($D$4="Forint",0,2))</f>
        <v>0</v>
      </c>
      <c r="AG199" s="13" t="e">
        <f ca="1">IF($D$2="Egyszeri",IF($D$7&gt;=IF($D$4="Forint",Paraméterek!$P$223,Paraméterek!$P$224),$D$7-IF($D$4="Forint",Paraméterek!$P$223,Paraméterek!$P$224),0),MIN(IF($AB199=12,AVERAGEIF($E$20:$E199,"&gt;0",$E$20:$E199)*12,0),SUM($E$20:$E$31)))</f>
        <v>#DIV/0!</v>
      </c>
      <c r="AH199" s="13">
        <f>IF($AA199=10,$AG199*IF($AB199=12,IF($AG199&lt;IF($D$4="Forint",Paraméterek!$L$223,Paraméterek!$L$224),0,VLOOKUP($AA199,Paraméterek!$K$226:$M$228,IF($AG199&lt;IF($D$4="Forint",Paraméterek!$M$223,Paraméterek!$M$224),2,3))),0),0)</f>
        <v>0</v>
      </c>
      <c r="AI199" s="13">
        <f ca="1">IF(AND($AA199=$M$11+1,$AB199=$M$12+1),SUMIF($AA$20:$AA$1027,$AA199,$AG$20:$AG$1027)*IF(SUMIF($AA$20:$AA$1027,$AA199,$AG$20:$AG$1027)&lt;IF($D$4="Forint",Paraméterek!$L$223,Paraméterek!$L$224),0,VLOOKUP($AA199,Paraméterek!$K$230:$M$250,IF(SUMIF($AA$20:$AA$1027,$AA199,$AG$20:$AG$1027)&lt;IF($D$4="Forint",Paraméterek!$M$223,Paraméterek!$M$224),2,3))),0)</f>
        <v>0</v>
      </c>
      <c r="AJ199" s="13" t="e">
        <f ca="1">IF(AND($AA199&gt;=5,MOD($AA199,5)=0),IF($AB199=12,VLOOKUP($AA199,Paraméterek!$O$225:$P$240,2),0),IF(OR($AA199=3,$AA199=4),IF($AB199=12,VLOOKUP($AA199,Paraméterek!$O$225:$P$240,2,0),0),0))*$AG199</f>
        <v>#DIV/0!</v>
      </c>
      <c r="AK199" s="13">
        <f t="shared" ca="1" si="53"/>
        <v>0</v>
      </c>
      <c r="AL199" s="13">
        <f t="shared" ca="1" si="61"/>
        <v>0</v>
      </c>
      <c r="AM199" s="13">
        <f t="shared" ca="1" si="62"/>
        <v>0</v>
      </c>
      <c r="AO199" s="32">
        <v>180</v>
      </c>
      <c r="AP199" s="32">
        <v>15</v>
      </c>
      <c r="AQ199" s="32">
        <v>12</v>
      </c>
      <c r="AR199" s="13"/>
      <c r="AS199" s="32"/>
      <c r="AT199" s="13">
        <f t="shared" ca="1" si="63"/>
        <v>0</v>
      </c>
      <c r="AU199" s="33"/>
      <c r="AV199" s="13">
        <f t="shared" ca="1" si="54"/>
        <v>0</v>
      </c>
      <c r="AW199" s="13">
        <f ca="1">ROUNDUP(($AT199+$AV199)*VLOOKUP($AP199,Paraméterek!$P$38:$Q$38,2)/12*IF($D200="Nem",IF($M$13=0,1,$M$13),1),IF($D$4="Forint",0,2))</f>
        <v>0</v>
      </c>
      <c r="AX199" s="13">
        <f>Tranzakciók!$M$46</f>
        <v>0</v>
      </c>
      <c r="AY199" s="13"/>
      <c r="AZ199" s="13">
        <f>ROUNDUP(IF(SUM($AX199:$AY199)=0,0,IF(IF(ISBLANK($AY199),$AX199,$AY199)*Paraméterek!$J$112&lt;IF($D$4="Forint",Paraméterek!$J$113,Paraméterek!$K$113),IF($D$4="Forint",Paraméterek!$J$113,Paraméterek!$K$113),IF(IF(ISBLANK($AY199),$AX199,$AY199)*Paraméterek!$J$112&gt;IF($D$4="Forint",Paraméterek!$J$114,Paraméterek!$K$114),IF($D$4="Forint",Paraméterek!$J$114,Paraméterek!$K$114),IF(ISBLANK($AY199),$AX199,$AY199)*Paraméterek!$J$112))),IF($D$4="Forint",0,2))</f>
        <v>0</v>
      </c>
      <c r="BA199" s="13">
        <f ca="1">$AT199+$AV199-$AW199-IF(ROUNDDOWN(IF(ISBLANK($AY199),$AX199,$AY199),IF($D$4="Forint",0,2))&gt;$AT199+$AV199-$AW199-IF($D$4="Forint",Paraméterek!$J$114,Paraméterek!$K$114),0,ROUNDDOWN(IF(ISBLANK($AY199),$AX199,$AY199),IF($D$4="Forint",0,2))-$AZ199)</f>
        <v>0</v>
      </c>
      <c r="BB199" s="13">
        <f t="shared" ca="1" si="55"/>
        <v>0</v>
      </c>
      <c r="BD199" s="32">
        <v>180</v>
      </c>
      <c r="BE199" s="32">
        <v>15</v>
      </c>
      <c r="BF199" s="32">
        <v>12</v>
      </c>
      <c r="BG199" s="34">
        <f t="shared" ca="1" si="64"/>
        <v>2034</v>
      </c>
      <c r="BH199" s="32" t="str">
        <f ca="1">IF(MOD(MONTH($D$14)+$BD199-1,12)=Paraméterek!$C$288,"Igen","")</f>
        <v/>
      </c>
      <c r="BI199" s="13">
        <f ca="1">IF($BH199="Igen",MIN(ROUNDDOWN((SUMIF($BG$20:$BG$1027,$BG199-1,$K$20:$K$1027)-SUMIF($BG$20:$BG$1027,$BG199-1,$I$20:$I$1027))*Paraméterek!$C$289,IF($D$4="Forint",0,2)),IF($D$4="Forint",Paraméterek!$C$285,Paraméterek!$D$285)),0)</f>
        <v>0</v>
      </c>
      <c r="BJ199" s="13">
        <f t="shared" ca="1" si="56"/>
        <v>0</v>
      </c>
      <c r="BK199" s="13">
        <f t="shared" ca="1" si="65"/>
        <v>0</v>
      </c>
      <c r="BL199" s="33"/>
      <c r="BM199" s="13">
        <f t="shared" ca="1" si="57"/>
        <v>0</v>
      </c>
      <c r="BN199" s="13">
        <f ca="1">ROUNDUP(($BK199+$BM199)*VLOOKUP($BE199,Paraméterek!$P$38:$Q$38,2)/12*IF($D200="Nem",IF($M$13=0,1,$M$13),1),IF($D$4="Forint",0,2))</f>
        <v>0</v>
      </c>
      <c r="BO199" s="13">
        <f t="shared" ca="1" si="58"/>
        <v>0</v>
      </c>
      <c r="BP199" s="13">
        <f ca="1">IF($D200="Nem",$BO199,$BO199-ROUNDUP(SUM($BI$20:$BI199)*120%,IF($D$4="Forint",0,2)))</f>
        <v>0</v>
      </c>
    </row>
    <row r="200" spans="1:68" x14ac:dyDescent="0.2">
      <c r="A200" s="32">
        <v>181</v>
      </c>
      <c r="B200" s="32">
        <v>16</v>
      </c>
      <c r="C200" s="32">
        <v>1</v>
      </c>
      <c r="D200" s="32" t="str">
        <f t="shared" ca="1" si="44"/>
        <v>Nem</v>
      </c>
      <c r="E200" s="13">
        <f t="shared" ca="1" si="45"/>
        <v>0</v>
      </c>
      <c r="F200" s="13"/>
      <c r="G200" s="13">
        <f>Tranzakciók!$D$47</f>
        <v>0</v>
      </c>
      <c r="H200" s="13"/>
      <c r="I200" s="13">
        <f t="shared" ca="1" si="46"/>
        <v>0</v>
      </c>
      <c r="J200" s="13">
        <f t="shared" ca="1" si="47"/>
        <v>0</v>
      </c>
      <c r="K200" s="13">
        <f t="shared" ca="1" si="48"/>
        <v>0</v>
      </c>
      <c r="L200" s="13" t="e">
        <f ca="1">ROUNDUP(IF($D$2="Egyszeri",$E200,IF($D$2="Havi",SUM($E$20:$E$31),IF(MOD($C200,$M$1)-1=0,SUM($E$20:$E$31),0))/12*$M$1)*VLOOKUP($B200,Paraméterek!$I$28:$P$31,IF($D$2="Egyszeri",8,HLOOKUP(ROUNDUP($M$11+$M$13,0),Paraméterek!$J$26:$O$27,2))),IF($D$4="Forint",0,2))</f>
        <v>#N/A</v>
      </c>
      <c r="M200" s="13">
        <f t="shared" ca="1" si="49"/>
        <v>0</v>
      </c>
      <c r="N200" s="13">
        <f t="shared" ca="1" si="59"/>
        <v>0</v>
      </c>
      <c r="O200" s="13">
        <f ca="1">IF($D200="Igen",IF($W199&gt;=IF($D$4="Forint",Paraméterek!$J$121,Paraméterek!$K$121),0,IF($D$4="Forint",Paraméterek!$J$121,Paraméterek!$K$121)-$W199),0)</f>
        <v>0</v>
      </c>
      <c r="P200" s="13" t="e">
        <f ca="1">ROUNDUP($O200*VLOOKUP($M$4+$B200-1,Paraméterek!$H$58:$I$105,2,0)/Paraméterek!$I$56,IF($D$4="Forint",0,2))</f>
        <v>#N/A</v>
      </c>
      <c r="Q200" s="13">
        <f t="shared" ca="1" si="50"/>
        <v>0</v>
      </c>
      <c r="R200" s="33"/>
      <c r="S200" s="13" t="e">
        <f t="shared" ca="1" si="51"/>
        <v>#N/A</v>
      </c>
      <c r="T200" s="13" t="e">
        <f ca="1">ROUNDUP(($N200-$P200-$Q200+$S200)*VLOOKUP($B200,Paraméterek!$I$38:$K$39,IF($D$2="Egyszeri",3,2))/12*IF($D201="Nem",IF($M$13=0,1,$M$13),1),IF($D$4="Forint",0,2))</f>
        <v>#N/A</v>
      </c>
      <c r="U200" s="13"/>
      <c r="V200" s="13"/>
      <c r="W200" s="13" t="e">
        <f ca="1">$N200-$P200-$Q200+$S200-$T200-IF(ROUNDUP(IF(ISBLANK($V200),$U200*0,$V200)/IF($D$2="Egyszeri",VLOOKUP($B200+IF($C200=12,1,0),Paraméterek!$V$257:$W$262,2),IF($B200=1,1,VLOOKUP($B200+IF($C200=12,1,0),Paraméterek!$I$258:$T$278,HLOOKUP($M$11+1,Paraméterek!$J$256:$T$257,2)))),IF($D$4="Forint",0,2))&gt;$N200-$P200-$Q200+$S200-$T200-IF($D$4="Forint",Paraméterek!$C$216,Paraméterek!$D$216),0,ROUNDUP(IF(ISBLANK($V200),$U200*0,$V200)/IF($D$2="Egyszeri",VLOOKUP($B200+IF($C200=12,1,0),Paraméterek!$V$257:$W$262,2),IF($B200=1,1,VLOOKUP($B200+IF($C200=12,1,0),Paraméterek!$I$258:$T$278,HLOOKUP($M$11+1,Paraméterek!$J$256:$T$257,2)))),IF($D$4="Forint",0,2)))</f>
        <v>#N/A</v>
      </c>
      <c r="X200" s="13" t="e">
        <f ca="1">ROUNDDOWN($W200*IF($D$2="Egyszeri",VLOOKUP($B200+IF($C200=12,1,0),Paraméterek!$V$257:$W$262,2),VLOOKUP($B200+IF($C200=12,1,0),Paraméterek!$I$258:$T$278,HLOOKUP($M$11+1,Paraméterek!$I$256:$T$257,2))),IF($D$4="Forint",0,2))</f>
        <v>#N/A</v>
      </c>
      <c r="Z200" s="32">
        <v>181</v>
      </c>
      <c r="AA200" s="32">
        <v>16</v>
      </c>
      <c r="AB200" s="32">
        <v>1</v>
      </c>
      <c r="AC200" s="13">
        <f t="shared" ca="1" si="60"/>
        <v>0</v>
      </c>
      <c r="AD200" s="33"/>
      <c r="AE200" s="13">
        <f t="shared" ca="1" si="52"/>
        <v>0</v>
      </c>
      <c r="AF200" s="13">
        <f ca="1">ROUNDUP(($AC200+$AE200)*VLOOKUP($AA200,Paraméterek!$P$38:$Q$38,2)/12*IF($D201="Nem",IF($M$13=0,1,$M$13),1),IF($D$4="Forint",0,2))</f>
        <v>0</v>
      </c>
      <c r="AG200" s="13">
        <f ca="1">IF($D$2="Egyszeri",IF($D$7&gt;=IF($D$4="Forint",Paraméterek!$P$223,Paraméterek!$P$224),$D$7-IF($D$4="Forint",Paraméterek!$P$223,Paraméterek!$P$224),0),MIN(IF($AB200=12,AVERAGEIF($E$20:$E200,"&gt;0",$E$20:$E200)*12,0),SUM($E$20:$E$31)))</f>
        <v>0</v>
      </c>
      <c r="AH200" s="13">
        <f>IF($AA200=10,$AG200*IF($AB200=12,IF($AG200&lt;IF($D$4="Forint",Paraméterek!$L$223,Paraméterek!$L$224),0,VLOOKUP($AA200,Paraméterek!$K$226:$M$228,IF($AG200&lt;IF($D$4="Forint",Paraméterek!$M$223,Paraméterek!$M$224),2,3))),0),0)</f>
        <v>0</v>
      </c>
      <c r="AI200" s="13">
        <f ca="1">IF(AND($AA200=$M$11+1,$AB200=$M$12+1),SUMIF($AA$20:$AA$1027,$AA200,$AG$20:$AG$1027)*IF(SUMIF($AA$20:$AA$1027,$AA200,$AG$20:$AG$1027)&lt;IF($D$4="Forint",Paraméterek!$L$223,Paraméterek!$L$224),0,VLOOKUP($AA200,Paraméterek!$K$230:$M$250,IF(SUMIF($AA$20:$AA$1027,$AA200,$AG$20:$AG$1027)&lt;IF($D$4="Forint",Paraméterek!$M$223,Paraméterek!$M$224),2,3))),0)</f>
        <v>0</v>
      </c>
      <c r="AJ200" s="13">
        <f ca="1">IF(AND($AA200&gt;=5,MOD($AA200,5)=0),IF($AB200=12,VLOOKUP($AA200,Paraméterek!$O$225:$P$240,2),0),IF(OR($AA200=3,$AA200=4),IF($AB200=12,VLOOKUP($AA200,Paraméterek!$O$225:$P$240,2,0),0),0))*$AG200</f>
        <v>0</v>
      </c>
      <c r="AK200" s="13">
        <f t="shared" ca="1" si="53"/>
        <v>0</v>
      </c>
      <c r="AL200" s="13">
        <f t="shared" ca="1" si="61"/>
        <v>0</v>
      </c>
      <c r="AM200" s="13">
        <f t="shared" ca="1" si="62"/>
        <v>0</v>
      </c>
      <c r="AO200" s="32">
        <v>181</v>
      </c>
      <c r="AP200" s="32">
        <v>16</v>
      </c>
      <c r="AQ200" s="32">
        <v>1</v>
      </c>
      <c r="AR200" s="13">
        <f>Tranzakciók!$K$47</f>
        <v>0</v>
      </c>
      <c r="AS200" s="32"/>
      <c r="AT200" s="13">
        <f t="shared" ca="1" si="63"/>
        <v>0</v>
      </c>
      <c r="AU200" s="33"/>
      <c r="AV200" s="13">
        <f t="shared" ca="1" si="54"/>
        <v>0</v>
      </c>
      <c r="AW200" s="13">
        <f ca="1">ROUNDUP(($AT200+$AV200)*VLOOKUP($AP200,Paraméterek!$P$38:$Q$38,2)/12*IF($D201="Nem",IF($M$13=0,1,$M$13),1),IF($D$4="Forint",0,2))</f>
        <v>0</v>
      </c>
      <c r="AX200" s="13"/>
      <c r="AY200" s="13"/>
      <c r="AZ200" s="13">
        <f>ROUNDUP(IF(SUM($AX200:$AY200)=0,0,IF(IF(ISBLANK($AY200),$AX200,$AY200)*Paraméterek!$J$112&lt;IF($D$4="Forint",Paraméterek!$J$113,Paraméterek!$K$113),IF($D$4="Forint",Paraméterek!$J$113,Paraméterek!$K$113),IF(IF(ISBLANK($AY200),$AX200,$AY200)*Paraméterek!$J$112&gt;IF($D$4="Forint",Paraméterek!$J$114,Paraméterek!$K$114),IF($D$4="Forint",Paraméterek!$J$114,Paraméterek!$K$114),IF(ISBLANK($AY200),$AX200,$AY200)*Paraméterek!$J$112))),IF($D$4="Forint",0,2))</f>
        <v>0</v>
      </c>
      <c r="BA200" s="13">
        <f ca="1">$AT200+$AV200-$AW200-IF(ROUNDDOWN(IF(ISBLANK($AY200),$AX200,$AY200),IF($D$4="Forint",0,2))&gt;$AT200+$AV200-$AW200-IF($D$4="Forint",Paraméterek!$J$114,Paraméterek!$K$114),0,ROUNDDOWN(IF(ISBLANK($AY200),$AX200,$AY200),IF($D$4="Forint",0,2))-$AZ200)</f>
        <v>0</v>
      </c>
      <c r="BB200" s="13">
        <f t="shared" ca="1" si="55"/>
        <v>0</v>
      </c>
      <c r="BD200" s="32">
        <v>181</v>
      </c>
      <c r="BE200" s="32">
        <v>16</v>
      </c>
      <c r="BF200" s="32">
        <v>1</v>
      </c>
      <c r="BG200" s="34">
        <f t="shared" ca="1" si="64"/>
        <v>2034</v>
      </c>
      <c r="BH200" s="32" t="str">
        <f ca="1">IF(MOD(MONTH($D$14)+$BD200-1,12)=Paraméterek!$C$288,"Igen","")</f>
        <v/>
      </c>
      <c r="BI200" s="13">
        <f ca="1">IF($BH200="Igen",MIN(ROUNDDOWN((SUMIF($BG$20:$BG$1027,$BG200-1,$K$20:$K$1027)-SUMIF($BG$20:$BG$1027,$BG200-1,$I$20:$I$1027))*Paraméterek!$C$289,IF($D$4="Forint",0,2)),IF($D$4="Forint",Paraméterek!$C$285,Paraméterek!$D$285)),0)</f>
        <v>0</v>
      </c>
      <c r="BJ200" s="13">
        <f t="shared" ca="1" si="56"/>
        <v>0</v>
      </c>
      <c r="BK200" s="13">
        <f t="shared" ca="1" si="65"/>
        <v>0</v>
      </c>
      <c r="BL200" s="33"/>
      <c r="BM200" s="13">
        <f t="shared" ca="1" si="57"/>
        <v>0</v>
      </c>
      <c r="BN200" s="13">
        <f ca="1">ROUNDUP(($BK200+$BM200)*VLOOKUP($BE200,Paraméterek!$P$38:$Q$38,2)/12*IF($D201="Nem",IF($M$13=0,1,$M$13),1),IF($D$4="Forint",0,2))</f>
        <v>0</v>
      </c>
      <c r="BO200" s="13">
        <f t="shared" ca="1" si="58"/>
        <v>0</v>
      </c>
      <c r="BP200" s="13">
        <f ca="1">IF($D201="Nem",$BO200,$BO200-ROUNDUP(SUM($BI$20:$BI200)*120%,IF($D$4="Forint",0,2)))</f>
        <v>0</v>
      </c>
    </row>
    <row r="201" spans="1:68" x14ac:dyDescent="0.2">
      <c r="A201" s="32">
        <v>182</v>
      </c>
      <c r="B201" s="32">
        <v>16</v>
      </c>
      <c r="C201" s="32">
        <v>2</v>
      </c>
      <c r="D201" s="32" t="str">
        <f t="shared" ca="1" si="44"/>
        <v>Nem</v>
      </c>
      <c r="E201" s="13">
        <f t="shared" ca="1" si="45"/>
        <v>0</v>
      </c>
      <c r="F201" s="13"/>
      <c r="G201" s="13"/>
      <c r="H201" s="13"/>
      <c r="I201" s="13">
        <f t="shared" ca="1" si="46"/>
        <v>0</v>
      </c>
      <c r="J201" s="13">
        <f t="shared" ca="1" si="47"/>
        <v>0</v>
      </c>
      <c r="K201" s="13">
        <f t="shared" ca="1" si="48"/>
        <v>0</v>
      </c>
      <c r="L201" s="13" t="e">
        <f ca="1">ROUNDUP(IF($D$2="Egyszeri",$E201,IF($D$2="Havi",SUM($E$20:$E$31),IF(MOD($C201,$M$1)-1=0,SUM($E$20:$E$31),0))/12*$M$1)*VLOOKUP($B201,Paraméterek!$I$28:$P$31,IF($D$2="Egyszeri",8,HLOOKUP(ROUNDUP($M$11+$M$13,0),Paraméterek!$J$26:$O$27,2))),IF($D$4="Forint",0,2))</f>
        <v>#N/A</v>
      </c>
      <c r="M201" s="13">
        <f t="shared" ca="1" si="49"/>
        <v>0</v>
      </c>
      <c r="N201" s="13">
        <f t="shared" ca="1" si="59"/>
        <v>0</v>
      </c>
      <c r="O201" s="13">
        <f ca="1">IF($D201="Igen",IF($W200&gt;=IF($D$4="Forint",Paraméterek!$J$121,Paraméterek!$K$121),0,IF($D$4="Forint",Paraméterek!$J$121,Paraméterek!$K$121)-$W200),0)</f>
        <v>0</v>
      </c>
      <c r="P201" s="13" t="e">
        <f ca="1">ROUNDUP($O201*VLOOKUP($M$4+$B201-1,Paraméterek!$H$58:$I$105,2,0)/Paraméterek!$I$56,IF($D$4="Forint",0,2))</f>
        <v>#N/A</v>
      </c>
      <c r="Q201" s="13">
        <f t="shared" ca="1" si="50"/>
        <v>0</v>
      </c>
      <c r="R201" s="33"/>
      <c r="S201" s="13" t="e">
        <f t="shared" ca="1" si="51"/>
        <v>#N/A</v>
      </c>
      <c r="T201" s="13" t="e">
        <f ca="1">ROUNDUP(($N201-$P201-$Q201+$S201)*VLOOKUP($B201,Paraméterek!$I$38:$K$39,IF($D$2="Egyszeri",3,2))/12*IF($D202="Nem",IF($M$13=0,1,$M$13),1),IF($D$4="Forint",0,2))</f>
        <v>#N/A</v>
      </c>
      <c r="U201" s="13"/>
      <c r="V201" s="13"/>
      <c r="W201" s="13" t="e">
        <f ca="1">$N201-$P201-$Q201+$S201-$T201-IF(ROUNDUP(IF(ISBLANK($V201),$U201*0,$V201)/IF($D$2="Egyszeri",VLOOKUP($B201+IF($C201=12,1,0),Paraméterek!$V$257:$W$262,2),IF($B201=1,1,VLOOKUP($B201+IF($C201=12,1,0),Paraméterek!$I$258:$T$278,HLOOKUP($M$11+1,Paraméterek!$J$256:$T$257,2)))),IF($D$4="Forint",0,2))&gt;$N201-$P201-$Q201+$S201-$T201-IF($D$4="Forint",Paraméterek!$C$216,Paraméterek!$D$216),0,ROUNDUP(IF(ISBLANK($V201),$U201*0,$V201)/IF($D$2="Egyszeri",VLOOKUP($B201+IF($C201=12,1,0),Paraméterek!$V$257:$W$262,2),IF($B201=1,1,VLOOKUP($B201+IF($C201=12,1,0),Paraméterek!$I$258:$T$278,HLOOKUP($M$11+1,Paraméterek!$J$256:$T$257,2)))),IF($D$4="Forint",0,2)))</f>
        <v>#N/A</v>
      </c>
      <c r="X201" s="13" t="e">
        <f ca="1">ROUNDDOWN($W201*IF($D$2="Egyszeri",VLOOKUP($B201+IF($C201=12,1,0),Paraméterek!$V$257:$W$262,2),VLOOKUP($B201+IF($C201=12,1,0),Paraméterek!$I$258:$T$278,HLOOKUP($M$11+1,Paraméterek!$I$256:$T$257,2))),IF($D$4="Forint",0,2))</f>
        <v>#N/A</v>
      </c>
      <c r="Z201" s="32">
        <v>182</v>
      </c>
      <c r="AA201" s="32">
        <v>16</v>
      </c>
      <c r="AB201" s="32">
        <v>2</v>
      </c>
      <c r="AC201" s="13">
        <f t="shared" ca="1" si="60"/>
        <v>0</v>
      </c>
      <c r="AD201" s="33"/>
      <c r="AE201" s="13">
        <f t="shared" ca="1" si="52"/>
        <v>0</v>
      </c>
      <c r="AF201" s="13">
        <f ca="1">ROUNDUP(($AC201+$AE201)*VLOOKUP($AA201,Paraméterek!$P$38:$Q$38,2)/12*IF($D202="Nem",IF($M$13=0,1,$M$13),1),IF($D$4="Forint",0,2))</f>
        <v>0</v>
      </c>
      <c r="AG201" s="13">
        <f ca="1">IF($D$2="Egyszeri",IF($D$7&gt;=IF($D$4="Forint",Paraméterek!$P$223,Paraméterek!$P$224),$D$7-IF($D$4="Forint",Paraméterek!$P$223,Paraméterek!$P$224),0),MIN(IF($AB201=12,AVERAGEIF($E$20:$E201,"&gt;0",$E$20:$E201)*12,0),SUM($E$20:$E$31)))</f>
        <v>0</v>
      </c>
      <c r="AH201" s="13">
        <f>IF($AA201=10,$AG201*IF($AB201=12,IF($AG201&lt;IF($D$4="Forint",Paraméterek!$L$223,Paraméterek!$L$224),0,VLOOKUP($AA201,Paraméterek!$K$226:$M$228,IF($AG201&lt;IF($D$4="Forint",Paraméterek!$M$223,Paraméterek!$M$224),2,3))),0),0)</f>
        <v>0</v>
      </c>
      <c r="AI201" s="13">
        <f ca="1">IF(AND($AA201=$M$11+1,$AB201=$M$12+1),SUMIF($AA$20:$AA$1027,$AA201,$AG$20:$AG$1027)*IF(SUMIF($AA$20:$AA$1027,$AA201,$AG$20:$AG$1027)&lt;IF($D$4="Forint",Paraméterek!$L$223,Paraméterek!$L$224),0,VLOOKUP($AA201,Paraméterek!$K$230:$M$250,IF(SUMIF($AA$20:$AA$1027,$AA201,$AG$20:$AG$1027)&lt;IF($D$4="Forint",Paraméterek!$M$223,Paraméterek!$M$224),2,3))),0)</f>
        <v>0</v>
      </c>
      <c r="AJ201" s="13">
        <f ca="1">IF(AND($AA201&gt;=5,MOD($AA201,5)=0),IF($AB201=12,VLOOKUP($AA201,Paraméterek!$O$225:$P$240,2),0),IF(OR($AA201=3,$AA201=4),IF($AB201=12,VLOOKUP($AA201,Paraméterek!$O$225:$P$240,2,0),0),0))*$AG201</f>
        <v>0</v>
      </c>
      <c r="AK201" s="13">
        <f t="shared" ca="1" si="53"/>
        <v>0</v>
      </c>
      <c r="AL201" s="13">
        <f t="shared" ca="1" si="61"/>
        <v>0</v>
      </c>
      <c r="AM201" s="13">
        <f t="shared" ca="1" si="62"/>
        <v>0</v>
      </c>
      <c r="AO201" s="32">
        <v>182</v>
      </c>
      <c r="AP201" s="32">
        <v>16</v>
      </c>
      <c r="AQ201" s="32">
        <v>2</v>
      </c>
      <c r="AR201" s="13"/>
      <c r="AS201" s="32"/>
      <c r="AT201" s="13">
        <f t="shared" ca="1" si="63"/>
        <v>0</v>
      </c>
      <c r="AU201" s="33"/>
      <c r="AV201" s="13">
        <f t="shared" ca="1" si="54"/>
        <v>0</v>
      </c>
      <c r="AW201" s="13">
        <f ca="1">ROUNDUP(($AT201+$AV201)*VLOOKUP($AP201,Paraméterek!$P$38:$Q$38,2)/12*IF($D202="Nem",IF($M$13=0,1,$M$13),1),IF($D$4="Forint",0,2))</f>
        <v>0</v>
      </c>
      <c r="AX201" s="13"/>
      <c r="AY201" s="13"/>
      <c r="AZ201" s="13">
        <f>ROUNDUP(IF(SUM($AX201:$AY201)=0,0,IF(IF(ISBLANK($AY201),$AX201,$AY201)*Paraméterek!$J$112&lt;IF($D$4="Forint",Paraméterek!$J$113,Paraméterek!$K$113),IF($D$4="Forint",Paraméterek!$J$113,Paraméterek!$K$113),IF(IF(ISBLANK($AY201),$AX201,$AY201)*Paraméterek!$J$112&gt;IF($D$4="Forint",Paraméterek!$J$114,Paraméterek!$K$114),IF($D$4="Forint",Paraméterek!$J$114,Paraméterek!$K$114),IF(ISBLANK($AY201),$AX201,$AY201)*Paraméterek!$J$112))),IF($D$4="Forint",0,2))</f>
        <v>0</v>
      </c>
      <c r="BA201" s="13">
        <f ca="1">$AT201+$AV201-$AW201-IF(ROUNDDOWN(IF(ISBLANK($AY201),$AX201,$AY201),IF($D$4="Forint",0,2))&gt;$AT201+$AV201-$AW201-IF($D$4="Forint",Paraméterek!$J$114,Paraméterek!$K$114),0,ROUNDDOWN(IF(ISBLANK($AY201),$AX201,$AY201),IF($D$4="Forint",0,2))-$AZ201)</f>
        <v>0</v>
      </c>
      <c r="BB201" s="13">
        <f t="shared" ca="1" si="55"/>
        <v>0</v>
      </c>
      <c r="BD201" s="32">
        <v>182</v>
      </c>
      <c r="BE201" s="32">
        <v>16</v>
      </c>
      <c r="BF201" s="32">
        <v>2</v>
      </c>
      <c r="BG201" s="34">
        <f t="shared" ca="1" si="64"/>
        <v>2034</v>
      </c>
      <c r="BH201" s="32" t="str">
        <f ca="1">IF(MOD(MONTH($D$14)+$BD201-1,12)=Paraméterek!$C$288,"Igen","")</f>
        <v>Igen</v>
      </c>
      <c r="BI201" s="13">
        <f ca="1">IF($BH201="Igen",MIN(ROUNDDOWN((SUMIF($BG$20:$BG$1027,$BG201-1,$K$20:$K$1027)-SUMIF($BG$20:$BG$1027,$BG201-1,$I$20:$I$1027))*Paraméterek!$C$289,IF($D$4="Forint",0,2)),IF($D$4="Forint",Paraméterek!$C$285,Paraméterek!$D$285)),0)</f>
        <v>0</v>
      </c>
      <c r="BJ201" s="13">
        <f t="shared" ca="1" si="56"/>
        <v>0</v>
      </c>
      <c r="BK201" s="13">
        <f t="shared" ca="1" si="65"/>
        <v>0</v>
      </c>
      <c r="BL201" s="33"/>
      <c r="BM201" s="13">
        <f t="shared" ca="1" si="57"/>
        <v>0</v>
      </c>
      <c r="BN201" s="13">
        <f ca="1">ROUNDUP(($BK201+$BM201)*VLOOKUP($BE201,Paraméterek!$P$38:$Q$38,2)/12*IF($D202="Nem",IF($M$13=0,1,$M$13),1),IF($D$4="Forint",0,2))</f>
        <v>0</v>
      </c>
      <c r="BO201" s="13">
        <f t="shared" ca="1" si="58"/>
        <v>0</v>
      </c>
      <c r="BP201" s="13">
        <f ca="1">IF($D202="Nem",$BO201,$BO201-ROUNDUP(SUM($BI$20:$BI201)*120%,IF($D$4="Forint",0,2)))</f>
        <v>0</v>
      </c>
    </row>
    <row r="202" spans="1:68" x14ac:dyDescent="0.2">
      <c r="A202" s="32">
        <v>183</v>
      </c>
      <c r="B202" s="32">
        <v>16</v>
      </c>
      <c r="C202" s="32">
        <v>3</v>
      </c>
      <c r="D202" s="32" t="str">
        <f t="shared" ca="1" si="44"/>
        <v>Nem</v>
      </c>
      <c r="E202" s="13">
        <f t="shared" ca="1" si="45"/>
        <v>0</v>
      </c>
      <c r="F202" s="13"/>
      <c r="G202" s="13"/>
      <c r="H202" s="13"/>
      <c r="I202" s="13">
        <f t="shared" ca="1" si="46"/>
        <v>0</v>
      </c>
      <c r="J202" s="13">
        <f t="shared" ca="1" si="47"/>
        <v>0</v>
      </c>
      <c r="K202" s="13">
        <f t="shared" ca="1" si="48"/>
        <v>0</v>
      </c>
      <c r="L202" s="13" t="e">
        <f ca="1">ROUNDUP(IF($D$2="Egyszeri",$E202,IF($D$2="Havi",SUM($E$20:$E$31),IF(MOD($C202,$M$1)-1=0,SUM($E$20:$E$31),0))/12*$M$1)*VLOOKUP($B202,Paraméterek!$I$28:$P$31,IF($D$2="Egyszeri",8,HLOOKUP(ROUNDUP($M$11+$M$13,0),Paraméterek!$J$26:$O$27,2))),IF($D$4="Forint",0,2))</f>
        <v>#N/A</v>
      </c>
      <c r="M202" s="13">
        <f t="shared" ca="1" si="49"/>
        <v>0</v>
      </c>
      <c r="N202" s="13">
        <f t="shared" ca="1" si="59"/>
        <v>0</v>
      </c>
      <c r="O202" s="13">
        <f ca="1">IF($D202="Igen",IF($W201&gt;=IF($D$4="Forint",Paraméterek!$J$121,Paraméterek!$K$121),0,IF($D$4="Forint",Paraméterek!$J$121,Paraméterek!$K$121)-$W201),0)</f>
        <v>0</v>
      </c>
      <c r="P202" s="13" t="e">
        <f ca="1">ROUNDUP($O202*VLOOKUP($M$4+$B202-1,Paraméterek!$H$58:$I$105,2,0)/Paraméterek!$I$56,IF($D$4="Forint",0,2))</f>
        <v>#N/A</v>
      </c>
      <c r="Q202" s="13">
        <f t="shared" ca="1" si="50"/>
        <v>0</v>
      </c>
      <c r="R202" s="33"/>
      <c r="S202" s="13" t="e">
        <f t="shared" ca="1" si="51"/>
        <v>#N/A</v>
      </c>
      <c r="T202" s="13" t="e">
        <f ca="1">ROUNDUP(($N202-$P202-$Q202+$S202)*VLOOKUP($B202,Paraméterek!$I$38:$K$39,IF($D$2="Egyszeri",3,2))/12*IF($D203="Nem",IF($M$13=0,1,$M$13),1),IF($D$4="Forint",0,2))</f>
        <v>#N/A</v>
      </c>
      <c r="U202" s="13"/>
      <c r="V202" s="13"/>
      <c r="W202" s="13" t="e">
        <f ca="1">$N202-$P202-$Q202+$S202-$T202-IF(ROUNDUP(IF(ISBLANK($V202),$U202*0,$V202)/IF($D$2="Egyszeri",VLOOKUP($B202+IF($C202=12,1,0),Paraméterek!$V$257:$W$262,2),IF($B202=1,1,VLOOKUP($B202+IF($C202=12,1,0),Paraméterek!$I$258:$T$278,HLOOKUP($M$11+1,Paraméterek!$J$256:$T$257,2)))),IF($D$4="Forint",0,2))&gt;$N202-$P202-$Q202+$S202-$T202-IF($D$4="Forint",Paraméterek!$C$216,Paraméterek!$D$216),0,ROUNDUP(IF(ISBLANK($V202),$U202*0,$V202)/IF($D$2="Egyszeri",VLOOKUP($B202+IF($C202=12,1,0),Paraméterek!$V$257:$W$262,2),IF($B202=1,1,VLOOKUP($B202+IF($C202=12,1,0),Paraméterek!$I$258:$T$278,HLOOKUP($M$11+1,Paraméterek!$J$256:$T$257,2)))),IF($D$4="Forint",0,2)))</f>
        <v>#N/A</v>
      </c>
      <c r="X202" s="13" t="e">
        <f ca="1">ROUNDDOWN($W202*IF($D$2="Egyszeri",VLOOKUP($B202+IF($C202=12,1,0),Paraméterek!$V$257:$W$262,2),VLOOKUP($B202+IF($C202=12,1,0),Paraméterek!$I$258:$T$278,HLOOKUP($M$11+1,Paraméterek!$I$256:$T$257,2))),IF($D$4="Forint",0,2))</f>
        <v>#N/A</v>
      </c>
      <c r="Z202" s="32">
        <v>183</v>
      </c>
      <c r="AA202" s="32">
        <v>16</v>
      </c>
      <c r="AB202" s="32">
        <v>3</v>
      </c>
      <c r="AC202" s="13">
        <f t="shared" ca="1" si="60"/>
        <v>0</v>
      </c>
      <c r="AD202" s="33"/>
      <c r="AE202" s="13">
        <f t="shared" ca="1" si="52"/>
        <v>0</v>
      </c>
      <c r="AF202" s="13">
        <f ca="1">ROUNDUP(($AC202+$AE202)*VLOOKUP($AA202,Paraméterek!$P$38:$Q$38,2)/12*IF($D203="Nem",IF($M$13=0,1,$M$13),1),IF($D$4="Forint",0,2))</f>
        <v>0</v>
      </c>
      <c r="AG202" s="13">
        <f ca="1">IF($D$2="Egyszeri",IF($D$7&gt;=IF($D$4="Forint",Paraméterek!$P$223,Paraméterek!$P$224),$D$7-IF($D$4="Forint",Paraméterek!$P$223,Paraméterek!$P$224),0),MIN(IF($AB202=12,AVERAGEIF($E$20:$E202,"&gt;0",$E$20:$E202)*12,0),SUM($E$20:$E$31)))</f>
        <v>0</v>
      </c>
      <c r="AH202" s="13">
        <f>IF($AA202=10,$AG202*IF($AB202=12,IF($AG202&lt;IF($D$4="Forint",Paraméterek!$L$223,Paraméterek!$L$224),0,VLOOKUP($AA202,Paraméterek!$K$226:$M$228,IF($AG202&lt;IF($D$4="Forint",Paraméterek!$M$223,Paraméterek!$M$224),2,3))),0),0)</f>
        <v>0</v>
      </c>
      <c r="AI202" s="13">
        <f ca="1">IF(AND($AA202=$M$11+1,$AB202=$M$12+1),SUMIF($AA$20:$AA$1027,$AA202,$AG$20:$AG$1027)*IF(SUMIF($AA$20:$AA$1027,$AA202,$AG$20:$AG$1027)&lt;IF($D$4="Forint",Paraméterek!$L$223,Paraméterek!$L$224),0,VLOOKUP($AA202,Paraméterek!$K$230:$M$250,IF(SUMIF($AA$20:$AA$1027,$AA202,$AG$20:$AG$1027)&lt;IF($D$4="Forint",Paraméterek!$M$223,Paraméterek!$M$224),2,3))),0)</f>
        <v>0</v>
      </c>
      <c r="AJ202" s="13">
        <f ca="1">IF(AND($AA202&gt;=5,MOD($AA202,5)=0),IF($AB202=12,VLOOKUP($AA202,Paraméterek!$O$225:$P$240,2),0),IF(OR($AA202=3,$AA202=4),IF($AB202=12,VLOOKUP($AA202,Paraméterek!$O$225:$P$240,2,0),0),0))*$AG202</f>
        <v>0</v>
      </c>
      <c r="AK202" s="13">
        <f t="shared" ca="1" si="53"/>
        <v>0</v>
      </c>
      <c r="AL202" s="13">
        <f t="shared" ca="1" si="61"/>
        <v>0</v>
      </c>
      <c r="AM202" s="13">
        <f t="shared" ca="1" si="62"/>
        <v>0</v>
      </c>
      <c r="AO202" s="32">
        <v>183</v>
      </c>
      <c r="AP202" s="32">
        <v>16</v>
      </c>
      <c r="AQ202" s="32">
        <v>3</v>
      </c>
      <c r="AR202" s="13"/>
      <c r="AS202" s="32"/>
      <c r="AT202" s="13">
        <f t="shared" ca="1" si="63"/>
        <v>0</v>
      </c>
      <c r="AU202" s="33"/>
      <c r="AV202" s="13">
        <f t="shared" ca="1" si="54"/>
        <v>0</v>
      </c>
      <c r="AW202" s="13">
        <f ca="1">ROUNDUP(($AT202+$AV202)*VLOOKUP($AP202,Paraméterek!$P$38:$Q$38,2)/12*IF($D203="Nem",IF($M$13=0,1,$M$13),1),IF($D$4="Forint",0,2))</f>
        <v>0</v>
      </c>
      <c r="AX202" s="13"/>
      <c r="AY202" s="13"/>
      <c r="AZ202" s="13">
        <f>ROUNDUP(IF(SUM($AX202:$AY202)=0,0,IF(IF(ISBLANK($AY202),$AX202,$AY202)*Paraméterek!$J$112&lt;IF($D$4="Forint",Paraméterek!$J$113,Paraméterek!$K$113),IF($D$4="Forint",Paraméterek!$J$113,Paraméterek!$K$113),IF(IF(ISBLANK($AY202),$AX202,$AY202)*Paraméterek!$J$112&gt;IF($D$4="Forint",Paraméterek!$J$114,Paraméterek!$K$114),IF($D$4="Forint",Paraméterek!$J$114,Paraméterek!$K$114),IF(ISBLANK($AY202),$AX202,$AY202)*Paraméterek!$J$112))),IF($D$4="Forint",0,2))</f>
        <v>0</v>
      </c>
      <c r="BA202" s="13">
        <f ca="1">$AT202+$AV202-$AW202-IF(ROUNDDOWN(IF(ISBLANK($AY202),$AX202,$AY202),IF($D$4="Forint",0,2))&gt;$AT202+$AV202-$AW202-IF($D$4="Forint",Paraméterek!$J$114,Paraméterek!$K$114),0,ROUNDDOWN(IF(ISBLANK($AY202),$AX202,$AY202),IF($D$4="Forint",0,2))-$AZ202)</f>
        <v>0</v>
      </c>
      <c r="BB202" s="13">
        <f t="shared" ca="1" si="55"/>
        <v>0</v>
      </c>
      <c r="BD202" s="32">
        <v>183</v>
      </c>
      <c r="BE202" s="32">
        <v>16</v>
      </c>
      <c r="BF202" s="32">
        <v>3</v>
      </c>
      <c r="BG202" s="34">
        <f t="shared" ca="1" si="64"/>
        <v>2034</v>
      </c>
      <c r="BH202" s="32" t="str">
        <f ca="1">IF(MOD(MONTH($D$14)+$BD202-1,12)=Paraméterek!$C$288,"Igen","")</f>
        <v/>
      </c>
      <c r="BI202" s="13">
        <f ca="1">IF($BH202="Igen",MIN(ROUNDDOWN((SUMIF($BG$20:$BG$1027,$BG202-1,$K$20:$K$1027)-SUMIF($BG$20:$BG$1027,$BG202-1,$I$20:$I$1027))*Paraméterek!$C$289,IF($D$4="Forint",0,2)),IF($D$4="Forint",Paraméterek!$C$285,Paraméterek!$D$285)),0)</f>
        <v>0</v>
      </c>
      <c r="BJ202" s="13">
        <f t="shared" ca="1" si="56"/>
        <v>0</v>
      </c>
      <c r="BK202" s="13">
        <f t="shared" ca="1" si="65"/>
        <v>0</v>
      </c>
      <c r="BL202" s="33"/>
      <c r="BM202" s="13">
        <f t="shared" ca="1" si="57"/>
        <v>0</v>
      </c>
      <c r="BN202" s="13">
        <f ca="1">ROUNDUP(($BK202+$BM202)*VLOOKUP($BE202,Paraméterek!$P$38:$Q$38,2)/12*IF($D203="Nem",IF($M$13=0,1,$M$13),1),IF($D$4="Forint",0,2))</f>
        <v>0</v>
      </c>
      <c r="BO202" s="13">
        <f t="shared" ca="1" si="58"/>
        <v>0</v>
      </c>
      <c r="BP202" s="13">
        <f ca="1">IF($D203="Nem",$BO202,$BO202-ROUNDUP(SUM($BI$20:$BI202)*120%,IF($D$4="Forint",0,2)))</f>
        <v>0</v>
      </c>
    </row>
    <row r="203" spans="1:68" x14ac:dyDescent="0.2">
      <c r="A203" s="32">
        <v>184</v>
      </c>
      <c r="B203" s="32">
        <v>16</v>
      </c>
      <c r="C203" s="32">
        <v>4</v>
      </c>
      <c r="D203" s="32" t="str">
        <f t="shared" ca="1" si="44"/>
        <v>Nem</v>
      </c>
      <c r="E203" s="13">
        <f t="shared" ca="1" si="45"/>
        <v>0</v>
      </c>
      <c r="F203" s="13"/>
      <c r="G203" s="13"/>
      <c r="H203" s="13"/>
      <c r="I203" s="13">
        <f t="shared" ca="1" si="46"/>
        <v>0</v>
      </c>
      <c r="J203" s="13">
        <f t="shared" ca="1" si="47"/>
        <v>0</v>
      </c>
      <c r="K203" s="13">
        <f t="shared" ca="1" si="48"/>
        <v>0</v>
      </c>
      <c r="L203" s="13" t="e">
        <f ca="1">ROUNDUP(IF($D$2="Egyszeri",$E203,IF($D$2="Havi",SUM($E$20:$E$31),IF(MOD($C203,$M$1)-1=0,SUM($E$20:$E$31),0))/12*$M$1)*VLOOKUP($B203,Paraméterek!$I$28:$P$31,IF($D$2="Egyszeri",8,HLOOKUP(ROUNDUP($M$11+$M$13,0),Paraméterek!$J$26:$O$27,2))),IF($D$4="Forint",0,2))</f>
        <v>#N/A</v>
      </c>
      <c r="M203" s="13">
        <f t="shared" ca="1" si="49"/>
        <v>0</v>
      </c>
      <c r="N203" s="13">
        <f t="shared" ca="1" si="59"/>
        <v>0</v>
      </c>
      <c r="O203" s="13">
        <f ca="1">IF($D203="Igen",IF($W202&gt;=IF($D$4="Forint",Paraméterek!$J$121,Paraméterek!$K$121),0,IF($D$4="Forint",Paraméterek!$J$121,Paraméterek!$K$121)-$W202),0)</f>
        <v>0</v>
      </c>
      <c r="P203" s="13" t="e">
        <f ca="1">ROUNDUP($O203*VLOOKUP($M$4+$B203-1,Paraméterek!$H$58:$I$105,2,0)/Paraméterek!$I$56,IF($D$4="Forint",0,2))</f>
        <v>#N/A</v>
      </c>
      <c r="Q203" s="13">
        <f t="shared" ca="1" si="50"/>
        <v>0</v>
      </c>
      <c r="R203" s="33"/>
      <c r="S203" s="13" t="e">
        <f t="shared" ca="1" si="51"/>
        <v>#N/A</v>
      </c>
      <c r="T203" s="13" t="e">
        <f ca="1">ROUNDUP(($N203-$P203-$Q203+$S203)*VLOOKUP($B203,Paraméterek!$I$38:$K$39,IF($D$2="Egyszeri",3,2))/12*IF($D204="Nem",IF($M$13=0,1,$M$13),1),IF($D$4="Forint",0,2))</f>
        <v>#N/A</v>
      </c>
      <c r="U203" s="13"/>
      <c r="V203" s="13"/>
      <c r="W203" s="13" t="e">
        <f ca="1">$N203-$P203-$Q203+$S203-$T203-IF(ROUNDUP(IF(ISBLANK($V203),$U203*0,$V203)/IF($D$2="Egyszeri",VLOOKUP($B203+IF($C203=12,1,0),Paraméterek!$V$257:$W$262,2),IF($B203=1,1,VLOOKUP($B203+IF($C203=12,1,0),Paraméterek!$I$258:$T$278,HLOOKUP($M$11+1,Paraméterek!$J$256:$T$257,2)))),IF($D$4="Forint",0,2))&gt;$N203-$P203-$Q203+$S203-$T203-IF($D$4="Forint",Paraméterek!$C$216,Paraméterek!$D$216),0,ROUNDUP(IF(ISBLANK($V203),$U203*0,$V203)/IF($D$2="Egyszeri",VLOOKUP($B203+IF($C203=12,1,0),Paraméterek!$V$257:$W$262,2),IF($B203=1,1,VLOOKUP($B203+IF($C203=12,1,0),Paraméterek!$I$258:$T$278,HLOOKUP($M$11+1,Paraméterek!$J$256:$T$257,2)))),IF($D$4="Forint",0,2)))</f>
        <v>#N/A</v>
      </c>
      <c r="X203" s="13" t="e">
        <f ca="1">ROUNDDOWN($W203*IF($D$2="Egyszeri",VLOOKUP($B203+IF($C203=12,1,0),Paraméterek!$V$257:$W$262,2),VLOOKUP($B203+IF($C203=12,1,0),Paraméterek!$I$258:$T$278,HLOOKUP($M$11+1,Paraméterek!$I$256:$T$257,2))),IF($D$4="Forint",0,2))</f>
        <v>#N/A</v>
      </c>
      <c r="Z203" s="32">
        <v>184</v>
      </c>
      <c r="AA203" s="32">
        <v>16</v>
      </c>
      <c r="AB203" s="32">
        <v>4</v>
      </c>
      <c r="AC203" s="13">
        <f t="shared" ca="1" si="60"/>
        <v>0</v>
      </c>
      <c r="AD203" s="33"/>
      <c r="AE203" s="13">
        <f t="shared" ca="1" si="52"/>
        <v>0</v>
      </c>
      <c r="AF203" s="13">
        <f ca="1">ROUNDUP(($AC203+$AE203)*VLOOKUP($AA203,Paraméterek!$P$38:$Q$38,2)/12*IF($D204="Nem",IF($M$13=0,1,$M$13),1),IF($D$4="Forint",0,2))</f>
        <v>0</v>
      </c>
      <c r="AG203" s="13">
        <f ca="1">IF($D$2="Egyszeri",IF($D$7&gt;=IF($D$4="Forint",Paraméterek!$P$223,Paraméterek!$P$224),$D$7-IF($D$4="Forint",Paraméterek!$P$223,Paraméterek!$P$224),0),MIN(IF($AB203=12,AVERAGEIF($E$20:$E203,"&gt;0",$E$20:$E203)*12,0),SUM($E$20:$E$31)))</f>
        <v>0</v>
      </c>
      <c r="AH203" s="13">
        <f>IF($AA203=10,$AG203*IF($AB203=12,IF($AG203&lt;IF($D$4="Forint",Paraméterek!$L$223,Paraméterek!$L$224),0,VLOOKUP($AA203,Paraméterek!$K$226:$M$228,IF($AG203&lt;IF($D$4="Forint",Paraméterek!$M$223,Paraméterek!$M$224),2,3))),0),0)</f>
        <v>0</v>
      </c>
      <c r="AI203" s="13">
        <f ca="1">IF(AND($AA203=$M$11+1,$AB203=$M$12+1),SUMIF($AA$20:$AA$1027,$AA203,$AG$20:$AG$1027)*IF(SUMIF($AA$20:$AA$1027,$AA203,$AG$20:$AG$1027)&lt;IF($D$4="Forint",Paraméterek!$L$223,Paraméterek!$L$224),0,VLOOKUP($AA203,Paraméterek!$K$230:$M$250,IF(SUMIF($AA$20:$AA$1027,$AA203,$AG$20:$AG$1027)&lt;IF($D$4="Forint",Paraméterek!$M$223,Paraméterek!$M$224),2,3))),0)</f>
        <v>0</v>
      </c>
      <c r="AJ203" s="13">
        <f ca="1">IF(AND($AA203&gt;=5,MOD($AA203,5)=0),IF($AB203=12,VLOOKUP($AA203,Paraméterek!$O$225:$P$240,2),0),IF(OR($AA203=3,$AA203=4),IF($AB203=12,VLOOKUP($AA203,Paraméterek!$O$225:$P$240,2,0),0),0))*$AG203</f>
        <v>0</v>
      </c>
      <c r="AK203" s="13">
        <f t="shared" ca="1" si="53"/>
        <v>0</v>
      </c>
      <c r="AL203" s="13">
        <f t="shared" ca="1" si="61"/>
        <v>0</v>
      </c>
      <c r="AM203" s="13">
        <f t="shared" ca="1" si="62"/>
        <v>0</v>
      </c>
      <c r="AO203" s="32">
        <v>184</v>
      </c>
      <c r="AP203" s="32">
        <v>16</v>
      </c>
      <c r="AQ203" s="32">
        <v>4</v>
      </c>
      <c r="AR203" s="13"/>
      <c r="AS203" s="32"/>
      <c r="AT203" s="13">
        <f t="shared" ca="1" si="63"/>
        <v>0</v>
      </c>
      <c r="AU203" s="33"/>
      <c r="AV203" s="13">
        <f t="shared" ca="1" si="54"/>
        <v>0</v>
      </c>
      <c r="AW203" s="13">
        <f ca="1">ROUNDUP(($AT203+$AV203)*VLOOKUP($AP203,Paraméterek!$P$38:$Q$38,2)/12*IF($D204="Nem",IF($M$13=0,1,$M$13),1),IF($D$4="Forint",0,2))</f>
        <v>0</v>
      </c>
      <c r="AX203" s="13"/>
      <c r="AY203" s="13"/>
      <c r="AZ203" s="13">
        <f>ROUNDUP(IF(SUM($AX203:$AY203)=0,0,IF(IF(ISBLANK($AY203),$AX203,$AY203)*Paraméterek!$J$112&lt;IF($D$4="Forint",Paraméterek!$J$113,Paraméterek!$K$113),IF($D$4="Forint",Paraméterek!$J$113,Paraméterek!$K$113),IF(IF(ISBLANK($AY203),$AX203,$AY203)*Paraméterek!$J$112&gt;IF($D$4="Forint",Paraméterek!$J$114,Paraméterek!$K$114),IF($D$4="Forint",Paraméterek!$J$114,Paraméterek!$K$114),IF(ISBLANK($AY203),$AX203,$AY203)*Paraméterek!$J$112))),IF($D$4="Forint",0,2))</f>
        <v>0</v>
      </c>
      <c r="BA203" s="13">
        <f ca="1">$AT203+$AV203-$AW203-IF(ROUNDDOWN(IF(ISBLANK($AY203),$AX203,$AY203),IF($D$4="Forint",0,2))&gt;$AT203+$AV203-$AW203-IF($D$4="Forint",Paraméterek!$J$114,Paraméterek!$K$114),0,ROUNDDOWN(IF(ISBLANK($AY203),$AX203,$AY203),IF($D$4="Forint",0,2))-$AZ203)</f>
        <v>0</v>
      </c>
      <c r="BB203" s="13">
        <f t="shared" ca="1" si="55"/>
        <v>0</v>
      </c>
      <c r="BD203" s="32">
        <v>184</v>
      </c>
      <c r="BE203" s="32">
        <v>16</v>
      </c>
      <c r="BF203" s="32">
        <v>4</v>
      </c>
      <c r="BG203" s="34">
        <f t="shared" ca="1" si="64"/>
        <v>2034</v>
      </c>
      <c r="BH203" s="32" t="str">
        <f ca="1">IF(MOD(MONTH($D$14)+$BD203-1,12)=Paraméterek!$C$288,"Igen","")</f>
        <v/>
      </c>
      <c r="BI203" s="13">
        <f ca="1">IF($BH203="Igen",MIN(ROUNDDOWN((SUMIF($BG$20:$BG$1027,$BG203-1,$K$20:$K$1027)-SUMIF($BG$20:$BG$1027,$BG203-1,$I$20:$I$1027))*Paraméterek!$C$289,IF($D$4="Forint",0,2)),IF($D$4="Forint",Paraméterek!$C$285,Paraméterek!$D$285)),0)</f>
        <v>0</v>
      </c>
      <c r="BJ203" s="13">
        <f t="shared" ca="1" si="56"/>
        <v>0</v>
      </c>
      <c r="BK203" s="13">
        <f t="shared" ca="1" si="65"/>
        <v>0</v>
      </c>
      <c r="BL203" s="33"/>
      <c r="BM203" s="13">
        <f t="shared" ca="1" si="57"/>
        <v>0</v>
      </c>
      <c r="BN203" s="13">
        <f ca="1">ROUNDUP(($BK203+$BM203)*VLOOKUP($BE203,Paraméterek!$P$38:$Q$38,2)/12*IF($D204="Nem",IF($M$13=0,1,$M$13),1),IF($D$4="Forint",0,2))</f>
        <v>0</v>
      </c>
      <c r="BO203" s="13">
        <f t="shared" ca="1" si="58"/>
        <v>0</v>
      </c>
      <c r="BP203" s="13">
        <f ca="1">IF($D204="Nem",$BO203,$BO203-ROUNDUP(SUM($BI$20:$BI203)*120%,IF($D$4="Forint",0,2)))</f>
        <v>0</v>
      </c>
    </row>
    <row r="204" spans="1:68" x14ac:dyDescent="0.2">
      <c r="A204" s="32">
        <v>185</v>
      </c>
      <c r="B204" s="32">
        <v>16</v>
      </c>
      <c r="C204" s="32">
        <v>5</v>
      </c>
      <c r="D204" s="32" t="str">
        <f t="shared" ca="1" si="44"/>
        <v>Nem</v>
      </c>
      <c r="E204" s="13">
        <f t="shared" ca="1" si="45"/>
        <v>0</v>
      </c>
      <c r="F204" s="13"/>
      <c r="G204" s="13"/>
      <c r="H204" s="13"/>
      <c r="I204" s="13">
        <f t="shared" ca="1" si="46"/>
        <v>0</v>
      </c>
      <c r="J204" s="13">
        <f t="shared" ca="1" si="47"/>
        <v>0</v>
      </c>
      <c r="K204" s="13">
        <f t="shared" ca="1" si="48"/>
        <v>0</v>
      </c>
      <c r="L204" s="13" t="e">
        <f ca="1">ROUNDUP(IF($D$2="Egyszeri",$E204,IF($D$2="Havi",SUM($E$20:$E$31),IF(MOD($C204,$M$1)-1=0,SUM($E$20:$E$31),0))/12*$M$1)*VLOOKUP($B204,Paraméterek!$I$28:$P$31,IF($D$2="Egyszeri",8,HLOOKUP(ROUNDUP($M$11+$M$13,0),Paraméterek!$J$26:$O$27,2))),IF($D$4="Forint",0,2))</f>
        <v>#N/A</v>
      </c>
      <c r="M204" s="13">
        <f t="shared" ca="1" si="49"/>
        <v>0</v>
      </c>
      <c r="N204" s="13">
        <f t="shared" ca="1" si="59"/>
        <v>0</v>
      </c>
      <c r="O204" s="13">
        <f ca="1">IF($D204="Igen",IF($W203&gt;=IF($D$4="Forint",Paraméterek!$J$121,Paraméterek!$K$121),0,IF($D$4="Forint",Paraméterek!$J$121,Paraméterek!$K$121)-$W203),0)</f>
        <v>0</v>
      </c>
      <c r="P204" s="13" t="e">
        <f ca="1">ROUNDUP($O204*VLOOKUP($M$4+$B204-1,Paraméterek!$H$58:$I$105,2,0)/Paraméterek!$I$56,IF($D$4="Forint",0,2))</f>
        <v>#N/A</v>
      </c>
      <c r="Q204" s="13">
        <f t="shared" ca="1" si="50"/>
        <v>0</v>
      </c>
      <c r="R204" s="33"/>
      <c r="S204" s="13" t="e">
        <f t="shared" ca="1" si="51"/>
        <v>#N/A</v>
      </c>
      <c r="T204" s="13" t="e">
        <f ca="1">ROUNDUP(($N204-$P204-$Q204+$S204)*VLOOKUP($B204,Paraméterek!$I$38:$K$39,IF($D$2="Egyszeri",3,2))/12*IF($D205="Nem",IF($M$13=0,1,$M$13),1),IF($D$4="Forint",0,2))</f>
        <v>#N/A</v>
      </c>
      <c r="U204" s="13"/>
      <c r="V204" s="13"/>
      <c r="W204" s="13" t="e">
        <f ca="1">$N204-$P204-$Q204+$S204-$T204-IF(ROUNDUP(IF(ISBLANK($V204),$U204*0,$V204)/IF($D$2="Egyszeri",VLOOKUP($B204+IF($C204=12,1,0),Paraméterek!$V$257:$W$262,2),IF($B204=1,1,VLOOKUP($B204+IF($C204=12,1,0),Paraméterek!$I$258:$T$278,HLOOKUP($M$11+1,Paraméterek!$J$256:$T$257,2)))),IF($D$4="Forint",0,2))&gt;$N204-$P204-$Q204+$S204-$T204-IF($D$4="Forint",Paraméterek!$C$216,Paraméterek!$D$216),0,ROUNDUP(IF(ISBLANK($V204),$U204*0,$V204)/IF($D$2="Egyszeri",VLOOKUP($B204+IF($C204=12,1,0),Paraméterek!$V$257:$W$262,2),IF($B204=1,1,VLOOKUP($B204+IF($C204=12,1,0),Paraméterek!$I$258:$T$278,HLOOKUP($M$11+1,Paraméterek!$J$256:$T$257,2)))),IF($D$4="Forint",0,2)))</f>
        <v>#N/A</v>
      </c>
      <c r="X204" s="13" t="e">
        <f ca="1">ROUNDDOWN($W204*IF($D$2="Egyszeri",VLOOKUP($B204+IF($C204=12,1,0),Paraméterek!$V$257:$W$262,2),VLOOKUP($B204+IF($C204=12,1,0),Paraméterek!$I$258:$T$278,HLOOKUP($M$11+1,Paraméterek!$I$256:$T$257,2))),IF($D$4="Forint",0,2))</f>
        <v>#N/A</v>
      </c>
      <c r="Z204" s="32">
        <v>185</v>
      </c>
      <c r="AA204" s="32">
        <v>16</v>
      </c>
      <c r="AB204" s="32">
        <v>5</v>
      </c>
      <c r="AC204" s="13">
        <f t="shared" ca="1" si="60"/>
        <v>0</v>
      </c>
      <c r="AD204" s="33"/>
      <c r="AE204" s="13">
        <f t="shared" ca="1" si="52"/>
        <v>0</v>
      </c>
      <c r="AF204" s="13">
        <f ca="1">ROUNDUP(($AC204+$AE204)*VLOOKUP($AA204,Paraméterek!$P$38:$Q$38,2)/12*IF($D205="Nem",IF($M$13=0,1,$M$13),1),IF($D$4="Forint",0,2))</f>
        <v>0</v>
      </c>
      <c r="AG204" s="13">
        <f ca="1">IF($D$2="Egyszeri",IF($D$7&gt;=IF($D$4="Forint",Paraméterek!$P$223,Paraméterek!$P$224),$D$7-IF($D$4="Forint",Paraméterek!$P$223,Paraméterek!$P$224),0),MIN(IF($AB204=12,AVERAGEIF($E$20:$E204,"&gt;0",$E$20:$E204)*12,0),SUM($E$20:$E$31)))</f>
        <v>0</v>
      </c>
      <c r="AH204" s="13">
        <f>IF($AA204=10,$AG204*IF($AB204=12,IF($AG204&lt;IF($D$4="Forint",Paraméterek!$L$223,Paraméterek!$L$224),0,VLOOKUP($AA204,Paraméterek!$K$226:$M$228,IF($AG204&lt;IF($D$4="Forint",Paraméterek!$M$223,Paraméterek!$M$224),2,3))),0),0)</f>
        <v>0</v>
      </c>
      <c r="AI204" s="13">
        <f ca="1">IF(AND($AA204=$M$11+1,$AB204=$M$12+1),SUMIF($AA$20:$AA$1027,$AA204,$AG$20:$AG$1027)*IF(SUMIF($AA$20:$AA$1027,$AA204,$AG$20:$AG$1027)&lt;IF($D$4="Forint",Paraméterek!$L$223,Paraméterek!$L$224),0,VLOOKUP($AA204,Paraméterek!$K$230:$M$250,IF(SUMIF($AA$20:$AA$1027,$AA204,$AG$20:$AG$1027)&lt;IF($D$4="Forint",Paraméterek!$M$223,Paraméterek!$M$224),2,3))),0)</f>
        <v>0</v>
      </c>
      <c r="AJ204" s="13">
        <f ca="1">IF(AND($AA204&gt;=5,MOD($AA204,5)=0),IF($AB204=12,VLOOKUP($AA204,Paraméterek!$O$225:$P$240,2),0),IF(OR($AA204=3,$AA204=4),IF($AB204=12,VLOOKUP($AA204,Paraméterek!$O$225:$P$240,2,0),0),0))*$AG204</f>
        <v>0</v>
      </c>
      <c r="AK204" s="13">
        <f t="shared" ca="1" si="53"/>
        <v>0</v>
      </c>
      <c r="AL204" s="13">
        <f t="shared" ca="1" si="61"/>
        <v>0</v>
      </c>
      <c r="AM204" s="13">
        <f t="shared" ca="1" si="62"/>
        <v>0</v>
      </c>
      <c r="AO204" s="32">
        <v>185</v>
      </c>
      <c r="AP204" s="32">
        <v>16</v>
      </c>
      <c r="AQ204" s="32">
        <v>5</v>
      </c>
      <c r="AR204" s="13"/>
      <c r="AS204" s="32"/>
      <c r="AT204" s="13">
        <f t="shared" ca="1" si="63"/>
        <v>0</v>
      </c>
      <c r="AU204" s="33"/>
      <c r="AV204" s="13">
        <f t="shared" ca="1" si="54"/>
        <v>0</v>
      </c>
      <c r="AW204" s="13">
        <f ca="1">ROUNDUP(($AT204+$AV204)*VLOOKUP($AP204,Paraméterek!$P$38:$Q$38,2)/12*IF($D205="Nem",IF($M$13=0,1,$M$13),1),IF($D$4="Forint",0,2))</f>
        <v>0</v>
      </c>
      <c r="AX204" s="13"/>
      <c r="AY204" s="13"/>
      <c r="AZ204" s="13">
        <f>ROUNDUP(IF(SUM($AX204:$AY204)=0,0,IF(IF(ISBLANK($AY204),$AX204,$AY204)*Paraméterek!$J$112&lt;IF($D$4="Forint",Paraméterek!$J$113,Paraméterek!$K$113),IF($D$4="Forint",Paraméterek!$J$113,Paraméterek!$K$113),IF(IF(ISBLANK($AY204),$AX204,$AY204)*Paraméterek!$J$112&gt;IF($D$4="Forint",Paraméterek!$J$114,Paraméterek!$K$114),IF($D$4="Forint",Paraméterek!$J$114,Paraméterek!$K$114),IF(ISBLANK($AY204),$AX204,$AY204)*Paraméterek!$J$112))),IF($D$4="Forint",0,2))</f>
        <v>0</v>
      </c>
      <c r="BA204" s="13">
        <f ca="1">$AT204+$AV204-$AW204-IF(ROUNDDOWN(IF(ISBLANK($AY204),$AX204,$AY204),IF($D$4="Forint",0,2))&gt;$AT204+$AV204-$AW204-IF($D$4="Forint",Paraméterek!$J$114,Paraméterek!$K$114),0,ROUNDDOWN(IF(ISBLANK($AY204),$AX204,$AY204),IF($D$4="Forint",0,2))-$AZ204)</f>
        <v>0</v>
      </c>
      <c r="BB204" s="13">
        <f t="shared" ca="1" si="55"/>
        <v>0</v>
      </c>
      <c r="BD204" s="32">
        <v>185</v>
      </c>
      <c r="BE204" s="32">
        <v>16</v>
      </c>
      <c r="BF204" s="32">
        <v>5</v>
      </c>
      <c r="BG204" s="34">
        <f t="shared" ca="1" si="64"/>
        <v>2034</v>
      </c>
      <c r="BH204" s="32" t="str">
        <f ca="1">IF(MOD(MONTH($D$14)+$BD204-1,12)=Paraméterek!$C$288,"Igen","")</f>
        <v/>
      </c>
      <c r="BI204" s="13">
        <f ca="1">IF($BH204="Igen",MIN(ROUNDDOWN((SUMIF($BG$20:$BG$1027,$BG204-1,$K$20:$K$1027)-SUMIF($BG$20:$BG$1027,$BG204-1,$I$20:$I$1027))*Paraméterek!$C$289,IF($D$4="Forint",0,2)),IF($D$4="Forint",Paraméterek!$C$285,Paraméterek!$D$285)),0)</f>
        <v>0</v>
      </c>
      <c r="BJ204" s="13">
        <f t="shared" ca="1" si="56"/>
        <v>0</v>
      </c>
      <c r="BK204" s="13">
        <f t="shared" ca="1" si="65"/>
        <v>0</v>
      </c>
      <c r="BL204" s="33"/>
      <c r="BM204" s="13">
        <f t="shared" ca="1" si="57"/>
        <v>0</v>
      </c>
      <c r="BN204" s="13">
        <f ca="1">ROUNDUP(($BK204+$BM204)*VLOOKUP($BE204,Paraméterek!$P$38:$Q$38,2)/12*IF($D205="Nem",IF($M$13=0,1,$M$13),1),IF($D$4="Forint",0,2))</f>
        <v>0</v>
      </c>
      <c r="BO204" s="13">
        <f t="shared" ca="1" si="58"/>
        <v>0</v>
      </c>
      <c r="BP204" s="13">
        <f ca="1">IF($D205="Nem",$BO204,$BO204-ROUNDUP(SUM($BI$20:$BI204)*120%,IF($D$4="Forint",0,2)))</f>
        <v>0</v>
      </c>
    </row>
    <row r="205" spans="1:68" x14ac:dyDescent="0.2">
      <c r="A205" s="32">
        <v>186</v>
      </c>
      <c r="B205" s="32">
        <v>16</v>
      </c>
      <c r="C205" s="32">
        <v>6</v>
      </c>
      <c r="D205" s="32" t="str">
        <f t="shared" ca="1" si="44"/>
        <v>Nem</v>
      </c>
      <c r="E205" s="13">
        <f t="shared" ca="1" si="45"/>
        <v>0</v>
      </c>
      <c r="F205" s="13"/>
      <c r="G205" s="13"/>
      <c r="H205" s="13"/>
      <c r="I205" s="13">
        <f t="shared" ca="1" si="46"/>
        <v>0</v>
      </c>
      <c r="J205" s="13">
        <f t="shared" ca="1" si="47"/>
        <v>0</v>
      </c>
      <c r="K205" s="13">
        <f t="shared" ca="1" si="48"/>
        <v>0</v>
      </c>
      <c r="L205" s="13" t="e">
        <f ca="1">ROUNDUP(IF($D$2="Egyszeri",$E205,IF($D$2="Havi",SUM($E$20:$E$31),IF(MOD($C205,$M$1)-1=0,SUM($E$20:$E$31),0))/12*$M$1)*VLOOKUP($B205,Paraméterek!$I$28:$P$31,IF($D$2="Egyszeri",8,HLOOKUP(ROUNDUP($M$11+$M$13,0),Paraméterek!$J$26:$O$27,2))),IF($D$4="Forint",0,2))</f>
        <v>#N/A</v>
      </c>
      <c r="M205" s="13">
        <f t="shared" ca="1" si="49"/>
        <v>0</v>
      </c>
      <c r="N205" s="13">
        <f t="shared" ca="1" si="59"/>
        <v>0</v>
      </c>
      <c r="O205" s="13">
        <f ca="1">IF($D205="Igen",IF($W204&gt;=IF($D$4="Forint",Paraméterek!$J$121,Paraméterek!$K$121),0,IF($D$4="Forint",Paraméterek!$J$121,Paraméterek!$K$121)-$W204),0)</f>
        <v>0</v>
      </c>
      <c r="P205" s="13" t="e">
        <f ca="1">ROUNDUP($O205*VLOOKUP($M$4+$B205-1,Paraméterek!$H$58:$I$105,2,0)/Paraméterek!$I$56,IF($D$4="Forint",0,2))</f>
        <v>#N/A</v>
      </c>
      <c r="Q205" s="13">
        <f t="shared" ca="1" si="50"/>
        <v>0</v>
      </c>
      <c r="R205" s="33"/>
      <c r="S205" s="13" t="e">
        <f t="shared" ca="1" si="51"/>
        <v>#N/A</v>
      </c>
      <c r="T205" s="13" t="e">
        <f ca="1">ROUNDUP(($N205-$P205-$Q205+$S205)*VLOOKUP($B205,Paraméterek!$I$38:$K$39,IF($D$2="Egyszeri",3,2))/12*IF($D206="Nem",IF($M$13=0,1,$M$13),1),IF($D$4="Forint",0,2))</f>
        <v>#N/A</v>
      </c>
      <c r="U205" s="13"/>
      <c r="V205" s="13"/>
      <c r="W205" s="13" t="e">
        <f ca="1">$N205-$P205-$Q205+$S205-$T205-IF(ROUNDUP(IF(ISBLANK($V205),$U205*0,$V205)/IF($D$2="Egyszeri",VLOOKUP($B205+IF($C205=12,1,0),Paraméterek!$V$257:$W$262,2),IF($B205=1,1,VLOOKUP($B205+IF($C205=12,1,0),Paraméterek!$I$258:$T$278,HLOOKUP($M$11+1,Paraméterek!$J$256:$T$257,2)))),IF($D$4="Forint",0,2))&gt;$N205-$P205-$Q205+$S205-$T205-IF($D$4="Forint",Paraméterek!$C$216,Paraméterek!$D$216),0,ROUNDUP(IF(ISBLANK($V205),$U205*0,$V205)/IF($D$2="Egyszeri",VLOOKUP($B205+IF($C205=12,1,0),Paraméterek!$V$257:$W$262,2),IF($B205=1,1,VLOOKUP($B205+IF($C205=12,1,0),Paraméterek!$I$258:$T$278,HLOOKUP($M$11+1,Paraméterek!$J$256:$T$257,2)))),IF($D$4="Forint",0,2)))</f>
        <v>#N/A</v>
      </c>
      <c r="X205" s="13" t="e">
        <f ca="1">ROUNDDOWN($W205*IF($D$2="Egyszeri",VLOOKUP($B205+IF($C205=12,1,0),Paraméterek!$V$257:$W$262,2),VLOOKUP($B205+IF($C205=12,1,0),Paraméterek!$I$258:$T$278,HLOOKUP($M$11+1,Paraméterek!$I$256:$T$257,2))),IF($D$4="Forint",0,2))</f>
        <v>#N/A</v>
      </c>
      <c r="Z205" s="32">
        <v>186</v>
      </c>
      <c r="AA205" s="32">
        <v>16</v>
      </c>
      <c r="AB205" s="32">
        <v>6</v>
      </c>
      <c r="AC205" s="13">
        <f t="shared" ca="1" si="60"/>
        <v>0</v>
      </c>
      <c r="AD205" s="33"/>
      <c r="AE205" s="13">
        <f t="shared" ca="1" si="52"/>
        <v>0</v>
      </c>
      <c r="AF205" s="13">
        <f ca="1">ROUNDUP(($AC205+$AE205)*VLOOKUP($AA205,Paraméterek!$P$38:$Q$38,2)/12*IF($D206="Nem",IF($M$13=0,1,$M$13),1),IF($D$4="Forint",0,2))</f>
        <v>0</v>
      </c>
      <c r="AG205" s="13">
        <f ca="1">IF($D$2="Egyszeri",IF($D$7&gt;=IF($D$4="Forint",Paraméterek!$P$223,Paraméterek!$P$224),$D$7-IF($D$4="Forint",Paraméterek!$P$223,Paraméterek!$P$224),0),MIN(IF($AB205=12,AVERAGEIF($E$20:$E205,"&gt;0",$E$20:$E205)*12,0),SUM($E$20:$E$31)))</f>
        <v>0</v>
      </c>
      <c r="AH205" s="13">
        <f>IF($AA205=10,$AG205*IF($AB205=12,IF($AG205&lt;IF($D$4="Forint",Paraméterek!$L$223,Paraméterek!$L$224),0,VLOOKUP($AA205,Paraméterek!$K$226:$M$228,IF($AG205&lt;IF($D$4="Forint",Paraméterek!$M$223,Paraméterek!$M$224),2,3))),0),0)</f>
        <v>0</v>
      </c>
      <c r="AI205" s="13">
        <f ca="1">IF(AND($AA205=$M$11+1,$AB205=$M$12+1),SUMIF($AA$20:$AA$1027,$AA205,$AG$20:$AG$1027)*IF(SUMIF($AA$20:$AA$1027,$AA205,$AG$20:$AG$1027)&lt;IF($D$4="Forint",Paraméterek!$L$223,Paraméterek!$L$224),0,VLOOKUP($AA205,Paraméterek!$K$230:$M$250,IF(SUMIF($AA$20:$AA$1027,$AA205,$AG$20:$AG$1027)&lt;IF($D$4="Forint",Paraméterek!$M$223,Paraméterek!$M$224),2,3))),0)</f>
        <v>0</v>
      </c>
      <c r="AJ205" s="13">
        <f ca="1">IF(AND($AA205&gt;=5,MOD($AA205,5)=0),IF($AB205=12,VLOOKUP($AA205,Paraméterek!$O$225:$P$240,2),0),IF(OR($AA205=3,$AA205=4),IF($AB205=12,VLOOKUP($AA205,Paraméterek!$O$225:$P$240,2,0),0),0))*$AG205</f>
        <v>0</v>
      </c>
      <c r="AK205" s="13">
        <f t="shared" ca="1" si="53"/>
        <v>0</v>
      </c>
      <c r="AL205" s="13">
        <f t="shared" ca="1" si="61"/>
        <v>0</v>
      </c>
      <c r="AM205" s="13">
        <f t="shared" ca="1" si="62"/>
        <v>0</v>
      </c>
      <c r="AO205" s="32">
        <v>186</v>
      </c>
      <c r="AP205" s="32">
        <v>16</v>
      </c>
      <c r="AQ205" s="32">
        <v>6</v>
      </c>
      <c r="AR205" s="13"/>
      <c r="AS205" s="32"/>
      <c r="AT205" s="13">
        <f t="shared" ca="1" si="63"/>
        <v>0</v>
      </c>
      <c r="AU205" s="33"/>
      <c r="AV205" s="13">
        <f t="shared" ca="1" si="54"/>
        <v>0</v>
      </c>
      <c r="AW205" s="13">
        <f ca="1">ROUNDUP(($AT205+$AV205)*VLOOKUP($AP205,Paraméterek!$P$38:$Q$38,2)/12*IF($D206="Nem",IF($M$13=0,1,$M$13),1),IF($D$4="Forint",0,2))</f>
        <v>0</v>
      </c>
      <c r="AX205" s="13"/>
      <c r="AY205" s="13"/>
      <c r="AZ205" s="13">
        <f>ROUNDUP(IF(SUM($AX205:$AY205)=0,0,IF(IF(ISBLANK($AY205),$AX205,$AY205)*Paraméterek!$J$112&lt;IF($D$4="Forint",Paraméterek!$J$113,Paraméterek!$K$113),IF($D$4="Forint",Paraméterek!$J$113,Paraméterek!$K$113),IF(IF(ISBLANK($AY205),$AX205,$AY205)*Paraméterek!$J$112&gt;IF($D$4="Forint",Paraméterek!$J$114,Paraméterek!$K$114),IF($D$4="Forint",Paraméterek!$J$114,Paraméterek!$K$114),IF(ISBLANK($AY205),$AX205,$AY205)*Paraméterek!$J$112))),IF($D$4="Forint",0,2))</f>
        <v>0</v>
      </c>
      <c r="BA205" s="13">
        <f ca="1">$AT205+$AV205-$AW205-IF(ROUNDDOWN(IF(ISBLANK($AY205),$AX205,$AY205),IF($D$4="Forint",0,2))&gt;$AT205+$AV205-$AW205-IF($D$4="Forint",Paraméterek!$J$114,Paraméterek!$K$114),0,ROUNDDOWN(IF(ISBLANK($AY205),$AX205,$AY205),IF($D$4="Forint",0,2))-$AZ205)</f>
        <v>0</v>
      </c>
      <c r="BB205" s="13">
        <f t="shared" ca="1" si="55"/>
        <v>0</v>
      </c>
      <c r="BD205" s="32">
        <v>186</v>
      </c>
      <c r="BE205" s="32">
        <v>16</v>
      </c>
      <c r="BF205" s="32">
        <v>6</v>
      </c>
      <c r="BG205" s="34">
        <f t="shared" ca="1" si="64"/>
        <v>2034</v>
      </c>
      <c r="BH205" s="32" t="str">
        <f ca="1">IF(MOD(MONTH($D$14)+$BD205-1,12)=Paraméterek!$C$288,"Igen","")</f>
        <v/>
      </c>
      <c r="BI205" s="13">
        <f ca="1">IF($BH205="Igen",MIN(ROUNDDOWN((SUMIF($BG$20:$BG$1027,$BG205-1,$K$20:$K$1027)-SUMIF($BG$20:$BG$1027,$BG205-1,$I$20:$I$1027))*Paraméterek!$C$289,IF($D$4="Forint",0,2)),IF($D$4="Forint",Paraméterek!$C$285,Paraméterek!$D$285)),0)</f>
        <v>0</v>
      </c>
      <c r="BJ205" s="13">
        <f t="shared" ca="1" si="56"/>
        <v>0</v>
      </c>
      <c r="BK205" s="13">
        <f t="shared" ca="1" si="65"/>
        <v>0</v>
      </c>
      <c r="BL205" s="33"/>
      <c r="BM205" s="13">
        <f t="shared" ca="1" si="57"/>
        <v>0</v>
      </c>
      <c r="BN205" s="13">
        <f ca="1">ROUNDUP(($BK205+$BM205)*VLOOKUP($BE205,Paraméterek!$P$38:$Q$38,2)/12*IF($D206="Nem",IF($M$13=0,1,$M$13),1),IF($D$4="Forint",0,2))</f>
        <v>0</v>
      </c>
      <c r="BO205" s="13">
        <f t="shared" ca="1" si="58"/>
        <v>0</v>
      </c>
      <c r="BP205" s="13">
        <f ca="1">IF($D206="Nem",$BO205,$BO205-ROUNDUP(SUM($BI$20:$BI205)*120%,IF($D$4="Forint",0,2)))</f>
        <v>0</v>
      </c>
    </row>
    <row r="206" spans="1:68" x14ac:dyDescent="0.2">
      <c r="A206" s="32">
        <v>187</v>
      </c>
      <c r="B206" s="32">
        <v>16</v>
      </c>
      <c r="C206" s="32">
        <v>7</v>
      </c>
      <c r="D206" s="32" t="str">
        <f t="shared" ca="1" si="44"/>
        <v>Nem</v>
      </c>
      <c r="E206" s="13">
        <f t="shared" ca="1" si="45"/>
        <v>0</v>
      </c>
      <c r="F206" s="13"/>
      <c r="G206" s="13"/>
      <c r="H206" s="13"/>
      <c r="I206" s="13">
        <f t="shared" ca="1" si="46"/>
        <v>0</v>
      </c>
      <c r="J206" s="13">
        <f t="shared" ca="1" si="47"/>
        <v>0</v>
      </c>
      <c r="K206" s="13">
        <f t="shared" ca="1" si="48"/>
        <v>0</v>
      </c>
      <c r="L206" s="13" t="e">
        <f ca="1">ROUNDUP(IF($D$2="Egyszeri",$E206,IF($D$2="Havi",SUM($E$20:$E$31),IF(MOD($C206,$M$1)-1=0,SUM($E$20:$E$31),0))/12*$M$1)*VLOOKUP($B206,Paraméterek!$I$28:$P$31,IF($D$2="Egyszeri",8,HLOOKUP(ROUNDUP($M$11+$M$13,0),Paraméterek!$J$26:$O$27,2))),IF($D$4="Forint",0,2))</f>
        <v>#N/A</v>
      </c>
      <c r="M206" s="13">
        <f t="shared" ca="1" si="49"/>
        <v>0</v>
      </c>
      <c r="N206" s="13">
        <f t="shared" ca="1" si="59"/>
        <v>0</v>
      </c>
      <c r="O206" s="13">
        <f ca="1">IF($D206="Igen",IF($W205&gt;=IF($D$4="Forint",Paraméterek!$J$121,Paraméterek!$K$121),0,IF($D$4="Forint",Paraméterek!$J$121,Paraméterek!$K$121)-$W205),0)</f>
        <v>0</v>
      </c>
      <c r="P206" s="13" t="e">
        <f ca="1">ROUNDUP($O206*VLOOKUP($M$4+$B206-1,Paraméterek!$H$58:$I$105,2,0)/Paraméterek!$I$56,IF($D$4="Forint",0,2))</f>
        <v>#N/A</v>
      </c>
      <c r="Q206" s="13">
        <f t="shared" ca="1" si="50"/>
        <v>0</v>
      </c>
      <c r="R206" s="33"/>
      <c r="S206" s="13" t="e">
        <f t="shared" ca="1" si="51"/>
        <v>#N/A</v>
      </c>
      <c r="T206" s="13" t="e">
        <f ca="1">ROUNDUP(($N206-$P206-$Q206+$S206)*VLOOKUP($B206,Paraméterek!$I$38:$K$39,IF($D$2="Egyszeri",3,2))/12*IF($D207="Nem",IF($M$13=0,1,$M$13),1),IF($D$4="Forint",0,2))</f>
        <v>#N/A</v>
      </c>
      <c r="U206" s="13"/>
      <c r="V206" s="13"/>
      <c r="W206" s="13" t="e">
        <f ca="1">$N206-$P206-$Q206+$S206-$T206-IF(ROUNDUP(IF(ISBLANK($V206),$U206*0,$V206)/IF($D$2="Egyszeri",VLOOKUP($B206+IF($C206=12,1,0),Paraméterek!$V$257:$W$262,2),IF($B206=1,1,VLOOKUP($B206+IF($C206=12,1,0),Paraméterek!$I$258:$T$278,HLOOKUP($M$11+1,Paraméterek!$J$256:$T$257,2)))),IF($D$4="Forint",0,2))&gt;$N206-$P206-$Q206+$S206-$T206-IF($D$4="Forint",Paraméterek!$C$216,Paraméterek!$D$216),0,ROUNDUP(IF(ISBLANK($V206),$U206*0,$V206)/IF($D$2="Egyszeri",VLOOKUP($B206+IF($C206=12,1,0),Paraméterek!$V$257:$W$262,2),IF($B206=1,1,VLOOKUP($B206+IF($C206=12,1,0),Paraméterek!$I$258:$T$278,HLOOKUP($M$11+1,Paraméterek!$J$256:$T$257,2)))),IF($D$4="Forint",0,2)))</f>
        <v>#N/A</v>
      </c>
      <c r="X206" s="13" t="e">
        <f ca="1">ROUNDDOWN($W206*IF($D$2="Egyszeri",VLOOKUP($B206+IF($C206=12,1,0),Paraméterek!$V$257:$W$262,2),VLOOKUP($B206+IF($C206=12,1,0),Paraméterek!$I$258:$T$278,HLOOKUP($M$11+1,Paraméterek!$I$256:$T$257,2))),IF($D$4="Forint",0,2))</f>
        <v>#N/A</v>
      </c>
      <c r="Z206" s="32">
        <v>187</v>
      </c>
      <c r="AA206" s="32">
        <v>16</v>
      </c>
      <c r="AB206" s="32">
        <v>7</v>
      </c>
      <c r="AC206" s="13">
        <f t="shared" ca="1" si="60"/>
        <v>0</v>
      </c>
      <c r="AD206" s="33"/>
      <c r="AE206" s="13">
        <f t="shared" ca="1" si="52"/>
        <v>0</v>
      </c>
      <c r="AF206" s="13">
        <f ca="1">ROUNDUP(($AC206+$AE206)*VLOOKUP($AA206,Paraméterek!$P$38:$Q$38,2)/12*IF($D207="Nem",IF($M$13=0,1,$M$13),1),IF($D$4="Forint",0,2))</f>
        <v>0</v>
      </c>
      <c r="AG206" s="13">
        <f ca="1">IF($D$2="Egyszeri",IF($D$7&gt;=IF($D$4="Forint",Paraméterek!$P$223,Paraméterek!$P$224),$D$7-IF($D$4="Forint",Paraméterek!$P$223,Paraméterek!$P$224),0),MIN(IF($AB206=12,AVERAGEIF($E$20:$E206,"&gt;0",$E$20:$E206)*12,0),SUM($E$20:$E$31)))</f>
        <v>0</v>
      </c>
      <c r="AH206" s="13">
        <f>IF($AA206=10,$AG206*IF($AB206=12,IF($AG206&lt;IF($D$4="Forint",Paraméterek!$L$223,Paraméterek!$L$224),0,VLOOKUP($AA206,Paraméterek!$K$226:$M$228,IF($AG206&lt;IF($D$4="Forint",Paraméterek!$M$223,Paraméterek!$M$224),2,3))),0),0)</f>
        <v>0</v>
      </c>
      <c r="AI206" s="13">
        <f ca="1">IF(AND($AA206=$M$11+1,$AB206=$M$12+1),SUMIF($AA$20:$AA$1027,$AA206,$AG$20:$AG$1027)*IF(SUMIF($AA$20:$AA$1027,$AA206,$AG$20:$AG$1027)&lt;IF($D$4="Forint",Paraméterek!$L$223,Paraméterek!$L$224),0,VLOOKUP($AA206,Paraméterek!$K$230:$M$250,IF(SUMIF($AA$20:$AA$1027,$AA206,$AG$20:$AG$1027)&lt;IF($D$4="Forint",Paraméterek!$M$223,Paraméterek!$M$224),2,3))),0)</f>
        <v>0</v>
      </c>
      <c r="AJ206" s="13">
        <f ca="1">IF(AND($AA206&gt;=5,MOD($AA206,5)=0),IF($AB206=12,VLOOKUP($AA206,Paraméterek!$O$225:$P$240,2),0),IF(OR($AA206=3,$AA206=4),IF($AB206=12,VLOOKUP($AA206,Paraméterek!$O$225:$P$240,2,0),0),0))*$AG206</f>
        <v>0</v>
      </c>
      <c r="AK206" s="13">
        <f t="shared" ca="1" si="53"/>
        <v>0</v>
      </c>
      <c r="AL206" s="13">
        <f t="shared" ca="1" si="61"/>
        <v>0</v>
      </c>
      <c r="AM206" s="13">
        <f t="shared" ca="1" si="62"/>
        <v>0</v>
      </c>
      <c r="AO206" s="32">
        <v>187</v>
      </c>
      <c r="AP206" s="32">
        <v>16</v>
      </c>
      <c r="AQ206" s="32">
        <v>7</v>
      </c>
      <c r="AR206" s="13"/>
      <c r="AS206" s="32"/>
      <c r="AT206" s="13">
        <f t="shared" ca="1" si="63"/>
        <v>0</v>
      </c>
      <c r="AU206" s="33"/>
      <c r="AV206" s="13">
        <f t="shared" ca="1" si="54"/>
        <v>0</v>
      </c>
      <c r="AW206" s="13">
        <f ca="1">ROUNDUP(($AT206+$AV206)*VLOOKUP($AP206,Paraméterek!$P$38:$Q$38,2)/12*IF($D207="Nem",IF($M$13=0,1,$M$13),1),IF($D$4="Forint",0,2))</f>
        <v>0</v>
      </c>
      <c r="AX206" s="13"/>
      <c r="AY206" s="13"/>
      <c r="AZ206" s="13">
        <f>ROUNDUP(IF(SUM($AX206:$AY206)=0,0,IF(IF(ISBLANK($AY206),$AX206,$AY206)*Paraméterek!$J$112&lt;IF($D$4="Forint",Paraméterek!$J$113,Paraméterek!$K$113),IF($D$4="Forint",Paraméterek!$J$113,Paraméterek!$K$113),IF(IF(ISBLANK($AY206),$AX206,$AY206)*Paraméterek!$J$112&gt;IF($D$4="Forint",Paraméterek!$J$114,Paraméterek!$K$114),IF($D$4="Forint",Paraméterek!$J$114,Paraméterek!$K$114),IF(ISBLANK($AY206),$AX206,$AY206)*Paraméterek!$J$112))),IF($D$4="Forint",0,2))</f>
        <v>0</v>
      </c>
      <c r="BA206" s="13">
        <f ca="1">$AT206+$AV206-$AW206-IF(ROUNDDOWN(IF(ISBLANK($AY206),$AX206,$AY206),IF($D$4="Forint",0,2))&gt;$AT206+$AV206-$AW206-IF($D$4="Forint",Paraméterek!$J$114,Paraméterek!$K$114),0,ROUNDDOWN(IF(ISBLANK($AY206),$AX206,$AY206),IF($D$4="Forint",0,2))-$AZ206)</f>
        <v>0</v>
      </c>
      <c r="BB206" s="13">
        <f t="shared" ca="1" si="55"/>
        <v>0</v>
      </c>
      <c r="BD206" s="32">
        <v>187</v>
      </c>
      <c r="BE206" s="32">
        <v>16</v>
      </c>
      <c r="BF206" s="32">
        <v>7</v>
      </c>
      <c r="BG206" s="34">
        <f t="shared" ca="1" si="64"/>
        <v>2034</v>
      </c>
      <c r="BH206" s="32" t="str">
        <f ca="1">IF(MOD(MONTH($D$14)+$BD206-1,12)=Paraméterek!$C$288,"Igen","")</f>
        <v/>
      </c>
      <c r="BI206" s="13">
        <f ca="1">IF($BH206="Igen",MIN(ROUNDDOWN((SUMIF($BG$20:$BG$1027,$BG206-1,$K$20:$K$1027)-SUMIF($BG$20:$BG$1027,$BG206-1,$I$20:$I$1027))*Paraméterek!$C$289,IF($D$4="Forint",0,2)),IF($D$4="Forint",Paraméterek!$C$285,Paraméterek!$D$285)),0)</f>
        <v>0</v>
      </c>
      <c r="BJ206" s="13">
        <f t="shared" ca="1" si="56"/>
        <v>0</v>
      </c>
      <c r="BK206" s="13">
        <f t="shared" ca="1" si="65"/>
        <v>0</v>
      </c>
      <c r="BL206" s="33"/>
      <c r="BM206" s="13">
        <f t="shared" ca="1" si="57"/>
        <v>0</v>
      </c>
      <c r="BN206" s="13">
        <f ca="1">ROUNDUP(($BK206+$BM206)*VLOOKUP($BE206,Paraméterek!$P$38:$Q$38,2)/12*IF($D207="Nem",IF($M$13=0,1,$M$13),1),IF($D$4="Forint",0,2))</f>
        <v>0</v>
      </c>
      <c r="BO206" s="13">
        <f t="shared" ca="1" si="58"/>
        <v>0</v>
      </c>
      <c r="BP206" s="13">
        <f ca="1">IF($D207="Nem",$BO206,$BO206-ROUNDUP(SUM($BI$20:$BI206)*120%,IF($D$4="Forint",0,2)))</f>
        <v>0</v>
      </c>
    </row>
    <row r="207" spans="1:68" x14ac:dyDescent="0.2">
      <c r="A207" s="32">
        <v>188</v>
      </c>
      <c r="B207" s="32">
        <v>16</v>
      </c>
      <c r="C207" s="32">
        <v>8</v>
      </c>
      <c r="D207" s="32" t="str">
        <f t="shared" ca="1" si="44"/>
        <v>Nem</v>
      </c>
      <c r="E207" s="13">
        <f t="shared" ca="1" si="45"/>
        <v>0</v>
      </c>
      <c r="F207" s="13"/>
      <c r="G207" s="13"/>
      <c r="H207" s="13"/>
      <c r="I207" s="13">
        <f t="shared" ca="1" si="46"/>
        <v>0</v>
      </c>
      <c r="J207" s="13">
        <f t="shared" ca="1" si="47"/>
        <v>0</v>
      </c>
      <c r="K207" s="13">
        <f t="shared" ca="1" si="48"/>
        <v>0</v>
      </c>
      <c r="L207" s="13" t="e">
        <f ca="1">ROUNDUP(IF($D$2="Egyszeri",$E207,IF($D$2="Havi",SUM($E$20:$E$31),IF(MOD($C207,$M$1)-1=0,SUM($E$20:$E$31),0))/12*$M$1)*VLOOKUP($B207,Paraméterek!$I$28:$P$31,IF($D$2="Egyszeri",8,HLOOKUP(ROUNDUP($M$11+$M$13,0),Paraméterek!$J$26:$O$27,2))),IF($D$4="Forint",0,2))</f>
        <v>#N/A</v>
      </c>
      <c r="M207" s="13">
        <f t="shared" ca="1" si="49"/>
        <v>0</v>
      </c>
      <c r="N207" s="13">
        <f t="shared" ca="1" si="59"/>
        <v>0</v>
      </c>
      <c r="O207" s="13">
        <f ca="1">IF($D207="Igen",IF($W206&gt;=IF($D$4="Forint",Paraméterek!$J$121,Paraméterek!$K$121),0,IF($D$4="Forint",Paraméterek!$J$121,Paraméterek!$K$121)-$W206),0)</f>
        <v>0</v>
      </c>
      <c r="P207" s="13" t="e">
        <f ca="1">ROUNDUP($O207*VLOOKUP($M$4+$B207-1,Paraméterek!$H$58:$I$105,2,0)/Paraméterek!$I$56,IF($D$4="Forint",0,2))</f>
        <v>#N/A</v>
      </c>
      <c r="Q207" s="13">
        <f t="shared" ca="1" si="50"/>
        <v>0</v>
      </c>
      <c r="R207" s="33"/>
      <c r="S207" s="13" t="e">
        <f t="shared" ca="1" si="51"/>
        <v>#N/A</v>
      </c>
      <c r="T207" s="13" t="e">
        <f ca="1">ROUNDUP(($N207-$P207-$Q207+$S207)*VLOOKUP($B207,Paraméterek!$I$38:$K$39,IF($D$2="Egyszeri",3,2))/12*IF($D208="Nem",IF($M$13=0,1,$M$13),1),IF($D$4="Forint",0,2))</f>
        <v>#N/A</v>
      </c>
      <c r="U207" s="13"/>
      <c r="V207" s="13"/>
      <c r="W207" s="13" t="e">
        <f ca="1">$N207-$P207-$Q207+$S207-$T207-IF(ROUNDUP(IF(ISBLANK($V207),$U207*0,$V207)/IF($D$2="Egyszeri",VLOOKUP($B207+IF($C207=12,1,0),Paraméterek!$V$257:$W$262,2),IF($B207=1,1,VLOOKUP($B207+IF($C207=12,1,0),Paraméterek!$I$258:$T$278,HLOOKUP($M$11+1,Paraméterek!$J$256:$T$257,2)))),IF($D$4="Forint",0,2))&gt;$N207-$P207-$Q207+$S207-$T207-IF($D$4="Forint",Paraméterek!$C$216,Paraméterek!$D$216),0,ROUNDUP(IF(ISBLANK($V207),$U207*0,$V207)/IF($D$2="Egyszeri",VLOOKUP($B207+IF($C207=12,1,0),Paraméterek!$V$257:$W$262,2),IF($B207=1,1,VLOOKUP($B207+IF($C207=12,1,0),Paraméterek!$I$258:$T$278,HLOOKUP($M$11+1,Paraméterek!$J$256:$T$257,2)))),IF($D$4="Forint",0,2)))</f>
        <v>#N/A</v>
      </c>
      <c r="X207" s="13" t="e">
        <f ca="1">ROUNDDOWN($W207*IF($D$2="Egyszeri",VLOOKUP($B207+IF($C207=12,1,0),Paraméterek!$V$257:$W$262,2),VLOOKUP($B207+IF($C207=12,1,0),Paraméterek!$I$258:$T$278,HLOOKUP($M$11+1,Paraméterek!$I$256:$T$257,2))),IF($D$4="Forint",0,2))</f>
        <v>#N/A</v>
      </c>
      <c r="Z207" s="32">
        <v>188</v>
      </c>
      <c r="AA207" s="32">
        <v>16</v>
      </c>
      <c r="AB207" s="32">
        <v>8</v>
      </c>
      <c r="AC207" s="13">
        <f t="shared" ca="1" si="60"/>
        <v>0</v>
      </c>
      <c r="AD207" s="33"/>
      <c r="AE207" s="13">
        <f t="shared" ca="1" si="52"/>
        <v>0</v>
      </c>
      <c r="AF207" s="13">
        <f ca="1">ROUNDUP(($AC207+$AE207)*VLOOKUP($AA207,Paraméterek!$P$38:$Q$38,2)/12*IF($D208="Nem",IF($M$13=0,1,$M$13),1),IF($D$4="Forint",0,2))</f>
        <v>0</v>
      </c>
      <c r="AG207" s="13">
        <f ca="1">IF($D$2="Egyszeri",IF($D$7&gt;=IF($D$4="Forint",Paraméterek!$P$223,Paraméterek!$P$224),$D$7-IF($D$4="Forint",Paraméterek!$P$223,Paraméterek!$P$224),0),MIN(IF($AB207=12,AVERAGEIF($E$20:$E207,"&gt;0",$E$20:$E207)*12,0),SUM($E$20:$E$31)))</f>
        <v>0</v>
      </c>
      <c r="AH207" s="13">
        <f>IF($AA207=10,$AG207*IF($AB207=12,IF($AG207&lt;IF($D$4="Forint",Paraméterek!$L$223,Paraméterek!$L$224),0,VLOOKUP($AA207,Paraméterek!$K$226:$M$228,IF($AG207&lt;IF($D$4="Forint",Paraméterek!$M$223,Paraméterek!$M$224),2,3))),0),0)</f>
        <v>0</v>
      </c>
      <c r="AI207" s="13">
        <f ca="1">IF(AND($AA207=$M$11+1,$AB207=$M$12+1),SUMIF($AA$20:$AA$1027,$AA207,$AG$20:$AG$1027)*IF(SUMIF($AA$20:$AA$1027,$AA207,$AG$20:$AG$1027)&lt;IF($D$4="Forint",Paraméterek!$L$223,Paraméterek!$L$224),0,VLOOKUP($AA207,Paraméterek!$K$230:$M$250,IF(SUMIF($AA$20:$AA$1027,$AA207,$AG$20:$AG$1027)&lt;IF($D$4="Forint",Paraméterek!$M$223,Paraméterek!$M$224),2,3))),0)</f>
        <v>0</v>
      </c>
      <c r="AJ207" s="13">
        <f ca="1">IF(AND($AA207&gt;=5,MOD($AA207,5)=0),IF($AB207=12,VLOOKUP($AA207,Paraméterek!$O$225:$P$240,2),0),IF(OR($AA207=3,$AA207=4),IF($AB207=12,VLOOKUP($AA207,Paraméterek!$O$225:$P$240,2,0),0),0))*$AG207</f>
        <v>0</v>
      </c>
      <c r="AK207" s="13">
        <f t="shared" ca="1" si="53"/>
        <v>0</v>
      </c>
      <c r="AL207" s="13">
        <f t="shared" ca="1" si="61"/>
        <v>0</v>
      </c>
      <c r="AM207" s="13">
        <f t="shared" ca="1" si="62"/>
        <v>0</v>
      </c>
      <c r="AO207" s="32">
        <v>188</v>
      </c>
      <c r="AP207" s="32">
        <v>16</v>
      </c>
      <c r="AQ207" s="32">
        <v>8</v>
      </c>
      <c r="AR207" s="13"/>
      <c r="AS207" s="32"/>
      <c r="AT207" s="13">
        <f t="shared" ca="1" si="63"/>
        <v>0</v>
      </c>
      <c r="AU207" s="33"/>
      <c r="AV207" s="13">
        <f t="shared" ca="1" si="54"/>
        <v>0</v>
      </c>
      <c r="AW207" s="13">
        <f ca="1">ROUNDUP(($AT207+$AV207)*VLOOKUP($AP207,Paraméterek!$P$38:$Q$38,2)/12*IF($D208="Nem",IF($M$13=0,1,$M$13),1),IF($D$4="Forint",0,2))</f>
        <v>0</v>
      </c>
      <c r="AX207" s="13"/>
      <c r="AY207" s="13"/>
      <c r="AZ207" s="13">
        <f>ROUNDUP(IF(SUM($AX207:$AY207)=0,0,IF(IF(ISBLANK($AY207),$AX207,$AY207)*Paraméterek!$J$112&lt;IF($D$4="Forint",Paraméterek!$J$113,Paraméterek!$K$113),IF($D$4="Forint",Paraméterek!$J$113,Paraméterek!$K$113),IF(IF(ISBLANK($AY207),$AX207,$AY207)*Paraméterek!$J$112&gt;IF($D$4="Forint",Paraméterek!$J$114,Paraméterek!$K$114),IF($D$4="Forint",Paraméterek!$J$114,Paraméterek!$K$114),IF(ISBLANK($AY207),$AX207,$AY207)*Paraméterek!$J$112))),IF($D$4="Forint",0,2))</f>
        <v>0</v>
      </c>
      <c r="BA207" s="13">
        <f ca="1">$AT207+$AV207-$AW207-IF(ROUNDDOWN(IF(ISBLANK($AY207),$AX207,$AY207),IF($D$4="Forint",0,2))&gt;$AT207+$AV207-$AW207-IF($D$4="Forint",Paraméterek!$J$114,Paraméterek!$K$114),0,ROUNDDOWN(IF(ISBLANK($AY207),$AX207,$AY207),IF($D$4="Forint",0,2))-$AZ207)</f>
        <v>0</v>
      </c>
      <c r="BB207" s="13">
        <f t="shared" ca="1" si="55"/>
        <v>0</v>
      </c>
      <c r="BD207" s="32">
        <v>188</v>
      </c>
      <c r="BE207" s="32">
        <v>16</v>
      </c>
      <c r="BF207" s="32">
        <v>8</v>
      </c>
      <c r="BG207" s="34">
        <f t="shared" ca="1" si="64"/>
        <v>2035</v>
      </c>
      <c r="BH207" s="32" t="str">
        <f ca="1">IF(MOD(MONTH($D$14)+$BD207-1,12)=Paraméterek!$C$288,"Igen","")</f>
        <v/>
      </c>
      <c r="BI207" s="13">
        <f ca="1">IF($BH207="Igen",MIN(ROUNDDOWN((SUMIF($BG$20:$BG$1027,$BG207-1,$K$20:$K$1027)-SUMIF($BG$20:$BG$1027,$BG207-1,$I$20:$I$1027))*Paraméterek!$C$289,IF($D$4="Forint",0,2)),IF($D$4="Forint",Paraméterek!$C$285,Paraméterek!$D$285)),0)</f>
        <v>0</v>
      </c>
      <c r="BJ207" s="13">
        <f t="shared" ca="1" si="56"/>
        <v>0</v>
      </c>
      <c r="BK207" s="13">
        <f t="shared" ca="1" si="65"/>
        <v>0</v>
      </c>
      <c r="BL207" s="33"/>
      <c r="BM207" s="13">
        <f t="shared" ca="1" si="57"/>
        <v>0</v>
      </c>
      <c r="BN207" s="13">
        <f ca="1">ROUNDUP(($BK207+$BM207)*VLOOKUP($BE207,Paraméterek!$P$38:$Q$38,2)/12*IF($D208="Nem",IF($M$13=0,1,$M$13),1),IF($D$4="Forint",0,2))</f>
        <v>0</v>
      </c>
      <c r="BO207" s="13">
        <f t="shared" ca="1" si="58"/>
        <v>0</v>
      </c>
      <c r="BP207" s="13">
        <f ca="1">IF($D208="Nem",$BO207,$BO207-ROUNDUP(SUM($BI$20:$BI207)*120%,IF($D$4="Forint",0,2)))</f>
        <v>0</v>
      </c>
    </row>
    <row r="208" spans="1:68" x14ac:dyDescent="0.2">
      <c r="A208" s="32">
        <v>189</v>
      </c>
      <c r="B208" s="32">
        <v>16</v>
      </c>
      <c r="C208" s="32">
        <v>9</v>
      </c>
      <c r="D208" s="32" t="str">
        <f t="shared" ca="1" si="44"/>
        <v>Nem</v>
      </c>
      <c r="E208" s="13">
        <f t="shared" ca="1" si="45"/>
        <v>0</v>
      </c>
      <c r="F208" s="13"/>
      <c r="G208" s="13"/>
      <c r="H208" s="13"/>
      <c r="I208" s="13">
        <f t="shared" ca="1" si="46"/>
        <v>0</v>
      </c>
      <c r="J208" s="13">
        <f t="shared" ca="1" si="47"/>
        <v>0</v>
      </c>
      <c r="K208" s="13">
        <f t="shared" ca="1" si="48"/>
        <v>0</v>
      </c>
      <c r="L208" s="13" t="e">
        <f ca="1">ROUNDUP(IF($D$2="Egyszeri",$E208,IF($D$2="Havi",SUM($E$20:$E$31),IF(MOD($C208,$M$1)-1=0,SUM($E$20:$E$31),0))/12*$M$1)*VLOOKUP($B208,Paraméterek!$I$28:$P$31,IF($D$2="Egyszeri",8,HLOOKUP(ROUNDUP($M$11+$M$13,0),Paraméterek!$J$26:$O$27,2))),IF($D$4="Forint",0,2))</f>
        <v>#N/A</v>
      </c>
      <c r="M208" s="13">
        <f t="shared" ca="1" si="49"/>
        <v>0</v>
      </c>
      <c r="N208" s="13">
        <f t="shared" ca="1" si="59"/>
        <v>0</v>
      </c>
      <c r="O208" s="13">
        <f ca="1">IF($D208="Igen",IF($W207&gt;=IF($D$4="Forint",Paraméterek!$J$121,Paraméterek!$K$121),0,IF($D$4="Forint",Paraméterek!$J$121,Paraméterek!$K$121)-$W207),0)</f>
        <v>0</v>
      </c>
      <c r="P208" s="13" t="e">
        <f ca="1">ROUNDUP($O208*VLOOKUP($M$4+$B208-1,Paraméterek!$H$58:$I$105,2,0)/Paraméterek!$I$56,IF($D$4="Forint",0,2))</f>
        <v>#N/A</v>
      </c>
      <c r="Q208" s="13">
        <f t="shared" ca="1" si="50"/>
        <v>0</v>
      </c>
      <c r="R208" s="33"/>
      <c r="S208" s="13" t="e">
        <f t="shared" ca="1" si="51"/>
        <v>#N/A</v>
      </c>
      <c r="T208" s="13" t="e">
        <f ca="1">ROUNDUP(($N208-$P208-$Q208+$S208)*VLOOKUP($B208,Paraméterek!$I$38:$K$39,IF($D$2="Egyszeri",3,2))/12*IF($D209="Nem",IF($M$13=0,1,$M$13),1),IF($D$4="Forint",0,2))</f>
        <v>#N/A</v>
      </c>
      <c r="U208" s="13"/>
      <c r="V208" s="13"/>
      <c r="W208" s="13" t="e">
        <f ca="1">$N208-$P208-$Q208+$S208-$T208-IF(ROUNDUP(IF(ISBLANK($V208),$U208*0,$V208)/IF($D$2="Egyszeri",VLOOKUP($B208+IF($C208=12,1,0),Paraméterek!$V$257:$W$262,2),IF($B208=1,1,VLOOKUP($B208+IF($C208=12,1,0),Paraméterek!$I$258:$T$278,HLOOKUP($M$11+1,Paraméterek!$J$256:$T$257,2)))),IF($D$4="Forint",0,2))&gt;$N208-$P208-$Q208+$S208-$T208-IF($D$4="Forint",Paraméterek!$C$216,Paraméterek!$D$216),0,ROUNDUP(IF(ISBLANK($V208),$U208*0,$V208)/IF($D$2="Egyszeri",VLOOKUP($B208+IF($C208=12,1,0),Paraméterek!$V$257:$W$262,2),IF($B208=1,1,VLOOKUP($B208+IF($C208=12,1,0),Paraméterek!$I$258:$T$278,HLOOKUP($M$11+1,Paraméterek!$J$256:$T$257,2)))),IF($D$4="Forint",0,2)))</f>
        <v>#N/A</v>
      </c>
      <c r="X208" s="13" t="e">
        <f ca="1">ROUNDDOWN($W208*IF($D$2="Egyszeri",VLOOKUP($B208+IF($C208=12,1,0),Paraméterek!$V$257:$W$262,2),VLOOKUP($B208+IF($C208=12,1,0),Paraméterek!$I$258:$T$278,HLOOKUP($M$11+1,Paraméterek!$I$256:$T$257,2))),IF($D$4="Forint",0,2))</f>
        <v>#N/A</v>
      </c>
      <c r="Z208" s="32">
        <v>189</v>
      </c>
      <c r="AA208" s="32">
        <v>16</v>
      </c>
      <c r="AB208" s="32">
        <v>9</v>
      </c>
      <c r="AC208" s="13">
        <f t="shared" ca="1" si="60"/>
        <v>0</v>
      </c>
      <c r="AD208" s="33"/>
      <c r="AE208" s="13">
        <f t="shared" ca="1" si="52"/>
        <v>0</v>
      </c>
      <c r="AF208" s="13">
        <f ca="1">ROUNDUP(($AC208+$AE208)*VLOOKUP($AA208,Paraméterek!$P$38:$Q$38,2)/12*IF($D209="Nem",IF($M$13=0,1,$M$13),1),IF($D$4="Forint",0,2))</f>
        <v>0</v>
      </c>
      <c r="AG208" s="13">
        <f ca="1">IF($D$2="Egyszeri",IF($D$7&gt;=IF($D$4="Forint",Paraméterek!$P$223,Paraméterek!$P$224),$D$7-IF($D$4="Forint",Paraméterek!$P$223,Paraméterek!$P$224),0),MIN(IF($AB208=12,AVERAGEIF($E$20:$E208,"&gt;0",$E$20:$E208)*12,0),SUM($E$20:$E$31)))</f>
        <v>0</v>
      </c>
      <c r="AH208" s="13">
        <f>IF($AA208=10,$AG208*IF($AB208=12,IF($AG208&lt;IF($D$4="Forint",Paraméterek!$L$223,Paraméterek!$L$224),0,VLOOKUP($AA208,Paraméterek!$K$226:$M$228,IF($AG208&lt;IF($D$4="Forint",Paraméterek!$M$223,Paraméterek!$M$224),2,3))),0),0)</f>
        <v>0</v>
      </c>
      <c r="AI208" s="13">
        <f ca="1">IF(AND($AA208=$M$11+1,$AB208=$M$12+1),SUMIF($AA$20:$AA$1027,$AA208,$AG$20:$AG$1027)*IF(SUMIF($AA$20:$AA$1027,$AA208,$AG$20:$AG$1027)&lt;IF($D$4="Forint",Paraméterek!$L$223,Paraméterek!$L$224),0,VLOOKUP($AA208,Paraméterek!$K$230:$M$250,IF(SUMIF($AA$20:$AA$1027,$AA208,$AG$20:$AG$1027)&lt;IF($D$4="Forint",Paraméterek!$M$223,Paraméterek!$M$224),2,3))),0)</f>
        <v>0</v>
      </c>
      <c r="AJ208" s="13">
        <f ca="1">IF(AND($AA208&gt;=5,MOD($AA208,5)=0),IF($AB208=12,VLOOKUP($AA208,Paraméterek!$O$225:$P$240,2),0),IF(OR($AA208=3,$AA208=4),IF($AB208=12,VLOOKUP($AA208,Paraméterek!$O$225:$P$240,2,0),0),0))*$AG208</f>
        <v>0</v>
      </c>
      <c r="AK208" s="13">
        <f t="shared" ca="1" si="53"/>
        <v>0</v>
      </c>
      <c r="AL208" s="13">
        <f t="shared" ca="1" si="61"/>
        <v>0</v>
      </c>
      <c r="AM208" s="13">
        <f t="shared" ca="1" si="62"/>
        <v>0</v>
      </c>
      <c r="AO208" s="32">
        <v>189</v>
      </c>
      <c r="AP208" s="32">
        <v>16</v>
      </c>
      <c r="AQ208" s="32">
        <v>9</v>
      </c>
      <c r="AR208" s="13"/>
      <c r="AS208" s="32"/>
      <c r="AT208" s="13">
        <f t="shared" ca="1" si="63"/>
        <v>0</v>
      </c>
      <c r="AU208" s="33"/>
      <c r="AV208" s="13">
        <f t="shared" ca="1" si="54"/>
        <v>0</v>
      </c>
      <c r="AW208" s="13">
        <f ca="1">ROUNDUP(($AT208+$AV208)*VLOOKUP($AP208,Paraméterek!$P$38:$Q$38,2)/12*IF($D209="Nem",IF($M$13=0,1,$M$13),1),IF($D$4="Forint",0,2))</f>
        <v>0</v>
      </c>
      <c r="AX208" s="13"/>
      <c r="AY208" s="13"/>
      <c r="AZ208" s="13">
        <f>ROUNDUP(IF(SUM($AX208:$AY208)=0,0,IF(IF(ISBLANK($AY208),$AX208,$AY208)*Paraméterek!$J$112&lt;IF($D$4="Forint",Paraméterek!$J$113,Paraméterek!$K$113),IF($D$4="Forint",Paraméterek!$J$113,Paraméterek!$K$113),IF(IF(ISBLANK($AY208),$AX208,$AY208)*Paraméterek!$J$112&gt;IF($D$4="Forint",Paraméterek!$J$114,Paraméterek!$K$114),IF($D$4="Forint",Paraméterek!$J$114,Paraméterek!$K$114),IF(ISBLANK($AY208),$AX208,$AY208)*Paraméterek!$J$112))),IF($D$4="Forint",0,2))</f>
        <v>0</v>
      </c>
      <c r="BA208" s="13">
        <f ca="1">$AT208+$AV208-$AW208-IF(ROUNDDOWN(IF(ISBLANK($AY208),$AX208,$AY208),IF($D$4="Forint",0,2))&gt;$AT208+$AV208-$AW208-IF($D$4="Forint",Paraméterek!$J$114,Paraméterek!$K$114),0,ROUNDDOWN(IF(ISBLANK($AY208),$AX208,$AY208),IF($D$4="Forint",0,2))-$AZ208)</f>
        <v>0</v>
      </c>
      <c r="BB208" s="13">
        <f t="shared" ca="1" si="55"/>
        <v>0</v>
      </c>
      <c r="BD208" s="32">
        <v>189</v>
      </c>
      <c r="BE208" s="32">
        <v>16</v>
      </c>
      <c r="BF208" s="32">
        <v>9</v>
      </c>
      <c r="BG208" s="34">
        <f t="shared" ca="1" si="64"/>
        <v>2035</v>
      </c>
      <c r="BH208" s="32" t="str">
        <f ca="1">IF(MOD(MONTH($D$14)+$BD208-1,12)=Paraméterek!$C$288,"Igen","")</f>
        <v/>
      </c>
      <c r="BI208" s="13">
        <f ca="1">IF($BH208="Igen",MIN(ROUNDDOWN((SUMIF($BG$20:$BG$1027,$BG208-1,$K$20:$K$1027)-SUMIF($BG$20:$BG$1027,$BG208-1,$I$20:$I$1027))*Paraméterek!$C$289,IF($D$4="Forint",0,2)),IF($D$4="Forint",Paraméterek!$C$285,Paraméterek!$D$285)),0)</f>
        <v>0</v>
      </c>
      <c r="BJ208" s="13">
        <f t="shared" ca="1" si="56"/>
        <v>0</v>
      </c>
      <c r="BK208" s="13">
        <f t="shared" ca="1" si="65"/>
        <v>0</v>
      </c>
      <c r="BL208" s="33"/>
      <c r="BM208" s="13">
        <f t="shared" ca="1" si="57"/>
        <v>0</v>
      </c>
      <c r="BN208" s="13">
        <f ca="1">ROUNDUP(($BK208+$BM208)*VLOOKUP($BE208,Paraméterek!$P$38:$Q$38,2)/12*IF($D209="Nem",IF($M$13=0,1,$M$13),1),IF($D$4="Forint",0,2))</f>
        <v>0</v>
      </c>
      <c r="BO208" s="13">
        <f t="shared" ca="1" si="58"/>
        <v>0</v>
      </c>
      <c r="BP208" s="13">
        <f ca="1">IF($D209="Nem",$BO208,$BO208-ROUNDUP(SUM($BI$20:$BI208)*120%,IF($D$4="Forint",0,2)))</f>
        <v>0</v>
      </c>
    </row>
    <row r="209" spans="1:68" x14ac:dyDescent="0.2">
      <c r="A209" s="32">
        <v>190</v>
      </c>
      <c r="B209" s="32">
        <v>16</v>
      </c>
      <c r="C209" s="32">
        <v>10</v>
      </c>
      <c r="D209" s="32" t="str">
        <f t="shared" ca="1" si="44"/>
        <v>Nem</v>
      </c>
      <c r="E209" s="13">
        <f t="shared" ca="1" si="45"/>
        <v>0</v>
      </c>
      <c r="F209" s="13"/>
      <c r="G209" s="13"/>
      <c r="H209" s="13"/>
      <c r="I209" s="13">
        <f t="shared" ca="1" si="46"/>
        <v>0</v>
      </c>
      <c r="J209" s="13">
        <f t="shared" ca="1" si="47"/>
        <v>0</v>
      </c>
      <c r="K209" s="13">
        <f t="shared" ca="1" si="48"/>
        <v>0</v>
      </c>
      <c r="L209" s="13" t="e">
        <f ca="1">ROUNDUP(IF($D$2="Egyszeri",$E209,IF($D$2="Havi",SUM($E$20:$E$31),IF(MOD($C209,$M$1)-1=0,SUM($E$20:$E$31),0))/12*$M$1)*VLOOKUP($B209,Paraméterek!$I$28:$P$31,IF($D$2="Egyszeri",8,HLOOKUP(ROUNDUP($M$11+$M$13,0),Paraméterek!$J$26:$O$27,2))),IF($D$4="Forint",0,2))</f>
        <v>#N/A</v>
      </c>
      <c r="M209" s="13">
        <f t="shared" ca="1" si="49"/>
        <v>0</v>
      </c>
      <c r="N209" s="13">
        <f t="shared" ca="1" si="59"/>
        <v>0</v>
      </c>
      <c r="O209" s="13">
        <f ca="1">IF($D209="Igen",IF($W208&gt;=IF($D$4="Forint",Paraméterek!$J$121,Paraméterek!$K$121),0,IF($D$4="Forint",Paraméterek!$J$121,Paraméterek!$K$121)-$W208),0)</f>
        <v>0</v>
      </c>
      <c r="P209" s="13" t="e">
        <f ca="1">ROUNDUP($O209*VLOOKUP($M$4+$B209-1,Paraméterek!$H$58:$I$105,2,0)/Paraméterek!$I$56,IF($D$4="Forint",0,2))</f>
        <v>#N/A</v>
      </c>
      <c r="Q209" s="13">
        <f t="shared" ca="1" si="50"/>
        <v>0</v>
      </c>
      <c r="R209" s="33"/>
      <c r="S209" s="13" t="e">
        <f t="shared" ca="1" si="51"/>
        <v>#N/A</v>
      </c>
      <c r="T209" s="13" t="e">
        <f ca="1">ROUNDUP(($N209-$P209-$Q209+$S209)*VLOOKUP($B209,Paraméterek!$I$38:$K$39,IF($D$2="Egyszeri",3,2))/12*IF($D210="Nem",IF($M$13=0,1,$M$13),1),IF($D$4="Forint",0,2))</f>
        <v>#N/A</v>
      </c>
      <c r="U209" s="13"/>
      <c r="V209" s="13"/>
      <c r="W209" s="13" t="e">
        <f ca="1">$N209-$P209-$Q209+$S209-$T209-IF(ROUNDUP(IF(ISBLANK($V209),$U209*0,$V209)/IF($D$2="Egyszeri",VLOOKUP($B209+IF($C209=12,1,0),Paraméterek!$V$257:$W$262,2),IF($B209=1,1,VLOOKUP($B209+IF($C209=12,1,0),Paraméterek!$I$258:$T$278,HLOOKUP($M$11+1,Paraméterek!$J$256:$T$257,2)))),IF($D$4="Forint",0,2))&gt;$N209-$P209-$Q209+$S209-$T209-IF($D$4="Forint",Paraméterek!$C$216,Paraméterek!$D$216),0,ROUNDUP(IF(ISBLANK($V209),$U209*0,$V209)/IF($D$2="Egyszeri",VLOOKUP($B209+IF($C209=12,1,0),Paraméterek!$V$257:$W$262,2),IF($B209=1,1,VLOOKUP($B209+IF($C209=12,1,0),Paraméterek!$I$258:$T$278,HLOOKUP($M$11+1,Paraméterek!$J$256:$T$257,2)))),IF($D$4="Forint",0,2)))</f>
        <v>#N/A</v>
      </c>
      <c r="X209" s="13" t="e">
        <f ca="1">ROUNDDOWN($W209*IF($D$2="Egyszeri",VLOOKUP($B209+IF($C209=12,1,0),Paraméterek!$V$257:$W$262,2),VLOOKUP($B209+IF($C209=12,1,0),Paraméterek!$I$258:$T$278,HLOOKUP($M$11+1,Paraméterek!$I$256:$T$257,2))),IF($D$4="Forint",0,2))</f>
        <v>#N/A</v>
      </c>
      <c r="Z209" s="32">
        <v>190</v>
      </c>
      <c r="AA209" s="32">
        <v>16</v>
      </c>
      <c r="AB209" s="32">
        <v>10</v>
      </c>
      <c r="AC209" s="13">
        <f t="shared" ca="1" si="60"/>
        <v>0</v>
      </c>
      <c r="AD209" s="33"/>
      <c r="AE209" s="13">
        <f t="shared" ca="1" si="52"/>
        <v>0</v>
      </c>
      <c r="AF209" s="13">
        <f ca="1">ROUNDUP(($AC209+$AE209)*VLOOKUP($AA209,Paraméterek!$P$38:$Q$38,2)/12*IF($D210="Nem",IF($M$13=0,1,$M$13),1),IF($D$4="Forint",0,2))</f>
        <v>0</v>
      </c>
      <c r="AG209" s="13">
        <f ca="1">IF($D$2="Egyszeri",IF($D$7&gt;=IF($D$4="Forint",Paraméterek!$P$223,Paraméterek!$P$224),$D$7-IF($D$4="Forint",Paraméterek!$P$223,Paraméterek!$P$224),0),MIN(IF($AB209=12,AVERAGEIF($E$20:$E209,"&gt;0",$E$20:$E209)*12,0),SUM($E$20:$E$31)))</f>
        <v>0</v>
      </c>
      <c r="AH209" s="13">
        <f>IF($AA209=10,$AG209*IF($AB209=12,IF($AG209&lt;IF($D$4="Forint",Paraméterek!$L$223,Paraméterek!$L$224),0,VLOOKUP($AA209,Paraméterek!$K$226:$M$228,IF($AG209&lt;IF($D$4="Forint",Paraméterek!$M$223,Paraméterek!$M$224),2,3))),0),0)</f>
        <v>0</v>
      </c>
      <c r="AI209" s="13">
        <f ca="1">IF(AND($AA209=$M$11+1,$AB209=$M$12+1),SUMIF($AA$20:$AA$1027,$AA209,$AG$20:$AG$1027)*IF(SUMIF($AA$20:$AA$1027,$AA209,$AG$20:$AG$1027)&lt;IF($D$4="Forint",Paraméterek!$L$223,Paraméterek!$L$224),0,VLOOKUP($AA209,Paraméterek!$K$230:$M$250,IF(SUMIF($AA$20:$AA$1027,$AA209,$AG$20:$AG$1027)&lt;IF($D$4="Forint",Paraméterek!$M$223,Paraméterek!$M$224),2,3))),0)</f>
        <v>0</v>
      </c>
      <c r="AJ209" s="13">
        <f ca="1">IF(AND($AA209&gt;=5,MOD($AA209,5)=0),IF($AB209=12,VLOOKUP($AA209,Paraméterek!$O$225:$P$240,2),0),IF(OR($AA209=3,$AA209=4),IF($AB209=12,VLOOKUP($AA209,Paraméterek!$O$225:$P$240,2,0),0),0))*$AG209</f>
        <v>0</v>
      </c>
      <c r="AK209" s="13">
        <f t="shared" ca="1" si="53"/>
        <v>0</v>
      </c>
      <c r="AL209" s="13">
        <f t="shared" ca="1" si="61"/>
        <v>0</v>
      </c>
      <c r="AM209" s="13">
        <f t="shared" ca="1" si="62"/>
        <v>0</v>
      </c>
      <c r="AO209" s="32">
        <v>190</v>
      </c>
      <c r="AP209" s="32">
        <v>16</v>
      </c>
      <c r="AQ209" s="32">
        <v>10</v>
      </c>
      <c r="AR209" s="13"/>
      <c r="AS209" s="32"/>
      <c r="AT209" s="13">
        <f t="shared" ca="1" si="63"/>
        <v>0</v>
      </c>
      <c r="AU209" s="33"/>
      <c r="AV209" s="13">
        <f t="shared" ca="1" si="54"/>
        <v>0</v>
      </c>
      <c r="AW209" s="13">
        <f ca="1">ROUNDUP(($AT209+$AV209)*VLOOKUP($AP209,Paraméterek!$P$38:$Q$38,2)/12*IF($D210="Nem",IF($M$13=0,1,$M$13),1),IF($D$4="Forint",0,2))</f>
        <v>0</v>
      </c>
      <c r="AX209" s="13"/>
      <c r="AY209" s="13"/>
      <c r="AZ209" s="13">
        <f>ROUNDUP(IF(SUM($AX209:$AY209)=0,0,IF(IF(ISBLANK($AY209),$AX209,$AY209)*Paraméterek!$J$112&lt;IF($D$4="Forint",Paraméterek!$J$113,Paraméterek!$K$113),IF($D$4="Forint",Paraméterek!$J$113,Paraméterek!$K$113),IF(IF(ISBLANK($AY209),$AX209,$AY209)*Paraméterek!$J$112&gt;IF($D$4="Forint",Paraméterek!$J$114,Paraméterek!$K$114),IF($D$4="Forint",Paraméterek!$J$114,Paraméterek!$K$114),IF(ISBLANK($AY209),$AX209,$AY209)*Paraméterek!$J$112))),IF($D$4="Forint",0,2))</f>
        <v>0</v>
      </c>
      <c r="BA209" s="13">
        <f ca="1">$AT209+$AV209-$AW209-IF(ROUNDDOWN(IF(ISBLANK($AY209),$AX209,$AY209),IF($D$4="Forint",0,2))&gt;$AT209+$AV209-$AW209-IF($D$4="Forint",Paraméterek!$J$114,Paraméterek!$K$114),0,ROUNDDOWN(IF(ISBLANK($AY209),$AX209,$AY209),IF($D$4="Forint",0,2))-$AZ209)</f>
        <v>0</v>
      </c>
      <c r="BB209" s="13">
        <f t="shared" ca="1" si="55"/>
        <v>0</v>
      </c>
      <c r="BD209" s="32">
        <v>190</v>
      </c>
      <c r="BE209" s="32">
        <v>16</v>
      </c>
      <c r="BF209" s="32">
        <v>10</v>
      </c>
      <c r="BG209" s="34">
        <f t="shared" ca="1" si="64"/>
        <v>2035</v>
      </c>
      <c r="BH209" s="32" t="str">
        <f ca="1">IF(MOD(MONTH($D$14)+$BD209-1,12)=Paraméterek!$C$288,"Igen","")</f>
        <v/>
      </c>
      <c r="BI209" s="13">
        <f ca="1">IF($BH209="Igen",MIN(ROUNDDOWN((SUMIF($BG$20:$BG$1027,$BG209-1,$K$20:$K$1027)-SUMIF($BG$20:$BG$1027,$BG209-1,$I$20:$I$1027))*Paraméterek!$C$289,IF($D$4="Forint",0,2)),IF($D$4="Forint",Paraméterek!$C$285,Paraméterek!$D$285)),0)</f>
        <v>0</v>
      </c>
      <c r="BJ209" s="13">
        <f t="shared" ca="1" si="56"/>
        <v>0</v>
      </c>
      <c r="BK209" s="13">
        <f t="shared" ca="1" si="65"/>
        <v>0</v>
      </c>
      <c r="BL209" s="33"/>
      <c r="BM209" s="13">
        <f t="shared" ca="1" si="57"/>
        <v>0</v>
      </c>
      <c r="BN209" s="13">
        <f ca="1">ROUNDUP(($BK209+$BM209)*VLOOKUP($BE209,Paraméterek!$P$38:$Q$38,2)/12*IF($D210="Nem",IF($M$13=0,1,$M$13),1),IF($D$4="Forint",0,2))</f>
        <v>0</v>
      </c>
      <c r="BO209" s="13">
        <f t="shared" ca="1" si="58"/>
        <v>0</v>
      </c>
      <c r="BP209" s="13">
        <f ca="1">IF($D210="Nem",$BO209,$BO209-ROUNDUP(SUM($BI$20:$BI209)*120%,IF($D$4="Forint",0,2)))</f>
        <v>0</v>
      </c>
    </row>
    <row r="210" spans="1:68" x14ac:dyDescent="0.2">
      <c r="A210" s="32">
        <v>191</v>
      </c>
      <c r="B210" s="32">
        <v>16</v>
      </c>
      <c r="C210" s="32">
        <v>11</v>
      </c>
      <c r="D210" s="32" t="str">
        <f t="shared" ca="1" si="44"/>
        <v>Nem</v>
      </c>
      <c r="E210" s="13">
        <f t="shared" ca="1" si="45"/>
        <v>0</v>
      </c>
      <c r="F210" s="13"/>
      <c r="G210" s="13"/>
      <c r="H210" s="13"/>
      <c r="I210" s="13">
        <f t="shared" ca="1" si="46"/>
        <v>0</v>
      </c>
      <c r="J210" s="13">
        <f t="shared" ca="1" si="47"/>
        <v>0</v>
      </c>
      <c r="K210" s="13">
        <f t="shared" ca="1" si="48"/>
        <v>0</v>
      </c>
      <c r="L210" s="13" t="e">
        <f ca="1">ROUNDUP(IF($D$2="Egyszeri",$E210,IF($D$2="Havi",SUM($E$20:$E$31),IF(MOD($C210,$M$1)-1=0,SUM($E$20:$E$31),0))/12*$M$1)*VLOOKUP($B210,Paraméterek!$I$28:$P$31,IF($D$2="Egyszeri",8,HLOOKUP(ROUNDUP($M$11+$M$13,0),Paraméterek!$J$26:$O$27,2))),IF($D$4="Forint",0,2))</f>
        <v>#N/A</v>
      </c>
      <c r="M210" s="13">
        <f t="shared" ca="1" si="49"/>
        <v>0</v>
      </c>
      <c r="N210" s="13">
        <f t="shared" ca="1" si="59"/>
        <v>0</v>
      </c>
      <c r="O210" s="13">
        <f ca="1">IF($D210="Igen",IF($W209&gt;=IF($D$4="Forint",Paraméterek!$J$121,Paraméterek!$K$121),0,IF($D$4="Forint",Paraméterek!$J$121,Paraméterek!$K$121)-$W209),0)</f>
        <v>0</v>
      </c>
      <c r="P210" s="13" t="e">
        <f ca="1">ROUNDUP($O210*VLOOKUP($M$4+$B210-1,Paraméterek!$H$58:$I$105,2,0)/Paraméterek!$I$56,IF($D$4="Forint",0,2))</f>
        <v>#N/A</v>
      </c>
      <c r="Q210" s="13">
        <f t="shared" ca="1" si="50"/>
        <v>0</v>
      </c>
      <c r="R210" s="33"/>
      <c r="S210" s="13" t="e">
        <f t="shared" ca="1" si="51"/>
        <v>#N/A</v>
      </c>
      <c r="T210" s="13" t="e">
        <f ca="1">ROUNDUP(($N210-$P210-$Q210+$S210)*VLOOKUP($B210,Paraméterek!$I$38:$K$39,IF($D$2="Egyszeri",3,2))/12*IF($D211="Nem",IF($M$13=0,1,$M$13),1),IF($D$4="Forint",0,2))</f>
        <v>#N/A</v>
      </c>
      <c r="U210" s="13"/>
      <c r="V210" s="13"/>
      <c r="W210" s="13" t="e">
        <f ca="1">$N210-$P210-$Q210+$S210-$T210-IF(ROUNDUP(IF(ISBLANK($V210),$U210*0,$V210)/IF($D$2="Egyszeri",VLOOKUP($B210+IF($C210=12,1,0),Paraméterek!$V$257:$W$262,2),IF($B210=1,1,VLOOKUP($B210+IF($C210=12,1,0),Paraméterek!$I$258:$T$278,HLOOKUP($M$11+1,Paraméterek!$J$256:$T$257,2)))),IF($D$4="Forint",0,2))&gt;$N210-$P210-$Q210+$S210-$T210-IF($D$4="Forint",Paraméterek!$C$216,Paraméterek!$D$216),0,ROUNDUP(IF(ISBLANK($V210),$U210*0,$V210)/IF($D$2="Egyszeri",VLOOKUP($B210+IF($C210=12,1,0),Paraméterek!$V$257:$W$262,2),IF($B210=1,1,VLOOKUP($B210+IF($C210=12,1,0),Paraméterek!$I$258:$T$278,HLOOKUP($M$11+1,Paraméterek!$J$256:$T$257,2)))),IF($D$4="Forint",0,2)))</f>
        <v>#N/A</v>
      </c>
      <c r="X210" s="13" t="e">
        <f ca="1">ROUNDDOWN($W210*IF($D$2="Egyszeri",VLOOKUP($B210+IF($C210=12,1,0),Paraméterek!$V$257:$W$262,2),VLOOKUP($B210+IF($C210=12,1,0),Paraméterek!$I$258:$T$278,HLOOKUP($M$11+1,Paraméterek!$I$256:$T$257,2))),IF($D$4="Forint",0,2))</f>
        <v>#N/A</v>
      </c>
      <c r="Z210" s="32">
        <v>191</v>
      </c>
      <c r="AA210" s="32">
        <v>16</v>
      </c>
      <c r="AB210" s="32">
        <v>11</v>
      </c>
      <c r="AC210" s="13">
        <f t="shared" ca="1" si="60"/>
        <v>0</v>
      </c>
      <c r="AD210" s="33"/>
      <c r="AE210" s="13">
        <f t="shared" ca="1" si="52"/>
        <v>0</v>
      </c>
      <c r="AF210" s="13">
        <f ca="1">ROUNDUP(($AC210+$AE210)*VLOOKUP($AA210,Paraméterek!$P$38:$Q$38,2)/12*IF($D211="Nem",IF($M$13=0,1,$M$13),1),IF($D$4="Forint",0,2))</f>
        <v>0</v>
      </c>
      <c r="AG210" s="13">
        <f ca="1">IF($D$2="Egyszeri",IF($D$7&gt;=IF($D$4="Forint",Paraméterek!$P$223,Paraméterek!$P$224),$D$7-IF($D$4="Forint",Paraméterek!$P$223,Paraméterek!$P$224),0),MIN(IF($AB210=12,AVERAGEIF($E$20:$E210,"&gt;0",$E$20:$E210)*12,0),SUM($E$20:$E$31)))</f>
        <v>0</v>
      </c>
      <c r="AH210" s="13">
        <f>IF($AA210=10,$AG210*IF($AB210=12,IF($AG210&lt;IF($D$4="Forint",Paraméterek!$L$223,Paraméterek!$L$224),0,VLOOKUP($AA210,Paraméterek!$K$226:$M$228,IF($AG210&lt;IF($D$4="Forint",Paraméterek!$M$223,Paraméterek!$M$224),2,3))),0),0)</f>
        <v>0</v>
      </c>
      <c r="AI210" s="13">
        <f ca="1">IF(AND($AA210=$M$11+1,$AB210=$M$12+1),SUMIF($AA$20:$AA$1027,$AA210,$AG$20:$AG$1027)*IF(SUMIF($AA$20:$AA$1027,$AA210,$AG$20:$AG$1027)&lt;IF($D$4="Forint",Paraméterek!$L$223,Paraméterek!$L$224),0,VLOOKUP($AA210,Paraméterek!$K$230:$M$250,IF(SUMIF($AA$20:$AA$1027,$AA210,$AG$20:$AG$1027)&lt;IF($D$4="Forint",Paraméterek!$M$223,Paraméterek!$M$224),2,3))),0)</f>
        <v>0</v>
      </c>
      <c r="AJ210" s="13">
        <f ca="1">IF(AND($AA210&gt;=5,MOD($AA210,5)=0),IF($AB210=12,VLOOKUP($AA210,Paraméterek!$O$225:$P$240,2),0),IF(OR($AA210=3,$AA210=4),IF($AB210=12,VLOOKUP($AA210,Paraméterek!$O$225:$P$240,2,0),0),0))*$AG210</f>
        <v>0</v>
      </c>
      <c r="AK210" s="13">
        <f t="shared" ca="1" si="53"/>
        <v>0</v>
      </c>
      <c r="AL210" s="13">
        <f t="shared" ca="1" si="61"/>
        <v>0</v>
      </c>
      <c r="AM210" s="13">
        <f t="shared" ca="1" si="62"/>
        <v>0</v>
      </c>
      <c r="AO210" s="32">
        <v>191</v>
      </c>
      <c r="AP210" s="32">
        <v>16</v>
      </c>
      <c r="AQ210" s="32">
        <v>11</v>
      </c>
      <c r="AR210" s="13"/>
      <c r="AS210" s="32"/>
      <c r="AT210" s="13">
        <f t="shared" ca="1" si="63"/>
        <v>0</v>
      </c>
      <c r="AU210" s="33"/>
      <c r="AV210" s="13">
        <f t="shared" ca="1" si="54"/>
        <v>0</v>
      </c>
      <c r="AW210" s="13">
        <f ca="1">ROUNDUP(($AT210+$AV210)*VLOOKUP($AP210,Paraméterek!$P$38:$Q$38,2)/12*IF($D211="Nem",IF($M$13=0,1,$M$13),1),IF($D$4="Forint",0,2))</f>
        <v>0</v>
      </c>
      <c r="AX210" s="13"/>
      <c r="AY210" s="13"/>
      <c r="AZ210" s="13">
        <f>ROUNDUP(IF(SUM($AX210:$AY210)=0,0,IF(IF(ISBLANK($AY210),$AX210,$AY210)*Paraméterek!$J$112&lt;IF($D$4="Forint",Paraméterek!$J$113,Paraméterek!$K$113),IF($D$4="Forint",Paraméterek!$J$113,Paraméterek!$K$113),IF(IF(ISBLANK($AY210),$AX210,$AY210)*Paraméterek!$J$112&gt;IF($D$4="Forint",Paraméterek!$J$114,Paraméterek!$K$114),IF($D$4="Forint",Paraméterek!$J$114,Paraméterek!$K$114),IF(ISBLANK($AY210),$AX210,$AY210)*Paraméterek!$J$112))),IF($D$4="Forint",0,2))</f>
        <v>0</v>
      </c>
      <c r="BA210" s="13">
        <f ca="1">$AT210+$AV210-$AW210-IF(ROUNDDOWN(IF(ISBLANK($AY210),$AX210,$AY210),IF($D$4="Forint",0,2))&gt;$AT210+$AV210-$AW210-IF($D$4="Forint",Paraméterek!$J$114,Paraméterek!$K$114),0,ROUNDDOWN(IF(ISBLANK($AY210),$AX210,$AY210),IF($D$4="Forint",0,2))-$AZ210)</f>
        <v>0</v>
      </c>
      <c r="BB210" s="13">
        <f t="shared" ca="1" si="55"/>
        <v>0</v>
      </c>
      <c r="BD210" s="32">
        <v>191</v>
      </c>
      <c r="BE210" s="32">
        <v>16</v>
      </c>
      <c r="BF210" s="32">
        <v>11</v>
      </c>
      <c r="BG210" s="34">
        <f t="shared" ca="1" si="64"/>
        <v>2035</v>
      </c>
      <c r="BH210" s="32" t="str">
        <f ca="1">IF(MOD(MONTH($D$14)+$BD210-1,12)=Paraméterek!$C$288,"Igen","")</f>
        <v/>
      </c>
      <c r="BI210" s="13">
        <f ca="1">IF($BH210="Igen",MIN(ROUNDDOWN((SUMIF($BG$20:$BG$1027,$BG210-1,$K$20:$K$1027)-SUMIF($BG$20:$BG$1027,$BG210-1,$I$20:$I$1027))*Paraméterek!$C$289,IF($D$4="Forint",0,2)),IF($D$4="Forint",Paraméterek!$C$285,Paraméterek!$D$285)),0)</f>
        <v>0</v>
      </c>
      <c r="BJ210" s="13">
        <f t="shared" ca="1" si="56"/>
        <v>0</v>
      </c>
      <c r="BK210" s="13">
        <f t="shared" ca="1" si="65"/>
        <v>0</v>
      </c>
      <c r="BL210" s="33"/>
      <c r="BM210" s="13">
        <f t="shared" ca="1" si="57"/>
        <v>0</v>
      </c>
      <c r="BN210" s="13">
        <f ca="1">ROUNDUP(($BK210+$BM210)*VLOOKUP($BE210,Paraméterek!$P$38:$Q$38,2)/12*IF($D211="Nem",IF($M$13=0,1,$M$13),1),IF($D$4="Forint",0,2))</f>
        <v>0</v>
      </c>
      <c r="BO210" s="13">
        <f t="shared" ca="1" si="58"/>
        <v>0</v>
      </c>
      <c r="BP210" s="13">
        <f ca="1">IF($D211="Nem",$BO210,$BO210-ROUNDUP(SUM($BI$20:$BI210)*120%,IF($D$4="Forint",0,2)))</f>
        <v>0</v>
      </c>
    </row>
    <row r="211" spans="1:68" x14ac:dyDescent="0.2">
      <c r="A211" s="32">
        <v>192</v>
      </c>
      <c r="B211" s="32">
        <v>16</v>
      </c>
      <c r="C211" s="32">
        <v>12</v>
      </c>
      <c r="D211" s="32" t="str">
        <f t="shared" ca="1" si="44"/>
        <v>Nem</v>
      </c>
      <c r="E211" s="13">
        <f t="shared" ca="1" si="45"/>
        <v>0</v>
      </c>
      <c r="F211" s="13"/>
      <c r="G211" s="13"/>
      <c r="H211" s="13"/>
      <c r="I211" s="13">
        <f t="shared" ca="1" si="46"/>
        <v>0</v>
      </c>
      <c r="J211" s="13">
        <f t="shared" ca="1" si="47"/>
        <v>0</v>
      </c>
      <c r="K211" s="13">
        <f t="shared" ca="1" si="48"/>
        <v>0</v>
      </c>
      <c r="L211" s="13" t="e">
        <f ca="1">ROUNDUP(IF($D$2="Egyszeri",$E211,IF($D$2="Havi",SUM($E$20:$E$31),IF(MOD($C211,$M$1)-1=0,SUM($E$20:$E$31),0))/12*$M$1)*VLOOKUP($B211,Paraméterek!$I$28:$P$31,IF($D$2="Egyszeri",8,HLOOKUP(ROUNDUP($M$11+$M$13,0),Paraméterek!$J$26:$O$27,2))),IF($D$4="Forint",0,2))</f>
        <v>#N/A</v>
      </c>
      <c r="M211" s="13">
        <f t="shared" ca="1" si="49"/>
        <v>0</v>
      </c>
      <c r="N211" s="13">
        <f t="shared" ca="1" si="59"/>
        <v>0</v>
      </c>
      <c r="O211" s="13">
        <f ca="1">IF($D211="Igen",IF($W210&gt;=IF($D$4="Forint",Paraméterek!$J$121,Paraméterek!$K$121),0,IF($D$4="Forint",Paraméterek!$J$121,Paraméterek!$K$121)-$W210),0)</f>
        <v>0</v>
      </c>
      <c r="P211" s="13" t="e">
        <f ca="1">ROUNDUP($O211*VLOOKUP($M$4+$B211-1,Paraméterek!$H$58:$I$105,2,0)/Paraméterek!$I$56,IF($D$4="Forint",0,2))</f>
        <v>#N/A</v>
      </c>
      <c r="Q211" s="13">
        <f t="shared" ca="1" si="50"/>
        <v>0</v>
      </c>
      <c r="R211" s="33"/>
      <c r="S211" s="13" t="e">
        <f t="shared" ca="1" si="51"/>
        <v>#N/A</v>
      </c>
      <c r="T211" s="13" t="e">
        <f ca="1">ROUNDUP(($N211-$P211-$Q211+$S211)*VLOOKUP($B211,Paraméterek!$I$38:$K$39,IF($D$2="Egyszeri",3,2))/12*IF($D212="Nem",IF($M$13=0,1,$M$13),1),IF($D$4="Forint",0,2))</f>
        <v>#N/A</v>
      </c>
      <c r="U211" s="13">
        <f>Tranzakciók!$F$47</f>
        <v>0</v>
      </c>
      <c r="V211" s="13"/>
      <c r="W211" s="13" t="e">
        <f ca="1">$N211-$P211-$Q211+$S211-$T211-IF(ROUNDUP(IF(ISBLANK($V211),$U211*0,$V211)/IF($D$2="Egyszeri",VLOOKUP($B211+IF($C211=12,1,0),Paraméterek!$V$257:$W$262,2),IF($B211=1,1,VLOOKUP($B211+IF($C211=12,1,0),Paraméterek!$I$258:$T$278,HLOOKUP($M$11+1,Paraméterek!$J$256:$T$257,2)))),IF($D$4="Forint",0,2))&gt;$N211-$P211-$Q211+$S211-$T211-IF($D$4="Forint",Paraméterek!$C$216,Paraméterek!$D$216),0,ROUNDUP(IF(ISBLANK($V211),$U211*0,$V211)/IF($D$2="Egyszeri",VLOOKUP($B211+IF($C211=12,1,0),Paraméterek!$V$257:$W$262,2),IF($B211=1,1,VLOOKUP($B211+IF($C211=12,1,0),Paraméterek!$I$258:$T$278,HLOOKUP($M$11+1,Paraméterek!$J$256:$T$257,2)))),IF($D$4="Forint",0,2)))</f>
        <v>#N/A</v>
      </c>
      <c r="X211" s="13" t="e">
        <f ca="1">ROUNDDOWN($W211*IF($D$2="Egyszeri",VLOOKUP($B211+IF($C211=12,1,0),Paraméterek!$V$257:$W$262,2),VLOOKUP($B211+IF($C211=12,1,0),Paraméterek!$I$258:$T$278,HLOOKUP($M$11+1,Paraméterek!$I$256:$T$257,2))),IF($D$4="Forint",0,2))</f>
        <v>#N/A</v>
      </c>
      <c r="Z211" s="32">
        <v>192</v>
      </c>
      <c r="AA211" s="32">
        <v>16</v>
      </c>
      <c r="AB211" s="32">
        <v>12</v>
      </c>
      <c r="AC211" s="13">
        <f t="shared" ca="1" si="60"/>
        <v>0</v>
      </c>
      <c r="AD211" s="33"/>
      <c r="AE211" s="13">
        <f t="shared" ca="1" si="52"/>
        <v>0</v>
      </c>
      <c r="AF211" s="13">
        <f ca="1">ROUNDUP(($AC211+$AE211)*VLOOKUP($AA211,Paraméterek!$P$38:$Q$38,2)/12*IF($D212="Nem",IF($M$13=0,1,$M$13),1),IF($D$4="Forint",0,2))</f>
        <v>0</v>
      </c>
      <c r="AG211" s="13" t="e">
        <f ca="1">IF($D$2="Egyszeri",IF($D$7&gt;=IF($D$4="Forint",Paraméterek!$P$223,Paraméterek!$P$224),$D$7-IF($D$4="Forint",Paraméterek!$P$223,Paraméterek!$P$224),0),MIN(IF($AB211=12,AVERAGEIF($E$20:$E211,"&gt;0",$E$20:$E211)*12,0),SUM($E$20:$E$31)))</f>
        <v>#DIV/0!</v>
      </c>
      <c r="AH211" s="13">
        <f>IF($AA211=10,$AG211*IF($AB211=12,IF($AG211&lt;IF($D$4="Forint",Paraméterek!$L$223,Paraméterek!$L$224),0,VLOOKUP($AA211,Paraméterek!$K$226:$M$228,IF($AG211&lt;IF($D$4="Forint",Paraméterek!$M$223,Paraméterek!$M$224),2,3))),0),0)</f>
        <v>0</v>
      </c>
      <c r="AI211" s="13">
        <f ca="1">IF(AND($AA211=$M$11+1,$AB211=$M$12+1),SUMIF($AA$20:$AA$1027,$AA211,$AG$20:$AG$1027)*IF(SUMIF($AA$20:$AA$1027,$AA211,$AG$20:$AG$1027)&lt;IF($D$4="Forint",Paraméterek!$L$223,Paraméterek!$L$224),0,VLOOKUP($AA211,Paraméterek!$K$230:$M$250,IF(SUMIF($AA$20:$AA$1027,$AA211,$AG$20:$AG$1027)&lt;IF($D$4="Forint",Paraméterek!$M$223,Paraméterek!$M$224),2,3))),0)</f>
        <v>0</v>
      </c>
      <c r="AJ211" s="13" t="e">
        <f ca="1">IF(AND($AA211&gt;=5,MOD($AA211,5)=0),IF($AB211=12,VLOOKUP($AA211,Paraméterek!$O$225:$P$240,2),0),IF(OR($AA211=3,$AA211=4),IF($AB211=12,VLOOKUP($AA211,Paraméterek!$O$225:$P$240,2,0),0),0))*$AG211</f>
        <v>#DIV/0!</v>
      </c>
      <c r="AK211" s="13">
        <f t="shared" ca="1" si="53"/>
        <v>0</v>
      </c>
      <c r="AL211" s="13">
        <f t="shared" ca="1" si="61"/>
        <v>0</v>
      </c>
      <c r="AM211" s="13">
        <f t="shared" ca="1" si="62"/>
        <v>0</v>
      </c>
      <c r="AO211" s="32">
        <v>192</v>
      </c>
      <c r="AP211" s="32">
        <v>16</v>
      </c>
      <c r="AQ211" s="32">
        <v>12</v>
      </c>
      <c r="AR211" s="13"/>
      <c r="AS211" s="32"/>
      <c r="AT211" s="13">
        <f t="shared" ca="1" si="63"/>
        <v>0</v>
      </c>
      <c r="AU211" s="33"/>
      <c r="AV211" s="13">
        <f t="shared" ca="1" si="54"/>
        <v>0</v>
      </c>
      <c r="AW211" s="13">
        <f ca="1">ROUNDUP(($AT211+$AV211)*VLOOKUP($AP211,Paraméterek!$P$38:$Q$38,2)/12*IF($D212="Nem",IF($M$13=0,1,$M$13),1),IF($D$4="Forint",0,2))</f>
        <v>0</v>
      </c>
      <c r="AX211" s="13">
        <f>Tranzakciók!$M$47</f>
        <v>0</v>
      </c>
      <c r="AY211" s="13"/>
      <c r="AZ211" s="13">
        <f>ROUNDUP(IF(SUM($AX211:$AY211)=0,0,IF(IF(ISBLANK($AY211),$AX211,$AY211)*Paraméterek!$J$112&lt;IF($D$4="Forint",Paraméterek!$J$113,Paraméterek!$K$113),IF($D$4="Forint",Paraméterek!$J$113,Paraméterek!$K$113),IF(IF(ISBLANK($AY211),$AX211,$AY211)*Paraméterek!$J$112&gt;IF($D$4="Forint",Paraméterek!$J$114,Paraméterek!$K$114),IF($D$4="Forint",Paraméterek!$J$114,Paraméterek!$K$114),IF(ISBLANK($AY211),$AX211,$AY211)*Paraméterek!$J$112))),IF($D$4="Forint",0,2))</f>
        <v>0</v>
      </c>
      <c r="BA211" s="13">
        <f ca="1">$AT211+$AV211-$AW211-IF(ROUNDDOWN(IF(ISBLANK($AY211),$AX211,$AY211),IF($D$4="Forint",0,2))&gt;$AT211+$AV211-$AW211-IF($D$4="Forint",Paraméterek!$J$114,Paraméterek!$K$114),0,ROUNDDOWN(IF(ISBLANK($AY211),$AX211,$AY211),IF($D$4="Forint",0,2))-$AZ211)</f>
        <v>0</v>
      </c>
      <c r="BB211" s="13">
        <f t="shared" ca="1" si="55"/>
        <v>0</v>
      </c>
      <c r="BD211" s="32">
        <v>192</v>
      </c>
      <c r="BE211" s="32">
        <v>16</v>
      </c>
      <c r="BF211" s="32">
        <v>12</v>
      </c>
      <c r="BG211" s="34">
        <f t="shared" ca="1" si="64"/>
        <v>2035</v>
      </c>
      <c r="BH211" s="32" t="str">
        <f ca="1">IF(MOD(MONTH($D$14)+$BD211-1,12)=Paraméterek!$C$288,"Igen","")</f>
        <v/>
      </c>
      <c r="BI211" s="13">
        <f ca="1">IF($BH211="Igen",MIN(ROUNDDOWN((SUMIF($BG$20:$BG$1027,$BG211-1,$K$20:$K$1027)-SUMIF($BG$20:$BG$1027,$BG211-1,$I$20:$I$1027))*Paraméterek!$C$289,IF($D$4="Forint",0,2)),IF($D$4="Forint",Paraméterek!$C$285,Paraméterek!$D$285)),0)</f>
        <v>0</v>
      </c>
      <c r="BJ211" s="13">
        <f t="shared" ca="1" si="56"/>
        <v>0</v>
      </c>
      <c r="BK211" s="13">
        <f t="shared" ca="1" si="65"/>
        <v>0</v>
      </c>
      <c r="BL211" s="33"/>
      <c r="BM211" s="13">
        <f t="shared" ca="1" si="57"/>
        <v>0</v>
      </c>
      <c r="BN211" s="13">
        <f ca="1">ROUNDUP(($BK211+$BM211)*VLOOKUP($BE211,Paraméterek!$P$38:$Q$38,2)/12*IF($D212="Nem",IF($M$13=0,1,$M$13),1),IF($D$4="Forint",0,2))</f>
        <v>0</v>
      </c>
      <c r="BO211" s="13">
        <f t="shared" ca="1" si="58"/>
        <v>0</v>
      </c>
      <c r="BP211" s="13">
        <f ca="1">IF($D212="Nem",$BO211,$BO211-ROUNDUP(SUM($BI$20:$BI211)*120%,IF($D$4="Forint",0,2)))</f>
        <v>0</v>
      </c>
    </row>
    <row r="212" spans="1:68" x14ac:dyDescent="0.2">
      <c r="A212" s="32">
        <v>193</v>
      </c>
      <c r="B212" s="32">
        <v>17</v>
      </c>
      <c r="C212" s="32">
        <v>1</v>
      </c>
      <c r="D212" s="32" t="str">
        <f t="shared" ca="1" si="44"/>
        <v>Nem</v>
      </c>
      <c r="E212" s="13">
        <f t="shared" ca="1" si="45"/>
        <v>0</v>
      </c>
      <c r="F212" s="13"/>
      <c r="G212" s="13">
        <f>Tranzakciók!$D$48</f>
        <v>0</v>
      </c>
      <c r="H212" s="13"/>
      <c r="I212" s="13">
        <f t="shared" ca="1" si="46"/>
        <v>0</v>
      </c>
      <c r="J212" s="13">
        <f t="shared" ca="1" si="47"/>
        <v>0</v>
      </c>
      <c r="K212" s="13">
        <f t="shared" ca="1" si="48"/>
        <v>0</v>
      </c>
      <c r="L212" s="13" t="e">
        <f ca="1">ROUNDUP(IF($D$2="Egyszeri",$E212,IF($D$2="Havi",SUM($E$20:$E$31),IF(MOD($C212,$M$1)-1=0,SUM($E$20:$E$31),0))/12*$M$1)*VLOOKUP($B212,Paraméterek!$I$28:$P$31,IF($D$2="Egyszeri",8,HLOOKUP(ROUNDUP($M$11+$M$13,0),Paraméterek!$J$26:$O$27,2))),IF($D$4="Forint",0,2))</f>
        <v>#N/A</v>
      </c>
      <c r="M212" s="13">
        <f t="shared" ca="1" si="49"/>
        <v>0</v>
      </c>
      <c r="N212" s="13">
        <f t="shared" ca="1" si="59"/>
        <v>0</v>
      </c>
      <c r="O212" s="13">
        <f ca="1">IF($D212="Igen",IF($W211&gt;=IF($D$4="Forint",Paraméterek!$J$121,Paraméterek!$K$121),0,IF($D$4="Forint",Paraméterek!$J$121,Paraméterek!$K$121)-$W211),0)</f>
        <v>0</v>
      </c>
      <c r="P212" s="13" t="e">
        <f ca="1">ROUNDUP($O212*VLOOKUP($M$4+$B212-1,Paraméterek!$H$58:$I$105,2,0)/Paraméterek!$I$56,IF($D$4="Forint",0,2))</f>
        <v>#N/A</v>
      </c>
      <c r="Q212" s="13">
        <f t="shared" ca="1" si="50"/>
        <v>0</v>
      </c>
      <c r="R212" s="33"/>
      <c r="S212" s="13" t="e">
        <f t="shared" ca="1" si="51"/>
        <v>#N/A</v>
      </c>
      <c r="T212" s="13" t="e">
        <f ca="1">ROUNDUP(($N212-$P212-$Q212+$S212)*VLOOKUP($B212,Paraméterek!$I$38:$K$39,IF($D$2="Egyszeri",3,2))/12*IF($D213="Nem",IF($M$13=0,1,$M$13),1),IF($D$4="Forint",0,2))</f>
        <v>#N/A</v>
      </c>
      <c r="U212" s="13"/>
      <c r="V212" s="13"/>
      <c r="W212" s="13" t="e">
        <f ca="1">$N212-$P212-$Q212+$S212-$T212-IF(ROUNDUP(IF(ISBLANK($V212),$U212*0,$V212)/IF($D$2="Egyszeri",VLOOKUP($B212+IF($C212=12,1,0),Paraméterek!$V$257:$W$262,2),IF($B212=1,1,VLOOKUP($B212+IF($C212=12,1,0),Paraméterek!$I$258:$T$278,HLOOKUP($M$11+1,Paraméterek!$J$256:$T$257,2)))),IF($D$4="Forint",0,2))&gt;$N212-$P212-$Q212+$S212-$T212-IF($D$4="Forint",Paraméterek!$C$216,Paraméterek!$D$216),0,ROUNDUP(IF(ISBLANK($V212),$U212*0,$V212)/IF($D$2="Egyszeri",VLOOKUP($B212+IF($C212=12,1,0),Paraméterek!$V$257:$W$262,2),IF($B212=1,1,VLOOKUP($B212+IF($C212=12,1,0),Paraméterek!$I$258:$T$278,HLOOKUP($M$11+1,Paraméterek!$J$256:$T$257,2)))),IF($D$4="Forint",0,2)))</f>
        <v>#N/A</v>
      </c>
      <c r="X212" s="13" t="e">
        <f ca="1">ROUNDDOWN($W212*IF($D$2="Egyszeri",VLOOKUP($B212+IF($C212=12,1,0),Paraméterek!$V$257:$W$262,2),VLOOKUP($B212+IF($C212=12,1,0),Paraméterek!$I$258:$T$278,HLOOKUP($M$11+1,Paraméterek!$I$256:$T$257,2))),IF($D$4="Forint",0,2))</f>
        <v>#N/A</v>
      </c>
      <c r="Z212" s="32">
        <v>193</v>
      </c>
      <c r="AA212" s="32">
        <v>17</v>
      </c>
      <c r="AB212" s="32">
        <v>1</v>
      </c>
      <c r="AC212" s="13">
        <f t="shared" ca="1" si="60"/>
        <v>0</v>
      </c>
      <c r="AD212" s="33"/>
      <c r="AE212" s="13">
        <f t="shared" ca="1" si="52"/>
        <v>0</v>
      </c>
      <c r="AF212" s="13">
        <f ca="1">ROUNDUP(($AC212+$AE212)*VLOOKUP($AA212,Paraméterek!$P$38:$Q$38,2)/12*IF($D213="Nem",IF($M$13=0,1,$M$13),1),IF($D$4="Forint",0,2))</f>
        <v>0</v>
      </c>
      <c r="AG212" s="13">
        <f ca="1">IF($D$2="Egyszeri",IF($D$7&gt;=IF($D$4="Forint",Paraméterek!$P$223,Paraméterek!$P$224),$D$7-IF($D$4="Forint",Paraméterek!$P$223,Paraméterek!$P$224),0),MIN(IF($AB212=12,AVERAGEIF($E$20:$E212,"&gt;0",$E$20:$E212)*12,0),SUM($E$20:$E$31)))</f>
        <v>0</v>
      </c>
      <c r="AH212" s="13">
        <f>IF($AA212=10,$AG212*IF($AB212=12,IF($AG212&lt;IF($D$4="Forint",Paraméterek!$L$223,Paraméterek!$L$224),0,VLOOKUP($AA212,Paraméterek!$K$226:$M$228,IF($AG212&lt;IF($D$4="Forint",Paraméterek!$M$223,Paraméterek!$M$224),2,3))),0),0)</f>
        <v>0</v>
      </c>
      <c r="AI212" s="13">
        <f ca="1">IF(AND($AA212=$M$11+1,$AB212=$M$12+1),SUMIF($AA$20:$AA$1027,$AA212,$AG$20:$AG$1027)*IF(SUMIF($AA$20:$AA$1027,$AA212,$AG$20:$AG$1027)&lt;IF($D$4="Forint",Paraméterek!$L$223,Paraméterek!$L$224),0,VLOOKUP($AA212,Paraméterek!$K$230:$M$250,IF(SUMIF($AA$20:$AA$1027,$AA212,$AG$20:$AG$1027)&lt;IF($D$4="Forint",Paraméterek!$M$223,Paraméterek!$M$224),2,3))),0)</f>
        <v>0</v>
      </c>
      <c r="AJ212" s="13">
        <f ca="1">IF(AND($AA212&gt;=5,MOD($AA212,5)=0),IF($AB212=12,VLOOKUP($AA212,Paraméterek!$O$225:$P$240,2),0),IF(OR($AA212=3,$AA212=4),IF($AB212=12,VLOOKUP($AA212,Paraméterek!$O$225:$P$240,2,0),0),0))*$AG212</f>
        <v>0</v>
      </c>
      <c r="AK212" s="13">
        <f t="shared" ca="1" si="53"/>
        <v>0</v>
      </c>
      <c r="AL212" s="13">
        <f t="shared" ca="1" si="61"/>
        <v>0</v>
      </c>
      <c r="AM212" s="13">
        <f t="shared" ca="1" si="62"/>
        <v>0</v>
      </c>
      <c r="AO212" s="32">
        <v>193</v>
      </c>
      <c r="AP212" s="32">
        <v>17</v>
      </c>
      <c r="AQ212" s="32">
        <v>1</v>
      </c>
      <c r="AR212" s="13">
        <f>Tranzakciók!$K$48</f>
        <v>0</v>
      </c>
      <c r="AS212" s="32"/>
      <c r="AT212" s="13">
        <f t="shared" ca="1" si="63"/>
        <v>0</v>
      </c>
      <c r="AU212" s="33"/>
      <c r="AV212" s="13">
        <f t="shared" ca="1" si="54"/>
        <v>0</v>
      </c>
      <c r="AW212" s="13">
        <f ca="1">ROUNDUP(($AT212+$AV212)*VLOOKUP($AP212,Paraméterek!$P$38:$Q$38,2)/12*IF($D213="Nem",IF($M$13=0,1,$M$13),1),IF($D$4="Forint",0,2))</f>
        <v>0</v>
      </c>
      <c r="AX212" s="13"/>
      <c r="AY212" s="13"/>
      <c r="AZ212" s="13">
        <f>ROUNDUP(IF(SUM($AX212:$AY212)=0,0,IF(IF(ISBLANK($AY212),$AX212,$AY212)*Paraméterek!$J$112&lt;IF($D$4="Forint",Paraméterek!$J$113,Paraméterek!$K$113),IF($D$4="Forint",Paraméterek!$J$113,Paraméterek!$K$113),IF(IF(ISBLANK($AY212),$AX212,$AY212)*Paraméterek!$J$112&gt;IF($D$4="Forint",Paraméterek!$J$114,Paraméterek!$K$114),IF($D$4="Forint",Paraméterek!$J$114,Paraméterek!$K$114),IF(ISBLANK($AY212),$AX212,$AY212)*Paraméterek!$J$112))),IF($D$4="Forint",0,2))</f>
        <v>0</v>
      </c>
      <c r="BA212" s="13">
        <f ca="1">$AT212+$AV212-$AW212-IF(ROUNDDOWN(IF(ISBLANK($AY212),$AX212,$AY212),IF($D$4="Forint",0,2))&gt;$AT212+$AV212-$AW212-IF($D$4="Forint",Paraméterek!$J$114,Paraméterek!$K$114),0,ROUNDDOWN(IF(ISBLANK($AY212),$AX212,$AY212),IF($D$4="Forint",0,2))-$AZ212)</f>
        <v>0</v>
      </c>
      <c r="BB212" s="13">
        <f t="shared" ca="1" si="55"/>
        <v>0</v>
      </c>
      <c r="BD212" s="32">
        <v>193</v>
      </c>
      <c r="BE212" s="32">
        <v>17</v>
      </c>
      <c r="BF212" s="32">
        <v>1</v>
      </c>
      <c r="BG212" s="34">
        <f t="shared" ca="1" si="64"/>
        <v>2035</v>
      </c>
      <c r="BH212" s="32" t="str">
        <f ca="1">IF(MOD(MONTH($D$14)+$BD212-1,12)=Paraméterek!$C$288,"Igen","")</f>
        <v/>
      </c>
      <c r="BI212" s="13">
        <f ca="1">IF($BH212="Igen",MIN(ROUNDDOWN((SUMIF($BG$20:$BG$1027,$BG212-1,$K$20:$K$1027)-SUMIF($BG$20:$BG$1027,$BG212-1,$I$20:$I$1027))*Paraméterek!$C$289,IF($D$4="Forint",0,2)),IF($D$4="Forint",Paraméterek!$C$285,Paraméterek!$D$285)),0)</f>
        <v>0</v>
      </c>
      <c r="BJ212" s="13">
        <f t="shared" ca="1" si="56"/>
        <v>0</v>
      </c>
      <c r="BK212" s="13">
        <f t="shared" ca="1" si="65"/>
        <v>0</v>
      </c>
      <c r="BL212" s="33"/>
      <c r="BM212" s="13">
        <f t="shared" ca="1" si="57"/>
        <v>0</v>
      </c>
      <c r="BN212" s="13">
        <f ca="1">ROUNDUP(($BK212+$BM212)*VLOOKUP($BE212,Paraméterek!$P$38:$Q$38,2)/12*IF($D213="Nem",IF($M$13=0,1,$M$13),1),IF($D$4="Forint",0,2))</f>
        <v>0</v>
      </c>
      <c r="BO212" s="13">
        <f t="shared" ca="1" si="58"/>
        <v>0</v>
      </c>
      <c r="BP212" s="13">
        <f ca="1">IF($D213="Nem",$BO212,$BO212-ROUNDUP(SUM($BI$20:$BI212)*120%,IF($D$4="Forint",0,2)))</f>
        <v>0</v>
      </c>
    </row>
    <row r="213" spans="1:68" x14ac:dyDescent="0.2">
      <c r="A213" s="32">
        <v>194</v>
      </c>
      <c r="B213" s="32">
        <v>17</v>
      </c>
      <c r="C213" s="32">
        <v>2</v>
      </c>
      <c r="D213" s="32" t="str">
        <f t="shared" ref="D213:D276" ca="1" si="66">IF($B213&lt;$M$11+1,"Igen",IF($B213&gt;$M$11+1,"Nem",IF($C213&lt;=$M$12+IF($M$13&gt;0,1,0),"Igen","Nem")))</f>
        <v>Nem</v>
      </c>
      <c r="E213" s="13">
        <f t="shared" ref="E213:E276" ca="1" si="67">IF($D213="Igen",IF($D$2="Egyszeri",IF($A213=1,$D$7,0),ROUNDUP(IF($D$2="Havi",$D$7,IF(MOD($C213,$M$1)-1=0,$D$7,0))*(1+$D$6)^($B213-1),IF($D$4="Forint",0,2))),0)</f>
        <v>0</v>
      </c>
      <c r="F213" s="13"/>
      <c r="G213" s="13"/>
      <c r="H213" s="13"/>
      <c r="I213" s="13">
        <f t="shared" ref="I213:I276" ca="1" si="68">ROUNDUP(IF(AND($D$8="Nincs",$D$2&lt;&gt;"Egyszeri"),$E213*10%,0),IF($D$4="Forint",0,2))</f>
        <v>0</v>
      </c>
      <c r="J213" s="13">
        <f t="shared" ref="J213:J276" ca="1" si="69">IF($D213="Igen",IF($D$2="Egyszeri",IF($A213=1,$M$3,0),ROUNDUP(IF($D$2="Havi",$M$3,IF(MOD($C213,$M$1)-1=0,$M$3,0))*(1+$M$2)^($B213-1),IF($D$4="Forint",0,2))),0)</f>
        <v>0</v>
      </c>
      <c r="K213" s="13">
        <f t="shared" ref="K213:K276" ca="1" si="70">IF($D213="Igen",IF(ISBLANK($F213),$E213,$F213)+IF(ISBLANK($H213),$G213,$H213)+$I213+$J213,0)</f>
        <v>0</v>
      </c>
      <c r="L213" s="13" t="e">
        <f ca="1">ROUNDUP(IF($D$2="Egyszeri",$E213,IF($D$2="Havi",SUM($E$20:$E$31),IF(MOD($C213,$M$1)-1=0,SUM($E$20:$E$31),0))/12*$M$1)*VLOOKUP($B213,Paraméterek!$I$28:$P$31,IF($D$2="Egyszeri",8,HLOOKUP(ROUNDUP($M$11+$M$13,0),Paraméterek!$J$26:$O$27,2))),IF($D$4="Forint",0,2))</f>
        <v>#N/A</v>
      </c>
      <c r="M213" s="13">
        <f t="shared" ref="M213:M276" ca="1" si="71">IF($D213="Igen",$E213-$L213+IF(ISBLANK($H213),$G213,$H213),0)</f>
        <v>0</v>
      </c>
      <c r="N213" s="13">
        <f t="shared" ca="1" si="59"/>
        <v>0</v>
      </c>
      <c r="O213" s="13">
        <f ca="1">IF($D213="Igen",IF($W212&gt;=IF($D$4="Forint",Paraméterek!$J$121,Paraméterek!$K$121),0,IF($D$4="Forint",Paraméterek!$J$121,Paraméterek!$K$121)-$W212),0)</f>
        <v>0</v>
      </c>
      <c r="P213" s="13" t="e">
        <f ca="1">ROUNDUP($O213*VLOOKUP($M$4+$B213-1,Paraméterek!$H$58:$I$105,2,0)/Paraméterek!$I$56,IF($D$4="Forint",0,2))</f>
        <v>#N/A</v>
      </c>
      <c r="Q213" s="13">
        <f t="shared" ref="Q213:Q276" ca="1" si="72">IF($D213="Igen",ROUNDUP($M$5*(1+$M$2)^($B213-1),IF($D$4="Forint",0,2)),0)</f>
        <v>0</v>
      </c>
      <c r="R213" s="33"/>
      <c r="S213" s="13" t="e">
        <f t="shared" ref="S213:S276" ca="1" si="73">ROUNDDOWN(($N213-$P213-$Q213)*IF(ISBLANK($R213),$M$6,$R213)*IF($D214="Nem",IF($M$13=0,1,$M$13),1),IF($D$4="Forint",0,2))</f>
        <v>#N/A</v>
      </c>
      <c r="T213" s="13" t="e">
        <f ca="1">ROUNDUP(($N213-$P213-$Q213+$S213)*VLOOKUP($B213,Paraméterek!$I$38:$K$39,IF($D$2="Egyszeri",3,2))/12*IF($D214="Nem",IF($M$13=0,1,$M$13),1),IF($D$4="Forint",0,2))</f>
        <v>#N/A</v>
      </c>
      <c r="U213" s="13"/>
      <c r="V213" s="13"/>
      <c r="W213" s="13" t="e">
        <f ca="1">$N213-$P213-$Q213+$S213-$T213-IF(ROUNDUP(IF(ISBLANK($V213),$U213*0,$V213)/IF($D$2="Egyszeri",VLOOKUP($B213+IF($C213=12,1,0),Paraméterek!$V$257:$W$262,2),IF($B213=1,1,VLOOKUP($B213+IF($C213=12,1,0),Paraméterek!$I$258:$T$278,HLOOKUP($M$11+1,Paraméterek!$J$256:$T$257,2)))),IF($D$4="Forint",0,2))&gt;$N213-$P213-$Q213+$S213-$T213-IF($D$4="Forint",Paraméterek!$C$216,Paraméterek!$D$216),0,ROUNDUP(IF(ISBLANK($V213),$U213*0,$V213)/IF($D$2="Egyszeri",VLOOKUP($B213+IF($C213=12,1,0),Paraméterek!$V$257:$W$262,2),IF($B213=1,1,VLOOKUP($B213+IF($C213=12,1,0),Paraméterek!$I$258:$T$278,HLOOKUP($M$11+1,Paraméterek!$J$256:$T$257,2)))),IF($D$4="Forint",0,2)))</f>
        <v>#N/A</v>
      </c>
      <c r="X213" s="13" t="e">
        <f ca="1">ROUNDDOWN($W213*IF($D$2="Egyszeri",VLOOKUP($B213+IF($C213=12,1,0),Paraméterek!$V$257:$W$262,2),VLOOKUP($B213+IF($C213=12,1,0),Paraméterek!$I$258:$T$278,HLOOKUP($M$11+1,Paraméterek!$I$256:$T$257,2))),IF($D$4="Forint",0,2))</f>
        <v>#N/A</v>
      </c>
      <c r="Z213" s="32">
        <v>194</v>
      </c>
      <c r="AA213" s="32">
        <v>17</v>
      </c>
      <c r="AB213" s="32">
        <v>2</v>
      </c>
      <c r="AC213" s="13">
        <f t="shared" ca="1" si="60"/>
        <v>0</v>
      </c>
      <c r="AD213" s="33"/>
      <c r="AE213" s="13">
        <f t="shared" ref="AE213:AE276" ca="1" si="74">ROUNDDOWN($AC213*IF(ISBLANK($AD213),$M$8,$AD213)*IF($D214="Nem",IF($M$13=0,1,$M$13),1),IF($D$4="Forint",0,2))</f>
        <v>0</v>
      </c>
      <c r="AF213" s="13">
        <f ca="1">ROUNDUP(($AC213+$AE213)*VLOOKUP($AA213,Paraméterek!$P$38:$Q$38,2)/12*IF($D214="Nem",IF($M$13=0,1,$M$13),1),IF($D$4="Forint",0,2))</f>
        <v>0</v>
      </c>
      <c r="AG213" s="13">
        <f ca="1">IF($D$2="Egyszeri",IF($D$7&gt;=IF($D$4="Forint",Paraméterek!$P$223,Paraméterek!$P$224),$D$7-IF($D$4="Forint",Paraméterek!$P$223,Paraméterek!$P$224),0),MIN(IF($AB213=12,AVERAGEIF($E$20:$E213,"&gt;0",$E$20:$E213)*12,0),SUM($E$20:$E$31)))</f>
        <v>0</v>
      </c>
      <c r="AH213" s="13">
        <f>IF($AA213=10,$AG213*IF($AB213=12,IF($AG213&lt;IF($D$4="Forint",Paraméterek!$L$223,Paraméterek!$L$224),0,VLOOKUP($AA213,Paraméterek!$K$226:$M$228,IF($AG213&lt;IF($D$4="Forint",Paraméterek!$M$223,Paraméterek!$M$224),2,3))),0),0)</f>
        <v>0</v>
      </c>
      <c r="AI213" s="13">
        <f ca="1">IF(AND($AA213=$M$11+1,$AB213=$M$12+1),SUMIF($AA$20:$AA$1027,$AA213,$AG$20:$AG$1027)*IF(SUMIF($AA$20:$AA$1027,$AA213,$AG$20:$AG$1027)&lt;IF($D$4="Forint",Paraméterek!$L$223,Paraméterek!$L$224),0,VLOOKUP($AA213,Paraméterek!$K$230:$M$250,IF(SUMIF($AA$20:$AA$1027,$AA213,$AG$20:$AG$1027)&lt;IF($D$4="Forint",Paraméterek!$M$223,Paraméterek!$M$224),2,3))),0)</f>
        <v>0</v>
      </c>
      <c r="AJ213" s="13">
        <f ca="1">IF(AND($AA213&gt;=5,MOD($AA213,5)=0),IF($AB213=12,VLOOKUP($AA213,Paraméterek!$O$225:$P$240,2),0),IF(OR($AA213=3,$AA213=4),IF($AB213=12,VLOOKUP($AA213,Paraméterek!$O$225:$P$240,2,0),0),0))*$AG213</f>
        <v>0</v>
      </c>
      <c r="AK213" s="13">
        <f t="shared" ref="AK213:AK276" ca="1" si="75">ROUNDDOWN(IF($D$2="Egyszeri",$AJ213,$AH213+$AI213),IF($D$4="Forint",0,2))</f>
        <v>0</v>
      </c>
      <c r="AL213" s="13">
        <f t="shared" ca="1" si="61"/>
        <v>0</v>
      </c>
      <c r="AM213" s="13">
        <f t="shared" ca="1" si="62"/>
        <v>0</v>
      </c>
      <c r="AO213" s="32">
        <v>194</v>
      </c>
      <c r="AP213" s="32">
        <v>17</v>
      </c>
      <c r="AQ213" s="32">
        <v>2</v>
      </c>
      <c r="AR213" s="13"/>
      <c r="AS213" s="32"/>
      <c r="AT213" s="13">
        <f t="shared" ca="1" si="63"/>
        <v>0</v>
      </c>
      <c r="AU213" s="33"/>
      <c r="AV213" s="13">
        <f t="shared" ref="AV213:AV276" ca="1" si="76">ROUNDDOWN($AT213*IF(ISBLANK($AU213),$M$7,$AU213)*IF($D214="Nem",IF($M$13=0,1,$M$13),1),IF($D$4="Forint",0,2))</f>
        <v>0</v>
      </c>
      <c r="AW213" s="13">
        <f ca="1">ROUNDUP(($AT213+$AV213)*VLOOKUP($AP213,Paraméterek!$P$38:$Q$38,2)/12*IF($D214="Nem",IF($M$13=0,1,$M$13),1),IF($D$4="Forint",0,2))</f>
        <v>0</v>
      </c>
      <c r="AX213" s="13"/>
      <c r="AY213" s="13"/>
      <c r="AZ213" s="13">
        <f>ROUNDUP(IF(SUM($AX213:$AY213)=0,0,IF(IF(ISBLANK($AY213),$AX213,$AY213)*Paraméterek!$J$112&lt;IF($D$4="Forint",Paraméterek!$J$113,Paraméterek!$K$113),IF($D$4="Forint",Paraméterek!$J$113,Paraméterek!$K$113),IF(IF(ISBLANK($AY213),$AX213,$AY213)*Paraméterek!$J$112&gt;IF($D$4="Forint",Paraméterek!$J$114,Paraméterek!$K$114),IF($D$4="Forint",Paraméterek!$J$114,Paraméterek!$K$114),IF(ISBLANK($AY213),$AX213,$AY213)*Paraméterek!$J$112))),IF($D$4="Forint",0,2))</f>
        <v>0</v>
      </c>
      <c r="BA213" s="13">
        <f ca="1">$AT213+$AV213-$AW213-IF(ROUNDDOWN(IF(ISBLANK($AY213),$AX213,$AY213),IF($D$4="Forint",0,2))&gt;$AT213+$AV213-$AW213-IF($D$4="Forint",Paraméterek!$J$114,Paraméterek!$K$114),0,ROUNDDOWN(IF(ISBLANK($AY213),$AX213,$AY213),IF($D$4="Forint",0,2))-$AZ213)</f>
        <v>0</v>
      </c>
      <c r="BB213" s="13">
        <f t="shared" ref="BB213:BB276" ca="1" si="77">$BA213</f>
        <v>0</v>
      </c>
      <c r="BD213" s="32">
        <v>194</v>
      </c>
      <c r="BE213" s="32">
        <v>17</v>
      </c>
      <c r="BF213" s="32">
        <v>2</v>
      </c>
      <c r="BG213" s="34">
        <f t="shared" ca="1" si="64"/>
        <v>2035</v>
      </c>
      <c r="BH213" s="32" t="str">
        <f ca="1">IF(MOD(MONTH($D$14)+$BD213-1,12)=Paraméterek!$C$288,"Igen","")</f>
        <v>Igen</v>
      </c>
      <c r="BI213" s="13">
        <f ca="1">IF($BH213="Igen",MIN(ROUNDDOWN((SUMIF($BG$20:$BG$1027,$BG213-1,$K$20:$K$1027)-SUMIF($BG$20:$BG$1027,$BG213-1,$I$20:$I$1027))*Paraméterek!$C$289,IF($D$4="Forint",0,2)),IF($D$4="Forint",Paraméterek!$C$285,Paraméterek!$D$285)),0)</f>
        <v>0</v>
      </c>
      <c r="BJ213" s="13">
        <f t="shared" ref="BJ213:BJ276" ca="1" si="78">IF(AND($D213="Igen",$BH213="Igen"),$BI213,0)</f>
        <v>0</v>
      </c>
      <c r="BK213" s="13">
        <f t="shared" ca="1" si="65"/>
        <v>0</v>
      </c>
      <c r="BL213" s="33"/>
      <c r="BM213" s="13">
        <f t="shared" ref="BM213:BM276" ca="1" si="79">ROUNDDOWN($BK213*IF(ISBLANK($BL213),$M$9,$BL213)*IF($D214="Nem",IF($M$13=0,1,$M$13),1),IF($D$4="Forint",0,2))</f>
        <v>0</v>
      </c>
      <c r="BN213" s="13">
        <f ca="1">ROUNDUP(($BK213+$BM213)*VLOOKUP($BE213,Paraméterek!$P$38:$Q$38,2)/12*IF($D214="Nem",IF($M$13=0,1,$M$13),1),IF($D$4="Forint",0,2))</f>
        <v>0</v>
      </c>
      <c r="BO213" s="13">
        <f t="shared" ref="BO213:BO276" ca="1" si="80">$BK213+$BM213-$BN213</f>
        <v>0</v>
      </c>
      <c r="BP213" s="13">
        <f ca="1">IF($D214="Nem",$BO213,$BO213-ROUNDUP(SUM($BI$20:$BI213)*120%,IF($D$4="Forint",0,2)))</f>
        <v>0</v>
      </c>
    </row>
    <row r="214" spans="1:68" x14ac:dyDescent="0.2">
      <c r="A214" s="32">
        <v>195</v>
      </c>
      <c r="B214" s="32">
        <v>17</v>
      </c>
      <c r="C214" s="32">
        <v>3</v>
      </c>
      <c r="D214" s="32" t="str">
        <f t="shared" ca="1" si="66"/>
        <v>Nem</v>
      </c>
      <c r="E214" s="13">
        <f t="shared" ca="1" si="67"/>
        <v>0</v>
      </c>
      <c r="F214" s="13"/>
      <c r="G214" s="13"/>
      <c r="H214" s="13"/>
      <c r="I214" s="13">
        <f t="shared" ca="1" si="68"/>
        <v>0</v>
      </c>
      <c r="J214" s="13">
        <f t="shared" ca="1" si="69"/>
        <v>0</v>
      </c>
      <c r="K214" s="13">
        <f t="shared" ca="1" si="70"/>
        <v>0</v>
      </c>
      <c r="L214" s="13" t="e">
        <f ca="1">ROUNDUP(IF($D$2="Egyszeri",$E214,IF($D$2="Havi",SUM($E$20:$E$31),IF(MOD($C214,$M$1)-1=0,SUM($E$20:$E$31),0))/12*$M$1)*VLOOKUP($B214,Paraméterek!$I$28:$P$31,IF($D$2="Egyszeri",8,HLOOKUP(ROUNDUP($M$11+$M$13,0),Paraméterek!$J$26:$O$27,2))),IF($D$4="Forint",0,2))</f>
        <v>#N/A</v>
      </c>
      <c r="M214" s="13">
        <f t="shared" ca="1" si="71"/>
        <v>0</v>
      </c>
      <c r="N214" s="13">
        <f t="shared" ref="N214:N277" ca="1" si="81">IF($D214="Igen",$M214+$W213,0)</f>
        <v>0</v>
      </c>
      <c r="O214" s="13">
        <f ca="1">IF($D214="Igen",IF($W213&gt;=IF($D$4="Forint",Paraméterek!$J$121,Paraméterek!$K$121),0,IF($D$4="Forint",Paraméterek!$J$121,Paraméterek!$K$121)-$W213),0)</f>
        <v>0</v>
      </c>
      <c r="P214" s="13" t="e">
        <f ca="1">ROUNDUP($O214*VLOOKUP($M$4+$B214-1,Paraméterek!$H$58:$I$105,2,0)/Paraméterek!$I$56,IF($D$4="Forint",0,2))</f>
        <v>#N/A</v>
      </c>
      <c r="Q214" s="13">
        <f t="shared" ca="1" si="72"/>
        <v>0</v>
      </c>
      <c r="R214" s="33"/>
      <c r="S214" s="13" t="e">
        <f t="shared" ca="1" si="73"/>
        <v>#N/A</v>
      </c>
      <c r="T214" s="13" t="e">
        <f ca="1">ROUNDUP(($N214-$P214-$Q214+$S214)*VLOOKUP($B214,Paraméterek!$I$38:$K$39,IF($D$2="Egyszeri",3,2))/12*IF($D215="Nem",IF($M$13=0,1,$M$13),1),IF($D$4="Forint",0,2))</f>
        <v>#N/A</v>
      </c>
      <c r="U214" s="13"/>
      <c r="V214" s="13"/>
      <c r="W214" s="13" t="e">
        <f ca="1">$N214-$P214-$Q214+$S214-$T214-IF(ROUNDUP(IF(ISBLANK($V214),$U214*0,$V214)/IF($D$2="Egyszeri",VLOOKUP($B214+IF($C214=12,1,0),Paraméterek!$V$257:$W$262,2),IF($B214=1,1,VLOOKUP($B214+IF($C214=12,1,0),Paraméterek!$I$258:$T$278,HLOOKUP($M$11+1,Paraméterek!$J$256:$T$257,2)))),IF($D$4="Forint",0,2))&gt;$N214-$P214-$Q214+$S214-$T214-IF($D$4="Forint",Paraméterek!$C$216,Paraméterek!$D$216),0,ROUNDUP(IF(ISBLANK($V214),$U214*0,$V214)/IF($D$2="Egyszeri",VLOOKUP($B214+IF($C214=12,1,0),Paraméterek!$V$257:$W$262,2),IF($B214=1,1,VLOOKUP($B214+IF($C214=12,1,0),Paraméterek!$I$258:$T$278,HLOOKUP($M$11+1,Paraméterek!$J$256:$T$257,2)))),IF($D$4="Forint",0,2)))</f>
        <v>#N/A</v>
      </c>
      <c r="X214" s="13" t="e">
        <f ca="1">ROUNDDOWN($W214*IF($D$2="Egyszeri",VLOOKUP($B214+IF($C214=12,1,0),Paraméterek!$V$257:$W$262,2),VLOOKUP($B214+IF($C214=12,1,0),Paraméterek!$I$258:$T$278,HLOOKUP($M$11+1,Paraméterek!$I$256:$T$257,2))),IF($D$4="Forint",0,2))</f>
        <v>#N/A</v>
      </c>
      <c r="Z214" s="32">
        <v>195</v>
      </c>
      <c r="AA214" s="32">
        <v>17</v>
      </c>
      <c r="AB214" s="32">
        <v>3</v>
      </c>
      <c r="AC214" s="13">
        <f t="shared" ref="AC214:AC277" ca="1" si="82">IF($D214="Igen",$AL213,0)</f>
        <v>0</v>
      </c>
      <c r="AD214" s="33"/>
      <c r="AE214" s="13">
        <f t="shared" ca="1" si="74"/>
        <v>0</v>
      </c>
      <c r="AF214" s="13">
        <f ca="1">ROUNDUP(($AC214+$AE214)*VLOOKUP($AA214,Paraméterek!$P$38:$Q$38,2)/12*IF($D215="Nem",IF($M$13=0,1,$M$13),1),IF($D$4="Forint",0,2))</f>
        <v>0</v>
      </c>
      <c r="AG214" s="13">
        <f ca="1">IF($D$2="Egyszeri",IF($D$7&gt;=IF($D$4="Forint",Paraméterek!$P$223,Paraméterek!$P$224),$D$7-IF($D$4="Forint",Paraméterek!$P$223,Paraméterek!$P$224),0),MIN(IF($AB214=12,AVERAGEIF($E$20:$E214,"&gt;0",$E$20:$E214)*12,0),SUM($E$20:$E$31)))</f>
        <v>0</v>
      </c>
      <c r="AH214" s="13">
        <f>IF($AA214=10,$AG214*IF($AB214=12,IF($AG214&lt;IF($D$4="Forint",Paraméterek!$L$223,Paraméterek!$L$224),0,VLOOKUP($AA214,Paraméterek!$K$226:$M$228,IF($AG214&lt;IF($D$4="Forint",Paraméterek!$M$223,Paraméterek!$M$224),2,3))),0),0)</f>
        <v>0</v>
      </c>
      <c r="AI214" s="13">
        <f ca="1">IF(AND($AA214=$M$11+1,$AB214=$M$12+1),SUMIF($AA$20:$AA$1027,$AA214,$AG$20:$AG$1027)*IF(SUMIF($AA$20:$AA$1027,$AA214,$AG$20:$AG$1027)&lt;IF($D$4="Forint",Paraméterek!$L$223,Paraméterek!$L$224),0,VLOOKUP($AA214,Paraméterek!$K$230:$M$250,IF(SUMIF($AA$20:$AA$1027,$AA214,$AG$20:$AG$1027)&lt;IF($D$4="Forint",Paraméterek!$M$223,Paraméterek!$M$224),2,3))),0)</f>
        <v>0</v>
      </c>
      <c r="AJ214" s="13">
        <f ca="1">IF(AND($AA214&gt;=5,MOD($AA214,5)=0),IF($AB214=12,VLOOKUP($AA214,Paraméterek!$O$225:$P$240,2),0),IF(OR($AA214=3,$AA214=4),IF($AB214=12,VLOOKUP($AA214,Paraméterek!$O$225:$P$240,2,0),0),0))*$AG214</f>
        <v>0</v>
      </c>
      <c r="AK214" s="13">
        <f t="shared" ca="1" si="75"/>
        <v>0</v>
      </c>
      <c r="AL214" s="13">
        <f t="shared" ref="AL214:AL277" ca="1" si="83">$AC214+$AE214-$AF214+$AK214</f>
        <v>0</v>
      </c>
      <c r="AM214" s="13">
        <f t="shared" ref="AM214:AM277" ca="1" si="84">$AL214</f>
        <v>0</v>
      </c>
      <c r="AO214" s="32">
        <v>195</v>
      </c>
      <c r="AP214" s="32">
        <v>17</v>
      </c>
      <c r="AQ214" s="32">
        <v>3</v>
      </c>
      <c r="AR214" s="13"/>
      <c r="AS214" s="32"/>
      <c r="AT214" s="13">
        <f t="shared" ref="AT214:AT277" ca="1" si="85">IF($D214="Igen",IF(ISBLANK($AS214),$AR214,$AS214)+$BA213,0)</f>
        <v>0</v>
      </c>
      <c r="AU214" s="33"/>
      <c r="AV214" s="13">
        <f t="shared" ca="1" si="76"/>
        <v>0</v>
      </c>
      <c r="AW214" s="13">
        <f ca="1">ROUNDUP(($AT214+$AV214)*VLOOKUP($AP214,Paraméterek!$P$38:$Q$38,2)/12*IF($D215="Nem",IF($M$13=0,1,$M$13),1),IF($D$4="Forint",0,2))</f>
        <v>0</v>
      </c>
      <c r="AX214" s="13"/>
      <c r="AY214" s="13"/>
      <c r="AZ214" s="13">
        <f>ROUNDUP(IF(SUM($AX214:$AY214)=0,0,IF(IF(ISBLANK($AY214),$AX214,$AY214)*Paraméterek!$J$112&lt;IF($D$4="Forint",Paraméterek!$J$113,Paraméterek!$K$113),IF($D$4="Forint",Paraméterek!$J$113,Paraméterek!$K$113),IF(IF(ISBLANK($AY214),$AX214,$AY214)*Paraméterek!$J$112&gt;IF($D$4="Forint",Paraméterek!$J$114,Paraméterek!$K$114),IF($D$4="Forint",Paraméterek!$J$114,Paraméterek!$K$114),IF(ISBLANK($AY214),$AX214,$AY214)*Paraméterek!$J$112))),IF($D$4="Forint",0,2))</f>
        <v>0</v>
      </c>
      <c r="BA214" s="13">
        <f ca="1">$AT214+$AV214-$AW214-IF(ROUNDDOWN(IF(ISBLANK($AY214),$AX214,$AY214),IF($D$4="Forint",0,2))&gt;$AT214+$AV214-$AW214-IF($D$4="Forint",Paraméterek!$J$114,Paraméterek!$K$114),0,ROUNDDOWN(IF(ISBLANK($AY214),$AX214,$AY214),IF($D$4="Forint",0,2))-$AZ214)</f>
        <v>0</v>
      </c>
      <c r="BB214" s="13">
        <f t="shared" ca="1" si="77"/>
        <v>0</v>
      </c>
      <c r="BD214" s="32">
        <v>195</v>
      </c>
      <c r="BE214" s="32">
        <v>17</v>
      </c>
      <c r="BF214" s="32">
        <v>3</v>
      </c>
      <c r="BG214" s="34">
        <f t="shared" ref="BG214:BG277" ca="1" si="86">$BG213+IF(MOD(MONTH($D$14)+$BD214-1,12)=1,1,0)</f>
        <v>2035</v>
      </c>
      <c r="BH214" s="32" t="str">
        <f ca="1">IF(MOD(MONTH($D$14)+$BD214-1,12)=Paraméterek!$C$288,"Igen","")</f>
        <v/>
      </c>
      <c r="BI214" s="13">
        <f ca="1">IF($BH214="Igen",MIN(ROUNDDOWN((SUMIF($BG$20:$BG$1027,$BG214-1,$K$20:$K$1027)-SUMIF($BG$20:$BG$1027,$BG214-1,$I$20:$I$1027))*Paraméterek!$C$289,IF($D$4="Forint",0,2)),IF($D$4="Forint",Paraméterek!$C$285,Paraméterek!$D$285)),0)</f>
        <v>0</v>
      </c>
      <c r="BJ214" s="13">
        <f t="shared" ca="1" si="78"/>
        <v>0</v>
      </c>
      <c r="BK214" s="13">
        <f t="shared" ref="BK214:BK277" ca="1" si="87">$BJ214+IF($D214="Igen",$BO213,0)</f>
        <v>0</v>
      </c>
      <c r="BL214" s="33"/>
      <c r="BM214" s="13">
        <f t="shared" ca="1" si="79"/>
        <v>0</v>
      </c>
      <c r="BN214" s="13">
        <f ca="1">ROUNDUP(($BK214+$BM214)*VLOOKUP($BE214,Paraméterek!$P$38:$Q$38,2)/12*IF($D215="Nem",IF($M$13=0,1,$M$13),1),IF($D$4="Forint",0,2))</f>
        <v>0</v>
      </c>
      <c r="BO214" s="13">
        <f t="shared" ca="1" si="80"/>
        <v>0</v>
      </c>
      <c r="BP214" s="13">
        <f ca="1">IF($D215="Nem",$BO214,$BO214-ROUNDUP(SUM($BI$20:$BI214)*120%,IF($D$4="Forint",0,2)))</f>
        <v>0</v>
      </c>
    </row>
    <row r="215" spans="1:68" x14ac:dyDescent="0.2">
      <c r="A215" s="32">
        <v>196</v>
      </c>
      <c r="B215" s="32">
        <v>17</v>
      </c>
      <c r="C215" s="32">
        <v>4</v>
      </c>
      <c r="D215" s="32" t="str">
        <f t="shared" ca="1" si="66"/>
        <v>Nem</v>
      </c>
      <c r="E215" s="13">
        <f t="shared" ca="1" si="67"/>
        <v>0</v>
      </c>
      <c r="F215" s="13"/>
      <c r="G215" s="13"/>
      <c r="H215" s="13"/>
      <c r="I215" s="13">
        <f t="shared" ca="1" si="68"/>
        <v>0</v>
      </c>
      <c r="J215" s="13">
        <f t="shared" ca="1" si="69"/>
        <v>0</v>
      </c>
      <c r="K215" s="13">
        <f t="shared" ca="1" si="70"/>
        <v>0</v>
      </c>
      <c r="L215" s="13" t="e">
        <f ca="1">ROUNDUP(IF($D$2="Egyszeri",$E215,IF($D$2="Havi",SUM($E$20:$E$31),IF(MOD($C215,$M$1)-1=0,SUM($E$20:$E$31),0))/12*$M$1)*VLOOKUP($B215,Paraméterek!$I$28:$P$31,IF($D$2="Egyszeri",8,HLOOKUP(ROUNDUP($M$11+$M$13,0),Paraméterek!$J$26:$O$27,2))),IF($D$4="Forint",0,2))</f>
        <v>#N/A</v>
      </c>
      <c r="M215" s="13">
        <f t="shared" ca="1" si="71"/>
        <v>0</v>
      </c>
      <c r="N215" s="13">
        <f t="shared" ca="1" si="81"/>
        <v>0</v>
      </c>
      <c r="O215" s="13">
        <f ca="1">IF($D215="Igen",IF($W214&gt;=IF($D$4="Forint",Paraméterek!$J$121,Paraméterek!$K$121),0,IF($D$4="Forint",Paraméterek!$J$121,Paraméterek!$K$121)-$W214),0)</f>
        <v>0</v>
      </c>
      <c r="P215" s="13" t="e">
        <f ca="1">ROUNDUP($O215*VLOOKUP($M$4+$B215-1,Paraméterek!$H$58:$I$105,2,0)/Paraméterek!$I$56,IF($D$4="Forint",0,2))</f>
        <v>#N/A</v>
      </c>
      <c r="Q215" s="13">
        <f t="shared" ca="1" si="72"/>
        <v>0</v>
      </c>
      <c r="R215" s="33"/>
      <c r="S215" s="13" t="e">
        <f t="shared" ca="1" si="73"/>
        <v>#N/A</v>
      </c>
      <c r="T215" s="13" t="e">
        <f ca="1">ROUNDUP(($N215-$P215-$Q215+$S215)*VLOOKUP($B215,Paraméterek!$I$38:$K$39,IF($D$2="Egyszeri",3,2))/12*IF($D216="Nem",IF($M$13=0,1,$M$13),1),IF($D$4="Forint",0,2))</f>
        <v>#N/A</v>
      </c>
      <c r="U215" s="13"/>
      <c r="V215" s="13"/>
      <c r="W215" s="13" t="e">
        <f ca="1">$N215-$P215-$Q215+$S215-$T215-IF(ROUNDUP(IF(ISBLANK($V215),$U215*0,$V215)/IF($D$2="Egyszeri",VLOOKUP($B215+IF($C215=12,1,0),Paraméterek!$V$257:$W$262,2),IF($B215=1,1,VLOOKUP($B215+IF($C215=12,1,0),Paraméterek!$I$258:$T$278,HLOOKUP($M$11+1,Paraméterek!$J$256:$T$257,2)))),IF($D$4="Forint",0,2))&gt;$N215-$P215-$Q215+$S215-$T215-IF($D$4="Forint",Paraméterek!$C$216,Paraméterek!$D$216),0,ROUNDUP(IF(ISBLANK($V215),$U215*0,$V215)/IF($D$2="Egyszeri",VLOOKUP($B215+IF($C215=12,1,0),Paraméterek!$V$257:$W$262,2),IF($B215=1,1,VLOOKUP($B215+IF($C215=12,1,0),Paraméterek!$I$258:$T$278,HLOOKUP($M$11+1,Paraméterek!$J$256:$T$257,2)))),IF($D$4="Forint",0,2)))</f>
        <v>#N/A</v>
      </c>
      <c r="X215" s="13" t="e">
        <f ca="1">ROUNDDOWN($W215*IF($D$2="Egyszeri",VLOOKUP($B215+IF($C215=12,1,0),Paraméterek!$V$257:$W$262,2),VLOOKUP($B215+IF($C215=12,1,0),Paraméterek!$I$258:$T$278,HLOOKUP($M$11+1,Paraméterek!$I$256:$T$257,2))),IF($D$4="Forint",0,2))</f>
        <v>#N/A</v>
      </c>
      <c r="Z215" s="32">
        <v>196</v>
      </c>
      <c r="AA215" s="32">
        <v>17</v>
      </c>
      <c r="AB215" s="32">
        <v>4</v>
      </c>
      <c r="AC215" s="13">
        <f t="shared" ca="1" si="82"/>
        <v>0</v>
      </c>
      <c r="AD215" s="33"/>
      <c r="AE215" s="13">
        <f t="shared" ca="1" si="74"/>
        <v>0</v>
      </c>
      <c r="AF215" s="13">
        <f ca="1">ROUNDUP(($AC215+$AE215)*VLOOKUP($AA215,Paraméterek!$P$38:$Q$38,2)/12*IF($D216="Nem",IF($M$13=0,1,$M$13),1),IF($D$4="Forint",0,2))</f>
        <v>0</v>
      </c>
      <c r="AG215" s="13">
        <f ca="1">IF($D$2="Egyszeri",IF($D$7&gt;=IF($D$4="Forint",Paraméterek!$P$223,Paraméterek!$P$224),$D$7-IF($D$4="Forint",Paraméterek!$P$223,Paraméterek!$P$224),0),MIN(IF($AB215=12,AVERAGEIF($E$20:$E215,"&gt;0",$E$20:$E215)*12,0),SUM($E$20:$E$31)))</f>
        <v>0</v>
      </c>
      <c r="AH215" s="13">
        <f>IF($AA215=10,$AG215*IF($AB215=12,IF($AG215&lt;IF($D$4="Forint",Paraméterek!$L$223,Paraméterek!$L$224),0,VLOOKUP($AA215,Paraméterek!$K$226:$M$228,IF($AG215&lt;IF($D$4="Forint",Paraméterek!$M$223,Paraméterek!$M$224),2,3))),0),0)</f>
        <v>0</v>
      </c>
      <c r="AI215" s="13">
        <f ca="1">IF(AND($AA215=$M$11+1,$AB215=$M$12+1),SUMIF($AA$20:$AA$1027,$AA215,$AG$20:$AG$1027)*IF(SUMIF($AA$20:$AA$1027,$AA215,$AG$20:$AG$1027)&lt;IF($D$4="Forint",Paraméterek!$L$223,Paraméterek!$L$224),0,VLOOKUP($AA215,Paraméterek!$K$230:$M$250,IF(SUMIF($AA$20:$AA$1027,$AA215,$AG$20:$AG$1027)&lt;IF($D$4="Forint",Paraméterek!$M$223,Paraméterek!$M$224),2,3))),0)</f>
        <v>0</v>
      </c>
      <c r="AJ215" s="13">
        <f ca="1">IF(AND($AA215&gt;=5,MOD($AA215,5)=0),IF($AB215=12,VLOOKUP($AA215,Paraméterek!$O$225:$P$240,2),0),IF(OR($AA215=3,$AA215=4),IF($AB215=12,VLOOKUP($AA215,Paraméterek!$O$225:$P$240,2,0),0),0))*$AG215</f>
        <v>0</v>
      </c>
      <c r="AK215" s="13">
        <f t="shared" ca="1" si="75"/>
        <v>0</v>
      </c>
      <c r="AL215" s="13">
        <f t="shared" ca="1" si="83"/>
        <v>0</v>
      </c>
      <c r="AM215" s="13">
        <f t="shared" ca="1" si="84"/>
        <v>0</v>
      </c>
      <c r="AO215" s="32">
        <v>196</v>
      </c>
      <c r="AP215" s="32">
        <v>17</v>
      </c>
      <c r="AQ215" s="32">
        <v>4</v>
      </c>
      <c r="AR215" s="13"/>
      <c r="AS215" s="32"/>
      <c r="AT215" s="13">
        <f t="shared" ca="1" si="85"/>
        <v>0</v>
      </c>
      <c r="AU215" s="33"/>
      <c r="AV215" s="13">
        <f t="shared" ca="1" si="76"/>
        <v>0</v>
      </c>
      <c r="AW215" s="13">
        <f ca="1">ROUNDUP(($AT215+$AV215)*VLOOKUP($AP215,Paraméterek!$P$38:$Q$38,2)/12*IF($D216="Nem",IF($M$13=0,1,$M$13),1),IF($D$4="Forint",0,2))</f>
        <v>0</v>
      </c>
      <c r="AX215" s="13"/>
      <c r="AY215" s="13"/>
      <c r="AZ215" s="13">
        <f>ROUNDUP(IF(SUM($AX215:$AY215)=0,0,IF(IF(ISBLANK($AY215),$AX215,$AY215)*Paraméterek!$J$112&lt;IF($D$4="Forint",Paraméterek!$J$113,Paraméterek!$K$113),IF($D$4="Forint",Paraméterek!$J$113,Paraméterek!$K$113),IF(IF(ISBLANK($AY215),$AX215,$AY215)*Paraméterek!$J$112&gt;IF($D$4="Forint",Paraméterek!$J$114,Paraméterek!$K$114),IF($D$4="Forint",Paraméterek!$J$114,Paraméterek!$K$114),IF(ISBLANK($AY215),$AX215,$AY215)*Paraméterek!$J$112))),IF($D$4="Forint",0,2))</f>
        <v>0</v>
      </c>
      <c r="BA215" s="13">
        <f ca="1">$AT215+$AV215-$AW215-IF(ROUNDDOWN(IF(ISBLANK($AY215),$AX215,$AY215),IF($D$4="Forint",0,2))&gt;$AT215+$AV215-$AW215-IF($D$4="Forint",Paraméterek!$J$114,Paraméterek!$K$114),0,ROUNDDOWN(IF(ISBLANK($AY215),$AX215,$AY215),IF($D$4="Forint",0,2))-$AZ215)</f>
        <v>0</v>
      </c>
      <c r="BB215" s="13">
        <f t="shared" ca="1" si="77"/>
        <v>0</v>
      </c>
      <c r="BD215" s="32">
        <v>196</v>
      </c>
      <c r="BE215" s="32">
        <v>17</v>
      </c>
      <c r="BF215" s="32">
        <v>4</v>
      </c>
      <c r="BG215" s="34">
        <f t="shared" ca="1" si="86"/>
        <v>2035</v>
      </c>
      <c r="BH215" s="32" t="str">
        <f ca="1">IF(MOD(MONTH($D$14)+$BD215-1,12)=Paraméterek!$C$288,"Igen","")</f>
        <v/>
      </c>
      <c r="BI215" s="13">
        <f ca="1">IF($BH215="Igen",MIN(ROUNDDOWN((SUMIF($BG$20:$BG$1027,$BG215-1,$K$20:$K$1027)-SUMIF($BG$20:$BG$1027,$BG215-1,$I$20:$I$1027))*Paraméterek!$C$289,IF($D$4="Forint",0,2)),IF($D$4="Forint",Paraméterek!$C$285,Paraméterek!$D$285)),0)</f>
        <v>0</v>
      </c>
      <c r="BJ215" s="13">
        <f t="shared" ca="1" si="78"/>
        <v>0</v>
      </c>
      <c r="BK215" s="13">
        <f t="shared" ca="1" si="87"/>
        <v>0</v>
      </c>
      <c r="BL215" s="33"/>
      <c r="BM215" s="13">
        <f t="shared" ca="1" si="79"/>
        <v>0</v>
      </c>
      <c r="BN215" s="13">
        <f ca="1">ROUNDUP(($BK215+$BM215)*VLOOKUP($BE215,Paraméterek!$P$38:$Q$38,2)/12*IF($D216="Nem",IF($M$13=0,1,$M$13),1),IF($D$4="Forint",0,2))</f>
        <v>0</v>
      </c>
      <c r="BO215" s="13">
        <f t="shared" ca="1" si="80"/>
        <v>0</v>
      </c>
      <c r="BP215" s="13">
        <f ca="1">IF($D216="Nem",$BO215,$BO215-ROUNDUP(SUM($BI$20:$BI215)*120%,IF($D$4="Forint",0,2)))</f>
        <v>0</v>
      </c>
    </row>
    <row r="216" spans="1:68" x14ac:dyDescent="0.2">
      <c r="A216" s="32">
        <v>197</v>
      </c>
      <c r="B216" s="32">
        <v>17</v>
      </c>
      <c r="C216" s="32">
        <v>5</v>
      </c>
      <c r="D216" s="32" t="str">
        <f t="shared" ca="1" si="66"/>
        <v>Nem</v>
      </c>
      <c r="E216" s="13">
        <f t="shared" ca="1" si="67"/>
        <v>0</v>
      </c>
      <c r="F216" s="13"/>
      <c r="G216" s="13"/>
      <c r="H216" s="13"/>
      <c r="I216" s="13">
        <f t="shared" ca="1" si="68"/>
        <v>0</v>
      </c>
      <c r="J216" s="13">
        <f t="shared" ca="1" si="69"/>
        <v>0</v>
      </c>
      <c r="K216" s="13">
        <f t="shared" ca="1" si="70"/>
        <v>0</v>
      </c>
      <c r="L216" s="13" t="e">
        <f ca="1">ROUNDUP(IF($D$2="Egyszeri",$E216,IF($D$2="Havi",SUM($E$20:$E$31),IF(MOD($C216,$M$1)-1=0,SUM($E$20:$E$31),0))/12*$M$1)*VLOOKUP($B216,Paraméterek!$I$28:$P$31,IF($D$2="Egyszeri",8,HLOOKUP(ROUNDUP($M$11+$M$13,0),Paraméterek!$J$26:$O$27,2))),IF($D$4="Forint",0,2))</f>
        <v>#N/A</v>
      </c>
      <c r="M216" s="13">
        <f t="shared" ca="1" si="71"/>
        <v>0</v>
      </c>
      <c r="N216" s="13">
        <f t="shared" ca="1" si="81"/>
        <v>0</v>
      </c>
      <c r="O216" s="13">
        <f ca="1">IF($D216="Igen",IF($W215&gt;=IF($D$4="Forint",Paraméterek!$J$121,Paraméterek!$K$121),0,IF($D$4="Forint",Paraméterek!$J$121,Paraméterek!$K$121)-$W215),0)</f>
        <v>0</v>
      </c>
      <c r="P216" s="13" t="e">
        <f ca="1">ROUNDUP($O216*VLOOKUP($M$4+$B216-1,Paraméterek!$H$58:$I$105,2,0)/Paraméterek!$I$56,IF($D$4="Forint",0,2))</f>
        <v>#N/A</v>
      </c>
      <c r="Q216" s="13">
        <f t="shared" ca="1" si="72"/>
        <v>0</v>
      </c>
      <c r="R216" s="33"/>
      <c r="S216" s="13" t="e">
        <f t="shared" ca="1" si="73"/>
        <v>#N/A</v>
      </c>
      <c r="T216" s="13" t="e">
        <f ca="1">ROUNDUP(($N216-$P216-$Q216+$S216)*VLOOKUP($B216,Paraméterek!$I$38:$K$39,IF($D$2="Egyszeri",3,2))/12*IF($D217="Nem",IF($M$13=0,1,$M$13),1),IF($D$4="Forint",0,2))</f>
        <v>#N/A</v>
      </c>
      <c r="U216" s="13"/>
      <c r="V216" s="13"/>
      <c r="W216" s="13" t="e">
        <f ca="1">$N216-$P216-$Q216+$S216-$T216-IF(ROUNDUP(IF(ISBLANK($V216),$U216*0,$V216)/IF($D$2="Egyszeri",VLOOKUP($B216+IF($C216=12,1,0),Paraméterek!$V$257:$W$262,2),IF($B216=1,1,VLOOKUP($B216+IF($C216=12,1,0),Paraméterek!$I$258:$T$278,HLOOKUP($M$11+1,Paraméterek!$J$256:$T$257,2)))),IF($D$4="Forint",0,2))&gt;$N216-$P216-$Q216+$S216-$T216-IF($D$4="Forint",Paraméterek!$C$216,Paraméterek!$D$216),0,ROUNDUP(IF(ISBLANK($V216),$U216*0,$V216)/IF($D$2="Egyszeri",VLOOKUP($B216+IF($C216=12,1,0),Paraméterek!$V$257:$W$262,2),IF($B216=1,1,VLOOKUP($B216+IF($C216=12,1,0),Paraméterek!$I$258:$T$278,HLOOKUP($M$11+1,Paraméterek!$J$256:$T$257,2)))),IF($D$4="Forint",0,2)))</f>
        <v>#N/A</v>
      </c>
      <c r="X216" s="13" t="e">
        <f ca="1">ROUNDDOWN($W216*IF($D$2="Egyszeri",VLOOKUP($B216+IF($C216=12,1,0),Paraméterek!$V$257:$W$262,2),VLOOKUP($B216+IF($C216=12,1,0),Paraméterek!$I$258:$T$278,HLOOKUP($M$11+1,Paraméterek!$I$256:$T$257,2))),IF($D$4="Forint",0,2))</f>
        <v>#N/A</v>
      </c>
      <c r="Z216" s="32">
        <v>197</v>
      </c>
      <c r="AA216" s="32">
        <v>17</v>
      </c>
      <c r="AB216" s="32">
        <v>5</v>
      </c>
      <c r="AC216" s="13">
        <f t="shared" ca="1" si="82"/>
        <v>0</v>
      </c>
      <c r="AD216" s="33"/>
      <c r="AE216" s="13">
        <f t="shared" ca="1" si="74"/>
        <v>0</v>
      </c>
      <c r="AF216" s="13">
        <f ca="1">ROUNDUP(($AC216+$AE216)*VLOOKUP($AA216,Paraméterek!$P$38:$Q$38,2)/12*IF($D217="Nem",IF($M$13=0,1,$M$13),1),IF($D$4="Forint",0,2))</f>
        <v>0</v>
      </c>
      <c r="AG216" s="13">
        <f ca="1">IF($D$2="Egyszeri",IF($D$7&gt;=IF($D$4="Forint",Paraméterek!$P$223,Paraméterek!$P$224),$D$7-IF($D$4="Forint",Paraméterek!$P$223,Paraméterek!$P$224),0),MIN(IF($AB216=12,AVERAGEIF($E$20:$E216,"&gt;0",$E$20:$E216)*12,0),SUM($E$20:$E$31)))</f>
        <v>0</v>
      </c>
      <c r="AH216" s="13">
        <f>IF($AA216=10,$AG216*IF($AB216=12,IF($AG216&lt;IF($D$4="Forint",Paraméterek!$L$223,Paraméterek!$L$224),0,VLOOKUP($AA216,Paraméterek!$K$226:$M$228,IF($AG216&lt;IF($D$4="Forint",Paraméterek!$M$223,Paraméterek!$M$224),2,3))),0),0)</f>
        <v>0</v>
      </c>
      <c r="AI216" s="13">
        <f ca="1">IF(AND($AA216=$M$11+1,$AB216=$M$12+1),SUMIF($AA$20:$AA$1027,$AA216,$AG$20:$AG$1027)*IF(SUMIF($AA$20:$AA$1027,$AA216,$AG$20:$AG$1027)&lt;IF($D$4="Forint",Paraméterek!$L$223,Paraméterek!$L$224),0,VLOOKUP($AA216,Paraméterek!$K$230:$M$250,IF(SUMIF($AA$20:$AA$1027,$AA216,$AG$20:$AG$1027)&lt;IF($D$4="Forint",Paraméterek!$M$223,Paraméterek!$M$224),2,3))),0)</f>
        <v>0</v>
      </c>
      <c r="AJ216" s="13">
        <f ca="1">IF(AND($AA216&gt;=5,MOD($AA216,5)=0),IF($AB216=12,VLOOKUP($AA216,Paraméterek!$O$225:$P$240,2),0),IF(OR($AA216=3,$AA216=4),IF($AB216=12,VLOOKUP($AA216,Paraméterek!$O$225:$P$240,2,0),0),0))*$AG216</f>
        <v>0</v>
      </c>
      <c r="AK216" s="13">
        <f t="shared" ca="1" si="75"/>
        <v>0</v>
      </c>
      <c r="AL216" s="13">
        <f t="shared" ca="1" si="83"/>
        <v>0</v>
      </c>
      <c r="AM216" s="13">
        <f t="shared" ca="1" si="84"/>
        <v>0</v>
      </c>
      <c r="AO216" s="32">
        <v>197</v>
      </c>
      <c r="AP216" s="32">
        <v>17</v>
      </c>
      <c r="AQ216" s="32">
        <v>5</v>
      </c>
      <c r="AR216" s="13"/>
      <c r="AS216" s="32"/>
      <c r="AT216" s="13">
        <f t="shared" ca="1" si="85"/>
        <v>0</v>
      </c>
      <c r="AU216" s="33"/>
      <c r="AV216" s="13">
        <f t="shared" ca="1" si="76"/>
        <v>0</v>
      </c>
      <c r="AW216" s="13">
        <f ca="1">ROUNDUP(($AT216+$AV216)*VLOOKUP($AP216,Paraméterek!$P$38:$Q$38,2)/12*IF($D217="Nem",IF($M$13=0,1,$M$13),1),IF($D$4="Forint",0,2))</f>
        <v>0</v>
      </c>
      <c r="AX216" s="13"/>
      <c r="AY216" s="13"/>
      <c r="AZ216" s="13">
        <f>ROUNDUP(IF(SUM($AX216:$AY216)=0,0,IF(IF(ISBLANK($AY216),$AX216,$AY216)*Paraméterek!$J$112&lt;IF($D$4="Forint",Paraméterek!$J$113,Paraméterek!$K$113),IF($D$4="Forint",Paraméterek!$J$113,Paraméterek!$K$113),IF(IF(ISBLANK($AY216),$AX216,$AY216)*Paraméterek!$J$112&gt;IF($D$4="Forint",Paraméterek!$J$114,Paraméterek!$K$114),IF($D$4="Forint",Paraméterek!$J$114,Paraméterek!$K$114),IF(ISBLANK($AY216),$AX216,$AY216)*Paraméterek!$J$112))),IF($D$4="Forint",0,2))</f>
        <v>0</v>
      </c>
      <c r="BA216" s="13">
        <f ca="1">$AT216+$AV216-$AW216-IF(ROUNDDOWN(IF(ISBLANK($AY216),$AX216,$AY216),IF($D$4="Forint",0,2))&gt;$AT216+$AV216-$AW216-IF($D$4="Forint",Paraméterek!$J$114,Paraméterek!$K$114),0,ROUNDDOWN(IF(ISBLANK($AY216),$AX216,$AY216),IF($D$4="Forint",0,2))-$AZ216)</f>
        <v>0</v>
      </c>
      <c r="BB216" s="13">
        <f t="shared" ca="1" si="77"/>
        <v>0</v>
      </c>
      <c r="BD216" s="32">
        <v>197</v>
      </c>
      <c r="BE216" s="32">
        <v>17</v>
      </c>
      <c r="BF216" s="32">
        <v>5</v>
      </c>
      <c r="BG216" s="34">
        <f t="shared" ca="1" si="86"/>
        <v>2035</v>
      </c>
      <c r="BH216" s="32" t="str">
        <f ca="1">IF(MOD(MONTH($D$14)+$BD216-1,12)=Paraméterek!$C$288,"Igen","")</f>
        <v/>
      </c>
      <c r="BI216" s="13">
        <f ca="1">IF($BH216="Igen",MIN(ROUNDDOWN((SUMIF($BG$20:$BG$1027,$BG216-1,$K$20:$K$1027)-SUMIF($BG$20:$BG$1027,$BG216-1,$I$20:$I$1027))*Paraméterek!$C$289,IF($D$4="Forint",0,2)),IF($D$4="Forint",Paraméterek!$C$285,Paraméterek!$D$285)),0)</f>
        <v>0</v>
      </c>
      <c r="BJ216" s="13">
        <f t="shared" ca="1" si="78"/>
        <v>0</v>
      </c>
      <c r="BK216" s="13">
        <f t="shared" ca="1" si="87"/>
        <v>0</v>
      </c>
      <c r="BL216" s="33"/>
      <c r="BM216" s="13">
        <f t="shared" ca="1" si="79"/>
        <v>0</v>
      </c>
      <c r="BN216" s="13">
        <f ca="1">ROUNDUP(($BK216+$BM216)*VLOOKUP($BE216,Paraméterek!$P$38:$Q$38,2)/12*IF($D217="Nem",IF($M$13=0,1,$M$13),1),IF($D$4="Forint",0,2))</f>
        <v>0</v>
      </c>
      <c r="BO216" s="13">
        <f t="shared" ca="1" si="80"/>
        <v>0</v>
      </c>
      <c r="BP216" s="13">
        <f ca="1">IF($D217="Nem",$BO216,$BO216-ROUNDUP(SUM($BI$20:$BI216)*120%,IF($D$4="Forint",0,2)))</f>
        <v>0</v>
      </c>
    </row>
    <row r="217" spans="1:68" x14ac:dyDescent="0.2">
      <c r="A217" s="32">
        <v>198</v>
      </c>
      <c r="B217" s="32">
        <v>17</v>
      </c>
      <c r="C217" s="32">
        <v>6</v>
      </c>
      <c r="D217" s="32" t="str">
        <f t="shared" ca="1" si="66"/>
        <v>Nem</v>
      </c>
      <c r="E217" s="13">
        <f t="shared" ca="1" si="67"/>
        <v>0</v>
      </c>
      <c r="F217" s="13"/>
      <c r="G217" s="13"/>
      <c r="H217" s="13"/>
      <c r="I217" s="13">
        <f t="shared" ca="1" si="68"/>
        <v>0</v>
      </c>
      <c r="J217" s="13">
        <f t="shared" ca="1" si="69"/>
        <v>0</v>
      </c>
      <c r="K217" s="13">
        <f t="shared" ca="1" si="70"/>
        <v>0</v>
      </c>
      <c r="L217" s="13" t="e">
        <f ca="1">ROUNDUP(IF($D$2="Egyszeri",$E217,IF($D$2="Havi",SUM($E$20:$E$31),IF(MOD($C217,$M$1)-1=0,SUM($E$20:$E$31),0))/12*$M$1)*VLOOKUP($B217,Paraméterek!$I$28:$P$31,IF($D$2="Egyszeri",8,HLOOKUP(ROUNDUP($M$11+$M$13,0),Paraméterek!$J$26:$O$27,2))),IF($D$4="Forint",0,2))</f>
        <v>#N/A</v>
      </c>
      <c r="M217" s="13">
        <f t="shared" ca="1" si="71"/>
        <v>0</v>
      </c>
      <c r="N217" s="13">
        <f t="shared" ca="1" si="81"/>
        <v>0</v>
      </c>
      <c r="O217" s="13">
        <f ca="1">IF($D217="Igen",IF($W216&gt;=IF($D$4="Forint",Paraméterek!$J$121,Paraméterek!$K$121),0,IF($D$4="Forint",Paraméterek!$J$121,Paraméterek!$K$121)-$W216),0)</f>
        <v>0</v>
      </c>
      <c r="P217" s="13" t="e">
        <f ca="1">ROUNDUP($O217*VLOOKUP($M$4+$B217-1,Paraméterek!$H$58:$I$105,2,0)/Paraméterek!$I$56,IF($D$4="Forint",0,2))</f>
        <v>#N/A</v>
      </c>
      <c r="Q217" s="13">
        <f t="shared" ca="1" si="72"/>
        <v>0</v>
      </c>
      <c r="R217" s="33"/>
      <c r="S217" s="13" t="e">
        <f t="shared" ca="1" si="73"/>
        <v>#N/A</v>
      </c>
      <c r="T217" s="13" t="e">
        <f ca="1">ROUNDUP(($N217-$P217-$Q217+$S217)*VLOOKUP($B217,Paraméterek!$I$38:$K$39,IF($D$2="Egyszeri",3,2))/12*IF($D218="Nem",IF($M$13=0,1,$M$13),1),IF($D$4="Forint",0,2))</f>
        <v>#N/A</v>
      </c>
      <c r="U217" s="13"/>
      <c r="V217" s="13"/>
      <c r="W217" s="13" t="e">
        <f ca="1">$N217-$P217-$Q217+$S217-$T217-IF(ROUNDUP(IF(ISBLANK($V217),$U217*0,$V217)/IF($D$2="Egyszeri",VLOOKUP($B217+IF($C217=12,1,0),Paraméterek!$V$257:$W$262,2),IF($B217=1,1,VLOOKUP($B217+IF($C217=12,1,0),Paraméterek!$I$258:$T$278,HLOOKUP($M$11+1,Paraméterek!$J$256:$T$257,2)))),IF($D$4="Forint",0,2))&gt;$N217-$P217-$Q217+$S217-$T217-IF($D$4="Forint",Paraméterek!$C$216,Paraméterek!$D$216),0,ROUNDUP(IF(ISBLANK($V217),$U217*0,$V217)/IF($D$2="Egyszeri",VLOOKUP($B217+IF($C217=12,1,0),Paraméterek!$V$257:$W$262,2),IF($B217=1,1,VLOOKUP($B217+IF($C217=12,1,0),Paraméterek!$I$258:$T$278,HLOOKUP($M$11+1,Paraméterek!$J$256:$T$257,2)))),IF($D$4="Forint",0,2)))</f>
        <v>#N/A</v>
      </c>
      <c r="X217" s="13" t="e">
        <f ca="1">ROUNDDOWN($W217*IF($D$2="Egyszeri",VLOOKUP($B217+IF($C217=12,1,0),Paraméterek!$V$257:$W$262,2),VLOOKUP($B217+IF($C217=12,1,0),Paraméterek!$I$258:$T$278,HLOOKUP($M$11+1,Paraméterek!$I$256:$T$257,2))),IF($D$4="Forint",0,2))</f>
        <v>#N/A</v>
      </c>
      <c r="Z217" s="32">
        <v>198</v>
      </c>
      <c r="AA217" s="32">
        <v>17</v>
      </c>
      <c r="AB217" s="32">
        <v>6</v>
      </c>
      <c r="AC217" s="13">
        <f t="shared" ca="1" si="82"/>
        <v>0</v>
      </c>
      <c r="AD217" s="33"/>
      <c r="AE217" s="13">
        <f t="shared" ca="1" si="74"/>
        <v>0</v>
      </c>
      <c r="AF217" s="13">
        <f ca="1">ROUNDUP(($AC217+$AE217)*VLOOKUP($AA217,Paraméterek!$P$38:$Q$38,2)/12*IF($D218="Nem",IF($M$13=0,1,$M$13),1),IF($D$4="Forint",0,2))</f>
        <v>0</v>
      </c>
      <c r="AG217" s="13">
        <f ca="1">IF($D$2="Egyszeri",IF($D$7&gt;=IF($D$4="Forint",Paraméterek!$P$223,Paraméterek!$P$224),$D$7-IF($D$4="Forint",Paraméterek!$P$223,Paraméterek!$P$224),0),MIN(IF($AB217=12,AVERAGEIF($E$20:$E217,"&gt;0",$E$20:$E217)*12,0),SUM($E$20:$E$31)))</f>
        <v>0</v>
      </c>
      <c r="AH217" s="13">
        <f>IF($AA217=10,$AG217*IF($AB217=12,IF($AG217&lt;IF($D$4="Forint",Paraméterek!$L$223,Paraméterek!$L$224),0,VLOOKUP($AA217,Paraméterek!$K$226:$M$228,IF($AG217&lt;IF($D$4="Forint",Paraméterek!$M$223,Paraméterek!$M$224),2,3))),0),0)</f>
        <v>0</v>
      </c>
      <c r="AI217" s="13">
        <f ca="1">IF(AND($AA217=$M$11+1,$AB217=$M$12+1),SUMIF($AA$20:$AA$1027,$AA217,$AG$20:$AG$1027)*IF(SUMIF($AA$20:$AA$1027,$AA217,$AG$20:$AG$1027)&lt;IF($D$4="Forint",Paraméterek!$L$223,Paraméterek!$L$224),0,VLOOKUP($AA217,Paraméterek!$K$230:$M$250,IF(SUMIF($AA$20:$AA$1027,$AA217,$AG$20:$AG$1027)&lt;IF($D$4="Forint",Paraméterek!$M$223,Paraméterek!$M$224),2,3))),0)</f>
        <v>0</v>
      </c>
      <c r="AJ217" s="13">
        <f ca="1">IF(AND($AA217&gt;=5,MOD($AA217,5)=0),IF($AB217=12,VLOOKUP($AA217,Paraméterek!$O$225:$P$240,2),0),IF(OR($AA217=3,$AA217=4),IF($AB217=12,VLOOKUP($AA217,Paraméterek!$O$225:$P$240,2,0),0),0))*$AG217</f>
        <v>0</v>
      </c>
      <c r="AK217" s="13">
        <f t="shared" ca="1" si="75"/>
        <v>0</v>
      </c>
      <c r="AL217" s="13">
        <f t="shared" ca="1" si="83"/>
        <v>0</v>
      </c>
      <c r="AM217" s="13">
        <f t="shared" ca="1" si="84"/>
        <v>0</v>
      </c>
      <c r="AO217" s="32">
        <v>198</v>
      </c>
      <c r="AP217" s="32">
        <v>17</v>
      </c>
      <c r="AQ217" s="32">
        <v>6</v>
      </c>
      <c r="AR217" s="13"/>
      <c r="AS217" s="32"/>
      <c r="AT217" s="13">
        <f t="shared" ca="1" si="85"/>
        <v>0</v>
      </c>
      <c r="AU217" s="33"/>
      <c r="AV217" s="13">
        <f t="shared" ca="1" si="76"/>
        <v>0</v>
      </c>
      <c r="AW217" s="13">
        <f ca="1">ROUNDUP(($AT217+$AV217)*VLOOKUP($AP217,Paraméterek!$P$38:$Q$38,2)/12*IF($D218="Nem",IF($M$13=0,1,$M$13),1),IF($D$4="Forint",0,2))</f>
        <v>0</v>
      </c>
      <c r="AX217" s="13"/>
      <c r="AY217" s="13"/>
      <c r="AZ217" s="13">
        <f>ROUNDUP(IF(SUM($AX217:$AY217)=0,0,IF(IF(ISBLANK($AY217),$AX217,$AY217)*Paraméterek!$J$112&lt;IF($D$4="Forint",Paraméterek!$J$113,Paraméterek!$K$113),IF($D$4="Forint",Paraméterek!$J$113,Paraméterek!$K$113),IF(IF(ISBLANK($AY217),$AX217,$AY217)*Paraméterek!$J$112&gt;IF($D$4="Forint",Paraméterek!$J$114,Paraméterek!$K$114),IF($D$4="Forint",Paraméterek!$J$114,Paraméterek!$K$114),IF(ISBLANK($AY217),$AX217,$AY217)*Paraméterek!$J$112))),IF($D$4="Forint",0,2))</f>
        <v>0</v>
      </c>
      <c r="BA217" s="13">
        <f ca="1">$AT217+$AV217-$AW217-IF(ROUNDDOWN(IF(ISBLANK($AY217),$AX217,$AY217),IF($D$4="Forint",0,2))&gt;$AT217+$AV217-$AW217-IF($D$4="Forint",Paraméterek!$J$114,Paraméterek!$K$114),0,ROUNDDOWN(IF(ISBLANK($AY217),$AX217,$AY217),IF($D$4="Forint",0,2))-$AZ217)</f>
        <v>0</v>
      </c>
      <c r="BB217" s="13">
        <f t="shared" ca="1" si="77"/>
        <v>0</v>
      </c>
      <c r="BD217" s="32">
        <v>198</v>
      </c>
      <c r="BE217" s="32">
        <v>17</v>
      </c>
      <c r="BF217" s="32">
        <v>6</v>
      </c>
      <c r="BG217" s="34">
        <f t="shared" ca="1" si="86"/>
        <v>2035</v>
      </c>
      <c r="BH217" s="32" t="str">
        <f ca="1">IF(MOD(MONTH($D$14)+$BD217-1,12)=Paraméterek!$C$288,"Igen","")</f>
        <v/>
      </c>
      <c r="BI217" s="13">
        <f ca="1">IF($BH217="Igen",MIN(ROUNDDOWN((SUMIF($BG$20:$BG$1027,$BG217-1,$K$20:$K$1027)-SUMIF($BG$20:$BG$1027,$BG217-1,$I$20:$I$1027))*Paraméterek!$C$289,IF($D$4="Forint",0,2)),IF($D$4="Forint",Paraméterek!$C$285,Paraméterek!$D$285)),0)</f>
        <v>0</v>
      </c>
      <c r="BJ217" s="13">
        <f t="shared" ca="1" si="78"/>
        <v>0</v>
      </c>
      <c r="BK217" s="13">
        <f t="shared" ca="1" si="87"/>
        <v>0</v>
      </c>
      <c r="BL217" s="33"/>
      <c r="BM217" s="13">
        <f t="shared" ca="1" si="79"/>
        <v>0</v>
      </c>
      <c r="BN217" s="13">
        <f ca="1">ROUNDUP(($BK217+$BM217)*VLOOKUP($BE217,Paraméterek!$P$38:$Q$38,2)/12*IF($D218="Nem",IF($M$13=0,1,$M$13),1),IF($D$4="Forint",0,2))</f>
        <v>0</v>
      </c>
      <c r="BO217" s="13">
        <f t="shared" ca="1" si="80"/>
        <v>0</v>
      </c>
      <c r="BP217" s="13">
        <f ca="1">IF($D218="Nem",$BO217,$BO217-ROUNDUP(SUM($BI$20:$BI217)*120%,IF($D$4="Forint",0,2)))</f>
        <v>0</v>
      </c>
    </row>
    <row r="218" spans="1:68" x14ac:dyDescent="0.2">
      <c r="A218" s="32">
        <v>199</v>
      </c>
      <c r="B218" s="32">
        <v>17</v>
      </c>
      <c r="C218" s="32">
        <v>7</v>
      </c>
      <c r="D218" s="32" t="str">
        <f t="shared" ca="1" si="66"/>
        <v>Nem</v>
      </c>
      <c r="E218" s="13">
        <f t="shared" ca="1" si="67"/>
        <v>0</v>
      </c>
      <c r="F218" s="13"/>
      <c r="G218" s="13"/>
      <c r="H218" s="13"/>
      <c r="I218" s="13">
        <f t="shared" ca="1" si="68"/>
        <v>0</v>
      </c>
      <c r="J218" s="13">
        <f t="shared" ca="1" si="69"/>
        <v>0</v>
      </c>
      <c r="K218" s="13">
        <f t="shared" ca="1" si="70"/>
        <v>0</v>
      </c>
      <c r="L218" s="13" t="e">
        <f ca="1">ROUNDUP(IF($D$2="Egyszeri",$E218,IF($D$2="Havi",SUM($E$20:$E$31),IF(MOD($C218,$M$1)-1=0,SUM($E$20:$E$31),0))/12*$M$1)*VLOOKUP($B218,Paraméterek!$I$28:$P$31,IF($D$2="Egyszeri",8,HLOOKUP(ROUNDUP($M$11+$M$13,0),Paraméterek!$J$26:$O$27,2))),IF($D$4="Forint",0,2))</f>
        <v>#N/A</v>
      </c>
      <c r="M218" s="13">
        <f t="shared" ca="1" si="71"/>
        <v>0</v>
      </c>
      <c r="N218" s="13">
        <f t="shared" ca="1" si="81"/>
        <v>0</v>
      </c>
      <c r="O218" s="13">
        <f ca="1">IF($D218="Igen",IF($W217&gt;=IF($D$4="Forint",Paraméterek!$J$121,Paraméterek!$K$121),0,IF($D$4="Forint",Paraméterek!$J$121,Paraméterek!$K$121)-$W217),0)</f>
        <v>0</v>
      </c>
      <c r="P218" s="13" t="e">
        <f ca="1">ROUNDUP($O218*VLOOKUP($M$4+$B218-1,Paraméterek!$H$58:$I$105,2,0)/Paraméterek!$I$56,IF($D$4="Forint",0,2))</f>
        <v>#N/A</v>
      </c>
      <c r="Q218" s="13">
        <f t="shared" ca="1" si="72"/>
        <v>0</v>
      </c>
      <c r="R218" s="33"/>
      <c r="S218" s="13" t="e">
        <f t="shared" ca="1" si="73"/>
        <v>#N/A</v>
      </c>
      <c r="T218" s="13" t="e">
        <f ca="1">ROUNDUP(($N218-$P218-$Q218+$S218)*VLOOKUP($B218,Paraméterek!$I$38:$K$39,IF($D$2="Egyszeri",3,2))/12*IF($D219="Nem",IF($M$13=0,1,$M$13),1),IF($D$4="Forint",0,2))</f>
        <v>#N/A</v>
      </c>
      <c r="U218" s="13"/>
      <c r="V218" s="13"/>
      <c r="W218" s="13" t="e">
        <f ca="1">$N218-$P218-$Q218+$S218-$T218-IF(ROUNDUP(IF(ISBLANK($V218),$U218*0,$V218)/IF($D$2="Egyszeri",VLOOKUP($B218+IF($C218=12,1,0),Paraméterek!$V$257:$W$262,2),IF($B218=1,1,VLOOKUP($B218+IF($C218=12,1,0),Paraméterek!$I$258:$T$278,HLOOKUP($M$11+1,Paraméterek!$J$256:$T$257,2)))),IF($D$4="Forint",0,2))&gt;$N218-$P218-$Q218+$S218-$T218-IF($D$4="Forint",Paraméterek!$C$216,Paraméterek!$D$216),0,ROUNDUP(IF(ISBLANK($V218),$U218*0,$V218)/IF($D$2="Egyszeri",VLOOKUP($B218+IF($C218=12,1,0),Paraméterek!$V$257:$W$262,2),IF($B218=1,1,VLOOKUP($B218+IF($C218=12,1,0),Paraméterek!$I$258:$T$278,HLOOKUP($M$11+1,Paraméterek!$J$256:$T$257,2)))),IF($D$4="Forint",0,2)))</f>
        <v>#N/A</v>
      </c>
      <c r="X218" s="13" t="e">
        <f ca="1">ROUNDDOWN($W218*IF($D$2="Egyszeri",VLOOKUP($B218+IF($C218=12,1,0),Paraméterek!$V$257:$W$262,2),VLOOKUP($B218+IF($C218=12,1,0),Paraméterek!$I$258:$T$278,HLOOKUP($M$11+1,Paraméterek!$I$256:$T$257,2))),IF($D$4="Forint",0,2))</f>
        <v>#N/A</v>
      </c>
      <c r="Z218" s="32">
        <v>199</v>
      </c>
      <c r="AA218" s="32">
        <v>17</v>
      </c>
      <c r="AB218" s="32">
        <v>7</v>
      </c>
      <c r="AC218" s="13">
        <f t="shared" ca="1" si="82"/>
        <v>0</v>
      </c>
      <c r="AD218" s="33"/>
      <c r="AE218" s="13">
        <f t="shared" ca="1" si="74"/>
        <v>0</v>
      </c>
      <c r="AF218" s="13">
        <f ca="1">ROUNDUP(($AC218+$AE218)*VLOOKUP($AA218,Paraméterek!$P$38:$Q$38,2)/12*IF($D219="Nem",IF($M$13=0,1,$M$13),1),IF($D$4="Forint",0,2))</f>
        <v>0</v>
      </c>
      <c r="AG218" s="13">
        <f ca="1">IF($D$2="Egyszeri",IF($D$7&gt;=IF($D$4="Forint",Paraméterek!$P$223,Paraméterek!$P$224),$D$7-IF($D$4="Forint",Paraméterek!$P$223,Paraméterek!$P$224),0),MIN(IF($AB218=12,AVERAGEIF($E$20:$E218,"&gt;0",$E$20:$E218)*12,0),SUM($E$20:$E$31)))</f>
        <v>0</v>
      </c>
      <c r="AH218" s="13">
        <f>IF($AA218=10,$AG218*IF($AB218=12,IF($AG218&lt;IF($D$4="Forint",Paraméterek!$L$223,Paraméterek!$L$224),0,VLOOKUP($AA218,Paraméterek!$K$226:$M$228,IF($AG218&lt;IF($D$4="Forint",Paraméterek!$M$223,Paraméterek!$M$224),2,3))),0),0)</f>
        <v>0</v>
      </c>
      <c r="AI218" s="13">
        <f ca="1">IF(AND($AA218=$M$11+1,$AB218=$M$12+1),SUMIF($AA$20:$AA$1027,$AA218,$AG$20:$AG$1027)*IF(SUMIF($AA$20:$AA$1027,$AA218,$AG$20:$AG$1027)&lt;IF($D$4="Forint",Paraméterek!$L$223,Paraméterek!$L$224),0,VLOOKUP($AA218,Paraméterek!$K$230:$M$250,IF(SUMIF($AA$20:$AA$1027,$AA218,$AG$20:$AG$1027)&lt;IF($D$4="Forint",Paraméterek!$M$223,Paraméterek!$M$224),2,3))),0)</f>
        <v>0</v>
      </c>
      <c r="AJ218" s="13">
        <f ca="1">IF(AND($AA218&gt;=5,MOD($AA218,5)=0),IF($AB218=12,VLOOKUP($AA218,Paraméterek!$O$225:$P$240,2),0),IF(OR($AA218=3,$AA218=4),IF($AB218=12,VLOOKUP($AA218,Paraméterek!$O$225:$P$240,2,0),0),0))*$AG218</f>
        <v>0</v>
      </c>
      <c r="AK218" s="13">
        <f t="shared" ca="1" si="75"/>
        <v>0</v>
      </c>
      <c r="AL218" s="13">
        <f t="shared" ca="1" si="83"/>
        <v>0</v>
      </c>
      <c r="AM218" s="13">
        <f t="shared" ca="1" si="84"/>
        <v>0</v>
      </c>
      <c r="AO218" s="32">
        <v>199</v>
      </c>
      <c r="AP218" s="32">
        <v>17</v>
      </c>
      <c r="AQ218" s="32">
        <v>7</v>
      </c>
      <c r="AR218" s="13"/>
      <c r="AS218" s="32"/>
      <c r="AT218" s="13">
        <f t="shared" ca="1" si="85"/>
        <v>0</v>
      </c>
      <c r="AU218" s="33"/>
      <c r="AV218" s="13">
        <f t="shared" ca="1" si="76"/>
        <v>0</v>
      </c>
      <c r="AW218" s="13">
        <f ca="1">ROUNDUP(($AT218+$AV218)*VLOOKUP($AP218,Paraméterek!$P$38:$Q$38,2)/12*IF($D219="Nem",IF($M$13=0,1,$M$13),1),IF($D$4="Forint",0,2))</f>
        <v>0</v>
      </c>
      <c r="AX218" s="13"/>
      <c r="AY218" s="13"/>
      <c r="AZ218" s="13">
        <f>ROUNDUP(IF(SUM($AX218:$AY218)=0,0,IF(IF(ISBLANK($AY218),$AX218,$AY218)*Paraméterek!$J$112&lt;IF($D$4="Forint",Paraméterek!$J$113,Paraméterek!$K$113),IF($D$4="Forint",Paraméterek!$J$113,Paraméterek!$K$113),IF(IF(ISBLANK($AY218),$AX218,$AY218)*Paraméterek!$J$112&gt;IF($D$4="Forint",Paraméterek!$J$114,Paraméterek!$K$114),IF($D$4="Forint",Paraméterek!$J$114,Paraméterek!$K$114),IF(ISBLANK($AY218),$AX218,$AY218)*Paraméterek!$J$112))),IF($D$4="Forint",0,2))</f>
        <v>0</v>
      </c>
      <c r="BA218" s="13">
        <f ca="1">$AT218+$AV218-$AW218-IF(ROUNDDOWN(IF(ISBLANK($AY218),$AX218,$AY218),IF($D$4="Forint",0,2))&gt;$AT218+$AV218-$AW218-IF($D$4="Forint",Paraméterek!$J$114,Paraméterek!$K$114),0,ROUNDDOWN(IF(ISBLANK($AY218),$AX218,$AY218),IF($D$4="Forint",0,2))-$AZ218)</f>
        <v>0</v>
      </c>
      <c r="BB218" s="13">
        <f t="shared" ca="1" si="77"/>
        <v>0</v>
      </c>
      <c r="BD218" s="32">
        <v>199</v>
      </c>
      <c r="BE218" s="32">
        <v>17</v>
      </c>
      <c r="BF218" s="32">
        <v>7</v>
      </c>
      <c r="BG218" s="34">
        <f t="shared" ca="1" si="86"/>
        <v>2035</v>
      </c>
      <c r="BH218" s="32" t="str">
        <f ca="1">IF(MOD(MONTH($D$14)+$BD218-1,12)=Paraméterek!$C$288,"Igen","")</f>
        <v/>
      </c>
      <c r="BI218" s="13">
        <f ca="1">IF($BH218="Igen",MIN(ROUNDDOWN((SUMIF($BG$20:$BG$1027,$BG218-1,$K$20:$K$1027)-SUMIF($BG$20:$BG$1027,$BG218-1,$I$20:$I$1027))*Paraméterek!$C$289,IF($D$4="Forint",0,2)),IF($D$4="Forint",Paraméterek!$C$285,Paraméterek!$D$285)),0)</f>
        <v>0</v>
      </c>
      <c r="BJ218" s="13">
        <f t="shared" ca="1" si="78"/>
        <v>0</v>
      </c>
      <c r="BK218" s="13">
        <f t="shared" ca="1" si="87"/>
        <v>0</v>
      </c>
      <c r="BL218" s="33"/>
      <c r="BM218" s="13">
        <f t="shared" ca="1" si="79"/>
        <v>0</v>
      </c>
      <c r="BN218" s="13">
        <f ca="1">ROUNDUP(($BK218+$BM218)*VLOOKUP($BE218,Paraméterek!$P$38:$Q$38,2)/12*IF($D219="Nem",IF($M$13=0,1,$M$13),1),IF($D$4="Forint",0,2))</f>
        <v>0</v>
      </c>
      <c r="BO218" s="13">
        <f t="shared" ca="1" si="80"/>
        <v>0</v>
      </c>
      <c r="BP218" s="13">
        <f ca="1">IF($D219="Nem",$BO218,$BO218-ROUNDUP(SUM($BI$20:$BI218)*120%,IF($D$4="Forint",0,2)))</f>
        <v>0</v>
      </c>
    </row>
    <row r="219" spans="1:68" x14ac:dyDescent="0.2">
      <c r="A219" s="32">
        <v>200</v>
      </c>
      <c r="B219" s="32">
        <v>17</v>
      </c>
      <c r="C219" s="32">
        <v>8</v>
      </c>
      <c r="D219" s="32" t="str">
        <f t="shared" ca="1" si="66"/>
        <v>Nem</v>
      </c>
      <c r="E219" s="13">
        <f t="shared" ca="1" si="67"/>
        <v>0</v>
      </c>
      <c r="F219" s="13"/>
      <c r="G219" s="13"/>
      <c r="H219" s="13"/>
      <c r="I219" s="13">
        <f t="shared" ca="1" si="68"/>
        <v>0</v>
      </c>
      <c r="J219" s="13">
        <f t="shared" ca="1" si="69"/>
        <v>0</v>
      </c>
      <c r="K219" s="13">
        <f t="shared" ca="1" si="70"/>
        <v>0</v>
      </c>
      <c r="L219" s="13" t="e">
        <f ca="1">ROUNDUP(IF($D$2="Egyszeri",$E219,IF($D$2="Havi",SUM($E$20:$E$31),IF(MOD($C219,$M$1)-1=0,SUM($E$20:$E$31),0))/12*$M$1)*VLOOKUP($B219,Paraméterek!$I$28:$P$31,IF($D$2="Egyszeri",8,HLOOKUP(ROUNDUP($M$11+$M$13,0),Paraméterek!$J$26:$O$27,2))),IF($D$4="Forint",0,2))</f>
        <v>#N/A</v>
      </c>
      <c r="M219" s="13">
        <f t="shared" ca="1" si="71"/>
        <v>0</v>
      </c>
      <c r="N219" s="13">
        <f t="shared" ca="1" si="81"/>
        <v>0</v>
      </c>
      <c r="O219" s="13">
        <f ca="1">IF($D219="Igen",IF($W218&gt;=IF($D$4="Forint",Paraméterek!$J$121,Paraméterek!$K$121),0,IF($D$4="Forint",Paraméterek!$J$121,Paraméterek!$K$121)-$W218),0)</f>
        <v>0</v>
      </c>
      <c r="P219" s="13" t="e">
        <f ca="1">ROUNDUP($O219*VLOOKUP($M$4+$B219-1,Paraméterek!$H$58:$I$105,2,0)/Paraméterek!$I$56,IF($D$4="Forint",0,2))</f>
        <v>#N/A</v>
      </c>
      <c r="Q219" s="13">
        <f t="shared" ca="1" si="72"/>
        <v>0</v>
      </c>
      <c r="R219" s="33"/>
      <c r="S219" s="13" t="e">
        <f t="shared" ca="1" si="73"/>
        <v>#N/A</v>
      </c>
      <c r="T219" s="13" t="e">
        <f ca="1">ROUNDUP(($N219-$P219-$Q219+$S219)*VLOOKUP($B219,Paraméterek!$I$38:$K$39,IF($D$2="Egyszeri",3,2))/12*IF($D220="Nem",IF($M$13=0,1,$M$13),1),IF($D$4="Forint",0,2))</f>
        <v>#N/A</v>
      </c>
      <c r="U219" s="13"/>
      <c r="V219" s="13"/>
      <c r="W219" s="13" t="e">
        <f ca="1">$N219-$P219-$Q219+$S219-$T219-IF(ROUNDUP(IF(ISBLANK($V219),$U219*0,$V219)/IF($D$2="Egyszeri",VLOOKUP($B219+IF($C219=12,1,0),Paraméterek!$V$257:$W$262,2),IF($B219=1,1,VLOOKUP($B219+IF($C219=12,1,0),Paraméterek!$I$258:$T$278,HLOOKUP($M$11+1,Paraméterek!$J$256:$T$257,2)))),IF($D$4="Forint",0,2))&gt;$N219-$P219-$Q219+$S219-$T219-IF($D$4="Forint",Paraméterek!$C$216,Paraméterek!$D$216),0,ROUNDUP(IF(ISBLANK($V219),$U219*0,$V219)/IF($D$2="Egyszeri",VLOOKUP($B219+IF($C219=12,1,0),Paraméterek!$V$257:$W$262,2),IF($B219=1,1,VLOOKUP($B219+IF($C219=12,1,0),Paraméterek!$I$258:$T$278,HLOOKUP($M$11+1,Paraméterek!$J$256:$T$257,2)))),IF($D$4="Forint",0,2)))</f>
        <v>#N/A</v>
      </c>
      <c r="X219" s="13" t="e">
        <f ca="1">ROUNDDOWN($W219*IF($D$2="Egyszeri",VLOOKUP($B219+IF($C219=12,1,0),Paraméterek!$V$257:$W$262,2),VLOOKUP($B219+IF($C219=12,1,0),Paraméterek!$I$258:$T$278,HLOOKUP($M$11+1,Paraméterek!$I$256:$T$257,2))),IF($D$4="Forint",0,2))</f>
        <v>#N/A</v>
      </c>
      <c r="Z219" s="32">
        <v>200</v>
      </c>
      <c r="AA219" s="32">
        <v>17</v>
      </c>
      <c r="AB219" s="32">
        <v>8</v>
      </c>
      <c r="AC219" s="13">
        <f t="shared" ca="1" si="82"/>
        <v>0</v>
      </c>
      <c r="AD219" s="33"/>
      <c r="AE219" s="13">
        <f t="shared" ca="1" si="74"/>
        <v>0</v>
      </c>
      <c r="AF219" s="13">
        <f ca="1">ROUNDUP(($AC219+$AE219)*VLOOKUP($AA219,Paraméterek!$P$38:$Q$38,2)/12*IF($D220="Nem",IF($M$13=0,1,$M$13),1),IF($D$4="Forint",0,2))</f>
        <v>0</v>
      </c>
      <c r="AG219" s="13">
        <f ca="1">IF($D$2="Egyszeri",IF($D$7&gt;=IF($D$4="Forint",Paraméterek!$P$223,Paraméterek!$P$224),$D$7-IF($D$4="Forint",Paraméterek!$P$223,Paraméterek!$P$224),0),MIN(IF($AB219=12,AVERAGEIF($E$20:$E219,"&gt;0",$E$20:$E219)*12,0),SUM($E$20:$E$31)))</f>
        <v>0</v>
      </c>
      <c r="AH219" s="13">
        <f>IF($AA219=10,$AG219*IF($AB219=12,IF($AG219&lt;IF($D$4="Forint",Paraméterek!$L$223,Paraméterek!$L$224),0,VLOOKUP($AA219,Paraméterek!$K$226:$M$228,IF($AG219&lt;IF($D$4="Forint",Paraméterek!$M$223,Paraméterek!$M$224),2,3))),0),0)</f>
        <v>0</v>
      </c>
      <c r="AI219" s="13">
        <f ca="1">IF(AND($AA219=$M$11+1,$AB219=$M$12+1),SUMIF($AA$20:$AA$1027,$AA219,$AG$20:$AG$1027)*IF(SUMIF($AA$20:$AA$1027,$AA219,$AG$20:$AG$1027)&lt;IF($D$4="Forint",Paraméterek!$L$223,Paraméterek!$L$224),0,VLOOKUP($AA219,Paraméterek!$K$230:$M$250,IF(SUMIF($AA$20:$AA$1027,$AA219,$AG$20:$AG$1027)&lt;IF($D$4="Forint",Paraméterek!$M$223,Paraméterek!$M$224),2,3))),0)</f>
        <v>0</v>
      </c>
      <c r="AJ219" s="13">
        <f ca="1">IF(AND($AA219&gt;=5,MOD($AA219,5)=0),IF($AB219=12,VLOOKUP($AA219,Paraméterek!$O$225:$P$240,2),0),IF(OR($AA219=3,$AA219=4),IF($AB219=12,VLOOKUP($AA219,Paraméterek!$O$225:$P$240,2,0),0),0))*$AG219</f>
        <v>0</v>
      </c>
      <c r="AK219" s="13">
        <f t="shared" ca="1" si="75"/>
        <v>0</v>
      </c>
      <c r="AL219" s="13">
        <f t="shared" ca="1" si="83"/>
        <v>0</v>
      </c>
      <c r="AM219" s="13">
        <f t="shared" ca="1" si="84"/>
        <v>0</v>
      </c>
      <c r="AO219" s="32">
        <v>200</v>
      </c>
      <c r="AP219" s="32">
        <v>17</v>
      </c>
      <c r="AQ219" s="32">
        <v>8</v>
      </c>
      <c r="AR219" s="13"/>
      <c r="AS219" s="32"/>
      <c r="AT219" s="13">
        <f t="shared" ca="1" si="85"/>
        <v>0</v>
      </c>
      <c r="AU219" s="33"/>
      <c r="AV219" s="13">
        <f t="shared" ca="1" si="76"/>
        <v>0</v>
      </c>
      <c r="AW219" s="13">
        <f ca="1">ROUNDUP(($AT219+$AV219)*VLOOKUP($AP219,Paraméterek!$P$38:$Q$38,2)/12*IF($D220="Nem",IF($M$13=0,1,$M$13),1),IF($D$4="Forint",0,2))</f>
        <v>0</v>
      </c>
      <c r="AX219" s="13"/>
      <c r="AY219" s="13"/>
      <c r="AZ219" s="13">
        <f>ROUNDUP(IF(SUM($AX219:$AY219)=0,0,IF(IF(ISBLANK($AY219),$AX219,$AY219)*Paraméterek!$J$112&lt;IF($D$4="Forint",Paraméterek!$J$113,Paraméterek!$K$113),IF($D$4="Forint",Paraméterek!$J$113,Paraméterek!$K$113),IF(IF(ISBLANK($AY219),$AX219,$AY219)*Paraméterek!$J$112&gt;IF($D$4="Forint",Paraméterek!$J$114,Paraméterek!$K$114),IF($D$4="Forint",Paraméterek!$J$114,Paraméterek!$K$114),IF(ISBLANK($AY219),$AX219,$AY219)*Paraméterek!$J$112))),IF($D$4="Forint",0,2))</f>
        <v>0</v>
      </c>
      <c r="BA219" s="13">
        <f ca="1">$AT219+$AV219-$AW219-IF(ROUNDDOWN(IF(ISBLANK($AY219),$AX219,$AY219),IF($D$4="Forint",0,2))&gt;$AT219+$AV219-$AW219-IF($D$4="Forint",Paraméterek!$J$114,Paraméterek!$K$114),0,ROUNDDOWN(IF(ISBLANK($AY219),$AX219,$AY219),IF($D$4="Forint",0,2))-$AZ219)</f>
        <v>0</v>
      </c>
      <c r="BB219" s="13">
        <f t="shared" ca="1" si="77"/>
        <v>0</v>
      </c>
      <c r="BD219" s="32">
        <v>200</v>
      </c>
      <c r="BE219" s="32">
        <v>17</v>
      </c>
      <c r="BF219" s="32">
        <v>8</v>
      </c>
      <c r="BG219" s="34">
        <f t="shared" ca="1" si="86"/>
        <v>2036</v>
      </c>
      <c r="BH219" s="32" t="str">
        <f ca="1">IF(MOD(MONTH($D$14)+$BD219-1,12)=Paraméterek!$C$288,"Igen","")</f>
        <v/>
      </c>
      <c r="BI219" s="13">
        <f ca="1">IF($BH219="Igen",MIN(ROUNDDOWN((SUMIF($BG$20:$BG$1027,$BG219-1,$K$20:$K$1027)-SUMIF($BG$20:$BG$1027,$BG219-1,$I$20:$I$1027))*Paraméterek!$C$289,IF($D$4="Forint",0,2)),IF($D$4="Forint",Paraméterek!$C$285,Paraméterek!$D$285)),0)</f>
        <v>0</v>
      </c>
      <c r="BJ219" s="13">
        <f t="shared" ca="1" si="78"/>
        <v>0</v>
      </c>
      <c r="BK219" s="13">
        <f t="shared" ca="1" si="87"/>
        <v>0</v>
      </c>
      <c r="BL219" s="33"/>
      <c r="BM219" s="13">
        <f t="shared" ca="1" si="79"/>
        <v>0</v>
      </c>
      <c r="BN219" s="13">
        <f ca="1">ROUNDUP(($BK219+$BM219)*VLOOKUP($BE219,Paraméterek!$P$38:$Q$38,2)/12*IF($D220="Nem",IF($M$13=0,1,$M$13),1),IF($D$4="Forint",0,2))</f>
        <v>0</v>
      </c>
      <c r="BO219" s="13">
        <f t="shared" ca="1" si="80"/>
        <v>0</v>
      </c>
      <c r="BP219" s="13">
        <f ca="1">IF($D220="Nem",$BO219,$BO219-ROUNDUP(SUM($BI$20:$BI219)*120%,IF($D$4="Forint",0,2)))</f>
        <v>0</v>
      </c>
    </row>
    <row r="220" spans="1:68" x14ac:dyDescent="0.2">
      <c r="A220" s="32">
        <v>201</v>
      </c>
      <c r="B220" s="32">
        <v>17</v>
      </c>
      <c r="C220" s="32">
        <v>9</v>
      </c>
      <c r="D220" s="32" t="str">
        <f t="shared" ca="1" si="66"/>
        <v>Nem</v>
      </c>
      <c r="E220" s="13">
        <f t="shared" ca="1" si="67"/>
        <v>0</v>
      </c>
      <c r="F220" s="13"/>
      <c r="G220" s="13"/>
      <c r="H220" s="13"/>
      <c r="I220" s="13">
        <f t="shared" ca="1" si="68"/>
        <v>0</v>
      </c>
      <c r="J220" s="13">
        <f t="shared" ca="1" si="69"/>
        <v>0</v>
      </c>
      <c r="K220" s="13">
        <f t="shared" ca="1" si="70"/>
        <v>0</v>
      </c>
      <c r="L220" s="13" t="e">
        <f ca="1">ROUNDUP(IF($D$2="Egyszeri",$E220,IF($D$2="Havi",SUM($E$20:$E$31),IF(MOD($C220,$M$1)-1=0,SUM($E$20:$E$31),0))/12*$M$1)*VLOOKUP($B220,Paraméterek!$I$28:$P$31,IF($D$2="Egyszeri",8,HLOOKUP(ROUNDUP($M$11+$M$13,0),Paraméterek!$J$26:$O$27,2))),IF($D$4="Forint",0,2))</f>
        <v>#N/A</v>
      </c>
      <c r="M220" s="13">
        <f t="shared" ca="1" si="71"/>
        <v>0</v>
      </c>
      <c r="N220" s="13">
        <f t="shared" ca="1" si="81"/>
        <v>0</v>
      </c>
      <c r="O220" s="13">
        <f ca="1">IF($D220="Igen",IF($W219&gt;=IF($D$4="Forint",Paraméterek!$J$121,Paraméterek!$K$121),0,IF($D$4="Forint",Paraméterek!$J$121,Paraméterek!$K$121)-$W219),0)</f>
        <v>0</v>
      </c>
      <c r="P220" s="13" t="e">
        <f ca="1">ROUNDUP($O220*VLOOKUP($M$4+$B220-1,Paraméterek!$H$58:$I$105,2,0)/Paraméterek!$I$56,IF($D$4="Forint",0,2))</f>
        <v>#N/A</v>
      </c>
      <c r="Q220" s="13">
        <f t="shared" ca="1" si="72"/>
        <v>0</v>
      </c>
      <c r="R220" s="33"/>
      <c r="S220" s="13" t="e">
        <f t="shared" ca="1" si="73"/>
        <v>#N/A</v>
      </c>
      <c r="T220" s="13" t="e">
        <f ca="1">ROUNDUP(($N220-$P220-$Q220+$S220)*VLOOKUP($B220,Paraméterek!$I$38:$K$39,IF($D$2="Egyszeri",3,2))/12*IF($D221="Nem",IF($M$13=0,1,$M$13),1),IF($D$4="Forint",0,2))</f>
        <v>#N/A</v>
      </c>
      <c r="U220" s="13"/>
      <c r="V220" s="13"/>
      <c r="W220" s="13" t="e">
        <f ca="1">$N220-$P220-$Q220+$S220-$T220-IF(ROUNDUP(IF(ISBLANK($V220),$U220*0,$V220)/IF($D$2="Egyszeri",VLOOKUP($B220+IF($C220=12,1,0),Paraméterek!$V$257:$W$262,2),IF($B220=1,1,VLOOKUP($B220+IF($C220=12,1,0),Paraméterek!$I$258:$T$278,HLOOKUP($M$11+1,Paraméterek!$J$256:$T$257,2)))),IF($D$4="Forint",0,2))&gt;$N220-$P220-$Q220+$S220-$T220-IF($D$4="Forint",Paraméterek!$C$216,Paraméterek!$D$216),0,ROUNDUP(IF(ISBLANK($V220),$U220*0,$V220)/IF($D$2="Egyszeri",VLOOKUP($B220+IF($C220=12,1,0),Paraméterek!$V$257:$W$262,2),IF($B220=1,1,VLOOKUP($B220+IF($C220=12,1,0),Paraméterek!$I$258:$T$278,HLOOKUP($M$11+1,Paraméterek!$J$256:$T$257,2)))),IF($D$4="Forint",0,2)))</f>
        <v>#N/A</v>
      </c>
      <c r="X220" s="13" t="e">
        <f ca="1">ROUNDDOWN($W220*IF($D$2="Egyszeri",VLOOKUP($B220+IF($C220=12,1,0),Paraméterek!$V$257:$W$262,2),VLOOKUP($B220+IF($C220=12,1,0),Paraméterek!$I$258:$T$278,HLOOKUP($M$11+1,Paraméterek!$I$256:$T$257,2))),IF($D$4="Forint",0,2))</f>
        <v>#N/A</v>
      </c>
      <c r="Z220" s="32">
        <v>201</v>
      </c>
      <c r="AA220" s="32">
        <v>17</v>
      </c>
      <c r="AB220" s="32">
        <v>9</v>
      </c>
      <c r="AC220" s="13">
        <f t="shared" ca="1" si="82"/>
        <v>0</v>
      </c>
      <c r="AD220" s="33"/>
      <c r="AE220" s="13">
        <f t="shared" ca="1" si="74"/>
        <v>0</v>
      </c>
      <c r="AF220" s="13">
        <f ca="1">ROUNDUP(($AC220+$AE220)*VLOOKUP($AA220,Paraméterek!$P$38:$Q$38,2)/12*IF($D221="Nem",IF($M$13=0,1,$M$13),1),IF($D$4="Forint",0,2))</f>
        <v>0</v>
      </c>
      <c r="AG220" s="13">
        <f ca="1">IF($D$2="Egyszeri",IF($D$7&gt;=IF($D$4="Forint",Paraméterek!$P$223,Paraméterek!$P$224),$D$7-IF($D$4="Forint",Paraméterek!$P$223,Paraméterek!$P$224),0),MIN(IF($AB220=12,AVERAGEIF($E$20:$E220,"&gt;0",$E$20:$E220)*12,0),SUM($E$20:$E$31)))</f>
        <v>0</v>
      </c>
      <c r="AH220" s="13">
        <f>IF($AA220=10,$AG220*IF($AB220=12,IF($AG220&lt;IF($D$4="Forint",Paraméterek!$L$223,Paraméterek!$L$224),0,VLOOKUP($AA220,Paraméterek!$K$226:$M$228,IF($AG220&lt;IF($D$4="Forint",Paraméterek!$M$223,Paraméterek!$M$224),2,3))),0),0)</f>
        <v>0</v>
      </c>
      <c r="AI220" s="13">
        <f ca="1">IF(AND($AA220=$M$11+1,$AB220=$M$12+1),SUMIF($AA$20:$AA$1027,$AA220,$AG$20:$AG$1027)*IF(SUMIF($AA$20:$AA$1027,$AA220,$AG$20:$AG$1027)&lt;IF($D$4="Forint",Paraméterek!$L$223,Paraméterek!$L$224),0,VLOOKUP($AA220,Paraméterek!$K$230:$M$250,IF(SUMIF($AA$20:$AA$1027,$AA220,$AG$20:$AG$1027)&lt;IF($D$4="Forint",Paraméterek!$M$223,Paraméterek!$M$224),2,3))),0)</f>
        <v>0</v>
      </c>
      <c r="AJ220" s="13">
        <f ca="1">IF(AND($AA220&gt;=5,MOD($AA220,5)=0),IF($AB220=12,VLOOKUP($AA220,Paraméterek!$O$225:$P$240,2),0),IF(OR($AA220=3,$AA220=4),IF($AB220=12,VLOOKUP($AA220,Paraméterek!$O$225:$P$240,2,0),0),0))*$AG220</f>
        <v>0</v>
      </c>
      <c r="AK220" s="13">
        <f t="shared" ca="1" si="75"/>
        <v>0</v>
      </c>
      <c r="AL220" s="13">
        <f t="shared" ca="1" si="83"/>
        <v>0</v>
      </c>
      <c r="AM220" s="13">
        <f t="shared" ca="1" si="84"/>
        <v>0</v>
      </c>
      <c r="AO220" s="32">
        <v>201</v>
      </c>
      <c r="AP220" s="32">
        <v>17</v>
      </c>
      <c r="AQ220" s="32">
        <v>9</v>
      </c>
      <c r="AR220" s="13"/>
      <c r="AS220" s="32"/>
      <c r="AT220" s="13">
        <f t="shared" ca="1" si="85"/>
        <v>0</v>
      </c>
      <c r="AU220" s="33"/>
      <c r="AV220" s="13">
        <f t="shared" ca="1" si="76"/>
        <v>0</v>
      </c>
      <c r="AW220" s="13">
        <f ca="1">ROUNDUP(($AT220+$AV220)*VLOOKUP($AP220,Paraméterek!$P$38:$Q$38,2)/12*IF($D221="Nem",IF($M$13=0,1,$M$13),1),IF($D$4="Forint",0,2))</f>
        <v>0</v>
      </c>
      <c r="AX220" s="13"/>
      <c r="AY220" s="13"/>
      <c r="AZ220" s="13">
        <f>ROUNDUP(IF(SUM($AX220:$AY220)=0,0,IF(IF(ISBLANK($AY220),$AX220,$AY220)*Paraméterek!$J$112&lt;IF($D$4="Forint",Paraméterek!$J$113,Paraméterek!$K$113),IF($D$4="Forint",Paraméterek!$J$113,Paraméterek!$K$113),IF(IF(ISBLANK($AY220),$AX220,$AY220)*Paraméterek!$J$112&gt;IF($D$4="Forint",Paraméterek!$J$114,Paraméterek!$K$114),IF($D$4="Forint",Paraméterek!$J$114,Paraméterek!$K$114),IF(ISBLANK($AY220),$AX220,$AY220)*Paraméterek!$J$112))),IF($D$4="Forint",0,2))</f>
        <v>0</v>
      </c>
      <c r="BA220" s="13">
        <f ca="1">$AT220+$AV220-$AW220-IF(ROUNDDOWN(IF(ISBLANK($AY220),$AX220,$AY220),IF($D$4="Forint",0,2))&gt;$AT220+$AV220-$AW220-IF($D$4="Forint",Paraméterek!$J$114,Paraméterek!$K$114),0,ROUNDDOWN(IF(ISBLANK($AY220),$AX220,$AY220),IF($D$4="Forint",0,2))-$AZ220)</f>
        <v>0</v>
      </c>
      <c r="BB220" s="13">
        <f t="shared" ca="1" si="77"/>
        <v>0</v>
      </c>
      <c r="BD220" s="32">
        <v>201</v>
      </c>
      <c r="BE220" s="32">
        <v>17</v>
      </c>
      <c r="BF220" s="32">
        <v>9</v>
      </c>
      <c r="BG220" s="34">
        <f t="shared" ca="1" si="86"/>
        <v>2036</v>
      </c>
      <c r="BH220" s="32" t="str">
        <f ca="1">IF(MOD(MONTH($D$14)+$BD220-1,12)=Paraméterek!$C$288,"Igen","")</f>
        <v/>
      </c>
      <c r="BI220" s="13">
        <f ca="1">IF($BH220="Igen",MIN(ROUNDDOWN((SUMIF($BG$20:$BG$1027,$BG220-1,$K$20:$K$1027)-SUMIF($BG$20:$BG$1027,$BG220-1,$I$20:$I$1027))*Paraméterek!$C$289,IF($D$4="Forint",0,2)),IF($D$4="Forint",Paraméterek!$C$285,Paraméterek!$D$285)),0)</f>
        <v>0</v>
      </c>
      <c r="BJ220" s="13">
        <f t="shared" ca="1" si="78"/>
        <v>0</v>
      </c>
      <c r="BK220" s="13">
        <f t="shared" ca="1" si="87"/>
        <v>0</v>
      </c>
      <c r="BL220" s="33"/>
      <c r="BM220" s="13">
        <f t="shared" ca="1" si="79"/>
        <v>0</v>
      </c>
      <c r="BN220" s="13">
        <f ca="1">ROUNDUP(($BK220+$BM220)*VLOOKUP($BE220,Paraméterek!$P$38:$Q$38,2)/12*IF($D221="Nem",IF($M$13=0,1,$M$13),1),IF($D$4="Forint",0,2))</f>
        <v>0</v>
      </c>
      <c r="BO220" s="13">
        <f t="shared" ca="1" si="80"/>
        <v>0</v>
      </c>
      <c r="BP220" s="13">
        <f ca="1">IF($D221="Nem",$BO220,$BO220-ROUNDUP(SUM($BI$20:$BI220)*120%,IF($D$4="Forint",0,2)))</f>
        <v>0</v>
      </c>
    </row>
    <row r="221" spans="1:68" x14ac:dyDescent="0.2">
      <c r="A221" s="32">
        <v>202</v>
      </c>
      <c r="B221" s="32">
        <v>17</v>
      </c>
      <c r="C221" s="32">
        <v>10</v>
      </c>
      <c r="D221" s="32" t="str">
        <f t="shared" ca="1" si="66"/>
        <v>Nem</v>
      </c>
      <c r="E221" s="13">
        <f t="shared" ca="1" si="67"/>
        <v>0</v>
      </c>
      <c r="F221" s="13"/>
      <c r="G221" s="13"/>
      <c r="H221" s="13"/>
      <c r="I221" s="13">
        <f t="shared" ca="1" si="68"/>
        <v>0</v>
      </c>
      <c r="J221" s="13">
        <f t="shared" ca="1" si="69"/>
        <v>0</v>
      </c>
      <c r="K221" s="13">
        <f t="shared" ca="1" si="70"/>
        <v>0</v>
      </c>
      <c r="L221" s="13" t="e">
        <f ca="1">ROUNDUP(IF($D$2="Egyszeri",$E221,IF($D$2="Havi",SUM($E$20:$E$31),IF(MOD($C221,$M$1)-1=0,SUM($E$20:$E$31),0))/12*$M$1)*VLOOKUP($B221,Paraméterek!$I$28:$P$31,IF($D$2="Egyszeri",8,HLOOKUP(ROUNDUP($M$11+$M$13,0),Paraméterek!$J$26:$O$27,2))),IF($D$4="Forint",0,2))</f>
        <v>#N/A</v>
      </c>
      <c r="M221" s="13">
        <f t="shared" ca="1" si="71"/>
        <v>0</v>
      </c>
      <c r="N221" s="13">
        <f t="shared" ca="1" si="81"/>
        <v>0</v>
      </c>
      <c r="O221" s="13">
        <f ca="1">IF($D221="Igen",IF($W220&gt;=IF($D$4="Forint",Paraméterek!$J$121,Paraméterek!$K$121),0,IF($D$4="Forint",Paraméterek!$J$121,Paraméterek!$K$121)-$W220),0)</f>
        <v>0</v>
      </c>
      <c r="P221" s="13" t="e">
        <f ca="1">ROUNDUP($O221*VLOOKUP($M$4+$B221-1,Paraméterek!$H$58:$I$105,2,0)/Paraméterek!$I$56,IF($D$4="Forint",0,2))</f>
        <v>#N/A</v>
      </c>
      <c r="Q221" s="13">
        <f t="shared" ca="1" si="72"/>
        <v>0</v>
      </c>
      <c r="R221" s="33"/>
      <c r="S221" s="13" t="e">
        <f t="shared" ca="1" si="73"/>
        <v>#N/A</v>
      </c>
      <c r="T221" s="13" t="e">
        <f ca="1">ROUNDUP(($N221-$P221-$Q221+$S221)*VLOOKUP($B221,Paraméterek!$I$38:$K$39,IF($D$2="Egyszeri",3,2))/12*IF($D222="Nem",IF($M$13=0,1,$M$13),1),IF($D$4="Forint",0,2))</f>
        <v>#N/A</v>
      </c>
      <c r="U221" s="13"/>
      <c r="V221" s="13"/>
      <c r="W221" s="13" t="e">
        <f ca="1">$N221-$P221-$Q221+$S221-$T221-IF(ROUNDUP(IF(ISBLANK($V221),$U221*0,$V221)/IF($D$2="Egyszeri",VLOOKUP($B221+IF($C221=12,1,0),Paraméterek!$V$257:$W$262,2),IF($B221=1,1,VLOOKUP($B221+IF($C221=12,1,0),Paraméterek!$I$258:$T$278,HLOOKUP($M$11+1,Paraméterek!$J$256:$T$257,2)))),IF($D$4="Forint",0,2))&gt;$N221-$P221-$Q221+$S221-$T221-IF($D$4="Forint",Paraméterek!$C$216,Paraméterek!$D$216),0,ROUNDUP(IF(ISBLANK($V221),$U221*0,$V221)/IF($D$2="Egyszeri",VLOOKUP($B221+IF($C221=12,1,0),Paraméterek!$V$257:$W$262,2),IF($B221=1,1,VLOOKUP($B221+IF($C221=12,1,0),Paraméterek!$I$258:$T$278,HLOOKUP($M$11+1,Paraméterek!$J$256:$T$257,2)))),IF($D$4="Forint",0,2)))</f>
        <v>#N/A</v>
      </c>
      <c r="X221" s="13" t="e">
        <f ca="1">ROUNDDOWN($W221*IF($D$2="Egyszeri",VLOOKUP($B221+IF($C221=12,1,0),Paraméterek!$V$257:$W$262,2),VLOOKUP($B221+IF($C221=12,1,0),Paraméterek!$I$258:$T$278,HLOOKUP($M$11+1,Paraméterek!$I$256:$T$257,2))),IF($D$4="Forint",0,2))</f>
        <v>#N/A</v>
      </c>
      <c r="Z221" s="32">
        <v>202</v>
      </c>
      <c r="AA221" s="32">
        <v>17</v>
      </c>
      <c r="AB221" s="32">
        <v>10</v>
      </c>
      <c r="AC221" s="13">
        <f t="shared" ca="1" si="82"/>
        <v>0</v>
      </c>
      <c r="AD221" s="33"/>
      <c r="AE221" s="13">
        <f t="shared" ca="1" si="74"/>
        <v>0</v>
      </c>
      <c r="AF221" s="13">
        <f ca="1">ROUNDUP(($AC221+$AE221)*VLOOKUP($AA221,Paraméterek!$P$38:$Q$38,2)/12*IF($D222="Nem",IF($M$13=0,1,$M$13),1),IF($D$4="Forint",0,2))</f>
        <v>0</v>
      </c>
      <c r="AG221" s="13">
        <f ca="1">IF($D$2="Egyszeri",IF($D$7&gt;=IF($D$4="Forint",Paraméterek!$P$223,Paraméterek!$P$224),$D$7-IF($D$4="Forint",Paraméterek!$P$223,Paraméterek!$P$224),0),MIN(IF($AB221=12,AVERAGEIF($E$20:$E221,"&gt;0",$E$20:$E221)*12,0),SUM($E$20:$E$31)))</f>
        <v>0</v>
      </c>
      <c r="AH221" s="13">
        <f>IF($AA221=10,$AG221*IF($AB221=12,IF($AG221&lt;IF($D$4="Forint",Paraméterek!$L$223,Paraméterek!$L$224),0,VLOOKUP($AA221,Paraméterek!$K$226:$M$228,IF($AG221&lt;IF($D$4="Forint",Paraméterek!$M$223,Paraméterek!$M$224),2,3))),0),0)</f>
        <v>0</v>
      </c>
      <c r="AI221" s="13">
        <f ca="1">IF(AND($AA221=$M$11+1,$AB221=$M$12+1),SUMIF($AA$20:$AA$1027,$AA221,$AG$20:$AG$1027)*IF(SUMIF($AA$20:$AA$1027,$AA221,$AG$20:$AG$1027)&lt;IF($D$4="Forint",Paraméterek!$L$223,Paraméterek!$L$224),0,VLOOKUP($AA221,Paraméterek!$K$230:$M$250,IF(SUMIF($AA$20:$AA$1027,$AA221,$AG$20:$AG$1027)&lt;IF($D$4="Forint",Paraméterek!$M$223,Paraméterek!$M$224),2,3))),0)</f>
        <v>0</v>
      </c>
      <c r="AJ221" s="13">
        <f ca="1">IF(AND($AA221&gt;=5,MOD($AA221,5)=0),IF($AB221=12,VLOOKUP($AA221,Paraméterek!$O$225:$P$240,2),0),IF(OR($AA221=3,$AA221=4),IF($AB221=12,VLOOKUP($AA221,Paraméterek!$O$225:$P$240,2,0),0),0))*$AG221</f>
        <v>0</v>
      </c>
      <c r="AK221" s="13">
        <f t="shared" ca="1" si="75"/>
        <v>0</v>
      </c>
      <c r="AL221" s="13">
        <f t="shared" ca="1" si="83"/>
        <v>0</v>
      </c>
      <c r="AM221" s="13">
        <f t="shared" ca="1" si="84"/>
        <v>0</v>
      </c>
      <c r="AO221" s="32">
        <v>202</v>
      </c>
      <c r="AP221" s="32">
        <v>17</v>
      </c>
      <c r="AQ221" s="32">
        <v>10</v>
      </c>
      <c r="AR221" s="13"/>
      <c r="AS221" s="32"/>
      <c r="AT221" s="13">
        <f t="shared" ca="1" si="85"/>
        <v>0</v>
      </c>
      <c r="AU221" s="33"/>
      <c r="AV221" s="13">
        <f t="shared" ca="1" si="76"/>
        <v>0</v>
      </c>
      <c r="AW221" s="13">
        <f ca="1">ROUNDUP(($AT221+$AV221)*VLOOKUP($AP221,Paraméterek!$P$38:$Q$38,2)/12*IF($D222="Nem",IF($M$13=0,1,$M$13),1),IF($D$4="Forint",0,2))</f>
        <v>0</v>
      </c>
      <c r="AX221" s="13"/>
      <c r="AY221" s="13"/>
      <c r="AZ221" s="13">
        <f>ROUNDUP(IF(SUM($AX221:$AY221)=0,0,IF(IF(ISBLANK($AY221),$AX221,$AY221)*Paraméterek!$J$112&lt;IF($D$4="Forint",Paraméterek!$J$113,Paraméterek!$K$113),IF($D$4="Forint",Paraméterek!$J$113,Paraméterek!$K$113),IF(IF(ISBLANK($AY221),$AX221,$AY221)*Paraméterek!$J$112&gt;IF($D$4="Forint",Paraméterek!$J$114,Paraméterek!$K$114),IF($D$4="Forint",Paraméterek!$J$114,Paraméterek!$K$114),IF(ISBLANK($AY221),$AX221,$AY221)*Paraméterek!$J$112))),IF($D$4="Forint",0,2))</f>
        <v>0</v>
      </c>
      <c r="BA221" s="13">
        <f ca="1">$AT221+$AV221-$AW221-IF(ROUNDDOWN(IF(ISBLANK($AY221),$AX221,$AY221),IF($D$4="Forint",0,2))&gt;$AT221+$AV221-$AW221-IF($D$4="Forint",Paraméterek!$J$114,Paraméterek!$K$114),0,ROUNDDOWN(IF(ISBLANK($AY221),$AX221,$AY221),IF($D$4="Forint",0,2))-$AZ221)</f>
        <v>0</v>
      </c>
      <c r="BB221" s="13">
        <f t="shared" ca="1" si="77"/>
        <v>0</v>
      </c>
      <c r="BD221" s="32">
        <v>202</v>
      </c>
      <c r="BE221" s="32">
        <v>17</v>
      </c>
      <c r="BF221" s="32">
        <v>10</v>
      </c>
      <c r="BG221" s="34">
        <f t="shared" ca="1" si="86"/>
        <v>2036</v>
      </c>
      <c r="BH221" s="32" t="str">
        <f ca="1">IF(MOD(MONTH($D$14)+$BD221-1,12)=Paraméterek!$C$288,"Igen","")</f>
        <v/>
      </c>
      <c r="BI221" s="13">
        <f ca="1">IF($BH221="Igen",MIN(ROUNDDOWN((SUMIF($BG$20:$BG$1027,$BG221-1,$K$20:$K$1027)-SUMIF($BG$20:$BG$1027,$BG221-1,$I$20:$I$1027))*Paraméterek!$C$289,IF($D$4="Forint",0,2)),IF($D$4="Forint",Paraméterek!$C$285,Paraméterek!$D$285)),0)</f>
        <v>0</v>
      </c>
      <c r="BJ221" s="13">
        <f t="shared" ca="1" si="78"/>
        <v>0</v>
      </c>
      <c r="BK221" s="13">
        <f t="shared" ca="1" si="87"/>
        <v>0</v>
      </c>
      <c r="BL221" s="33"/>
      <c r="BM221" s="13">
        <f t="shared" ca="1" si="79"/>
        <v>0</v>
      </c>
      <c r="BN221" s="13">
        <f ca="1">ROUNDUP(($BK221+$BM221)*VLOOKUP($BE221,Paraméterek!$P$38:$Q$38,2)/12*IF($D222="Nem",IF($M$13=0,1,$M$13),1),IF($D$4="Forint",0,2))</f>
        <v>0</v>
      </c>
      <c r="BO221" s="13">
        <f t="shared" ca="1" si="80"/>
        <v>0</v>
      </c>
      <c r="BP221" s="13">
        <f ca="1">IF($D222="Nem",$BO221,$BO221-ROUNDUP(SUM($BI$20:$BI221)*120%,IF($D$4="Forint",0,2)))</f>
        <v>0</v>
      </c>
    </row>
    <row r="222" spans="1:68" x14ac:dyDescent="0.2">
      <c r="A222" s="32">
        <v>203</v>
      </c>
      <c r="B222" s="32">
        <v>17</v>
      </c>
      <c r="C222" s="32">
        <v>11</v>
      </c>
      <c r="D222" s="32" t="str">
        <f t="shared" ca="1" si="66"/>
        <v>Nem</v>
      </c>
      <c r="E222" s="13">
        <f t="shared" ca="1" si="67"/>
        <v>0</v>
      </c>
      <c r="F222" s="13"/>
      <c r="G222" s="13"/>
      <c r="H222" s="13"/>
      <c r="I222" s="13">
        <f t="shared" ca="1" si="68"/>
        <v>0</v>
      </c>
      <c r="J222" s="13">
        <f t="shared" ca="1" si="69"/>
        <v>0</v>
      </c>
      <c r="K222" s="13">
        <f t="shared" ca="1" si="70"/>
        <v>0</v>
      </c>
      <c r="L222" s="13" t="e">
        <f ca="1">ROUNDUP(IF($D$2="Egyszeri",$E222,IF($D$2="Havi",SUM($E$20:$E$31),IF(MOD($C222,$M$1)-1=0,SUM($E$20:$E$31),0))/12*$M$1)*VLOOKUP($B222,Paraméterek!$I$28:$P$31,IF($D$2="Egyszeri",8,HLOOKUP(ROUNDUP($M$11+$M$13,0),Paraméterek!$J$26:$O$27,2))),IF($D$4="Forint",0,2))</f>
        <v>#N/A</v>
      </c>
      <c r="M222" s="13">
        <f t="shared" ca="1" si="71"/>
        <v>0</v>
      </c>
      <c r="N222" s="13">
        <f t="shared" ca="1" si="81"/>
        <v>0</v>
      </c>
      <c r="O222" s="13">
        <f ca="1">IF($D222="Igen",IF($W221&gt;=IF($D$4="Forint",Paraméterek!$J$121,Paraméterek!$K$121),0,IF($D$4="Forint",Paraméterek!$J$121,Paraméterek!$K$121)-$W221),0)</f>
        <v>0</v>
      </c>
      <c r="P222" s="13" t="e">
        <f ca="1">ROUNDUP($O222*VLOOKUP($M$4+$B222-1,Paraméterek!$H$58:$I$105,2,0)/Paraméterek!$I$56,IF($D$4="Forint",0,2))</f>
        <v>#N/A</v>
      </c>
      <c r="Q222" s="13">
        <f t="shared" ca="1" si="72"/>
        <v>0</v>
      </c>
      <c r="R222" s="33"/>
      <c r="S222" s="13" t="e">
        <f t="shared" ca="1" si="73"/>
        <v>#N/A</v>
      </c>
      <c r="T222" s="13" t="e">
        <f ca="1">ROUNDUP(($N222-$P222-$Q222+$S222)*VLOOKUP($B222,Paraméterek!$I$38:$K$39,IF($D$2="Egyszeri",3,2))/12*IF($D223="Nem",IF($M$13=0,1,$M$13),1),IF($D$4="Forint",0,2))</f>
        <v>#N/A</v>
      </c>
      <c r="U222" s="13"/>
      <c r="V222" s="13"/>
      <c r="W222" s="13" t="e">
        <f ca="1">$N222-$P222-$Q222+$S222-$T222-IF(ROUNDUP(IF(ISBLANK($V222),$U222*0,$V222)/IF($D$2="Egyszeri",VLOOKUP($B222+IF($C222=12,1,0),Paraméterek!$V$257:$W$262,2),IF($B222=1,1,VLOOKUP($B222+IF($C222=12,1,0),Paraméterek!$I$258:$T$278,HLOOKUP($M$11+1,Paraméterek!$J$256:$T$257,2)))),IF($D$4="Forint",0,2))&gt;$N222-$P222-$Q222+$S222-$T222-IF($D$4="Forint",Paraméterek!$C$216,Paraméterek!$D$216),0,ROUNDUP(IF(ISBLANK($V222),$U222*0,$V222)/IF($D$2="Egyszeri",VLOOKUP($B222+IF($C222=12,1,0),Paraméterek!$V$257:$W$262,2),IF($B222=1,1,VLOOKUP($B222+IF($C222=12,1,0),Paraméterek!$I$258:$T$278,HLOOKUP($M$11+1,Paraméterek!$J$256:$T$257,2)))),IF($D$4="Forint",0,2)))</f>
        <v>#N/A</v>
      </c>
      <c r="X222" s="13" t="e">
        <f ca="1">ROUNDDOWN($W222*IF($D$2="Egyszeri",VLOOKUP($B222+IF($C222=12,1,0),Paraméterek!$V$257:$W$262,2),VLOOKUP($B222+IF($C222=12,1,0),Paraméterek!$I$258:$T$278,HLOOKUP($M$11+1,Paraméterek!$I$256:$T$257,2))),IF($D$4="Forint",0,2))</f>
        <v>#N/A</v>
      </c>
      <c r="Z222" s="32">
        <v>203</v>
      </c>
      <c r="AA222" s="32">
        <v>17</v>
      </c>
      <c r="AB222" s="32">
        <v>11</v>
      </c>
      <c r="AC222" s="13">
        <f t="shared" ca="1" si="82"/>
        <v>0</v>
      </c>
      <c r="AD222" s="33"/>
      <c r="AE222" s="13">
        <f t="shared" ca="1" si="74"/>
        <v>0</v>
      </c>
      <c r="AF222" s="13">
        <f ca="1">ROUNDUP(($AC222+$AE222)*VLOOKUP($AA222,Paraméterek!$P$38:$Q$38,2)/12*IF($D223="Nem",IF($M$13=0,1,$M$13),1),IF($D$4="Forint",0,2))</f>
        <v>0</v>
      </c>
      <c r="AG222" s="13">
        <f ca="1">IF($D$2="Egyszeri",IF($D$7&gt;=IF($D$4="Forint",Paraméterek!$P$223,Paraméterek!$P$224),$D$7-IF($D$4="Forint",Paraméterek!$P$223,Paraméterek!$P$224),0),MIN(IF($AB222=12,AVERAGEIF($E$20:$E222,"&gt;0",$E$20:$E222)*12,0),SUM($E$20:$E$31)))</f>
        <v>0</v>
      </c>
      <c r="AH222" s="13">
        <f>IF($AA222=10,$AG222*IF($AB222=12,IF($AG222&lt;IF($D$4="Forint",Paraméterek!$L$223,Paraméterek!$L$224),0,VLOOKUP($AA222,Paraméterek!$K$226:$M$228,IF($AG222&lt;IF($D$4="Forint",Paraméterek!$M$223,Paraméterek!$M$224),2,3))),0),0)</f>
        <v>0</v>
      </c>
      <c r="AI222" s="13">
        <f ca="1">IF(AND($AA222=$M$11+1,$AB222=$M$12+1),SUMIF($AA$20:$AA$1027,$AA222,$AG$20:$AG$1027)*IF(SUMIF($AA$20:$AA$1027,$AA222,$AG$20:$AG$1027)&lt;IF($D$4="Forint",Paraméterek!$L$223,Paraméterek!$L$224),0,VLOOKUP($AA222,Paraméterek!$K$230:$M$250,IF(SUMIF($AA$20:$AA$1027,$AA222,$AG$20:$AG$1027)&lt;IF($D$4="Forint",Paraméterek!$M$223,Paraméterek!$M$224),2,3))),0)</f>
        <v>0</v>
      </c>
      <c r="AJ222" s="13">
        <f ca="1">IF(AND($AA222&gt;=5,MOD($AA222,5)=0),IF($AB222=12,VLOOKUP($AA222,Paraméterek!$O$225:$P$240,2),0),IF(OR($AA222=3,$AA222=4),IF($AB222=12,VLOOKUP($AA222,Paraméterek!$O$225:$P$240,2,0),0),0))*$AG222</f>
        <v>0</v>
      </c>
      <c r="AK222" s="13">
        <f t="shared" ca="1" si="75"/>
        <v>0</v>
      </c>
      <c r="AL222" s="13">
        <f t="shared" ca="1" si="83"/>
        <v>0</v>
      </c>
      <c r="AM222" s="13">
        <f t="shared" ca="1" si="84"/>
        <v>0</v>
      </c>
      <c r="AO222" s="32">
        <v>203</v>
      </c>
      <c r="AP222" s="32">
        <v>17</v>
      </c>
      <c r="AQ222" s="32">
        <v>11</v>
      </c>
      <c r="AR222" s="13"/>
      <c r="AS222" s="32"/>
      <c r="AT222" s="13">
        <f t="shared" ca="1" si="85"/>
        <v>0</v>
      </c>
      <c r="AU222" s="33"/>
      <c r="AV222" s="13">
        <f t="shared" ca="1" si="76"/>
        <v>0</v>
      </c>
      <c r="AW222" s="13">
        <f ca="1">ROUNDUP(($AT222+$AV222)*VLOOKUP($AP222,Paraméterek!$P$38:$Q$38,2)/12*IF($D223="Nem",IF($M$13=0,1,$M$13),1),IF($D$4="Forint",0,2))</f>
        <v>0</v>
      </c>
      <c r="AX222" s="13"/>
      <c r="AY222" s="13"/>
      <c r="AZ222" s="13">
        <f>ROUNDUP(IF(SUM($AX222:$AY222)=0,0,IF(IF(ISBLANK($AY222),$AX222,$AY222)*Paraméterek!$J$112&lt;IF($D$4="Forint",Paraméterek!$J$113,Paraméterek!$K$113),IF($D$4="Forint",Paraméterek!$J$113,Paraméterek!$K$113),IF(IF(ISBLANK($AY222),$AX222,$AY222)*Paraméterek!$J$112&gt;IF($D$4="Forint",Paraméterek!$J$114,Paraméterek!$K$114),IF($D$4="Forint",Paraméterek!$J$114,Paraméterek!$K$114),IF(ISBLANK($AY222),$AX222,$AY222)*Paraméterek!$J$112))),IF($D$4="Forint",0,2))</f>
        <v>0</v>
      </c>
      <c r="BA222" s="13">
        <f ca="1">$AT222+$AV222-$AW222-IF(ROUNDDOWN(IF(ISBLANK($AY222),$AX222,$AY222),IF($D$4="Forint",0,2))&gt;$AT222+$AV222-$AW222-IF($D$4="Forint",Paraméterek!$J$114,Paraméterek!$K$114),0,ROUNDDOWN(IF(ISBLANK($AY222),$AX222,$AY222),IF($D$4="Forint",0,2))-$AZ222)</f>
        <v>0</v>
      </c>
      <c r="BB222" s="13">
        <f t="shared" ca="1" si="77"/>
        <v>0</v>
      </c>
      <c r="BD222" s="32">
        <v>203</v>
      </c>
      <c r="BE222" s="32">
        <v>17</v>
      </c>
      <c r="BF222" s="32">
        <v>11</v>
      </c>
      <c r="BG222" s="34">
        <f t="shared" ca="1" si="86"/>
        <v>2036</v>
      </c>
      <c r="BH222" s="32" t="str">
        <f ca="1">IF(MOD(MONTH($D$14)+$BD222-1,12)=Paraméterek!$C$288,"Igen","")</f>
        <v/>
      </c>
      <c r="BI222" s="13">
        <f ca="1">IF($BH222="Igen",MIN(ROUNDDOWN((SUMIF($BG$20:$BG$1027,$BG222-1,$K$20:$K$1027)-SUMIF($BG$20:$BG$1027,$BG222-1,$I$20:$I$1027))*Paraméterek!$C$289,IF($D$4="Forint",0,2)),IF($D$4="Forint",Paraméterek!$C$285,Paraméterek!$D$285)),0)</f>
        <v>0</v>
      </c>
      <c r="BJ222" s="13">
        <f t="shared" ca="1" si="78"/>
        <v>0</v>
      </c>
      <c r="BK222" s="13">
        <f t="shared" ca="1" si="87"/>
        <v>0</v>
      </c>
      <c r="BL222" s="33"/>
      <c r="BM222" s="13">
        <f t="shared" ca="1" si="79"/>
        <v>0</v>
      </c>
      <c r="BN222" s="13">
        <f ca="1">ROUNDUP(($BK222+$BM222)*VLOOKUP($BE222,Paraméterek!$P$38:$Q$38,2)/12*IF($D223="Nem",IF($M$13=0,1,$M$13),1),IF($D$4="Forint",0,2))</f>
        <v>0</v>
      </c>
      <c r="BO222" s="13">
        <f t="shared" ca="1" si="80"/>
        <v>0</v>
      </c>
      <c r="BP222" s="13">
        <f ca="1">IF($D223="Nem",$BO222,$BO222-ROUNDUP(SUM($BI$20:$BI222)*120%,IF($D$4="Forint",0,2)))</f>
        <v>0</v>
      </c>
    </row>
    <row r="223" spans="1:68" x14ac:dyDescent="0.2">
      <c r="A223" s="32">
        <v>204</v>
      </c>
      <c r="B223" s="32">
        <v>17</v>
      </c>
      <c r="C223" s="32">
        <v>12</v>
      </c>
      <c r="D223" s="32" t="str">
        <f t="shared" ca="1" si="66"/>
        <v>Nem</v>
      </c>
      <c r="E223" s="13">
        <f t="shared" ca="1" si="67"/>
        <v>0</v>
      </c>
      <c r="F223" s="13"/>
      <c r="G223" s="13"/>
      <c r="H223" s="13"/>
      <c r="I223" s="13">
        <f t="shared" ca="1" si="68"/>
        <v>0</v>
      </c>
      <c r="J223" s="13">
        <f t="shared" ca="1" si="69"/>
        <v>0</v>
      </c>
      <c r="K223" s="13">
        <f t="shared" ca="1" si="70"/>
        <v>0</v>
      </c>
      <c r="L223" s="13" t="e">
        <f ca="1">ROUNDUP(IF($D$2="Egyszeri",$E223,IF($D$2="Havi",SUM($E$20:$E$31),IF(MOD($C223,$M$1)-1=0,SUM($E$20:$E$31),0))/12*$M$1)*VLOOKUP($B223,Paraméterek!$I$28:$P$31,IF($D$2="Egyszeri",8,HLOOKUP(ROUNDUP($M$11+$M$13,0),Paraméterek!$J$26:$O$27,2))),IF($D$4="Forint",0,2))</f>
        <v>#N/A</v>
      </c>
      <c r="M223" s="13">
        <f t="shared" ca="1" si="71"/>
        <v>0</v>
      </c>
      <c r="N223" s="13">
        <f t="shared" ca="1" si="81"/>
        <v>0</v>
      </c>
      <c r="O223" s="13">
        <f ca="1">IF($D223="Igen",IF($W222&gt;=IF($D$4="Forint",Paraméterek!$J$121,Paraméterek!$K$121),0,IF($D$4="Forint",Paraméterek!$J$121,Paraméterek!$K$121)-$W222),0)</f>
        <v>0</v>
      </c>
      <c r="P223" s="13" t="e">
        <f ca="1">ROUNDUP($O223*VLOOKUP($M$4+$B223-1,Paraméterek!$H$58:$I$105,2,0)/Paraméterek!$I$56,IF($D$4="Forint",0,2))</f>
        <v>#N/A</v>
      </c>
      <c r="Q223" s="13">
        <f t="shared" ca="1" si="72"/>
        <v>0</v>
      </c>
      <c r="R223" s="33"/>
      <c r="S223" s="13" t="e">
        <f t="shared" ca="1" si="73"/>
        <v>#N/A</v>
      </c>
      <c r="T223" s="13" t="e">
        <f ca="1">ROUNDUP(($N223-$P223-$Q223+$S223)*VLOOKUP($B223,Paraméterek!$I$38:$K$39,IF($D$2="Egyszeri",3,2))/12*IF($D224="Nem",IF($M$13=0,1,$M$13),1),IF($D$4="Forint",0,2))</f>
        <v>#N/A</v>
      </c>
      <c r="U223" s="13">
        <f>Tranzakciók!$F$48</f>
        <v>0</v>
      </c>
      <c r="V223" s="13"/>
      <c r="W223" s="13" t="e">
        <f ca="1">$N223-$P223-$Q223+$S223-$T223-IF(ROUNDUP(IF(ISBLANK($V223),$U223*0,$V223)/IF($D$2="Egyszeri",VLOOKUP($B223+IF($C223=12,1,0),Paraméterek!$V$257:$W$262,2),IF($B223=1,1,VLOOKUP($B223+IF($C223=12,1,0),Paraméterek!$I$258:$T$278,HLOOKUP($M$11+1,Paraméterek!$J$256:$T$257,2)))),IF($D$4="Forint",0,2))&gt;$N223-$P223-$Q223+$S223-$T223-IF($D$4="Forint",Paraméterek!$C$216,Paraméterek!$D$216),0,ROUNDUP(IF(ISBLANK($V223),$U223*0,$V223)/IF($D$2="Egyszeri",VLOOKUP($B223+IF($C223=12,1,0),Paraméterek!$V$257:$W$262,2),IF($B223=1,1,VLOOKUP($B223+IF($C223=12,1,0),Paraméterek!$I$258:$T$278,HLOOKUP($M$11+1,Paraméterek!$J$256:$T$257,2)))),IF($D$4="Forint",0,2)))</f>
        <v>#N/A</v>
      </c>
      <c r="X223" s="13" t="e">
        <f ca="1">ROUNDDOWN($W223*IF($D$2="Egyszeri",VLOOKUP($B223+IF($C223=12,1,0),Paraméterek!$V$257:$W$262,2),VLOOKUP($B223+IF($C223=12,1,0),Paraméterek!$I$258:$T$278,HLOOKUP($M$11+1,Paraméterek!$I$256:$T$257,2))),IF($D$4="Forint",0,2))</f>
        <v>#N/A</v>
      </c>
      <c r="Z223" s="32">
        <v>204</v>
      </c>
      <c r="AA223" s="32">
        <v>17</v>
      </c>
      <c r="AB223" s="32">
        <v>12</v>
      </c>
      <c r="AC223" s="13">
        <f t="shared" ca="1" si="82"/>
        <v>0</v>
      </c>
      <c r="AD223" s="33"/>
      <c r="AE223" s="13">
        <f t="shared" ca="1" si="74"/>
        <v>0</v>
      </c>
      <c r="AF223" s="13">
        <f ca="1">ROUNDUP(($AC223+$AE223)*VLOOKUP($AA223,Paraméterek!$P$38:$Q$38,2)/12*IF($D224="Nem",IF($M$13=0,1,$M$13),1),IF($D$4="Forint",0,2))</f>
        <v>0</v>
      </c>
      <c r="AG223" s="13" t="e">
        <f ca="1">IF($D$2="Egyszeri",IF($D$7&gt;=IF($D$4="Forint",Paraméterek!$P$223,Paraméterek!$P$224),$D$7-IF($D$4="Forint",Paraméterek!$P$223,Paraméterek!$P$224),0),MIN(IF($AB223=12,AVERAGEIF($E$20:$E223,"&gt;0",$E$20:$E223)*12,0),SUM($E$20:$E$31)))</f>
        <v>#DIV/0!</v>
      </c>
      <c r="AH223" s="13">
        <f>IF($AA223=10,$AG223*IF($AB223=12,IF($AG223&lt;IF($D$4="Forint",Paraméterek!$L$223,Paraméterek!$L$224),0,VLOOKUP($AA223,Paraméterek!$K$226:$M$228,IF($AG223&lt;IF($D$4="Forint",Paraméterek!$M$223,Paraméterek!$M$224),2,3))),0),0)</f>
        <v>0</v>
      </c>
      <c r="AI223" s="13">
        <f ca="1">IF(AND($AA223=$M$11+1,$AB223=$M$12+1),SUMIF($AA$20:$AA$1027,$AA223,$AG$20:$AG$1027)*IF(SUMIF($AA$20:$AA$1027,$AA223,$AG$20:$AG$1027)&lt;IF($D$4="Forint",Paraméterek!$L$223,Paraméterek!$L$224),0,VLOOKUP($AA223,Paraméterek!$K$230:$M$250,IF(SUMIF($AA$20:$AA$1027,$AA223,$AG$20:$AG$1027)&lt;IF($D$4="Forint",Paraméterek!$M$223,Paraméterek!$M$224),2,3))),0)</f>
        <v>0</v>
      </c>
      <c r="AJ223" s="13" t="e">
        <f ca="1">IF(AND($AA223&gt;=5,MOD($AA223,5)=0),IF($AB223=12,VLOOKUP($AA223,Paraméterek!$O$225:$P$240,2),0),IF(OR($AA223=3,$AA223=4),IF($AB223=12,VLOOKUP($AA223,Paraméterek!$O$225:$P$240,2,0),0),0))*$AG223</f>
        <v>#DIV/0!</v>
      </c>
      <c r="AK223" s="13">
        <f t="shared" ca="1" si="75"/>
        <v>0</v>
      </c>
      <c r="AL223" s="13">
        <f t="shared" ca="1" si="83"/>
        <v>0</v>
      </c>
      <c r="AM223" s="13">
        <f t="shared" ca="1" si="84"/>
        <v>0</v>
      </c>
      <c r="AO223" s="32">
        <v>204</v>
      </c>
      <c r="AP223" s="32">
        <v>17</v>
      </c>
      <c r="AQ223" s="32">
        <v>12</v>
      </c>
      <c r="AR223" s="13"/>
      <c r="AS223" s="32"/>
      <c r="AT223" s="13">
        <f t="shared" ca="1" si="85"/>
        <v>0</v>
      </c>
      <c r="AU223" s="33"/>
      <c r="AV223" s="13">
        <f t="shared" ca="1" si="76"/>
        <v>0</v>
      </c>
      <c r="AW223" s="13">
        <f ca="1">ROUNDUP(($AT223+$AV223)*VLOOKUP($AP223,Paraméterek!$P$38:$Q$38,2)/12*IF($D224="Nem",IF($M$13=0,1,$M$13),1),IF($D$4="Forint",0,2))</f>
        <v>0</v>
      </c>
      <c r="AX223" s="13">
        <f>Tranzakciók!$M$48</f>
        <v>0</v>
      </c>
      <c r="AY223" s="13"/>
      <c r="AZ223" s="13">
        <f>ROUNDUP(IF(SUM($AX223:$AY223)=0,0,IF(IF(ISBLANK($AY223),$AX223,$AY223)*Paraméterek!$J$112&lt;IF($D$4="Forint",Paraméterek!$J$113,Paraméterek!$K$113),IF($D$4="Forint",Paraméterek!$J$113,Paraméterek!$K$113),IF(IF(ISBLANK($AY223),$AX223,$AY223)*Paraméterek!$J$112&gt;IF($D$4="Forint",Paraméterek!$J$114,Paraméterek!$K$114),IF($D$4="Forint",Paraméterek!$J$114,Paraméterek!$K$114),IF(ISBLANK($AY223),$AX223,$AY223)*Paraméterek!$J$112))),IF($D$4="Forint",0,2))</f>
        <v>0</v>
      </c>
      <c r="BA223" s="13">
        <f ca="1">$AT223+$AV223-$AW223-IF(ROUNDDOWN(IF(ISBLANK($AY223),$AX223,$AY223),IF($D$4="Forint",0,2))&gt;$AT223+$AV223-$AW223-IF($D$4="Forint",Paraméterek!$J$114,Paraméterek!$K$114),0,ROUNDDOWN(IF(ISBLANK($AY223),$AX223,$AY223),IF($D$4="Forint",0,2))-$AZ223)</f>
        <v>0</v>
      </c>
      <c r="BB223" s="13">
        <f t="shared" ca="1" si="77"/>
        <v>0</v>
      </c>
      <c r="BD223" s="32">
        <v>204</v>
      </c>
      <c r="BE223" s="32">
        <v>17</v>
      </c>
      <c r="BF223" s="32">
        <v>12</v>
      </c>
      <c r="BG223" s="34">
        <f t="shared" ca="1" si="86"/>
        <v>2036</v>
      </c>
      <c r="BH223" s="32" t="str">
        <f ca="1">IF(MOD(MONTH($D$14)+$BD223-1,12)=Paraméterek!$C$288,"Igen","")</f>
        <v/>
      </c>
      <c r="BI223" s="13">
        <f ca="1">IF($BH223="Igen",MIN(ROUNDDOWN((SUMIF($BG$20:$BG$1027,$BG223-1,$K$20:$K$1027)-SUMIF($BG$20:$BG$1027,$BG223-1,$I$20:$I$1027))*Paraméterek!$C$289,IF($D$4="Forint",0,2)),IF($D$4="Forint",Paraméterek!$C$285,Paraméterek!$D$285)),0)</f>
        <v>0</v>
      </c>
      <c r="BJ223" s="13">
        <f t="shared" ca="1" si="78"/>
        <v>0</v>
      </c>
      <c r="BK223" s="13">
        <f t="shared" ca="1" si="87"/>
        <v>0</v>
      </c>
      <c r="BL223" s="33"/>
      <c r="BM223" s="13">
        <f t="shared" ca="1" si="79"/>
        <v>0</v>
      </c>
      <c r="BN223" s="13">
        <f ca="1">ROUNDUP(($BK223+$BM223)*VLOOKUP($BE223,Paraméterek!$P$38:$Q$38,2)/12*IF($D224="Nem",IF($M$13=0,1,$M$13),1),IF($D$4="Forint",0,2))</f>
        <v>0</v>
      </c>
      <c r="BO223" s="13">
        <f t="shared" ca="1" si="80"/>
        <v>0</v>
      </c>
      <c r="BP223" s="13">
        <f ca="1">IF($D224="Nem",$BO223,$BO223-ROUNDUP(SUM($BI$20:$BI223)*120%,IF($D$4="Forint",0,2)))</f>
        <v>0</v>
      </c>
    </row>
    <row r="224" spans="1:68" x14ac:dyDescent="0.2">
      <c r="A224" s="32">
        <v>205</v>
      </c>
      <c r="B224" s="32">
        <v>18</v>
      </c>
      <c r="C224" s="32">
        <v>1</v>
      </c>
      <c r="D224" s="32" t="str">
        <f t="shared" ca="1" si="66"/>
        <v>Nem</v>
      </c>
      <c r="E224" s="13">
        <f t="shared" ca="1" si="67"/>
        <v>0</v>
      </c>
      <c r="F224" s="13"/>
      <c r="G224" s="13">
        <f>Tranzakciók!$D$49</f>
        <v>0</v>
      </c>
      <c r="H224" s="13"/>
      <c r="I224" s="13">
        <f t="shared" ca="1" si="68"/>
        <v>0</v>
      </c>
      <c r="J224" s="13">
        <f t="shared" ca="1" si="69"/>
        <v>0</v>
      </c>
      <c r="K224" s="13">
        <f t="shared" ca="1" si="70"/>
        <v>0</v>
      </c>
      <c r="L224" s="13" t="e">
        <f ca="1">ROUNDUP(IF($D$2="Egyszeri",$E224,IF($D$2="Havi",SUM($E$20:$E$31),IF(MOD($C224,$M$1)-1=0,SUM($E$20:$E$31),0))/12*$M$1)*VLOOKUP($B224,Paraméterek!$I$28:$P$31,IF($D$2="Egyszeri",8,HLOOKUP(ROUNDUP($M$11+$M$13,0),Paraméterek!$J$26:$O$27,2))),IF($D$4="Forint",0,2))</f>
        <v>#N/A</v>
      </c>
      <c r="M224" s="13">
        <f t="shared" ca="1" si="71"/>
        <v>0</v>
      </c>
      <c r="N224" s="13">
        <f t="shared" ca="1" si="81"/>
        <v>0</v>
      </c>
      <c r="O224" s="13">
        <f ca="1">IF($D224="Igen",IF($W223&gt;=IF($D$4="Forint",Paraméterek!$J$121,Paraméterek!$K$121),0,IF($D$4="Forint",Paraméterek!$J$121,Paraméterek!$K$121)-$W223),0)</f>
        <v>0</v>
      </c>
      <c r="P224" s="13" t="e">
        <f ca="1">ROUNDUP($O224*VLOOKUP($M$4+$B224-1,Paraméterek!$H$58:$I$105,2,0)/Paraméterek!$I$56,IF($D$4="Forint",0,2))</f>
        <v>#N/A</v>
      </c>
      <c r="Q224" s="13">
        <f t="shared" ca="1" si="72"/>
        <v>0</v>
      </c>
      <c r="R224" s="33"/>
      <c r="S224" s="13" t="e">
        <f t="shared" ca="1" si="73"/>
        <v>#N/A</v>
      </c>
      <c r="T224" s="13" t="e">
        <f ca="1">ROUNDUP(($N224-$P224-$Q224+$S224)*VLOOKUP($B224,Paraméterek!$I$38:$K$39,IF($D$2="Egyszeri",3,2))/12*IF($D225="Nem",IF($M$13=0,1,$M$13),1),IF($D$4="Forint",0,2))</f>
        <v>#N/A</v>
      </c>
      <c r="U224" s="13"/>
      <c r="V224" s="13"/>
      <c r="W224" s="13" t="e">
        <f ca="1">$N224-$P224-$Q224+$S224-$T224-IF(ROUNDUP(IF(ISBLANK($V224),$U224*0,$V224)/IF($D$2="Egyszeri",VLOOKUP($B224+IF($C224=12,1,0),Paraméterek!$V$257:$W$262,2),IF($B224=1,1,VLOOKUP($B224+IF($C224=12,1,0),Paraméterek!$I$258:$T$278,HLOOKUP($M$11+1,Paraméterek!$J$256:$T$257,2)))),IF($D$4="Forint",0,2))&gt;$N224-$P224-$Q224+$S224-$T224-IF($D$4="Forint",Paraméterek!$C$216,Paraméterek!$D$216),0,ROUNDUP(IF(ISBLANK($V224),$U224*0,$V224)/IF($D$2="Egyszeri",VLOOKUP($B224+IF($C224=12,1,0),Paraméterek!$V$257:$W$262,2),IF($B224=1,1,VLOOKUP($B224+IF($C224=12,1,0),Paraméterek!$I$258:$T$278,HLOOKUP($M$11+1,Paraméterek!$J$256:$T$257,2)))),IF($D$4="Forint",0,2)))</f>
        <v>#N/A</v>
      </c>
      <c r="X224" s="13" t="e">
        <f ca="1">ROUNDDOWN($W224*IF($D$2="Egyszeri",VLOOKUP($B224+IF($C224=12,1,0),Paraméterek!$V$257:$W$262,2),VLOOKUP($B224+IF($C224=12,1,0),Paraméterek!$I$258:$T$278,HLOOKUP($M$11+1,Paraméterek!$I$256:$T$257,2))),IF($D$4="Forint",0,2))</f>
        <v>#N/A</v>
      </c>
      <c r="Z224" s="32">
        <v>205</v>
      </c>
      <c r="AA224" s="32">
        <v>18</v>
      </c>
      <c r="AB224" s="32">
        <v>1</v>
      </c>
      <c r="AC224" s="13">
        <f t="shared" ca="1" si="82"/>
        <v>0</v>
      </c>
      <c r="AD224" s="33"/>
      <c r="AE224" s="13">
        <f t="shared" ca="1" si="74"/>
        <v>0</v>
      </c>
      <c r="AF224" s="13">
        <f ca="1">ROUNDUP(($AC224+$AE224)*VLOOKUP($AA224,Paraméterek!$P$38:$Q$38,2)/12*IF($D225="Nem",IF($M$13=0,1,$M$13),1),IF($D$4="Forint",0,2))</f>
        <v>0</v>
      </c>
      <c r="AG224" s="13">
        <f ca="1">IF($D$2="Egyszeri",IF($D$7&gt;=IF($D$4="Forint",Paraméterek!$P$223,Paraméterek!$P$224),$D$7-IF($D$4="Forint",Paraméterek!$P$223,Paraméterek!$P$224),0),MIN(IF($AB224=12,AVERAGEIF($E$20:$E224,"&gt;0",$E$20:$E224)*12,0),SUM($E$20:$E$31)))</f>
        <v>0</v>
      </c>
      <c r="AH224" s="13">
        <f>IF($AA224=10,$AG224*IF($AB224=12,IF($AG224&lt;IF($D$4="Forint",Paraméterek!$L$223,Paraméterek!$L$224),0,VLOOKUP($AA224,Paraméterek!$K$226:$M$228,IF($AG224&lt;IF($D$4="Forint",Paraméterek!$M$223,Paraméterek!$M$224),2,3))),0),0)</f>
        <v>0</v>
      </c>
      <c r="AI224" s="13">
        <f ca="1">IF(AND($AA224=$M$11+1,$AB224=$M$12+1),SUMIF($AA$20:$AA$1027,$AA224,$AG$20:$AG$1027)*IF(SUMIF($AA$20:$AA$1027,$AA224,$AG$20:$AG$1027)&lt;IF($D$4="Forint",Paraméterek!$L$223,Paraméterek!$L$224),0,VLOOKUP($AA224,Paraméterek!$K$230:$M$250,IF(SUMIF($AA$20:$AA$1027,$AA224,$AG$20:$AG$1027)&lt;IF($D$4="Forint",Paraméterek!$M$223,Paraméterek!$M$224),2,3))),0)</f>
        <v>0</v>
      </c>
      <c r="AJ224" s="13">
        <f ca="1">IF(AND($AA224&gt;=5,MOD($AA224,5)=0),IF($AB224=12,VLOOKUP($AA224,Paraméterek!$O$225:$P$240,2),0),IF(OR($AA224=3,$AA224=4),IF($AB224=12,VLOOKUP($AA224,Paraméterek!$O$225:$P$240,2,0),0),0))*$AG224</f>
        <v>0</v>
      </c>
      <c r="AK224" s="13">
        <f t="shared" ca="1" si="75"/>
        <v>0</v>
      </c>
      <c r="AL224" s="13">
        <f t="shared" ca="1" si="83"/>
        <v>0</v>
      </c>
      <c r="AM224" s="13">
        <f t="shared" ca="1" si="84"/>
        <v>0</v>
      </c>
      <c r="AO224" s="32">
        <v>205</v>
      </c>
      <c r="AP224" s="32">
        <v>18</v>
      </c>
      <c r="AQ224" s="32">
        <v>1</v>
      </c>
      <c r="AR224" s="13">
        <f>Tranzakciók!$K$49</f>
        <v>0</v>
      </c>
      <c r="AS224" s="32"/>
      <c r="AT224" s="13">
        <f t="shared" ca="1" si="85"/>
        <v>0</v>
      </c>
      <c r="AU224" s="33"/>
      <c r="AV224" s="13">
        <f t="shared" ca="1" si="76"/>
        <v>0</v>
      </c>
      <c r="AW224" s="13">
        <f ca="1">ROUNDUP(($AT224+$AV224)*VLOOKUP($AP224,Paraméterek!$P$38:$Q$38,2)/12*IF($D225="Nem",IF($M$13=0,1,$M$13),1),IF($D$4="Forint",0,2))</f>
        <v>0</v>
      </c>
      <c r="AX224" s="13"/>
      <c r="AY224" s="13"/>
      <c r="AZ224" s="13">
        <f>ROUNDUP(IF(SUM($AX224:$AY224)=0,0,IF(IF(ISBLANK($AY224),$AX224,$AY224)*Paraméterek!$J$112&lt;IF($D$4="Forint",Paraméterek!$J$113,Paraméterek!$K$113),IF($D$4="Forint",Paraméterek!$J$113,Paraméterek!$K$113),IF(IF(ISBLANK($AY224),$AX224,$AY224)*Paraméterek!$J$112&gt;IF($D$4="Forint",Paraméterek!$J$114,Paraméterek!$K$114),IF($D$4="Forint",Paraméterek!$J$114,Paraméterek!$K$114),IF(ISBLANK($AY224),$AX224,$AY224)*Paraméterek!$J$112))),IF($D$4="Forint",0,2))</f>
        <v>0</v>
      </c>
      <c r="BA224" s="13">
        <f ca="1">$AT224+$AV224-$AW224-IF(ROUNDDOWN(IF(ISBLANK($AY224),$AX224,$AY224),IF($D$4="Forint",0,2))&gt;$AT224+$AV224-$AW224-IF($D$4="Forint",Paraméterek!$J$114,Paraméterek!$K$114),0,ROUNDDOWN(IF(ISBLANK($AY224),$AX224,$AY224),IF($D$4="Forint",0,2))-$AZ224)</f>
        <v>0</v>
      </c>
      <c r="BB224" s="13">
        <f t="shared" ca="1" si="77"/>
        <v>0</v>
      </c>
      <c r="BD224" s="32">
        <v>205</v>
      </c>
      <c r="BE224" s="32">
        <v>18</v>
      </c>
      <c r="BF224" s="32">
        <v>1</v>
      </c>
      <c r="BG224" s="34">
        <f t="shared" ca="1" si="86"/>
        <v>2036</v>
      </c>
      <c r="BH224" s="32" t="str">
        <f ca="1">IF(MOD(MONTH($D$14)+$BD224-1,12)=Paraméterek!$C$288,"Igen","")</f>
        <v/>
      </c>
      <c r="BI224" s="13">
        <f ca="1">IF($BH224="Igen",MIN(ROUNDDOWN((SUMIF($BG$20:$BG$1027,$BG224-1,$K$20:$K$1027)-SUMIF($BG$20:$BG$1027,$BG224-1,$I$20:$I$1027))*Paraméterek!$C$289,IF($D$4="Forint",0,2)),IF($D$4="Forint",Paraméterek!$C$285,Paraméterek!$D$285)),0)</f>
        <v>0</v>
      </c>
      <c r="BJ224" s="13">
        <f t="shared" ca="1" si="78"/>
        <v>0</v>
      </c>
      <c r="BK224" s="13">
        <f t="shared" ca="1" si="87"/>
        <v>0</v>
      </c>
      <c r="BL224" s="33"/>
      <c r="BM224" s="13">
        <f t="shared" ca="1" si="79"/>
        <v>0</v>
      </c>
      <c r="BN224" s="13">
        <f ca="1">ROUNDUP(($BK224+$BM224)*VLOOKUP($BE224,Paraméterek!$P$38:$Q$38,2)/12*IF($D225="Nem",IF($M$13=0,1,$M$13),1),IF($D$4="Forint",0,2))</f>
        <v>0</v>
      </c>
      <c r="BO224" s="13">
        <f t="shared" ca="1" si="80"/>
        <v>0</v>
      </c>
      <c r="BP224" s="13">
        <f ca="1">IF($D225="Nem",$BO224,$BO224-ROUNDUP(SUM($BI$20:$BI224)*120%,IF($D$4="Forint",0,2)))</f>
        <v>0</v>
      </c>
    </row>
    <row r="225" spans="1:68" x14ac:dyDescent="0.2">
      <c r="A225" s="32">
        <v>206</v>
      </c>
      <c r="B225" s="32">
        <v>18</v>
      </c>
      <c r="C225" s="32">
        <v>2</v>
      </c>
      <c r="D225" s="32" t="str">
        <f t="shared" ca="1" si="66"/>
        <v>Nem</v>
      </c>
      <c r="E225" s="13">
        <f t="shared" ca="1" si="67"/>
        <v>0</v>
      </c>
      <c r="F225" s="13"/>
      <c r="G225" s="13"/>
      <c r="H225" s="13"/>
      <c r="I225" s="13">
        <f t="shared" ca="1" si="68"/>
        <v>0</v>
      </c>
      <c r="J225" s="13">
        <f t="shared" ca="1" si="69"/>
        <v>0</v>
      </c>
      <c r="K225" s="13">
        <f t="shared" ca="1" si="70"/>
        <v>0</v>
      </c>
      <c r="L225" s="13" t="e">
        <f ca="1">ROUNDUP(IF($D$2="Egyszeri",$E225,IF($D$2="Havi",SUM($E$20:$E$31),IF(MOD($C225,$M$1)-1=0,SUM($E$20:$E$31),0))/12*$M$1)*VLOOKUP($B225,Paraméterek!$I$28:$P$31,IF($D$2="Egyszeri",8,HLOOKUP(ROUNDUP($M$11+$M$13,0),Paraméterek!$J$26:$O$27,2))),IF($D$4="Forint",0,2))</f>
        <v>#N/A</v>
      </c>
      <c r="M225" s="13">
        <f t="shared" ca="1" si="71"/>
        <v>0</v>
      </c>
      <c r="N225" s="13">
        <f t="shared" ca="1" si="81"/>
        <v>0</v>
      </c>
      <c r="O225" s="13">
        <f ca="1">IF($D225="Igen",IF($W224&gt;=IF($D$4="Forint",Paraméterek!$J$121,Paraméterek!$K$121),0,IF($D$4="Forint",Paraméterek!$J$121,Paraméterek!$K$121)-$W224),0)</f>
        <v>0</v>
      </c>
      <c r="P225" s="13" t="e">
        <f ca="1">ROUNDUP($O225*VLOOKUP($M$4+$B225-1,Paraméterek!$H$58:$I$105,2,0)/Paraméterek!$I$56,IF($D$4="Forint",0,2))</f>
        <v>#N/A</v>
      </c>
      <c r="Q225" s="13">
        <f t="shared" ca="1" si="72"/>
        <v>0</v>
      </c>
      <c r="R225" s="33"/>
      <c r="S225" s="13" t="e">
        <f t="shared" ca="1" si="73"/>
        <v>#N/A</v>
      </c>
      <c r="T225" s="13" t="e">
        <f ca="1">ROUNDUP(($N225-$P225-$Q225+$S225)*VLOOKUP($B225,Paraméterek!$I$38:$K$39,IF($D$2="Egyszeri",3,2))/12*IF($D226="Nem",IF($M$13=0,1,$M$13),1),IF($D$4="Forint",0,2))</f>
        <v>#N/A</v>
      </c>
      <c r="U225" s="13"/>
      <c r="V225" s="13"/>
      <c r="W225" s="13" t="e">
        <f ca="1">$N225-$P225-$Q225+$S225-$T225-IF(ROUNDUP(IF(ISBLANK($V225),$U225*0,$V225)/IF($D$2="Egyszeri",VLOOKUP($B225+IF($C225=12,1,0),Paraméterek!$V$257:$W$262,2),IF($B225=1,1,VLOOKUP($B225+IF($C225=12,1,0),Paraméterek!$I$258:$T$278,HLOOKUP($M$11+1,Paraméterek!$J$256:$T$257,2)))),IF($D$4="Forint",0,2))&gt;$N225-$P225-$Q225+$S225-$T225-IF($D$4="Forint",Paraméterek!$C$216,Paraméterek!$D$216),0,ROUNDUP(IF(ISBLANK($V225),$U225*0,$V225)/IF($D$2="Egyszeri",VLOOKUP($B225+IF($C225=12,1,0),Paraméterek!$V$257:$W$262,2),IF($B225=1,1,VLOOKUP($B225+IF($C225=12,1,0),Paraméterek!$I$258:$T$278,HLOOKUP($M$11+1,Paraméterek!$J$256:$T$257,2)))),IF($D$4="Forint",0,2)))</f>
        <v>#N/A</v>
      </c>
      <c r="X225" s="13" t="e">
        <f ca="1">ROUNDDOWN($W225*IF($D$2="Egyszeri",VLOOKUP($B225+IF($C225=12,1,0),Paraméterek!$V$257:$W$262,2),VLOOKUP($B225+IF($C225=12,1,0),Paraméterek!$I$258:$T$278,HLOOKUP($M$11+1,Paraméterek!$I$256:$T$257,2))),IF($D$4="Forint",0,2))</f>
        <v>#N/A</v>
      </c>
      <c r="Z225" s="32">
        <v>206</v>
      </c>
      <c r="AA225" s="32">
        <v>18</v>
      </c>
      <c r="AB225" s="32">
        <v>2</v>
      </c>
      <c r="AC225" s="13">
        <f t="shared" ca="1" si="82"/>
        <v>0</v>
      </c>
      <c r="AD225" s="33"/>
      <c r="AE225" s="13">
        <f t="shared" ca="1" si="74"/>
        <v>0</v>
      </c>
      <c r="AF225" s="13">
        <f ca="1">ROUNDUP(($AC225+$AE225)*VLOOKUP($AA225,Paraméterek!$P$38:$Q$38,2)/12*IF($D226="Nem",IF($M$13=0,1,$M$13),1),IF($D$4="Forint",0,2))</f>
        <v>0</v>
      </c>
      <c r="AG225" s="13">
        <f ca="1">IF($D$2="Egyszeri",IF($D$7&gt;=IF($D$4="Forint",Paraméterek!$P$223,Paraméterek!$P$224),$D$7-IF($D$4="Forint",Paraméterek!$P$223,Paraméterek!$P$224),0),MIN(IF($AB225=12,AVERAGEIF($E$20:$E225,"&gt;0",$E$20:$E225)*12,0),SUM($E$20:$E$31)))</f>
        <v>0</v>
      </c>
      <c r="AH225" s="13">
        <f>IF($AA225=10,$AG225*IF($AB225=12,IF($AG225&lt;IF($D$4="Forint",Paraméterek!$L$223,Paraméterek!$L$224),0,VLOOKUP($AA225,Paraméterek!$K$226:$M$228,IF($AG225&lt;IF($D$4="Forint",Paraméterek!$M$223,Paraméterek!$M$224),2,3))),0),0)</f>
        <v>0</v>
      </c>
      <c r="AI225" s="13">
        <f ca="1">IF(AND($AA225=$M$11+1,$AB225=$M$12+1),SUMIF($AA$20:$AA$1027,$AA225,$AG$20:$AG$1027)*IF(SUMIF($AA$20:$AA$1027,$AA225,$AG$20:$AG$1027)&lt;IF($D$4="Forint",Paraméterek!$L$223,Paraméterek!$L$224),0,VLOOKUP($AA225,Paraméterek!$K$230:$M$250,IF(SUMIF($AA$20:$AA$1027,$AA225,$AG$20:$AG$1027)&lt;IF($D$4="Forint",Paraméterek!$M$223,Paraméterek!$M$224),2,3))),0)</f>
        <v>0</v>
      </c>
      <c r="AJ225" s="13">
        <f ca="1">IF(AND($AA225&gt;=5,MOD($AA225,5)=0),IF($AB225=12,VLOOKUP($AA225,Paraméterek!$O$225:$P$240,2),0),IF(OR($AA225=3,$AA225=4),IF($AB225=12,VLOOKUP($AA225,Paraméterek!$O$225:$P$240,2,0),0),0))*$AG225</f>
        <v>0</v>
      </c>
      <c r="AK225" s="13">
        <f t="shared" ca="1" si="75"/>
        <v>0</v>
      </c>
      <c r="AL225" s="13">
        <f t="shared" ca="1" si="83"/>
        <v>0</v>
      </c>
      <c r="AM225" s="13">
        <f t="shared" ca="1" si="84"/>
        <v>0</v>
      </c>
      <c r="AO225" s="32">
        <v>206</v>
      </c>
      <c r="AP225" s="32">
        <v>18</v>
      </c>
      <c r="AQ225" s="32">
        <v>2</v>
      </c>
      <c r="AR225" s="13"/>
      <c r="AS225" s="32"/>
      <c r="AT225" s="13">
        <f t="shared" ca="1" si="85"/>
        <v>0</v>
      </c>
      <c r="AU225" s="33"/>
      <c r="AV225" s="13">
        <f t="shared" ca="1" si="76"/>
        <v>0</v>
      </c>
      <c r="AW225" s="13">
        <f ca="1">ROUNDUP(($AT225+$AV225)*VLOOKUP($AP225,Paraméterek!$P$38:$Q$38,2)/12*IF($D226="Nem",IF($M$13=0,1,$M$13),1),IF($D$4="Forint",0,2))</f>
        <v>0</v>
      </c>
      <c r="AX225" s="13"/>
      <c r="AY225" s="13"/>
      <c r="AZ225" s="13">
        <f>ROUNDUP(IF(SUM($AX225:$AY225)=0,0,IF(IF(ISBLANK($AY225),$AX225,$AY225)*Paraméterek!$J$112&lt;IF($D$4="Forint",Paraméterek!$J$113,Paraméterek!$K$113),IF($D$4="Forint",Paraméterek!$J$113,Paraméterek!$K$113),IF(IF(ISBLANK($AY225),$AX225,$AY225)*Paraméterek!$J$112&gt;IF($D$4="Forint",Paraméterek!$J$114,Paraméterek!$K$114),IF($D$4="Forint",Paraméterek!$J$114,Paraméterek!$K$114),IF(ISBLANK($AY225),$AX225,$AY225)*Paraméterek!$J$112))),IF($D$4="Forint",0,2))</f>
        <v>0</v>
      </c>
      <c r="BA225" s="13">
        <f ca="1">$AT225+$AV225-$AW225-IF(ROUNDDOWN(IF(ISBLANK($AY225),$AX225,$AY225),IF($D$4="Forint",0,2))&gt;$AT225+$AV225-$AW225-IF($D$4="Forint",Paraméterek!$J$114,Paraméterek!$K$114),0,ROUNDDOWN(IF(ISBLANK($AY225),$AX225,$AY225),IF($D$4="Forint",0,2))-$AZ225)</f>
        <v>0</v>
      </c>
      <c r="BB225" s="13">
        <f t="shared" ca="1" si="77"/>
        <v>0</v>
      </c>
      <c r="BD225" s="32">
        <v>206</v>
      </c>
      <c r="BE225" s="32">
        <v>18</v>
      </c>
      <c r="BF225" s="32">
        <v>2</v>
      </c>
      <c r="BG225" s="34">
        <f t="shared" ca="1" si="86"/>
        <v>2036</v>
      </c>
      <c r="BH225" s="32" t="str">
        <f ca="1">IF(MOD(MONTH($D$14)+$BD225-1,12)=Paraméterek!$C$288,"Igen","")</f>
        <v>Igen</v>
      </c>
      <c r="BI225" s="13">
        <f ca="1">IF($BH225="Igen",MIN(ROUNDDOWN((SUMIF($BG$20:$BG$1027,$BG225-1,$K$20:$K$1027)-SUMIF($BG$20:$BG$1027,$BG225-1,$I$20:$I$1027))*Paraméterek!$C$289,IF($D$4="Forint",0,2)),IF($D$4="Forint",Paraméterek!$C$285,Paraméterek!$D$285)),0)</f>
        <v>0</v>
      </c>
      <c r="BJ225" s="13">
        <f t="shared" ca="1" si="78"/>
        <v>0</v>
      </c>
      <c r="BK225" s="13">
        <f t="shared" ca="1" si="87"/>
        <v>0</v>
      </c>
      <c r="BL225" s="33"/>
      <c r="BM225" s="13">
        <f t="shared" ca="1" si="79"/>
        <v>0</v>
      </c>
      <c r="BN225" s="13">
        <f ca="1">ROUNDUP(($BK225+$BM225)*VLOOKUP($BE225,Paraméterek!$P$38:$Q$38,2)/12*IF($D226="Nem",IF($M$13=0,1,$M$13),1),IF($D$4="Forint",0,2))</f>
        <v>0</v>
      </c>
      <c r="BO225" s="13">
        <f t="shared" ca="1" si="80"/>
        <v>0</v>
      </c>
      <c r="BP225" s="13">
        <f ca="1">IF($D226="Nem",$BO225,$BO225-ROUNDUP(SUM($BI$20:$BI225)*120%,IF($D$4="Forint",0,2)))</f>
        <v>0</v>
      </c>
    </row>
    <row r="226" spans="1:68" x14ac:dyDescent="0.2">
      <c r="A226" s="32">
        <v>207</v>
      </c>
      <c r="B226" s="32">
        <v>18</v>
      </c>
      <c r="C226" s="32">
        <v>3</v>
      </c>
      <c r="D226" s="32" t="str">
        <f t="shared" ca="1" si="66"/>
        <v>Nem</v>
      </c>
      <c r="E226" s="13">
        <f t="shared" ca="1" si="67"/>
        <v>0</v>
      </c>
      <c r="F226" s="13"/>
      <c r="G226" s="13"/>
      <c r="H226" s="13"/>
      <c r="I226" s="13">
        <f t="shared" ca="1" si="68"/>
        <v>0</v>
      </c>
      <c r="J226" s="13">
        <f t="shared" ca="1" si="69"/>
        <v>0</v>
      </c>
      <c r="K226" s="13">
        <f t="shared" ca="1" si="70"/>
        <v>0</v>
      </c>
      <c r="L226" s="13" t="e">
        <f ca="1">ROUNDUP(IF($D$2="Egyszeri",$E226,IF($D$2="Havi",SUM($E$20:$E$31),IF(MOD($C226,$M$1)-1=0,SUM($E$20:$E$31),0))/12*$M$1)*VLOOKUP($B226,Paraméterek!$I$28:$P$31,IF($D$2="Egyszeri",8,HLOOKUP(ROUNDUP($M$11+$M$13,0),Paraméterek!$J$26:$O$27,2))),IF($D$4="Forint",0,2))</f>
        <v>#N/A</v>
      </c>
      <c r="M226" s="13">
        <f t="shared" ca="1" si="71"/>
        <v>0</v>
      </c>
      <c r="N226" s="13">
        <f t="shared" ca="1" si="81"/>
        <v>0</v>
      </c>
      <c r="O226" s="13">
        <f ca="1">IF($D226="Igen",IF($W225&gt;=IF($D$4="Forint",Paraméterek!$J$121,Paraméterek!$K$121),0,IF($D$4="Forint",Paraméterek!$J$121,Paraméterek!$K$121)-$W225),0)</f>
        <v>0</v>
      </c>
      <c r="P226" s="13" t="e">
        <f ca="1">ROUNDUP($O226*VLOOKUP($M$4+$B226-1,Paraméterek!$H$58:$I$105,2,0)/Paraméterek!$I$56,IF($D$4="Forint",0,2))</f>
        <v>#N/A</v>
      </c>
      <c r="Q226" s="13">
        <f t="shared" ca="1" si="72"/>
        <v>0</v>
      </c>
      <c r="R226" s="33"/>
      <c r="S226" s="13" t="e">
        <f t="shared" ca="1" si="73"/>
        <v>#N/A</v>
      </c>
      <c r="T226" s="13" t="e">
        <f ca="1">ROUNDUP(($N226-$P226-$Q226+$S226)*VLOOKUP($B226,Paraméterek!$I$38:$K$39,IF($D$2="Egyszeri",3,2))/12*IF($D227="Nem",IF($M$13=0,1,$M$13),1),IF($D$4="Forint",0,2))</f>
        <v>#N/A</v>
      </c>
      <c r="U226" s="13"/>
      <c r="V226" s="13"/>
      <c r="W226" s="13" t="e">
        <f ca="1">$N226-$P226-$Q226+$S226-$T226-IF(ROUNDUP(IF(ISBLANK($V226),$U226*0,$V226)/IF($D$2="Egyszeri",VLOOKUP($B226+IF($C226=12,1,0),Paraméterek!$V$257:$W$262,2),IF($B226=1,1,VLOOKUP($B226+IF($C226=12,1,0),Paraméterek!$I$258:$T$278,HLOOKUP($M$11+1,Paraméterek!$J$256:$T$257,2)))),IF($D$4="Forint",0,2))&gt;$N226-$P226-$Q226+$S226-$T226-IF($D$4="Forint",Paraméterek!$C$216,Paraméterek!$D$216),0,ROUNDUP(IF(ISBLANK($V226),$U226*0,$V226)/IF($D$2="Egyszeri",VLOOKUP($B226+IF($C226=12,1,0),Paraméterek!$V$257:$W$262,2),IF($B226=1,1,VLOOKUP($B226+IF($C226=12,1,0),Paraméterek!$I$258:$T$278,HLOOKUP($M$11+1,Paraméterek!$J$256:$T$257,2)))),IF($D$4="Forint",0,2)))</f>
        <v>#N/A</v>
      </c>
      <c r="X226" s="13" t="e">
        <f ca="1">ROUNDDOWN($W226*IF($D$2="Egyszeri",VLOOKUP($B226+IF($C226=12,1,0),Paraméterek!$V$257:$W$262,2),VLOOKUP($B226+IF($C226=12,1,0),Paraméterek!$I$258:$T$278,HLOOKUP($M$11+1,Paraméterek!$I$256:$T$257,2))),IF($D$4="Forint",0,2))</f>
        <v>#N/A</v>
      </c>
      <c r="Z226" s="32">
        <v>207</v>
      </c>
      <c r="AA226" s="32">
        <v>18</v>
      </c>
      <c r="AB226" s="32">
        <v>3</v>
      </c>
      <c r="AC226" s="13">
        <f t="shared" ca="1" si="82"/>
        <v>0</v>
      </c>
      <c r="AD226" s="33"/>
      <c r="AE226" s="13">
        <f t="shared" ca="1" si="74"/>
        <v>0</v>
      </c>
      <c r="AF226" s="13">
        <f ca="1">ROUNDUP(($AC226+$AE226)*VLOOKUP($AA226,Paraméterek!$P$38:$Q$38,2)/12*IF($D227="Nem",IF($M$13=0,1,$M$13),1),IF($D$4="Forint",0,2))</f>
        <v>0</v>
      </c>
      <c r="AG226" s="13">
        <f ca="1">IF($D$2="Egyszeri",IF($D$7&gt;=IF($D$4="Forint",Paraméterek!$P$223,Paraméterek!$P$224),$D$7-IF($D$4="Forint",Paraméterek!$P$223,Paraméterek!$P$224),0),MIN(IF($AB226=12,AVERAGEIF($E$20:$E226,"&gt;0",$E$20:$E226)*12,0),SUM($E$20:$E$31)))</f>
        <v>0</v>
      </c>
      <c r="AH226" s="13">
        <f>IF($AA226=10,$AG226*IF($AB226=12,IF($AG226&lt;IF($D$4="Forint",Paraméterek!$L$223,Paraméterek!$L$224),0,VLOOKUP($AA226,Paraméterek!$K$226:$M$228,IF($AG226&lt;IF($D$4="Forint",Paraméterek!$M$223,Paraméterek!$M$224),2,3))),0),0)</f>
        <v>0</v>
      </c>
      <c r="AI226" s="13">
        <f ca="1">IF(AND($AA226=$M$11+1,$AB226=$M$12+1),SUMIF($AA$20:$AA$1027,$AA226,$AG$20:$AG$1027)*IF(SUMIF($AA$20:$AA$1027,$AA226,$AG$20:$AG$1027)&lt;IF($D$4="Forint",Paraméterek!$L$223,Paraméterek!$L$224),0,VLOOKUP($AA226,Paraméterek!$K$230:$M$250,IF(SUMIF($AA$20:$AA$1027,$AA226,$AG$20:$AG$1027)&lt;IF($D$4="Forint",Paraméterek!$M$223,Paraméterek!$M$224),2,3))),0)</f>
        <v>0</v>
      </c>
      <c r="AJ226" s="13">
        <f ca="1">IF(AND($AA226&gt;=5,MOD($AA226,5)=0),IF($AB226=12,VLOOKUP($AA226,Paraméterek!$O$225:$P$240,2),0),IF(OR($AA226=3,$AA226=4),IF($AB226=12,VLOOKUP($AA226,Paraméterek!$O$225:$P$240,2,0),0),0))*$AG226</f>
        <v>0</v>
      </c>
      <c r="AK226" s="13">
        <f t="shared" ca="1" si="75"/>
        <v>0</v>
      </c>
      <c r="AL226" s="13">
        <f t="shared" ca="1" si="83"/>
        <v>0</v>
      </c>
      <c r="AM226" s="13">
        <f t="shared" ca="1" si="84"/>
        <v>0</v>
      </c>
      <c r="AO226" s="32">
        <v>207</v>
      </c>
      <c r="AP226" s="32">
        <v>18</v>
      </c>
      <c r="AQ226" s="32">
        <v>3</v>
      </c>
      <c r="AR226" s="13"/>
      <c r="AS226" s="32"/>
      <c r="AT226" s="13">
        <f t="shared" ca="1" si="85"/>
        <v>0</v>
      </c>
      <c r="AU226" s="33"/>
      <c r="AV226" s="13">
        <f t="shared" ca="1" si="76"/>
        <v>0</v>
      </c>
      <c r="AW226" s="13">
        <f ca="1">ROUNDUP(($AT226+$AV226)*VLOOKUP($AP226,Paraméterek!$P$38:$Q$38,2)/12*IF($D227="Nem",IF($M$13=0,1,$M$13),1),IF($D$4="Forint",0,2))</f>
        <v>0</v>
      </c>
      <c r="AX226" s="13"/>
      <c r="AY226" s="13"/>
      <c r="AZ226" s="13">
        <f>ROUNDUP(IF(SUM($AX226:$AY226)=0,0,IF(IF(ISBLANK($AY226),$AX226,$AY226)*Paraméterek!$J$112&lt;IF($D$4="Forint",Paraméterek!$J$113,Paraméterek!$K$113),IF($D$4="Forint",Paraméterek!$J$113,Paraméterek!$K$113),IF(IF(ISBLANK($AY226),$AX226,$AY226)*Paraméterek!$J$112&gt;IF($D$4="Forint",Paraméterek!$J$114,Paraméterek!$K$114),IF($D$4="Forint",Paraméterek!$J$114,Paraméterek!$K$114),IF(ISBLANK($AY226),$AX226,$AY226)*Paraméterek!$J$112))),IF($D$4="Forint",0,2))</f>
        <v>0</v>
      </c>
      <c r="BA226" s="13">
        <f ca="1">$AT226+$AV226-$AW226-IF(ROUNDDOWN(IF(ISBLANK($AY226),$AX226,$AY226),IF($D$4="Forint",0,2))&gt;$AT226+$AV226-$AW226-IF($D$4="Forint",Paraméterek!$J$114,Paraméterek!$K$114),0,ROUNDDOWN(IF(ISBLANK($AY226),$AX226,$AY226),IF($D$4="Forint",0,2))-$AZ226)</f>
        <v>0</v>
      </c>
      <c r="BB226" s="13">
        <f t="shared" ca="1" si="77"/>
        <v>0</v>
      </c>
      <c r="BD226" s="32">
        <v>207</v>
      </c>
      <c r="BE226" s="32">
        <v>18</v>
      </c>
      <c r="BF226" s="32">
        <v>3</v>
      </c>
      <c r="BG226" s="34">
        <f t="shared" ca="1" si="86"/>
        <v>2036</v>
      </c>
      <c r="BH226" s="32" t="str">
        <f ca="1">IF(MOD(MONTH($D$14)+$BD226-1,12)=Paraméterek!$C$288,"Igen","")</f>
        <v/>
      </c>
      <c r="BI226" s="13">
        <f ca="1">IF($BH226="Igen",MIN(ROUNDDOWN((SUMIF($BG$20:$BG$1027,$BG226-1,$K$20:$K$1027)-SUMIF($BG$20:$BG$1027,$BG226-1,$I$20:$I$1027))*Paraméterek!$C$289,IF($D$4="Forint",0,2)),IF($D$4="Forint",Paraméterek!$C$285,Paraméterek!$D$285)),0)</f>
        <v>0</v>
      </c>
      <c r="BJ226" s="13">
        <f t="shared" ca="1" si="78"/>
        <v>0</v>
      </c>
      <c r="BK226" s="13">
        <f t="shared" ca="1" si="87"/>
        <v>0</v>
      </c>
      <c r="BL226" s="33"/>
      <c r="BM226" s="13">
        <f t="shared" ca="1" si="79"/>
        <v>0</v>
      </c>
      <c r="BN226" s="13">
        <f ca="1">ROUNDUP(($BK226+$BM226)*VLOOKUP($BE226,Paraméterek!$P$38:$Q$38,2)/12*IF($D227="Nem",IF($M$13=0,1,$M$13),1),IF($D$4="Forint",0,2))</f>
        <v>0</v>
      </c>
      <c r="BO226" s="13">
        <f t="shared" ca="1" si="80"/>
        <v>0</v>
      </c>
      <c r="BP226" s="13">
        <f ca="1">IF($D227="Nem",$BO226,$BO226-ROUNDUP(SUM($BI$20:$BI226)*120%,IF($D$4="Forint",0,2)))</f>
        <v>0</v>
      </c>
    </row>
    <row r="227" spans="1:68" x14ac:dyDescent="0.2">
      <c r="A227" s="32">
        <v>208</v>
      </c>
      <c r="B227" s="32">
        <v>18</v>
      </c>
      <c r="C227" s="32">
        <v>4</v>
      </c>
      <c r="D227" s="32" t="str">
        <f t="shared" ca="1" si="66"/>
        <v>Nem</v>
      </c>
      <c r="E227" s="13">
        <f t="shared" ca="1" si="67"/>
        <v>0</v>
      </c>
      <c r="F227" s="13"/>
      <c r="G227" s="13"/>
      <c r="H227" s="13"/>
      <c r="I227" s="13">
        <f t="shared" ca="1" si="68"/>
        <v>0</v>
      </c>
      <c r="J227" s="13">
        <f t="shared" ca="1" si="69"/>
        <v>0</v>
      </c>
      <c r="K227" s="13">
        <f t="shared" ca="1" si="70"/>
        <v>0</v>
      </c>
      <c r="L227" s="13" t="e">
        <f ca="1">ROUNDUP(IF($D$2="Egyszeri",$E227,IF($D$2="Havi",SUM($E$20:$E$31),IF(MOD($C227,$M$1)-1=0,SUM($E$20:$E$31),0))/12*$M$1)*VLOOKUP($B227,Paraméterek!$I$28:$P$31,IF($D$2="Egyszeri",8,HLOOKUP(ROUNDUP($M$11+$M$13,0),Paraméterek!$J$26:$O$27,2))),IF($D$4="Forint",0,2))</f>
        <v>#N/A</v>
      </c>
      <c r="M227" s="13">
        <f t="shared" ca="1" si="71"/>
        <v>0</v>
      </c>
      <c r="N227" s="13">
        <f t="shared" ca="1" si="81"/>
        <v>0</v>
      </c>
      <c r="O227" s="13">
        <f ca="1">IF($D227="Igen",IF($W226&gt;=IF($D$4="Forint",Paraméterek!$J$121,Paraméterek!$K$121),0,IF($D$4="Forint",Paraméterek!$J$121,Paraméterek!$K$121)-$W226),0)</f>
        <v>0</v>
      </c>
      <c r="P227" s="13" t="e">
        <f ca="1">ROUNDUP($O227*VLOOKUP($M$4+$B227-1,Paraméterek!$H$58:$I$105,2,0)/Paraméterek!$I$56,IF($D$4="Forint",0,2))</f>
        <v>#N/A</v>
      </c>
      <c r="Q227" s="13">
        <f t="shared" ca="1" si="72"/>
        <v>0</v>
      </c>
      <c r="R227" s="33"/>
      <c r="S227" s="13" t="e">
        <f t="shared" ca="1" si="73"/>
        <v>#N/A</v>
      </c>
      <c r="T227" s="13" t="e">
        <f ca="1">ROUNDUP(($N227-$P227-$Q227+$S227)*VLOOKUP($B227,Paraméterek!$I$38:$K$39,IF($D$2="Egyszeri",3,2))/12*IF($D228="Nem",IF($M$13=0,1,$M$13),1),IF($D$4="Forint",0,2))</f>
        <v>#N/A</v>
      </c>
      <c r="U227" s="13"/>
      <c r="V227" s="13"/>
      <c r="W227" s="13" t="e">
        <f ca="1">$N227-$P227-$Q227+$S227-$T227-IF(ROUNDUP(IF(ISBLANK($V227),$U227*0,$V227)/IF($D$2="Egyszeri",VLOOKUP($B227+IF($C227=12,1,0),Paraméterek!$V$257:$W$262,2),IF($B227=1,1,VLOOKUP($B227+IF($C227=12,1,0),Paraméterek!$I$258:$T$278,HLOOKUP($M$11+1,Paraméterek!$J$256:$T$257,2)))),IF($D$4="Forint",0,2))&gt;$N227-$P227-$Q227+$S227-$T227-IF($D$4="Forint",Paraméterek!$C$216,Paraméterek!$D$216),0,ROUNDUP(IF(ISBLANK($V227),$U227*0,$V227)/IF($D$2="Egyszeri",VLOOKUP($B227+IF($C227=12,1,0),Paraméterek!$V$257:$W$262,2),IF($B227=1,1,VLOOKUP($B227+IF($C227=12,1,0),Paraméterek!$I$258:$T$278,HLOOKUP($M$11+1,Paraméterek!$J$256:$T$257,2)))),IF($D$4="Forint",0,2)))</f>
        <v>#N/A</v>
      </c>
      <c r="X227" s="13" t="e">
        <f ca="1">ROUNDDOWN($W227*IF($D$2="Egyszeri",VLOOKUP($B227+IF($C227=12,1,0),Paraméterek!$V$257:$W$262,2),VLOOKUP($B227+IF($C227=12,1,0),Paraméterek!$I$258:$T$278,HLOOKUP($M$11+1,Paraméterek!$I$256:$T$257,2))),IF($D$4="Forint",0,2))</f>
        <v>#N/A</v>
      </c>
      <c r="Z227" s="32">
        <v>208</v>
      </c>
      <c r="AA227" s="32">
        <v>18</v>
      </c>
      <c r="AB227" s="32">
        <v>4</v>
      </c>
      <c r="AC227" s="13">
        <f t="shared" ca="1" si="82"/>
        <v>0</v>
      </c>
      <c r="AD227" s="33"/>
      <c r="AE227" s="13">
        <f t="shared" ca="1" si="74"/>
        <v>0</v>
      </c>
      <c r="AF227" s="13">
        <f ca="1">ROUNDUP(($AC227+$AE227)*VLOOKUP($AA227,Paraméterek!$P$38:$Q$38,2)/12*IF($D228="Nem",IF($M$13=0,1,$M$13),1),IF($D$4="Forint",0,2))</f>
        <v>0</v>
      </c>
      <c r="AG227" s="13">
        <f ca="1">IF($D$2="Egyszeri",IF($D$7&gt;=IF($D$4="Forint",Paraméterek!$P$223,Paraméterek!$P$224),$D$7-IF($D$4="Forint",Paraméterek!$P$223,Paraméterek!$P$224),0),MIN(IF($AB227=12,AVERAGEIF($E$20:$E227,"&gt;0",$E$20:$E227)*12,0),SUM($E$20:$E$31)))</f>
        <v>0</v>
      </c>
      <c r="AH227" s="13">
        <f>IF($AA227=10,$AG227*IF($AB227=12,IF($AG227&lt;IF($D$4="Forint",Paraméterek!$L$223,Paraméterek!$L$224),0,VLOOKUP($AA227,Paraméterek!$K$226:$M$228,IF($AG227&lt;IF($D$4="Forint",Paraméterek!$M$223,Paraméterek!$M$224),2,3))),0),0)</f>
        <v>0</v>
      </c>
      <c r="AI227" s="13">
        <f ca="1">IF(AND($AA227=$M$11+1,$AB227=$M$12+1),SUMIF($AA$20:$AA$1027,$AA227,$AG$20:$AG$1027)*IF(SUMIF($AA$20:$AA$1027,$AA227,$AG$20:$AG$1027)&lt;IF($D$4="Forint",Paraméterek!$L$223,Paraméterek!$L$224),0,VLOOKUP($AA227,Paraméterek!$K$230:$M$250,IF(SUMIF($AA$20:$AA$1027,$AA227,$AG$20:$AG$1027)&lt;IF($D$4="Forint",Paraméterek!$M$223,Paraméterek!$M$224),2,3))),0)</f>
        <v>0</v>
      </c>
      <c r="AJ227" s="13">
        <f ca="1">IF(AND($AA227&gt;=5,MOD($AA227,5)=0),IF($AB227=12,VLOOKUP($AA227,Paraméterek!$O$225:$P$240,2),0),IF(OR($AA227=3,$AA227=4),IF($AB227=12,VLOOKUP($AA227,Paraméterek!$O$225:$P$240,2,0),0),0))*$AG227</f>
        <v>0</v>
      </c>
      <c r="AK227" s="13">
        <f t="shared" ca="1" si="75"/>
        <v>0</v>
      </c>
      <c r="AL227" s="13">
        <f t="shared" ca="1" si="83"/>
        <v>0</v>
      </c>
      <c r="AM227" s="13">
        <f t="shared" ca="1" si="84"/>
        <v>0</v>
      </c>
      <c r="AO227" s="32">
        <v>208</v>
      </c>
      <c r="AP227" s="32">
        <v>18</v>
      </c>
      <c r="AQ227" s="32">
        <v>4</v>
      </c>
      <c r="AR227" s="13"/>
      <c r="AS227" s="32"/>
      <c r="AT227" s="13">
        <f t="shared" ca="1" si="85"/>
        <v>0</v>
      </c>
      <c r="AU227" s="33"/>
      <c r="AV227" s="13">
        <f t="shared" ca="1" si="76"/>
        <v>0</v>
      </c>
      <c r="AW227" s="13">
        <f ca="1">ROUNDUP(($AT227+$AV227)*VLOOKUP($AP227,Paraméterek!$P$38:$Q$38,2)/12*IF($D228="Nem",IF($M$13=0,1,$M$13),1),IF($D$4="Forint",0,2))</f>
        <v>0</v>
      </c>
      <c r="AX227" s="13"/>
      <c r="AY227" s="13"/>
      <c r="AZ227" s="13">
        <f>ROUNDUP(IF(SUM($AX227:$AY227)=0,0,IF(IF(ISBLANK($AY227),$AX227,$AY227)*Paraméterek!$J$112&lt;IF($D$4="Forint",Paraméterek!$J$113,Paraméterek!$K$113),IF($D$4="Forint",Paraméterek!$J$113,Paraméterek!$K$113),IF(IF(ISBLANK($AY227),$AX227,$AY227)*Paraméterek!$J$112&gt;IF($D$4="Forint",Paraméterek!$J$114,Paraméterek!$K$114),IF($D$4="Forint",Paraméterek!$J$114,Paraméterek!$K$114),IF(ISBLANK($AY227),$AX227,$AY227)*Paraméterek!$J$112))),IF($D$4="Forint",0,2))</f>
        <v>0</v>
      </c>
      <c r="BA227" s="13">
        <f ca="1">$AT227+$AV227-$AW227-IF(ROUNDDOWN(IF(ISBLANK($AY227),$AX227,$AY227),IF($D$4="Forint",0,2))&gt;$AT227+$AV227-$AW227-IF($D$4="Forint",Paraméterek!$J$114,Paraméterek!$K$114),0,ROUNDDOWN(IF(ISBLANK($AY227),$AX227,$AY227),IF($D$4="Forint",0,2))-$AZ227)</f>
        <v>0</v>
      </c>
      <c r="BB227" s="13">
        <f t="shared" ca="1" si="77"/>
        <v>0</v>
      </c>
      <c r="BD227" s="32">
        <v>208</v>
      </c>
      <c r="BE227" s="32">
        <v>18</v>
      </c>
      <c r="BF227" s="32">
        <v>4</v>
      </c>
      <c r="BG227" s="34">
        <f t="shared" ca="1" si="86"/>
        <v>2036</v>
      </c>
      <c r="BH227" s="32" t="str">
        <f ca="1">IF(MOD(MONTH($D$14)+$BD227-1,12)=Paraméterek!$C$288,"Igen","")</f>
        <v/>
      </c>
      <c r="BI227" s="13">
        <f ca="1">IF($BH227="Igen",MIN(ROUNDDOWN((SUMIF($BG$20:$BG$1027,$BG227-1,$K$20:$K$1027)-SUMIF($BG$20:$BG$1027,$BG227-1,$I$20:$I$1027))*Paraméterek!$C$289,IF($D$4="Forint",0,2)),IF($D$4="Forint",Paraméterek!$C$285,Paraméterek!$D$285)),0)</f>
        <v>0</v>
      </c>
      <c r="BJ227" s="13">
        <f t="shared" ca="1" si="78"/>
        <v>0</v>
      </c>
      <c r="BK227" s="13">
        <f t="shared" ca="1" si="87"/>
        <v>0</v>
      </c>
      <c r="BL227" s="33"/>
      <c r="BM227" s="13">
        <f t="shared" ca="1" si="79"/>
        <v>0</v>
      </c>
      <c r="BN227" s="13">
        <f ca="1">ROUNDUP(($BK227+$BM227)*VLOOKUP($BE227,Paraméterek!$P$38:$Q$38,2)/12*IF($D228="Nem",IF($M$13=0,1,$M$13),1),IF($D$4="Forint",0,2))</f>
        <v>0</v>
      </c>
      <c r="BO227" s="13">
        <f t="shared" ca="1" si="80"/>
        <v>0</v>
      </c>
      <c r="BP227" s="13">
        <f ca="1">IF($D228="Nem",$BO227,$BO227-ROUNDUP(SUM($BI$20:$BI227)*120%,IF($D$4="Forint",0,2)))</f>
        <v>0</v>
      </c>
    </row>
    <row r="228" spans="1:68" x14ac:dyDescent="0.2">
      <c r="A228" s="32">
        <v>209</v>
      </c>
      <c r="B228" s="32">
        <v>18</v>
      </c>
      <c r="C228" s="32">
        <v>5</v>
      </c>
      <c r="D228" s="32" t="str">
        <f t="shared" ca="1" si="66"/>
        <v>Nem</v>
      </c>
      <c r="E228" s="13">
        <f t="shared" ca="1" si="67"/>
        <v>0</v>
      </c>
      <c r="F228" s="13"/>
      <c r="G228" s="13"/>
      <c r="H228" s="13"/>
      <c r="I228" s="13">
        <f t="shared" ca="1" si="68"/>
        <v>0</v>
      </c>
      <c r="J228" s="13">
        <f t="shared" ca="1" si="69"/>
        <v>0</v>
      </c>
      <c r="K228" s="13">
        <f t="shared" ca="1" si="70"/>
        <v>0</v>
      </c>
      <c r="L228" s="13" t="e">
        <f ca="1">ROUNDUP(IF($D$2="Egyszeri",$E228,IF($D$2="Havi",SUM($E$20:$E$31),IF(MOD($C228,$M$1)-1=0,SUM($E$20:$E$31),0))/12*$M$1)*VLOOKUP($B228,Paraméterek!$I$28:$P$31,IF($D$2="Egyszeri",8,HLOOKUP(ROUNDUP($M$11+$M$13,0),Paraméterek!$J$26:$O$27,2))),IF($D$4="Forint",0,2))</f>
        <v>#N/A</v>
      </c>
      <c r="M228" s="13">
        <f t="shared" ca="1" si="71"/>
        <v>0</v>
      </c>
      <c r="N228" s="13">
        <f t="shared" ca="1" si="81"/>
        <v>0</v>
      </c>
      <c r="O228" s="13">
        <f ca="1">IF($D228="Igen",IF($W227&gt;=IF($D$4="Forint",Paraméterek!$J$121,Paraméterek!$K$121),0,IF($D$4="Forint",Paraméterek!$J$121,Paraméterek!$K$121)-$W227),0)</f>
        <v>0</v>
      </c>
      <c r="P228" s="13" t="e">
        <f ca="1">ROUNDUP($O228*VLOOKUP($M$4+$B228-1,Paraméterek!$H$58:$I$105,2,0)/Paraméterek!$I$56,IF($D$4="Forint",0,2))</f>
        <v>#N/A</v>
      </c>
      <c r="Q228" s="13">
        <f t="shared" ca="1" si="72"/>
        <v>0</v>
      </c>
      <c r="R228" s="33"/>
      <c r="S228" s="13" t="e">
        <f t="shared" ca="1" si="73"/>
        <v>#N/A</v>
      </c>
      <c r="T228" s="13" t="e">
        <f ca="1">ROUNDUP(($N228-$P228-$Q228+$S228)*VLOOKUP($B228,Paraméterek!$I$38:$K$39,IF($D$2="Egyszeri",3,2))/12*IF($D229="Nem",IF($M$13=0,1,$M$13),1),IF($D$4="Forint",0,2))</f>
        <v>#N/A</v>
      </c>
      <c r="U228" s="13"/>
      <c r="V228" s="13"/>
      <c r="W228" s="13" t="e">
        <f ca="1">$N228-$P228-$Q228+$S228-$T228-IF(ROUNDUP(IF(ISBLANK($V228),$U228*0,$V228)/IF($D$2="Egyszeri",VLOOKUP($B228+IF($C228=12,1,0),Paraméterek!$V$257:$W$262,2),IF($B228=1,1,VLOOKUP($B228+IF($C228=12,1,0),Paraméterek!$I$258:$T$278,HLOOKUP($M$11+1,Paraméterek!$J$256:$T$257,2)))),IF($D$4="Forint",0,2))&gt;$N228-$P228-$Q228+$S228-$T228-IF($D$4="Forint",Paraméterek!$C$216,Paraméterek!$D$216),0,ROUNDUP(IF(ISBLANK($V228),$U228*0,$V228)/IF($D$2="Egyszeri",VLOOKUP($B228+IF($C228=12,1,0),Paraméterek!$V$257:$W$262,2),IF($B228=1,1,VLOOKUP($B228+IF($C228=12,1,0),Paraméterek!$I$258:$T$278,HLOOKUP($M$11+1,Paraméterek!$J$256:$T$257,2)))),IF($D$4="Forint",0,2)))</f>
        <v>#N/A</v>
      </c>
      <c r="X228" s="13" t="e">
        <f ca="1">ROUNDDOWN($W228*IF($D$2="Egyszeri",VLOOKUP($B228+IF($C228=12,1,0),Paraméterek!$V$257:$W$262,2),VLOOKUP($B228+IF($C228=12,1,0),Paraméterek!$I$258:$T$278,HLOOKUP($M$11+1,Paraméterek!$I$256:$T$257,2))),IF($D$4="Forint",0,2))</f>
        <v>#N/A</v>
      </c>
      <c r="Z228" s="32">
        <v>209</v>
      </c>
      <c r="AA228" s="32">
        <v>18</v>
      </c>
      <c r="AB228" s="32">
        <v>5</v>
      </c>
      <c r="AC228" s="13">
        <f t="shared" ca="1" si="82"/>
        <v>0</v>
      </c>
      <c r="AD228" s="33"/>
      <c r="AE228" s="13">
        <f t="shared" ca="1" si="74"/>
        <v>0</v>
      </c>
      <c r="AF228" s="13">
        <f ca="1">ROUNDUP(($AC228+$AE228)*VLOOKUP($AA228,Paraméterek!$P$38:$Q$38,2)/12*IF($D229="Nem",IF($M$13=0,1,$M$13),1),IF($D$4="Forint",0,2))</f>
        <v>0</v>
      </c>
      <c r="AG228" s="13">
        <f ca="1">IF($D$2="Egyszeri",IF($D$7&gt;=IF($D$4="Forint",Paraméterek!$P$223,Paraméterek!$P$224),$D$7-IF($D$4="Forint",Paraméterek!$P$223,Paraméterek!$P$224),0),MIN(IF($AB228=12,AVERAGEIF($E$20:$E228,"&gt;0",$E$20:$E228)*12,0),SUM($E$20:$E$31)))</f>
        <v>0</v>
      </c>
      <c r="AH228" s="13">
        <f>IF($AA228=10,$AG228*IF($AB228=12,IF($AG228&lt;IF($D$4="Forint",Paraméterek!$L$223,Paraméterek!$L$224),0,VLOOKUP($AA228,Paraméterek!$K$226:$M$228,IF($AG228&lt;IF($D$4="Forint",Paraméterek!$M$223,Paraméterek!$M$224),2,3))),0),0)</f>
        <v>0</v>
      </c>
      <c r="AI228" s="13">
        <f ca="1">IF(AND($AA228=$M$11+1,$AB228=$M$12+1),SUMIF($AA$20:$AA$1027,$AA228,$AG$20:$AG$1027)*IF(SUMIF($AA$20:$AA$1027,$AA228,$AG$20:$AG$1027)&lt;IF($D$4="Forint",Paraméterek!$L$223,Paraméterek!$L$224),0,VLOOKUP($AA228,Paraméterek!$K$230:$M$250,IF(SUMIF($AA$20:$AA$1027,$AA228,$AG$20:$AG$1027)&lt;IF($D$4="Forint",Paraméterek!$M$223,Paraméterek!$M$224),2,3))),0)</f>
        <v>0</v>
      </c>
      <c r="AJ228" s="13">
        <f ca="1">IF(AND($AA228&gt;=5,MOD($AA228,5)=0),IF($AB228=12,VLOOKUP($AA228,Paraméterek!$O$225:$P$240,2),0),IF(OR($AA228=3,$AA228=4),IF($AB228=12,VLOOKUP($AA228,Paraméterek!$O$225:$P$240,2,0),0),0))*$AG228</f>
        <v>0</v>
      </c>
      <c r="AK228" s="13">
        <f t="shared" ca="1" si="75"/>
        <v>0</v>
      </c>
      <c r="AL228" s="13">
        <f t="shared" ca="1" si="83"/>
        <v>0</v>
      </c>
      <c r="AM228" s="13">
        <f t="shared" ca="1" si="84"/>
        <v>0</v>
      </c>
      <c r="AO228" s="32">
        <v>209</v>
      </c>
      <c r="AP228" s="32">
        <v>18</v>
      </c>
      <c r="AQ228" s="32">
        <v>5</v>
      </c>
      <c r="AR228" s="13"/>
      <c r="AS228" s="32"/>
      <c r="AT228" s="13">
        <f t="shared" ca="1" si="85"/>
        <v>0</v>
      </c>
      <c r="AU228" s="33"/>
      <c r="AV228" s="13">
        <f t="shared" ca="1" si="76"/>
        <v>0</v>
      </c>
      <c r="AW228" s="13">
        <f ca="1">ROUNDUP(($AT228+$AV228)*VLOOKUP($AP228,Paraméterek!$P$38:$Q$38,2)/12*IF($D229="Nem",IF($M$13=0,1,$M$13),1),IF($D$4="Forint",0,2))</f>
        <v>0</v>
      </c>
      <c r="AX228" s="13"/>
      <c r="AY228" s="13"/>
      <c r="AZ228" s="13">
        <f>ROUNDUP(IF(SUM($AX228:$AY228)=0,0,IF(IF(ISBLANK($AY228),$AX228,$AY228)*Paraméterek!$J$112&lt;IF($D$4="Forint",Paraméterek!$J$113,Paraméterek!$K$113),IF($D$4="Forint",Paraméterek!$J$113,Paraméterek!$K$113),IF(IF(ISBLANK($AY228),$AX228,$AY228)*Paraméterek!$J$112&gt;IF($D$4="Forint",Paraméterek!$J$114,Paraméterek!$K$114),IF($D$4="Forint",Paraméterek!$J$114,Paraméterek!$K$114),IF(ISBLANK($AY228),$AX228,$AY228)*Paraméterek!$J$112))),IF($D$4="Forint",0,2))</f>
        <v>0</v>
      </c>
      <c r="BA228" s="13">
        <f ca="1">$AT228+$AV228-$AW228-IF(ROUNDDOWN(IF(ISBLANK($AY228),$AX228,$AY228),IF($D$4="Forint",0,2))&gt;$AT228+$AV228-$AW228-IF($D$4="Forint",Paraméterek!$J$114,Paraméterek!$K$114),0,ROUNDDOWN(IF(ISBLANK($AY228),$AX228,$AY228),IF($D$4="Forint",0,2))-$AZ228)</f>
        <v>0</v>
      </c>
      <c r="BB228" s="13">
        <f t="shared" ca="1" si="77"/>
        <v>0</v>
      </c>
      <c r="BD228" s="32">
        <v>209</v>
      </c>
      <c r="BE228" s="32">
        <v>18</v>
      </c>
      <c r="BF228" s="32">
        <v>5</v>
      </c>
      <c r="BG228" s="34">
        <f t="shared" ca="1" si="86"/>
        <v>2036</v>
      </c>
      <c r="BH228" s="32" t="str">
        <f ca="1">IF(MOD(MONTH($D$14)+$BD228-1,12)=Paraméterek!$C$288,"Igen","")</f>
        <v/>
      </c>
      <c r="BI228" s="13">
        <f ca="1">IF($BH228="Igen",MIN(ROUNDDOWN((SUMIF($BG$20:$BG$1027,$BG228-1,$K$20:$K$1027)-SUMIF($BG$20:$BG$1027,$BG228-1,$I$20:$I$1027))*Paraméterek!$C$289,IF($D$4="Forint",0,2)),IF($D$4="Forint",Paraméterek!$C$285,Paraméterek!$D$285)),0)</f>
        <v>0</v>
      </c>
      <c r="BJ228" s="13">
        <f t="shared" ca="1" si="78"/>
        <v>0</v>
      </c>
      <c r="BK228" s="13">
        <f t="shared" ca="1" si="87"/>
        <v>0</v>
      </c>
      <c r="BL228" s="33"/>
      <c r="BM228" s="13">
        <f t="shared" ca="1" si="79"/>
        <v>0</v>
      </c>
      <c r="BN228" s="13">
        <f ca="1">ROUNDUP(($BK228+$BM228)*VLOOKUP($BE228,Paraméterek!$P$38:$Q$38,2)/12*IF($D229="Nem",IF($M$13=0,1,$M$13),1),IF($D$4="Forint",0,2))</f>
        <v>0</v>
      </c>
      <c r="BO228" s="13">
        <f t="shared" ca="1" si="80"/>
        <v>0</v>
      </c>
      <c r="BP228" s="13">
        <f ca="1">IF($D229="Nem",$BO228,$BO228-ROUNDUP(SUM($BI$20:$BI228)*120%,IF($D$4="Forint",0,2)))</f>
        <v>0</v>
      </c>
    </row>
    <row r="229" spans="1:68" x14ac:dyDescent="0.2">
      <c r="A229" s="32">
        <v>210</v>
      </c>
      <c r="B229" s="32">
        <v>18</v>
      </c>
      <c r="C229" s="32">
        <v>6</v>
      </c>
      <c r="D229" s="32" t="str">
        <f t="shared" ca="1" si="66"/>
        <v>Nem</v>
      </c>
      <c r="E229" s="13">
        <f t="shared" ca="1" si="67"/>
        <v>0</v>
      </c>
      <c r="F229" s="13"/>
      <c r="G229" s="13"/>
      <c r="H229" s="13"/>
      <c r="I229" s="13">
        <f t="shared" ca="1" si="68"/>
        <v>0</v>
      </c>
      <c r="J229" s="13">
        <f t="shared" ca="1" si="69"/>
        <v>0</v>
      </c>
      <c r="K229" s="13">
        <f t="shared" ca="1" si="70"/>
        <v>0</v>
      </c>
      <c r="L229" s="13" t="e">
        <f ca="1">ROUNDUP(IF($D$2="Egyszeri",$E229,IF($D$2="Havi",SUM($E$20:$E$31),IF(MOD($C229,$M$1)-1=0,SUM($E$20:$E$31),0))/12*$M$1)*VLOOKUP($B229,Paraméterek!$I$28:$P$31,IF($D$2="Egyszeri",8,HLOOKUP(ROUNDUP($M$11+$M$13,0),Paraméterek!$J$26:$O$27,2))),IF($D$4="Forint",0,2))</f>
        <v>#N/A</v>
      </c>
      <c r="M229" s="13">
        <f t="shared" ca="1" si="71"/>
        <v>0</v>
      </c>
      <c r="N229" s="13">
        <f t="shared" ca="1" si="81"/>
        <v>0</v>
      </c>
      <c r="O229" s="13">
        <f ca="1">IF($D229="Igen",IF($W228&gt;=IF($D$4="Forint",Paraméterek!$J$121,Paraméterek!$K$121),0,IF($D$4="Forint",Paraméterek!$J$121,Paraméterek!$K$121)-$W228),0)</f>
        <v>0</v>
      </c>
      <c r="P229" s="13" t="e">
        <f ca="1">ROUNDUP($O229*VLOOKUP($M$4+$B229-1,Paraméterek!$H$58:$I$105,2,0)/Paraméterek!$I$56,IF($D$4="Forint",0,2))</f>
        <v>#N/A</v>
      </c>
      <c r="Q229" s="13">
        <f t="shared" ca="1" si="72"/>
        <v>0</v>
      </c>
      <c r="R229" s="33"/>
      <c r="S229" s="13" t="e">
        <f t="shared" ca="1" si="73"/>
        <v>#N/A</v>
      </c>
      <c r="T229" s="13" t="e">
        <f ca="1">ROUNDUP(($N229-$P229-$Q229+$S229)*VLOOKUP($B229,Paraméterek!$I$38:$K$39,IF($D$2="Egyszeri",3,2))/12*IF($D230="Nem",IF($M$13=0,1,$M$13),1),IF($D$4="Forint",0,2))</f>
        <v>#N/A</v>
      </c>
      <c r="U229" s="13"/>
      <c r="V229" s="13"/>
      <c r="W229" s="13" t="e">
        <f ca="1">$N229-$P229-$Q229+$S229-$T229-IF(ROUNDUP(IF(ISBLANK($V229),$U229*0,$V229)/IF($D$2="Egyszeri",VLOOKUP($B229+IF($C229=12,1,0),Paraméterek!$V$257:$W$262,2),IF($B229=1,1,VLOOKUP($B229+IF($C229=12,1,0),Paraméterek!$I$258:$T$278,HLOOKUP($M$11+1,Paraméterek!$J$256:$T$257,2)))),IF($D$4="Forint",0,2))&gt;$N229-$P229-$Q229+$S229-$T229-IF($D$4="Forint",Paraméterek!$C$216,Paraméterek!$D$216),0,ROUNDUP(IF(ISBLANK($V229),$U229*0,$V229)/IF($D$2="Egyszeri",VLOOKUP($B229+IF($C229=12,1,0),Paraméterek!$V$257:$W$262,2),IF($B229=1,1,VLOOKUP($B229+IF($C229=12,1,0),Paraméterek!$I$258:$T$278,HLOOKUP($M$11+1,Paraméterek!$J$256:$T$257,2)))),IF($D$4="Forint",0,2)))</f>
        <v>#N/A</v>
      </c>
      <c r="X229" s="13" t="e">
        <f ca="1">ROUNDDOWN($W229*IF($D$2="Egyszeri",VLOOKUP($B229+IF($C229=12,1,0),Paraméterek!$V$257:$W$262,2),VLOOKUP($B229+IF($C229=12,1,0),Paraméterek!$I$258:$T$278,HLOOKUP($M$11+1,Paraméterek!$I$256:$T$257,2))),IF($D$4="Forint",0,2))</f>
        <v>#N/A</v>
      </c>
      <c r="Z229" s="32">
        <v>210</v>
      </c>
      <c r="AA229" s="32">
        <v>18</v>
      </c>
      <c r="AB229" s="32">
        <v>6</v>
      </c>
      <c r="AC229" s="13">
        <f t="shared" ca="1" si="82"/>
        <v>0</v>
      </c>
      <c r="AD229" s="33"/>
      <c r="AE229" s="13">
        <f t="shared" ca="1" si="74"/>
        <v>0</v>
      </c>
      <c r="AF229" s="13">
        <f ca="1">ROUNDUP(($AC229+$AE229)*VLOOKUP($AA229,Paraméterek!$P$38:$Q$38,2)/12*IF($D230="Nem",IF($M$13=0,1,$M$13),1),IF($D$4="Forint",0,2))</f>
        <v>0</v>
      </c>
      <c r="AG229" s="13">
        <f ca="1">IF($D$2="Egyszeri",IF($D$7&gt;=IF($D$4="Forint",Paraméterek!$P$223,Paraméterek!$P$224),$D$7-IF($D$4="Forint",Paraméterek!$P$223,Paraméterek!$P$224),0),MIN(IF($AB229=12,AVERAGEIF($E$20:$E229,"&gt;0",$E$20:$E229)*12,0),SUM($E$20:$E$31)))</f>
        <v>0</v>
      </c>
      <c r="AH229" s="13">
        <f>IF($AA229=10,$AG229*IF($AB229=12,IF($AG229&lt;IF($D$4="Forint",Paraméterek!$L$223,Paraméterek!$L$224),0,VLOOKUP($AA229,Paraméterek!$K$226:$M$228,IF($AG229&lt;IF($D$4="Forint",Paraméterek!$M$223,Paraméterek!$M$224),2,3))),0),0)</f>
        <v>0</v>
      </c>
      <c r="AI229" s="13">
        <f ca="1">IF(AND($AA229=$M$11+1,$AB229=$M$12+1),SUMIF($AA$20:$AA$1027,$AA229,$AG$20:$AG$1027)*IF(SUMIF($AA$20:$AA$1027,$AA229,$AG$20:$AG$1027)&lt;IF($D$4="Forint",Paraméterek!$L$223,Paraméterek!$L$224),0,VLOOKUP($AA229,Paraméterek!$K$230:$M$250,IF(SUMIF($AA$20:$AA$1027,$AA229,$AG$20:$AG$1027)&lt;IF($D$4="Forint",Paraméterek!$M$223,Paraméterek!$M$224),2,3))),0)</f>
        <v>0</v>
      </c>
      <c r="AJ229" s="13">
        <f ca="1">IF(AND($AA229&gt;=5,MOD($AA229,5)=0),IF($AB229=12,VLOOKUP($AA229,Paraméterek!$O$225:$P$240,2),0),IF(OR($AA229=3,$AA229=4),IF($AB229=12,VLOOKUP($AA229,Paraméterek!$O$225:$P$240,2,0),0),0))*$AG229</f>
        <v>0</v>
      </c>
      <c r="AK229" s="13">
        <f t="shared" ca="1" si="75"/>
        <v>0</v>
      </c>
      <c r="AL229" s="13">
        <f t="shared" ca="1" si="83"/>
        <v>0</v>
      </c>
      <c r="AM229" s="13">
        <f t="shared" ca="1" si="84"/>
        <v>0</v>
      </c>
      <c r="AO229" s="32">
        <v>210</v>
      </c>
      <c r="AP229" s="32">
        <v>18</v>
      </c>
      <c r="AQ229" s="32">
        <v>6</v>
      </c>
      <c r="AR229" s="13"/>
      <c r="AS229" s="32"/>
      <c r="AT229" s="13">
        <f t="shared" ca="1" si="85"/>
        <v>0</v>
      </c>
      <c r="AU229" s="33"/>
      <c r="AV229" s="13">
        <f t="shared" ca="1" si="76"/>
        <v>0</v>
      </c>
      <c r="AW229" s="13">
        <f ca="1">ROUNDUP(($AT229+$AV229)*VLOOKUP($AP229,Paraméterek!$P$38:$Q$38,2)/12*IF($D230="Nem",IF($M$13=0,1,$M$13),1),IF($D$4="Forint",0,2))</f>
        <v>0</v>
      </c>
      <c r="AX229" s="13"/>
      <c r="AY229" s="13"/>
      <c r="AZ229" s="13">
        <f>ROUNDUP(IF(SUM($AX229:$AY229)=0,0,IF(IF(ISBLANK($AY229),$AX229,$AY229)*Paraméterek!$J$112&lt;IF($D$4="Forint",Paraméterek!$J$113,Paraméterek!$K$113),IF($D$4="Forint",Paraméterek!$J$113,Paraméterek!$K$113),IF(IF(ISBLANK($AY229),$AX229,$AY229)*Paraméterek!$J$112&gt;IF($D$4="Forint",Paraméterek!$J$114,Paraméterek!$K$114),IF($D$4="Forint",Paraméterek!$J$114,Paraméterek!$K$114),IF(ISBLANK($AY229),$AX229,$AY229)*Paraméterek!$J$112))),IF($D$4="Forint",0,2))</f>
        <v>0</v>
      </c>
      <c r="BA229" s="13">
        <f ca="1">$AT229+$AV229-$AW229-IF(ROUNDDOWN(IF(ISBLANK($AY229),$AX229,$AY229),IF($D$4="Forint",0,2))&gt;$AT229+$AV229-$AW229-IF($D$4="Forint",Paraméterek!$J$114,Paraméterek!$K$114),0,ROUNDDOWN(IF(ISBLANK($AY229),$AX229,$AY229),IF($D$4="Forint",0,2))-$AZ229)</f>
        <v>0</v>
      </c>
      <c r="BB229" s="13">
        <f t="shared" ca="1" si="77"/>
        <v>0</v>
      </c>
      <c r="BD229" s="32">
        <v>210</v>
      </c>
      <c r="BE229" s="32">
        <v>18</v>
      </c>
      <c r="BF229" s="32">
        <v>6</v>
      </c>
      <c r="BG229" s="34">
        <f t="shared" ca="1" si="86"/>
        <v>2036</v>
      </c>
      <c r="BH229" s="32" t="str">
        <f ca="1">IF(MOD(MONTH($D$14)+$BD229-1,12)=Paraméterek!$C$288,"Igen","")</f>
        <v/>
      </c>
      <c r="BI229" s="13">
        <f ca="1">IF($BH229="Igen",MIN(ROUNDDOWN((SUMIF($BG$20:$BG$1027,$BG229-1,$K$20:$K$1027)-SUMIF($BG$20:$BG$1027,$BG229-1,$I$20:$I$1027))*Paraméterek!$C$289,IF($D$4="Forint",0,2)),IF($D$4="Forint",Paraméterek!$C$285,Paraméterek!$D$285)),0)</f>
        <v>0</v>
      </c>
      <c r="BJ229" s="13">
        <f t="shared" ca="1" si="78"/>
        <v>0</v>
      </c>
      <c r="BK229" s="13">
        <f t="shared" ca="1" si="87"/>
        <v>0</v>
      </c>
      <c r="BL229" s="33"/>
      <c r="BM229" s="13">
        <f t="shared" ca="1" si="79"/>
        <v>0</v>
      </c>
      <c r="BN229" s="13">
        <f ca="1">ROUNDUP(($BK229+$BM229)*VLOOKUP($BE229,Paraméterek!$P$38:$Q$38,2)/12*IF($D230="Nem",IF($M$13=0,1,$M$13),1),IF($D$4="Forint",0,2))</f>
        <v>0</v>
      </c>
      <c r="BO229" s="13">
        <f t="shared" ca="1" si="80"/>
        <v>0</v>
      </c>
      <c r="BP229" s="13">
        <f ca="1">IF($D230="Nem",$BO229,$BO229-ROUNDUP(SUM($BI$20:$BI229)*120%,IF($D$4="Forint",0,2)))</f>
        <v>0</v>
      </c>
    </row>
    <row r="230" spans="1:68" x14ac:dyDescent="0.2">
      <c r="A230" s="32">
        <v>211</v>
      </c>
      <c r="B230" s="32">
        <v>18</v>
      </c>
      <c r="C230" s="32">
        <v>7</v>
      </c>
      <c r="D230" s="32" t="str">
        <f t="shared" ca="1" si="66"/>
        <v>Nem</v>
      </c>
      <c r="E230" s="13">
        <f t="shared" ca="1" si="67"/>
        <v>0</v>
      </c>
      <c r="F230" s="13"/>
      <c r="G230" s="13"/>
      <c r="H230" s="13"/>
      <c r="I230" s="13">
        <f t="shared" ca="1" si="68"/>
        <v>0</v>
      </c>
      <c r="J230" s="13">
        <f t="shared" ca="1" si="69"/>
        <v>0</v>
      </c>
      <c r="K230" s="13">
        <f t="shared" ca="1" si="70"/>
        <v>0</v>
      </c>
      <c r="L230" s="13" t="e">
        <f ca="1">ROUNDUP(IF($D$2="Egyszeri",$E230,IF($D$2="Havi",SUM($E$20:$E$31),IF(MOD($C230,$M$1)-1=0,SUM($E$20:$E$31),0))/12*$M$1)*VLOOKUP($B230,Paraméterek!$I$28:$P$31,IF($D$2="Egyszeri",8,HLOOKUP(ROUNDUP($M$11+$M$13,0),Paraméterek!$J$26:$O$27,2))),IF($D$4="Forint",0,2))</f>
        <v>#N/A</v>
      </c>
      <c r="M230" s="13">
        <f t="shared" ca="1" si="71"/>
        <v>0</v>
      </c>
      <c r="N230" s="13">
        <f t="shared" ca="1" si="81"/>
        <v>0</v>
      </c>
      <c r="O230" s="13">
        <f ca="1">IF($D230="Igen",IF($W229&gt;=IF($D$4="Forint",Paraméterek!$J$121,Paraméterek!$K$121),0,IF($D$4="Forint",Paraméterek!$J$121,Paraméterek!$K$121)-$W229),0)</f>
        <v>0</v>
      </c>
      <c r="P230" s="13" t="e">
        <f ca="1">ROUNDUP($O230*VLOOKUP($M$4+$B230-1,Paraméterek!$H$58:$I$105,2,0)/Paraméterek!$I$56,IF($D$4="Forint",0,2))</f>
        <v>#N/A</v>
      </c>
      <c r="Q230" s="13">
        <f t="shared" ca="1" si="72"/>
        <v>0</v>
      </c>
      <c r="R230" s="33"/>
      <c r="S230" s="13" t="e">
        <f t="shared" ca="1" si="73"/>
        <v>#N/A</v>
      </c>
      <c r="T230" s="13" t="e">
        <f ca="1">ROUNDUP(($N230-$P230-$Q230+$S230)*VLOOKUP($B230,Paraméterek!$I$38:$K$39,IF($D$2="Egyszeri",3,2))/12*IF($D231="Nem",IF($M$13=0,1,$M$13),1),IF($D$4="Forint",0,2))</f>
        <v>#N/A</v>
      </c>
      <c r="U230" s="13"/>
      <c r="V230" s="13"/>
      <c r="W230" s="13" t="e">
        <f ca="1">$N230-$P230-$Q230+$S230-$T230-IF(ROUNDUP(IF(ISBLANK($V230),$U230*0,$V230)/IF($D$2="Egyszeri",VLOOKUP($B230+IF($C230=12,1,0),Paraméterek!$V$257:$W$262,2),IF($B230=1,1,VLOOKUP($B230+IF($C230=12,1,0),Paraméterek!$I$258:$T$278,HLOOKUP($M$11+1,Paraméterek!$J$256:$T$257,2)))),IF($D$4="Forint",0,2))&gt;$N230-$P230-$Q230+$S230-$T230-IF($D$4="Forint",Paraméterek!$C$216,Paraméterek!$D$216),0,ROUNDUP(IF(ISBLANK($V230),$U230*0,$V230)/IF($D$2="Egyszeri",VLOOKUP($B230+IF($C230=12,1,0),Paraméterek!$V$257:$W$262,2),IF($B230=1,1,VLOOKUP($B230+IF($C230=12,1,0),Paraméterek!$I$258:$T$278,HLOOKUP($M$11+1,Paraméterek!$J$256:$T$257,2)))),IF($D$4="Forint",0,2)))</f>
        <v>#N/A</v>
      </c>
      <c r="X230" s="13" t="e">
        <f ca="1">ROUNDDOWN($W230*IF($D$2="Egyszeri",VLOOKUP($B230+IF($C230=12,1,0),Paraméterek!$V$257:$W$262,2),VLOOKUP($B230+IF($C230=12,1,0),Paraméterek!$I$258:$T$278,HLOOKUP($M$11+1,Paraméterek!$I$256:$T$257,2))),IF($D$4="Forint",0,2))</f>
        <v>#N/A</v>
      </c>
      <c r="Z230" s="32">
        <v>211</v>
      </c>
      <c r="AA230" s="32">
        <v>18</v>
      </c>
      <c r="AB230" s="32">
        <v>7</v>
      </c>
      <c r="AC230" s="13">
        <f t="shared" ca="1" si="82"/>
        <v>0</v>
      </c>
      <c r="AD230" s="33"/>
      <c r="AE230" s="13">
        <f t="shared" ca="1" si="74"/>
        <v>0</v>
      </c>
      <c r="AF230" s="13">
        <f ca="1">ROUNDUP(($AC230+$AE230)*VLOOKUP($AA230,Paraméterek!$P$38:$Q$38,2)/12*IF($D231="Nem",IF($M$13=0,1,$M$13),1),IF($D$4="Forint",0,2))</f>
        <v>0</v>
      </c>
      <c r="AG230" s="13">
        <f ca="1">IF($D$2="Egyszeri",IF($D$7&gt;=IF($D$4="Forint",Paraméterek!$P$223,Paraméterek!$P$224),$D$7-IF($D$4="Forint",Paraméterek!$P$223,Paraméterek!$P$224),0),MIN(IF($AB230=12,AVERAGEIF($E$20:$E230,"&gt;0",$E$20:$E230)*12,0),SUM($E$20:$E$31)))</f>
        <v>0</v>
      </c>
      <c r="AH230" s="13">
        <f>IF($AA230=10,$AG230*IF($AB230=12,IF($AG230&lt;IF($D$4="Forint",Paraméterek!$L$223,Paraméterek!$L$224),0,VLOOKUP($AA230,Paraméterek!$K$226:$M$228,IF($AG230&lt;IF($D$4="Forint",Paraméterek!$M$223,Paraméterek!$M$224),2,3))),0),0)</f>
        <v>0</v>
      </c>
      <c r="AI230" s="13">
        <f ca="1">IF(AND($AA230=$M$11+1,$AB230=$M$12+1),SUMIF($AA$20:$AA$1027,$AA230,$AG$20:$AG$1027)*IF(SUMIF($AA$20:$AA$1027,$AA230,$AG$20:$AG$1027)&lt;IF($D$4="Forint",Paraméterek!$L$223,Paraméterek!$L$224),0,VLOOKUP($AA230,Paraméterek!$K$230:$M$250,IF(SUMIF($AA$20:$AA$1027,$AA230,$AG$20:$AG$1027)&lt;IF($D$4="Forint",Paraméterek!$M$223,Paraméterek!$M$224),2,3))),0)</f>
        <v>0</v>
      </c>
      <c r="AJ230" s="13">
        <f ca="1">IF(AND($AA230&gt;=5,MOD($AA230,5)=0),IF($AB230=12,VLOOKUP($AA230,Paraméterek!$O$225:$P$240,2),0),IF(OR($AA230=3,$AA230=4),IF($AB230=12,VLOOKUP($AA230,Paraméterek!$O$225:$P$240,2,0),0),0))*$AG230</f>
        <v>0</v>
      </c>
      <c r="AK230" s="13">
        <f t="shared" ca="1" si="75"/>
        <v>0</v>
      </c>
      <c r="AL230" s="13">
        <f t="shared" ca="1" si="83"/>
        <v>0</v>
      </c>
      <c r="AM230" s="13">
        <f t="shared" ca="1" si="84"/>
        <v>0</v>
      </c>
      <c r="AO230" s="32">
        <v>211</v>
      </c>
      <c r="AP230" s="32">
        <v>18</v>
      </c>
      <c r="AQ230" s="32">
        <v>7</v>
      </c>
      <c r="AR230" s="13"/>
      <c r="AS230" s="32"/>
      <c r="AT230" s="13">
        <f t="shared" ca="1" si="85"/>
        <v>0</v>
      </c>
      <c r="AU230" s="33"/>
      <c r="AV230" s="13">
        <f t="shared" ca="1" si="76"/>
        <v>0</v>
      </c>
      <c r="AW230" s="13">
        <f ca="1">ROUNDUP(($AT230+$AV230)*VLOOKUP($AP230,Paraméterek!$P$38:$Q$38,2)/12*IF($D231="Nem",IF($M$13=0,1,$M$13),1),IF($D$4="Forint",0,2))</f>
        <v>0</v>
      </c>
      <c r="AX230" s="13"/>
      <c r="AY230" s="13"/>
      <c r="AZ230" s="13">
        <f>ROUNDUP(IF(SUM($AX230:$AY230)=0,0,IF(IF(ISBLANK($AY230),$AX230,$AY230)*Paraméterek!$J$112&lt;IF($D$4="Forint",Paraméterek!$J$113,Paraméterek!$K$113),IF($D$4="Forint",Paraméterek!$J$113,Paraméterek!$K$113),IF(IF(ISBLANK($AY230),$AX230,$AY230)*Paraméterek!$J$112&gt;IF($D$4="Forint",Paraméterek!$J$114,Paraméterek!$K$114),IF($D$4="Forint",Paraméterek!$J$114,Paraméterek!$K$114),IF(ISBLANK($AY230),$AX230,$AY230)*Paraméterek!$J$112))),IF($D$4="Forint",0,2))</f>
        <v>0</v>
      </c>
      <c r="BA230" s="13">
        <f ca="1">$AT230+$AV230-$AW230-IF(ROUNDDOWN(IF(ISBLANK($AY230),$AX230,$AY230),IF($D$4="Forint",0,2))&gt;$AT230+$AV230-$AW230-IF($D$4="Forint",Paraméterek!$J$114,Paraméterek!$K$114),0,ROUNDDOWN(IF(ISBLANK($AY230),$AX230,$AY230),IF($D$4="Forint",0,2))-$AZ230)</f>
        <v>0</v>
      </c>
      <c r="BB230" s="13">
        <f t="shared" ca="1" si="77"/>
        <v>0</v>
      </c>
      <c r="BD230" s="32">
        <v>211</v>
      </c>
      <c r="BE230" s="32">
        <v>18</v>
      </c>
      <c r="BF230" s="32">
        <v>7</v>
      </c>
      <c r="BG230" s="34">
        <f t="shared" ca="1" si="86"/>
        <v>2036</v>
      </c>
      <c r="BH230" s="32" t="str">
        <f ca="1">IF(MOD(MONTH($D$14)+$BD230-1,12)=Paraméterek!$C$288,"Igen","")</f>
        <v/>
      </c>
      <c r="BI230" s="13">
        <f ca="1">IF($BH230="Igen",MIN(ROUNDDOWN((SUMIF($BG$20:$BG$1027,$BG230-1,$K$20:$K$1027)-SUMIF($BG$20:$BG$1027,$BG230-1,$I$20:$I$1027))*Paraméterek!$C$289,IF($D$4="Forint",0,2)),IF($D$4="Forint",Paraméterek!$C$285,Paraméterek!$D$285)),0)</f>
        <v>0</v>
      </c>
      <c r="BJ230" s="13">
        <f t="shared" ca="1" si="78"/>
        <v>0</v>
      </c>
      <c r="BK230" s="13">
        <f t="shared" ca="1" si="87"/>
        <v>0</v>
      </c>
      <c r="BL230" s="33"/>
      <c r="BM230" s="13">
        <f t="shared" ca="1" si="79"/>
        <v>0</v>
      </c>
      <c r="BN230" s="13">
        <f ca="1">ROUNDUP(($BK230+$BM230)*VLOOKUP($BE230,Paraméterek!$P$38:$Q$38,2)/12*IF($D231="Nem",IF($M$13=0,1,$M$13),1),IF($D$4="Forint",0,2))</f>
        <v>0</v>
      </c>
      <c r="BO230" s="13">
        <f t="shared" ca="1" si="80"/>
        <v>0</v>
      </c>
      <c r="BP230" s="13">
        <f ca="1">IF($D231="Nem",$BO230,$BO230-ROUNDUP(SUM($BI$20:$BI230)*120%,IF($D$4="Forint",0,2)))</f>
        <v>0</v>
      </c>
    </row>
    <row r="231" spans="1:68" x14ac:dyDescent="0.2">
      <c r="A231" s="32">
        <v>212</v>
      </c>
      <c r="B231" s="32">
        <v>18</v>
      </c>
      <c r="C231" s="32">
        <v>8</v>
      </c>
      <c r="D231" s="32" t="str">
        <f t="shared" ca="1" si="66"/>
        <v>Nem</v>
      </c>
      <c r="E231" s="13">
        <f t="shared" ca="1" si="67"/>
        <v>0</v>
      </c>
      <c r="F231" s="13"/>
      <c r="G231" s="13"/>
      <c r="H231" s="13"/>
      <c r="I231" s="13">
        <f t="shared" ca="1" si="68"/>
        <v>0</v>
      </c>
      <c r="J231" s="13">
        <f t="shared" ca="1" si="69"/>
        <v>0</v>
      </c>
      <c r="K231" s="13">
        <f t="shared" ca="1" si="70"/>
        <v>0</v>
      </c>
      <c r="L231" s="13" t="e">
        <f ca="1">ROUNDUP(IF($D$2="Egyszeri",$E231,IF($D$2="Havi",SUM($E$20:$E$31),IF(MOD($C231,$M$1)-1=0,SUM($E$20:$E$31),0))/12*$M$1)*VLOOKUP($B231,Paraméterek!$I$28:$P$31,IF($D$2="Egyszeri",8,HLOOKUP(ROUNDUP($M$11+$M$13,0),Paraméterek!$J$26:$O$27,2))),IF($D$4="Forint",0,2))</f>
        <v>#N/A</v>
      </c>
      <c r="M231" s="13">
        <f t="shared" ca="1" si="71"/>
        <v>0</v>
      </c>
      <c r="N231" s="13">
        <f t="shared" ca="1" si="81"/>
        <v>0</v>
      </c>
      <c r="O231" s="13">
        <f ca="1">IF($D231="Igen",IF($W230&gt;=IF($D$4="Forint",Paraméterek!$J$121,Paraméterek!$K$121),0,IF($D$4="Forint",Paraméterek!$J$121,Paraméterek!$K$121)-$W230),0)</f>
        <v>0</v>
      </c>
      <c r="P231" s="13" t="e">
        <f ca="1">ROUNDUP($O231*VLOOKUP($M$4+$B231-1,Paraméterek!$H$58:$I$105,2,0)/Paraméterek!$I$56,IF($D$4="Forint",0,2))</f>
        <v>#N/A</v>
      </c>
      <c r="Q231" s="13">
        <f t="shared" ca="1" si="72"/>
        <v>0</v>
      </c>
      <c r="R231" s="33"/>
      <c r="S231" s="13" t="e">
        <f t="shared" ca="1" si="73"/>
        <v>#N/A</v>
      </c>
      <c r="T231" s="13" t="e">
        <f ca="1">ROUNDUP(($N231-$P231-$Q231+$S231)*VLOOKUP($B231,Paraméterek!$I$38:$K$39,IF($D$2="Egyszeri",3,2))/12*IF($D232="Nem",IF($M$13=0,1,$M$13),1),IF($D$4="Forint",0,2))</f>
        <v>#N/A</v>
      </c>
      <c r="U231" s="13"/>
      <c r="V231" s="13"/>
      <c r="W231" s="13" t="e">
        <f ca="1">$N231-$P231-$Q231+$S231-$T231-IF(ROUNDUP(IF(ISBLANK($V231),$U231*0,$V231)/IF($D$2="Egyszeri",VLOOKUP($B231+IF($C231=12,1,0),Paraméterek!$V$257:$W$262,2),IF($B231=1,1,VLOOKUP($B231+IF($C231=12,1,0),Paraméterek!$I$258:$T$278,HLOOKUP($M$11+1,Paraméterek!$J$256:$T$257,2)))),IF($D$4="Forint",0,2))&gt;$N231-$P231-$Q231+$S231-$T231-IF($D$4="Forint",Paraméterek!$C$216,Paraméterek!$D$216),0,ROUNDUP(IF(ISBLANK($V231),$U231*0,$V231)/IF($D$2="Egyszeri",VLOOKUP($B231+IF($C231=12,1,0),Paraméterek!$V$257:$W$262,2),IF($B231=1,1,VLOOKUP($B231+IF($C231=12,1,0),Paraméterek!$I$258:$T$278,HLOOKUP($M$11+1,Paraméterek!$J$256:$T$257,2)))),IF($D$4="Forint",0,2)))</f>
        <v>#N/A</v>
      </c>
      <c r="X231" s="13" t="e">
        <f ca="1">ROUNDDOWN($W231*IF($D$2="Egyszeri",VLOOKUP($B231+IF($C231=12,1,0),Paraméterek!$V$257:$W$262,2),VLOOKUP($B231+IF($C231=12,1,0),Paraméterek!$I$258:$T$278,HLOOKUP($M$11+1,Paraméterek!$I$256:$T$257,2))),IF($D$4="Forint",0,2))</f>
        <v>#N/A</v>
      </c>
      <c r="Z231" s="32">
        <v>212</v>
      </c>
      <c r="AA231" s="32">
        <v>18</v>
      </c>
      <c r="AB231" s="32">
        <v>8</v>
      </c>
      <c r="AC231" s="13">
        <f t="shared" ca="1" si="82"/>
        <v>0</v>
      </c>
      <c r="AD231" s="33"/>
      <c r="AE231" s="13">
        <f t="shared" ca="1" si="74"/>
        <v>0</v>
      </c>
      <c r="AF231" s="13">
        <f ca="1">ROUNDUP(($AC231+$AE231)*VLOOKUP($AA231,Paraméterek!$P$38:$Q$38,2)/12*IF($D232="Nem",IF($M$13=0,1,$M$13),1),IF($D$4="Forint",0,2))</f>
        <v>0</v>
      </c>
      <c r="AG231" s="13">
        <f ca="1">IF($D$2="Egyszeri",IF($D$7&gt;=IF($D$4="Forint",Paraméterek!$P$223,Paraméterek!$P$224),$D$7-IF($D$4="Forint",Paraméterek!$P$223,Paraméterek!$P$224),0),MIN(IF($AB231=12,AVERAGEIF($E$20:$E231,"&gt;0",$E$20:$E231)*12,0),SUM($E$20:$E$31)))</f>
        <v>0</v>
      </c>
      <c r="AH231" s="13">
        <f>IF($AA231=10,$AG231*IF($AB231=12,IF($AG231&lt;IF($D$4="Forint",Paraméterek!$L$223,Paraméterek!$L$224),0,VLOOKUP($AA231,Paraméterek!$K$226:$M$228,IF($AG231&lt;IF($D$4="Forint",Paraméterek!$M$223,Paraméterek!$M$224),2,3))),0),0)</f>
        <v>0</v>
      </c>
      <c r="AI231" s="13">
        <f ca="1">IF(AND($AA231=$M$11+1,$AB231=$M$12+1),SUMIF($AA$20:$AA$1027,$AA231,$AG$20:$AG$1027)*IF(SUMIF($AA$20:$AA$1027,$AA231,$AG$20:$AG$1027)&lt;IF($D$4="Forint",Paraméterek!$L$223,Paraméterek!$L$224),0,VLOOKUP($AA231,Paraméterek!$K$230:$M$250,IF(SUMIF($AA$20:$AA$1027,$AA231,$AG$20:$AG$1027)&lt;IF($D$4="Forint",Paraméterek!$M$223,Paraméterek!$M$224),2,3))),0)</f>
        <v>0</v>
      </c>
      <c r="AJ231" s="13">
        <f ca="1">IF(AND($AA231&gt;=5,MOD($AA231,5)=0),IF($AB231=12,VLOOKUP($AA231,Paraméterek!$O$225:$P$240,2),0),IF(OR($AA231=3,$AA231=4),IF($AB231=12,VLOOKUP($AA231,Paraméterek!$O$225:$P$240,2,0),0),0))*$AG231</f>
        <v>0</v>
      </c>
      <c r="AK231" s="13">
        <f t="shared" ca="1" si="75"/>
        <v>0</v>
      </c>
      <c r="AL231" s="13">
        <f t="shared" ca="1" si="83"/>
        <v>0</v>
      </c>
      <c r="AM231" s="13">
        <f t="shared" ca="1" si="84"/>
        <v>0</v>
      </c>
      <c r="AO231" s="32">
        <v>212</v>
      </c>
      <c r="AP231" s="32">
        <v>18</v>
      </c>
      <c r="AQ231" s="32">
        <v>8</v>
      </c>
      <c r="AR231" s="13"/>
      <c r="AS231" s="32"/>
      <c r="AT231" s="13">
        <f t="shared" ca="1" si="85"/>
        <v>0</v>
      </c>
      <c r="AU231" s="33"/>
      <c r="AV231" s="13">
        <f t="shared" ca="1" si="76"/>
        <v>0</v>
      </c>
      <c r="AW231" s="13">
        <f ca="1">ROUNDUP(($AT231+$AV231)*VLOOKUP($AP231,Paraméterek!$P$38:$Q$38,2)/12*IF($D232="Nem",IF($M$13=0,1,$M$13),1),IF($D$4="Forint",0,2))</f>
        <v>0</v>
      </c>
      <c r="AX231" s="13"/>
      <c r="AY231" s="13"/>
      <c r="AZ231" s="13">
        <f>ROUNDUP(IF(SUM($AX231:$AY231)=0,0,IF(IF(ISBLANK($AY231),$AX231,$AY231)*Paraméterek!$J$112&lt;IF($D$4="Forint",Paraméterek!$J$113,Paraméterek!$K$113),IF($D$4="Forint",Paraméterek!$J$113,Paraméterek!$K$113),IF(IF(ISBLANK($AY231),$AX231,$AY231)*Paraméterek!$J$112&gt;IF($D$4="Forint",Paraméterek!$J$114,Paraméterek!$K$114),IF($D$4="Forint",Paraméterek!$J$114,Paraméterek!$K$114),IF(ISBLANK($AY231),$AX231,$AY231)*Paraméterek!$J$112))),IF($D$4="Forint",0,2))</f>
        <v>0</v>
      </c>
      <c r="BA231" s="13">
        <f ca="1">$AT231+$AV231-$AW231-IF(ROUNDDOWN(IF(ISBLANK($AY231),$AX231,$AY231),IF($D$4="Forint",0,2))&gt;$AT231+$AV231-$AW231-IF($D$4="Forint",Paraméterek!$J$114,Paraméterek!$K$114),0,ROUNDDOWN(IF(ISBLANK($AY231),$AX231,$AY231),IF($D$4="Forint",0,2))-$AZ231)</f>
        <v>0</v>
      </c>
      <c r="BB231" s="13">
        <f t="shared" ca="1" si="77"/>
        <v>0</v>
      </c>
      <c r="BD231" s="32">
        <v>212</v>
      </c>
      <c r="BE231" s="32">
        <v>18</v>
      </c>
      <c r="BF231" s="32">
        <v>8</v>
      </c>
      <c r="BG231" s="34">
        <f t="shared" ca="1" si="86"/>
        <v>2037</v>
      </c>
      <c r="BH231" s="32" t="str">
        <f ca="1">IF(MOD(MONTH($D$14)+$BD231-1,12)=Paraméterek!$C$288,"Igen","")</f>
        <v/>
      </c>
      <c r="BI231" s="13">
        <f ca="1">IF($BH231="Igen",MIN(ROUNDDOWN((SUMIF($BG$20:$BG$1027,$BG231-1,$K$20:$K$1027)-SUMIF($BG$20:$BG$1027,$BG231-1,$I$20:$I$1027))*Paraméterek!$C$289,IF($D$4="Forint",0,2)),IF($D$4="Forint",Paraméterek!$C$285,Paraméterek!$D$285)),0)</f>
        <v>0</v>
      </c>
      <c r="BJ231" s="13">
        <f t="shared" ca="1" si="78"/>
        <v>0</v>
      </c>
      <c r="BK231" s="13">
        <f t="shared" ca="1" si="87"/>
        <v>0</v>
      </c>
      <c r="BL231" s="33"/>
      <c r="BM231" s="13">
        <f t="shared" ca="1" si="79"/>
        <v>0</v>
      </c>
      <c r="BN231" s="13">
        <f ca="1">ROUNDUP(($BK231+$BM231)*VLOOKUP($BE231,Paraméterek!$P$38:$Q$38,2)/12*IF($D232="Nem",IF($M$13=0,1,$M$13),1),IF($D$4="Forint",0,2))</f>
        <v>0</v>
      </c>
      <c r="BO231" s="13">
        <f t="shared" ca="1" si="80"/>
        <v>0</v>
      </c>
      <c r="BP231" s="13">
        <f ca="1">IF($D232="Nem",$BO231,$BO231-ROUNDUP(SUM($BI$20:$BI231)*120%,IF($D$4="Forint",0,2)))</f>
        <v>0</v>
      </c>
    </row>
    <row r="232" spans="1:68" x14ac:dyDescent="0.2">
      <c r="A232" s="32">
        <v>213</v>
      </c>
      <c r="B232" s="32">
        <v>18</v>
      </c>
      <c r="C232" s="32">
        <v>9</v>
      </c>
      <c r="D232" s="32" t="str">
        <f t="shared" ca="1" si="66"/>
        <v>Nem</v>
      </c>
      <c r="E232" s="13">
        <f t="shared" ca="1" si="67"/>
        <v>0</v>
      </c>
      <c r="F232" s="13"/>
      <c r="G232" s="13"/>
      <c r="H232" s="13"/>
      <c r="I232" s="13">
        <f t="shared" ca="1" si="68"/>
        <v>0</v>
      </c>
      <c r="J232" s="13">
        <f t="shared" ca="1" si="69"/>
        <v>0</v>
      </c>
      <c r="K232" s="13">
        <f t="shared" ca="1" si="70"/>
        <v>0</v>
      </c>
      <c r="L232" s="13" t="e">
        <f ca="1">ROUNDUP(IF($D$2="Egyszeri",$E232,IF($D$2="Havi",SUM($E$20:$E$31),IF(MOD($C232,$M$1)-1=0,SUM($E$20:$E$31),0))/12*$M$1)*VLOOKUP($B232,Paraméterek!$I$28:$P$31,IF($D$2="Egyszeri",8,HLOOKUP(ROUNDUP($M$11+$M$13,0),Paraméterek!$J$26:$O$27,2))),IF($D$4="Forint",0,2))</f>
        <v>#N/A</v>
      </c>
      <c r="M232" s="13">
        <f t="shared" ca="1" si="71"/>
        <v>0</v>
      </c>
      <c r="N232" s="13">
        <f t="shared" ca="1" si="81"/>
        <v>0</v>
      </c>
      <c r="O232" s="13">
        <f ca="1">IF($D232="Igen",IF($W231&gt;=IF($D$4="Forint",Paraméterek!$J$121,Paraméterek!$K$121),0,IF($D$4="Forint",Paraméterek!$J$121,Paraméterek!$K$121)-$W231),0)</f>
        <v>0</v>
      </c>
      <c r="P232" s="13" t="e">
        <f ca="1">ROUNDUP($O232*VLOOKUP($M$4+$B232-1,Paraméterek!$H$58:$I$105,2,0)/Paraméterek!$I$56,IF($D$4="Forint",0,2))</f>
        <v>#N/A</v>
      </c>
      <c r="Q232" s="13">
        <f t="shared" ca="1" si="72"/>
        <v>0</v>
      </c>
      <c r="R232" s="33"/>
      <c r="S232" s="13" t="e">
        <f t="shared" ca="1" si="73"/>
        <v>#N/A</v>
      </c>
      <c r="T232" s="13" t="e">
        <f ca="1">ROUNDUP(($N232-$P232-$Q232+$S232)*VLOOKUP($B232,Paraméterek!$I$38:$K$39,IF($D$2="Egyszeri",3,2))/12*IF($D233="Nem",IF($M$13=0,1,$M$13),1),IF($D$4="Forint",0,2))</f>
        <v>#N/A</v>
      </c>
      <c r="U232" s="13"/>
      <c r="V232" s="13"/>
      <c r="W232" s="13" t="e">
        <f ca="1">$N232-$P232-$Q232+$S232-$T232-IF(ROUNDUP(IF(ISBLANK($V232),$U232*0,$V232)/IF($D$2="Egyszeri",VLOOKUP($B232+IF($C232=12,1,0),Paraméterek!$V$257:$W$262,2),IF($B232=1,1,VLOOKUP($B232+IF($C232=12,1,0),Paraméterek!$I$258:$T$278,HLOOKUP($M$11+1,Paraméterek!$J$256:$T$257,2)))),IF($D$4="Forint",0,2))&gt;$N232-$P232-$Q232+$S232-$T232-IF($D$4="Forint",Paraméterek!$C$216,Paraméterek!$D$216),0,ROUNDUP(IF(ISBLANK($V232),$U232*0,$V232)/IF($D$2="Egyszeri",VLOOKUP($B232+IF($C232=12,1,0),Paraméterek!$V$257:$W$262,2),IF($B232=1,1,VLOOKUP($B232+IF($C232=12,1,0),Paraméterek!$I$258:$T$278,HLOOKUP($M$11+1,Paraméterek!$J$256:$T$257,2)))),IF($D$4="Forint",0,2)))</f>
        <v>#N/A</v>
      </c>
      <c r="X232" s="13" t="e">
        <f ca="1">ROUNDDOWN($W232*IF($D$2="Egyszeri",VLOOKUP($B232+IF($C232=12,1,0),Paraméterek!$V$257:$W$262,2),VLOOKUP($B232+IF($C232=12,1,0),Paraméterek!$I$258:$T$278,HLOOKUP($M$11+1,Paraméterek!$I$256:$T$257,2))),IF($D$4="Forint",0,2))</f>
        <v>#N/A</v>
      </c>
      <c r="Z232" s="32">
        <v>213</v>
      </c>
      <c r="AA232" s="32">
        <v>18</v>
      </c>
      <c r="AB232" s="32">
        <v>9</v>
      </c>
      <c r="AC232" s="13">
        <f t="shared" ca="1" si="82"/>
        <v>0</v>
      </c>
      <c r="AD232" s="33"/>
      <c r="AE232" s="13">
        <f t="shared" ca="1" si="74"/>
        <v>0</v>
      </c>
      <c r="AF232" s="13">
        <f ca="1">ROUNDUP(($AC232+$AE232)*VLOOKUP($AA232,Paraméterek!$P$38:$Q$38,2)/12*IF($D233="Nem",IF($M$13=0,1,$M$13),1),IF($D$4="Forint",0,2))</f>
        <v>0</v>
      </c>
      <c r="AG232" s="13">
        <f ca="1">IF($D$2="Egyszeri",IF($D$7&gt;=IF($D$4="Forint",Paraméterek!$P$223,Paraméterek!$P$224),$D$7-IF($D$4="Forint",Paraméterek!$P$223,Paraméterek!$P$224),0),MIN(IF($AB232=12,AVERAGEIF($E$20:$E232,"&gt;0",$E$20:$E232)*12,0),SUM($E$20:$E$31)))</f>
        <v>0</v>
      </c>
      <c r="AH232" s="13">
        <f>IF($AA232=10,$AG232*IF($AB232=12,IF($AG232&lt;IF($D$4="Forint",Paraméterek!$L$223,Paraméterek!$L$224),0,VLOOKUP($AA232,Paraméterek!$K$226:$M$228,IF($AG232&lt;IF($D$4="Forint",Paraméterek!$M$223,Paraméterek!$M$224),2,3))),0),0)</f>
        <v>0</v>
      </c>
      <c r="AI232" s="13">
        <f ca="1">IF(AND($AA232=$M$11+1,$AB232=$M$12+1),SUMIF($AA$20:$AA$1027,$AA232,$AG$20:$AG$1027)*IF(SUMIF($AA$20:$AA$1027,$AA232,$AG$20:$AG$1027)&lt;IF($D$4="Forint",Paraméterek!$L$223,Paraméterek!$L$224),0,VLOOKUP($AA232,Paraméterek!$K$230:$M$250,IF(SUMIF($AA$20:$AA$1027,$AA232,$AG$20:$AG$1027)&lt;IF($D$4="Forint",Paraméterek!$M$223,Paraméterek!$M$224),2,3))),0)</f>
        <v>0</v>
      </c>
      <c r="AJ232" s="13">
        <f ca="1">IF(AND($AA232&gt;=5,MOD($AA232,5)=0),IF($AB232=12,VLOOKUP($AA232,Paraméterek!$O$225:$P$240,2),0),IF(OR($AA232=3,$AA232=4),IF($AB232=12,VLOOKUP($AA232,Paraméterek!$O$225:$P$240,2,0),0),0))*$AG232</f>
        <v>0</v>
      </c>
      <c r="AK232" s="13">
        <f t="shared" ca="1" si="75"/>
        <v>0</v>
      </c>
      <c r="AL232" s="13">
        <f t="shared" ca="1" si="83"/>
        <v>0</v>
      </c>
      <c r="AM232" s="13">
        <f t="shared" ca="1" si="84"/>
        <v>0</v>
      </c>
      <c r="AO232" s="32">
        <v>213</v>
      </c>
      <c r="AP232" s="32">
        <v>18</v>
      </c>
      <c r="AQ232" s="32">
        <v>9</v>
      </c>
      <c r="AR232" s="13"/>
      <c r="AS232" s="32"/>
      <c r="AT232" s="13">
        <f t="shared" ca="1" si="85"/>
        <v>0</v>
      </c>
      <c r="AU232" s="33"/>
      <c r="AV232" s="13">
        <f t="shared" ca="1" si="76"/>
        <v>0</v>
      </c>
      <c r="AW232" s="13">
        <f ca="1">ROUNDUP(($AT232+$AV232)*VLOOKUP($AP232,Paraméterek!$P$38:$Q$38,2)/12*IF($D233="Nem",IF($M$13=0,1,$M$13),1),IF($D$4="Forint",0,2))</f>
        <v>0</v>
      </c>
      <c r="AX232" s="13"/>
      <c r="AY232" s="13"/>
      <c r="AZ232" s="13">
        <f>ROUNDUP(IF(SUM($AX232:$AY232)=0,0,IF(IF(ISBLANK($AY232),$AX232,$AY232)*Paraméterek!$J$112&lt;IF($D$4="Forint",Paraméterek!$J$113,Paraméterek!$K$113),IF($D$4="Forint",Paraméterek!$J$113,Paraméterek!$K$113),IF(IF(ISBLANK($AY232),$AX232,$AY232)*Paraméterek!$J$112&gt;IF($D$4="Forint",Paraméterek!$J$114,Paraméterek!$K$114),IF($D$4="Forint",Paraméterek!$J$114,Paraméterek!$K$114),IF(ISBLANK($AY232),$AX232,$AY232)*Paraméterek!$J$112))),IF($D$4="Forint",0,2))</f>
        <v>0</v>
      </c>
      <c r="BA232" s="13">
        <f ca="1">$AT232+$AV232-$AW232-IF(ROUNDDOWN(IF(ISBLANK($AY232),$AX232,$AY232),IF($D$4="Forint",0,2))&gt;$AT232+$AV232-$AW232-IF($D$4="Forint",Paraméterek!$J$114,Paraméterek!$K$114),0,ROUNDDOWN(IF(ISBLANK($AY232),$AX232,$AY232),IF($D$4="Forint",0,2))-$AZ232)</f>
        <v>0</v>
      </c>
      <c r="BB232" s="13">
        <f t="shared" ca="1" si="77"/>
        <v>0</v>
      </c>
      <c r="BD232" s="32">
        <v>213</v>
      </c>
      <c r="BE232" s="32">
        <v>18</v>
      </c>
      <c r="BF232" s="32">
        <v>9</v>
      </c>
      <c r="BG232" s="34">
        <f t="shared" ca="1" si="86"/>
        <v>2037</v>
      </c>
      <c r="BH232" s="32" t="str">
        <f ca="1">IF(MOD(MONTH($D$14)+$BD232-1,12)=Paraméterek!$C$288,"Igen","")</f>
        <v/>
      </c>
      <c r="BI232" s="13">
        <f ca="1">IF($BH232="Igen",MIN(ROUNDDOWN((SUMIF($BG$20:$BG$1027,$BG232-1,$K$20:$K$1027)-SUMIF($BG$20:$BG$1027,$BG232-1,$I$20:$I$1027))*Paraméterek!$C$289,IF($D$4="Forint",0,2)),IF($D$4="Forint",Paraméterek!$C$285,Paraméterek!$D$285)),0)</f>
        <v>0</v>
      </c>
      <c r="BJ232" s="13">
        <f t="shared" ca="1" si="78"/>
        <v>0</v>
      </c>
      <c r="BK232" s="13">
        <f t="shared" ca="1" si="87"/>
        <v>0</v>
      </c>
      <c r="BL232" s="33"/>
      <c r="BM232" s="13">
        <f t="shared" ca="1" si="79"/>
        <v>0</v>
      </c>
      <c r="BN232" s="13">
        <f ca="1">ROUNDUP(($BK232+$BM232)*VLOOKUP($BE232,Paraméterek!$P$38:$Q$38,2)/12*IF($D233="Nem",IF($M$13=0,1,$M$13),1),IF($D$4="Forint",0,2))</f>
        <v>0</v>
      </c>
      <c r="BO232" s="13">
        <f t="shared" ca="1" si="80"/>
        <v>0</v>
      </c>
      <c r="BP232" s="13">
        <f ca="1">IF($D233="Nem",$BO232,$BO232-ROUNDUP(SUM($BI$20:$BI232)*120%,IF($D$4="Forint",0,2)))</f>
        <v>0</v>
      </c>
    </row>
    <row r="233" spans="1:68" x14ac:dyDescent="0.2">
      <c r="A233" s="32">
        <v>214</v>
      </c>
      <c r="B233" s="32">
        <v>18</v>
      </c>
      <c r="C233" s="32">
        <v>10</v>
      </c>
      <c r="D233" s="32" t="str">
        <f t="shared" ca="1" si="66"/>
        <v>Nem</v>
      </c>
      <c r="E233" s="13">
        <f t="shared" ca="1" si="67"/>
        <v>0</v>
      </c>
      <c r="F233" s="13"/>
      <c r="G233" s="13"/>
      <c r="H233" s="13"/>
      <c r="I233" s="13">
        <f t="shared" ca="1" si="68"/>
        <v>0</v>
      </c>
      <c r="J233" s="13">
        <f t="shared" ca="1" si="69"/>
        <v>0</v>
      </c>
      <c r="K233" s="13">
        <f t="shared" ca="1" si="70"/>
        <v>0</v>
      </c>
      <c r="L233" s="13" t="e">
        <f ca="1">ROUNDUP(IF($D$2="Egyszeri",$E233,IF($D$2="Havi",SUM($E$20:$E$31),IF(MOD($C233,$M$1)-1=0,SUM($E$20:$E$31),0))/12*$M$1)*VLOOKUP($B233,Paraméterek!$I$28:$P$31,IF($D$2="Egyszeri",8,HLOOKUP(ROUNDUP($M$11+$M$13,0),Paraméterek!$J$26:$O$27,2))),IF($D$4="Forint",0,2))</f>
        <v>#N/A</v>
      </c>
      <c r="M233" s="13">
        <f t="shared" ca="1" si="71"/>
        <v>0</v>
      </c>
      <c r="N233" s="13">
        <f t="shared" ca="1" si="81"/>
        <v>0</v>
      </c>
      <c r="O233" s="13">
        <f ca="1">IF($D233="Igen",IF($W232&gt;=IF($D$4="Forint",Paraméterek!$J$121,Paraméterek!$K$121),0,IF($D$4="Forint",Paraméterek!$J$121,Paraméterek!$K$121)-$W232),0)</f>
        <v>0</v>
      </c>
      <c r="P233" s="13" t="e">
        <f ca="1">ROUNDUP($O233*VLOOKUP($M$4+$B233-1,Paraméterek!$H$58:$I$105,2,0)/Paraméterek!$I$56,IF($D$4="Forint",0,2))</f>
        <v>#N/A</v>
      </c>
      <c r="Q233" s="13">
        <f t="shared" ca="1" si="72"/>
        <v>0</v>
      </c>
      <c r="R233" s="33"/>
      <c r="S233" s="13" t="e">
        <f t="shared" ca="1" si="73"/>
        <v>#N/A</v>
      </c>
      <c r="T233" s="13" t="e">
        <f ca="1">ROUNDUP(($N233-$P233-$Q233+$S233)*VLOOKUP($B233,Paraméterek!$I$38:$K$39,IF($D$2="Egyszeri",3,2))/12*IF($D234="Nem",IF($M$13=0,1,$M$13),1),IF($D$4="Forint",0,2))</f>
        <v>#N/A</v>
      </c>
      <c r="U233" s="13"/>
      <c r="V233" s="13"/>
      <c r="W233" s="13" t="e">
        <f ca="1">$N233-$P233-$Q233+$S233-$T233-IF(ROUNDUP(IF(ISBLANK($V233),$U233*0,$V233)/IF($D$2="Egyszeri",VLOOKUP($B233+IF($C233=12,1,0),Paraméterek!$V$257:$W$262,2),IF($B233=1,1,VLOOKUP($B233+IF($C233=12,1,0),Paraméterek!$I$258:$T$278,HLOOKUP($M$11+1,Paraméterek!$J$256:$T$257,2)))),IF($D$4="Forint",0,2))&gt;$N233-$P233-$Q233+$S233-$T233-IF($D$4="Forint",Paraméterek!$C$216,Paraméterek!$D$216),0,ROUNDUP(IF(ISBLANK($V233),$U233*0,$V233)/IF($D$2="Egyszeri",VLOOKUP($B233+IF($C233=12,1,0),Paraméterek!$V$257:$W$262,2),IF($B233=1,1,VLOOKUP($B233+IF($C233=12,1,0),Paraméterek!$I$258:$T$278,HLOOKUP($M$11+1,Paraméterek!$J$256:$T$257,2)))),IF($D$4="Forint",0,2)))</f>
        <v>#N/A</v>
      </c>
      <c r="X233" s="13" t="e">
        <f ca="1">ROUNDDOWN($W233*IF($D$2="Egyszeri",VLOOKUP($B233+IF($C233=12,1,0),Paraméterek!$V$257:$W$262,2),VLOOKUP($B233+IF($C233=12,1,0),Paraméterek!$I$258:$T$278,HLOOKUP($M$11+1,Paraméterek!$I$256:$T$257,2))),IF($D$4="Forint",0,2))</f>
        <v>#N/A</v>
      </c>
      <c r="Z233" s="32">
        <v>214</v>
      </c>
      <c r="AA233" s="32">
        <v>18</v>
      </c>
      <c r="AB233" s="32">
        <v>10</v>
      </c>
      <c r="AC233" s="13">
        <f t="shared" ca="1" si="82"/>
        <v>0</v>
      </c>
      <c r="AD233" s="33"/>
      <c r="AE233" s="13">
        <f t="shared" ca="1" si="74"/>
        <v>0</v>
      </c>
      <c r="AF233" s="13">
        <f ca="1">ROUNDUP(($AC233+$AE233)*VLOOKUP($AA233,Paraméterek!$P$38:$Q$38,2)/12*IF($D234="Nem",IF($M$13=0,1,$M$13),1),IF($D$4="Forint",0,2))</f>
        <v>0</v>
      </c>
      <c r="AG233" s="13">
        <f ca="1">IF($D$2="Egyszeri",IF($D$7&gt;=IF($D$4="Forint",Paraméterek!$P$223,Paraméterek!$P$224),$D$7-IF($D$4="Forint",Paraméterek!$P$223,Paraméterek!$P$224),0),MIN(IF($AB233=12,AVERAGEIF($E$20:$E233,"&gt;0",$E$20:$E233)*12,0),SUM($E$20:$E$31)))</f>
        <v>0</v>
      </c>
      <c r="AH233" s="13">
        <f>IF($AA233=10,$AG233*IF($AB233=12,IF($AG233&lt;IF($D$4="Forint",Paraméterek!$L$223,Paraméterek!$L$224),0,VLOOKUP($AA233,Paraméterek!$K$226:$M$228,IF($AG233&lt;IF($D$4="Forint",Paraméterek!$M$223,Paraméterek!$M$224),2,3))),0),0)</f>
        <v>0</v>
      </c>
      <c r="AI233" s="13">
        <f ca="1">IF(AND($AA233=$M$11+1,$AB233=$M$12+1),SUMIF($AA$20:$AA$1027,$AA233,$AG$20:$AG$1027)*IF(SUMIF($AA$20:$AA$1027,$AA233,$AG$20:$AG$1027)&lt;IF($D$4="Forint",Paraméterek!$L$223,Paraméterek!$L$224),0,VLOOKUP($AA233,Paraméterek!$K$230:$M$250,IF(SUMIF($AA$20:$AA$1027,$AA233,$AG$20:$AG$1027)&lt;IF($D$4="Forint",Paraméterek!$M$223,Paraméterek!$M$224),2,3))),0)</f>
        <v>0</v>
      </c>
      <c r="AJ233" s="13">
        <f ca="1">IF(AND($AA233&gt;=5,MOD($AA233,5)=0),IF($AB233=12,VLOOKUP($AA233,Paraméterek!$O$225:$P$240,2),0),IF(OR($AA233=3,$AA233=4),IF($AB233=12,VLOOKUP($AA233,Paraméterek!$O$225:$P$240,2,0),0),0))*$AG233</f>
        <v>0</v>
      </c>
      <c r="AK233" s="13">
        <f t="shared" ca="1" si="75"/>
        <v>0</v>
      </c>
      <c r="AL233" s="13">
        <f t="shared" ca="1" si="83"/>
        <v>0</v>
      </c>
      <c r="AM233" s="13">
        <f t="shared" ca="1" si="84"/>
        <v>0</v>
      </c>
      <c r="AO233" s="32">
        <v>214</v>
      </c>
      <c r="AP233" s="32">
        <v>18</v>
      </c>
      <c r="AQ233" s="32">
        <v>10</v>
      </c>
      <c r="AR233" s="13"/>
      <c r="AS233" s="32"/>
      <c r="AT233" s="13">
        <f t="shared" ca="1" si="85"/>
        <v>0</v>
      </c>
      <c r="AU233" s="33"/>
      <c r="AV233" s="13">
        <f t="shared" ca="1" si="76"/>
        <v>0</v>
      </c>
      <c r="AW233" s="13">
        <f ca="1">ROUNDUP(($AT233+$AV233)*VLOOKUP($AP233,Paraméterek!$P$38:$Q$38,2)/12*IF($D234="Nem",IF($M$13=0,1,$M$13),1),IF($D$4="Forint",0,2))</f>
        <v>0</v>
      </c>
      <c r="AX233" s="13"/>
      <c r="AY233" s="13"/>
      <c r="AZ233" s="13">
        <f>ROUNDUP(IF(SUM($AX233:$AY233)=0,0,IF(IF(ISBLANK($AY233),$AX233,$AY233)*Paraméterek!$J$112&lt;IF($D$4="Forint",Paraméterek!$J$113,Paraméterek!$K$113),IF($D$4="Forint",Paraméterek!$J$113,Paraméterek!$K$113),IF(IF(ISBLANK($AY233),$AX233,$AY233)*Paraméterek!$J$112&gt;IF($D$4="Forint",Paraméterek!$J$114,Paraméterek!$K$114),IF($D$4="Forint",Paraméterek!$J$114,Paraméterek!$K$114),IF(ISBLANK($AY233),$AX233,$AY233)*Paraméterek!$J$112))),IF($D$4="Forint",0,2))</f>
        <v>0</v>
      </c>
      <c r="BA233" s="13">
        <f ca="1">$AT233+$AV233-$AW233-IF(ROUNDDOWN(IF(ISBLANK($AY233),$AX233,$AY233),IF($D$4="Forint",0,2))&gt;$AT233+$AV233-$AW233-IF($D$4="Forint",Paraméterek!$J$114,Paraméterek!$K$114),0,ROUNDDOWN(IF(ISBLANK($AY233),$AX233,$AY233),IF($D$4="Forint",0,2))-$AZ233)</f>
        <v>0</v>
      </c>
      <c r="BB233" s="13">
        <f t="shared" ca="1" si="77"/>
        <v>0</v>
      </c>
      <c r="BD233" s="32">
        <v>214</v>
      </c>
      <c r="BE233" s="32">
        <v>18</v>
      </c>
      <c r="BF233" s="32">
        <v>10</v>
      </c>
      <c r="BG233" s="34">
        <f t="shared" ca="1" si="86"/>
        <v>2037</v>
      </c>
      <c r="BH233" s="32" t="str">
        <f ca="1">IF(MOD(MONTH($D$14)+$BD233-1,12)=Paraméterek!$C$288,"Igen","")</f>
        <v/>
      </c>
      <c r="BI233" s="13">
        <f ca="1">IF($BH233="Igen",MIN(ROUNDDOWN((SUMIF($BG$20:$BG$1027,$BG233-1,$K$20:$K$1027)-SUMIF($BG$20:$BG$1027,$BG233-1,$I$20:$I$1027))*Paraméterek!$C$289,IF($D$4="Forint",0,2)),IF($D$4="Forint",Paraméterek!$C$285,Paraméterek!$D$285)),0)</f>
        <v>0</v>
      </c>
      <c r="BJ233" s="13">
        <f t="shared" ca="1" si="78"/>
        <v>0</v>
      </c>
      <c r="BK233" s="13">
        <f t="shared" ca="1" si="87"/>
        <v>0</v>
      </c>
      <c r="BL233" s="33"/>
      <c r="BM233" s="13">
        <f t="shared" ca="1" si="79"/>
        <v>0</v>
      </c>
      <c r="BN233" s="13">
        <f ca="1">ROUNDUP(($BK233+$BM233)*VLOOKUP($BE233,Paraméterek!$P$38:$Q$38,2)/12*IF($D234="Nem",IF($M$13=0,1,$M$13),1),IF($D$4="Forint",0,2))</f>
        <v>0</v>
      </c>
      <c r="BO233" s="13">
        <f t="shared" ca="1" si="80"/>
        <v>0</v>
      </c>
      <c r="BP233" s="13">
        <f ca="1">IF($D234="Nem",$BO233,$BO233-ROUNDUP(SUM($BI$20:$BI233)*120%,IF($D$4="Forint",0,2)))</f>
        <v>0</v>
      </c>
    </row>
    <row r="234" spans="1:68" x14ac:dyDescent="0.2">
      <c r="A234" s="32">
        <v>215</v>
      </c>
      <c r="B234" s="32">
        <v>18</v>
      </c>
      <c r="C234" s="32">
        <v>11</v>
      </c>
      <c r="D234" s="32" t="str">
        <f t="shared" ca="1" si="66"/>
        <v>Nem</v>
      </c>
      <c r="E234" s="13">
        <f t="shared" ca="1" si="67"/>
        <v>0</v>
      </c>
      <c r="F234" s="13"/>
      <c r="G234" s="13"/>
      <c r="H234" s="13"/>
      <c r="I234" s="13">
        <f t="shared" ca="1" si="68"/>
        <v>0</v>
      </c>
      <c r="J234" s="13">
        <f t="shared" ca="1" si="69"/>
        <v>0</v>
      </c>
      <c r="K234" s="13">
        <f t="shared" ca="1" si="70"/>
        <v>0</v>
      </c>
      <c r="L234" s="13" t="e">
        <f ca="1">ROUNDUP(IF($D$2="Egyszeri",$E234,IF($D$2="Havi",SUM($E$20:$E$31),IF(MOD($C234,$M$1)-1=0,SUM($E$20:$E$31),0))/12*$M$1)*VLOOKUP($B234,Paraméterek!$I$28:$P$31,IF($D$2="Egyszeri",8,HLOOKUP(ROUNDUP($M$11+$M$13,0),Paraméterek!$J$26:$O$27,2))),IF($D$4="Forint",0,2))</f>
        <v>#N/A</v>
      </c>
      <c r="M234" s="13">
        <f t="shared" ca="1" si="71"/>
        <v>0</v>
      </c>
      <c r="N234" s="13">
        <f t="shared" ca="1" si="81"/>
        <v>0</v>
      </c>
      <c r="O234" s="13">
        <f ca="1">IF($D234="Igen",IF($W233&gt;=IF($D$4="Forint",Paraméterek!$J$121,Paraméterek!$K$121),0,IF($D$4="Forint",Paraméterek!$J$121,Paraméterek!$K$121)-$W233),0)</f>
        <v>0</v>
      </c>
      <c r="P234" s="13" t="e">
        <f ca="1">ROUNDUP($O234*VLOOKUP($M$4+$B234-1,Paraméterek!$H$58:$I$105,2,0)/Paraméterek!$I$56,IF($D$4="Forint",0,2))</f>
        <v>#N/A</v>
      </c>
      <c r="Q234" s="13">
        <f t="shared" ca="1" si="72"/>
        <v>0</v>
      </c>
      <c r="R234" s="33"/>
      <c r="S234" s="13" t="e">
        <f t="shared" ca="1" si="73"/>
        <v>#N/A</v>
      </c>
      <c r="T234" s="13" t="e">
        <f ca="1">ROUNDUP(($N234-$P234-$Q234+$S234)*VLOOKUP($B234,Paraméterek!$I$38:$K$39,IF($D$2="Egyszeri",3,2))/12*IF($D235="Nem",IF($M$13=0,1,$M$13),1),IF($D$4="Forint",0,2))</f>
        <v>#N/A</v>
      </c>
      <c r="U234" s="13"/>
      <c r="V234" s="13"/>
      <c r="W234" s="13" t="e">
        <f ca="1">$N234-$P234-$Q234+$S234-$T234-IF(ROUNDUP(IF(ISBLANK($V234),$U234*0,$V234)/IF($D$2="Egyszeri",VLOOKUP($B234+IF($C234=12,1,0),Paraméterek!$V$257:$W$262,2),IF($B234=1,1,VLOOKUP($B234+IF($C234=12,1,0),Paraméterek!$I$258:$T$278,HLOOKUP($M$11+1,Paraméterek!$J$256:$T$257,2)))),IF($D$4="Forint",0,2))&gt;$N234-$P234-$Q234+$S234-$T234-IF($D$4="Forint",Paraméterek!$C$216,Paraméterek!$D$216),0,ROUNDUP(IF(ISBLANK($V234),$U234*0,$V234)/IF($D$2="Egyszeri",VLOOKUP($B234+IF($C234=12,1,0),Paraméterek!$V$257:$W$262,2),IF($B234=1,1,VLOOKUP($B234+IF($C234=12,1,0),Paraméterek!$I$258:$T$278,HLOOKUP($M$11+1,Paraméterek!$J$256:$T$257,2)))),IF($D$4="Forint",0,2)))</f>
        <v>#N/A</v>
      </c>
      <c r="X234" s="13" t="e">
        <f ca="1">ROUNDDOWN($W234*IF($D$2="Egyszeri",VLOOKUP($B234+IF($C234=12,1,0),Paraméterek!$V$257:$W$262,2),VLOOKUP($B234+IF($C234=12,1,0),Paraméterek!$I$258:$T$278,HLOOKUP($M$11+1,Paraméterek!$I$256:$T$257,2))),IF($D$4="Forint",0,2))</f>
        <v>#N/A</v>
      </c>
      <c r="Z234" s="32">
        <v>215</v>
      </c>
      <c r="AA234" s="32">
        <v>18</v>
      </c>
      <c r="AB234" s="32">
        <v>11</v>
      </c>
      <c r="AC234" s="13">
        <f t="shared" ca="1" si="82"/>
        <v>0</v>
      </c>
      <c r="AD234" s="33"/>
      <c r="AE234" s="13">
        <f t="shared" ca="1" si="74"/>
        <v>0</v>
      </c>
      <c r="AF234" s="13">
        <f ca="1">ROUNDUP(($AC234+$AE234)*VLOOKUP($AA234,Paraméterek!$P$38:$Q$38,2)/12*IF($D235="Nem",IF($M$13=0,1,$M$13),1),IF($D$4="Forint",0,2))</f>
        <v>0</v>
      </c>
      <c r="AG234" s="13">
        <f ca="1">IF($D$2="Egyszeri",IF($D$7&gt;=IF($D$4="Forint",Paraméterek!$P$223,Paraméterek!$P$224),$D$7-IF($D$4="Forint",Paraméterek!$P$223,Paraméterek!$P$224),0),MIN(IF($AB234=12,AVERAGEIF($E$20:$E234,"&gt;0",$E$20:$E234)*12,0),SUM($E$20:$E$31)))</f>
        <v>0</v>
      </c>
      <c r="AH234" s="13">
        <f>IF($AA234=10,$AG234*IF($AB234=12,IF($AG234&lt;IF($D$4="Forint",Paraméterek!$L$223,Paraméterek!$L$224),0,VLOOKUP($AA234,Paraméterek!$K$226:$M$228,IF($AG234&lt;IF($D$4="Forint",Paraméterek!$M$223,Paraméterek!$M$224),2,3))),0),0)</f>
        <v>0</v>
      </c>
      <c r="AI234" s="13">
        <f ca="1">IF(AND($AA234=$M$11+1,$AB234=$M$12+1),SUMIF($AA$20:$AA$1027,$AA234,$AG$20:$AG$1027)*IF(SUMIF($AA$20:$AA$1027,$AA234,$AG$20:$AG$1027)&lt;IF($D$4="Forint",Paraméterek!$L$223,Paraméterek!$L$224),0,VLOOKUP($AA234,Paraméterek!$K$230:$M$250,IF(SUMIF($AA$20:$AA$1027,$AA234,$AG$20:$AG$1027)&lt;IF($D$4="Forint",Paraméterek!$M$223,Paraméterek!$M$224),2,3))),0)</f>
        <v>0</v>
      </c>
      <c r="AJ234" s="13">
        <f ca="1">IF(AND($AA234&gt;=5,MOD($AA234,5)=0),IF($AB234=12,VLOOKUP($AA234,Paraméterek!$O$225:$P$240,2),0),IF(OR($AA234=3,$AA234=4),IF($AB234=12,VLOOKUP($AA234,Paraméterek!$O$225:$P$240,2,0),0),0))*$AG234</f>
        <v>0</v>
      </c>
      <c r="AK234" s="13">
        <f t="shared" ca="1" si="75"/>
        <v>0</v>
      </c>
      <c r="AL234" s="13">
        <f t="shared" ca="1" si="83"/>
        <v>0</v>
      </c>
      <c r="AM234" s="13">
        <f t="shared" ca="1" si="84"/>
        <v>0</v>
      </c>
      <c r="AO234" s="32">
        <v>215</v>
      </c>
      <c r="AP234" s="32">
        <v>18</v>
      </c>
      <c r="AQ234" s="32">
        <v>11</v>
      </c>
      <c r="AR234" s="13"/>
      <c r="AS234" s="32"/>
      <c r="AT234" s="13">
        <f t="shared" ca="1" si="85"/>
        <v>0</v>
      </c>
      <c r="AU234" s="33"/>
      <c r="AV234" s="13">
        <f t="shared" ca="1" si="76"/>
        <v>0</v>
      </c>
      <c r="AW234" s="13">
        <f ca="1">ROUNDUP(($AT234+$AV234)*VLOOKUP($AP234,Paraméterek!$P$38:$Q$38,2)/12*IF($D235="Nem",IF($M$13=0,1,$M$13),1),IF($D$4="Forint",0,2))</f>
        <v>0</v>
      </c>
      <c r="AX234" s="13"/>
      <c r="AY234" s="13"/>
      <c r="AZ234" s="13">
        <f>ROUNDUP(IF(SUM($AX234:$AY234)=0,0,IF(IF(ISBLANK($AY234),$AX234,$AY234)*Paraméterek!$J$112&lt;IF($D$4="Forint",Paraméterek!$J$113,Paraméterek!$K$113),IF($D$4="Forint",Paraméterek!$J$113,Paraméterek!$K$113),IF(IF(ISBLANK($AY234),$AX234,$AY234)*Paraméterek!$J$112&gt;IF($D$4="Forint",Paraméterek!$J$114,Paraméterek!$K$114),IF($D$4="Forint",Paraméterek!$J$114,Paraméterek!$K$114),IF(ISBLANK($AY234),$AX234,$AY234)*Paraméterek!$J$112))),IF($D$4="Forint",0,2))</f>
        <v>0</v>
      </c>
      <c r="BA234" s="13">
        <f ca="1">$AT234+$AV234-$AW234-IF(ROUNDDOWN(IF(ISBLANK($AY234),$AX234,$AY234),IF($D$4="Forint",0,2))&gt;$AT234+$AV234-$AW234-IF($D$4="Forint",Paraméterek!$J$114,Paraméterek!$K$114),0,ROUNDDOWN(IF(ISBLANK($AY234),$AX234,$AY234),IF($D$4="Forint",0,2))-$AZ234)</f>
        <v>0</v>
      </c>
      <c r="BB234" s="13">
        <f t="shared" ca="1" si="77"/>
        <v>0</v>
      </c>
      <c r="BD234" s="32">
        <v>215</v>
      </c>
      <c r="BE234" s="32">
        <v>18</v>
      </c>
      <c r="BF234" s="32">
        <v>11</v>
      </c>
      <c r="BG234" s="34">
        <f t="shared" ca="1" si="86"/>
        <v>2037</v>
      </c>
      <c r="BH234" s="32" t="str">
        <f ca="1">IF(MOD(MONTH($D$14)+$BD234-1,12)=Paraméterek!$C$288,"Igen","")</f>
        <v/>
      </c>
      <c r="BI234" s="13">
        <f ca="1">IF($BH234="Igen",MIN(ROUNDDOWN((SUMIF($BG$20:$BG$1027,$BG234-1,$K$20:$K$1027)-SUMIF($BG$20:$BG$1027,$BG234-1,$I$20:$I$1027))*Paraméterek!$C$289,IF($D$4="Forint",0,2)),IF($D$4="Forint",Paraméterek!$C$285,Paraméterek!$D$285)),0)</f>
        <v>0</v>
      </c>
      <c r="BJ234" s="13">
        <f t="shared" ca="1" si="78"/>
        <v>0</v>
      </c>
      <c r="BK234" s="13">
        <f t="shared" ca="1" si="87"/>
        <v>0</v>
      </c>
      <c r="BL234" s="33"/>
      <c r="BM234" s="13">
        <f t="shared" ca="1" si="79"/>
        <v>0</v>
      </c>
      <c r="BN234" s="13">
        <f ca="1">ROUNDUP(($BK234+$BM234)*VLOOKUP($BE234,Paraméterek!$P$38:$Q$38,2)/12*IF($D235="Nem",IF($M$13=0,1,$M$13),1),IF($D$4="Forint",0,2))</f>
        <v>0</v>
      </c>
      <c r="BO234" s="13">
        <f t="shared" ca="1" si="80"/>
        <v>0</v>
      </c>
      <c r="BP234" s="13">
        <f ca="1">IF($D235="Nem",$BO234,$BO234-ROUNDUP(SUM($BI$20:$BI234)*120%,IF($D$4="Forint",0,2)))</f>
        <v>0</v>
      </c>
    </row>
    <row r="235" spans="1:68" x14ac:dyDescent="0.2">
      <c r="A235" s="32">
        <v>216</v>
      </c>
      <c r="B235" s="32">
        <v>18</v>
      </c>
      <c r="C235" s="32">
        <v>12</v>
      </c>
      <c r="D235" s="32" t="str">
        <f t="shared" ca="1" si="66"/>
        <v>Nem</v>
      </c>
      <c r="E235" s="13">
        <f t="shared" ca="1" si="67"/>
        <v>0</v>
      </c>
      <c r="F235" s="13"/>
      <c r="G235" s="13"/>
      <c r="H235" s="13"/>
      <c r="I235" s="13">
        <f t="shared" ca="1" si="68"/>
        <v>0</v>
      </c>
      <c r="J235" s="13">
        <f t="shared" ca="1" si="69"/>
        <v>0</v>
      </c>
      <c r="K235" s="13">
        <f t="shared" ca="1" si="70"/>
        <v>0</v>
      </c>
      <c r="L235" s="13" t="e">
        <f ca="1">ROUNDUP(IF($D$2="Egyszeri",$E235,IF($D$2="Havi",SUM($E$20:$E$31),IF(MOD($C235,$M$1)-1=0,SUM($E$20:$E$31),0))/12*$M$1)*VLOOKUP($B235,Paraméterek!$I$28:$P$31,IF($D$2="Egyszeri",8,HLOOKUP(ROUNDUP($M$11+$M$13,0),Paraméterek!$J$26:$O$27,2))),IF($D$4="Forint",0,2))</f>
        <v>#N/A</v>
      </c>
      <c r="M235" s="13">
        <f t="shared" ca="1" si="71"/>
        <v>0</v>
      </c>
      <c r="N235" s="13">
        <f t="shared" ca="1" si="81"/>
        <v>0</v>
      </c>
      <c r="O235" s="13">
        <f ca="1">IF($D235="Igen",IF($W234&gt;=IF($D$4="Forint",Paraméterek!$J$121,Paraméterek!$K$121),0,IF($D$4="Forint",Paraméterek!$J$121,Paraméterek!$K$121)-$W234),0)</f>
        <v>0</v>
      </c>
      <c r="P235" s="13" t="e">
        <f ca="1">ROUNDUP($O235*VLOOKUP($M$4+$B235-1,Paraméterek!$H$58:$I$105,2,0)/Paraméterek!$I$56,IF($D$4="Forint",0,2))</f>
        <v>#N/A</v>
      </c>
      <c r="Q235" s="13">
        <f t="shared" ca="1" si="72"/>
        <v>0</v>
      </c>
      <c r="R235" s="33"/>
      <c r="S235" s="13" t="e">
        <f t="shared" ca="1" si="73"/>
        <v>#N/A</v>
      </c>
      <c r="T235" s="13" t="e">
        <f ca="1">ROUNDUP(($N235-$P235-$Q235+$S235)*VLOOKUP($B235,Paraméterek!$I$38:$K$39,IF($D$2="Egyszeri",3,2))/12*IF($D236="Nem",IF($M$13=0,1,$M$13),1),IF($D$4="Forint",0,2))</f>
        <v>#N/A</v>
      </c>
      <c r="U235" s="13">
        <f>Tranzakciók!$F$49</f>
        <v>0</v>
      </c>
      <c r="V235" s="13"/>
      <c r="W235" s="13" t="e">
        <f ca="1">$N235-$P235-$Q235+$S235-$T235-IF(ROUNDUP(IF(ISBLANK($V235),$U235*0,$V235)/IF($D$2="Egyszeri",VLOOKUP($B235+IF($C235=12,1,0),Paraméterek!$V$257:$W$262,2),IF($B235=1,1,VLOOKUP($B235+IF($C235=12,1,0),Paraméterek!$I$258:$T$278,HLOOKUP($M$11+1,Paraméterek!$J$256:$T$257,2)))),IF($D$4="Forint",0,2))&gt;$N235-$P235-$Q235+$S235-$T235-IF($D$4="Forint",Paraméterek!$C$216,Paraméterek!$D$216),0,ROUNDUP(IF(ISBLANK($V235),$U235*0,$V235)/IF($D$2="Egyszeri",VLOOKUP($B235+IF($C235=12,1,0),Paraméterek!$V$257:$W$262,2),IF($B235=1,1,VLOOKUP($B235+IF($C235=12,1,0),Paraméterek!$I$258:$T$278,HLOOKUP($M$11+1,Paraméterek!$J$256:$T$257,2)))),IF($D$4="Forint",0,2)))</f>
        <v>#N/A</v>
      </c>
      <c r="X235" s="13" t="e">
        <f ca="1">ROUNDDOWN($W235*IF($D$2="Egyszeri",VLOOKUP($B235+IF($C235=12,1,0),Paraméterek!$V$257:$W$262,2),VLOOKUP($B235+IF($C235=12,1,0),Paraméterek!$I$258:$T$278,HLOOKUP($M$11+1,Paraméterek!$I$256:$T$257,2))),IF($D$4="Forint",0,2))</f>
        <v>#N/A</v>
      </c>
      <c r="Z235" s="32">
        <v>216</v>
      </c>
      <c r="AA235" s="32">
        <v>18</v>
      </c>
      <c r="AB235" s="32">
        <v>12</v>
      </c>
      <c r="AC235" s="13">
        <f t="shared" ca="1" si="82"/>
        <v>0</v>
      </c>
      <c r="AD235" s="33"/>
      <c r="AE235" s="13">
        <f t="shared" ca="1" si="74"/>
        <v>0</v>
      </c>
      <c r="AF235" s="13">
        <f ca="1">ROUNDUP(($AC235+$AE235)*VLOOKUP($AA235,Paraméterek!$P$38:$Q$38,2)/12*IF($D236="Nem",IF($M$13=0,1,$M$13),1),IF($D$4="Forint",0,2))</f>
        <v>0</v>
      </c>
      <c r="AG235" s="13" t="e">
        <f ca="1">IF($D$2="Egyszeri",IF($D$7&gt;=IF($D$4="Forint",Paraméterek!$P$223,Paraméterek!$P$224),$D$7-IF($D$4="Forint",Paraméterek!$P$223,Paraméterek!$P$224),0),MIN(IF($AB235=12,AVERAGEIF($E$20:$E235,"&gt;0",$E$20:$E235)*12,0),SUM($E$20:$E$31)))</f>
        <v>#DIV/0!</v>
      </c>
      <c r="AH235" s="13">
        <f>IF($AA235=10,$AG235*IF($AB235=12,IF($AG235&lt;IF($D$4="Forint",Paraméterek!$L$223,Paraméterek!$L$224),0,VLOOKUP($AA235,Paraméterek!$K$226:$M$228,IF($AG235&lt;IF($D$4="Forint",Paraméterek!$M$223,Paraméterek!$M$224),2,3))),0),0)</f>
        <v>0</v>
      </c>
      <c r="AI235" s="13">
        <f ca="1">IF(AND($AA235=$M$11+1,$AB235=$M$12+1),SUMIF($AA$20:$AA$1027,$AA235,$AG$20:$AG$1027)*IF(SUMIF($AA$20:$AA$1027,$AA235,$AG$20:$AG$1027)&lt;IF($D$4="Forint",Paraméterek!$L$223,Paraméterek!$L$224),0,VLOOKUP($AA235,Paraméterek!$K$230:$M$250,IF(SUMIF($AA$20:$AA$1027,$AA235,$AG$20:$AG$1027)&lt;IF($D$4="Forint",Paraméterek!$M$223,Paraméterek!$M$224),2,3))),0)</f>
        <v>0</v>
      </c>
      <c r="AJ235" s="13" t="e">
        <f ca="1">IF(AND($AA235&gt;=5,MOD($AA235,5)=0),IF($AB235=12,VLOOKUP($AA235,Paraméterek!$O$225:$P$240,2),0),IF(OR($AA235=3,$AA235=4),IF($AB235=12,VLOOKUP($AA235,Paraméterek!$O$225:$P$240,2,0),0),0))*$AG235</f>
        <v>#DIV/0!</v>
      </c>
      <c r="AK235" s="13">
        <f t="shared" ca="1" si="75"/>
        <v>0</v>
      </c>
      <c r="AL235" s="13">
        <f t="shared" ca="1" si="83"/>
        <v>0</v>
      </c>
      <c r="AM235" s="13">
        <f t="shared" ca="1" si="84"/>
        <v>0</v>
      </c>
      <c r="AO235" s="32">
        <v>216</v>
      </c>
      <c r="AP235" s="32">
        <v>18</v>
      </c>
      <c r="AQ235" s="32">
        <v>12</v>
      </c>
      <c r="AR235" s="13"/>
      <c r="AS235" s="32"/>
      <c r="AT235" s="13">
        <f t="shared" ca="1" si="85"/>
        <v>0</v>
      </c>
      <c r="AU235" s="33"/>
      <c r="AV235" s="13">
        <f t="shared" ca="1" si="76"/>
        <v>0</v>
      </c>
      <c r="AW235" s="13">
        <f ca="1">ROUNDUP(($AT235+$AV235)*VLOOKUP($AP235,Paraméterek!$P$38:$Q$38,2)/12*IF($D236="Nem",IF($M$13=0,1,$M$13),1),IF($D$4="Forint",0,2))</f>
        <v>0</v>
      </c>
      <c r="AX235" s="13">
        <f>Tranzakciók!$M$49</f>
        <v>0</v>
      </c>
      <c r="AY235" s="13"/>
      <c r="AZ235" s="13">
        <f>ROUNDUP(IF(SUM($AX235:$AY235)=0,0,IF(IF(ISBLANK($AY235),$AX235,$AY235)*Paraméterek!$J$112&lt;IF($D$4="Forint",Paraméterek!$J$113,Paraméterek!$K$113),IF($D$4="Forint",Paraméterek!$J$113,Paraméterek!$K$113),IF(IF(ISBLANK($AY235),$AX235,$AY235)*Paraméterek!$J$112&gt;IF($D$4="Forint",Paraméterek!$J$114,Paraméterek!$K$114),IF($D$4="Forint",Paraméterek!$J$114,Paraméterek!$K$114),IF(ISBLANK($AY235),$AX235,$AY235)*Paraméterek!$J$112))),IF($D$4="Forint",0,2))</f>
        <v>0</v>
      </c>
      <c r="BA235" s="13">
        <f ca="1">$AT235+$AV235-$AW235-IF(ROUNDDOWN(IF(ISBLANK($AY235),$AX235,$AY235),IF($D$4="Forint",0,2))&gt;$AT235+$AV235-$AW235-IF($D$4="Forint",Paraméterek!$J$114,Paraméterek!$K$114),0,ROUNDDOWN(IF(ISBLANK($AY235),$AX235,$AY235),IF($D$4="Forint",0,2))-$AZ235)</f>
        <v>0</v>
      </c>
      <c r="BB235" s="13">
        <f t="shared" ca="1" si="77"/>
        <v>0</v>
      </c>
      <c r="BD235" s="32">
        <v>216</v>
      </c>
      <c r="BE235" s="32">
        <v>18</v>
      </c>
      <c r="BF235" s="32">
        <v>12</v>
      </c>
      <c r="BG235" s="34">
        <f t="shared" ca="1" si="86"/>
        <v>2037</v>
      </c>
      <c r="BH235" s="32" t="str">
        <f ca="1">IF(MOD(MONTH($D$14)+$BD235-1,12)=Paraméterek!$C$288,"Igen","")</f>
        <v/>
      </c>
      <c r="BI235" s="13">
        <f ca="1">IF($BH235="Igen",MIN(ROUNDDOWN((SUMIF($BG$20:$BG$1027,$BG235-1,$K$20:$K$1027)-SUMIF($BG$20:$BG$1027,$BG235-1,$I$20:$I$1027))*Paraméterek!$C$289,IF($D$4="Forint",0,2)),IF($D$4="Forint",Paraméterek!$C$285,Paraméterek!$D$285)),0)</f>
        <v>0</v>
      </c>
      <c r="BJ235" s="13">
        <f t="shared" ca="1" si="78"/>
        <v>0</v>
      </c>
      <c r="BK235" s="13">
        <f t="shared" ca="1" si="87"/>
        <v>0</v>
      </c>
      <c r="BL235" s="33"/>
      <c r="BM235" s="13">
        <f t="shared" ca="1" si="79"/>
        <v>0</v>
      </c>
      <c r="BN235" s="13">
        <f ca="1">ROUNDUP(($BK235+$BM235)*VLOOKUP($BE235,Paraméterek!$P$38:$Q$38,2)/12*IF($D236="Nem",IF($M$13=0,1,$M$13),1),IF($D$4="Forint",0,2))</f>
        <v>0</v>
      </c>
      <c r="BO235" s="13">
        <f t="shared" ca="1" si="80"/>
        <v>0</v>
      </c>
      <c r="BP235" s="13">
        <f ca="1">IF($D236="Nem",$BO235,$BO235-ROUNDUP(SUM($BI$20:$BI235)*120%,IF($D$4="Forint",0,2)))</f>
        <v>0</v>
      </c>
    </row>
    <row r="236" spans="1:68" x14ac:dyDescent="0.2">
      <c r="A236" s="32">
        <v>217</v>
      </c>
      <c r="B236" s="32">
        <v>19</v>
      </c>
      <c r="C236" s="32">
        <v>1</v>
      </c>
      <c r="D236" s="32" t="str">
        <f t="shared" ca="1" si="66"/>
        <v>Nem</v>
      </c>
      <c r="E236" s="13">
        <f t="shared" ca="1" si="67"/>
        <v>0</v>
      </c>
      <c r="F236" s="13"/>
      <c r="G236" s="13">
        <f>Tranzakciók!$D$50</f>
        <v>0</v>
      </c>
      <c r="H236" s="13"/>
      <c r="I236" s="13">
        <f t="shared" ca="1" si="68"/>
        <v>0</v>
      </c>
      <c r="J236" s="13">
        <f t="shared" ca="1" si="69"/>
        <v>0</v>
      </c>
      <c r="K236" s="13">
        <f t="shared" ca="1" si="70"/>
        <v>0</v>
      </c>
      <c r="L236" s="13" t="e">
        <f ca="1">ROUNDUP(IF($D$2="Egyszeri",$E236,IF($D$2="Havi",SUM($E$20:$E$31),IF(MOD($C236,$M$1)-1=0,SUM($E$20:$E$31),0))/12*$M$1)*VLOOKUP($B236,Paraméterek!$I$28:$P$31,IF($D$2="Egyszeri",8,HLOOKUP(ROUNDUP($M$11+$M$13,0),Paraméterek!$J$26:$O$27,2))),IF($D$4="Forint",0,2))</f>
        <v>#N/A</v>
      </c>
      <c r="M236" s="13">
        <f t="shared" ca="1" si="71"/>
        <v>0</v>
      </c>
      <c r="N236" s="13">
        <f t="shared" ca="1" si="81"/>
        <v>0</v>
      </c>
      <c r="O236" s="13">
        <f ca="1">IF($D236="Igen",IF($W235&gt;=IF($D$4="Forint",Paraméterek!$J$121,Paraméterek!$K$121),0,IF($D$4="Forint",Paraméterek!$J$121,Paraméterek!$K$121)-$W235),0)</f>
        <v>0</v>
      </c>
      <c r="P236" s="13" t="e">
        <f ca="1">ROUNDUP($O236*VLOOKUP($M$4+$B236-1,Paraméterek!$H$58:$I$105,2,0)/Paraméterek!$I$56,IF($D$4="Forint",0,2))</f>
        <v>#N/A</v>
      </c>
      <c r="Q236" s="13">
        <f t="shared" ca="1" si="72"/>
        <v>0</v>
      </c>
      <c r="R236" s="33"/>
      <c r="S236" s="13" t="e">
        <f t="shared" ca="1" si="73"/>
        <v>#N/A</v>
      </c>
      <c r="T236" s="13" t="e">
        <f ca="1">ROUNDUP(($N236-$P236-$Q236+$S236)*VLOOKUP($B236,Paraméterek!$I$38:$K$39,IF($D$2="Egyszeri",3,2))/12*IF($D237="Nem",IF($M$13=0,1,$M$13),1),IF($D$4="Forint",0,2))</f>
        <v>#N/A</v>
      </c>
      <c r="U236" s="13"/>
      <c r="V236" s="13"/>
      <c r="W236" s="13" t="e">
        <f ca="1">$N236-$P236-$Q236+$S236-$T236-IF(ROUNDUP(IF(ISBLANK($V236),$U236*0,$V236)/IF($D$2="Egyszeri",VLOOKUP($B236+IF($C236=12,1,0),Paraméterek!$V$257:$W$262,2),IF($B236=1,1,VLOOKUP($B236+IF($C236=12,1,0),Paraméterek!$I$258:$T$278,HLOOKUP($M$11+1,Paraméterek!$J$256:$T$257,2)))),IF($D$4="Forint",0,2))&gt;$N236-$P236-$Q236+$S236-$T236-IF($D$4="Forint",Paraméterek!$C$216,Paraméterek!$D$216),0,ROUNDUP(IF(ISBLANK($V236),$U236*0,$V236)/IF($D$2="Egyszeri",VLOOKUP($B236+IF($C236=12,1,0),Paraméterek!$V$257:$W$262,2),IF($B236=1,1,VLOOKUP($B236+IF($C236=12,1,0),Paraméterek!$I$258:$T$278,HLOOKUP($M$11+1,Paraméterek!$J$256:$T$257,2)))),IF($D$4="Forint",0,2)))</f>
        <v>#N/A</v>
      </c>
      <c r="X236" s="13" t="e">
        <f ca="1">ROUNDDOWN($W236*IF($D$2="Egyszeri",VLOOKUP($B236+IF($C236=12,1,0),Paraméterek!$V$257:$W$262,2),VLOOKUP($B236+IF($C236=12,1,0),Paraméterek!$I$258:$T$278,HLOOKUP($M$11+1,Paraméterek!$I$256:$T$257,2))),IF($D$4="Forint",0,2))</f>
        <v>#N/A</v>
      </c>
      <c r="Z236" s="32">
        <v>217</v>
      </c>
      <c r="AA236" s="32">
        <v>19</v>
      </c>
      <c r="AB236" s="32">
        <v>1</v>
      </c>
      <c r="AC236" s="13">
        <f t="shared" ca="1" si="82"/>
        <v>0</v>
      </c>
      <c r="AD236" s="33"/>
      <c r="AE236" s="13">
        <f t="shared" ca="1" si="74"/>
        <v>0</v>
      </c>
      <c r="AF236" s="13">
        <f ca="1">ROUNDUP(($AC236+$AE236)*VLOOKUP($AA236,Paraméterek!$P$38:$Q$38,2)/12*IF($D237="Nem",IF($M$13=0,1,$M$13),1),IF($D$4="Forint",0,2))</f>
        <v>0</v>
      </c>
      <c r="AG236" s="13">
        <f ca="1">IF($D$2="Egyszeri",IF($D$7&gt;=IF($D$4="Forint",Paraméterek!$P$223,Paraméterek!$P$224),$D$7-IF($D$4="Forint",Paraméterek!$P$223,Paraméterek!$P$224),0),MIN(IF($AB236=12,AVERAGEIF($E$20:$E236,"&gt;0",$E$20:$E236)*12,0),SUM($E$20:$E$31)))</f>
        <v>0</v>
      </c>
      <c r="AH236" s="13">
        <f>IF($AA236=10,$AG236*IF($AB236=12,IF($AG236&lt;IF($D$4="Forint",Paraméterek!$L$223,Paraméterek!$L$224),0,VLOOKUP($AA236,Paraméterek!$K$226:$M$228,IF($AG236&lt;IF($D$4="Forint",Paraméterek!$M$223,Paraméterek!$M$224),2,3))),0),0)</f>
        <v>0</v>
      </c>
      <c r="AI236" s="13">
        <f ca="1">IF(AND($AA236=$M$11+1,$AB236=$M$12+1),SUMIF($AA$20:$AA$1027,$AA236,$AG$20:$AG$1027)*IF(SUMIF($AA$20:$AA$1027,$AA236,$AG$20:$AG$1027)&lt;IF($D$4="Forint",Paraméterek!$L$223,Paraméterek!$L$224),0,VLOOKUP($AA236,Paraméterek!$K$230:$M$250,IF(SUMIF($AA$20:$AA$1027,$AA236,$AG$20:$AG$1027)&lt;IF($D$4="Forint",Paraméterek!$M$223,Paraméterek!$M$224),2,3))),0)</f>
        <v>0</v>
      </c>
      <c r="AJ236" s="13">
        <f ca="1">IF(AND($AA236&gt;=5,MOD($AA236,5)=0),IF($AB236=12,VLOOKUP($AA236,Paraméterek!$O$225:$P$240,2),0),IF(OR($AA236=3,$AA236=4),IF($AB236=12,VLOOKUP($AA236,Paraméterek!$O$225:$P$240,2,0),0),0))*$AG236</f>
        <v>0</v>
      </c>
      <c r="AK236" s="13">
        <f t="shared" ca="1" si="75"/>
        <v>0</v>
      </c>
      <c r="AL236" s="13">
        <f t="shared" ca="1" si="83"/>
        <v>0</v>
      </c>
      <c r="AM236" s="13">
        <f t="shared" ca="1" si="84"/>
        <v>0</v>
      </c>
      <c r="AO236" s="32">
        <v>217</v>
      </c>
      <c r="AP236" s="32">
        <v>19</v>
      </c>
      <c r="AQ236" s="32">
        <v>1</v>
      </c>
      <c r="AR236" s="13">
        <f>Tranzakciók!$K$50</f>
        <v>0</v>
      </c>
      <c r="AS236" s="32"/>
      <c r="AT236" s="13">
        <f t="shared" ca="1" si="85"/>
        <v>0</v>
      </c>
      <c r="AU236" s="33"/>
      <c r="AV236" s="13">
        <f t="shared" ca="1" si="76"/>
        <v>0</v>
      </c>
      <c r="AW236" s="13">
        <f ca="1">ROUNDUP(($AT236+$AV236)*VLOOKUP($AP236,Paraméterek!$P$38:$Q$38,2)/12*IF($D237="Nem",IF($M$13=0,1,$M$13),1),IF($D$4="Forint",0,2))</f>
        <v>0</v>
      </c>
      <c r="AX236" s="13"/>
      <c r="AY236" s="13"/>
      <c r="AZ236" s="13">
        <f>ROUNDUP(IF(SUM($AX236:$AY236)=0,0,IF(IF(ISBLANK($AY236),$AX236,$AY236)*Paraméterek!$J$112&lt;IF($D$4="Forint",Paraméterek!$J$113,Paraméterek!$K$113),IF($D$4="Forint",Paraméterek!$J$113,Paraméterek!$K$113),IF(IF(ISBLANK($AY236),$AX236,$AY236)*Paraméterek!$J$112&gt;IF($D$4="Forint",Paraméterek!$J$114,Paraméterek!$K$114),IF($D$4="Forint",Paraméterek!$J$114,Paraméterek!$K$114),IF(ISBLANK($AY236),$AX236,$AY236)*Paraméterek!$J$112))),IF($D$4="Forint",0,2))</f>
        <v>0</v>
      </c>
      <c r="BA236" s="13">
        <f ca="1">$AT236+$AV236-$AW236-IF(ROUNDDOWN(IF(ISBLANK($AY236),$AX236,$AY236),IF($D$4="Forint",0,2))&gt;$AT236+$AV236-$AW236-IF($D$4="Forint",Paraméterek!$J$114,Paraméterek!$K$114),0,ROUNDDOWN(IF(ISBLANK($AY236),$AX236,$AY236),IF($D$4="Forint",0,2))-$AZ236)</f>
        <v>0</v>
      </c>
      <c r="BB236" s="13">
        <f t="shared" ca="1" si="77"/>
        <v>0</v>
      </c>
      <c r="BD236" s="32">
        <v>217</v>
      </c>
      <c r="BE236" s="32">
        <v>19</v>
      </c>
      <c r="BF236" s="32">
        <v>1</v>
      </c>
      <c r="BG236" s="34">
        <f t="shared" ca="1" si="86"/>
        <v>2037</v>
      </c>
      <c r="BH236" s="32" t="str">
        <f ca="1">IF(MOD(MONTH($D$14)+$BD236-1,12)=Paraméterek!$C$288,"Igen","")</f>
        <v/>
      </c>
      <c r="BI236" s="13">
        <f ca="1">IF($BH236="Igen",MIN(ROUNDDOWN((SUMIF($BG$20:$BG$1027,$BG236-1,$K$20:$K$1027)-SUMIF($BG$20:$BG$1027,$BG236-1,$I$20:$I$1027))*Paraméterek!$C$289,IF($D$4="Forint",0,2)),IF($D$4="Forint",Paraméterek!$C$285,Paraméterek!$D$285)),0)</f>
        <v>0</v>
      </c>
      <c r="BJ236" s="13">
        <f t="shared" ca="1" si="78"/>
        <v>0</v>
      </c>
      <c r="BK236" s="13">
        <f t="shared" ca="1" si="87"/>
        <v>0</v>
      </c>
      <c r="BL236" s="33"/>
      <c r="BM236" s="13">
        <f t="shared" ca="1" si="79"/>
        <v>0</v>
      </c>
      <c r="BN236" s="13">
        <f ca="1">ROUNDUP(($BK236+$BM236)*VLOOKUP($BE236,Paraméterek!$P$38:$Q$38,2)/12*IF($D237="Nem",IF($M$13=0,1,$M$13),1),IF($D$4="Forint",0,2))</f>
        <v>0</v>
      </c>
      <c r="BO236" s="13">
        <f t="shared" ca="1" si="80"/>
        <v>0</v>
      </c>
      <c r="BP236" s="13">
        <f ca="1">IF($D237="Nem",$BO236,$BO236-ROUNDUP(SUM($BI$20:$BI236)*120%,IF($D$4="Forint",0,2)))</f>
        <v>0</v>
      </c>
    </row>
    <row r="237" spans="1:68" x14ac:dyDescent="0.2">
      <c r="A237" s="32">
        <v>218</v>
      </c>
      <c r="B237" s="32">
        <v>19</v>
      </c>
      <c r="C237" s="32">
        <v>2</v>
      </c>
      <c r="D237" s="32" t="str">
        <f t="shared" ca="1" si="66"/>
        <v>Nem</v>
      </c>
      <c r="E237" s="13">
        <f t="shared" ca="1" si="67"/>
        <v>0</v>
      </c>
      <c r="F237" s="13"/>
      <c r="G237" s="13"/>
      <c r="H237" s="13"/>
      <c r="I237" s="13">
        <f t="shared" ca="1" si="68"/>
        <v>0</v>
      </c>
      <c r="J237" s="13">
        <f t="shared" ca="1" si="69"/>
        <v>0</v>
      </c>
      <c r="K237" s="13">
        <f t="shared" ca="1" si="70"/>
        <v>0</v>
      </c>
      <c r="L237" s="13" t="e">
        <f ca="1">ROUNDUP(IF($D$2="Egyszeri",$E237,IF($D$2="Havi",SUM($E$20:$E$31),IF(MOD($C237,$M$1)-1=0,SUM($E$20:$E$31),0))/12*$M$1)*VLOOKUP($B237,Paraméterek!$I$28:$P$31,IF($D$2="Egyszeri",8,HLOOKUP(ROUNDUP($M$11+$M$13,0),Paraméterek!$J$26:$O$27,2))),IF($D$4="Forint",0,2))</f>
        <v>#N/A</v>
      </c>
      <c r="M237" s="13">
        <f t="shared" ca="1" si="71"/>
        <v>0</v>
      </c>
      <c r="N237" s="13">
        <f t="shared" ca="1" si="81"/>
        <v>0</v>
      </c>
      <c r="O237" s="13">
        <f ca="1">IF($D237="Igen",IF($W236&gt;=IF($D$4="Forint",Paraméterek!$J$121,Paraméterek!$K$121),0,IF($D$4="Forint",Paraméterek!$J$121,Paraméterek!$K$121)-$W236),0)</f>
        <v>0</v>
      </c>
      <c r="P237" s="13" t="e">
        <f ca="1">ROUNDUP($O237*VLOOKUP($M$4+$B237-1,Paraméterek!$H$58:$I$105,2,0)/Paraméterek!$I$56,IF($D$4="Forint",0,2))</f>
        <v>#N/A</v>
      </c>
      <c r="Q237" s="13">
        <f t="shared" ca="1" si="72"/>
        <v>0</v>
      </c>
      <c r="R237" s="33"/>
      <c r="S237" s="13" t="e">
        <f t="shared" ca="1" si="73"/>
        <v>#N/A</v>
      </c>
      <c r="T237" s="13" t="e">
        <f ca="1">ROUNDUP(($N237-$P237-$Q237+$S237)*VLOOKUP($B237,Paraméterek!$I$38:$K$39,IF($D$2="Egyszeri",3,2))/12*IF($D238="Nem",IF($M$13=0,1,$M$13),1),IF($D$4="Forint",0,2))</f>
        <v>#N/A</v>
      </c>
      <c r="U237" s="13"/>
      <c r="V237" s="13"/>
      <c r="W237" s="13" t="e">
        <f ca="1">$N237-$P237-$Q237+$S237-$T237-IF(ROUNDUP(IF(ISBLANK($V237),$U237*0,$V237)/IF($D$2="Egyszeri",VLOOKUP($B237+IF($C237=12,1,0),Paraméterek!$V$257:$W$262,2),IF($B237=1,1,VLOOKUP($B237+IF($C237=12,1,0),Paraméterek!$I$258:$T$278,HLOOKUP($M$11+1,Paraméterek!$J$256:$T$257,2)))),IF($D$4="Forint",0,2))&gt;$N237-$P237-$Q237+$S237-$T237-IF($D$4="Forint",Paraméterek!$C$216,Paraméterek!$D$216),0,ROUNDUP(IF(ISBLANK($V237),$U237*0,$V237)/IF($D$2="Egyszeri",VLOOKUP($B237+IF($C237=12,1,0),Paraméterek!$V$257:$W$262,2),IF($B237=1,1,VLOOKUP($B237+IF($C237=12,1,0),Paraméterek!$I$258:$T$278,HLOOKUP($M$11+1,Paraméterek!$J$256:$T$257,2)))),IF($D$4="Forint",0,2)))</f>
        <v>#N/A</v>
      </c>
      <c r="X237" s="13" t="e">
        <f ca="1">ROUNDDOWN($W237*IF($D$2="Egyszeri",VLOOKUP($B237+IF($C237=12,1,0),Paraméterek!$V$257:$W$262,2),VLOOKUP($B237+IF($C237=12,1,0),Paraméterek!$I$258:$T$278,HLOOKUP($M$11+1,Paraméterek!$I$256:$T$257,2))),IF($D$4="Forint",0,2))</f>
        <v>#N/A</v>
      </c>
      <c r="Z237" s="32">
        <v>218</v>
      </c>
      <c r="AA237" s="32">
        <v>19</v>
      </c>
      <c r="AB237" s="32">
        <v>2</v>
      </c>
      <c r="AC237" s="13">
        <f t="shared" ca="1" si="82"/>
        <v>0</v>
      </c>
      <c r="AD237" s="33"/>
      <c r="AE237" s="13">
        <f t="shared" ca="1" si="74"/>
        <v>0</v>
      </c>
      <c r="AF237" s="13">
        <f ca="1">ROUNDUP(($AC237+$AE237)*VLOOKUP($AA237,Paraméterek!$P$38:$Q$38,2)/12*IF($D238="Nem",IF($M$13=0,1,$M$13),1),IF($D$4="Forint",0,2))</f>
        <v>0</v>
      </c>
      <c r="AG237" s="13">
        <f ca="1">IF($D$2="Egyszeri",IF($D$7&gt;=IF($D$4="Forint",Paraméterek!$P$223,Paraméterek!$P$224),$D$7-IF($D$4="Forint",Paraméterek!$P$223,Paraméterek!$P$224),0),MIN(IF($AB237=12,AVERAGEIF($E$20:$E237,"&gt;0",$E$20:$E237)*12,0),SUM($E$20:$E$31)))</f>
        <v>0</v>
      </c>
      <c r="AH237" s="13">
        <f>IF($AA237=10,$AG237*IF($AB237=12,IF($AG237&lt;IF($D$4="Forint",Paraméterek!$L$223,Paraméterek!$L$224),0,VLOOKUP($AA237,Paraméterek!$K$226:$M$228,IF($AG237&lt;IF($D$4="Forint",Paraméterek!$M$223,Paraméterek!$M$224),2,3))),0),0)</f>
        <v>0</v>
      </c>
      <c r="AI237" s="13">
        <f ca="1">IF(AND($AA237=$M$11+1,$AB237=$M$12+1),SUMIF($AA$20:$AA$1027,$AA237,$AG$20:$AG$1027)*IF(SUMIF($AA$20:$AA$1027,$AA237,$AG$20:$AG$1027)&lt;IF($D$4="Forint",Paraméterek!$L$223,Paraméterek!$L$224),0,VLOOKUP($AA237,Paraméterek!$K$230:$M$250,IF(SUMIF($AA$20:$AA$1027,$AA237,$AG$20:$AG$1027)&lt;IF($D$4="Forint",Paraméterek!$M$223,Paraméterek!$M$224),2,3))),0)</f>
        <v>0</v>
      </c>
      <c r="AJ237" s="13">
        <f ca="1">IF(AND($AA237&gt;=5,MOD($AA237,5)=0),IF($AB237=12,VLOOKUP($AA237,Paraméterek!$O$225:$P$240,2),0),IF(OR($AA237=3,$AA237=4),IF($AB237=12,VLOOKUP($AA237,Paraméterek!$O$225:$P$240,2,0),0),0))*$AG237</f>
        <v>0</v>
      </c>
      <c r="AK237" s="13">
        <f t="shared" ca="1" si="75"/>
        <v>0</v>
      </c>
      <c r="AL237" s="13">
        <f t="shared" ca="1" si="83"/>
        <v>0</v>
      </c>
      <c r="AM237" s="13">
        <f t="shared" ca="1" si="84"/>
        <v>0</v>
      </c>
      <c r="AO237" s="32">
        <v>218</v>
      </c>
      <c r="AP237" s="32">
        <v>19</v>
      </c>
      <c r="AQ237" s="32">
        <v>2</v>
      </c>
      <c r="AR237" s="13"/>
      <c r="AS237" s="32"/>
      <c r="AT237" s="13">
        <f t="shared" ca="1" si="85"/>
        <v>0</v>
      </c>
      <c r="AU237" s="33"/>
      <c r="AV237" s="13">
        <f t="shared" ca="1" si="76"/>
        <v>0</v>
      </c>
      <c r="AW237" s="13">
        <f ca="1">ROUNDUP(($AT237+$AV237)*VLOOKUP($AP237,Paraméterek!$P$38:$Q$38,2)/12*IF($D238="Nem",IF($M$13=0,1,$M$13),1),IF($D$4="Forint",0,2))</f>
        <v>0</v>
      </c>
      <c r="AX237" s="13"/>
      <c r="AY237" s="13"/>
      <c r="AZ237" s="13">
        <f>ROUNDUP(IF(SUM($AX237:$AY237)=0,0,IF(IF(ISBLANK($AY237),$AX237,$AY237)*Paraméterek!$J$112&lt;IF($D$4="Forint",Paraméterek!$J$113,Paraméterek!$K$113),IF($D$4="Forint",Paraméterek!$J$113,Paraméterek!$K$113),IF(IF(ISBLANK($AY237),$AX237,$AY237)*Paraméterek!$J$112&gt;IF($D$4="Forint",Paraméterek!$J$114,Paraméterek!$K$114),IF($D$4="Forint",Paraméterek!$J$114,Paraméterek!$K$114),IF(ISBLANK($AY237),$AX237,$AY237)*Paraméterek!$J$112))),IF($D$4="Forint",0,2))</f>
        <v>0</v>
      </c>
      <c r="BA237" s="13">
        <f ca="1">$AT237+$AV237-$AW237-IF(ROUNDDOWN(IF(ISBLANK($AY237),$AX237,$AY237),IF($D$4="Forint",0,2))&gt;$AT237+$AV237-$AW237-IF($D$4="Forint",Paraméterek!$J$114,Paraméterek!$K$114),0,ROUNDDOWN(IF(ISBLANK($AY237),$AX237,$AY237),IF($D$4="Forint",0,2))-$AZ237)</f>
        <v>0</v>
      </c>
      <c r="BB237" s="13">
        <f t="shared" ca="1" si="77"/>
        <v>0</v>
      </c>
      <c r="BD237" s="32">
        <v>218</v>
      </c>
      <c r="BE237" s="32">
        <v>19</v>
      </c>
      <c r="BF237" s="32">
        <v>2</v>
      </c>
      <c r="BG237" s="34">
        <f t="shared" ca="1" si="86"/>
        <v>2037</v>
      </c>
      <c r="BH237" s="32" t="str">
        <f ca="1">IF(MOD(MONTH($D$14)+$BD237-1,12)=Paraméterek!$C$288,"Igen","")</f>
        <v>Igen</v>
      </c>
      <c r="BI237" s="13">
        <f ca="1">IF($BH237="Igen",MIN(ROUNDDOWN((SUMIF($BG$20:$BG$1027,$BG237-1,$K$20:$K$1027)-SUMIF($BG$20:$BG$1027,$BG237-1,$I$20:$I$1027))*Paraméterek!$C$289,IF($D$4="Forint",0,2)),IF($D$4="Forint",Paraméterek!$C$285,Paraméterek!$D$285)),0)</f>
        <v>0</v>
      </c>
      <c r="BJ237" s="13">
        <f t="shared" ca="1" si="78"/>
        <v>0</v>
      </c>
      <c r="BK237" s="13">
        <f t="shared" ca="1" si="87"/>
        <v>0</v>
      </c>
      <c r="BL237" s="33"/>
      <c r="BM237" s="13">
        <f t="shared" ca="1" si="79"/>
        <v>0</v>
      </c>
      <c r="BN237" s="13">
        <f ca="1">ROUNDUP(($BK237+$BM237)*VLOOKUP($BE237,Paraméterek!$P$38:$Q$38,2)/12*IF($D238="Nem",IF($M$13=0,1,$M$13),1),IF($D$4="Forint",0,2))</f>
        <v>0</v>
      </c>
      <c r="BO237" s="13">
        <f t="shared" ca="1" si="80"/>
        <v>0</v>
      </c>
      <c r="BP237" s="13">
        <f ca="1">IF($D238="Nem",$BO237,$BO237-ROUNDUP(SUM($BI$20:$BI237)*120%,IF($D$4="Forint",0,2)))</f>
        <v>0</v>
      </c>
    </row>
    <row r="238" spans="1:68" x14ac:dyDescent="0.2">
      <c r="A238" s="32">
        <v>219</v>
      </c>
      <c r="B238" s="32">
        <v>19</v>
      </c>
      <c r="C238" s="32">
        <v>3</v>
      </c>
      <c r="D238" s="32" t="str">
        <f t="shared" ca="1" si="66"/>
        <v>Nem</v>
      </c>
      <c r="E238" s="13">
        <f t="shared" ca="1" si="67"/>
        <v>0</v>
      </c>
      <c r="F238" s="13"/>
      <c r="G238" s="13"/>
      <c r="H238" s="13"/>
      <c r="I238" s="13">
        <f t="shared" ca="1" si="68"/>
        <v>0</v>
      </c>
      <c r="J238" s="13">
        <f t="shared" ca="1" si="69"/>
        <v>0</v>
      </c>
      <c r="K238" s="13">
        <f t="shared" ca="1" si="70"/>
        <v>0</v>
      </c>
      <c r="L238" s="13" t="e">
        <f ca="1">ROUNDUP(IF($D$2="Egyszeri",$E238,IF($D$2="Havi",SUM($E$20:$E$31),IF(MOD($C238,$M$1)-1=0,SUM($E$20:$E$31),0))/12*$M$1)*VLOOKUP($B238,Paraméterek!$I$28:$P$31,IF($D$2="Egyszeri",8,HLOOKUP(ROUNDUP($M$11+$M$13,0),Paraméterek!$J$26:$O$27,2))),IF($D$4="Forint",0,2))</f>
        <v>#N/A</v>
      </c>
      <c r="M238" s="13">
        <f t="shared" ca="1" si="71"/>
        <v>0</v>
      </c>
      <c r="N238" s="13">
        <f t="shared" ca="1" si="81"/>
        <v>0</v>
      </c>
      <c r="O238" s="13">
        <f ca="1">IF($D238="Igen",IF($W237&gt;=IF($D$4="Forint",Paraméterek!$J$121,Paraméterek!$K$121),0,IF($D$4="Forint",Paraméterek!$J$121,Paraméterek!$K$121)-$W237),0)</f>
        <v>0</v>
      </c>
      <c r="P238" s="13" t="e">
        <f ca="1">ROUNDUP($O238*VLOOKUP($M$4+$B238-1,Paraméterek!$H$58:$I$105,2,0)/Paraméterek!$I$56,IF($D$4="Forint",0,2))</f>
        <v>#N/A</v>
      </c>
      <c r="Q238" s="13">
        <f t="shared" ca="1" si="72"/>
        <v>0</v>
      </c>
      <c r="R238" s="33"/>
      <c r="S238" s="13" t="e">
        <f t="shared" ca="1" si="73"/>
        <v>#N/A</v>
      </c>
      <c r="T238" s="13" t="e">
        <f ca="1">ROUNDUP(($N238-$P238-$Q238+$S238)*VLOOKUP($B238,Paraméterek!$I$38:$K$39,IF($D$2="Egyszeri",3,2))/12*IF($D239="Nem",IF($M$13=0,1,$M$13),1),IF($D$4="Forint",0,2))</f>
        <v>#N/A</v>
      </c>
      <c r="U238" s="13"/>
      <c r="V238" s="13"/>
      <c r="W238" s="13" t="e">
        <f ca="1">$N238-$P238-$Q238+$S238-$T238-IF(ROUNDUP(IF(ISBLANK($V238),$U238*0,$V238)/IF($D$2="Egyszeri",VLOOKUP($B238+IF($C238=12,1,0),Paraméterek!$V$257:$W$262,2),IF($B238=1,1,VLOOKUP($B238+IF($C238=12,1,0),Paraméterek!$I$258:$T$278,HLOOKUP($M$11+1,Paraméterek!$J$256:$T$257,2)))),IF($D$4="Forint",0,2))&gt;$N238-$P238-$Q238+$S238-$T238-IF($D$4="Forint",Paraméterek!$C$216,Paraméterek!$D$216),0,ROUNDUP(IF(ISBLANK($V238),$U238*0,$V238)/IF($D$2="Egyszeri",VLOOKUP($B238+IF($C238=12,1,0),Paraméterek!$V$257:$W$262,2),IF($B238=1,1,VLOOKUP($B238+IF($C238=12,1,0),Paraméterek!$I$258:$T$278,HLOOKUP($M$11+1,Paraméterek!$J$256:$T$257,2)))),IF($D$4="Forint",0,2)))</f>
        <v>#N/A</v>
      </c>
      <c r="X238" s="13" t="e">
        <f ca="1">ROUNDDOWN($W238*IF($D$2="Egyszeri",VLOOKUP($B238+IF($C238=12,1,0),Paraméterek!$V$257:$W$262,2),VLOOKUP($B238+IF($C238=12,1,0),Paraméterek!$I$258:$T$278,HLOOKUP($M$11+1,Paraméterek!$I$256:$T$257,2))),IF($D$4="Forint",0,2))</f>
        <v>#N/A</v>
      </c>
      <c r="Z238" s="32">
        <v>219</v>
      </c>
      <c r="AA238" s="32">
        <v>19</v>
      </c>
      <c r="AB238" s="32">
        <v>3</v>
      </c>
      <c r="AC238" s="13">
        <f t="shared" ca="1" si="82"/>
        <v>0</v>
      </c>
      <c r="AD238" s="33"/>
      <c r="AE238" s="13">
        <f t="shared" ca="1" si="74"/>
        <v>0</v>
      </c>
      <c r="AF238" s="13">
        <f ca="1">ROUNDUP(($AC238+$AE238)*VLOOKUP($AA238,Paraméterek!$P$38:$Q$38,2)/12*IF($D239="Nem",IF($M$13=0,1,$M$13),1),IF($D$4="Forint",0,2))</f>
        <v>0</v>
      </c>
      <c r="AG238" s="13">
        <f ca="1">IF($D$2="Egyszeri",IF($D$7&gt;=IF($D$4="Forint",Paraméterek!$P$223,Paraméterek!$P$224),$D$7-IF($D$4="Forint",Paraméterek!$P$223,Paraméterek!$P$224),0),MIN(IF($AB238=12,AVERAGEIF($E$20:$E238,"&gt;0",$E$20:$E238)*12,0),SUM($E$20:$E$31)))</f>
        <v>0</v>
      </c>
      <c r="AH238" s="13">
        <f>IF($AA238=10,$AG238*IF($AB238=12,IF($AG238&lt;IF($D$4="Forint",Paraméterek!$L$223,Paraméterek!$L$224),0,VLOOKUP($AA238,Paraméterek!$K$226:$M$228,IF($AG238&lt;IF($D$4="Forint",Paraméterek!$M$223,Paraméterek!$M$224),2,3))),0),0)</f>
        <v>0</v>
      </c>
      <c r="AI238" s="13">
        <f ca="1">IF(AND($AA238=$M$11+1,$AB238=$M$12+1),SUMIF($AA$20:$AA$1027,$AA238,$AG$20:$AG$1027)*IF(SUMIF($AA$20:$AA$1027,$AA238,$AG$20:$AG$1027)&lt;IF($D$4="Forint",Paraméterek!$L$223,Paraméterek!$L$224),0,VLOOKUP($AA238,Paraméterek!$K$230:$M$250,IF(SUMIF($AA$20:$AA$1027,$AA238,$AG$20:$AG$1027)&lt;IF($D$4="Forint",Paraméterek!$M$223,Paraméterek!$M$224),2,3))),0)</f>
        <v>0</v>
      </c>
      <c r="AJ238" s="13">
        <f ca="1">IF(AND($AA238&gt;=5,MOD($AA238,5)=0),IF($AB238=12,VLOOKUP($AA238,Paraméterek!$O$225:$P$240,2),0),IF(OR($AA238=3,$AA238=4),IF($AB238=12,VLOOKUP($AA238,Paraméterek!$O$225:$P$240,2,0),0),0))*$AG238</f>
        <v>0</v>
      </c>
      <c r="AK238" s="13">
        <f t="shared" ca="1" si="75"/>
        <v>0</v>
      </c>
      <c r="AL238" s="13">
        <f t="shared" ca="1" si="83"/>
        <v>0</v>
      </c>
      <c r="AM238" s="13">
        <f t="shared" ca="1" si="84"/>
        <v>0</v>
      </c>
      <c r="AO238" s="32">
        <v>219</v>
      </c>
      <c r="AP238" s="32">
        <v>19</v>
      </c>
      <c r="AQ238" s="32">
        <v>3</v>
      </c>
      <c r="AR238" s="13"/>
      <c r="AS238" s="32"/>
      <c r="AT238" s="13">
        <f t="shared" ca="1" si="85"/>
        <v>0</v>
      </c>
      <c r="AU238" s="33"/>
      <c r="AV238" s="13">
        <f t="shared" ca="1" si="76"/>
        <v>0</v>
      </c>
      <c r="AW238" s="13">
        <f ca="1">ROUNDUP(($AT238+$AV238)*VLOOKUP($AP238,Paraméterek!$P$38:$Q$38,2)/12*IF($D239="Nem",IF($M$13=0,1,$M$13),1),IF($D$4="Forint",0,2))</f>
        <v>0</v>
      </c>
      <c r="AX238" s="13"/>
      <c r="AY238" s="13"/>
      <c r="AZ238" s="13">
        <f>ROUNDUP(IF(SUM($AX238:$AY238)=0,0,IF(IF(ISBLANK($AY238),$AX238,$AY238)*Paraméterek!$J$112&lt;IF($D$4="Forint",Paraméterek!$J$113,Paraméterek!$K$113),IF($D$4="Forint",Paraméterek!$J$113,Paraméterek!$K$113),IF(IF(ISBLANK($AY238),$AX238,$AY238)*Paraméterek!$J$112&gt;IF($D$4="Forint",Paraméterek!$J$114,Paraméterek!$K$114),IF($D$4="Forint",Paraméterek!$J$114,Paraméterek!$K$114),IF(ISBLANK($AY238),$AX238,$AY238)*Paraméterek!$J$112))),IF($D$4="Forint",0,2))</f>
        <v>0</v>
      </c>
      <c r="BA238" s="13">
        <f ca="1">$AT238+$AV238-$AW238-IF(ROUNDDOWN(IF(ISBLANK($AY238),$AX238,$AY238),IF($D$4="Forint",0,2))&gt;$AT238+$AV238-$AW238-IF($D$4="Forint",Paraméterek!$J$114,Paraméterek!$K$114),0,ROUNDDOWN(IF(ISBLANK($AY238),$AX238,$AY238),IF($D$4="Forint",0,2))-$AZ238)</f>
        <v>0</v>
      </c>
      <c r="BB238" s="13">
        <f t="shared" ca="1" si="77"/>
        <v>0</v>
      </c>
      <c r="BD238" s="32">
        <v>219</v>
      </c>
      <c r="BE238" s="32">
        <v>19</v>
      </c>
      <c r="BF238" s="32">
        <v>3</v>
      </c>
      <c r="BG238" s="34">
        <f t="shared" ca="1" si="86"/>
        <v>2037</v>
      </c>
      <c r="BH238" s="32" t="str">
        <f ca="1">IF(MOD(MONTH($D$14)+$BD238-1,12)=Paraméterek!$C$288,"Igen","")</f>
        <v/>
      </c>
      <c r="BI238" s="13">
        <f ca="1">IF($BH238="Igen",MIN(ROUNDDOWN((SUMIF($BG$20:$BG$1027,$BG238-1,$K$20:$K$1027)-SUMIF($BG$20:$BG$1027,$BG238-1,$I$20:$I$1027))*Paraméterek!$C$289,IF($D$4="Forint",0,2)),IF($D$4="Forint",Paraméterek!$C$285,Paraméterek!$D$285)),0)</f>
        <v>0</v>
      </c>
      <c r="BJ238" s="13">
        <f t="shared" ca="1" si="78"/>
        <v>0</v>
      </c>
      <c r="BK238" s="13">
        <f t="shared" ca="1" si="87"/>
        <v>0</v>
      </c>
      <c r="BL238" s="33"/>
      <c r="BM238" s="13">
        <f t="shared" ca="1" si="79"/>
        <v>0</v>
      </c>
      <c r="BN238" s="13">
        <f ca="1">ROUNDUP(($BK238+$BM238)*VLOOKUP($BE238,Paraméterek!$P$38:$Q$38,2)/12*IF($D239="Nem",IF($M$13=0,1,$M$13),1),IF($D$4="Forint",0,2))</f>
        <v>0</v>
      </c>
      <c r="BO238" s="13">
        <f t="shared" ca="1" si="80"/>
        <v>0</v>
      </c>
      <c r="BP238" s="13">
        <f ca="1">IF($D239="Nem",$BO238,$BO238-ROUNDUP(SUM($BI$20:$BI238)*120%,IF($D$4="Forint",0,2)))</f>
        <v>0</v>
      </c>
    </row>
    <row r="239" spans="1:68" x14ac:dyDescent="0.2">
      <c r="A239" s="32">
        <v>220</v>
      </c>
      <c r="B239" s="32">
        <v>19</v>
      </c>
      <c r="C239" s="32">
        <v>4</v>
      </c>
      <c r="D239" s="32" t="str">
        <f t="shared" ca="1" si="66"/>
        <v>Nem</v>
      </c>
      <c r="E239" s="13">
        <f t="shared" ca="1" si="67"/>
        <v>0</v>
      </c>
      <c r="F239" s="13"/>
      <c r="G239" s="13"/>
      <c r="H239" s="13"/>
      <c r="I239" s="13">
        <f t="shared" ca="1" si="68"/>
        <v>0</v>
      </c>
      <c r="J239" s="13">
        <f t="shared" ca="1" si="69"/>
        <v>0</v>
      </c>
      <c r="K239" s="13">
        <f t="shared" ca="1" si="70"/>
        <v>0</v>
      </c>
      <c r="L239" s="13" t="e">
        <f ca="1">ROUNDUP(IF($D$2="Egyszeri",$E239,IF($D$2="Havi",SUM($E$20:$E$31),IF(MOD($C239,$M$1)-1=0,SUM($E$20:$E$31),0))/12*$M$1)*VLOOKUP($B239,Paraméterek!$I$28:$P$31,IF($D$2="Egyszeri",8,HLOOKUP(ROUNDUP($M$11+$M$13,0),Paraméterek!$J$26:$O$27,2))),IF($D$4="Forint",0,2))</f>
        <v>#N/A</v>
      </c>
      <c r="M239" s="13">
        <f t="shared" ca="1" si="71"/>
        <v>0</v>
      </c>
      <c r="N239" s="13">
        <f t="shared" ca="1" si="81"/>
        <v>0</v>
      </c>
      <c r="O239" s="13">
        <f ca="1">IF($D239="Igen",IF($W238&gt;=IF($D$4="Forint",Paraméterek!$J$121,Paraméterek!$K$121),0,IF($D$4="Forint",Paraméterek!$J$121,Paraméterek!$K$121)-$W238),0)</f>
        <v>0</v>
      </c>
      <c r="P239" s="13" t="e">
        <f ca="1">ROUNDUP($O239*VLOOKUP($M$4+$B239-1,Paraméterek!$H$58:$I$105,2,0)/Paraméterek!$I$56,IF($D$4="Forint",0,2))</f>
        <v>#N/A</v>
      </c>
      <c r="Q239" s="13">
        <f t="shared" ca="1" si="72"/>
        <v>0</v>
      </c>
      <c r="R239" s="33"/>
      <c r="S239" s="13" t="e">
        <f t="shared" ca="1" si="73"/>
        <v>#N/A</v>
      </c>
      <c r="T239" s="13" t="e">
        <f ca="1">ROUNDUP(($N239-$P239-$Q239+$S239)*VLOOKUP($B239,Paraméterek!$I$38:$K$39,IF($D$2="Egyszeri",3,2))/12*IF($D240="Nem",IF($M$13=0,1,$M$13),1),IF($D$4="Forint",0,2))</f>
        <v>#N/A</v>
      </c>
      <c r="U239" s="13"/>
      <c r="V239" s="13"/>
      <c r="W239" s="13" t="e">
        <f ca="1">$N239-$P239-$Q239+$S239-$T239-IF(ROUNDUP(IF(ISBLANK($V239),$U239*0,$V239)/IF($D$2="Egyszeri",VLOOKUP($B239+IF($C239=12,1,0),Paraméterek!$V$257:$W$262,2),IF($B239=1,1,VLOOKUP($B239+IF($C239=12,1,0),Paraméterek!$I$258:$T$278,HLOOKUP($M$11+1,Paraméterek!$J$256:$T$257,2)))),IF($D$4="Forint",0,2))&gt;$N239-$P239-$Q239+$S239-$T239-IF($D$4="Forint",Paraméterek!$C$216,Paraméterek!$D$216),0,ROUNDUP(IF(ISBLANK($V239),$U239*0,$V239)/IF($D$2="Egyszeri",VLOOKUP($B239+IF($C239=12,1,0),Paraméterek!$V$257:$W$262,2),IF($B239=1,1,VLOOKUP($B239+IF($C239=12,1,0),Paraméterek!$I$258:$T$278,HLOOKUP($M$11+1,Paraméterek!$J$256:$T$257,2)))),IF($D$4="Forint",0,2)))</f>
        <v>#N/A</v>
      </c>
      <c r="X239" s="13" t="e">
        <f ca="1">ROUNDDOWN($W239*IF($D$2="Egyszeri",VLOOKUP($B239+IF($C239=12,1,0),Paraméterek!$V$257:$W$262,2),VLOOKUP($B239+IF($C239=12,1,0),Paraméterek!$I$258:$T$278,HLOOKUP($M$11+1,Paraméterek!$I$256:$T$257,2))),IF($D$4="Forint",0,2))</f>
        <v>#N/A</v>
      </c>
      <c r="Z239" s="32">
        <v>220</v>
      </c>
      <c r="AA239" s="32">
        <v>19</v>
      </c>
      <c r="AB239" s="32">
        <v>4</v>
      </c>
      <c r="AC239" s="13">
        <f t="shared" ca="1" si="82"/>
        <v>0</v>
      </c>
      <c r="AD239" s="33"/>
      <c r="AE239" s="13">
        <f t="shared" ca="1" si="74"/>
        <v>0</v>
      </c>
      <c r="AF239" s="13">
        <f ca="1">ROUNDUP(($AC239+$AE239)*VLOOKUP($AA239,Paraméterek!$P$38:$Q$38,2)/12*IF($D240="Nem",IF($M$13=0,1,$M$13),1),IF($D$4="Forint",0,2))</f>
        <v>0</v>
      </c>
      <c r="AG239" s="13">
        <f ca="1">IF($D$2="Egyszeri",IF($D$7&gt;=IF($D$4="Forint",Paraméterek!$P$223,Paraméterek!$P$224),$D$7-IF($D$4="Forint",Paraméterek!$P$223,Paraméterek!$P$224),0),MIN(IF($AB239=12,AVERAGEIF($E$20:$E239,"&gt;0",$E$20:$E239)*12,0),SUM($E$20:$E$31)))</f>
        <v>0</v>
      </c>
      <c r="AH239" s="13">
        <f>IF($AA239=10,$AG239*IF($AB239=12,IF($AG239&lt;IF($D$4="Forint",Paraméterek!$L$223,Paraméterek!$L$224),0,VLOOKUP($AA239,Paraméterek!$K$226:$M$228,IF($AG239&lt;IF($D$4="Forint",Paraméterek!$M$223,Paraméterek!$M$224),2,3))),0),0)</f>
        <v>0</v>
      </c>
      <c r="AI239" s="13">
        <f ca="1">IF(AND($AA239=$M$11+1,$AB239=$M$12+1),SUMIF($AA$20:$AA$1027,$AA239,$AG$20:$AG$1027)*IF(SUMIF($AA$20:$AA$1027,$AA239,$AG$20:$AG$1027)&lt;IF($D$4="Forint",Paraméterek!$L$223,Paraméterek!$L$224),0,VLOOKUP($AA239,Paraméterek!$K$230:$M$250,IF(SUMIF($AA$20:$AA$1027,$AA239,$AG$20:$AG$1027)&lt;IF($D$4="Forint",Paraméterek!$M$223,Paraméterek!$M$224),2,3))),0)</f>
        <v>0</v>
      </c>
      <c r="AJ239" s="13">
        <f ca="1">IF(AND($AA239&gt;=5,MOD($AA239,5)=0),IF($AB239=12,VLOOKUP($AA239,Paraméterek!$O$225:$P$240,2),0),IF(OR($AA239=3,$AA239=4),IF($AB239=12,VLOOKUP($AA239,Paraméterek!$O$225:$P$240,2,0),0),0))*$AG239</f>
        <v>0</v>
      </c>
      <c r="AK239" s="13">
        <f t="shared" ca="1" si="75"/>
        <v>0</v>
      </c>
      <c r="AL239" s="13">
        <f t="shared" ca="1" si="83"/>
        <v>0</v>
      </c>
      <c r="AM239" s="13">
        <f t="shared" ca="1" si="84"/>
        <v>0</v>
      </c>
      <c r="AO239" s="32">
        <v>220</v>
      </c>
      <c r="AP239" s="32">
        <v>19</v>
      </c>
      <c r="AQ239" s="32">
        <v>4</v>
      </c>
      <c r="AR239" s="13"/>
      <c r="AS239" s="32"/>
      <c r="AT239" s="13">
        <f t="shared" ca="1" si="85"/>
        <v>0</v>
      </c>
      <c r="AU239" s="33"/>
      <c r="AV239" s="13">
        <f t="shared" ca="1" si="76"/>
        <v>0</v>
      </c>
      <c r="AW239" s="13">
        <f ca="1">ROUNDUP(($AT239+$AV239)*VLOOKUP($AP239,Paraméterek!$P$38:$Q$38,2)/12*IF($D240="Nem",IF($M$13=0,1,$M$13),1),IF($D$4="Forint",0,2))</f>
        <v>0</v>
      </c>
      <c r="AX239" s="13"/>
      <c r="AY239" s="13"/>
      <c r="AZ239" s="13">
        <f>ROUNDUP(IF(SUM($AX239:$AY239)=0,0,IF(IF(ISBLANK($AY239),$AX239,$AY239)*Paraméterek!$J$112&lt;IF($D$4="Forint",Paraméterek!$J$113,Paraméterek!$K$113),IF($D$4="Forint",Paraméterek!$J$113,Paraméterek!$K$113),IF(IF(ISBLANK($AY239),$AX239,$AY239)*Paraméterek!$J$112&gt;IF($D$4="Forint",Paraméterek!$J$114,Paraméterek!$K$114),IF($D$4="Forint",Paraméterek!$J$114,Paraméterek!$K$114),IF(ISBLANK($AY239),$AX239,$AY239)*Paraméterek!$J$112))),IF($D$4="Forint",0,2))</f>
        <v>0</v>
      </c>
      <c r="BA239" s="13">
        <f ca="1">$AT239+$AV239-$AW239-IF(ROUNDDOWN(IF(ISBLANK($AY239),$AX239,$AY239),IF($D$4="Forint",0,2))&gt;$AT239+$AV239-$AW239-IF($D$4="Forint",Paraméterek!$J$114,Paraméterek!$K$114),0,ROUNDDOWN(IF(ISBLANK($AY239),$AX239,$AY239),IF($D$4="Forint",0,2))-$AZ239)</f>
        <v>0</v>
      </c>
      <c r="BB239" s="13">
        <f t="shared" ca="1" si="77"/>
        <v>0</v>
      </c>
      <c r="BD239" s="32">
        <v>220</v>
      </c>
      <c r="BE239" s="32">
        <v>19</v>
      </c>
      <c r="BF239" s="32">
        <v>4</v>
      </c>
      <c r="BG239" s="34">
        <f t="shared" ca="1" si="86"/>
        <v>2037</v>
      </c>
      <c r="BH239" s="32" t="str">
        <f ca="1">IF(MOD(MONTH($D$14)+$BD239-1,12)=Paraméterek!$C$288,"Igen","")</f>
        <v/>
      </c>
      <c r="BI239" s="13">
        <f ca="1">IF($BH239="Igen",MIN(ROUNDDOWN((SUMIF($BG$20:$BG$1027,$BG239-1,$K$20:$K$1027)-SUMIF($BG$20:$BG$1027,$BG239-1,$I$20:$I$1027))*Paraméterek!$C$289,IF($D$4="Forint",0,2)),IF($D$4="Forint",Paraméterek!$C$285,Paraméterek!$D$285)),0)</f>
        <v>0</v>
      </c>
      <c r="BJ239" s="13">
        <f t="shared" ca="1" si="78"/>
        <v>0</v>
      </c>
      <c r="BK239" s="13">
        <f t="shared" ca="1" si="87"/>
        <v>0</v>
      </c>
      <c r="BL239" s="33"/>
      <c r="BM239" s="13">
        <f t="shared" ca="1" si="79"/>
        <v>0</v>
      </c>
      <c r="BN239" s="13">
        <f ca="1">ROUNDUP(($BK239+$BM239)*VLOOKUP($BE239,Paraméterek!$P$38:$Q$38,2)/12*IF($D240="Nem",IF($M$13=0,1,$M$13),1),IF($D$4="Forint",0,2))</f>
        <v>0</v>
      </c>
      <c r="BO239" s="13">
        <f t="shared" ca="1" si="80"/>
        <v>0</v>
      </c>
      <c r="BP239" s="13">
        <f ca="1">IF($D240="Nem",$BO239,$BO239-ROUNDUP(SUM($BI$20:$BI239)*120%,IF($D$4="Forint",0,2)))</f>
        <v>0</v>
      </c>
    </row>
    <row r="240" spans="1:68" x14ac:dyDescent="0.2">
      <c r="A240" s="32">
        <v>221</v>
      </c>
      <c r="B240" s="32">
        <v>19</v>
      </c>
      <c r="C240" s="32">
        <v>5</v>
      </c>
      <c r="D240" s="32" t="str">
        <f t="shared" ca="1" si="66"/>
        <v>Nem</v>
      </c>
      <c r="E240" s="13">
        <f t="shared" ca="1" si="67"/>
        <v>0</v>
      </c>
      <c r="F240" s="13"/>
      <c r="G240" s="13"/>
      <c r="H240" s="13"/>
      <c r="I240" s="13">
        <f t="shared" ca="1" si="68"/>
        <v>0</v>
      </c>
      <c r="J240" s="13">
        <f t="shared" ca="1" si="69"/>
        <v>0</v>
      </c>
      <c r="K240" s="13">
        <f t="shared" ca="1" si="70"/>
        <v>0</v>
      </c>
      <c r="L240" s="13" t="e">
        <f ca="1">ROUNDUP(IF($D$2="Egyszeri",$E240,IF($D$2="Havi",SUM($E$20:$E$31),IF(MOD($C240,$M$1)-1=0,SUM($E$20:$E$31),0))/12*$M$1)*VLOOKUP($B240,Paraméterek!$I$28:$P$31,IF($D$2="Egyszeri",8,HLOOKUP(ROUNDUP($M$11+$M$13,0),Paraméterek!$J$26:$O$27,2))),IF($D$4="Forint",0,2))</f>
        <v>#N/A</v>
      </c>
      <c r="M240" s="13">
        <f t="shared" ca="1" si="71"/>
        <v>0</v>
      </c>
      <c r="N240" s="13">
        <f t="shared" ca="1" si="81"/>
        <v>0</v>
      </c>
      <c r="O240" s="13">
        <f ca="1">IF($D240="Igen",IF($W239&gt;=IF($D$4="Forint",Paraméterek!$J$121,Paraméterek!$K$121),0,IF($D$4="Forint",Paraméterek!$J$121,Paraméterek!$K$121)-$W239),0)</f>
        <v>0</v>
      </c>
      <c r="P240" s="13" t="e">
        <f ca="1">ROUNDUP($O240*VLOOKUP($M$4+$B240-1,Paraméterek!$H$58:$I$105,2,0)/Paraméterek!$I$56,IF($D$4="Forint",0,2))</f>
        <v>#N/A</v>
      </c>
      <c r="Q240" s="13">
        <f t="shared" ca="1" si="72"/>
        <v>0</v>
      </c>
      <c r="R240" s="33"/>
      <c r="S240" s="13" t="e">
        <f t="shared" ca="1" si="73"/>
        <v>#N/A</v>
      </c>
      <c r="T240" s="13" t="e">
        <f ca="1">ROUNDUP(($N240-$P240-$Q240+$S240)*VLOOKUP($B240,Paraméterek!$I$38:$K$39,IF($D$2="Egyszeri",3,2))/12*IF($D241="Nem",IF($M$13=0,1,$M$13),1),IF($D$4="Forint",0,2))</f>
        <v>#N/A</v>
      </c>
      <c r="U240" s="13"/>
      <c r="V240" s="13"/>
      <c r="W240" s="13" t="e">
        <f ca="1">$N240-$P240-$Q240+$S240-$T240-IF(ROUNDUP(IF(ISBLANK($V240),$U240*0,$V240)/IF($D$2="Egyszeri",VLOOKUP($B240+IF($C240=12,1,0),Paraméterek!$V$257:$W$262,2),IF($B240=1,1,VLOOKUP($B240+IF($C240=12,1,0),Paraméterek!$I$258:$T$278,HLOOKUP($M$11+1,Paraméterek!$J$256:$T$257,2)))),IF($D$4="Forint",0,2))&gt;$N240-$P240-$Q240+$S240-$T240-IF($D$4="Forint",Paraméterek!$C$216,Paraméterek!$D$216),0,ROUNDUP(IF(ISBLANK($V240),$U240*0,$V240)/IF($D$2="Egyszeri",VLOOKUP($B240+IF($C240=12,1,0),Paraméterek!$V$257:$W$262,2),IF($B240=1,1,VLOOKUP($B240+IF($C240=12,1,0),Paraméterek!$I$258:$T$278,HLOOKUP($M$11+1,Paraméterek!$J$256:$T$257,2)))),IF($D$4="Forint",0,2)))</f>
        <v>#N/A</v>
      </c>
      <c r="X240" s="13" t="e">
        <f ca="1">ROUNDDOWN($W240*IF($D$2="Egyszeri",VLOOKUP($B240+IF($C240=12,1,0),Paraméterek!$V$257:$W$262,2),VLOOKUP($B240+IF($C240=12,1,0),Paraméterek!$I$258:$T$278,HLOOKUP($M$11+1,Paraméterek!$I$256:$T$257,2))),IF($D$4="Forint",0,2))</f>
        <v>#N/A</v>
      </c>
      <c r="Z240" s="32">
        <v>221</v>
      </c>
      <c r="AA240" s="32">
        <v>19</v>
      </c>
      <c r="AB240" s="32">
        <v>5</v>
      </c>
      <c r="AC240" s="13">
        <f t="shared" ca="1" si="82"/>
        <v>0</v>
      </c>
      <c r="AD240" s="33"/>
      <c r="AE240" s="13">
        <f t="shared" ca="1" si="74"/>
        <v>0</v>
      </c>
      <c r="AF240" s="13">
        <f ca="1">ROUNDUP(($AC240+$AE240)*VLOOKUP($AA240,Paraméterek!$P$38:$Q$38,2)/12*IF($D241="Nem",IF($M$13=0,1,$M$13),1),IF($D$4="Forint",0,2))</f>
        <v>0</v>
      </c>
      <c r="AG240" s="13">
        <f ca="1">IF($D$2="Egyszeri",IF($D$7&gt;=IF($D$4="Forint",Paraméterek!$P$223,Paraméterek!$P$224),$D$7-IF($D$4="Forint",Paraméterek!$P$223,Paraméterek!$P$224),0),MIN(IF($AB240=12,AVERAGEIF($E$20:$E240,"&gt;0",$E$20:$E240)*12,0),SUM($E$20:$E$31)))</f>
        <v>0</v>
      </c>
      <c r="AH240" s="13">
        <f>IF($AA240=10,$AG240*IF($AB240=12,IF($AG240&lt;IF($D$4="Forint",Paraméterek!$L$223,Paraméterek!$L$224),0,VLOOKUP($AA240,Paraméterek!$K$226:$M$228,IF($AG240&lt;IF($D$4="Forint",Paraméterek!$M$223,Paraméterek!$M$224),2,3))),0),0)</f>
        <v>0</v>
      </c>
      <c r="AI240" s="13">
        <f ca="1">IF(AND($AA240=$M$11+1,$AB240=$M$12+1),SUMIF($AA$20:$AA$1027,$AA240,$AG$20:$AG$1027)*IF(SUMIF($AA$20:$AA$1027,$AA240,$AG$20:$AG$1027)&lt;IF($D$4="Forint",Paraméterek!$L$223,Paraméterek!$L$224),0,VLOOKUP($AA240,Paraméterek!$K$230:$M$250,IF(SUMIF($AA$20:$AA$1027,$AA240,$AG$20:$AG$1027)&lt;IF($D$4="Forint",Paraméterek!$M$223,Paraméterek!$M$224),2,3))),0)</f>
        <v>0</v>
      </c>
      <c r="AJ240" s="13">
        <f ca="1">IF(AND($AA240&gt;=5,MOD($AA240,5)=0),IF($AB240=12,VLOOKUP($AA240,Paraméterek!$O$225:$P$240,2),0),IF(OR($AA240=3,$AA240=4),IF($AB240=12,VLOOKUP($AA240,Paraméterek!$O$225:$P$240,2,0),0),0))*$AG240</f>
        <v>0</v>
      </c>
      <c r="AK240" s="13">
        <f t="shared" ca="1" si="75"/>
        <v>0</v>
      </c>
      <c r="AL240" s="13">
        <f t="shared" ca="1" si="83"/>
        <v>0</v>
      </c>
      <c r="AM240" s="13">
        <f t="shared" ca="1" si="84"/>
        <v>0</v>
      </c>
      <c r="AO240" s="32">
        <v>221</v>
      </c>
      <c r="AP240" s="32">
        <v>19</v>
      </c>
      <c r="AQ240" s="32">
        <v>5</v>
      </c>
      <c r="AR240" s="13"/>
      <c r="AS240" s="32"/>
      <c r="AT240" s="13">
        <f t="shared" ca="1" si="85"/>
        <v>0</v>
      </c>
      <c r="AU240" s="33"/>
      <c r="AV240" s="13">
        <f t="shared" ca="1" si="76"/>
        <v>0</v>
      </c>
      <c r="AW240" s="13">
        <f ca="1">ROUNDUP(($AT240+$AV240)*VLOOKUP($AP240,Paraméterek!$P$38:$Q$38,2)/12*IF($D241="Nem",IF($M$13=0,1,$M$13),1),IF($D$4="Forint",0,2))</f>
        <v>0</v>
      </c>
      <c r="AX240" s="13"/>
      <c r="AY240" s="13"/>
      <c r="AZ240" s="13">
        <f>ROUNDUP(IF(SUM($AX240:$AY240)=0,0,IF(IF(ISBLANK($AY240),$AX240,$AY240)*Paraméterek!$J$112&lt;IF($D$4="Forint",Paraméterek!$J$113,Paraméterek!$K$113),IF($D$4="Forint",Paraméterek!$J$113,Paraméterek!$K$113),IF(IF(ISBLANK($AY240),$AX240,$AY240)*Paraméterek!$J$112&gt;IF($D$4="Forint",Paraméterek!$J$114,Paraméterek!$K$114),IF($D$4="Forint",Paraméterek!$J$114,Paraméterek!$K$114),IF(ISBLANK($AY240),$AX240,$AY240)*Paraméterek!$J$112))),IF($D$4="Forint",0,2))</f>
        <v>0</v>
      </c>
      <c r="BA240" s="13">
        <f ca="1">$AT240+$AV240-$AW240-IF(ROUNDDOWN(IF(ISBLANK($AY240),$AX240,$AY240),IF($D$4="Forint",0,2))&gt;$AT240+$AV240-$AW240-IF($D$4="Forint",Paraméterek!$J$114,Paraméterek!$K$114),0,ROUNDDOWN(IF(ISBLANK($AY240),$AX240,$AY240),IF($D$4="Forint",0,2))-$AZ240)</f>
        <v>0</v>
      </c>
      <c r="BB240" s="13">
        <f t="shared" ca="1" si="77"/>
        <v>0</v>
      </c>
      <c r="BD240" s="32">
        <v>221</v>
      </c>
      <c r="BE240" s="32">
        <v>19</v>
      </c>
      <c r="BF240" s="32">
        <v>5</v>
      </c>
      <c r="BG240" s="34">
        <f t="shared" ca="1" si="86"/>
        <v>2037</v>
      </c>
      <c r="BH240" s="32" t="str">
        <f ca="1">IF(MOD(MONTH($D$14)+$BD240-1,12)=Paraméterek!$C$288,"Igen","")</f>
        <v/>
      </c>
      <c r="BI240" s="13">
        <f ca="1">IF($BH240="Igen",MIN(ROUNDDOWN((SUMIF($BG$20:$BG$1027,$BG240-1,$K$20:$K$1027)-SUMIF($BG$20:$BG$1027,$BG240-1,$I$20:$I$1027))*Paraméterek!$C$289,IF($D$4="Forint",0,2)),IF($D$4="Forint",Paraméterek!$C$285,Paraméterek!$D$285)),0)</f>
        <v>0</v>
      </c>
      <c r="BJ240" s="13">
        <f t="shared" ca="1" si="78"/>
        <v>0</v>
      </c>
      <c r="BK240" s="13">
        <f t="shared" ca="1" si="87"/>
        <v>0</v>
      </c>
      <c r="BL240" s="33"/>
      <c r="BM240" s="13">
        <f t="shared" ca="1" si="79"/>
        <v>0</v>
      </c>
      <c r="BN240" s="13">
        <f ca="1">ROUNDUP(($BK240+$BM240)*VLOOKUP($BE240,Paraméterek!$P$38:$Q$38,2)/12*IF($D241="Nem",IF($M$13=0,1,$M$13),1),IF($D$4="Forint",0,2))</f>
        <v>0</v>
      </c>
      <c r="BO240" s="13">
        <f t="shared" ca="1" si="80"/>
        <v>0</v>
      </c>
      <c r="BP240" s="13">
        <f ca="1">IF($D241="Nem",$BO240,$BO240-ROUNDUP(SUM($BI$20:$BI240)*120%,IF($D$4="Forint",0,2)))</f>
        <v>0</v>
      </c>
    </row>
    <row r="241" spans="1:68" x14ac:dyDescent="0.2">
      <c r="A241" s="32">
        <v>222</v>
      </c>
      <c r="B241" s="32">
        <v>19</v>
      </c>
      <c r="C241" s="32">
        <v>6</v>
      </c>
      <c r="D241" s="32" t="str">
        <f t="shared" ca="1" si="66"/>
        <v>Nem</v>
      </c>
      <c r="E241" s="13">
        <f t="shared" ca="1" si="67"/>
        <v>0</v>
      </c>
      <c r="F241" s="13"/>
      <c r="G241" s="13"/>
      <c r="H241" s="13"/>
      <c r="I241" s="13">
        <f t="shared" ca="1" si="68"/>
        <v>0</v>
      </c>
      <c r="J241" s="13">
        <f t="shared" ca="1" si="69"/>
        <v>0</v>
      </c>
      <c r="K241" s="13">
        <f t="shared" ca="1" si="70"/>
        <v>0</v>
      </c>
      <c r="L241" s="13" t="e">
        <f ca="1">ROUNDUP(IF($D$2="Egyszeri",$E241,IF($D$2="Havi",SUM($E$20:$E$31),IF(MOD($C241,$M$1)-1=0,SUM($E$20:$E$31),0))/12*$M$1)*VLOOKUP($B241,Paraméterek!$I$28:$P$31,IF($D$2="Egyszeri",8,HLOOKUP(ROUNDUP($M$11+$M$13,0),Paraméterek!$J$26:$O$27,2))),IF($D$4="Forint",0,2))</f>
        <v>#N/A</v>
      </c>
      <c r="M241" s="13">
        <f t="shared" ca="1" si="71"/>
        <v>0</v>
      </c>
      <c r="N241" s="13">
        <f t="shared" ca="1" si="81"/>
        <v>0</v>
      </c>
      <c r="O241" s="13">
        <f ca="1">IF($D241="Igen",IF($W240&gt;=IF($D$4="Forint",Paraméterek!$J$121,Paraméterek!$K$121),0,IF($D$4="Forint",Paraméterek!$J$121,Paraméterek!$K$121)-$W240),0)</f>
        <v>0</v>
      </c>
      <c r="P241" s="13" t="e">
        <f ca="1">ROUNDUP($O241*VLOOKUP($M$4+$B241-1,Paraméterek!$H$58:$I$105,2,0)/Paraméterek!$I$56,IF($D$4="Forint",0,2))</f>
        <v>#N/A</v>
      </c>
      <c r="Q241" s="13">
        <f t="shared" ca="1" si="72"/>
        <v>0</v>
      </c>
      <c r="R241" s="33"/>
      <c r="S241" s="13" t="e">
        <f t="shared" ca="1" si="73"/>
        <v>#N/A</v>
      </c>
      <c r="T241" s="13" t="e">
        <f ca="1">ROUNDUP(($N241-$P241-$Q241+$S241)*VLOOKUP($B241,Paraméterek!$I$38:$K$39,IF($D$2="Egyszeri",3,2))/12*IF($D242="Nem",IF($M$13=0,1,$M$13),1),IF($D$4="Forint",0,2))</f>
        <v>#N/A</v>
      </c>
      <c r="U241" s="13"/>
      <c r="V241" s="13"/>
      <c r="W241" s="13" t="e">
        <f ca="1">$N241-$P241-$Q241+$S241-$T241-IF(ROUNDUP(IF(ISBLANK($V241),$U241*0,$V241)/IF($D$2="Egyszeri",VLOOKUP($B241+IF($C241=12,1,0),Paraméterek!$V$257:$W$262,2),IF($B241=1,1,VLOOKUP($B241+IF($C241=12,1,0),Paraméterek!$I$258:$T$278,HLOOKUP($M$11+1,Paraméterek!$J$256:$T$257,2)))),IF($D$4="Forint",0,2))&gt;$N241-$P241-$Q241+$S241-$T241-IF($D$4="Forint",Paraméterek!$C$216,Paraméterek!$D$216),0,ROUNDUP(IF(ISBLANK($V241),$U241*0,$V241)/IF($D$2="Egyszeri",VLOOKUP($B241+IF($C241=12,1,0),Paraméterek!$V$257:$W$262,2),IF($B241=1,1,VLOOKUP($B241+IF($C241=12,1,0),Paraméterek!$I$258:$T$278,HLOOKUP($M$11+1,Paraméterek!$J$256:$T$257,2)))),IF($D$4="Forint",0,2)))</f>
        <v>#N/A</v>
      </c>
      <c r="X241" s="13" t="e">
        <f ca="1">ROUNDDOWN($W241*IF($D$2="Egyszeri",VLOOKUP($B241+IF($C241=12,1,0),Paraméterek!$V$257:$W$262,2),VLOOKUP($B241+IF($C241=12,1,0),Paraméterek!$I$258:$T$278,HLOOKUP($M$11+1,Paraméterek!$I$256:$T$257,2))),IF($D$4="Forint",0,2))</f>
        <v>#N/A</v>
      </c>
      <c r="Z241" s="32">
        <v>222</v>
      </c>
      <c r="AA241" s="32">
        <v>19</v>
      </c>
      <c r="AB241" s="32">
        <v>6</v>
      </c>
      <c r="AC241" s="13">
        <f t="shared" ca="1" si="82"/>
        <v>0</v>
      </c>
      <c r="AD241" s="33"/>
      <c r="AE241" s="13">
        <f t="shared" ca="1" si="74"/>
        <v>0</v>
      </c>
      <c r="AF241" s="13">
        <f ca="1">ROUNDUP(($AC241+$AE241)*VLOOKUP($AA241,Paraméterek!$P$38:$Q$38,2)/12*IF($D242="Nem",IF($M$13=0,1,$M$13),1),IF($D$4="Forint",0,2))</f>
        <v>0</v>
      </c>
      <c r="AG241" s="13">
        <f ca="1">IF($D$2="Egyszeri",IF($D$7&gt;=IF($D$4="Forint",Paraméterek!$P$223,Paraméterek!$P$224),$D$7-IF($D$4="Forint",Paraméterek!$P$223,Paraméterek!$P$224),0),MIN(IF($AB241=12,AVERAGEIF($E$20:$E241,"&gt;0",$E$20:$E241)*12,0),SUM($E$20:$E$31)))</f>
        <v>0</v>
      </c>
      <c r="AH241" s="13">
        <f>IF($AA241=10,$AG241*IF($AB241=12,IF($AG241&lt;IF($D$4="Forint",Paraméterek!$L$223,Paraméterek!$L$224),0,VLOOKUP($AA241,Paraméterek!$K$226:$M$228,IF($AG241&lt;IF($D$4="Forint",Paraméterek!$M$223,Paraméterek!$M$224),2,3))),0),0)</f>
        <v>0</v>
      </c>
      <c r="AI241" s="13">
        <f ca="1">IF(AND($AA241=$M$11+1,$AB241=$M$12+1),SUMIF($AA$20:$AA$1027,$AA241,$AG$20:$AG$1027)*IF(SUMIF($AA$20:$AA$1027,$AA241,$AG$20:$AG$1027)&lt;IF($D$4="Forint",Paraméterek!$L$223,Paraméterek!$L$224),0,VLOOKUP($AA241,Paraméterek!$K$230:$M$250,IF(SUMIF($AA$20:$AA$1027,$AA241,$AG$20:$AG$1027)&lt;IF($D$4="Forint",Paraméterek!$M$223,Paraméterek!$M$224),2,3))),0)</f>
        <v>0</v>
      </c>
      <c r="AJ241" s="13">
        <f ca="1">IF(AND($AA241&gt;=5,MOD($AA241,5)=0),IF($AB241=12,VLOOKUP($AA241,Paraméterek!$O$225:$P$240,2),0),IF(OR($AA241=3,$AA241=4),IF($AB241=12,VLOOKUP($AA241,Paraméterek!$O$225:$P$240,2,0),0),0))*$AG241</f>
        <v>0</v>
      </c>
      <c r="AK241" s="13">
        <f t="shared" ca="1" si="75"/>
        <v>0</v>
      </c>
      <c r="AL241" s="13">
        <f t="shared" ca="1" si="83"/>
        <v>0</v>
      </c>
      <c r="AM241" s="13">
        <f t="shared" ca="1" si="84"/>
        <v>0</v>
      </c>
      <c r="AO241" s="32">
        <v>222</v>
      </c>
      <c r="AP241" s="32">
        <v>19</v>
      </c>
      <c r="AQ241" s="32">
        <v>6</v>
      </c>
      <c r="AR241" s="13"/>
      <c r="AS241" s="32"/>
      <c r="AT241" s="13">
        <f t="shared" ca="1" si="85"/>
        <v>0</v>
      </c>
      <c r="AU241" s="33"/>
      <c r="AV241" s="13">
        <f t="shared" ca="1" si="76"/>
        <v>0</v>
      </c>
      <c r="AW241" s="13">
        <f ca="1">ROUNDUP(($AT241+$AV241)*VLOOKUP($AP241,Paraméterek!$P$38:$Q$38,2)/12*IF($D242="Nem",IF($M$13=0,1,$M$13),1),IF($D$4="Forint",0,2))</f>
        <v>0</v>
      </c>
      <c r="AX241" s="13"/>
      <c r="AY241" s="13"/>
      <c r="AZ241" s="13">
        <f>ROUNDUP(IF(SUM($AX241:$AY241)=0,0,IF(IF(ISBLANK($AY241),$AX241,$AY241)*Paraméterek!$J$112&lt;IF($D$4="Forint",Paraméterek!$J$113,Paraméterek!$K$113),IF($D$4="Forint",Paraméterek!$J$113,Paraméterek!$K$113),IF(IF(ISBLANK($AY241),$AX241,$AY241)*Paraméterek!$J$112&gt;IF($D$4="Forint",Paraméterek!$J$114,Paraméterek!$K$114),IF($D$4="Forint",Paraméterek!$J$114,Paraméterek!$K$114),IF(ISBLANK($AY241),$AX241,$AY241)*Paraméterek!$J$112))),IF($D$4="Forint",0,2))</f>
        <v>0</v>
      </c>
      <c r="BA241" s="13">
        <f ca="1">$AT241+$AV241-$AW241-IF(ROUNDDOWN(IF(ISBLANK($AY241),$AX241,$AY241),IF($D$4="Forint",0,2))&gt;$AT241+$AV241-$AW241-IF($D$4="Forint",Paraméterek!$J$114,Paraméterek!$K$114),0,ROUNDDOWN(IF(ISBLANK($AY241),$AX241,$AY241),IF($D$4="Forint",0,2))-$AZ241)</f>
        <v>0</v>
      </c>
      <c r="BB241" s="13">
        <f t="shared" ca="1" si="77"/>
        <v>0</v>
      </c>
      <c r="BD241" s="32">
        <v>222</v>
      </c>
      <c r="BE241" s="32">
        <v>19</v>
      </c>
      <c r="BF241" s="32">
        <v>6</v>
      </c>
      <c r="BG241" s="34">
        <f t="shared" ca="1" si="86"/>
        <v>2037</v>
      </c>
      <c r="BH241" s="32" t="str">
        <f ca="1">IF(MOD(MONTH($D$14)+$BD241-1,12)=Paraméterek!$C$288,"Igen","")</f>
        <v/>
      </c>
      <c r="BI241" s="13">
        <f ca="1">IF($BH241="Igen",MIN(ROUNDDOWN((SUMIF($BG$20:$BG$1027,$BG241-1,$K$20:$K$1027)-SUMIF($BG$20:$BG$1027,$BG241-1,$I$20:$I$1027))*Paraméterek!$C$289,IF($D$4="Forint",0,2)),IF($D$4="Forint",Paraméterek!$C$285,Paraméterek!$D$285)),0)</f>
        <v>0</v>
      </c>
      <c r="BJ241" s="13">
        <f t="shared" ca="1" si="78"/>
        <v>0</v>
      </c>
      <c r="BK241" s="13">
        <f t="shared" ca="1" si="87"/>
        <v>0</v>
      </c>
      <c r="BL241" s="33"/>
      <c r="BM241" s="13">
        <f t="shared" ca="1" si="79"/>
        <v>0</v>
      </c>
      <c r="BN241" s="13">
        <f ca="1">ROUNDUP(($BK241+$BM241)*VLOOKUP($BE241,Paraméterek!$P$38:$Q$38,2)/12*IF($D242="Nem",IF($M$13=0,1,$M$13),1),IF($D$4="Forint",0,2))</f>
        <v>0</v>
      </c>
      <c r="BO241" s="13">
        <f t="shared" ca="1" si="80"/>
        <v>0</v>
      </c>
      <c r="BP241" s="13">
        <f ca="1">IF($D242="Nem",$BO241,$BO241-ROUNDUP(SUM($BI$20:$BI241)*120%,IF($D$4="Forint",0,2)))</f>
        <v>0</v>
      </c>
    </row>
    <row r="242" spans="1:68" x14ac:dyDescent="0.2">
      <c r="A242" s="32">
        <v>223</v>
      </c>
      <c r="B242" s="32">
        <v>19</v>
      </c>
      <c r="C242" s="32">
        <v>7</v>
      </c>
      <c r="D242" s="32" t="str">
        <f t="shared" ca="1" si="66"/>
        <v>Nem</v>
      </c>
      <c r="E242" s="13">
        <f t="shared" ca="1" si="67"/>
        <v>0</v>
      </c>
      <c r="F242" s="13"/>
      <c r="G242" s="13"/>
      <c r="H242" s="13"/>
      <c r="I242" s="13">
        <f t="shared" ca="1" si="68"/>
        <v>0</v>
      </c>
      <c r="J242" s="13">
        <f t="shared" ca="1" si="69"/>
        <v>0</v>
      </c>
      <c r="K242" s="13">
        <f t="shared" ca="1" si="70"/>
        <v>0</v>
      </c>
      <c r="L242" s="13" t="e">
        <f ca="1">ROUNDUP(IF($D$2="Egyszeri",$E242,IF($D$2="Havi",SUM($E$20:$E$31),IF(MOD($C242,$M$1)-1=0,SUM($E$20:$E$31),0))/12*$M$1)*VLOOKUP($B242,Paraméterek!$I$28:$P$31,IF($D$2="Egyszeri",8,HLOOKUP(ROUNDUP($M$11+$M$13,0),Paraméterek!$J$26:$O$27,2))),IF($D$4="Forint",0,2))</f>
        <v>#N/A</v>
      </c>
      <c r="M242" s="13">
        <f t="shared" ca="1" si="71"/>
        <v>0</v>
      </c>
      <c r="N242" s="13">
        <f t="shared" ca="1" si="81"/>
        <v>0</v>
      </c>
      <c r="O242" s="13">
        <f ca="1">IF($D242="Igen",IF($W241&gt;=IF($D$4="Forint",Paraméterek!$J$121,Paraméterek!$K$121),0,IF($D$4="Forint",Paraméterek!$J$121,Paraméterek!$K$121)-$W241),0)</f>
        <v>0</v>
      </c>
      <c r="P242" s="13" t="e">
        <f ca="1">ROUNDUP($O242*VLOOKUP($M$4+$B242-1,Paraméterek!$H$58:$I$105,2,0)/Paraméterek!$I$56,IF($D$4="Forint",0,2))</f>
        <v>#N/A</v>
      </c>
      <c r="Q242" s="13">
        <f t="shared" ca="1" si="72"/>
        <v>0</v>
      </c>
      <c r="R242" s="33"/>
      <c r="S242" s="13" t="e">
        <f t="shared" ca="1" si="73"/>
        <v>#N/A</v>
      </c>
      <c r="T242" s="13" t="e">
        <f ca="1">ROUNDUP(($N242-$P242-$Q242+$S242)*VLOOKUP($B242,Paraméterek!$I$38:$K$39,IF($D$2="Egyszeri",3,2))/12*IF($D243="Nem",IF($M$13=0,1,$M$13),1),IF($D$4="Forint",0,2))</f>
        <v>#N/A</v>
      </c>
      <c r="U242" s="13"/>
      <c r="V242" s="13"/>
      <c r="W242" s="13" t="e">
        <f ca="1">$N242-$P242-$Q242+$S242-$T242-IF(ROUNDUP(IF(ISBLANK($V242),$U242*0,$V242)/IF($D$2="Egyszeri",VLOOKUP($B242+IF($C242=12,1,0),Paraméterek!$V$257:$W$262,2),IF($B242=1,1,VLOOKUP($B242+IF($C242=12,1,0),Paraméterek!$I$258:$T$278,HLOOKUP($M$11+1,Paraméterek!$J$256:$T$257,2)))),IF($D$4="Forint",0,2))&gt;$N242-$P242-$Q242+$S242-$T242-IF($D$4="Forint",Paraméterek!$C$216,Paraméterek!$D$216),0,ROUNDUP(IF(ISBLANK($V242),$U242*0,$V242)/IF($D$2="Egyszeri",VLOOKUP($B242+IF($C242=12,1,0),Paraméterek!$V$257:$W$262,2),IF($B242=1,1,VLOOKUP($B242+IF($C242=12,1,0),Paraméterek!$I$258:$T$278,HLOOKUP($M$11+1,Paraméterek!$J$256:$T$257,2)))),IF($D$4="Forint",0,2)))</f>
        <v>#N/A</v>
      </c>
      <c r="X242" s="13" t="e">
        <f ca="1">ROUNDDOWN($W242*IF($D$2="Egyszeri",VLOOKUP($B242+IF($C242=12,1,0),Paraméterek!$V$257:$W$262,2),VLOOKUP($B242+IF($C242=12,1,0),Paraméterek!$I$258:$T$278,HLOOKUP($M$11+1,Paraméterek!$I$256:$T$257,2))),IF($D$4="Forint",0,2))</f>
        <v>#N/A</v>
      </c>
      <c r="Z242" s="32">
        <v>223</v>
      </c>
      <c r="AA242" s="32">
        <v>19</v>
      </c>
      <c r="AB242" s="32">
        <v>7</v>
      </c>
      <c r="AC242" s="13">
        <f t="shared" ca="1" si="82"/>
        <v>0</v>
      </c>
      <c r="AD242" s="33"/>
      <c r="AE242" s="13">
        <f t="shared" ca="1" si="74"/>
        <v>0</v>
      </c>
      <c r="AF242" s="13">
        <f ca="1">ROUNDUP(($AC242+$AE242)*VLOOKUP($AA242,Paraméterek!$P$38:$Q$38,2)/12*IF($D243="Nem",IF($M$13=0,1,$M$13),1),IF($D$4="Forint",0,2))</f>
        <v>0</v>
      </c>
      <c r="AG242" s="13">
        <f ca="1">IF($D$2="Egyszeri",IF($D$7&gt;=IF($D$4="Forint",Paraméterek!$P$223,Paraméterek!$P$224),$D$7-IF($D$4="Forint",Paraméterek!$P$223,Paraméterek!$P$224),0),MIN(IF($AB242=12,AVERAGEIF($E$20:$E242,"&gt;0",$E$20:$E242)*12,0),SUM($E$20:$E$31)))</f>
        <v>0</v>
      </c>
      <c r="AH242" s="13">
        <f>IF($AA242=10,$AG242*IF($AB242=12,IF($AG242&lt;IF($D$4="Forint",Paraméterek!$L$223,Paraméterek!$L$224),0,VLOOKUP($AA242,Paraméterek!$K$226:$M$228,IF($AG242&lt;IF($D$4="Forint",Paraméterek!$M$223,Paraméterek!$M$224),2,3))),0),0)</f>
        <v>0</v>
      </c>
      <c r="AI242" s="13">
        <f ca="1">IF(AND($AA242=$M$11+1,$AB242=$M$12+1),SUMIF($AA$20:$AA$1027,$AA242,$AG$20:$AG$1027)*IF(SUMIF($AA$20:$AA$1027,$AA242,$AG$20:$AG$1027)&lt;IF($D$4="Forint",Paraméterek!$L$223,Paraméterek!$L$224),0,VLOOKUP($AA242,Paraméterek!$K$230:$M$250,IF(SUMIF($AA$20:$AA$1027,$AA242,$AG$20:$AG$1027)&lt;IF($D$4="Forint",Paraméterek!$M$223,Paraméterek!$M$224),2,3))),0)</f>
        <v>0</v>
      </c>
      <c r="AJ242" s="13">
        <f ca="1">IF(AND($AA242&gt;=5,MOD($AA242,5)=0),IF($AB242=12,VLOOKUP($AA242,Paraméterek!$O$225:$P$240,2),0),IF(OR($AA242=3,$AA242=4),IF($AB242=12,VLOOKUP($AA242,Paraméterek!$O$225:$P$240,2,0),0),0))*$AG242</f>
        <v>0</v>
      </c>
      <c r="AK242" s="13">
        <f t="shared" ca="1" si="75"/>
        <v>0</v>
      </c>
      <c r="AL242" s="13">
        <f t="shared" ca="1" si="83"/>
        <v>0</v>
      </c>
      <c r="AM242" s="13">
        <f t="shared" ca="1" si="84"/>
        <v>0</v>
      </c>
      <c r="AO242" s="32">
        <v>223</v>
      </c>
      <c r="AP242" s="32">
        <v>19</v>
      </c>
      <c r="AQ242" s="32">
        <v>7</v>
      </c>
      <c r="AR242" s="13"/>
      <c r="AS242" s="32"/>
      <c r="AT242" s="13">
        <f t="shared" ca="1" si="85"/>
        <v>0</v>
      </c>
      <c r="AU242" s="33"/>
      <c r="AV242" s="13">
        <f t="shared" ca="1" si="76"/>
        <v>0</v>
      </c>
      <c r="AW242" s="13">
        <f ca="1">ROUNDUP(($AT242+$AV242)*VLOOKUP($AP242,Paraméterek!$P$38:$Q$38,2)/12*IF($D243="Nem",IF($M$13=0,1,$M$13),1),IF($D$4="Forint",0,2))</f>
        <v>0</v>
      </c>
      <c r="AX242" s="13"/>
      <c r="AY242" s="13"/>
      <c r="AZ242" s="13">
        <f>ROUNDUP(IF(SUM($AX242:$AY242)=0,0,IF(IF(ISBLANK($AY242),$AX242,$AY242)*Paraméterek!$J$112&lt;IF($D$4="Forint",Paraméterek!$J$113,Paraméterek!$K$113),IF($D$4="Forint",Paraméterek!$J$113,Paraméterek!$K$113),IF(IF(ISBLANK($AY242),$AX242,$AY242)*Paraméterek!$J$112&gt;IF($D$4="Forint",Paraméterek!$J$114,Paraméterek!$K$114),IF($D$4="Forint",Paraméterek!$J$114,Paraméterek!$K$114),IF(ISBLANK($AY242),$AX242,$AY242)*Paraméterek!$J$112))),IF($D$4="Forint",0,2))</f>
        <v>0</v>
      </c>
      <c r="BA242" s="13">
        <f ca="1">$AT242+$AV242-$AW242-IF(ROUNDDOWN(IF(ISBLANK($AY242),$AX242,$AY242),IF($D$4="Forint",0,2))&gt;$AT242+$AV242-$AW242-IF($D$4="Forint",Paraméterek!$J$114,Paraméterek!$K$114),0,ROUNDDOWN(IF(ISBLANK($AY242),$AX242,$AY242),IF($D$4="Forint",0,2))-$AZ242)</f>
        <v>0</v>
      </c>
      <c r="BB242" s="13">
        <f t="shared" ca="1" si="77"/>
        <v>0</v>
      </c>
      <c r="BD242" s="32">
        <v>223</v>
      </c>
      <c r="BE242" s="32">
        <v>19</v>
      </c>
      <c r="BF242" s="32">
        <v>7</v>
      </c>
      <c r="BG242" s="34">
        <f t="shared" ca="1" si="86"/>
        <v>2037</v>
      </c>
      <c r="BH242" s="32" t="str">
        <f ca="1">IF(MOD(MONTH($D$14)+$BD242-1,12)=Paraméterek!$C$288,"Igen","")</f>
        <v/>
      </c>
      <c r="BI242" s="13">
        <f ca="1">IF($BH242="Igen",MIN(ROUNDDOWN((SUMIF($BG$20:$BG$1027,$BG242-1,$K$20:$K$1027)-SUMIF($BG$20:$BG$1027,$BG242-1,$I$20:$I$1027))*Paraméterek!$C$289,IF($D$4="Forint",0,2)),IF($D$4="Forint",Paraméterek!$C$285,Paraméterek!$D$285)),0)</f>
        <v>0</v>
      </c>
      <c r="BJ242" s="13">
        <f t="shared" ca="1" si="78"/>
        <v>0</v>
      </c>
      <c r="BK242" s="13">
        <f t="shared" ca="1" si="87"/>
        <v>0</v>
      </c>
      <c r="BL242" s="33"/>
      <c r="BM242" s="13">
        <f t="shared" ca="1" si="79"/>
        <v>0</v>
      </c>
      <c r="BN242" s="13">
        <f ca="1">ROUNDUP(($BK242+$BM242)*VLOOKUP($BE242,Paraméterek!$P$38:$Q$38,2)/12*IF($D243="Nem",IF($M$13=0,1,$M$13),1),IF($D$4="Forint",0,2))</f>
        <v>0</v>
      </c>
      <c r="BO242" s="13">
        <f t="shared" ca="1" si="80"/>
        <v>0</v>
      </c>
      <c r="BP242" s="13">
        <f ca="1">IF($D243="Nem",$BO242,$BO242-ROUNDUP(SUM($BI$20:$BI242)*120%,IF($D$4="Forint",0,2)))</f>
        <v>0</v>
      </c>
    </row>
    <row r="243" spans="1:68" x14ac:dyDescent="0.2">
      <c r="A243" s="32">
        <v>224</v>
      </c>
      <c r="B243" s="32">
        <v>19</v>
      </c>
      <c r="C243" s="32">
        <v>8</v>
      </c>
      <c r="D243" s="32" t="str">
        <f t="shared" ca="1" si="66"/>
        <v>Nem</v>
      </c>
      <c r="E243" s="13">
        <f t="shared" ca="1" si="67"/>
        <v>0</v>
      </c>
      <c r="F243" s="13"/>
      <c r="G243" s="13"/>
      <c r="H243" s="13"/>
      <c r="I243" s="13">
        <f t="shared" ca="1" si="68"/>
        <v>0</v>
      </c>
      <c r="J243" s="13">
        <f t="shared" ca="1" si="69"/>
        <v>0</v>
      </c>
      <c r="K243" s="13">
        <f t="shared" ca="1" si="70"/>
        <v>0</v>
      </c>
      <c r="L243" s="13" t="e">
        <f ca="1">ROUNDUP(IF($D$2="Egyszeri",$E243,IF($D$2="Havi",SUM($E$20:$E$31),IF(MOD($C243,$M$1)-1=0,SUM($E$20:$E$31),0))/12*$M$1)*VLOOKUP($B243,Paraméterek!$I$28:$P$31,IF($D$2="Egyszeri",8,HLOOKUP(ROUNDUP($M$11+$M$13,0),Paraméterek!$J$26:$O$27,2))),IF($D$4="Forint",0,2))</f>
        <v>#N/A</v>
      </c>
      <c r="M243" s="13">
        <f t="shared" ca="1" si="71"/>
        <v>0</v>
      </c>
      <c r="N243" s="13">
        <f t="shared" ca="1" si="81"/>
        <v>0</v>
      </c>
      <c r="O243" s="13">
        <f ca="1">IF($D243="Igen",IF($W242&gt;=IF($D$4="Forint",Paraméterek!$J$121,Paraméterek!$K$121),0,IF($D$4="Forint",Paraméterek!$J$121,Paraméterek!$K$121)-$W242),0)</f>
        <v>0</v>
      </c>
      <c r="P243" s="13" t="e">
        <f ca="1">ROUNDUP($O243*VLOOKUP($M$4+$B243-1,Paraméterek!$H$58:$I$105,2,0)/Paraméterek!$I$56,IF($D$4="Forint",0,2))</f>
        <v>#N/A</v>
      </c>
      <c r="Q243" s="13">
        <f t="shared" ca="1" si="72"/>
        <v>0</v>
      </c>
      <c r="R243" s="33"/>
      <c r="S243" s="13" t="e">
        <f t="shared" ca="1" si="73"/>
        <v>#N/A</v>
      </c>
      <c r="T243" s="13" t="e">
        <f ca="1">ROUNDUP(($N243-$P243-$Q243+$S243)*VLOOKUP($B243,Paraméterek!$I$38:$K$39,IF($D$2="Egyszeri",3,2))/12*IF($D244="Nem",IF($M$13=0,1,$M$13),1),IF($D$4="Forint",0,2))</f>
        <v>#N/A</v>
      </c>
      <c r="U243" s="13"/>
      <c r="V243" s="13"/>
      <c r="W243" s="13" t="e">
        <f ca="1">$N243-$P243-$Q243+$S243-$T243-IF(ROUNDUP(IF(ISBLANK($V243),$U243*0,$V243)/IF($D$2="Egyszeri",VLOOKUP($B243+IF($C243=12,1,0),Paraméterek!$V$257:$W$262,2),IF($B243=1,1,VLOOKUP($B243+IF($C243=12,1,0),Paraméterek!$I$258:$T$278,HLOOKUP($M$11+1,Paraméterek!$J$256:$T$257,2)))),IF($D$4="Forint",0,2))&gt;$N243-$P243-$Q243+$S243-$T243-IF($D$4="Forint",Paraméterek!$C$216,Paraméterek!$D$216),0,ROUNDUP(IF(ISBLANK($V243),$U243*0,$V243)/IF($D$2="Egyszeri",VLOOKUP($B243+IF($C243=12,1,0),Paraméterek!$V$257:$W$262,2),IF($B243=1,1,VLOOKUP($B243+IF($C243=12,1,0),Paraméterek!$I$258:$T$278,HLOOKUP($M$11+1,Paraméterek!$J$256:$T$257,2)))),IF($D$4="Forint",0,2)))</f>
        <v>#N/A</v>
      </c>
      <c r="X243" s="13" t="e">
        <f ca="1">ROUNDDOWN($W243*IF($D$2="Egyszeri",VLOOKUP($B243+IF($C243=12,1,0),Paraméterek!$V$257:$W$262,2),VLOOKUP($B243+IF($C243=12,1,0),Paraméterek!$I$258:$T$278,HLOOKUP($M$11+1,Paraméterek!$I$256:$T$257,2))),IF($D$4="Forint",0,2))</f>
        <v>#N/A</v>
      </c>
      <c r="Z243" s="32">
        <v>224</v>
      </c>
      <c r="AA243" s="32">
        <v>19</v>
      </c>
      <c r="AB243" s="32">
        <v>8</v>
      </c>
      <c r="AC243" s="13">
        <f t="shared" ca="1" si="82"/>
        <v>0</v>
      </c>
      <c r="AD243" s="33"/>
      <c r="AE243" s="13">
        <f t="shared" ca="1" si="74"/>
        <v>0</v>
      </c>
      <c r="AF243" s="13">
        <f ca="1">ROUNDUP(($AC243+$AE243)*VLOOKUP($AA243,Paraméterek!$P$38:$Q$38,2)/12*IF($D244="Nem",IF($M$13=0,1,$M$13),1),IF($D$4="Forint",0,2))</f>
        <v>0</v>
      </c>
      <c r="AG243" s="13">
        <f ca="1">IF($D$2="Egyszeri",IF($D$7&gt;=IF($D$4="Forint",Paraméterek!$P$223,Paraméterek!$P$224),$D$7-IF($D$4="Forint",Paraméterek!$P$223,Paraméterek!$P$224),0),MIN(IF($AB243=12,AVERAGEIF($E$20:$E243,"&gt;0",$E$20:$E243)*12,0),SUM($E$20:$E$31)))</f>
        <v>0</v>
      </c>
      <c r="AH243" s="13">
        <f>IF($AA243=10,$AG243*IF($AB243=12,IF($AG243&lt;IF($D$4="Forint",Paraméterek!$L$223,Paraméterek!$L$224),0,VLOOKUP($AA243,Paraméterek!$K$226:$M$228,IF($AG243&lt;IF($D$4="Forint",Paraméterek!$M$223,Paraméterek!$M$224),2,3))),0),0)</f>
        <v>0</v>
      </c>
      <c r="AI243" s="13">
        <f ca="1">IF(AND($AA243=$M$11+1,$AB243=$M$12+1),SUMIF($AA$20:$AA$1027,$AA243,$AG$20:$AG$1027)*IF(SUMIF($AA$20:$AA$1027,$AA243,$AG$20:$AG$1027)&lt;IF($D$4="Forint",Paraméterek!$L$223,Paraméterek!$L$224),0,VLOOKUP($AA243,Paraméterek!$K$230:$M$250,IF(SUMIF($AA$20:$AA$1027,$AA243,$AG$20:$AG$1027)&lt;IF($D$4="Forint",Paraméterek!$M$223,Paraméterek!$M$224),2,3))),0)</f>
        <v>0</v>
      </c>
      <c r="AJ243" s="13">
        <f ca="1">IF(AND($AA243&gt;=5,MOD($AA243,5)=0),IF($AB243=12,VLOOKUP($AA243,Paraméterek!$O$225:$P$240,2),0),IF(OR($AA243=3,$AA243=4),IF($AB243=12,VLOOKUP($AA243,Paraméterek!$O$225:$P$240,2,0),0),0))*$AG243</f>
        <v>0</v>
      </c>
      <c r="AK243" s="13">
        <f t="shared" ca="1" si="75"/>
        <v>0</v>
      </c>
      <c r="AL243" s="13">
        <f t="shared" ca="1" si="83"/>
        <v>0</v>
      </c>
      <c r="AM243" s="13">
        <f t="shared" ca="1" si="84"/>
        <v>0</v>
      </c>
      <c r="AO243" s="32">
        <v>224</v>
      </c>
      <c r="AP243" s="32">
        <v>19</v>
      </c>
      <c r="AQ243" s="32">
        <v>8</v>
      </c>
      <c r="AR243" s="13"/>
      <c r="AS243" s="32"/>
      <c r="AT243" s="13">
        <f t="shared" ca="1" si="85"/>
        <v>0</v>
      </c>
      <c r="AU243" s="33"/>
      <c r="AV243" s="13">
        <f t="shared" ca="1" si="76"/>
        <v>0</v>
      </c>
      <c r="AW243" s="13">
        <f ca="1">ROUNDUP(($AT243+$AV243)*VLOOKUP($AP243,Paraméterek!$P$38:$Q$38,2)/12*IF($D244="Nem",IF($M$13=0,1,$M$13),1),IF($D$4="Forint",0,2))</f>
        <v>0</v>
      </c>
      <c r="AX243" s="13"/>
      <c r="AY243" s="13"/>
      <c r="AZ243" s="13">
        <f>ROUNDUP(IF(SUM($AX243:$AY243)=0,0,IF(IF(ISBLANK($AY243),$AX243,$AY243)*Paraméterek!$J$112&lt;IF($D$4="Forint",Paraméterek!$J$113,Paraméterek!$K$113),IF($D$4="Forint",Paraméterek!$J$113,Paraméterek!$K$113),IF(IF(ISBLANK($AY243),$AX243,$AY243)*Paraméterek!$J$112&gt;IF($D$4="Forint",Paraméterek!$J$114,Paraméterek!$K$114),IF($D$4="Forint",Paraméterek!$J$114,Paraméterek!$K$114),IF(ISBLANK($AY243),$AX243,$AY243)*Paraméterek!$J$112))),IF($D$4="Forint",0,2))</f>
        <v>0</v>
      </c>
      <c r="BA243" s="13">
        <f ca="1">$AT243+$AV243-$AW243-IF(ROUNDDOWN(IF(ISBLANK($AY243),$AX243,$AY243),IF($D$4="Forint",0,2))&gt;$AT243+$AV243-$AW243-IF($D$4="Forint",Paraméterek!$J$114,Paraméterek!$K$114),0,ROUNDDOWN(IF(ISBLANK($AY243),$AX243,$AY243),IF($D$4="Forint",0,2))-$AZ243)</f>
        <v>0</v>
      </c>
      <c r="BB243" s="13">
        <f t="shared" ca="1" si="77"/>
        <v>0</v>
      </c>
      <c r="BD243" s="32">
        <v>224</v>
      </c>
      <c r="BE243" s="32">
        <v>19</v>
      </c>
      <c r="BF243" s="32">
        <v>8</v>
      </c>
      <c r="BG243" s="34">
        <f t="shared" ca="1" si="86"/>
        <v>2038</v>
      </c>
      <c r="BH243" s="32" t="str">
        <f ca="1">IF(MOD(MONTH($D$14)+$BD243-1,12)=Paraméterek!$C$288,"Igen","")</f>
        <v/>
      </c>
      <c r="BI243" s="13">
        <f ca="1">IF($BH243="Igen",MIN(ROUNDDOWN((SUMIF($BG$20:$BG$1027,$BG243-1,$K$20:$K$1027)-SUMIF($BG$20:$BG$1027,$BG243-1,$I$20:$I$1027))*Paraméterek!$C$289,IF($D$4="Forint",0,2)),IF($D$4="Forint",Paraméterek!$C$285,Paraméterek!$D$285)),0)</f>
        <v>0</v>
      </c>
      <c r="BJ243" s="13">
        <f t="shared" ca="1" si="78"/>
        <v>0</v>
      </c>
      <c r="BK243" s="13">
        <f t="shared" ca="1" si="87"/>
        <v>0</v>
      </c>
      <c r="BL243" s="33"/>
      <c r="BM243" s="13">
        <f t="shared" ca="1" si="79"/>
        <v>0</v>
      </c>
      <c r="BN243" s="13">
        <f ca="1">ROUNDUP(($BK243+$BM243)*VLOOKUP($BE243,Paraméterek!$P$38:$Q$38,2)/12*IF($D244="Nem",IF($M$13=0,1,$M$13),1),IF($D$4="Forint",0,2))</f>
        <v>0</v>
      </c>
      <c r="BO243" s="13">
        <f t="shared" ca="1" si="80"/>
        <v>0</v>
      </c>
      <c r="BP243" s="13">
        <f ca="1">IF($D244="Nem",$BO243,$BO243-ROUNDUP(SUM($BI$20:$BI243)*120%,IF($D$4="Forint",0,2)))</f>
        <v>0</v>
      </c>
    </row>
    <row r="244" spans="1:68" x14ac:dyDescent="0.2">
      <c r="A244" s="32">
        <v>225</v>
      </c>
      <c r="B244" s="32">
        <v>19</v>
      </c>
      <c r="C244" s="32">
        <v>9</v>
      </c>
      <c r="D244" s="32" t="str">
        <f t="shared" ca="1" si="66"/>
        <v>Nem</v>
      </c>
      <c r="E244" s="13">
        <f t="shared" ca="1" si="67"/>
        <v>0</v>
      </c>
      <c r="F244" s="13"/>
      <c r="G244" s="13"/>
      <c r="H244" s="13"/>
      <c r="I244" s="13">
        <f t="shared" ca="1" si="68"/>
        <v>0</v>
      </c>
      <c r="J244" s="13">
        <f t="shared" ca="1" si="69"/>
        <v>0</v>
      </c>
      <c r="K244" s="13">
        <f t="shared" ca="1" si="70"/>
        <v>0</v>
      </c>
      <c r="L244" s="13" t="e">
        <f ca="1">ROUNDUP(IF($D$2="Egyszeri",$E244,IF($D$2="Havi",SUM($E$20:$E$31),IF(MOD($C244,$M$1)-1=0,SUM($E$20:$E$31),0))/12*$M$1)*VLOOKUP($B244,Paraméterek!$I$28:$P$31,IF($D$2="Egyszeri",8,HLOOKUP(ROUNDUP($M$11+$M$13,0),Paraméterek!$J$26:$O$27,2))),IF($D$4="Forint",0,2))</f>
        <v>#N/A</v>
      </c>
      <c r="M244" s="13">
        <f t="shared" ca="1" si="71"/>
        <v>0</v>
      </c>
      <c r="N244" s="13">
        <f t="shared" ca="1" si="81"/>
        <v>0</v>
      </c>
      <c r="O244" s="13">
        <f ca="1">IF($D244="Igen",IF($W243&gt;=IF($D$4="Forint",Paraméterek!$J$121,Paraméterek!$K$121),0,IF($D$4="Forint",Paraméterek!$J$121,Paraméterek!$K$121)-$W243),0)</f>
        <v>0</v>
      </c>
      <c r="P244" s="13" t="e">
        <f ca="1">ROUNDUP($O244*VLOOKUP($M$4+$B244-1,Paraméterek!$H$58:$I$105,2,0)/Paraméterek!$I$56,IF($D$4="Forint",0,2))</f>
        <v>#N/A</v>
      </c>
      <c r="Q244" s="13">
        <f t="shared" ca="1" si="72"/>
        <v>0</v>
      </c>
      <c r="R244" s="33"/>
      <c r="S244" s="13" t="e">
        <f t="shared" ca="1" si="73"/>
        <v>#N/A</v>
      </c>
      <c r="T244" s="13" t="e">
        <f ca="1">ROUNDUP(($N244-$P244-$Q244+$S244)*VLOOKUP($B244,Paraméterek!$I$38:$K$39,IF($D$2="Egyszeri",3,2))/12*IF($D245="Nem",IF($M$13=0,1,$M$13),1),IF($D$4="Forint",0,2))</f>
        <v>#N/A</v>
      </c>
      <c r="U244" s="13"/>
      <c r="V244" s="13"/>
      <c r="W244" s="13" t="e">
        <f ca="1">$N244-$P244-$Q244+$S244-$T244-IF(ROUNDUP(IF(ISBLANK($V244),$U244*0,$V244)/IF($D$2="Egyszeri",VLOOKUP($B244+IF($C244=12,1,0),Paraméterek!$V$257:$W$262,2),IF($B244=1,1,VLOOKUP($B244+IF($C244=12,1,0),Paraméterek!$I$258:$T$278,HLOOKUP($M$11+1,Paraméterek!$J$256:$T$257,2)))),IF($D$4="Forint",0,2))&gt;$N244-$P244-$Q244+$S244-$T244-IF($D$4="Forint",Paraméterek!$C$216,Paraméterek!$D$216),0,ROUNDUP(IF(ISBLANK($V244),$U244*0,$V244)/IF($D$2="Egyszeri",VLOOKUP($B244+IF($C244=12,1,0),Paraméterek!$V$257:$W$262,2),IF($B244=1,1,VLOOKUP($B244+IF($C244=12,1,0),Paraméterek!$I$258:$T$278,HLOOKUP($M$11+1,Paraméterek!$J$256:$T$257,2)))),IF($D$4="Forint",0,2)))</f>
        <v>#N/A</v>
      </c>
      <c r="X244" s="13" t="e">
        <f ca="1">ROUNDDOWN($W244*IF($D$2="Egyszeri",VLOOKUP($B244+IF($C244=12,1,0),Paraméterek!$V$257:$W$262,2),VLOOKUP($B244+IF($C244=12,1,0),Paraméterek!$I$258:$T$278,HLOOKUP($M$11+1,Paraméterek!$I$256:$T$257,2))),IF($D$4="Forint",0,2))</f>
        <v>#N/A</v>
      </c>
      <c r="Z244" s="32">
        <v>225</v>
      </c>
      <c r="AA244" s="32">
        <v>19</v>
      </c>
      <c r="AB244" s="32">
        <v>9</v>
      </c>
      <c r="AC244" s="13">
        <f t="shared" ca="1" si="82"/>
        <v>0</v>
      </c>
      <c r="AD244" s="33"/>
      <c r="AE244" s="13">
        <f t="shared" ca="1" si="74"/>
        <v>0</v>
      </c>
      <c r="AF244" s="13">
        <f ca="1">ROUNDUP(($AC244+$AE244)*VLOOKUP($AA244,Paraméterek!$P$38:$Q$38,2)/12*IF($D245="Nem",IF($M$13=0,1,$M$13),1),IF($D$4="Forint",0,2))</f>
        <v>0</v>
      </c>
      <c r="AG244" s="13">
        <f ca="1">IF($D$2="Egyszeri",IF($D$7&gt;=IF($D$4="Forint",Paraméterek!$P$223,Paraméterek!$P$224),$D$7-IF($D$4="Forint",Paraméterek!$P$223,Paraméterek!$P$224),0),MIN(IF($AB244=12,AVERAGEIF($E$20:$E244,"&gt;0",$E$20:$E244)*12,0),SUM($E$20:$E$31)))</f>
        <v>0</v>
      </c>
      <c r="AH244" s="13">
        <f>IF($AA244=10,$AG244*IF($AB244=12,IF($AG244&lt;IF($D$4="Forint",Paraméterek!$L$223,Paraméterek!$L$224),0,VLOOKUP($AA244,Paraméterek!$K$226:$M$228,IF($AG244&lt;IF($D$4="Forint",Paraméterek!$M$223,Paraméterek!$M$224),2,3))),0),0)</f>
        <v>0</v>
      </c>
      <c r="AI244" s="13">
        <f ca="1">IF(AND($AA244=$M$11+1,$AB244=$M$12+1),SUMIF($AA$20:$AA$1027,$AA244,$AG$20:$AG$1027)*IF(SUMIF($AA$20:$AA$1027,$AA244,$AG$20:$AG$1027)&lt;IF($D$4="Forint",Paraméterek!$L$223,Paraméterek!$L$224),0,VLOOKUP($AA244,Paraméterek!$K$230:$M$250,IF(SUMIF($AA$20:$AA$1027,$AA244,$AG$20:$AG$1027)&lt;IF($D$4="Forint",Paraméterek!$M$223,Paraméterek!$M$224),2,3))),0)</f>
        <v>0</v>
      </c>
      <c r="AJ244" s="13">
        <f ca="1">IF(AND($AA244&gt;=5,MOD($AA244,5)=0),IF($AB244=12,VLOOKUP($AA244,Paraméterek!$O$225:$P$240,2),0),IF(OR($AA244=3,$AA244=4),IF($AB244=12,VLOOKUP($AA244,Paraméterek!$O$225:$P$240,2,0),0),0))*$AG244</f>
        <v>0</v>
      </c>
      <c r="AK244" s="13">
        <f t="shared" ca="1" si="75"/>
        <v>0</v>
      </c>
      <c r="AL244" s="13">
        <f t="shared" ca="1" si="83"/>
        <v>0</v>
      </c>
      <c r="AM244" s="13">
        <f t="shared" ca="1" si="84"/>
        <v>0</v>
      </c>
      <c r="AO244" s="32">
        <v>225</v>
      </c>
      <c r="AP244" s="32">
        <v>19</v>
      </c>
      <c r="AQ244" s="32">
        <v>9</v>
      </c>
      <c r="AR244" s="13"/>
      <c r="AS244" s="32"/>
      <c r="AT244" s="13">
        <f t="shared" ca="1" si="85"/>
        <v>0</v>
      </c>
      <c r="AU244" s="33"/>
      <c r="AV244" s="13">
        <f t="shared" ca="1" si="76"/>
        <v>0</v>
      </c>
      <c r="AW244" s="13">
        <f ca="1">ROUNDUP(($AT244+$AV244)*VLOOKUP($AP244,Paraméterek!$P$38:$Q$38,2)/12*IF($D245="Nem",IF($M$13=0,1,$M$13),1),IF($D$4="Forint",0,2))</f>
        <v>0</v>
      </c>
      <c r="AX244" s="13"/>
      <c r="AY244" s="13"/>
      <c r="AZ244" s="13">
        <f>ROUNDUP(IF(SUM($AX244:$AY244)=0,0,IF(IF(ISBLANK($AY244),$AX244,$AY244)*Paraméterek!$J$112&lt;IF($D$4="Forint",Paraméterek!$J$113,Paraméterek!$K$113),IF($D$4="Forint",Paraméterek!$J$113,Paraméterek!$K$113),IF(IF(ISBLANK($AY244),$AX244,$AY244)*Paraméterek!$J$112&gt;IF($D$4="Forint",Paraméterek!$J$114,Paraméterek!$K$114),IF($D$4="Forint",Paraméterek!$J$114,Paraméterek!$K$114),IF(ISBLANK($AY244),$AX244,$AY244)*Paraméterek!$J$112))),IF($D$4="Forint",0,2))</f>
        <v>0</v>
      </c>
      <c r="BA244" s="13">
        <f ca="1">$AT244+$AV244-$AW244-IF(ROUNDDOWN(IF(ISBLANK($AY244),$AX244,$AY244),IF($D$4="Forint",0,2))&gt;$AT244+$AV244-$AW244-IF($D$4="Forint",Paraméterek!$J$114,Paraméterek!$K$114),0,ROUNDDOWN(IF(ISBLANK($AY244),$AX244,$AY244),IF($D$4="Forint",0,2))-$AZ244)</f>
        <v>0</v>
      </c>
      <c r="BB244" s="13">
        <f t="shared" ca="1" si="77"/>
        <v>0</v>
      </c>
      <c r="BD244" s="32">
        <v>225</v>
      </c>
      <c r="BE244" s="32">
        <v>19</v>
      </c>
      <c r="BF244" s="32">
        <v>9</v>
      </c>
      <c r="BG244" s="34">
        <f t="shared" ca="1" si="86"/>
        <v>2038</v>
      </c>
      <c r="BH244" s="32" t="str">
        <f ca="1">IF(MOD(MONTH($D$14)+$BD244-1,12)=Paraméterek!$C$288,"Igen","")</f>
        <v/>
      </c>
      <c r="BI244" s="13">
        <f ca="1">IF($BH244="Igen",MIN(ROUNDDOWN((SUMIF($BG$20:$BG$1027,$BG244-1,$K$20:$K$1027)-SUMIF($BG$20:$BG$1027,$BG244-1,$I$20:$I$1027))*Paraméterek!$C$289,IF($D$4="Forint",0,2)),IF($D$4="Forint",Paraméterek!$C$285,Paraméterek!$D$285)),0)</f>
        <v>0</v>
      </c>
      <c r="BJ244" s="13">
        <f t="shared" ca="1" si="78"/>
        <v>0</v>
      </c>
      <c r="BK244" s="13">
        <f t="shared" ca="1" si="87"/>
        <v>0</v>
      </c>
      <c r="BL244" s="33"/>
      <c r="BM244" s="13">
        <f t="shared" ca="1" si="79"/>
        <v>0</v>
      </c>
      <c r="BN244" s="13">
        <f ca="1">ROUNDUP(($BK244+$BM244)*VLOOKUP($BE244,Paraméterek!$P$38:$Q$38,2)/12*IF($D245="Nem",IF($M$13=0,1,$M$13),1),IF($D$4="Forint",0,2))</f>
        <v>0</v>
      </c>
      <c r="BO244" s="13">
        <f t="shared" ca="1" si="80"/>
        <v>0</v>
      </c>
      <c r="BP244" s="13">
        <f ca="1">IF($D245="Nem",$BO244,$BO244-ROUNDUP(SUM($BI$20:$BI244)*120%,IF($D$4="Forint",0,2)))</f>
        <v>0</v>
      </c>
    </row>
    <row r="245" spans="1:68" x14ac:dyDescent="0.2">
      <c r="A245" s="32">
        <v>226</v>
      </c>
      <c r="B245" s="32">
        <v>19</v>
      </c>
      <c r="C245" s="32">
        <v>10</v>
      </c>
      <c r="D245" s="32" t="str">
        <f t="shared" ca="1" si="66"/>
        <v>Nem</v>
      </c>
      <c r="E245" s="13">
        <f t="shared" ca="1" si="67"/>
        <v>0</v>
      </c>
      <c r="F245" s="13"/>
      <c r="G245" s="13"/>
      <c r="H245" s="13"/>
      <c r="I245" s="13">
        <f t="shared" ca="1" si="68"/>
        <v>0</v>
      </c>
      <c r="J245" s="13">
        <f t="shared" ca="1" si="69"/>
        <v>0</v>
      </c>
      <c r="K245" s="13">
        <f t="shared" ca="1" si="70"/>
        <v>0</v>
      </c>
      <c r="L245" s="13" t="e">
        <f ca="1">ROUNDUP(IF($D$2="Egyszeri",$E245,IF($D$2="Havi",SUM($E$20:$E$31),IF(MOD($C245,$M$1)-1=0,SUM($E$20:$E$31),0))/12*$M$1)*VLOOKUP($B245,Paraméterek!$I$28:$P$31,IF($D$2="Egyszeri",8,HLOOKUP(ROUNDUP($M$11+$M$13,0),Paraméterek!$J$26:$O$27,2))),IF($D$4="Forint",0,2))</f>
        <v>#N/A</v>
      </c>
      <c r="M245" s="13">
        <f t="shared" ca="1" si="71"/>
        <v>0</v>
      </c>
      <c r="N245" s="13">
        <f t="shared" ca="1" si="81"/>
        <v>0</v>
      </c>
      <c r="O245" s="13">
        <f ca="1">IF($D245="Igen",IF($W244&gt;=IF($D$4="Forint",Paraméterek!$J$121,Paraméterek!$K$121),0,IF($D$4="Forint",Paraméterek!$J$121,Paraméterek!$K$121)-$W244),0)</f>
        <v>0</v>
      </c>
      <c r="P245" s="13" t="e">
        <f ca="1">ROUNDUP($O245*VLOOKUP($M$4+$B245-1,Paraméterek!$H$58:$I$105,2,0)/Paraméterek!$I$56,IF($D$4="Forint",0,2))</f>
        <v>#N/A</v>
      </c>
      <c r="Q245" s="13">
        <f t="shared" ca="1" si="72"/>
        <v>0</v>
      </c>
      <c r="R245" s="33"/>
      <c r="S245" s="13" t="e">
        <f t="shared" ca="1" si="73"/>
        <v>#N/A</v>
      </c>
      <c r="T245" s="13" t="e">
        <f ca="1">ROUNDUP(($N245-$P245-$Q245+$S245)*VLOOKUP($B245,Paraméterek!$I$38:$K$39,IF($D$2="Egyszeri",3,2))/12*IF($D246="Nem",IF($M$13=0,1,$M$13),1),IF($D$4="Forint",0,2))</f>
        <v>#N/A</v>
      </c>
      <c r="U245" s="13"/>
      <c r="V245" s="13"/>
      <c r="W245" s="13" t="e">
        <f ca="1">$N245-$P245-$Q245+$S245-$T245-IF(ROUNDUP(IF(ISBLANK($V245),$U245*0,$V245)/IF($D$2="Egyszeri",VLOOKUP($B245+IF($C245=12,1,0),Paraméterek!$V$257:$W$262,2),IF($B245=1,1,VLOOKUP($B245+IF($C245=12,1,0),Paraméterek!$I$258:$T$278,HLOOKUP($M$11+1,Paraméterek!$J$256:$T$257,2)))),IF($D$4="Forint",0,2))&gt;$N245-$P245-$Q245+$S245-$T245-IF($D$4="Forint",Paraméterek!$C$216,Paraméterek!$D$216),0,ROUNDUP(IF(ISBLANK($V245),$U245*0,$V245)/IF($D$2="Egyszeri",VLOOKUP($B245+IF($C245=12,1,0),Paraméterek!$V$257:$W$262,2),IF($B245=1,1,VLOOKUP($B245+IF($C245=12,1,0),Paraméterek!$I$258:$T$278,HLOOKUP($M$11+1,Paraméterek!$J$256:$T$257,2)))),IF($D$4="Forint",0,2)))</f>
        <v>#N/A</v>
      </c>
      <c r="X245" s="13" t="e">
        <f ca="1">ROUNDDOWN($W245*IF($D$2="Egyszeri",VLOOKUP($B245+IF($C245=12,1,0),Paraméterek!$V$257:$W$262,2),VLOOKUP($B245+IF($C245=12,1,0),Paraméterek!$I$258:$T$278,HLOOKUP($M$11+1,Paraméterek!$I$256:$T$257,2))),IF($D$4="Forint",0,2))</f>
        <v>#N/A</v>
      </c>
      <c r="Z245" s="32">
        <v>226</v>
      </c>
      <c r="AA245" s="32">
        <v>19</v>
      </c>
      <c r="AB245" s="32">
        <v>10</v>
      </c>
      <c r="AC245" s="13">
        <f t="shared" ca="1" si="82"/>
        <v>0</v>
      </c>
      <c r="AD245" s="33"/>
      <c r="AE245" s="13">
        <f t="shared" ca="1" si="74"/>
        <v>0</v>
      </c>
      <c r="AF245" s="13">
        <f ca="1">ROUNDUP(($AC245+$AE245)*VLOOKUP($AA245,Paraméterek!$P$38:$Q$38,2)/12*IF($D246="Nem",IF($M$13=0,1,$M$13),1),IF($D$4="Forint",0,2))</f>
        <v>0</v>
      </c>
      <c r="AG245" s="13">
        <f ca="1">IF($D$2="Egyszeri",IF($D$7&gt;=IF($D$4="Forint",Paraméterek!$P$223,Paraméterek!$P$224),$D$7-IF($D$4="Forint",Paraméterek!$P$223,Paraméterek!$P$224),0),MIN(IF($AB245=12,AVERAGEIF($E$20:$E245,"&gt;0",$E$20:$E245)*12,0),SUM($E$20:$E$31)))</f>
        <v>0</v>
      </c>
      <c r="AH245" s="13">
        <f>IF($AA245=10,$AG245*IF($AB245=12,IF($AG245&lt;IF($D$4="Forint",Paraméterek!$L$223,Paraméterek!$L$224),0,VLOOKUP($AA245,Paraméterek!$K$226:$M$228,IF($AG245&lt;IF($D$4="Forint",Paraméterek!$M$223,Paraméterek!$M$224),2,3))),0),0)</f>
        <v>0</v>
      </c>
      <c r="AI245" s="13">
        <f ca="1">IF(AND($AA245=$M$11+1,$AB245=$M$12+1),SUMIF($AA$20:$AA$1027,$AA245,$AG$20:$AG$1027)*IF(SUMIF($AA$20:$AA$1027,$AA245,$AG$20:$AG$1027)&lt;IF($D$4="Forint",Paraméterek!$L$223,Paraméterek!$L$224),0,VLOOKUP($AA245,Paraméterek!$K$230:$M$250,IF(SUMIF($AA$20:$AA$1027,$AA245,$AG$20:$AG$1027)&lt;IF($D$4="Forint",Paraméterek!$M$223,Paraméterek!$M$224),2,3))),0)</f>
        <v>0</v>
      </c>
      <c r="AJ245" s="13">
        <f ca="1">IF(AND($AA245&gt;=5,MOD($AA245,5)=0),IF($AB245=12,VLOOKUP($AA245,Paraméterek!$O$225:$P$240,2),0),IF(OR($AA245=3,$AA245=4),IF($AB245=12,VLOOKUP($AA245,Paraméterek!$O$225:$P$240,2,0),0),0))*$AG245</f>
        <v>0</v>
      </c>
      <c r="AK245" s="13">
        <f t="shared" ca="1" si="75"/>
        <v>0</v>
      </c>
      <c r="AL245" s="13">
        <f t="shared" ca="1" si="83"/>
        <v>0</v>
      </c>
      <c r="AM245" s="13">
        <f t="shared" ca="1" si="84"/>
        <v>0</v>
      </c>
      <c r="AO245" s="32">
        <v>226</v>
      </c>
      <c r="AP245" s="32">
        <v>19</v>
      </c>
      <c r="AQ245" s="32">
        <v>10</v>
      </c>
      <c r="AR245" s="13"/>
      <c r="AS245" s="32"/>
      <c r="AT245" s="13">
        <f t="shared" ca="1" si="85"/>
        <v>0</v>
      </c>
      <c r="AU245" s="33"/>
      <c r="AV245" s="13">
        <f t="shared" ca="1" si="76"/>
        <v>0</v>
      </c>
      <c r="AW245" s="13">
        <f ca="1">ROUNDUP(($AT245+$AV245)*VLOOKUP($AP245,Paraméterek!$P$38:$Q$38,2)/12*IF($D246="Nem",IF($M$13=0,1,$M$13),1),IF($D$4="Forint",0,2))</f>
        <v>0</v>
      </c>
      <c r="AX245" s="13"/>
      <c r="AY245" s="13"/>
      <c r="AZ245" s="13">
        <f>ROUNDUP(IF(SUM($AX245:$AY245)=0,0,IF(IF(ISBLANK($AY245),$AX245,$AY245)*Paraméterek!$J$112&lt;IF($D$4="Forint",Paraméterek!$J$113,Paraméterek!$K$113),IF($D$4="Forint",Paraméterek!$J$113,Paraméterek!$K$113),IF(IF(ISBLANK($AY245),$AX245,$AY245)*Paraméterek!$J$112&gt;IF($D$4="Forint",Paraméterek!$J$114,Paraméterek!$K$114),IF($D$4="Forint",Paraméterek!$J$114,Paraméterek!$K$114),IF(ISBLANK($AY245),$AX245,$AY245)*Paraméterek!$J$112))),IF($D$4="Forint",0,2))</f>
        <v>0</v>
      </c>
      <c r="BA245" s="13">
        <f ca="1">$AT245+$AV245-$AW245-IF(ROUNDDOWN(IF(ISBLANK($AY245),$AX245,$AY245),IF($D$4="Forint",0,2))&gt;$AT245+$AV245-$AW245-IF($D$4="Forint",Paraméterek!$J$114,Paraméterek!$K$114),0,ROUNDDOWN(IF(ISBLANK($AY245),$AX245,$AY245),IF($D$4="Forint",0,2))-$AZ245)</f>
        <v>0</v>
      </c>
      <c r="BB245" s="13">
        <f t="shared" ca="1" si="77"/>
        <v>0</v>
      </c>
      <c r="BD245" s="32">
        <v>226</v>
      </c>
      <c r="BE245" s="32">
        <v>19</v>
      </c>
      <c r="BF245" s="32">
        <v>10</v>
      </c>
      <c r="BG245" s="34">
        <f t="shared" ca="1" si="86"/>
        <v>2038</v>
      </c>
      <c r="BH245" s="32" t="str">
        <f ca="1">IF(MOD(MONTH($D$14)+$BD245-1,12)=Paraméterek!$C$288,"Igen","")</f>
        <v/>
      </c>
      <c r="BI245" s="13">
        <f ca="1">IF($BH245="Igen",MIN(ROUNDDOWN((SUMIF($BG$20:$BG$1027,$BG245-1,$K$20:$K$1027)-SUMIF($BG$20:$BG$1027,$BG245-1,$I$20:$I$1027))*Paraméterek!$C$289,IF($D$4="Forint",0,2)),IF($D$4="Forint",Paraméterek!$C$285,Paraméterek!$D$285)),0)</f>
        <v>0</v>
      </c>
      <c r="BJ245" s="13">
        <f t="shared" ca="1" si="78"/>
        <v>0</v>
      </c>
      <c r="BK245" s="13">
        <f t="shared" ca="1" si="87"/>
        <v>0</v>
      </c>
      <c r="BL245" s="33"/>
      <c r="BM245" s="13">
        <f t="shared" ca="1" si="79"/>
        <v>0</v>
      </c>
      <c r="BN245" s="13">
        <f ca="1">ROUNDUP(($BK245+$BM245)*VLOOKUP($BE245,Paraméterek!$P$38:$Q$38,2)/12*IF($D246="Nem",IF($M$13=0,1,$M$13),1),IF($D$4="Forint",0,2))</f>
        <v>0</v>
      </c>
      <c r="BO245" s="13">
        <f t="shared" ca="1" si="80"/>
        <v>0</v>
      </c>
      <c r="BP245" s="13">
        <f ca="1">IF($D246="Nem",$BO245,$BO245-ROUNDUP(SUM($BI$20:$BI245)*120%,IF($D$4="Forint",0,2)))</f>
        <v>0</v>
      </c>
    </row>
    <row r="246" spans="1:68" x14ac:dyDescent="0.2">
      <c r="A246" s="32">
        <v>227</v>
      </c>
      <c r="B246" s="32">
        <v>19</v>
      </c>
      <c r="C246" s="32">
        <v>11</v>
      </c>
      <c r="D246" s="32" t="str">
        <f t="shared" ca="1" si="66"/>
        <v>Nem</v>
      </c>
      <c r="E246" s="13">
        <f t="shared" ca="1" si="67"/>
        <v>0</v>
      </c>
      <c r="F246" s="13"/>
      <c r="G246" s="13"/>
      <c r="H246" s="13"/>
      <c r="I246" s="13">
        <f t="shared" ca="1" si="68"/>
        <v>0</v>
      </c>
      <c r="J246" s="13">
        <f t="shared" ca="1" si="69"/>
        <v>0</v>
      </c>
      <c r="K246" s="13">
        <f t="shared" ca="1" si="70"/>
        <v>0</v>
      </c>
      <c r="L246" s="13" t="e">
        <f ca="1">ROUNDUP(IF($D$2="Egyszeri",$E246,IF($D$2="Havi",SUM($E$20:$E$31),IF(MOD($C246,$M$1)-1=0,SUM($E$20:$E$31),0))/12*$M$1)*VLOOKUP($B246,Paraméterek!$I$28:$P$31,IF($D$2="Egyszeri",8,HLOOKUP(ROUNDUP($M$11+$M$13,0),Paraméterek!$J$26:$O$27,2))),IF($D$4="Forint",0,2))</f>
        <v>#N/A</v>
      </c>
      <c r="M246" s="13">
        <f t="shared" ca="1" si="71"/>
        <v>0</v>
      </c>
      <c r="N246" s="13">
        <f t="shared" ca="1" si="81"/>
        <v>0</v>
      </c>
      <c r="O246" s="13">
        <f ca="1">IF($D246="Igen",IF($W245&gt;=IF($D$4="Forint",Paraméterek!$J$121,Paraméterek!$K$121),0,IF($D$4="Forint",Paraméterek!$J$121,Paraméterek!$K$121)-$W245),0)</f>
        <v>0</v>
      </c>
      <c r="P246" s="13" t="e">
        <f ca="1">ROUNDUP($O246*VLOOKUP($M$4+$B246-1,Paraméterek!$H$58:$I$105,2,0)/Paraméterek!$I$56,IF($D$4="Forint",0,2))</f>
        <v>#N/A</v>
      </c>
      <c r="Q246" s="13">
        <f t="shared" ca="1" si="72"/>
        <v>0</v>
      </c>
      <c r="R246" s="33"/>
      <c r="S246" s="13" t="e">
        <f t="shared" ca="1" si="73"/>
        <v>#N/A</v>
      </c>
      <c r="T246" s="13" t="e">
        <f ca="1">ROUNDUP(($N246-$P246-$Q246+$S246)*VLOOKUP($B246,Paraméterek!$I$38:$K$39,IF($D$2="Egyszeri",3,2))/12*IF($D247="Nem",IF($M$13=0,1,$M$13),1),IF($D$4="Forint",0,2))</f>
        <v>#N/A</v>
      </c>
      <c r="U246" s="13"/>
      <c r="V246" s="13"/>
      <c r="W246" s="13" t="e">
        <f ca="1">$N246-$P246-$Q246+$S246-$T246-IF(ROUNDUP(IF(ISBLANK($V246),$U246*0,$V246)/IF($D$2="Egyszeri",VLOOKUP($B246+IF($C246=12,1,0),Paraméterek!$V$257:$W$262,2),IF($B246=1,1,VLOOKUP($B246+IF($C246=12,1,0),Paraméterek!$I$258:$T$278,HLOOKUP($M$11+1,Paraméterek!$J$256:$T$257,2)))),IF($D$4="Forint",0,2))&gt;$N246-$P246-$Q246+$S246-$T246-IF($D$4="Forint",Paraméterek!$C$216,Paraméterek!$D$216),0,ROUNDUP(IF(ISBLANK($V246),$U246*0,$V246)/IF($D$2="Egyszeri",VLOOKUP($B246+IF($C246=12,1,0),Paraméterek!$V$257:$W$262,2),IF($B246=1,1,VLOOKUP($B246+IF($C246=12,1,0),Paraméterek!$I$258:$T$278,HLOOKUP($M$11+1,Paraméterek!$J$256:$T$257,2)))),IF($D$4="Forint",0,2)))</f>
        <v>#N/A</v>
      </c>
      <c r="X246" s="13" t="e">
        <f ca="1">ROUNDDOWN($W246*IF($D$2="Egyszeri",VLOOKUP($B246+IF($C246=12,1,0),Paraméterek!$V$257:$W$262,2),VLOOKUP($B246+IF($C246=12,1,0),Paraméterek!$I$258:$T$278,HLOOKUP($M$11+1,Paraméterek!$I$256:$T$257,2))),IF($D$4="Forint",0,2))</f>
        <v>#N/A</v>
      </c>
      <c r="Z246" s="32">
        <v>227</v>
      </c>
      <c r="AA246" s="32">
        <v>19</v>
      </c>
      <c r="AB246" s="32">
        <v>11</v>
      </c>
      <c r="AC246" s="13">
        <f t="shared" ca="1" si="82"/>
        <v>0</v>
      </c>
      <c r="AD246" s="33"/>
      <c r="AE246" s="13">
        <f t="shared" ca="1" si="74"/>
        <v>0</v>
      </c>
      <c r="AF246" s="13">
        <f ca="1">ROUNDUP(($AC246+$AE246)*VLOOKUP($AA246,Paraméterek!$P$38:$Q$38,2)/12*IF($D247="Nem",IF($M$13=0,1,$M$13),1),IF($D$4="Forint",0,2))</f>
        <v>0</v>
      </c>
      <c r="AG246" s="13">
        <f ca="1">IF($D$2="Egyszeri",IF($D$7&gt;=IF($D$4="Forint",Paraméterek!$P$223,Paraméterek!$P$224),$D$7-IF($D$4="Forint",Paraméterek!$P$223,Paraméterek!$P$224),0),MIN(IF($AB246=12,AVERAGEIF($E$20:$E246,"&gt;0",$E$20:$E246)*12,0),SUM($E$20:$E$31)))</f>
        <v>0</v>
      </c>
      <c r="AH246" s="13">
        <f>IF($AA246=10,$AG246*IF($AB246=12,IF($AG246&lt;IF($D$4="Forint",Paraméterek!$L$223,Paraméterek!$L$224),0,VLOOKUP($AA246,Paraméterek!$K$226:$M$228,IF($AG246&lt;IF($D$4="Forint",Paraméterek!$M$223,Paraméterek!$M$224),2,3))),0),0)</f>
        <v>0</v>
      </c>
      <c r="AI246" s="13">
        <f ca="1">IF(AND($AA246=$M$11+1,$AB246=$M$12+1),SUMIF($AA$20:$AA$1027,$AA246,$AG$20:$AG$1027)*IF(SUMIF($AA$20:$AA$1027,$AA246,$AG$20:$AG$1027)&lt;IF($D$4="Forint",Paraméterek!$L$223,Paraméterek!$L$224),0,VLOOKUP($AA246,Paraméterek!$K$230:$M$250,IF(SUMIF($AA$20:$AA$1027,$AA246,$AG$20:$AG$1027)&lt;IF($D$4="Forint",Paraméterek!$M$223,Paraméterek!$M$224),2,3))),0)</f>
        <v>0</v>
      </c>
      <c r="AJ246" s="13">
        <f ca="1">IF(AND($AA246&gt;=5,MOD($AA246,5)=0),IF($AB246=12,VLOOKUP($AA246,Paraméterek!$O$225:$P$240,2),0),IF(OR($AA246=3,$AA246=4),IF($AB246=12,VLOOKUP($AA246,Paraméterek!$O$225:$P$240,2,0),0),0))*$AG246</f>
        <v>0</v>
      </c>
      <c r="AK246" s="13">
        <f t="shared" ca="1" si="75"/>
        <v>0</v>
      </c>
      <c r="AL246" s="13">
        <f t="shared" ca="1" si="83"/>
        <v>0</v>
      </c>
      <c r="AM246" s="13">
        <f t="shared" ca="1" si="84"/>
        <v>0</v>
      </c>
      <c r="AO246" s="32">
        <v>227</v>
      </c>
      <c r="AP246" s="32">
        <v>19</v>
      </c>
      <c r="AQ246" s="32">
        <v>11</v>
      </c>
      <c r="AR246" s="13"/>
      <c r="AS246" s="32"/>
      <c r="AT246" s="13">
        <f t="shared" ca="1" si="85"/>
        <v>0</v>
      </c>
      <c r="AU246" s="33"/>
      <c r="AV246" s="13">
        <f t="shared" ca="1" si="76"/>
        <v>0</v>
      </c>
      <c r="AW246" s="13">
        <f ca="1">ROUNDUP(($AT246+$AV246)*VLOOKUP($AP246,Paraméterek!$P$38:$Q$38,2)/12*IF($D247="Nem",IF($M$13=0,1,$M$13),1),IF($D$4="Forint",0,2))</f>
        <v>0</v>
      </c>
      <c r="AX246" s="13"/>
      <c r="AY246" s="13"/>
      <c r="AZ246" s="13">
        <f>ROUNDUP(IF(SUM($AX246:$AY246)=0,0,IF(IF(ISBLANK($AY246),$AX246,$AY246)*Paraméterek!$J$112&lt;IF($D$4="Forint",Paraméterek!$J$113,Paraméterek!$K$113),IF($D$4="Forint",Paraméterek!$J$113,Paraméterek!$K$113),IF(IF(ISBLANK($AY246),$AX246,$AY246)*Paraméterek!$J$112&gt;IF($D$4="Forint",Paraméterek!$J$114,Paraméterek!$K$114),IF($D$4="Forint",Paraméterek!$J$114,Paraméterek!$K$114),IF(ISBLANK($AY246),$AX246,$AY246)*Paraméterek!$J$112))),IF($D$4="Forint",0,2))</f>
        <v>0</v>
      </c>
      <c r="BA246" s="13">
        <f ca="1">$AT246+$AV246-$AW246-IF(ROUNDDOWN(IF(ISBLANK($AY246),$AX246,$AY246),IF($D$4="Forint",0,2))&gt;$AT246+$AV246-$AW246-IF($D$4="Forint",Paraméterek!$J$114,Paraméterek!$K$114),0,ROUNDDOWN(IF(ISBLANK($AY246),$AX246,$AY246),IF($D$4="Forint",0,2))-$AZ246)</f>
        <v>0</v>
      </c>
      <c r="BB246" s="13">
        <f t="shared" ca="1" si="77"/>
        <v>0</v>
      </c>
      <c r="BD246" s="32">
        <v>227</v>
      </c>
      <c r="BE246" s="32">
        <v>19</v>
      </c>
      <c r="BF246" s="32">
        <v>11</v>
      </c>
      <c r="BG246" s="34">
        <f t="shared" ca="1" si="86"/>
        <v>2038</v>
      </c>
      <c r="BH246" s="32" t="str">
        <f ca="1">IF(MOD(MONTH($D$14)+$BD246-1,12)=Paraméterek!$C$288,"Igen","")</f>
        <v/>
      </c>
      <c r="BI246" s="13">
        <f ca="1">IF($BH246="Igen",MIN(ROUNDDOWN((SUMIF($BG$20:$BG$1027,$BG246-1,$K$20:$K$1027)-SUMIF($BG$20:$BG$1027,$BG246-1,$I$20:$I$1027))*Paraméterek!$C$289,IF($D$4="Forint",0,2)),IF($D$4="Forint",Paraméterek!$C$285,Paraméterek!$D$285)),0)</f>
        <v>0</v>
      </c>
      <c r="BJ246" s="13">
        <f t="shared" ca="1" si="78"/>
        <v>0</v>
      </c>
      <c r="BK246" s="13">
        <f t="shared" ca="1" si="87"/>
        <v>0</v>
      </c>
      <c r="BL246" s="33"/>
      <c r="BM246" s="13">
        <f t="shared" ca="1" si="79"/>
        <v>0</v>
      </c>
      <c r="BN246" s="13">
        <f ca="1">ROUNDUP(($BK246+$BM246)*VLOOKUP($BE246,Paraméterek!$P$38:$Q$38,2)/12*IF($D247="Nem",IF($M$13=0,1,$M$13),1),IF($D$4="Forint",0,2))</f>
        <v>0</v>
      </c>
      <c r="BO246" s="13">
        <f t="shared" ca="1" si="80"/>
        <v>0</v>
      </c>
      <c r="BP246" s="13">
        <f ca="1">IF($D247="Nem",$BO246,$BO246-ROUNDUP(SUM($BI$20:$BI246)*120%,IF($D$4="Forint",0,2)))</f>
        <v>0</v>
      </c>
    </row>
    <row r="247" spans="1:68" x14ac:dyDescent="0.2">
      <c r="A247" s="32">
        <v>228</v>
      </c>
      <c r="B247" s="32">
        <v>19</v>
      </c>
      <c r="C247" s="32">
        <v>12</v>
      </c>
      <c r="D247" s="32" t="str">
        <f t="shared" ca="1" si="66"/>
        <v>Nem</v>
      </c>
      <c r="E247" s="13">
        <f t="shared" ca="1" si="67"/>
        <v>0</v>
      </c>
      <c r="F247" s="13"/>
      <c r="G247" s="13"/>
      <c r="H247" s="13"/>
      <c r="I247" s="13">
        <f t="shared" ca="1" si="68"/>
        <v>0</v>
      </c>
      <c r="J247" s="13">
        <f t="shared" ca="1" si="69"/>
        <v>0</v>
      </c>
      <c r="K247" s="13">
        <f t="shared" ca="1" si="70"/>
        <v>0</v>
      </c>
      <c r="L247" s="13" t="e">
        <f ca="1">ROUNDUP(IF($D$2="Egyszeri",$E247,IF($D$2="Havi",SUM($E$20:$E$31),IF(MOD($C247,$M$1)-1=0,SUM($E$20:$E$31),0))/12*$M$1)*VLOOKUP($B247,Paraméterek!$I$28:$P$31,IF($D$2="Egyszeri",8,HLOOKUP(ROUNDUP($M$11+$M$13,0),Paraméterek!$J$26:$O$27,2))),IF($D$4="Forint",0,2))</f>
        <v>#N/A</v>
      </c>
      <c r="M247" s="13">
        <f t="shared" ca="1" si="71"/>
        <v>0</v>
      </c>
      <c r="N247" s="13">
        <f t="shared" ca="1" si="81"/>
        <v>0</v>
      </c>
      <c r="O247" s="13">
        <f ca="1">IF($D247="Igen",IF($W246&gt;=IF($D$4="Forint",Paraméterek!$J$121,Paraméterek!$K$121),0,IF($D$4="Forint",Paraméterek!$J$121,Paraméterek!$K$121)-$W246),0)</f>
        <v>0</v>
      </c>
      <c r="P247" s="13" t="e">
        <f ca="1">ROUNDUP($O247*VLOOKUP($M$4+$B247-1,Paraméterek!$H$58:$I$105,2,0)/Paraméterek!$I$56,IF($D$4="Forint",0,2))</f>
        <v>#N/A</v>
      </c>
      <c r="Q247" s="13">
        <f t="shared" ca="1" si="72"/>
        <v>0</v>
      </c>
      <c r="R247" s="33"/>
      <c r="S247" s="13" t="e">
        <f t="shared" ca="1" si="73"/>
        <v>#N/A</v>
      </c>
      <c r="T247" s="13" t="e">
        <f ca="1">ROUNDUP(($N247-$P247-$Q247+$S247)*VLOOKUP($B247,Paraméterek!$I$38:$K$39,IF($D$2="Egyszeri",3,2))/12*IF($D248="Nem",IF($M$13=0,1,$M$13),1),IF($D$4="Forint",0,2))</f>
        <v>#N/A</v>
      </c>
      <c r="U247" s="13">
        <f>Tranzakciók!$F$50</f>
        <v>0</v>
      </c>
      <c r="V247" s="13"/>
      <c r="W247" s="13" t="e">
        <f ca="1">$N247-$P247-$Q247+$S247-$T247-IF(ROUNDUP(IF(ISBLANK($V247),$U247*0,$V247)/IF($D$2="Egyszeri",VLOOKUP($B247+IF($C247=12,1,0),Paraméterek!$V$257:$W$262,2),IF($B247=1,1,VLOOKUP($B247+IF($C247=12,1,0),Paraméterek!$I$258:$T$278,HLOOKUP($M$11+1,Paraméterek!$J$256:$T$257,2)))),IF($D$4="Forint",0,2))&gt;$N247-$P247-$Q247+$S247-$T247-IF($D$4="Forint",Paraméterek!$C$216,Paraméterek!$D$216),0,ROUNDUP(IF(ISBLANK($V247),$U247*0,$V247)/IF($D$2="Egyszeri",VLOOKUP($B247+IF($C247=12,1,0),Paraméterek!$V$257:$W$262,2),IF($B247=1,1,VLOOKUP($B247+IF($C247=12,1,0),Paraméterek!$I$258:$T$278,HLOOKUP($M$11+1,Paraméterek!$J$256:$T$257,2)))),IF($D$4="Forint",0,2)))</f>
        <v>#N/A</v>
      </c>
      <c r="X247" s="13" t="e">
        <f ca="1">ROUNDDOWN($W247*IF($D$2="Egyszeri",VLOOKUP($B247+IF($C247=12,1,0),Paraméterek!$V$257:$W$262,2),VLOOKUP($B247+IF($C247=12,1,0),Paraméterek!$I$258:$T$278,HLOOKUP($M$11+1,Paraméterek!$I$256:$T$257,2))),IF($D$4="Forint",0,2))</f>
        <v>#N/A</v>
      </c>
      <c r="Z247" s="32">
        <v>228</v>
      </c>
      <c r="AA247" s="32">
        <v>19</v>
      </c>
      <c r="AB247" s="32">
        <v>12</v>
      </c>
      <c r="AC247" s="13">
        <f t="shared" ca="1" si="82"/>
        <v>0</v>
      </c>
      <c r="AD247" s="33"/>
      <c r="AE247" s="13">
        <f t="shared" ca="1" si="74"/>
        <v>0</v>
      </c>
      <c r="AF247" s="13">
        <f ca="1">ROUNDUP(($AC247+$AE247)*VLOOKUP($AA247,Paraméterek!$P$38:$Q$38,2)/12*IF($D248="Nem",IF($M$13=0,1,$M$13),1),IF($D$4="Forint",0,2))</f>
        <v>0</v>
      </c>
      <c r="AG247" s="13" t="e">
        <f ca="1">IF($D$2="Egyszeri",IF($D$7&gt;=IF($D$4="Forint",Paraméterek!$P$223,Paraméterek!$P$224),$D$7-IF($D$4="Forint",Paraméterek!$P$223,Paraméterek!$P$224),0),MIN(IF($AB247=12,AVERAGEIF($E$20:$E247,"&gt;0",$E$20:$E247)*12,0),SUM($E$20:$E$31)))</f>
        <v>#DIV/0!</v>
      </c>
      <c r="AH247" s="13">
        <f>IF($AA247=10,$AG247*IF($AB247=12,IF($AG247&lt;IF($D$4="Forint",Paraméterek!$L$223,Paraméterek!$L$224),0,VLOOKUP($AA247,Paraméterek!$K$226:$M$228,IF($AG247&lt;IF($D$4="Forint",Paraméterek!$M$223,Paraméterek!$M$224),2,3))),0),0)</f>
        <v>0</v>
      </c>
      <c r="AI247" s="13">
        <f ca="1">IF(AND($AA247=$M$11+1,$AB247=$M$12+1),SUMIF($AA$20:$AA$1027,$AA247,$AG$20:$AG$1027)*IF(SUMIF($AA$20:$AA$1027,$AA247,$AG$20:$AG$1027)&lt;IF($D$4="Forint",Paraméterek!$L$223,Paraméterek!$L$224),0,VLOOKUP($AA247,Paraméterek!$K$230:$M$250,IF(SUMIF($AA$20:$AA$1027,$AA247,$AG$20:$AG$1027)&lt;IF($D$4="Forint",Paraméterek!$M$223,Paraméterek!$M$224),2,3))),0)</f>
        <v>0</v>
      </c>
      <c r="AJ247" s="13" t="e">
        <f ca="1">IF(AND($AA247&gt;=5,MOD($AA247,5)=0),IF($AB247=12,VLOOKUP($AA247,Paraméterek!$O$225:$P$240,2),0),IF(OR($AA247=3,$AA247=4),IF($AB247=12,VLOOKUP($AA247,Paraméterek!$O$225:$P$240,2,0),0),0))*$AG247</f>
        <v>#DIV/0!</v>
      </c>
      <c r="AK247" s="13">
        <f t="shared" ca="1" si="75"/>
        <v>0</v>
      </c>
      <c r="AL247" s="13">
        <f t="shared" ca="1" si="83"/>
        <v>0</v>
      </c>
      <c r="AM247" s="13">
        <f t="shared" ca="1" si="84"/>
        <v>0</v>
      </c>
      <c r="AO247" s="32">
        <v>228</v>
      </c>
      <c r="AP247" s="32">
        <v>19</v>
      </c>
      <c r="AQ247" s="32">
        <v>12</v>
      </c>
      <c r="AR247" s="13"/>
      <c r="AS247" s="32"/>
      <c r="AT247" s="13">
        <f t="shared" ca="1" si="85"/>
        <v>0</v>
      </c>
      <c r="AU247" s="33"/>
      <c r="AV247" s="13">
        <f t="shared" ca="1" si="76"/>
        <v>0</v>
      </c>
      <c r="AW247" s="13">
        <f ca="1">ROUNDUP(($AT247+$AV247)*VLOOKUP($AP247,Paraméterek!$P$38:$Q$38,2)/12*IF($D248="Nem",IF($M$13=0,1,$M$13),1),IF($D$4="Forint",0,2))</f>
        <v>0</v>
      </c>
      <c r="AX247" s="13">
        <f>Tranzakciók!$M$50</f>
        <v>0</v>
      </c>
      <c r="AY247" s="13"/>
      <c r="AZ247" s="13">
        <f>ROUNDUP(IF(SUM($AX247:$AY247)=0,0,IF(IF(ISBLANK($AY247),$AX247,$AY247)*Paraméterek!$J$112&lt;IF($D$4="Forint",Paraméterek!$J$113,Paraméterek!$K$113),IF($D$4="Forint",Paraméterek!$J$113,Paraméterek!$K$113),IF(IF(ISBLANK($AY247),$AX247,$AY247)*Paraméterek!$J$112&gt;IF($D$4="Forint",Paraméterek!$J$114,Paraméterek!$K$114),IF($D$4="Forint",Paraméterek!$J$114,Paraméterek!$K$114),IF(ISBLANK($AY247),$AX247,$AY247)*Paraméterek!$J$112))),IF($D$4="Forint",0,2))</f>
        <v>0</v>
      </c>
      <c r="BA247" s="13">
        <f ca="1">$AT247+$AV247-$AW247-IF(ROUNDDOWN(IF(ISBLANK($AY247),$AX247,$AY247),IF($D$4="Forint",0,2))&gt;$AT247+$AV247-$AW247-IF($D$4="Forint",Paraméterek!$J$114,Paraméterek!$K$114),0,ROUNDDOWN(IF(ISBLANK($AY247),$AX247,$AY247),IF($D$4="Forint",0,2))-$AZ247)</f>
        <v>0</v>
      </c>
      <c r="BB247" s="13">
        <f t="shared" ca="1" si="77"/>
        <v>0</v>
      </c>
      <c r="BD247" s="32">
        <v>228</v>
      </c>
      <c r="BE247" s="32">
        <v>19</v>
      </c>
      <c r="BF247" s="32">
        <v>12</v>
      </c>
      <c r="BG247" s="34">
        <f t="shared" ca="1" si="86"/>
        <v>2038</v>
      </c>
      <c r="BH247" s="32" t="str">
        <f ca="1">IF(MOD(MONTH($D$14)+$BD247-1,12)=Paraméterek!$C$288,"Igen","")</f>
        <v/>
      </c>
      <c r="BI247" s="13">
        <f ca="1">IF($BH247="Igen",MIN(ROUNDDOWN((SUMIF($BG$20:$BG$1027,$BG247-1,$K$20:$K$1027)-SUMIF($BG$20:$BG$1027,$BG247-1,$I$20:$I$1027))*Paraméterek!$C$289,IF($D$4="Forint",0,2)),IF($D$4="Forint",Paraméterek!$C$285,Paraméterek!$D$285)),0)</f>
        <v>0</v>
      </c>
      <c r="BJ247" s="13">
        <f t="shared" ca="1" si="78"/>
        <v>0</v>
      </c>
      <c r="BK247" s="13">
        <f t="shared" ca="1" si="87"/>
        <v>0</v>
      </c>
      <c r="BL247" s="33"/>
      <c r="BM247" s="13">
        <f t="shared" ca="1" si="79"/>
        <v>0</v>
      </c>
      <c r="BN247" s="13">
        <f ca="1">ROUNDUP(($BK247+$BM247)*VLOOKUP($BE247,Paraméterek!$P$38:$Q$38,2)/12*IF($D248="Nem",IF($M$13=0,1,$M$13),1),IF($D$4="Forint",0,2))</f>
        <v>0</v>
      </c>
      <c r="BO247" s="13">
        <f t="shared" ca="1" si="80"/>
        <v>0</v>
      </c>
      <c r="BP247" s="13">
        <f ca="1">IF($D248="Nem",$BO247,$BO247-ROUNDUP(SUM($BI$20:$BI247)*120%,IF($D$4="Forint",0,2)))</f>
        <v>0</v>
      </c>
    </row>
    <row r="248" spans="1:68" x14ac:dyDescent="0.2">
      <c r="A248" s="32">
        <v>229</v>
      </c>
      <c r="B248" s="32">
        <v>20</v>
      </c>
      <c r="C248" s="32">
        <v>1</v>
      </c>
      <c r="D248" s="32" t="str">
        <f t="shared" ca="1" si="66"/>
        <v>Nem</v>
      </c>
      <c r="E248" s="13">
        <f t="shared" ca="1" si="67"/>
        <v>0</v>
      </c>
      <c r="F248" s="13"/>
      <c r="G248" s="13">
        <f>Tranzakciók!$D$51</f>
        <v>0</v>
      </c>
      <c r="H248" s="13"/>
      <c r="I248" s="13">
        <f t="shared" ca="1" si="68"/>
        <v>0</v>
      </c>
      <c r="J248" s="13">
        <f t="shared" ca="1" si="69"/>
        <v>0</v>
      </c>
      <c r="K248" s="13">
        <f t="shared" ca="1" si="70"/>
        <v>0</v>
      </c>
      <c r="L248" s="13" t="e">
        <f ca="1">ROUNDUP(IF($D$2="Egyszeri",$E248,IF($D$2="Havi",SUM($E$20:$E$31),IF(MOD($C248,$M$1)-1=0,SUM($E$20:$E$31),0))/12*$M$1)*VLOOKUP($B248,Paraméterek!$I$28:$P$31,IF($D$2="Egyszeri",8,HLOOKUP(ROUNDUP($M$11+$M$13,0),Paraméterek!$J$26:$O$27,2))),IF($D$4="Forint",0,2))</f>
        <v>#N/A</v>
      </c>
      <c r="M248" s="13">
        <f t="shared" ca="1" si="71"/>
        <v>0</v>
      </c>
      <c r="N248" s="13">
        <f t="shared" ca="1" si="81"/>
        <v>0</v>
      </c>
      <c r="O248" s="13">
        <f ca="1">IF($D248="Igen",IF($W247&gt;=IF($D$4="Forint",Paraméterek!$J$121,Paraméterek!$K$121),0,IF($D$4="Forint",Paraméterek!$J$121,Paraméterek!$K$121)-$W247),0)</f>
        <v>0</v>
      </c>
      <c r="P248" s="13" t="e">
        <f ca="1">ROUNDUP($O248*VLOOKUP($M$4+$B248-1,Paraméterek!$H$58:$I$105,2,0)/Paraméterek!$I$56,IF($D$4="Forint",0,2))</f>
        <v>#N/A</v>
      </c>
      <c r="Q248" s="13">
        <f t="shared" ca="1" si="72"/>
        <v>0</v>
      </c>
      <c r="R248" s="33"/>
      <c r="S248" s="13" t="e">
        <f t="shared" ca="1" si="73"/>
        <v>#N/A</v>
      </c>
      <c r="T248" s="13" t="e">
        <f ca="1">ROUNDUP(($N248-$P248-$Q248+$S248)*VLOOKUP($B248,Paraméterek!$I$38:$K$39,IF($D$2="Egyszeri",3,2))/12*IF($D249="Nem",IF($M$13=0,1,$M$13),1),IF($D$4="Forint",0,2))</f>
        <v>#N/A</v>
      </c>
      <c r="U248" s="13"/>
      <c r="V248" s="13"/>
      <c r="W248" s="13" t="e">
        <f ca="1">$N248-$P248-$Q248+$S248-$T248-IF(ROUNDUP(IF(ISBLANK($V248),$U248*0,$V248)/IF($D$2="Egyszeri",VLOOKUP($B248+IF($C248=12,1,0),Paraméterek!$V$257:$W$262,2),IF($B248=1,1,VLOOKUP($B248+IF($C248=12,1,0),Paraméterek!$I$258:$T$278,HLOOKUP($M$11+1,Paraméterek!$J$256:$T$257,2)))),IF($D$4="Forint",0,2))&gt;$N248-$P248-$Q248+$S248-$T248-IF($D$4="Forint",Paraméterek!$C$216,Paraméterek!$D$216),0,ROUNDUP(IF(ISBLANK($V248),$U248*0,$V248)/IF($D$2="Egyszeri",VLOOKUP($B248+IF($C248=12,1,0),Paraméterek!$V$257:$W$262,2),IF($B248=1,1,VLOOKUP($B248+IF($C248=12,1,0),Paraméterek!$I$258:$T$278,HLOOKUP($M$11+1,Paraméterek!$J$256:$T$257,2)))),IF($D$4="Forint",0,2)))</f>
        <v>#N/A</v>
      </c>
      <c r="X248" s="13" t="e">
        <f ca="1">ROUNDDOWN($W248*IF($D$2="Egyszeri",VLOOKUP($B248+IF($C248=12,1,0),Paraméterek!$V$257:$W$262,2),VLOOKUP($B248+IF($C248=12,1,0),Paraméterek!$I$258:$T$278,HLOOKUP($M$11+1,Paraméterek!$I$256:$T$257,2))),IF($D$4="Forint",0,2))</f>
        <v>#N/A</v>
      </c>
      <c r="Z248" s="32">
        <v>229</v>
      </c>
      <c r="AA248" s="32">
        <v>20</v>
      </c>
      <c r="AB248" s="32">
        <v>1</v>
      </c>
      <c r="AC248" s="13">
        <f t="shared" ca="1" si="82"/>
        <v>0</v>
      </c>
      <c r="AD248" s="33"/>
      <c r="AE248" s="13">
        <f t="shared" ca="1" si="74"/>
        <v>0</v>
      </c>
      <c r="AF248" s="13">
        <f ca="1">ROUNDUP(($AC248+$AE248)*VLOOKUP($AA248,Paraméterek!$P$38:$Q$38,2)/12*IF($D249="Nem",IF($M$13=0,1,$M$13),1),IF($D$4="Forint",0,2))</f>
        <v>0</v>
      </c>
      <c r="AG248" s="13">
        <f ca="1">IF($D$2="Egyszeri",IF($D$7&gt;=IF($D$4="Forint",Paraméterek!$P$223,Paraméterek!$P$224),$D$7-IF($D$4="Forint",Paraméterek!$P$223,Paraméterek!$P$224),0),MIN(IF($AB248=12,AVERAGEIF($E$20:$E248,"&gt;0",$E$20:$E248)*12,0),SUM($E$20:$E$31)))</f>
        <v>0</v>
      </c>
      <c r="AH248" s="13">
        <f>IF($AA248=10,$AG248*IF($AB248=12,IF($AG248&lt;IF($D$4="Forint",Paraméterek!$L$223,Paraméterek!$L$224),0,VLOOKUP($AA248,Paraméterek!$K$226:$M$228,IF($AG248&lt;IF($D$4="Forint",Paraméterek!$M$223,Paraméterek!$M$224),2,3))),0),0)</f>
        <v>0</v>
      </c>
      <c r="AI248" s="13">
        <f ca="1">IF(AND($AA248=$M$11+1,$AB248=$M$12+1),SUMIF($AA$20:$AA$1027,$AA248,$AG$20:$AG$1027)*IF(SUMIF($AA$20:$AA$1027,$AA248,$AG$20:$AG$1027)&lt;IF($D$4="Forint",Paraméterek!$L$223,Paraméterek!$L$224),0,VLOOKUP($AA248,Paraméterek!$K$230:$M$250,IF(SUMIF($AA$20:$AA$1027,$AA248,$AG$20:$AG$1027)&lt;IF($D$4="Forint",Paraméterek!$M$223,Paraméterek!$M$224),2,3))),0)</f>
        <v>0</v>
      </c>
      <c r="AJ248" s="13">
        <f ca="1">IF(AND($AA248&gt;=5,MOD($AA248,5)=0),IF($AB248=12,VLOOKUP($AA248,Paraméterek!$O$225:$P$240,2),0),IF(OR($AA248=3,$AA248=4),IF($AB248=12,VLOOKUP($AA248,Paraméterek!$O$225:$P$240,2,0),0),0))*$AG248</f>
        <v>0</v>
      </c>
      <c r="AK248" s="13">
        <f t="shared" ca="1" si="75"/>
        <v>0</v>
      </c>
      <c r="AL248" s="13">
        <f t="shared" ca="1" si="83"/>
        <v>0</v>
      </c>
      <c r="AM248" s="13">
        <f t="shared" ca="1" si="84"/>
        <v>0</v>
      </c>
      <c r="AO248" s="32">
        <v>229</v>
      </c>
      <c r="AP248" s="32">
        <v>20</v>
      </c>
      <c r="AQ248" s="32">
        <v>1</v>
      </c>
      <c r="AR248" s="13">
        <f>Tranzakciók!$K$51</f>
        <v>0</v>
      </c>
      <c r="AS248" s="32"/>
      <c r="AT248" s="13">
        <f t="shared" ca="1" si="85"/>
        <v>0</v>
      </c>
      <c r="AU248" s="33"/>
      <c r="AV248" s="13">
        <f t="shared" ca="1" si="76"/>
        <v>0</v>
      </c>
      <c r="AW248" s="13">
        <f ca="1">ROUNDUP(($AT248+$AV248)*VLOOKUP($AP248,Paraméterek!$P$38:$Q$38,2)/12*IF($D249="Nem",IF($M$13=0,1,$M$13),1),IF($D$4="Forint",0,2))</f>
        <v>0</v>
      </c>
      <c r="AX248" s="13"/>
      <c r="AY248" s="13"/>
      <c r="AZ248" s="13">
        <f>ROUNDUP(IF(SUM($AX248:$AY248)=0,0,IF(IF(ISBLANK($AY248),$AX248,$AY248)*Paraméterek!$J$112&lt;IF($D$4="Forint",Paraméterek!$J$113,Paraméterek!$K$113),IF($D$4="Forint",Paraméterek!$J$113,Paraméterek!$K$113),IF(IF(ISBLANK($AY248),$AX248,$AY248)*Paraméterek!$J$112&gt;IF($D$4="Forint",Paraméterek!$J$114,Paraméterek!$K$114),IF($D$4="Forint",Paraméterek!$J$114,Paraméterek!$K$114),IF(ISBLANK($AY248),$AX248,$AY248)*Paraméterek!$J$112))),IF($D$4="Forint",0,2))</f>
        <v>0</v>
      </c>
      <c r="BA248" s="13">
        <f ca="1">$AT248+$AV248-$AW248-IF(ROUNDDOWN(IF(ISBLANK($AY248),$AX248,$AY248),IF($D$4="Forint",0,2))&gt;$AT248+$AV248-$AW248-IF($D$4="Forint",Paraméterek!$J$114,Paraméterek!$K$114),0,ROUNDDOWN(IF(ISBLANK($AY248),$AX248,$AY248),IF($D$4="Forint",0,2))-$AZ248)</f>
        <v>0</v>
      </c>
      <c r="BB248" s="13">
        <f t="shared" ca="1" si="77"/>
        <v>0</v>
      </c>
      <c r="BD248" s="32">
        <v>229</v>
      </c>
      <c r="BE248" s="32">
        <v>20</v>
      </c>
      <c r="BF248" s="32">
        <v>1</v>
      </c>
      <c r="BG248" s="34">
        <f t="shared" ca="1" si="86"/>
        <v>2038</v>
      </c>
      <c r="BH248" s="32" t="str">
        <f ca="1">IF(MOD(MONTH($D$14)+$BD248-1,12)=Paraméterek!$C$288,"Igen","")</f>
        <v/>
      </c>
      <c r="BI248" s="13">
        <f ca="1">IF($BH248="Igen",MIN(ROUNDDOWN((SUMIF($BG$20:$BG$1027,$BG248-1,$K$20:$K$1027)-SUMIF($BG$20:$BG$1027,$BG248-1,$I$20:$I$1027))*Paraméterek!$C$289,IF($D$4="Forint",0,2)),IF($D$4="Forint",Paraméterek!$C$285,Paraméterek!$D$285)),0)</f>
        <v>0</v>
      </c>
      <c r="BJ248" s="13">
        <f t="shared" ca="1" si="78"/>
        <v>0</v>
      </c>
      <c r="BK248" s="13">
        <f t="shared" ca="1" si="87"/>
        <v>0</v>
      </c>
      <c r="BL248" s="33"/>
      <c r="BM248" s="13">
        <f t="shared" ca="1" si="79"/>
        <v>0</v>
      </c>
      <c r="BN248" s="13">
        <f ca="1">ROUNDUP(($BK248+$BM248)*VLOOKUP($BE248,Paraméterek!$P$38:$Q$38,2)/12*IF($D249="Nem",IF($M$13=0,1,$M$13),1),IF($D$4="Forint",0,2))</f>
        <v>0</v>
      </c>
      <c r="BO248" s="13">
        <f t="shared" ca="1" si="80"/>
        <v>0</v>
      </c>
      <c r="BP248" s="13">
        <f ca="1">IF($D249="Nem",$BO248,$BO248-ROUNDUP(SUM($BI$20:$BI248)*120%,IF($D$4="Forint",0,2)))</f>
        <v>0</v>
      </c>
    </row>
    <row r="249" spans="1:68" x14ac:dyDescent="0.2">
      <c r="A249" s="32">
        <v>230</v>
      </c>
      <c r="B249" s="32">
        <v>20</v>
      </c>
      <c r="C249" s="32">
        <v>2</v>
      </c>
      <c r="D249" s="32" t="str">
        <f t="shared" ca="1" si="66"/>
        <v>Nem</v>
      </c>
      <c r="E249" s="13">
        <f t="shared" ca="1" si="67"/>
        <v>0</v>
      </c>
      <c r="F249" s="13"/>
      <c r="G249" s="13"/>
      <c r="H249" s="13"/>
      <c r="I249" s="13">
        <f t="shared" ca="1" si="68"/>
        <v>0</v>
      </c>
      <c r="J249" s="13">
        <f t="shared" ca="1" si="69"/>
        <v>0</v>
      </c>
      <c r="K249" s="13">
        <f t="shared" ca="1" si="70"/>
        <v>0</v>
      </c>
      <c r="L249" s="13" t="e">
        <f ca="1">ROUNDUP(IF($D$2="Egyszeri",$E249,IF($D$2="Havi",SUM($E$20:$E$31),IF(MOD($C249,$M$1)-1=0,SUM($E$20:$E$31),0))/12*$M$1)*VLOOKUP($B249,Paraméterek!$I$28:$P$31,IF($D$2="Egyszeri",8,HLOOKUP(ROUNDUP($M$11+$M$13,0),Paraméterek!$J$26:$O$27,2))),IF($D$4="Forint",0,2))</f>
        <v>#N/A</v>
      </c>
      <c r="M249" s="13">
        <f t="shared" ca="1" si="71"/>
        <v>0</v>
      </c>
      <c r="N249" s="13">
        <f t="shared" ca="1" si="81"/>
        <v>0</v>
      </c>
      <c r="O249" s="13">
        <f ca="1">IF($D249="Igen",IF($W248&gt;=IF($D$4="Forint",Paraméterek!$J$121,Paraméterek!$K$121),0,IF($D$4="Forint",Paraméterek!$J$121,Paraméterek!$K$121)-$W248),0)</f>
        <v>0</v>
      </c>
      <c r="P249" s="13" t="e">
        <f ca="1">ROUNDUP($O249*VLOOKUP($M$4+$B249-1,Paraméterek!$H$58:$I$105,2,0)/Paraméterek!$I$56,IF($D$4="Forint",0,2))</f>
        <v>#N/A</v>
      </c>
      <c r="Q249" s="13">
        <f t="shared" ca="1" si="72"/>
        <v>0</v>
      </c>
      <c r="R249" s="33"/>
      <c r="S249" s="13" t="e">
        <f t="shared" ca="1" si="73"/>
        <v>#N/A</v>
      </c>
      <c r="T249" s="13" t="e">
        <f ca="1">ROUNDUP(($N249-$P249-$Q249+$S249)*VLOOKUP($B249,Paraméterek!$I$38:$K$39,IF($D$2="Egyszeri",3,2))/12*IF($D250="Nem",IF($M$13=0,1,$M$13),1),IF($D$4="Forint",0,2))</f>
        <v>#N/A</v>
      </c>
      <c r="U249" s="13"/>
      <c r="V249" s="13"/>
      <c r="W249" s="13" t="e">
        <f ca="1">$N249-$P249-$Q249+$S249-$T249-IF(ROUNDUP(IF(ISBLANK($V249),$U249*0,$V249)/IF($D$2="Egyszeri",VLOOKUP($B249+IF($C249=12,1,0),Paraméterek!$V$257:$W$262,2),IF($B249=1,1,VLOOKUP($B249+IF($C249=12,1,0),Paraméterek!$I$258:$T$278,HLOOKUP($M$11+1,Paraméterek!$J$256:$T$257,2)))),IF($D$4="Forint",0,2))&gt;$N249-$P249-$Q249+$S249-$T249-IF($D$4="Forint",Paraméterek!$C$216,Paraméterek!$D$216),0,ROUNDUP(IF(ISBLANK($V249),$U249*0,$V249)/IF($D$2="Egyszeri",VLOOKUP($B249+IF($C249=12,1,0),Paraméterek!$V$257:$W$262,2),IF($B249=1,1,VLOOKUP($B249+IF($C249=12,1,0),Paraméterek!$I$258:$T$278,HLOOKUP($M$11+1,Paraméterek!$J$256:$T$257,2)))),IF($D$4="Forint",0,2)))</f>
        <v>#N/A</v>
      </c>
      <c r="X249" s="13" t="e">
        <f ca="1">ROUNDDOWN($W249*IF($D$2="Egyszeri",VLOOKUP($B249+IF($C249=12,1,0),Paraméterek!$V$257:$W$262,2),VLOOKUP($B249+IF($C249=12,1,0),Paraméterek!$I$258:$T$278,HLOOKUP($M$11+1,Paraméterek!$I$256:$T$257,2))),IF($D$4="Forint",0,2))</f>
        <v>#N/A</v>
      </c>
      <c r="Z249" s="32">
        <v>230</v>
      </c>
      <c r="AA249" s="32">
        <v>20</v>
      </c>
      <c r="AB249" s="32">
        <v>2</v>
      </c>
      <c r="AC249" s="13">
        <f t="shared" ca="1" si="82"/>
        <v>0</v>
      </c>
      <c r="AD249" s="33"/>
      <c r="AE249" s="13">
        <f t="shared" ca="1" si="74"/>
        <v>0</v>
      </c>
      <c r="AF249" s="13">
        <f ca="1">ROUNDUP(($AC249+$AE249)*VLOOKUP($AA249,Paraméterek!$P$38:$Q$38,2)/12*IF($D250="Nem",IF($M$13=0,1,$M$13),1),IF($D$4="Forint",0,2))</f>
        <v>0</v>
      </c>
      <c r="AG249" s="13">
        <f ca="1">IF($D$2="Egyszeri",IF($D$7&gt;=IF($D$4="Forint",Paraméterek!$P$223,Paraméterek!$P$224),$D$7-IF($D$4="Forint",Paraméterek!$P$223,Paraméterek!$P$224),0),MIN(IF($AB249=12,AVERAGEIF($E$20:$E249,"&gt;0",$E$20:$E249)*12,0),SUM($E$20:$E$31)))</f>
        <v>0</v>
      </c>
      <c r="AH249" s="13">
        <f>IF($AA249=10,$AG249*IF($AB249=12,IF($AG249&lt;IF($D$4="Forint",Paraméterek!$L$223,Paraméterek!$L$224),0,VLOOKUP($AA249,Paraméterek!$K$226:$M$228,IF($AG249&lt;IF($D$4="Forint",Paraméterek!$M$223,Paraméterek!$M$224),2,3))),0),0)</f>
        <v>0</v>
      </c>
      <c r="AI249" s="13">
        <f ca="1">IF(AND($AA249=$M$11+1,$AB249=$M$12+1),SUMIF($AA$20:$AA$1027,$AA249,$AG$20:$AG$1027)*IF(SUMIF($AA$20:$AA$1027,$AA249,$AG$20:$AG$1027)&lt;IF($D$4="Forint",Paraméterek!$L$223,Paraméterek!$L$224),0,VLOOKUP($AA249,Paraméterek!$K$230:$M$250,IF(SUMIF($AA$20:$AA$1027,$AA249,$AG$20:$AG$1027)&lt;IF($D$4="Forint",Paraméterek!$M$223,Paraméterek!$M$224),2,3))),0)</f>
        <v>0</v>
      </c>
      <c r="AJ249" s="13">
        <f ca="1">IF(AND($AA249&gt;=5,MOD($AA249,5)=0),IF($AB249=12,VLOOKUP($AA249,Paraméterek!$O$225:$P$240,2),0),IF(OR($AA249=3,$AA249=4),IF($AB249=12,VLOOKUP($AA249,Paraméterek!$O$225:$P$240,2,0),0),0))*$AG249</f>
        <v>0</v>
      </c>
      <c r="AK249" s="13">
        <f t="shared" ca="1" si="75"/>
        <v>0</v>
      </c>
      <c r="AL249" s="13">
        <f t="shared" ca="1" si="83"/>
        <v>0</v>
      </c>
      <c r="AM249" s="13">
        <f t="shared" ca="1" si="84"/>
        <v>0</v>
      </c>
      <c r="AO249" s="32">
        <v>230</v>
      </c>
      <c r="AP249" s="32">
        <v>20</v>
      </c>
      <c r="AQ249" s="32">
        <v>2</v>
      </c>
      <c r="AR249" s="13"/>
      <c r="AS249" s="32"/>
      <c r="AT249" s="13">
        <f t="shared" ca="1" si="85"/>
        <v>0</v>
      </c>
      <c r="AU249" s="33"/>
      <c r="AV249" s="13">
        <f t="shared" ca="1" si="76"/>
        <v>0</v>
      </c>
      <c r="AW249" s="13">
        <f ca="1">ROUNDUP(($AT249+$AV249)*VLOOKUP($AP249,Paraméterek!$P$38:$Q$38,2)/12*IF($D250="Nem",IF($M$13=0,1,$M$13),1),IF($D$4="Forint",0,2))</f>
        <v>0</v>
      </c>
      <c r="AX249" s="13"/>
      <c r="AY249" s="13"/>
      <c r="AZ249" s="13">
        <f>ROUNDUP(IF(SUM($AX249:$AY249)=0,0,IF(IF(ISBLANK($AY249),$AX249,$AY249)*Paraméterek!$J$112&lt;IF($D$4="Forint",Paraméterek!$J$113,Paraméterek!$K$113),IF($D$4="Forint",Paraméterek!$J$113,Paraméterek!$K$113),IF(IF(ISBLANK($AY249),$AX249,$AY249)*Paraméterek!$J$112&gt;IF($D$4="Forint",Paraméterek!$J$114,Paraméterek!$K$114),IF($D$4="Forint",Paraméterek!$J$114,Paraméterek!$K$114),IF(ISBLANK($AY249),$AX249,$AY249)*Paraméterek!$J$112))),IF($D$4="Forint",0,2))</f>
        <v>0</v>
      </c>
      <c r="BA249" s="13">
        <f ca="1">$AT249+$AV249-$AW249-IF(ROUNDDOWN(IF(ISBLANK($AY249),$AX249,$AY249),IF($D$4="Forint",0,2))&gt;$AT249+$AV249-$AW249-IF($D$4="Forint",Paraméterek!$J$114,Paraméterek!$K$114),0,ROUNDDOWN(IF(ISBLANK($AY249),$AX249,$AY249),IF($D$4="Forint",0,2))-$AZ249)</f>
        <v>0</v>
      </c>
      <c r="BB249" s="13">
        <f t="shared" ca="1" si="77"/>
        <v>0</v>
      </c>
      <c r="BD249" s="32">
        <v>230</v>
      </c>
      <c r="BE249" s="32">
        <v>20</v>
      </c>
      <c r="BF249" s="32">
        <v>2</v>
      </c>
      <c r="BG249" s="34">
        <f t="shared" ca="1" si="86"/>
        <v>2038</v>
      </c>
      <c r="BH249" s="32" t="str">
        <f ca="1">IF(MOD(MONTH($D$14)+$BD249-1,12)=Paraméterek!$C$288,"Igen","")</f>
        <v>Igen</v>
      </c>
      <c r="BI249" s="13">
        <f ca="1">IF($BH249="Igen",MIN(ROUNDDOWN((SUMIF($BG$20:$BG$1027,$BG249-1,$K$20:$K$1027)-SUMIF($BG$20:$BG$1027,$BG249-1,$I$20:$I$1027))*Paraméterek!$C$289,IF($D$4="Forint",0,2)),IF($D$4="Forint",Paraméterek!$C$285,Paraméterek!$D$285)),0)</f>
        <v>0</v>
      </c>
      <c r="BJ249" s="13">
        <f t="shared" ca="1" si="78"/>
        <v>0</v>
      </c>
      <c r="BK249" s="13">
        <f t="shared" ca="1" si="87"/>
        <v>0</v>
      </c>
      <c r="BL249" s="33"/>
      <c r="BM249" s="13">
        <f t="shared" ca="1" si="79"/>
        <v>0</v>
      </c>
      <c r="BN249" s="13">
        <f ca="1">ROUNDUP(($BK249+$BM249)*VLOOKUP($BE249,Paraméterek!$P$38:$Q$38,2)/12*IF($D250="Nem",IF($M$13=0,1,$M$13),1),IF($D$4="Forint",0,2))</f>
        <v>0</v>
      </c>
      <c r="BO249" s="13">
        <f t="shared" ca="1" si="80"/>
        <v>0</v>
      </c>
      <c r="BP249" s="13">
        <f ca="1">IF($D250="Nem",$BO249,$BO249-ROUNDUP(SUM($BI$20:$BI249)*120%,IF($D$4="Forint",0,2)))</f>
        <v>0</v>
      </c>
    </row>
    <row r="250" spans="1:68" x14ac:dyDescent="0.2">
      <c r="A250" s="32">
        <v>231</v>
      </c>
      <c r="B250" s="32">
        <v>20</v>
      </c>
      <c r="C250" s="32">
        <v>3</v>
      </c>
      <c r="D250" s="32" t="str">
        <f t="shared" ca="1" si="66"/>
        <v>Nem</v>
      </c>
      <c r="E250" s="13">
        <f t="shared" ca="1" si="67"/>
        <v>0</v>
      </c>
      <c r="F250" s="13"/>
      <c r="G250" s="13"/>
      <c r="H250" s="13"/>
      <c r="I250" s="13">
        <f t="shared" ca="1" si="68"/>
        <v>0</v>
      </c>
      <c r="J250" s="13">
        <f t="shared" ca="1" si="69"/>
        <v>0</v>
      </c>
      <c r="K250" s="13">
        <f t="shared" ca="1" si="70"/>
        <v>0</v>
      </c>
      <c r="L250" s="13" t="e">
        <f ca="1">ROUNDUP(IF($D$2="Egyszeri",$E250,IF($D$2="Havi",SUM($E$20:$E$31),IF(MOD($C250,$M$1)-1=0,SUM($E$20:$E$31),0))/12*$M$1)*VLOOKUP($B250,Paraméterek!$I$28:$P$31,IF($D$2="Egyszeri",8,HLOOKUP(ROUNDUP($M$11+$M$13,0),Paraméterek!$J$26:$O$27,2))),IF($D$4="Forint",0,2))</f>
        <v>#N/A</v>
      </c>
      <c r="M250" s="13">
        <f t="shared" ca="1" si="71"/>
        <v>0</v>
      </c>
      <c r="N250" s="13">
        <f t="shared" ca="1" si="81"/>
        <v>0</v>
      </c>
      <c r="O250" s="13">
        <f ca="1">IF($D250="Igen",IF($W249&gt;=IF($D$4="Forint",Paraméterek!$J$121,Paraméterek!$K$121),0,IF($D$4="Forint",Paraméterek!$J$121,Paraméterek!$K$121)-$W249),0)</f>
        <v>0</v>
      </c>
      <c r="P250" s="13" t="e">
        <f ca="1">ROUNDUP($O250*VLOOKUP($M$4+$B250-1,Paraméterek!$H$58:$I$105,2,0)/Paraméterek!$I$56,IF($D$4="Forint",0,2))</f>
        <v>#N/A</v>
      </c>
      <c r="Q250" s="13">
        <f t="shared" ca="1" si="72"/>
        <v>0</v>
      </c>
      <c r="R250" s="33"/>
      <c r="S250" s="13" t="e">
        <f t="shared" ca="1" si="73"/>
        <v>#N/A</v>
      </c>
      <c r="T250" s="13" t="e">
        <f ca="1">ROUNDUP(($N250-$P250-$Q250+$S250)*VLOOKUP($B250,Paraméterek!$I$38:$K$39,IF($D$2="Egyszeri",3,2))/12*IF($D251="Nem",IF($M$13=0,1,$M$13),1),IF($D$4="Forint",0,2))</f>
        <v>#N/A</v>
      </c>
      <c r="U250" s="13"/>
      <c r="V250" s="13"/>
      <c r="W250" s="13" t="e">
        <f ca="1">$N250-$P250-$Q250+$S250-$T250-IF(ROUNDUP(IF(ISBLANK($V250),$U250*0,$V250)/IF($D$2="Egyszeri",VLOOKUP($B250+IF($C250=12,1,0),Paraméterek!$V$257:$W$262,2),IF($B250=1,1,VLOOKUP($B250+IF($C250=12,1,0),Paraméterek!$I$258:$T$278,HLOOKUP($M$11+1,Paraméterek!$J$256:$T$257,2)))),IF($D$4="Forint",0,2))&gt;$N250-$P250-$Q250+$S250-$T250-IF($D$4="Forint",Paraméterek!$C$216,Paraméterek!$D$216),0,ROUNDUP(IF(ISBLANK($V250),$U250*0,$V250)/IF($D$2="Egyszeri",VLOOKUP($B250+IF($C250=12,1,0),Paraméterek!$V$257:$W$262,2),IF($B250=1,1,VLOOKUP($B250+IF($C250=12,1,0),Paraméterek!$I$258:$T$278,HLOOKUP($M$11+1,Paraméterek!$J$256:$T$257,2)))),IF($D$4="Forint",0,2)))</f>
        <v>#N/A</v>
      </c>
      <c r="X250" s="13" t="e">
        <f ca="1">ROUNDDOWN($W250*IF($D$2="Egyszeri",VLOOKUP($B250+IF($C250=12,1,0),Paraméterek!$V$257:$W$262,2),VLOOKUP($B250+IF($C250=12,1,0),Paraméterek!$I$258:$T$278,HLOOKUP($M$11+1,Paraméterek!$I$256:$T$257,2))),IF($D$4="Forint",0,2))</f>
        <v>#N/A</v>
      </c>
      <c r="Z250" s="32">
        <v>231</v>
      </c>
      <c r="AA250" s="32">
        <v>20</v>
      </c>
      <c r="AB250" s="32">
        <v>3</v>
      </c>
      <c r="AC250" s="13">
        <f t="shared" ca="1" si="82"/>
        <v>0</v>
      </c>
      <c r="AD250" s="33"/>
      <c r="AE250" s="13">
        <f t="shared" ca="1" si="74"/>
        <v>0</v>
      </c>
      <c r="AF250" s="13">
        <f ca="1">ROUNDUP(($AC250+$AE250)*VLOOKUP($AA250,Paraméterek!$P$38:$Q$38,2)/12*IF($D251="Nem",IF($M$13=0,1,$M$13),1),IF($D$4="Forint",0,2))</f>
        <v>0</v>
      </c>
      <c r="AG250" s="13">
        <f ca="1">IF($D$2="Egyszeri",IF($D$7&gt;=IF($D$4="Forint",Paraméterek!$P$223,Paraméterek!$P$224),$D$7-IF($D$4="Forint",Paraméterek!$P$223,Paraméterek!$P$224),0),MIN(IF($AB250=12,AVERAGEIF($E$20:$E250,"&gt;0",$E$20:$E250)*12,0),SUM($E$20:$E$31)))</f>
        <v>0</v>
      </c>
      <c r="AH250" s="13">
        <f>IF($AA250=10,$AG250*IF($AB250=12,IF($AG250&lt;IF($D$4="Forint",Paraméterek!$L$223,Paraméterek!$L$224),0,VLOOKUP($AA250,Paraméterek!$K$226:$M$228,IF($AG250&lt;IF($D$4="Forint",Paraméterek!$M$223,Paraméterek!$M$224),2,3))),0),0)</f>
        <v>0</v>
      </c>
      <c r="AI250" s="13">
        <f ca="1">IF(AND($AA250=$M$11+1,$AB250=$M$12+1),SUMIF($AA$20:$AA$1027,$AA250,$AG$20:$AG$1027)*IF(SUMIF($AA$20:$AA$1027,$AA250,$AG$20:$AG$1027)&lt;IF($D$4="Forint",Paraméterek!$L$223,Paraméterek!$L$224),0,VLOOKUP($AA250,Paraméterek!$K$230:$M$250,IF(SUMIF($AA$20:$AA$1027,$AA250,$AG$20:$AG$1027)&lt;IF($D$4="Forint",Paraméterek!$M$223,Paraméterek!$M$224),2,3))),0)</f>
        <v>0</v>
      </c>
      <c r="AJ250" s="13">
        <f ca="1">IF(AND($AA250&gt;=5,MOD($AA250,5)=0),IF($AB250=12,VLOOKUP($AA250,Paraméterek!$O$225:$P$240,2),0),IF(OR($AA250=3,$AA250=4),IF($AB250=12,VLOOKUP($AA250,Paraméterek!$O$225:$P$240,2,0),0),0))*$AG250</f>
        <v>0</v>
      </c>
      <c r="AK250" s="13">
        <f t="shared" ca="1" si="75"/>
        <v>0</v>
      </c>
      <c r="AL250" s="13">
        <f t="shared" ca="1" si="83"/>
        <v>0</v>
      </c>
      <c r="AM250" s="13">
        <f t="shared" ca="1" si="84"/>
        <v>0</v>
      </c>
      <c r="AO250" s="32">
        <v>231</v>
      </c>
      <c r="AP250" s="32">
        <v>20</v>
      </c>
      <c r="AQ250" s="32">
        <v>3</v>
      </c>
      <c r="AR250" s="13"/>
      <c r="AS250" s="32"/>
      <c r="AT250" s="13">
        <f t="shared" ca="1" si="85"/>
        <v>0</v>
      </c>
      <c r="AU250" s="33"/>
      <c r="AV250" s="13">
        <f t="shared" ca="1" si="76"/>
        <v>0</v>
      </c>
      <c r="AW250" s="13">
        <f ca="1">ROUNDUP(($AT250+$AV250)*VLOOKUP($AP250,Paraméterek!$P$38:$Q$38,2)/12*IF($D251="Nem",IF($M$13=0,1,$M$13),1),IF($D$4="Forint",0,2))</f>
        <v>0</v>
      </c>
      <c r="AX250" s="13"/>
      <c r="AY250" s="13"/>
      <c r="AZ250" s="13">
        <f>ROUNDUP(IF(SUM($AX250:$AY250)=0,0,IF(IF(ISBLANK($AY250),$AX250,$AY250)*Paraméterek!$J$112&lt;IF($D$4="Forint",Paraméterek!$J$113,Paraméterek!$K$113),IF($D$4="Forint",Paraméterek!$J$113,Paraméterek!$K$113),IF(IF(ISBLANK($AY250),$AX250,$AY250)*Paraméterek!$J$112&gt;IF($D$4="Forint",Paraméterek!$J$114,Paraméterek!$K$114),IF($D$4="Forint",Paraméterek!$J$114,Paraméterek!$K$114),IF(ISBLANK($AY250),$AX250,$AY250)*Paraméterek!$J$112))),IF($D$4="Forint",0,2))</f>
        <v>0</v>
      </c>
      <c r="BA250" s="13">
        <f ca="1">$AT250+$AV250-$AW250-IF(ROUNDDOWN(IF(ISBLANK($AY250),$AX250,$AY250),IF($D$4="Forint",0,2))&gt;$AT250+$AV250-$AW250-IF($D$4="Forint",Paraméterek!$J$114,Paraméterek!$K$114),0,ROUNDDOWN(IF(ISBLANK($AY250),$AX250,$AY250),IF($D$4="Forint",0,2))-$AZ250)</f>
        <v>0</v>
      </c>
      <c r="BB250" s="13">
        <f t="shared" ca="1" si="77"/>
        <v>0</v>
      </c>
      <c r="BD250" s="32">
        <v>231</v>
      </c>
      <c r="BE250" s="32">
        <v>20</v>
      </c>
      <c r="BF250" s="32">
        <v>3</v>
      </c>
      <c r="BG250" s="34">
        <f t="shared" ca="1" si="86"/>
        <v>2038</v>
      </c>
      <c r="BH250" s="32" t="str">
        <f ca="1">IF(MOD(MONTH($D$14)+$BD250-1,12)=Paraméterek!$C$288,"Igen","")</f>
        <v/>
      </c>
      <c r="BI250" s="13">
        <f ca="1">IF($BH250="Igen",MIN(ROUNDDOWN((SUMIF($BG$20:$BG$1027,$BG250-1,$K$20:$K$1027)-SUMIF($BG$20:$BG$1027,$BG250-1,$I$20:$I$1027))*Paraméterek!$C$289,IF($D$4="Forint",0,2)),IF($D$4="Forint",Paraméterek!$C$285,Paraméterek!$D$285)),0)</f>
        <v>0</v>
      </c>
      <c r="BJ250" s="13">
        <f t="shared" ca="1" si="78"/>
        <v>0</v>
      </c>
      <c r="BK250" s="13">
        <f t="shared" ca="1" si="87"/>
        <v>0</v>
      </c>
      <c r="BL250" s="33"/>
      <c r="BM250" s="13">
        <f t="shared" ca="1" si="79"/>
        <v>0</v>
      </c>
      <c r="BN250" s="13">
        <f ca="1">ROUNDUP(($BK250+$BM250)*VLOOKUP($BE250,Paraméterek!$P$38:$Q$38,2)/12*IF($D251="Nem",IF($M$13=0,1,$M$13),1),IF($D$4="Forint",0,2))</f>
        <v>0</v>
      </c>
      <c r="BO250" s="13">
        <f t="shared" ca="1" si="80"/>
        <v>0</v>
      </c>
      <c r="BP250" s="13">
        <f ca="1">IF($D251="Nem",$BO250,$BO250-ROUNDUP(SUM($BI$20:$BI250)*120%,IF($D$4="Forint",0,2)))</f>
        <v>0</v>
      </c>
    </row>
    <row r="251" spans="1:68" x14ac:dyDescent="0.2">
      <c r="A251" s="32">
        <v>232</v>
      </c>
      <c r="B251" s="32">
        <v>20</v>
      </c>
      <c r="C251" s="32">
        <v>4</v>
      </c>
      <c r="D251" s="32" t="str">
        <f t="shared" ca="1" si="66"/>
        <v>Nem</v>
      </c>
      <c r="E251" s="13">
        <f t="shared" ca="1" si="67"/>
        <v>0</v>
      </c>
      <c r="F251" s="13"/>
      <c r="G251" s="13"/>
      <c r="H251" s="13"/>
      <c r="I251" s="13">
        <f t="shared" ca="1" si="68"/>
        <v>0</v>
      </c>
      <c r="J251" s="13">
        <f t="shared" ca="1" si="69"/>
        <v>0</v>
      </c>
      <c r="K251" s="13">
        <f t="shared" ca="1" si="70"/>
        <v>0</v>
      </c>
      <c r="L251" s="13" t="e">
        <f ca="1">ROUNDUP(IF($D$2="Egyszeri",$E251,IF($D$2="Havi",SUM($E$20:$E$31),IF(MOD($C251,$M$1)-1=0,SUM($E$20:$E$31),0))/12*$M$1)*VLOOKUP($B251,Paraméterek!$I$28:$P$31,IF($D$2="Egyszeri",8,HLOOKUP(ROUNDUP($M$11+$M$13,0),Paraméterek!$J$26:$O$27,2))),IF($D$4="Forint",0,2))</f>
        <v>#N/A</v>
      </c>
      <c r="M251" s="13">
        <f t="shared" ca="1" si="71"/>
        <v>0</v>
      </c>
      <c r="N251" s="13">
        <f t="shared" ca="1" si="81"/>
        <v>0</v>
      </c>
      <c r="O251" s="13">
        <f ca="1">IF($D251="Igen",IF($W250&gt;=IF($D$4="Forint",Paraméterek!$J$121,Paraméterek!$K$121),0,IF($D$4="Forint",Paraméterek!$J$121,Paraméterek!$K$121)-$W250),0)</f>
        <v>0</v>
      </c>
      <c r="P251" s="13" t="e">
        <f ca="1">ROUNDUP($O251*VLOOKUP($M$4+$B251-1,Paraméterek!$H$58:$I$105,2,0)/Paraméterek!$I$56,IF($D$4="Forint",0,2))</f>
        <v>#N/A</v>
      </c>
      <c r="Q251" s="13">
        <f t="shared" ca="1" si="72"/>
        <v>0</v>
      </c>
      <c r="R251" s="33"/>
      <c r="S251" s="13" t="e">
        <f t="shared" ca="1" si="73"/>
        <v>#N/A</v>
      </c>
      <c r="T251" s="13" t="e">
        <f ca="1">ROUNDUP(($N251-$P251-$Q251+$S251)*VLOOKUP($B251,Paraméterek!$I$38:$K$39,IF($D$2="Egyszeri",3,2))/12*IF($D252="Nem",IF($M$13=0,1,$M$13),1),IF($D$4="Forint",0,2))</f>
        <v>#N/A</v>
      </c>
      <c r="U251" s="13"/>
      <c r="V251" s="13"/>
      <c r="W251" s="13" t="e">
        <f ca="1">$N251-$P251-$Q251+$S251-$T251-IF(ROUNDUP(IF(ISBLANK($V251),$U251*0,$V251)/IF($D$2="Egyszeri",VLOOKUP($B251+IF($C251=12,1,0),Paraméterek!$V$257:$W$262,2),IF($B251=1,1,VLOOKUP($B251+IF($C251=12,1,0),Paraméterek!$I$258:$T$278,HLOOKUP($M$11+1,Paraméterek!$J$256:$T$257,2)))),IF($D$4="Forint",0,2))&gt;$N251-$P251-$Q251+$S251-$T251-IF($D$4="Forint",Paraméterek!$C$216,Paraméterek!$D$216),0,ROUNDUP(IF(ISBLANK($V251),$U251*0,$V251)/IF($D$2="Egyszeri",VLOOKUP($B251+IF($C251=12,1,0),Paraméterek!$V$257:$W$262,2),IF($B251=1,1,VLOOKUP($B251+IF($C251=12,1,0),Paraméterek!$I$258:$T$278,HLOOKUP($M$11+1,Paraméterek!$J$256:$T$257,2)))),IF($D$4="Forint",0,2)))</f>
        <v>#N/A</v>
      </c>
      <c r="X251" s="13" t="e">
        <f ca="1">ROUNDDOWN($W251*IF($D$2="Egyszeri",VLOOKUP($B251+IF($C251=12,1,0),Paraméterek!$V$257:$W$262,2),VLOOKUP($B251+IF($C251=12,1,0),Paraméterek!$I$258:$T$278,HLOOKUP($M$11+1,Paraméterek!$I$256:$T$257,2))),IF($D$4="Forint",0,2))</f>
        <v>#N/A</v>
      </c>
      <c r="Z251" s="32">
        <v>232</v>
      </c>
      <c r="AA251" s="32">
        <v>20</v>
      </c>
      <c r="AB251" s="32">
        <v>4</v>
      </c>
      <c r="AC251" s="13">
        <f t="shared" ca="1" si="82"/>
        <v>0</v>
      </c>
      <c r="AD251" s="33"/>
      <c r="AE251" s="13">
        <f t="shared" ca="1" si="74"/>
        <v>0</v>
      </c>
      <c r="AF251" s="13">
        <f ca="1">ROUNDUP(($AC251+$AE251)*VLOOKUP($AA251,Paraméterek!$P$38:$Q$38,2)/12*IF($D252="Nem",IF($M$13=0,1,$M$13),1),IF($D$4="Forint",0,2))</f>
        <v>0</v>
      </c>
      <c r="AG251" s="13">
        <f ca="1">IF($D$2="Egyszeri",IF($D$7&gt;=IF($D$4="Forint",Paraméterek!$P$223,Paraméterek!$P$224),$D$7-IF($D$4="Forint",Paraméterek!$P$223,Paraméterek!$P$224),0),MIN(IF($AB251=12,AVERAGEIF($E$20:$E251,"&gt;0",$E$20:$E251)*12,0),SUM($E$20:$E$31)))</f>
        <v>0</v>
      </c>
      <c r="AH251" s="13">
        <f>IF($AA251=10,$AG251*IF($AB251=12,IF($AG251&lt;IF($D$4="Forint",Paraméterek!$L$223,Paraméterek!$L$224),0,VLOOKUP($AA251,Paraméterek!$K$226:$M$228,IF($AG251&lt;IF($D$4="Forint",Paraméterek!$M$223,Paraméterek!$M$224),2,3))),0),0)</f>
        <v>0</v>
      </c>
      <c r="AI251" s="13">
        <f ca="1">IF(AND($AA251=$M$11+1,$AB251=$M$12+1),SUMIF($AA$20:$AA$1027,$AA251,$AG$20:$AG$1027)*IF(SUMIF($AA$20:$AA$1027,$AA251,$AG$20:$AG$1027)&lt;IF($D$4="Forint",Paraméterek!$L$223,Paraméterek!$L$224),0,VLOOKUP($AA251,Paraméterek!$K$230:$M$250,IF(SUMIF($AA$20:$AA$1027,$AA251,$AG$20:$AG$1027)&lt;IF($D$4="Forint",Paraméterek!$M$223,Paraméterek!$M$224),2,3))),0)</f>
        <v>0</v>
      </c>
      <c r="AJ251" s="13">
        <f ca="1">IF(AND($AA251&gt;=5,MOD($AA251,5)=0),IF($AB251=12,VLOOKUP($AA251,Paraméterek!$O$225:$P$240,2),0),IF(OR($AA251=3,$AA251=4),IF($AB251=12,VLOOKUP($AA251,Paraméterek!$O$225:$P$240,2,0),0),0))*$AG251</f>
        <v>0</v>
      </c>
      <c r="AK251" s="13">
        <f t="shared" ca="1" si="75"/>
        <v>0</v>
      </c>
      <c r="AL251" s="13">
        <f t="shared" ca="1" si="83"/>
        <v>0</v>
      </c>
      <c r="AM251" s="13">
        <f t="shared" ca="1" si="84"/>
        <v>0</v>
      </c>
      <c r="AO251" s="32">
        <v>232</v>
      </c>
      <c r="AP251" s="32">
        <v>20</v>
      </c>
      <c r="AQ251" s="32">
        <v>4</v>
      </c>
      <c r="AR251" s="13"/>
      <c r="AS251" s="32"/>
      <c r="AT251" s="13">
        <f t="shared" ca="1" si="85"/>
        <v>0</v>
      </c>
      <c r="AU251" s="33"/>
      <c r="AV251" s="13">
        <f t="shared" ca="1" si="76"/>
        <v>0</v>
      </c>
      <c r="AW251" s="13">
        <f ca="1">ROUNDUP(($AT251+$AV251)*VLOOKUP($AP251,Paraméterek!$P$38:$Q$38,2)/12*IF($D252="Nem",IF($M$13=0,1,$M$13),1),IF($D$4="Forint",0,2))</f>
        <v>0</v>
      </c>
      <c r="AX251" s="13"/>
      <c r="AY251" s="13"/>
      <c r="AZ251" s="13">
        <f>ROUNDUP(IF(SUM($AX251:$AY251)=0,0,IF(IF(ISBLANK($AY251),$AX251,$AY251)*Paraméterek!$J$112&lt;IF($D$4="Forint",Paraméterek!$J$113,Paraméterek!$K$113),IF($D$4="Forint",Paraméterek!$J$113,Paraméterek!$K$113),IF(IF(ISBLANK($AY251),$AX251,$AY251)*Paraméterek!$J$112&gt;IF($D$4="Forint",Paraméterek!$J$114,Paraméterek!$K$114),IF($D$4="Forint",Paraméterek!$J$114,Paraméterek!$K$114),IF(ISBLANK($AY251),$AX251,$AY251)*Paraméterek!$J$112))),IF($D$4="Forint",0,2))</f>
        <v>0</v>
      </c>
      <c r="BA251" s="13">
        <f ca="1">$AT251+$AV251-$AW251-IF(ROUNDDOWN(IF(ISBLANK($AY251),$AX251,$AY251),IF($D$4="Forint",0,2))&gt;$AT251+$AV251-$AW251-IF($D$4="Forint",Paraméterek!$J$114,Paraméterek!$K$114),0,ROUNDDOWN(IF(ISBLANK($AY251),$AX251,$AY251),IF($D$4="Forint",0,2))-$AZ251)</f>
        <v>0</v>
      </c>
      <c r="BB251" s="13">
        <f t="shared" ca="1" si="77"/>
        <v>0</v>
      </c>
      <c r="BD251" s="32">
        <v>232</v>
      </c>
      <c r="BE251" s="32">
        <v>20</v>
      </c>
      <c r="BF251" s="32">
        <v>4</v>
      </c>
      <c r="BG251" s="34">
        <f t="shared" ca="1" si="86"/>
        <v>2038</v>
      </c>
      <c r="BH251" s="32" t="str">
        <f ca="1">IF(MOD(MONTH($D$14)+$BD251-1,12)=Paraméterek!$C$288,"Igen","")</f>
        <v/>
      </c>
      <c r="BI251" s="13">
        <f ca="1">IF($BH251="Igen",MIN(ROUNDDOWN((SUMIF($BG$20:$BG$1027,$BG251-1,$K$20:$K$1027)-SUMIF($BG$20:$BG$1027,$BG251-1,$I$20:$I$1027))*Paraméterek!$C$289,IF($D$4="Forint",0,2)),IF($D$4="Forint",Paraméterek!$C$285,Paraméterek!$D$285)),0)</f>
        <v>0</v>
      </c>
      <c r="BJ251" s="13">
        <f t="shared" ca="1" si="78"/>
        <v>0</v>
      </c>
      <c r="BK251" s="13">
        <f t="shared" ca="1" si="87"/>
        <v>0</v>
      </c>
      <c r="BL251" s="33"/>
      <c r="BM251" s="13">
        <f t="shared" ca="1" si="79"/>
        <v>0</v>
      </c>
      <c r="BN251" s="13">
        <f ca="1">ROUNDUP(($BK251+$BM251)*VLOOKUP($BE251,Paraméterek!$P$38:$Q$38,2)/12*IF($D252="Nem",IF($M$13=0,1,$M$13),1),IF($D$4="Forint",0,2))</f>
        <v>0</v>
      </c>
      <c r="BO251" s="13">
        <f t="shared" ca="1" si="80"/>
        <v>0</v>
      </c>
      <c r="BP251" s="13">
        <f ca="1">IF($D252="Nem",$BO251,$BO251-ROUNDUP(SUM($BI$20:$BI251)*120%,IF($D$4="Forint",0,2)))</f>
        <v>0</v>
      </c>
    </row>
    <row r="252" spans="1:68" x14ac:dyDescent="0.2">
      <c r="A252" s="32">
        <v>233</v>
      </c>
      <c r="B252" s="32">
        <v>20</v>
      </c>
      <c r="C252" s="32">
        <v>5</v>
      </c>
      <c r="D252" s="32" t="str">
        <f t="shared" ca="1" si="66"/>
        <v>Nem</v>
      </c>
      <c r="E252" s="13">
        <f t="shared" ca="1" si="67"/>
        <v>0</v>
      </c>
      <c r="F252" s="13"/>
      <c r="G252" s="13"/>
      <c r="H252" s="13"/>
      <c r="I252" s="13">
        <f t="shared" ca="1" si="68"/>
        <v>0</v>
      </c>
      <c r="J252" s="13">
        <f t="shared" ca="1" si="69"/>
        <v>0</v>
      </c>
      <c r="K252" s="13">
        <f t="shared" ca="1" si="70"/>
        <v>0</v>
      </c>
      <c r="L252" s="13" t="e">
        <f ca="1">ROUNDUP(IF($D$2="Egyszeri",$E252,IF($D$2="Havi",SUM($E$20:$E$31),IF(MOD($C252,$M$1)-1=0,SUM($E$20:$E$31),0))/12*$M$1)*VLOOKUP($B252,Paraméterek!$I$28:$P$31,IF($D$2="Egyszeri",8,HLOOKUP(ROUNDUP($M$11+$M$13,0),Paraméterek!$J$26:$O$27,2))),IF($D$4="Forint",0,2))</f>
        <v>#N/A</v>
      </c>
      <c r="M252" s="13">
        <f t="shared" ca="1" si="71"/>
        <v>0</v>
      </c>
      <c r="N252" s="13">
        <f t="shared" ca="1" si="81"/>
        <v>0</v>
      </c>
      <c r="O252" s="13">
        <f ca="1">IF($D252="Igen",IF($W251&gt;=IF($D$4="Forint",Paraméterek!$J$121,Paraméterek!$K$121),0,IF($D$4="Forint",Paraméterek!$J$121,Paraméterek!$K$121)-$W251),0)</f>
        <v>0</v>
      </c>
      <c r="P252" s="13" t="e">
        <f ca="1">ROUNDUP($O252*VLOOKUP($M$4+$B252-1,Paraméterek!$H$58:$I$105,2,0)/Paraméterek!$I$56,IF($D$4="Forint",0,2))</f>
        <v>#N/A</v>
      </c>
      <c r="Q252" s="13">
        <f t="shared" ca="1" si="72"/>
        <v>0</v>
      </c>
      <c r="R252" s="33"/>
      <c r="S252" s="13" t="e">
        <f t="shared" ca="1" si="73"/>
        <v>#N/A</v>
      </c>
      <c r="T252" s="13" t="e">
        <f ca="1">ROUNDUP(($N252-$P252-$Q252+$S252)*VLOOKUP($B252,Paraméterek!$I$38:$K$39,IF($D$2="Egyszeri",3,2))/12*IF($D253="Nem",IF($M$13=0,1,$M$13),1),IF($D$4="Forint",0,2))</f>
        <v>#N/A</v>
      </c>
      <c r="U252" s="13"/>
      <c r="V252" s="13"/>
      <c r="W252" s="13" t="e">
        <f ca="1">$N252-$P252-$Q252+$S252-$T252-IF(ROUNDUP(IF(ISBLANK($V252),$U252*0,$V252)/IF($D$2="Egyszeri",VLOOKUP($B252+IF($C252=12,1,0),Paraméterek!$V$257:$W$262,2),IF($B252=1,1,VLOOKUP($B252+IF($C252=12,1,0),Paraméterek!$I$258:$T$278,HLOOKUP($M$11+1,Paraméterek!$J$256:$T$257,2)))),IF($D$4="Forint",0,2))&gt;$N252-$P252-$Q252+$S252-$T252-IF($D$4="Forint",Paraméterek!$C$216,Paraméterek!$D$216),0,ROUNDUP(IF(ISBLANK($V252),$U252*0,$V252)/IF($D$2="Egyszeri",VLOOKUP($B252+IF($C252=12,1,0),Paraméterek!$V$257:$W$262,2),IF($B252=1,1,VLOOKUP($B252+IF($C252=12,1,0),Paraméterek!$I$258:$T$278,HLOOKUP($M$11+1,Paraméterek!$J$256:$T$257,2)))),IF($D$4="Forint",0,2)))</f>
        <v>#N/A</v>
      </c>
      <c r="X252" s="13" t="e">
        <f ca="1">ROUNDDOWN($W252*IF($D$2="Egyszeri",VLOOKUP($B252+IF($C252=12,1,0),Paraméterek!$V$257:$W$262,2),VLOOKUP($B252+IF($C252=12,1,0),Paraméterek!$I$258:$T$278,HLOOKUP($M$11+1,Paraméterek!$I$256:$T$257,2))),IF($D$4="Forint",0,2))</f>
        <v>#N/A</v>
      </c>
      <c r="Z252" s="32">
        <v>233</v>
      </c>
      <c r="AA252" s="32">
        <v>20</v>
      </c>
      <c r="AB252" s="32">
        <v>5</v>
      </c>
      <c r="AC252" s="13">
        <f t="shared" ca="1" si="82"/>
        <v>0</v>
      </c>
      <c r="AD252" s="33"/>
      <c r="AE252" s="13">
        <f t="shared" ca="1" si="74"/>
        <v>0</v>
      </c>
      <c r="AF252" s="13">
        <f ca="1">ROUNDUP(($AC252+$AE252)*VLOOKUP($AA252,Paraméterek!$P$38:$Q$38,2)/12*IF($D253="Nem",IF($M$13=0,1,$M$13),1),IF($D$4="Forint",0,2))</f>
        <v>0</v>
      </c>
      <c r="AG252" s="13">
        <f ca="1">IF($D$2="Egyszeri",IF($D$7&gt;=IF($D$4="Forint",Paraméterek!$P$223,Paraméterek!$P$224),$D$7-IF($D$4="Forint",Paraméterek!$P$223,Paraméterek!$P$224),0),MIN(IF($AB252=12,AVERAGEIF($E$20:$E252,"&gt;0",$E$20:$E252)*12,0),SUM($E$20:$E$31)))</f>
        <v>0</v>
      </c>
      <c r="AH252" s="13">
        <f>IF($AA252=10,$AG252*IF($AB252=12,IF($AG252&lt;IF($D$4="Forint",Paraméterek!$L$223,Paraméterek!$L$224),0,VLOOKUP($AA252,Paraméterek!$K$226:$M$228,IF($AG252&lt;IF($D$4="Forint",Paraméterek!$M$223,Paraméterek!$M$224),2,3))),0),0)</f>
        <v>0</v>
      </c>
      <c r="AI252" s="13">
        <f ca="1">IF(AND($AA252=$M$11+1,$AB252=$M$12+1),SUMIF($AA$20:$AA$1027,$AA252,$AG$20:$AG$1027)*IF(SUMIF($AA$20:$AA$1027,$AA252,$AG$20:$AG$1027)&lt;IF($D$4="Forint",Paraméterek!$L$223,Paraméterek!$L$224),0,VLOOKUP($AA252,Paraméterek!$K$230:$M$250,IF(SUMIF($AA$20:$AA$1027,$AA252,$AG$20:$AG$1027)&lt;IF($D$4="Forint",Paraméterek!$M$223,Paraméterek!$M$224),2,3))),0)</f>
        <v>0</v>
      </c>
      <c r="AJ252" s="13">
        <f ca="1">IF(AND($AA252&gt;=5,MOD($AA252,5)=0),IF($AB252=12,VLOOKUP($AA252,Paraméterek!$O$225:$P$240,2),0),IF(OR($AA252=3,$AA252=4),IF($AB252=12,VLOOKUP($AA252,Paraméterek!$O$225:$P$240,2,0),0),0))*$AG252</f>
        <v>0</v>
      </c>
      <c r="AK252" s="13">
        <f t="shared" ca="1" si="75"/>
        <v>0</v>
      </c>
      <c r="AL252" s="13">
        <f t="shared" ca="1" si="83"/>
        <v>0</v>
      </c>
      <c r="AM252" s="13">
        <f t="shared" ca="1" si="84"/>
        <v>0</v>
      </c>
      <c r="AO252" s="32">
        <v>233</v>
      </c>
      <c r="AP252" s="32">
        <v>20</v>
      </c>
      <c r="AQ252" s="32">
        <v>5</v>
      </c>
      <c r="AR252" s="13"/>
      <c r="AS252" s="32"/>
      <c r="AT252" s="13">
        <f t="shared" ca="1" si="85"/>
        <v>0</v>
      </c>
      <c r="AU252" s="33"/>
      <c r="AV252" s="13">
        <f t="shared" ca="1" si="76"/>
        <v>0</v>
      </c>
      <c r="AW252" s="13">
        <f ca="1">ROUNDUP(($AT252+$AV252)*VLOOKUP($AP252,Paraméterek!$P$38:$Q$38,2)/12*IF($D253="Nem",IF($M$13=0,1,$M$13),1),IF($D$4="Forint",0,2))</f>
        <v>0</v>
      </c>
      <c r="AX252" s="13"/>
      <c r="AY252" s="13"/>
      <c r="AZ252" s="13">
        <f>ROUNDUP(IF(SUM($AX252:$AY252)=0,0,IF(IF(ISBLANK($AY252),$AX252,$AY252)*Paraméterek!$J$112&lt;IF($D$4="Forint",Paraméterek!$J$113,Paraméterek!$K$113),IF($D$4="Forint",Paraméterek!$J$113,Paraméterek!$K$113),IF(IF(ISBLANK($AY252),$AX252,$AY252)*Paraméterek!$J$112&gt;IF($D$4="Forint",Paraméterek!$J$114,Paraméterek!$K$114),IF($D$4="Forint",Paraméterek!$J$114,Paraméterek!$K$114),IF(ISBLANK($AY252),$AX252,$AY252)*Paraméterek!$J$112))),IF($D$4="Forint",0,2))</f>
        <v>0</v>
      </c>
      <c r="BA252" s="13">
        <f ca="1">$AT252+$AV252-$AW252-IF(ROUNDDOWN(IF(ISBLANK($AY252),$AX252,$AY252),IF($D$4="Forint",0,2))&gt;$AT252+$AV252-$AW252-IF($D$4="Forint",Paraméterek!$J$114,Paraméterek!$K$114),0,ROUNDDOWN(IF(ISBLANK($AY252),$AX252,$AY252),IF($D$4="Forint",0,2))-$AZ252)</f>
        <v>0</v>
      </c>
      <c r="BB252" s="13">
        <f t="shared" ca="1" si="77"/>
        <v>0</v>
      </c>
      <c r="BD252" s="32">
        <v>233</v>
      </c>
      <c r="BE252" s="32">
        <v>20</v>
      </c>
      <c r="BF252" s="32">
        <v>5</v>
      </c>
      <c r="BG252" s="34">
        <f t="shared" ca="1" si="86"/>
        <v>2038</v>
      </c>
      <c r="BH252" s="32" t="str">
        <f ca="1">IF(MOD(MONTH($D$14)+$BD252-1,12)=Paraméterek!$C$288,"Igen","")</f>
        <v/>
      </c>
      <c r="BI252" s="13">
        <f ca="1">IF($BH252="Igen",MIN(ROUNDDOWN((SUMIF($BG$20:$BG$1027,$BG252-1,$K$20:$K$1027)-SUMIF($BG$20:$BG$1027,$BG252-1,$I$20:$I$1027))*Paraméterek!$C$289,IF($D$4="Forint",0,2)),IF($D$4="Forint",Paraméterek!$C$285,Paraméterek!$D$285)),0)</f>
        <v>0</v>
      </c>
      <c r="BJ252" s="13">
        <f t="shared" ca="1" si="78"/>
        <v>0</v>
      </c>
      <c r="BK252" s="13">
        <f t="shared" ca="1" si="87"/>
        <v>0</v>
      </c>
      <c r="BL252" s="33"/>
      <c r="BM252" s="13">
        <f t="shared" ca="1" si="79"/>
        <v>0</v>
      </c>
      <c r="BN252" s="13">
        <f ca="1">ROUNDUP(($BK252+$BM252)*VLOOKUP($BE252,Paraméterek!$P$38:$Q$38,2)/12*IF($D253="Nem",IF($M$13=0,1,$M$13),1),IF($D$4="Forint",0,2))</f>
        <v>0</v>
      </c>
      <c r="BO252" s="13">
        <f t="shared" ca="1" si="80"/>
        <v>0</v>
      </c>
      <c r="BP252" s="13">
        <f ca="1">IF($D253="Nem",$BO252,$BO252-ROUNDUP(SUM($BI$20:$BI252)*120%,IF($D$4="Forint",0,2)))</f>
        <v>0</v>
      </c>
    </row>
    <row r="253" spans="1:68" x14ac:dyDescent="0.2">
      <c r="A253" s="32">
        <v>234</v>
      </c>
      <c r="B253" s="32">
        <v>20</v>
      </c>
      <c r="C253" s="32">
        <v>6</v>
      </c>
      <c r="D253" s="32" t="str">
        <f t="shared" ca="1" si="66"/>
        <v>Nem</v>
      </c>
      <c r="E253" s="13">
        <f t="shared" ca="1" si="67"/>
        <v>0</v>
      </c>
      <c r="F253" s="13"/>
      <c r="G253" s="13"/>
      <c r="H253" s="13"/>
      <c r="I253" s="13">
        <f t="shared" ca="1" si="68"/>
        <v>0</v>
      </c>
      <c r="J253" s="13">
        <f t="shared" ca="1" si="69"/>
        <v>0</v>
      </c>
      <c r="K253" s="13">
        <f t="shared" ca="1" si="70"/>
        <v>0</v>
      </c>
      <c r="L253" s="13" t="e">
        <f ca="1">ROUNDUP(IF($D$2="Egyszeri",$E253,IF($D$2="Havi",SUM($E$20:$E$31),IF(MOD($C253,$M$1)-1=0,SUM($E$20:$E$31),0))/12*$M$1)*VLOOKUP($B253,Paraméterek!$I$28:$P$31,IF($D$2="Egyszeri",8,HLOOKUP(ROUNDUP($M$11+$M$13,0),Paraméterek!$J$26:$O$27,2))),IF($D$4="Forint",0,2))</f>
        <v>#N/A</v>
      </c>
      <c r="M253" s="13">
        <f t="shared" ca="1" si="71"/>
        <v>0</v>
      </c>
      <c r="N253" s="13">
        <f t="shared" ca="1" si="81"/>
        <v>0</v>
      </c>
      <c r="O253" s="13">
        <f ca="1">IF($D253="Igen",IF($W252&gt;=IF($D$4="Forint",Paraméterek!$J$121,Paraméterek!$K$121),0,IF($D$4="Forint",Paraméterek!$J$121,Paraméterek!$K$121)-$W252),0)</f>
        <v>0</v>
      </c>
      <c r="P253" s="13" t="e">
        <f ca="1">ROUNDUP($O253*VLOOKUP($M$4+$B253-1,Paraméterek!$H$58:$I$105,2,0)/Paraméterek!$I$56,IF($D$4="Forint",0,2))</f>
        <v>#N/A</v>
      </c>
      <c r="Q253" s="13">
        <f t="shared" ca="1" si="72"/>
        <v>0</v>
      </c>
      <c r="R253" s="33"/>
      <c r="S253" s="13" t="e">
        <f t="shared" ca="1" si="73"/>
        <v>#N/A</v>
      </c>
      <c r="T253" s="13" t="e">
        <f ca="1">ROUNDUP(($N253-$P253-$Q253+$S253)*VLOOKUP($B253,Paraméterek!$I$38:$K$39,IF($D$2="Egyszeri",3,2))/12*IF($D254="Nem",IF($M$13=0,1,$M$13),1),IF($D$4="Forint",0,2))</f>
        <v>#N/A</v>
      </c>
      <c r="U253" s="13"/>
      <c r="V253" s="13"/>
      <c r="W253" s="13" t="e">
        <f ca="1">$N253-$P253-$Q253+$S253-$T253-IF(ROUNDUP(IF(ISBLANK($V253),$U253*0,$V253)/IF($D$2="Egyszeri",VLOOKUP($B253+IF($C253=12,1,0),Paraméterek!$V$257:$W$262,2),IF($B253=1,1,VLOOKUP($B253+IF($C253=12,1,0),Paraméterek!$I$258:$T$278,HLOOKUP($M$11+1,Paraméterek!$J$256:$T$257,2)))),IF($D$4="Forint",0,2))&gt;$N253-$P253-$Q253+$S253-$T253-IF($D$4="Forint",Paraméterek!$C$216,Paraméterek!$D$216),0,ROUNDUP(IF(ISBLANK($V253),$U253*0,$V253)/IF($D$2="Egyszeri",VLOOKUP($B253+IF($C253=12,1,0),Paraméterek!$V$257:$W$262,2),IF($B253=1,1,VLOOKUP($B253+IF($C253=12,1,0),Paraméterek!$I$258:$T$278,HLOOKUP($M$11+1,Paraméterek!$J$256:$T$257,2)))),IF($D$4="Forint",0,2)))</f>
        <v>#N/A</v>
      </c>
      <c r="X253" s="13" t="e">
        <f ca="1">ROUNDDOWN($W253*IF($D$2="Egyszeri",VLOOKUP($B253+IF($C253=12,1,0),Paraméterek!$V$257:$W$262,2),VLOOKUP($B253+IF($C253=12,1,0),Paraméterek!$I$258:$T$278,HLOOKUP($M$11+1,Paraméterek!$I$256:$T$257,2))),IF($D$4="Forint",0,2))</f>
        <v>#N/A</v>
      </c>
      <c r="Z253" s="32">
        <v>234</v>
      </c>
      <c r="AA253" s="32">
        <v>20</v>
      </c>
      <c r="AB253" s="32">
        <v>6</v>
      </c>
      <c r="AC253" s="13">
        <f t="shared" ca="1" si="82"/>
        <v>0</v>
      </c>
      <c r="AD253" s="33"/>
      <c r="AE253" s="13">
        <f t="shared" ca="1" si="74"/>
        <v>0</v>
      </c>
      <c r="AF253" s="13">
        <f ca="1">ROUNDUP(($AC253+$AE253)*VLOOKUP($AA253,Paraméterek!$P$38:$Q$38,2)/12*IF($D254="Nem",IF($M$13=0,1,$M$13),1),IF($D$4="Forint",0,2))</f>
        <v>0</v>
      </c>
      <c r="AG253" s="13">
        <f ca="1">IF($D$2="Egyszeri",IF($D$7&gt;=IF($D$4="Forint",Paraméterek!$P$223,Paraméterek!$P$224),$D$7-IF($D$4="Forint",Paraméterek!$P$223,Paraméterek!$P$224),0),MIN(IF($AB253=12,AVERAGEIF($E$20:$E253,"&gt;0",$E$20:$E253)*12,0),SUM($E$20:$E$31)))</f>
        <v>0</v>
      </c>
      <c r="AH253" s="13">
        <f>IF($AA253=10,$AG253*IF($AB253=12,IF($AG253&lt;IF($D$4="Forint",Paraméterek!$L$223,Paraméterek!$L$224),0,VLOOKUP($AA253,Paraméterek!$K$226:$M$228,IF($AG253&lt;IF($D$4="Forint",Paraméterek!$M$223,Paraméterek!$M$224),2,3))),0),0)</f>
        <v>0</v>
      </c>
      <c r="AI253" s="13">
        <f ca="1">IF(AND($AA253=$M$11+1,$AB253=$M$12+1),SUMIF($AA$20:$AA$1027,$AA253,$AG$20:$AG$1027)*IF(SUMIF($AA$20:$AA$1027,$AA253,$AG$20:$AG$1027)&lt;IF($D$4="Forint",Paraméterek!$L$223,Paraméterek!$L$224),0,VLOOKUP($AA253,Paraméterek!$K$230:$M$250,IF(SUMIF($AA$20:$AA$1027,$AA253,$AG$20:$AG$1027)&lt;IF($D$4="Forint",Paraméterek!$M$223,Paraméterek!$M$224),2,3))),0)</f>
        <v>0</v>
      </c>
      <c r="AJ253" s="13">
        <f ca="1">IF(AND($AA253&gt;=5,MOD($AA253,5)=0),IF($AB253=12,VLOOKUP($AA253,Paraméterek!$O$225:$P$240,2),0),IF(OR($AA253=3,$AA253=4),IF($AB253=12,VLOOKUP($AA253,Paraméterek!$O$225:$P$240,2,0),0),0))*$AG253</f>
        <v>0</v>
      </c>
      <c r="AK253" s="13">
        <f t="shared" ca="1" si="75"/>
        <v>0</v>
      </c>
      <c r="AL253" s="13">
        <f t="shared" ca="1" si="83"/>
        <v>0</v>
      </c>
      <c r="AM253" s="13">
        <f t="shared" ca="1" si="84"/>
        <v>0</v>
      </c>
      <c r="AO253" s="32">
        <v>234</v>
      </c>
      <c r="AP253" s="32">
        <v>20</v>
      </c>
      <c r="AQ253" s="32">
        <v>6</v>
      </c>
      <c r="AR253" s="13"/>
      <c r="AS253" s="32"/>
      <c r="AT253" s="13">
        <f t="shared" ca="1" si="85"/>
        <v>0</v>
      </c>
      <c r="AU253" s="33"/>
      <c r="AV253" s="13">
        <f t="shared" ca="1" si="76"/>
        <v>0</v>
      </c>
      <c r="AW253" s="13">
        <f ca="1">ROUNDUP(($AT253+$AV253)*VLOOKUP($AP253,Paraméterek!$P$38:$Q$38,2)/12*IF($D254="Nem",IF($M$13=0,1,$M$13),1),IF($D$4="Forint",0,2))</f>
        <v>0</v>
      </c>
      <c r="AX253" s="13"/>
      <c r="AY253" s="13"/>
      <c r="AZ253" s="13">
        <f>ROUNDUP(IF(SUM($AX253:$AY253)=0,0,IF(IF(ISBLANK($AY253),$AX253,$AY253)*Paraméterek!$J$112&lt;IF($D$4="Forint",Paraméterek!$J$113,Paraméterek!$K$113),IF($D$4="Forint",Paraméterek!$J$113,Paraméterek!$K$113),IF(IF(ISBLANK($AY253),$AX253,$AY253)*Paraméterek!$J$112&gt;IF($D$4="Forint",Paraméterek!$J$114,Paraméterek!$K$114),IF($D$4="Forint",Paraméterek!$J$114,Paraméterek!$K$114),IF(ISBLANK($AY253),$AX253,$AY253)*Paraméterek!$J$112))),IF($D$4="Forint",0,2))</f>
        <v>0</v>
      </c>
      <c r="BA253" s="13">
        <f ca="1">$AT253+$AV253-$AW253-IF(ROUNDDOWN(IF(ISBLANK($AY253),$AX253,$AY253),IF($D$4="Forint",0,2))&gt;$AT253+$AV253-$AW253-IF($D$4="Forint",Paraméterek!$J$114,Paraméterek!$K$114),0,ROUNDDOWN(IF(ISBLANK($AY253),$AX253,$AY253),IF($D$4="Forint",0,2))-$AZ253)</f>
        <v>0</v>
      </c>
      <c r="BB253" s="13">
        <f t="shared" ca="1" si="77"/>
        <v>0</v>
      </c>
      <c r="BD253" s="32">
        <v>234</v>
      </c>
      <c r="BE253" s="32">
        <v>20</v>
      </c>
      <c r="BF253" s="32">
        <v>6</v>
      </c>
      <c r="BG253" s="34">
        <f t="shared" ca="1" si="86"/>
        <v>2038</v>
      </c>
      <c r="BH253" s="32" t="str">
        <f ca="1">IF(MOD(MONTH($D$14)+$BD253-1,12)=Paraméterek!$C$288,"Igen","")</f>
        <v/>
      </c>
      <c r="BI253" s="13">
        <f ca="1">IF($BH253="Igen",MIN(ROUNDDOWN((SUMIF($BG$20:$BG$1027,$BG253-1,$K$20:$K$1027)-SUMIF($BG$20:$BG$1027,$BG253-1,$I$20:$I$1027))*Paraméterek!$C$289,IF($D$4="Forint",0,2)),IF($D$4="Forint",Paraméterek!$C$285,Paraméterek!$D$285)),0)</f>
        <v>0</v>
      </c>
      <c r="BJ253" s="13">
        <f t="shared" ca="1" si="78"/>
        <v>0</v>
      </c>
      <c r="BK253" s="13">
        <f t="shared" ca="1" si="87"/>
        <v>0</v>
      </c>
      <c r="BL253" s="33"/>
      <c r="BM253" s="13">
        <f t="shared" ca="1" si="79"/>
        <v>0</v>
      </c>
      <c r="BN253" s="13">
        <f ca="1">ROUNDUP(($BK253+$BM253)*VLOOKUP($BE253,Paraméterek!$P$38:$Q$38,2)/12*IF($D254="Nem",IF($M$13=0,1,$M$13),1),IF($D$4="Forint",0,2))</f>
        <v>0</v>
      </c>
      <c r="BO253" s="13">
        <f t="shared" ca="1" si="80"/>
        <v>0</v>
      </c>
      <c r="BP253" s="13">
        <f ca="1">IF($D254="Nem",$BO253,$BO253-ROUNDUP(SUM($BI$20:$BI253)*120%,IF($D$4="Forint",0,2)))</f>
        <v>0</v>
      </c>
    </row>
    <row r="254" spans="1:68" x14ac:dyDescent="0.2">
      <c r="A254" s="32">
        <v>235</v>
      </c>
      <c r="B254" s="32">
        <v>20</v>
      </c>
      <c r="C254" s="32">
        <v>7</v>
      </c>
      <c r="D254" s="32" t="str">
        <f t="shared" ca="1" si="66"/>
        <v>Nem</v>
      </c>
      <c r="E254" s="13">
        <f t="shared" ca="1" si="67"/>
        <v>0</v>
      </c>
      <c r="F254" s="13"/>
      <c r="G254" s="13"/>
      <c r="H254" s="13"/>
      <c r="I254" s="13">
        <f t="shared" ca="1" si="68"/>
        <v>0</v>
      </c>
      <c r="J254" s="13">
        <f t="shared" ca="1" si="69"/>
        <v>0</v>
      </c>
      <c r="K254" s="13">
        <f t="shared" ca="1" si="70"/>
        <v>0</v>
      </c>
      <c r="L254" s="13" t="e">
        <f ca="1">ROUNDUP(IF($D$2="Egyszeri",$E254,IF($D$2="Havi",SUM($E$20:$E$31),IF(MOD($C254,$M$1)-1=0,SUM($E$20:$E$31),0))/12*$M$1)*VLOOKUP($B254,Paraméterek!$I$28:$P$31,IF($D$2="Egyszeri",8,HLOOKUP(ROUNDUP($M$11+$M$13,0),Paraméterek!$J$26:$O$27,2))),IF($D$4="Forint",0,2))</f>
        <v>#N/A</v>
      </c>
      <c r="M254" s="13">
        <f t="shared" ca="1" si="71"/>
        <v>0</v>
      </c>
      <c r="N254" s="13">
        <f t="shared" ca="1" si="81"/>
        <v>0</v>
      </c>
      <c r="O254" s="13">
        <f ca="1">IF($D254="Igen",IF($W253&gt;=IF($D$4="Forint",Paraméterek!$J$121,Paraméterek!$K$121),0,IF($D$4="Forint",Paraméterek!$J$121,Paraméterek!$K$121)-$W253),0)</f>
        <v>0</v>
      </c>
      <c r="P254" s="13" t="e">
        <f ca="1">ROUNDUP($O254*VLOOKUP($M$4+$B254-1,Paraméterek!$H$58:$I$105,2,0)/Paraméterek!$I$56,IF($D$4="Forint",0,2))</f>
        <v>#N/A</v>
      </c>
      <c r="Q254" s="13">
        <f t="shared" ca="1" si="72"/>
        <v>0</v>
      </c>
      <c r="R254" s="33"/>
      <c r="S254" s="13" t="e">
        <f t="shared" ca="1" si="73"/>
        <v>#N/A</v>
      </c>
      <c r="T254" s="13" t="e">
        <f ca="1">ROUNDUP(($N254-$P254-$Q254+$S254)*VLOOKUP($B254,Paraméterek!$I$38:$K$39,IF($D$2="Egyszeri",3,2))/12*IF($D255="Nem",IF($M$13=0,1,$M$13),1),IF($D$4="Forint",0,2))</f>
        <v>#N/A</v>
      </c>
      <c r="U254" s="13"/>
      <c r="V254" s="13"/>
      <c r="W254" s="13" t="e">
        <f ca="1">$N254-$P254-$Q254+$S254-$T254-IF(ROUNDUP(IF(ISBLANK($V254),$U254*0,$V254)/IF($D$2="Egyszeri",VLOOKUP($B254+IF($C254=12,1,0),Paraméterek!$V$257:$W$262,2),IF($B254=1,1,VLOOKUP($B254+IF($C254=12,1,0),Paraméterek!$I$258:$T$278,HLOOKUP($M$11+1,Paraméterek!$J$256:$T$257,2)))),IF($D$4="Forint",0,2))&gt;$N254-$P254-$Q254+$S254-$T254-IF($D$4="Forint",Paraméterek!$C$216,Paraméterek!$D$216),0,ROUNDUP(IF(ISBLANK($V254),$U254*0,$V254)/IF($D$2="Egyszeri",VLOOKUP($B254+IF($C254=12,1,0),Paraméterek!$V$257:$W$262,2),IF($B254=1,1,VLOOKUP($B254+IF($C254=12,1,0),Paraméterek!$I$258:$T$278,HLOOKUP($M$11+1,Paraméterek!$J$256:$T$257,2)))),IF($D$4="Forint",0,2)))</f>
        <v>#N/A</v>
      </c>
      <c r="X254" s="13" t="e">
        <f ca="1">ROUNDDOWN($W254*IF($D$2="Egyszeri",VLOOKUP($B254+IF($C254=12,1,0),Paraméterek!$V$257:$W$262,2),VLOOKUP($B254+IF($C254=12,1,0),Paraméterek!$I$258:$T$278,HLOOKUP($M$11+1,Paraméterek!$I$256:$T$257,2))),IF($D$4="Forint",0,2))</f>
        <v>#N/A</v>
      </c>
      <c r="Z254" s="32">
        <v>235</v>
      </c>
      <c r="AA254" s="32">
        <v>20</v>
      </c>
      <c r="AB254" s="32">
        <v>7</v>
      </c>
      <c r="AC254" s="13">
        <f t="shared" ca="1" si="82"/>
        <v>0</v>
      </c>
      <c r="AD254" s="33"/>
      <c r="AE254" s="13">
        <f t="shared" ca="1" si="74"/>
        <v>0</v>
      </c>
      <c r="AF254" s="13">
        <f ca="1">ROUNDUP(($AC254+$AE254)*VLOOKUP($AA254,Paraméterek!$P$38:$Q$38,2)/12*IF($D255="Nem",IF($M$13=0,1,$M$13),1),IF($D$4="Forint",0,2))</f>
        <v>0</v>
      </c>
      <c r="AG254" s="13">
        <f ca="1">IF($D$2="Egyszeri",IF($D$7&gt;=IF($D$4="Forint",Paraméterek!$P$223,Paraméterek!$P$224),$D$7-IF($D$4="Forint",Paraméterek!$P$223,Paraméterek!$P$224),0),MIN(IF($AB254=12,AVERAGEIF($E$20:$E254,"&gt;0",$E$20:$E254)*12,0),SUM($E$20:$E$31)))</f>
        <v>0</v>
      </c>
      <c r="AH254" s="13">
        <f>IF($AA254=10,$AG254*IF($AB254=12,IF($AG254&lt;IF($D$4="Forint",Paraméterek!$L$223,Paraméterek!$L$224),0,VLOOKUP($AA254,Paraméterek!$K$226:$M$228,IF($AG254&lt;IF($D$4="Forint",Paraméterek!$M$223,Paraméterek!$M$224),2,3))),0),0)</f>
        <v>0</v>
      </c>
      <c r="AI254" s="13">
        <f ca="1">IF(AND($AA254=$M$11+1,$AB254=$M$12+1),SUMIF($AA$20:$AA$1027,$AA254,$AG$20:$AG$1027)*IF(SUMIF($AA$20:$AA$1027,$AA254,$AG$20:$AG$1027)&lt;IF($D$4="Forint",Paraméterek!$L$223,Paraméterek!$L$224),0,VLOOKUP($AA254,Paraméterek!$K$230:$M$250,IF(SUMIF($AA$20:$AA$1027,$AA254,$AG$20:$AG$1027)&lt;IF($D$4="Forint",Paraméterek!$M$223,Paraméterek!$M$224),2,3))),0)</f>
        <v>0</v>
      </c>
      <c r="AJ254" s="13">
        <f ca="1">IF(AND($AA254&gt;=5,MOD($AA254,5)=0),IF($AB254=12,VLOOKUP($AA254,Paraméterek!$O$225:$P$240,2),0),IF(OR($AA254=3,$AA254=4),IF($AB254=12,VLOOKUP($AA254,Paraméterek!$O$225:$P$240,2,0),0),0))*$AG254</f>
        <v>0</v>
      </c>
      <c r="AK254" s="13">
        <f t="shared" ca="1" si="75"/>
        <v>0</v>
      </c>
      <c r="AL254" s="13">
        <f t="shared" ca="1" si="83"/>
        <v>0</v>
      </c>
      <c r="AM254" s="13">
        <f t="shared" ca="1" si="84"/>
        <v>0</v>
      </c>
      <c r="AO254" s="32">
        <v>235</v>
      </c>
      <c r="AP254" s="32">
        <v>20</v>
      </c>
      <c r="AQ254" s="32">
        <v>7</v>
      </c>
      <c r="AR254" s="13"/>
      <c r="AS254" s="32"/>
      <c r="AT254" s="13">
        <f t="shared" ca="1" si="85"/>
        <v>0</v>
      </c>
      <c r="AU254" s="33"/>
      <c r="AV254" s="13">
        <f t="shared" ca="1" si="76"/>
        <v>0</v>
      </c>
      <c r="AW254" s="13">
        <f ca="1">ROUNDUP(($AT254+$AV254)*VLOOKUP($AP254,Paraméterek!$P$38:$Q$38,2)/12*IF($D255="Nem",IF($M$13=0,1,$M$13),1),IF($D$4="Forint",0,2))</f>
        <v>0</v>
      </c>
      <c r="AX254" s="13"/>
      <c r="AY254" s="13"/>
      <c r="AZ254" s="13">
        <f>ROUNDUP(IF(SUM($AX254:$AY254)=0,0,IF(IF(ISBLANK($AY254),$AX254,$AY254)*Paraméterek!$J$112&lt;IF($D$4="Forint",Paraméterek!$J$113,Paraméterek!$K$113),IF($D$4="Forint",Paraméterek!$J$113,Paraméterek!$K$113),IF(IF(ISBLANK($AY254),$AX254,$AY254)*Paraméterek!$J$112&gt;IF($D$4="Forint",Paraméterek!$J$114,Paraméterek!$K$114),IF($D$4="Forint",Paraméterek!$J$114,Paraméterek!$K$114),IF(ISBLANK($AY254),$AX254,$AY254)*Paraméterek!$J$112))),IF($D$4="Forint",0,2))</f>
        <v>0</v>
      </c>
      <c r="BA254" s="13">
        <f ca="1">$AT254+$AV254-$AW254-IF(ROUNDDOWN(IF(ISBLANK($AY254),$AX254,$AY254),IF($D$4="Forint",0,2))&gt;$AT254+$AV254-$AW254-IF($D$4="Forint",Paraméterek!$J$114,Paraméterek!$K$114),0,ROUNDDOWN(IF(ISBLANK($AY254),$AX254,$AY254),IF($D$4="Forint",0,2))-$AZ254)</f>
        <v>0</v>
      </c>
      <c r="BB254" s="13">
        <f t="shared" ca="1" si="77"/>
        <v>0</v>
      </c>
      <c r="BD254" s="32">
        <v>235</v>
      </c>
      <c r="BE254" s="32">
        <v>20</v>
      </c>
      <c r="BF254" s="32">
        <v>7</v>
      </c>
      <c r="BG254" s="34">
        <f t="shared" ca="1" si="86"/>
        <v>2038</v>
      </c>
      <c r="BH254" s="32" t="str">
        <f ca="1">IF(MOD(MONTH($D$14)+$BD254-1,12)=Paraméterek!$C$288,"Igen","")</f>
        <v/>
      </c>
      <c r="BI254" s="13">
        <f ca="1">IF($BH254="Igen",MIN(ROUNDDOWN((SUMIF($BG$20:$BG$1027,$BG254-1,$K$20:$K$1027)-SUMIF($BG$20:$BG$1027,$BG254-1,$I$20:$I$1027))*Paraméterek!$C$289,IF($D$4="Forint",0,2)),IF($D$4="Forint",Paraméterek!$C$285,Paraméterek!$D$285)),0)</f>
        <v>0</v>
      </c>
      <c r="BJ254" s="13">
        <f t="shared" ca="1" si="78"/>
        <v>0</v>
      </c>
      <c r="BK254" s="13">
        <f t="shared" ca="1" si="87"/>
        <v>0</v>
      </c>
      <c r="BL254" s="33"/>
      <c r="BM254" s="13">
        <f t="shared" ca="1" si="79"/>
        <v>0</v>
      </c>
      <c r="BN254" s="13">
        <f ca="1">ROUNDUP(($BK254+$BM254)*VLOOKUP($BE254,Paraméterek!$P$38:$Q$38,2)/12*IF($D255="Nem",IF($M$13=0,1,$M$13),1),IF($D$4="Forint",0,2))</f>
        <v>0</v>
      </c>
      <c r="BO254" s="13">
        <f t="shared" ca="1" si="80"/>
        <v>0</v>
      </c>
      <c r="BP254" s="13">
        <f ca="1">IF($D255="Nem",$BO254,$BO254-ROUNDUP(SUM($BI$20:$BI254)*120%,IF($D$4="Forint",0,2)))</f>
        <v>0</v>
      </c>
    </row>
    <row r="255" spans="1:68" x14ac:dyDescent="0.2">
      <c r="A255" s="32">
        <v>236</v>
      </c>
      <c r="B255" s="32">
        <v>20</v>
      </c>
      <c r="C255" s="32">
        <v>8</v>
      </c>
      <c r="D255" s="32" t="str">
        <f t="shared" ca="1" si="66"/>
        <v>Nem</v>
      </c>
      <c r="E255" s="13">
        <f t="shared" ca="1" si="67"/>
        <v>0</v>
      </c>
      <c r="F255" s="13"/>
      <c r="G255" s="13"/>
      <c r="H255" s="13"/>
      <c r="I255" s="13">
        <f t="shared" ca="1" si="68"/>
        <v>0</v>
      </c>
      <c r="J255" s="13">
        <f t="shared" ca="1" si="69"/>
        <v>0</v>
      </c>
      <c r="K255" s="13">
        <f t="shared" ca="1" si="70"/>
        <v>0</v>
      </c>
      <c r="L255" s="13" t="e">
        <f ca="1">ROUNDUP(IF($D$2="Egyszeri",$E255,IF($D$2="Havi",SUM($E$20:$E$31),IF(MOD($C255,$M$1)-1=0,SUM($E$20:$E$31),0))/12*$M$1)*VLOOKUP($B255,Paraméterek!$I$28:$P$31,IF($D$2="Egyszeri",8,HLOOKUP(ROUNDUP($M$11+$M$13,0),Paraméterek!$J$26:$O$27,2))),IF($D$4="Forint",0,2))</f>
        <v>#N/A</v>
      </c>
      <c r="M255" s="13">
        <f t="shared" ca="1" si="71"/>
        <v>0</v>
      </c>
      <c r="N255" s="13">
        <f t="shared" ca="1" si="81"/>
        <v>0</v>
      </c>
      <c r="O255" s="13">
        <f ca="1">IF($D255="Igen",IF($W254&gt;=IF($D$4="Forint",Paraméterek!$J$121,Paraméterek!$K$121),0,IF($D$4="Forint",Paraméterek!$J$121,Paraméterek!$K$121)-$W254),0)</f>
        <v>0</v>
      </c>
      <c r="P255" s="13" t="e">
        <f ca="1">ROUNDUP($O255*VLOOKUP($M$4+$B255-1,Paraméterek!$H$58:$I$105,2,0)/Paraméterek!$I$56,IF($D$4="Forint",0,2))</f>
        <v>#N/A</v>
      </c>
      <c r="Q255" s="13">
        <f t="shared" ca="1" si="72"/>
        <v>0</v>
      </c>
      <c r="R255" s="33"/>
      <c r="S255" s="13" t="e">
        <f t="shared" ca="1" si="73"/>
        <v>#N/A</v>
      </c>
      <c r="T255" s="13" t="e">
        <f ca="1">ROUNDUP(($N255-$P255-$Q255+$S255)*VLOOKUP($B255,Paraméterek!$I$38:$K$39,IF($D$2="Egyszeri",3,2))/12*IF($D256="Nem",IF($M$13=0,1,$M$13),1),IF($D$4="Forint",0,2))</f>
        <v>#N/A</v>
      </c>
      <c r="U255" s="13"/>
      <c r="V255" s="13"/>
      <c r="W255" s="13" t="e">
        <f ca="1">$N255-$P255-$Q255+$S255-$T255-IF(ROUNDUP(IF(ISBLANK($V255),$U255*0,$V255)/IF($D$2="Egyszeri",VLOOKUP($B255+IF($C255=12,1,0),Paraméterek!$V$257:$W$262,2),IF($B255=1,1,VLOOKUP($B255+IF($C255=12,1,0),Paraméterek!$I$258:$T$278,HLOOKUP($M$11+1,Paraméterek!$J$256:$T$257,2)))),IF($D$4="Forint",0,2))&gt;$N255-$P255-$Q255+$S255-$T255-IF($D$4="Forint",Paraméterek!$C$216,Paraméterek!$D$216),0,ROUNDUP(IF(ISBLANK($V255),$U255*0,$V255)/IF($D$2="Egyszeri",VLOOKUP($B255+IF($C255=12,1,0),Paraméterek!$V$257:$W$262,2),IF($B255=1,1,VLOOKUP($B255+IF($C255=12,1,0),Paraméterek!$I$258:$T$278,HLOOKUP($M$11+1,Paraméterek!$J$256:$T$257,2)))),IF($D$4="Forint",0,2)))</f>
        <v>#N/A</v>
      </c>
      <c r="X255" s="13" t="e">
        <f ca="1">ROUNDDOWN($W255*IF($D$2="Egyszeri",VLOOKUP($B255+IF($C255=12,1,0),Paraméterek!$V$257:$W$262,2),VLOOKUP($B255+IF($C255=12,1,0),Paraméterek!$I$258:$T$278,HLOOKUP($M$11+1,Paraméterek!$I$256:$T$257,2))),IF($D$4="Forint",0,2))</f>
        <v>#N/A</v>
      </c>
      <c r="Z255" s="32">
        <v>236</v>
      </c>
      <c r="AA255" s="32">
        <v>20</v>
      </c>
      <c r="AB255" s="32">
        <v>8</v>
      </c>
      <c r="AC255" s="13">
        <f t="shared" ca="1" si="82"/>
        <v>0</v>
      </c>
      <c r="AD255" s="33"/>
      <c r="AE255" s="13">
        <f t="shared" ca="1" si="74"/>
        <v>0</v>
      </c>
      <c r="AF255" s="13">
        <f ca="1">ROUNDUP(($AC255+$AE255)*VLOOKUP($AA255,Paraméterek!$P$38:$Q$38,2)/12*IF($D256="Nem",IF($M$13=0,1,$M$13),1),IF($D$4="Forint",0,2))</f>
        <v>0</v>
      </c>
      <c r="AG255" s="13">
        <f ca="1">IF($D$2="Egyszeri",IF($D$7&gt;=IF($D$4="Forint",Paraméterek!$P$223,Paraméterek!$P$224),$D$7-IF($D$4="Forint",Paraméterek!$P$223,Paraméterek!$P$224),0),MIN(IF($AB255=12,AVERAGEIF($E$20:$E255,"&gt;0",$E$20:$E255)*12,0),SUM($E$20:$E$31)))</f>
        <v>0</v>
      </c>
      <c r="AH255" s="13">
        <f>IF($AA255=10,$AG255*IF($AB255=12,IF($AG255&lt;IF($D$4="Forint",Paraméterek!$L$223,Paraméterek!$L$224),0,VLOOKUP($AA255,Paraméterek!$K$226:$M$228,IF($AG255&lt;IF($D$4="Forint",Paraméterek!$M$223,Paraméterek!$M$224),2,3))),0),0)</f>
        <v>0</v>
      </c>
      <c r="AI255" s="13">
        <f ca="1">IF(AND($AA255=$M$11+1,$AB255=$M$12+1),SUMIF($AA$20:$AA$1027,$AA255,$AG$20:$AG$1027)*IF(SUMIF($AA$20:$AA$1027,$AA255,$AG$20:$AG$1027)&lt;IF($D$4="Forint",Paraméterek!$L$223,Paraméterek!$L$224),0,VLOOKUP($AA255,Paraméterek!$K$230:$M$250,IF(SUMIF($AA$20:$AA$1027,$AA255,$AG$20:$AG$1027)&lt;IF($D$4="Forint",Paraméterek!$M$223,Paraméterek!$M$224),2,3))),0)</f>
        <v>0</v>
      </c>
      <c r="AJ255" s="13">
        <f ca="1">IF(AND($AA255&gt;=5,MOD($AA255,5)=0),IF($AB255=12,VLOOKUP($AA255,Paraméterek!$O$225:$P$240,2),0),IF(OR($AA255=3,$AA255=4),IF($AB255=12,VLOOKUP($AA255,Paraméterek!$O$225:$P$240,2,0),0),0))*$AG255</f>
        <v>0</v>
      </c>
      <c r="AK255" s="13">
        <f t="shared" ca="1" si="75"/>
        <v>0</v>
      </c>
      <c r="AL255" s="13">
        <f t="shared" ca="1" si="83"/>
        <v>0</v>
      </c>
      <c r="AM255" s="13">
        <f t="shared" ca="1" si="84"/>
        <v>0</v>
      </c>
      <c r="AO255" s="32">
        <v>236</v>
      </c>
      <c r="AP255" s="32">
        <v>20</v>
      </c>
      <c r="AQ255" s="32">
        <v>8</v>
      </c>
      <c r="AR255" s="13"/>
      <c r="AS255" s="32"/>
      <c r="AT255" s="13">
        <f t="shared" ca="1" si="85"/>
        <v>0</v>
      </c>
      <c r="AU255" s="33"/>
      <c r="AV255" s="13">
        <f t="shared" ca="1" si="76"/>
        <v>0</v>
      </c>
      <c r="AW255" s="13">
        <f ca="1">ROUNDUP(($AT255+$AV255)*VLOOKUP($AP255,Paraméterek!$P$38:$Q$38,2)/12*IF($D256="Nem",IF($M$13=0,1,$M$13),1),IF($D$4="Forint",0,2))</f>
        <v>0</v>
      </c>
      <c r="AX255" s="13"/>
      <c r="AY255" s="13"/>
      <c r="AZ255" s="13">
        <f>ROUNDUP(IF(SUM($AX255:$AY255)=0,0,IF(IF(ISBLANK($AY255),$AX255,$AY255)*Paraméterek!$J$112&lt;IF($D$4="Forint",Paraméterek!$J$113,Paraméterek!$K$113),IF($D$4="Forint",Paraméterek!$J$113,Paraméterek!$K$113),IF(IF(ISBLANK($AY255),$AX255,$AY255)*Paraméterek!$J$112&gt;IF($D$4="Forint",Paraméterek!$J$114,Paraméterek!$K$114),IF($D$4="Forint",Paraméterek!$J$114,Paraméterek!$K$114),IF(ISBLANK($AY255),$AX255,$AY255)*Paraméterek!$J$112))),IF($D$4="Forint",0,2))</f>
        <v>0</v>
      </c>
      <c r="BA255" s="13">
        <f ca="1">$AT255+$AV255-$AW255-IF(ROUNDDOWN(IF(ISBLANK($AY255),$AX255,$AY255),IF($D$4="Forint",0,2))&gt;$AT255+$AV255-$AW255-IF($D$4="Forint",Paraméterek!$J$114,Paraméterek!$K$114),0,ROUNDDOWN(IF(ISBLANK($AY255),$AX255,$AY255),IF($D$4="Forint",0,2))-$AZ255)</f>
        <v>0</v>
      </c>
      <c r="BB255" s="13">
        <f t="shared" ca="1" si="77"/>
        <v>0</v>
      </c>
      <c r="BD255" s="32">
        <v>236</v>
      </c>
      <c r="BE255" s="32">
        <v>20</v>
      </c>
      <c r="BF255" s="32">
        <v>8</v>
      </c>
      <c r="BG255" s="34">
        <f t="shared" ca="1" si="86"/>
        <v>2039</v>
      </c>
      <c r="BH255" s="32" t="str">
        <f ca="1">IF(MOD(MONTH($D$14)+$BD255-1,12)=Paraméterek!$C$288,"Igen","")</f>
        <v/>
      </c>
      <c r="BI255" s="13">
        <f ca="1">IF($BH255="Igen",MIN(ROUNDDOWN((SUMIF($BG$20:$BG$1027,$BG255-1,$K$20:$K$1027)-SUMIF($BG$20:$BG$1027,$BG255-1,$I$20:$I$1027))*Paraméterek!$C$289,IF($D$4="Forint",0,2)),IF($D$4="Forint",Paraméterek!$C$285,Paraméterek!$D$285)),0)</f>
        <v>0</v>
      </c>
      <c r="BJ255" s="13">
        <f t="shared" ca="1" si="78"/>
        <v>0</v>
      </c>
      <c r="BK255" s="13">
        <f t="shared" ca="1" si="87"/>
        <v>0</v>
      </c>
      <c r="BL255" s="33"/>
      <c r="BM255" s="13">
        <f t="shared" ca="1" si="79"/>
        <v>0</v>
      </c>
      <c r="BN255" s="13">
        <f ca="1">ROUNDUP(($BK255+$BM255)*VLOOKUP($BE255,Paraméterek!$P$38:$Q$38,2)/12*IF($D256="Nem",IF($M$13=0,1,$M$13),1),IF($D$4="Forint",0,2))</f>
        <v>0</v>
      </c>
      <c r="BO255" s="13">
        <f t="shared" ca="1" si="80"/>
        <v>0</v>
      </c>
      <c r="BP255" s="13">
        <f ca="1">IF($D256="Nem",$BO255,$BO255-ROUNDUP(SUM($BI$20:$BI255)*120%,IF($D$4="Forint",0,2)))</f>
        <v>0</v>
      </c>
    </row>
    <row r="256" spans="1:68" x14ac:dyDescent="0.2">
      <c r="A256" s="32">
        <v>237</v>
      </c>
      <c r="B256" s="32">
        <v>20</v>
      </c>
      <c r="C256" s="32">
        <v>9</v>
      </c>
      <c r="D256" s="32" t="str">
        <f t="shared" ca="1" si="66"/>
        <v>Nem</v>
      </c>
      <c r="E256" s="13">
        <f t="shared" ca="1" si="67"/>
        <v>0</v>
      </c>
      <c r="F256" s="13"/>
      <c r="G256" s="13"/>
      <c r="H256" s="13"/>
      <c r="I256" s="13">
        <f t="shared" ca="1" si="68"/>
        <v>0</v>
      </c>
      <c r="J256" s="13">
        <f t="shared" ca="1" si="69"/>
        <v>0</v>
      </c>
      <c r="K256" s="13">
        <f t="shared" ca="1" si="70"/>
        <v>0</v>
      </c>
      <c r="L256" s="13" t="e">
        <f ca="1">ROUNDUP(IF($D$2="Egyszeri",$E256,IF($D$2="Havi",SUM($E$20:$E$31),IF(MOD($C256,$M$1)-1=0,SUM($E$20:$E$31),0))/12*$M$1)*VLOOKUP($B256,Paraméterek!$I$28:$P$31,IF($D$2="Egyszeri",8,HLOOKUP(ROUNDUP($M$11+$M$13,0),Paraméterek!$J$26:$O$27,2))),IF($D$4="Forint",0,2))</f>
        <v>#N/A</v>
      </c>
      <c r="M256" s="13">
        <f t="shared" ca="1" si="71"/>
        <v>0</v>
      </c>
      <c r="N256" s="13">
        <f t="shared" ca="1" si="81"/>
        <v>0</v>
      </c>
      <c r="O256" s="13">
        <f ca="1">IF($D256="Igen",IF($W255&gt;=IF($D$4="Forint",Paraméterek!$J$121,Paraméterek!$K$121),0,IF($D$4="Forint",Paraméterek!$J$121,Paraméterek!$K$121)-$W255),0)</f>
        <v>0</v>
      </c>
      <c r="P256" s="13" t="e">
        <f ca="1">ROUNDUP($O256*VLOOKUP($M$4+$B256-1,Paraméterek!$H$58:$I$105,2,0)/Paraméterek!$I$56,IF($D$4="Forint",0,2))</f>
        <v>#N/A</v>
      </c>
      <c r="Q256" s="13">
        <f t="shared" ca="1" si="72"/>
        <v>0</v>
      </c>
      <c r="R256" s="33"/>
      <c r="S256" s="13" t="e">
        <f t="shared" ca="1" si="73"/>
        <v>#N/A</v>
      </c>
      <c r="T256" s="13" t="e">
        <f ca="1">ROUNDUP(($N256-$P256-$Q256+$S256)*VLOOKUP($B256,Paraméterek!$I$38:$K$39,IF($D$2="Egyszeri",3,2))/12*IF($D257="Nem",IF($M$13=0,1,$M$13),1),IF($D$4="Forint",0,2))</f>
        <v>#N/A</v>
      </c>
      <c r="U256" s="13"/>
      <c r="V256" s="13"/>
      <c r="W256" s="13" t="e">
        <f ca="1">$N256-$P256-$Q256+$S256-$T256-IF(ROUNDUP(IF(ISBLANK($V256),$U256*0,$V256)/IF($D$2="Egyszeri",VLOOKUP($B256+IF($C256=12,1,0),Paraméterek!$V$257:$W$262,2),IF($B256=1,1,VLOOKUP($B256+IF($C256=12,1,0),Paraméterek!$I$258:$T$278,HLOOKUP($M$11+1,Paraméterek!$J$256:$T$257,2)))),IF($D$4="Forint",0,2))&gt;$N256-$P256-$Q256+$S256-$T256-IF($D$4="Forint",Paraméterek!$C$216,Paraméterek!$D$216),0,ROUNDUP(IF(ISBLANK($V256),$U256*0,$V256)/IF($D$2="Egyszeri",VLOOKUP($B256+IF($C256=12,1,0),Paraméterek!$V$257:$W$262,2),IF($B256=1,1,VLOOKUP($B256+IF($C256=12,1,0),Paraméterek!$I$258:$T$278,HLOOKUP($M$11+1,Paraméterek!$J$256:$T$257,2)))),IF($D$4="Forint",0,2)))</f>
        <v>#N/A</v>
      </c>
      <c r="X256" s="13" t="e">
        <f ca="1">ROUNDDOWN($W256*IF($D$2="Egyszeri",VLOOKUP($B256+IF($C256=12,1,0),Paraméterek!$V$257:$W$262,2),VLOOKUP($B256+IF($C256=12,1,0),Paraméterek!$I$258:$T$278,HLOOKUP($M$11+1,Paraméterek!$I$256:$T$257,2))),IF($D$4="Forint",0,2))</f>
        <v>#N/A</v>
      </c>
      <c r="Z256" s="32">
        <v>237</v>
      </c>
      <c r="AA256" s="32">
        <v>20</v>
      </c>
      <c r="AB256" s="32">
        <v>9</v>
      </c>
      <c r="AC256" s="13">
        <f t="shared" ca="1" si="82"/>
        <v>0</v>
      </c>
      <c r="AD256" s="33"/>
      <c r="AE256" s="13">
        <f t="shared" ca="1" si="74"/>
        <v>0</v>
      </c>
      <c r="AF256" s="13">
        <f ca="1">ROUNDUP(($AC256+$AE256)*VLOOKUP($AA256,Paraméterek!$P$38:$Q$38,2)/12*IF($D257="Nem",IF($M$13=0,1,$M$13),1),IF($D$4="Forint",0,2))</f>
        <v>0</v>
      </c>
      <c r="AG256" s="13">
        <f ca="1">IF($D$2="Egyszeri",IF($D$7&gt;=IF($D$4="Forint",Paraméterek!$P$223,Paraméterek!$P$224),$D$7-IF($D$4="Forint",Paraméterek!$P$223,Paraméterek!$P$224),0),MIN(IF($AB256=12,AVERAGEIF($E$20:$E256,"&gt;0",$E$20:$E256)*12,0),SUM($E$20:$E$31)))</f>
        <v>0</v>
      </c>
      <c r="AH256" s="13">
        <f>IF($AA256=10,$AG256*IF($AB256=12,IF($AG256&lt;IF($D$4="Forint",Paraméterek!$L$223,Paraméterek!$L$224),0,VLOOKUP($AA256,Paraméterek!$K$226:$M$228,IF($AG256&lt;IF($D$4="Forint",Paraméterek!$M$223,Paraméterek!$M$224),2,3))),0),0)</f>
        <v>0</v>
      </c>
      <c r="AI256" s="13">
        <f ca="1">IF(AND($AA256=$M$11+1,$AB256=$M$12+1),SUMIF($AA$20:$AA$1027,$AA256,$AG$20:$AG$1027)*IF(SUMIF($AA$20:$AA$1027,$AA256,$AG$20:$AG$1027)&lt;IF($D$4="Forint",Paraméterek!$L$223,Paraméterek!$L$224),0,VLOOKUP($AA256,Paraméterek!$K$230:$M$250,IF(SUMIF($AA$20:$AA$1027,$AA256,$AG$20:$AG$1027)&lt;IF($D$4="Forint",Paraméterek!$M$223,Paraméterek!$M$224),2,3))),0)</f>
        <v>0</v>
      </c>
      <c r="AJ256" s="13">
        <f ca="1">IF(AND($AA256&gt;=5,MOD($AA256,5)=0),IF($AB256=12,VLOOKUP($AA256,Paraméterek!$O$225:$P$240,2),0),IF(OR($AA256=3,$AA256=4),IF($AB256=12,VLOOKUP($AA256,Paraméterek!$O$225:$P$240,2,0),0),0))*$AG256</f>
        <v>0</v>
      </c>
      <c r="AK256" s="13">
        <f t="shared" ca="1" si="75"/>
        <v>0</v>
      </c>
      <c r="AL256" s="13">
        <f t="shared" ca="1" si="83"/>
        <v>0</v>
      </c>
      <c r="AM256" s="13">
        <f t="shared" ca="1" si="84"/>
        <v>0</v>
      </c>
      <c r="AO256" s="32">
        <v>237</v>
      </c>
      <c r="AP256" s="32">
        <v>20</v>
      </c>
      <c r="AQ256" s="32">
        <v>9</v>
      </c>
      <c r="AR256" s="13"/>
      <c r="AS256" s="32"/>
      <c r="AT256" s="13">
        <f t="shared" ca="1" si="85"/>
        <v>0</v>
      </c>
      <c r="AU256" s="33"/>
      <c r="AV256" s="13">
        <f t="shared" ca="1" si="76"/>
        <v>0</v>
      </c>
      <c r="AW256" s="13">
        <f ca="1">ROUNDUP(($AT256+$AV256)*VLOOKUP($AP256,Paraméterek!$P$38:$Q$38,2)/12*IF($D257="Nem",IF($M$13=0,1,$M$13),1),IF($D$4="Forint",0,2))</f>
        <v>0</v>
      </c>
      <c r="AX256" s="13"/>
      <c r="AY256" s="13"/>
      <c r="AZ256" s="13">
        <f>ROUNDUP(IF(SUM($AX256:$AY256)=0,0,IF(IF(ISBLANK($AY256),$AX256,$AY256)*Paraméterek!$J$112&lt;IF($D$4="Forint",Paraméterek!$J$113,Paraméterek!$K$113),IF($D$4="Forint",Paraméterek!$J$113,Paraméterek!$K$113),IF(IF(ISBLANK($AY256),$AX256,$AY256)*Paraméterek!$J$112&gt;IF($D$4="Forint",Paraméterek!$J$114,Paraméterek!$K$114),IF($D$4="Forint",Paraméterek!$J$114,Paraméterek!$K$114),IF(ISBLANK($AY256),$AX256,$AY256)*Paraméterek!$J$112))),IF($D$4="Forint",0,2))</f>
        <v>0</v>
      </c>
      <c r="BA256" s="13">
        <f ca="1">$AT256+$AV256-$AW256-IF(ROUNDDOWN(IF(ISBLANK($AY256),$AX256,$AY256),IF($D$4="Forint",0,2))&gt;$AT256+$AV256-$AW256-IF($D$4="Forint",Paraméterek!$J$114,Paraméterek!$K$114),0,ROUNDDOWN(IF(ISBLANK($AY256),$AX256,$AY256),IF($D$4="Forint",0,2))-$AZ256)</f>
        <v>0</v>
      </c>
      <c r="BB256" s="13">
        <f t="shared" ca="1" si="77"/>
        <v>0</v>
      </c>
      <c r="BD256" s="32">
        <v>237</v>
      </c>
      <c r="BE256" s="32">
        <v>20</v>
      </c>
      <c r="BF256" s="32">
        <v>9</v>
      </c>
      <c r="BG256" s="34">
        <f t="shared" ca="1" si="86"/>
        <v>2039</v>
      </c>
      <c r="BH256" s="32" t="str">
        <f ca="1">IF(MOD(MONTH($D$14)+$BD256-1,12)=Paraméterek!$C$288,"Igen","")</f>
        <v/>
      </c>
      <c r="BI256" s="13">
        <f ca="1">IF($BH256="Igen",MIN(ROUNDDOWN((SUMIF($BG$20:$BG$1027,$BG256-1,$K$20:$K$1027)-SUMIF($BG$20:$BG$1027,$BG256-1,$I$20:$I$1027))*Paraméterek!$C$289,IF($D$4="Forint",0,2)),IF($D$4="Forint",Paraméterek!$C$285,Paraméterek!$D$285)),0)</f>
        <v>0</v>
      </c>
      <c r="BJ256" s="13">
        <f t="shared" ca="1" si="78"/>
        <v>0</v>
      </c>
      <c r="BK256" s="13">
        <f t="shared" ca="1" si="87"/>
        <v>0</v>
      </c>
      <c r="BL256" s="33"/>
      <c r="BM256" s="13">
        <f t="shared" ca="1" si="79"/>
        <v>0</v>
      </c>
      <c r="BN256" s="13">
        <f ca="1">ROUNDUP(($BK256+$BM256)*VLOOKUP($BE256,Paraméterek!$P$38:$Q$38,2)/12*IF($D257="Nem",IF($M$13=0,1,$M$13),1),IF($D$4="Forint",0,2))</f>
        <v>0</v>
      </c>
      <c r="BO256" s="13">
        <f t="shared" ca="1" si="80"/>
        <v>0</v>
      </c>
      <c r="BP256" s="13">
        <f ca="1">IF($D257="Nem",$BO256,$BO256-ROUNDUP(SUM($BI$20:$BI256)*120%,IF($D$4="Forint",0,2)))</f>
        <v>0</v>
      </c>
    </row>
    <row r="257" spans="1:68" x14ac:dyDescent="0.2">
      <c r="A257" s="32">
        <v>238</v>
      </c>
      <c r="B257" s="32">
        <v>20</v>
      </c>
      <c r="C257" s="32">
        <v>10</v>
      </c>
      <c r="D257" s="32" t="str">
        <f t="shared" ca="1" si="66"/>
        <v>Nem</v>
      </c>
      <c r="E257" s="13">
        <f t="shared" ca="1" si="67"/>
        <v>0</v>
      </c>
      <c r="F257" s="13"/>
      <c r="G257" s="13"/>
      <c r="H257" s="13"/>
      <c r="I257" s="13">
        <f t="shared" ca="1" si="68"/>
        <v>0</v>
      </c>
      <c r="J257" s="13">
        <f t="shared" ca="1" si="69"/>
        <v>0</v>
      </c>
      <c r="K257" s="13">
        <f t="shared" ca="1" si="70"/>
        <v>0</v>
      </c>
      <c r="L257" s="13" t="e">
        <f ca="1">ROUNDUP(IF($D$2="Egyszeri",$E257,IF($D$2="Havi",SUM($E$20:$E$31),IF(MOD($C257,$M$1)-1=0,SUM($E$20:$E$31),0))/12*$M$1)*VLOOKUP($B257,Paraméterek!$I$28:$P$31,IF($D$2="Egyszeri",8,HLOOKUP(ROUNDUP($M$11+$M$13,0),Paraméterek!$J$26:$O$27,2))),IF($D$4="Forint",0,2))</f>
        <v>#N/A</v>
      </c>
      <c r="M257" s="13">
        <f t="shared" ca="1" si="71"/>
        <v>0</v>
      </c>
      <c r="N257" s="13">
        <f t="shared" ca="1" si="81"/>
        <v>0</v>
      </c>
      <c r="O257" s="13">
        <f ca="1">IF($D257="Igen",IF($W256&gt;=IF($D$4="Forint",Paraméterek!$J$121,Paraméterek!$K$121),0,IF($D$4="Forint",Paraméterek!$J$121,Paraméterek!$K$121)-$W256),0)</f>
        <v>0</v>
      </c>
      <c r="P257" s="13" t="e">
        <f ca="1">ROUNDUP($O257*VLOOKUP($M$4+$B257-1,Paraméterek!$H$58:$I$105,2,0)/Paraméterek!$I$56,IF($D$4="Forint",0,2))</f>
        <v>#N/A</v>
      </c>
      <c r="Q257" s="13">
        <f t="shared" ca="1" si="72"/>
        <v>0</v>
      </c>
      <c r="R257" s="33"/>
      <c r="S257" s="13" t="e">
        <f t="shared" ca="1" si="73"/>
        <v>#N/A</v>
      </c>
      <c r="T257" s="13" t="e">
        <f ca="1">ROUNDUP(($N257-$P257-$Q257+$S257)*VLOOKUP($B257,Paraméterek!$I$38:$K$39,IF($D$2="Egyszeri",3,2))/12*IF($D258="Nem",IF($M$13=0,1,$M$13),1),IF($D$4="Forint",0,2))</f>
        <v>#N/A</v>
      </c>
      <c r="U257" s="13"/>
      <c r="V257" s="13"/>
      <c r="W257" s="13" t="e">
        <f ca="1">$N257-$P257-$Q257+$S257-$T257-IF(ROUNDUP(IF(ISBLANK($V257),$U257*0,$V257)/IF($D$2="Egyszeri",VLOOKUP($B257+IF($C257=12,1,0),Paraméterek!$V$257:$W$262,2),IF($B257=1,1,VLOOKUP($B257+IF($C257=12,1,0),Paraméterek!$I$258:$T$278,HLOOKUP($M$11+1,Paraméterek!$J$256:$T$257,2)))),IF($D$4="Forint",0,2))&gt;$N257-$P257-$Q257+$S257-$T257-IF($D$4="Forint",Paraméterek!$C$216,Paraméterek!$D$216),0,ROUNDUP(IF(ISBLANK($V257),$U257*0,$V257)/IF($D$2="Egyszeri",VLOOKUP($B257+IF($C257=12,1,0),Paraméterek!$V$257:$W$262,2),IF($B257=1,1,VLOOKUP($B257+IF($C257=12,1,0),Paraméterek!$I$258:$T$278,HLOOKUP($M$11+1,Paraméterek!$J$256:$T$257,2)))),IF($D$4="Forint",0,2)))</f>
        <v>#N/A</v>
      </c>
      <c r="X257" s="13" t="e">
        <f ca="1">ROUNDDOWN($W257*IF($D$2="Egyszeri",VLOOKUP($B257+IF($C257=12,1,0),Paraméterek!$V$257:$W$262,2),VLOOKUP($B257+IF($C257=12,1,0),Paraméterek!$I$258:$T$278,HLOOKUP($M$11+1,Paraméterek!$I$256:$T$257,2))),IF($D$4="Forint",0,2))</f>
        <v>#N/A</v>
      </c>
      <c r="Z257" s="32">
        <v>238</v>
      </c>
      <c r="AA257" s="32">
        <v>20</v>
      </c>
      <c r="AB257" s="32">
        <v>10</v>
      </c>
      <c r="AC257" s="13">
        <f t="shared" ca="1" si="82"/>
        <v>0</v>
      </c>
      <c r="AD257" s="33"/>
      <c r="AE257" s="13">
        <f t="shared" ca="1" si="74"/>
        <v>0</v>
      </c>
      <c r="AF257" s="13">
        <f ca="1">ROUNDUP(($AC257+$AE257)*VLOOKUP($AA257,Paraméterek!$P$38:$Q$38,2)/12*IF($D258="Nem",IF($M$13=0,1,$M$13),1),IF($D$4="Forint",0,2))</f>
        <v>0</v>
      </c>
      <c r="AG257" s="13">
        <f ca="1">IF($D$2="Egyszeri",IF($D$7&gt;=IF($D$4="Forint",Paraméterek!$P$223,Paraméterek!$P$224),$D$7-IF($D$4="Forint",Paraméterek!$P$223,Paraméterek!$P$224),0),MIN(IF($AB257=12,AVERAGEIF($E$20:$E257,"&gt;0",$E$20:$E257)*12,0),SUM($E$20:$E$31)))</f>
        <v>0</v>
      </c>
      <c r="AH257" s="13">
        <f>IF($AA257=10,$AG257*IF($AB257=12,IF($AG257&lt;IF($D$4="Forint",Paraméterek!$L$223,Paraméterek!$L$224),0,VLOOKUP($AA257,Paraméterek!$K$226:$M$228,IF($AG257&lt;IF($D$4="Forint",Paraméterek!$M$223,Paraméterek!$M$224),2,3))),0),0)</f>
        <v>0</v>
      </c>
      <c r="AI257" s="13">
        <f ca="1">IF(AND($AA257=$M$11+1,$AB257=$M$12+1),SUMIF($AA$20:$AA$1027,$AA257,$AG$20:$AG$1027)*IF(SUMIF($AA$20:$AA$1027,$AA257,$AG$20:$AG$1027)&lt;IF($D$4="Forint",Paraméterek!$L$223,Paraméterek!$L$224),0,VLOOKUP($AA257,Paraméterek!$K$230:$M$250,IF(SUMIF($AA$20:$AA$1027,$AA257,$AG$20:$AG$1027)&lt;IF($D$4="Forint",Paraméterek!$M$223,Paraméterek!$M$224),2,3))),0)</f>
        <v>0</v>
      </c>
      <c r="AJ257" s="13">
        <f ca="1">IF(AND($AA257&gt;=5,MOD($AA257,5)=0),IF($AB257=12,VLOOKUP($AA257,Paraméterek!$O$225:$P$240,2),0),IF(OR($AA257=3,$AA257=4),IF($AB257=12,VLOOKUP($AA257,Paraméterek!$O$225:$P$240,2,0),0),0))*$AG257</f>
        <v>0</v>
      </c>
      <c r="AK257" s="13">
        <f t="shared" ca="1" si="75"/>
        <v>0</v>
      </c>
      <c r="AL257" s="13">
        <f t="shared" ca="1" si="83"/>
        <v>0</v>
      </c>
      <c r="AM257" s="13">
        <f t="shared" ca="1" si="84"/>
        <v>0</v>
      </c>
      <c r="AO257" s="32">
        <v>238</v>
      </c>
      <c r="AP257" s="32">
        <v>20</v>
      </c>
      <c r="AQ257" s="32">
        <v>10</v>
      </c>
      <c r="AR257" s="13"/>
      <c r="AS257" s="32"/>
      <c r="AT257" s="13">
        <f t="shared" ca="1" si="85"/>
        <v>0</v>
      </c>
      <c r="AU257" s="33"/>
      <c r="AV257" s="13">
        <f t="shared" ca="1" si="76"/>
        <v>0</v>
      </c>
      <c r="AW257" s="13">
        <f ca="1">ROUNDUP(($AT257+$AV257)*VLOOKUP($AP257,Paraméterek!$P$38:$Q$38,2)/12*IF($D258="Nem",IF($M$13=0,1,$M$13),1),IF($D$4="Forint",0,2))</f>
        <v>0</v>
      </c>
      <c r="AX257" s="13"/>
      <c r="AY257" s="13"/>
      <c r="AZ257" s="13">
        <f>ROUNDUP(IF(SUM($AX257:$AY257)=0,0,IF(IF(ISBLANK($AY257),$AX257,$AY257)*Paraméterek!$J$112&lt;IF($D$4="Forint",Paraméterek!$J$113,Paraméterek!$K$113),IF($D$4="Forint",Paraméterek!$J$113,Paraméterek!$K$113),IF(IF(ISBLANK($AY257),$AX257,$AY257)*Paraméterek!$J$112&gt;IF($D$4="Forint",Paraméterek!$J$114,Paraméterek!$K$114),IF($D$4="Forint",Paraméterek!$J$114,Paraméterek!$K$114),IF(ISBLANK($AY257),$AX257,$AY257)*Paraméterek!$J$112))),IF($D$4="Forint",0,2))</f>
        <v>0</v>
      </c>
      <c r="BA257" s="13">
        <f ca="1">$AT257+$AV257-$AW257-IF(ROUNDDOWN(IF(ISBLANK($AY257),$AX257,$AY257),IF($D$4="Forint",0,2))&gt;$AT257+$AV257-$AW257-IF($D$4="Forint",Paraméterek!$J$114,Paraméterek!$K$114),0,ROUNDDOWN(IF(ISBLANK($AY257),$AX257,$AY257),IF($D$4="Forint",0,2))-$AZ257)</f>
        <v>0</v>
      </c>
      <c r="BB257" s="13">
        <f t="shared" ca="1" si="77"/>
        <v>0</v>
      </c>
      <c r="BD257" s="32">
        <v>238</v>
      </c>
      <c r="BE257" s="32">
        <v>20</v>
      </c>
      <c r="BF257" s="32">
        <v>10</v>
      </c>
      <c r="BG257" s="34">
        <f t="shared" ca="1" si="86"/>
        <v>2039</v>
      </c>
      <c r="BH257" s="32" t="str">
        <f ca="1">IF(MOD(MONTH($D$14)+$BD257-1,12)=Paraméterek!$C$288,"Igen","")</f>
        <v/>
      </c>
      <c r="BI257" s="13">
        <f ca="1">IF($BH257="Igen",MIN(ROUNDDOWN((SUMIF($BG$20:$BG$1027,$BG257-1,$K$20:$K$1027)-SUMIF($BG$20:$BG$1027,$BG257-1,$I$20:$I$1027))*Paraméterek!$C$289,IF($D$4="Forint",0,2)),IF($D$4="Forint",Paraméterek!$C$285,Paraméterek!$D$285)),0)</f>
        <v>0</v>
      </c>
      <c r="BJ257" s="13">
        <f t="shared" ca="1" si="78"/>
        <v>0</v>
      </c>
      <c r="BK257" s="13">
        <f t="shared" ca="1" si="87"/>
        <v>0</v>
      </c>
      <c r="BL257" s="33"/>
      <c r="BM257" s="13">
        <f t="shared" ca="1" si="79"/>
        <v>0</v>
      </c>
      <c r="BN257" s="13">
        <f ca="1">ROUNDUP(($BK257+$BM257)*VLOOKUP($BE257,Paraméterek!$P$38:$Q$38,2)/12*IF($D258="Nem",IF($M$13=0,1,$M$13),1),IF($D$4="Forint",0,2))</f>
        <v>0</v>
      </c>
      <c r="BO257" s="13">
        <f t="shared" ca="1" si="80"/>
        <v>0</v>
      </c>
      <c r="BP257" s="13">
        <f ca="1">IF($D258="Nem",$BO257,$BO257-ROUNDUP(SUM($BI$20:$BI257)*120%,IF($D$4="Forint",0,2)))</f>
        <v>0</v>
      </c>
    </row>
    <row r="258" spans="1:68" x14ac:dyDescent="0.2">
      <c r="A258" s="32">
        <v>239</v>
      </c>
      <c r="B258" s="32">
        <v>20</v>
      </c>
      <c r="C258" s="32">
        <v>11</v>
      </c>
      <c r="D258" s="32" t="str">
        <f t="shared" ca="1" si="66"/>
        <v>Nem</v>
      </c>
      <c r="E258" s="13">
        <f t="shared" ca="1" si="67"/>
        <v>0</v>
      </c>
      <c r="F258" s="13"/>
      <c r="G258" s="13"/>
      <c r="H258" s="13"/>
      <c r="I258" s="13">
        <f t="shared" ca="1" si="68"/>
        <v>0</v>
      </c>
      <c r="J258" s="13">
        <f t="shared" ca="1" si="69"/>
        <v>0</v>
      </c>
      <c r="K258" s="13">
        <f t="shared" ca="1" si="70"/>
        <v>0</v>
      </c>
      <c r="L258" s="13" t="e">
        <f ca="1">ROUNDUP(IF($D$2="Egyszeri",$E258,IF($D$2="Havi",SUM($E$20:$E$31),IF(MOD($C258,$M$1)-1=0,SUM($E$20:$E$31),0))/12*$M$1)*VLOOKUP($B258,Paraméterek!$I$28:$P$31,IF($D$2="Egyszeri",8,HLOOKUP(ROUNDUP($M$11+$M$13,0),Paraméterek!$J$26:$O$27,2))),IF($D$4="Forint",0,2))</f>
        <v>#N/A</v>
      </c>
      <c r="M258" s="13">
        <f t="shared" ca="1" si="71"/>
        <v>0</v>
      </c>
      <c r="N258" s="13">
        <f t="shared" ca="1" si="81"/>
        <v>0</v>
      </c>
      <c r="O258" s="13">
        <f ca="1">IF($D258="Igen",IF($W257&gt;=IF($D$4="Forint",Paraméterek!$J$121,Paraméterek!$K$121),0,IF($D$4="Forint",Paraméterek!$J$121,Paraméterek!$K$121)-$W257),0)</f>
        <v>0</v>
      </c>
      <c r="P258" s="13" t="e">
        <f ca="1">ROUNDUP($O258*VLOOKUP($M$4+$B258-1,Paraméterek!$H$58:$I$105,2,0)/Paraméterek!$I$56,IF($D$4="Forint",0,2))</f>
        <v>#N/A</v>
      </c>
      <c r="Q258" s="13">
        <f t="shared" ca="1" si="72"/>
        <v>0</v>
      </c>
      <c r="R258" s="33"/>
      <c r="S258" s="13" t="e">
        <f t="shared" ca="1" si="73"/>
        <v>#N/A</v>
      </c>
      <c r="T258" s="13" t="e">
        <f ca="1">ROUNDUP(($N258-$P258-$Q258+$S258)*VLOOKUP($B258,Paraméterek!$I$38:$K$39,IF($D$2="Egyszeri",3,2))/12*IF($D259="Nem",IF($M$13=0,1,$M$13),1),IF($D$4="Forint",0,2))</f>
        <v>#N/A</v>
      </c>
      <c r="U258" s="13"/>
      <c r="V258" s="13"/>
      <c r="W258" s="13" t="e">
        <f ca="1">$N258-$P258-$Q258+$S258-$T258-IF(ROUNDUP(IF(ISBLANK($V258),$U258*0,$V258)/IF($D$2="Egyszeri",VLOOKUP($B258+IF($C258=12,1,0),Paraméterek!$V$257:$W$262,2),IF($B258=1,1,VLOOKUP($B258+IF($C258=12,1,0),Paraméterek!$I$258:$T$278,HLOOKUP($M$11+1,Paraméterek!$J$256:$T$257,2)))),IF($D$4="Forint",0,2))&gt;$N258-$P258-$Q258+$S258-$T258-IF($D$4="Forint",Paraméterek!$C$216,Paraméterek!$D$216),0,ROUNDUP(IF(ISBLANK($V258),$U258*0,$V258)/IF($D$2="Egyszeri",VLOOKUP($B258+IF($C258=12,1,0),Paraméterek!$V$257:$W$262,2),IF($B258=1,1,VLOOKUP($B258+IF($C258=12,1,0),Paraméterek!$I$258:$T$278,HLOOKUP($M$11+1,Paraméterek!$J$256:$T$257,2)))),IF($D$4="Forint",0,2)))</f>
        <v>#N/A</v>
      </c>
      <c r="X258" s="13" t="e">
        <f ca="1">ROUNDDOWN($W258*IF($D$2="Egyszeri",VLOOKUP($B258+IF($C258=12,1,0),Paraméterek!$V$257:$W$262,2),VLOOKUP($B258+IF($C258=12,1,0),Paraméterek!$I$258:$T$278,HLOOKUP($M$11+1,Paraméterek!$I$256:$T$257,2))),IF($D$4="Forint",0,2))</f>
        <v>#N/A</v>
      </c>
      <c r="Z258" s="32">
        <v>239</v>
      </c>
      <c r="AA258" s="32">
        <v>20</v>
      </c>
      <c r="AB258" s="32">
        <v>11</v>
      </c>
      <c r="AC258" s="13">
        <f t="shared" ca="1" si="82"/>
        <v>0</v>
      </c>
      <c r="AD258" s="33"/>
      <c r="AE258" s="13">
        <f t="shared" ca="1" si="74"/>
        <v>0</v>
      </c>
      <c r="AF258" s="13">
        <f ca="1">ROUNDUP(($AC258+$AE258)*VLOOKUP($AA258,Paraméterek!$P$38:$Q$38,2)/12*IF($D259="Nem",IF($M$13=0,1,$M$13),1),IF($D$4="Forint",0,2))</f>
        <v>0</v>
      </c>
      <c r="AG258" s="13">
        <f ca="1">IF($D$2="Egyszeri",IF($D$7&gt;=IF($D$4="Forint",Paraméterek!$P$223,Paraméterek!$P$224),$D$7-IF($D$4="Forint",Paraméterek!$P$223,Paraméterek!$P$224),0),MIN(IF($AB258=12,AVERAGEIF($E$20:$E258,"&gt;0",$E$20:$E258)*12,0),SUM($E$20:$E$31)))</f>
        <v>0</v>
      </c>
      <c r="AH258" s="13">
        <f>IF($AA258=10,$AG258*IF($AB258=12,IF($AG258&lt;IF($D$4="Forint",Paraméterek!$L$223,Paraméterek!$L$224),0,VLOOKUP($AA258,Paraméterek!$K$226:$M$228,IF($AG258&lt;IF($D$4="Forint",Paraméterek!$M$223,Paraméterek!$M$224),2,3))),0),0)</f>
        <v>0</v>
      </c>
      <c r="AI258" s="13">
        <f ca="1">IF(AND($AA258=$M$11+1,$AB258=$M$12+1),SUMIF($AA$20:$AA$1027,$AA258,$AG$20:$AG$1027)*IF(SUMIF($AA$20:$AA$1027,$AA258,$AG$20:$AG$1027)&lt;IF($D$4="Forint",Paraméterek!$L$223,Paraméterek!$L$224),0,VLOOKUP($AA258,Paraméterek!$K$230:$M$250,IF(SUMIF($AA$20:$AA$1027,$AA258,$AG$20:$AG$1027)&lt;IF($D$4="Forint",Paraméterek!$M$223,Paraméterek!$M$224),2,3))),0)</f>
        <v>0</v>
      </c>
      <c r="AJ258" s="13">
        <f ca="1">IF(AND($AA258&gt;=5,MOD($AA258,5)=0),IF($AB258=12,VLOOKUP($AA258,Paraméterek!$O$225:$P$240,2),0),IF(OR($AA258=3,$AA258=4),IF($AB258=12,VLOOKUP($AA258,Paraméterek!$O$225:$P$240,2,0),0),0))*$AG258</f>
        <v>0</v>
      </c>
      <c r="AK258" s="13">
        <f t="shared" ca="1" si="75"/>
        <v>0</v>
      </c>
      <c r="AL258" s="13">
        <f t="shared" ca="1" si="83"/>
        <v>0</v>
      </c>
      <c r="AM258" s="13">
        <f t="shared" ca="1" si="84"/>
        <v>0</v>
      </c>
      <c r="AO258" s="32">
        <v>239</v>
      </c>
      <c r="AP258" s="32">
        <v>20</v>
      </c>
      <c r="AQ258" s="32">
        <v>11</v>
      </c>
      <c r="AR258" s="13"/>
      <c r="AS258" s="32"/>
      <c r="AT258" s="13">
        <f t="shared" ca="1" si="85"/>
        <v>0</v>
      </c>
      <c r="AU258" s="33"/>
      <c r="AV258" s="13">
        <f t="shared" ca="1" si="76"/>
        <v>0</v>
      </c>
      <c r="AW258" s="13">
        <f ca="1">ROUNDUP(($AT258+$AV258)*VLOOKUP($AP258,Paraméterek!$P$38:$Q$38,2)/12*IF($D259="Nem",IF($M$13=0,1,$M$13),1),IF($D$4="Forint",0,2))</f>
        <v>0</v>
      </c>
      <c r="AX258" s="13"/>
      <c r="AY258" s="13"/>
      <c r="AZ258" s="13">
        <f>ROUNDUP(IF(SUM($AX258:$AY258)=0,0,IF(IF(ISBLANK($AY258),$AX258,$AY258)*Paraméterek!$J$112&lt;IF($D$4="Forint",Paraméterek!$J$113,Paraméterek!$K$113),IF($D$4="Forint",Paraméterek!$J$113,Paraméterek!$K$113),IF(IF(ISBLANK($AY258),$AX258,$AY258)*Paraméterek!$J$112&gt;IF($D$4="Forint",Paraméterek!$J$114,Paraméterek!$K$114),IF($D$4="Forint",Paraméterek!$J$114,Paraméterek!$K$114),IF(ISBLANK($AY258),$AX258,$AY258)*Paraméterek!$J$112))),IF($D$4="Forint",0,2))</f>
        <v>0</v>
      </c>
      <c r="BA258" s="13">
        <f ca="1">$AT258+$AV258-$AW258-IF(ROUNDDOWN(IF(ISBLANK($AY258),$AX258,$AY258),IF($D$4="Forint",0,2))&gt;$AT258+$AV258-$AW258-IF($D$4="Forint",Paraméterek!$J$114,Paraméterek!$K$114),0,ROUNDDOWN(IF(ISBLANK($AY258),$AX258,$AY258),IF($D$4="Forint",0,2))-$AZ258)</f>
        <v>0</v>
      </c>
      <c r="BB258" s="13">
        <f t="shared" ca="1" si="77"/>
        <v>0</v>
      </c>
      <c r="BD258" s="32">
        <v>239</v>
      </c>
      <c r="BE258" s="32">
        <v>20</v>
      </c>
      <c r="BF258" s="32">
        <v>11</v>
      </c>
      <c r="BG258" s="34">
        <f t="shared" ca="1" si="86"/>
        <v>2039</v>
      </c>
      <c r="BH258" s="32" t="str">
        <f ca="1">IF(MOD(MONTH($D$14)+$BD258-1,12)=Paraméterek!$C$288,"Igen","")</f>
        <v/>
      </c>
      <c r="BI258" s="13">
        <f ca="1">IF($BH258="Igen",MIN(ROUNDDOWN((SUMIF($BG$20:$BG$1027,$BG258-1,$K$20:$K$1027)-SUMIF($BG$20:$BG$1027,$BG258-1,$I$20:$I$1027))*Paraméterek!$C$289,IF($D$4="Forint",0,2)),IF($D$4="Forint",Paraméterek!$C$285,Paraméterek!$D$285)),0)</f>
        <v>0</v>
      </c>
      <c r="BJ258" s="13">
        <f t="shared" ca="1" si="78"/>
        <v>0</v>
      </c>
      <c r="BK258" s="13">
        <f t="shared" ca="1" si="87"/>
        <v>0</v>
      </c>
      <c r="BL258" s="33"/>
      <c r="BM258" s="13">
        <f t="shared" ca="1" si="79"/>
        <v>0</v>
      </c>
      <c r="BN258" s="13">
        <f ca="1">ROUNDUP(($BK258+$BM258)*VLOOKUP($BE258,Paraméterek!$P$38:$Q$38,2)/12*IF($D259="Nem",IF($M$13=0,1,$M$13),1),IF($D$4="Forint",0,2))</f>
        <v>0</v>
      </c>
      <c r="BO258" s="13">
        <f t="shared" ca="1" si="80"/>
        <v>0</v>
      </c>
      <c r="BP258" s="13">
        <f ca="1">IF($D259="Nem",$BO258,$BO258-ROUNDUP(SUM($BI$20:$BI258)*120%,IF($D$4="Forint",0,2)))</f>
        <v>0</v>
      </c>
    </row>
    <row r="259" spans="1:68" x14ac:dyDescent="0.2">
      <c r="A259" s="32">
        <v>240</v>
      </c>
      <c r="B259" s="32">
        <v>20</v>
      </c>
      <c r="C259" s="32">
        <v>12</v>
      </c>
      <c r="D259" s="32" t="str">
        <f t="shared" ca="1" si="66"/>
        <v>Nem</v>
      </c>
      <c r="E259" s="13">
        <f t="shared" ca="1" si="67"/>
        <v>0</v>
      </c>
      <c r="F259" s="13"/>
      <c r="G259" s="13"/>
      <c r="H259" s="13"/>
      <c r="I259" s="13">
        <f t="shared" ca="1" si="68"/>
        <v>0</v>
      </c>
      <c r="J259" s="13">
        <f t="shared" ca="1" si="69"/>
        <v>0</v>
      </c>
      <c r="K259" s="13">
        <f t="shared" ca="1" si="70"/>
        <v>0</v>
      </c>
      <c r="L259" s="13" t="e">
        <f ca="1">ROUNDUP(IF($D$2="Egyszeri",$E259,IF($D$2="Havi",SUM($E$20:$E$31),IF(MOD($C259,$M$1)-1=0,SUM($E$20:$E$31),0))/12*$M$1)*VLOOKUP($B259,Paraméterek!$I$28:$P$31,IF($D$2="Egyszeri",8,HLOOKUP(ROUNDUP($M$11+$M$13,0),Paraméterek!$J$26:$O$27,2))),IF($D$4="Forint",0,2))</f>
        <v>#N/A</v>
      </c>
      <c r="M259" s="13">
        <f t="shared" ca="1" si="71"/>
        <v>0</v>
      </c>
      <c r="N259" s="13">
        <f t="shared" ca="1" si="81"/>
        <v>0</v>
      </c>
      <c r="O259" s="13">
        <f ca="1">IF($D259="Igen",IF($W258&gt;=IF($D$4="Forint",Paraméterek!$J$121,Paraméterek!$K$121),0,IF($D$4="Forint",Paraméterek!$J$121,Paraméterek!$K$121)-$W258),0)</f>
        <v>0</v>
      </c>
      <c r="P259" s="13" t="e">
        <f ca="1">ROUNDUP($O259*VLOOKUP($M$4+$B259-1,Paraméterek!$H$58:$I$105,2,0)/Paraméterek!$I$56,IF($D$4="Forint",0,2))</f>
        <v>#N/A</v>
      </c>
      <c r="Q259" s="13">
        <f t="shared" ca="1" si="72"/>
        <v>0</v>
      </c>
      <c r="R259" s="33"/>
      <c r="S259" s="13" t="e">
        <f t="shared" ca="1" si="73"/>
        <v>#N/A</v>
      </c>
      <c r="T259" s="13" t="e">
        <f ca="1">ROUNDUP(($N259-$P259-$Q259+$S259)*VLOOKUP($B259,Paraméterek!$I$38:$K$39,IF($D$2="Egyszeri",3,2))/12*IF($D260="Nem",IF($M$13=0,1,$M$13),1),IF($D$4="Forint",0,2))</f>
        <v>#N/A</v>
      </c>
      <c r="U259" s="13">
        <f>Tranzakciók!$F$51</f>
        <v>0</v>
      </c>
      <c r="V259" s="13"/>
      <c r="W259" s="13" t="e">
        <f ca="1">$N259-$P259-$Q259+$S259-$T259-IF(ROUNDUP(IF(ISBLANK($V259),$U259*0,$V259)/IF($D$2="Egyszeri",VLOOKUP($B259+IF($C259=12,1,0),Paraméterek!$V$257:$W$262,2),IF($B259=1,1,VLOOKUP($B259+IF($C259=12,1,0),Paraméterek!$I$258:$T$278,HLOOKUP($M$11+1,Paraméterek!$J$256:$T$257,2)))),IF($D$4="Forint",0,2))&gt;$N259-$P259-$Q259+$S259-$T259-IF($D$4="Forint",Paraméterek!$C$216,Paraméterek!$D$216),0,ROUNDUP(IF(ISBLANK($V259),$U259*0,$V259)/IF($D$2="Egyszeri",VLOOKUP($B259+IF($C259=12,1,0),Paraméterek!$V$257:$W$262,2),IF($B259=1,1,VLOOKUP($B259+IF($C259=12,1,0),Paraméterek!$I$258:$T$278,HLOOKUP($M$11+1,Paraméterek!$J$256:$T$257,2)))),IF($D$4="Forint",0,2)))</f>
        <v>#N/A</v>
      </c>
      <c r="X259" s="13" t="e">
        <f ca="1">ROUNDDOWN($W259*IF($D$2="Egyszeri",VLOOKUP($B259+IF($C259=12,1,0),Paraméterek!$V$257:$W$262,2),VLOOKUP($B259+IF($C259=12,1,0),Paraméterek!$I$258:$T$278,HLOOKUP($M$11+1,Paraméterek!$I$256:$T$257,2))),IF($D$4="Forint",0,2))</f>
        <v>#N/A</v>
      </c>
      <c r="Z259" s="32">
        <v>240</v>
      </c>
      <c r="AA259" s="32">
        <v>20</v>
      </c>
      <c r="AB259" s="32">
        <v>12</v>
      </c>
      <c r="AC259" s="13">
        <f t="shared" ca="1" si="82"/>
        <v>0</v>
      </c>
      <c r="AD259" s="33"/>
      <c r="AE259" s="13">
        <f t="shared" ca="1" si="74"/>
        <v>0</v>
      </c>
      <c r="AF259" s="13">
        <f ca="1">ROUNDUP(($AC259+$AE259)*VLOOKUP($AA259,Paraméterek!$P$38:$Q$38,2)/12*IF($D260="Nem",IF($M$13=0,1,$M$13),1),IF($D$4="Forint",0,2))</f>
        <v>0</v>
      </c>
      <c r="AG259" s="13" t="e">
        <f ca="1">IF($D$2="Egyszeri",IF($D$7&gt;=IF($D$4="Forint",Paraméterek!$P$223,Paraméterek!$P$224),$D$7-IF($D$4="Forint",Paraméterek!$P$223,Paraméterek!$P$224),0),MIN(IF($AB259=12,AVERAGEIF($E$20:$E259,"&gt;0",$E$20:$E259)*12,0),SUM($E$20:$E$31)))</f>
        <v>#DIV/0!</v>
      </c>
      <c r="AH259" s="13">
        <f>IF($AA259=10,$AG259*IF($AB259=12,IF($AG259&lt;IF($D$4="Forint",Paraméterek!$L$223,Paraméterek!$L$224),0,VLOOKUP($AA259,Paraméterek!$K$226:$M$228,IF($AG259&lt;IF($D$4="Forint",Paraméterek!$M$223,Paraméterek!$M$224),2,3))),0),0)</f>
        <v>0</v>
      </c>
      <c r="AI259" s="13">
        <f ca="1">IF(AND($AA259=$M$11+1,$AB259=$M$12+1),SUMIF($AA$20:$AA$1027,$AA259,$AG$20:$AG$1027)*IF(SUMIF($AA$20:$AA$1027,$AA259,$AG$20:$AG$1027)&lt;IF($D$4="Forint",Paraméterek!$L$223,Paraméterek!$L$224),0,VLOOKUP($AA259,Paraméterek!$K$230:$M$250,IF(SUMIF($AA$20:$AA$1027,$AA259,$AG$20:$AG$1027)&lt;IF($D$4="Forint",Paraméterek!$M$223,Paraméterek!$M$224),2,3))),0)</f>
        <v>0</v>
      </c>
      <c r="AJ259" s="13" t="e">
        <f ca="1">IF(AND($AA259&gt;=5,MOD($AA259,5)=0),IF($AB259=12,VLOOKUP($AA259,Paraméterek!$O$225:$P$240,2),0),IF(OR($AA259=3,$AA259=4),IF($AB259=12,VLOOKUP($AA259,Paraméterek!$O$225:$P$240,2,0),0),0))*$AG259</f>
        <v>#DIV/0!</v>
      </c>
      <c r="AK259" s="13">
        <f t="shared" ca="1" si="75"/>
        <v>0</v>
      </c>
      <c r="AL259" s="13">
        <f t="shared" ca="1" si="83"/>
        <v>0</v>
      </c>
      <c r="AM259" s="13">
        <f t="shared" ca="1" si="84"/>
        <v>0</v>
      </c>
      <c r="AO259" s="32">
        <v>240</v>
      </c>
      <c r="AP259" s="32">
        <v>20</v>
      </c>
      <c r="AQ259" s="32">
        <v>12</v>
      </c>
      <c r="AR259" s="13"/>
      <c r="AS259" s="32"/>
      <c r="AT259" s="13">
        <f t="shared" ca="1" si="85"/>
        <v>0</v>
      </c>
      <c r="AU259" s="33"/>
      <c r="AV259" s="13">
        <f t="shared" ca="1" si="76"/>
        <v>0</v>
      </c>
      <c r="AW259" s="13">
        <f ca="1">ROUNDUP(($AT259+$AV259)*VLOOKUP($AP259,Paraméterek!$P$38:$Q$38,2)/12*IF($D260="Nem",IF($M$13=0,1,$M$13),1),IF($D$4="Forint",0,2))</f>
        <v>0</v>
      </c>
      <c r="AX259" s="13">
        <f>Tranzakciók!$M$51</f>
        <v>0</v>
      </c>
      <c r="AY259" s="13"/>
      <c r="AZ259" s="13">
        <f>ROUNDUP(IF(SUM($AX259:$AY259)=0,0,IF(IF(ISBLANK($AY259),$AX259,$AY259)*Paraméterek!$J$112&lt;IF($D$4="Forint",Paraméterek!$J$113,Paraméterek!$K$113),IF($D$4="Forint",Paraméterek!$J$113,Paraméterek!$K$113),IF(IF(ISBLANK($AY259),$AX259,$AY259)*Paraméterek!$J$112&gt;IF($D$4="Forint",Paraméterek!$J$114,Paraméterek!$K$114),IF($D$4="Forint",Paraméterek!$J$114,Paraméterek!$K$114),IF(ISBLANK($AY259),$AX259,$AY259)*Paraméterek!$J$112))),IF($D$4="Forint",0,2))</f>
        <v>0</v>
      </c>
      <c r="BA259" s="13">
        <f ca="1">$AT259+$AV259-$AW259-IF(ROUNDDOWN(IF(ISBLANK($AY259),$AX259,$AY259),IF($D$4="Forint",0,2))&gt;$AT259+$AV259-$AW259-IF($D$4="Forint",Paraméterek!$J$114,Paraméterek!$K$114),0,ROUNDDOWN(IF(ISBLANK($AY259),$AX259,$AY259),IF($D$4="Forint",0,2))-$AZ259)</f>
        <v>0</v>
      </c>
      <c r="BB259" s="13">
        <f t="shared" ca="1" si="77"/>
        <v>0</v>
      </c>
      <c r="BD259" s="32">
        <v>240</v>
      </c>
      <c r="BE259" s="32">
        <v>20</v>
      </c>
      <c r="BF259" s="32">
        <v>12</v>
      </c>
      <c r="BG259" s="34">
        <f t="shared" ca="1" si="86"/>
        <v>2039</v>
      </c>
      <c r="BH259" s="32" t="str">
        <f ca="1">IF(MOD(MONTH($D$14)+$BD259-1,12)=Paraméterek!$C$288,"Igen","")</f>
        <v/>
      </c>
      <c r="BI259" s="13">
        <f ca="1">IF($BH259="Igen",MIN(ROUNDDOWN((SUMIF($BG$20:$BG$1027,$BG259-1,$K$20:$K$1027)-SUMIF($BG$20:$BG$1027,$BG259-1,$I$20:$I$1027))*Paraméterek!$C$289,IF($D$4="Forint",0,2)),IF($D$4="Forint",Paraméterek!$C$285,Paraméterek!$D$285)),0)</f>
        <v>0</v>
      </c>
      <c r="BJ259" s="13">
        <f t="shared" ca="1" si="78"/>
        <v>0</v>
      </c>
      <c r="BK259" s="13">
        <f t="shared" ca="1" si="87"/>
        <v>0</v>
      </c>
      <c r="BL259" s="33"/>
      <c r="BM259" s="13">
        <f t="shared" ca="1" si="79"/>
        <v>0</v>
      </c>
      <c r="BN259" s="13">
        <f ca="1">ROUNDUP(($BK259+$BM259)*VLOOKUP($BE259,Paraméterek!$P$38:$Q$38,2)/12*IF($D260="Nem",IF($M$13=0,1,$M$13),1),IF($D$4="Forint",0,2))</f>
        <v>0</v>
      </c>
      <c r="BO259" s="13">
        <f t="shared" ca="1" si="80"/>
        <v>0</v>
      </c>
      <c r="BP259" s="13">
        <f ca="1">IF($D260="Nem",$BO259,$BO259-ROUNDUP(SUM($BI$20:$BI259)*120%,IF($D$4="Forint",0,2)))</f>
        <v>0</v>
      </c>
    </row>
    <row r="260" spans="1:68" x14ac:dyDescent="0.2">
      <c r="A260" s="32">
        <v>241</v>
      </c>
      <c r="B260" s="32">
        <v>21</v>
      </c>
      <c r="C260" s="32">
        <v>1</v>
      </c>
      <c r="D260" s="32" t="str">
        <f t="shared" ca="1" si="66"/>
        <v>Nem</v>
      </c>
      <c r="E260" s="13">
        <f t="shared" ca="1" si="67"/>
        <v>0</v>
      </c>
      <c r="F260" s="13"/>
      <c r="G260" s="13">
        <f>Tranzakciók!$D$52</f>
        <v>0</v>
      </c>
      <c r="H260" s="13"/>
      <c r="I260" s="13">
        <f t="shared" ca="1" si="68"/>
        <v>0</v>
      </c>
      <c r="J260" s="13">
        <f t="shared" ca="1" si="69"/>
        <v>0</v>
      </c>
      <c r="K260" s="13">
        <f t="shared" ca="1" si="70"/>
        <v>0</v>
      </c>
      <c r="L260" s="13" t="e">
        <f ca="1">ROUNDUP(IF($D$2="Egyszeri",$E260,IF($D$2="Havi",SUM($E$20:$E$31),IF(MOD($C260,$M$1)-1=0,SUM($E$20:$E$31),0))/12*$M$1)*VLOOKUP($B260,Paraméterek!$I$28:$P$31,IF($D$2="Egyszeri",8,HLOOKUP(ROUNDUP($M$11+$M$13,0),Paraméterek!$J$26:$O$27,2))),IF($D$4="Forint",0,2))</f>
        <v>#N/A</v>
      </c>
      <c r="M260" s="13">
        <f t="shared" ca="1" si="71"/>
        <v>0</v>
      </c>
      <c r="N260" s="13">
        <f t="shared" ca="1" si="81"/>
        <v>0</v>
      </c>
      <c r="O260" s="13">
        <f ca="1">IF($D260="Igen",IF($W259&gt;=IF($D$4="Forint",Paraméterek!$J$121,Paraméterek!$K$121),0,IF($D$4="Forint",Paraméterek!$J$121,Paraméterek!$K$121)-$W259),0)</f>
        <v>0</v>
      </c>
      <c r="P260" s="13" t="e">
        <f ca="1">ROUNDUP($O260*VLOOKUP($M$4+$B260-1,Paraméterek!$H$58:$I$105,2,0)/Paraméterek!$I$56,IF($D$4="Forint",0,2))</f>
        <v>#N/A</v>
      </c>
      <c r="Q260" s="13">
        <f t="shared" ca="1" si="72"/>
        <v>0</v>
      </c>
      <c r="R260" s="33"/>
      <c r="S260" s="13" t="e">
        <f t="shared" ca="1" si="73"/>
        <v>#N/A</v>
      </c>
      <c r="T260" s="13" t="e">
        <f ca="1">ROUNDUP(($N260-$P260-$Q260+$S260)*VLOOKUP($B260,Paraméterek!$I$38:$K$39,IF($D$2="Egyszeri",3,2))/12*IF($D261="Nem",IF($M$13=0,1,$M$13),1),IF($D$4="Forint",0,2))</f>
        <v>#N/A</v>
      </c>
      <c r="U260" s="13"/>
      <c r="V260" s="13"/>
      <c r="W260" s="13" t="e">
        <f ca="1">$N260-$P260-$Q260+$S260-$T260-IF(ROUNDUP(IF(ISBLANK($V260),$U260*0,$V260)/IF($D$2="Egyszeri",VLOOKUP($B260+IF($C260=12,1,0),Paraméterek!$V$257:$W$262,2),IF($B260=1,1,VLOOKUP($B260+IF($C260=12,1,0),Paraméterek!$I$258:$T$278,HLOOKUP($M$11+1,Paraméterek!$J$256:$T$257,2)))),IF($D$4="Forint",0,2))&gt;$N260-$P260-$Q260+$S260-$T260-IF($D$4="Forint",Paraméterek!$C$216,Paraméterek!$D$216),0,ROUNDUP(IF(ISBLANK($V260),$U260*0,$V260)/IF($D$2="Egyszeri",VLOOKUP($B260+IF($C260=12,1,0),Paraméterek!$V$257:$W$262,2),IF($B260=1,1,VLOOKUP($B260+IF($C260=12,1,0),Paraméterek!$I$258:$T$278,HLOOKUP($M$11+1,Paraméterek!$J$256:$T$257,2)))),IF($D$4="Forint",0,2)))</f>
        <v>#N/A</v>
      </c>
      <c r="X260" s="13" t="e">
        <f ca="1">ROUNDDOWN($W260*IF($D$2="Egyszeri",VLOOKUP($B260+IF($C260=12,1,0),Paraméterek!$V$257:$W$262,2),VLOOKUP($B260+IF($C260=12,1,0),Paraméterek!$I$258:$T$278,HLOOKUP($M$11+1,Paraméterek!$I$256:$T$257,2))),IF($D$4="Forint",0,2))</f>
        <v>#N/A</v>
      </c>
      <c r="Z260" s="32">
        <v>241</v>
      </c>
      <c r="AA260" s="32">
        <v>21</v>
      </c>
      <c r="AB260" s="32">
        <v>1</v>
      </c>
      <c r="AC260" s="13">
        <f t="shared" ca="1" si="82"/>
        <v>0</v>
      </c>
      <c r="AD260" s="33"/>
      <c r="AE260" s="13">
        <f t="shared" ca="1" si="74"/>
        <v>0</v>
      </c>
      <c r="AF260" s="13">
        <f ca="1">ROUNDUP(($AC260+$AE260)*VLOOKUP($AA260,Paraméterek!$P$38:$Q$38,2)/12*IF($D261="Nem",IF($M$13=0,1,$M$13),1),IF($D$4="Forint",0,2))</f>
        <v>0</v>
      </c>
      <c r="AG260" s="13">
        <f ca="1">IF($D$2="Egyszeri",IF($D$7&gt;=IF($D$4="Forint",Paraméterek!$P$223,Paraméterek!$P$224),$D$7-IF($D$4="Forint",Paraméterek!$P$223,Paraméterek!$P$224),0),MIN(IF($AB260=12,AVERAGEIF($E$20:$E260,"&gt;0",$E$20:$E260)*12,0),SUM($E$20:$E$31)))</f>
        <v>0</v>
      </c>
      <c r="AH260" s="13">
        <f>IF($AA260=10,$AG260*IF($AB260=12,IF($AG260&lt;IF($D$4="Forint",Paraméterek!$L$223,Paraméterek!$L$224),0,VLOOKUP($AA260,Paraméterek!$K$226:$M$228,IF($AG260&lt;IF($D$4="Forint",Paraméterek!$M$223,Paraméterek!$M$224),2,3))),0),0)</f>
        <v>0</v>
      </c>
      <c r="AI260" s="13">
        <f ca="1">IF(AND($AA260=$M$11+1,$AB260=$M$12+1),SUMIF($AA$20:$AA$1027,$AA260,$AG$20:$AG$1027)*IF(SUMIF($AA$20:$AA$1027,$AA260,$AG$20:$AG$1027)&lt;IF($D$4="Forint",Paraméterek!$L$223,Paraméterek!$L$224),0,VLOOKUP($AA260,Paraméterek!$K$230:$M$250,IF(SUMIF($AA$20:$AA$1027,$AA260,$AG$20:$AG$1027)&lt;IF($D$4="Forint",Paraméterek!$M$223,Paraméterek!$M$224),2,3))),0)</f>
        <v>0</v>
      </c>
      <c r="AJ260" s="13">
        <f ca="1">IF(AND($AA260&gt;=5,MOD($AA260,5)=0),IF($AB260=12,VLOOKUP($AA260,Paraméterek!$O$225:$P$240,2),0),IF(OR($AA260=3,$AA260=4),IF($AB260=12,VLOOKUP($AA260,Paraméterek!$O$225:$P$240,2,0),0),0))*$AG260</f>
        <v>0</v>
      </c>
      <c r="AK260" s="13">
        <f t="shared" ca="1" si="75"/>
        <v>0</v>
      </c>
      <c r="AL260" s="13">
        <f t="shared" ca="1" si="83"/>
        <v>0</v>
      </c>
      <c r="AM260" s="13">
        <f t="shared" ca="1" si="84"/>
        <v>0</v>
      </c>
      <c r="AO260" s="32">
        <v>241</v>
      </c>
      <c r="AP260" s="32">
        <v>21</v>
      </c>
      <c r="AQ260" s="32">
        <v>1</v>
      </c>
      <c r="AR260" s="13">
        <f>Tranzakciók!$K$52</f>
        <v>0</v>
      </c>
      <c r="AS260" s="32"/>
      <c r="AT260" s="13">
        <f t="shared" ca="1" si="85"/>
        <v>0</v>
      </c>
      <c r="AU260" s="33"/>
      <c r="AV260" s="13">
        <f t="shared" ca="1" si="76"/>
        <v>0</v>
      </c>
      <c r="AW260" s="13">
        <f ca="1">ROUNDUP(($AT260+$AV260)*VLOOKUP($AP260,Paraméterek!$P$38:$Q$38,2)/12*IF($D261="Nem",IF($M$13=0,1,$M$13),1),IF($D$4="Forint",0,2))</f>
        <v>0</v>
      </c>
      <c r="AX260" s="13"/>
      <c r="AY260" s="13"/>
      <c r="AZ260" s="13">
        <f>ROUNDUP(IF(SUM($AX260:$AY260)=0,0,IF(IF(ISBLANK($AY260),$AX260,$AY260)*Paraméterek!$J$112&lt;IF($D$4="Forint",Paraméterek!$J$113,Paraméterek!$K$113),IF($D$4="Forint",Paraméterek!$J$113,Paraméterek!$K$113),IF(IF(ISBLANK($AY260),$AX260,$AY260)*Paraméterek!$J$112&gt;IF($D$4="Forint",Paraméterek!$J$114,Paraméterek!$K$114),IF($D$4="Forint",Paraméterek!$J$114,Paraméterek!$K$114),IF(ISBLANK($AY260),$AX260,$AY260)*Paraméterek!$J$112))),IF($D$4="Forint",0,2))</f>
        <v>0</v>
      </c>
      <c r="BA260" s="13">
        <f ca="1">$AT260+$AV260-$AW260-IF(ROUNDDOWN(IF(ISBLANK($AY260),$AX260,$AY260),IF($D$4="Forint",0,2))&gt;$AT260+$AV260-$AW260-IF($D$4="Forint",Paraméterek!$J$114,Paraméterek!$K$114),0,ROUNDDOWN(IF(ISBLANK($AY260),$AX260,$AY260),IF($D$4="Forint",0,2))-$AZ260)</f>
        <v>0</v>
      </c>
      <c r="BB260" s="13">
        <f t="shared" ca="1" si="77"/>
        <v>0</v>
      </c>
      <c r="BD260" s="32">
        <v>241</v>
      </c>
      <c r="BE260" s="32">
        <v>21</v>
      </c>
      <c r="BF260" s="32">
        <v>1</v>
      </c>
      <c r="BG260" s="34">
        <f t="shared" ca="1" si="86"/>
        <v>2039</v>
      </c>
      <c r="BH260" s="32" t="str">
        <f ca="1">IF(MOD(MONTH($D$14)+$BD260-1,12)=Paraméterek!$C$288,"Igen","")</f>
        <v/>
      </c>
      <c r="BI260" s="13">
        <f ca="1">IF($BH260="Igen",MIN(ROUNDDOWN((SUMIF($BG$20:$BG$1027,$BG260-1,$K$20:$K$1027)-SUMIF($BG$20:$BG$1027,$BG260-1,$I$20:$I$1027))*Paraméterek!$C$289,IF($D$4="Forint",0,2)),IF($D$4="Forint",Paraméterek!$C$285,Paraméterek!$D$285)),0)</f>
        <v>0</v>
      </c>
      <c r="BJ260" s="13">
        <f t="shared" ca="1" si="78"/>
        <v>0</v>
      </c>
      <c r="BK260" s="13">
        <f t="shared" ca="1" si="87"/>
        <v>0</v>
      </c>
      <c r="BL260" s="33"/>
      <c r="BM260" s="13">
        <f t="shared" ca="1" si="79"/>
        <v>0</v>
      </c>
      <c r="BN260" s="13">
        <f ca="1">ROUNDUP(($BK260+$BM260)*VLOOKUP($BE260,Paraméterek!$P$38:$Q$38,2)/12*IF($D261="Nem",IF($M$13=0,1,$M$13),1),IF($D$4="Forint",0,2))</f>
        <v>0</v>
      </c>
      <c r="BO260" s="13">
        <f t="shared" ca="1" si="80"/>
        <v>0</v>
      </c>
      <c r="BP260" s="13">
        <f ca="1">IF($D261="Nem",$BO260,$BO260-ROUNDUP(SUM($BI$20:$BI260)*120%,IF($D$4="Forint",0,2)))</f>
        <v>0</v>
      </c>
    </row>
    <row r="261" spans="1:68" x14ac:dyDescent="0.2">
      <c r="A261" s="32">
        <v>242</v>
      </c>
      <c r="B261" s="32">
        <v>21</v>
      </c>
      <c r="C261" s="32">
        <v>2</v>
      </c>
      <c r="D261" s="32" t="str">
        <f t="shared" ca="1" si="66"/>
        <v>Nem</v>
      </c>
      <c r="E261" s="13">
        <f t="shared" ca="1" si="67"/>
        <v>0</v>
      </c>
      <c r="F261" s="13"/>
      <c r="G261" s="13"/>
      <c r="H261" s="13"/>
      <c r="I261" s="13">
        <f t="shared" ca="1" si="68"/>
        <v>0</v>
      </c>
      <c r="J261" s="13">
        <f t="shared" ca="1" si="69"/>
        <v>0</v>
      </c>
      <c r="K261" s="13">
        <f t="shared" ca="1" si="70"/>
        <v>0</v>
      </c>
      <c r="L261" s="13" t="e">
        <f ca="1">ROUNDUP(IF($D$2="Egyszeri",$E261,IF($D$2="Havi",SUM($E$20:$E$31),IF(MOD($C261,$M$1)-1=0,SUM($E$20:$E$31),0))/12*$M$1)*VLOOKUP($B261,Paraméterek!$I$28:$P$31,IF($D$2="Egyszeri",8,HLOOKUP(ROUNDUP($M$11+$M$13,0),Paraméterek!$J$26:$O$27,2))),IF($D$4="Forint",0,2))</f>
        <v>#N/A</v>
      </c>
      <c r="M261" s="13">
        <f t="shared" ca="1" si="71"/>
        <v>0</v>
      </c>
      <c r="N261" s="13">
        <f t="shared" ca="1" si="81"/>
        <v>0</v>
      </c>
      <c r="O261" s="13">
        <f ca="1">IF($D261="Igen",IF($W260&gt;=IF($D$4="Forint",Paraméterek!$J$121,Paraméterek!$K$121),0,IF($D$4="Forint",Paraméterek!$J$121,Paraméterek!$K$121)-$W260),0)</f>
        <v>0</v>
      </c>
      <c r="P261" s="13" t="e">
        <f ca="1">ROUNDUP($O261*VLOOKUP($M$4+$B261-1,Paraméterek!$H$58:$I$105,2,0)/Paraméterek!$I$56,IF($D$4="Forint",0,2))</f>
        <v>#N/A</v>
      </c>
      <c r="Q261" s="13">
        <f t="shared" ca="1" si="72"/>
        <v>0</v>
      </c>
      <c r="R261" s="33"/>
      <c r="S261" s="13" t="e">
        <f t="shared" ca="1" si="73"/>
        <v>#N/A</v>
      </c>
      <c r="T261" s="13" t="e">
        <f ca="1">ROUNDUP(($N261-$P261-$Q261+$S261)*VLOOKUP($B261,Paraméterek!$I$38:$K$39,IF($D$2="Egyszeri",3,2))/12*IF($D262="Nem",IF($M$13=0,1,$M$13),1),IF($D$4="Forint",0,2))</f>
        <v>#N/A</v>
      </c>
      <c r="U261" s="13"/>
      <c r="V261" s="13"/>
      <c r="W261" s="13" t="e">
        <f ca="1">$N261-$P261-$Q261+$S261-$T261-IF(ROUNDUP(IF(ISBLANK($V261),$U261*0,$V261)/IF($D$2="Egyszeri",VLOOKUP($B261+IF($C261=12,1,0),Paraméterek!$V$257:$W$262,2),IF($B261=1,1,VLOOKUP($B261+IF($C261=12,1,0),Paraméterek!$I$258:$T$278,HLOOKUP($M$11+1,Paraméterek!$J$256:$T$257,2)))),IF($D$4="Forint",0,2))&gt;$N261-$P261-$Q261+$S261-$T261-IF($D$4="Forint",Paraméterek!$C$216,Paraméterek!$D$216),0,ROUNDUP(IF(ISBLANK($V261),$U261*0,$V261)/IF($D$2="Egyszeri",VLOOKUP($B261+IF($C261=12,1,0),Paraméterek!$V$257:$W$262,2),IF($B261=1,1,VLOOKUP($B261+IF($C261=12,1,0),Paraméterek!$I$258:$T$278,HLOOKUP($M$11+1,Paraméterek!$J$256:$T$257,2)))),IF($D$4="Forint",0,2)))</f>
        <v>#N/A</v>
      </c>
      <c r="X261" s="13" t="e">
        <f ca="1">ROUNDDOWN($W261*IF($D$2="Egyszeri",VLOOKUP($B261+IF($C261=12,1,0),Paraméterek!$V$257:$W$262,2),VLOOKUP($B261+IF($C261=12,1,0),Paraméterek!$I$258:$T$278,HLOOKUP($M$11+1,Paraméterek!$I$256:$T$257,2))),IF($D$4="Forint",0,2))</f>
        <v>#N/A</v>
      </c>
      <c r="Z261" s="32">
        <v>242</v>
      </c>
      <c r="AA261" s="32">
        <v>21</v>
      </c>
      <c r="AB261" s="32">
        <v>2</v>
      </c>
      <c r="AC261" s="13">
        <f t="shared" ca="1" si="82"/>
        <v>0</v>
      </c>
      <c r="AD261" s="33"/>
      <c r="AE261" s="13">
        <f t="shared" ca="1" si="74"/>
        <v>0</v>
      </c>
      <c r="AF261" s="13">
        <f ca="1">ROUNDUP(($AC261+$AE261)*VLOOKUP($AA261,Paraméterek!$P$38:$Q$38,2)/12*IF($D262="Nem",IF($M$13=0,1,$M$13),1),IF($D$4="Forint",0,2))</f>
        <v>0</v>
      </c>
      <c r="AG261" s="13">
        <f ca="1">IF($D$2="Egyszeri",IF($D$7&gt;=IF($D$4="Forint",Paraméterek!$P$223,Paraméterek!$P$224),$D$7-IF($D$4="Forint",Paraméterek!$P$223,Paraméterek!$P$224),0),MIN(IF($AB261=12,AVERAGEIF($E$20:$E261,"&gt;0",$E$20:$E261)*12,0),SUM($E$20:$E$31)))</f>
        <v>0</v>
      </c>
      <c r="AH261" s="13">
        <f>IF($AA261=10,$AG261*IF($AB261=12,IF($AG261&lt;IF($D$4="Forint",Paraméterek!$L$223,Paraméterek!$L$224),0,VLOOKUP($AA261,Paraméterek!$K$226:$M$228,IF($AG261&lt;IF($D$4="Forint",Paraméterek!$M$223,Paraméterek!$M$224),2,3))),0),0)</f>
        <v>0</v>
      </c>
      <c r="AI261" s="13">
        <f ca="1">IF(AND($AA261=$M$11+1,$AB261=$M$12+1),SUMIF($AA$20:$AA$1027,$AA261,$AG$20:$AG$1027)*IF(SUMIF($AA$20:$AA$1027,$AA261,$AG$20:$AG$1027)&lt;IF($D$4="Forint",Paraméterek!$L$223,Paraméterek!$L$224),0,VLOOKUP($AA261,Paraméterek!$K$230:$M$250,IF(SUMIF($AA$20:$AA$1027,$AA261,$AG$20:$AG$1027)&lt;IF($D$4="Forint",Paraméterek!$M$223,Paraméterek!$M$224),2,3))),0)</f>
        <v>0</v>
      </c>
      <c r="AJ261" s="13">
        <f ca="1">IF(AND($AA261&gt;=5,MOD($AA261,5)=0),IF($AB261=12,VLOOKUP($AA261,Paraméterek!$O$225:$P$240,2),0),IF(OR($AA261=3,$AA261=4),IF($AB261=12,VLOOKUP($AA261,Paraméterek!$O$225:$P$240,2,0),0),0))*$AG261</f>
        <v>0</v>
      </c>
      <c r="AK261" s="13">
        <f t="shared" ca="1" si="75"/>
        <v>0</v>
      </c>
      <c r="AL261" s="13">
        <f t="shared" ca="1" si="83"/>
        <v>0</v>
      </c>
      <c r="AM261" s="13">
        <f t="shared" ca="1" si="84"/>
        <v>0</v>
      </c>
      <c r="AO261" s="32">
        <v>242</v>
      </c>
      <c r="AP261" s="32">
        <v>21</v>
      </c>
      <c r="AQ261" s="32">
        <v>2</v>
      </c>
      <c r="AR261" s="13"/>
      <c r="AS261" s="32"/>
      <c r="AT261" s="13">
        <f t="shared" ca="1" si="85"/>
        <v>0</v>
      </c>
      <c r="AU261" s="33"/>
      <c r="AV261" s="13">
        <f t="shared" ca="1" si="76"/>
        <v>0</v>
      </c>
      <c r="AW261" s="13">
        <f ca="1">ROUNDUP(($AT261+$AV261)*VLOOKUP($AP261,Paraméterek!$P$38:$Q$38,2)/12*IF($D262="Nem",IF($M$13=0,1,$M$13),1),IF($D$4="Forint",0,2))</f>
        <v>0</v>
      </c>
      <c r="AX261" s="13"/>
      <c r="AY261" s="13"/>
      <c r="AZ261" s="13">
        <f>ROUNDUP(IF(SUM($AX261:$AY261)=0,0,IF(IF(ISBLANK($AY261),$AX261,$AY261)*Paraméterek!$J$112&lt;IF($D$4="Forint",Paraméterek!$J$113,Paraméterek!$K$113),IF($D$4="Forint",Paraméterek!$J$113,Paraméterek!$K$113),IF(IF(ISBLANK($AY261),$AX261,$AY261)*Paraméterek!$J$112&gt;IF($D$4="Forint",Paraméterek!$J$114,Paraméterek!$K$114),IF($D$4="Forint",Paraméterek!$J$114,Paraméterek!$K$114),IF(ISBLANK($AY261),$AX261,$AY261)*Paraméterek!$J$112))),IF($D$4="Forint",0,2))</f>
        <v>0</v>
      </c>
      <c r="BA261" s="13">
        <f ca="1">$AT261+$AV261-$AW261-IF(ROUNDDOWN(IF(ISBLANK($AY261),$AX261,$AY261),IF($D$4="Forint",0,2))&gt;$AT261+$AV261-$AW261-IF($D$4="Forint",Paraméterek!$J$114,Paraméterek!$K$114),0,ROUNDDOWN(IF(ISBLANK($AY261),$AX261,$AY261),IF($D$4="Forint",0,2))-$AZ261)</f>
        <v>0</v>
      </c>
      <c r="BB261" s="13">
        <f t="shared" ca="1" si="77"/>
        <v>0</v>
      </c>
      <c r="BD261" s="32">
        <v>242</v>
      </c>
      <c r="BE261" s="32">
        <v>21</v>
      </c>
      <c r="BF261" s="32">
        <v>2</v>
      </c>
      <c r="BG261" s="34">
        <f t="shared" ca="1" si="86"/>
        <v>2039</v>
      </c>
      <c r="BH261" s="32" t="str">
        <f ca="1">IF(MOD(MONTH($D$14)+$BD261-1,12)=Paraméterek!$C$288,"Igen","")</f>
        <v>Igen</v>
      </c>
      <c r="BI261" s="13">
        <f ca="1">IF($BH261="Igen",MIN(ROUNDDOWN((SUMIF($BG$20:$BG$1027,$BG261-1,$K$20:$K$1027)-SUMIF($BG$20:$BG$1027,$BG261-1,$I$20:$I$1027))*Paraméterek!$C$289,IF($D$4="Forint",0,2)),IF($D$4="Forint",Paraméterek!$C$285,Paraméterek!$D$285)),0)</f>
        <v>0</v>
      </c>
      <c r="BJ261" s="13">
        <f t="shared" ca="1" si="78"/>
        <v>0</v>
      </c>
      <c r="BK261" s="13">
        <f t="shared" ca="1" si="87"/>
        <v>0</v>
      </c>
      <c r="BL261" s="33"/>
      <c r="BM261" s="13">
        <f t="shared" ca="1" si="79"/>
        <v>0</v>
      </c>
      <c r="BN261" s="13">
        <f ca="1">ROUNDUP(($BK261+$BM261)*VLOOKUP($BE261,Paraméterek!$P$38:$Q$38,2)/12*IF($D262="Nem",IF($M$13=0,1,$M$13),1),IF($D$4="Forint",0,2))</f>
        <v>0</v>
      </c>
      <c r="BO261" s="13">
        <f t="shared" ca="1" si="80"/>
        <v>0</v>
      </c>
      <c r="BP261" s="13">
        <f ca="1">IF($D262="Nem",$BO261,$BO261-ROUNDUP(SUM($BI$20:$BI261)*120%,IF($D$4="Forint",0,2)))</f>
        <v>0</v>
      </c>
    </row>
    <row r="262" spans="1:68" x14ac:dyDescent="0.2">
      <c r="A262" s="32">
        <v>243</v>
      </c>
      <c r="B262" s="32">
        <v>21</v>
      </c>
      <c r="C262" s="32">
        <v>3</v>
      </c>
      <c r="D262" s="32" t="str">
        <f t="shared" ca="1" si="66"/>
        <v>Nem</v>
      </c>
      <c r="E262" s="13">
        <f t="shared" ca="1" si="67"/>
        <v>0</v>
      </c>
      <c r="F262" s="13"/>
      <c r="G262" s="13"/>
      <c r="H262" s="13"/>
      <c r="I262" s="13">
        <f t="shared" ca="1" si="68"/>
        <v>0</v>
      </c>
      <c r="J262" s="13">
        <f t="shared" ca="1" si="69"/>
        <v>0</v>
      </c>
      <c r="K262" s="13">
        <f t="shared" ca="1" si="70"/>
        <v>0</v>
      </c>
      <c r="L262" s="13" t="e">
        <f ca="1">ROUNDUP(IF($D$2="Egyszeri",$E262,IF($D$2="Havi",SUM($E$20:$E$31),IF(MOD($C262,$M$1)-1=0,SUM($E$20:$E$31),0))/12*$M$1)*VLOOKUP($B262,Paraméterek!$I$28:$P$31,IF($D$2="Egyszeri",8,HLOOKUP(ROUNDUP($M$11+$M$13,0),Paraméterek!$J$26:$O$27,2))),IF($D$4="Forint",0,2))</f>
        <v>#N/A</v>
      </c>
      <c r="M262" s="13">
        <f t="shared" ca="1" si="71"/>
        <v>0</v>
      </c>
      <c r="N262" s="13">
        <f t="shared" ca="1" si="81"/>
        <v>0</v>
      </c>
      <c r="O262" s="13">
        <f ca="1">IF($D262="Igen",IF($W261&gt;=IF($D$4="Forint",Paraméterek!$J$121,Paraméterek!$K$121),0,IF($D$4="Forint",Paraméterek!$J$121,Paraméterek!$K$121)-$W261),0)</f>
        <v>0</v>
      </c>
      <c r="P262" s="13" t="e">
        <f ca="1">ROUNDUP($O262*VLOOKUP($M$4+$B262-1,Paraméterek!$H$58:$I$105,2,0)/Paraméterek!$I$56,IF($D$4="Forint",0,2))</f>
        <v>#N/A</v>
      </c>
      <c r="Q262" s="13">
        <f t="shared" ca="1" si="72"/>
        <v>0</v>
      </c>
      <c r="R262" s="33"/>
      <c r="S262" s="13" t="e">
        <f t="shared" ca="1" si="73"/>
        <v>#N/A</v>
      </c>
      <c r="T262" s="13" t="e">
        <f ca="1">ROUNDUP(($N262-$P262-$Q262+$S262)*VLOOKUP($B262,Paraméterek!$I$38:$K$39,IF($D$2="Egyszeri",3,2))/12*IF($D263="Nem",IF($M$13=0,1,$M$13),1),IF($D$4="Forint",0,2))</f>
        <v>#N/A</v>
      </c>
      <c r="U262" s="13"/>
      <c r="V262" s="13"/>
      <c r="W262" s="13" t="e">
        <f ca="1">$N262-$P262-$Q262+$S262-$T262-IF(ROUNDUP(IF(ISBLANK($V262),$U262*0,$V262)/IF($D$2="Egyszeri",VLOOKUP($B262+IF($C262=12,1,0),Paraméterek!$V$257:$W$262,2),IF($B262=1,1,VLOOKUP($B262+IF($C262=12,1,0),Paraméterek!$I$258:$T$278,HLOOKUP($M$11+1,Paraméterek!$J$256:$T$257,2)))),IF($D$4="Forint",0,2))&gt;$N262-$P262-$Q262+$S262-$T262-IF($D$4="Forint",Paraméterek!$C$216,Paraméterek!$D$216),0,ROUNDUP(IF(ISBLANK($V262),$U262*0,$V262)/IF($D$2="Egyszeri",VLOOKUP($B262+IF($C262=12,1,0),Paraméterek!$V$257:$W$262,2),IF($B262=1,1,VLOOKUP($B262+IF($C262=12,1,0),Paraméterek!$I$258:$T$278,HLOOKUP($M$11+1,Paraméterek!$J$256:$T$257,2)))),IF($D$4="Forint",0,2)))</f>
        <v>#N/A</v>
      </c>
      <c r="X262" s="13" t="e">
        <f ca="1">ROUNDDOWN($W262*IF($D$2="Egyszeri",VLOOKUP($B262+IF($C262=12,1,0),Paraméterek!$V$257:$W$262,2),VLOOKUP($B262+IF($C262=12,1,0),Paraméterek!$I$258:$T$278,HLOOKUP($M$11+1,Paraméterek!$I$256:$T$257,2))),IF($D$4="Forint",0,2))</f>
        <v>#N/A</v>
      </c>
      <c r="Z262" s="32">
        <v>243</v>
      </c>
      <c r="AA262" s="32">
        <v>21</v>
      </c>
      <c r="AB262" s="32">
        <v>3</v>
      </c>
      <c r="AC262" s="13">
        <f t="shared" ca="1" si="82"/>
        <v>0</v>
      </c>
      <c r="AD262" s="33"/>
      <c r="AE262" s="13">
        <f t="shared" ca="1" si="74"/>
        <v>0</v>
      </c>
      <c r="AF262" s="13">
        <f ca="1">ROUNDUP(($AC262+$AE262)*VLOOKUP($AA262,Paraméterek!$P$38:$Q$38,2)/12*IF($D263="Nem",IF($M$13=0,1,$M$13),1),IF($D$4="Forint",0,2))</f>
        <v>0</v>
      </c>
      <c r="AG262" s="13">
        <f ca="1">IF($D$2="Egyszeri",IF($D$7&gt;=IF($D$4="Forint",Paraméterek!$P$223,Paraméterek!$P$224),$D$7-IF($D$4="Forint",Paraméterek!$P$223,Paraméterek!$P$224),0),MIN(IF($AB262=12,AVERAGEIF($E$20:$E262,"&gt;0",$E$20:$E262)*12,0),SUM($E$20:$E$31)))</f>
        <v>0</v>
      </c>
      <c r="AH262" s="13">
        <f>IF($AA262=10,$AG262*IF($AB262=12,IF($AG262&lt;IF($D$4="Forint",Paraméterek!$L$223,Paraméterek!$L$224),0,VLOOKUP($AA262,Paraméterek!$K$226:$M$228,IF($AG262&lt;IF($D$4="Forint",Paraméterek!$M$223,Paraméterek!$M$224),2,3))),0),0)</f>
        <v>0</v>
      </c>
      <c r="AI262" s="13">
        <f ca="1">IF(AND($AA262=$M$11+1,$AB262=$M$12+1),SUMIF($AA$20:$AA$1027,$AA262,$AG$20:$AG$1027)*IF(SUMIF($AA$20:$AA$1027,$AA262,$AG$20:$AG$1027)&lt;IF($D$4="Forint",Paraméterek!$L$223,Paraméterek!$L$224),0,VLOOKUP($AA262,Paraméterek!$K$230:$M$250,IF(SUMIF($AA$20:$AA$1027,$AA262,$AG$20:$AG$1027)&lt;IF($D$4="Forint",Paraméterek!$M$223,Paraméterek!$M$224),2,3))),0)</f>
        <v>0</v>
      </c>
      <c r="AJ262" s="13">
        <f ca="1">IF(AND($AA262&gt;=5,MOD($AA262,5)=0),IF($AB262=12,VLOOKUP($AA262,Paraméterek!$O$225:$P$240,2),0),IF(OR($AA262=3,$AA262=4),IF($AB262=12,VLOOKUP($AA262,Paraméterek!$O$225:$P$240,2,0),0),0))*$AG262</f>
        <v>0</v>
      </c>
      <c r="AK262" s="13">
        <f t="shared" ca="1" si="75"/>
        <v>0</v>
      </c>
      <c r="AL262" s="13">
        <f t="shared" ca="1" si="83"/>
        <v>0</v>
      </c>
      <c r="AM262" s="13">
        <f t="shared" ca="1" si="84"/>
        <v>0</v>
      </c>
      <c r="AO262" s="32">
        <v>243</v>
      </c>
      <c r="AP262" s="32">
        <v>21</v>
      </c>
      <c r="AQ262" s="32">
        <v>3</v>
      </c>
      <c r="AR262" s="13"/>
      <c r="AS262" s="32"/>
      <c r="AT262" s="13">
        <f t="shared" ca="1" si="85"/>
        <v>0</v>
      </c>
      <c r="AU262" s="33"/>
      <c r="AV262" s="13">
        <f t="shared" ca="1" si="76"/>
        <v>0</v>
      </c>
      <c r="AW262" s="13">
        <f ca="1">ROUNDUP(($AT262+$AV262)*VLOOKUP($AP262,Paraméterek!$P$38:$Q$38,2)/12*IF($D263="Nem",IF($M$13=0,1,$M$13),1),IF($D$4="Forint",0,2))</f>
        <v>0</v>
      </c>
      <c r="AX262" s="13"/>
      <c r="AY262" s="13"/>
      <c r="AZ262" s="13">
        <f>ROUNDUP(IF(SUM($AX262:$AY262)=0,0,IF(IF(ISBLANK($AY262),$AX262,$AY262)*Paraméterek!$J$112&lt;IF($D$4="Forint",Paraméterek!$J$113,Paraméterek!$K$113),IF($D$4="Forint",Paraméterek!$J$113,Paraméterek!$K$113),IF(IF(ISBLANK($AY262),$AX262,$AY262)*Paraméterek!$J$112&gt;IF($D$4="Forint",Paraméterek!$J$114,Paraméterek!$K$114),IF($D$4="Forint",Paraméterek!$J$114,Paraméterek!$K$114),IF(ISBLANK($AY262),$AX262,$AY262)*Paraméterek!$J$112))),IF($D$4="Forint",0,2))</f>
        <v>0</v>
      </c>
      <c r="BA262" s="13">
        <f ca="1">$AT262+$AV262-$AW262-IF(ROUNDDOWN(IF(ISBLANK($AY262),$AX262,$AY262),IF($D$4="Forint",0,2))&gt;$AT262+$AV262-$AW262-IF($D$4="Forint",Paraméterek!$J$114,Paraméterek!$K$114),0,ROUNDDOWN(IF(ISBLANK($AY262),$AX262,$AY262),IF($D$4="Forint",0,2))-$AZ262)</f>
        <v>0</v>
      </c>
      <c r="BB262" s="13">
        <f t="shared" ca="1" si="77"/>
        <v>0</v>
      </c>
      <c r="BD262" s="32">
        <v>243</v>
      </c>
      <c r="BE262" s="32">
        <v>21</v>
      </c>
      <c r="BF262" s="32">
        <v>3</v>
      </c>
      <c r="BG262" s="34">
        <f t="shared" ca="1" si="86"/>
        <v>2039</v>
      </c>
      <c r="BH262" s="32" t="str">
        <f ca="1">IF(MOD(MONTH($D$14)+$BD262-1,12)=Paraméterek!$C$288,"Igen","")</f>
        <v/>
      </c>
      <c r="BI262" s="13">
        <f ca="1">IF($BH262="Igen",MIN(ROUNDDOWN((SUMIF($BG$20:$BG$1027,$BG262-1,$K$20:$K$1027)-SUMIF($BG$20:$BG$1027,$BG262-1,$I$20:$I$1027))*Paraméterek!$C$289,IF($D$4="Forint",0,2)),IF($D$4="Forint",Paraméterek!$C$285,Paraméterek!$D$285)),0)</f>
        <v>0</v>
      </c>
      <c r="BJ262" s="13">
        <f t="shared" ca="1" si="78"/>
        <v>0</v>
      </c>
      <c r="BK262" s="13">
        <f t="shared" ca="1" si="87"/>
        <v>0</v>
      </c>
      <c r="BL262" s="33"/>
      <c r="BM262" s="13">
        <f t="shared" ca="1" si="79"/>
        <v>0</v>
      </c>
      <c r="BN262" s="13">
        <f ca="1">ROUNDUP(($BK262+$BM262)*VLOOKUP($BE262,Paraméterek!$P$38:$Q$38,2)/12*IF($D263="Nem",IF($M$13=0,1,$M$13),1),IF($D$4="Forint",0,2))</f>
        <v>0</v>
      </c>
      <c r="BO262" s="13">
        <f t="shared" ca="1" si="80"/>
        <v>0</v>
      </c>
      <c r="BP262" s="13">
        <f ca="1">IF($D263="Nem",$BO262,$BO262-ROUNDUP(SUM($BI$20:$BI262)*120%,IF($D$4="Forint",0,2)))</f>
        <v>0</v>
      </c>
    </row>
    <row r="263" spans="1:68" x14ac:dyDescent="0.2">
      <c r="A263" s="32">
        <v>244</v>
      </c>
      <c r="B263" s="32">
        <v>21</v>
      </c>
      <c r="C263" s="32">
        <v>4</v>
      </c>
      <c r="D263" s="32" t="str">
        <f t="shared" ca="1" si="66"/>
        <v>Nem</v>
      </c>
      <c r="E263" s="13">
        <f t="shared" ca="1" si="67"/>
        <v>0</v>
      </c>
      <c r="F263" s="13"/>
      <c r="G263" s="13"/>
      <c r="H263" s="13"/>
      <c r="I263" s="13">
        <f t="shared" ca="1" si="68"/>
        <v>0</v>
      </c>
      <c r="J263" s="13">
        <f t="shared" ca="1" si="69"/>
        <v>0</v>
      </c>
      <c r="K263" s="13">
        <f t="shared" ca="1" si="70"/>
        <v>0</v>
      </c>
      <c r="L263" s="13" t="e">
        <f ca="1">ROUNDUP(IF($D$2="Egyszeri",$E263,IF($D$2="Havi",SUM($E$20:$E$31),IF(MOD($C263,$M$1)-1=0,SUM($E$20:$E$31),0))/12*$M$1)*VLOOKUP($B263,Paraméterek!$I$28:$P$31,IF($D$2="Egyszeri",8,HLOOKUP(ROUNDUP($M$11+$M$13,0),Paraméterek!$J$26:$O$27,2))),IF($D$4="Forint",0,2))</f>
        <v>#N/A</v>
      </c>
      <c r="M263" s="13">
        <f t="shared" ca="1" si="71"/>
        <v>0</v>
      </c>
      <c r="N263" s="13">
        <f t="shared" ca="1" si="81"/>
        <v>0</v>
      </c>
      <c r="O263" s="13">
        <f ca="1">IF($D263="Igen",IF($W262&gt;=IF($D$4="Forint",Paraméterek!$J$121,Paraméterek!$K$121),0,IF($D$4="Forint",Paraméterek!$J$121,Paraméterek!$K$121)-$W262),0)</f>
        <v>0</v>
      </c>
      <c r="P263" s="13" t="e">
        <f ca="1">ROUNDUP($O263*VLOOKUP($M$4+$B263-1,Paraméterek!$H$58:$I$105,2,0)/Paraméterek!$I$56,IF($D$4="Forint",0,2))</f>
        <v>#N/A</v>
      </c>
      <c r="Q263" s="13">
        <f t="shared" ca="1" si="72"/>
        <v>0</v>
      </c>
      <c r="R263" s="33"/>
      <c r="S263" s="13" t="e">
        <f t="shared" ca="1" si="73"/>
        <v>#N/A</v>
      </c>
      <c r="T263" s="13" t="e">
        <f ca="1">ROUNDUP(($N263-$P263-$Q263+$S263)*VLOOKUP($B263,Paraméterek!$I$38:$K$39,IF($D$2="Egyszeri",3,2))/12*IF($D264="Nem",IF($M$13=0,1,$M$13),1),IF($D$4="Forint",0,2))</f>
        <v>#N/A</v>
      </c>
      <c r="U263" s="13"/>
      <c r="V263" s="13"/>
      <c r="W263" s="13" t="e">
        <f ca="1">$N263-$P263-$Q263+$S263-$T263-IF(ROUNDUP(IF(ISBLANK($V263),$U263*0,$V263)/IF($D$2="Egyszeri",VLOOKUP($B263+IF($C263=12,1,0),Paraméterek!$V$257:$W$262,2),IF($B263=1,1,VLOOKUP($B263+IF($C263=12,1,0),Paraméterek!$I$258:$T$278,HLOOKUP($M$11+1,Paraméterek!$J$256:$T$257,2)))),IF($D$4="Forint",0,2))&gt;$N263-$P263-$Q263+$S263-$T263-IF($D$4="Forint",Paraméterek!$C$216,Paraméterek!$D$216),0,ROUNDUP(IF(ISBLANK($V263),$U263*0,$V263)/IF($D$2="Egyszeri",VLOOKUP($B263+IF($C263=12,1,0),Paraméterek!$V$257:$W$262,2),IF($B263=1,1,VLOOKUP($B263+IF($C263=12,1,0),Paraméterek!$I$258:$T$278,HLOOKUP($M$11+1,Paraméterek!$J$256:$T$257,2)))),IF($D$4="Forint",0,2)))</f>
        <v>#N/A</v>
      </c>
      <c r="X263" s="13" t="e">
        <f ca="1">ROUNDDOWN($W263*IF($D$2="Egyszeri",VLOOKUP($B263+IF($C263=12,1,0),Paraméterek!$V$257:$W$262,2),VLOOKUP($B263+IF($C263=12,1,0),Paraméterek!$I$258:$T$278,HLOOKUP($M$11+1,Paraméterek!$I$256:$T$257,2))),IF($D$4="Forint",0,2))</f>
        <v>#N/A</v>
      </c>
      <c r="Z263" s="32">
        <v>244</v>
      </c>
      <c r="AA263" s="32">
        <v>21</v>
      </c>
      <c r="AB263" s="32">
        <v>4</v>
      </c>
      <c r="AC263" s="13">
        <f t="shared" ca="1" si="82"/>
        <v>0</v>
      </c>
      <c r="AD263" s="33"/>
      <c r="AE263" s="13">
        <f t="shared" ca="1" si="74"/>
        <v>0</v>
      </c>
      <c r="AF263" s="13">
        <f ca="1">ROUNDUP(($AC263+$AE263)*VLOOKUP($AA263,Paraméterek!$P$38:$Q$38,2)/12*IF($D264="Nem",IF($M$13=0,1,$M$13),1),IF($D$4="Forint",0,2))</f>
        <v>0</v>
      </c>
      <c r="AG263" s="13">
        <f ca="1">IF($D$2="Egyszeri",IF($D$7&gt;=IF($D$4="Forint",Paraméterek!$P$223,Paraméterek!$P$224),$D$7-IF($D$4="Forint",Paraméterek!$P$223,Paraméterek!$P$224),0),MIN(IF($AB263=12,AVERAGEIF($E$20:$E263,"&gt;0",$E$20:$E263)*12,0),SUM($E$20:$E$31)))</f>
        <v>0</v>
      </c>
      <c r="AH263" s="13">
        <f>IF($AA263=10,$AG263*IF($AB263=12,IF($AG263&lt;IF($D$4="Forint",Paraméterek!$L$223,Paraméterek!$L$224),0,VLOOKUP($AA263,Paraméterek!$K$226:$M$228,IF($AG263&lt;IF($D$4="Forint",Paraméterek!$M$223,Paraméterek!$M$224),2,3))),0),0)</f>
        <v>0</v>
      </c>
      <c r="AI263" s="13">
        <f ca="1">IF(AND($AA263=$M$11+1,$AB263=$M$12+1),SUMIF($AA$20:$AA$1027,$AA263,$AG$20:$AG$1027)*IF(SUMIF($AA$20:$AA$1027,$AA263,$AG$20:$AG$1027)&lt;IF($D$4="Forint",Paraméterek!$L$223,Paraméterek!$L$224),0,VLOOKUP($AA263,Paraméterek!$K$230:$M$250,IF(SUMIF($AA$20:$AA$1027,$AA263,$AG$20:$AG$1027)&lt;IF($D$4="Forint",Paraméterek!$M$223,Paraméterek!$M$224),2,3))),0)</f>
        <v>0</v>
      </c>
      <c r="AJ263" s="13">
        <f ca="1">IF(AND($AA263&gt;=5,MOD($AA263,5)=0),IF($AB263=12,VLOOKUP($AA263,Paraméterek!$O$225:$P$240,2),0),IF(OR($AA263=3,$AA263=4),IF($AB263=12,VLOOKUP($AA263,Paraméterek!$O$225:$P$240,2,0),0),0))*$AG263</f>
        <v>0</v>
      </c>
      <c r="AK263" s="13">
        <f t="shared" ca="1" si="75"/>
        <v>0</v>
      </c>
      <c r="AL263" s="13">
        <f t="shared" ca="1" si="83"/>
        <v>0</v>
      </c>
      <c r="AM263" s="13">
        <f t="shared" ca="1" si="84"/>
        <v>0</v>
      </c>
      <c r="AO263" s="32">
        <v>244</v>
      </c>
      <c r="AP263" s="32">
        <v>21</v>
      </c>
      <c r="AQ263" s="32">
        <v>4</v>
      </c>
      <c r="AR263" s="13"/>
      <c r="AS263" s="32"/>
      <c r="AT263" s="13">
        <f t="shared" ca="1" si="85"/>
        <v>0</v>
      </c>
      <c r="AU263" s="33"/>
      <c r="AV263" s="13">
        <f t="shared" ca="1" si="76"/>
        <v>0</v>
      </c>
      <c r="AW263" s="13">
        <f ca="1">ROUNDUP(($AT263+$AV263)*VLOOKUP($AP263,Paraméterek!$P$38:$Q$38,2)/12*IF($D264="Nem",IF($M$13=0,1,$M$13),1),IF($D$4="Forint",0,2))</f>
        <v>0</v>
      </c>
      <c r="AX263" s="13"/>
      <c r="AY263" s="13"/>
      <c r="AZ263" s="13">
        <f>ROUNDUP(IF(SUM($AX263:$AY263)=0,0,IF(IF(ISBLANK($AY263),$AX263,$AY263)*Paraméterek!$J$112&lt;IF($D$4="Forint",Paraméterek!$J$113,Paraméterek!$K$113),IF($D$4="Forint",Paraméterek!$J$113,Paraméterek!$K$113),IF(IF(ISBLANK($AY263),$AX263,$AY263)*Paraméterek!$J$112&gt;IF($D$4="Forint",Paraméterek!$J$114,Paraméterek!$K$114),IF($D$4="Forint",Paraméterek!$J$114,Paraméterek!$K$114),IF(ISBLANK($AY263),$AX263,$AY263)*Paraméterek!$J$112))),IF($D$4="Forint",0,2))</f>
        <v>0</v>
      </c>
      <c r="BA263" s="13">
        <f ca="1">$AT263+$AV263-$AW263-IF(ROUNDDOWN(IF(ISBLANK($AY263),$AX263,$AY263),IF($D$4="Forint",0,2))&gt;$AT263+$AV263-$AW263-IF($D$4="Forint",Paraméterek!$J$114,Paraméterek!$K$114),0,ROUNDDOWN(IF(ISBLANK($AY263),$AX263,$AY263),IF($D$4="Forint",0,2))-$AZ263)</f>
        <v>0</v>
      </c>
      <c r="BB263" s="13">
        <f t="shared" ca="1" si="77"/>
        <v>0</v>
      </c>
      <c r="BD263" s="32">
        <v>244</v>
      </c>
      <c r="BE263" s="32">
        <v>21</v>
      </c>
      <c r="BF263" s="32">
        <v>4</v>
      </c>
      <c r="BG263" s="34">
        <f t="shared" ca="1" si="86"/>
        <v>2039</v>
      </c>
      <c r="BH263" s="32" t="str">
        <f ca="1">IF(MOD(MONTH($D$14)+$BD263-1,12)=Paraméterek!$C$288,"Igen","")</f>
        <v/>
      </c>
      <c r="BI263" s="13">
        <f ca="1">IF($BH263="Igen",MIN(ROUNDDOWN((SUMIF($BG$20:$BG$1027,$BG263-1,$K$20:$K$1027)-SUMIF($BG$20:$BG$1027,$BG263-1,$I$20:$I$1027))*Paraméterek!$C$289,IF($D$4="Forint",0,2)),IF($D$4="Forint",Paraméterek!$C$285,Paraméterek!$D$285)),0)</f>
        <v>0</v>
      </c>
      <c r="BJ263" s="13">
        <f t="shared" ca="1" si="78"/>
        <v>0</v>
      </c>
      <c r="BK263" s="13">
        <f t="shared" ca="1" si="87"/>
        <v>0</v>
      </c>
      <c r="BL263" s="33"/>
      <c r="BM263" s="13">
        <f t="shared" ca="1" si="79"/>
        <v>0</v>
      </c>
      <c r="BN263" s="13">
        <f ca="1">ROUNDUP(($BK263+$BM263)*VLOOKUP($BE263,Paraméterek!$P$38:$Q$38,2)/12*IF($D264="Nem",IF($M$13=0,1,$M$13),1),IF($D$4="Forint",0,2))</f>
        <v>0</v>
      </c>
      <c r="BO263" s="13">
        <f t="shared" ca="1" si="80"/>
        <v>0</v>
      </c>
      <c r="BP263" s="13">
        <f ca="1">IF($D264="Nem",$BO263,$BO263-ROUNDUP(SUM($BI$20:$BI263)*120%,IF($D$4="Forint",0,2)))</f>
        <v>0</v>
      </c>
    </row>
    <row r="264" spans="1:68" x14ac:dyDescent="0.2">
      <c r="A264" s="32">
        <v>245</v>
      </c>
      <c r="B264" s="32">
        <v>21</v>
      </c>
      <c r="C264" s="32">
        <v>5</v>
      </c>
      <c r="D264" s="32" t="str">
        <f t="shared" ca="1" si="66"/>
        <v>Nem</v>
      </c>
      <c r="E264" s="13">
        <f t="shared" ca="1" si="67"/>
        <v>0</v>
      </c>
      <c r="F264" s="13"/>
      <c r="G264" s="13"/>
      <c r="H264" s="13"/>
      <c r="I264" s="13">
        <f t="shared" ca="1" si="68"/>
        <v>0</v>
      </c>
      <c r="J264" s="13">
        <f t="shared" ca="1" si="69"/>
        <v>0</v>
      </c>
      <c r="K264" s="13">
        <f t="shared" ca="1" si="70"/>
        <v>0</v>
      </c>
      <c r="L264" s="13" t="e">
        <f ca="1">ROUNDUP(IF($D$2="Egyszeri",$E264,IF($D$2="Havi",SUM($E$20:$E$31),IF(MOD($C264,$M$1)-1=0,SUM($E$20:$E$31),0))/12*$M$1)*VLOOKUP($B264,Paraméterek!$I$28:$P$31,IF($D$2="Egyszeri",8,HLOOKUP(ROUNDUP($M$11+$M$13,0),Paraméterek!$J$26:$O$27,2))),IF($D$4="Forint",0,2))</f>
        <v>#N/A</v>
      </c>
      <c r="M264" s="13">
        <f t="shared" ca="1" si="71"/>
        <v>0</v>
      </c>
      <c r="N264" s="13">
        <f t="shared" ca="1" si="81"/>
        <v>0</v>
      </c>
      <c r="O264" s="13">
        <f ca="1">IF($D264="Igen",IF($W263&gt;=IF($D$4="Forint",Paraméterek!$J$121,Paraméterek!$K$121),0,IF($D$4="Forint",Paraméterek!$J$121,Paraméterek!$K$121)-$W263),0)</f>
        <v>0</v>
      </c>
      <c r="P264" s="13" t="e">
        <f ca="1">ROUNDUP($O264*VLOOKUP($M$4+$B264-1,Paraméterek!$H$58:$I$105,2,0)/Paraméterek!$I$56,IF($D$4="Forint",0,2))</f>
        <v>#N/A</v>
      </c>
      <c r="Q264" s="13">
        <f t="shared" ca="1" si="72"/>
        <v>0</v>
      </c>
      <c r="R264" s="33"/>
      <c r="S264" s="13" t="e">
        <f t="shared" ca="1" si="73"/>
        <v>#N/A</v>
      </c>
      <c r="T264" s="13" t="e">
        <f ca="1">ROUNDUP(($N264-$P264-$Q264+$S264)*VLOOKUP($B264,Paraméterek!$I$38:$K$39,IF($D$2="Egyszeri",3,2))/12*IF($D265="Nem",IF($M$13=0,1,$M$13),1),IF($D$4="Forint",0,2))</f>
        <v>#N/A</v>
      </c>
      <c r="U264" s="13"/>
      <c r="V264" s="13"/>
      <c r="W264" s="13" t="e">
        <f ca="1">$N264-$P264-$Q264+$S264-$T264-IF(ROUNDUP(IF(ISBLANK($V264),$U264*0,$V264)/IF($D$2="Egyszeri",VLOOKUP($B264+IF($C264=12,1,0),Paraméterek!$V$257:$W$262,2),IF($B264=1,1,VLOOKUP($B264+IF($C264=12,1,0),Paraméterek!$I$258:$T$278,HLOOKUP($M$11+1,Paraméterek!$J$256:$T$257,2)))),IF($D$4="Forint",0,2))&gt;$N264-$P264-$Q264+$S264-$T264-IF($D$4="Forint",Paraméterek!$C$216,Paraméterek!$D$216),0,ROUNDUP(IF(ISBLANK($V264),$U264*0,$V264)/IF($D$2="Egyszeri",VLOOKUP($B264+IF($C264=12,1,0),Paraméterek!$V$257:$W$262,2),IF($B264=1,1,VLOOKUP($B264+IF($C264=12,1,0),Paraméterek!$I$258:$T$278,HLOOKUP($M$11+1,Paraméterek!$J$256:$T$257,2)))),IF($D$4="Forint",0,2)))</f>
        <v>#N/A</v>
      </c>
      <c r="X264" s="13" t="e">
        <f ca="1">ROUNDDOWN($W264*IF($D$2="Egyszeri",VLOOKUP($B264+IF($C264=12,1,0),Paraméterek!$V$257:$W$262,2),VLOOKUP($B264+IF($C264=12,1,0),Paraméterek!$I$258:$T$278,HLOOKUP($M$11+1,Paraméterek!$I$256:$T$257,2))),IF($D$4="Forint",0,2))</f>
        <v>#N/A</v>
      </c>
      <c r="Z264" s="32">
        <v>245</v>
      </c>
      <c r="AA264" s="32">
        <v>21</v>
      </c>
      <c r="AB264" s="32">
        <v>5</v>
      </c>
      <c r="AC264" s="13">
        <f t="shared" ca="1" si="82"/>
        <v>0</v>
      </c>
      <c r="AD264" s="33"/>
      <c r="AE264" s="13">
        <f t="shared" ca="1" si="74"/>
        <v>0</v>
      </c>
      <c r="AF264" s="13">
        <f ca="1">ROUNDUP(($AC264+$AE264)*VLOOKUP($AA264,Paraméterek!$P$38:$Q$38,2)/12*IF($D265="Nem",IF($M$13=0,1,$M$13),1),IF($D$4="Forint",0,2))</f>
        <v>0</v>
      </c>
      <c r="AG264" s="13">
        <f ca="1">IF($D$2="Egyszeri",IF($D$7&gt;=IF($D$4="Forint",Paraméterek!$P$223,Paraméterek!$P$224),$D$7-IF($D$4="Forint",Paraméterek!$P$223,Paraméterek!$P$224),0),MIN(IF($AB264=12,AVERAGEIF($E$20:$E264,"&gt;0",$E$20:$E264)*12,0),SUM($E$20:$E$31)))</f>
        <v>0</v>
      </c>
      <c r="AH264" s="13">
        <f>IF($AA264=10,$AG264*IF($AB264=12,IF($AG264&lt;IF($D$4="Forint",Paraméterek!$L$223,Paraméterek!$L$224),0,VLOOKUP($AA264,Paraméterek!$K$226:$M$228,IF($AG264&lt;IF($D$4="Forint",Paraméterek!$M$223,Paraméterek!$M$224),2,3))),0),0)</f>
        <v>0</v>
      </c>
      <c r="AI264" s="13">
        <f ca="1">IF(AND($AA264=$M$11+1,$AB264=$M$12+1),SUMIF($AA$20:$AA$1027,$AA264,$AG$20:$AG$1027)*IF(SUMIF($AA$20:$AA$1027,$AA264,$AG$20:$AG$1027)&lt;IF($D$4="Forint",Paraméterek!$L$223,Paraméterek!$L$224),0,VLOOKUP($AA264,Paraméterek!$K$230:$M$250,IF(SUMIF($AA$20:$AA$1027,$AA264,$AG$20:$AG$1027)&lt;IF($D$4="Forint",Paraméterek!$M$223,Paraméterek!$M$224),2,3))),0)</f>
        <v>0</v>
      </c>
      <c r="AJ264" s="13">
        <f ca="1">IF(AND($AA264&gt;=5,MOD($AA264,5)=0),IF($AB264=12,VLOOKUP($AA264,Paraméterek!$O$225:$P$240,2),0),IF(OR($AA264=3,$AA264=4),IF($AB264=12,VLOOKUP($AA264,Paraméterek!$O$225:$P$240,2,0),0),0))*$AG264</f>
        <v>0</v>
      </c>
      <c r="AK264" s="13">
        <f t="shared" ca="1" si="75"/>
        <v>0</v>
      </c>
      <c r="AL264" s="13">
        <f t="shared" ca="1" si="83"/>
        <v>0</v>
      </c>
      <c r="AM264" s="13">
        <f t="shared" ca="1" si="84"/>
        <v>0</v>
      </c>
      <c r="AO264" s="32">
        <v>245</v>
      </c>
      <c r="AP264" s="32">
        <v>21</v>
      </c>
      <c r="AQ264" s="32">
        <v>5</v>
      </c>
      <c r="AR264" s="13"/>
      <c r="AS264" s="32"/>
      <c r="AT264" s="13">
        <f t="shared" ca="1" si="85"/>
        <v>0</v>
      </c>
      <c r="AU264" s="33"/>
      <c r="AV264" s="13">
        <f t="shared" ca="1" si="76"/>
        <v>0</v>
      </c>
      <c r="AW264" s="13">
        <f ca="1">ROUNDUP(($AT264+$AV264)*VLOOKUP($AP264,Paraméterek!$P$38:$Q$38,2)/12*IF($D265="Nem",IF($M$13=0,1,$M$13),1),IF($D$4="Forint",0,2))</f>
        <v>0</v>
      </c>
      <c r="AX264" s="13"/>
      <c r="AY264" s="13"/>
      <c r="AZ264" s="13">
        <f>ROUNDUP(IF(SUM($AX264:$AY264)=0,0,IF(IF(ISBLANK($AY264),$AX264,$AY264)*Paraméterek!$J$112&lt;IF($D$4="Forint",Paraméterek!$J$113,Paraméterek!$K$113),IF($D$4="Forint",Paraméterek!$J$113,Paraméterek!$K$113),IF(IF(ISBLANK($AY264),$AX264,$AY264)*Paraméterek!$J$112&gt;IF($D$4="Forint",Paraméterek!$J$114,Paraméterek!$K$114),IF($D$4="Forint",Paraméterek!$J$114,Paraméterek!$K$114),IF(ISBLANK($AY264),$AX264,$AY264)*Paraméterek!$J$112))),IF($D$4="Forint",0,2))</f>
        <v>0</v>
      </c>
      <c r="BA264" s="13">
        <f ca="1">$AT264+$AV264-$AW264-IF(ROUNDDOWN(IF(ISBLANK($AY264),$AX264,$AY264),IF($D$4="Forint",0,2))&gt;$AT264+$AV264-$AW264-IF($D$4="Forint",Paraméterek!$J$114,Paraméterek!$K$114),0,ROUNDDOWN(IF(ISBLANK($AY264),$AX264,$AY264),IF($D$4="Forint",0,2))-$AZ264)</f>
        <v>0</v>
      </c>
      <c r="BB264" s="13">
        <f t="shared" ca="1" si="77"/>
        <v>0</v>
      </c>
      <c r="BD264" s="32">
        <v>245</v>
      </c>
      <c r="BE264" s="32">
        <v>21</v>
      </c>
      <c r="BF264" s="32">
        <v>5</v>
      </c>
      <c r="BG264" s="34">
        <f t="shared" ca="1" si="86"/>
        <v>2039</v>
      </c>
      <c r="BH264" s="32" t="str">
        <f ca="1">IF(MOD(MONTH($D$14)+$BD264-1,12)=Paraméterek!$C$288,"Igen","")</f>
        <v/>
      </c>
      <c r="BI264" s="13">
        <f ca="1">IF($BH264="Igen",MIN(ROUNDDOWN((SUMIF($BG$20:$BG$1027,$BG264-1,$K$20:$K$1027)-SUMIF($BG$20:$BG$1027,$BG264-1,$I$20:$I$1027))*Paraméterek!$C$289,IF($D$4="Forint",0,2)),IF($D$4="Forint",Paraméterek!$C$285,Paraméterek!$D$285)),0)</f>
        <v>0</v>
      </c>
      <c r="BJ264" s="13">
        <f t="shared" ca="1" si="78"/>
        <v>0</v>
      </c>
      <c r="BK264" s="13">
        <f t="shared" ca="1" si="87"/>
        <v>0</v>
      </c>
      <c r="BL264" s="33"/>
      <c r="BM264" s="13">
        <f t="shared" ca="1" si="79"/>
        <v>0</v>
      </c>
      <c r="BN264" s="13">
        <f ca="1">ROUNDUP(($BK264+$BM264)*VLOOKUP($BE264,Paraméterek!$P$38:$Q$38,2)/12*IF($D265="Nem",IF($M$13=0,1,$M$13),1),IF($D$4="Forint",0,2))</f>
        <v>0</v>
      </c>
      <c r="BO264" s="13">
        <f t="shared" ca="1" si="80"/>
        <v>0</v>
      </c>
      <c r="BP264" s="13">
        <f ca="1">IF($D265="Nem",$BO264,$BO264-ROUNDUP(SUM($BI$20:$BI264)*120%,IF($D$4="Forint",0,2)))</f>
        <v>0</v>
      </c>
    </row>
    <row r="265" spans="1:68" x14ac:dyDescent="0.2">
      <c r="A265" s="32">
        <v>246</v>
      </c>
      <c r="B265" s="32">
        <v>21</v>
      </c>
      <c r="C265" s="32">
        <v>6</v>
      </c>
      <c r="D265" s="32" t="str">
        <f t="shared" ca="1" si="66"/>
        <v>Nem</v>
      </c>
      <c r="E265" s="13">
        <f t="shared" ca="1" si="67"/>
        <v>0</v>
      </c>
      <c r="F265" s="13"/>
      <c r="G265" s="13"/>
      <c r="H265" s="13"/>
      <c r="I265" s="13">
        <f t="shared" ca="1" si="68"/>
        <v>0</v>
      </c>
      <c r="J265" s="13">
        <f t="shared" ca="1" si="69"/>
        <v>0</v>
      </c>
      <c r="K265" s="13">
        <f t="shared" ca="1" si="70"/>
        <v>0</v>
      </c>
      <c r="L265" s="13" t="e">
        <f ca="1">ROUNDUP(IF($D$2="Egyszeri",$E265,IF($D$2="Havi",SUM($E$20:$E$31),IF(MOD($C265,$M$1)-1=0,SUM($E$20:$E$31),0))/12*$M$1)*VLOOKUP($B265,Paraméterek!$I$28:$P$31,IF($D$2="Egyszeri",8,HLOOKUP(ROUNDUP($M$11+$M$13,0),Paraméterek!$J$26:$O$27,2))),IF($D$4="Forint",0,2))</f>
        <v>#N/A</v>
      </c>
      <c r="M265" s="13">
        <f t="shared" ca="1" si="71"/>
        <v>0</v>
      </c>
      <c r="N265" s="13">
        <f t="shared" ca="1" si="81"/>
        <v>0</v>
      </c>
      <c r="O265" s="13">
        <f ca="1">IF($D265="Igen",IF($W264&gt;=IF($D$4="Forint",Paraméterek!$J$121,Paraméterek!$K$121),0,IF($D$4="Forint",Paraméterek!$J$121,Paraméterek!$K$121)-$W264),0)</f>
        <v>0</v>
      </c>
      <c r="P265" s="13" t="e">
        <f ca="1">ROUNDUP($O265*VLOOKUP($M$4+$B265-1,Paraméterek!$H$58:$I$105,2,0)/Paraméterek!$I$56,IF($D$4="Forint",0,2))</f>
        <v>#N/A</v>
      </c>
      <c r="Q265" s="13">
        <f t="shared" ca="1" si="72"/>
        <v>0</v>
      </c>
      <c r="R265" s="33"/>
      <c r="S265" s="13" t="e">
        <f t="shared" ca="1" si="73"/>
        <v>#N/A</v>
      </c>
      <c r="T265" s="13" t="e">
        <f ca="1">ROUNDUP(($N265-$P265-$Q265+$S265)*VLOOKUP($B265,Paraméterek!$I$38:$K$39,IF($D$2="Egyszeri",3,2))/12*IF($D266="Nem",IF($M$13=0,1,$M$13),1),IF($D$4="Forint",0,2))</f>
        <v>#N/A</v>
      </c>
      <c r="U265" s="13"/>
      <c r="V265" s="13"/>
      <c r="W265" s="13" t="e">
        <f ca="1">$N265-$P265-$Q265+$S265-$T265-IF(ROUNDUP(IF(ISBLANK($V265),$U265*0,$V265)/IF($D$2="Egyszeri",VLOOKUP($B265+IF($C265=12,1,0),Paraméterek!$V$257:$W$262,2),IF($B265=1,1,VLOOKUP($B265+IF($C265=12,1,0),Paraméterek!$I$258:$T$278,HLOOKUP($M$11+1,Paraméterek!$J$256:$T$257,2)))),IF($D$4="Forint",0,2))&gt;$N265-$P265-$Q265+$S265-$T265-IF($D$4="Forint",Paraméterek!$C$216,Paraméterek!$D$216),0,ROUNDUP(IF(ISBLANK($V265),$U265*0,$V265)/IF($D$2="Egyszeri",VLOOKUP($B265+IF($C265=12,1,0),Paraméterek!$V$257:$W$262,2),IF($B265=1,1,VLOOKUP($B265+IF($C265=12,1,0),Paraméterek!$I$258:$T$278,HLOOKUP($M$11+1,Paraméterek!$J$256:$T$257,2)))),IF($D$4="Forint",0,2)))</f>
        <v>#N/A</v>
      </c>
      <c r="X265" s="13" t="e">
        <f ca="1">ROUNDDOWN($W265*IF($D$2="Egyszeri",VLOOKUP($B265+IF($C265=12,1,0),Paraméterek!$V$257:$W$262,2),VLOOKUP($B265+IF($C265=12,1,0),Paraméterek!$I$258:$T$278,HLOOKUP($M$11+1,Paraméterek!$I$256:$T$257,2))),IF($D$4="Forint",0,2))</f>
        <v>#N/A</v>
      </c>
      <c r="Z265" s="32">
        <v>246</v>
      </c>
      <c r="AA265" s="32">
        <v>21</v>
      </c>
      <c r="AB265" s="32">
        <v>6</v>
      </c>
      <c r="AC265" s="13">
        <f t="shared" ca="1" si="82"/>
        <v>0</v>
      </c>
      <c r="AD265" s="33"/>
      <c r="AE265" s="13">
        <f t="shared" ca="1" si="74"/>
        <v>0</v>
      </c>
      <c r="AF265" s="13">
        <f ca="1">ROUNDUP(($AC265+$AE265)*VLOOKUP($AA265,Paraméterek!$P$38:$Q$38,2)/12*IF($D266="Nem",IF($M$13=0,1,$M$13),1),IF($D$4="Forint",0,2))</f>
        <v>0</v>
      </c>
      <c r="AG265" s="13">
        <f ca="1">IF($D$2="Egyszeri",IF($D$7&gt;=IF($D$4="Forint",Paraméterek!$P$223,Paraméterek!$P$224),$D$7-IF($D$4="Forint",Paraméterek!$P$223,Paraméterek!$P$224),0),MIN(IF($AB265=12,AVERAGEIF($E$20:$E265,"&gt;0",$E$20:$E265)*12,0),SUM($E$20:$E$31)))</f>
        <v>0</v>
      </c>
      <c r="AH265" s="13">
        <f>IF($AA265=10,$AG265*IF($AB265=12,IF($AG265&lt;IF($D$4="Forint",Paraméterek!$L$223,Paraméterek!$L$224),0,VLOOKUP($AA265,Paraméterek!$K$226:$M$228,IF($AG265&lt;IF($D$4="Forint",Paraméterek!$M$223,Paraméterek!$M$224),2,3))),0),0)</f>
        <v>0</v>
      </c>
      <c r="AI265" s="13">
        <f ca="1">IF(AND($AA265=$M$11+1,$AB265=$M$12+1),SUMIF($AA$20:$AA$1027,$AA265,$AG$20:$AG$1027)*IF(SUMIF($AA$20:$AA$1027,$AA265,$AG$20:$AG$1027)&lt;IF($D$4="Forint",Paraméterek!$L$223,Paraméterek!$L$224),0,VLOOKUP($AA265,Paraméterek!$K$230:$M$250,IF(SUMIF($AA$20:$AA$1027,$AA265,$AG$20:$AG$1027)&lt;IF($D$4="Forint",Paraméterek!$M$223,Paraméterek!$M$224),2,3))),0)</f>
        <v>0</v>
      </c>
      <c r="AJ265" s="13">
        <f ca="1">IF(AND($AA265&gt;=5,MOD($AA265,5)=0),IF($AB265=12,VLOOKUP($AA265,Paraméterek!$O$225:$P$240,2),0),IF(OR($AA265=3,$AA265=4),IF($AB265=12,VLOOKUP($AA265,Paraméterek!$O$225:$P$240,2,0),0),0))*$AG265</f>
        <v>0</v>
      </c>
      <c r="AK265" s="13">
        <f t="shared" ca="1" si="75"/>
        <v>0</v>
      </c>
      <c r="AL265" s="13">
        <f t="shared" ca="1" si="83"/>
        <v>0</v>
      </c>
      <c r="AM265" s="13">
        <f t="shared" ca="1" si="84"/>
        <v>0</v>
      </c>
      <c r="AO265" s="32">
        <v>246</v>
      </c>
      <c r="AP265" s="32">
        <v>21</v>
      </c>
      <c r="AQ265" s="32">
        <v>6</v>
      </c>
      <c r="AR265" s="13"/>
      <c r="AS265" s="32"/>
      <c r="AT265" s="13">
        <f t="shared" ca="1" si="85"/>
        <v>0</v>
      </c>
      <c r="AU265" s="33"/>
      <c r="AV265" s="13">
        <f t="shared" ca="1" si="76"/>
        <v>0</v>
      </c>
      <c r="AW265" s="13">
        <f ca="1">ROUNDUP(($AT265+$AV265)*VLOOKUP($AP265,Paraméterek!$P$38:$Q$38,2)/12*IF($D266="Nem",IF($M$13=0,1,$M$13),1),IF($D$4="Forint",0,2))</f>
        <v>0</v>
      </c>
      <c r="AX265" s="13"/>
      <c r="AY265" s="13"/>
      <c r="AZ265" s="13">
        <f>ROUNDUP(IF(SUM($AX265:$AY265)=0,0,IF(IF(ISBLANK($AY265),$AX265,$AY265)*Paraméterek!$J$112&lt;IF($D$4="Forint",Paraméterek!$J$113,Paraméterek!$K$113),IF($D$4="Forint",Paraméterek!$J$113,Paraméterek!$K$113),IF(IF(ISBLANK($AY265),$AX265,$AY265)*Paraméterek!$J$112&gt;IF($D$4="Forint",Paraméterek!$J$114,Paraméterek!$K$114),IF($D$4="Forint",Paraméterek!$J$114,Paraméterek!$K$114),IF(ISBLANK($AY265),$AX265,$AY265)*Paraméterek!$J$112))),IF($D$4="Forint",0,2))</f>
        <v>0</v>
      </c>
      <c r="BA265" s="13">
        <f ca="1">$AT265+$AV265-$AW265-IF(ROUNDDOWN(IF(ISBLANK($AY265),$AX265,$AY265),IF($D$4="Forint",0,2))&gt;$AT265+$AV265-$AW265-IF($D$4="Forint",Paraméterek!$J$114,Paraméterek!$K$114),0,ROUNDDOWN(IF(ISBLANK($AY265),$AX265,$AY265),IF($D$4="Forint",0,2))-$AZ265)</f>
        <v>0</v>
      </c>
      <c r="BB265" s="13">
        <f t="shared" ca="1" si="77"/>
        <v>0</v>
      </c>
      <c r="BD265" s="32">
        <v>246</v>
      </c>
      <c r="BE265" s="32">
        <v>21</v>
      </c>
      <c r="BF265" s="32">
        <v>6</v>
      </c>
      <c r="BG265" s="34">
        <f t="shared" ca="1" si="86"/>
        <v>2039</v>
      </c>
      <c r="BH265" s="32" t="str">
        <f ca="1">IF(MOD(MONTH($D$14)+$BD265-1,12)=Paraméterek!$C$288,"Igen","")</f>
        <v/>
      </c>
      <c r="BI265" s="13">
        <f ca="1">IF($BH265="Igen",MIN(ROUNDDOWN((SUMIF($BG$20:$BG$1027,$BG265-1,$K$20:$K$1027)-SUMIF($BG$20:$BG$1027,$BG265-1,$I$20:$I$1027))*Paraméterek!$C$289,IF($D$4="Forint",0,2)),IF($D$4="Forint",Paraméterek!$C$285,Paraméterek!$D$285)),0)</f>
        <v>0</v>
      </c>
      <c r="BJ265" s="13">
        <f t="shared" ca="1" si="78"/>
        <v>0</v>
      </c>
      <c r="BK265" s="13">
        <f t="shared" ca="1" si="87"/>
        <v>0</v>
      </c>
      <c r="BL265" s="33"/>
      <c r="BM265" s="13">
        <f t="shared" ca="1" si="79"/>
        <v>0</v>
      </c>
      <c r="BN265" s="13">
        <f ca="1">ROUNDUP(($BK265+$BM265)*VLOOKUP($BE265,Paraméterek!$P$38:$Q$38,2)/12*IF($D266="Nem",IF($M$13=0,1,$M$13),1),IF($D$4="Forint",0,2))</f>
        <v>0</v>
      </c>
      <c r="BO265" s="13">
        <f t="shared" ca="1" si="80"/>
        <v>0</v>
      </c>
      <c r="BP265" s="13">
        <f ca="1">IF($D266="Nem",$BO265,$BO265-ROUNDUP(SUM($BI$20:$BI265)*120%,IF($D$4="Forint",0,2)))</f>
        <v>0</v>
      </c>
    </row>
    <row r="266" spans="1:68" x14ac:dyDescent="0.2">
      <c r="A266" s="32">
        <v>247</v>
      </c>
      <c r="B266" s="32">
        <v>21</v>
      </c>
      <c r="C266" s="32">
        <v>7</v>
      </c>
      <c r="D266" s="32" t="str">
        <f t="shared" ca="1" si="66"/>
        <v>Nem</v>
      </c>
      <c r="E266" s="13">
        <f t="shared" ca="1" si="67"/>
        <v>0</v>
      </c>
      <c r="F266" s="13"/>
      <c r="G266" s="13"/>
      <c r="H266" s="13"/>
      <c r="I266" s="13">
        <f t="shared" ca="1" si="68"/>
        <v>0</v>
      </c>
      <c r="J266" s="13">
        <f t="shared" ca="1" si="69"/>
        <v>0</v>
      </c>
      <c r="K266" s="13">
        <f t="shared" ca="1" si="70"/>
        <v>0</v>
      </c>
      <c r="L266" s="13" t="e">
        <f ca="1">ROUNDUP(IF($D$2="Egyszeri",$E266,IF($D$2="Havi",SUM($E$20:$E$31),IF(MOD($C266,$M$1)-1=0,SUM($E$20:$E$31),0))/12*$M$1)*VLOOKUP($B266,Paraméterek!$I$28:$P$31,IF($D$2="Egyszeri",8,HLOOKUP(ROUNDUP($M$11+$M$13,0),Paraméterek!$J$26:$O$27,2))),IF($D$4="Forint",0,2))</f>
        <v>#N/A</v>
      </c>
      <c r="M266" s="13">
        <f t="shared" ca="1" si="71"/>
        <v>0</v>
      </c>
      <c r="N266" s="13">
        <f t="shared" ca="1" si="81"/>
        <v>0</v>
      </c>
      <c r="O266" s="13">
        <f ca="1">IF($D266="Igen",IF($W265&gt;=IF($D$4="Forint",Paraméterek!$J$121,Paraméterek!$K$121),0,IF($D$4="Forint",Paraméterek!$J$121,Paraméterek!$K$121)-$W265),0)</f>
        <v>0</v>
      </c>
      <c r="P266" s="13" t="e">
        <f ca="1">ROUNDUP($O266*VLOOKUP($M$4+$B266-1,Paraméterek!$H$58:$I$105,2,0)/Paraméterek!$I$56,IF($D$4="Forint",0,2))</f>
        <v>#N/A</v>
      </c>
      <c r="Q266" s="13">
        <f t="shared" ca="1" si="72"/>
        <v>0</v>
      </c>
      <c r="R266" s="33"/>
      <c r="S266" s="13" t="e">
        <f t="shared" ca="1" si="73"/>
        <v>#N/A</v>
      </c>
      <c r="T266" s="13" t="e">
        <f ca="1">ROUNDUP(($N266-$P266-$Q266+$S266)*VLOOKUP($B266,Paraméterek!$I$38:$K$39,IF($D$2="Egyszeri",3,2))/12*IF($D267="Nem",IF($M$13=0,1,$M$13),1),IF($D$4="Forint",0,2))</f>
        <v>#N/A</v>
      </c>
      <c r="U266" s="13"/>
      <c r="V266" s="13"/>
      <c r="W266" s="13" t="e">
        <f ca="1">$N266-$P266-$Q266+$S266-$T266-IF(ROUNDUP(IF(ISBLANK($V266),$U266*0,$V266)/IF($D$2="Egyszeri",VLOOKUP($B266+IF($C266=12,1,0),Paraméterek!$V$257:$W$262,2),IF($B266=1,1,VLOOKUP($B266+IF($C266=12,1,0),Paraméterek!$I$258:$T$278,HLOOKUP($M$11+1,Paraméterek!$J$256:$T$257,2)))),IF($D$4="Forint",0,2))&gt;$N266-$P266-$Q266+$S266-$T266-IF($D$4="Forint",Paraméterek!$C$216,Paraméterek!$D$216),0,ROUNDUP(IF(ISBLANK($V266),$U266*0,$V266)/IF($D$2="Egyszeri",VLOOKUP($B266+IF($C266=12,1,0),Paraméterek!$V$257:$W$262,2),IF($B266=1,1,VLOOKUP($B266+IF($C266=12,1,0),Paraméterek!$I$258:$T$278,HLOOKUP($M$11+1,Paraméterek!$J$256:$T$257,2)))),IF($D$4="Forint",0,2)))</f>
        <v>#N/A</v>
      </c>
      <c r="X266" s="13" t="e">
        <f ca="1">ROUNDDOWN($W266*IF($D$2="Egyszeri",VLOOKUP($B266+IF($C266=12,1,0),Paraméterek!$V$257:$W$262,2),VLOOKUP($B266+IF($C266=12,1,0),Paraméterek!$I$258:$T$278,HLOOKUP($M$11+1,Paraméterek!$I$256:$T$257,2))),IF($D$4="Forint",0,2))</f>
        <v>#N/A</v>
      </c>
      <c r="Z266" s="32">
        <v>247</v>
      </c>
      <c r="AA266" s="32">
        <v>21</v>
      </c>
      <c r="AB266" s="32">
        <v>7</v>
      </c>
      <c r="AC266" s="13">
        <f t="shared" ca="1" si="82"/>
        <v>0</v>
      </c>
      <c r="AD266" s="33"/>
      <c r="AE266" s="13">
        <f t="shared" ca="1" si="74"/>
        <v>0</v>
      </c>
      <c r="AF266" s="13">
        <f ca="1">ROUNDUP(($AC266+$AE266)*VLOOKUP($AA266,Paraméterek!$P$38:$Q$38,2)/12*IF($D267="Nem",IF($M$13=0,1,$M$13),1),IF($D$4="Forint",0,2))</f>
        <v>0</v>
      </c>
      <c r="AG266" s="13">
        <f ca="1">IF($D$2="Egyszeri",IF($D$7&gt;=IF($D$4="Forint",Paraméterek!$P$223,Paraméterek!$P$224),$D$7-IF($D$4="Forint",Paraméterek!$P$223,Paraméterek!$P$224),0),MIN(IF($AB266=12,AVERAGEIF($E$20:$E266,"&gt;0",$E$20:$E266)*12,0),SUM($E$20:$E$31)))</f>
        <v>0</v>
      </c>
      <c r="AH266" s="13">
        <f>IF($AA266=10,$AG266*IF($AB266=12,IF($AG266&lt;IF($D$4="Forint",Paraméterek!$L$223,Paraméterek!$L$224),0,VLOOKUP($AA266,Paraméterek!$K$226:$M$228,IF($AG266&lt;IF($D$4="Forint",Paraméterek!$M$223,Paraméterek!$M$224),2,3))),0),0)</f>
        <v>0</v>
      </c>
      <c r="AI266" s="13">
        <f ca="1">IF(AND($AA266=$M$11+1,$AB266=$M$12+1),SUMIF($AA$20:$AA$1027,$AA266,$AG$20:$AG$1027)*IF(SUMIF($AA$20:$AA$1027,$AA266,$AG$20:$AG$1027)&lt;IF($D$4="Forint",Paraméterek!$L$223,Paraméterek!$L$224),0,VLOOKUP($AA266,Paraméterek!$K$230:$M$250,IF(SUMIF($AA$20:$AA$1027,$AA266,$AG$20:$AG$1027)&lt;IF($D$4="Forint",Paraméterek!$M$223,Paraméterek!$M$224),2,3))),0)</f>
        <v>0</v>
      </c>
      <c r="AJ266" s="13">
        <f ca="1">IF(AND($AA266&gt;=5,MOD($AA266,5)=0),IF($AB266=12,VLOOKUP($AA266,Paraméterek!$O$225:$P$240,2),0),IF(OR($AA266=3,$AA266=4),IF($AB266=12,VLOOKUP($AA266,Paraméterek!$O$225:$P$240,2,0),0),0))*$AG266</f>
        <v>0</v>
      </c>
      <c r="AK266" s="13">
        <f t="shared" ca="1" si="75"/>
        <v>0</v>
      </c>
      <c r="AL266" s="13">
        <f t="shared" ca="1" si="83"/>
        <v>0</v>
      </c>
      <c r="AM266" s="13">
        <f t="shared" ca="1" si="84"/>
        <v>0</v>
      </c>
      <c r="AO266" s="32">
        <v>247</v>
      </c>
      <c r="AP266" s="32">
        <v>21</v>
      </c>
      <c r="AQ266" s="32">
        <v>7</v>
      </c>
      <c r="AR266" s="13"/>
      <c r="AS266" s="32"/>
      <c r="AT266" s="13">
        <f t="shared" ca="1" si="85"/>
        <v>0</v>
      </c>
      <c r="AU266" s="33"/>
      <c r="AV266" s="13">
        <f t="shared" ca="1" si="76"/>
        <v>0</v>
      </c>
      <c r="AW266" s="13">
        <f ca="1">ROUNDUP(($AT266+$AV266)*VLOOKUP($AP266,Paraméterek!$P$38:$Q$38,2)/12*IF($D267="Nem",IF($M$13=0,1,$M$13),1),IF($D$4="Forint",0,2))</f>
        <v>0</v>
      </c>
      <c r="AX266" s="13"/>
      <c r="AY266" s="13"/>
      <c r="AZ266" s="13">
        <f>ROUNDUP(IF(SUM($AX266:$AY266)=0,0,IF(IF(ISBLANK($AY266),$AX266,$AY266)*Paraméterek!$J$112&lt;IF($D$4="Forint",Paraméterek!$J$113,Paraméterek!$K$113),IF($D$4="Forint",Paraméterek!$J$113,Paraméterek!$K$113),IF(IF(ISBLANK($AY266),$AX266,$AY266)*Paraméterek!$J$112&gt;IF($D$4="Forint",Paraméterek!$J$114,Paraméterek!$K$114),IF($D$4="Forint",Paraméterek!$J$114,Paraméterek!$K$114),IF(ISBLANK($AY266),$AX266,$AY266)*Paraméterek!$J$112))),IF($D$4="Forint",0,2))</f>
        <v>0</v>
      </c>
      <c r="BA266" s="13">
        <f ca="1">$AT266+$AV266-$AW266-IF(ROUNDDOWN(IF(ISBLANK($AY266),$AX266,$AY266),IF($D$4="Forint",0,2))&gt;$AT266+$AV266-$AW266-IF($D$4="Forint",Paraméterek!$J$114,Paraméterek!$K$114),0,ROUNDDOWN(IF(ISBLANK($AY266),$AX266,$AY266),IF($D$4="Forint",0,2))-$AZ266)</f>
        <v>0</v>
      </c>
      <c r="BB266" s="13">
        <f t="shared" ca="1" si="77"/>
        <v>0</v>
      </c>
      <c r="BD266" s="32">
        <v>247</v>
      </c>
      <c r="BE266" s="32">
        <v>21</v>
      </c>
      <c r="BF266" s="32">
        <v>7</v>
      </c>
      <c r="BG266" s="34">
        <f t="shared" ca="1" si="86"/>
        <v>2039</v>
      </c>
      <c r="BH266" s="32" t="str">
        <f ca="1">IF(MOD(MONTH($D$14)+$BD266-1,12)=Paraméterek!$C$288,"Igen","")</f>
        <v/>
      </c>
      <c r="BI266" s="13">
        <f ca="1">IF($BH266="Igen",MIN(ROUNDDOWN((SUMIF($BG$20:$BG$1027,$BG266-1,$K$20:$K$1027)-SUMIF($BG$20:$BG$1027,$BG266-1,$I$20:$I$1027))*Paraméterek!$C$289,IF($D$4="Forint",0,2)),IF($D$4="Forint",Paraméterek!$C$285,Paraméterek!$D$285)),0)</f>
        <v>0</v>
      </c>
      <c r="BJ266" s="13">
        <f t="shared" ca="1" si="78"/>
        <v>0</v>
      </c>
      <c r="BK266" s="13">
        <f t="shared" ca="1" si="87"/>
        <v>0</v>
      </c>
      <c r="BL266" s="33"/>
      <c r="BM266" s="13">
        <f t="shared" ca="1" si="79"/>
        <v>0</v>
      </c>
      <c r="BN266" s="13">
        <f ca="1">ROUNDUP(($BK266+$BM266)*VLOOKUP($BE266,Paraméterek!$P$38:$Q$38,2)/12*IF($D267="Nem",IF($M$13=0,1,$M$13),1),IF($D$4="Forint",0,2))</f>
        <v>0</v>
      </c>
      <c r="BO266" s="13">
        <f t="shared" ca="1" si="80"/>
        <v>0</v>
      </c>
      <c r="BP266" s="13">
        <f ca="1">IF($D267="Nem",$BO266,$BO266-ROUNDUP(SUM($BI$20:$BI266)*120%,IF($D$4="Forint",0,2)))</f>
        <v>0</v>
      </c>
    </row>
    <row r="267" spans="1:68" x14ac:dyDescent="0.2">
      <c r="A267" s="32">
        <v>248</v>
      </c>
      <c r="B267" s="32">
        <v>21</v>
      </c>
      <c r="C267" s="32">
        <v>8</v>
      </c>
      <c r="D267" s="32" t="str">
        <f t="shared" ca="1" si="66"/>
        <v>Nem</v>
      </c>
      <c r="E267" s="13">
        <f t="shared" ca="1" si="67"/>
        <v>0</v>
      </c>
      <c r="F267" s="13"/>
      <c r="G267" s="13"/>
      <c r="H267" s="13"/>
      <c r="I267" s="13">
        <f t="shared" ca="1" si="68"/>
        <v>0</v>
      </c>
      <c r="J267" s="13">
        <f t="shared" ca="1" si="69"/>
        <v>0</v>
      </c>
      <c r="K267" s="13">
        <f t="shared" ca="1" si="70"/>
        <v>0</v>
      </c>
      <c r="L267" s="13" t="e">
        <f ca="1">ROUNDUP(IF($D$2="Egyszeri",$E267,IF($D$2="Havi",SUM($E$20:$E$31),IF(MOD($C267,$M$1)-1=0,SUM($E$20:$E$31),0))/12*$M$1)*VLOOKUP($B267,Paraméterek!$I$28:$P$31,IF($D$2="Egyszeri",8,HLOOKUP(ROUNDUP($M$11+$M$13,0),Paraméterek!$J$26:$O$27,2))),IF($D$4="Forint",0,2))</f>
        <v>#N/A</v>
      </c>
      <c r="M267" s="13">
        <f t="shared" ca="1" si="71"/>
        <v>0</v>
      </c>
      <c r="N267" s="13">
        <f t="shared" ca="1" si="81"/>
        <v>0</v>
      </c>
      <c r="O267" s="13">
        <f ca="1">IF($D267="Igen",IF($W266&gt;=IF($D$4="Forint",Paraméterek!$J$121,Paraméterek!$K$121),0,IF($D$4="Forint",Paraméterek!$J$121,Paraméterek!$K$121)-$W266),0)</f>
        <v>0</v>
      </c>
      <c r="P267" s="13" t="e">
        <f ca="1">ROUNDUP($O267*VLOOKUP($M$4+$B267-1,Paraméterek!$H$58:$I$105,2,0)/Paraméterek!$I$56,IF($D$4="Forint",0,2))</f>
        <v>#N/A</v>
      </c>
      <c r="Q267" s="13">
        <f t="shared" ca="1" si="72"/>
        <v>0</v>
      </c>
      <c r="R267" s="33"/>
      <c r="S267" s="13" t="e">
        <f t="shared" ca="1" si="73"/>
        <v>#N/A</v>
      </c>
      <c r="T267" s="13" t="e">
        <f ca="1">ROUNDUP(($N267-$P267-$Q267+$S267)*VLOOKUP($B267,Paraméterek!$I$38:$K$39,IF($D$2="Egyszeri",3,2))/12*IF($D268="Nem",IF($M$13=0,1,$M$13),1),IF($D$4="Forint",0,2))</f>
        <v>#N/A</v>
      </c>
      <c r="U267" s="13"/>
      <c r="V267" s="13"/>
      <c r="W267" s="13" t="e">
        <f ca="1">$N267-$P267-$Q267+$S267-$T267-IF(ROUNDUP(IF(ISBLANK($V267),$U267*0,$V267)/IF($D$2="Egyszeri",VLOOKUP($B267+IF($C267=12,1,0),Paraméterek!$V$257:$W$262,2),IF($B267=1,1,VLOOKUP($B267+IF($C267=12,1,0),Paraméterek!$I$258:$T$278,HLOOKUP($M$11+1,Paraméterek!$J$256:$T$257,2)))),IF($D$4="Forint",0,2))&gt;$N267-$P267-$Q267+$S267-$T267-IF($D$4="Forint",Paraméterek!$C$216,Paraméterek!$D$216),0,ROUNDUP(IF(ISBLANK($V267),$U267*0,$V267)/IF($D$2="Egyszeri",VLOOKUP($B267+IF($C267=12,1,0),Paraméterek!$V$257:$W$262,2),IF($B267=1,1,VLOOKUP($B267+IF($C267=12,1,0),Paraméterek!$I$258:$T$278,HLOOKUP($M$11+1,Paraméterek!$J$256:$T$257,2)))),IF($D$4="Forint",0,2)))</f>
        <v>#N/A</v>
      </c>
      <c r="X267" s="13" t="e">
        <f ca="1">ROUNDDOWN($W267*IF($D$2="Egyszeri",VLOOKUP($B267+IF($C267=12,1,0),Paraméterek!$V$257:$W$262,2),VLOOKUP($B267+IF($C267=12,1,0),Paraméterek!$I$258:$T$278,HLOOKUP($M$11+1,Paraméterek!$I$256:$T$257,2))),IF($D$4="Forint",0,2))</f>
        <v>#N/A</v>
      </c>
      <c r="Z267" s="32">
        <v>248</v>
      </c>
      <c r="AA267" s="32">
        <v>21</v>
      </c>
      <c r="AB267" s="32">
        <v>8</v>
      </c>
      <c r="AC267" s="13">
        <f t="shared" ca="1" si="82"/>
        <v>0</v>
      </c>
      <c r="AD267" s="33"/>
      <c r="AE267" s="13">
        <f t="shared" ca="1" si="74"/>
        <v>0</v>
      </c>
      <c r="AF267" s="13">
        <f ca="1">ROUNDUP(($AC267+$AE267)*VLOOKUP($AA267,Paraméterek!$P$38:$Q$38,2)/12*IF($D268="Nem",IF($M$13=0,1,$M$13),1),IF($D$4="Forint",0,2))</f>
        <v>0</v>
      </c>
      <c r="AG267" s="13">
        <f ca="1">IF($D$2="Egyszeri",IF($D$7&gt;=IF($D$4="Forint",Paraméterek!$P$223,Paraméterek!$P$224),$D$7-IF($D$4="Forint",Paraméterek!$P$223,Paraméterek!$P$224),0),MIN(IF($AB267=12,AVERAGEIF($E$20:$E267,"&gt;0",$E$20:$E267)*12,0),SUM($E$20:$E$31)))</f>
        <v>0</v>
      </c>
      <c r="AH267" s="13">
        <f>IF($AA267=10,$AG267*IF($AB267=12,IF($AG267&lt;IF($D$4="Forint",Paraméterek!$L$223,Paraméterek!$L$224),0,VLOOKUP($AA267,Paraméterek!$K$226:$M$228,IF($AG267&lt;IF($D$4="Forint",Paraméterek!$M$223,Paraméterek!$M$224),2,3))),0),0)</f>
        <v>0</v>
      </c>
      <c r="AI267" s="13">
        <f ca="1">IF(AND($AA267=$M$11+1,$AB267=$M$12+1),SUMIF($AA$20:$AA$1027,$AA267,$AG$20:$AG$1027)*IF(SUMIF($AA$20:$AA$1027,$AA267,$AG$20:$AG$1027)&lt;IF($D$4="Forint",Paraméterek!$L$223,Paraméterek!$L$224),0,VLOOKUP($AA267,Paraméterek!$K$230:$M$250,IF(SUMIF($AA$20:$AA$1027,$AA267,$AG$20:$AG$1027)&lt;IF($D$4="Forint",Paraméterek!$M$223,Paraméterek!$M$224),2,3))),0)</f>
        <v>0</v>
      </c>
      <c r="AJ267" s="13">
        <f ca="1">IF(AND($AA267&gt;=5,MOD($AA267,5)=0),IF($AB267=12,VLOOKUP($AA267,Paraméterek!$O$225:$P$240,2),0),IF(OR($AA267=3,$AA267=4),IF($AB267=12,VLOOKUP($AA267,Paraméterek!$O$225:$P$240,2,0),0),0))*$AG267</f>
        <v>0</v>
      </c>
      <c r="AK267" s="13">
        <f t="shared" ca="1" si="75"/>
        <v>0</v>
      </c>
      <c r="AL267" s="13">
        <f t="shared" ca="1" si="83"/>
        <v>0</v>
      </c>
      <c r="AM267" s="13">
        <f t="shared" ca="1" si="84"/>
        <v>0</v>
      </c>
      <c r="AO267" s="32">
        <v>248</v>
      </c>
      <c r="AP267" s="32">
        <v>21</v>
      </c>
      <c r="AQ267" s="32">
        <v>8</v>
      </c>
      <c r="AR267" s="13"/>
      <c r="AS267" s="32"/>
      <c r="AT267" s="13">
        <f t="shared" ca="1" si="85"/>
        <v>0</v>
      </c>
      <c r="AU267" s="33"/>
      <c r="AV267" s="13">
        <f t="shared" ca="1" si="76"/>
        <v>0</v>
      </c>
      <c r="AW267" s="13">
        <f ca="1">ROUNDUP(($AT267+$AV267)*VLOOKUP($AP267,Paraméterek!$P$38:$Q$38,2)/12*IF($D268="Nem",IF($M$13=0,1,$M$13),1),IF($D$4="Forint",0,2))</f>
        <v>0</v>
      </c>
      <c r="AX267" s="13"/>
      <c r="AY267" s="13"/>
      <c r="AZ267" s="13">
        <f>ROUNDUP(IF(SUM($AX267:$AY267)=0,0,IF(IF(ISBLANK($AY267),$AX267,$AY267)*Paraméterek!$J$112&lt;IF($D$4="Forint",Paraméterek!$J$113,Paraméterek!$K$113),IF($D$4="Forint",Paraméterek!$J$113,Paraméterek!$K$113),IF(IF(ISBLANK($AY267),$AX267,$AY267)*Paraméterek!$J$112&gt;IF($D$4="Forint",Paraméterek!$J$114,Paraméterek!$K$114),IF($D$4="Forint",Paraméterek!$J$114,Paraméterek!$K$114),IF(ISBLANK($AY267),$AX267,$AY267)*Paraméterek!$J$112))),IF($D$4="Forint",0,2))</f>
        <v>0</v>
      </c>
      <c r="BA267" s="13">
        <f ca="1">$AT267+$AV267-$AW267-IF(ROUNDDOWN(IF(ISBLANK($AY267),$AX267,$AY267),IF($D$4="Forint",0,2))&gt;$AT267+$AV267-$AW267-IF($D$4="Forint",Paraméterek!$J$114,Paraméterek!$K$114),0,ROUNDDOWN(IF(ISBLANK($AY267),$AX267,$AY267),IF($D$4="Forint",0,2))-$AZ267)</f>
        <v>0</v>
      </c>
      <c r="BB267" s="13">
        <f t="shared" ca="1" si="77"/>
        <v>0</v>
      </c>
      <c r="BD267" s="32">
        <v>248</v>
      </c>
      <c r="BE267" s="32">
        <v>21</v>
      </c>
      <c r="BF267" s="32">
        <v>8</v>
      </c>
      <c r="BG267" s="34">
        <f t="shared" ca="1" si="86"/>
        <v>2040</v>
      </c>
      <c r="BH267" s="32" t="str">
        <f ca="1">IF(MOD(MONTH($D$14)+$BD267-1,12)=Paraméterek!$C$288,"Igen","")</f>
        <v/>
      </c>
      <c r="BI267" s="13">
        <f ca="1">IF($BH267="Igen",MIN(ROUNDDOWN((SUMIF($BG$20:$BG$1027,$BG267-1,$K$20:$K$1027)-SUMIF($BG$20:$BG$1027,$BG267-1,$I$20:$I$1027))*Paraméterek!$C$289,IF($D$4="Forint",0,2)),IF($D$4="Forint",Paraméterek!$C$285,Paraméterek!$D$285)),0)</f>
        <v>0</v>
      </c>
      <c r="BJ267" s="13">
        <f t="shared" ca="1" si="78"/>
        <v>0</v>
      </c>
      <c r="BK267" s="13">
        <f t="shared" ca="1" si="87"/>
        <v>0</v>
      </c>
      <c r="BL267" s="33"/>
      <c r="BM267" s="13">
        <f t="shared" ca="1" si="79"/>
        <v>0</v>
      </c>
      <c r="BN267" s="13">
        <f ca="1">ROUNDUP(($BK267+$BM267)*VLOOKUP($BE267,Paraméterek!$P$38:$Q$38,2)/12*IF($D268="Nem",IF($M$13=0,1,$M$13),1),IF($D$4="Forint",0,2))</f>
        <v>0</v>
      </c>
      <c r="BO267" s="13">
        <f t="shared" ca="1" si="80"/>
        <v>0</v>
      </c>
      <c r="BP267" s="13">
        <f ca="1">IF($D268="Nem",$BO267,$BO267-ROUNDUP(SUM($BI$20:$BI267)*120%,IF($D$4="Forint",0,2)))</f>
        <v>0</v>
      </c>
    </row>
    <row r="268" spans="1:68" x14ac:dyDescent="0.2">
      <c r="A268" s="32">
        <v>249</v>
      </c>
      <c r="B268" s="32">
        <v>21</v>
      </c>
      <c r="C268" s="32">
        <v>9</v>
      </c>
      <c r="D268" s="32" t="str">
        <f t="shared" ca="1" si="66"/>
        <v>Nem</v>
      </c>
      <c r="E268" s="13">
        <f t="shared" ca="1" si="67"/>
        <v>0</v>
      </c>
      <c r="F268" s="13"/>
      <c r="G268" s="13"/>
      <c r="H268" s="13"/>
      <c r="I268" s="13">
        <f t="shared" ca="1" si="68"/>
        <v>0</v>
      </c>
      <c r="J268" s="13">
        <f t="shared" ca="1" si="69"/>
        <v>0</v>
      </c>
      <c r="K268" s="13">
        <f t="shared" ca="1" si="70"/>
        <v>0</v>
      </c>
      <c r="L268" s="13" t="e">
        <f ca="1">ROUNDUP(IF($D$2="Egyszeri",$E268,IF($D$2="Havi",SUM($E$20:$E$31),IF(MOD($C268,$M$1)-1=0,SUM($E$20:$E$31),0))/12*$M$1)*VLOOKUP($B268,Paraméterek!$I$28:$P$31,IF($D$2="Egyszeri",8,HLOOKUP(ROUNDUP($M$11+$M$13,0),Paraméterek!$J$26:$O$27,2))),IF($D$4="Forint",0,2))</f>
        <v>#N/A</v>
      </c>
      <c r="M268" s="13">
        <f t="shared" ca="1" si="71"/>
        <v>0</v>
      </c>
      <c r="N268" s="13">
        <f t="shared" ca="1" si="81"/>
        <v>0</v>
      </c>
      <c r="O268" s="13">
        <f ca="1">IF($D268="Igen",IF($W267&gt;=IF($D$4="Forint",Paraméterek!$J$121,Paraméterek!$K$121),0,IF($D$4="Forint",Paraméterek!$J$121,Paraméterek!$K$121)-$W267),0)</f>
        <v>0</v>
      </c>
      <c r="P268" s="13" t="e">
        <f ca="1">ROUNDUP($O268*VLOOKUP($M$4+$B268-1,Paraméterek!$H$58:$I$105,2,0)/Paraméterek!$I$56,IF($D$4="Forint",0,2))</f>
        <v>#N/A</v>
      </c>
      <c r="Q268" s="13">
        <f t="shared" ca="1" si="72"/>
        <v>0</v>
      </c>
      <c r="R268" s="33"/>
      <c r="S268" s="13" t="e">
        <f t="shared" ca="1" si="73"/>
        <v>#N/A</v>
      </c>
      <c r="T268" s="13" t="e">
        <f ca="1">ROUNDUP(($N268-$P268-$Q268+$S268)*VLOOKUP($B268,Paraméterek!$I$38:$K$39,IF($D$2="Egyszeri",3,2))/12*IF($D269="Nem",IF($M$13=0,1,$M$13),1),IF($D$4="Forint",0,2))</f>
        <v>#N/A</v>
      </c>
      <c r="U268" s="13"/>
      <c r="V268" s="13"/>
      <c r="W268" s="13" t="e">
        <f ca="1">$N268-$P268-$Q268+$S268-$T268-IF(ROUNDUP(IF(ISBLANK($V268),$U268*0,$V268)/IF($D$2="Egyszeri",VLOOKUP($B268+IF($C268=12,1,0),Paraméterek!$V$257:$W$262,2),IF($B268=1,1,VLOOKUP($B268+IF($C268=12,1,0),Paraméterek!$I$258:$T$278,HLOOKUP($M$11+1,Paraméterek!$J$256:$T$257,2)))),IF($D$4="Forint",0,2))&gt;$N268-$P268-$Q268+$S268-$T268-IF($D$4="Forint",Paraméterek!$C$216,Paraméterek!$D$216),0,ROUNDUP(IF(ISBLANK($V268),$U268*0,$V268)/IF($D$2="Egyszeri",VLOOKUP($B268+IF($C268=12,1,0),Paraméterek!$V$257:$W$262,2),IF($B268=1,1,VLOOKUP($B268+IF($C268=12,1,0),Paraméterek!$I$258:$T$278,HLOOKUP($M$11+1,Paraméterek!$J$256:$T$257,2)))),IF($D$4="Forint",0,2)))</f>
        <v>#N/A</v>
      </c>
      <c r="X268" s="13" t="e">
        <f ca="1">ROUNDDOWN($W268*IF($D$2="Egyszeri",VLOOKUP($B268+IF($C268=12,1,0),Paraméterek!$V$257:$W$262,2),VLOOKUP($B268+IF($C268=12,1,0),Paraméterek!$I$258:$T$278,HLOOKUP($M$11+1,Paraméterek!$I$256:$T$257,2))),IF($D$4="Forint",0,2))</f>
        <v>#N/A</v>
      </c>
      <c r="Z268" s="32">
        <v>249</v>
      </c>
      <c r="AA268" s="32">
        <v>21</v>
      </c>
      <c r="AB268" s="32">
        <v>9</v>
      </c>
      <c r="AC268" s="13">
        <f t="shared" ca="1" si="82"/>
        <v>0</v>
      </c>
      <c r="AD268" s="33"/>
      <c r="AE268" s="13">
        <f t="shared" ca="1" si="74"/>
        <v>0</v>
      </c>
      <c r="AF268" s="13">
        <f ca="1">ROUNDUP(($AC268+$AE268)*VLOOKUP($AA268,Paraméterek!$P$38:$Q$38,2)/12*IF($D269="Nem",IF($M$13=0,1,$M$13),1),IF($D$4="Forint",0,2))</f>
        <v>0</v>
      </c>
      <c r="AG268" s="13">
        <f ca="1">IF($D$2="Egyszeri",IF($D$7&gt;=IF($D$4="Forint",Paraméterek!$P$223,Paraméterek!$P$224),$D$7-IF($D$4="Forint",Paraméterek!$P$223,Paraméterek!$P$224),0),MIN(IF($AB268=12,AVERAGEIF($E$20:$E268,"&gt;0",$E$20:$E268)*12,0),SUM($E$20:$E$31)))</f>
        <v>0</v>
      </c>
      <c r="AH268" s="13">
        <f>IF($AA268=10,$AG268*IF($AB268=12,IF($AG268&lt;IF($D$4="Forint",Paraméterek!$L$223,Paraméterek!$L$224),0,VLOOKUP($AA268,Paraméterek!$K$226:$M$228,IF($AG268&lt;IF($D$4="Forint",Paraméterek!$M$223,Paraméterek!$M$224),2,3))),0),0)</f>
        <v>0</v>
      </c>
      <c r="AI268" s="13">
        <f ca="1">IF(AND($AA268=$M$11+1,$AB268=$M$12+1),SUMIF($AA$20:$AA$1027,$AA268,$AG$20:$AG$1027)*IF(SUMIF($AA$20:$AA$1027,$AA268,$AG$20:$AG$1027)&lt;IF($D$4="Forint",Paraméterek!$L$223,Paraméterek!$L$224),0,VLOOKUP($AA268,Paraméterek!$K$230:$M$250,IF(SUMIF($AA$20:$AA$1027,$AA268,$AG$20:$AG$1027)&lt;IF($D$4="Forint",Paraméterek!$M$223,Paraméterek!$M$224),2,3))),0)</f>
        <v>0</v>
      </c>
      <c r="AJ268" s="13">
        <f ca="1">IF(AND($AA268&gt;=5,MOD($AA268,5)=0),IF($AB268=12,VLOOKUP($AA268,Paraméterek!$O$225:$P$240,2),0),IF(OR($AA268=3,$AA268=4),IF($AB268=12,VLOOKUP($AA268,Paraméterek!$O$225:$P$240,2,0),0),0))*$AG268</f>
        <v>0</v>
      </c>
      <c r="AK268" s="13">
        <f t="shared" ca="1" si="75"/>
        <v>0</v>
      </c>
      <c r="AL268" s="13">
        <f t="shared" ca="1" si="83"/>
        <v>0</v>
      </c>
      <c r="AM268" s="13">
        <f t="shared" ca="1" si="84"/>
        <v>0</v>
      </c>
      <c r="AO268" s="32">
        <v>249</v>
      </c>
      <c r="AP268" s="32">
        <v>21</v>
      </c>
      <c r="AQ268" s="32">
        <v>9</v>
      </c>
      <c r="AR268" s="13"/>
      <c r="AS268" s="32"/>
      <c r="AT268" s="13">
        <f t="shared" ca="1" si="85"/>
        <v>0</v>
      </c>
      <c r="AU268" s="33"/>
      <c r="AV268" s="13">
        <f t="shared" ca="1" si="76"/>
        <v>0</v>
      </c>
      <c r="AW268" s="13">
        <f ca="1">ROUNDUP(($AT268+$AV268)*VLOOKUP($AP268,Paraméterek!$P$38:$Q$38,2)/12*IF($D269="Nem",IF($M$13=0,1,$M$13),1),IF($D$4="Forint",0,2))</f>
        <v>0</v>
      </c>
      <c r="AX268" s="13"/>
      <c r="AY268" s="13"/>
      <c r="AZ268" s="13">
        <f>ROUNDUP(IF(SUM($AX268:$AY268)=0,0,IF(IF(ISBLANK($AY268),$AX268,$AY268)*Paraméterek!$J$112&lt;IF($D$4="Forint",Paraméterek!$J$113,Paraméterek!$K$113),IF($D$4="Forint",Paraméterek!$J$113,Paraméterek!$K$113),IF(IF(ISBLANK($AY268),$AX268,$AY268)*Paraméterek!$J$112&gt;IF($D$4="Forint",Paraméterek!$J$114,Paraméterek!$K$114),IF($D$4="Forint",Paraméterek!$J$114,Paraméterek!$K$114),IF(ISBLANK($AY268),$AX268,$AY268)*Paraméterek!$J$112))),IF($D$4="Forint",0,2))</f>
        <v>0</v>
      </c>
      <c r="BA268" s="13">
        <f ca="1">$AT268+$AV268-$AW268-IF(ROUNDDOWN(IF(ISBLANK($AY268),$AX268,$AY268),IF($D$4="Forint",0,2))&gt;$AT268+$AV268-$AW268-IF($D$4="Forint",Paraméterek!$J$114,Paraméterek!$K$114),0,ROUNDDOWN(IF(ISBLANK($AY268),$AX268,$AY268),IF($D$4="Forint",0,2))-$AZ268)</f>
        <v>0</v>
      </c>
      <c r="BB268" s="13">
        <f t="shared" ca="1" si="77"/>
        <v>0</v>
      </c>
      <c r="BD268" s="32">
        <v>249</v>
      </c>
      <c r="BE268" s="32">
        <v>21</v>
      </c>
      <c r="BF268" s="32">
        <v>9</v>
      </c>
      <c r="BG268" s="34">
        <f t="shared" ca="1" si="86"/>
        <v>2040</v>
      </c>
      <c r="BH268" s="32" t="str">
        <f ca="1">IF(MOD(MONTH($D$14)+$BD268-1,12)=Paraméterek!$C$288,"Igen","")</f>
        <v/>
      </c>
      <c r="BI268" s="13">
        <f ca="1">IF($BH268="Igen",MIN(ROUNDDOWN((SUMIF($BG$20:$BG$1027,$BG268-1,$K$20:$K$1027)-SUMIF($BG$20:$BG$1027,$BG268-1,$I$20:$I$1027))*Paraméterek!$C$289,IF($D$4="Forint",0,2)),IF($D$4="Forint",Paraméterek!$C$285,Paraméterek!$D$285)),0)</f>
        <v>0</v>
      </c>
      <c r="BJ268" s="13">
        <f t="shared" ca="1" si="78"/>
        <v>0</v>
      </c>
      <c r="BK268" s="13">
        <f t="shared" ca="1" si="87"/>
        <v>0</v>
      </c>
      <c r="BL268" s="33"/>
      <c r="BM268" s="13">
        <f t="shared" ca="1" si="79"/>
        <v>0</v>
      </c>
      <c r="BN268" s="13">
        <f ca="1">ROUNDUP(($BK268+$BM268)*VLOOKUP($BE268,Paraméterek!$P$38:$Q$38,2)/12*IF($D269="Nem",IF($M$13=0,1,$M$13),1),IF($D$4="Forint",0,2))</f>
        <v>0</v>
      </c>
      <c r="BO268" s="13">
        <f t="shared" ca="1" si="80"/>
        <v>0</v>
      </c>
      <c r="BP268" s="13">
        <f ca="1">IF($D269="Nem",$BO268,$BO268-ROUNDUP(SUM($BI$20:$BI268)*120%,IF($D$4="Forint",0,2)))</f>
        <v>0</v>
      </c>
    </row>
    <row r="269" spans="1:68" x14ac:dyDescent="0.2">
      <c r="A269" s="32">
        <v>250</v>
      </c>
      <c r="B269" s="32">
        <v>21</v>
      </c>
      <c r="C269" s="32">
        <v>10</v>
      </c>
      <c r="D269" s="32" t="str">
        <f t="shared" ca="1" si="66"/>
        <v>Nem</v>
      </c>
      <c r="E269" s="13">
        <f t="shared" ca="1" si="67"/>
        <v>0</v>
      </c>
      <c r="F269" s="13"/>
      <c r="G269" s="13"/>
      <c r="H269" s="13"/>
      <c r="I269" s="13">
        <f t="shared" ca="1" si="68"/>
        <v>0</v>
      </c>
      <c r="J269" s="13">
        <f t="shared" ca="1" si="69"/>
        <v>0</v>
      </c>
      <c r="K269" s="13">
        <f t="shared" ca="1" si="70"/>
        <v>0</v>
      </c>
      <c r="L269" s="13" t="e">
        <f ca="1">ROUNDUP(IF($D$2="Egyszeri",$E269,IF($D$2="Havi",SUM($E$20:$E$31),IF(MOD($C269,$M$1)-1=0,SUM($E$20:$E$31),0))/12*$M$1)*VLOOKUP($B269,Paraméterek!$I$28:$P$31,IF($D$2="Egyszeri",8,HLOOKUP(ROUNDUP($M$11+$M$13,0),Paraméterek!$J$26:$O$27,2))),IF($D$4="Forint",0,2))</f>
        <v>#N/A</v>
      </c>
      <c r="M269" s="13">
        <f t="shared" ca="1" si="71"/>
        <v>0</v>
      </c>
      <c r="N269" s="13">
        <f t="shared" ca="1" si="81"/>
        <v>0</v>
      </c>
      <c r="O269" s="13">
        <f ca="1">IF($D269="Igen",IF($W268&gt;=IF($D$4="Forint",Paraméterek!$J$121,Paraméterek!$K$121),0,IF($D$4="Forint",Paraméterek!$J$121,Paraméterek!$K$121)-$W268),0)</f>
        <v>0</v>
      </c>
      <c r="P269" s="13" t="e">
        <f ca="1">ROUNDUP($O269*VLOOKUP($M$4+$B269-1,Paraméterek!$H$58:$I$105,2,0)/Paraméterek!$I$56,IF($D$4="Forint",0,2))</f>
        <v>#N/A</v>
      </c>
      <c r="Q269" s="13">
        <f t="shared" ca="1" si="72"/>
        <v>0</v>
      </c>
      <c r="R269" s="33"/>
      <c r="S269" s="13" t="e">
        <f t="shared" ca="1" si="73"/>
        <v>#N/A</v>
      </c>
      <c r="T269" s="13" t="e">
        <f ca="1">ROUNDUP(($N269-$P269-$Q269+$S269)*VLOOKUP($B269,Paraméterek!$I$38:$K$39,IF($D$2="Egyszeri",3,2))/12*IF($D270="Nem",IF($M$13=0,1,$M$13),1),IF($D$4="Forint",0,2))</f>
        <v>#N/A</v>
      </c>
      <c r="U269" s="13"/>
      <c r="V269" s="13"/>
      <c r="W269" s="13" t="e">
        <f ca="1">$N269-$P269-$Q269+$S269-$T269-IF(ROUNDUP(IF(ISBLANK($V269),$U269*0,$V269)/IF($D$2="Egyszeri",VLOOKUP($B269+IF($C269=12,1,0),Paraméterek!$V$257:$W$262,2),IF($B269=1,1,VLOOKUP($B269+IF($C269=12,1,0),Paraméterek!$I$258:$T$278,HLOOKUP($M$11+1,Paraméterek!$J$256:$T$257,2)))),IF($D$4="Forint",0,2))&gt;$N269-$P269-$Q269+$S269-$T269-IF($D$4="Forint",Paraméterek!$C$216,Paraméterek!$D$216),0,ROUNDUP(IF(ISBLANK($V269),$U269*0,$V269)/IF($D$2="Egyszeri",VLOOKUP($B269+IF($C269=12,1,0),Paraméterek!$V$257:$W$262,2),IF($B269=1,1,VLOOKUP($B269+IF($C269=12,1,0),Paraméterek!$I$258:$T$278,HLOOKUP($M$11+1,Paraméterek!$J$256:$T$257,2)))),IF($D$4="Forint",0,2)))</f>
        <v>#N/A</v>
      </c>
      <c r="X269" s="13" t="e">
        <f ca="1">ROUNDDOWN($W269*IF($D$2="Egyszeri",VLOOKUP($B269+IF($C269=12,1,0),Paraméterek!$V$257:$W$262,2),VLOOKUP($B269+IF($C269=12,1,0),Paraméterek!$I$258:$T$278,HLOOKUP($M$11+1,Paraméterek!$I$256:$T$257,2))),IF($D$4="Forint",0,2))</f>
        <v>#N/A</v>
      </c>
      <c r="Z269" s="32">
        <v>250</v>
      </c>
      <c r="AA269" s="32">
        <v>21</v>
      </c>
      <c r="AB269" s="32">
        <v>10</v>
      </c>
      <c r="AC269" s="13">
        <f t="shared" ca="1" si="82"/>
        <v>0</v>
      </c>
      <c r="AD269" s="33"/>
      <c r="AE269" s="13">
        <f t="shared" ca="1" si="74"/>
        <v>0</v>
      </c>
      <c r="AF269" s="13">
        <f ca="1">ROUNDUP(($AC269+$AE269)*VLOOKUP($AA269,Paraméterek!$P$38:$Q$38,2)/12*IF($D270="Nem",IF($M$13=0,1,$M$13),1),IF($D$4="Forint",0,2))</f>
        <v>0</v>
      </c>
      <c r="AG269" s="13">
        <f ca="1">IF($D$2="Egyszeri",IF($D$7&gt;=IF($D$4="Forint",Paraméterek!$P$223,Paraméterek!$P$224),$D$7-IF($D$4="Forint",Paraméterek!$P$223,Paraméterek!$P$224),0),MIN(IF($AB269=12,AVERAGEIF($E$20:$E269,"&gt;0",$E$20:$E269)*12,0),SUM($E$20:$E$31)))</f>
        <v>0</v>
      </c>
      <c r="AH269" s="13">
        <f>IF($AA269=10,$AG269*IF($AB269=12,IF($AG269&lt;IF($D$4="Forint",Paraméterek!$L$223,Paraméterek!$L$224),0,VLOOKUP($AA269,Paraméterek!$K$226:$M$228,IF($AG269&lt;IF($D$4="Forint",Paraméterek!$M$223,Paraméterek!$M$224),2,3))),0),0)</f>
        <v>0</v>
      </c>
      <c r="AI269" s="13">
        <f ca="1">IF(AND($AA269=$M$11+1,$AB269=$M$12+1),SUMIF($AA$20:$AA$1027,$AA269,$AG$20:$AG$1027)*IF(SUMIF($AA$20:$AA$1027,$AA269,$AG$20:$AG$1027)&lt;IF($D$4="Forint",Paraméterek!$L$223,Paraméterek!$L$224),0,VLOOKUP($AA269,Paraméterek!$K$230:$M$250,IF(SUMIF($AA$20:$AA$1027,$AA269,$AG$20:$AG$1027)&lt;IF($D$4="Forint",Paraméterek!$M$223,Paraméterek!$M$224),2,3))),0)</f>
        <v>0</v>
      </c>
      <c r="AJ269" s="13">
        <f ca="1">IF(AND($AA269&gt;=5,MOD($AA269,5)=0),IF($AB269=12,VLOOKUP($AA269,Paraméterek!$O$225:$P$240,2),0),IF(OR($AA269=3,$AA269=4),IF($AB269=12,VLOOKUP($AA269,Paraméterek!$O$225:$P$240,2,0),0),0))*$AG269</f>
        <v>0</v>
      </c>
      <c r="AK269" s="13">
        <f t="shared" ca="1" si="75"/>
        <v>0</v>
      </c>
      <c r="AL269" s="13">
        <f t="shared" ca="1" si="83"/>
        <v>0</v>
      </c>
      <c r="AM269" s="13">
        <f t="shared" ca="1" si="84"/>
        <v>0</v>
      </c>
      <c r="AO269" s="32">
        <v>250</v>
      </c>
      <c r="AP269" s="32">
        <v>21</v>
      </c>
      <c r="AQ269" s="32">
        <v>10</v>
      </c>
      <c r="AR269" s="13"/>
      <c r="AS269" s="32"/>
      <c r="AT269" s="13">
        <f t="shared" ca="1" si="85"/>
        <v>0</v>
      </c>
      <c r="AU269" s="33"/>
      <c r="AV269" s="13">
        <f t="shared" ca="1" si="76"/>
        <v>0</v>
      </c>
      <c r="AW269" s="13">
        <f ca="1">ROUNDUP(($AT269+$AV269)*VLOOKUP($AP269,Paraméterek!$P$38:$Q$38,2)/12*IF($D270="Nem",IF($M$13=0,1,$M$13),1),IF($D$4="Forint",0,2))</f>
        <v>0</v>
      </c>
      <c r="AX269" s="13"/>
      <c r="AY269" s="13"/>
      <c r="AZ269" s="13">
        <f>ROUNDUP(IF(SUM($AX269:$AY269)=0,0,IF(IF(ISBLANK($AY269),$AX269,$AY269)*Paraméterek!$J$112&lt;IF($D$4="Forint",Paraméterek!$J$113,Paraméterek!$K$113),IF($D$4="Forint",Paraméterek!$J$113,Paraméterek!$K$113),IF(IF(ISBLANK($AY269),$AX269,$AY269)*Paraméterek!$J$112&gt;IF($D$4="Forint",Paraméterek!$J$114,Paraméterek!$K$114),IF($D$4="Forint",Paraméterek!$J$114,Paraméterek!$K$114),IF(ISBLANK($AY269),$AX269,$AY269)*Paraméterek!$J$112))),IF($D$4="Forint",0,2))</f>
        <v>0</v>
      </c>
      <c r="BA269" s="13">
        <f ca="1">$AT269+$AV269-$AW269-IF(ROUNDDOWN(IF(ISBLANK($AY269),$AX269,$AY269),IF($D$4="Forint",0,2))&gt;$AT269+$AV269-$AW269-IF($D$4="Forint",Paraméterek!$J$114,Paraméterek!$K$114),0,ROUNDDOWN(IF(ISBLANK($AY269),$AX269,$AY269),IF($D$4="Forint",0,2))-$AZ269)</f>
        <v>0</v>
      </c>
      <c r="BB269" s="13">
        <f t="shared" ca="1" si="77"/>
        <v>0</v>
      </c>
      <c r="BD269" s="32">
        <v>250</v>
      </c>
      <c r="BE269" s="32">
        <v>21</v>
      </c>
      <c r="BF269" s="32">
        <v>10</v>
      </c>
      <c r="BG269" s="34">
        <f t="shared" ca="1" si="86"/>
        <v>2040</v>
      </c>
      <c r="BH269" s="32" t="str">
        <f ca="1">IF(MOD(MONTH($D$14)+$BD269-1,12)=Paraméterek!$C$288,"Igen","")</f>
        <v/>
      </c>
      <c r="BI269" s="13">
        <f ca="1">IF($BH269="Igen",MIN(ROUNDDOWN((SUMIF($BG$20:$BG$1027,$BG269-1,$K$20:$K$1027)-SUMIF($BG$20:$BG$1027,$BG269-1,$I$20:$I$1027))*Paraméterek!$C$289,IF($D$4="Forint",0,2)),IF($D$4="Forint",Paraméterek!$C$285,Paraméterek!$D$285)),0)</f>
        <v>0</v>
      </c>
      <c r="BJ269" s="13">
        <f t="shared" ca="1" si="78"/>
        <v>0</v>
      </c>
      <c r="BK269" s="13">
        <f t="shared" ca="1" si="87"/>
        <v>0</v>
      </c>
      <c r="BL269" s="33"/>
      <c r="BM269" s="13">
        <f t="shared" ca="1" si="79"/>
        <v>0</v>
      </c>
      <c r="BN269" s="13">
        <f ca="1">ROUNDUP(($BK269+$BM269)*VLOOKUP($BE269,Paraméterek!$P$38:$Q$38,2)/12*IF($D270="Nem",IF($M$13=0,1,$M$13),1),IF($D$4="Forint",0,2))</f>
        <v>0</v>
      </c>
      <c r="BO269" s="13">
        <f t="shared" ca="1" si="80"/>
        <v>0</v>
      </c>
      <c r="BP269" s="13">
        <f ca="1">IF($D270="Nem",$BO269,$BO269-ROUNDUP(SUM($BI$20:$BI269)*120%,IF($D$4="Forint",0,2)))</f>
        <v>0</v>
      </c>
    </row>
    <row r="270" spans="1:68" x14ac:dyDescent="0.2">
      <c r="A270" s="32">
        <v>251</v>
      </c>
      <c r="B270" s="32">
        <v>21</v>
      </c>
      <c r="C270" s="32">
        <v>11</v>
      </c>
      <c r="D270" s="32" t="str">
        <f t="shared" ca="1" si="66"/>
        <v>Nem</v>
      </c>
      <c r="E270" s="13">
        <f t="shared" ca="1" si="67"/>
        <v>0</v>
      </c>
      <c r="F270" s="13"/>
      <c r="G270" s="13"/>
      <c r="H270" s="13"/>
      <c r="I270" s="13">
        <f t="shared" ca="1" si="68"/>
        <v>0</v>
      </c>
      <c r="J270" s="13">
        <f t="shared" ca="1" si="69"/>
        <v>0</v>
      </c>
      <c r="K270" s="13">
        <f t="shared" ca="1" si="70"/>
        <v>0</v>
      </c>
      <c r="L270" s="13" t="e">
        <f ca="1">ROUNDUP(IF($D$2="Egyszeri",$E270,IF($D$2="Havi",SUM($E$20:$E$31),IF(MOD($C270,$M$1)-1=0,SUM($E$20:$E$31),0))/12*$M$1)*VLOOKUP($B270,Paraméterek!$I$28:$P$31,IF($D$2="Egyszeri",8,HLOOKUP(ROUNDUP($M$11+$M$13,0),Paraméterek!$J$26:$O$27,2))),IF($D$4="Forint",0,2))</f>
        <v>#N/A</v>
      </c>
      <c r="M270" s="13">
        <f t="shared" ca="1" si="71"/>
        <v>0</v>
      </c>
      <c r="N270" s="13">
        <f t="shared" ca="1" si="81"/>
        <v>0</v>
      </c>
      <c r="O270" s="13">
        <f ca="1">IF($D270="Igen",IF($W269&gt;=IF($D$4="Forint",Paraméterek!$J$121,Paraméterek!$K$121),0,IF($D$4="Forint",Paraméterek!$J$121,Paraméterek!$K$121)-$W269),0)</f>
        <v>0</v>
      </c>
      <c r="P270" s="13" t="e">
        <f ca="1">ROUNDUP($O270*VLOOKUP($M$4+$B270-1,Paraméterek!$H$58:$I$105,2,0)/Paraméterek!$I$56,IF($D$4="Forint",0,2))</f>
        <v>#N/A</v>
      </c>
      <c r="Q270" s="13">
        <f t="shared" ca="1" si="72"/>
        <v>0</v>
      </c>
      <c r="R270" s="33"/>
      <c r="S270" s="13" t="e">
        <f t="shared" ca="1" si="73"/>
        <v>#N/A</v>
      </c>
      <c r="T270" s="13" t="e">
        <f ca="1">ROUNDUP(($N270-$P270-$Q270+$S270)*VLOOKUP($B270,Paraméterek!$I$38:$K$39,IF($D$2="Egyszeri",3,2))/12*IF($D271="Nem",IF($M$13=0,1,$M$13),1),IF($D$4="Forint",0,2))</f>
        <v>#N/A</v>
      </c>
      <c r="U270" s="13"/>
      <c r="V270" s="13"/>
      <c r="W270" s="13" t="e">
        <f ca="1">$N270-$P270-$Q270+$S270-$T270-IF(ROUNDUP(IF(ISBLANK($V270),$U270*0,$V270)/IF($D$2="Egyszeri",VLOOKUP($B270+IF($C270=12,1,0),Paraméterek!$V$257:$W$262,2),IF($B270=1,1,VLOOKUP($B270+IF($C270=12,1,0),Paraméterek!$I$258:$T$278,HLOOKUP($M$11+1,Paraméterek!$J$256:$T$257,2)))),IF($D$4="Forint",0,2))&gt;$N270-$P270-$Q270+$S270-$T270-IF($D$4="Forint",Paraméterek!$C$216,Paraméterek!$D$216),0,ROUNDUP(IF(ISBLANK($V270),$U270*0,$V270)/IF($D$2="Egyszeri",VLOOKUP($B270+IF($C270=12,1,0),Paraméterek!$V$257:$W$262,2),IF($B270=1,1,VLOOKUP($B270+IF($C270=12,1,0),Paraméterek!$I$258:$T$278,HLOOKUP($M$11+1,Paraméterek!$J$256:$T$257,2)))),IF($D$4="Forint",0,2)))</f>
        <v>#N/A</v>
      </c>
      <c r="X270" s="13" t="e">
        <f ca="1">ROUNDDOWN($W270*IF($D$2="Egyszeri",VLOOKUP($B270+IF($C270=12,1,0),Paraméterek!$V$257:$W$262,2),VLOOKUP($B270+IF($C270=12,1,0),Paraméterek!$I$258:$T$278,HLOOKUP($M$11+1,Paraméterek!$I$256:$T$257,2))),IF($D$4="Forint",0,2))</f>
        <v>#N/A</v>
      </c>
      <c r="Z270" s="32">
        <v>251</v>
      </c>
      <c r="AA270" s="32">
        <v>21</v>
      </c>
      <c r="AB270" s="32">
        <v>11</v>
      </c>
      <c r="AC270" s="13">
        <f t="shared" ca="1" si="82"/>
        <v>0</v>
      </c>
      <c r="AD270" s="33"/>
      <c r="AE270" s="13">
        <f t="shared" ca="1" si="74"/>
        <v>0</v>
      </c>
      <c r="AF270" s="13">
        <f ca="1">ROUNDUP(($AC270+$AE270)*VLOOKUP($AA270,Paraméterek!$P$38:$Q$38,2)/12*IF($D271="Nem",IF($M$13=0,1,$M$13),1),IF($D$4="Forint",0,2))</f>
        <v>0</v>
      </c>
      <c r="AG270" s="13">
        <f ca="1">IF($D$2="Egyszeri",IF($D$7&gt;=IF($D$4="Forint",Paraméterek!$P$223,Paraméterek!$P$224),$D$7-IF($D$4="Forint",Paraméterek!$P$223,Paraméterek!$P$224),0),MIN(IF($AB270=12,AVERAGEIF($E$20:$E270,"&gt;0",$E$20:$E270)*12,0),SUM($E$20:$E$31)))</f>
        <v>0</v>
      </c>
      <c r="AH270" s="13">
        <f>IF($AA270=10,$AG270*IF($AB270=12,IF($AG270&lt;IF($D$4="Forint",Paraméterek!$L$223,Paraméterek!$L$224),0,VLOOKUP($AA270,Paraméterek!$K$226:$M$228,IF($AG270&lt;IF($D$4="Forint",Paraméterek!$M$223,Paraméterek!$M$224),2,3))),0),0)</f>
        <v>0</v>
      </c>
      <c r="AI270" s="13">
        <f ca="1">IF(AND($AA270=$M$11+1,$AB270=$M$12+1),SUMIF($AA$20:$AA$1027,$AA270,$AG$20:$AG$1027)*IF(SUMIF($AA$20:$AA$1027,$AA270,$AG$20:$AG$1027)&lt;IF($D$4="Forint",Paraméterek!$L$223,Paraméterek!$L$224),0,VLOOKUP($AA270,Paraméterek!$K$230:$M$250,IF(SUMIF($AA$20:$AA$1027,$AA270,$AG$20:$AG$1027)&lt;IF($D$4="Forint",Paraméterek!$M$223,Paraméterek!$M$224),2,3))),0)</f>
        <v>0</v>
      </c>
      <c r="AJ270" s="13">
        <f ca="1">IF(AND($AA270&gt;=5,MOD($AA270,5)=0),IF($AB270=12,VLOOKUP($AA270,Paraméterek!$O$225:$P$240,2),0),IF(OR($AA270=3,$AA270=4),IF($AB270=12,VLOOKUP($AA270,Paraméterek!$O$225:$P$240,2,0),0),0))*$AG270</f>
        <v>0</v>
      </c>
      <c r="AK270" s="13">
        <f t="shared" ca="1" si="75"/>
        <v>0</v>
      </c>
      <c r="AL270" s="13">
        <f t="shared" ca="1" si="83"/>
        <v>0</v>
      </c>
      <c r="AM270" s="13">
        <f t="shared" ca="1" si="84"/>
        <v>0</v>
      </c>
      <c r="AO270" s="32">
        <v>251</v>
      </c>
      <c r="AP270" s="32">
        <v>21</v>
      </c>
      <c r="AQ270" s="32">
        <v>11</v>
      </c>
      <c r="AR270" s="13"/>
      <c r="AS270" s="32"/>
      <c r="AT270" s="13">
        <f t="shared" ca="1" si="85"/>
        <v>0</v>
      </c>
      <c r="AU270" s="33"/>
      <c r="AV270" s="13">
        <f t="shared" ca="1" si="76"/>
        <v>0</v>
      </c>
      <c r="AW270" s="13">
        <f ca="1">ROUNDUP(($AT270+$AV270)*VLOOKUP($AP270,Paraméterek!$P$38:$Q$38,2)/12*IF($D271="Nem",IF($M$13=0,1,$M$13),1),IF($D$4="Forint",0,2))</f>
        <v>0</v>
      </c>
      <c r="AX270" s="13"/>
      <c r="AY270" s="13"/>
      <c r="AZ270" s="13">
        <f>ROUNDUP(IF(SUM($AX270:$AY270)=0,0,IF(IF(ISBLANK($AY270),$AX270,$AY270)*Paraméterek!$J$112&lt;IF($D$4="Forint",Paraméterek!$J$113,Paraméterek!$K$113),IF($D$4="Forint",Paraméterek!$J$113,Paraméterek!$K$113),IF(IF(ISBLANK($AY270),$AX270,$AY270)*Paraméterek!$J$112&gt;IF($D$4="Forint",Paraméterek!$J$114,Paraméterek!$K$114),IF($D$4="Forint",Paraméterek!$J$114,Paraméterek!$K$114),IF(ISBLANK($AY270),$AX270,$AY270)*Paraméterek!$J$112))),IF($D$4="Forint",0,2))</f>
        <v>0</v>
      </c>
      <c r="BA270" s="13">
        <f ca="1">$AT270+$AV270-$AW270-IF(ROUNDDOWN(IF(ISBLANK($AY270),$AX270,$AY270),IF($D$4="Forint",0,2))&gt;$AT270+$AV270-$AW270-IF($D$4="Forint",Paraméterek!$J$114,Paraméterek!$K$114),0,ROUNDDOWN(IF(ISBLANK($AY270),$AX270,$AY270),IF($D$4="Forint",0,2))-$AZ270)</f>
        <v>0</v>
      </c>
      <c r="BB270" s="13">
        <f t="shared" ca="1" si="77"/>
        <v>0</v>
      </c>
      <c r="BD270" s="32">
        <v>251</v>
      </c>
      <c r="BE270" s="32">
        <v>21</v>
      </c>
      <c r="BF270" s="32">
        <v>11</v>
      </c>
      <c r="BG270" s="34">
        <f t="shared" ca="1" si="86"/>
        <v>2040</v>
      </c>
      <c r="BH270" s="32" t="str">
        <f ca="1">IF(MOD(MONTH($D$14)+$BD270-1,12)=Paraméterek!$C$288,"Igen","")</f>
        <v/>
      </c>
      <c r="BI270" s="13">
        <f ca="1">IF($BH270="Igen",MIN(ROUNDDOWN((SUMIF($BG$20:$BG$1027,$BG270-1,$K$20:$K$1027)-SUMIF($BG$20:$BG$1027,$BG270-1,$I$20:$I$1027))*Paraméterek!$C$289,IF($D$4="Forint",0,2)),IF($D$4="Forint",Paraméterek!$C$285,Paraméterek!$D$285)),0)</f>
        <v>0</v>
      </c>
      <c r="BJ270" s="13">
        <f t="shared" ca="1" si="78"/>
        <v>0</v>
      </c>
      <c r="BK270" s="13">
        <f t="shared" ca="1" si="87"/>
        <v>0</v>
      </c>
      <c r="BL270" s="33"/>
      <c r="BM270" s="13">
        <f t="shared" ca="1" si="79"/>
        <v>0</v>
      </c>
      <c r="BN270" s="13">
        <f ca="1">ROUNDUP(($BK270+$BM270)*VLOOKUP($BE270,Paraméterek!$P$38:$Q$38,2)/12*IF($D271="Nem",IF($M$13=0,1,$M$13),1),IF($D$4="Forint",0,2))</f>
        <v>0</v>
      </c>
      <c r="BO270" s="13">
        <f t="shared" ca="1" si="80"/>
        <v>0</v>
      </c>
      <c r="BP270" s="13">
        <f ca="1">IF($D271="Nem",$BO270,$BO270-ROUNDUP(SUM($BI$20:$BI270)*120%,IF($D$4="Forint",0,2)))</f>
        <v>0</v>
      </c>
    </row>
    <row r="271" spans="1:68" x14ac:dyDescent="0.2">
      <c r="A271" s="32">
        <v>252</v>
      </c>
      <c r="B271" s="32">
        <v>21</v>
      </c>
      <c r="C271" s="32">
        <v>12</v>
      </c>
      <c r="D271" s="32" t="str">
        <f t="shared" ca="1" si="66"/>
        <v>Nem</v>
      </c>
      <c r="E271" s="13">
        <f t="shared" ca="1" si="67"/>
        <v>0</v>
      </c>
      <c r="F271" s="13"/>
      <c r="G271" s="13"/>
      <c r="H271" s="13"/>
      <c r="I271" s="13">
        <f t="shared" ca="1" si="68"/>
        <v>0</v>
      </c>
      <c r="J271" s="13">
        <f t="shared" ca="1" si="69"/>
        <v>0</v>
      </c>
      <c r="K271" s="13">
        <f t="shared" ca="1" si="70"/>
        <v>0</v>
      </c>
      <c r="L271" s="13" t="e">
        <f ca="1">ROUNDUP(IF($D$2="Egyszeri",$E271,IF($D$2="Havi",SUM($E$20:$E$31),IF(MOD($C271,$M$1)-1=0,SUM($E$20:$E$31),0))/12*$M$1)*VLOOKUP($B271,Paraméterek!$I$28:$P$31,IF($D$2="Egyszeri",8,HLOOKUP(ROUNDUP($M$11+$M$13,0),Paraméterek!$J$26:$O$27,2))),IF($D$4="Forint",0,2))</f>
        <v>#N/A</v>
      </c>
      <c r="M271" s="13">
        <f t="shared" ca="1" si="71"/>
        <v>0</v>
      </c>
      <c r="N271" s="13">
        <f t="shared" ca="1" si="81"/>
        <v>0</v>
      </c>
      <c r="O271" s="13">
        <f ca="1">IF($D271="Igen",IF($W270&gt;=IF($D$4="Forint",Paraméterek!$J$121,Paraméterek!$K$121),0,IF($D$4="Forint",Paraméterek!$J$121,Paraméterek!$K$121)-$W270),0)</f>
        <v>0</v>
      </c>
      <c r="P271" s="13" t="e">
        <f ca="1">ROUNDUP($O271*VLOOKUP($M$4+$B271-1,Paraméterek!$H$58:$I$105,2,0)/Paraméterek!$I$56,IF($D$4="Forint",0,2))</f>
        <v>#N/A</v>
      </c>
      <c r="Q271" s="13">
        <f t="shared" ca="1" si="72"/>
        <v>0</v>
      </c>
      <c r="R271" s="33"/>
      <c r="S271" s="13" t="e">
        <f t="shared" ca="1" si="73"/>
        <v>#N/A</v>
      </c>
      <c r="T271" s="13" t="e">
        <f ca="1">ROUNDUP(($N271-$P271-$Q271+$S271)*VLOOKUP($B271,Paraméterek!$I$38:$K$39,IF($D$2="Egyszeri",3,2))/12*IF($D272="Nem",IF($M$13=0,1,$M$13),1),IF($D$4="Forint",0,2))</f>
        <v>#N/A</v>
      </c>
      <c r="U271" s="13">
        <f>Tranzakciók!$F$52</f>
        <v>0</v>
      </c>
      <c r="V271" s="13"/>
      <c r="W271" s="13" t="e">
        <f ca="1">$N271-$P271-$Q271+$S271-$T271-IF(ROUNDUP(IF(ISBLANK($V271),$U271*0,$V271)/IF($D$2="Egyszeri",VLOOKUP($B271+IF($C271=12,1,0),Paraméterek!$V$257:$W$262,2),IF($B271=1,1,VLOOKUP($B271+IF($C271=12,1,0),Paraméterek!$I$258:$T$278,HLOOKUP($M$11+1,Paraméterek!$J$256:$T$257,2)))),IF($D$4="Forint",0,2))&gt;$N271-$P271-$Q271+$S271-$T271-IF($D$4="Forint",Paraméterek!$C$216,Paraméterek!$D$216),0,ROUNDUP(IF(ISBLANK($V271),$U271*0,$V271)/IF($D$2="Egyszeri",VLOOKUP($B271+IF($C271=12,1,0),Paraméterek!$V$257:$W$262,2),IF($B271=1,1,VLOOKUP($B271+IF($C271=12,1,0),Paraméterek!$I$258:$T$278,HLOOKUP($M$11+1,Paraméterek!$J$256:$T$257,2)))),IF($D$4="Forint",0,2)))</f>
        <v>#N/A</v>
      </c>
      <c r="X271" s="13" t="e">
        <f ca="1">ROUNDDOWN($W271*IF($D$2="Egyszeri",VLOOKUP($B271+IF($C271=12,1,0),Paraméterek!$V$257:$W$262,2),VLOOKUP($B271+IF($C271=12,1,0),Paraméterek!$I$258:$T$278,HLOOKUP($M$11+1,Paraméterek!$I$256:$T$257,2))),IF($D$4="Forint",0,2))</f>
        <v>#N/A</v>
      </c>
      <c r="Z271" s="32">
        <v>252</v>
      </c>
      <c r="AA271" s="32">
        <v>21</v>
      </c>
      <c r="AB271" s="32">
        <v>12</v>
      </c>
      <c r="AC271" s="13">
        <f t="shared" ca="1" si="82"/>
        <v>0</v>
      </c>
      <c r="AD271" s="33"/>
      <c r="AE271" s="13">
        <f t="shared" ca="1" si="74"/>
        <v>0</v>
      </c>
      <c r="AF271" s="13">
        <f ca="1">ROUNDUP(($AC271+$AE271)*VLOOKUP($AA271,Paraméterek!$P$38:$Q$38,2)/12*IF($D272="Nem",IF($M$13=0,1,$M$13),1),IF($D$4="Forint",0,2))</f>
        <v>0</v>
      </c>
      <c r="AG271" s="13" t="e">
        <f ca="1">IF($D$2="Egyszeri",IF($D$7&gt;=IF($D$4="Forint",Paraméterek!$P$223,Paraméterek!$P$224),$D$7-IF($D$4="Forint",Paraméterek!$P$223,Paraméterek!$P$224),0),MIN(IF($AB271=12,AVERAGEIF($E$20:$E271,"&gt;0",$E$20:$E271)*12,0),SUM($E$20:$E$31)))</f>
        <v>#DIV/0!</v>
      </c>
      <c r="AH271" s="13">
        <f>IF($AA271=10,$AG271*IF($AB271=12,IF($AG271&lt;IF($D$4="Forint",Paraméterek!$L$223,Paraméterek!$L$224),0,VLOOKUP($AA271,Paraméterek!$K$226:$M$228,IF($AG271&lt;IF($D$4="Forint",Paraméterek!$M$223,Paraméterek!$M$224),2,3))),0),0)</f>
        <v>0</v>
      </c>
      <c r="AI271" s="13">
        <f ca="1">IF(AND($AA271=$M$11+1,$AB271=$M$12+1),SUMIF($AA$20:$AA$1027,$AA271,$AG$20:$AG$1027)*IF(SUMIF($AA$20:$AA$1027,$AA271,$AG$20:$AG$1027)&lt;IF($D$4="Forint",Paraméterek!$L$223,Paraméterek!$L$224),0,VLOOKUP($AA271,Paraméterek!$K$230:$M$250,IF(SUMIF($AA$20:$AA$1027,$AA271,$AG$20:$AG$1027)&lt;IF($D$4="Forint",Paraméterek!$M$223,Paraméterek!$M$224),2,3))),0)</f>
        <v>0</v>
      </c>
      <c r="AJ271" s="13" t="e">
        <f ca="1">IF(AND($AA271&gt;=5,MOD($AA271,5)=0),IF($AB271=12,VLOOKUP($AA271,Paraméterek!$O$225:$P$240,2),0),IF(OR($AA271=3,$AA271=4),IF($AB271=12,VLOOKUP($AA271,Paraméterek!$O$225:$P$240,2,0),0),0))*$AG271</f>
        <v>#DIV/0!</v>
      </c>
      <c r="AK271" s="13">
        <f t="shared" ca="1" si="75"/>
        <v>0</v>
      </c>
      <c r="AL271" s="13">
        <f t="shared" ca="1" si="83"/>
        <v>0</v>
      </c>
      <c r="AM271" s="13">
        <f t="shared" ca="1" si="84"/>
        <v>0</v>
      </c>
      <c r="AO271" s="32">
        <v>252</v>
      </c>
      <c r="AP271" s="32">
        <v>21</v>
      </c>
      <c r="AQ271" s="32">
        <v>12</v>
      </c>
      <c r="AR271" s="13"/>
      <c r="AS271" s="32"/>
      <c r="AT271" s="13">
        <f t="shared" ca="1" si="85"/>
        <v>0</v>
      </c>
      <c r="AU271" s="33"/>
      <c r="AV271" s="13">
        <f t="shared" ca="1" si="76"/>
        <v>0</v>
      </c>
      <c r="AW271" s="13">
        <f ca="1">ROUNDUP(($AT271+$AV271)*VLOOKUP($AP271,Paraméterek!$P$38:$Q$38,2)/12*IF($D272="Nem",IF($M$13=0,1,$M$13),1),IF($D$4="Forint",0,2))</f>
        <v>0</v>
      </c>
      <c r="AX271" s="13">
        <f>Tranzakciók!$M$52</f>
        <v>0</v>
      </c>
      <c r="AY271" s="13"/>
      <c r="AZ271" s="13">
        <f>ROUNDUP(IF(SUM($AX271:$AY271)=0,0,IF(IF(ISBLANK($AY271),$AX271,$AY271)*Paraméterek!$J$112&lt;IF($D$4="Forint",Paraméterek!$J$113,Paraméterek!$K$113),IF($D$4="Forint",Paraméterek!$J$113,Paraméterek!$K$113),IF(IF(ISBLANK($AY271),$AX271,$AY271)*Paraméterek!$J$112&gt;IF($D$4="Forint",Paraméterek!$J$114,Paraméterek!$K$114),IF($D$4="Forint",Paraméterek!$J$114,Paraméterek!$K$114),IF(ISBLANK($AY271),$AX271,$AY271)*Paraméterek!$J$112))),IF($D$4="Forint",0,2))</f>
        <v>0</v>
      </c>
      <c r="BA271" s="13">
        <f ca="1">$AT271+$AV271-$AW271-IF(ROUNDDOWN(IF(ISBLANK($AY271),$AX271,$AY271),IF($D$4="Forint",0,2))&gt;$AT271+$AV271-$AW271-IF($D$4="Forint",Paraméterek!$J$114,Paraméterek!$K$114),0,ROUNDDOWN(IF(ISBLANK($AY271),$AX271,$AY271),IF($D$4="Forint",0,2))-$AZ271)</f>
        <v>0</v>
      </c>
      <c r="BB271" s="13">
        <f t="shared" ca="1" si="77"/>
        <v>0</v>
      </c>
      <c r="BD271" s="32">
        <v>252</v>
      </c>
      <c r="BE271" s="32">
        <v>21</v>
      </c>
      <c r="BF271" s="32">
        <v>12</v>
      </c>
      <c r="BG271" s="34">
        <f t="shared" ca="1" si="86"/>
        <v>2040</v>
      </c>
      <c r="BH271" s="32" t="str">
        <f ca="1">IF(MOD(MONTH($D$14)+$BD271-1,12)=Paraméterek!$C$288,"Igen","")</f>
        <v/>
      </c>
      <c r="BI271" s="13">
        <f ca="1">IF($BH271="Igen",MIN(ROUNDDOWN((SUMIF($BG$20:$BG$1027,$BG271-1,$K$20:$K$1027)-SUMIF($BG$20:$BG$1027,$BG271-1,$I$20:$I$1027))*Paraméterek!$C$289,IF($D$4="Forint",0,2)),IF($D$4="Forint",Paraméterek!$C$285,Paraméterek!$D$285)),0)</f>
        <v>0</v>
      </c>
      <c r="BJ271" s="13">
        <f t="shared" ca="1" si="78"/>
        <v>0</v>
      </c>
      <c r="BK271" s="13">
        <f t="shared" ca="1" si="87"/>
        <v>0</v>
      </c>
      <c r="BL271" s="33"/>
      <c r="BM271" s="13">
        <f t="shared" ca="1" si="79"/>
        <v>0</v>
      </c>
      <c r="BN271" s="13">
        <f ca="1">ROUNDUP(($BK271+$BM271)*VLOOKUP($BE271,Paraméterek!$P$38:$Q$38,2)/12*IF($D272="Nem",IF($M$13=0,1,$M$13),1),IF($D$4="Forint",0,2))</f>
        <v>0</v>
      </c>
      <c r="BO271" s="13">
        <f t="shared" ca="1" si="80"/>
        <v>0</v>
      </c>
      <c r="BP271" s="13">
        <f ca="1">IF($D272="Nem",$BO271,$BO271-ROUNDUP(SUM($BI$20:$BI271)*120%,IF($D$4="Forint",0,2)))</f>
        <v>0</v>
      </c>
    </row>
    <row r="272" spans="1:68" x14ac:dyDescent="0.2">
      <c r="A272" s="32">
        <v>253</v>
      </c>
      <c r="B272" s="32">
        <v>22</v>
      </c>
      <c r="C272" s="32">
        <v>1</v>
      </c>
      <c r="D272" s="32" t="str">
        <f t="shared" ca="1" si="66"/>
        <v>Nem</v>
      </c>
      <c r="E272" s="13">
        <f t="shared" ca="1" si="67"/>
        <v>0</v>
      </c>
      <c r="F272" s="13"/>
      <c r="G272" s="13">
        <f>Tranzakciók!$D$53</f>
        <v>0</v>
      </c>
      <c r="H272" s="13"/>
      <c r="I272" s="13">
        <f t="shared" ca="1" si="68"/>
        <v>0</v>
      </c>
      <c r="J272" s="13">
        <f t="shared" ca="1" si="69"/>
        <v>0</v>
      </c>
      <c r="K272" s="13">
        <f t="shared" ca="1" si="70"/>
        <v>0</v>
      </c>
      <c r="L272" s="13" t="e">
        <f ca="1">ROUNDUP(IF($D$2="Egyszeri",$E272,IF($D$2="Havi",SUM($E$20:$E$31),IF(MOD($C272,$M$1)-1=0,SUM($E$20:$E$31),0))/12*$M$1)*VLOOKUP($B272,Paraméterek!$I$28:$P$31,IF($D$2="Egyszeri",8,HLOOKUP(ROUNDUP($M$11+$M$13,0),Paraméterek!$J$26:$O$27,2))),IF($D$4="Forint",0,2))</f>
        <v>#N/A</v>
      </c>
      <c r="M272" s="13">
        <f t="shared" ca="1" si="71"/>
        <v>0</v>
      </c>
      <c r="N272" s="13">
        <f t="shared" ca="1" si="81"/>
        <v>0</v>
      </c>
      <c r="O272" s="13">
        <f ca="1">IF($D272="Igen",IF($W271&gt;=IF($D$4="Forint",Paraméterek!$J$121,Paraméterek!$K$121),0,IF($D$4="Forint",Paraméterek!$J$121,Paraméterek!$K$121)-$W271),0)</f>
        <v>0</v>
      </c>
      <c r="P272" s="13" t="e">
        <f ca="1">ROUNDUP($O272*VLOOKUP($M$4+$B272-1,Paraméterek!$H$58:$I$105,2,0)/Paraméterek!$I$56,IF($D$4="Forint",0,2))</f>
        <v>#N/A</v>
      </c>
      <c r="Q272" s="13">
        <f t="shared" ca="1" si="72"/>
        <v>0</v>
      </c>
      <c r="R272" s="33"/>
      <c r="S272" s="13" t="e">
        <f t="shared" ca="1" si="73"/>
        <v>#N/A</v>
      </c>
      <c r="T272" s="13" t="e">
        <f ca="1">ROUNDUP(($N272-$P272-$Q272+$S272)*VLOOKUP($B272,Paraméterek!$I$38:$K$39,IF($D$2="Egyszeri",3,2))/12*IF($D273="Nem",IF($M$13=0,1,$M$13),1),IF($D$4="Forint",0,2))</f>
        <v>#N/A</v>
      </c>
      <c r="U272" s="13"/>
      <c r="V272" s="13"/>
      <c r="W272" s="13" t="e">
        <f ca="1">$N272-$P272-$Q272+$S272-$T272-IF(ROUNDUP(IF(ISBLANK($V272),$U272*0,$V272)/IF($D$2="Egyszeri",VLOOKUP($B272+IF($C272=12,1,0),Paraméterek!$V$257:$W$262,2),IF($B272=1,1,VLOOKUP($B272+IF($C272=12,1,0),Paraméterek!$I$258:$T$278,HLOOKUP($M$11+1,Paraméterek!$J$256:$T$257,2)))),IF($D$4="Forint",0,2))&gt;$N272-$P272-$Q272+$S272-$T272-IF($D$4="Forint",Paraméterek!$C$216,Paraméterek!$D$216),0,ROUNDUP(IF(ISBLANK($V272),$U272*0,$V272)/IF($D$2="Egyszeri",VLOOKUP($B272+IF($C272=12,1,0),Paraméterek!$V$257:$W$262,2),IF($B272=1,1,VLOOKUP($B272+IF($C272=12,1,0),Paraméterek!$I$258:$T$278,HLOOKUP($M$11+1,Paraméterek!$J$256:$T$257,2)))),IF($D$4="Forint",0,2)))</f>
        <v>#N/A</v>
      </c>
      <c r="X272" s="13" t="e">
        <f ca="1">ROUNDDOWN($W272*IF($D$2="Egyszeri",VLOOKUP($B272+IF($C272=12,1,0),Paraméterek!$V$257:$W$262,2),VLOOKUP($B272+IF($C272=12,1,0),Paraméterek!$I$258:$T$278,HLOOKUP($M$11+1,Paraméterek!$I$256:$T$257,2))),IF($D$4="Forint",0,2))</f>
        <v>#N/A</v>
      </c>
      <c r="Z272" s="32">
        <v>253</v>
      </c>
      <c r="AA272" s="32">
        <v>22</v>
      </c>
      <c r="AB272" s="32">
        <v>1</v>
      </c>
      <c r="AC272" s="13">
        <f t="shared" ca="1" si="82"/>
        <v>0</v>
      </c>
      <c r="AD272" s="33"/>
      <c r="AE272" s="13">
        <f t="shared" ca="1" si="74"/>
        <v>0</v>
      </c>
      <c r="AF272" s="13">
        <f ca="1">ROUNDUP(($AC272+$AE272)*VLOOKUP($AA272,Paraméterek!$P$38:$Q$38,2)/12*IF($D273="Nem",IF($M$13=0,1,$M$13),1),IF($D$4="Forint",0,2))</f>
        <v>0</v>
      </c>
      <c r="AG272" s="13">
        <f ca="1">IF($D$2="Egyszeri",IF($D$7&gt;=IF($D$4="Forint",Paraméterek!$P$223,Paraméterek!$P$224),$D$7-IF($D$4="Forint",Paraméterek!$P$223,Paraméterek!$P$224),0),MIN(IF($AB272=12,AVERAGEIF($E$20:$E272,"&gt;0",$E$20:$E272)*12,0),SUM($E$20:$E$31)))</f>
        <v>0</v>
      </c>
      <c r="AH272" s="13">
        <f>IF($AA272=10,$AG272*IF($AB272=12,IF($AG272&lt;IF($D$4="Forint",Paraméterek!$L$223,Paraméterek!$L$224),0,VLOOKUP($AA272,Paraméterek!$K$226:$M$228,IF($AG272&lt;IF($D$4="Forint",Paraméterek!$M$223,Paraméterek!$M$224),2,3))),0),0)</f>
        <v>0</v>
      </c>
      <c r="AI272" s="13">
        <f ca="1">IF(AND($AA272=$M$11+1,$AB272=$M$12+1),SUMIF($AA$20:$AA$1027,$AA272,$AG$20:$AG$1027)*IF(SUMIF($AA$20:$AA$1027,$AA272,$AG$20:$AG$1027)&lt;IF($D$4="Forint",Paraméterek!$L$223,Paraméterek!$L$224),0,VLOOKUP($AA272,Paraméterek!$K$230:$M$250,IF(SUMIF($AA$20:$AA$1027,$AA272,$AG$20:$AG$1027)&lt;IF($D$4="Forint",Paraméterek!$M$223,Paraméterek!$M$224),2,3))),0)</f>
        <v>0</v>
      </c>
      <c r="AJ272" s="13">
        <f ca="1">IF(AND($AA272&gt;=5,MOD($AA272,5)=0),IF($AB272=12,VLOOKUP($AA272,Paraméterek!$O$225:$P$240,2),0),IF(OR($AA272=3,$AA272=4),IF($AB272=12,VLOOKUP($AA272,Paraméterek!$O$225:$P$240,2,0),0),0))*$AG272</f>
        <v>0</v>
      </c>
      <c r="AK272" s="13">
        <f t="shared" ca="1" si="75"/>
        <v>0</v>
      </c>
      <c r="AL272" s="13">
        <f t="shared" ca="1" si="83"/>
        <v>0</v>
      </c>
      <c r="AM272" s="13">
        <f t="shared" ca="1" si="84"/>
        <v>0</v>
      </c>
      <c r="AO272" s="32">
        <v>253</v>
      </c>
      <c r="AP272" s="32">
        <v>22</v>
      </c>
      <c r="AQ272" s="32">
        <v>1</v>
      </c>
      <c r="AR272" s="13">
        <f>Tranzakciók!$K$53</f>
        <v>0</v>
      </c>
      <c r="AS272" s="32"/>
      <c r="AT272" s="13">
        <f t="shared" ca="1" si="85"/>
        <v>0</v>
      </c>
      <c r="AU272" s="33"/>
      <c r="AV272" s="13">
        <f t="shared" ca="1" si="76"/>
        <v>0</v>
      </c>
      <c r="AW272" s="13">
        <f ca="1">ROUNDUP(($AT272+$AV272)*VLOOKUP($AP272,Paraméterek!$P$38:$Q$38,2)/12*IF($D273="Nem",IF($M$13=0,1,$M$13),1),IF($D$4="Forint",0,2))</f>
        <v>0</v>
      </c>
      <c r="AX272" s="13"/>
      <c r="AY272" s="13"/>
      <c r="AZ272" s="13">
        <f>ROUNDUP(IF(SUM($AX272:$AY272)=0,0,IF(IF(ISBLANK($AY272),$AX272,$AY272)*Paraméterek!$J$112&lt;IF($D$4="Forint",Paraméterek!$J$113,Paraméterek!$K$113),IF($D$4="Forint",Paraméterek!$J$113,Paraméterek!$K$113),IF(IF(ISBLANK($AY272),$AX272,$AY272)*Paraméterek!$J$112&gt;IF($D$4="Forint",Paraméterek!$J$114,Paraméterek!$K$114),IF($D$4="Forint",Paraméterek!$J$114,Paraméterek!$K$114),IF(ISBLANK($AY272),$AX272,$AY272)*Paraméterek!$J$112))),IF($D$4="Forint",0,2))</f>
        <v>0</v>
      </c>
      <c r="BA272" s="13">
        <f ca="1">$AT272+$AV272-$AW272-IF(ROUNDDOWN(IF(ISBLANK($AY272),$AX272,$AY272),IF($D$4="Forint",0,2))&gt;$AT272+$AV272-$AW272-IF($D$4="Forint",Paraméterek!$J$114,Paraméterek!$K$114),0,ROUNDDOWN(IF(ISBLANK($AY272),$AX272,$AY272),IF($D$4="Forint",0,2))-$AZ272)</f>
        <v>0</v>
      </c>
      <c r="BB272" s="13">
        <f t="shared" ca="1" si="77"/>
        <v>0</v>
      </c>
      <c r="BD272" s="32">
        <v>253</v>
      </c>
      <c r="BE272" s="32">
        <v>22</v>
      </c>
      <c r="BF272" s="32">
        <v>1</v>
      </c>
      <c r="BG272" s="34">
        <f t="shared" ca="1" si="86"/>
        <v>2040</v>
      </c>
      <c r="BH272" s="32" t="str">
        <f ca="1">IF(MOD(MONTH($D$14)+$BD272-1,12)=Paraméterek!$C$288,"Igen","")</f>
        <v/>
      </c>
      <c r="BI272" s="13">
        <f ca="1">IF($BH272="Igen",MIN(ROUNDDOWN((SUMIF($BG$20:$BG$1027,$BG272-1,$K$20:$K$1027)-SUMIF($BG$20:$BG$1027,$BG272-1,$I$20:$I$1027))*Paraméterek!$C$289,IF($D$4="Forint",0,2)),IF($D$4="Forint",Paraméterek!$C$285,Paraméterek!$D$285)),0)</f>
        <v>0</v>
      </c>
      <c r="BJ272" s="13">
        <f t="shared" ca="1" si="78"/>
        <v>0</v>
      </c>
      <c r="BK272" s="13">
        <f t="shared" ca="1" si="87"/>
        <v>0</v>
      </c>
      <c r="BL272" s="33"/>
      <c r="BM272" s="13">
        <f t="shared" ca="1" si="79"/>
        <v>0</v>
      </c>
      <c r="BN272" s="13">
        <f ca="1">ROUNDUP(($BK272+$BM272)*VLOOKUP($BE272,Paraméterek!$P$38:$Q$38,2)/12*IF($D273="Nem",IF($M$13=0,1,$M$13),1),IF($D$4="Forint",0,2))</f>
        <v>0</v>
      </c>
      <c r="BO272" s="13">
        <f t="shared" ca="1" si="80"/>
        <v>0</v>
      </c>
      <c r="BP272" s="13">
        <f ca="1">IF($D273="Nem",$BO272,$BO272-ROUNDUP(SUM($BI$20:$BI272)*120%,IF($D$4="Forint",0,2)))</f>
        <v>0</v>
      </c>
    </row>
    <row r="273" spans="1:68" x14ac:dyDescent="0.2">
      <c r="A273" s="32">
        <v>254</v>
      </c>
      <c r="B273" s="32">
        <v>22</v>
      </c>
      <c r="C273" s="32">
        <v>2</v>
      </c>
      <c r="D273" s="32" t="str">
        <f t="shared" ca="1" si="66"/>
        <v>Nem</v>
      </c>
      <c r="E273" s="13">
        <f t="shared" ca="1" si="67"/>
        <v>0</v>
      </c>
      <c r="F273" s="13"/>
      <c r="G273" s="13"/>
      <c r="H273" s="13"/>
      <c r="I273" s="13">
        <f t="shared" ca="1" si="68"/>
        <v>0</v>
      </c>
      <c r="J273" s="13">
        <f t="shared" ca="1" si="69"/>
        <v>0</v>
      </c>
      <c r="K273" s="13">
        <f t="shared" ca="1" si="70"/>
        <v>0</v>
      </c>
      <c r="L273" s="13" t="e">
        <f ca="1">ROUNDUP(IF($D$2="Egyszeri",$E273,IF($D$2="Havi",SUM($E$20:$E$31),IF(MOD($C273,$M$1)-1=0,SUM($E$20:$E$31),0))/12*$M$1)*VLOOKUP($B273,Paraméterek!$I$28:$P$31,IF($D$2="Egyszeri",8,HLOOKUP(ROUNDUP($M$11+$M$13,0),Paraméterek!$J$26:$O$27,2))),IF($D$4="Forint",0,2))</f>
        <v>#N/A</v>
      </c>
      <c r="M273" s="13">
        <f t="shared" ca="1" si="71"/>
        <v>0</v>
      </c>
      <c r="N273" s="13">
        <f t="shared" ca="1" si="81"/>
        <v>0</v>
      </c>
      <c r="O273" s="13">
        <f ca="1">IF($D273="Igen",IF($W272&gt;=IF($D$4="Forint",Paraméterek!$J$121,Paraméterek!$K$121),0,IF($D$4="Forint",Paraméterek!$J$121,Paraméterek!$K$121)-$W272),0)</f>
        <v>0</v>
      </c>
      <c r="P273" s="13" t="e">
        <f ca="1">ROUNDUP($O273*VLOOKUP($M$4+$B273-1,Paraméterek!$H$58:$I$105,2,0)/Paraméterek!$I$56,IF($D$4="Forint",0,2))</f>
        <v>#N/A</v>
      </c>
      <c r="Q273" s="13">
        <f t="shared" ca="1" si="72"/>
        <v>0</v>
      </c>
      <c r="R273" s="33"/>
      <c r="S273" s="13" t="e">
        <f t="shared" ca="1" si="73"/>
        <v>#N/A</v>
      </c>
      <c r="T273" s="13" t="e">
        <f ca="1">ROUNDUP(($N273-$P273-$Q273+$S273)*VLOOKUP($B273,Paraméterek!$I$38:$K$39,IF($D$2="Egyszeri",3,2))/12*IF($D274="Nem",IF($M$13=0,1,$M$13),1),IF($D$4="Forint",0,2))</f>
        <v>#N/A</v>
      </c>
      <c r="U273" s="13"/>
      <c r="V273" s="13"/>
      <c r="W273" s="13" t="e">
        <f ca="1">$N273-$P273-$Q273+$S273-$T273-IF(ROUNDUP(IF(ISBLANK($V273),$U273*0,$V273)/IF($D$2="Egyszeri",VLOOKUP($B273+IF($C273=12,1,0),Paraméterek!$V$257:$W$262,2),IF($B273=1,1,VLOOKUP($B273+IF($C273=12,1,0),Paraméterek!$I$258:$T$278,HLOOKUP($M$11+1,Paraméterek!$J$256:$T$257,2)))),IF($D$4="Forint",0,2))&gt;$N273-$P273-$Q273+$S273-$T273-IF($D$4="Forint",Paraméterek!$C$216,Paraméterek!$D$216),0,ROUNDUP(IF(ISBLANK($V273),$U273*0,$V273)/IF($D$2="Egyszeri",VLOOKUP($B273+IF($C273=12,1,0),Paraméterek!$V$257:$W$262,2),IF($B273=1,1,VLOOKUP($B273+IF($C273=12,1,0),Paraméterek!$I$258:$T$278,HLOOKUP($M$11+1,Paraméterek!$J$256:$T$257,2)))),IF($D$4="Forint",0,2)))</f>
        <v>#N/A</v>
      </c>
      <c r="X273" s="13" t="e">
        <f ca="1">ROUNDDOWN($W273*IF($D$2="Egyszeri",VLOOKUP($B273+IF($C273=12,1,0),Paraméterek!$V$257:$W$262,2),VLOOKUP($B273+IF($C273=12,1,0),Paraméterek!$I$258:$T$278,HLOOKUP($M$11+1,Paraméterek!$I$256:$T$257,2))),IF($D$4="Forint",0,2))</f>
        <v>#N/A</v>
      </c>
      <c r="Z273" s="32">
        <v>254</v>
      </c>
      <c r="AA273" s="32">
        <v>22</v>
      </c>
      <c r="AB273" s="32">
        <v>2</v>
      </c>
      <c r="AC273" s="13">
        <f t="shared" ca="1" si="82"/>
        <v>0</v>
      </c>
      <c r="AD273" s="33"/>
      <c r="AE273" s="13">
        <f t="shared" ca="1" si="74"/>
        <v>0</v>
      </c>
      <c r="AF273" s="13">
        <f ca="1">ROUNDUP(($AC273+$AE273)*VLOOKUP($AA273,Paraméterek!$P$38:$Q$38,2)/12*IF($D274="Nem",IF($M$13=0,1,$M$13),1),IF($D$4="Forint",0,2))</f>
        <v>0</v>
      </c>
      <c r="AG273" s="13">
        <f ca="1">IF($D$2="Egyszeri",IF($D$7&gt;=IF($D$4="Forint",Paraméterek!$P$223,Paraméterek!$P$224),$D$7-IF($D$4="Forint",Paraméterek!$P$223,Paraméterek!$P$224),0),MIN(IF($AB273=12,AVERAGEIF($E$20:$E273,"&gt;0",$E$20:$E273)*12,0),SUM($E$20:$E$31)))</f>
        <v>0</v>
      </c>
      <c r="AH273" s="13">
        <f>IF($AA273=10,$AG273*IF($AB273=12,IF($AG273&lt;IF($D$4="Forint",Paraméterek!$L$223,Paraméterek!$L$224),0,VLOOKUP($AA273,Paraméterek!$K$226:$M$228,IF($AG273&lt;IF($D$4="Forint",Paraméterek!$M$223,Paraméterek!$M$224),2,3))),0),0)</f>
        <v>0</v>
      </c>
      <c r="AI273" s="13">
        <f ca="1">IF(AND($AA273=$M$11+1,$AB273=$M$12+1),SUMIF($AA$20:$AA$1027,$AA273,$AG$20:$AG$1027)*IF(SUMIF($AA$20:$AA$1027,$AA273,$AG$20:$AG$1027)&lt;IF($D$4="Forint",Paraméterek!$L$223,Paraméterek!$L$224),0,VLOOKUP($AA273,Paraméterek!$K$230:$M$250,IF(SUMIF($AA$20:$AA$1027,$AA273,$AG$20:$AG$1027)&lt;IF($D$4="Forint",Paraméterek!$M$223,Paraméterek!$M$224),2,3))),0)</f>
        <v>0</v>
      </c>
      <c r="AJ273" s="13">
        <f ca="1">IF(AND($AA273&gt;=5,MOD($AA273,5)=0),IF($AB273=12,VLOOKUP($AA273,Paraméterek!$O$225:$P$240,2),0),IF(OR($AA273=3,$AA273=4),IF($AB273=12,VLOOKUP($AA273,Paraméterek!$O$225:$P$240,2,0),0),0))*$AG273</f>
        <v>0</v>
      </c>
      <c r="AK273" s="13">
        <f t="shared" ca="1" si="75"/>
        <v>0</v>
      </c>
      <c r="AL273" s="13">
        <f t="shared" ca="1" si="83"/>
        <v>0</v>
      </c>
      <c r="AM273" s="13">
        <f t="shared" ca="1" si="84"/>
        <v>0</v>
      </c>
      <c r="AO273" s="32">
        <v>254</v>
      </c>
      <c r="AP273" s="32">
        <v>22</v>
      </c>
      <c r="AQ273" s="32">
        <v>2</v>
      </c>
      <c r="AR273" s="13"/>
      <c r="AS273" s="32"/>
      <c r="AT273" s="13">
        <f t="shared" ca="1" si="85"/>
        <v>0</v>
      </c>
      <c r="AU273" s="33"/>
      <c r="AV273" s="13">
        <f t="shared" ca="1" si="76"/>
        <v>0</v>
      </c>
      <c r="AW273" s="13">
        <f ca="1">ROUNDUP(($AT273+$AV273)*VLOOKUP($AP273,Paraméterek!$P$38:$Q$38,2)/12*IF($D274="Nem",IF($M$13=0,1,$M$13),1),IF($D$4="Forint",0,2))</f>
        <v>0</v>
      </c>
      <c r="AX273" s="13"/>
      <c r="AY273" s="13"/>
      <c r="AZ273" s="13">
        <f>ROUNDUP(IF(SUM($AX273:$AY273)=0,0,IF(IF(ISBLANK($AY273),$AX273,$AY273)*Paraméterek!$J$112&lt;IF($D$4="Forint",Paraméterek!$J$113,Paraméterek!$K$113),IF($D$4="Forint",Paraméterek!$J$113,Paraméterek!$K$113),IF(IF(ISBLANK($AY273),$AX273,$AY273)*Paraméterek!$J$112&gt;IF($D$4="Forint",Paraméterek!$J$114,Paraméterek!$K$114),IF($D$4="Forint",Paraméterek!$J$114,Paraméterek!$K$114),IF(ISBLANK($AY273),$AX273,$AY273)*Paraméterek!$J$112))),IF($D$4="Forint",0,2))</f>
        <v>0</v>
      </c>
      <c r="BA273" s="13">
        <f ca="1">$AT273+$AV273-$AW273-IF(ROUNDDOWN(IF(ISBLANK($AY273),$AX273,$AY273),IF($D$4="Forint",0,2))&gt;$AT273+$AV273-$AW273-IF($D$4="Forint",Paraméterek!$J$114,Paraméterek!$K$114),0,ROUNDDOWN(IF(ISBLANK($AY273),$AX273,$AY273),IF($D$4="Forint",0,2))-$AZ273)</f>
        <v>0</v>
      </c>
      <c r="BB273" s="13">
        <f t="shared" ca="1" si="77"/>
        <v>0</v>
      </c>
      <c r="BD273" s="32">
        <v>254</v>
      </c>
      <c r="BE273" s="32">
        <v>22</v>
      </c>
      <c r="BF273" s="32">
        <v>2</v>
      </c>
      <c r="BG273" s="34">
        <f t="shared" ca="1" si="86"/>
        <v>2040</v>
      </c>
      <c r="BH273" s="32" t="str">
        <f ca="1">IF(MOD(MONTH($D$14)+$BD273-1,12)=Paraméterek!$C$288,"Igen","")</f>
        <v>Igen</v>
      </c>
      <c r="BI273" s="13">
        <f ca="1">IF($BH273="Igen",MIN(ROUNDDOWN((SUMIF($BG$20:$BG$1027,$BG273-1,$K$20:$K$1027)-SUMIF($BG$20:$BG$1027,$BG273-1,$I$20:$I$1027))*Paraméterek!$C$289,IF($D$4="Forint",0,2)),IF($D$4="Forint",Paraméterek!$C$285,Paraméterek!$D$285)),0)</f>
        <v>0</v>
      </c>
      <c r="BJ273" s="13">
        <f t="shared" ca="1" si="78"/>
        <v>0</v>
      </c>
      <c r="BK273" s="13">
        <f t="shared" ca="1" si="87"/>
        <v>0</v>
      </c>
      <c r="BL273" s="33"/>
      <c r="BM273" s="13">
        <f t="shared" ca="1" si="79"/>
        <v>0</v>
      </c>
      <c r="BN273" s="13">
        <f ca="1">ROUNDUP(($BK273+$BM273)*VLOOKUP($BE273,Paraméterek!$P$38:$Q$38,2)/12*IF($D274="Nem",IF($M$13=0,1,$M$13),1),IF($D$4="Forint",0,2))</f>
        <v>0</v>
      </c>
      <c r="BO273" s="13">
        <f t="shared" ca="1" si="80"/>
        <v>0</v>
      </c>
      <c r="BP273" s="13">
        <f ca="1">IF($D274="Nem",$BO273,$BO273-ROUNDUP(SUM($BI$20:$BI273)*120%,IF($D$4="Forint",0,2)))</f>
        <v>0</v>
      </c>
    </row>
    <row r="274" spans="1:68" x14ac:dyDescent="0.2">
      <c r="A274" s="32">
        <v>255</v>
      </c>
      <c r="B274" s="32">
        <v>22</v>
      </c>
      <c r="C274" s="32">
        <v>3</v>
      </c>
      <c r="D274" s="32" t="str">
        <f t="shared" ca="1" si="66"/>
        <v>Nem</v>
      </c>
      <c r="E274" s="13">
        <f t="shared" ca="1" si="67"/>
        <v>0</v>
      </c>
      <c r="F274" s="13"/>
      <c r="G274" s="13"/>
      <c r="H274" s="13"/>
      <c r="I274" s="13">
        <f t="shared" ca="1" si="68"/>
        <v>0</v>
      </c>
      <c r="J274" s="13">
        <f t="shared" ca="1" si="69"/>
        <v>0</v>
      </c>
      <c r="K274" s="13">
        <f t="shared" ca="1" si="70"/>
        <v>0</v>
      </c>
      <c r="L274" s="13" t="e">
        <f ca="1">ROUNDUP(IF($D$2="Egyszeri",$E274,IF($D$2="Havi",SUM($E$20:$E$31),IF(MOD($C274,$M$1)-1=0,SUM($E$20:$E$31),0))/12*$M$1)*VLOOKUP($B274,Paraméterek!$I$28:$P$31,IF($D$2="Egyszeri",8,HLOOKUP(ROUNDUP($M$11+$M$13,0),Paraméterek!$J$26:$O$27,2))),IF($D$4="Forint",0,2))</f>
        <v>#N/A</v>
      </c>
      <c r="M274" s="13">
        <f t="shared" ca="1" si="71"/>
        <v>0</v>
      </c>
      <c r="N274" s="13">
        <f t="shared" ca="1" si="81"/>
        <v>0</v>
      </c>
      <c r="O274" s="13">
        <f ca="1">IF($D274="Igen",IF($W273&gt;=IF($D$4="Forint",Paraméterek!$J$121,Paraméterek!$K$121),0,IF($D$4="Forint",Paraméterek!$J$121,Paraméterek!$K$121)-$W273),0)</f>
        <v>0</v>
      </c>
      <c r="P274" s="13" t="e">
        <f ca="1">ROUNDUP($O274*VLOOKUP($M$4+$B274-1,Paraméterek!$H$58:$I$105,2,0)/Paraméterek!$I$56,IF($D$4="Forint",0,2))</f>
        <v>#N/A</v>
      </c>
      <c r="Q274" s="13">
        <f t="shared" ca="1" si="72"/>
        <v>0</v>
      </c>
      <c r="R274" s="33"/>
      <c r="S274" s="13" t="e">
        <f t="shared" ca="1" si="73"/>
        <v>#N/A</v>
      </c>
      <c r="T274" s="13" t="e">
        <f ca="1">ROUNDUP(($N274-$P274-$Q274+$S274)*VLOOKUP($B274,Paraméterek!$I$38:$K$39,IF($D$2="Egyszeri",3,2))/12*IF($D275="Nem",IF($M$13=0,1,$M$13),1),IF($D$4="Forint",0,2))</f>
        <v>#N/A</v>
      </c>
      <c r="U274" s="13"/>
      <c r="V274" s="13"/>
      <c r="W274" s="13" t="e">
        <f ca="1">$N274-$P274-$Q274+$S274-$T274-IF(ROUNDUP(IF(ISBLANK($V274),$U274*0,$V274)/IF($D$2="Egyszeri",VLOOKUP($B274+IF($C274=12,1,0),Paraméterek!$V$257:$W$262,2),IF($B274=1,1,VLOOKUP($B274+IF($C274=12,1,0),Paraméterek!$I$258:$T$278,HLOOKUP($M$11+1,Paraméterek!$J$256:$T$257,2)))),IF($D$4="Forint",0,2))&gt;$N274-$P274-$Q274+$S274-$T274-IF($D$4="Forint",Paraméterek!$C$216,Paraméterek!$D$216),0,ROUNDUP(IF(ISBLANK($V274),$U274*0,$V274)/IF($D$2="Egyszeri",VLOOKUP($B274+IF($C274=12,1,0),Paraméterek!$V$257:$W$262,2),IF($B274=1,1,VLOOKUP($B274+IF($C274=12,1,0),Paraméterek!$I$258:$T$278,HLOOKUP($M$11+1,Paraméterek!$J$256:$T$257,2)))),IF($D$4="Forint",0,2)))</f>
        <v>#N/A</v>
      </c>
      <c r="X274" s="13" t="e">
        <f ca="1">ROUNDDOWN($W274*IF($D$2="Egyszeri",VLOOKUP($B274+IF($C274=12,1,0),Paraméterek!$V$257:$W$262,2),VLOOKUP($B274+IF($C274=12,1,0),Paraméterek!$I$258:$T$278,HLOOKUP($M$11+1,Paraméterek!$I$256:$T$257,2))),IF($D$4="Forint",0,2))</f>
        <v>#N/A</v>
      </c>
      <c r="Z274" s="32">
        <v>255</v>
      </c>
      <c r="AA274" s="32">
        <v>22</v>
      </c>
      <c r="AB274" s="32">
        <v>3</v>
      </c>
      <c r="AC274" s="13">
        <f t="shared" ca="1" si="82"/>
        <v>0</v>
      </c>
      <c r="AD274" s="33"/>
      <c r="AE274" s="13">
        <f t="shared" ca="1" si="74"/>
        <v>0</v>
      </c>
      <c r="AF274" s="13">
        <f ca="1">ROUNDUP(($AC274+$AE274)*VLOOKUP($AA274,Paraméterek!$P$38:$Q$38,2)/12*IF($D275="Nem",IF($M$13=0,1,$M$13),1),IF($D$4="Forint",0,2))</f>
        <v>0</v>
      </c>
      <c r="AG274" s="13">
        <f ca="1">IF($D$2="Egyszeri",IF($D$7&gt;=IF($D$4="Forint",Paraméterek!$P$223,Paraméterek!$P$224),$D$7-IF($D$4="Forint",Paraméterek!$P$223,Paraméterek!$P$224),0),MIN(IF($AB274=12,AVERAGEIF($E$20:$E274,"&gt;0",$E$20:$E274)*12,0),SUM($E$20:$E$31)))</f>
        <v>0</v>
      </c>
      <c r="AH274" s="13">
        <f>IF($AA274=10,$AG274*IF($AB274=12,IF($AG274&lt;IF($D$4="Forint",Paraméterek!$L$223,Paraméterek!$L$224),0,VLOOKUP($AA274,Paraméterek!$K$226:$M$228,IF($AG274&lt;IF($D$4="Forint",Paraméterek!$M$223,Paraméterek!$M$224),2,3))),0),0)</f>
        <v>0</v>
      </c>
      <c r="AI274" s="13">
        <f ca="1">IF(AND($AA274=$M$11+1,$AB274=$M$12+1),SUMIF($AA$20:$AA$1027,$AA274,$AG$20:$AG$1027)*IF(SUMIF($AA$20:$AA$1027,$AA274,$AG$20:$AG$1027)&lt;IF($D$4="Forint",Paraméterek!$L$223,Paraméterek!$L$224),0,VLOOKUP($AA274,Paraméterek!$K$230:$M$250,IF(SUMIF($AA$20:$AA$1027,$AA274,$AG$20:$AG$1027)&lt;IF($D$4="Forint",Paraméterek!$M$223,Paraméterek!$M$224),2,3))),0)</f>
        <v>0</v>
      </c>
      <c r="AJ274" s="13">
        <f ca="1">IF(AND($AA274&gt;=5,MOD($AA274,5)=0),IF($AB274=12,VLOOKUP($AA274,Paraméterek!$O$225:$P$240,2),0),IF(OR($AA274=3,$AA274=4),IF($AB274=12,VLOOKUP($AA274,Paraméterek!$O$225:$P$240,2,0),0),0))*$AG274</f>
        <v>0</v>
      </c>
      <c r="AK274" s="13">
        <f t="shared" ca="1" si="75"/>
        <v>0</v>
      </c>
      <c r="AL274" s="13">
        <f t="shared" ca="1" si="83"/>
        <v>0</v>
      </c>
      <c r="AM274" s="13">
        <f t="shared" ca="1" si="84"/>
        <v>0</v>
      </c>
      <c r="AO274" s="32">
        <v>255</v>
      </c>
      <c r="AP274" s="32">
        <v>22</v>
      </c>
      <c r="AQ274" s="32">
        <v>3</v>
      </c>
      <c r="AR274" s="13"/>
      <c r="AS274" s="32"/>
      <c r="AT274" s="13">
        <f t="shared" ca="1" si="85"/>
        <v>0</v>
      </c>
      <c r="AU274" s="33"/>
      <c r="AV274" s="13">
        <f t="shared" ca="1" si="76"/>
        <v>0</v>
      </c>
      <c r="AW274" s="13">
        <f ca="1">ROUNDUP(($AT274+$AV274)*VLOOKUP($AP274,Paraméterek!$P$38:$Q$38,2)/12*IF($D275="Nem",IF($M$13=0,1,$M$13),1),IF($D$4="Forint",0,2))</f>
        <v>0</v>
      </c>
      <c r="AX274" s="13"/>
      <c r="AY274" s="13"/>
      <c r="AZ274" s="13">
        <f>ROUNDUP(IF(SUM($AX274:$AY274)=0,0,IF(IF(ISBLANK($AY274),$AX274,$AY274)*Paraméterek!$J$112&lt;IF($D$4="Forint",Paraméterek!$J$113,Paraméterek!$K$113),IF($D$4="Forint",Paraméterek!$J$113,Paraméterek!$K$113),IF(IF(ISBLANK($AY274),$AX274,$AY274)*Paraméterek!$J$112&gt;IF($D$4="Forint",Paraméterek!$J$114,Paraméterek!$K$114),IF($D$4="Forint",Paraméterek!$J$114,Paraméterek!$K$114),IF(ISBLANK($AY274),$AX274,$AY274)*Paraméterek!$J$112))),IF($D$4="Forint",0,2))</f>
        <v>0</v>
      </c>
      <c r="BA274" s="13">
        <f ca="1">$AT274+$AV274-$AW274-IF(ROUNDDOWN(IF(ISBLANK($AY274),$AX274,$AY274),IF($D$4="Forint",0,2))&gt;$AT274+$AV274-$AW274-IF($D$4="Forint",Paraméterek!$J$114,Paraméterek!$K$114),0,ROUNDDOWN(IF(ISBLANK($AY274),$AX274,$AY274),IF($D$4="Forint",0,2))-$AZ274)</f>
        <v>0</v>
      </c>
      <c r="BB274" s="13">
        <f t="shared" ca="1" si="77"/>
        <v>0</v>
      </c>
      <c r="BD274" s="32">
        <v>255</v>
      </c>
      <c r="BE274" s="32">
        <v>22</v>
      </c>
      <c r="BF274" s="32">
        <v>3</v>
      </c>
      <c r="BG274" s="34">
        <f t="shared" ca="1" si="86"/>
        <v>2040</v>
      </c>
      <c r="BH274" s="32" t="str">
        <f ca="1">IF(MOD(MONTH($D$14)+$BD274-1,12)=Paraméterek!$C$288,"Igen","")</f>
        <v/>
      </c>
      <c r="BI274" s="13">
        <f ca="1">IF($BH274="Igen",MIN(ROUNDDOWN((SUMIF($BG$20:$BG$1027,$BG274-1,$K$20:$K$1027)-SUMIF($BG$20:$BG$1027,$BG274-1,$I$20:$I$1027))*Paraméterek!$C$289,IF($D$4="Forint",0,2)),IF($D$4="Forint",Paraméterek!$C$285,Paraméterek!$D$285)),0)</f>
        <v>0</v>
      </c>
      <c r="BJ274" s="13">
        <f t="shared" ca="1" si="78"/>
        <v>0</v>
      </c>
      <c r="BK274" s="13">
        <f t="shared" ca="1" si="87"/>
        <v>0</v>
      </c>
      <c r="BL274" s="33"/>
      <c r="BM274" s="13">
        <f t="shared" ca="1" si="79"/>
        <v>0</v>
      </c>
      <c r="BN274" s="13">
        <f ca="1">ROUNDUP(($BK274+$BM274)*VLOOKUP($BE274,Paraméterek!$P$38:$Q$38,2)/12*IF($D275="Nem",IF($M$13=0,1,$M$13),1),IF($D$4="Forint",0,2))</f>
        <v>0</v>
      </c>
      <c r="BO274" s="13">
        <f t="shared" ca="1" si="80"/>
        <v>0</v>
      </c>
      <c r="BP274" s="13">
        <f ca="1">IF($D275="Nem",$BO274,$BO274-ROUNDUP(SUM($BI$20:$BI274)*120%,IF($D$4="Forint",0,2)))</f>
        <v>0</v>
      </c>
    </row>
    <row r="275" spans="1:68" x14ac:dyDescent="0.2">
      <c r="A275" s="32">
        <v>256</v>
      </c>
      <c r="B275" s="32">
        <v>22</v>
      </c>
      <c r="C275" s="32">
        <v>4</v>
      </c>
      <c r="D275" s="32" t="str">
        <f t="shared" ca="1" si="66"/>
        <v>Nem</v>
      </c>
      <c r="E275" s="13">
        <f t="shared" ca="1" si="67"/>
        <v>0</v>
      </c>
      <c r="F275" s="13"/>
      <c r="G275" s="13"/>
      <c r="H275" s="13"/>
      <c r="I275" s="13">
        <f t="shared" ca="1" si="68"/>
        <v>0</v>
      </c>
      <c r="J275" s="13">
        <f t="shared" ca="1" si="69"/>
        <v>0</v>
      </c>
      <c r="K275" s="13">
        <f t="shared" ca="1" si="70"/>
        <v>0</v>
      </c>
      <c r="L275" s="13" t="e">
        <f ca="1">ROUNDUP(IF($D$2="Egyszeri",$E275,IF($D$2="Havi",SUM($E$20:$E$31),IF(MOD($C275,$M$1)-1=0,SUM($E$20:$E$31),0))/12*$M$1)*VLOOKUP($B275,Paraméterek!$I$28:$P$31,IF($D$2="Egyszeri",8,HLOOKUP(ROUNDUP($M$11+$M$13,0),Paraméterek!$J$26:$O$27,2))),IF($D$4="Forint",0,2))</f>
        <v>#N/A</v>
      </c>
      <c r="M275" s="13">
        <f t="shared" ca="1" si="71"/>
        <v>0</v>
      </c>
      <c r="N275" s="13">
        <f t="shared" ca="1" si="81"/>
        <v>0</v>
      </c>
      <c r="O275" s="13">
        <f ca="1">IF($D275="Igen",IF($W274&gt;=IF($D$4="Forint",Paraméterek!$J$121,Paraméterek!$K$121),0,IF($D$4="Forint",Paraméterek!$J$121,Paraméterek!$K$121)-$W274),0)</f>
        <v>0</v>
      </c>
      <c r="P275" s="13" t="e">
        <f ca="1">ROUNDUP($O275*VLOOKUP($M$4+$B275-1,Paraméterek!$H$58:$I$105,2,0)/Paraméterek!$I$56,IF($D$4="Forint",0,2))</f>
        <v>#N/A</v>
      </c>
      <c r="Q275" s="13">
        <f t="shared" ca="1" si="72"/>
        <v>0</v>
      </c>
      <c r="R275" s="33"/>
      <c r="S275" s="13" t="e">
        <f t="shared" ca="1" si="73"/>
        <v>#N/A</v>
      </c>
      <c r="T275" s="13" t="e">
        <f ca="1">ROUNDUP(($N275-$P275-$Q275+$S275)*VLOOKUP($B275,Paraméterek!$I$38:$K$39,IF($D$2="Egyszeri",3,2))/12*IF($D276="Nem",IF($M$13=0,1,$M$13),1),IF($D$4="Forint",0,2))</f>
        <v>#N/A</v>
      </c>
      <c r="U275" s="13"/>
      <c r="V275" s="13"/>
      <c r="W275" s="13" t="e">
        <f ca="1">$N275-$P275-$Q275+$S275-$T275-IF(ROUNDUP(IF(ISBLANK($V275),$U275*0,$V275)/IF($D$2="Egyszeri",VLOOKUP($B275+IF($C275=12,1,0),Paraméterek!$V$257:$W$262,2),IF($B275=1,1,VLOOKUP($B275+IF($C275=12,1,0),Paraméterek!$I$258:$T$278,HLOOKUP($M$11+1,Paraméterek!$J$256:$T$257,2)))),IF($D$4="Forint",0,2))&gt;$N275-$P275-$Q275+$S275-$T275-IF($D$4="Forint",Paraméterek!$C$216,Paraméterek!$D$216),0,ROUNDUP(IF(ISBLANK($V275),$U275*0,$V275)/IF($D$2="Egyszeri",VLOOKUP($B275+IF($C275=12,1,0),Paraméterek!$V$257:$W$262,2),IF($B275=1,1,VLOOKUP($B275+IF($C275=12,1,0),Paraméterek!$I$258:$T$278,HLOOKUP($M$11+1,Paraméterek!$J$256:$T$257,2)))),IF($D$4="Forint",0,2)))</f>
        <v>#N/A</v>
      </c>
      <c r="X275" s="13" t="e">
        <f ca="1">ROUNDDOWN($W275*IF($D$2="Egyszeri",VLOOKUP($B275+IF($C275=12,1,0),Paraméterek!$V$257:$W$262,2),VLOOKUP($B275+IF($C275=12,1,0),Paraméterek!$I$258:$T$278,HLOOKUP($M$11+1,Paraméterek!$I$256:$T$257,2))),IF($D$4="Forint",0,2))</f>
        <v>#N/A</v>
      </c>
      <c r="Z275" s="32">
        <v>256</v>
      </c>
      <c r="AA275" s="32">
        <v>22</v>
      </c>
      <c r="AB275" s="32">
        <v>4</v>
      </c>
      <c r="AC275" s="13">
        <f t="shared" ca="1" si="82"/>
        <v>0</v>
      </c>
      <c r="AD275" s="33"/>
      <c r="AE275" s="13">
        <f t="shared" ca="1" si="74"/>
        <v>0</v>
      </c>
      <c r="AF275" s="13">
        <f ca="1">ROUNDUP(($AC275+$AE275)*VLOOKUP($AA275,Paraméterek!$P$38:$Q$38,2)/12*IF($D276="Nem",IF($M$13=0,1,$M$13),1),IF($D$4="Forint",0,2))</f>
        <v>0</v>
      </c>
      <c r="AG275" s="13">
        <f ca="1">IF($D$2="Egyszeri",IF($D$7&gt;=IF($D$4="Forint",Paraméterek!$P$223,Paraméterek!$P$224),$D$7-IF($D$4="Forint",Paraméterek!$P$223,Paraméterek!$P$224),0),MIN(IF($AB275=12,AVERAGEIF($E$20:$E275,"&gt;0",$E$20:$E275)*12,0),SUM($E$20:$E$31)))</f>
        <v>0</v>
      </c>
      <c r="AH275" s="13">
        <f>IF($AA275=10,$AG275*IF($AB275=12,IF($AG275&lt;IF($D$4="Forint",Paraméterek!$L$223,Paraméterek!$L$224),0,VLOOKUP($AA275,Paraméterek!$K$226:$M$228,IF($AG275&lt;IF($D$4="Forint",Paraméterek!$M$223,Paraméterek!$M$224),2,3))),0),0)</f>
        <v>0</v>
      </c>
      <c r="AI275" s="13">
        <f ca="1">IF(AND($AA275=$M$11+1,$AB275=$M$12+1),SUMIF($AA$20:$AA$1027,$AA275,$AG$20:$AG$1027)*IF(SUMIF($AA$20:$AA$1027,$AA275,$AG$20:$AG$1027)&lt;IF($D$4="Forint",Paraméterek!$L$223,Paraméterek!$L$224),0,VLOOKUP($AA275,Paraméterek!$K$230:$M$250,IF(SUMIF($AA$20:$AA$1027,$AA275,$AG$20:$AG$1027)&lt;IF($D$4="Forint",Paraméterek!$M$223,Paraméterek!$M$224),2,3))),0)</f>
        <v>0</v>
      </c>
      <c r="AJ275" s="13">
        <f ca="1">IF(AND($AA275&gt;=5,MOD($AA275,5)=0),IF($AB275=12,VLOOKUP($AA275,Paraméterek!$O$225:$P$240,2),0),IF(OR($AA275=3,$AA275=4),IF($AB275=12,VLOOKUP($AA275,Paraméterek!$O$225:$P$240,2,0),0),0))*$AG275</f>
        <v>0</v>
      </c>
      <c r="AK275" s="13">
        <f t="shared" ca="1" si="75"/>
        <v>0</v>
      </c>
      <c r="AL275" s="13">
        <f t="shared" ca="1" si="83"/>
        <v>0</v>
      </c>
      <c r="AM275" s="13">
        <f t="shared" ca="1" si="84"/>
        <v>0</v>
      </c>
      <c r="AO275" s="32">
        <v>256</v>
      </c>
      <c r="AP275" s="32">
        <v>22</v>
      </c>
      <c r="AQ275" s="32">
        <v>4</v>
      </c>
      <c r="AR275" s="13"/>
      <c r="AS275" s="32"/>
      <c r="AT275" s="13">
        <f t="shared" ca="1" si="85"/>
        <v>0</v>
      </c>
      <c r="AU275" s="33"/>
      <c r="AV275" s="13">
        <f t="shared" ca="1" si="76"/>
        <v>0</v>
      </c>
      <c r="AW275" s="13">
        <f ca="1">ROUNDUP(($AT275+$AV275)*VLOOKUP($AP275,Paraméterek!$P$38:$Q$38,2)/12*IF($D276="Nem",IF($M$13=0,1,$M$13),1),IF($D$4="Forint",0,2))</f>
        <v>0</v>
      </c>
      <c r="AX275" s="13"/>
      <c r="AY275" s="13"/>
      <c r="AZ275" s="13">
        <f>ROUNDUP(IF(SUM($AX275:$AY275)=0,0,IF(IF(ISBLANK($AY275),$AX275,$AY275)*Paraméterek!$J$112&lt;IF($D$4="Forint",Paraméterek!$J$113,Paraméterek!$K$113),IF($D$4="Forint",Paraméterek!$J$113,Paraméterek!$K$113),IF(IF(ISBLANK($AY275),$AX275,$AY275)*Paraméterek!$J$112&gt;IF($D$4="Forint",Paraméterek!$J$114,Paraméterek!$K$114),IF($D$4="Forint",Paraméterek!$J$114,Paraméterek!$K$114),IF(ISBLANK($AY275),$AX275,$AY275)*Paraméterek!$J$112))),IF($D$4="Forint",0,2))</f>
        <v>0</v>
      </c>
      <c r="BA275" s="13">
        <f ca="1">$AT275+$AV275-$AW275-IF(ROUNDDOWN(IF(ISBLANK($AY275),$AX275,$AY275),IF($D$4="Forint",0,2))&gt;$AT275+$AV275-$AW275-IF($D$4="Forint",Paraméterek!$J$114,Paraméterek!$K$114),0,ROUNDDOWN(IF(ISBLANK($AY275),$AX275,$AY275),IF($D$4="Forint",0,2))-$AZ275)</f>
        <v>0</v>
      </c>
      <c r="BB275" s="13">
        <f t="shared" ca="1" si="77"/>
        <v>0</v>
      </c>
      <c r="BD275" s="32">
        <v>256</v>
      </c>
      <c r="BE275" s="32">
        <v>22</v>
      </c>
      <c r="BF275" s="32">
        <v>4</v>
      </c>
      <c r="BG275" s="34">
        <f t="shared" ca="1" si="86"/>
        <v>2040</v>
      </c>
      <c r="BH275" s="32" t="str">
        <f ca="1">IF(MOD(MONTH($D$14)+$BD275-1,12)=Paraméterek!$C$288,"Igen","")</f>
        <v/>
      </c>
      <c r="BI275" s="13">
        <f ca="1">IF($BH275="Igen",MIN(ROUNDDOWN((SUMIF($BG$20:$BG$1027,$BG275-1,$K$20:$K$1027)-SUMIF($BG$20:$BG$1027,$BG275-1,$I$20:$I$1027))*Paraméterek!$C$289,IF($D$4="Forint",0,2)),IF($D$4="Forint",Paraméterek!$C$285,Paraméterek!$D$285)),0)</f>
        <v>0</v>
      </c>
      <c r="BJ275" s="13">
        <f t="shared" ca="1" si="78"/>
        <v>0</v>
      </c>
      <c r="BK275" s="13">
        <f t="shared" ca="1" si="87"/>
        <v>0</v>
      </c>
      <c r="BL275" s="33"/>
      <c r="BM275" s="13">
        <f t="shared" ca="1" si="79"/>
        <v>0</v>
      </c>
      <c r="BN275" s="13">
        <f ca="1">ROUNDUP(($BK275+$BM275)*VLOOKUP($BE275,Paraméterek!$P$38:$Q$38,2)/12*IF($D276="Nem",IF($M$13=0,1,$M$13),1),IF($D$4="Forint",0,2))</f>
        <v>0</v>
      </c>
      <c r="BO275" s="13">
        <f t="shared" ca="1" si="80"/>
        <v>0</v>
      </c>
      <c r="BP275" s="13">
        <f ca="1">IF($D276="Nem",$BO275,$BO275-ROUNDUP(SUM($BI$20:$BI275)*120%,IF($D$4="Forint",0,2)))</f>
        <v>0</v>
      </c>
    </row>
    <row r="276" spans="1:68" x14ac:dyDescent="0.2">
      <c r="A276" s="32">
        <v>257</v>
      </c>
      <c r="B276" s="32">
        <v>22</v>
      </c>
      <c r="C276" s="32">
        <v>5</v>
      </c>
      <c r="D276" s="32" t="str">
        <f t="shared" ca="1" si="66"/>
        <v>Nem</v>
      </c>
      <c r="E276" s="13">
        <f t="shared" ca="1" si="67"/>
        <v>0</v>
      </c>
      <c r="F276" s="13"/>
      <c r="G276" s="13"/>
      <c r="H276" s="13"/>
      <c r="I276" s="13">
        <f t="shared" ca="1" si="68"/>
        <v>0</v>
      </c>
      <c r="J276" s="13">
        <f t="shared" ca="1" si="69"/>
        <v>0</v>
      </c>
      <c r="K276" s="13">
        <f t="shared" ca="1" si="70"/>
        <v>0</v>
      </c>
      <c r="L276" s="13" t="e">
        <f ca="1">ROUNDUP(IF($D$2="Egyszeri",$E276,IF($D$2="Havi",SUM($E$20:$E$31),IF(MOD($C276,$M$1)-1=0,SUM($E$20:$E$31),0))/12*$M$1)*VLOOKUP($B276,Paraméterek!$I$28:$P$31,IF($D$2="Egyszeri",8,HLOOKUP(ROUNDUP($M$11+$M$13,0),Paraméterek!$J$26:$O$27,2))),IF($D$4="Forint",0,2))</f>
        <v>#N/A</v>
      </c>
      <c r="M276" s="13">
        <f t="shared" ca="1" si="71"/>
        <v>0</v>
      </c>
      <c r="N276" s="13">
        <f t="shared" ca="1" si="81"/>
        <v>0</v>
      </c>
      <c r="O276" s="13">
        <f ca="1">IF($D276="Igen",IF($W275&gt;=IF($D$4="Forint",Paraméterek!$J$121,Paraméterek!$K$121),0,IF($D$4="Forint",Paraméterek!$J$121,Paraméterek!$K$121)-$W275),0)</f>
        <v>0</v>
      </c>
      <c r="P276" s="13" t="e">
        <f ca="1">ROUNDUP($O276*VLOOKUP($M$4+$B276-1,Paraméterek!$H$58:$I$105,2,0)/Paraméterek!$I$56,IF($D$4="Forint",0,2))</f>
        <v>#N/A</v>
      </c>
      <c r="Q276" s="13">
        <f t="shared" ca="1" si="72"/>
        <v>0</v>
      </c>
      <c r="R276" s="33"/>
      <c r="S276" s="13" t="e">
        <f t="shared" ca="1" si="73"/>
        <v>#N/A</v>
      </c>
      <c r="T276" s="13" t="e">
        <f ca="1">ROUNDUP(($N276-$P276-$Q276+$S276)*VLOOKUP($B276,Paraméterek!$I$38:$K$39,IF($D$2="Egyszeri",3,2))/12*IF($D277="Nem",IF($M$13=0,1,$M$13),1),IF($D$4="Forint",0,2))</f>
        <v>#N/A</v>
      </c>
      <c r="U276" s="13"/>
      <c r="V276" s="13"/>
      <c r="W276" s="13" t="e">
        <f ca="1">$N276-$P276-$Q276+$S276-$T276-IF(ROUNDUP(IF(ISBLANK($V276),$U276*0,$V276)/IF($D$2="Egyszeri",VLOOKUP($B276+IF($C276=12,1,0),Paraméterek!$V$257:$W$262,2),IF($B276=1,1,VLOOKUP($B276+IF($C276=12,1,0),Paraméterek!$I$258:$T$278,HLOOKUP($M$11+1,Paraméterek!$J$256:$T$257,2)))),IF($D$4="Forint",0,2))&gt;$N276-$P276-$Q276+$S276-$T276-IF($D$4="Forint",Paraméterek!$C$216,Paraméterek!$D$216),0,ROUNDUP(IF(ISBLANK($V276),$U276*0,$V276)/IF($D$2="Egyszeri",VLOOKUP($B276+IF($C276=12,1,0),Paraméterek!$V$257:$W$262,2),IF($B276=1,1,VLOOKUP($B276+IF($C276=12,1,0),Paraméterek!$I$258:$T$278,HLOOKUP($M$11+1,Paraméterek!$J$256:$T$257,2)))),IF($D$4="Forint",0,2)))</f>
        <v>#N/A</v>
      </c>
      <c r="X276" s="13" t="e">
        <f ca="1">ROUNDDOWN($W276*IF($D$2="Egyszeri",VLOOKUP($B276+IF($C276=12,1,0),Paraméterek!$V$257:$W$262,2),VLOOKUP($B276+IF($C276=12,1,0),Paraméterek!$I$258:$T$278,HLOOKUP($M$11+1,Paraméterek!$I$256:$T$257,2))),IF($D$4="Forint",0,2))</f>
        <v>#N/A</v>
      </c>
      <c r="Z276" s="32">
        <v>257</v>
      </c>
      <c r="AA276" s="32">
        <v>22</v>
      </c>
      <c r="AB276" s="32">
        <v>5</v>
      </c>
      <c r="AC276" s="13">
        <f t="shared" ca="1" si="82"/>
        <v>0</v>
      </c>
      <c r="AD276" s="33"/>
      <c r="AE276" s="13">
        <f t="shared" ca="1" si="74"/>
        <v>0</v>
      </c>
      <c r="AF276" s="13">
        <f ca="1">ROUNDUP(($AC276+$AE276)*VLOOKUP($AA276,Paraméterek!$P$38:$Q$38,2)/12*IF($D277="Nem",IF($M$13=0,1,$M$13),1),IF($D$4="Forint",0,2))</f>
        <v>0</v>
      </c>
      <c r="AG276" s="13">
        <f ca="1">IF($D$2="Egyszeri",IF($D$7&gt;=IF($D$4="Forint",Paraméterek!$P$223,Paraméterek!$P$224),$D$7-IF($D$4="Forint",Paraméterek!$P$223,Paraméterek!$P$224),0),MIN(IF($AB276=12,AVERAGEIF($E$20:$E276,"&gt;0",$E$20:$E276)*12,0),SUM($E$20:$E$31)))</f>
        <v>0</v>
      </c>
      <c r="AH276" s="13">
        <f>IF($AA276=10,$AG276*IF($AB276=12,IF($AG276&lt;IF($D$4="Forint",Paraméterek!$L$223,Paraméterek!$L$224),0,VLOOKUP($AA276,Paraméterek!$K$226:$M$228,IF($AG276&lt;IF($D$4="Forint",Paraméterek!$M$223,Paraméterek!$M$224),2,3))),0),0)</f>
        <v>0</v>
      </c>
      <c r="AI276" s="13">
        <f ca="1">IF(AND($AA276=$M$11+1,$AB276=$M$12+1),SUMIF($AA$20:$AA$1027,$AA276,$AG$20:$AG$1027)*IF(SUMIF($AA$20:$AA$1027,$AA276,$AG$20:$AG$1027)&lt;IF($D$4="Forint",Paraméterek!$L$223,Paraméterek!$L$224),0,VLOOKUP($AA276,Paraméterek!$K$230:$M$250,IF(SUMIF($AA$20:$AA$1027,$AA276,$AG$20:$AG$1027)&lt;IF($D$4="Forint",Paraméterek!$M$223,Paraméterek!$M$224),2,3))),0)</f>
        <v>0</v>
      </c>
      <c r="AJ276" s="13">
        <f ca="1">IF(AND($AA276&gt;=5,MOD($AA276,5)=0),IF($AB276=12,VLOOKUP($AA276,Paraméterek!$O$225:$P$240,2),0),IF(OR($AA276=3,$AA276=4),IF($AB276=12,VLOOKUP($AA276,Paraméterek!$O$225:$P$240,2,0),0),0))*$AG276</f>
        <v>0</v>
      </c>
      <c r="AK276" s="13">
        <f t="shared" ca="1" si="75"/>
        <v>0</v>
      </c>
      <c r="AL276" s="13">
        <f t="shared" ca="1" si="83"/>
        <v>0</v>
      </c>
      <c r="AM276" s="13">
        <f t="shared" ca="1" si="84"/>
        <v>0</v>
      </c>
      <c r="AO276" s="32">
        <v>257</v>
      </c>
      <c r="AP276" s="32">
        <v>22</v>
      </c>
      <c r="AQ276" s="32">
        <v>5</v>
      </c>
      <c r="AR276" s="13"/>
      <c r="AS276" s="32"/>
      <c r="AT276" s="13">
        <f t="shared" ca="1" si="85"/>
        <v>0</v>
      </c>
      <c r="AU276" s="33"/>
      <c r="AV276" s="13">
        <f t="shared" ca="1" si="76"/>
        <v>0</v>
      </c>
      <c r="AW276" s="13">
        <f ca="1">ROUNDUP(($AT276+$AV276)*VLOOKUP($AP276,Paraméterek!$P$38:$Q$38,2)/12*IF($D277="Nem",IF($M$13=0,1,$M$13),1),IF($D$4="Forint",0,2))</f>
        <v>0</v>
      </c>
      <c r="AX276" s="13"/>
      <c r="AY276" s="13"/>
      <c r="AZ276" s="13">
        <f>ROUNDUP(IF(SUM($AX276:$AY276)=0,0,IF(IF(ISBLANK($AY276),$AX276,$AY276)*Paraméterek!$J$112&lt;IF($D$4="Forint",Paraméterek!$J$113,Paraméterek!$K$113),IF($D$4="Forint",Paraméterek!$J$113,Paraméterek!$K$113),IF(IF(ISBLANK($AY276),$AX276,$AY276)*Paraméterek!$J$112&gt;IF($D$4="Forint",Paraméterek!$J$114,Paraméterek!$K$114),IF($D$4="Forint",Paraméterek!$J$114,Paraméterek!$K$114),IF(ISBLANK($AY276),$AX276,$AY276)*Paraméterek!$J$112))),IF($D$4="Forint",0,2))</f>
        <v>0</v>
      </c>
      <c r="BA276" s="13">
        <f ca="1">$AT276+$AV276-$AW276-IF(ROUNDDOWN(IF(ISBLANK($AY276),$AX276,$AY276),IF($D$4="Forint",0,2))&gt;$AT276+$AV276-$AW276-IF($D$4="Forint",Paraméterek!$J$114,Paraméterek!$K$114),0,ROUNDDOWN(IF(ISBLANK($AY276),$AX276,$AY276),IF($D$4="Forint",0,2))-$AZ276)</f>
        <v>0</v>
      </c>
      <c r="BB276" s="13">
        <f t="shared" ca="1" si="77"/>
        <v>0</v>
      </c>
      <c r="BD276" s="32">
        <v>257</v>
      </c>
      <c r="BE276" s="32">
        <v>22</v>
      </c>
      <c r="BF276" s="32">
        <v>5</v>
      </c>
      <c r="BG276" s="34">
        <f t="shared" ca="1" si="86"/>
        <v>2040</v>
      </c>
      <c r="BH276" s="32" t="str">
        <f ca="1">IF(MOD(MONTH($D$14)+$BD276-1,12)=Paraméterek!$C$288,"Igen","")</f>
        <v/>
      </c>
      <c r="BI276" s="13">
        <f ca="1">IF($BH276="Igen",MIN(ROUNDDOWN((SUMIF($BG$20:$BG$1027,$BG276-1,$K$20:$K$1027)-SUMIF($BG$20:$BG$1027,$BG276-1,$I$20:$I$1027))*Paraméterek!$C$289,IF($D$4="Forint",0,2)),IF($D$4="Forint",Paraméterek!$C$285,Paraméterek!$D$285)),0)</f>
        <v>0</v>
      </c>
      <c r="BJ276" s="13">
        <f t="shared" ca="1" si="78"/>
        <v>0</v>
      </c>
      <c r="BK276" s="13">
        <f t="shared" ca="1" si="87"/>
        <v>0</v>
      </c>
      <c r="BL276" s="33"/>
      <c r="BM276" s="13">
        <f t="shared" ca="1" si="79"/>
        <v>0</v>
      </c>
      <c r="BN276" s="13">
        <f ca="1">ROUNDUP(($BK276+$BM276)*VLOOKUP($BE276,Paraméterek!$P$38:$Q$38,2)/12*IF($D277="Nem",IF($M$13=0,1,$M$13),1),IF($D$4="Forint",0,2))</f>
        <v>0</v>
      </c>
      <c r="BO276" s="13">
        <f t="shared" ca="1" si="80"/>
        <v>0</v>
      </c>
      <c r="BP276" s="13">
        <f ca="1">IF($D277="Nem",$BO276,$BO276-ROUNDUP(SUM($BI$20:$BI276)*120%,IF($D$4="Forint",0,2)))</f>
        <v>0</v>
      </c>
    </row>
    <row r="277" spans="1:68" x14ac:dyDescent="0.2">
      <c r="A277" s="32">
        <v>258</v>
      </c>
      <c r="B277" s="32">
        <v>22</v>
      </c>
      <c r="C277" s="32">
        <v>6</v>
      </c>
      <c r="D277" s="32" t="str">
        <f t="shared" ref="D277:D340" ca="1" si="88">IF($B277&lt;$M$11+1,"Igen",IF($B277&gt;$M$11+1,"Nem",IF($C277&lt;=$M$12+IF($M$13&gt;0,1,0),"Igen","Nem")))</f>
        <v>Nem</v>
      </c>
      <c r="E277" s="13">
        <f t="shared" ref="E277:E340" ca="1" si="89">IF($D277="Igen",IF($D$2="Egyszeri",IF($A277=1,$D$7,0),ROUNDUP(IF($D$2="Havi",$D$7,IF(MOD($C277,$M$1)-1=0,$D$7,0))*(1+$D$6)^($B277-1),IF($D$4="Forint",0,2))),0)</f>
        <v>0</v>
      </c>
      <c r="F277" s="13"/>
      <c r="G277" s="13"/>
      <c r="H277" s="13"/>
      <c r="I277" s="13">
        <f t="shared" ref="I277:I340" ca="1" si="90">ROUNDUP(IF(AND($D$8="Nincs",$D$2&lt;&gt;"Egyszeri"),$E277*10%,0),IF($D$4="Forint",0,2))</f>
        <v>0</v>
      </c>
      <c r="J277" s="13">
        <f t="shared" ref="J277:J340" ca="1" si="91">IF($D277="Igen",IF($D$2="Egyszeri",IF($A277=1,$M$3,0),ROUNDUP(IF($D$2="Havi",$M$3,IF(MOD($C277,$M$1)-1=0,$M$3,0))*(1+$M$2)^($B277-1),IF($D$4="Forint",0,2))),0)</f>
        <v>0</v>
      </c>
      <c r="K277" s="13">
        <f t="shared" ref="K277:K340" ca="1" si="92">IF($D277="Igen",IF(ISBLANK($F277),$E277,$F277)+IF(ISBLANK($H277),$G277,$H277)+$I277+$J277,0)</f>
        <v>0</v>
      </c>
      <c r="L277" s="13" t="e">
        <f ca="1">ROUNDUP(IF($D$2="Egyszeri",$E277,IF($D$2="Havi",SUM($E$20:$E$31),IF(MOD($C277,$M$1)-1=0,SUM($E$20:$E$31),0))/12*$M$1)*VLOOKUP($B277,Paraméterek!$I$28:$P$31,IF($D$2="Egyszeri",8,HLOOKUP(ROUNDUP($M$11+$M$13,0),Paraméterek!$J$26:$O$27,2))),IF($D$4="Forint",0,2))</f>
        <v>#N/A</v>
      </c>
      <c r="M277" s="13">
        <f t="shared" ref="M277:M340" ca="1" si="93">IF($D277="Igen",$E277-$L277+IF(ISBLANK($H277),$G277,$H277),0)</f>
        <v>0</v>
      </c>
      <c r="N277" s="13">
        <f t="shared" ca="1" si="81"/>
        <v>0</v>
      </c>
      <c r="O277" s="13">
        <f ca="1">IF($D277="Igen",IF($W276&gt;=IF($D$4="Forint",Paraméterek!$J$121,Paraméterek!$K$121),0,IF($D$4="Forint",Paraméterek!$J$121,Paraméterek!$K$121)-$W276),0)</f>
        <v>0</v>
      </c>
      <c r="P277" s="13" t="e">
        <f ca="1">ROUNDUP($O277*VLOOKUP($M$4+$B277-1,Paraméterek!$H$58:$I$105,2,0)/Paraméterek!$I$56,IF($D$4="Forint",0,2))</f>
        <v>#N/A</v>
      </c>
      <c r="Q277" s="13">
        <f t="shared" ref="Q277:Q340" ca="1" si="94">IF($D277="Igen",ROUNDUP($M$5*(1+$M$2)^($B277-1),IF($D$4="Forint",0,2)),0)</f>
        <v>0</v>
      </c>
      <c r="R277" s="33"/>
      <c r="S277" s="13" t="e">
        <f t="shared" ref="S277:S340" ca="1" si="95">ROUNDDOWN(($N277-$P277-$Q277)*IF(ISBLANK($R277),$M$6,$R277)*IF($D278="Nem",IF($M$13=0,1,$M$13),1),IF($D$4="Forint",0,2))</f>
        <v>#N/A</v>
      </c>
      <c r="T277" s="13" t="e">
        <f ca="1">ROUNDUP(($N277-$P277-$Q277+$S277)*VLOOKUP($B277,Paraméterek!$I$38:$K$39,IF($D$2="Egyszeri",3,2))/12*IF($D278="Nem",IF($M$13=0,1,$M$13),1),IF($D$4="Forint",0,2))</f>
        <v>#N/A</v>
      </c>
      <c r="U277" s="13"/>
      <c r="V277" s="13"/>
      <c r="W277" s="13" t="e">
        <f ca="1">$N277-$P277-$Q277+$S277-$T277-IF(ROUNDUP(IF(ISBLANK($V277),$U277*0,$V277)/IF($D$2="Egyszeri",VLOOKUP($B277+IF($C277=12,1,0),Paraméterek!$V$257:$W$262,2),IF($B277=1,1,VLOOKUP($B277+IF($C277=12,1,0),Paraméterek!$I$258:$T$278,HLOOKUP($M$11+1,Paraméterek!$J$256:$T$257,2)))),IF($D$4="Forint",0,2))&gt;$N277-$P277-$Q277+$S277-$T277-IF($D$4="Forint",Paraméterek!$C$216,Paraméterek!$D$216),0,ROUNDUP(IF(ISBLANK($V277),$U277*0,$V277)/IF($D$2="Egyszeri",VLOOKUP($B277+IF($C277=12,1,0),Paraméterek!$V$257:$W$262,2),IF($B277=1,1,VLOOKUP($B277+IF($C277=12,1,0),Paraméterek!$I$258:$T$278,HLOOKUP($M$11+1,Paraméterek!$J$256:$T$257,2)))),IF($D$4="Forint",0,2)))</f>
        <v>#N/A</v>
      </c>
      <c r="X277" s="13" t="e">
        <f ca="1">ROUNDDOWN($W277*IF($D$2="Egyszeri",VLOOKUP($B277+IF($C277=12,1,0),Paraméterek!$V$257:$W$262,2),VLOOKUP($B277+IF($C277=12,1,0),Paraméterek!$I$258:$T$278,HLOOKUP($M$11+1,Paraméterek!$I$256:$T$257,2))),IF($D$4="Forint",0,2))</f>
        <v>#N/A</v>
      </c>
      <c r="Z277" s="32">
        <v>258</v>
      </c>
      <c r="AA277" s="32">
        <v>22</v>
      </c>
      <c r="AB277" s="32">
        <v>6</v>
      </c>
      <c r="AC277" s="13">
        <f t="shared" ca="1" si="82"/>
        <v>0</v>
      </c>
      <c r="AD277" s="33"/>
      <c r="AE277" s="13">
        <f t="shared" ref="AE277:AE340" ca="1" si="96">ROUNDDOWN($AC277*IF(ISBLANK($AD277),$M$8,$AD277)*IF($D278="Nem",IF($M$13=0,1,$M$13),1),IF($D$4="Forint",0,2))</f>
        <v>0</v>
      </c>
      <c r="AF277" s="13">
        <f ca="1">ROUNDUP(($AC277+$AE277)*VLOOKUP($AA277,Paraméterek!$P$38:$Q$38,2)/12*IF($D278="Nem",IF($M$13=0,1,$M$13),1),IF($D$4="Forint",0,2))</f>
        <v>0</v>
      </c>
      <c r="AG277" s="13">
        <f ca="1">IF($D$2="Egyszeri",IF($D$7&gt;=IF($D$4="Forint",Paraméterek!$P$223,Paraméterek!$P$224),$D$7-IF($D$4="Forint",Paraméterek!$P$223,Paraméterek!$P$224),0),MIN(IF($AB277=12,AVERAGEIF($E$20:$E277,"&gt;0",$E$20:$E277)*12,0),SUM($E$20:$E$31)))</f>
        <v>0</v>
      </c>
      <c r="AH277" s="13">
        <f>IF($AA277=10,$AG277*IF($AB277=12,IF($AG277&lt;IF($D$4="Forint",Paraméterek!$L$223,Paraméterek!$L$224),0,VLOOKUP($AA277,Paraméterek!$K$226:$M$228,IF($AG277&lt;IF($D$4="Forint",Paraméterek!$M$223,Paraméterek!$M$224),2,3))),0),0)</f>
        <v>0</v>
      </c>
      <c r="AI277" s="13">
        <f ca="1">IF(AND($AA277=$M$11+1,$AB277=$M$12+1),SUMIF($AA$20:$AA$1027,$AA277,$AG$20:$AG$1027)*IF(SUMIF($AA$20:$AA$1027,$AA277,$AG$20:$AG$1027)&lt;IF($D$4="Forint",Paraméterek!$L$223,Paraméterek!$L$224),0,VLOOKUP($AA277,Paraméterek!$K$230:$M$250,IF(SUMIF($AA$20:$AA$1027,$AA277,$AG$20:$AG$1027)&lt;IF($D$4="Forint",Paraméterek!$M$223,Paraméterek!$M$224),2,3))),0)</f>
        <v>0</v>
      </c>
      <c r="AJ277" s="13">
        <f ca="1">IF(AND($AA277&gt;=5,MOD($AA277,5)=0),IF($AB277=12,VLOOKUP($AA277,Paraméterek!$O$225:$P$240,2),0),IF(OR($AA277=3,$AA277=4),IF($AB277=12,VLOOKUP($AA277,Paraméterek!$O$225:$P$240,2,0),0),0))*$AG277</f>
        <v>0</v>
      </c>
      <c r="AK277" s="13">
        <f t="shared" ref="AK277:AK340" ca="1" si="97">ROUNDDOWN(IF($D$2="Egyszeri",$AJ277,$AH277+$AI277),IF($D$4="Forint",0,2))</f>
        <v>0</v>
      </c>
      <c r="AL277" s="13">
        <f t="shared" ca="1" si="83"/>
        <v>0</v>
      </c>
      <c r="AM277" s="13">
        <f t="shared" ca="1" si="84"/>
        <v>0</v>
      </c>
      <c r="AO277" s="32">
        <v>258</v>
      </c>
      <c r="AP277" s="32">
        <v>22</v>
      </c>
      <c r="AQ277" s="32">
        <v>6</v>
      </c>
      <c r="AR277" s="13"/>
      <c r="AS277" s="32"/>
      <c r="AT277" s="13">
        <f t="shared" ca="1" si="85"/>
        <v>0</v>
      </c>
      <c r="AU277" s="33"/>
      <c r="AV277" s="13">
        <f t="shared" ref="AV277:AV340" ca="1" si="98">ROUNDDOWN($AT277*IF(ISBLANK($AU277),$M$7,$AU277)*IF($D278="Nem",IF($M$13=0,1,$M$13),1),IF($D$4="Forint",0,2))</f>
        <v>0</v>
      </c>
      <c r="AW277" s="13">
        <f ca="1">ROUNDUP(($AT277+$AV277)*VLOOKUP($AP277,Paraméterek!$P$38:$Q$38,2)/12*IF($D278="Nem",IF($M$13=0,1,$M$13),1),IF($D$4="Forint",0,2))</f>
        <v>0</v>
      </c>
      <c r="AX277" s="13"/>
      <c r="AY277" s="13"/>
      <c r="AZ277" s="13">
        <f>ROUNDUP(IF(SUM($AX277:$AY277)=0,0,IF(IF(ISBLANK($AY277),$AX277,$AY277)*Paraméterek!$J$112&lt;IF($D$4="Forint",Paraméterek!$J$113,Paraméterek!$K$113),IF($D$4="Forint",Paraméterek!$J$113,Paraméterek!$K$113),IF(IF(ISBLANK($AY277),$AX277,$AY277)*Paraméterek!$J$112&gt;IF($D$4="Forint",Paraméterek!$J$114,Paraméterek!$K$114),IF($D$4="Forint",Paraméterek!$J$114,Paraméterek!$K$114),IF(ISBLANK($AY277),$AX277,$AY277)*Paraméterek!$J$112))),IF($D$4="Forint",0,2))</f>
        <v>0</v>
      </c>
      <c r="BA277" s="13">
        <f ca="1">$AT277+$AV277-$AW277-IF(ROUNDDOWN(IF(ISBLANK($AY277),$AX277,$AY277),IF($D$4="Forint",0,2))&gt;$AT277+$AV277-$AW277-IF($D$4="Forint",Paraméterek!$J$114,Paraméterek!$K$114),0,ROUNDDOWN(IF(ISBLANK($AY277),$AX277,$AY277),IF($D$4="Forint",0,2))-$AZ277)</f>
        <v>0</v>
      </c>
      <c r="BB277" s="13">
        <f t="shared" ref="BB277:BB340" ca="1" si="99">$BA277</f>
        <v>0</v>
      </c>
      <c r="BD277" s="32">
        <v>258</v>
      </c>
      <c r="BE277" s="32">
        <v>22</v>
      </c>
      <c r="BF277" s="32">
        <v>6</v>
      </c>
      <c r="BG277" s="34">
        <f t="shared" ca="1" si="86"/>
        <v>2040</v>
      </c>
      <c r="BH277" s="32" t="str">
        <f ca="1">IF(MOD(MONTH($D$14)+$BD277-1,12)=Paraméterek!$C$288,"Igen","")</f>
        <v/>
      </c>
      <c r="BI277" s="13">
        <f ca="1">IF($BH277="Igen",MIN(ROUNDDOWN((SUMIF($BG$20:$BG$1027,$BG277-1,$K$20:$K$1027)-SUMIF($BG$20:$BG$1027,$BG277-1,$I$20:$I$1027))*Paraméterek!$C$289,IF($D$4="Forint",0,2)),IF($D$4="Forint",Paraméterek!$C$285,Paraméterek!$D$285)),0)</f>
        <v>0</v>
      </c>
      <c r="BJ277" s="13">
        <f t="shared" ref="BJ277:BJ340" ca="1" si="100">IF(AND($D277="Igen",$BH277="Igen"),$BI277,0)</f>
        <v>0</v>
      </c>
      <c r="BK277" s="13">
        <f t="shared" ca="1" si="87"/>
        <v>0</v>
      </c>
      <c r="BL277" s="33"/>
      <c r="BM277" s="13">
        <f t="shared" ref="BM277:BM340" ca="1" si="101">ROUNDDOWN($BK277*IF(ISBLANK($BL277),$M$9,$BL277)*IF($D278="Nem",IF($M$13=0,1,$M$13),1),IF($D$4="Forint",0,2))</f>
        <v>0</v>
      </c>
      <c r="BN277" s="13">
        <f ca="1">ROUNDUP(($BK277+$BM277)*VLOOKUP($BE277,Paraméterek!$P$38:$Q$38,2)/12*IF($D278="Nem",IF($M$13=0,1,$M$13),1),IF($D$4="Forint",0,2))</f>
        <v>0</v>
      </c>
      <c r="BO277" s="13">
        <f t="shared" ref="BO277:BO340" ca="1" si="102">$BK277+$BM277-$BN277</f>
        <v>0</v>
      </c>
      <c r="BP277" s="13">
        <f ca="1">IF($D278="Nem",$BO277,$BO277-ROUNDUP(SUM($BI$20:$BI277)*120%,IF($D$4="Forint",0,2)))</f>
        <v>0</v>
      </c>
    </row>
    <row r="278" spans="1:68" x14ac:dyDescent="0.2">
      <c r="A278" s="32">
        <v>259</v>
      </c>
      <c r="B278" s="32">
        <v>22</v>
      </c>
      <c r="C278" s="32">
        <v>7</v>
      </c>
      <c r="D278" s="32" t="str">
        <f t="shared" ca="1" si="88"/>
        <v>Nem</v>
      </c>
      <c r="E278" s="13">
        <f t="shared" ca="1" si="89"/>
        <v>0</v>
      </c>
      <c r="F278" s="13"/>
      <c r="G278" s="13"/>
      <c r="H278" s="13"/>
      <c r="I278" s="13">
        <f t="shared" ca="1" si="90"/>
        <v>0</v>
      </c>
      <c r="J278" s="13">
        <f t="shared" ca="1" si="91"/>
        <v>0</v>
      </c>
      <c r="K278" s="13">
        <f t="shared" ca="1" si="92"/>
        <v>0</v>
      </c>
      <c r="L278" s="13" t="e">
        <f ca="1">ROUNDUP(IF($D$2="Egyszeri",$E278,IF($D$2="Havi",SUM($E$20:$E$31),IF(MOD($C278,$M$1)-1=0,SUM($E$20:$E$31),0))/12*$M$1)*VLOOKUP($B278,Paraméterek!$I$28:$P$31,IF($D$2="Egyszeri",8,HLOOKUP(ROUNDUP($M$11+$M$13,0),Paraméterek!$J$26:$O$27,2))),IF($D$4="Forint",0,2))</f>
        <v>#N/A</v>
      </c>
      <c r="M278" s="13">
        <f t="shared" ca="1" si="93"/>
        <v>0</v>
      </c>
      <c r="N278" s="13">
        <f t="shared" ref="N278:N341" ca="1" si="103">IF($D278="Igen",$M278+$W277,0)</f>
        <v>0</v>
      </c>
      <c r="O278" s="13">
        <f ca="1">IF($D278="Igen",IF($W277&gt;=IF($D$4="Forint",Paraméterek!$J$121,Paraméterek!$K$121),0,IF($D$4="Forint",Paraméterek!$J$121,Paraméterek!$K$121)-$W277),0)</f>
        <v>0</v>
      </c>
      <c r="P278" s="13" t="e">
        <f ca="1">ROUNDUP($O278*VLOOKUP($M$4+$B278-1,Paraméterek!$H$58:$I$105,2,0)/Paraméterek!$I$56,IF($D$4="Forint",0,2))</f>
        <v>#N/A</v>
      </c>
      <c r="Q278" s="13">
        <f t="shared" ca="1" si="94"/>
        <v>0</v>
      </c>
      <c r="R278" s="33"/>
      <c r="S278" s="13" t="e">
        <f t="shared" ca="1" si="95"/>
        <v>#N/A</v>
      </c>
      <c r="T278" s="13" t="e">
        <f ca="1">ROUNDUP(($N278-$P278-$Q278+$S278)*VLOOKUP($B278,Paraméterek!$I$38:$K$39,IF($D$2="Egyszeri",3,2))/12*IF($D279="Nem",IF($M$13=0,1,$M$13),1),IF($D$4="Forint",0,2))</f>
        <v>#N/A</v>
      </c>
      <c r="U278" s="13"/>
      <c r="V278" s="13"/>
      <c r="W278" s="13" t="e">
        <f ca="1">$N278-$P278-$Q278+$S278-$T278-IF(ROUNDUP(IF(ISBLANK($V278),$U278*0,$V278)/IF($D$2="Egyszeri",VLOOKUP($B278+IF($C278=12,1,0),Paraméterek!$V$257:$W$262,2),IF($B278=1,1,VLOOKUP($B278+IF($C278=12,1,0),Paraméterek!$I$258:$T$278,HLOOKUP($M$11+1,Paraméterek!$J$256:$T$257,2)))),IF($D$4="Forint",0,2))&gt;$N278-$P278-$Q278+$S278-$T278-IF($D$4="Forint",Paraméterek!$C$216,Paraméterek!$D$216),0,ROUNDUP(IF(ISBLANK($V278),$U278*0,$V278)/IF($D$2="Egyszeri",VLOOKUP($B278+IF($C278=12,1,0),Paraméterek!$V$257:$W$262,2),IF($B278=1,1,VLOOKUP($B278+IF($C278=12,1,0),Paraméterek!$I$258:$T$278,HLOOKUP($M$11+1,Paraméterek!$J$256:$T$257,2)))),IF($D$4="Forint",0,2)))</f>
        <v>#N/A</v>
      </c>
      <c r="X278" s="13" t="e">
        <f ca="1">ROUNDDOWN($W278*IF($D$2="Egyszeri",VLOOKUP($B278+IF($C278=12,1,0),Paraméterek!$V$257:$W$262,2),VLOOKUP($B278+IF($C278=12,1,0),Paraméterek!$I$258:$T$278,HLOOKUP($M$11+1,Paraméterek!$I$256:$T$257,2))),IF($D$4="Forint",0,2))</f>
        <v>#N/A</v>
      </c>
      <c r="Z278" s="32">
        <v>259</v>
      </c>
      <c r="AA278" s="32">
        <v>22</v>
      </c>
      <c r="AB278" s="32">
        <v>7</v>
      </c>
      <c r="AC278" s="13">
        <f t="shared" ref="AC278:AC341" ca="1" si="104">IF($D278="Igen",$AL277,0)</f>
        <v>0</v>
      </c>
      <c r="AD278" s="33"/>
      <c r="AE278" s="13">
        <f t="shared" ca="1" si="96"/>
        <v>0</v>
      </c>
      <c r="AF278" s="13">
        <f ca="1">ROUNDUP(($AC278+$AE278)*VLOOKUP($AA278,Paraméterek!$P$38:$Q$38,2)/12*IF($D279="Nem",IF($M$13=0,1,$M$13),1),IF($D$4="Forint",0,2))</f>
        <v>0</v>
      </c>
      <c r="AG278" s="13">
        <f ca="1">IF($D$2="Egyszeri",IF($D$7&gt;=IF($D$4="Forint",Paraméterek!$P$223,Paraméterek!$P$224),$D$7-IF($D$4="Forint",Paraméterek!$P$223,Paraméterek!$P$224),0),MIN(IF($AB278=12,AVERAGEIF($E$20:$E278,"&gt;0",$E$20:$E278)*12,0),SUM($E$20:$E$31)))</f>
        <v>0</v>
      </c>
      <c r="AH278" s="13">
        <f>IF($AA278=10,$AG278*IF($AB278=12,IF($AG278&lt;IF($D$4="Forint",Paraméterek!$L$223,Paraméterek!$L$224),0,VLOOKUP($AA278,Paraméterek!$K$226:$M$228,IF($AG278&lt;IF($D$4="Forint",Paraméterek!$M$223,Paraméterek!$M$224),2,3))),0),0)</f>
        <v>0</v>
      </c>
      <c r="AI278" s="13">
        <f ca="1">IF(AND($AA278=$M$11+1,$AB278=$M$12+1),SUMIF($AA$20:$AA$1027,$AA278,$AG$20:$AG$1027)*IF(SUMIF($AA$20:$AA$1027,$AA278,$AG$20:$AG$1027)&lt;IF($D$4="Forint",Paraméterek!$L$223,Paraméterek!$L$224),0,VLOOKUP($AA278,Paraméterek!$K$230:$M$250,IF(SUMIF($AA$20:$AA$1027,$AA278,$AG$20:$AG$1027)&lt;IF($D$4="Forint",Paraméterek!$M$223,Paraméterek!$M$224),2,3))),0)</f>
        <v>0</v>
      </c>
      <c r="AJ278" s="13">
        <f ca="1">IF(AND($AA278&gt;=5,MOD($AA278,5)=0),IF($AB278=12,VLOOKUP($AA278,Paraméterek!$O$225:$P$240,2),0),IF(OR($AA278=3,$AA278=4),IF($AB278=12,VLOOKUP($AA278,Paraméterek!$O$225:$P$240,2,0),0),0))*$AG278</f>
        <v>0</v>
      </c>
      <c r="AK278" s="13">
        <f t="shared" ca="1" si="97"/>
        <v>0</v>
      </c>
      <c r="AL278" s="13">
        <f t="shared" ref="AL278:AL341" ca="1" si="105">$AC278+$AE278-$AF278+$AK278</f>
        <v>0</v>
      </c>
      <c r="AM278" s="13">
        <f t="shared" ref="AM278:AM341" ca="1" si="106">$AL278</f>
        <v>0</v>
      </c>
      <c r="AO278" s="32">
        <v>259</v>
      </c>
      <c r="AP278" s="32">
        <v>22</v>
      </c>
      <c r="AQ278" s="32">
        <v>7</v>
      </c>
      <c r="AR278" s="13"/>
      <c r="AS278" s="32"/>
      <c r="AT278" s="13">
        <f t="shared" ref="AT278:AT341" ca="1" si="107">IF($D278="Igen",IF(ISBLANK($AS278),$AR278,$AS278)+$BA277,0)</f>
        <v>0</v>
      </c>
      <c r="AU278" s="33"/>
      <c r="AV278" s="13">
        <f t="shared" ca="1" si="98"/>
        <v>0</v>
      </c>
      <c r="AW278" s="13">
        <f ca="1">ROUNDUP(($AT278+$AV278)*VLOOKUP($AP278,Paraméterek!$P$38:$Q$38,2)/12*IF($D279="Nem",IF($M$13=0,1,$M$13),1),IF($D$4="Forint",0,2))</f>
        <v>0</v>
      </c>
      <c r="AX278" s="13"/>
      <c r="AY278" s="13"/>
      <c r="AZ278" s="13">
        <f>ROUNDUP(IF(SUM($AX278:$AY278)=0,0,IF(IF(ISBLANK($AY278),$AX278,$AY278)*Paraméterek!$J$112&lt;IF($D$4="Forint",Paraméterek!$J$113,Paraméterek!$K$113),IF($D$4="Forint",Paraméterek!$J$113,Paraméterek!$K$113),IF(IF(ISBLANK($AY278),$AX278,$AY278)*Paraméterek!$J$112&gt;IF($D$4="Forint",Paraméterek!$J$114,Paraméterek!$K$114),IF($D$4="Forint",Paraméterek!$J$114,Paraméterek!$K$114),IF(ISBLANK($AY278),$AX278,$AY278)*Paraméterek!$J$112))),IF($D$4="Forint",0,2))</f>
        <v>0</v>
      </c>
      <c r="BA278" s="13">
        <f ca="1">$AT278+$AV278-$AW278-IF(ROUNDDOWN(IF(ISBLANK($AY278),$AX278,$AY278),IF($D$4="Forint",0,2))&gt;$AT278+$AV278-$AW278-IF($D$4="Forint",Paraméterek!$J$114,Paraméterek!$K$114),0,ROUNDDOWN(IF(ISBLANK($AY278),$AX278,$AY278),IF($D$4="Forint",0,2))-$AZ278)</f>
        <v>0</v>
      </c>
      <c r="BB278" s="13">
        <f t="shared" ca="1" si="99"/>
        <v>0</v>
      </c>
      <c r="BD278" s="32">
        <v>259</v>
      </c>
      <c r="BE278" s="32">
        <v>22</v>
      </c>
      <c r="BF278" s="32">
        <v>7</v>
      </c>
      <c r="BG278" s="34">
        <f t="shared" ref="BG278:BG341" ca="1" si="108">$BG277+IF(MOD(MONTH($D$14)+$BD278-1,12)=1,1,0)</f>
        <v>2040</v>
      </c>
      <c r="BH278" s="32" t="str">
        <f ca="1">IF(MOD(MONTH($D$14)+$BD278-1,12)=Paraméterek!$C$288,"Igen","")</f>
        <v/>
      </c>
      <c r="BI278" s="13">
        <f ca="1">IF($BH278="Igen",MIN(ROUNDDOWN((SUMIF($BG$20:$BG$1027,$BG278-1,$K$20:$K$1027)-SUMIF($BG$20:$BG$1027,$BG278-1,$I$20:$I$1027))*Paraméterek!$C$289,IF($D$4="Forint",0,2)),IF($D$4="Forint",Paraméterek!$C$285,Paraméterek!$D$285)),0)</f>
        <v>0</v>
      </c>
      <c r="BJ278" s="13">
        <f t="shared" ca="1" si="100"/>
        <v>0</v>
      </c>
      <c r="BK278" s="13">
        <f t="shared" ref="BK278:BK341" ca="1" si="109">$BJ278+IF($D278="Igen",$BO277,0)</f>
        <v>0</v>
      </c>
      <c r="BL278" s="33"/>
      <c r="BM278" s="13">
        <f t="shared" ca="1" si="101"/>
        <v>0</v>
      </c>
      <c r="BN278" s="13">
        <f ca="1">ROUNDUP(($BK278+$BM278)*VLOOKUP($BE278,Paraméterek!$P$38:$Q$38,2)/12*IF($D279="Nem",IF($M$13=0,1,$M$13),1),IF($D$4="Forint",0,2))</f>
        <v>0</v>
      </c>
      <c r="BO278" s="13">
        <f t="shared" ca="1" si="102"/>
        <v>0</v>
      </c>
      <c r="BP278" s="13">
        <f ca="1">IF($D279="Nem",$BO278,$BO278-ROUNDUP(SUM($BI$20:$BI278)*120%,IF($D$4="Forint",0,2)))</f>
        <v>0</v>
      </c>
    </row>
    <row r="279" spans="1:68" x14ac:dyDescent="0.2">
      <c r="A279" s="32">
        <v>260</v>
      </c>
      <c r="B279" s="32">
        <v>22</v>
      </c>
      <c r="C279" s="32">
        <v>8</v>
      </c>
      <c r="D279" s="32" t="str">
        <f t="shared" ca="1" si="88"/>
        <v>Nem</v>
      </c>
      <c r="E279" s="13">
        <f t="shared" ca="1" si="89"/>
        <v>0</v>
      </c>
      <c r="F279" s="13"/>
      <c r="G279" s="13"/>
      <c r="H279" s="13"/>
      <c r="I279" s="13">
        <f t="shared" ca="1" si="90"/>
        <v>0</v>
      </c>
      <c r="J279" s="13">
        <f t="shared" ca="1" si="91"/>
        <v>0</v>
      </c>
      <c r="K279" s="13">
        <f t="shared" ca="1" si="92"/>
        <v>0</v>
      </c>
      <c r="L279" s="13" t="e">
        <f ca="1">ROUNDUP(IF($D$2="Egyszeri",$E279,IF($D$2="Havi",SUM($E$20:$E$31),IF(MOD($C279,$M$1)-1=0,SUM($E$20:$E$31),0))/12*$M$1)*VLOOKUP($B279,Paraméterek!$I$28:$P$31,IF($D$2="Egyszeri",8,HLOOKUP(ROUNDUP($M$11+$M$13,0),Paraméterek!$J$26:$O$27,2))),IF($D$4="Forint",0,2))</f>
        <v>#N/A</v>
      </c>
      <c r="M279" s="13">
        <f t="shared" ca="1" si="93"/>
        <v>0</v>
      </c>
      <c r="N279" s="13">
        <f t="shared" ca="1" si="103"/>
        <v>0</v>
      </c>
      <c r="O279" s="13">
        <f ca="1">IF($D279="Igen",IF($W278&gt;=IF($D$4="Forint",Paraméterek!$J$121,Paraméterek!$K$121),0,IF($D$4="Forint",Paraméterek!$J$121,Paraméterek!$K$121)-$W278),0)</f>
        <v>0</v>
      </c>
      <c r="P279" s="13" t="e">
        <f ca="1">ROUNDUP($O279*VLOOKUP($M$4+$B279-1,Paraméterek!$H$58:$I$105,2,0)/Paraméterek!$I$56,IF($D$4="Forint",0,2))</f>
        <v>#N/A</v>
      </c>
      <c r="Q279" s="13">
        <f t="shared" ca="1" si="94"/>
        <v>0</v>
      </c>
      <c r="R279" s="33"/>
      <c r="S279" s="13" t="e">
        <f t="shared" ca="1" si="95"/>
        <v>#N/A</v>
      </c>
      <c r="T279" s="13" t="e">
        <f ca="1">ROUNDUP(($N279-$P279-$Q279+$S279)*VLOOKUP($B279,Paraméterek!$I$38:$K$39,IF($D$2="Egyszeri",3,2))/12*IF($D280="Nem",IF($M$13=0,1,$M$13),1),IF($D$4="Forint",0,2))</f>
        <v>#N/A</v>
      </c>
      <c r="U279" s="13"/>
      <c r="V279" s="13"/>
      <c r="W279" s="13" t="e">
        <f ca="1">$N279-$P279-$Q279+$S279-$T279-IF(ROUNDUP(IF(ISBLANK($V279),$U279*0,$V279)/IF($D$2="Egyszeri",VLOOKUP($B279+IF($C279=12,1,0),Paraméterek!$V$257:$W$262,2),IF($B279=1,1,VLOOKUP($B279+IF($C279=12,1,0),Paraméterek!$I$258:$T$278,HLOOKUP($M$11+1,Paraméterek!$J$256:$T$257,2)))),IF($D$4="Forint",0,2))&gt;$N279-$P279-$Q279+$S279-$T279-IF($D$4="Forint",Paraméterek!$C$216,Paraméterek!$D$216),0,ROUNDUP(IF(ISBLANK($V279),$U279*0,$V279)/IF($D$2="Egyszeri",VLOOKUP($B279+IF($C279=12,1,0),Paraméterek!$V$257:$W$262,2),IF($B279=1,1,VLOOKUP($B279+IF($C279=12,1,0),Paraméterek!$I$258:$T$278,HLOOKUP($M$11+1,Paraméterek!$J$256:$T$257,2)))),IF($D$4="Forint",0,2)))</f>
        <v>#N/A</v>
      </c>
      <c r="X279" s="13" t="e">
        <f ca="1">ROUNDDOWN($W279*IF($D$2="Egyszeri",VLOOKUP($B279+IF($C279=12,1,0),Paraméterek!$V$257:$W$262,2),VLOOKUP($B279+IF($C279=12,1,0),Paraméterek!$I$258:$T$278,HLOOKUP($M$11+1,Paraméterek!$I$256:$T$257,2))),IF($D$4="Forint",0,2))</f>
        <v>#N/A</v>
      </c>
      <c r="Z279" s="32">
        <v>260</v>
      </c>
      <c r="AA279" s="32">
        <v>22</v>
      </c>
      <c r="AB279" s="32">
        <v>8</v>
      </c>
      <c r="AC279" s="13">
        <f t="shared" ca="1" si="104"/>
        <v>0</v>
      </c>
      <c r="AD279" s="33"/>
      <c r="AE279" s="13">
        <f t="shared" ca="1" si="96"/>
        <v>0</v>
      </c>
      <c r="AF279" s="13">
        <f ca="1">ROUNDUP(($AC279+$AE279)*VLOOKUP($AA279,Paraméterek!$P$38:$Q$38,2)/12*IF($D280="Nem",IF($M$13=0,1,$M$13),1),IF($D$4="Forint",0,2))</f>
        <v>0</v>
      </c>
      <c r="AG279" s="13">
        <f ca="1">IF($D$2="Egyszeri",IF($D$7&gt;=IF($D$4="Forint",Paraméterek!$P$223,Paraméterek!$P$224),$D$7-IF($D$4="Forint",Paraméterek!$P$223,Paraméterek!$P$224),0),MIN(IF($AB279=12,AVERAGEIF($E$20:$E279,"&gt;0",$E$20:$E279)*12,0),SUM($E$20:$E$31)))</f>
        <v>0</v>
      </c>
      <c r="AH279" s="13">
        <f>IF($AA279=10,$AG279*IF($AB279=12,IF($AG279&lt;IF($D$4="Forint",Paraméterek!$L$223,Paraméterek!$L$224),0,VLOOKUP($AA279,Paraméterek!$K$226:$M$228,IF($AG279&lt;IF($D$4="Forint",Paraméterek!$M$223,Paraméterek!$M$224),2,3))),0),0)</f>
        <v>0</v>
      </c>
      <c r="AI279" s="13">
        <f ca="1">IF(AND($AA279=$M$11+1,$AB279=$M$12+1),SUMIF($AA$20:$AA$1027,$AA279,$AG$20:$AG$1027)*IF(SUMIF($AA$20:$AA$1027,$AA279,$AG$20:$AG$1027)&lt;IF($D$4="Forint",Paraméterek!$L$223,Paraméterek!$L$224),0,VLOOKUP($AA279,Paraméterek!$K$230:$M$250,IF(SUMIF($AA$20:$AA$1027,$AA279,$AG$20:$AG$1027)&lt;IF($D$4="Forint",Paraméterek!$M$223,Paraméterek!$M$224),2,3))),0)</f>
        <v>0</v>
      </c>
      <c r="AJ279" s="13">
        <f ca="1">IF(AND($AA279&gt;=5,MOD($AA279,5)=0),IF($AB279=12,VLOOKUP($AA279,Paraméterek!$O$225:$P$240,2),0),IF(OR($AA279=3,$AA279=4),IF($AB279=12,VLOOKUP($AA279,Paraméterek!$O$225:$P$240,2,0),0),0))*$AG279</f>
        <v>0</v>
      </c>
      <c r="AK279" s="13">
        <f t="shared" ca="1" si="97"/>
        <v>0</v>
      </c>
      <c r="AL279" s="13">
        <f t="shared" ca="1" si="105"/>
        <v>0</v>
      </c>
      <c r="AM279" s="13">
        <f t="shared" ca="1" si="106"/>
        <v>0</v>
      </c>
      <c r="AO279" s="32">
        <v>260</v>
      </c>
      <c r="AP279" s="32">
        <v>22</v>
      </c>
      <c r="AQ279" s="32">
        <v>8</v>
      </c>
      <c r="AR279" s="13"/>
      <c r="AS279" s="32"/>
      <c r="AT279" s="13">
        <f t="shared" ca="1" si="107"/>
        <v>0</v>
      </c>
      <c r="AU279" s="33"/>
      <c r="AV279" s="13">
        <f t="shared" ca="1" si="98"/>
        <v>0</v>
      </c>
      <c r="AW279" s="13">
        <f ca="1">ROUNDUP(($AT279+$AV279)*VLOOKUP($AP279,Paraméterek!$P$38:$Q$38,2)/12*IF($D280="Nem",IF($M$13=0,1,$M$13),1),IF($D$4="Forint",0,2))</f>
        <v>0</v>
      </c>
      <c r="AX279" s="13"/>
      <c r="AY279" s="13"/>
      <c r="AZ279" s="13">
        <f>ROUNDUP(IF(SUM($AX279:$AY279)=0,0,IF(IF(ISBLANK($AY279),$AX279,$AY279)*Paraméterek!$J$112&lt;IF($D$4="Forint",Paraméterek!$J$113,Paraméterek!$K$113),IF($D$4="Forint",Paraméterek!$J$113,Paraméterek!$K$113),IF(IF(ISBLANK($AY279),$AX279,$AY279)*Paraméterek!$J$112&gt;IF($D$4="Forint",Paraméterek!$J$114,Paraméterek!$K$114),IF($D$4="Forint",Paraméterek!$J$114,Paraméterek!$K$114),IF(ISBLANK($AY279),$AX279,$AY279)*Paraméterek!$J$112))),IF($D$4="Forint",0,2))</f>
        <v>0</v>
      </c>
      <c r="BA279" s="13">
        <f ca="1">$AT279+$AV279-$AW279-IF(ROUNDDOWN(IF(ISBLANK($AY279),$AX279,$AY279),IF($D$4="Forint",0,2))&gt;$AT279+$AV279-$AW279-IF($D$4="Forint",Paraméterek!$J$114,Paraméterek!$K$114),0,ROUNDDOWN(IF(ISBLANK($AY279),$AX279,$AY279),IF($D$4="Forint",0,2))-$AZ279)</f>
        <v>0</v>
      </c>
      <c r="BB279" s="13">
        <f t="shared" ca="1" si="99"/>
        <v>0</v>
      </c>
      <c r="BD279" s="32">
        <v>260</v>
      </c>
      <c r="BE279" s="32">
        <v>22</v>
      </c>
      <c r="BF279" s="32">
        <v>8</v>
      </c>
      <c r="BG279" s="34">
        <f t="shared" ca="1" si="108"/>
        <v>2041</v>
      </c>
      <c r="BH279" s="32" t="str">
        <f ca="1">IF(MOD(MONTH($D$14)+$BD279-1,12)=Paraméterek!$C$288,"Igen","")</f>
        <v/>
      </c>
      <c r="BI279" s="13">
        <f ca="1">IF($BH279="Igen",MIN(ROUNDDOWN((SUMIF($BG$20:$BG$1027,$BG279-1,$K$20:$K$1027)-SUMIF($BG$20:$BG$1027,$BG279-1,$I$20:$I$1027))*Paraméterek!$C$289,IF($D$4="Forint",0,2)),IF($D$4="Forint",Paraméterek!$C$285,Paraméterek!$D$285)),0)</f>
        <v>0</v>
      </c>
      <c r="BJ279" s="13">
        <f t="shared" ca="1" si="100"/>
        <v>0</v>
      </c>
      <c r="BK279" s="13">
        <f t="shared" ca="1" si="109"/>
        <v>0</v>
      </c>
      <c r="BL279" s="33"/>
      <c r="BM279" s="13">
        <f t="shared" ca="1" si="101"/>
        <v>0</v>
      </c>
      <c r="BN279" s="13">
        <f ca="1">ROUNDUP(($BK279+$BM279)*VLOOKUP($BE279,Paraméterek!$P$38:$Q$38,2)/12*IF($D280="Nem",IF($M$13=0,1,$M$13),1),IF($D$4="Forint",0,2))</f>
        <v>0</v>
      </c>
      <c r="BO279" s="13">
        <f t="shared" ca="1" si="102"/>
        <v>0</v>
      </c>
      <c r="BP279" s="13">
        <f ca="1">IF($D280="Nem",$BO279,$BO279-ROUNDUP(SUM($BI$20:$BI279)*120%,IF($D$4="Forint",0,2)))</f>
        <v>0</v>
      </c>
    </row>
    <row r="280" spans="1:68" x14ac:dyDescent="0.2">
      <c r="A280" s="32">
        <v>261</v>
      </c>
      <c r="B280" s="32">
        <v>22</v>
      </c>
      <c r="C280" s="32">
        <v>9</v>
      </c>
      <c r="D280" s="32" t="str">
        <f t="shared" ca="1" si="88"/>
        <v>Nem</v>
      </c>
      <c r="E280" s="13">
        <f t="shared" ca="1" si="89"/>
        <v>0</v>
      </c>
      <c r="F280" s="13"/>
      <c r="G280" s="13"/>
      <c r="H280" s="13"/>
      <c r="I280" s="13">
        <f t="shared" ca="1" si="90"/>
        <v>0</v>
      </c>
      <c r="J280" s="13">
        <f t="shared" ca="1" si="91"/>
        <v>0</v>
      </c>
      <c r="K280" s="13">
        <f t="shared" ca="1" si="92"/>
        <v>0</v>
      </c>
      <c r="L280" s="13" t="e">
        <f ca="1">ROUNDUP(IF($D$2="Egyszeri",$E280,IF($D$2="Havi",SUM($E$20:$E$31),IF(MOD($C280,$M$1)-1=0,SUM($E$20:$E$31),0))/12*$M$1)*VLOOKUP($B280,Paraméterek!$I$28:$P$31,IF($D$2="Egyszeri",8,HLOOKUP(ROUNDUP($M$11+$M$13,0),Paraméterek!$J$26:$O$27,2))),IF($D$4="Forint",0,2))</f>
        <v>#N/A</v>
      </c>
      <c r="M280" s="13">
        <f t="shared" ca="1" si="93"/>
        <v>0</v>
      </c>
      <c r="N280" s="13">
        <f t="shared" ca="1" si="103"/>
        <v>0</v>
      </c>
      <c r="O280" s="13">
        <f ca="1">IF($D280="Igen",IF($W279&gt;=IF($D$4="Forint",Paraméterek!$J$121,Paraméterek!$K$121),0,IF($D$4="Forint",Paraméterek!$J$121,Paraméterek!$K$121)-$W279),0)</f>
        <v>0</v>
      </c>
      <c r="P280" s="13" t="e">
        <f ca="1">ROUNDUP($O280*VLOOKUP($M$4+$B280-1,Paraméterek!$H$58:$I$105,2,0)/Paraméterek!$I$56,IF($D$4="Forint",0,2))</f>
        <v>#N/A</v>
      </c>
      <c r="Q280" s="13">
        <f t="shared" ca="1" si="94"/>
        <v>0</v>
      </c>
      <c r="R280" s="33"/>
      <c r="S280" s="13" t="e">
        <f t="shared" ca="1" si="95"/>
        <v>#N/A</v>
      </c>
      <c r="T280" s="13" t="e">
        <f ca="1">ROUNDUP(($N280-$P280-$Q280+$S280)*VLOOKUP($B280,Paraméterek!$I$38:$K$39,IF($D$2="Egyszeri",3,2))/12*IF($D281="Nem",IF($M$13=0,1,$M$13),1),IF($D$4="Forint",0,2))</f>
        <v>#N/A</v>
      </c>
      <c r="U280" s="13"/>
      <c r="V280" s="13"/>
      <c r="W280" s="13" t="e">
        <f ca="1">$N280-$P280-$Q280+$S280-$T280-IF(ROUNDUP(IF(ISBLANK($V280),$U280*0,$V280)/IF($D$2="Egyszeri",VLOOKUP($B280+IF($C280=12,1,0),Paraméterek!$V$257:$W$262,2),IF($B280=1,1,VLOOKUP($B280+IF($C280=12,1,0),Paraméterek!$I$258:$T$278,HLOOKUP($M$11+1,Paraméterek!$J$256:$T$257,2)))),IF($D$4="Forint",0,2))&gt;$N280-$P280-$Q280+$S280-$T280-IF($D$4="Forint",Paraméterek!$C$216,Paraméterek!$D$216),0,ROUNDUP(IF(ISBLANK($V280),$U280*0,$V280)/IF($D$2="Egyszeri",VLOOKUP($B280+IF($C280=12,1,0),Paraméterek!$V$257:$W$262,2),IF($B280=1,1,VLOOKUP($B280+IF($C280=12,1,0),Paraméterek!$I$258:$T$278,HLOOKUP($M$11+1,Paraméterek!$J$256:$T$257,2)))),IF($D$4="Forint",0,2)))</f>
        <v>#N/A</v>
      </c>
      <c r="X280" s="13" t="e">
        <f ca="1">ROUNDDOWN($W280*IF($D$2="Egyszeri",VLOOKUP($B280+IF($C280=12,1,0),Paraméterek!$V$257:$W$262,2),VLOOKUP($B280+IF($C280=12,1,0),Paraméterek!$I$258:$T$278,HLOOKUP($M$11+1,Paraméterek!$I$256:$T$257,2))),IF($D$4="Forint",0,2))</f>
        <v>#N/A</v>
      </c>
      <c r="Z280" s="32">
        <v>261</v>
      </c>
      <c r="AA280" s="32">
        <v>22</v>
      </c>
      <c r="AB280" s="32">
        <v>9</v>
      </c>
      <c r="AC280" s="13">
        <f t="shared" ca="1" si="104"/>
        <v>0</v>
      </c>
      <c r="AD280" s="33"/>
      <c r="AE280" s="13">
        <f t="shared" ca="1" si="96"/>
        <v>0</v>
      </c>
      <c r="AF280" s="13">
        <f ca="1">ROUNDUP(($AC280+$AE280)*VLOOKUP($AA280,Paraméterek!$P$38:$Q$38,2)/12*IF($D281="Nem",IF($M$13=0,1,$M$13),1),IF($D$4="Forint",0,2))</f>
        <v>0</v>
      </c>
      <c r="AG280" s="13">
        <f ca="1">IF($D$2="Egyszeri",IF($D$7&gt;=IF($D$4="Forint",Paraméterek!$P$223,Paraméterek!$P$224),$D$7-IF($D$4="Forint",Paraméterek!$P$223,Paraméterek!$P$224),0),MIN(IF($AB280=12,AVERAGEIF($E$20:$E280,"&gt;0",$E$20:$E280)*12,0),SUM($E$20:$E$31)))</f>
        <v>0</v>
      </c>
      <c r="AH280" s="13">
        <f>IF($AA280=10,$AG280*IF($AB280=12,IF($AG280&lt;IF($D$4="Forint",Paraméterek!$L$223,Paraméterek!$L$224),0,VLOOKUP($AA280,Paraméterek!$K$226:$M$228,IF($AG280&lt;IF($D$4="Forint",Paraméterek!$M$223,Paraméterek!$M$224),2,3))),0),0)</f>
        <v>0</v>
      </c>
      <c r="AI280" s="13">
        <f ca="1">IF(AND($AA280=$M$11+1,$AB280=$M$12+1),SUMIF($AA$20:$AA$1027,$AA280,$AG$20:$AG$1027)*IF(SUMIF($AA$20:$AA$1027,$AA280,$AG$20:$AG$1027)&lt;IF($D$4="Forint",Paraméterek!$L$223,Paraméterek!$L$224),0,VLOOKUP($AA280,Paraméterek!$K$230:$M$250,IF(SUMIF($AA$20:$AA$1027,$AA280,$AG$20:$AG$1027)&lt;IF($D$4="Forint",Paraméterek!$M$223,Paraméterek!$M$224),2,3))),0)</f>
        <v>0</v>
      </c>
      <c r="AJ280" s="13">
        <f ca="1">IF(AND($AA280&gt;=5,MOD($AA280,5)=0),IF($AB280=12,VLOOKUP($AA280,Paraméterek!$O$225:$P$240,2),0),IF(OR($AA280=3,$AA280=4),IF($AB280=12,VLOOKUP($AA280,Paraméterek!$O$225:$P$240,2,0),0),0))*$AG280</f>
        <v>0</v>
      </c>
      <c r="AK280" s="13">
        <f t="shared" ca="1" si="97"/>
        <v>0</v>
      </c>
      <c r="AL280" s="13">
        <f t="shared" ca="1" si="105"/>
        <v>0</v>
      </c>
      <c r="AM280" s="13">
        <f t="shared" ca="1" si="106"/>
        <v>0</v>
      </c>
      <c r="AO280" s="32">
        <v>261</v>
      </c>
      <c r="AP280" s="32">
        <v>22</v>
      </c>
      <c r="AQ280" s="32">
        <v>9</v>
      </c>
      <c r="AR280" s="13"/>
      <c r="AS280" s="32"/>
      <c r="AT280" s="13">
        <f t="shared" ca="1" si="107"/>
        <v>0</v>
      </c>
      <c r="AU280" s="33"/>
      <c r="AV280" s="13">
        <f t="shared" ca="1" si="98"/>
        <v>0</v>
      </c>
      <c r="AW280" s="13">
        <f ca="1">ROUNDUP(($AT280+$AV280)*VLOOKUP($AP280,Paraméterek!$P$38:$Q$38,2)/12*IF($D281="Nem",IF($M$13=0,1,$M$13),1),IF($D$4="Forint",0,2))</f>
        <v>0</v>
      </c>
      <c r="AX280" s="13"/>
      <c r="AY280" s="13"/>
      <c r="AZ280" s="13">
        <f>ROUNDUP(IF(SUM($AX280:$AY280)=0,0,IF(IF(ISBLANK($AY280),$AX280,$AY280)*Paraméterek!$J$112&lt;IF($D$4="Forint",Paraméterek!$J$113,Paraméterek!$K$113),IF($D$4="Forint",Paraméterek!$J$113,Paraméterek!$K$113),IF(IF(ISBLANK($AY280),$AX280,$AY280)*Paraméterek!$J$112&gt;IF($D$4="Forint",Paraméterek!$J$114,Paraméterek!$K$114),IF($D$4="Forint",Paraméterek!$J$114,Paraméterek!$K$114),IF(ISBLANK($AY280),$AX280,$AY280)*Paraméterek!$J$112))),IF($D$4="Forint",0,2))</f>
        <v>0</v>
      </c>
      <c r="BA280" s="13">
        <f ca="1">$AT280+$AV280-$AW280-IF(ROUNDDOWN(IF(ISBLANK($AY280),$AX280,$AY280),IF($D$4="Forint",0,2))&gt;$AT280+$AV280-$AW280-IF($D$4="Forint",Paraméterek!$J$114,Paraméterek!$K$114),0,ROUNDDOWN(IF(ISBLANK($AY280),$AX280,$AY280),IF($D$4="Forint",0,2))-$AZ280)</f>
        <v>0</v>
      </c>
      <c r="BB280" s="13">
        <f t="shared" ca="1" si="99"/>
        <v>0</v>
      </c>
      <c r="BD280" s="32">
        <v>261</v>
      </c>
      <c r="BE280" s="32">
        <v>22</v>
      </c>
      <c r="BF280" s="32">
        <v>9</v>
      </c>
      <c r="BG280" s="34">
        <f t="shared" ca="1" si="108"/>
        <v>2041</v>
      </c>
      <c r="BH280" s="32" t="str">
        <f ca="1">IF(MOD(MONTH($D$14)+$BD280-1,12)=Paraméterek!$C$288,"Igen","")</f>
        <v/>
      </c>
      <c r="BI280" s="13">
        <f ca="1">IF($BH280="Igen",MIN(ROUNDDOWN((SUMIF($BG$20:$BG$1027,$BG280-1,$K$20:$K$1027)-SUMIF($BG$20:$BG$1027,$BG280-1,$I$20:$I$1027))*Paraméterek!$C$289,IF($D$4="Forint",0,2)),IF($D$4="Forint",Paraméterek!$C$285,Paraméterek!$D$285)),0)</f>
        <v>0</v>
      </c>
      <c r="BJ280" s="13">
        <f t="shared" ca="1" si="100"/>
        <v>0</v>
      </c>
      <c r="BK280" s="13">
        <f t="shared" ca="1" si="109"/>
        <v>0</v>
      </c>
      <c r="BL280" s="33"/>
      <c r="BM280" s="13">
        <f t="shared" ca="1" si="101"/>
        <v>0</v>
      </c>
      <c r="BN280" s="13">
        <f ca="1">ROUNDUP(($BK280+$BM280)*VLOOKUP($BE280,Paraméterek!$P$38:$Q$38,2)/12*IF($D281="Nem",IF($M$13=0,1,$M$13),1),IF($D$4="Forint",0,2))</f>
        <v>0</v>
      </c>
      <c r="BO280" s="13">
        <f t="shared" ca="1" si="102"/>
        <v>0</v>
      </c>
      <c r="BP280" s="13">
        <f ca="1">IF($D281="Nem",$BO280,$BO280-ROUNDUP(SUM($BI$20:$BI280)*120%,IF($D$4="Forint",0,2)))</f>
        <v>0</v>
      </c>
    </row>
    <row r="281" spans="1:68" x14ac:dyDescent="0.2">
      <c r="A281" s="32">
        <v>262</v>
      </c>
      <c r="B281" s="32">
        <v>22</v>
      </c>
      <c r="C281" s="32">
        <v>10</v>
      </c>
      <c r="D281" s="32" t="str">
        <f t="shared" ca="1" si="88"/>
        <v>Nem</v>
      </c>
      <c r="E281" s="13">
        <f t="shared" ca="1" si="89"/>
        <v>0</v>
      </c>
      <c r="F281" s="13"/>
      <c r="G281" s="13"/>
      <c r="H281" s="13"/>
      <c r="I281" s="13">
        <f t="shared" ca="1" si="90"/>
        <v>0</v>
      </c>
      <c r="J281" s="13">
        <f t="shared" ca="1" si="91"/>
        <v>0</v>
      </c>
      <c r="K281" s="13">
        <f t="shared" ca="1" si="92"/>
        <v>0</v>
      </c>
      <c r="L281" s="13" t="e">
        <f ca="1">ROUNDUP(IF($D$2="Egyszeri",$E281,IF($D$2="Havi",SUM($E$20:$E$31),IF(MOD($C281,$M$1)-1=0,SUM($E$20:$E$31),0))/12*$M$1)*VLOOKUP($B281,Paraméterek!$I$28:$P$31,IF($D$2="Egyszeri",8,HLOOKUP(ROUNDUP($M$11+$M$13,0),Paraméterek!$J$26:$O$27,2))),IF($D$4="Forint",0,2))</f>
        <v>#N/A</v>
      </c>
      <c r="M281" s="13">
        <f t="shared" ca="1" si="93"/>
        <v>0</v>
      </c>
      <c r="N281" s="13">
        <f t="shared" ca="1" si="103"/>
        <v>0</v>
      </c>
      <c r="O281" s="13">
        <f ca="1">IF($D281="Igen",IF($W280&gt;=IF($D$4="Forint",Paraméterek!$J$121,Paraméterek!$K$121),0,IF($D$4="Forint",Paraméterek!$J$121,Paraméterek!$K$121)-$W280),0)</f>
        <v>0</v>
      </c>
      <c r="P281" s="13" t="e">
        <f ca="1">ROUNDUP($O281*VLOOKUP($M$4+$B281-1,Paraméterek!$H$58:$I$105,2,0)/Paraméterek!$I$56,IF($D$4="Forint",0,2))</f>
        <v>#N/A</v>
      </c>
      <c r="Q281" s="13">
        <f t="shared" ca="1" si="94"/>
        <v>0</v>
      </c>
      <c r="R281" s="33"/>
      <c r="S281" s="13" t="e">
        <f t="shared" ca="1" si="95"/>
        <v>#N/A</v>
      </c>
      <c r="T281" s="13" t="e">
        <f ca="1">ROUNDUP(($N281-$P281-$Q281+$S281)*VLOOKUP($B281,Paraméterek!$I$38:$K$39,IF($D$2="Egyszeri",3,2))/12*IF($D282="Nem",IF($M$13=0,1,$M$13),1),IF($D$4="Forint",0,2))</f>
        <v>#N/A</v>
      </c>
      <c r="U281" s="13"/>
      <c r="V281" s="13"/>
      <c r="W281" s="13" t="e">
        <f ca="1">$N281-$P281-$Q281+$S281-$T281-IF(ROUNDUP(IF(ISBLANK($V281),$U281*0,$V281)/IF($D$2="Egyszeri",VLOOKUP($B281+IF($C281=12,1,0),Paraméterek!$V$257:$W$262,2),IF($B281=1,1,VLOOKUP($B281+IF($C281=12,1,0),Paraméterek!$I$258:$T$278,HLOOKUP($M$11+1,Paraméterek!$J$256:$T$257,2)))),IF($D$4="Forint",0,2))&gt;$N281-$P281-$Q281+$S281-$T281-IF($D$4="Forint",Paraméterek!$C$216,Paraméterek!$D$216),0,ROUNDUP(IF(ISBLANK($V281),$U281*0,$V281)/IF($D$2="Egyszeri",VLOOKUP($B281+IF($C281=12,1,0),Paraméterek!$V$257:$W$262,2),IF($B281=1,1,VLOOKUP($B281+IF($C281=12,1,0),Paraméterek!$I$258:$T$278,HLOOKUP($M$11+1,Paraméterek!$J$256:$T$257,2)))),IF($D$4="Forint",0,2)))</f>
        <v>#N/A</v>
      </c>
      <c r="X281" s="13" t="e">
        <f ca="1">ROUNDDOWN($W281*IF($D$2="Egyszeri",VLOOKUP($B281+IF($C281=12,1,0),Paraméterek!$V$257:$W$262,2),VLOOKUP($B281+IF($C281=12,1,0),Paraméterek!$I$258:$T$278,HLOOKUP($M$11+1,Paraméterek!$I$256:$T$257,2))),IF($D$4="Forint",0,2))</f>
        <v>#N/A</v>
      </c>
      <c r="Z281" s="32">
        <v>262</v>
      </c>
      <c r="AA281" s="32">
        <v>22</v>
      </c>
      <c r="AB281" s="32">
        <v>10</v>
      </c>
      <c r="AC281" s="13">
        <f t="shared" ca="1" si="104"/>
        <v>0</v>
      </c>
      <c r="AD281" s="33"/>
      <c r="AE281" s="13">
        <f t="shared" ca="1" si="96"/>
        <v>0</v>
      </c>
      <c r="AF281" s="13">
        <f ca="1">ROUNDUP(($AC281+$AE281)*VLOOKUP($AA281,Paraméterek!$P$38:$Q$38,2)/12*IF($D282="Nem",IF($M$13=0,1,$M$13),1),IF($D$4="Forint",0,2))</f>
        <v>0</v>
      </c>
      <c r="AG281" s="13">
        <f ca="1">IF($D$2="Egyszeri",IF($D$7&gt;=IF($D$4="Forint",Paraméterek!$P$223,Paraméterek!$P$224),$D$7-IF($D$4="Forint",Paraméterek!$P$223,Paraméterek!$P$224),0),MIN(IF($AB281=12,AVERAGEIF($E$20:$E281,"&gt;0",$E$20:$E281)*12,0),SUM($E$20:$E$31)))</f>
        <v>0</v>
      </c>
      <c r="AH281" s="13">
        <f>IF($AA281=10,$AG281*IF($AB281=12,IF($AG281&lt;IF($D$4="Forint",Paraméterek!$L$223,Paraméterek!$L$224),0,VLOOKUP($AA281,Paraméterek!$K$226:$M$228,IF($AG281&lt;IF($D$4="Forint",Paraméterek!$M$223,Paraméterek!$M$224),2,3))),0),0)</f>
        <v>0</v>
      </c>
      <c r="AI281" s="13">
        <f ca="1">IF(AND($AA281=$M$11+1,$AB281=$M$12+1),SUMIF($AA$20:$AA$1027,$AA281,$AG$20:$AG$1027)*IF(SUMIF($AA$20:$AA$1027,$AA281,$AG$20:$AG$1027)&lt;IF($D$4="Forint",Paraméterek!$L$223,Paraméterek!$L$224),0,VLOOKUP($AA281,Paraméterek!$K$230:$M$250,IF(SUMIF($AA$20:$AA$1027,$AA281,$AG$20:$AG$1027)&lt;IF($D$4="Forint",Paraméterek!$M$223,Paraméterek!$M$224),2,3))),0)</f>
        <v>0</v>
      </c>
      <c r="AJ281" s="13">
        <f ca="1">IF(AND($AA281&gt;=5,MOD($AA281,5)=0),IF($AB281=12,VLOOKUP($AA281,Paraméterek!$O$225:$P$240,2),0),IF(OR($AA281=3,$AA281=4),IF($AB281=12,VLOOKUP($AA281,Paraméterek!$O$225:$P$240,2,0),0),0))*$AG281</f>
        <v>0</v>
      </c>
      <c r="AK281" s="13">
        <f t="shared" ca="1" si="97"/>
        <v>0</v>
      </c>
      <c r="AL281" s="13">
        <f t="shared" ca="1" si="105"/>
        <v>0</v>
      </c>
      <c r="AM281" s="13">
        <f t="shared" ca="1" si="106"/>
        <v>0</v>
      </c>
      <c r="AO281" s="32">
        <v>262</v>
      </c>
      <c r="AP281" s="32">
        <v>22</v>
      </c>
      <c r="AQ281" s="32">
        <v>10</v>
      </c>
      <c r="AR281" s="13"/>
      <c r="AS281" s="32"/>
      <c r="AT281" s="13">
        <f t="shared" ca="1" si="107"/>
        <v>0</v>
      </c>
      <c r="AU281" s="33"/>
      <c r="AV281" s="13">
        <f t="shared" ca="1" si="98"/>
        <v>0</v>
      </c>
      <c r="AW281" s="13">
        <f ca="1">ROUNDUP(($AT281+$AV281)*VLOOKUP($AP281,Paraméterek!$P$38:$Q$38,2)/12*IF($D282="Nem",IF($M$13=0,1,$M$13),1),IF($D$4="Forint",0,2))</f>
        <v>0</v>
      </c>
      <c r="AX281" s="13"/>
      <c r="AY281" s="13"/>
      <c r="AZ281" s="13">
        <f>ROUNDUP(IF(SUM($AX281:$AY281)=0,0,IF(IF(ISBLANK($AY281),$AX281,$AY281)*Paraméterek!$J$112&lt;IF($D$4="Forint",Paraméterek!$J$113,Paraméterek!$K$113),IF($D$4="Forint",Paraméterek!$J$113,Paraméterek!$K$113),IF(IF(ISBLANK($AY281),$AX281,$AY281)*Paraméterek!$J$112&gt;IF($D$4="Forint",Paraméterek!$J$114,Paraméterek!$K$114),IF($D$4="Forint",Paraméterek!$J$114,Paraméterek!$K$114),IF(ISBLANK($AY281),$AX281,$AY281)*Paraméterek!$J$112))),IF($D$4="Forint",0,2))</f>
        <v>0</v>
      </c>
      <c r="BA281" s="13">
        <f ca="1">$AT281+$AV281-$AW281-IF(ROUNDDOWN(IF(ISBLANK($AY281),$AX281,$AY281),IF($D$4="Forint",0,2))&gt;$AT281+$AV281-$AW281-IF($D$4="Forint",Paraméterek!$J$114,Paraméterek!$K$114),0,ROUNDDOWN(IF(ISBLANK($AY281),$AX281,$AY281),IF($D$4="Forint",0,2))-$AZ281)</f>
        <v>0</v>
      </c>
      <c r="BB281" s="13">
        <f t="shared" ca="1" si="99"/>
        <v>0</v>
      </c>
      <c r="BD281" s="32">
        <v>262</v>
      </c>
      <c r="BE281" s="32">
        <v>22</v>
      </c>
      <c r="BF281" s="32">
        <v>10</v>
      </c>
      <c r="BG281" s="34">
        <f t="shared" ca="1" si="108"/>
        <v>2041</v>
      </c>
      <c r="BH281" s="32" t="str">
        <f ca="1">IF(MOD(MONTH($D$14)+$BD281-1,12)=Paraméterek!$C$288,"Igen","")</f>
        <v/>
      </c>
      <c r="BI281" s="13">
        <f ca="1">IF($BH281="Igen",MIN(ROUNDDOWN((SUMIF($BG$20:$BG$1027,$BG281-1,$K$20:$K$1027)-SUMIF($BG$20:$BG$1027,$BG281-1,$I$20:$I$1027))*Paraméterek!$C$289,IF($D$4="Forint",0,2)),IF($D$4="Forint",Paraméterek!$C$285,Paraméterek!$D$285)),0)</f>
        <v>0</v>
      </c>
      <c r="BJ281" s="13">
        <f t="shared" ca="1" si="100"/>
        <v>0</v>
      </c>
      <c r="BK281" s="13">
        <f t="shared" ca="1" si="109"/>
        <v>0</v>
      </c>
      <c r="BL281" s="33"/>
      <c r="BM281" s="13">
        <f t="shared" ca="1" si="101"/>
        <v>0</v>
      </c>
      <c r="BN281" s="13">
        <f ca="1">ROUNDUP(($BK281+$BM281)*VLOOKUP($BE281,Paraméterek!$P$38:$Q$38,2)/12*IF($D282="Nem",IF($M$13=0,1,$M$13),1),IF($D$4="Forint",0,2))</f>
        <v>0</v>
      </c>
      <c r="BO281" s="13">
        <f t="shared" ca="1" si="102"/>
        <v>0</v>
      </c>
      <c r="BP281" s="13">
        <f ca="1">IF($D282="Nem",$BO281,$BO281-ROUNDUP(SUM($BI$20:$BI281)*120%,IF($D$4="Forint",0,2)))</f>
        <v>0</v>
      </c>
    </row>
    <row r="282" spans="1:68" x14ac:dyDescent="0.2">
      <c r="A282" s="32">
        <v>263</v>
      </c>
      <c r="B282" s="32">
        <v>22</v>
      </c>
      <c r="C282" s="32">
        <v>11</v>
      </c>
      <c r="D282" s="32" t="str">
        <f t="shared" ca="1" si="88"/>
        <v>Nem</v>
      </c>
      <c r="E282" s="13">
        <f t="shared" ca="1" si="89"/>
        <v>0</v>
      </c>
      <c r="F282" s="13"/>
      <c r="G282" s="13"/>
      <c r="H282" s="13"/>
      <c r="I282" s="13">
        <f t="shared" ca="1" si="90"/>
        <v>0</v>
      </c>
      <c r="J282" s="13">
        <f t="shared" ca="1" si="91"/>
        <v>0</v>
      </c>
      <c r="K282" s="13">
        <f t="shared" ca="1" si="92"/>
        <v>0</v>
      </c>
      <c r="L282" s="13" t="e">
        <f ca="1">ROUNDUP(IF($D$2="Egyszeri",$E282,IF($D$2="Havi",SUM($E$20:$E$31),IF(MOD($C282,$M$1)-1=0,SUM($E$20:$E$31),0))/12*$M$1)*VLOOKUP($B282,Paraméterek!$I$28:$P$31,IF($D$2="Egyszeri",8,HLOOKUP(ROUNDUP($M$11+$M$13,0),Paraméterek!$J$26:$O$27,2))),IF($D$4="Forint",0,2))</f>
        <v>#N/A</v>
      </c>
      <c r="M282" s="13">
        <f t="shared" ca="1" si="93"/>
        <v>0</v>
      </c>
      <c r="N282" s="13">
        <f t="shared" ca="1" si="103"/>
        <v>0</v>
      </c>
      <c r="O282" s="13">
        <f ca="1">IF($D282="Igen",IF($W281&gt;=IF($D$4="Forint",Paraméterek!$J$121,Paraméterek!$K$121),0,IF($D$4="Forint",Paraméterek!$J$121,Paraméterek!$K$121)-$W281),0)</f>
        <v>0</v>
      </c>
      <c r="P282" s="13" t="e">
        <f ca="1">ROUNDUP($O282*VLOOKUP($M$4+$B282-1,Paraméterek!$H$58:$I$105,2,0)/Paraméterek!$I$56,IF($D$4="Forint",0,2))</f>
        <v>#N/A</v>
      </c>
      <c r="Q282" s="13">
        <f t="shared" ca="1" si="94"/>
        <v>0</v>
      </c>
      <c r="R282" s="33"/>
      <c r="S282" s="13" t="e">
        <f t="shared" ca="1" si="95"/>
        <v>#N/A</v>
      </c>
      <c r="T282" s="13" t="e">
        <f ca="1">ROUNDUP(($N282-$P282-$Q282+$S282)*VLOOKUP($B282,Paraméterek!$I$38:$K$39,IF($D$2="Egyszeri",3,2))/12*IF($D283="Nem",IF($M$13=0,1,$M$13),1),IF($D$4="Forint",0,2))</f>
        <v>#N/A</v>
      </c>
      <c r="U282" s="13"/>
      <c r="V282" s="13"/>
      <c r="W282" s="13" t="e">
        <f ca="1">$N282-$P282-$Q282+$S282-$T282-IF(ROUNDUP(IF(ISBLANK($V282),$U282*0,$V282)/IF($D$2="Egyszeri",VLOOKUP($B282+IF($C282=12,1,0),Paraméterek!$V$257:$W$262,2),IF($B282=1,1,VLOOKUP($B282+IF($C282=12,1,0),Paraméterek!$I$258:$T$278,HLOOKUP($M$11+1,Paraméterek!$J$256:$T$257,2)))),IF($D$4="Forint",0,2))&gt;$N282-$P282-$Q282+$S282-$T282-IF($D$4="Forint",Paraméterek!$C$216,Paraméterek!$D$216),0,ROUNDUP(IF(ISBLANK($V282),$U282*0,$V282)/IF($D$2="Egyszeri",VLOOKUP($B282+IF($C282=12,1,0),Paraméterek!$V$257:$W$262,2),IF($B282=1,1,VLOOKUP($B282+IF($C282=12,1,0),Paraméterek!$I$258:$T$278,HLOOKUP($M$11+1,Paraméterek!$J$256:$T$257,2)))),IF($D$4="Forint",0,2)))</f>
        <v>#N/A</v>
      </c>
      <c r="X282" s="13" t="e">
        <f ca="1">ROUNDDOWN($W282*IF($D$2="Egyszeri",VLOOKUP($B282+IF($C282=12,1,0),Paraméterek!$V$257:$W$262,2),VLOOKUP($B282+IF($C282=12,1,0),Paraméterek!$I$258:$T$278,HLOOKUP($M$11+1,Paraméterek!$I$256:$T$257,2))),IF($D$4="Forint",0,2))</f>
        <v>#N/A</v>
      </c>
      <c r="Z282" s="32">
        <v>263</v>
      </c>
      <c r="AA282" s="32">
        <v>22</v>
      </c>
      <c r="AB282" s="32">
        <v>11</v>
      </c>
      <c r="AC282" s="13">
        <f t="shared" ca="1" si="104"/>
        <v>0</v>
      </c>
      <c r="AD282" s="33"/>
      <c r="AE282" s="13">
        <f t="shared" ca="1" si="96"/>
        <v>0</v>
      </c>
      <c r="AF282" s="13">
        <f ca="1">ROUNDUP(($AC282+$AE282)*VLOOKUP($AA282,Paraméterek!$P$38:$Q$38,2)/12*IF($D283="Nem",IF($M$13=0,1,$M$13),1),IF($D$4="Forint",0,2))</f>
        <v>0</v>
      </c>
      <c r="AG282" s="13">
        <f ca="1">IF($D$2="Egyszeri",IF($D$7&gt;=IF($D$4="Forint",Paraméterek!$P$223,Paraméterek!$P$224),$D$7-IF($D$4="Forint",Paraméterek!$P$223,Paraméterek!$P$224),0),MIN(IF($AB282=12,AVERAGEIF($E$20:$E282,"&gt;0",$E$20:$E282)*12,0),SUM($E$20:$E$31)))</f>
        <v>0</v>
      </c>
      <c r="AH282" s="13">
        <f>IF($AA282=10,$AG282*IF($AB282=12,IF($AG282&lt;IF($D$4="Forint",Paraméterek!$L$223,Paraméterek!$L$224),0,VLOOKUP($AA282,Paraméterek!$K$226:$M$228,IF($AG282&lt;IF($D$4="Forint",Paraméterek!$M$223,Paraméterek!$M$224),2,3))),0),0)</f>
        <v>0</v>
      </c>
      <c r="AI282" s="13">
        <f ca="1">IF(AND($AA282=$M$11+1,$AB282=$M$12+1),SUMIF($AA$20:$AA$1027,$AA282,$AG$20:$AG$1027)*IF(SUMIF($AA$20:$AA$1027,$AA282,$AG$20:$AG$1027)&lt;IF($D$4="Forint",Paraméterek!$L$223,Paraméterek!$L$224),0,VLOOKUP($AA282,Paraméterek!$K$230:$M$250,IF(SUMIF($AA$20:$AA$1027,$AA282,$AG$20:$AG$1027)&lt;IF($D$4="Forint",Paraméterek!$M$223,Paraméterek!$M$224),2,3))),0)</f>
        <v>0</v>
      </c>
      <c r="AJ282" s="13">
        <f ca="1">IF(AND($AA282&gt;=5,MOD($AA282,5)=0),IF($AB282=12,VLOOKUP($AA282,Paraméterek!$O$225:$P$240,2),0),IF(OR($AA282=3,$AA282=4),IF($AB282=12,VLOOKUP($AA282,Paraméterek!$O$225:$P$240,2,0),0),0))*$AG282</f>
        <v>0</v>
      </c>
      <c r="AK282" s="13">
        <f t="shared" ca="1" si="97"/>
        <v>0</v>
      </c>
      <c r="AL282" s="13">
        <f t="shared" ca="1" si="105"/>
        <v>0</v>
      </c>
      <c r="AM282" s="13">
        <f t="shared" ca="1" si="106"/>
        <v>0</v>
      </c>
      <c r="AO282" s="32">
        <v>263</v>
      </c>
      <c r="AP282" s="32">
        <v>22</v>
      </c>
      <c r="AQ282" s="32">
        <v>11</v>
      </c>
      <c r="AR282" s="13"/>
      <c r="AS282" s="32"/>
      <c r="AT282" s="13">
        <f t="shared" ca="1" si="107"/>
        <v>0</v>
      </c>
      <c r="AU282" s="33"/>
      <c r="AV282" s="13">
        <f t="shared" ca="1" si="98"/>
        <v>0</v>
      </c>
      <c r="AW282" s="13">
        <f ca="1">ROUNDUP(($AT282+$AV282)*VLOOKUP($AP282,Paraméterek!$P$38:$Q$38,2)/12*IF($D283="Nem",IF($M$13=0,1,$M$13),1),IF($D$4="Forint",0,2))</f>
        <v>0</v>
      </c>
      <c r="AX282" s="13"/>
      <c r="AY282" s="13"/>
      <c r="AZ282" s="13">
        <f>ROUNDUP(IF(SUM($AX282:$AY282)=0,0,IF(IF(ISBLANK($AY282),$AX282,$AY282)*Paraméterek!$J$112&lt;IF($D$4="Forint",Paraméterek!$J$113,Paraméterek!$K$113),IF($D$4="Forint",Paraméterek!$J$113,Paraméterek!$K$113),IF(IF(ISBLANK($AY282),$AX282,$AY282)*Paraméterek!$J$112&gt;IF($D$4="Forint",Paraméterek!$J$114,Paraméterek!$K$114),IF($D$4="Forint",Paraméterek!$J$114,Paraméterek!$K$114),IF(ISBLANK($AY282),$AX282,$AY282)*Paraméterek!$J$112))),IF($D$4="Forint",0,2))</f>
        <v>0</v>
      </c>
      <c r="BA282" s="13">
        <f ca="1">$AT282+$AV282-$AW282-IF(ROUNDDOWN(IF(ISBLANK($AY282),$AX282,$AY282),IF($D$4="Forint",0,2))&gt;$AT282+$AV282-$AW282-IF($D$4="Forint",Paraméterek!$J$114,Paraméterek!$K$114),0,ROUNDDOWN(IF(ISBLANK($AY282),$AX282,$AY282),IF($D$4="Forint",0,2))-$AZ282)</f>
        <v>0</v>
      </c>
      <c r="BB282" s="13">
        <f t="shared" ca="1" si="99"/>
        <v>0</v>
      </c>
      <c r="BD282" s="32">
        <v>263</v>
      </c>
      <c r="BE282" s="32">
        <v>22</v>
      </c>
      <c r="BF282" s="32">
        <v>11</v>
      </c>
      <c r="BG282" s="34">
        <f t="shared" ca="1" si="108"/>
        <v>2041</v>
      </c>
      <c r="BH282" s="32" t="str">
        <f ca="1">IF(MOD(MONTH($D$14)+$BD282-1,12)=Paraméterek!$C$288,"Igen","")</f>
        <v/>
      </c>
      <c r="BI282" s="13">
        <f ca="1">IF($BH282="Igen",MIN(ROUNDDOWN((SUMIF($BG$20:$BG$1027,$BG282-1,$K$20:$K$1027)-SUMIF($BG$20:$BG$1027,$BG282-1,$I$20:$I$1027))*Paraméterek!$C$289,IF($D$4="Forint",0,2)),IF($D$4="Forint",Paraméterek!$C$285,Paraméterek!$D$285)),0)</f>
        <v>0</v>
      </c>
      <c r="BJ282" s="13">
        <f t="shared" ca="1" si="100"/>
        <v>0</v>
      </c>
      <c r="BK282" s="13">
        <f t="shared" ca="1" si="109"/>
        <v>0</v>
      </c>
      <c r="BL282" s="33"/>
      <c r="BM282" s="13">
        <f t="shared" ca="1" si="101"/>
        <v>0</v>
      </c>
      <c r="BN282" s="13">
        <f ca="1">ROUNDUP(($BK282+$BM282)*VLOOKUP($BE282,Paraméterek!$P$38:$Q$38,2)/12*IF($D283="Nem",IF($M$13=0,1,$M$13),1),IF($D$4="Forint",0,2))</f>
        <v>0</v>
      </c>
      <c r="BO282" s="13">
        <f t="shared" ca="1" si="102"/>
        <v>0</v>
      </c>
      <c r="BP282" s="13">
        <f ca="1">IF($D283="Nem",$BO282,$BO282-ROUNDUP(SUM($BI$20:$BI282)*120%,IF($D$4="Forint",0,2)))</f>
        <v>0</v>
      </c>
    </row>
    <row r="283" spans="1:68" x14ac:dyDescent="0.2">
      <c r="A283" s="32">
        <v>264</v>
      </c>
      <c r="B283" s="32">
        <v>22</v>
      </c>
      <c r="C283" s="32">
        <v>12</v>
      </c>
      <c r="D283" s="32" t="str">
        <f t="shared" ca="1" si="88"/>
        <v>Nem</v>
      </c>
      <c r="E283" s="13">
        <f t="shared" ca="1" si="89"/>
        <v>0</v>
      </c>
      <c r="F283" s="13"/>
      <c r="G283" s="13"/>
      <c r="H283" s="13"/>
      <c r="I283" s="13">
        <f t="shared" ca="1" si="90"/>
        <v>0</v>
      </c>
      <c r="J283" s="13">
        <f t="shared" ca="1" si="91"/>
        <v>0</v>
      </c>
      <c r="K283" s="13">
        <f t="shared" ca="1" si="92"/>
        <v>0</v>
      </c>
      <c r="L283" s="13" t="e">
        <f ca="1">ROUNDUP(IF($D$2="Egyszeri",$E283,IF($D$2="Havi",SUM($E$20:$E$31),IF(MOD($C283,$M$1)-1=0,SUM($E$20:$E$31),0))/12*$M$1)*VLOOKUP($B283,Paraméterek!$I$28:$P$31,IF($D$2="Egyszeri",8,HLOOKUP(ROUNDUP($M$11+$M$13,0),Paraméterek!$J$26:$O$27,2))),IF($D$4="Forint",0,2))</f>
        <v>#N/A</v>
      </c>
      <c r="M283" s="13">
        <f t="shared" ca="1" si="93"/>
        <v>0</v>
      </c>
      <c r="N283" s="13">
        <f t="shared" ca="1" si="103"/>
        <v>0</v>
      </c>
      <c r="O283" s="13">
        <f ca="1">IF($D283="Igen",IF($W282&gt;=IF($D$4="Forint",Paraméterek!$J$121,Paraméterek!$K$121),0,IF($D$4="Forint",Paraméterek!$J$121,Paraméterek!$K$121)-$W282),0)</f>
        <v>0</v>
      </c>
      <c r="P283" s="13" t="e">
        <f ca="1">ROUNDUP($O283*VLOOKUP($M$4+$B283-1,Paraméterek!$H$58:$I$105,2,0)/Paraméterek!$I$56,IF($D$4="Forint",0,2))</f>
        <v>#N/A</v>
      </c>
      <c r="Q283" s="13">
        <f t="shared" ca="1" si="94"/>
        <v>0</v>
      </c>
      <c r="R283" s="33"/>
      <c r="S283" s="13" t="e">
        <f t="shared" ca="1" si="95"/>
        <v>#N/A</v>
      </c>
      <c r="T283" s="13" t="e">
        <f ca="1">ROUNDUP(($N283-$P283-$Q283+$S283)*VLOOKUP($B283,Paraméterek!$I$38:$K$39,IF($D$2="Egyszeri",3,2))/12*IF($D284="Nem",IF($M$13=0,1,$M$13),1),IF($D$4="Forint",0,2))</f>
        <v>#N/A</v>
      </c>
      <c r="U283" s="13">
        <f>Tranzakciók!$F$53</f>
        <v>0</v>
      </c>
      <c r="V283" s="13"/>
      <c r="W283" s="13" t="e">
        <f ca="1">$N283-$P283-$Q283+$S283-$T283-IF(ROUNDUP(IF(ISBLANK($V283),$U283*0,$V283)/IF($D$2="Egyszeri",VLOOKUP($B283+IF($C283=12,1,0),Paraméterek!$V$257:$W$262,2),IF($B283=1,1,VLOOKUP($B283+IF($C283=12,1,0),Paraméterek!$I$258:$T$278,HLOOKUP($M$11+1,Paraméterek!$J$256:$T$257,2)))),IF($D$4="Forint",0,2))&gt;$N283-$P283-$Q283+$S283-$T283-IF($D$4="Forint",Paraméterek!$C$216,Paraméterek!$D$216),0,ROUNDUP(IF(ISBLANK($V283),$U283*0,$V283)/IF($D$2="Egyszeri",VLOOKUP($B283+IF($C283=12,1,0),Paraméterek!$V$257:$W$262,2),IF($B283=1,1,VLOOKUP($B283+IF($C283=12,1,0),Paraméterek!$I$258:$T$278,HLOOKUP($M$11+1,Paraméterek!$J$256:$T$257,2)))),IF($D$4="Forint",0,2)))</f>
        <v>#N/A</v>
      </c>
      <c r="X283" s="13" t="e">
        <f ca="1">ROUNDDOWN($W283*IF($D$2="Egyszeri",VLOOKUP($B283+IF($C283=12,1,0),Paraméterek!$V$257:$W$262,2),VLOOKUP($B283+IF($C283=12,1,0),Paraméterek!$I$258:$T$278,HLOOKUP($M$11+1,Paraméterek!$I$256:$T$257,2))),IF($D$4="Forint",0,2))</f>
        <v>#N/A</v>
      </c>
      <c r="Z283" s="32">
        <v>264</v>
      </c>
      <c r="AA283" s="32">
        <v>22</v>
      </c>
      <c r="AB283" s="32">
        <v>12</v>
      </c>
      <c r="AC283" s="13">
        <f t="shared" ca="1" si="104"/>
        <v>0</v>
      </c>
      <c r="AD283" s="33"/>
      <c r="AE283" s="13">
        <f t="shared" ca="1" si="96"/>
        <v>0</v>
      </c>
      <c r="AF283" s="13">
        <f ca="1">ROUNDUP(($AC283+$AE283)*VLOOKUP($AA283,Paraméterek!$P$38:$Q$38,2)/12*IF($D284="Nem",IF($M$13=0,1,$M$13),1),IF($D$4="Forint",0,2))</f>
        <v>0</v>
      </c>
      <c r="AG283" s="13" t="e">
        <f ca="1">IF($D$2="Egyszeri",IF($D$7&gt;=IF($D$4="Forint",Paraméterek!$P$223,Paraméterek!$P$224),$D$7-IF($D$4="Forint",Paraméterek!$P$223,Paraméterek!$P$224),0),MIN(IF($AB283=12,AVERAGEIF($E$20:$E283,"&gt;0",$E$20:$E283)*12,0),SUM($E$20:$E$31)))</f>
        <v>#DIV/0!</v>
      </c>
      <c r="AH283" s="13">
        <f>IF($AA283=10,$AG283*IF($AB283=12,IF($AG283&lt;IF($D$4="Forint",Paraméterek!$L$223,Paraméterek!$L$224),0,VLOOKUP($AA283,Paraméterek!$K$226:$M$228,IF($AG283&lt;IF($D$4="Forint",Paraméterek!$M$223,Paraméterek!$M$224),2,3))),0),0)</f>
        <v>0</v>
      </c>
      <c r="AI283" s="13">
        <f ca="1">IF(AND($AA283=$M$11+1,$AB283=$M$12+1),SUMIF($AA$20:$AA$1027,$AA283,$AG$20:$AG$1027)*IF(SUMIF($AA$20:$AA$1027,$AA283,$AG$20:$AG$1027)&lt;IF($D$4="Forint",Paraméterek!$L$223,Paraméterek!$L$224),0,VLOOKUP($AA283,Paraméterek!$K$230:$M$250,IF(SUMIF($AA$20:$AA$1027,$AA283,$AG$20:$AG$1027)&lt;IF($D$4="Forint",Paraméterek!$M$223,Paraméterek!$M$224),2,3))),0)</f>
        <v>0</v>
      </c>
      <c r="AJ283" s="13" t="e">
        <f ca="1">IF(AND($AA283&gt;=5,MOD($AA283,5)=0),IF($AB283=12,VLOOKUP($AA283,Paraméterek!$O$225:$P$240,2),0),IF(OR($AA283=3,$AA283=4),IF($AB283=12,VLOOKUP($AA283,Paraméterek!$O$225:$P$240,2,0),0),0))*$AG283</f>
        <v>#DIV/0!</v>
      </c>
      <c r="AK283" s="13">
        <f t="shared" ca="1" si="97"/>
        <v>0</v>
      </c>
      <c r="AL283" s="13">
        <f t="shared" ca="1" si="105"/>
        <v>0</v>
      </c>
      <c r="AM283" s="13">
        <f t="shared" ca="1" si="106"/>
        <v>0</v>
      </c>
      <c r="AO283" s="32">
        <v>264</v>
      </c>
      <c r="AP283" s="32">
        <v>22</v>
      </c>
      <c r="AQ283" s="32">
        <v>12</v>
      </c>
      <c r="AR283" s="13"/>
      <c r="AS283" s="32"/>
      <c r="AT283" s="13">
        <f t="shared" ca="1" si="107"/>
        <v>0</v>
      </c>
      <c r="AU283" s="33"/>
      <c r="AV283" s="13">
        <f t="shared" ca="1" si="98"/>
        <v>0</v>
      </c>
      <c r="AW283" s="13">
        <f ca="1">ROUNDUP(($AT283+$AV283)*VLOOKUP($AP283,Paraméterek!$P$38:$Q$38,2)/12*IF($D284="Nem",IF($M$13=0,1,$M$13),1),IF($D$4="Forint",0,2))</f>
        <v>0</v>
      </c>
      <c r="AX283" s="13">
        <f>Tranzakciók!$M$53</f>
        <v>0</v>
      </c>
      <c r="AY283" s="13"/>
      <c r="AZ283" s="13">
        <f>ROUNDUP(IF(SUM($AX283:$AY283)=0,0,IF(IF(ISBLANK($AY283),$AX283,$AY283)*Paraméterek!$J$112&lt;IF($D$4="Forint",Paraméterek!$J$113,Paraméterek!$K$113),IF($D$4="Forint",Paraméterek!$J$113,Paraméterek!$K$113),IF(IF(ISBLANK($AY283),$AX283,$AY283)*Paraméterek!$J$112&gt;IF($D$4="Forint",Paraméterek!$J$114,Paraméterek!$K$114),IF($D$4="Forint",Paraméterek!$J$114,Paraméterek!$K$114),IF(ISBLANK($AY283),$AX283,$AY283)*Paraméterek!$J$112))),IF($D$4="Forint",0,2))</f>
        <v>0</v>
      </c>
      <c r="BA283" s="13">
        <f ca="1">$AT283+$AV283-$AW283-IF(ROUNDDOWN(IF(ISBLANK($AY283),$AX283,$AY283),IF($D$4="Forint",0,2))&gt;$AT283+$AV283-$AW283-IF($D$4="Forint",Paraméterek!$J$114,Paraméterek!$K$114),0,ROUNDDOWN(IF(ISBLANK($AY283),$AX283,$AY283),IF($D$4="Forint",0,2))-$AZ283)</f>
        <v>0</v>
      </c>
      <c r="BB283" s="13">
        <f t="shared" ca="1" si="99"/>
        <v>0</v>
      </c>
      <c r="BD283" s="32">
        <v>264</v>
      </c>
      <c r="BE283" s="32">
        <v>22</v>
      </c>
      <c r="BF283" s="32">
        <v>12</v>
      </c>
      <c r="BG283" s="34">
        <f t="shared" ca="1" si="108"/>
        <v>2041</v>
      </c>
      <c r="BH283" s="32" t="str">
        <f ca="1">IF(MOD(MONTH($D$14)+$BD283-1,12)=Paraméterek!$C$288,"Igen","")</f>
        <v/>
      </c>
      <c r="BI283" s="13">
        <f ca="1">IF($BH283="Igen",MIN(ROUNDDOWN((SUMIF($BG$20:$BG$1027,$BG283-1,$K$20:$K$1027)-SUMIF($BG$20:$BG$1027,$BG283-1,$I$20:$I$1027))*Paraméterek!$C$289,IF($D$4="Forint",0,2)),IF($D$4="Forint",Paraméterek!$C$285,Paraméterek!$D$285)),0)</f>
        <v>0</v>
      </c>
      <c r="BJ283" s="13">
        <f t="shared" ca="1" si="100"/>
        <v>0</v>
      </c>
      <c r="BK283" s="13">
        <f t="shared" ca="1" si="109"/>
        <v>0</v>
      </c>
      <c r="BL283" s="33"/>
      <c r="BM283" s="13">
        <f t="shared" ca="1" si="101"/>
        <v>0</v>
      </c>
      <c r="BN283" s="13">
        <f ca="1">ROUNDUP(($BK283+$BM283)*VLOOKUP($BE283,Paraméterek!$P$38:$Q$38,2)/12*IF($D284="Nem",IF($M$13=0,1,$M$13),1),IF($D$4="Forint",0,2))</f>
        <v>0</v>
      </c>
      <c r="BO283" s="13">
        <f t="shared" ca="1" si="102"/>
        <v>0</v>
      </c>
      <c r="BP283" s="13">
        <f ca="1">IF($D284="Nem",$BO283,$BO283-ROUNDUP(SUM($BI$20:$BI283)*120%,IF($D$4="Forint",0,2)))</f>
        <v>0</v>
      </c>
    </row>
    <row r="284" spans="1:68" x14ac:dyDescent="0.2">
      <c r="A284" s="32">
        <v>265</v>
      </c>
      <c r="B284" s="32">
        <v>23</v>
      </c>
      <c r="C284" s="32">
        <v>1</v>
      </c>
      <c r="D284" s="32" t="str">
        <f t="shared" ca="1" si="88"/>
        <v>Nem</v>
      </c>
      <c r="E284" s="13">
        <f t="shared" ca="1" si="89"/>
        <v>0</v>
      </c>
      <c r="F284" s="13"/>
      <c r="G284" s="13">
        <f>Tranzakciók!$D$54</f>
        <v>0</v>
      </c>
      <c r="H284" s="13"/>
      <c r="I284" s="13">
        <f t="shared" ca="1" si="90"/>
        <v>0</v>
      </c>
      <c r="J284" s="13">
        <f t="shared" ca="1" si="91"/>
        <v>0</v>
      </c>
      <c r="K284" s="13">
        <f t="shared" ca="1" si="92"/>
        <v>0</v>
      </c>
      <c r="L284" s="13" t="e">
        <f ca="1">ROUNDUP(IF($D$2="Egyszeri",$E284,IF($D$2="Havi",SUM($E$20:$E$31),IF(MOD($C284,$M$1)-1=0,SUM($E$20:$E$31),0))/12*$M$1)*VLOOKUP($B284,Paraméterek!$I$28:$P$31,IF($D$2="Egyszeri",8,HLOOKUP(ROUNDUP($M$11+$M$13,0),Paraméterek!$J$26:$O$27,2))),IF($D$4="Forint",0,2))</f>
        <v>#N/A</v>
      </c>
      <c r="M284" s="13">
        <f t="shared" ca="1" si="93"/>
        <v>0</v>
      </c>
      <c r="N284" s="13">
        <f t="shared" ca="1" si="103"/>
        <v>0</v>
      </c>
      <c r="O284" s="13">
        <f ca="1">IF($D284="Igen",IF($W283&gt;=IF($D$4="Forint",Paraméterek!$J$121,Paraméterek!$K$121),0,IF($D$4="Forint",Paraméterek!$J$121,Paraméterek!$K$121)-$W283),0)</f>
        <v>0</v>
      </c>
      <c r="P284" s="13" t="e">
        <f ca="1">ROUNDUP($O284*VLOOKUP($M$4+$B284-1,Paraméterek!$H$58:$I$105,2,0)/Paraméterek!$I$56,IF($D$4="Forint",0,2))</f>
        <v>#N/A</v>
      </c>
      <c r="Q284" s="13">
        <f t="shared" ca="1" si="94"/>
        <v>0</v>
      </c>
      <c r="R284" s="33"/>
      <c r="S284" s="13" t="e">
        <f t="shared" ca="1" si="95"/>
        <v>#N/A</v>
      </c>
      <c r="T284" s="13" t="e">
        <f ca="1">ROUNDUP(($N284-$P284-$Q284+$S284)*VLOOKUP($B284,Paraméterek!$I$38:$K$39,IF($D$2="Egyszeri",3,2))/12*IF($D285="Nem",IF($M$13=0,1,$M$13),1),IF($D$4="Forint",0,2))</f>
        <v>#N/A</v>
      </c>
      <c r="U284" s="13"/>
      <c r="V284" s="13"/>
      <c r="W284" s="13" t="e">
        <f ca="1">$N284-$P284-$Q284+$S284-$T284-IF(ROUNDUP(IF(ISBLANK($V284),$U284*0,$V284)/IF($D$2="Egyszeri",VLOOKUP($B284+IF($C284=12,1,0),Paraméterek!$V$257:$W$262,2),IF($B284=1,1,VLOOKUP($B284+IF($C284=12,1,0),Paraméterek!$I$258:$T$278,HLOOKUP($M$11+1,Paraméterek!$J$256:$T$257,2)))),IF($D$4="Forint",0,2))&gt;$N284-$P284-$Q284+$S284-$T284-IF($D$4="Forint",Paraméterek!$C$216,Paraméterek!$D$216),0,ROUNDUP(IF(ISBLANK($V284),$U284*0,$V284)/IF($D$2="Egyszeri",VLOOKUP($B284+IF($C284=12,1,0),Paraméterek!$V$257:$W$262,2),IF($B284=1,1,VLOOKUP($B284+IF($C284=12,1,0),Paraméterek!$I$258:$T$278,HLOOKUP($M$11+1,Paraméterek!$J$256:$T$257,2)))),IF($D$4="Forint",0,2)))</f>
        <v>#N/A</v>
      </c>
      <c r="X284" s="13" t="e">
        <f ca="1">ROUNDDOWN($W284*IF($D$2="Egyszeri",VLOOKUP($B284+IF($C284=12,1,0),Paraméterek!$V$257:$W$262,2),VLOOKUP($B284+IF($C284=12,1,0),Paraméterek!$I$258:$T$278,HLOOKUP($M$11+1,Paraméterek!$I$256:$T$257,2))),IF($D$4="Forint",0,2))</f>
        <v>#N/A</v>
      </c>
      <c r="Z284" s="32">
        <v>265</v>
      </c>
      <c r="AA284" s="32">
        <v>23</v>
      </c>
      <c r="AB284" s="32">
        <v>1</v>
      </c>
      <c r="AC284" s="13">
        <f t="shared" ca="1" si="104"/>
        <v>0</v>
      </c>
      <c r="AD284" s="33"/>
      <c r="AE284" s="13">
        <f t="shared" ca="1" si="96"/>
        <v>0</v>
      </c>
      <c r="AF284" s="13">
        <f ca="1">ROUNDUP(($AC284+$AE284)*VLOOKUP($AA284,Paraméterek!$P$38:$Q$38,2)/12*IF($D285="Nem",IF($M$13=0,1,$M$13),1),IF($D$4="Forint",0,2))</f>
        <v>0</v>
      </c>
      <c r="AG284" s="13">
        <f ca="1">IF($D$2="Egyszeri",IF($D$7&gt;=IF($D$4="Forint",Paraméterek!$P$223,Paraméterek!$P$224),$D$7-IF($D$4="Forint",Paraméterek!$P$223,Paraméterek!$P$224),0),MIN(IF($AB284=12,AVERAGEIF($E$20:$E284,"&gt;0",$E$20:$E284)*12,0),SUM($E$20:$E$31)))</f>
        <v>0</v>
      </c>
      <c r="AH284" s="13">
        <f>IF($AA284=10,$AG284*IF($AB284=12,IF($AG284&lt;IF($D$4="Forint",Paraméterek!$L$223,Paraméterek!$L$224),0,VLOOKUP($AA284,Paraméterek!$K$226:$M$228,IF($AG284&lt;IF($D$4="Forint",Paraméterek!$M$223,Paraméterek!$M$224),2,3))),0),0)</f>
        <v>0</v>
      </c>
      <c r="AI284" s="13">
        <f ca="1">IF(AND($AA284=$M$11+1,$AB284=$M$12+1),SUMIF($AA$20:$AA$1027,$AA284,$AG$20:$AG$1027)*IF(SUMIF($AA$20:$AA$1027,$AA284,$AG$20:$AG$1027)&lt;IF($D$4="Forint",Paraméterek!$L$223,Paraméterek!$L$224),0,VLOOKUP($AA284,Paraméterek!$K$230:$M$250,IF(SUMIF($AA$20:$AA$1027,$AA284,$AG$20:$AG$1027)&lt;IF($D$4="Forint",Paraméterek!$M$223,Paraméterek!$M$224),2,3))),0)</f>
        <v>0</v>
      </c>
      <c r="AJ284" s="13">
        <f ca="1">IF(AND($AA284&gt;=5,MOD($AA284,5)=0),IF($AB284=12,VLOOKUP($AA284,Paraméterek!$O$225:$P$240,2),0),IF(OR($AA284=3,$AA284=4),IF($AB284=12,VLOOKUP($AA284,Paraméterek!$O$225:$P$240,2,0),0),0))*$AG284</f>
        <v>0</v>
      </c>
      <c r="AK284" s="13">
        <f t="shared" ca="1" si="97"/>
        <v>0</v>
      </c>
      <c r="AL284" s="13">
        <f t="shared" ca="1" si="105"/>
        <v>0</v>
      </c>
      <c r="AM284" s="13">
        <f t="shared" ca="1" si="106"/>
        <v>0</v>
      </c>
      <c r="AO284" s="32">
        <v>265</v>
      </c>
      <c r="AP284" s="32">
        <v>23</v>
      </c>
      <c r="AQ284" s="32">
        <v>1</v>
      </c>
      <c r="AR284" s="13">
        <f>Tranzakciók!$K$54</f>
        <v>0</v>
      </c>
      <c r="AS284" s="32"/>
      <c r="AT284" s="13">
        <f t="shared" ca="1" si="107"/>
        <v>0</v>
      </c>
      <c r="AU284" s="33"/>
      <c r="AV284" s="13">
        <f t="shared" ca="1" si="98"/>
        <v>0</v>
      </c>
      <c r="AW284" s="13">
        <f ca="1">ROUNDUP(($AT284+$AV284)*VLOOKUP($AP284,Paraméterek!$P$38:$Q$38,2)/12*IF($D285="Nem",IF($M$13=0,1,$M$13),1),IF($D$4="Forint",0,2))</f>
        <v>0</v>
      </c>
      <c r="AX284" s="13"/>
      <c r="AY284" s="13"/>
      <c r="AZ284" s="13">
        <f>ROUNDUP(IF(SUM($AX284:$AY284)=0,0,IF(IF(ISBLANK($AY284),$AX284,$AY284)*Paraméterek!$J$112&lt;IF($D$4="Forint",Paraméterek!$J$113,Paraméterek!$K$113),IF($D$4="Forint",Paraméterek!$J$113,Paraméterek!$K$113),IF(IF(ISBLANK($AY284),$AX284,$AY284)*Paraméterek!$J$112&gt;IF($D$4="Forint",Paraméterek!$J$114,Paraméterek!$K$114),IF($D$4="Forint",Paraméterek!$J$114,Paraméterek!$K$114),IF(ISBLANK($AY284),$AX284,$AY284)*Paraméterek!$J$112))),IF($D$4="Forint",0,2))</f>
        <v>0</v>
      </c>
      <c r="BA284" s="13">
        <f ca="1">$AT284+$AV284-$AW284-IF(ROUNDDOWN(IF(ISBLANK($AY284),$AX284,$AY284),IF($D$4="Forint",0,2))&gt;$AT284+$AV284-$AW284-IF($D$4="Forint",Paraméterek!$J$114,Paraméterek!$K$114),0,ROUNDDOWN(IF(ISBLANK($AY284),$AX284,$AY284),IF($D$4="Forint",0,2))-$AZ284)</f>
        <v>0</v>
      </c>
      <c r="BB284" s="13">
        <f t="shared" ca="1" si="99"/>
        <v>0</v>
      </c>
      <c r="BD284" s="32">
        <v>265</v>
      </c>
      <c r="BE284" s="32">
        <v>23</v>
      </c>
      <c r="BF284" s="32">
        <v>1</v>
      </c>
      <c r="BG284" s="34">
        <f t="shared" ca="1" si="108"/>
        <v>2041</v>
      </c>
      <c r="BH284" s="32" t="str">
        <f ca="1">IF(MOD(MONTH($D$14)+$BD284-1,12)=Paraméterek!$C$288,"Igen","")</f>
        <v/>
      </c>
      <c r="BI284" s="13">
        <f ca="1">IF($BH284="Igen",MIN(ROUNDDOWN((SUMIF($BG$20:$BG$1027,$BG284-1,$K$20:$K$1027)-SUMIF($BG$20:$BG$1027,$BG284-1,$I$20:$I$1027))*Paraméterek!$C$289,IF($D$4="Forint",0,2)),IF($D$4="Forint",Paraméterek!$C$285,Paraméterek!$D$285)),0)</f>
        <v>0</v>
      </c>
      <c r="BJ284" s="13">
        <f t="shared" ca="1" si="100"/>
        <v>0</v>
      </c>
      <c r="BK284" s="13">
        <f t="shared" ca="1" si="109"/>
        <v>0</v>
      </c>
      <c r="BL284" s="33"/>
      <c r="BM284" s="13">
        <f t="shared" ca="1" si="101"/>
        <v>0</v>
      </c>
      <c r="BN284" s="13">
        <f ca="1">ROUNDUP(($BK284+$BM284)*VLOOKUP($BE284,Paraméterek!$P$38:$Q$38,2)/12*IF($D285="Nem",IF($M$13=0,1,$M$13),1),IF($D$4="Forint",0,2))</f>
        <v>0</v>
      </c>
      <c r="BO284" s="13">
        <f t="shared" ca="1" si="102"/>
        <v>0</v>
      </c>
      <c r="BP284" s="13">
        <f ca="1">IF($D285="Nem",$BO284,$BO284-ROUNDUP(SUM($BI$20:$BI284)*120%,IF($D$4="Forint",0,2)))</f>
        <v>0</v>
      </c>
    </row>
    <row r="285" spans="1:68" x14ac:dyDescent="0.2">
      <c r="A285" s="32">
        <v>266</v>
      </c>
      <c r="B285" s="32">
        <v>23</v>
      </c>
      <c r="C285" s="32">
        <v>2</v>
      </c>
      <c r="D285" s="32" t="str">
        <f t="shared" ca="1" si="88"/>
        <v>Nem</v>
      </c>
      <c r="E285" s="13">
        <f t="shared" ca="1" si="89"/>
        <v>0</v>
      </c>
      <c r="F285" s="13"/>
      <c r="G285" s="13"/>
      <c r="H285" s="13"/>
      <c r="I285" s="13">
        <f t="shared" ca="1" si="90"/>
        <v>0</v>
      </c>
      <c r="J285" s="13">
        <f t="shared" ca="1" si="91"/>
        <v>0</v>
      </c>
      <c r="K285" s="13">
        <f t="shared" ca="1" si="92"/>
        <v>0</v>
      </c>
      <c r="L285" s="13" t="e">
        <f ca="1">ROUNDUP(IF($D$2="Egyszeri",$E285,IF($D$2="Havi",SUM($E$20:$E$31),IF(MOD($C285,$M$1)-1=0,SUM($E$20:$E$31),0))/12*$M$1)*VLOOKUP($B285,Paraméterek!$I$28:$P$31,IF($D$2="Egyszeri",8,HLOOKUP(ROUNDUP($M$11+$M$13,0),Paraméterek!$J$26:$O$27,2))),IF($D$4="Forint",0,2))</f>
        <v>#N/A</v>
      </c>
      <c r="M285" s="13">
        <f t="shared" ca="1" si="93"/>
        <v>0</v>
      </c>
      <c r="N285" s="13">
        <f t="shared" ca="1" si="103"/>
        <v>0</v>
      </c>
      <c r="O285" s="13">
        <f ca="1">IF($D285="Igen",IF($W284&gt;=IF($D$4="Forint",Paraméterek!$J$121,Paraméterek!$K$121),0,IF($D$4="Forint",Paraméterek!$J$121,Paraméterek!$K$121)-$W284),0)</f>
        <v>0</v>
      </c>
      <c r="P285" s="13" t="e">
        <f ca="1">ROUNDUP($O285*VLOOKUP($M$4+$B285-1,Paraméterek!$H$58:$I$105,2,0)/Paraméterek!$I$56,IF($D$4="Forint",0,2))</f>
        <v>#N/A</v>
      </c>
      <c r="Q285" s="13">
        <f t="shared" ca="1" si="94"/>
        <v>0</v>
      </c>
      <c r="R285" s="33"/>
      <c r="S285" s="13" t="e">
        <f t="shared" ca="1" si="95"/>
        <v>#N/A</v>
      </c>
      <c r="T285" s="13" t="e">
        <f ca="1">ROUNDUP(($N285-$P285-$Q285+$S285)*VLOOKUP($B285,Paraméterek!$I$38:$K$39,IF($D$2="Egyszeri",3,2))/12*IF($D286="Nem",IF($M$13=0,1,$M$13),1),IF($D$4="Forint",0,2))</f>
        <v>#N/A</v>
      </c>
      <c r="U285" s="13"/>
      <c r="V285" s="13"/>
      <c r="W285" s="13" t="e">
        <f ca="1">$N285-$P285-$Q285+$S285-$T285-IF(ROUNDUP(IF(ISBLANK($V285),$U285*0,$V285)/IF($D$2="Egyszeri",VLOOKUP($B285+IF($C285=12,1,0),Paraméterek!$V$257:$W$262,2),IF($B285=1,1,VLOOKUP($B285+IF($C285=12,1,0),Paraméterek!$I$258:$T$278,HLOOKUP($M$11+1,Paraméterek!$J$256:$T$257,2)))),IF($D$4="Forint",0,2))&gt;$N285-$P285-$Q285+$S285-$T285-IF($D$4="Forint",Paraméterek!$C$216,Paraméterek!$D$216),0,ROUNDUP(IF(ISBLANK($V285),$U285*0,$V285)/IF($D$2="Egyszeri",VLOOKUP($B285+IF($C285=12,1,0),Paraméterek!$V$257:$W$262,2),IF($B285=1,1,VLOOKUP($B285+IF($C285=12,1,0),Paraméterek!$I$258:$T$278,HLOOKUP($M$11+1,Paraméterek!$J$256:$T$257,2)))),IF($D$4="Forint",0,2)))</f>
        <v>#N/A</v>
      </c>
      <c r="X285" s="13" t="e">
        <f ca="1">ROUNDDOWN($W285*IF($D$2="Egyszeri",VLOOKUP($B285+IF($C285=12,1,0),Paraméterek!$V$257:$W$262,2),VLOOKUP($B285+IF($C285=12,1,0),Paraméterek!$I$258:$T$278,HLOOKUP($M$11+1,Paraméterek!$I$256:$T$257,2))),IF($D$4="Forint",0,2))</f>
        <v>#N/A</v>
      </c>
      <c r="Z285" s="32">
        <v>266</v>
      </c>
      <c r="AA285" s="32">
        <v>23</v>
      </c>
      <c r="AB285" s="32">
        <v>2</v>
      </c>
      <c r="AC285" s="13">
        <f t="shared" ca="1" si="104"/>
        <v>0</v>
      </c>
      <c r="AD285" s="33"/>
      <c r="AE285" s="13">
        <f t="shared" ca="1" si="96"/>
        <v>0</v>
      </c>
      <c r="AF285" s="13">
        <f ca="1">ROUNDUP(($AC285+$AE285)*VLOOKUP($AA285,Paraméterek!$P$38:$Q$38,2)/12*IF($D286="Nem",IF($M$13=0,1,$M$13),1),IF($D$4="Forint",0,2))</f>
        <v>0</v>
      </c>
      <c r="AG285" s="13">
        <f ca="1">IF($D$2="Egyszeri",IF($D$7&gt;=IF($D$4="Forint",Paraméterek!$P$223,Paraméterek!$P$224),$D$7-IF($D$4="Forint",Paraméterek!$P$223,Paraméterek!$P$224),0),MIN(IF($AB285=12,AVERAGEIF($E$20:$E285,"&gt;0",$E$20:$E285)*12,0),SUM($E$20:$E$31)))</f>
        <v>0</v>
      </c>
      <c r="AH285" s="13">
        <f>IF($AA285=10,$AG285*IF($AB285=12,IF($AG285&lt;IF($D$4="Forint",Paraméterek!$L$223,Paraméterek!$L$224),0,VLOOKUP($AA285,Paraméterek!$K$226:$M$228,IF($AG285&lt;IF($D$4="Forint",Paraméterek!$M$223,Paraméterek!$M$224),2,3))),0),0)</f>
        <v>0</v>
      </c>
      <c r="AI285" s="13">
        <f ca="1">IF(AND($AA285=$M$11+1,$AB285=$M$12+1),SUMIF($AA$20:$AA$1027,$AA285,$AG$20:$AG$1027)*IF(SUMIF($AA$20:$AA$1027,$AA285,$AG$20:$AG$1027)&lt;IF($D$4="Forint",Paraméterek!$L$223,Paraméterek!$L$224),0,VLOOKUP($AA285,Paraméterek!$K$230:$M$250,IF(SUMIF($AA$20:$AA$1027,$AA285,$AG$20:$AG$1027)&lt;IF($D$4="Forint",Paraméterek!$M$223,Paraméterek!$M$224),2,3))),0)</f>
        <v>0</v>
      </c>
      <c r="AJ285" s="13">
        <f ca="1">IF(AND($AA285&gt;=5,MOD($AA285,5)=0),IF($AB285=12,VLOOKUP($AA285,Paraméterek!$O$225:$P$240,2),0),IF(OR($AA285=3,$AA285=4),IF($AB285=12,VLOOKUP($AA285,Paraméterek!$O$225:$P$240,2,0),0),0))*$AG285</f>
        <v>0</v>
      </c>
      <c r="AK285" s="13">
        <f t="shared" ca="1" si="97"/>
        <v>0</v>
      </c>
      <c r="AL285" s="13">
        <f t="shared" ca="1" si="105"/>
        <v>0</v>
      </c>
      <c r="AM285" s="13">
        <f t="shared" ca="1" si="106"/>
        <v>0</v>
      </c>
      <c r="AO285" s="32">
        <v>266</v>
      </c>
      <c r="AP285" s="32">
        <v>23</v>
      </c>
      <c r="AQ285" s="32">
        <v>2</v>
      </c>
      <c r="AR285" s="13"/>
      <c r="AS285" s="32"/>
      <c r="AT285" s="13">
        <f t="shared" ca="1" si="107"/>
        <v>0</v>
      </c>
      <c r="AU285" s="33"/>
      <c r="AV285" s="13">
        <f t="shared" ca="1" si="98"/>
        <v>0</v>
      </c>
      <c r="AW285" s="13">
        <f ca="1">ROUNDUP(($AT285+$AV285)*VLOOKUP($AP285,Paraméterek!$P$38:$Q$38,2)/12*IF($D286="Nem",IF($M$13=0,1,$M$13),1),IF($D$4="Forint",0,2))</f>
        <v>0</v>
      </c>
      <c r="AX285" s="13"/>
      <c r="AY285" s="13"/>
      <c r="AZ285" s="13">
        <f>ROUNDUP(IF(SUM($AX285:$AY285)=0,0,IF(IF(ISBLANK($AY285),$AX285,$AY285)*Paraméterek!$J$112&lt;IF($D$4="Forint",Paraméterek!$J$113,Paraméterek!$K$113),IF($D$4="Forint",Paraméterek!$J$113,Paraméterek!$K$113),IF(IF(ISBLANK($AY285),$AX285,$AY285)*Paraméterek!$J$112&gt;IF($D$4="Forint",Paraméterek!$J$114,Paraméterek!$K$114),IF($D$4="Forint",Paraméterek!$J$114,Paraméterek!$K$114),IF(ISBLANK($AY285),$AX285,$AY285)*Paraméterek!$J$112))),IF($D$4="Forint",0,2))</f>
        <v>0</v>
      </c>
      <c r="BA285" s="13">
        <f ca="1">$AT285+$AV285-$AW285-IF(ROUNDDOWN(IF(ISBLANK($AY285),$AX285,$AY285),IF($D$4="Forint",0,2))&gt;$AT285+$AV285-$AW285-IF($D$4="Forint",Paraméterek!$J$114,Paraméterek!$K$114),0,ROUNDDOWN(IF(ISBLANK($AY285),$AX285,$AY285),IF($D$4="Forint",0,2))-$AZ285)</f>
        <v>0</v>
      </c>
      <c r="BB285" s="13">
        <f t="shared" ca="1" si="99"/>
        <v>0</v>
      </c>
      <c r="BD285" s="32">
        <v>266</v>
      </c>
      <c r="BE285" s="32">
        <v>23</v>
      </c>
      <c r="BF285" s="32">
        <v>2</v>
      </c>
      <c r="BG285" s="34">
        <f t="shared" ca="1" si="108"/>
        <v>2041</v>
      </c>
      <c r="BH285" s="32" t="str">
        <f ca="1">IF(MOD(MONTH($D$14)+$BD285-1,12)=Paraméterek!$C$288,"Igen","")</f>
        <v>Igen</v>
      </c>
      <c r="BI285" s="13">
        <f ca="1">IF($BH285="Igen",MIN(ROUNDDOWN((SUMIF($BG$20:$BG$1027,$BG285-1,$K$20:$K$1027)-SUMIF($BG$20:$BG$1027,$BG285-1,$I$20:$I$1027))*Paraméterek!$C$289,IF($D$4="Forint",0,2)),IF($D$4="Forint",Paraméterek!$C$285,Paraméterek!$D$285)),0)</f>
        <v>0</v>
      </c>
      <c r="BJ285" s="13">
        <f t="shared" ca="1" si="100"/>
        <v>0</v>
      </c>
      <c r="BK285" s="13">
        <f t="shared" ca="1" si="109"/>
        <v>0</v>
      </c>
      <c r="BL285" s="33"/>
      <c r="BM285" s="13">
        <f t="shared" ca="1" si="101"/>
        <v>0</v>
      </c>
      <c r="BN285" s="13">
        <f ca="1">ROUNDUP(($BK285+$BM285)*VLOOKUP($BE285,Paraméterek!$P$38:$Q$38,2)/12*IF($D286="Nem",IF($M$13=0,1,$M$13),1),IF($D$4="Forint",0,2))</f>
        <v>0</v>
      </c>
      <c r="BO285" s="13">
        <f t="shared" ca="1" si="102"/>
        <v>0</v>
      </c>
      <c r="BP285" s="13">
        <f ca="1">IF($D286="Nem",$BO285,$BO285-ROUNDUP(SUM($BI$20:$BI285)*120%,IF($D$4="Forint",0,2)))</f>
        <v>0</v>
      </c>
    </row>
    <row r="286" spans="1:68" x14ac:dyDescent="0.2">
      <c r="A286" s="32">
        <v>267</v>
      </c>
      <c r="B286" s="32">
        <v>23</v>
      </c>
      <c r="C286" s="32">
        <v>3</v>
      </c>
      <c r="D286" s="32" t="str">
        <f t="shared" ca="1" si="88"/>
        <v>Nem</v>
      </c>
      <c r="E286" s="13">
        <f t="shared" ca="1" si="89"/>
        <v>0</v>
      </c>
      <c r="F286" s="13"/>
      <c r="G286" s="13"/>
      <c r="H286" s="13"/>
      <c r="I286" s="13">
        <f t="shared" ca="1" si="90"/>
        <v>0</v>
      </c>
      <c r="J286" s="13">
        <f t="shared" ca="1" si="91"/>
        <v>0</v>
      </c>
      <c r="K286" s="13">
        <f t="shared" ca="1" si="92"/>
        <v>0</v>
      </c>
      <c r="L286" s="13" t="e">
        <f ca="1">ROUNDUP(IF($D$2="Egyszeri",$E286,IF($D$2="Havi",SUM($E$20:$E$31),IF(MOD($C286,$M$1)-1=0,SUM($E$20:$E$31),0))/12*$M$1)*VLOOKUP($B286,Paraméterek!$I$28:$P$31,IF($D$2="Egyszeri",8,HLOOKUP(ROUNDUP($M$11+$M$13,0),Paraméterek!$J$26:$O$27,2))),IF($D$4="Forint",0,2))</f>
        <v>#N/A</v>
      </c>
      <c r="M286" s="13">
        <f t="shared" ca="1" si="93"/>
        <v>0</v>
      </c>
      <c r="N286" s="13">
        <f t="shared" ca="1" si="103"/>
        <v>0</v>
      </c>
      <c r="O286" s="13">
        <f ca="1">IF($D286="Igen",IF($W285&gt;=IF($D$4="Forint",Paraméterek!$J$121,Paraméterek!$K$121),0,IF($D$4="Forint",Paraméterek!$J$121,Paraméterek!$K$121)-$W285),0)</f>
        <v>0</v>
      </c>
      <c r="P286" s="13" t="e">
        <f ca="1">ROUNDUP($O286*VLOOKUP($M$4+$B286-1,Paraméterek!$H$58:$I$105,2,0)/Paraméterek!$I$56,IF($D$4="Forint",0,2))</f>
        <v>#N/A</v>
      </c>
      <c r="Q286" s="13">
        <f t="shared" ca="1" si="94"/>
        <v>0</v>
      </c>
      <c r="R286" s="33"/>
      <c r="S286" s="13" t="e">
        <f t="shared" ca="1" si="95"/>
        <v>#N/A</v>
      </c>
      <c r="T286" s="13" t="e">
        <f ca="1">ROUNDUP(($N286-$P286-$Q286+$S286)*VLOOKUP($B286,Paraméterek!$I$38:$K$39,IF($D$2="Egyszeri",3,2))/12*IF($D287="Nem",IF($M$13=0,1,$M$13),1),IF($D$4="Forint",0,2))</f>
        <v>#N/A</v>
      </c>
      <c r="U286" s="13"/>
      <c r="V286" s="13"/>
      <c r="W286" s="13" t="e">
        <f ca="1">$N286-$P286-$Q286+$S286-$T286-IF(ROUNDUP(IF(ISBLANK($V286),$U286*0,$V286)/IF($D$2="Egyszeri",VLOOKUP($B286+IF($C286=12,1,0),Paraméterek!$V$257:$W$262,2),IF($B286=1,1,VLOOKUP($B286+IF($C286=12,1,0),Paraméterek!$I$258:$T$278,HLOOKUP($M$11+1,Paraméterek!$J$256:$T$257,2)))),IF($D$4="Forint",0,2))&gt;$N286-$P286-$Q286+$S286-$T286-IF($D$4="Forint",Paraméterek!$C$216,Paraméterek!$D$216),0,ROUNDUP(IF(ISBLANK($V286),$U286*0,$V286)/IF($D$2="Egyszeri",VLOOKUP($B286+IF($C286=12,1,0),Paraméterek!$V$257:$W$262,2),IF($B286=1,1,VLOOKUP($B286+IF($C286=12,1,0),Paraméterek!$I$258:$T$278,HLOOKUP($M$11+1,Paraméterek!$J$256:$T$257,2)))),IF($D$4="Forint",0,2)))</f>
        <v>#N/A</v>
      </c>
      <c r="X286" s="13" t="e">
        <f ca="1">ROUNDDOWN($W286*IF($D$2="Egyszeri",VLOOKUP($B286+IF($C286=12,1,0),Paraméterek!$V$257:$W$262,2),VLOOKUP($B286+IF($C286=12,1,0),Paraméterek!$I$258:$T$278,HLOOKUP($M$11+1,Paraméterek!$I$256:$T$257,2))),IF($D$4="Forint",0,2))</f>
        <v>#N/A</v>
      </c>
      <c r="Z286" s="32">
        <v>267</v>
      </c>
      <c r="AA286" s="32">
        <v>23</v>
      </c>
      <c r="AB286" s="32">
        <v>3</v>
      </c>
      <c r="AC286" s="13">
        <f t="shared" ca="1" si="104"/>
        <v>0</v>
      </c>
      <c r="AD286" s="33"/>
      <c r="AE286" s="13">
        <f t="shared" ca="1" si="96"/>
        <v>0</v>
      </c>
      <c r="AF286" s="13">
        <f ca="1">ROUNDUP(($AC286+$AE286)*VLOOKUP($AA286,Paraméterek!$P$38:$Q$38,2)/12*IF($D287="Nem",IF($M$13=0,1,$M$13),1),IF($D$4="Forint",0,2))</f>
        <v>0</v>
      </c>
      <c r="AG286" s="13">
        <f ca="1">IF($D$2="Egyszeri",IF($D$7&gt;=IF($D$4="Forint",Paraméterek!$P$223,Paraméterek!$P$224),$D$7-IF($D$4="Forint",Paraméterek!$P$223,Paraméterek!$P$224),0),MIN(IF($AB286=12,AVERAGEIF($E$20:$E286,"&gt;0",$E$20:$E286)*12,0),SUM($E$20:$E$31)))</f>
        <v>0</v>
      </c>
      <c r="AH286" s="13">
        <f>IF($AA286=10,$AG286*IF($AB286=12,IF($AG286&lt;IF($D$4="Forint",Paraméterek!$L$223,Paraméterek!$L$224),0,VLOOKUP($AA286,Paraméterek!$K$226:$M$228,IF($AG286&lt;IF($D$4="Forint",Paraméterek!$M$223,Paraméterek!$M$224),2,3))),0),0)</f>
        <v>0</v>
      </c>
      <c r="AI286" s="13">
        <f ca="1">IF(AND($AA286=$M$11+1,$AB286=$M$12+1),SUMIF($AA$20:$AA$1027,$AA286,$AG$20:$AG$1027)*IF(SUMIF($AA$20:$AA$1027,$AA286,$AG$20:$AG$1027)&lt;IF($D$4="Forint",Paraméterek!$L$223,Paraméterek!$L$224),0,VLOOKUP($AA286,Paraméterek!$K$230:$M$250,IF(SUMIF($AA$20:$AA$1027,$AA286,$AG$20:$AG$1027)&lt;IF($D$4="Forint",Paraméterek!$M$223,Paraméterek!$M$224),2,3))),0)</f>
        <v>0</v>
      </c>
      <c r="AJ286" s="13">
        <f ca="1">IF(AND($AA286&gt;=5,MOD($AA286,5)=0),IF($AB286=12,VLOOKUP($AA286,Paraméterek!$O$225:$P$240,2),0),IF(OR($AA286=3,$AA286=4),IF($AB286=12,VLOOKUP($AA286,Paraméterek!$O$225:$P$240,2,0),0),0))*$AG286</f>
        <v>0</v>
      </c>
      <c r="AK286" s="13">
        <f t="shared" ca="1" si="97"/>
        <v>0</v>
      </c>
      <c r="AL286" s="13">
        <f t="shared" ca="1" si="105"/>
        <v>0</v>
      </c>
      <c r="AM286" s="13">
        <f t="shared" ca="1" si="106"/>
        <v>0</v>
      </c>
      <c r="AO286" s="32">
        <v>267</v>
      </c>
      <c r="AP286" s="32">
        <v>23</v>
      </c>
      <c r="AQ286" s="32">
        <v>3</v>
      </c>
      <c r="AR286" s="13"/>
      <c r="AS286" s="32"/>
      <c r="AT286" s="13">
        <f t="shared" ca="1" si="107"/>
        <v>0</v>
      </c>
      <c r="AU286" s="33"/>
      <c r="AV286" s="13">
        <f t="shared" ca="1" si="98"/>
        <v>0</v>
      </c>
      <c r="AW286" s="13">
        <f ca="1">ROUNDUP(($AT286+$AV286)*VLOOKUP($AP286,Paraméterek!$P$38:$Q$38,2)/12*IF($D287="Nem",IF($M$13=0,1,$M$13),1),IF($D$4="Forint",0,2))</f>
        <v>0</v>
      </c>
      <c r="AX286" s="13"/>
      <c r="AY286" s="13"/>
      <c r="AZ286" s="13">
        <f>ROUNDUP(IF(SUM($AX286:$AY286)=0,0,IF(IF(ISBLANK($AY286),$AX286,$AY286)*Paraméterek!$J$112&lt;IF($D$4="Forint",Paraméterek!$J$113,Paraméterek!$K$113),IF($D$4="Forint",Paraméterek!$J$113,Paraméterek!$K$113),IF(IF(ISBLANK($AY286),$AX286,$AY286)*Paraméterek!$J$112&gt;IF($D$4="Forint",Paraméterek!$J$114,Paraméterek!$K$114),IF($D$4="Forint",Paraméterek!$J$114,Paraméterek!$K$114),IF(ISBLANK($AY286),$AX286,$AY286)*Paraméterek!$J$112))),IF($D$4="Forint",0,2))</f>
        <v>0</v>
      </c>
      <c r="BA286" s="13">
        <f ca="1">$AT286+$AV286-$AW286-IF(ROUNDDOWN(IF(ISBLANK($AY286),$AX286,$AY286),IF($D$4="Forint",0,2))&gt;$AT286+$AV286-$AW286-IF($D$4="Forint",Paraméterek!$J$114,Paraméterek!$K$114),0,ROUNDDOWN(IF(ISBLANK($AY286),$AX286,$AY286),IF($D$4="Forint",0,2))-$AZ286)</f>
        <v>0</v>
      </c>
      <c r="BB286" s="13">
        <f t="shared" ca="1" si="99"/>
        <v>0</v>
      </c>
      <c r="BD286" s="32">
        <v>267</v>
      </c>
      <c r="BE286" s="32">
        <v>23</v>
      </c>
      <c r="BF286" s="32">
        <v>3</v>
      </c>
      <c r="BG286" s="34">
        <f t="shared" ca="1" si="108"/>
        <v>2041</v>
      </c>
      <c r="BH286" s="32" t="str">
        <f ca="1">IF(MOD(MONTH($D$14)+$BD286-1,12)=Paraméterek!$C$288,"Igen","")</f>
        <v/>
      </c>
      <c r="BI286" s="13">
        <f ca="1">IF($BH286="Igen",MIN(ROUNDDOWN((SUMIF($BG$20:$BG$1027,$BG286-1,$K$20:$K$1027)-SUMIF($BG$20:$BG$1027,$BG286-1,$I$20:$I$1027))*Paraméterek!$C$289,IF($D$4="Forint",0,2)),IF($D$4="Forint",Paraméterek!$C$285,Paraméterek!$D$285)),0)</f>
        <v>0</v>
      </c>
      <c r="BJ286" s="13">
        <f t="shared" ca="1" si="100"/>
        <v>0</v>
      </c>
      <c r="BK286" s="13">
        <f t="shared" ca="1" si="109"/>
        <v>0</v>
      </c>
      <c r="BL286" s="33"/>
      <c r="BM286" s="13">
        <f t="shared" ca="1" si="101"/>
        <v>0</v>
      </c>
      <c r="BN286" s="13">
        <f ca="1">ROUNDUP(($BK286+$BM286)*VLOOKUP($BE286,Paraméterek!$P$38:$Q$38,2)/12*IF($D287="Nem",IF($M$13=0,1,$M$13),1),IF($D$4="Forint",0,2))</f>
        <v>0</v>
      </c>
      <c r="BO286" s="13">
        <f t="shared" ca="1" si="102"/>
        <v>0</v>
      </c>
      <c r="BP286" s="13">
        <f ca="1">IF($D287="Nem",$BO286,$BO286-ROUNDUP(SUM($BI$20:$BI286)*120%,IF($D$4="Forint",0,2)))</f>
        <v>0</v>
      </c>
    </row>
    <row r="287" spans="1:68" x14ac:dyDescent="0.2">
      <c r="A287" s="32">
        <v>268</v>
      </c>
      <c r="B287" s="32">
        <v>23</v>
      </c>
      <c r="C287" s="32">
        <v>4</v>
      </c>
      <c r="D287" s="32" t="str">
        <f t="shared" ca="1" si="88"/>
        <v>Nem</v>
      </c>
      <c r="E287" s="13">
        <f t="shared" ca="1" si="89"/>
        <v>0</v>
      </c>
      <c r="F287" s="13"/>
      <c r="G287" s="13"/>
      <c r="H287" s="13"/>
      <c r="I287" s="13">
        <f t="shared" ca="1" si="90"/>
        <v>0</v>
      </c>
      <c r="J287" s="13">
        <f t="shared" ca="1" si="91"/>
        <v>0</v>
      </c>
      <c r="K287" s="13">
        <f t="shared" ca="1" si="92"/>
        <v>0</v>
      </c>
      <c r="L287" s="13" t="e">
        <f ca="1">ROUNDUP(IF($D$2="Egyszeri",$E287,IF($D$2="Havi",SUM($E$20:$E$31),IF(MOD($C287,$M$1)-1=0,SUM($E$20:$E$31),0))/12*$M$1)*VLOOKUP($B287,Paraméterek!$I$28:$P$31,IF($D$2="Egyszeri",8,HLOOKUP(ROUNDUP($M$11+$M$13,0),Paraméterek!$J$26:$O$27,2))),IF($D$4="Forint",0,2))</f>
        <v>#N/A</v>
      </c>
      <c r="M287" s="13">
        <f t="shared" ca="1" si="93"/>
        <v>0</v>
      </c>
      <c r="N287" s="13">
        <f t="shared" ca="1" si="103"/>
        <v>0</v>
      </c>
      <c r="O287" s="13">
        <f ca="1">IF($D287="Igen",IF($W286&gt;=IF($D$4="Forint",Paraméterek!$J$121,Paraméterek!$K$121),0,IF($D$4="Forint",Paraméterek!$J$121,Paraméterek!$K$121)-$W286),0)</f>
        <v>0</v>
      </c>
      <c r="P287" s="13" t="e">
        <f ca="1">ROUNDUP($O287*VLOOKUP($M$4+$B287-1,Paraméterek!$H$58:$I$105,2,0)/Paraméterek!$I$56,IF($D$4="Forint",0,2))</f>
        <v>#N/A</v>
      </c>
      <c r="Q287" s="13">
        <f t="shared" ca="1" si="94"/>
        <v>0</v>
      </c>
      <c r="R287" s="33"/>
      <c r="S287" s="13" t="e">
        <f t="shared" ca="1" si="95"/>
        <v>#N/A</v>
      </c>
      <c r="T287" s="13" t="e">
        <f ca="1">ROUNDUP(($N287-$P287-$Q287+$S287)*VLOOKUP($B287,Paraméterek!$I$38:$K$39,IF($D$2="Egyszeri",3,2))/12*IF($D288="Nem",IF($M$13=0,1,$M$13),1),IF($D$4="Forint",0,2))</f>
        <v>#N/A</v>
      </c>
      <c r="U287" s="13"/>
      <c r="V287" s="13"/>
      <c r="W287" s="13" t="e">
        <f ca="1">$N287-$P287-$Q287+$S287-$T287-IF(ROUNDUP(IF(ISBLANK($V287),$U287*0,$V287)/IF($D$2="Egyszeri",VLOOKUP($B287+IF($C287=12,1,0),Paraméterek!$V$257:$W$262,2),IF($B287=1,1,VLOOKUP($B287+IF($C287=12,1,0),Paraméterek!$I$258:$T$278,HLOOKUP($M$11+1,Paraméterek!$J$256:$T$257,2)))),IF($D$4="Forint",0,2))&gt;$N287-$P287-$Q287+$S287-$T287-IF($D$4="Forint",Paraméterek!$C$216,Paraméterek!$D$216),0,ROUNDUP(IF(ISBLANK($V287),$U287*0,$V287)/IF($D$2="Egyszeri",VLOOKUP($B287+IF($C287=12,1,0),Paraméterek!$V$257:$W$262,2),IF($B287=1,1,VLOOKUP($B287+IF($C287=12,1,0),Paraméterek!$I$258:$T$278,HLOOKUP($M$11+1,Paraméterek!$J$256:$T$257,2)))),IF($D$4="Forint",0,2)))</f>
        <v>#N/A</v>
      </c>
      <c r="X287" s="13" t="e">
        <f ca="1">ROUNDDOWN($W287*IF($D$2="Egyszeri",VLOOKUP($B287+IF($C287=12,1,0),Paraméterek!$V$257:$W$262,2),VLOOKUP($B287+IF($C287=12,1,0),Paraméterek!$I$258:$T$278,HLOOKUP($M$11+1,Paraméterek!$I$256:$T$257,2))),IF($D$4="Forint",0,2))</f>
        <v>#N/A</v>
      </c>
      <c r="Z287" s="32">
        <v>268</v>
      </c>
      <c r="AA287" s="32">
        <v>23</v>
      </c>
      <c r="AB287" s="32">
        <v>4</v>
      </c>
      <c r="AC287" s="13">
        <f t="shared" ca="1" si="104"/>
        <v>0</v>
      </c>
      <c r="AD287" s="33"/>
      <c r="AE287" s="13">
        <f t="shared" ca="1" si="96"/>
        <v>0</v>
      </c>
      <c r="AF287" s="13">
        <f ca="1">ROUNDUP(($AC287+$AE287)*VLOOKUP($AA287,Paraméterek!$P$38:$Q$38,2)/12*IF($D288="Nem",IF($M$13=0,1,$M$13),1),IF($D$4="Forint",0,2))</f>
        <v>0</v>
      </c>
      <c r="AG287" s="13">
        <f ca="1">IF($D$2="Egyszeri",IF($D$7&gt;=IF($D$4="Forint",Paraméterek!$P$223,Paraméterek!$P$224),$D$7-IF($D$4="Forint",Paraméterek!$P$223,Paraméterek!$P$224),0),MIN(IF($AB287=12,AVERAGEIF($E$20:$E287,"&gt;0",$E$20:$E287)*12,0),SUM($E$20:$E$31)))</f>
        <v>0</v>
      </c>
      <c r="AH287" s="13">
        <f>IF($AA287=10,$AG287*IF($AB287=12,IF($AG287&lt;IF($D$4="Forint",Paraméterek!$L$223,Paraméterek!$L$224),0,VLOOKUP($AA287,Paraméterek!$K$226:$M$228,IF($AG287&lt;IF($D$4="Forint",Paraméterek!$M$223,Paraméterek!$M$224),2,3))),0),0)</f>
        <v>0</v>
      </c>
      <c r="AI287" s="13">
        <f ca="1">IF(AND($AA287=$M$11+1,$AB287=$M$12+1),SUMIF($AA$20:$AA$1027,$AA287,$AG$20:$AG$1027)*IF(SUMIF($AA$20:$AA$1027,$AA287,$AG$20:$AG$1027)&lt;IF($D$4="Forint",Paraméterek!$L$223,Paraméterek!$L$224),0,VLOOKUP($AA287,Paraméterek!$K$230:$M$250,IF(SUMIF($AA$20:$AA$1027,$AA287,$AG$20:$AG$1027)&lt;IF($D$4="Forint",Paraméterek!$M$223,Paraméterek!$M$224),2,3))),0)</f>
        <v>0</v>
      </c>
      <c r="AJ287" s="13">
        <f ca="1">IF(AND($AA287&gt;=5,MOD($AA287,5)=0),IF($AB287=12,VLOOKUP($AA287,Paraméterek!$O$225:$P$240,2),0),IF(OR($AA287=3,$AA287=4),IF($AB287=12,VLOOKUP($AA287,Paraméterek!$O$225:$P$240,2,0),0),0))*$AG287</f>
        <v>0</v>
      </c>
      <c r="AK287" s="13">
        <f t="shared" ca="1" si="97"/>
        <v>0</v>
      </c>
      <c r="AL287" s="13">
        <f t="shared" ca="1" si="105"/>
        <v>0</v>
      </c>
      <c r="AM287" s="13">
        <f t="shared" ca="1" si="106"/>
        <v>0</v>
      </c>
      <c r="AO287" s="32">
        <v>268</v>
      </c>
      <c r="AP287" s="32">
        <v>23</v>
      </c>
      <c r="AQ287" s="32">
        <v>4</v>
      </c>
      <c r="AR287" s="13"/>
      <c r="AS287" s="32"/>
      <c r="AT287" s="13">
        <f t="shared" ca="1" si="107"/>
        <v>0</v>
      </c>
      <c r="AU287" s="33"/>
      <c r="AV287" s="13">
        <f t="shared" ca="1" si="98"/>
        <v>0</v>
      </c>
      <c r="AW287" s="13">
        <f ca="1">ROUNDUP(($AT287+$AV287)*VLOOKUP($AP287,Paraméterek!$P$38:$Q$38,2)/12*IF($D288="Nem",IF($M$13=0,1,$M$13),1),IF($D$4="Forint",0,2))</f>
        <v>0</v>
      </c>
      <c r="AX287" s="13"/>
      <c r="AY287" s="13"/>
      <c r="AZ287" s="13">
        <f>ROUNDUP(IF(SUM($AX287:$AY287)=0,0,IF(IF(ISBLANK($AY287),$AX287,$AY287)*Paraméterek!$J$112&lt;IF($D$4="Forint",Paraméterek!$J$113,Paraméterek!$K$113),IF($D$4="Forint",Paraméterek!$J$113,Paraméterek!$K$113),IF(IF(ISBLANK($AY287),$AX287,$AY287)*Paraméterek!$J$112&gt;IF($D$4="Forint",Paraméterek!$J$114,Paraméterek!$K$114),IF($D$4="Forint",Paraméterek!$J$114,Paraméterek!$K$114),IF(ISBLANK($AY287),$AX287,$AY287)*Paraméterek!$J$112))),IF($D$4="Forint",0,2))</f>
        <v>0</v>
      </c>
      <c r="BA287" s="13">
        <f ca="1">$AT287+$AV287-$AW287-IF(ROUNDDOWN(IF(ISBLANK($AY287),$AX287,$AY287),IF($D$4="Forint",0,2))&gt;$AT287+$AV287-$AW287-IF($D$4="Forint",Paraméterek!$J$114,Paraméterek!$K$114),0,ROUNDDOWN(IF(ISBLANK($AY287),$AX287,$AY287),IF($D$4="Forint",0,2))-$AZ287)</f>
        <v>0</v>
      </c>
      <c r="BB287" s="13">
        <f t="shared" ca="1" si="99"/>
        <v>0</v>
      </c>
      <c r="BD287" s="32">
        <v>268</v>
      </c>
      <c r="BE287" s="32">
        <v>23</v>
      </c>
      <c r="BF287" s="32">
        <v>4</v>
      </c>
      <c r="BG287" s="34">
        <f t="shared" ca="1" si="108"/>
        <v>2041</v>
      </c>
      <c r="BH287" s="32" t="str">
        <f ca="1">IF(MOD(MONTH($D$14)+$BD287-1,12)=Paraméterek!$C$288,"Igen","")</f>
        <v/>
      </c>
      <c r="BI287" s="13">
        <f ca="1">IF($BH287="Igen",MIN(ROUNDDOWN((SUMIF($BG$20:$BG$1027,$BG287-1,$K$20:$K$1027)-SUMIF($BG$20:$BG$1027,$BG287-1,$I$20:$I$1027))*Paraméterek!$C$289,IF($D$4="Forint",0,2)),IF($D$4="Forint",Paraméterek!$C$285,Paraméterek!$D$285)),0)</f>
        <v>0</v>
      </c>
      <c r="BJ287" s="13">
        <f t="shared" ca="1" si="100"/>
        <v>0</v>
      </c>
      <c r="BK287" s="13">
        <f t="shared" ca="1" si="109"/>
        <v>0</v>
      </c>
      <c r="BL287" s="33"/>
      <c r="BM287" s="13">
        <f t="shared" ca="1" si="101"/>
        <v>0</v>
      </c>
      <c r="BN287" s="13">
        <f ca="1">ROUNDUP(($BK287+$BM287)*VLOOKUP($BE287,Paraméterek!$P$38:$Q$38,2)/12*IF($D288="Nem",IF($M$13=0,1,$M$13),1),IF($D$4="Forint",0,2))</f>
        <v>0</v>
      </c>
      <c r="BO287" s="13">
        <f t="shared" ca="1" si="102"/>
        <v>0</v>
      </c>
      <c r="BP287" s="13">
        <f ca="1">IF($D288="Nem",$BO287,$BO287-ROUNDUP(SUM($BI$20:$BI287)*120%,IF($D$4="Forint",0,2)))</f>
        <v>0</v>
      </c>
    </row>
    <row r="288" spans="1:68" x14ac:dyDescent="0.2">
      <c r="A288" s="32">
        <v>269</v>
      </c>
      <c r="B288" s="32">
        <v>23</v>
      </c>
      <c r="C288" s="32">
        <v>5</v>
      </c>
      <c r="D288" s="32" t="str">
        <f t="shared" ca="1" si="88"/>
        <v>Nem</v>
      </c>
      <c r="E288" s="13">
        <f t="shared" ca="1" si="89"/>
        <v>0</v>
      </c>
      <c r="F288" s="13"/>
      <c r="G288" s="13"/>
      <c r="H288" s="13"/>
      <c r="I288" s="13">
        <f t="shared" ca="1" si="90"/>
        <v>0</v>
      </c>
      <c r="J288" s="13">
        <f t="shared" ca="1" si="91"/>
        <v>0</v>
      </c>
      <c r="K288" s="13">
        <f t="shared" ca="1" si="92"/>
        <v>0</v>
      </c>
      <c r="L288" s="13" t="e">
        <f ca="1">ROUNDUP(IF($D$2="Egyszeri",$E288,IF($D$2="Havi",SUM($E$20:$E$31),IF(MOD($C288,$M$1)-1=0,SUM($E$20:$E$31),0))/12*$M$1)*VLOOKUP($B288,Paraméterek!$I$28:$P$31,IF($D$2="Egyszeri",8,HLOOKUP(ROUNDUP($M$11+$M$13,0),Paraméterek!$J$26:$O$27,2))),IF($D$4="Forint",0,2))</f>
        <v>#N/A</v>
      </c>
      <c r="M288" s="13">
        <f t="shared" ca="1" si="93"/>
        <v>0</v>
      </c>
      <c r="N288" s="13">
        <f t="shared" ca="1" si="103"/>
        <v>0</v>
      </c>
      <c r="O288" s="13">
        <f ca="1">IF($D288="Igen",IF($W287&gt;=IF($D$4="Forint",Paraméterek!$J$121,Paraméterek!$K$121),0,IF($D$4="Forint",Paraméterek!$J$121,Paraméterek!$K$121)-$W287),0)</f>
        <v>0</v>
      </c>
      <c r="P288" s="13" t="e">
        <f ca="1">ROUNDUP($O288*VLOOKUP($M$4+$B288-1,Paraméterek!$H$58:$I$105,2,0)/Paraméterek!$I$56,IF($D$4="Forint",0,2))</f>
        <v>#N/A</v>
      </c>
      <c r="Q288" s="13">
        <f t="shared" ca="1" si="94"/>
        <v>0</v>
      </c>
      <c r="R288" s="33"/>
      <c r="S288" s="13" t="e">
        <f t="shared" ca="1" si="95"/>
        <v>#N/A</v>
      </c>
      <c r="T288" s="13" t="e">
        <f ca="1">ROUNDUP(($N288-$P288-$Q288+$S288)*VLOOKUP($B288,Paraméterek!$I$38:$K$39,IF($D$2="Egyszeri",3,2))/12*IF($D289="Nem",IF($M$13=0,1,$M$13),1),IF($D$4="Forint",0,2))</f>
        <v>#N/A</v>
      </c>
      <c r="U288" s="13"/>
      <c r="V288" s="13"/>
      <c r="W288" s="13" t="e">
        <f ca="1">$N288-$P288-$Q288+$S288-$T288-IF(ROUNDUP(IF(ISBLANK($V288),$U288*0,$V288)/IF($D$2="Egyszeri",VLOOKUP($B288+IF($C288=12,1,0),Paraméterek!$V$257:$W$262,2),IF($B288=1,1,VLOOKUP($B288+IF($C288=12,1,0),Paraméterek!$I$258:$T$278,HLOOKUP($M$11+1,Paraméterek!$J$256:$T$257,2)))),IF($D$4="Forint",0,2))&gt;$N288-$P288-$Q288+$S288-$T288-IF($D$4="Forint",Paraméterek!$C$216,Paraméterek!$D$216),0,ROUNDUP(IF(ISBLANK($V288),$U288*0,$V288)/IF($D$2="Egyszeri",VLOOKUP($B288+IF($C288=12,1,0),Paraméterek!$V$257:$W$262,2),IF($B288=1,1,VLOOKUP($B288+IF($C288=12,1,0),Paraméterek!$I$258:$T$278,HLOOKUP($M$11+1,Paraméterek!$J$256:$T$257,2)))),IF($D$4="Forint",0,2)))</f>
        <v>#N/A</v>
      </c>
      <c r="X288" s="13" t="e">
        <f ca="1">ROUNDDOWN($W288*IF($D$2="Egyszeri",VLOOKUP($B288+IF($C288=12,1,0),Paraméterek!$V$257:$W$262,2),VLOOKUP($B288+IF($C288=12,1,0),Paraméterek!$I$258:$T$278,HLOOKUP($M$11+1,Paraméterek!$I$256:$T$257,2))),IF($D$4="Forint",0,2))</f>
        <v>#N/A</v>
      </c>
      <c r="Z288" s="32">
        <v>269</v>
      </c>
      <c r="AA288" s="32">
        <v>23</v>
      </c>
      <c r="AB288" s="32">
        <v>5</v>
      </c>
      <c r="AC288" s="13">
        <f t="shared" ca="1" si="104"/>
        <v>0</v>
      </c>
      <c r="AD288" s="33"/>
      <c r="AE288" s="13">
        <f t="shared" ca="1" si="96"/>
        <v>0</v>
      </c>
      <c r="AF288" s="13">
        <f ca="1">ROUNDUP(($AC288+$AE288)*VLOOKUP($AA288,Paraméterek!$P$38:$Q$38,2)/12*IF($D289="Nem",IF($M$13=0,1,$M$13),1),IF($D$4="Forint",0,2))</f>
        <v>0</v>
      </c>
      <c r="AG288" s="13">
        <f ca="1">IF($D$2="Egyszeri",IF($D$7&gt;=IF($D$4="Forint",Paraméterek!$P$223,Paraméterek!$P$224),$D$7-IF($D$4="Forint",Paraméterek!$P$223,Paraméterek!$P$224),0),MIN(IF($AB288=12,AVERAGEIF($E$20:$E288,"&gt;0",$E$20:$E288)*12,0),SUM($E$20:$E$31)))</f>
        <v>0</v>
      </c>
      <c r="AH288" s="13">
        <f>IF($AA288=10,$AG288*IF($AB288=12,IF($AG288&lt;IF($D$4="Forint",Paraméterek!$L$223,Paraméterek!$L$224),0,VLOOKUP($AA288,Paraméterek!$K$226:$M$228,IF($AG288&lt;IF($D$4="Forint",Paraméterek!$M$223,Paraméterek!$M$224),2,3))),0),0)</f>
        <v>0</v>
      </c>
      <c r="AI288" s="13">
        <f ca="1">IF(AND($AA288=$M$11+1,$AB288=$M$12+1),SUMIF($AA$20:$AA$1027,$AA288,$AG$20:$AG$1027)*IF(SUMIF($AA$20:$AA$1027,$AA288,$AG$20:$AG$1027)&lt;IF($D$4="Forint",Paraméterek!$L$223,Paraméterek!$L$224),0,VLOOKUP($AA288,Paraméterek!$K$230:$M$250,IF(SUMIF($AA$20:$AA$1027,$AA288,$AG$20:$AG$1027)&lt;IF($D$4="Forint",Paraméterek!$M$223,Paraméterek!$M$224),2,3))),0)</f>
        <v>0</v>
      </c>
      <c r="AJ288" s="13">
        <f ca="1">IF(AND($AA288&gt;=5,MOD($AA288,5)=0),IF($AB288=12,VLOOKUP($AA288,Paraméterek!$O$225:$P$240,2),0),IF(OR($AA288=3,$AA288=4),IF($AB288=12,VLOOKUP($AA288,Paraméterek!$O$225:$P$240,2,0),0),0))*$AG288</f>
        <v>0</v>
      </c>
      <c r="AK288" s="13">
        <f t="shared" ca="1" si="97"/>
        <v>0</v>
      </c>
      <c r="AL288" s="13">
        <f t="shared" ca="1" si="105"/>
        <v>0</v>
      </c>
      <c r="AM288" s="13">
        <f t="shared" ca="1" si="106"/>
        <v>0</v>
      </c>
      <c r="AO288" s="32">
        <v>269</v>
      </c>
      <c r="AP288" s="32">
        <v>23</v>
      </c>
      <c r="AQ288" s="32">
        <v>5</v>
      </c>
      <c r="AR288" s="13"/>
      <c r="AS288" s="32"/>
      <c r="AT288" s="13">
        <f t="shared" ca="1" si="107"/>
        <v>0</v>
      </c>
      <c r="AU288" s="33"/>
      <c r="AV288" s="13">
        <f t="shared" ca="1" si="98"/>
        <v>0</v>
      </c>
      <c r="AW288" s="13">
        <f ca="1">ROUNDUP(($AT288+$AV288)*VLOOKUP($AP288,Paraméterek!$P$38:$Q$38,2)/12*IF($D289="Nem",IF($M$13=0,1,$M$13),1),IF($D$4="Forint",0,2))</f>
        <v>0</v>
      </c>
      <c r="AX288" s="13"/>
      <c r="AY288" s="13"/>
      <c r="AZ288" s="13">
        <f>ROUNDUP(IF(SUM($AX288:$AY288)=0,0,IF(IF(ISBLANK($AY288),$AX288,$AY288)*Paraméterek!$J$112&lt;IF($D$4="Forint",Paraméterek!$J$113,Paraméterek!$K$113),IF($D$4="Forint",Paraméterek!$J$113,Paraméterek!$K$113),IF(IF(ISBLANK($AY288),$AX288,$AY288)*Paraméterek!$J$112&gt;IF($D$4="Forint",Paraméterek!$J$114,Paraméterek!$K$114),IF($D$4="Forint",Paraméterek!$J$114,Paraméterek!$K$114),IF(ISBLANK($AY288),$AX288,$AY288)*Paraméterek!$J$112))),IF($D$4="Forint",0,2))</f>
        <v>0</v>
      </c>
      <c r="BA288" s="13">
        <f ca="1">$AT288+$AV288-$AW288-IF(ROUNDDOWN(IF(ISBLANK($AY288),$AX288,$AY288),IF($D$4="Forint",0,2))&gt;$AT288+$AV288-$AW288-IF($D$4="Forint",Paraméterek!$J$114,Paraméterek!$K$114),0,ROUNDDOWN(IF(ISBLANK($AY288),$AX288,$AY288),IF($D$4="Forint",0,2))-$AZ288)</f>
        <v>0</v>
      </c>
      <c r="BB288" s="13">
        <f t="shared" ca="1" si="99"/>
        <v>0</v>
      </c>
      <c r="BD288" s="32">
        <v>269</v>
      </c>
      <c r="BE288" s="32">
        <v>23</v>
      </c>
      <c r="BF288" s="32">
        <v>5</v>
      </c>
      <c r="BG288" s="34">
        <f t="shared" ca="1" si="108"/>
        <v>2041</v>
      </c>
      <c r="BH288" s="32" t="str">
        <f ca="1">IF(MOD(MONTH($D$14)+$BD288-1,12)=Paraméterek!$C$288,"Igen","")</f>
        <v/>
      </c>
      <c r="BI288" s="13">
        <f ca="1">IF($BH288="Igen",MIN(ROUNDDOWN((SUMIF($BG$20:$BG$1027,$BG288-1,$K$20:$K$1027)-SUMIF($BG$20:$BG$1027,$BG288-1,$I$20:$I$1027))*Paraméterek!$C$289,IF($D$4="Forint",0,2)),IF($D$4="Forint",Paraméterek!$C$285,Paraméterek!$D$285)),0)</f>
        <v>0</v>
      </c>
      <c r="BJ288" s="13">
        <f t="shared" ca="1" si="100"/>
        <v>0</v>
      </c>
      <c r="BK288" s="13">
        <f t="shared" ca="1" si="109"/>
        <v>0</v>
      </c>
      <c r="BL288" s="33"/>
      <c r="BM288" s="13">
        <f t="shared" ca="1" si="101"/>
        <v>0</v>
      </c>
      <c r="BN288" s="13">
        <f ca="1">ROUNDUP(($BK288+$BM288)*VLOOKUP($BE288,Paraméterek!$P$38:$Q$38,2)/12*IF($D289="Nem",IF($M$13=0,1,$M$13),1),IF($D$4="Forint",0,2))</f>
        <v>0</v>
      </c>
      <c r="BO288" s="13">
        <f t="shared" ca="1" si="102"/>
        <v>0</v>
      </c>
      <c r="BP288" s="13">
        <f ca="1">IF($D289="Nem",$BO288,$BO288-ROUNDUP(SUM($BI$20:$BI288)*120%,IF($D$4="Forint",0,2)))</f>
        <v>0</v>
      </c>
    </row>
    <row r="289" spans="1:68" x14ac:dyDescent="0.2">
      <c r="A289" s="32">
        <v>270</v>
      </c>
      <c r="B289" s="32">
        <v>23</v>
      </c>
      <c r="C289" s="32">
        <v>6</v>
      </c>
      <c r="D289" s="32" t="str">
        <f t="shared" ca="1" si="88"/>
        <v>Nem</v>
      </c>
      <c r="E289" s="13">
        <f t="shared" ca="1" si="89"/>
        <v>0</v>
      </c>
      <c r="F289" s="13"/>
      <c r="G289" s="13"/>
      <c r="H289" s="13"/>
      <c r="I289" s="13">
        <f t="shared" ca="1" si="90"/>
        <v>0</v>
      </c>
      <c r="J289" s="13">
        <f t="shared" ca="1" si="91"/>
        <v>0</v>
      </c>
      <c r="K289" s="13">
        <f t="shared" ca="1" si="92"/>
        <v>0</v>
      </c>
      <c r="L289" s="13" t="e">
        <f ca="1">ROUNDUP(IF($D$2="Egyszeri",$E289,IF($D$2="Havi",SUM($E$20:$E$31),IF(MOD($C289,$M$1)-1=0,SUM($E$20:$E$31),0))/12*$M$1)*VLOOKUP($B289,Paraméterek!$I$28:$P$31,IF($D$2="Egyszeri",8,HLOOKUP(ROUNDUP($M$11+$M$13,0),Paraméterek!$J$26:$O$27,2))),IF($D$4="Forint",0,2))</f>
        <v>#N/A</v>
      </c>
      <c r="M289" s="13">
        <f t="shared" ca="1" si="93"/>
        <v>0</v>
      </c>
      <c r="N289" s="13">
        <f t="shared" ca="1" si="103"/>
        <v>0</v>
      </c>
      <c r="O289" s="13">
        <f ca="1">IF($D289="Igen",IF($W288&gt;=IF($D$4="Forint",Paraméterek!$J$121,Paraméterek!$K$121),0,IF($D$4="Forint",Paraméterek!$J$121,Paraméterek!$K$121)-$W288),0)</f>
        <v>0</v>
      </c>
      <c r="P289" s="13" t="e">
        <f ca="1">ROUNDUP($O289*VLOOKUP($M$4+$B289-1,Paraméterek!$H$58:$I$105,2,0)/Paraméterek!$I$56,IF($D$4="Forint",0,2))</f>
        <v>#N/A</v>
      </c>
      <c r="Q289" s="13">
        <f t="shared" ca="1" si="94"/>
        <v>0</v>
      </c>
      <c r="R289" s="33"/>
      <c r="S289" s="13" t="e">
        <f t="shared" ca="1" si="95"/>
        <v>#N/A</v>
      </c>
      <c r="T289" s="13" t="e">
        <f ca="1">ROUNDUP(($N289-$P289-$Q289+$S289)*VLOOKUP($B289,Paraméterek!$I$38:$K$39,IF($D$2="Egyszeri",3,2))/12*IF($D290="Nem",IF($M$13=0,1,$M$13),1),IF($D$4="Forint",0,2))</f>
        <v>#N/A</v>
      </c>
      <c r="U289" s="13"/>
      <c r="V289" s="13"/>
      <c r="W289" s="13" t="e">
        <f ca="1">$N289-$P289-$Q289+$S289-$T289-IF(ROUNDUP(IF(ISBLANK($V289),$U289*0,$V289)/IF($D$2="Egyszeri",VLOOKUP($B289+IF($C289=12,1,0),Paraméterek!$V$257:$W$262,2),IF($B289=1,1,VLOOKUP($B289+IF($C289=12,1,0),Paraméterek!$I$258:$T$278,HLOOKUP($M$11+1,Paraméterek!$J$256:$T$257,2)))),IF($D$4="Forint",0,2))&gt;$N289-$P289-$Q289+$S289-$T289-IF($D$4="Forint",Paraméterek!$C$216,Paraméterek!$D$216),0,ROUNDUP(IF(ISBLANK($V289),$U289*0,$V289)/IF($D$2="Egyszeri",VLOOKUP($B289+IF($C289=12,1,0),Paraméterek!$V$257:$W$262,2),IF($B289=1,1,VLOOKUP($B289+IF($C289=12,1,0),Paraméterek!$I$258:$T$278,HLOOKUP($M$11+1,Paraméterek!$J$256:$T$257,2)))),IF($D$4="Forint",0,2)))</f>
        <v>#N/A</v>
      </c>
      <c r="X289" s="13" t="e">
        <f ca="1">ROUNDDOWN($W289*IF($D$2="Egyszeri",VLOOKUP($B289+IF($C289=12,1,0),Paraméterek!$V$257:$W$262,2),VLOOKUP($B289+IF($C289=12,1,0),Paraméterek!$I$258:$T$278,HLOOKUP($M$11+1,Paraméterek!$I$256:$T$257,2))),IF($D$4="Forint",0,2))</f>
        <v>#N/A</v>
      </c>
      <c r="Z289" s="32">
        <v>270</v>
      </c>
      <c r="AA289" s="32">
        <v>23</v>
      </c>
      <c r="AB289" s="32">
        <v>6</v>
      </c>
      <c r="AC289" s="13">
        <f t="shared" ca="1" si="104"/>
        <v>0</v>
      </c>
      <c r="AD289" s="33"/>
      <c r="AE289" s="13">
        <f t="shared" ca="1" si="96"/>
        <v>0</v>
      </c>
      <c r="AF289" s="13">
        <f ca="1">ROUNDUP(($AC289+$AE289)*VLOOKUP($AA289,Paraméterek!$P$38:$Q$38,2)/12*IF($D290="Nem",IF($M$13=0,1,$M$13),1),IF($D$4="Forint",0,2))</f>
        <v>0</v>
      </c>
      <c r="AG289" s="13">
        <f ca="1">IF($D$2="Egyszeri",IF($D$7&gt;=IF($D$4="Forint",Paraméterek!$P$223,Paraméterek!$P$224),$D$7-IF($D$4="Forint",Paraméterek!$P$223,Paraméterek!$P$224),0),MIN(IF($AB289=12,AVERAGEIF($E$20:$E289,"&gt;0",$E$20:$E289)*12,0),SUM($E$20:$E$31)))</f>
        <v>0</v>
      </c>
      <c r="AH289" s="13">
        <f>IF($AA289=10,$AG289*IF($AB289=12,IF($AG289&lt;IF($D$4="Forint",Paraméterek!$L$223,Paraméterek!$L$224),0,VLOOKUP($AA289,Paraméterek!$K$226:$M$228,IF($AG289&lt;IF($D$4="Forint",Paraméterek!$M$223,Paraméterek!$M$224),2,3))),0),0)</f>
        <v>0</v>
      </c>
      <c r="AI289" s="13">
        <f ca="1">IF(AND($AA289=$M$11+1,$AB289=$M$12+1),SUMIF($AA$20:$AA$1027,$AA289,$AG$20:$AG$1027)*IF(SUMIF($AA$20:$AA$1027,$AA289,$AG$20:$AG$1027)&lt;IF($D$4="Forint",Paraméterek!$L$223,Paraméterek!$L$224),0,VLOOKUP($AA289,Paraméterek!$K$230:$M$250,IF(SUMIF($AA$20:$AA$1027,$AA289,$AG$20:$AG$1027)&lt;IF($D$4="Forint",Paraméterek!$M$223,Paraméterek!$M$224),2,3))),0)</f>
        <v>0</v>
      </c>
      <c r="AJ289" s="13">
        <f ca="1">IF(AND($AA289&gt;=5,MOD($AA289,5)=0),IF($AB289=12,VLOOKUP($AA289,Paraméterek!$O$225:$P$240,2),0),IF(OR($AA289=3,$AA289=4),IF($AB289=12,VLOOKUP($AA289,Paraméterek!$O$225:$P$240,2,0),0),0))*$AG289</f>
        <v>0</v>
      </c>
      <c r="AK289" s="13">
        <f t="shared" ca="1" si="97"/>
        <v>0</v>
      </c>
      <c r="AL289" s="13">
        <f t="shared" ca="1" si="105"/>
        <v>0</v>
      </c>
      <c r="AM289" s="13">
        <f t="shared" ca="1" si="106"/>
        <v>0</v>
      </c>
      <c r="AO289" s="32">
        <v>270</v>
      </c>
      <c r="AP289" s="32">
        <v>23</v>
      </c>
      <c r="AQ289" s="32">
        <v>6</v>
      </c>
      <c r="AR289" s="13"/>
      <c r="AS289" s="32"/>
      <c r="AT289" s="13">
        <f t="shared" ca="1" si="107"/>
        <v>0</v>
      </c>
      <c r="AU289" s="33"/>
      <c r="AV289" s="13">
        <f t="shared" ca="1" si="98"/>
        <v>0</v>
      </c>
      <c r="AW289" s="13">
        <f ca="1">ROUNDUP(($AT289+$AV289)*VLOOKUP($AP289,Paraméterek!$P$38:$Q$38,2)/12*IF($D290="Nem",IF($M$13=0,1,$M$13),1),IF($D$4="Forint",0,2))</f>
        <v>0</v>
      </c>
      <c r="AX289" s="13"/>
      <c r="AY289" s="13"/>
      <c r="AZ289" s="13">
        <f>ROUNDUP(IF(SUM($AX289:$AY289)=0,0,IF(IF(ISBLANK($AY289),$AX289,$AY289)*Paraméterek!$J$112&lt;IF($D$4="Forint",Paraméterek!$J$113,Paraméterek!$K$113),IF($D$4="Forint",Paraméterek!$J$113,Paraméterek!$K$113),IF(IF(ISBLANK($AY289),$AX289,$AY289)*Paraméterek!$J$112&gt;IF($D$4="Forint",Paraméterek!$J$114,Paraméterek!$K$114),IF($D$4="Forint",Paraméterek!$J$114,Paraméterek!$K$114),IF(ISBLANK($AY289),$AX289,$AY289)*Paraméterek!$J$112))),IF($D$4="Forint",0,2))</f>
        <v>0</v>
      </c>
      <c r="BA289" s="13">
        <f ca="1">$AT289+$AV289-$AW289-IF(ROUNDDOWN(IF(ISBLANK($AY289),$AX289,$AY289),IF($D$4="Forint",0,2))&gt;$AT289+$AV289-$AW289-IF($D$4="Forint",Paraméterek!$J$114,Paraméterek!$K$114),0,ROUNDDOWN(IF(ISBLANK($AY289),$AX289,$AY289),IF($D$4="Forint",0,2))-$AZ289)</f>
        <v>0</v>
      </c>
      <c r="BB289" s="13">
        <f t="shared" ca="1" si="99"/>
        <v>0</v>
      </c>
      <c r="BD289" s="32">
        <v>270</v>
      </c>
      <c r="BE289" s="32">
        <v>23</v>
      </c>
      <c r="BF289" s="32">
        <v>6</v>
      </c>
      <c r="BG289" s="34">
        <f t="shared" ca="1" si="108"/>
        <v>2041</v>
      </c>
      <c r="BH289" s="32" t="str">
        <f ca="1">IF(MOD(MONTH($D$14)+$BD289-1,12)=Paraméterek!$C$288,"Igen","")</f>
        <v/>
      </c>
      <c r="BI289" s="13">
        <f ca="1">IF($BH289="Igen",MIN(ROUNDDOWN((SUMIF($BG$20:$BG$1027,$BG289-1,$K$20:$K$1027)-SUMIF($BG$20:$BG$1027,$BG289-1,$I$20:$I$1027))*Paraméterek!$C$289,IF($D$4="Forint",0,2)),IF($D$4="Forint",Paraméterek!$C$285,Paraméterek!$D$285)),0)</f>
        <v>0</v>
      </c>
      <c r="BJ289" s="13">
        <f t="shared" ca="1" si="100"/>
        <v>0</v>
      </c>
      <c r="BK289" s="13">
        <f t="shared" ca="1" si="109"/>
        <v>0</v>
      </c>
      <c r="BL289" s="33"/>
      <c r="BM289" s="13">
        <f t="shared" ca="1" si="101"/>
        <v>0</v>
      </c>
      <c r="BN289" s="13">
        <f ca="1">ROUNDUP(($BK289+$BM289)*VLOOKUP($BE289,Paraméterek!$P$38:$Q$38,2)/12*IF($D290="Nem",IF($M$13=0,1,$M$13),1),IF($D$4="Forint",0,2))</f>
        <v>0</v>
      </c>
      <c r="BO289" s="13">
        <f t="shared" ca="1" si="102"/>
        <v>0</v>
      </c>
      <c r="BP289" s="13">
        <f ca="1">IF($D290="Nem",$BO289,$BO289-ROUNDUP(SUM($BI$20:$BI289)*120%,IF($D$4="Forint",0,2)))</f>
        <v>0</v>
      </c>
    </row>
    <row r="290" spans="1:68" x14ac:dyDescent="0.2">
      <c r="A290" s="32">
        <v>271</v>
      </c>
      <c r="B290" s="32">
        <v>23</v>
      </c>
      <c r="C290" s="32">
        <v>7</v>
      </c>
      <c r="D290" s="32" t="str">
        <f t="shared" ca="1" si="88"/>
        <v>Nem</v>
      </c>
      <c r="E290" s="13">
        <f t="shared" ca="1" si="89"/>
        <v>0</v>
      </c>
      <c r="F290" s="13"/>
      <c r="G290" s="13"/>
      <c r="H290" s="13"/>
      <c r="I290" s="13">
        <f t="shared" ca="1" si="90"/>
        <v>0</v>
      </c>
      <c r="J290" s="13">
        <f t="shared" ca="1" si="91"/>
        <v>0</v>
      </c>
      <c r="K290" s="13">
        <f t="shared" ca="1" si="92"/>
        <v>0</v>
      </c>
      <c r="L290" s="13" t="e">
        <f ca="1">ROUNDUP(IF($D$2="Egyszeri",$E290,IF($D$2="Havi",SUM($E$20:$E$31),IF(MOD($C290,$M$1)-1=0,SUM($E$20:$E$31),0))/12*$M$1)*VLOOKUP($B290,Paraméterek!$I$28:$P$31,IF($D$2="Egyszeri",8,HLOOKUP(ROUNDUP($M$11+$M$13,0),Paraméterek!$J$26:$O$27,2))),IF($D$4="Forint",0,2))</f>
        <v>#N/A</v>
      </c>
      <c r="M290" s="13">
        <f t="shared" ca="1" si="93"/>
        <v>0</v>
      </c>
      <c r="N290" s="13">
        <f t="shared" ca="1" si="103"/>
        <v>0</v>
      </c>
      <c r="O290" s="13">
        <f ca="1">IF($D290="Igen",IF($W289&gt;=IF($D$4="Forint",Paraméterek!$J$121,Paraméterek!$K$121),0,IF($D$4="Forint",Paraméterek!$J$121,Paraméterek!$K$121)-$W289),0)</f>
        <v>0</v>
      </c>
      <c r="P290" s="13" t="e">
        <f ca="1">ROUNDUP($O290*VLOOKUP($M$4+$B290-1,Paraméterek!$H$58:$I$105,2,0)/Paraméterek!$I$56,IF($D$4="Forint",0,2))</f>
        <v>#N/A</v>
      </c>
      <c r="Q290" s="13">
        <f t="shared" ca="1" si="94"/>
        <v>0</v>
      </c>
      <c r="R290" s="33"/>
      <c r="S290" s="13" t="e">
        <f t="shared" ca="1" si="95"/>
        <v>#N/A</v>
      </c>
      <c r="T290" s="13" t="e">
        <f ca="1">ROUNDUP(($N290-$P290-$Q290+$S290)*VLOOKUP($B290,Paraméterek!$I$38:$K$39,IF($D$2="Egyszeri",3,2))/12*IF($D291="Nem",IF($M$13=0,1,$M$13),1),IF($D$4="Forint",0,2))</f>
        <v>#N/A</v>
      </c>
      <c r="U290" s="13"/>
      <c r="V290" s="13"/>
      <c r="W290" s="13" t="e">
        <f ca="1">$N290-$P290-$Q290+$S290-$T290-IF(ROUNDUP(IF(ISBLANK($V290),$U290*0,$V290)/IF($D$2="Egyszeri",VLOOKUP($B290+IF($C290=12,1,0),Paraméterek!$V$257:$W$262,2),IF($B290=1,1,VLOOKUP($B290+IF($C290=12,1,0),Paraméterek!$I$258:$T$278,HLOOKUP($M$11+1,Paraméterek!$J$256:$T$257,2)))),IF($D$4="Forint",0,2))&gt;$N290-$P290-$Q290+$S290-$T290-IF($D$4="Forint",Paraméterek!$C$216,Paraméterek!$D$216),0,ROUNDUP(IF(ISBLANK($V290),$U290*0,$V290)/IF($D$2="Egyszeri",VLOOKUP($B290+IF($C290=12,1,0),Paraméterek!$V$257:$W$262,2),IF($B290=1,1,VLOOKUP($B290+IF($C290=12,1,0),Paraméterek!$I$258:$T$278,HLOOKUP($M$11+1,Paraméterek!$J$256:$T$257,2)))),IF($D$4="Forint",0,2)))</f>
        <v>#N/A</v>
      </c>
      <c r="X290" s="13" t="e">
        <f ca="1">ROUNDDOWN($W290*IF($D$2="Egyszeri",VLOOKUP($B290+IF($C290=12,1,0),Paraméterek!$V$257:$W$262,2),VLOOKUP($B290+IF($C290=12,1,0),Paraméterek!$I$258:$T$278,HLOOKUP($M$11+1,Paraméterek!$I$256:$T$257,2))),IF($D$4="Forint",0,2))</f>
        <v>#N/A</v>
      </c>
      <c r="Z290" s="32">
        <v>271</v>
      </c>
      <c r="AA290" s="32">
        <v>23</v>
      </c>
      <c r="AB290" s="32">
        <v>7</v>
      </c>
      <c r="AC290" s="13">
        <f t="shared" ca="1" si="104"/>
        <v>0</v>
      </c>
      <c r="AD290" s="33"/>
      <c r="AE290" s="13">
        <f t="shared" ca="1" si="96"/>
        <v>0</v>
      </c>
      <c r="AF290" s="13">
        <f ca="1">ROUNDUP(($AC290+$AE290)*VLOOKUP($AA290,Paraméterek!$P$38:$Q$38,2)/12*IF($D291="Nem",IF($M$13=0,1,$M$13),1),IF($D$4="Forint",0,2))</f>
        <v>0</v>
      </c>
      <c r="AG290" s="13">
        <f ca="1">IF($D$2="Egyszeri",IF($D$7&gt;=IF($D$4="Forint",Paraméterek!$P$223,Paraméterek!$P$224),$D$7-IF($D$4="Forint",Paraméterek!$P$223,Paraméterek!$P$224),0),MIN(IF($AB290=12,AVERAGEIF($E$20:$E290,"&gt;0",$E$20:$E290)*12,0),SUM($E$20:$E$31)))</f>
        <v>0</v>
      </c>
      <c r="AH290" s="13">
        <f>IF($AA290=10,$AG290*IF($AB290=12,IF($AG290&lt;IF($D$4="Forint",Paraméterek!$L$223,Paraméterek!$L$224),0,VLOOKUP($AA290,Paraméterek!$K$226:$M$228,IF($AG290&lt;IF($D$4="Forint",Paraméterek!$M$223,Paraméterek!$M$224),2,3))),0),0)</f>
        <v>0</v>
      </c>
      <c r="AI290" s="13">
        <f ca="1">IF(AND($AA290=$M$11+1,$AB290=$M$12+1),SUMIF($AA$20:$AA$1027,$AA290,$AG$20:$AG$1027)*IF(SUMIF($AA$20:$AA$1027,$AA290,$AG$20:$AG$1027)&lt;IF($D$4="Forint",Paraméterek!$L$223,Paraméterek!$L$224),0,VLOOKUP($AA290,Paraméterek!$K$230:$M$250,IF(SUMIF($AA$20:$AA$1027,$AA290,$AG$20:$AG$1027)&lt;IF($D$4="Forint",Paraméterek!$M$223,Paraméterek!$M$224),2,3))),0)</f>
        <v>0</v>
      </c>
      <c r="AJ290" s="13">
        <f ca="1">IF(AND($AA290&gt;=5,MOD($AA290,5)=0),IF($AB290=12,VLOOKUP($AA290,Paraméterek!$O$225:$P$240,2),0),IF(OR($AA290=3,$AA290=4),IF($AB290=12,VLOOKUP($AA290,Paraméterek!$O$225:$P$240,2,0),0),0))*$AG290</f>
        <v>0</v>
      </c>
      <c r="AK290" s="13">
        <f t="shared" ca="1" si="97"/>
        <v>0</v>
      </c>
      <c r="AL290" s="13">
        <f t="shared" ca="1" si="105"/>
        <v>0</v>
      </c>
      <c r="AM290" s="13">
        <f t="shared" ca="1" si="106"/>
        <v>0</v>
      </c>
      <c r="AO290" s="32">
        <v>271</v>
      </c>
      <c r="AP290" s="32">
        <v>23</v>
      </c>
      <c r="AQ290" s="32">
        <v>7</v>
      </c>
      <c r="AR290" s="13"/>
      <c r="AS290" s="32"/>
      <c r="AT290" s="13">
        <f t="shared" ca="1" si="107"/>
        <v>0</v>
      </c>
      <c r="AU290" s="33"/>
      <c r="AV290" s="13">
        <f t="shared" ca="1" si="98"/>
        <v>0</v>
      </c>
      <c r="AW290" s="13">
        <f ca="1">ROUNDUP(($AT290+$AV290)*VLOOKUP($AP290,Paraméterek!$P$38:$Q$38,2)/12*IF($D291="Nem",IF($M$13=0,1,$M$13),1),IF($D$4="Forint",0,2))</f>
        <v>0</v>
      </c>
      <c r="AX290" s="13"/>
      <c r="AY290" s="13"/>
      <c r="AZ290" s="13">
        <f>ROUNDUP(IF(SUM($AX290:$AY290)=0,0,IF(IF(ISBLANK($AY290),$AX290,$AY290)*Paraméterek!$J$112&lt;IF($D$4="Forint",Paraméterek!$J$113,Paraméterek!$K$113),IF($D$4="Forint",Paraméterek!$J$113,Paraméterek!$K$113),IF(IF(ISBLANK($AY290),$AX290,$AY290)*Paraméterek!$J$112&gt;IF($D$4="Forint",Paraméterek!$J$114,Paraméterek!$K$114),IF($D$4="Forint",Paraméterek!$J$114,Paraméterek!$K$114),IF(ISBLANK($AY290),$AX290,$AY290)*Paraméterek!$J$112))),IF($D$4="Forint",0,2))</f>
        <v>0</v>
      </c>
      <c r="BA290" s="13">
        <f ca="1">$AT290+$AV290-$AW290-IF(ROUNDDOWN(IF(ISBLANK($AY290),$AX290,$AY290),IF($D$4="Forint",0,2))&gt;$AT290+$AV290-$AW290-IF($D$4="Forint",Paraméterek!$J$114,Paraméterek!$K$114),0,ROUNDDOWN(IF(ISBLANK($AY290),$AX290,$AY290),IF($D$4="Forint",0,2))-$AZ290)</f>
        <v>0</v>
      </c>
      <c r="BB290" s="13">
        <f t="shared" ca="1" si="99"/>
        <v>0</v>
      </c>
      <c r="BD290" s="32">
        <v>271</v>
      </c>
      <c r="BE290" s="32">
        <v>23</v>
      </c>
      <c r="BF290" s="32">
        <v>7</v>
      </c>
      <c r="BG290" s="34">
        <f t="shared" ca="1" si="108"/>
        <v>2041</v>
      </c>
      <c r="BH290" s="32" t="str">
        <f ca="1">IF(MOD(MONTH($D$14)+$BD290-1,12)=Paraméterek!$C$288,"Igen","")</f>
        <v/>
      </c>
      <c r="BI290" s="13">
        <f ca="1">IF($BH290="Igen",MIN(ROUNDDOWN((SUMIF($BG$20:$BG$1027,$BG290-1,$K$20:$K$1027)-SUMIF($BG$20:$BG$1027,$BG290-1,$I$20:$I$1027))*Paraméterek!$C$289,IF($D$4="Forint",0,2)),IF($D$4="Forint",Paraméterek!$C$285,Paraméterek!$D$285)),0)</f>
        <v>0</v>
      </c>
      <c r="BJ290" s="13">
        <f t="shared" ca="1" si="100"/>
        <v>0</v>
      </c>
      <c r="BK290" s="13">
        <f t="shared" ca="1" si="109"/>
        <v>0</v>
      </c>
      <c r="BL290" s="33"/>
      <c r="BM290" s="13">
        <f t="shared" ca="1" si="101"/>
        <v>0</v>
      </c>
      <c r="BN290" s="13">
        <f ca="1">ROUNDUP(($BK290+$BM290)*VLOOKUP($BE290,Paraméterek!$P$38:$Q$38,2)/12*IF($D291="Nem",IF($M$13=0,1,$M$13),1),IF($D$4="Forint",0,2))</f>
        <v>0</v>
      </c>
      <c r="BO290" s="13">
        <f t="shared" ca="1" si="102"/>
        <v>0</v>
      </c>
      <c r="BP290" s="13">
        <f ca="1">IF($D291="Nem",$BO290,$BO290-ROUNDUP(SUM($BI$20:$BI290)*120%,IF($D$4="Forint",0,2)))</f>
        <v>0</v>
      </c>
    </row>
    <row r="291" spans="1:68" x14ac:dyDescent="0.2">
      <c r="A291" s="32">
        <v>272</v>
      </c>
      <c r="B291" s="32">
        <v>23</v>
      </c>
      <c r="C291" s="32">
        <v>8</v>
      </c>
      <c r="D291" s="32" t="str">
        <f t="shared" ca="1" si="88"/>
        <v>Nem</v>
      </c>
      <c r="E291" s="13">
        <f t="shared" ca="1" si="89"/>
        <v>0</v>
      </c>
      <c r="F291" s="13"/>
      <c r="G291" s="13"/>
      <c r="H291" s="13"/>
      <c r="I291" s="13">
        <f t="shared" ca="1" si="90"/>
        <v>0</v>
      </c>
      <c r="J291" s="13">
        <f t="shared" ca="1" si="91"/>
        <v>0</v>
      </c>
      <c r="K291" s="13">
        <f t="shared" ca="1" si="92"/>
        <v>0</v>
      </c>
      <c r="L291" s="13" t="e">
        <f ca="1">ROUNDUP(IF($D$2="Egyszeri",$E291,IF($D$2="Havi",SUM($E$20:$E$31),IF(MOD($C291,$M$1)-1=0,SUM($E$20:$E$31),0))/12*$M$1)*VLOOKUP($B291,Paraméterek!$I$28:$P$31,IF($D$2="Egyszeri",8,HLOOKUP(ROUNDUP($M$11+$M$13,0),Paraméterek!$J$26:$O$27,2))),IF($D$4="Forint",0,2))</f>
        <v>#N/A</v>
      </c>
      <c r="M291" s="13">
        <f t="shared" ca="1" si="93"/>
        <v>0</v>
      </c>
      <c r="N291" s="13">
        <f t="shared" ca="1" si="103"/>
        <v>0</v>
      </c>
      <c r="O291" s="13">
        <f ca="1">IF($D291="Igen",IF($W290&gt;=IF($D$4="Forint",Paraméterek!$J$121,Paraméterek!$K$121),0,IF($D$4="Forint",Paraméterek!$J$121,Paraméterek!$K$121)-$W290),0)</f>
        <v>0</v>
      </c>
      <c r="P291" s="13" t="e">
        <f ca="1">ROUNDUP($O291*VLOOKUP($M$4+$B291-1,Paraméterek!$H$58:$I$105,2,0)/Paraméterek!$I$56,IF($D$4="Forint",0,2))</f>
        <v>#N/A</v>
      </c>
      <c r="Q291" s="13">
        <f t="shared" ca="1" si="94"/>
        <v>0</v>
      </c>
      <c r="R291" s="33"/>
      <c r="S291" s="13" t="e">
        <f t="shared" ca="1" si="95"/>
        <v>#N/A</v>
      </c>
      <c r="T291" s="13" t="e">
        <f ca="1">ROUNDUP(($N291-$P291-$Q291+$S291)*VLOOKUP($B291,Paraméterek!$I$38:$K$39,IF($D$2="Egyszeri",3,2))/12*IF($D292="Nem",IF($M$13=0,1,$M$13),1),IF($D$4="Forint",0,2))</f>
        <v>#N/A</v>
      </c>
      <c r="U291" s="13"/>
      <c r="V291" s="13"/>
      <c r="W291" s="13" t="e">
        <f ca="1">$N291-$P291-$Q291+$S291-$T291-IF(ROUNDUP(IF(ISBLANK($V291),$U291*0,$V291)/IF($D$2="Egyszeri",VLOOKUP($B291+IF($C291=12,1,0),Paraméterek!$V$257:$W$262,2),IF($B291=1,1,VLOOKUP($B291+IF($C291=12,1,0),Paraméterek!$I$258:$T$278,HLOOKUP($M$11+1,Paraméterek!$J$256:$T$257,2)))),IF($D$4="Forint",0,2))&gt;$N291-$P291-$Q291+$S291-$T291-IF($D$4="Forint",Paraméterek!$C$216,Paraméterek!$D$216),0,ROUNDUP(IF(ISBLANK($V291),$U291*0,$V291)/IF($D$2="Egyszeri",VLOOKUP($B291+IF($C291=12,1,0),Paraméterek!$V$257:$W$262,2),IF($B291=1,1,VLOOKUP($B291+IF($C291=12,1,0),Paraméterek!$I$258:$T$278,HLOOKUP($M$11+1,Paraméterek!$J$256:$T$257,2)))),IF($D$4="Forint",0,2)))</f>
        <v>#N/A</v>
      </c>
      <c r="X291" s="13" t="e">
        <f ca="1">ROUNDDOWN($W291*IF($D$2="Egyszeri",VLOOKUP($B291+IF($C291=12,1,0),Paraméterek!$V$257:$W$262,2),VLOOKUP($B291+IF($C291=12,1,0),Paraméterek!$I$258:$T$278,HLOOKUP($M$11+1,Paraméterek!$I$256:$T$257,2))),IF($D$4="Forint",0,2))</f>
        <v>#N/A</v>
      </c>
      <c r="Z291" s="32">
        <v>272</v>
      </c>
      <c r="AA291" s="32">
        <v>23</v>
      </c>
      <c r="AB291" s="32">
        <v>8</v>
      </c>
      <c r="AC291" s="13">
        <f t="shared" ca="1" si="104"/>
        <v>0</v>
      </c>
      <c r="AD291" s="33"/>
      <c r="AE291" s="13">
        <f t="shared" ca="1" si="96"/>
        <v>0</v>
      </c>
      <c r="AF291" s="13">
        <f ca="1">ROUNDUP(($AC291+$AE291)*VLOOKUP($AA291,Paraméterek!$P$38:$Q$38,2)/12*IF($D292="Nem",IF($M$13=0,1,$M$13),1),IF($D$4="Forint",0,2))</f>
        <v>0</v>
      </c>
      <c r="AG291" s="13">
        <f ca="1">IF($D$2="Egyszeri",IF($D$7&gt;=IF($D$4="Forint",Paraméterek!$P$223,Paraméterek!$P$224),$D$7-IF($D$4="Forint",Paraméterek!$P$223,Paraméterek!$P$224),0),MIN(IF($AB291=12,AVERAGEIF($E$20:$E291,"&gt;0",$E$20:$E291)*12,0),SUM($E$20:$E$31)))</f>
        <v>0</v>
      </c>
      <c r="AH291" s="13">
        <f>IF($AA291=10,$AG291*IF($AB291=12,IF($AG291&lt;IF($D$4="Forint",Paraméterek!$L$223,Paraméterek!$L$224),0,VLOOKUP($AA291,Paraméterek!$K$226:$M$228,IF($AG291&lt;IF($D$4="Forint",Paraméterek!$M$223,Paraméterek!$M$224),2,3))),0),0)</f>
        <v>0</v>
      </c>
      <c r="AI291" s="13">
        <f ca="1">IF(AND($AA291=$M$11+1,$AB291=$M$12+1),SUMIF($AA$20:$AA$1027,$AA291,$AG$20:$AG$1027)*IF(SUMIF($AA$20:$AA$1027,$AA291,$AG$20:$AG$1027)&lt;IF($D$4="Forint",Paraméterek!$L$223,Paraméterek!$L$224),0,VLOOKUP($AA291,Paraméterek!$K$230:$M$250,IF(SUMIF($AA$20:$AA$1027,$AA291,$AG$20:$AG$1027)&lt;IF($D$4="Forint",Paraméterek!$M$223,Paraméterek!$M$224),2,3))),0)</f>
        <v>0</v>
      </c>
      <c r="AJ291" s="13">
        <f ca="1">IF(AND($AA291&gt;=5,MOD($AA291,5)=0),IF($AB291=12,VLOOKUP($AA291,Paraméterek!$O$225:$P$240,2),0),IF(OR($AA291=3,$AA291=4),IF($AB291=12,VLOOKUP($AA291,Paraméterek!$O$225:$P$240,2,0),0),0))*$AG291</f>
        <v>0</v>
      </c>
      <c r="AK291" s="13">
        <f t="shared" ca="1" si="97"/>
        <v>0</v>
      </c>
      <c r="AL291" s="13">
        <f t="shared" ca="1" si="105"/>
        <v>0</v>
      </c>
      <c r="AM291" s="13">
        <f t="shared" ca="1" si="106"/>
        <v>0</v>
      </c>
      <c r="AO291" s="32">
        <v>272</v>
      </c>
      <c r="AP291" s="32">
        <v>23</v>
      </c>
      <c r="AQ291" s="32">
        <v>8</v>
      </c>
      <c r="AR291" s="13"/>
      <c r="AS291" s="32"/>
      <c r="AT291" s="13">
        <f t="shared" ca="1" si="107"/>
        <v>0</v>
      </c>
      <c r="AU291" s="33"/>
      <c r="AV291" s="13">
        <f t="shared" ca="1" si="98"/>
        <v>0</v>
      </c>
      <c r="AW291" s="13">
        <f ca="1">ROUNDUP(($AT291+$AV291)*VLOOKUP($AP291,Paraméterek!$P$38:$Q$38,2)/12*IF($D292="Nem",IF($M$13=0,1,$M$13),1),IF($D$4="Forint",0,2))</f>
        <v>0</v>
      </c>
      <c r="AX291" s="13"/>
      <c r="AY291" s="13"/>
      <c r="AZ291" s="13">
        <f>ROUNDUP(IF(SUM($AX291:$AY291)=0,0,IF(IF(ISBLANK($AY291),$AX291,$AY291)*Paraméterek!$J$112&lt;IF($D$4="Forint",Paraméterek!$J$113,Paraméterek!$K$113),IF($D$4="Forint",Paraméterek!$J$113,Paraméterek!$K$113),IF(IF(ISBLANK($AY291),$AX291,$AY291)*Paraméterek!$J$112&gt;IF($D$4="Forint",Paraméterek!$J$114,Paraméterek!$K$114),IF($D$4="Forint",Paraméterek!$J$114,Paraméterek!$K$114),IF(ISBLANK($AY291),$AX291,$AY291)*Paraméterek!$J$112))),IF($D$4="Forint",0,2))</f>
        <v>0</v>
      </c>
      <c r="BA291" s="13">
        <f ca="1">$AT291+$AV291-$AW291-IF(ROUNDDOWN(IF(ISBLANK($AY291),$AX291,$AY291),IF($D$4="Forint",0,2))&gt;$AT291+$AV291-$AW291-IF($D$4="Forint",Paraméterek!$J$114,Paraméterek!$K$114),0,ROUNDDOWN(IF(ISBLANK($AY291),$AX291,$AY291),IF($D$4="Forint",0,2))-$AZ291)</f>
        <v>0</v>
      </c>
      <c r="BB291" s="13">
        <f t="shared" ca="1" si="99"/>
        <v>0</v>
      </c>
      <c r="BD291" s="32">
        <v>272</v>
      </c>
      <c r="BE291" s="32">
        <v>23</v>
      </c>
      <c r="BF291" s="32">
        <v>8</v>
      </c>
      <c r="BG291" s="34">
        <f t="shared" ca="1" si="108"/>
        <v>2042</v>
      </c>
      <c r="BH291" s="32" t="str">
        <f ca="1">IF(MOD(MONTH($D$14)+$BD291-1,12)=Paraméterek!$C$288,"Igen","")</f>
        <v/>
      </c>
      <c r="BI291" s="13">
        <f ca="1">IF($BH291="Igen",MIN(ROUNDDOWN((SUMIF($BG$20:$BG$1027,$BG291-1,$K$20:$K$1027)-SUMIF($BG$20:$BG$1027,$BG291-1,$I$20:$I$1027))*Paraméterek!$C$289,IF($D$4="Forint",0,2)),IF($D$4="Forint",Paraméterek!$C$285,Paraméterek!$D$285)),0)</f>
        <v>0</v>
      </c>
      <c r="BJ291" s="13">
        <f t="shared" ca="1" si="100"/>
        <v>0</v>
      </c>
      <c r="BK291" s="13">
        <f t="shared" ca="1" si="109"/>
        <v>0</v>
      </c>
      <c r="BL291" s="33"/>
      <c r="BM291" s="13">
        <f t="shared" ca="1" si="101"/>
        <v>0</v>
      </c>
      <c r="BN291" s="13">
        <f ca="1">ROUNDUP(($BK291+$BM291)*VLOOKUP($BE291,Paraméterek!$P$38:$Q$38,2)/12*IF($D292="Nem",IF($M$13=0,1,$M$13),1),IF($D$4="Forint",0,2))</f>
        <v>0</v>
      </c>
      <c r="BO291" s="13">
        <f t="shared" ca="1" si="102"/>
        <v>0</v>
      </c>
      <c r="BP291" s="13">
        <f ca="1">IF($D292="Nem",$BO291,$BO291-ROUNDUP(SUM($BI$20:$BI291)*120%,IF($D$4="Forint",0,2)))</f>
        <v>0</v>
      </c>
    </row>
    <row r="292" spans="1:68" x14ac:dyDescent="0.2">
      <c r="A292" s="32">
        <v>273</v>
      </c>
      <c r="B292" s="32">
        <v>23</v>
      </c>
      <c r="C292" s="32">
        <v>9</v>
      </c>
      <c r="D292" s="32" t="str">
        <f t="shared" ca="1" si="88"/>
        <v>Nem</v>
      </c>
      <c r="E292" s="13">
        <f t="shared" ca="1" si="89"/>
        <v>0</v>
      </c>
      <c r="F292" s="13"/>
      <c r="G292" s="13"/>
      <c r="H292" s="13"/>
      <c r="I292" s="13">
        <f t="shared" ca="1" si="90"/>
        <v>0</v>
      </c>
      <c r="J292" s="13">
        <f t="shared" ca="1" si="91"/>
        <v>0</v>
      </c>
      <c r="K292" s="13">
        <f t="shared" ca="1" si="92"/>
        <v>0</v>
      </c>
      <c r="L292" s="13" t="e">
        <f ca="1">ROUNDUP(IF($D$2="Egyszeri",$E292,IF($D$2="Havi",SUM($E$20:$E$31),IF(MOD($C292,$M$1)-1=0,SUM($E$20:$E$31),0))/12*$M$1)*VLOOKUP($B292,Paraméterek!$I$28:$P$31,IF($D$2="Egyszeri",8,HLOOKUP(ROUNDUP($M$11+$M$13,0),Paraméterek!$J$26:$O$27,2))),IF($D$4="Forint",0,2))</f>
        <v>#N/A</v>
      </c>
      <c r="M292" s="13">
        <f t="shared" ca="1" si="93"/>
        <v>0</v>
      </c>
      <c r="N292" s="13">
        <f t="shared" ca="1" si="103"/>
        <v>0</v>
      </c>
      <c r="O292" s="13">
        <f ca="1">IF($D292="Igen",IF($W291&gt;=IF($D$4="Forint",Paraméterek!$J$121,Paraméterek!$K$121),0,IF($D$4="Forint",Paraméterek!$J$121,Paraméterek!$K$121)-$W291),0)</f>
        <v>0</v>
      </c>
      <c r="P292" s="13" t="e">
        <f ca="1">ROUNDUP($O292*VLOOKUP($M$4+$B292-1,Paraméterek!$H$58:$I$105,2,0)/Paraméterek!$I$56,IF($D$4="Forint",0,2))</f>
        <v>#N/A</v>
      </c>
      <c r="Q292" s="13">
        <f t="shared" ca="1" si="94"/>
        <v>0</v>
      </c>
      <c r="R292" s="33"/>
      <c r="S292" s="13" t="e">
        <f t="shared" ca="1" si="95"/>
        <v>#N/A</v>
      </c>
      <c r="T292" s="13" t="e">
        <f ca="1">ROUNDUP(($N292-$P292-$Q292+$S292)*VLOOKUP($B292,Paraméterek!$I$38:$K$39,IF($D$2="Egyszeri",3,2))/12*IF($D293="Nem",IF($M$13=0,1,$M$13),1),IF($D$4="Forint",0,2))</f>
        <v>#N/A</v>
      </c>
      <c r="U292" s="13"/>
      <c r="V292" s="13"/>
      <c r="W292" s="13" t="e">
        <f ca="1">$N292-$P292-$Q292+$S292-$T292-IF(ROUNDUP(IF(ISBLANK($V292),$U292*0,$V292)/IF($D$2="Egyszeri",VLOOKUP($B292+IF($C292=12,1,0),Paraméterek!$V$257:$W$262,2),IF($B292=1,1,VLOOKUP($B292+IF($C292=12,1,0),Paraméterek!$I$258:$T$278,HLOOKUP($M$11+1,Paraméterek!$J$256:$T$257,2)))),IF($D$4="Forint",0,2))&gt;$N292-$P292-$Q292+$S292-$T292-IF($D$4="Forint",Paraméterek!$C$216,Paraméterek!$D$216),0,ROUNDUP(IF(ISBLANK($V292),$U292*0,$V292)/IF($D$2="Egyszeri",VLOOKUP($B292+IF($C292=12,1,0),Paraméterek!$V$257:$W$262,2),IF($B292=1,1,VLOOKUP($B292+IF($C292=12,1,0),Paraméterek!$I$258:$T$278,HLOOKUP($M$11+1,Paraméterek!$J$256:$T$257,2)))),IF($D$4="Forint",0,2)))</f>
        <v>#N/A</v>
      </c>
      <c r="X292" s="13" t="e">
        <f ca="1">ROUNDDOWN($W292*IF($D$2="Egyszeri",VLOOKUP($B292+IF($C292=12,1,0),Paraméterek!$V$257:$W$262,2),VLOOKUP($B292+IF($C292=12,1,0),Paraméterek!$I$258:$T$278,HLOOKUP($M$11+1,Paraméterek!$I$256:$T$257,2))),IF($D$4="Forint",0,2))</f>
        <v>#N/A</v>
      </c>
      <c r="Z292" s="32">
        <v>273</v>
      </c>
      <c r="AA292" s="32">
        <v>23</v>
      </c>
      <c r="AB292" s="32">
        <v>9</v>
      </c>
      <c r="AC292" s="13">
        <f t="shared" ca="1" si="104"/>
        <v>0</v>
      </c>
      <c r="AD292" s="33"/>
      <c r="AE292" s="13">
        <f t="shared" ca="1" si="96"/>
        <v>0</v>
      </c>
      <c r="AF292" s="13">
        <f ca="1">ROUNDUP(($AC292+$AE292)*VLOOKUP($AA292,Paraméterek!$P$38:$Q$38,2)/12*IF($D293="Nem",IF($M$13=0,1,$M$13),1),IF($D$4="Forint",0,2))</f>
        <v>0</v>
      </c>
      <c r="AG292" s="13">
        <f ca="1">IF($D$2="Egyszeri",IF($D$7&gt;=IF($D$4="Forint",Paraméterek!$P$223,Paraméterek!$P$224),$D$7-IF($D$4="Forint",Paraméterek!$P$223,Paraméterek!$P$224),0),MIN(IF($AB292=12,AVERAGEIF($E$20:$E292,"&gt;0",$E$20:$E292)*12,0),SUM($E$20:$E$31)))</f>
        <v>0</v>
      </c>
      <c r="AH292" s="13">
        <f>IF($AA292=10,$AG292*IF($AB292=12,IF($AG292&lt;IF($D$4="Forint",Paraméterek!$L$223,Paraméterek!$L$224),0,VLOOKUP($AA292,Paraméterek!$K$226:$M$228,IF($AG292&lt;IF($D$4="Forint",Paraméterek!$M$223,Paraméterek!$M$224),2,3))),0),0)</f>
        <v>0</v>
      </c>
      <c r="AI292" s="13">
        <f ca="1">IF(AND($AA292=$M$11+1,$AB292=$M$12+1),SUMIF($AA$20:$AA$1027,$AA292,$AG$20:$AG$1027)*IF(SUMIF($AA$20:$AA$1027,$AA292,$AG$20:$AG$1027)&lt;IF($D$4="Forint",Paraméterek!$L$223,Paraméterek!$L$224),0,VLOOKUP($AA292,Paraméterek!$K$230:$M$250,IF(SUMIF($AA$20:$AA$1027,$AA292,$AG$20:$AG$1027)&lt;IF($D$4="Forint",Paraméterek!$M$223,Paraméterek!$M$224),2,3))),0)</f>
        <v>0</v>
      </c>
      <c r="AJ292" s="13">
        <f ca="1">IF(AND($AA292&gt;=5,MOD($AA292,5)=0),IF($AB292=12,VLOOKUP($AA292,Paraméterek!$O$225:$P$240,2),0),IF(OR($AA292=3,$AA292=4),IF($AB292=12,VLOOKUP($AA292,Paraméterek!$O$225:$P$240,2,0),0),0))*$AG292</f>
        <v>0</v>
      </c>
      <c r="AK292" s="13">
        <f t="shared" ca="1" si="97"/>
        <v>0</v>
      </c>
      <c r="AL292" s="13">
        <f t="shared" ca="1" si="105"/>
        <v>0</v>
      </c>
      <c r="AM292" s="13">
        <f t="shared" ca="1" si="106"/>
        <v>0</v>
      </c>
      <c r="AO292" s="32">
        <v>273</v>
      </c>
      <c r="AP292" s="32">
        <v>23</v>
      </c>
      <c r="AQ292" s="32">
        <v>9</v>
      </c>
      <c r="AR292" s="13"/>
      <c r="AS292" s="32"/>
      <c r="AT292" s="13">
        <f t="shared" ca="1" si="107"/>
        <v>0</v>
      </c>
      <c r="AU292" s="33"/>
      <c r="AV292" s="13">
        <f t="shared" ca="1" si="98"/>
        <v>0</v>
      </c>
      <c r="AW292" s="13">
        <f ca="1">ROUNDUP(($AT292+$AV292)*VLOOKUP($AP292,Paraméterek!$P$38:$Q$38,2)/12*IF($D293="Nem",IF($M$13=0,1,$M$13),1),IF($D$4="Forint",0,2))</f>
        <v>0</v>
      </c>
      <c r="AX292" s="13"/>
      <c r="AY292" s="13"/>
      <c r="AZ292" s="13">
        <f>ROUNDUP(IF(SUM($AX292:$AY292)=0,0,IF(IF(ISBLANK($AY292),$AX292,$AY292)*Paraméterek!$J$112&lt;IF($D$4="Forint",Paraméterek!$J$113,Paraméterek!$K$113),IF($D$4="Forint",Paraméterek!$J$113,Paraméterek!$K$113),IF(IF(ISBLANK($AY292),$AX292,$AY292)*Paraméterek!$J$112&gt;IF($D$4="Forint",Paraméterek!$J$114,Paraméterek!$K$114),IF($D$4="Forint",Paraméterek!$J$114,Paraméterek!$K$114),IF(ISBLANK($AY292),$AX292,$AY292)*Paraméterek!$J$112))),IF($D$4="Forint",0,2))</f>
        <v>0</v>
      </c>
      <c r="BA292" s="13">
        <f ca="1">$AT292+$AV292-$AW292-IF(ROUNDDOWN(IF(ISBLANK($AY292),$AX292,$AY292),IF($D$4="Forint",0,2))&gt;$AT292+$AV292-$AW292-IF($D$4="Forint",Paraméterek!$J$114,Paraméterek!$K$114),0,ROUNDDOWN(IF(ISBLANK($AY292),$AX292,$AY292),IF($D$4="Forint",0,2))-$AZ292)</f>
        <v>0</v>
      </c>
      <c r="BB292" s="13">
        <f t="shared" ca="1" si="99"/>
        <v>0</v>
      </c>
      <c r="BD292" s="32">
        <v>273</v>
      </c>
      <c r="BE292" s="32">
        <v>23</v>
      </c>
      <c r="BF292" s="32">
        <v>9</v>
      </c>
      <c r="BG292" s="34">
        <f t="shared" ca="1" si="108"/>
        <v>2042</v>
      </c>
      <c r="BH292" s="32" t="str">
        <f ca="1">IF(MOD(MONTH($D$14)+$BD292-1,12)=Paraméterek!$C$288,"Igen","")</f>
        <v/>
      </c>
      <c r="BI292" s="13">
        <f ca="1">IF($BH292="Igen",MIN(ROUNDDOWN((SUMIF($BG$20:$BG$1027,$BG292-1,$K$20:$K$1027)-SUMIF($BG$20:$BG$1027,$BG292-1,$I$20:$I$1027))*Paraméterek!$C$289,IF($D$4="Forint",0,2)),IF($D$4="Forint",Paraméterek!$C$285,Paraméterek!$D$285)),0)</f>
        <v>0</v>
      </c>
      <c r="BJ292" s="13">
        <f t="shared" ca="1" si="100"/>
        <v>0</v>
      </c>
      <c r="BK292" s="13">
        <f t="shared" ca="1" si="109"/>
        <v>0</v>
      </c>
      <c r="BL292" s="33"/>
      <c r="BM292" s="13">
        <f t="shared" ca="1" si="101"/>
        <v>0</v>
      </c>
      <c r="BN292" s="13">
        <f ca="1">ROUNDUP(($BK292+$BM292)*VLOOKUP($BE292,Paraméterek!$P$38:$Q$38,2)/12*IF($D293="Nem",IF($M$13=0,1,$M$13),1),IF($D$4="Forint",0,2))</f>
        <v>0</v>
      </c>
      <c r="BO292" s="13">
        <f t="shared" ca="1" si="102"/>
        <v>0</v>
      </c>
      <c r="BP292" s="13">
        <f ca="1">IF($D293="Nem",$BO292,$BO292-ROUNDUP(SUM($BI$20:$BI292)*120%,IF($D$4="Forint",0,2)))</f>
        <v>0</v>
      </c>
    </row>
    <row r="293" spans="1:68" x14ac:dyDescent="0.2">
      <c r="A293" s="32">
        <v>274</v>
      </c>
      <c r="B293" s="32">
        <v>23</v>
      </c>
      <c r="C293" s="32">
        <v>10</v>
      </c>
      <c r="D293" s="32" t="str">
        <f t="shared" ca="1" si="88"/>
        <v>Nem</v>
      </c>
      <c r="E293" s="13">
        <f t="shared" ca="1" si="89"/>
        <v>0</v>
      </c>
      <c r="F293" s="13"/>
      <c r="G293" s="13"/>
      <c r="H293" s="13"/>
      <c r="I293" s="13">
        <f t="shared" ca="1" si="90"/>
        <v>0</v>
      </c>
      <c r="J293" s="13">
        <f t="shared" ca="1" si="91"/>
        <v>0</v>
      </c>
      <c r="K293" s="13">
        <f t="shared" ca="1" si="92"/>
        <v>0</v>
      </c>
      <c r="L293" s="13" t="e">
        <f ca="1">ROUNDUP(IF($D$2="Egyszeri",$E293,IF($D$2="Havi",SUM($E$20:$E$31),IF(MOD($C293,$M$1)-1=0,SUM($E$20:$E$31),0))/12*$M$1)*VLOOKUP($B293,Paraméterek!$I$28:$P$31,IF($D$2="Egyszeri",8,HLOOKUP(ROUNDUP($M$11+$M$13,0),Paraméterek!$J$26:$O$27,2))),IF($D$4="Forint",0,2))</f>
        <v>#N/A</v>
      </c>
      <c r="M293" s="13">
        <f t="shared" ca="1" si="93"/>
        <v>0</v>
      </c>
      <c r="N293" s="13">
        <f t="shared" ca="1" si="103"/>
        <v>0</v>
      </c>
      <c r="O293" s="13">
        <f ca="1">IF($D293="Igen",IF($W292&gt;=IF($D$4="Forint",Paraméterek!$J$121,Paraméterek!$K$121),0,IF($D$4="Forint",Paraméterek!$J$121,Paraméterek!$K$121)-$W292),0)</f>
        <v>0</v>
      </c>
      <c r="P293" s="13" t="e">
        <f ca="1">ROUNDUP($O293*VLOOKUP($M$4+$B293-1,Paraméterek!$H$58:$I$105,2,0)/Paraméterek!$I$56,IF($D$4="Forint",0,2))</f>
        <v>#N/A</v>
      </c>
      <c r="Q293" s="13">
        <f t="shared" ca="1" si="94"/>
        <v>0</v>
      </c>
      <c r="R293" s="33"/>
      <c r="S293" s="13" t="e">
        <f t="shared" ca="1" si="95"/>
        <v>#N/A</v>
      </c>
      <c r="T293" s="13" t="e">
        <f ca="1">ROUNDUP(($N293-$P293-$Q293+$S293)*VLOOKUP($B293,Paraméterek!$I$38:$K$39,IF($D$2="Egyszeri",3,2))/12*IF($D294="Nem",IF($M$13=0,1,$M$13),1),IF($D$4="Forint",0,2))</f>
        <v>#N/A</v>
      </c>
      <c r="U293" s="13"/>
      <c r="V293" s="13"/>
      <c r="W293" s="13" t="e">
        <f ca="1">$N293-$P293-$Q293+$S293-$T293-IF(ROUNDUP(IF(ISBLANK($V293),$U293*0,$V293)/IF($D$2="Egyszeri",VLOOKUP($B293+IF($C293=12,1,0),Paraméterek!$V$257:$W$262,2),IF($B293=1,1,VLOOKUP($B293+IF($C293=12,1,0),Paraméterek!$I$258:$T$278,HLOOKUP($M$11+1,Paraméterek!$J$256:$T$257,2)))),IF($D$4="Forint",0,2))&gt;$N293-$P293-$Q293+$S293-$T293-IF($D$4="Forint",Paraméterek!$C$216,Paraméterek!$D$216),0,ROUNDUP(IF(ISBLANK($V293),$U293*0,$V293)/IF($D$2="Egyszeri",VLOOKUP($B293+IF($C293=12,1,0),Paraméterek!$V$257:$W$262,2),IF($B293=1,1,VLOOKUP($B293+IF($C293=12,1,0),Paraméterek!$I$258:$T$278,HLOOKUP($M$11+1,Paraméterek!$J$256:$T$257,2)))),IF($D$4="Forint",0,2)))</f>
        <v>#N/A</v>
      </c>
      <c r="X293" s="13" t="e">
        <f ca="1">ROUNDDOWN($W293*IF($D$2="Egyszeri",VLOOKUP($B293+IF($C293=12,1,0),Paraméterek!$V$257:$W$262,2),VLOOKUP($B293+IF($C293=12,1,0),Paraméterek!$I$258:$T$278,HLOOKUP($M$11+1,Paraméterek!$I$256:$T$257,2))),IF($D$4="Forint",0,2))</f>
        <v>#N/A</v>
      </c>
      <c r="Z293" s="32">
        <v>274</v>
      </c>
      <c r="AA293" s="32">
        <v>23</v>
      </c>
      <c r="AB293" s="32">
        <v>10</v>
      </c>
      <c r="AC293" s="13">
        <f t="shared" ca="1" si="104"/>
        <v>0</v>
      </c>
      <c r="AD293" s="33"/>
      <c r="AE293" s="13">
        <f t="shared" ca="1" si="96"/>
        <v>0</v>
      </c>
      <c r="AF293" s="13">
        <f ca="1">ROUNDUP(($AC293+$AE293)*VLOOKUP($AA293,Paraméterek!$P$38:$Q$38,2)/12*IF($D294="Nem",IF($M$13=0,1,$M$13),1),IF($D$4="Forint",0,2))</f>
        <v>0</v>
      </c>
      <c r="AG293" s="13">
        <f ca="1">IF($D$2="Egyszeri",IF($D$7&gt;=IF($D$4="Forint",Paraméterek!$P$223,Paraméterek!$P$224),$D$7-IF($D$4="Forint",Paraméterek!$P$223,Paraméterek!$P$224),0),MIN(IF($AB293=12,AVERAGEIF($E$20:$E293,"&gt;0",$E$20:$E293)*12,0),SUM($E$20:$E$31)))</f>
        <v>0</v>
      </c>
      <c r="AH293" s="13">
        <f>IF($AA293=10,$AG293*IF($AB293=12,IF($AG293&lt;IF($D$4="Forint",Paraméterek!$L$223,Paraméterek!$L$224),0,VLOOKUP($AA293,Paraméterek!$K$226:$M$228,IF($AG293&lt;IF($D$4="Forint",Paraméterek!$M$223,Paraméterek!$M$224),2,3))),0),0)</f>
        <v>0</v>
      </c>
      <c r="AI293" s="13">
        <f ca="1">IF(AND($AA293=$M$11+1,$AB293=$M$12+1),SUMIF($AA$20:$AA$1027,$AA293,$AG$20:$AG$1027)*IF(SUMIF($AA$20:$AA$1027,$AA293,$AG$20:$AG$1027)&lt;IF($D$4="Forint",Paraméterek!$L$223,Paraméterek!$L$224),0,VLOOKUP($AA293,Paraméterek!$K$230:$M$250,IF(SUMIF($AA$20:$AA$1027,$AA293,$AG$20:$AG$1027)&lt;IF($D$4="Forint",Paraméterek!$M$223,Paraméterek!$M$224),2,3))),0)</f>
        <v>0</v>
      </c>
      <c r="AJ293" s="13">
        <f ca="1">IF(AND($AA293&gt;=5,MOD($AA293,5)=0),IF($AB293=12,VLOOKUP($AA293,Paraméterek!$O$225:$P$240,2),0),IF(OR($AA293=3,$AA293=4),IF($AB293=12,VLOOKUP($AA293,Paraméterek!$O$225:$P$240,2,0),0),0))*$AG293</f>
        <v>0</v>
      </c>
      <c r="AK293" s="13">
        <f t="shared" ca="1" si="97"/>
        <v>0</v>
      </c>
      <c r="AL293" s="13">
        <f t="shared" ca="1" si="105"/>
        <v>0</v>
      </c>
      <c r="AM293" s="13">
        <f t="shared" ca="1" si="106"/>
        <v>0</v>
      </c>
      <c r="AO293" s="32">
        <v>274</v>
      </c>
      <c r="AP293" s="32">
        <v>23</v>
      </c>
      <c r="AQ293" s="32">
        <v>10</v>
      </c>
      <c r="AR293" s="13"/>
      <c r="AS293" s="32"/>
      <c r="AT293" s="13">
        <f t="shared" ca="1" si="107"/>
        <v>0</v>
      </c>
      <c r="AU293" s="33"/>
      <c r="AV293" s="13">
        <f t="shared" ca="1" si="98"/>
        <v>0</v>
      </c>
      <c r="AW293" s="13">
        <f ca="1">ROUNDUP(($AT293+$AV293)*VLOOKUP($AP293,Paraméterek!$P$38:$Q$38,2)/12*IF($D294="Nem",IF($M$13=0,1,$M$13),1),IF($D$4="Forint",0,2))</f>
        <v>0</v>
      </c>
      <c r="AX293" s="13"/>
      <c r="AY293" s="13"/>
      <c r="AZ293" s="13">
        <f>ROUNDUP(IF(SUM($AX293:$AY293)=0,0,IF(IF(ISBLANK($AY293),$AX293,$AY293)*Paraméterek!$J$112&lt;IF($D$4="Forint",Paraméterek!$J$113,Paraméterek!$K$113),IF($D$4="Forint",Paraméterek!$J$113,Paraméterek!$K$113),IF(IF(ISBLANK($AY293),$AX293,$AY293)*Paraméterek!$J$112&gt;IF($D$4="Forint",Paraméterek!$J$114,Paraméterek!$K$114),IF($D$4="Forint",Paraméterek!$J$114,Paraméterek!$K$114),IF(ISBLANK($AY293),$AX293,$AY293)*Paraméterek!$J$112))),IF($D$4="Forint",0,2))</f>
        <v>0</v>
      </c>
      <c r="BA293" s="13">
        <f ca="1">$AT293+$AV293-$AW293-IF(ROUNDDOWN(IF(ISBLANK($AY293),$AX293,$AY293),IF($D$4="Forint",0,2))&gt;$AT293+$AV293-$AW293-IF($D$4="Forint",Paraméterek!$J$114,Paraméterek!$K$114),0,ROUNDDOWN(IF(ISBLANK($AY293),$AX293,$AY293),IF($D$4="Forint",0,2))-$AZ293)</f>
        <v>0</v>
      </c>
      <c r="BB293" s="13">
        <f t="shared" ca="1" si="99"/>
        <v>0</v>
      </c>
      <c r="BD293" s="32">
        <v>274</v>
      </c>
      <c r="BE293" s="32">
        <v>23</v>
      </c>
      <c r="BF293" s="32">
        <v>10</v>
      </c>
      <c r="BG293" s="34">
        <f t="shared" ca="1" si="108"/>
        <v>2042</v>
      </c>
      <c r="BH293" s="32" t="str">
        <f ca="1">IF(MOD(MONTH($D$14)+$BD293-1,12)=Paraméterek!$C$288,"Igen","")</f>
        <v/>
      </c>
      <c r="BI293" s="13">
        <f ca="1">IF($BH293="Igen",MIN(ROUNDDOWN((SUMIF($BG$20:$BG$1027,$BG293-1,$K$20:$K$1027)-SUMIF($BG$20:$BG$1027,$BG293-1,$I$20:$I$1027))*Paraméterek!$C$289,IF($D$4="Forint",0,2)),IF($D$4="Forint",Paraméterek!$C$285,Paraméterek!$D$285)),0)</f>
        <v>0</v>
      </c>
      <c r="BJ293" s="13">
        <f t="shared" ca="1" si="100"/>
        <v>0</v>
      </c>
      <c r="BK293" s="13">
        <f t="shared" ca="1" si="109"/>
        <v>0</v>
      </c>
      <c r="BL293" s="33"/>
      <c r="BM293" s="13">
        <f t="shared" ca="1" si="101"/>
        <v>0</v>
      </c>
      <c r="BN293" s="13">
        <f ca="1">ROUNDUP(($BK293+$BM293)*VLOOKUP($BE293,Paraméterek!$P$38:$Q$38,2)/12*IF($D294="Nem",IF($M$13=0,1,$M$13),1),IF($D$4="Forint",0,2))</f>
        <v>0</v>
      </c>
      <c r="BO293" s="13">
        <f t="shared" ca="1" si="102"/>
        <v>0</v>
      </c>
      <c r="BP293" s="13">
        <f ca="1">IF($D294="Nem",$BO293,$BO293-ROUNDUP(SUM($BI$20:$BI293)*120%,IF($D$4="Forint",0,2)))</f>
        <v>0</v>
      </c>
    </row>
    <row r="294" spans="1:68" x14ac:dyDescent="0.2">
      <c r="A294" s="32">
        <v>275</v>
      </c>
      <c r="B294" s="32">
        <v>23</v>
      </c>
      <c r="C294" s="32">
        <v>11</v>
      </c>
      <c r="D294" s="32" t="str">
        <f t="shared" ca="1" si="88"/>
        <v>Nem</v>
      </c>
      <c r="E294" s="13">
        <f t="shared" ca="1" si="89"/>
        <v>0</v>
      </c>
      <c r="F294" s="13"/>
      <c r="G294" s="13"/>
      <c r="H294" s="13"/>
      <c r="I294" s="13">
        <f t="shared" ca="1" si="90"/>
        <v>0</v>
      </c>
      <c r="J294" s="13">
        <f t="shared" ca="1" si="91"/>
        <v>0</v>
      </c>
      <c r="K294" s="13">
        <f t="shared" ca="1" si="92"/>
        <v>0</v>
      </c>
      <c r="L294" s="13" t="e">
        <f ca="1">ROUNDUP(IF($D$2="Egyszeri",$E294,IF($D$2="Havi",SUM($E$20:$E$31),IF(MOD($C294,$M$1)-1=0,SUM($E$20:$E$31),0))/12*$M$1)*VLOOKUP($B294,Paraméterek!$I$28:$P$31,IF($D$2="Egyszeri",8,HLOOKUP(ROUNDUP($M$11+$M$13,0),Paraméterek!$J$26:$O$27,2))),IF($D$4="Forint",0,2))</f>
        <v>#N/A</v>
      </c>
      <c r="M294" s="13">
        <f t="shared" ca="1" si="93"/>
        <v>0</v>
      </c>
      <c r="N294" s="13">
        <f t="shared" ca="1" si="103"/>
        <v>0</v>
      </c>
      <c r="O294" s="13">
        <f ca="1">IF($D294="Igen",IF($W293&gt;=IF($D$4="Forint",Paraméterek!$J$121,Paraméterek!$K$121),0,IF($D$4="Forint",Paraméterek!$J$121,Paraméterek!$K$121)-$W293),0)</f>
        <v>0</v>
      </c>
      <c r="P294" s="13" t="e">
        <f ca="1">ROUNDUP($O294*VLOOKUP($M$4+$B294-1,Paraméterek!$H$58:$I$105,2,0)/Paraméterek!$I$56,IF($D$4="Forint",0,2))</f>
        <v>#N/A</v>
      </c>
      <c r="Q294" s="13">
        <f t="shared" ca="1" si="94"/>
        <v>0</v>
      </c>
      <c r="R294" s="33"/>
      <c r="S294" s="13" t="e">
        <f t="shared" ca="1" si="95"/>
        <v>#N/A</v>
      </c>
      <c r="T294" s="13" t="e">
        <f ca="1">ROUNDUP(($N294-$P294-$Q294+$S294)*VLOOKUP($B294,Paraméterek!$I$38:$K$39,IF($D$2="Egyszeri",3,2))/12*IF($D295="Nem",IF($M$13=0,1,$M$13),1),IF($D$4="Forint",0,2))</f>
        <v>#N/A</v>
      </c>
      <c r="U294" s="13"/>
      <c r="V294" s="13"/>
      <c r="W294" s="13" t="e">
        <f ca="1">$N294-$P294-$Q294+$S294-$T294-IF(ROUNDUP(IF(ISBLANK($V294),$U294*0,$V294)/IF($D$2="Egyszeri",VLOOKUP($B294+IF($C294=12,1,0),Paraméterek!$V$257:$W$262,2),IF($B294=1,1,VLOOKUP($B294+IF($C294=12,1,0),Paraméterek!$I$258:$T$278,HLOOKUP($M$11+1,Paraméterek!$J$256:$T$257,2)))),IF($D$4="Forint",0,2))&gt;$N294-$P294-$Q294+$S294-$T294-IF($D$4="Forint",Paraméterek!$C$216,Paraméterek!$D$216),0,ROUNDUP(IF(ISBLANK($V294),$U294*0,$V294)/IF($D$2="Egyszeri",VLOOKUP($B294+IF($C294=12,1,0),Paraméterek!$V$257:$W$262,2),IF($B294=1,1,VLOOKUP($B294+IF($C294=12,1,0),Paraméterek!$I$258:$T$278,HLOOKUP($M$11+1,Paraméterek!$J$256:$T$257,2)))),IF($D$4="Forint",0,2)))</f>
        <v>#N/A</v>
      </c>
      <c r="X294" s="13" t="e">
        <f ca="1">ROUNDDOWN($W294*IF($D$2="Egyszeri",VLOOKUP($B294+IF($C294=12,1,0),Paraméterek!$V$257:$W$262,2),VLOOKUP($B294+IF($C294=12,1,0),Paraméterek!$I$258:$T$278,HLOOKUP($M$11+1,Paraméterek!$I$256:$T$257,2))),IF($D$4="Forint",0,2))</f>
        <v>#N/A</v>
      </c>
      <c r="Z294" s="32">
        <v>275</v>
      </c>
      <c r="AA294" s="32">
        <v>23</v>
      </c>
      <c r="AB294" s="32">
        <v>11</v>
      </c>
      <c r="AC294" s="13">
        <f t="shared" ca="1" si="104"/>
        <v>0</v>
      </c>
      <c r="AD294" s="33"/>
      <c r="AE294" s="13">
        <f t="shared" ca="1" si="96"/>
        <v>0</v>
      </c>
      <c r="AF294" s="13">
        <f ca="1">ROUNDUP(($AC294+$AE294)*VLOOKUP($AA294,Paraméterek!$P$38:$Q$38,2)/12*IF($D295="Nem",IF($M$13=0,1,$M$13),1),IF($D$4="Forint",0,2))</f>
        <v>0</v>
      </c>
      <c r="AG294" s="13">
        <f ca="1">IF($D$2="Egyszeri",IF($D$7&gt;=IF($D$4="Forint",Paraméterek!$P$223,Paraméterek!$P$224),$D$7-IF($D$4="Forint",Paraméterek!$P$223,Paraméterek!$P$224),0),MIN(IF($AB294=12,AVERAGEIF($E$20:$E294,"&gt;0",$E$20:$E294)*12,0),SUM($E$20:$E$31)))</f>
        <v>0</v>
      </c>
      <c r="AH294" s="13">
        <f>IF($AA294=10,$AG294*IF($AB294=12,IF($AG294&lt;IF($D$4="Forint",Paraméterek!$L$223,Paraméterek!$L$224),0,VLOOKUP($AA294,Paraméterek!$K$226:$M$228,IF($AG294&lt;IF($D$4="Forint",Paraméterek!$M$223,Paraméterek!$M$224),2,3))),0),0)</f>
        <v>0</v>
      </c>
      <c r="AI294" s="13">
        <f ca="1">IF(AND($AA294=$M$11+1,$AB294=$M$12+1),SUMIF($AA$20:$AA$1027,$AA294,$AG$20:$AG$1027)*IF(SUMIF($AA$20:$AA$1027,$AA294,$AG$20:$AG$1027)&lt;IF($D$4="Forint",Paraméterek!$L$223,Paraméterek!$L$224),0,VLOOKUP($AA294,Paraméterek!$K$230:$M$250,IF(SUMIF($AA$20:$AA$1027,$AA294,$AG$20:$AG$1027)&lt;IF($D$4="Forint",Paraméterek!$M$223,Paraméterek!$M$224),2,3))),0)</f>
        <v>0</v>
      </c>
      <c r="AJ294" s="13">
        <f ca="1">IF(AND($AA294&gt;=5,MOD($AA294,5)=0),IF($AB294=12,VLOOKUP($AA294,Paraméterek!$O$225:$P$240,2),0),IF(OR($AA294=3,$AA294=4),IF($AB294=12,VLOOKUP($AA294,Paraméterek!$O$225:$P$240,2,0),0),0))*$AG294</f>
        <v>0</v>
      </c>
      <c r="AK294" s="13">
        <f t="shared" ca="1" si="97"/>
        <v>0</v>
      </c>
      <c r="AL294" s="13">
        <f t="shared" ca="1" si="105"/>
        <v>0</v>
      </c>
      <c r="AM294" s="13">
        <f t="shared" ca="1" si="106"/>
        <v>0</v>
      </c>
      <c r="AO294" s="32">
        <v>275</v>
      </c>
      <c r="AP294" s="32">
        <v>23</v>
      </c>
      <c r="AQ294" s="32">
        <v>11</v>
      </c>
      <c r="AR294" s="13"/>
      <c r="AS294" s="32"/>
      <c r="AT294" s="13">
        <f t="shared" ca="1" si="107"/>
        <v>0</v>
      </c>
      <c r="AU294" s="33"/>
      <c r="AV294" s="13">
        <f t="shared" ca="1" si="98"/>
        <v>0</v>
      </c>
      <c r="AW294" s="13">
        <f ca="1">ROUNDUP(($AT294+$AV294)*VLOOKUP($AP294,Paraméterek!$P$38:$Q$38,2)/12*IF($D295="Nem",IF($M$13=0,1,$M$13),1),IF($D$4="Forint",0,2))</f>
        <v>0</v>
      </c>
      <c r="AX294" s="13"/>
      <c r="AY294" s="13"/>
      <c r="AZ294" s="13">
        <f>ROUNDUP(IF(SUM($AX294:$AY294)=0,0,IF(IF(ISBLANK($AY294),$AX294,$AY294)*Paraméterek!$J$112&lt;IF($D$4="Forint",Paraméterek!$J$113,Paraméterek!$K$113),IF($D$4="Forint",Paraméterek!$J$113,Paraméterek!$K$113),IF(IF(ISBLANK($AY294),$AX294,$AY294)*Paraméterek!$J$112&gt;IF($D$4="Forint",Paraméterek!$J$114,Paraméterek!$K$114),IF($D$4="Forint",Paraméterek!$J$114,Paraméterek!$K$114),IF(ISBLANK($AY294),$AX294,$AY294)*Paraméterek!$J$112))),IF($D$4="Forint",0,2))</f>
        <v>0</v>
      </c>
      <c r="BA294" s="13">
        <f ca="1">$AT294+$AV294-$AW294-IF(ROUNDDOWN(IF(ISBLANK($AY294),$AX294,$AY294),IF($D$4="Forint",0,2))&gt;$AT294+$AV294-$AW294-IF($D$4="Forint",Paraméterek!$J$114,Paraméterek!$K$114),0,ROUNDDOWN(IF(ISBLANK($AY294),$AX294,$AY294),IF($D$4="Forint",0,2))-$AZ294)</f>
        <v>0</v>
      </c>
      <c r="BB294" s="13">
        <f t="shared" ca="1" si="99"/>
        <v>0</v>
      </c>
      <c r="BD294" s="32">
        <v>275</v>
      </c>
      <c r="BE294" s="32">
        <v>23</v>
      </c>
      <c r="BF294" s="32">
        <v>11</v>
      </c>
      <c r="BG294" s="34">
        <f t="shared" ca="1" si="108"/>
        <v>2042</v>
      </c>
      <c r="BH294" s="32" t="str">
        <f ca="1">IF(MOD(MONTH($D$14)+$BD294-1,12)=Paraméterek!$C$288,"Igen","")</f>
        <v/>
      </c>
      <c r="BI294" s="13">
        <f ca="1">IF($BH294="Igen",MIN(ROUNDDOWN((SUMIF($BG$20:$BG$1027,$BG294-1,$K$20:$K$1027)-SUMIF($BG$20:$BG$1027,$BG294-1,$I$20:$I$1027))*Paraméterek!$C$289,IF($D$4="Forint",0,2)),IF($D$4="Forint",Paraméterek!$C$285,Paraméterek!$D$285)),0)</f>
        <v>0</v>
      </c>
      <c r="BJ294" s="13">
        <f t="shared" ca="1" si="100"/>
        <v>0</v>
      </c>
      <c r="BK294" s="13">
        <f t="shared" ca="1" si="109"/>
        <v>0</v>
      </c>
      <c r="BL294" s="33"/>
      <c r="BM294" s="13">
        <f t="shared" ca="1" si="101"/>
        <v>0</v>
      </c>
      <c r="BN294" s="13">
        <f ca="1">ROUNDUP(($BK294+$BM294)*VLOOKUP($BE294,Paraméterek!$P$38:$Q$38,2)/12*IF($D295="Nem",IF($M$13=0,1,$M$13),1),IF($D$4="Forint",0,2))</f>
        <v>0</v>
      </c>
      <c r="BO294" s="13">
        <f t="shared" ca="1" si="102"/>
        <v>0</v>
      </c>
      <c r="BP294" s="13">
        <f ca="1">IF($D295="Nem",$BO294,$BO294-ROUNDUP(SUM($BI$20:$BI294)*120%,IF($D$4="Forint",0,2)))</f>
        <v>0</v>
      </c>
    </row>
    <row r="295" spans="1:68" x14ac:dyDescent="0.2">
      <c r="A295" s="32">
        <v>276</v>
      </c>
      <c r="B295" s="32">
        <v>23</v>
      </c>
      <c r="C295" s="32">
        <v>12</v>
      </c>
      <c r="D295" s="32" t="str">
        <f t="shared" ca="1" si="88"/>
        <v>Nem</v>
      </c>
      <c r="E295" s="13">
        <f t="shared" ca="1" si="89"/>
        <v>0</v>
      </c>
      <c r="F295" s="13"/>
      <c r="G295" s="13"/>
      <c r="H295" s="13"/>
      <c r="I295" s="13">
        <f t="shared" ca="1" si="90"/>
        <v>0</v>
      </c>
      <c r="J295" s="13">
        <f t="shared" ca="1" si="91"/>
        <v>0</v>
      </c>
      <c r="K295" s="13">
        <f t="shared" ca="1" si="92"/>
        <v>0</v>
      </c>
      <c r="L295" s="13" t="e">
        <f ca="1">ROUNDUP(IF($D$2="Egyszeri",$E295,IF($D$2="Havi",SUM($E$20:$E$31),IF(MOD($C295,$M$1)-1=0,SUM($E$20:$E$31),0))/12*$M$1)*VLOOKUP($B295,Paraméterek!$I$28:$P$31,IF($D$2="Egyszeri",8,HLOOKUP(ROUNDUP($M$11+$M$13,0),Paraméterek!$J$26:$O$27,2))),IF($D$4="Forint",0,2))</f>
        <v>#N/A</v>
      </c>
      <c r="M295" s="13">
        <f t="shared" ca="1" si="93"/>
        <v>0</v>
      </c>
      <c r="N295" s="13">
        <f t="shared" ca="1" si="103"/>
        <v>0</v>
      </c>
      <c r="O295" s="13">
        <f ca="1">IF($D295="Igen",IF($W294&gt;=IF($D$4="Forint",Paraméterek!$J$121,Paraméterek!$K$121),0,IF($D$4="Forint",Paraméterek!$J$121,Paraméterek!$K$121)-$W294),0)</f>
        <v>0</v>
      </c>
      <c r="P295" s="13" t="e">
        <f ca="1">ROUNDUP($O295*VLOOKUP($M$4+$B295-1,Paraméterek!$H$58:$I$105,2,0)/Paraméterek!$I$56,IF($D$4="Forint",0,2))</f>
        <v>#N/A</v>
      </c>
      <c r="Q295" s="13">
        <f t="shared" ca="1" si="94"/>
        <v>0</v>
      </c>
      <c r="R295" s="33"/>
      <c r="S295" s="13" t="e">
        <f t="shared" ca="1" si="95"/>
        <v>#N/A</v>
      </c>
      <c r="T295" s="13" t="e">
        <f ca="1">ROUNDUP(($N295-$P295-$Q295+$S295)*VLOOKUP($B295,Paraméterek!$I$38:$K$39,IF($D$2="Egyszeri",3,2))/12*IF($D296="Nem",IF($M$13=0,1,$M$13),1),IF($D$4="Forint",0,2))</f>
        <v>#N/A</v>
      </c>
      <c r="U295" s="13">
        <f>Tranzakciók!$F$54</f>
        <v>0</v>
      </c>
      <c r="V295" s="13"/>
      <c r="W295" s="13" t="e">
        <f ca="1">$N295-$P295-$Q295+$S295-$T295-IF(ROUNDUP(IF(ISBLANK($V295),$U295*0,$V295)/IF($D$2="Egyszeri",VLOOKUP($B295+IF($C295=12,1,0),Paraméterek!$V$257:$W$262,2),IF($B295=1,1,VLOOKUP($B295+IF($C295=12,1,0),Paraméterek!$I$258:$T$278,HLOOKUP($M$11+1,Paraméterek!$J$256:$T$257,2)))),IF($D$4="Forint",0,2))&gt;$N295-$P295-$Q295+$S295-$T295-IF($D$4="Forint",Paraméterek!$C$216,Paraméterek!$D$216),0,ROUNDUP(IF(ISBLANK($V295),$U295*0,$V295)/IF($D$2="Egyszeri",VLOOKUP($B295+IF($C295=12,1,0),Paraméterek!$V$257:$W$262,2),IF($B295=1,1,VLOOKUP($B295+IF($C295=12,1,0),Paraméterek!$I$258:$T$278,HLOOKUP($M$11+1,Paraméterek!$J$256:$T$257,2)))),IF($D$4="Forint",0,2)))</f>
        <v>#N/A</v>
      </c>
      <c r="X295" s="13" t="e">
        <f ca="1">ROUNDDOWN($W295*IF($D$2="Egyszeri",VLOOKUP($B295+IF($C295=12,1,0),Paraméterek!$V$257:$W$262,2),VLOOKUP($B295+IF($C295=12,1,0),Paraméterek!$I$258:$T$278,HLOOKUP($M$11+1,Paraméterek!$I$256:$T$257,2))),IF($D$4="Forint",0,2))</f>
        <v>#N/A</v>
      </c>
      <c r="Z295" s="32">
        <v>276</v>
      </c>
      <c r="AA295" s="32">
        <v>23</v>
      </c>
      <c r="AB295" s="32">
        <v>12</v>
      </c>
      <c r="AC295" s="13">
        <f t="shared" ca="1" si="104"/>
        <v>0</v>
      </c>
      <c r="AD295" s="33"/>
      <c r="AE295" s="13">
        <f t="shared" ca="1" si="96"/>
        <v>0</v>
      </c>
      <c r="AF295" s="13">
        <f ca="1">ROUNDUP(($AC295+$AE295)*VLOOKUP($AA295,Paraméterek!$P$38:$Q$38,2)/12*IF($D296="Nem",IF($M$13=0,1,$M$13),1),IF($D$4="Forint",0,2))</f>
        <v>0</v>
      </c>
      <c r="AG295" s="13" t="e">
        <f ca="1">IF($D$2="Egyszeri",IF($D$7&gt;=IF($D$4="Forint",Paraméterek!$P$223,Paraméterek!$P$224),$D$7-IF($D$4="Forint",Paraméterek!$P$223,Paraméterek!$P$224),0),MIN(IF($AB295=12,AVERAGEIF($E$20:$E295,"&gt;0",$E$20:$E295)*12,0),SUM($E$20:$E$31)))</f>
        <v>#DIV/0!</v>
      </c>
      <c r="AH295" s="13">
        <f>IF($AA295=10,$AG295*IF($AB295=12,IF($AG295&lt;IF($D$4="Forint",Paraméterek!$L$223,Paraméterek!$L$224),0,VLOOKUP($AA295,Paraméterek!$K$226:$M$228,IF($AG295&lt;IF($D$4="Forint",Paraméterek!$M$223,Paraméterek!$M$224),2,3))),0),0)</f>
        <v>0</v>
      </c>
      <c r="AI295" s="13">
        <f ca="1">IF(AND($AA295=$M$11+1,$AB295=$M$12+1),SUMIF($AA$20:$AA$1027,$AA295,$AG$20:$AG$1027)*IF(SUMIF($AA$20:$AA$1027,$AA295,$AG$20:$AG$1027)&lt;IF($D$4="Forint",Paraméterek!$L$223,Paraméterek!$L$224),0,VLOOKUP($AA295,Paraméterek!$K$230:$M$250,IF(SUMIF($AA$20:$AA$1027,$AA295,$AG$20:$AG$1027)&lt;IF($D$4="Forint",Paraméterek!$M$223,Paraméterek!$M$224),2,3))),0)</f>
        <v>0</v>
      </c>
      <c r="AJ295" s="13" t="e">
        <f ca="1">IF(AND($AA295&gt;=5,MOD($AA295,5)=0),IF($AB295=12,VLOOKUP($AA295,Paraméterek!$O$225:$P$240,2),0),IF(OR($AA295=3,$AA295=4),IF($AB295=12,VLOOKUP($AA295,Paraméterek!$O$225:$P$240,2,0),0),0))*$AG295</f>
        <v>#DIV/0!</v>
      </c>
      <c r="AK295" s="13">
        <f t="shared" ca="1" si="97"/>
        <v>0</v>
      </c>
      <c r="AL295" s="13">
        <f t="shared" ca="1" si="105"/>
        <v>0</v>
      </c>
      <c r="AM295" s="13">
        <f t="shared" ca="1" si="106"/>
        <v>0</v>
      </c>
      <c r="AO295" s="32">
        <v>276</v>
      </c>
      <c r="AP295" s="32">
        <v>23</v>
      </c>
      <c r="AQ295" s="32">
        <v>12</v>
      </c>
      <c r="AR295" s="13"/>
      <c r="AS295" s="32"/>
      <c r="AT295" s="13">
        <f t="shared" ca="1" si="107"/>
        <v>0</v>
      </c>
      <c r="AU295" s="33"/>
      <c r="AV295" s="13">
        <f t="shared" ca="1" si="98"/>
        <v>0</v>
      </c>
      <c r="AW295" s="13">
        <f ca="1">ROUNDUP(($AT295+$AV295)*VLOOKUP($AP295,Paraméterek!$P$38:$Q$38,2)/12*IF($D296="Nem",IF($M$13=0,1,$M$13),1),IF($D$4="Forint",0,2))</f>
        <v>0</v>
      </c>
      <c r="AX295" s="13">
        <f>Tranzakciók!$M$54</f>
        <v>0</v>
      </c>
      <c r="AY295" s="13"/>
      <c r="AZ295" s="13">
        <f>ROUNDUP(IF(SUM($AX295:$AY295)=0,0,IF(IF(ISBLANK($AY295),$AX295,$AY295)*Paraméterek!$J$112&lt;IF($D$4="Forint",Paraméterek!$J$113,Paraméterek!$K$113),IF($D$4="Forint",Paraméterek!$J$113,Paraméterek!$K$113),IF(IF(ISBLANK($AY295),$AX295,$AY295)*Paraméterek!$J$112&gt;IF($D$4="Forint",Paraméterek!$J$114,Paraméterek!$K$114),IF($D$4="Forint",Paraméterek!$J$114,Paraméterek!$K$114),IF(ISBLANK($AY295),$AX295,$AY295)*Paraméterek!$J$112))),IF($D$4="Forint",0,2))</f>
        <v>0</v>
      </c>
      <c r="BA295" s="13">
        <f ca="1">$AT295+$AV295-$AW295-IF(ROUNDDOWN(IF(ISBLANK($AY295),$AX295,$AY295),IF($D$4="Forint",0,2))&gt;$AT295+$AV295-$AW295-IF($D$4="Forint",Paraméterek!$J$114,Paraméterek!$K$114),0,ROUNDDOWN(IF(ISBLANK($AY295),$AX295,$AY295),IF($D$4="Forint",0,2))-$AZ295)</f>
        <v>0</v>
      </c>
      <c r="BB295" s="13">
        <f t="shared" ca="1" si="99"/>
        <v>0</v>
      </c>
      <c r="BD295" s="32">
        <v>276</v>
      </c>
      <c r="BE295" s="32">
        <v>23</v>
      </c>
      <c r="BF295" s="32">
        <v>12</v>
      </c>
      <c r="BG295" s="34">
        <f t="shared" ca="1" si="108"/>
        <v>2042</v>
      </c>
      <c r="BH295" s="32" t="str">
        <f ca="1">IF(MOD(MONTH($D$14)+$BD295-1,12)=Paraméterek!$C$288,"Igen","")</f>
        <v/>
      </c>
      <c r="BI295" s="13">
        <f ca="1">IF($BH295="Igen",MIN(ROUNDDOWN((SUMIF($BG$20:$BG$1027,$BG295-1,$K$20:$K$1027)-SUMIF($BG$20:$BG$1027,$BG295-1,$I$20:$I$1027))*Paraméterek!$C$289,IF($D$4="Forint",0,2)),IF($D$4="Forint",Paraméterek!$C$285,Paraméterek!$D$285)),0)</f>
        <v>0</v>
      </c>
      <c r="BJ295" s="13">
        <f t="shared" ca="1" si="100"/>
        <v>0</v>
      </c>
      <c r="BK295" s="13">
        <f t="shared" ca="1" si="109"/>
        <v>0</v>
      </c>
      <c r="BL295" s="33"/>
      <c r="BM295" s="13">
        <f t="shared" ca="1" si="101"/>
        <v>0</v>
      </c>
      <c r="BN295" s="13">
        <f ca="1">ROUNDUP(($BK295+$BM295)*VLOOKUP($BE295,Paraméterek!$P$38:$Q$38,2)/12*IF($D296="Nem",IF($M$13=0,1,$M$13),1),IF($D$4="Forint",0,2))</f>
        <v>0</v>
      </c>
      <c r="BO295" s="13">
        <f t="shared" ca="1" si="102"/>
        <v>0</v>
      </c>
      <c r="BP295" s="13">
        <f ca="1">IF($D296="Nem",$BO295,$BO295-ROUNDUP(SUM($BI$20:$BI295)*120%,IF($D$4="Forint",0,2)))</f>
        <v>0</v>
      </c>
    </row>
    <row r="296" spans="1:68" x14ac:dyDescent="0.2">
      <c r="A296" s="32">
        <v>277</v>
      </c>
      <c r="B296" s="32">
        <v>24</v>
      </c>
      <c r="C296" s="32">
        <v>1</v>
      </c>
      <c r="D296" s="32" t="str">
        <f t="shared" ca="1" si="88"/>
        <v>Nem</v>
      </c>
      <c r="E296" s="13">
        <f t="shared" ca="1" si="89"/>
        <v>0</v>
      </c>
      <c r="F296" s="13"/>
      <c r="G296" s="13">
        <f>Tranzakciók!$D$55</f>
        <v>0</v>
      </c>
      <c r="H296" s="13"/>
      <c r="I296" s="13">
        <f t="shared" ca="1" si="90"/>
        <v>0</v>
      </c>
      <c r="J296" s="13">
        <f t="shared" ca="1" si="91"/>
        <v>0</v>
      </c>
      <c r="K296" s="13">
        <f t="shared" ca="1" si="92"/>
        <v>0</v>
      </c>
      <c r="L296" s="13" t="e">
        <f ca="1">ROUNDUP(IF($D$2="Egyszeri",$E296,IF($D$2="Havi",SUM($E$20:$E$31),IF(MOD($C296,$M$1)-1=0,SUM($E$20:$E$31),0))/12*$M$1)*VLOOKUP($B296,Paraméterek!$I$28:$P$31,IF($D$2="Egyszeri",8,HLOOKUP(ROUNDUP($M$11+$M$13,0),Paraméterek!$J$26:$O$27,2))),IF($D$4="Forint",0,2))</f>
        <v>#N/A</v>
      </c>
      <c r="M296" s="13">
        <f t="shared" ca="1" si="93"/>
        <v>0</v>
      </c>
      <c r="N296" s="13">
        <f t="shared" ca="1" si="103"/>
        <v>0</v>
      </c>
      <c r="O296" s="13">
        <f ca="1">IF($D296="Igen",IF($W295&gt;=IF($D$4="Forint",Paraméterek!$J$121,Paraméterek!$K$121),0,IF($D$4="Forint",Paraméterek!$J$121,Paraméterek!$K$121)-$W295),0)</f>
        <v>0</v>
      </c>
      <c r="P296" s="13" t="e">
        <f ca="1">ROUNDUP($O296*VLOOKUP($M$4+$B296-1,Paraméterek!$H$58:$I$105,2,0)/Paraméterek!$I$56,IF($D$4="Forint",0,2))</f>
        <v>#N/A</v>
      </c>
      <c r="Q296" s="13">
        <f t="shared" ca="1" si="94"/>
        <v>0</v>
      </c>
      <c r="R296" s="33"/>
      <c r="S296" s="13" t="e">
        <f t="shared" ca="1" si="95"/>
        <v>#N/A</v>
      </c>
      <c r="T296" s="13" t="e">
        <f ca="1">ROUNDUP(($N296-$P296-$Q296+$S296)*VLOOKUP($B296,Paraméterek!$I$38:$K$39,IF($D$2="Egyszeri",3,2))/12*IF($D297="Nem",IF($M$13=0,1,$M$13),1),IF($D$4="Forint",0,2))</f>
        <v>#N/A</v>
      </c>
      <c r="U296" s="13"/>
      <c r="V296" s="13"/>
      <c r="W296" s="13" t="e">
        <f ca="1">$N296-$P296-$Q296+$S296-$T296-IF(ROUNDUP(IF(ISBLANK($V296),$U296*0,$V296)/IF($D$2="Egyszeri",VLOOKUP($B296+IF($C296=12,1,0),Paraméterek!$V$257:$W$262,2),IF($B296=1,1,VLOOKUP($B296+IF($C296=12,1,0),Paraméterek!$I$258:$T$278,HLOOKUP($M$11+1,Paraméterek!$J$256:$T$257,2)))),IF($D$4="Forint",0,2))&gt;$N296-$P296-$Q296+$S296-$T296-IF($D$4="Forint",Paraméterek!$C$216,Paraméterek!$D$216),0,ROUNDUP(IF(ISBLANK($V296),$U296*0,$V296)/IF($D$2="Egyszeri",VLOOKUP($B296+IF($C296=12,1,0),Paraméterek!$V$257:$W$262,2),IF($B296=1,1,VLOOKUP($B296+IF($C296=12,1,0),Paraméterek!$I$258:$T$278,HLOOKUP($M$11+1,Paraméterek!$J$256:$T$257,2)))),IF($D$4="Forint",0,2)))</f>
        <v>#N/A</v>
      </c>
      <c r="X296" s="13" t="e">
        <f ca="1">ROUNDDOWN($W296*IF($D$2="Egyszeri",VLOOKUP($B296+IF($C296=12,1,0),Paraméterek!$V$257:$W$262,2),VLOOKUP($B296+IF($C296=12,1,0),Paraméterek!$I$258:$T$278,HLOOKUP($M$11+1,Paraméterek!$I$256:$T$257,2))),IF($D$4="Forint",0,2))</f>
        <v>#N/A</v>
      </c>
      <c r="Z296" s="32">
        <v>277</v>
      </c>
      <c r="AA296" s="32">
        <v>24</v>
      </c>
      <c r="AB296" s="32">
        <v>1</v>
      </c>
      <c r="AC296" s="13">
        <f t="shared" ca="1" si="104"/>
        <v>0</v>
      </c>
      <c r="AD296" s="33"/>
      <c r="AE296" s="13">
        <f t="shared" ca="1" si="96"/>
        <v>0</v>
      </c>
      <c r="AF296" s="13">
        <f ca="1">ROUNDUP(($AC296+$AE296)*VLOOKUP($AA296,Paraméterek!$P$38:$Q$38,2)/12*IF($D297="Nem",IF($M$13=0,1,$M$13),1),IF($D$4="Forint",0,2))</f>
        <v>0</v>
      </c>
      <c r="AG296" s="13">
        <f ca="1">IF($D$2="Egyszeri",IF($D$7&gt;=IF($D$4="Forint",Paraméterek!$P$223,Paraméterek!$P$224),$D$7-IF($D$4="Forint",Paraméterek!$P$223,Paraméterek!$P$224),0),MIN(IF($AB296=12,AVERAGEIF($E$20:$E296,"&gt;0",$E$20:$E296)*12,0),SUM($E$20:$E$31)))</f>
        <v>0</v>
      </c>
      <c r="AH296" s="13">
        <f>IF($AA296=10,$AG296*IF($AB296=12,IF($AG296&lt;IF($D$4="Forint",Paraméterek!$L$223,Paraméterek!$L$224),0,VLOOKUP($AA296,Paraméterek!$K$226:$M$228,IF($AG296&lt;IF($D$4="Forint",Paraméterek!$M$223,Paraméterek!$M$224),2,3))),0),0)</f>
        <v>0</v>
      </c>
      <c r="AI296" s="13">
        <f ca="1">IF(AND($AA296=$M$11+1,$AB296=$M$12+1),SUMIF($AA$20:$AA$1027,$AA296,$AG$20:$AG$1027)*IF(SUMIF($AA$20:$AA$1027,$AA296,$AG$20:$AG$1027)&lt;IF($D$4="Forint",Paraméterek!$L$223,Paraméterek!$L$224),0,VLOOKUP($AA296,Paraméterek!$K$230:$M$250,IF(SUMIF($AA$20:$AA$1027,$AA296,$AG$20:$AG$1027)&lt;IF($D$4="Forint",Paraméterek!$M$223,Paraméterek!$M$224),2,3))),0)</f>
        <v>0</v>
      </c>
      <c r="AJ296" s="13">
        <f ca="1">IF(AND($AA296&gt;=5,MOD($AA296,5)=0),IF($AB296=12,VLOOKUP($AA296,Paraméterek!$O$225:$P$240,2),0),IF(OR($AA296=3,$AA296=4),IF($AB296=12,VLOOKUP($AA296,Paraméterek!$O$225:$P$240,2,0),0),0))*$AG296</f>
        <v>0</v>
      </c>
      <c r="AK296" s="13">
        <f t="shared" ca="1" si="97"/>
        <v>0</v>
      </c>
      <c r="AL296" s="13">
        <f t="shared" ca="1" si="105"/>
        <v>0</v>
      </c>
      <c r="AM296" s="13">
        <f t="shared" ca="1" si="106"/>
        <v>0</v>
      </c>
      <c r="AO296" s="32">
        <v>277</v>
      </c>
      <c r="AP296" s="32">
        <v>24</v>
      </c>
      <c r="AQ296" s="32">
        <v>1</v>
      </c>
      <c r="AR296" s="13">
        <f>Tranzakciók!$K$55</f>
        <v>0</v>
      </c>
      <c r="AS296" s="32"/>
      <c r="AT296" s="13">
        <f t="shared" ca="1" si="107"/>
        <v>0</v>
      </c>
      <c r="AU296" s="33"/>
      <c r="AV296" s="13">
        <f t="shared" ca="1" si="98"/>
        <v>0</v>
      </c>
      <c r="AW296" s="13">
        <f ca="1">ROUNDUP(($AT296+$AV296)*VLOOKUP($AP296,Paraméterek!$P$38:$Q$38,2)/12*IF($D297="Nem",IF($M$13=0,1,$M$13),1),IF($D$4="Forint",0,2))</f>
        <v>0</v>
      </c>
      <c r="AX296" s="13"/>
      <c r="AY296" s="13"/>
      <c r="AZ296" s="13">
        <f>ROUNDUP(IF(SUM($AX296:$AY296)=0,0,IF(IF(ISBLANK($AY296),$AX296,$AY296)*Paraméterek!$J$112&lt;IF($D$4="Forint",Paraméterek!$J$113,Paraméterek!$K$113),IF($D$4="Forint",Paraméterek!$J$113,Paraméterek!$K$113),IF(IF(ISBLANK($AY296),$AX296,$AY296)*Paraméterek!$J$112&gt;IF($D$4="Forint",Paraméterek!$J$114,Paraméterek!$K$114),IF($D$4="Forint",Paraméterek!$J$114,Paraméterek!$K$114),IF(ISBLANK($AY296),$AX296,$AY296)*Paraméterek!$J$112))),IF($D$4="Forint",0,2))</f>
        <v>0</v>
      </c>
      <c r="BA296" s="13">
        <f ca="1">$AT296+$AV296-$AW296-IF(ROUNDDOWN(IF(ISBLANK($AY296),$AX296,$AY296),IF($D$4="Forint",0,2))&gt;$AT296+$AV296-$AW296-IF($D$4="Forint",Paraméterek!$J$114,Paraméterek!$K$114),0,ROUNDDOWN(IF(ISBLANK($AY296),$AX296,$AY296),IF($D$4="Forint",0,2))-$AZ296)</f>
        <v>0</v>
      </c>
      <c r="BB296" s="13">
        <f t="shared" ca="1" si="99"/>
        <v>0</v>
      </c>
      <c r="BD296" s="32">
        <v>277</v>
      </c>
      <c r="BE296" s="32">
        <v>24</v>
      </c>
      <c r="BF296" s="32">
        <v>1</v>
      </c>
      <c r="BG296" s="34">
        <f t="shared" ca="1" si="108"/>
        <v>2042</v>
      </c>
      <c r="BH296" s="32" t="str">
        <f ca="1">IF(MOD(MONTH($D$14)+$BD296-1,12)=Paraméterek!$C$288,"Igen","")</f>
        <v/>
      </c>
      <c r="BI296" s="13">
        <f ca="1">IF($BH296="Igen",MIN(ROUNDDOWN((SUMIF($BG$20:$BG$1027,$BG296-1,$K$20:$K$1027)-SUMIF($BG$20:$BG$1027,$BG296-1,$I$20:$I$1027))*Paraméterek!$C$289,IF($D$4="Forint",0,2)),IF($D$4="Forint",Paraméterek!$C$285,Paraméterek!$D$285)),0)</f>
        <v>0</v>
      </c>
      <c r="BJ296" s="13">
        <f t="shared" ca="1" si="100"/>
        <v>0</v>
      </c>
      <c r="BK296" s="13">
        <f t="shared" ca="1" si="109"/>
        <v>0</v>
      </c>
      <c r="BL296" s="33"/>
      <c r="BM296" s="13">
        <f t="shared" ca="1" si="101"/>
        <v>0</v>
      </c>
      <c r="BN296" s="13">
        <f ca="1">ROUNDUP(($BK296+$BM296)*VLOOKUP($BE296,Paraméterek!$P$38:$Q$38,2)/12*IF($D297="Nem",IF($M$13=0,1,$M$13),1),IF($D$4="Forint",0,2))</f>
        <v>0</v>
      </c>
      <c r="BO296" s="13">
        <f t="shared" ca="1" si="102"/>
        <v>0</v>
      </c>
      <c r="BP296" s="13">
        <f ca="1">IF($D297="Nem",$BO296,$BO296-ROUNDUP(SUM($BI$20:$BI296)*120%,IF($D$4="Forint",0,2)))</f>
        <v>0</v>
      </c>
    </row>
    <row r="297" spans="1:68" x14ac:dyDescent="0.2">
      <c r="A297" s="32">
        <v>278</v>
      </c>
      <c r="B297" s="32">
        <v>24</v>
      </c>
      <c r="C297" s="32">
        <v>2</v>
      </c>
      <c r="D297" s="32" t="str">
        <f t="shared" ca="1" si="88"/>
        <v>Nem</v>
      </c>
      <c r="E297" s="13">
        <f t="shared" ca="1" si="89"/>
        <v>0</v>
      </c>
      <c r="F297" s="13"/>
      <c r="G297" s="13"/>
      <c r="H297" s="13"/>
      <c r="I297" s="13">
        <f t="shared" ca="1" si="90"/>
        <v>0</v>
      </c>
      <c r="J297" s="13">
        <f t="shared" ca="1" si="91"/>
        <v>0</v>
      </c>
      <c r="K297" s="13">
        <f t="shared" ca="1" si="92"/>
        <v>0</v>
      </c>
      <c r="L297" s="13" t="e">
        <f ca="1">ROUNDUP(IF($D$2="Egyszeri",$E297,IF($D$2="Havi",SUM($E$20:$E$31),IF(MOD($C297,$M$1)-1=0,SUM($E$20:$E$31),0))/12*$M$1)*VLOOKUP($B297,Paraméterek!$I$28:$P$31,IF($D$2="Egyszeri",8,HLOOKUP(ROUNDUP($M$11+$M$13,0),Paraméterek!$J$26:$O$27,2))),IF($D$4="Forint",0,2))</f>
        <v>#N/A</v>
      </c>
      <c r="M297" s="13">
        <f t="shared" ca="1" si="93"/>
        <v>0</v>
      </c>
      <c r="N297" s="13">
        <f t="shared" ca="1" si="103"/>
        <v>0</v>
      </c>
      <c r="O297" s="13">
        <f ca="1">IF($D297="Igen",IF($W296&gt;=IF($D$4="Forint",Paraméterek!$J$121,Paraméterek!$K$121),0,IF($D$4="Forint",Paraméterek!$J$121,Paraméterek!$K$121)-$W296),0)</f>
        <v>0</v>
      </c>
      <c r="P297" s="13" t="e">
        <f ca="1">ROUNDUP($O297*VLOOKUP($M$4+$B297-1,Paraméterek!$H$58:$I$105,2,0)/Paraméterek!$I$56,IF($D$4="Forint",0,2))</f>
        <v>#N/A</v>
      </c>
      <c r="Q297" s="13">
        <f t="shared" ca="1" si="94"/>
        <v>0</v>
      </c>
      <c r="R297" s="33"/>
      <c r="S297" s="13" t="e">
        <f t="shared" ca="1" si="95"/>
        <v>#N/A</v>
      </c>
      <c r="T297" s="13" t="e">
        <f ca="1">ROUNDUP(($N297-$P297-$Q297+$S297)*VLOOKUP($B297,Paraméterek!$I$38:$K$39,IF($D$2="Egyszeri",3,2))/12*IF($D298="Nem",IF($M$13=0,1,$M$13),1),IF($D$4="Forint",0,2))</f>
        <v>#N/A</v>
      </c>
      <c r="U297" s="13"/>
      <c r="V297" s="13"/>
      <c r="W297" s="13" t="e">
        <f ca="1">$N297-$P297-$Q297+$S297-$T297-IF(ROUNDUP(IF(ISBLANK($V297),$U297*0,$V297)/IF($D$2="Egyszeri",VLOOKUP($B297+IF($C297=12,1,0),Paraméterek!$V$257:$W$262,2),IF($B297=1,1,VLOOKUP($B297+IF($C297=12,1,0),Paraméterek!$I$258:$T$278,HLOOKUP($M$11+1,Paraméterek!$J$256:$T$257,2)))),IF($D$4="Forint",0,2))&gt;$N297-$P297-$Q297+$S297-$T297-IF($D$4="Forint",Paraméterek!$C$216,Paraméterek!$D$216),0,ROUNDUP(IF(ISBLANK($V297),$U297*0,$V297)/IF($D$2="Egyszeri",VLOOKUP($B297+IF($C297=12,1,0),Paraméterek!$V$257:$W$262,2),IF($B297=1,1,VLOOKUP($B297+IF($C297=12,1,0),Paraméterek!$I$258:$T$278,HLOOKUP($M$11+1,Paraméterek!$J$256:$T$257,2)))),IF($D$4="Forint",0,2)))</f>
        <v>#N/A</v>
      </c>
      <c r="X297" s="13" t="e">
        <f ca="1">ROUNDDOWN($W297*IF($D$2="Egyszeri",VLOOKUP($B297+IF($C297=12,1,0),Paraméterek!$V$257:$W$262,2),VLOOKUP($B297+IF($C297=12,1,0),Paraméterek!$I$258:$T$278,HLOOKUP($M$11+1,Paraméterek!$I$256:$T$257,2))),IF($D$4="Forint",0,2))</f>
        <v>#N/A</v>
      </c>
      <c r="Z297" s="32">
        <v>278</v>
      </c>
      <c r="AA297" s="32">
        <v>24</v>
      </c>
      <c r="AB297" s="32">
        <v>2</v>
      </c>
      <c r="AC297" s="13">
        <f t="shared" ca="1" si="104"/>
        <v>0</v>
      </c>
      <c r="AD297" s="33"/>
      <c r="AE297" s="13">
        <f t="shared" ca="1" si="96"/>
        <v>0</v>
      </c>
      <c r="AF297" s="13">
        <f ca="1">ROUNDUP(($AC297+$AE297)*VLOOKUP($AA297,Paraméterek!$P$38:$Q$38,2)/12*IF($D298="Nem",IF($M$13=0,1,$M$13),1),IF($D$4="Forint",0,2))</f>
        <v>0</v>
      </c>
      <c r="AG297" s="13">
        <f ca="1">IF($D$2="Egyszeri",IF($D$7&gt;=IF($D$4="Forint",Paraméterek!$P$223,Paraméterek!$P$224),$D$7-IF($D$4="Forint",Paraméterek!$P$223,Paraméterek!$P$224),0),MIN(IF($AB297=12,AVERAGEIF($E$20:$E297,"&gt;0",$E$20:$E297)*12,0),SUM($E$20:$E$31)))</f>
        <v>0</v>
      </c>
      <c r="AH297" s="13">
        <f>IF($AA297=10,$AG297*IF($AB297=12,IF($AG297&lt;IF($D$4="Forint",Paraméterek!$L$223,Paraméterek!$L$224),0,VLOOKUP($AA297,Paraméterek!$K$226:$M$228,IF($AG297&lt;IF($D$4="Forint",Paraméterek!$M$223,Paraméterek!$M$224),2,3))),0),0)</f>
        <v>0</v>
      </c>
      <c r="AI297" s="13">
        <f ca="1">IF(AND($AA297=$M$11+1,$AB297=$M$12+1),SUMIF($AA$20:$AA$1027,$AA297,$AG$20:$AG$1027)*IF(SUMIF($AA$20:$AA$1027,$AA297,$AG$20:$AG$1027)&lt;IF($D$4="Forint",Paraméterek!$L$223,Paraméterek!$L$224),0,VLOOKUP($AA297,Paraméterek!$K$230:$M$250,IF(SUMIF($AA$20:$AA$1027,$AA297,$AG$20:$AG$1027)&lt;IF($D$4="Forint",Paraméterek!$M$223,Paraméterek!$M$224),2,3))),0)</f>
        <v>0</v>
      </c>
      <c r="AJ297" s="13">
        <f ca="1">IF(AND($AA297&gt;=5,MOD($AA297,5)=0),IF($AB297=12,VLOOKUP($AA297,Paraméterek!$O$225:$P$240,2),0),IF(OR($AA297=3,$AA297=4),IF($AB297=12,VLOOKUP($AA297,Paraméterek!$O$225:$P$240,2,0),0),0))*$AG297</f>
        <v>0</v>
      </c>
      <c r="AK297" s="13">
        <f t="shared" ca="1" si="97"/>
        <v>0</v>
      </c>
      <c r="AL297" s="13">
        <f t="shared" ca="1" si="105"/>
        <v>0</v>
      </c>
      <c r="AM297" s="13">
        <f t="shared" ca="1" si="106"/>
        <v>0</v>
      </c>
      <c r="AO297" s="32">
        <v>278</v>
      </c>
      <c r="AP297" s="32">
        <v>24</v>
      </c>
      <c r="AQ297" s="32">
        <v>2</v>
      </c>
      <c r="AR297" s="13"/>
      <c r="AS297" s="32"/>
      <c r="AT297" s="13">
        <f t="shared" ca="1" si="107"/>
        <v>0</v>
      </c>
      <c r="AU297" s="33"/>
      <c r="AV297" s="13">
        <f t="shared" ca="1" si="98"/>
        <v>0</v>
      </c>
      <c r="AW297" s="13">
        <f ca="1">ROUNDUP(($AT297+$AV297)*VLOOKUP($AP297,Paraméterek!$P$38:$Q$38,2)/12*IF($D298="Nem",IF($M$13=0,1,$M$13),1),IF($D$4="Forint",0,2))</f>
        <v>0</v>
      </c>
      <c r="AX297" s="13"/>
      <c r="AY297" s="13"/>
      <c r="AZ297" s="13">
        <f>ROUNDUP(IF(SUM($AX297:$AY297)=0,0,IF(IF(ISBLANK($AY297),$AX297,$AY297)*Paraméterek!$J$112&lt;IF($D$4="Forint",Paraméterek!$J$113,Paraméterek!$K$113),IF($D$4="Forint",Paraméterek!$J$113,Paraméterek!$K$113),IF(IF(ISBLANK($AY297),$AX297,$AY297)*Paraméterek!$J$112&gt;IF($D$4="Forint",Paraméterek!$J$114,Paraméterek!$K$114),IF($D$4="Forint",Paraméterek!$J$114,Paraméterek!$K$114),IF(ISBLANK($AY297),$AX297,$AY297)*Paraméterek!$J$112))),IF($D$4="Forint",0,2))</f>
        <v>0</v>
      </c>
      <c r="BA297" s="13">
        <f ca="1">$AT297+$AV297-$AW297-IF(ROUNDDOWN(IF(ISBLANK($AY297),$AX297,$AY297),IF($D$4="Forint",0,2))&gt;$AT297+$AV297-$AW297-IF($D$4="Forint",Paraméterek!$J$114,Paraméterek!$K$114),0,ROUNDDOWN(IF(ISBLANK($AY297),$AX297,$AY297),IF($D$4="Forint",0,2))-$AZ297)</f>
        <v>0</v>
      </c>
      <c r="BB297" s="13">
        <f t="shared" ca="1" si="99"/>
        <v>0</v>
      </c>
      <c r="BD297" s="32">
        <v>278</v>
      </c>
      <c r="BE297" s="32">
        <v>24</v>
      </c>
      <c r="BF297" s="32">
        <v>2</v>
      </c>
      <c r="BG297" s="34">
        <f t="shared" ca="1" si="108"/>
        <v>2042</v>
      </c>
      <c r="BH297" s="32" t="str">
        <f ca="1">IF(MOD(MONTH($D$14)+$BD297-1,12)=Paraméterek!$C$288,"Igen","")</f>
        <v>Igen</v>
      </c>
      <c r="BI297" s="13">
        <f ca="1">IF($BH297="Igen",MIN(ROUNDDOWN((SUMIF($BG$20:$BG$1027,$BG297-1,$K$20:$K$1027)-SUMIF($BG$20:$BG$1027,$BG297-1,$I$20:$I$1027))*Paraméterek!$C$289,IF($D$4="Forint",0,2)),IF($D$4="Forint",Paraméterek!$C$285,Paraméterek!$D$285)),0)</f>
        <v>0</v>
      </c>
      <c r="BJ297" s="13">
        <f t="shared" ca="1" si="100"/>
        <v>0</v>
      </c>
      <c r="BK297" s="13">
        <f t="shared" ca="1" si="109"/>
        <v>0</v>
      </c>
      <c r="BL297" s="33"/>
      <c r="BM297" s="13">
        <f t="shared" ca="1" si="101"/>
        <v>0</v>
      </c>
      <c r="BN297" s="13">
        <f ca="1">ROUNDUP(($BK297+$BM297)*VLOOKUP($BE297,Paraméterek!$P$38:$Q$38,2)/12*IF($D298="Nem",IF($M$13=0,1,$M$13),1),IF($D$4="Forint",0,2))</f>
        <v>0</v>
      </c>
      <c r="BO297" s="13">
        <f t="shared" ca="1" si="102"/>
        <v>0</v>
      </c>
      <c r="BP297" s="13">
        <f ca="1">IF($D298="Nem",$BO297,$BO297-ROUNDUP(SUM($BI$20:$BI297)*120%,IF($D$4="Forint",0,2)))</f>
        <v>0</v>
      </c>
    </row>
    <row r="298" spans="1:68" x14ac:dyDescent="0.2">
      <c r="A298" s="32">
        <v>279</v>
      </c>
      <c r="B298" s="32">
        <v>24</v>
      </c>
      <c r="C298" s="32">
        <v>3</v>
      </c>
      <c r="D298" s="32" t="str">
        <f t="shared" ca="1" si="88"/>
        <v>Nem</v>
      </c>
      <c r="E298" s="13">
        <f t="shared" ca="1" si="89"/>
        <v>0</v>
      </c>
      <c r="F298" s="13"/>
      <c r="G298" s="13"/>
      <c r="H298" s="13"/>
      <c r="I298" s="13">
        <f t="shared" ca="1" si="90"/>
        <v>0</v>
      </c>
      <c r="J298" s="13">
        <f t="shared" ca="1" si="91"/>
        <v>0</v>
      </c>
      <c r="K298" s="13">
        <f t="shared" ca="1" si="92"/>
        <v>0</v>
      </c>
      <c r="L298" s="13" t="e">
        <f ca="1">ROUNDUP(IF($D$2="Egyszeri",$E298,IF($D$2="Havi",SUM($E$20:$E$31),IF(MOD($C298,$M$1)-1=0,SUM($E$20:$E$31),0))/12*$M$1)*VLOOKUP($B298,Paraméterek!$I$28:$P$31,IF($D$2="Egyszeri",8,HLOOKUP(ROUNDUP($M$11+$M$13,0),Paraméterek!$J$26:$O$27,2))),IF($D$4="Forint",0,2))</f>
        <v>#N/A</v>
      </c>
      <c r="M298" s="13">
        <f t="shared" ca="1" si="93"/>
        <v>0</v>
      </c>
      <c r="N298" s="13">
        <f t="shared" ca="1" si="103"/>
        <v>0</v>
      </c>
      <c r="O298" s="13">
        <f ca="1">IF($D298="Igen",IF($W297&gt;=IF($D$4="Forint",Paraméterek!$J$121,Paraméterek!$K$121),0,IF($D$4="Forint",Paraméterek!$J$121,Paraméterek!$K$121)-$W297),0)</f>
        <v>0</v>
      </c>
      <c r="P298" s="13" t="e">
        <f ca="1">ROUNDUP($O298*VLOOKUP($M$4+$B298-1,Paraméterek!$H$58:$I$105,2,0)/Paraméterek!$I$56,IF($D$4="Forint",0,2))</f>
        <v>#N/A</v>
      </c>
      <c r="Q298" s="13">
        <f t="shared" ca="1" si="94"/>
        <v>0</v>
      </c>
      <c r="R298" s="33"/>
      <c r="S298" s="13" t="e">
        <f t="shared" ca="1" si="95"/>
        <v>#N/A</v>
      </c>
      <c r="T298" s="13" t="e">
        <f ca="1">ROUNDUP(($N298-$P298-$Q298+$S298)*VLOOKUP($B298,Paraméterek!$I$38:$K$39,IF($D$2="Egyszeri",3,2))/12*IF($D299="Nem",IF($M$13=0,1,$M$13),1),IF($D$4="Forint",0,2))</f>
        <v>#N/A</v>
      </c>
      <c r="U298" s="13"/>
      <c r="V298" s="13"/>
      <c r="W298" s="13" t="e">
        <f ca="1">$N298-$P298-$Q298+$S298-$T298-IF(ROUNDUP(IF(ISBLANK($V298),$U298*0,$V298)/IF($D$2="Egyszeri",VLOOKUP($B298+IF($C298=12,1,0),Paraméterek!$V$257:$W$262,2),IF($B298=1,1,VLOOKUP($B298+IF($C298=12,1,0),Paraméterek!$I$258:$T$278,HLOOKUP($M$11+1,Paraméterek!$J$256:$T$257,2)))),IF($D$4="Forint",0,2))&gt;$N298-$P298-$Q298+$S298-$T298-IF($D$4="Forint",Paraméterek!$C$216,Paraméterek!$D$216),0,ROUNDUP(IF(ISBLANK($V298),$U298*0,$V298)/IF($D$2="Egyszeri",VLOOKUP($B298+IF($C298=12,1,0),Paraméterek!$V$257:$W$262,2),IF($B298=1,1,VLOOKUP($B298+IF($C298=12,1,0),Paraméterek!$I$258:$T$278,HLOOKUP($M$11+1,Paraméterek!$J$256:$T$257,2)))),IF($D$4="Forint",0,2)))</f>
        <v>#N/A</v>
      </c>
      <c r="X298" s="13" t="e">
        <f ca="1">ROUNDDOWN($W298*IF($D$2="Egyszeri",VLOOKUP($B298+IF($C298=12,1,0),Paraméterek!$V$257:$W$262,2),VLOOKUP($B298+IF($C298=12,1,0),Paraméterek!$I$258:$T$278,HLOOKUP($M$11+1,Paraméterek!$I$256:$T$257,2))),IF($D$4="Forint",0,2))</f>
        <v>#N/A</v>
      </c>
      <c r="Z298" s="32">
        <v>279</v>
      </c>
      <c r="AA298" s="32">
        <v>24</v>
      </c>
      <c r="AB298" s="32">
        <v>3</v>
      </c>
      <c r="AC298" s="13">
        <f t="shared" ca="1" si="104"/>
        <v>0</v>
      </c>
      <c r="AD298" s="33"/>
      <c r="AE298" s="13">
        <f t="shared" ca="1" si="96"/>
        <v>0</v>
      </c>
      <c r="AF298" s="13">
        <f ca="1">ROUNDUP(($AC298+$AE298)*VLOOKUP($AA298,Paraméterek!$P$38:$Q$38,2)/12*IF($D299="Nem",IF($M$13=0,1,$M$13),1),IF($D$4="Forint",0,2))</f>
        <v>0</v>
      </c>
      <c r="AG298" s="13">
        <f ca="1">IF($D$2="Egyszeri",IF($D$7&gt;=IF($D$4="Forint",Paraméterek!$P$223,Paraméterek!$P$224),$D$7-IF($D$4="Forint",Paraméterek!$P$223,Paraméterek!$P$224),0),MIN(IF($AB298=12,AVERAGEIF($E$20:$E298,"&gt;0",$E$20:$E298)*12,0),SUM($E$20:$E$31)))</f>
        <v>0</v>
      </c>
      <c r="AH298" s="13">
        <f>IF($AA298=10,$AG298*IF($AB298=12,IF($AG298&lt;IF($D$4="Forint",Paraméterek!$L$223,Paraméterek!$L$224),0,VLOOKUP($AA298,Paraméterek!$K$226:$M$228,IF($AG298&lt;IF($D$4="Forint",Paraméterek!$M$223,Paraméterek!$M$224),2,3))),0),0)</f>
        <v>0</v>
      </c>
      <c r="AI298" s="13">
        <f ca="1">IF(AND($AA298=$M$11+1,$AB298=$M$12+1),SUMIF($AA$20:$AA$1027,$AA298,$AG$20:$AG$1027)*IF(SUMIF($AA$20:$AA$1027,$AA298,$AG$20:$AG$1027)&lt;IF($D$4="Forint",Paraméterek!$L$223,Paraméterek!$L$224),0,VLOOKUP($AA298,Paraméterek!$K$230:$M$250,IF(SUMIF($AA$20:$AA$1027,$AA298,$AG$20:$AG$1027)&lt;IF($D$4="Forint",Paraméterek!$M$223,Paraméterek!$M$224),2,3))),0)</f>
        <v>0</v>
      </c>
      <c r="AJ298" s="13">
        <f ca="1">IF(AND($AA298&gt;=5,MOD($AA298,5)=0),IF($AB298=12,VLOOKUP($AA298,Paraméterek!$O$225:$P$240,2),0),IF(OR($AA298=3,$AA298=4),IF($AB298=12,VLOOKUP($AA298,Paraméterek!$O$225:$P$240,2,0),0),0))*$AG298</f>
        <v>0</v>
      </c>
      <c r="AK298" s="13">
        <f t="shared" ca="1" si="97"/>
        <v>0</v>
      </c>
      <c r="AL298" s="13">
        <f t="shared" ca="1" si="105"/>
        <v>0</v>
      </c>
      <c r="AM298" s="13">
        <f t="shared" ca="1" si="106"/>
        <v>0</v>
      </c>
      <c r="AO298" s="32">
        <v>279</v>
      </c>
      <c r="AP298" s="32">
        <v>24</v>
      </c>
      <c r="AQ298" s="32">
        <v>3</v>
      </c>
      <c r="AR298" s="13"/>
      <c r="AS298" s="32"/>
      <c r="AT298" s="13">
        <f t="shared" ca="1" si="107"/>
        <v>0</v>
      </c>
      <c r="AU298" s="33"/>
      <c r="AV298" s="13">
        <f t="shared" ca="1" si="98"/>
        <v>0</v>
      </c>
      <c r="AW298" s="13">
        <f ca="1">ROUNDUP(($AT298+$AV298)*VLOOKUP($AP298,Paraméterek!$P$38:$Q$38,2)/12*IF($D299="Nem",IF($M$13=0,1,$M$13),1),IF($D$4="Forint",0,2))</f>
        <v>0</v>
      </c>
      <c r="AX298" s="13"/>
      <c r="AY298" s="13"/>
      <c r="AZ298" s="13">
        <f>ROUNDUP(IF(SUM($AX298:$AY298)=0,0,IF(IF(ISBLANK($AY298),$AX298,$AY298)*Paraméterek!$J$112&lt;IF($D$4="Forint",Paraméterek!$J$113,Paraméterek!$K$113),IF($D$4="Forint",Paraméterek!$J$113,Paraméterek!$K$113),IF(IF(ISBLANK($AY298),$AX298,$AY298)*Paraméterek!$J$112&gt;IF($D$4="Forint",Paraméterek!$J$114,Paraméterek!$K$114),IF($D$4="Forint",Paraméterek!$J$114,Paraméterek!$K$114),IF(ISBLANK($AY298),$AX298,$AY298)*Paraméterek!$J$112))),IF($D$4="Forint",0,2))</f>
        <v>0</v>
      </c>
      <c r="BA298" s="13">
        <f ca="1">$AT298+$AV298-$AW298-IF(ROUNDDOWN(IF(ISBLANK($AY298),$AX298,$AY298),IF($D$4="Forint",0,2))&gt;$AT298+$AV298-$AW298-IF($D$4="Forint",Paraméterek!$J$114,Paraméterek!$K$114),0,ROUNDDOWN(IF(ISBLANK($AY298),$AX298,$AY298),IF($D$4="Forint",0,2))-$AZ298)</f>
        <v>0</v>
      </c>
      <c r="BB298" s="13">
        <f t="shared" ca="1" si="99"/>
        <v>0</v>
      </c>
      <c r="BD298" s="32">
        <v>279</v>
      </c>
      <c r="BE298" s="32">
        <v>24</v>
      </c>
      <c r="BF298" s="32">
        <v>3</v>
      </c>
      <c r="BG298" s="34">
        <f t="shared" ca="1" si="108"/>
        <v>2042</v>
      </c>
      <c r="BH298" s="32" t="str">
        <f ca="1">IF(MOD(MONTH($D$14)+$BD298-1,12)=Paraméterek!$C$288,"Igen","")</f>
        <v/>
      </c>
      <c r="BI298" s="13">
        <f ca="1">IF($BH298="Igen",MIN(ROUNDDOWN((SUMIF($BG$20:$BG$1027,$BG298-1,$K$20:$K$1027)-SUMIF($BG$20:$BG$1027,$BG298-1,$I$20:$I$1027))*Paraméterek!$C$289,IF($D$4="Forint",0,2)),IF($D$4="Forint",Paraméterek!$C$285,Paraméterek!$D$285)),0)</f>
        <v>0</v>
      </c>
      <c r="BJ298" s="13">
        <f t="shared" ca="1" si="100"/>
        <v>0</v>
      </c>
      <c r="BK298" s="13">
        <f t="shared" ca="1" si="109"/>
        <v>0</v>
      </c>
      <c r="BL298" s="33"/>
      <c r="BM298" s="13">
        <f t="shared" ca="1" si="101"/>
        <v>0</v>
      </c>
      <c r="BN298" s="13">
        <f ca="1">ROUNDUP(($BK298+$BM298)*VLOOKUP($BE298,Paraméterek!$P$38:$Q$38,2)/12*IF($D299="Nem",IF($M$13=0,1,$M$13),1),IF($D$4="Forint",0,2))</f>
        <v>0</v>
      </c>
      <c r="BO298" s="13">
        <f t="shared" ca="1" si="102"/>
        <v>0</v>
      </c>
      <c r="BP298" s="13">
        <f ca="1">IF($D299="Nem",$BO298,$BO298-ROUNDUP(SUM($BI$20:$BI298)*120%,IF($D$4="Forint",0,2)))</f>
        <v>0</v>
      </c>
    </row>
    <row r="299" spans="1:68" x14ac:dyDescent="0.2">
      <c r="A299" s="32">
        <v>280</v>
      </c>
      <c r="B299" s="32">
        <v>24</v>
      </c>
      <c r="C299" s="32">
        <v>4</v>
      </c>
      <c r="D299" s="32" t="str">
        <f t="shared" ca="1" si="88"/>
        <v>Nem</v>
      </c>
      <c r="E299" s="13">
        <f t="shared" ca="1" si="89"/>
        <v>0</v>
      </c>
      <c r="F299" s="13"/>
      <c r="G299" s="13"/>
      <c r="H299" s="13"/>
      <c r="I299" s="13">
        <f t="shared" ca="1" si="90"/>
        <v>0</v>
      </c>
      <c r="J299" s="13">
        <f t="shared" ca="1" si="91"/>
        <v>0</v>
      </c>
      <c r="K299" s="13">
        <f t="shared" ca="1" si="92"/>
        <v>0</v>
      </c>
      <c r="L299" s="13" t="e">
        <f ca="1">ROUNDUP(IF($D$2="Egyszeri",$E299,IF($D$2="Havi",SUM($E$20:$E$31),IF(MOD($C299,$M$1)-1=0,SUM($E$20:$E$31),0))/12*$M$1)*VLOOKUP($B299,Paraméterek!$I$28:$P$31,IF($D$2="Egyszeri",8,HLOOKUP(ROUNDUP($M$11+$M$13,0),Paraméterek!$J$26:$O$27,2))),IF($D$4="Forint",0,2))</f>
        <v>#N/A</v>
      </c>
      <c r="M299" s="13">
        <f t="shared" ca="1" si="93"/>
        <v>0</v>
      </c>
      <c r="N299" s="13">
        <f t="shared" ca="1" si="103"/>
        <v>0</v>
      </c>
      <c r="O299" s="13">
        <f ca="1">IF($D299="Igen",IF($W298&gt;=IF($D$4="Forint",Paraméterek!$J$121,Paraméterek!$K$121),0,IF($D$4="Forint",Paraméterek!$J$121,Paraméterek!$K$121)-$W298),0)</f>
        <v>0</v>
      </c>
      <c r="P299" s="13" t="e">
        <f ca="1">ROUNDUP($O299*VLOOKUP($M$4+$B299-1,Paraméterek!$H$58:$I$105,2,0)/Paraméterek!$I$56,IF($D$4="Forint",0,2))</f>
        <v>#N/A</v>
      </c>
      <c r="Q299" s="13">
        <f t="shared" ca="1" si="94"/>
        <v>0</v>
      </c>
      <c r="R299" s="33"/>
      <c r="S299" s="13" t="e">
        <f t="shared" ca="1" si="95"/>
        <v>#N/A</v>
      </c>
      <c r="T299" s="13" t="e">
        <f ca="1">ROUNDUP(($N299-$P299-$Q299+$S299)*VLOOKUP($B299,Paraméterek!$I$38:$K$39,IF($D$2="Egyszeri",3,2))/12*IF($D300="Nem",IF($M$13=0,1,$M$13),1),IF($D$4="Forint",0,2))</f>
        <v>#N/A</v>
      </c>
      <c r="U299" s="13"/>
      <c r="V299" s="13"/>
      <c r="W299" s="13" t="e">
        <f ca="1">$N299-$P299-$Q299+$S299-$T299-IF(ROUNDUP(IF(ISBLANK($V299),$U299*0,$V299)/IF($D$2="Egyszeri",VLOOKUP($B299+IF($C299=12,1,0),Paraméterek!$V$257:$W$262,2),IF($B299=1,1,VLOOKUP($B299+IF($C299=12,1,0),Paraméterek!$I$258:$T$278,HLOOKUP($M$11+1,Paraméterek!$J$256:$T$257,2)))),IF($D$4="Forint",0,2))&gt;$N299-$P299-$Q299+$S299-$T299-IF($D$4="Forint",Paraméterek!$C$216,Paraméterek!$D$216),0,ROUNDUP(IF(ISBLANK($V299),$U299*0,$V299)/IF($D$2="Egyszeri",VLOOKUP($B299+IF($C299=12,1,0),Paraméterek!$V$257:$W$262,2),IF($B299=1,1,VLOOKUP($B299+IF($C299=12,1,0),Paraméterek!$I$258:$T$278,HLOOKUP($M$11+1,Paraméterek!$J$256:$T$257,2)))),IF($D$4="Forint",0,2)))</f>
        <v>#N/A</v>
      </c>
      <c r="X299" s="13" t="e">
        <f ca="1">ROUNDDOWN($W299*IF($D$2="Egyszeri",VLOOKUP($B299+IF($C299=12,1,0),Paraméterek!$V$257:$W$262,2),VLOOKUP($B299+IF($C299=12,1,0),Paraméterek!$I$258:$T$278,HLOOKUP($M$11+1,Paraméterek!$I$256:$T$257,2))),IF($D$4="Forint",0,2))</f>
        <v>#N/A</v>
      </c>
      <c r="Z299" s="32">
        <v>280</v>
      </c>
      <c r="AA299" s="32">
        <v>24</v>
      </c>
      <c r="AB299" s="32">
        <v>4</v>
      </c>
      <c r="AC299" s="13">
        <f t="shared" ca="1" si="104"/>
        <v>0</v>
      </c>
      <c r="AD299" s="33"/>
      <c r="AE299" s="13">
        <f t="shared" ca="1" si="96"/>
        <v>0</v>
      </c>
      <c r="AF299" s="13">
        <f ca="1">ROUNDUP(($AC299+$AE299)*VLOOKUP($AA299,Paraméterek!$P$38:$Q$38,2)/12*IF($D300="Nem",IF($M$13=0,1,$M$13),1),IF($D$4="Forint",0,2))</f>
        <v>0</v>
      </c>
      <c r="AG299" s="13">
        <f ca="1">IF($D$2="Egyszeri",IF($D$7&gt;=IF($D$4="Forint",Paraméterek!$P$223,Paraméterek!$P$224),$D$7-IF($D$4="Forint",Paraméterek!$P$223,Paraméterek!$P$224),0),MIN(IF($AB299=12,AVERAGEIF($E$20:$E299,"&gt;0",$E$20:$E299)*12,0),SUM($E$20:$E$31)))</f>
        <v>0</v>
      </c>
      <c r="AH299" s="13">
        <f>IF($AA299=10,$AG299*IF($AB299=12,IF($AG299&lt;IF($D$4="Forint",Paraméterek!$L$223,Paraméterek!$L$224),0,VLOOKUP($AA299,Paraméterek!$K$226:$M$228,IF($AG299&lt;IF($D$4="Forint",Paraméterek!$M$223,Paraméterek!$M$224),2,3))),0),0)</f>
        <v>0</v>
      </c>
      <c r="AI299" s="13">
        <f ca="1">IF(AND($AA299=$M$11+1,$AB299=$M$12+1),SUMIF($AA$20:$AA$1027,$AA299,$AG$20:$AG$1027)*IF(SUMIF($AA$20:$AA$1027,$AA299,$AG$20:$AG$1027)&lt;IF($D$4="Forint",Paraméterek!$L$223,Paraméterek!$L$224),0,VLOOKUP($AA299,Paraméterek!$K$230:$M$250,IF(SUMIF($AA$20:$AA$1027,$AA299,$AG$20:$AG$1027)&lt;IF($D$4="Forint",Paraméterek!$M$223,Paraméterek!$M$224),2,3))),0)</f>
        <v>0</v>
      </c>
      <c r="AJ299" s="13">
        <f ca="1">IF(AND($AA299&gt;=5,MOD($AA299,5)=0),IF($AB299=12,VLOOKUP($AA299,Paraméterek!$O$225:$P$240,2),0),IF(OR($AA299=3,$AA299=4),IF($AB299=12,VLOOKUP($AA299,Paraméterek!$O$225:$P$240,2,0),0),0))*$AG299</f>
        <v>0</v>
      </c>
      <c r="AK299" s="13">
        <f t="shared" ca="1" si="97"/>
        <v>0</v>
      </c>
      <c r="AL299" s="13">
        <f t="shared" ca="1" si="105"/>
        <v>0</v>
      </c>
      <c r="AM299" s="13">
        <f t="shared" ca="1" si="106"/>
        <v>0</v>
      </c>
      <c r="AO299" s="32">
        <v>280</v>
      </c>
      <c r="AP299" s="32">
        <v>24</v>
      </c>
      <c r="AQ299" s="32">
        <v>4</v>
      </c>
      <c r="AR299" s="13"/>
      <c r="AS299" s="32"/>
      <c r="AT299" s="13">
        <f t="shared" ca="1" si="107"/>
        <v>0</v>
      </c>
      <c r="AU299" s="33"/>
      <c r="AV299" s="13">
        <f t="shared" ca="1" si="98"/>
        <v>0</v>
      </c>
      <c r="AW299" s="13">
        <f ca="1">ROUNDUP(($AT299+$AV299)*VLOOKUP($AP299,Paraméterek!$P$38:$Q$38,2)/12*IF($D300="Nem",IF($M$13=0,1,$M$13),1),IF($D$4="Forint",0,2))</f>
        <v>0</v>
      </c>
      <c r="AX299" s="13"/>
      <c r="AY299" s="13"/>
      <c r="AZ299" s="13">
        <f>ROUNDUP(IF(SUM($AX299:$AY299)=0,0,IF(IF(ISBLANK($AY299),$AX299,$AY299)*Paraméterek!$J$112&lt;IF($D$4="Forint",Paraméterek!$J$113,Paraméterek!$K$113),IF($D$4="Forint",Paraméterek!$J$113,Paraméterek!$K$113),IF(IF(ISBLANK($AY299),$AX299,$AY299)*Paraméterek!$J$112&gt;IF($D$4="Forint",Paraméterek!$J$114,Paraméterek!$K$114),IF($D$4="Forint",Paraméterek!$J$114,Paraméterek!$K$114),IF(ISBLANK($AY299),$AX299,$AY299)*Paraméterek!$J$112))),IF($D$4="Forint",0,2))</f>
        <v>0</v>
      </c>
      <c r="BA299" s="13">
        <f ca="1">$AT299+$AV299-$AW299-IF(ROUNDDOWN(IF(ISBLANK($AY299),$AX299,$AY299),IF($D$4="Forint",0,2))&gt;$AT299+$AV299-$AW299-IF($D$4="Forint",Paraméterek!$J$114,Paraméterek!$K$114),0,ROUNDDOWN(IF(ISBLANK($AY299),$AX299,$AY299),IF($D$4="Forint",0,2))-$AZ299)</f>
        <v>0</v>
      </c>
      <c r="BB299" s="13">
        <f t="shared" ca="1" si="99"/>
        <v>0</v>
      </c>
      <c r="BD299" s="32">
        <v>280</v>
      </c>
      <c r="BE299" s="32">
        <v>24</v>
      </c>
      <c r="BF299" s="32">
        <v>4</v>
      </c>
      <c r="BG299" s="34">
        <f t="shared" ca="1" si="108"/>
        <v>2042</v>
      </c>
      <c r="BH299" s="32" t="str">
        <f ca="1">IF(MOD(MONTH($D$14)+$BD299-1,12)=Paraméterek!$C$288,"Igen","")</f>
        <v/>
      </c>
      <c r="BI299" s="13">
        <f ca="1">IF($BH299="Igen",MIN(ROUNDDOWN((SUMIF($BG$20:$BG$1027,$BG299-1,$K$20:$K$1027)-SUMIF($BG$20:$BG$1027,$BG299-1,$I$20:$I$1027))*Paraméterek!$C$289,IF($D$4="Forint",0,2)),IF($D$4="Forint",Paraméterek!$C$285,Paraméterek!$D$285)),0)</f>
        <v>0</v>
      </c>
      <c r="BJ299" s="13">
        <f t="shared" ca="1" si="100"/>
        <v>0</v>
      </c>
      <c r="BK299" s="13">
        <f t="shared" ca="1" si="109"/>
        <v>0</v>
      </c>
      <c r="BL299" s="33"/>
      <c r="BM299" s="13">
        <f t="shared" ca="1" si="101"/>
        <v>0</v>
      </c>
      <c r="BN299" s="13">
        <f ca="1">ROUNDUP(($BK299+$BM299)*VLOOKUP($BE299,Paraméterek!$P$38:$Q$38,2)/12*IF($D300="Nem",IF($M$13=0,1,$M$13),1),IF($D$4="Forint",0,2))</f>
        <v>0</v>
      </c>
      <c r="BO299" s="13">
        <f t="shared" ca="1" si="102"/>
        <v>0</v>
      </c>
      <c r="BP299" s="13">
        <f ca="1">IF($D300="Nem",$BO299,$BO299-ROUNDUP(SUM($BI$20:$BI299)*120%,IF($D$4="Forint",0,2)))</f>
        <v>0</v>
      </c>
    </row>
    <row r="300" spans="1:68" x14ac:dyDescent="0.2">
      <c r="A300" s="32">
        <v>281</v>
      </c>
      <c r="B300" s="32">
        <v>24</v>
      </c>
      <c r="C300" s="32">
        <v>5</v>
      </c>
      <c r="D300" s="32" t="str">
        <f t="shared" ca="1" si="88"/>
        <v>Nem</v>
      </c>
      <c r="E300" s="13">
        <f t="shared" ca="1" si="89"/>
        <v>0</v>
      </c>
      <c r="F300" s="13"/>
      <c r="G300" s="13"/>
      <c r="H300" s="13"/>
      <c r="I300" s="13">
        <f t="shared" ca="1" si="90"/>
        <v>0</v>
      </c>
      <c r="J300" s="13">
        <f t="shared" ca="1" si="91"/>
        <v>0</v>
      </c>
      <c r="K300" s="13">
        <f t="shared" ca="1" si="92"/>
        <v>0</v>
      </c>
      <c r="L300" s="13" t="e">
        <f ca="1">ROUNDUP(IF($D$2="Egyszeri",$E300,IF($D$2="Havi",SUM($E$20:$E$31),IF(MOD($C300,$M$1)-1=0,SUM($E$20:$E$31),0))/12*$M$1)*VLOOKUP($B300,Paraméterek!$I$28:$P$31,IF($D$2="Egyszeri",8,HLOOKUP(ROUNDUP($M$11+$M$13,0),Paraméterek!$J$26:$O$27,2))),IF($D$4="Forint",0,2))</f>
        <v>#N/A</v>
      </c>
      <c r="M300" s="13">
        <f t="shared" ca="1" si="93"/>
        <v>0</v>
      </c>
      <c r="N300" s="13">
        <f t="shared" ca="1" si="103"/>
        <v>0</v>
      </c>
      <c r="O300" s="13">
        <f ca="1">IF($D300="Igen",IF($W299&gt;=IF($D$4="Forint",Paraméterek!$J$121,Paraméterek!$K$121),0,IF($D$4="Forint",Paraméterek!$J$121,Paraméterek!$K$121)-$W299),0)</f>
        <v>0</v>
      </c>
      <c r="P300" s="13" t="e">
        <f ca="1">ROUNDUP($O300*VLOOKUP($M$4+$B300-1,Paraméterek!$H$58:$I$105,2,0)/Paraméterek!$I$56,IF($D$4="Forint",0,2))</f>
        <v>#N/A</v>
      </c>
      <c r="Q300" s="13">
        <f t="shared" ca="1" si="94"/>
        <v>0</v>
      </c>
      <c r="R300" s="33"/>
      <c r="S300" s="13" t="e">
        <f t="shared" ca="1" si="95"/>
        <v>#N/A</v>
      </c>
      <c r="T300" s="13" t="e">
        <f ca="1">ROUNDUP(($N300-$P300-$Q300+$S300)*VLOOKUP($B300,Paraméterek!$I$38:$K$39,IF($D$2="Egyszeri",3,2))/12*IF($D301="Nem",IF($M$13=0,1,$M$13),1),IF($D$4="Forint",0,2))</f>
        <v>#N/A</v>
      </c>
      <c r="U300" s="13"/>
      <c r="V300" s="13"/>
      <c r="W300" s="13" t="e">
        <f ca="1">$N300-$P300-$Q300+$S300-$T300-IF(ROUNDUP(IF(ISBLANK($V300),$U300*0,$V300)/IF($D$2="Egyszeri",VLOOKUP($B300+IF($C300=12,1,0),Paraméterek!$V$257:$W$262,2),IF($B300=1,1,VLOOKUP($B300+IF($C300=12,1,0),Paraméterek!$I$258:$T$278,HLOOKUP($M$11+1,Paraméterek!$J$256:$T$257,2)))),IF($D$4="Forint",0,2))&gt;$N300-$P300-$Q300+$S300-$T300-IF($D$4="Forint",Paraméterek!$C$216,Paraméterek!$D$216),0,ROUNDUP(IF(ISBLANK($V300),$U300*0,$V300)/IF($D$2="Egyszeri",VLOOKUP($B300+IF($C300=12,1,0),Paraméterek!$V$257:$W$262,2),IF($B300=1,1,VLOOKUP($B300+IF($C300=12,1,0),Paraméterek!$I$258:$T$278,HLOOKUP($M$11+1,Paraméterek!$J$256:$T$257,2)))),IF($D$4="Forint",0,2)))</f>
        <v>#N/A</v>
      </c>
      <c r="X300" s="13" t="e">
        <f ca="1">ROUNDDOWN($W300*IF($D$2="Egyszeri",VLOOKUP($B300+IF($C300=12,1,0),Paraméterek!$V$257:$W$262,2),VLOOKUP($B300+IF($C300=12,1,0),Paraméterek!$I$258:$T$278,HLOOKUP($M$11+1,Paraméterek!$I$256:$T$257,2))),IF($D$4="Forint",0,2))</f>
        <v>#N/A</v>
      </c>
      <c r="Z300" s="32">
        <v>281</v>
      </c>
      <c r="AA300" s="32">
        <v>24</v>
      </c>
      <c r="AB300" s="32">
        <v>5</v>
      </c>
      <c r="AC300" s="13">
        <f t="shared" ca="1" si="104"/>
        <v>0</v>
      </c>
      <c r="AD300" s="33"/>
      <c r="AE300" s="13">
        <f t="shared" ca="1" si="96"/>
        <v>0</v>
      </c>
      <c r="AF300" s="13">
        <f ca="1">ROUNDUP(($AC300+$AE300)*VLOOKUP($AA300,Paraméterek!$P$38:$Q$38,2)/12*IF($D301="Nem",IF($M$13=0,1,$M$13),1),IF($D$4="Forint",0,2))</f>
        <v>0</v>
      </c>
      <c r="AG300" s="13">
        <f ca="1">IF($D$2="Egyszeri",IF($D$7&gt;=IF($D$4="Forint",Paraméterek!$P$223,Paraméterek!$P$224),$D$7-IF($D$4="Forint",Paraméterek!$P$223,Paraméterek!$P$224),0),MIN(IF($AB300=12,AVERAGEIF($E$20:$E300,"&gt;0",$E$20:$E300)*12,0),SUM($E$20:$E$31)))</f>
        <v>0</v>
      </c>
      <c r="AH300" s="13">
        <f>IF($AA300=10,$AG300*IF($AB300=12,IF($AG300&lt;IF($D$4="Forint",Paraméterek!$L$223,Paraméterek!$L$224),0,VLOOKUP($AA300,Paraméterek!$K$226:$M$228,IF($AG300&lt;IF($D$4="Forint",Paraméterek!$M$223,Paraméterek!$M$224),2,3))),0),0)</f>
        <v>0</v>
      </c>
      <c r="AI300" s="13">
        <f ca="1">IF(AND($AA300=$M$11+1,$AB300=$M$12+1),SUMIF($AA$20:$AA$1027,$AA300,$AG$20:$AG$1027)*IF(SUMIF($AA$20:$AA$1027,$AA300,$AG$20:$AG$1027)&lt;IF($D$4="Forint",Paraméterek!$L$223,Paraméterek!$L$224),0,VLOOKUP($AA300,Paraméterek!$K$230:$M$250,IF(SUMIF($AA$20:$AA$1027,$AA300,$AG$20:$AG$1027)&lt;IF($D$4="Forint",Paraméterek!$M$223,Paraméterek!$M$224),2,3))),0)</f>
        <v>0</v>
      </c>
      <c r="AJ300" s="13">
        <f ca="1">IF(AND($AA300&gt;=5,MOD($AA300,5)=0),IF($AB300=12,VLOOKUP($AA300,Paraméterek!$O$225:$P$240,2),0),IF(OR($AA300=3,$AA300=4),IF($AB300=12,VLOOKUP($AA300,Paraméterek!$O$225:$P$240,2,0),0),0))*$AG300</f>
        <v>0</v>
      </c>
      <c r="AK300" s="13">
        <f t="shared" ca="1" si="97"/>
        <v>0</v>
      </c>
      <c r="AL300" s="13">
        <f t="shared" ca="1" si="105"/>
        <v>0</v>
      </c>
      <c r="AM300" s="13">
        <f t="shared" ca="1" si="106"/>
        <v>0</v>
      </c>
      <c r="AO300" s="32">
        <v>281</v>
      </c>
      <c r="AP300" s="32">
        <v>24</v>
      </c>
      <c r="AQ300" s="32">
        <v>5</v>
      </c>
      <c r="AR300" s="13"/>
      <c r="AS300" s="32"/>
      <c r="AT300" s="13">
        <f t="shared" ca="1" si="107"/>
        <v>0</v>
      </c>
      <c r="AU300" s="33"/>
      <c r="AV300" s="13">
        <f t="shared" ca="1" si="98"/>
        <v>0</v>
      </c>
      <c r="AW300" s="13">
        <f ca="1">ROUNDUP(($AT300+$AV300)*VLOOKUP($AP300,Paraméterek!$P$38:$Q$38,2)/12*IF($D301="Nem",IF($M$13=0,1,$M$13),1),IF($D$4="Forint",0,2))</f>
        <v>0</v>
      </c>
      <c r="AX300" s="13"/>
      <c r="AY300" s="13"/>
      <c r="AZ300" s="13">
        <f>ROUNDUP(IF(SUM($AX300:$AY300)=0,0,IF(IF(ISBLANK($AY300),$AX300,$AY300)*Paraméterek!$J$112&lt;IF($D$4="Forint",Paraméterek!$J$113,Paraméterek!$K$113),IF($D$4="Forint",Paraméterek!$J$113,Paraméterek!$K$113),IF(IF(ISBLANK($AY300),$AX300,$AY300)*Paraméterek!$J$112&gt;IF($D$4="Forint",Paraméterek!$J$114,Paraméterek!$K$114),IF($D$4="Forint",Paraméterek!$J$114,Paraméterek!$K$114),IF(ISBLANK($AY300),$AX300,$AY300)*Paraméterek!$J$112))),IF($D$4="Forint",0,2))</f>
        <v>0</v>
      </c>
      <c r="BA300" s="13">
        <f ca="1">$AT300+$AV300-$AW300-IF(ROUNDDOWN(IF(ISBLANK($AY300),$AX300,$AY300),IF($D$4="Forint",0,2))&gt;$AT300+$AV300-$AW300-IF($D$4="Forint",Paraméterek!$J$114,Paraméterek!$K$114),0,ROUNDDOWN(IF(ISBLANK($AY300),$AX300,$AY300),IF($D$4="Forint",0,2))-$AZ300)</f>
        <v>0</v>
      </c>
      <c r="BB300" s="13">
        <f t="shared" ca="1" si="99"/>
        <v>0</v>
      </c>
      <c r="BD300" s="32">
        <v>281</v>
      </c>
      <c r="BE300" s="32">
        <v>24</v>
      </c>
      <c r="BF300" s="32">
        <v>5</v>
      </c>
      <c r="BG300" s="34">
        <f t="shared" ca="1" si="108"/>
        <v>2042</v>
      </c>
      <c r="BH300" s="32" t="str">
        <f ca="1">IF(MOD(MONTH($D$14)+$BD300-1,12)=Paraméterek!$C$288,"Igen","")</f>
        <v/>
      </c>
      <c r="BI300" s="13">
        <f ca="1">IF($BH300="Igen",MIN(ROUNDDOWN((SUMIF($BG$20:$BG$1027,$BG300-1,$K$20:$K$1027)-SUMIF($BG$20:$BG$1027,$BG300-1,$I$20:$I$1027))*Paraméterek!$C$289,IF($D$4="Forint",0,2)),IF($D$4="Forint",Paraméterek!$C$285,Paraméterek!$D$285)),0)</f>
        <v>0</v>
      </c>
      <c r="BJ300" s="13">
        <f t="shared" ca="1" si="100"/>
        <v>0</v>
      </c>
      <c r="BK300" s="13">
        <f t="shared" ca="1" si="109"/>
        <v>0</v>
      </c>
      <c r="BL300" s="33"/>
      <c r="BM300" s="13">
        <f t="shared" ca="1" si="101"/>
        <v>0</v>
      </c>
      <c r="BN300" s="13">
        <f ca="1">ROUNDUP(($BK300+$BM300)*VLOOKUP($BE300,Paraméterek!$P$38:$Q$38,2)/12*IF($D301="Nem",IF($M$13=0,1,$M$13),1),IF($D$4="Forint",0,2))</f>
        <v>0</v>
      </c>
      <c r="BO300" s="13">
        <f t="shared" ca="1" si="102"/>
        <v>0</v>
      </c>
      <c r="BP300" s="13">
        <f ca="1">IF($D301="Nem",$BO300,$BO300-ROUNDUP(SUM($BI$20:$BI300)*120%,IF($D$4="Forint",0,2)))</f>
        <v>0</v>
      </c>
    </row>
    <row r="301" spans="1:68" x14ac:dyDescent="0.2">
      <c r="A301" s="32">
        <v>282</v>
      </c>
      <c r="B301" s="32">
        <v>24</v>
      </c>
      <c r="C301" s="32">
        <v>6</v>
      </c>
      <c r="D301" s="32" t="str">
        <f t="shared" ca="1" si="88"/>
        <v>Nem</v>
      </c>
      <c r="E301" s="13">
        <f t="shared" ca="1" si="89"/>
        <v>0</v>
      </c>
      <c r="F301" s="13"/>
      <c r="G301" s="13"/>
      <c r="H301" s="13"/>
      <c r="I301" s="13">
        <f t="shared" ca="1" si="90"/>
        <v>0</v>
      </c>
      <c r="J301" s="13">
        <f t="shared" ca="1" si="91"/>
        <v>0</v>
      </c>
      <c r="K301" s="13">
        <f t="shared" ca="1" si="92"/>
        <v>0</v>
      </c>
      <c r="L301" s="13" t="e">
        <f ca="1">ROUNDUP(IF($D$2="Egyszeri",$E301,IF($D$2="Havi",SUM($E$20:$E$31),IF(MOD($C301,$M$1)-1=0,SUM($E$20:$E$31),0))/12*$M$1)*VLOOKUP($B301,Paraméterek!$I$28:$P$31,IF($D$2="Egyszeri",8,HLOOKUP(ROUNDUP($M$11+$M$13,0),Paraméterek!$J$26:$O$27,2))),IF($D$4="Forint",0,2))</f>
        <v>#N/A</v>
      </c>
      <c r="M301" s="13">
        <f t="shared" ca="1" si="93"/>
        <v>0</v>
      </c>
      <c r="N301" s="13">
        <f t="shared" ca="1" si="103"/>
        <v>0</v>
      </c>
      <c r="O301" s="13">
        <f ca="1">IF($D301="Igen",IF($W300&gt;=IF($D$4="Forint",Paraméterek!$J$121,Paraméterek!$K$121),0,IF($D$4="Forint",Paraméterek!$J$121,Paraméterek!$K$121)-$W300),0)</f>
        <v>0</v>
      </c>
      <c r="P301" s="13" t="e">
        <f ca="1">ROUNDUP($O301*VLOOKUP($M$4+$B301-1,Paraméterek!$H$58:$I$105,2,0)/Paraméterek!$I$56,IF($D$4="Forint",0,2))</f>
        <v>#N/A</v>
      </c>
      <c r="Q301" s="13">
        <f t="shared" ca="1" si="94"/>
        <v>0</v>
      </c>
      <c r="R301" s="33"/>
      <c r="S301" s="13" t="e">
        <f t="shared" ca="1" si="95"/>
        <v>#N/A</v>
      </c>
      <c r="T301" s="13" t="e">
        <f ca="1">ROUNDUP(($N301-$P301-$Q301+$S301)*VLOOKUP($B301,Paraméterek!$I$38:$K$39,IF($D$2="Egyszeri",3,2))/12*IF($D302="Nem",IF($M$13=0,1,$M$13),1),IF($D$4="Forint",0,2))</f>
        <v>#N/A</v>
      </c>
      <c r="U301" s="13"/>
      <c r="V301" s="13"/>
      <c r="W301" s="13" t="e">
        <f ca="1">$N301-$P301-$Q301+$S301-$T301-IF(ROUNDUP(IF(ISBLANK($V301),$U301*0,$V301)/IF($D$2="Egyszeri",VLOOKUP($B301+IF($C301=12,1,0),Paraméterek!$V$257:$W$262,2),IF($B301=1,1,VLOOKUP($B301+IF($C301=12,1,0),Paraméterek!$I$258:$T$278,HLOOKUP($M$11+1,Paraméterek!$J$256:$T$257,2)))),IF($D$4="Forint",0,2))&gt;$N301-$P301-$Q301+$S301-$T301-IF($D$4="Forint",Paraméterek!$C$216,Paraméterek!$D$216),0,ROUNDUP(IF(ISBLANK($V301),$U301*0,$V301)/IF($D$2="Egyszeri",VLOOKUP($B301+IF($C301=12,1,0),Paraméterek!$V$257:$W$262,2),IF($B301=1,1,VLOOKUP($B301+IF($C301=12,1,0),Paraméterek!$I$258:$T$278,HLOOKUP($M$11+1,Paraméterek!$J$256:$T$257,2)))),IF($D$4="Forint",0,2)))</f>
        <v>#N/A</v>
      </c>
      <c r="X301" s="13" t="e">
        <f ca="1">ROUNDDOWN($W301*IF($D$2="Egyszeri",VLOOKUP($B301+IF($C301=12,1,0),Paraméterek!$V$257:$W$262,2),VLOOKUP($B301+IF($C301=12,1,0),Paraméterek!$I$258:$T$278,HLOOKUP($M$11+1,Paraméterek!$I$256:$T$257,2))),IF($D$4="Forint",0,2))</f>
        <v>#N/A</v>
      </c>
      <c r="Z301" s="32">
        <v>282</v>
      </c>
      <c r="AA301" s="32">
        <v>24</v>
      </c>
      <c r="AB301" s="32">
        <v>6</v>
      </c>
      <c r="AC301" s="13">
        <f t="shared" ca="1" si="104"/>
        <v>0</v>
      </c>
      <c r="AD301" s="33"/>
      <c r="AE301" s="13">
        <f t="shared" ca="1" si="96"/>
        <v>0</v>
      </c>
      <c r="AF301" s="13">
        <f ca="1">ROUNDUP(($AC301+$AE301)*VLOOKUP($AA301,Paraméterek!$P$38:$Q$38,2)/12*IF($D302="Nem",IF($M$13=0,1,$M$13),1),IF($D$4="Forint",0,2))</f>
        <v>0</v>
      </c>
      <c r="AG301" s="13">
        <f ca="1">IF($D$2="Egyszeri",IF($D$7&gt;=IF($D$4="Forint",Paraméterek!$P$223,Paraméterek!$P$224),$D$7-IF($D$4="Forint",Paraméterek!$P$223,Paraméterek!$P$224),0),MIN(IF($AB301=12,AVERAGEIF($E$20:$E301,"&gt;0",$E$20:$E301)*12,0),SUM($E$20:$E$31)))</f>
        <v>0</v>
      </c>
      <c r="AH301" s="13">
        <f>IF($AA301=10,$AG301*IF($AB301=12,IF($AG301&lt;IF($D$4="Forint",Paraméterek!$L$223,Paraméterek!$L$224),0,VLOOKUP($AA301,Paraméterek!$K$226:$M$228,IF($AG301&lt;IF($D$4="Forint",Paraméterek!$M$223,Paraméterek!$M$224),2,3))),0),0)</f>
        <v>0</v>
      </c>
      <c r="AI301" s="13">
        <f ca="1">IF(AND($AA301=$M$11+1,$AB301=$M$12+1),SUMIF($AA$20:$AA$1027,$AA301,$AG$20:$AG$1027)*IF(SUMIF($AA$20:$AA$1027,$AA301,$AG$20:$AG$1027)&lt;IF($D$4="Forint",Paraméterek!$L$223,Paraméterek!$L$224),0,VLOOKUP($AA301,Paraméterek!$K$230:$M$250,IF(SUMIF($AA$20:$AA$1027,$AA301,$AG$20:$AG$1027)&lt;IF($D$4="Forint",Paraméterek!$M$223,Paraméterek!$M$224),2,3))),0)</f>
        <v>0</v>
      </c>
      <c r="AJ301" s="13">
        <f ca="1">IF(AND($AA301&gt;=5,MOD($AA301,5)=0),IF($AB301=12,VLOOKUP($AA301,Paraméterek!$O$225:$P$240,2),0),IF(OR($AA301=3,$AA301=4),IF($AB301=12,VLOOKUP($AA301,Paraméterek!$O$225:$P$240,2,0),0),0))*$AG301</f>
        <v>0</v>
      </c>
      <c r="AK301" s="13">
        <f t="shared" ca="1" si="97"/>
        <v>0</v>
      </c>
      <c r="AL301" s="13">
        <f t="shared" ca="1" si="105"/>
        <v>0</v>
      </c>
      <c r="AM301" s="13">
        <f t="shared" ca="1" si="106"/>
        <v>0</v>
      </c>
      <c r="AO301" s="32">
        <v>282</v>
      </c>
      <c r="AP301" s="32">
        <v>24</v>
      </c>
      <c r="AQ301" s="32">
        <v>6</v>
      </c>
      <c r="AR301" s="13"/>
      <c r="AS301" s="32"/>
      <c r="AT301" s="13">
        <f t="shared" ca="1" si="107"/>
        <v>0</v>
      </c>
      <c r="AU301" s="33"/>
      <c r="AV301" s="13">
        <f t="shared" ca="1" si="98"/>
        <v>0</v>
      </c>
      <c r="AW301" s="13">
        <f ca="1">ROUNDUP(($AT301+$AV301)*VLOOKUP($AP301,Paraméterek!$P$38:$Q$38,2)/12*IF($D302="Nem",IF($M$13=0,1,$M$13),1),IF($D$4="Forint",0,2))</f>
        <v>0</v>
      </c>
      <c r="AX301" s="13"/>
      <c r="AY301" s="13"/>
      <c r="AZ301" s="13">
        <f>ROUNDUP(IF(SUM($AX301:$AY301)=0,0,IF(IF(ISBLANK($AY301),$AX301,$AY301)*Paraméterek!$J$112&lt;IF($D$4="Forint",Paraméterek!$J$113,Paraméterek!$K$113),IF($D$4="Forint",Paraméterek!$J$113,Paraméterek!$K$113),IF(IF(ISBLANK($AY301),$AX301,$AY301)*Paraméterek!$J$112&gt;IF($D$4="Forint",Paraméterek!$J$114,Paraméterek!$K$114),IF($D$4="Forint",Paraméterek!$J$114,Paraméterek!$K$114),IF(ISBLANK($AY301),$AX301,$AY301)*Paraméterek!$J$112))),IF($D$4="Forint",0,2))</f>
        <v>0</v>
      </c>
      <c r="BA301" s="13">
        <f ca="1">$AT301+$AV301-$AW301-IF(ROUNDDOWN(IF(ISBLANK($AY301),$AX301,$AY301),IF($D$4="Forint",0,2))&gt;$AT301+$AV301-$AW301-IF($D$4="Forint",Paraméterek!$J$114,Paraméterek!$K$114),0,ROUNDDOWN(IF(ISBLANK($AY301),$AX301,$AY301),IF($D$4="Forint",0,2))-$AZ301)</f>
        <v>0</v>
      </c>
      <c r="BB301" s="13">
        <f t="shared" ca="1" si="99"/>
        <v>0</v>
      </c>
      <c r="BD301" s="32">
        <v>282</v>
      </c>
      <c r="BE301" s="32">
        <v>24</v>
      </c>
      <c r="BF301" s="32">
        <v>6</v>
      </c>
      <c r="BG301" s="34">
        <f t="shared" ca="1" si="108"/>
        <v>2042</v>
      </c>
      <c r="BH301" s="32" t="str">
        <f ca="1">IF(MOD(MONTH($D$14)+$BD301-1,12)=Paraméterek!$C$288,"Igen","")</f>
        <v/>
      </c>
      <c r="BI301" s="13">
        <f ca="1">IF($BH301="Igen",MIN(ROUNDDOWN((SUMIF($BG$20:$BG$1027,$BG301-1,$K$20:$K$1027)-SUMIF($BG$20:$BG$1027,$BG301-1,$I$20:$I$1027))*Paraméterek!$C$289,IF($D$4="Forint",0,2)),IF($D$4="Forint",Paraméterek!$C$285,Paraméterek!$D$285)),0)</f>
        <v>0</v>
      </c>
      <c r="BJ301" s="13">
        <f t="shared" ca="1" si="100"/>
        <v>0</v>
      </c>
      <c r="BK301" s="13">
        <f t="shared" ca="1" si="109"/>
        <v>0</v>
      </c>
      <c r="BL301" s="33"/>
      <c r="BM301" s="13">
        <f t="shared" ca="1" si="101"/>
        <v>0</v>
      </c>
      <c r="BN301" s="13">
        <f ca="1">ROUNDUP(($BK301+$BM301)*VLOOKUP($BE301,Paraméterek!$P$38:$Q$38,2)/12*IF($D302="Nem",IF($M$13=0,1,$M$13),1),IF($D$4="Forint",0,2))</f>
        <v>0</v>
      </c>
      <c r="BO301" s="13">
        <f t="shared" ca="1" si="102"/>
        <v>0</v>
      </c>
      <c r="BP301" s="13">
        <f ca="1">IF($D302="Nem",$BO301,$BO301-ROUNDUP(SUM($BI$20:$BI301)*120%,IF($D$4="Forint",0,2)))</f>
        <v>0</v>
      </c>
    </row>
    <row r="302" spans="1:68" x14ac:dyDescent="0.2">
      <c r="A302" s="32">
        <v>283</v>
      </c>
      <c r="B302" s="32">
        <v>24</v>
      </c>
      <c r="C302" s="32">
        <v>7</v>
      </c>
      <c r="D302" s="32" t="str">
        <f t="shared" ca="1" si="88"/>
        <v>Nem</v>
      </c>
      <c r="E302" s="13">
        <f t="shared" ca="1" si="89"/>
        <v>0</v>
      </c>
      <c r="F302" s="13"/>
      <c r="G302" s="13"/>
      <c r="H302" s="13"/>
      <c r="I302" s="13">
        <f t="shared" ca="1" si="90"/>
        <v>0</v>
      </c>
      <c r="J302" s="13">
        <f t="shared" ca="1" si="91"/>
        <v>0</v>
      </c>
      <c r="K302" s="13">
        <f t="shared" ca="1" si="92"/>
        <v>0</v>
      </c>
      <c r="L302" s="13" t="e">
        <f ca="1">ROUNDUP(IF($D$2="Egyszeri",$E302,IF($D$2="Havi",SUM($E$20:$E$31),IF(MOD($C302,$M$1)-1=0,SUM($E$20:$E$31),0))/12*$M$1)*VLOOKUP($B302,Paraméterek!$I$28:$P$31,IF($D$2="Egyszeri",8,HLOOKUP(ROUNDUP($M$11+$M$13,0),Paraméterek!$J$26:$O$27,2))),IF($D$4="Forint",0,2))</f>
        <v>#N/A</v>
      </c>
      <c r="M302" s="13">
        <f t="shared" ca="1" si="93"/>
        <v>0</v>
      </c>
      <c r="N302" s="13">
        <f t="shared" ca="1" si="103"/>
        <v>0</v>
      </c>
      <c r="O302" s="13">
        <f ca="1">IF($D302="Igen",IF($W301&gt;=IF($D$4="Forint",Paraméterek!$J$121,Paraméterek!$K$121),0,IF($D$4="Forint",Paraméterek!$J$121,Paraméterek!$K$121)-$W301),0)</f>
        <v>0</v>
      </c>
      <c r="P302" s="13" t="e">
        <f ca="1">ROUNDUP($O302*VLOOKUP($M$4+$B302-1,Paraméterek!$H$58:$I$105,2,0)/Paraméterek!$I$56,IF($D$4="Forint",0,2))</f>
        <v>#N/A</v>
      </c>
      <c r="Q302" s="13">
        <f t="shared" ca="1" si="94"/>
        <v>0</v>
      </c>
      <c r="R302" s="33"/>
      <c r="S302" s="13" t="e">
        <f t="shared" ca="1" si="95"/>
        <v>#N/A</v>
      </c>
      <c r="T302" s="13" t="e">
        <f ca="1">ROUNDUP(($N302-$P302-$Q302+$S302)*VLOOKUP($B302,Paraméterek!$I$38:$K$39,IF($D$2="Egyszeri",3,2))/12*IF($D303="Nem",IF($M$13=0,1,$M$13),1),IF($D$4="Forint",0,2))</f>
        <v>#N/A</v>
      </c>
      <c r="U302" s="13"/>
      <c r="V302" s="13"/>
      <c r="W302" s="13" t="e">
        <f ca="1">$N302-$P302-$Q302+$S302-$T302-IF(ROUNDUP(IF(ISBLANK($V302),$U302*0,$V302)/IF($D$2="Egyszeri",VLOOKUP($B302+IF($C302=12,1,0),Paraméterek!$V$257:$W$262,2),IF($B302=1,1,VLOOKUP($B302+IF($C302=12,1,0),Paraméterek!$I$258:$T$278,HLOOKUP($M$11+1,Paraméterek!$J$256:$T$257,2)))),IF($D$4="Forint",0,2))&gt;$N302-$P302-$Q302+$S302-$T302-IF($D$4="Forint",Paraméterek!$C$216,Paraméterek!$D$216),0,ROUNDUP(IF(ISBLANK($V302),$U302*0,$V302)/IF($D$2="Egyszeri",VLOOKUP($B302+IF($C302=12,1,0),Paraméterek!$V$257:$W$262,2),IF($B302=1,1,VLOOKUP($B302+IF($C302=12,1,0),Paraméterek!$I$258:$T$278,HLOOKUP($M$11+1,Paraméterek!$J$256:$T$257,2)))),IF($D$4="Forint",0,2)))</f>
        <v>#N/A</v>
      </c>
      <c r="X302" s="13" t="e">
        <f ca="1">ROUNDDOWN($W302*IF($D$2="Egyszeri",VLOOKUP($B302+IF($C302=12,1,0),Paraméterek!$V$257:$W$262,2),VLOOKUP($B302+IF($C302=12,1,0),Paraméterek!$I$258:$T$278,HLOOKUP($M$11+1,Paraméterek!$I$256:$T$257,2))),IF($D$4="Forint",0,2))</f>
        <v>#N/A</v>
      </c>
      <c r="Z302" s="32">
        <v>283</v>
      </c>
      <c r="AA302" s="32">
        <v>24</v>
      </c>
      <c r="AB302" s="32">
        <v>7</v>
      </c>
      <c r="AC302" s="13">
        <f t="shared" ca="1" si="104"/>
        <v>0</v>
      </c>
      <c r="AD302" s="33"/>
      <c r="AE302" s="13">
        <f t="shared" ca="1" si="96"/>
        <v>0</v>
      </c>
      <c r="AF302" s="13">
        <f ca="1">ROUNDUP(($AC302+$AE302)*VLOOKUP($AA302,Paraméterek!$P$38:$Q$38,2)/12*IF($D303="Nem",IF($M$13=0,1,$M$13),1),IF($D$4="Forint",0,2))</f>
        <v>0</v>
      </c>
      <c r="AG302" s="13">
        <f ca="1">IF($D$2="Egyszeri",IF($D$7&gt;=IF($D$4="Forint",Paraméterek!$P$223,Paraméterek!$P$224),$D$7-IF($D$4="Forint",Paraméterek!$P$223,Paraméterek!$P$224),0),MIN(IF($AB302=12,AVERAGEIF($E$20:$E302,"&gt;0",$E$20:$E302)*12,0),SUM($E$20:$E$31)))</f>
        <v>0</v>
      </c>
      <c r="AH302" s="13">
        <f>IF($AA302=10,$AG302*IF($AB302=12,IF($AG302&lt;IF($D$4="Forint",Paraméterek!$L$223,Paraméterek!$L$224),0,VLOOKUP($AA302,Paraméterek!$K$226:$M$228,IF($AG302&lt;IF($D$4="Forint",Paraméterek!$M$223,Paraméterek!$M$224),2,3))),0),0)</f>
        <v>0</v>
      </c>
      <c r="AI302" s="13">
        <f ca="1">IF(AND($AA302=$M$11+1,$AB302=$M$12+1),SUMIF($AA$20:$AA$1027,$AA302,$AG$20:$AG$1027)*IF(SUMIF($AA$20:$AA$1027,$AA302,$AG$20:$AG$1027)&lt;IF($D$4="Forint",Paraméterek!$L$223,Paraméterek!$L$224),0,VLOOKUP($AA302,Paraméterek!$K$230:$M$250,IF(SUMIF($AA$20:$AA$1027,$AA302,$AG$20:$AG$1027)&lt;IF($D$4="Forint",Paraméterek!$M$223,Paraméterek!$M$224),2,3))),0)</f>
        <v>0</v>
      </c>
      <c r="AJ302" s="13">
        <f ca="1">IF(AND($AA302&gt;=5,MOD($AA302,5)=0),IF($AB302=12,VLOOKUP($AA302,Paraméterek!$O$225:$P$240,2),0),IF(OR($AA302=3,$AA302=4),IF($AB302=12,VLOOKUP($AA302,Paraméterek!$O$225:$P$240,2,0),0),0))*$AG302</f>
        <v>0</v>
      </c>
      <c r="AK302" s="13">
        <f t="shared" ca="1" si="97"/>
        <v>0</v>
      </c>
      <c r="AL302" s="13">
        <f t="shared" ca="1" si="105"/>
        <v>0</v>
      </c>
      <c r="AM302" s="13">
        <f t="shared" ca="1" si="106"/>
        <v>0</v>
      </c>
      <c r="AO302" s="32">
        <v>283</v>
      </c>
      <c r="AP302" s="32">
        <v>24</v>
      </c>
      <c r="AQ302" s="32">
        <v>7</v>
      </c>
      <c r="AR302" s="13"/>
      <c r="AS302" s="32"/>
      <c r="AT302" s="13">
        <f t="shared" ca="1" si="107"/>
        <v>0</v>
      </c>
      <c r="AU302" s="33"/>
      <c r="AV302" s="13">
        <f t="shared" ca="1" si="98"/>
        <v>0</v>
      </c>
      <c r="AW302" s="13">
        <f ca="1">ROUNDUP(($AT302+$AV302)*VLOOKUP($AP302,Paraméterek!$P$38:$Q$38,2)/12*IF($D303="Nem",IF($M$13=0,1,$M$13),1),IF($D$4="Forint",0,2))</f>
        <v>0</v>
      </c>
      <c r="AX302" s="13"/>
      <c r="AY302" s="13"/>
      <c r="AZ302" s="13">
        <f>ROUNDUP(IF(SUM($AX302:$AY302)=0,0,IF(IF(ISBLANK($AY302),$AX302,$AY302)*Paraméterek!$J$112&lt;IF($D$4="Forint",Paraméterek!$J$113,Paraméterek!$K$113),IF($D$4="Forint",Paraméterek!$J$113,Paraméterek!$K$113),IF(IF(ISBLANK($AY302),$AX302,$AY302)*Paraméterek!$J$112&gt;IF($D$4="Forint",Paraméterek!$J$114,Paraméterek!$K$114),IF($D$4="Forint",Paraméterek!$J$114,Paraméterek!$K$114),IF(ISBLANK($AY302),$AX302,$AY302)*Paraméterek!$J$112))),IF($D$4="Forint",0,2))</f>
        <v>0</v>
      </c>
      <c r="BA302" s="13">
        <f ca="1">$AT302+$AV302-$AW302-IF(ROUNDDOWN(IF(ISBLANK($AY302),$AX302,$AY302),IF($D$4="Forint",0,2))&gt;$AT302+$AV302-$AW302-IF($D$4="Forint",Paraméterek!$J$114,Paraméterek!$K$114),0,ROUNDDOWN(IF(ISBLANK($AY302),$AX302,$AY302),IF($D$4="Forint",0,2))-$AZ302)</f>
        <v>0</v>
      </c>
      <c r="BB302" s="13">
        <f t="shared" ca="1" si="99"/>
        <v>0</v>
      </c>
      <c r="BD302" s="32">
        <v>283</v>
      </c>
      <c r="BE302" s="32">
        <v>24</v>
      </c>
      <c r="BF302" s="32">
        <v>7</v>
      </c>
      <c r="BG302" s="34">
        <f t="shared" ca="1" si="108"/>
        <v>2042</v>
      </c>
      <c r="BH302" s="32" t="str">
        <f ca="1">IF(MOD(MONTH($D$14)+$BD302-1,12)=Paraméterek!$C$288,"Igen","")</f>
        <v/>
      </c>
      <c r="BI302" s="13">
        <f ca="1">IF($BH302="Igen",MIN(ROUNDDOWN((SUMIF($BG$20:$BG$1027,$BG302-1,$K$20:$K$1027)-SUMIF($BG$20:$BG$1027,$BG302-1,$I$20:$I$1027))*Paraméterek!$C$289,IF($D$4="Forint",0,2)),IF($D$4="Forint",Paraméterek!$C$285,Paraméterek!$D$285)),0)</f>
        <v>0</v>
      </c>
      <c r="BJ302" s="13">
        <f t="shared" ca="1" si="100"/>
        <v>0</v>
      </c>
      <c r="BK302" s="13">
        <f t="shared" ca="1" si="109"/>
        <v>0</v>
      </c>
      <c r="BL302" s="33"/>
      <c r="BM302" s="13">
        <f t="shared" ca="1" si="101"/>
        <v>0</v>
      </c>
      <c r="BN302" s="13">
        <f ca="1">ROUNDUP(($BK302+$BM302)*VLOOKUP($BE302,Paraméterek!$P$38:$Q$38,2)/12*IF($D303="Nem",IF($M$13=0,1,$M$13),1),IF($D$4="Forint",0,2))</f>
        <v>0</v>
      </c>
      <c r="BO302" s="13">
        <f t="shared" ca="1" si="102"/>
        <v>0</v>
      </c>
      <c r="BP302" s="13">
        <f ca="1">IF($D303="Nem",$BO302,$BO302-ROUNDUP(SUM($BI$20:$BI302)*120%,IF($D$4="Forint",0,2)))</f>
        <v>0</v>
      </c>
    </row>
    <row r="303" spans="1:68" x14ac:dyDescent="0.2">
      <c r="A303" s="32">
        <v>284</v>
      </c>
      <c r="B303" s="32">
        <v>24</v>
      </c>
      <c r="C303" s="32">
        <v>8</v>
      </c>
      <c r="D303" s="32" t="str">
        <f t="shared" ca="1" si="88"/>
        <v>Nem</v>
      </c>
      <c r="E303" s="13">
        <f t="shared" ca="1" si="89"/>
        <v>0</v>
      </c>
      <c r="F303" s="13"/>
      <c r="G303" s="13"/>
      <c r="H303" s="13"/>
      <c r="I303" s="13">
        <f t="shared" ca="1" si="90"/>
        <v>0</v>
      </c>
      <c r="J303" s="13">
        <f t="shared" ca="1" si="91"/>
        <v>0</v>
      </c>
      <c r="K303" s="13">
        <f t="shared" ca="1" si="92"/>
        <v>0</v>
      </c>
      <c r="L303" s="13" t="e">
        <f ca="1">ROUNDUP(IF($D$2="Egyszeri",$E303,IF($D$2="Havi",SUM($E$20:$E$31),IF(MOD($C303,$M$1)-1=0,SUM($E$20:$E$31),0))/12*$M$1)*VLOOKUP($B303,Paraméterek!$I$28:$P$31,IF($D$2="Egyszeri",8,HLOOKUP(ROUNDUP($M$11+$M$13,0),Paraméterek!$J$26:$O$27,2))),IF($D$4="Forint",0,2))</f>
        <v>#N/A</v>
      </c>
      <c r="M303" s="13">
        <f t="shared" ca="1" si="93"/>
        <v>0</v>
      </c>
      <c r="N303" s="13">
        <f t="shared" ca="1" si="103"/>
        <v>0</v>
      </c>
      <c r="O303" s="13">
        <f ca="1">IF($D303="Igen",IF($W302&gt;=IF($D$4="Forint",Paraméterek!$J$121,Paraméterek!$K$121),0,IF($D$4="Forint",Paraméterek!$J$121,Paraméterek!$K$121)-$W302),0)</f>
        <v>0</v>
      </c>
      <c r="P303" s="13" t="e">
        <f ca="1">ROUNDUP($O303*VLOOKUP($M$4+$B303-1,Paraméterek!$H$58:$I$105,2,0)/Paraméterek!$I$56,IF($D$4="Forint",0,2))</f>
        <v>#N/A</v>
      </c>
      <c r="Q303" s="13">
        <f t="shared" ca="1" si="94"/>
        <v>0</v>
      </c>
      <c r="R303" s="33"/>
      <c r="S303" s="13" t="e">
        <f t="shared" ca="1" si="95"/>
        <v>#N/A</v>
      </c>
      <c r="T303" s="13" t="e">
        <f ca="1">ROUNDUP(($N303-$P303-$Q303+$S303)*VLOOKUP($B303,Paraméterek!$I$38:$K$39,IF($D$2="Egyszeri",3,2))/12*IF($D304="Nem",IF($M$13=0,1,$M$13),1),IF($D$4="Forint",0,2))</f>
        <v>#N/A</v>
      </c>
      <c r="U303" s="13"/>
      <c r="V303" s="13"/>
      <c r="W303" s="13" t="e">
        <f ca="1">$N303-$P303-$Q303+$S303-$T303-IF(ROUNDUP(IF(ISBLANK($V303),$U303*0,$V303)/IF($D$2="Egyszeri",VLOOKUP($B303+IF($C303=12,1,0),Paraméterek!$V$257:$W$262,2),IF($B303=1,1,VLOOKUP($B303+IF($C303=12,1,0),Paraméterek!$I$258:$T$278,HLOOKUP($M$11+1,Paraméterek!$J$256:$T$257,2)))),IF($D$4="Forint",0,2))&gt;$N303-$P303-$Q303+$S303-$T303-IF($D$4="Forint",Paraméterek!$C$216,Paraméterek!$D$216),0,ROUNDUP(IF(ISBLANK($V303),$U303*0,$V303)/IF($D$2="Egyszeri",VLOOKUP($B303+IF($C303=12,1,0),Paraméterek!$V$257:$W$262,2),IF($B303=1,1,VLOOKUP($B303+IF($C303=12,1,0),Paraméterek!$I$258:$T$278,HLOOKUP($M$11+1,Paraméterek!$J$256:$T$257,2)))),IF($D$4="Forint",0,2)))</f>
        <v>#N/A</v>
      </c>
      <c r="X303" s="13" t="e">
        <f ca="1">ROUNDDOWN($W303*IF($D$2="Egyszeri",VLOOKUP($B303+IF($C303=12,1,0),Paraméterek!$V$257:$W$262,2),VLOOKUP($B303+IF($C303=12,1,0),Paraméterek!$I$258:$T$278,HLOOKUP($M$11+1,Paraméterek!$I$256:$T$257,2))),IF($D$4="Forint",0,2))</f>
        <v>#N/A</v>
      </c>
      <c r="Z303" s="32">
        <v>284</v>
      </c>
      <c r="AA303" s="32">
        <v>24</v>
      </c>
      <c r="AB303" s="32">
        <v>8</v>
      </c>
      <c r="AC303" s="13">
        <f t="shared" ca="1" si="104"/>
        <v>0</v>
      </c>
      <c r="AD303" s="33"/>
      <c r="AE303" s="13">
        <f t="shared" ca="1" si="96"/>
        <v>0</v>
      </c>
      <c r="AF303" s="13">
        <f ca="1">ROUNDUP(($AC303+$AE303)*VLOOKUP($AA303,Paraméterek!$P$38:$Q$38,2)/12*IF($D304="Nem",IF($M$13=0,1,$M$13),1),IF($D$4="Forint",0,2))</f>
        <v>0</v>
      </c>
      <c r="AG303" s="13">
        <f ca="1">IF($D$2="Egyszeri",IF($D$7&gt;=IF($D$4="Forint",Paraméterek!$P$223,Paraméterek!$P$224),$D$7-IF($D$4="Forint",Paraméterek!$P$223,Paraméterek!$P$224),0),MIN(IF($AB303=12,AVERAGEIF($E$20:$E303,"&gt;0",$E$20:$E303)*12,0),SUM($E$20:$E$31)))</f>
        <v>0</v>
      </c>
      <c r="AH303" s="13">
        <f>IF($AA303=10,$AG303*IF($AB303=12,IF($AG303&lt;IF($D$4="Forint",Paraméterek!$L$223,Paraméterek!$L$224),0,VLOOKUP($AA303,Paraméterek!$K$226:$M$228,IF($AG303&lt;IF($D$4="Forint",Paraméterek!$M$223,Paraméterek!$M$224),2,3))),0),0)</f>
        <v>0</v>
      </c>
      <c r="AI303" s="13">
        <f ca="1">IF(AND($AA303=$M$11+1,$AB303=$M$12+1),SUMIF($AA$20:$AA$1027,$AA303,$AG$20:$AG$1027)*IF(SUMIF($AA$20:$AA$1027,$AA303,$AG$20:$AG$1027)&lt;IF($D$4="Forint",Paraméterek!$L$223,Paraméterek!$L$224),0,VLOOKUP($AA303,Paraméterek!$K$230:$M$250,IF(SUMIF($AA$20:$AA$1027,$AA303,$AG$20:$AG$1027)&lt;IF($D$4="Forint",Paraméterek!$M$223,Paraméterek!$M$224),2,3))),0)</f>
        <v>0</v>
      </c>
      <c r="AJ303" s="13">
        <f ca="1">IF(AND($AA303&gt;=5,MOD($AA303,5)=0),IF($AB303=12,VLOOKUP($AA303,Paraméterek!$O$225:$P$240,2),0),IF(OR($AA303=3,$AA303=4),IF($AB303=12,VLOOKUP($AA303,Paraméterek!$O$225:$P$240,2,0),0),0))*$AG303</f>
        <v>0</v>
      </c>
      <c r="AK303" s="13">
        <f t="shared" ca="1" si="97"/>
        <v>0</v>
      </c>
      <c r="AL303" s="13">
        <f t="shared" ca="1" si="105"/>
        <v>0</v>
      </c>
      <c r="AM303" s="13">
        <f t="shared" ca="1" si="106"/>
        <v>0</v>
      </c>
      <c r="AO303" s="32">
        <v>284</v>
      </c>
      <c r="AP303" s="32">
        <v>24</v>
      </c>
      <c r="AQ303" s="32">
        <v>8</v>
      </c>
      <c r="AR303" s="13"/>
      <c r="AS303" s="32"/>
      <c r="AT303" s="13">
        <f t="shared" ca="1" si="107"/>
        <v>0</v>
      </c>
      <c r="AU303" s="33"/>
      <c r="AV303" s="13">
        <f t="shared" ca="1" si="98"/>
        <v>0</v>
      </c>
      <c r="AW303" s="13">
        <f ca="1">ROUNDUP(($AT303+$AV303)*VLOOKUP($AP303,Paraméterek!$P$38:$Q$38,2)/12*IF($D304="Nem",IF($M$13=0,1,$M$13),1),IF($D$4="Forint",0,2))</f>
        <v>0</v>
      </c>
      <c r="AX303" s="13"/>
      <c r="AY303" s="13"/>
      <c r="AZ303" s="13">
        <f>ROUNDUP(IF(SUM($AX303:$AY303)=0,0,IF(IF(ISBLANK($AY303),$AX303,$AY303)*Paraméterek!$J$112&lt;IF($D$4="Forint",Paraméterek!$J$113,Paraméterek!$K$113),IF($D$4="Forint",Paraméterek!$J$113,Paraméterek!$K$113),IF(IF(ISBLANK($AY303),$AX303,$AY303)*Paraméterek!$J$112&gt;IF($D$4="Forint",Paraméterek!$J$114,Paraméterek!$K$114),IF($D$4="Forint",Paraméterek!$J$114,Paraméterek!$K$114),IF(ISBLANK($AY303),$AX303,$AY303)*Paraméterek!$J$112))),IF($D$4="Forint",0,2))</f>
        <v>0</v>
      </c>
      <c r="BA303" s="13">
        <f ca="1">$AT303+$AV303-$AW303-IF(ROUNDDOWN(IF(ISBLANK($AY303),$AX303,$AY303),IF($D$4="Forint",0,2))&gt;$AT303+$AV303-$AW303-IF($D$4="Forint",Paraméterek!$J$114,Paraméterek!$K$114),0,ROUNDDOWN(IF(ISBLANK($AY303),$AX303,$AY303),IF($D$4="Forint",0,2))-$AZ303)</f>
        <v>0</v>
      </c>
      <c r="BB303" s="13">
        <f t="shared" ca="1" si="99"/>
        <v>0</v>
      </c>
      <c r="BD303" s="32">
        <v>284</v>
      </c>
      <c r="BE303" s="32">
        <v>24</v>
      </c>
      <c r="BF303" s="32">
        <v>8</v>
      </c>
      <c r="BG303" s="34">
        <f t="shared" ca="1" si="108"/>
        <v>2043</v>
      </c>
      <c r="BH303" s="32" t="str">
        <f ca="1">IF(MOD(MONTH($D$14)+$BD303-1,12)=Paraméterek!$C$288,"Igen","")</f>
        <v/>
      </c>
      <c r="BI303" s="13">
        <f ca="1">IF($BH303="Igen",MIN(ROUNDDOWN((SUMIF($BG$20:$BG$1027,$BG303-1,$K$20:$K$1027)-SUMIF($BG$20:$BG$1027,$BG303-1,$I$20:$I$1027))*Paraméterek!$C$289,IF($D$4="Forint",0,2)),IF($D$4="Forint",Paraméterek!$C$285,Paraméterek!$D$285)),0)</f>
        <v>0</v>
      </c>
      <c r="BJ303" s="13">
        <f t="shared" ca="1" si="100"/>
        <v>0</v>
      </c>
      <c r="BK303" s="13">
        <f t="shared" ca="1" si="109"/>
        <v>0</v>
      </c>
      <c r="BL303" s="33"/>
      <c r="BM303" s="13">
        <f t="shared" ca="1" si="101"/>
        <v>0</v>
      </c>
      <c r="BN303" s="13">
        <f ca="1">ROUNDUP(($BK303+$BM303)*VLOOKUP($BE303,Paraméterek!$P$38:$Q$38,2)/12*IF($D304="Nem",IF($M$13=0,1,$M$13),1),IF($D$4="Forint",0,2))</f>
        <v>0</v>
      </c>
      <c r="BO303" s="13">
        <f t="shared" ca="1" si="102"/>
        <v>0</v>
      </c>
      <c r="BP303" s="13">
        <f ca="1">IF($D304="Nem",$BO303,$BO303-ROUNDUP(SUM($BI$20:$BI303)*120%,IF($D$4="Forint",0,2)))</f>
        <v>0</v>
      </c>
    </row>
    <row r="304" spans="1:68" x14ac:dyDescent="0.2">
      <c r="A304" s="32">
        <v>285</v>
      </c>
      <c r="B304" s="32">
        <v>24</v>
      </c>
      <c r="C304" s="32">
        <v>9</v>
      </c>
      <c r="D304" s="32" t="str">
        <f t="shared" ca="1" si="88"/>
        <v>Nem</v>
      </c>
      <c r="E304" s="13">
        <f t="shared" ca="1" si="89"/>
        <v>0</v>
      </c>
      <c r="F304" s="13"/>
      <c r="G304" s="13"/>
      <c r="H304" s="13"/>
      <c r="I304" s="13">
        <f t="shared" ca="1" si="90"/>
        <v>0</v>
      </c>
      <c r="J304" s="13">
        <f t="shared" ca="1" si="91"/>
        <v>0</v>
      </c>
      <c r="K304" s="13">
        <f t="shared" ca="1" si="92"/>
        <v>0</v>
      </c>
      <c r="L304" s="13" t="e">
        <f ca="1">ROUNDUP(IF($D$2="Egyszeri",$E304,IF($D$2="Havi",SUM($E$20:$E$31),IF(MOD($C304,$M$1)-1=0,SUM($E$20:$E$31),0))/12*$M$1)*VLOOKUP($B304,Paraméterek!$I$28:$P$31,IF($D$2="Egyszeri",8,HLOOKUP(ROUNDUP($M$11+$M$13,0),Paraméterek!$J$26:$O$27,2))),IF($D$4="Forint",0,2))</f>
        <v>#N/A</v>
      </c>
      <c r="M304" s="13">
        <f t="shared" ca="1" si="93"/>
        <v>0</v>
      </c>
      <c r="N304" s="13">
        <f t="shared" ca="1" si="103"/>
        <v>0</v>
      </c>
      <c r="O304" s="13">
        <f ca="1">IF($D304="Igen",IF($W303&gt;=IF($D$4="Forint",Paraméterek!$J$121,Paraméterek!$K$121),0,IF($D$4="Forint",Paraméterek!$J$121,Paraméterek!$K$121)-$W303),0)</f>
        <v>0</v>
      </c>
      <c r="P304" s="13" t="e">
        <f ca="1">ROUNDUP($O304*VLOOKUP($M$4+$B304-1,Paraméterek!$H$58:$I$105,2,0)/Paraméterek!$I$56,IF($D$4="Forint",0,2))</f>
        <v>#N/A</v>
      </c>
      <c r="Q304" s="13">
        <f t="shared" ca="1" si="94"/>
        <v>0</v>
      </c>
      <c r="R304" s="33"/>
      <c r="S304" s="13" t="e">
        <f t="shared" ca="1" si="95"/>
        <v>#N/A</v>
      </c>
      <c r="T304" s="13" t="e">
        <f ca="1">ROUNDUP(($N304-$P304-$Q304+$S304)*VLOOKUP($B304,Paraméterek!$I$38:$K$39,IF($D$2="Egyszeri",3,2))/12*IF($D305="Nem",IF($M$13=0,1,$M$13),1),IF($D$4="Forint",0,2))</f>
        <v>#N/A</v>
      </c>
      <c r="U304" s="13"/>
      <c r="V304" s="13"/>
      <c r="W304" s="13" t="e">
        <f ca="1">$N304-$P304-$Q304+$S304-$T304-IF(ROUNDUP(IF(ISBLANK($V304),$U304*0,$V304)/IF($D$2="Egyszeri",VLOOKUP($B304+IF($C304=12,1,0),Paraméterek!$V$257:$W$262,2),IF($B304=1,1,VLOOKUP($B304+IF($C304=12,1,0),Paraméterek!$I$258:$T$278,HLOOKUP($M$11+1,Paraméterek!$J$256:$T$257,2)))),IF($D$4="Forint",0,2))&gt;$N304-$P304-$Q304+$S304-$T304-IF($D$4="Forint",Paraméterek!$C$216,Paraméterek!$D$216),0,ROUNDUP(IF(ISBLANK($V304),$U304*0,$V304)/IF($D$2="Egyszeri",VLOOKUP($B304+IF($C304=12,1,0),Paraméterek!$V$257:$W$262,2),IF($B304=1,1,VLOOKUP($B304+IF($C304=12,1,0),Paraméterek!$I$258:$T$278,HLOOKUP($M$11+1,Paraméterek!$J$256:$T$257,2)))),IF($D$4="Forint",0,2)))</f>
        <v>#N/A</v>
      </c>
      <c r="X304" s="13" t="e">
        <f ca="1">ROUNDDOWN($W304*IF($D$2="Egyszeri",VLOOKUP($B304+IF($C304=12,1,0),Paraméterek!$V$257:$W$262,2),VLOOKUP($B304+IF($C304=12,1,0),Paraméterek!$I$258:$T$278,HLOOKUP($M$11+1,Paraméterek!$I$256:$T$257,2))),IF($D$4="Forint",0,2))</f>
        <v>#N/A</v>
      </c>
      <c r="Z304" s="32">
        <v>285</v>
      </c>
      <c r="AA304" s="32">
        <v>24</v>
      </c>
      <c r="AB304" s="32">
        <v>9</v>
      </c>
      <c r="AC304" s="13">
        <f t="shared" ca="1" si="104"/>
        <v>0</v>
      </c>
      <c r="AD304" s="33"/>
      <c r="AE304" s="13">
        <f t="shared" ca="1" si="96"/>
        <v>0</v>
      </c>
      <c r="AF304" s="13">
        <f ca="1">ROUNDUP(($AC304+$AE304)*VLOOKUP($AA304,Paraméterek!$P$38:$Q$38,2)/12*IF($D305="Nem",IF($M$13=0,1,$M$13),1),IF($D$4="Forint",0,2))</f>
        <v>0</v>
      </c>
      <c r="AG304" s="13">
        <f ca="1">IF($D$2="Egyszeri",IF($D$7&gt;=IF($D$4="Forint",Paraméterek!$P$223,Paraméterek!$P$224),$D$7-IF($D$4="Forint",Paraméterek!$P$223,Paraméterek!$P$224),0),MIN(IF($AB304=12,AVERAGEIF($E$20:$E304,"&gt;0",$E$20:$E304)*12,0),SUM($E$20:$E$31)))</f>
        <v>0</v>
      </c>
      <c r="AH304" s="13">
        <f>IF($AA304=10,$AG304*IF($AB304=12,IF($AG304&lt;IF($D$4="Forint",Paraméterek!$L$223,Paraméterek!$L$224),0,VLOOKUP($AA304,Paraméterek!$K$226:$M$228,IF($AG304&lt;IF($D$4="Forint",Paraméterek!$M$223,Paraméterek!$M$224),2,3))),0),0)</f>
        <v>0</v>
      </c>
      <c r="AI304" s="13">
        <f ca="1">IF(AND($AA304=$M$11+1,$AB304=$M$12+1),SUMIF($AA$20:$AA$1027,$AA304,$AG$20:$AG$1027)*IF(SUMIF($AA$20:$AA$1027,$AA304,$AG$20:$AG$1027)&lt;IF($D$4="Forint",Paraméterek!$L$223,Paraméterek!$L$224),0,VLOOKUP($AA304,Paraméterek!$K$230:$M$250,IF(SUMIF($AA$20:$AA$1027,$AA304,$AG$20:$AG$1027)&lt;IF($D$4="Forint",Paraméterek!$M$223,Paraméterek!$M$224),2,3))),0)</f>
        <v>0</v>
      </c>
      <c r="AJ304" s="13">
        <f ca="1">IF(AND($AA304&gt;=5,MOD($AA304,5)=0),IF($AB304=12,VLOOKUP($AA304,Paraméterek!$O$225:$P$240,2),0),IF(OR($AA304=3,$AA304=4),IF($AB304=12,VLOOKUP($AA304,Paraméterek!$O$225:$P$240,2,0),0),0))*$AG304</f>
        <v>0</v>
      </c>
      <c r="AK304" s="13">
        <f t="shared" ca="1" si="97"/>
        <v>0</v>
      </c>
      <c r="AL304" s="13">
        <f t="shared" ca="1" si="105"/>
        <v>0</v>
      </c>
      <c r="AM304" s="13">
        <f t="shared" ca="1" si="106"/>
        <v>0</v>
      </c>
      <c r="AO304" s="32">
        <v>285</v>
      </c>
      <c r="AP304" s="32">
        <v>24</v>
      </c>
      <c r="AQ304" s="32">
        <v>9</v>
      </c>
      <c r="AR304" s="13"/>
      <c r="AS304" s="32"/>
      <c r="AT304" s="13">
        <f t="shared" ca="1" si="107"/>
        <v>0</v>
      </c>
      <c r="AU304" s="33"/>
      <c r="AV304" s="13">
        <f t="shared" ca="1" si="98"/>
        <v>0</v>
      </c>
      <c r="AW304" s="13">
        <f ca="1">ROUNDUP(($AT304+$AV304)*VLOOKUP($AP304,Paraméterek!$P$38:$Q$38,2)/12*IF($D305="Nem",IF($M$13=0,1,$M$13),1),IF($D$4="Forint",0,2))</f>
        <v>0</v>
      </c>
      <c r="AX304" s="13"/>
      <c r="AY304" s="13"/>
      <c r="AZ304" s="13">
        <f>ROUNDUP(IF(SUM($AX304:$AY304)=0,0,IF(IF(ISBLANK($AY304),$AX304,$AY304)*Paraméterek!$J$112&lt;IF($D$4="Forint",Paraméterek!$J$113,Paraméterek!$K$113),IF($D$4="Forint",Paraméterek!$J$113,Paraméterek!$K$113),IF(IF(ISBLANK($AY304),$AX304,$AY304)*Paraméterek!$J$112&gt;IF($D$4="Forint",Paraméterek!$J$114,Paraméterek!$K$114),IF($D$4="Forint",Paraméterek!$J$114,Paraméterek!$K$114),IF(ISBLANK($AY304),$AX304,$AY304)*Paraméterek!$J$112))),IF($D$4="Forint",0,2))</f>
        <v>0</v>
      </c>
      <c r="BA304" s="13">
        <f ca="1">$AT304+$AV304-$AW304-IF(ROUNDDOWN(IF(ISBLANK($AY304),$AX304,$AY304),IF($D$4="Forint",0,2))&gt;$AT304+$AV304-$AW304-IF($D$4="Forint",Paraméterek!$J$114,Paraméterek!$K$114),0,ROUNDDOWN(IF(ISBLANK($AY304),$AX304,$AY304),IF($D$4="Forint",0,2))-$AZ304)</f>
        <v>0</v>
      </c>
      <c r="BB304" s="13">
        <f t="shared" ca="1" si="99"/>
        <v>0</v>
      </c>
      <c r="BD304" s="32">
        <v>285</v>
      </c>
      <c r="BE304" s="32">
        <v>24</v>
      </c>
      <c r="BF304" s="32">
        <v>9</v>
      </c>
      <c r="BG304" s="34">
        <f t="shared" ca="1" si="108"/>
        <v>2043</v>
      </c>
      <c r="BH304" s="32" t="str">
        <f ca="1">IF(MOD(MONTH($D$14)+$BD304-1,12)=Paraméterek!$C$288,"Igen","")</f>
        <v/>
      </c>
      <c r="BI304" s="13">
        <f ca="1">IF($BH304="Igen",MIN(ROUNDDOWN((SUMIF($BG$20:$BG$1027,$BG304-1,$K$20:$K$1027)-SUMIF($BG$20:$BG$1027,$BG304-1,$I$20:$I$1027))*Paraméterek!$C$289,IF($D$4="Forint",0,2)),IF($D$4="Forint",Paraméterek!$C$285,Paraméterek!$D$285)),0)</f>
        <v>0</v>
      </c>
      <c r="BJ304" s="13">
        <f t="shared" ca="1" si="100"/>
        <v>0</v>
      </c>
      <c r="BK304" s="13">
        <f t="shared" ca="1" si="109"/>
        <v>0</v>
      </c>
      <c r="BL304" s="33"/>
      <c r="BM304" s="13">
        <f t="shared" ca="1" si="101"/>
        <v>0</v>
      </c>
      <c r="BN304" s="13">
        <f ca="1">ROUNDUP(($BK304+$BM304)*VLOOKUP($BE304,Paraméterek!$P$38:$Q$38,2)/12*IF($D305="Nem",IF($M$13=0,1,$M$13),1),IF($D$4="Forint",0,2))</f>
        <v>0</v>
      </c>
      <c r="BO304" s="13">
        <f t="shared" ca="1" si="102"/>
        <v>0</v>
      </c>
      <c r="BP304" s="13">
        <f ca="1">IF($D305="Nem",$BO304,$BO304-ROUNDUP(SUM($BI$20:$BI304)*120%,IF($D$4="Forint",0,2)))</f>
        <v>0</v>
      </c>
    </row>
    <row r="305" spans="1:68" x14ac:dyDescent="0.2">
      <c r="A305" s="32">
        <v>286</v>
      </c>
      <c r="B305" s="32">
        <v>24</v>
      </c>
      <c r="C305" s="32">
        <v>10</v>
      </c>
      <c r="D305" s="32" t="str">
        <f t="shared" ca="1" si="88"/>
        <v>Nem</v>
      </c>
      <c r="E305" s="13">
        <f t="shared" ca="1" si="89"/>
        <v>0</v>
      </c>
      <c r="F305" s="13"/>
      <c r="G305" s="13"/>
      <c r="H305" s="13"/>
      <c r="I305" s="13">
        <f t="shared" ca="1" si="90"/>
        <v>0</v>
      </c>
      <c r="J305" s="13">
        <f t="shared" ca="1" si="91"/>
        <v>0</v>
      </c>
      <c r="K305" s="13">
        <f t="shared" ca="1" si="92"/>
        <v>0</v>
      </c>
      <c r="L305" s="13" t="e">
        <f ca="1">ROUNDUP(IF($D$2="Egyszeri",$E305,IF($D$2="Havi",SUM($E$20:$E$31),IF(MOD($C305,$M$1)-1=0,SUM($E$20:$E$31),0))/12*$M$1)*VLOOKUP($B305,Paraméterek!$I$28:$P$31,IF($D$2="Egyszeri",8,HLOOKUP(ROUNDUP($M$11+$M$13,0),Paraméterek!$J$26:$O$27,2))),IF($D$4="Forint",0,2))</f>
        <v>#N/A</v>
      </c>
      <c r="M305" s="13">
        <f t="shared" ca="1" si="93"/>
        <v>0</v>
      </c>
      <c r="N305" s="13">
        <f t="shared" ca="1" si="103"/>
        <v>0</v>
      </c>
      <c r="O305" s="13">
        <f ca="1">IF($D305="Igen",IF($W304&gt;=IF($D$4="Forint",Paraméterek!$J$121,Paraméterek!$K$121),0,IF($D$4="Forint",Paraméterek!$J$121,Paraméterek!$K$121)-$W304),0)</f>
        <v>0</v>
      </c>
      <c r="P305" s="13" t="e">
        <f ca="1">ROUNDUP($O305*VLOOKUP($M$4+$B305-1,Paraméterek!$H$58:$I$105,2,0)/Paraméterek!$I$56,IF($D$4="Forint",0,2))</f>
        <v>#N/A</v>
      </c>
      <c r="Q305" s="13">
        <f t="shared" ca="1" si="94"/>
        <v>0</v>
      </c>
      <c r="R305" s="33"/>
      <c r="S305" s="13" t="e">
        <f t="shared" ca="1" si="95"/>
        <v>#N/A</v>
      </c>
      <c r="T305" s="13" t="e">
        <f ca="1">ROUNDUP(($N305-$P305-$Q305+$S305)*VLOOKUP($B305,Paraméterek!$I$38:$K$39,IF($D$2="Egyszeri",3,2))/12*IF($D306="Nem",IF($M$13=0,1,$M$13),1),IF($D$4="Forint",0,2))</f>
        <v>#N/A</v>
      </c>
      <c r="U305" s="13"/>
      <c r="V305" s="13"/>
      <c r="W305" s="13" t="e">
        <f ca="1">$N305-$P305-$Q305+$S305-$T305-IF(ROUNDUP(IF(ISBLANK($V305),$U305*0,$V305)/IF($D$2="Egyszeri",VLOOKUP($B305+IF($C305=12,1,0),Paraméterek!$V$257:$W$262,2),IF($B305=1,1,VLOOKUP($B305+IF($C305=12,1,0),Paraméterek!$I$258:$T$278,HLOOKUP($M$11+1,Paraméterek!$J$256:$T$257,2)))),IF($D$4="Forint",0,2))&gt;$N305-$P305-$Q305+$S305-$T305-IF($D$4="Forint",Paraméterek!$C$216,Paraméterek!$D$216),0,ROUNDUP(IF(ISBLANK($V305),$U305*0,$V305)/IF($D$2="Egyszeri",VLOOKUP($B305+IF($C305=12,1,0),Paraméterek!$V$257:$W$262,2),IF($B305=1,1,VLOOKUP($B305+IF($C305=12,1,0),Paraméterek!$I$258:$T$278,HLOOKUP($M$11+1,Paraméterek!$J$256:$T$257,2)))),IF($D$4="Forint",0,2)))</f>
        <v>#N/A</v>
      </c>
      <c r="X305" s="13" t="e">
        <f ca="1">ROUNDDOWN($W305*IF($D$2="Egyszeri",VLOOKUP($B305+IF($C305=12,1,0),Paraméterek!$V$257:$W$262,2),VLOOKUP($B305+IF($C305=12,1,0),Paraméterek!$I$258:$T$278,HLOOKUP($M$11+1,Paraméterek!$I$256:$T$257,2))),IF($D$4="Forint",0,2))</f>
        <v>#N/A</v>
      </c>
      <c r="Z305" s="32">
        <v>286</v>
      </c>
      <c r="AA305" s="32">
        <v>24</v>
      </c>
      <c r="AB305" s="32">
        <v>10</v>
      </c>
      <c r="AC305" s="13">
        <f t="shared" ca="1" si="104"/>
        <v>0</v>
      </c>
      <c r="AD305" s="33"/>
      <c r="AE305" s="13">
        <f t="shared" ca="1" si="96"/>
        <v>0</v>
      </c>
      <c r="AF305" s="13">
        <f ca="1">ROUNDUP(($AC305+$AE305)*VLOOKUP($AA305,Paraméterek!$P$38:$Q$38,2)/12*IF($D306="Nem",IF($M$13=0,1,$M$13),1),IF($D$4="Forint",0,2))</f>
        <v>0</v>
      </c>
      <c r="AG305" s="13">
        <f ca="1">IF($D$2="Egyszeri",IF($D$7&gt;=IF($D$4="Forint",Paraméterek!$P$223,Paraméterek!$P$224),$D$7-IF($D$4="Forint",Paraméterek!$P$223,Paraméterek!$P$224),0),MIN(IF($AB305=12,AVERAGEIF($E$20:$E305,"&gt;0",$E$20:$E305)*12,0),SUM($E$20:$E$31)))</f>
        <v>0</v>
      </c>
      <c r="AH305" s="13">
        <f>IF($AA305=10,$AG305*IF($AB305=12,IF($AG305&lt;IF($D$4="Forint",Paraméterek!$L$223,Paraméterek!$L$224),0,VLOOKUP($AA305,Paraméterek!$K$226:$M$228,IF($AG305&lt;IF($D$4="Forint",Paraméterek!$M$223,Paraméterek!$M$224),2,3))),0),0)</f>
        <v>0</v>
      </c>
      <c r="AI305" s="13">
        <f ca="1">IF(AND($AA305=$M$11+1,$AB305=$M$12+1),SUMIF($AA$20:$AA$1027,$AA305,$AG$20:$AG$1027)*IF(SUMIF($AA$20:$AA$1027,$AA305,$AG$20:$AG$1027)&lt;IF($D$4="Forint",Paraméterek!$L$223,Paraméterek!$L$224),0,VLOOKUP($AA305,Paraméterek!$K$230:$M$250,IF(SUMIF($AA$20:$AA$1027,$AA305,$AG$20:$AG$1027)&lt;IF($D$4="Forint",Paraméterek!$M$223,Paraméterek!$M$224),2,3))),0)</f>
        <v>0</v>
      </c>
      <c r="AJ305" s="13">
        <f ca="1">IF(AND($AA305&gt;=5,MOD($AA305,5)=0),IF($AB305=12,VLOOKUP($AA305,Paraméterek!$O$225:$P$240,2),0),IF(OR($AA305=3,$AA305=4),IF($AB305=12,VLOOKUP($AA305,Paraméterek!$O$225:$P$240,2,0),0),0))*$AG305</f>
        <v>0</v>
      </c>
      <c r="AK305" s="13">
        <f t="shared" ca="1" si="97"/>
        <v>0</v>
      </c>
      <c r="AL305" s="13">
        <f t="shared" ca="1" si="105"/>
        <v>0</v>
      </c>
      <c r="AM305" s="13">
        <f t="shared" ca="1" si="106"/>
        <v>0</v>
      </c>
      <c r="AO305" s="32">
        <v>286</v>
      </c>
      <c r="AP305" s="32">
        <v>24</v>
      </c>
      <c r="AQ305" s="32">
        <v>10</v>
      </c>
      <c r="AR305" s="13"/>
      <c r="AS305" s="32"/>
      <c r="AT305" s="13">
        <f t="shared" ca="1" si="107"/>
        <v>0</v>
      </c>
      <c r="AU305" s="33"/>
      <c r="AV305" s="13">
        <f t="shared" ca="1" si="98"/>
        <v>0</v>
      </c>
      <c r="AW305" s="13">
        <f ca="1">ROUNDUP(($AT305+$AV305)*VLOOKUP($AP305,Paraméterek!$P$38:$Q$38,2)/12*IF($D306="Nem",IF($M$13=0,1,$M$13),1),IF($D$4="Forint",0,2))</f>
        <v>0</v>
      </c>
      <c r="AX305" s="13"/>
      <c r="AY305" s="13"/>
      <c r="AZ305" s="13">
        <f>ROUNDUP(IF(SUM($AX305:$AY305)=0,0,IF(IF(ISBLANK($AY305),$AX305,$AY305)*Paraméterek!$J$112&lt;IF($D$4="Forint",Paraméterek!$J$113,Paraméterek!$K$113),IF($D$4="Forint",Paraméterek!$J$113,Paraméterek!$K$113),IF(IF(ISBLANK($AY305),$AX305,$AY305)*Paraméterek!$J$112&gt;IF($D$4="Forint",Paraméterek!$J$114,Paraméterek!$K$114),IF($D$4="Forint",Paraméterek!$J$114,Paraméterek!$K$114),IF(ISBLANK($AY305),$AX305,$AY305)*Paraméterek!$J$112))),IF($D$4="Forint",0,2))</f>
        <v>0</v>
      </c>
      <c r="BA305" s="13">
        <f ca="1">$AT305+$AV305-$AW305-IF(ROUNDDOWN(IF(ISBLANK($AY305),$AX305,$AY305),IF($D$4="Forint",0,2))&gt;$AT305+$AV305-$AW305-IF($D$4="Forint",Paraméterek!$J$114,Paraméterek!$K$114),0,ROUNDDOWN(IF(ISBLANK($AY305),$AX305,$AY305),IF($D$4="Forint",0,2))-$AZ305)</f>
        <v>0</v>
      </c>
      <c r="BB305" s="13">
        <f t="shared" ca="1" si="99"/>
        <v>0</v>
      </c>
      <c r="BD305" s="32">
        <v>286</v>
      </c>
      <c r="BE305" s="32">
        <v>24</v>
      </c>
      <c r="BF305" s="32">
        <v>10</v>
      </c>
      <c r="BG305" s="34">
        <f t="shared" ca="1" si="108"/>
        <v>2043</v>
      </c>
      <c r="BH305" s="32" t="str">
        <f ca="1">IF(MOD(MONTH($D$14)+$BD305-1,12)=Paraméterek!$C$288,"Igen","")</f>
        <v/>
      </c>
      <c r="BI305" s="13">
        <f ca="1">IF($BH305="Igen",MIN(ROUNDDOWN((SUMIF($BG$20:$BG$1027,$BG305-1,$K$20:$K$1027)-SUMIF($BG$20:$BG$1027,$BG305-1,$I$20:$I$1027))*Paraméterek!$C$289,IF($D$4="Forint",0,2)),IF($D$4="Forint",Paraméterek!$C$285,Paraméterek!$D$285)),0)</f>
        <v>0</v>
      </c>
      <c r="BJ305" s="13">
        <f t="shared" ca="1" si="100"/>
        <v>0</v>
      </c>
      <c r="BK305" s="13">
        <f t="shared" ca="1" si="109"/>
        <v>0</v>
      </c>
      <c r="BL305" s="33"/>
      <c r="BM305" s="13">
        <f t="shared" ca="1" si="101"/>
        <v>0</v>
      </c>
      <c r="BN305" s="13">
        <f ca="1">ROUNDUP(($BK305+$BM305)*VLOOKUP($BE305,Paraméterek!$P$38:$Q$38,2)/12*IF($D306="Nem",IF($M$13=0,1,$M$13),1),IF($D$4="Forint",0,2))</f>
        <v>0</v>
      </c>
      <c r="BO305" s="13">
        <f t="shared" ca="1" si="102"/>
        <v>0</v>
      </c>
      <c r="BP305" s="13">
        <f ca="1">IF($D306="Nem",$BO305,$BO305-ROUNDUP(SUM($BI$20:$BI305)*120%,IF($D$4="Forint",0,2)))</f>
        <v>0</v>
      </c>
    </row>
    <row r="306" spans="1:68" x14ac:dyDescent="0.2">
      <c r="A306" s="32">
        <v>287</v>
      </c>
      <c r="B306" s="32">
        <v>24</v>
      </c>
      <c r="C306" s="32">
        <v>11</v>
      </c>
      <c r="D306" s="32" t="str">
        <f t="shared" ca="1" si="88"/>
        <v>Nem</v>
      </c>
      <c r="E306" s="13">
        <f t="shared" ca="1" si="89"/>
        <v>0</v>
      </c>
      <c r="F306" s="13"/>
      <c r="G306" s="13"/>
      <c r="H306" s="13"/>
      <c r="I306" s="13">
        <f t="shared" ca="1" si="90"/>
        <v>0</v>
      </c>
      <c r="J306" s="13">
        <f t="shared" ca="1" si="91"/>
        <v>0</v>
      </c>
      <c r="K306" s="13">
        <f t="shared" ca="1" si="92"/>
        <v>0</v>
      </c>
      <c r="L306" s="13" t="e">
        <f ca="1">ROUNDUP(IF($D$2="Egyszeri",$E306,IF($D$2="Havi",SUM($E$20:$E$31),IF(MOD($C306,$M$1)-1=0,SUM($E$20:$E$31),0))/12*$M$1)*VLOOKUP($B306,Paraméterek!$I$28:$P$31,IF($D$2="Egyszeri",8,HLOOKUP(ROUNDUP($M$11+$M$13,0),Paraméterek!$J$26:$O$27,2))),IF($D$4="Forint",0,2))</f>
        <v>#N/A</v>
      </c>
      <c r="M306" s="13">
        <f t="shared" ca="1" si="93"/>
        <v>0</v>
      </c>
      <c r="N306" s="13">
        <f t="shared" ca="1" si="103"/>
        <v>0</v>
      </c>
      <c r="O306" s="13">
        <f ca="1">IF($D306="Igen",IF($W305&gt;=IF($D$4="Forint",Paraméterek!$J$121,Paraméterek!$K$121),0,IF($D$4="Forint",Paraméterek!$J$121,Paraméterek!$K$121)-$W305),0)</f>
        <v>0</v>
      </c>
      <c r="P306" s="13" t="e">
        <f ca="1">ROUNDUP($O306*VLOOKUP($M$4+$B306-1,Paraméterek!$H$58:$I$105,2,0)/Paraméterek!$I$56,IF($D$4="Forint",0,2))</f>
        <v>#N/A</v>
      </c>
      <c r="Q306" s="13">
        <f t="shared" ca="1" si="94"/>
        <v>0</v>
      </c>
      <c r="R306" s="33"/>
      <c r="S306" s="13" t="e">
        <f t="shared" ca="1" si="95"/>
        <v>#N/A</v>
      </c>
      <c r="T306" s="13" t="e">
        <f ca="1">ROUNDUP(($N306-$P306-$Q306+$S306)*VLOOKUP($B306,Paraméterek!$I$38:$K$39,IF($D$2="Egyszeri",3,2))/12*IF($D307="Nem",IF($M$13=0,1,$M$13),1),IF($D$4="Forint",0,2))</f>
        <v>#N/A</v>
      </c>
      <c r="U306" s="13"/>
      <c r="V306" s="13"/>
      <c r="W306" s="13" t="e">
        <f ca="1">$N306-$P306-$Q306+$S306-$T306-IF(ROUNDUP(IF(ISBLANK($V306),$U306*0,$V306)/IF($D$2="Egyszeri",VLOOKUP($B306+IF($C306=12,1,0),Paraméterek!$V$257:$W$262,2),IF($B306=1,1,VLOOKUP($B306+IF($C306=12,1,0),Paraméterek!$I$258:$T$278,HLOOKUP($M$11+1,Paraméterek!$J$256:$T$257,2)))),IF($D$4="Forint",0,2))&gt;$N306-$P306-$Q306+$S306-$T306-IF($D$4="Forint",Paraméterek!$C$216,Paraméterek!$D$216),0,ROUNDUP(IF(ISBLANK($V306),$U306*0,$V306)/IF($D$2="Egyszeri",VLOOKUP($B306+IF($C306=12,1,0),Paraméterek!$V$257:$W$262,2),IF($B306=1,1,VLOOKUP($B306+IF($C306=12,1,0),Paraméterek!$I$258:$T$278,HLOOKUP($M$11+1,Paraméterek!$J$256:$T$257,2)))),IF($D$4="Forint",0,2)))</f>
        <v>#N/A</v>
      </c>
      <c r="X306" s="13" t="e">
        <f ca="1">ROUNDDOWN($W306*IF($D$2="Egyszeri",VLOOKUP($B306+IF($C306=12,1,0),Paraméterek!$V$257:$W$262,2),VLOOKUP($B306+IF($C306=12,1,0),Paraméterek!$I$258:$T$278,HLOOKUP($M$11+1,Paraméterek!$I$256:$T$257,2))),IF($D$4="Forint",0,2))</f>
        <v>#N/A</v>
      </c>
      <c r="Z306" s="32">
        <v>287</v>
      </c>
      <c r="AA306" s="32">
        <v>24</v>
      </c>
      <c r="AB306" s="32">
        <v>11</v>
      </c>
      <c r="AC306" s="13">
        <f t="shared" ca="1" si="104"/>
        <v>0</v>
      </c>
      <c r="AD306" s="33"/>
      <c r="AE306" s="13">
        <f t="shared" ca="1" si="96"/>
        <v>0</v>
      </c>
      <c r="AF306" s="13">
        <f ca="1">ROUNDUP(($AC306+$AE306)*VLOOKUP($AA306,Paraméterek!$P$38:$Q$38,2)/12*IF($D307="Nem",IF($M$13=0,1,$M$13),1),IF($D$4="Forint",0,2))</f>
        <v>0</v>
      </c>
      <c r="AG306" s="13">
        <f ca="1">IF($D$2="Egyszeri",IF($D$7&gt;=IF($D$4="Forint",Paraméterek!$P$223,Paraméterek!$P$224),$D$7-IF($D$4="Forint",Paraméterek!$P$223,Paraméterek!$P$224),0),MIN(IF($AB306=12,AVERAGEIF($E$20:$E306,"&gt;0",$E$20:$E306)*12,0),SUM($E$20:$E$31)))</f>
        <v>0</v>
      </c>
      <c r="AH306" s="13">
        <f>IF($AA306=10,$AG306*IF($AB306=12,IF($AG306&lt;IF($D$4="Forint",Paraméterek!$L$223,Paraméterek!$L$224),0,VLOOKUP($AA306,Paraméterek!$K$226:$M$228,IF($AG306&lt;IF($D$4="Forint",Paraméterek!$M$223,Paraméterek!$M$224),2,3))),0),0)</f>
        <v>0</v>
      </c>
      <c r="AI306" s="13">
        <f ca="1">IF(AND($AA306=$M$11+1,$AB306=$M$12+1),SUMIF($AA$20:$AA$1027,$AA306,$AG$20:$AG$1027)*IF(SUMIF($AA$20:$AA$1027,$AA306,$AG$20:$AG$1027)&lt;IF($D$4="Forint",Paraméterek!$L$223,Paraméterek!$L$224),0,VLOOKUP($AA306,Paraméterek!$K$230:$M$250,IF(SUMIF($AA$20:$AA$1027,$AA306,$AG$20:$AG$1027)&lt;IF($D$4="Forint",Paraméterek!$M$223,Paraméterek!$M$224),2,3))),0)</f>
        <v>0</v>
      </c>
      <c r="AJ306" s="13">
        <f ca="1">IF(AND($AA306&gt;=5,MOD($AA306,5)=0),IF($AB306=12,VLOOKUP($AA306,Paraméterek!$O$225:$P$240,2),0),IF(OR($AA306=3,$AA306=4),IF($AB306=12,VLOOKUP($AA306,Paraméterek!$O$225:$P$240,2,0),0),0))*$AG306</f>
        <v>0</v>
      </c>
      <c r="AK306" s="13">
        <f t="shared" ca="1" si="97"/>
        <v>0</v>
      </c>
      <c r="AL306" s="13">
        <f t="shared" ca="1" si="105"/>
        <v>0</v>
      </c>
      <c r="AM306" s="13">
        <f t="shared" ca="1" si="106"/>
        <v>0</v>
      </c>
      <c r="AO306" s="32">
        <v>287</v>
      </c>
      <c r="AP306" s="32">
        <v>24</v>
      </c>
      <c r="AQ306" s="32">
        <v>11</v>
      </c>
      <c r="AR306" s="13"/>
      <c r="AS306" s="32"/>
      <c r="AT306" s="13">
        <f t="shared" ca="1" si="107"/>
        <v>0</v>
      </c>
      <c r="AU306" s="33"/>
      <c r="AV306" s="13">
        <f t="shared" ca="1" si="98"/>
        <v>0</v>
      </c>
      <c r="AW306" s="13">
        <f ca="1">ROUNDUP(($AT306+$AV306)*VLOOKUP($AP306,Paraméterek!$P$38:$Q$38,2)/12*IF($D307="Nem",IF($M$13=0,1,$M$13),1),IF($D$4="Forint",0,2))</f>
        <v>0</v>
      </c>
      <c r="AX306" s="13"/>
      <c r="AY306" s="13"/>
      <c r="AZ306" s="13">
        <f>ROUNDUP(IF(SUM($AX306:$AY306)=0,0,IF(IF(ISBLANK($AY306),$AX306,$AY306)*Paraméterek!$J$112&lt;IF($D$4="Forint",Paraméterek!$J$113,Paraméterek!$K$113),IF($D$4="Forint",Paraméterek!$J$113,Paraméterek!$K$113),IF(IF(ISBLANK($AY306),$AX306,$AY306)*Paraméterek!$J$112&gt;IF($D$4="Forint",Paraméterek!$J$114,Paraméterek!$K$114),IF($D$4="Forint",Paraméterek!$J$114,Paraméterek!$K$114),IF(ISBLANK($AY306),$AX306,$AY306)*Paraméterek!$J$112))),IF($D$4="Forint",0,2))</f>
        <v>0</v>
      </c>
      <c r="BA306" s="13">
        <f ca="1">$AT306+$AV306-$AW306-IF(ROUNDDOWN(IF(ISBLANK($AY306),$AX306,$AY306),IF($D$4="Forint",0,2))&gt;$AT306+$AV306-$AW306-IF($D$4="Forint",Paraméterek!$J$114,Paraméterek!$K$114),0,ROUNDDOWN(IF(ISBLANK($AY306),$AX306,$AY306),IF($D$4="Forint",0,2))-$AZ306)</f>
        <v>0</v>
      </c>
      <c r="BB306" s="13">
        <f t="shared" ca="1" si="99"/>
        <v>0</v>
      </c>
      <c r="BD306" s="32">
        <v>287</v>
      </c>
      <c r="BE306" s="32">
        <v>24</v>
      </c>
      <c r="BF306" s="32">
        <v>11</v>
      </c>
      <c r="BG306" s="34">
        <f t="shared" ca="1" si="108"/>
        <v>2043</v>
      </c>
      <c r="BH306" s="32" t="str">
        <f ca="1">IF(MOD(MONTH($D$14)+$BD306-1,12)=Paraméterek!$C$288,"Igen","")</f>
        <v/>
      </c>
      <c r="BI306" s="13">
        <f ca="1">IF($BH306="Igen",MIN(ROUNDDOWN((SUMIF($BG$20:$BG$1027,$BG306-1,$K$20:$K$1027)-SUMIF($BG$20:$BG$1027,$BG306-1,$I$20:$I$1027))*Paraméterek!$C$289,IF($D$4="Forint",0,2)),IF($D$4="Forint",Paraméterek!$C$285,Paraméterek!$D$285)),0)</f>
        <v>0</v>
      </c>
      <c r="BJ306" s="13">
        <f t="shared" ca="1" si="100"/>
        <v>0</v>
      </c>
      <c r="BK306" s="13">
        <f t="shared" ca="1" si="109"/>
        <v>0</v>
      </c>
      <c r="BL306" s="33"/>
      <c r="BM306" s="13">
        <f t="shared" ca="1" si="101"/>
        <v>0</v>
      </c>
      <c r="BN306" s="13">
        <f ca="1">ROUNDUP(($BK306+$BM306)*VLOOKUP($BE306,Paraméterek!$P$38:$Q$38,2)/12*IF($D307="Nem",IF($M$13=0,1,$M$13),1),IF($D$4="Forint",0,2))</f>
        <v>0</v>
      </c>
      <c r="BO306" s="13">
        <f t="shared" ca="1" si="102"/>
        <v>0</v>
      </c>
      <c r="BP306" s="13">
        <f ca="1">IF($D307="Nem",$BO306,$BO306-ROUNDUP(SUM($BI$20:$BI306)*120%,IF($D$4="Forint",0,2)))</f>
        <v>0</v>
      </c>
    </row>
    <row r="307" spans="1:68" x14ac:dyDescent="0.2">
      <c r="A307" s="32">
        <v>288</v>
      </c>
      <c r="B307" s="32">
        <v>24</v>
      </c>
      <c r="C307" s="32">
        <v>12</v>
      </c>
      <c r="D307" s="32" t="str">
        <f t="shared" ca="1" si="88"/>
        <v>Nem</v>
      </c>
      <c r="E307" s="13">
        <f t="shared" ca="1" si="89"/>
        <v>0</v>
      </c>
      <c r="F307" s="13"/>
      <c r="G307" s="13"/>
      <c r="H307" s="13"/>
      <c r="I307" s="13">
        <f t="shared" ca="1" si="90"/>
        <v>0</v>
      </c>
      <c r="J307" s="13">
        <f t="shared" ca="1" si="91"/>
        <v>0</v>
      </c>
      <c r="K307" s="13">
        <f t="shared" ca="1" si="92"/>
        <v>0</v>
      </c>
      <c r="L307" s="13" t="e">
        <f ca="1">ROUNDUP(IF($D$2="Egyszeri",$E307,IF($D$2="Havi",SUM($E$20:$E$31),IF(MOD($C307,$M$1)-1=0,SUM($E$20:$E$31),0))/12*$M$1)*VLOOKUP($B307,Paraméterek!$I$28:$P$31,IF($D$2="Egyszeri",8,HLOOKUP(ROUNDUP($M$11+$M$13,0),Paraméterek!$J$26:$O$27,2))),IF($D$4="Forint",0,2))</f>
        <v>#N/A</v>
      </c>
      <c r="M307" s="13">
        <f t="shared" ca="1" si="93"/>
        <v>0</v>
      </c>
      <c r="N307" s="13">
        <f t="shared" ca="1" si="103"/>
        <v>0</v>
      </c>
      <c r="O307" s="13">
        <f ca="1">IF($D307="Igen",IF($W306&gt;=IF($D$4="Forint",Paraméterek!$J$121,Paraméterek!$K$121),0,IF($D$4="Forint",Paraméterek!$J$121,Paraméterek!$K$121)-$W306),0)</f>
        <v>0</v>
      </c>
      <c r="P307" s="13" t="e">
        <f ca="1">ROUNDUP($O307*VLOOKUP($M$4+$B307-1,Paraméterek!$H$58:$I$105,2,0)/Paraméterek!$I$56,IF($D$4="Forint",0,2))</f>
        <v>#N/A</v>
      </c>
      <c r="Q307" s="13">
        <f t="shared" ca="1" si="94"/>
        <v>0</v>
      </c>
      <c r="R307" s="33"/>
      <c r="S307" s="13" t="e">
        <f t="shared" ca="1" si="95"/>
        <v>#N/A</v>
      </c>
      <c r="T307" s="13" t="e">
        <f ca="1">ROUNDUP(($N307-$P307-$Q307+$S307)*VLOOKUP($B307,Paraméterek!$I$38:$K$39,IF($D$2="Egyszeri",3,2))/12*IF($D308="Nem",IF($M$13=0,1,$M$13),1),IF($D$4="Forint",0,2))</f>
        <v>#N/A</v>
      </c>
      <c r="U307" s="13">
        <f>Tranzakciók!$F$55</f>
        <v>0</v>
      </c>
      <c r="V307" s="13"/>
      <c r="W307" s="13" t="e">
        <f ca="1">$N307-$P307-$Q307+$S307-$T307-IF(ROUNDUP(IF(ISBLANK($V307),$U307*0,$V307)/IF($D$2="Egyszeri",VLOOKUP($B307+IF($C307=12,1,0),Paraméterek!$V$257:$W$262,2),IF($B307=1,1,VLOOKUP($B307+IF($C307=12,1,0),Paraméterek!$I$258:$T$278,HLOOKUP($M$11+1,Paraméterek!$J$256:$T$257,2)))),IF($D$4="Forint",0,2))&gt;$N307-$P307-$Q307+$S307-$T307-IF($D$4="Forint",Paraméterek!$C$216,Paraméterek!$D$216),0,ROUNDUP(IF(ISBLANK($V307),$U307*0,$V307)/IF($D$2="Egyszeri",VLOOKUP($B307+IF($C307=12,1,0),Paraméterek!$V$257:$W$262,2),IF($B307=1,1,VLOOKUP($B307+IF($C307=12,1,0),Paraméterek!$I$258:$T$278,HLOOKUP($M$11+1,Paraméterek!$J$256:$T$257,2)))),IF($D$4="Forint",0,2)))</f>
        <v>#N/A</v>
      </c>
      <c r="X307" s="13" t="e">
        <f ca="1">ROUNDDOWN($W307*IF($D$2="Egyszeri",VLOOKUP($B307+IF($C307=12,1,0),Paraméterek!$V$257:$W$262,2),VLOOKUP($B307+IF($C307=12,1,0),Paraméterek!$I$258:$T$278,HLOOKUP($M$11+1,Paraméterek!$I$256:$T$257,2))),IF($D$4="Forint",0,2))</f>
        <v>#N/A</v>
      </c>
      <c r="Z307" s="32">
        <v>288</v>
      </c>
      <c r="AA307" s="32">
        <v>24</v>
      </c>
      <c r="AB307" s="32">
        <v>12</v>
      </c>
      <c r="AC307" s="13">
        <f t="shared" ca="1" si="104"/>
        <v>0</v>
      </c>
      <c r="AD307" s="33"/>
      <c r="AE307" s="13">
        <f t="shared" ca="1" si="96"/>
        <v>0</v>
      </c>
      <c r="AF307" s="13">
        <f ca="1">ROUNDUP(($AC307+$AE307)*VLOOKUP($AA307,Paraméterek!$P$38:$Q$38,2)/12*IF($D308="Nem",IF($M$13=0,1,$M$13),1),IF($D$4="Forint",0,2))</f>
        <v>0</v>
      </c>
      <c r="AG307" s="13" t="e">
        <f ca="1">IF($D$2="Egyszeri",IF($D$7&gt;=IF($D$4="Forint",Paraméterek!$P$223,Paraméterek!$P$224),$D$7-IF($D$4="Forint",Paraméterek!$P$223,Paraméterek!$P$224),0),MIN(IF($AB307=12,AVERAGEIF($E$20:$E307,"&gt;0",$E$20:$E307)*12,0),SUM($E$20:$E$31)))</f>
        <v>#DIV/0!</v>
      </c>
      <c r="AH307" s="13">
        <f>IF($AA307=10,$AG307*IF($AB307=12,IF($AG307&lt;IF($D$4="Forint",Paraméterek!$L$223,Paraméterek!$L$224),0,VLOOKUP($AA307,Paraméterek!$K$226:$M$228,IF($AG307&lt;IF($D$4="Forint",Paraméterek!$M$223,Paraméterek!$M$224),2,3))),0),0)</f>
        <v>0</v>
      </c>
      <c r="AI307" s="13">
        <f ca="1">IF(AND($AA307=$M$11+1,$AB307=$M$12+1),SUMIF($AA$20:$AA$1027,$AA307,$AG$20:$AG$1027)*IF(SUMIF($AA$20:$AA$1027,$AA307,$AG$20:$AG$1027)&lt;IF($D$4="Forint",Paraméterek!$L$223,Paraméterek!$L$224),0,VLOOKUP($AA307,Paraméterek!$K$230:$M$250,IF(SUMIF($AA$20:$AA$1027,$AA307,$AG$20:$AG$1027)&lt;IF($D$4="Forint",Paraméterek!$M$223,Paraméterek!$M$224),2,3))),0)</f>
        <v>0</v>
      </c>
      <c r="AJ307" s="13" t="e">
        <f ca="1">IF(AND($AA307&gt;=5,MOD($AA307,5)=0),IF($AB307=12,VLOOKUP($AA307,Paraméterek!$O$225:$P$240,2),0),IF(OR($AA307=3,$AA307=4),IF($AB307=12,VLOOKUP($AA307,Paraméterek!$O$225:$P$240,2,0),0),0))*$AG307</f>
        <v>#DIV/0!</v>
      </c>
      <c r="AK307" s="13">
        <f t="shared" ca="1" si="97"/>
        <v>0</v>
      </c>
      <c r="AL307" s="13">
        <f t="shared" ca="1" si="105"/>
        <v>0</v>
      </c>
      <c r="AM307" s="13">
        <f t="shared" ca="1" si="106"/>
        <v>0</v>
      </c>
      <c r="AO307" s="32">
        <v>288</v>
      </c>
      <c r="AP307" s="32">
        <v>24</v>
      </c>
      <c r="AQ307" s="32">
        <v>12</v>
      </c>
      <c r="AR307" s="13"/>
      <c r="AS307" s="32"/>
      <c r="AT307" s="13">
        <f t="shared" ca="1" si="107"/>
        <v>0</v>
      </c>
      <c r="AU307" s="33"/>
      <c r="AV307" s="13">
        <f t="shared" ca="1" si="98"/>
        <v>0</v>
      </c>
      <c r="AW307" s="13">
        <f ca="1">ROUNDUP(($AT307+$AV307)*VLOOKUP($AP307,Paraméterek!$P$38:$Q$38,2)/12*IF($D308="Nem",IF($M$13=0,1,$M$13),1),IF($D$4="Forint",0,2))</f>
        <v>0</v>
      </c>
      <c r="AX307" s="13">
        <f>Tranzakciók!$M$55</f>
        <v>0</v>
      </c>
      <c r="AY307" s="13"/>
      <c r="AZ307" s="13">
        <f>ROUNDUP(IF(SUM($AX307:$AY307)=0,0,IF(IF(ISBLANK($AY307),$AX307,$AY307)*Paraméterek!$J$112&lt;IF($D$4="Forint",Paraméterek!$J$113,Paraméterek!$K$113),IF($D$4="Forint",Paraméterek!$J$113,Paraméterek!$K$113),IF(IF(ISBLANK($AY307),$AX307,$AY307)*Paraméterek!$J$112&gt;IF($D$4="Forint",Paraméterek!$J$114,Paraméterek!$K$114),IF($D$4="Forint",Paraméterek!$J$114,Paraméterek!$K$114),IF(ISBLANK($AY307),$AX307,$AY307)*Paraméterek!$J$112))),IF($D$4="Forint",0,2))</f>
        <v>0</v>
      </c>
      <c r="BA307" s="13">
        <f ca="1">$AT307+$AV307-$AW307-IF(ROUNDDOWN(IF(ISBLANK($AY307),$AX307,$AY307),IF($D$4="Forint",0,2))&gt;$AT307+$AV307-$AW307-IF($D$4="Forint",Paraméterek!$J$114,Paraméterek!$K$114),0,ROUNDDOWN(IF(ISBLANK($AY307),$AX307,$AY307),IF($D$4="Forint",0,2))-$AZ307)</f>
        <v>0</v>
      </c>
      <c r="BB307" s="13">
        <f t="shared" ca="1" si="99"/>
        <v>0</v>
      </c>
      <c r="BD307" s="32">
        <v>288</v>
      </c>
      <c r="BE307" s="32">
        <v>24</v>
      </c>
      <c r="BF307" s="32">
        <v>12</v>
      </c>
      <c r="BG307" s="34">
        <f t="shared" ca="1" si="108"/>
        <v>2043</v>
      </c>
      <c r="BH307" s="32" t="str">
        <f ca="1">IF(MOD(MONTH($D$14)+$BD307-1,12)=Paraméterek!$C$288,"Igen","")</f>
        <v/>
      </c>
      <c r="BI307" s="13">
        <f ca="1">IF($BH307="Igen",MIN(ROUNDDOWN((SUMIF($BG$20:$BG$1027,$BG307-1,$K$20:$K$1027)-SUMIF($BG$20:$BG$1027,$BG307-1,$I$20:$I$1027))*Paraméterek!$C$289,IF($D$4="Forint",0,2)),IF($D$4="Forint",Paraméterek!$C$285,Paraméterek!$D$285)),0)</f>
        <v>0</v>
      </c>
      <c r="BJ307" s="13">
        <f t="shared" ca="1" si="100"/>
        <v>0</v>
      </c>
      <c r="BK307" s="13">
        <f t="shared" ca="1" si="109"/>
        <v>0</v>
      </c>
      <c r="BL307" s="33"/>
      <c r="BM307" s="13">
        <f t="shared" ca="1" si="101"/>
        <v>0</v>
      </c>
      <c r="BN307" s="13">
        <f ca="1">ROUNDUP(($BK307+$BM307)*VLOOKUP($BE307,Paraméterek!$P$38:$Q$38,2)/12*IF($D308="Nem",IF($M$13=0,1,$M$13),1),IF($D$4="Forint",0,2))</f>
        <v>0</v>
      </c>
      <c r="BO307" s="13">
        <f t="shared" ca="1" si="102"/>
        <v>0</v>
      </c>
      <c r="BP307" s="13">
        <f ca="1">IF($D308="Nem",$BO307,$BO307-ROUNDUP(SUM($BI$20:$BI307)*120%,IF($D$4="Forint",0,2)))</f>
        <v>0</v>
      </c>
    </row>
    <row r="308" spans="1:68" x14ac:dyDescent="0.2">
      <c r="A308" s="32">
        <v>289</v>
      </c>
      <c r="B308" s="32">
        <v>25</v>
      </c>
      <c r="C308" s="32">
        <v>1</v>
      </c>
      <c r="D308" s="32" t="str">
        <f t="shared" ca="1" si="88"/>
        <v>Nem</v>
      </c>
      <c r="E308" s="13">
        <f t="shared" ca="1" si="89"/>
        <v>0</v>
      </c>
      <c r="F308" s="13"/>
      <c r="G308" s="13">
        <f>Tranzakciók!$D$56</f>
        <v>0</v>
      </c>
      <c r="H308" s="13"/>
      <c r="I308" s="13">
        <f t="shared" ca="1" si="90"/>
        <v>0</v>
      </c>
      <c r="J308" s="13">
        <f t="shared" ca="1" si="91"/>
        <v>0</v>
      </c>
      <c r="K308" s="13">
        <f t="shared" ca="1" si="92"/>
        <v>0</v>
      </c>
      <c r="L308" s="13" t="e">
        <f ca="1">ROUNDUP(IF($D$2="Egyszeri",$E308,IF($D$2="Havi",SUM($E$20:$E$31),IF(MOD($C308,$M$1)-1=0,SUM($E$20:$E$31),0))/12*$M$1)*VLOOKUP($B308,Paraméterek!$I$28:$P$31,IF($D$2="Egyszeri",8,HLOOKUP(ROUNDUP($M$11+$M$13,0),Paraméterek!$J$26:$O$27,2))),IF($D$4="Forint",0,2))</f>
        <v>#N/A</v>
      </c>
      <c r="M308" s="13">
        <f t="shared" ca="1" si="93"/>
        <v>0</v>
      </c>
      <c r="N308" s="13">
        <f t="shared" ca="1" si="103"/>
        <v>0</v>
      </c>
      <c r="O308" s="13">
        <f ca="1">IF($D308="Igen",IF($W307&gt;=IF($D$4="Forint",Paraméterek!$J$121,Paraméterek!$K$121),0,IF($D$4="Forint",Paraméterek!$J$121,Paraméterek!$K$121)-$W307),0)</f>
        <v>0</v>
      </c>
      <c r="P308" s="13" t="e">
        <f ca="1">ROUNDUP($O308*VLOOKUP($M$4+$B308-1,Paraméterek!$H$58:$I$105,2,0)/Paraméterek!$I$56,IF($D$4="Forint",0,2))</f>
        <v>#N/A</v>
      </c>
      <c r="Q308" s="13">
        <f t="shared" ca="1" si="94"/>
        <v>0</v>
      </c>
      <c r="R308" s="33"/>
      <c r="S308" s="13" t="e">
        <f t="shared" ca="1" si="95"/>
        <v>#N/A</v>
      </c>
      <c r="T308" s="13" t="e">
        <f ca="1">ROUNDUP(($N308-$P308-$Q308+$S308)*VLOOKUP($B308,Paraméterek!$I$38:$K$39,IF($D$2="Egyszeri",3,2))/12*IF($D309="Nem",IF($M$13=0,1,$M$13),1),IF($D$4="Forint",0,2))</f>
        <v>#N/A</v>
      </c>
      <c r="U308" s="13"/>
      <c r="V308" s="13"/>
      <c r="W308" s="13" t="e">
        <f ca="1">$N308-$P308-$Q308+$S308-$T308-IF(ROUNDUP(IF(ISBLANK($V308),$U308*0,$V308)/IF($D$2="Egyszeri",VLOOKUP($B308+IF($C308=12,1,0),Paraméterek!$V$257:$W$262,2),IF($B308=1,1,VLOOKUP($B308+IF($C308=12,1,0),Paraméterek!$I$258:$T$278,HLOOKUP($M$11+1,Paraméterek!$J$256:$T$257,2)))),IF($D$4="Forint",0,2))&gt;$N308-$P308-$Q308+$S308-$T308-IF($D$4="Forint",Paraméterek!$C$216,Paraméterek!$D$216),0,ROUNDUP(IF(ISBLANK($V308),$U308*0,$V308)/IF($D$2="Egyszeri",VLOOKUP($B308+IF($C308=12,1,0),Paraméterek!$V$257:$W$262,2),IF($B308=1,1,VLOOKUP($B308+IF($C308=12,1,0),Paraméterek!$I$258:$T$278,HLOOKUP($M$11+1,Paraméterek!$J$256:$T$257,2)))),IF($D$4="Forint",0,2)))</f>
        <v>#N/A</v>
      </c>
      <c r="X308" s="13" t="e">
        <f ca="1">ROUNDDOWN($W308*IF($D$2="Egyszeri",VLOOKUP($B308+IF($C308=12,1,0),Paraméterek!$V$257:$W$262,2),VLOOKUP($B308+IF($C308=12,1,0),Paraméterek!$I$258:$T$278,HLOOKUP($M$11+1,Paraméterek!$I$256:$T$257,2))),IF($D$4="Forint",0,2))</f>
        <v>#N/A</v>
      </c>
      <c r="Z308" s="32">
        <v>289</v>
      </c>
      <c r="AA308" s="32">
        <v>25</v>
      </c>
      <c r="AB308" s="32">
        <v>1</v>
      </c>
      <c r="AC308" s="13">
        <f t="shared" ca="1" si="104"/>
        <v>0</v>
      </c>
      <c r="AD308" s="33"/>
      <c r="AE308" s="13">
        <f t="shared" ca="1" si="96"/>
        <v>0</v>
      </c>
      <c r="AF308" s="13">
        <f ca="1">ROUNDUP(($AC308+$AE308)*VLOOKUP($AA308,Paraméterek!$P$38:$Q$38,2)/12*IF($D309="Nem",IF($M$13=0,1,$M$13),1),IF($D$4="Forint",0,2))</f>
        <v>0</v>
      </c>
      <c r="AG308" s="13">
        <f ca="1">IF($D$2="Egyszeri",IF($D$7&gt;=IF($D$4="Forint",Paraméterek!$P$223,Paraméterek!$P$224),$D$7-IF($D$4="Forint",Paraméterek!$P$223,Paraméterek!$P$224),0),MIN(IF($AB308=12,AVERAGEIF($E$20:$E308,"&gt;0",$E$20:$E308)*12,0),SUM($E$20:$E$31)))</f>
        <v>0</v>
      </c>
      <c r="AH308" s="13">
        <f>IF($AA308=10,$AG308*IF($AB308=12,IF($AG308&lt;IF($D$4="Forint",Paraméterek!$L$223,Paraméterek!$L$224),0,VLOOKUP($AA308,Paraméterek!$K$226:$M$228,IF($AG308&lt;IF($D$4="Forint",Paraméterek!$M$223,Paraméterek!$M$224),2,3))),0),0)</f>
        <v>0</v>
      </c>
      <c r="AI308" s="13">
        <f ca="1">IF(AND($AA308=$M$11+1,$AB308=$M$12+1),SUMIF($AA$20:$AA$1027,$AA308,$AG$20:$AG$1027)*IF(SUMIF($AA$20:$AA$1027,$AA308,$AG$20:$AG$1027)&lt;IF($D$4="Forint",Paraméterek!$L$223,Paraméterek!$L$224),0,VLOOKUP($AA308,Paraméterek!$K$230:$M$250,IF(SUMIF($AA$20:$AA$1027,$AA308,$AG$20:$AG$1027)&lt;IF($D$4="Forint",Paraméterek!$M$223,Paraméterek!$M$224),2,3))),0)</f>
        <v>0</v>
      </c>
      <c r="AJ308" s="13">
        <f ca="1">IF(AND($AA308&gt;=5,MOD($AA308,5)=0),IF($AB308=12,VLOOKUP($AA308,Paraméterek!$O$225:$P$240,2),0),IF(OR($AA308=3,$AA308=4),IF($AB308=12,VLOOKUP($AA308,Paraméterek!$O$225:$P$240,2,0),0),0))*$AG308</f>
        <v>0</v>
      </c>
      <c r="AK308" s="13">
        <f t="shared" ca="1" si="97"/>
        <v>0</v>
      </c>
      <c r="AL308" s="13">
        <f t="shared" ca="1" si="105"/>
        <v>0</v>
      </c>
      <c r="AM308" s="13">
        <f t="shared" ca="1" si="106"/>
        <v>0</v>
      </c>
      <c r="AO308" s="32">
        <v>289</v>
      </c>
      <c r="AP308" s="32">
        <v>25</v>
      </c>
      <c r="AQ308" s="32">
        <v>1</v>
      </c>
      <c r="AR308" s="13">
        <f>Tranzakciók!$K$56</f>
        <v>0</v>
      </c>
      <c r="AS308" s="32"/>
      <c r="AT308" s="13">
        <f t="shared" ca="1" si="107"/>
        <v>0</v>
      </c>
      <c r="AU308" s="33"/>
      <c r="AV308" s="13">
        <f t="shared" ca="1" si="98"/>
        <v>0</v>
      </c>
      <c r="AW308" s="13">
        <f ca="1">ROUNDUP(($AT308+$AV308)*VLOOKUP($AP308,Paraméterek!$P$38:$Q$38,2)/12*IF($D309="Nem",IF($M$13=0,1,$M$13),1),IF($D$4="Forint",0,2))</f>
        <v>0</v>
      </c>
      <c r="AX308" s="13"/>
      <c r="AY308" s="13"/>
      <c r="AZ308" s="13">
        <f>ROUNDUP(IF(SUM($AX308:$AY308)=0,0,IF(IF(ISBLANK($AY308),$AX308,$AY308)*Paraméterek!$J$112&lt;IF($D$4="Forint",Paraméterek!$J$113,Paraméterek!$K$113),IF($D$4="Forint",Paraméterek!$J$113,Paraméterek!$K$113),IF(IF(ISBLANK($AY308),$AX308,$AY308)*Paraméterek!$J$112&gt;IF($D$4="Forint",Paraméterek!$J$114,Paraméterek!$K$114),IF($D$4="Forint",Paraméterek!$J$114,Paraméterek!$K$114),IF(ISBLANK($AY308),$AX308,$AY308)*Paraméterek!$J$112))),IF($D$4="Forint",0,2))</f>
        <v>0</v>
      </c>
      <c r="BA308" s="13">
        <f ca="1">$AT308+$AV308-$AW308-IF(ROUNDDOWN(IF(ISBLANK($AY308),$AX308,$AY308),IF($D$4="Forint",0,2))&gt;$AT308+$AV308-$AW308-IF($D$4="Forint",Paraméterek!$J$114,Paraméterek!$K$114),0,ROUNDDOWN(IF(ISBLANK($AY308),$AX308,$AY308),IF($D$4="Forint",0,2))-$AZ308)</f>
        <v>0</v>
      </c>
      <c r="BB308" s="13">
        <f t="shared" ca="1" si="99"/>
        <v>0</v>
      </c>
      <c r="BD308" s="32">
        <v>289</v>
      </c>
      <c r="BE308" s="32">
        <v>25</v>
      </c>
      <c r="BF308" s="32">
        <v>1</v>
      </c>
      <c r="BG308" s="34">
        <f t="shared" ca="1" si="108"/>
        <v>2043</v>
      </c>
      <c r="BH308" s="32" t="str">
        <f ca="1">IF(MOD(MONTH($D$14)+$BD308-1,12)=Paraméterek!$C$288,"Igen","")</f>
        <v/>
      </c>
      <c r="BI308" s="13">
        <f ca="1">IF($BH308="Igen",MIN(ROUNDDOWN((SUMIF($BG$20:$BG$1027,$BG308-1,$K$20:$K$1027)-SUMIF($BG$20:$BG$1027,$BG308-1,$I$20:$I$1027))*Paraméterek!$C$289,IF($D$4="Forint",0,2)),IF($D$4="Forint",Paraméterek!$C$285,Paraméterek!$D$285)),0)</f>
        <v>0</v>
      </c>
      <c r="BJ308" s="13">
        <f t="shared" ca="1" si="100"/>
        <v>0</v>
      </c>
      <c r="BK308" s="13">
        <f t="shared" ca="1" si="109"/>
        <v>0</v>
      </c>
      <c r="BL308" s="33"/>
      <c r="BM308" s="13">
        <f t="shared" ca="1" si="101"/>
        <v>0</v>
      </c>
      <c r="BN308" s="13">
        <f ca="1">ROUNDUP(($BK308+$BM308)*VLOOKUP($BE308,Paraméterek!$P$38:$Q$38,2)/12*IF($D309="Nem",IF($M$13=0,1,$M$13),1),IF($D$4="Forint",0,2))</f>
        <v>0</v>
      </c>
      <c r="BO308" s="13">
        <f t="shared" ca="1" si="102"/>
        <v>0</v>
      </c>
      <c r="BP308" s="13">
        <f ca="1">IF($D309="Nem",$BO308,$BO308-ROUNDUP(SUM($BI$20:$BI308)*120%,IF($D$4="Forint",0,2)))</f>
        <v>0</v>
      </c>
    </row>
    <row r="309" spans="1:68" x14ac:dyDescent="0.2">
      <c r="A309" s="32">
        <v>290</v>
      </c>
      <c r="B309" s="32">
        <v>25</v>
      </c>
      <c r="C309" s="32">
        <v>2</v>
      </c>
      <c r="D309" s="32" t="str">
        <f t="shared" ca="1" si="88"/>
        <v>Nem</v>
      </c>
      <c r="E309" s="13">
        <f t="shared" ca="1" si="89"/>
        <v>0</v>
      </c>
      <c r="F309" s="13"/>
      <c r="G309" s="13"/>
      <c r="H309" s="13"/>
      <c r="I309" s="13">
        <f t="shared" ca="1" si="90"/>
        <v>0</v>
      </c>
      <c r="J309" s="13">
        <f t="shared" ca="1" si="91"/>
        <v>0</v>
      </c>
      <c r="K309" s="13">
        <f t="shared" ca="1" si="92"/>
        <v>0</v>
      </c>
      <c r="L309" s="13" t="e">
        <f ca="1">ROUNDUP(IF($D$2="Egyszeri",$E309,IF($D$2="Havi",SUM($E$20:$E$31),IF(MOD($C309,$M$1)-1=0,SUM($E$20:$E$31),0))/12*$M$1)*VLOOKUP($B309,Paraméterek!$I$28:$P$31,IF($D$2="Egyszeri",8,HLOOKUP(ROUNDUP($M$11+$M$13,0),Paraméterek!$J$26:$O$27,2))),IF($D$4="Forint",0,2))</f>
        <v>#N/A</v>
      </c>
      <c r="M309" s="13">
        <f t="shared" ca="1" si="93"/>
        <v>0</v>
      </c>
      <c r="N309" s="13">
        <f t="shared" ca="1" si="103"/>
        <v>0</v>
      </c>
      <c r="O309" s="13">
        <f ca="1">IF($D309="Igen",IF($W308&gt;=IF($D$4="Forint",Paraméterek!$J$121,Paraméterek!$K$121),0,IF($D$4="Forint",Paraméterek!$J$121,Paraméterek!$K$121)-$W308),0)</f>
        <v>0</v>
      </c>
      <c r="P309" s="13" t="e">
        <f ca="1">ROUNDUP($O309*VLOOKUP($M$4+$B309-1,Paraméterek!$H$58:$I$105,2,0)/Paraméterek!$I$56,IF($D$4="Forint",0,2))</f>
        <v>#N/A</v>
      </c>
      <c r="Q309" s="13">
        <f t="shared" ca="1" si="94"/>
        <v>0</v>
      </c>
      <c r="R309" s="33"/>
      <c r="S309" s="13" t="e">
        <f t="shared" ca="1" si="95"/>
        <v>#N/A</v>
      </c>
      <c r="T309" s="13" t="e">
        <f ca="1">ROUNDUP(($N309-$P309-$Q309+$S309)*VLOOKUP($B309,Paraméterek!$I$38:$K$39,IF($D$2="Egyszeri",3,2))/12*IF($D310="Nem",IF($M$13=0,1,$M$13),1),IF($D$4="Forint",0,2))</f>
        <v>#N/A</v>
      </c>
      <c r="U309" s="13"/>
      <c r="V309" s="13"/>
      <c r="W309" s="13" t="e">
        <f ca="1">$N309-$P309-$Q309+$S309-$T309-IF(ROUNDUP(IF(ISBLANK($V309),$U309*0,$V309)/IF($D$2="Egyszeri",VLOOKUP($B309+IF($C309=12,1,0),Paraméterek!$V$257:$W$262,2),IF($B309=1,1,VLOOKUP($B309+IF($C309=12,1,0),Paraméterek!$I$258:$T$278,HLOOKUP($M$11+1,Paraméterek!$J$256:$T$257,2)))),IF($D$4="Forint",0,2))&gt;$N309-$P309-$Q309+$S309-$T309-IF($D$4="Forint",Paraméterek!$C$216,Paraméterek!$D$216),0,ROUNDUP(IF(ISBLANK($V309),$U309*0,$V309)/IF($D$2="Egyszeri",VLOOKUP($B309+IF($C309=12,1,0),Paraméterek!$V$257:$W$262,2),IF($B309=1,1,VLOOKUP($B309+IF($C309=12,1,0),Paraméterek!$I$258:$T$278,HLOOKUP($M$11+1,Paraméterek!$J$256:$T$257,2)))),IF($D$4="Forint",0,2)))</f>
        <v>#N/A</v>
      </c>
      <c r="X309" s="13" t="e">
        <f ca="1">ROUNDDOWN($W309*IF($D$2="Egyszeri",VLOOKUP($B309+IF($C309=12,1,0),Paraméterek!$V$257:$W$262,2),VLOOKUP($B309+IF($C309=12,1,0),Paraméterek!$I$258:$T$278,HLOOKUP($M$11+1,Paraméterek!$I$256:$T$257,2))),IF($D$4="Forint",0,2))</f>
        <v>#N/A</v>
      </c>
      <c r="Z309" s="32">
        <v>290</v>
      </c>
      <c r="AA309" s="32">
        <v>25</v>
      </c>
      <c r="AB309" s="32">
        <v>2</v>
      </c>
      <c r="AC309" s="13">
        <f t="shared" ca="1" si="104"/>
        <v>0</v>
      </c>
      <c r="AD309" s="33"/>
      <c r="AE309" s="13">
        <f t="shared" ca="1" si="96"/>
        <v>0</v>
      </c>
      <c r="AF309" s="13">
        <f ca="1">ROUNDUP(($AC309+$AE309)*VLOOKUP($AA309,Paraméterek!$P$38:$Q$38,2)/12*IF($D310="Nem",IF($M$13=0,1,$M$13),1),IF($D$4="Forint",0,2))</f>
        <v>0</v>
      </c>
      <c r="AG309" s="13">
        <f ca="1">IF($D$2="Egyszeri",IF($D$7&gt;=IF($D$4="Forint",Paraméterek!$P$223,Paraméterek!$P$224),$D$7-IF($D$4="Forint",Paraméterek!$P$223,Paraméterek!$P$224),0),MIN(IF($AB309=12,AVERAGEIF($E$20:$E309,"&gt;0",$E$20:$E309)*12,0),SUM($E$20:$E$31)))</f>
        <v>0</v>
      </c>
      <c r="AH309" s="13">
        <f>IF($AA309=10,$AG309*IF($AB309=12,IF($AG309&lt;IF($D$4="Forint",Paraméterek!$L$223,Paraméterek!$L$224),0,VLOOKUP($AA309,Paraméterek!$K$226:$M$228,IF($AG309&lt;IF($D$4="Forint",Paraméterek!$M$223,Paraméterek!$M$224),2,3))),0),0)</f>
        <v>0</v>
      </c>
      <c r="AI309" s="13">
        <f ca="1">IF(AND($AA309=$M$11+1,$AB309=$M$12+1),SUMIF($AA$20:$AA$1027,$AA309,$AG$20:$AG$1027)*IF(SUMIF($AA$20:$AA$1027,$AA309,$AG$20:$AG$1027)&lt;IF($D$4="Forint",Paraméterek!$L$223,Paraméterek!$L$224),0,VLOOKUP($AA309,Paraméterek!$K$230:$M$250,IF(SUMIF($AA$20:$AA$1027,$AA309,$AG$20:$AG$1027)&lt;IF($D$4="Forint",Paraméterek!$M$223,Paraméterek!$M$224),2,3))),0)</f>
        <v>0</v>
      </c>
      <c r="AJ309" s="13">
        <f ca="1">IF(AND($AA309&gt;=5,MOD($AA309,5)=0),IF($AB309=12,VLOOKUP($AA309,Paraméterek!$O$225:$P$240,2),0),IF(OR($AA309=3,$AA309=4),IF($AB309=12,VLOOKUP($AA309,Paraméterek!$O$225:$P$240,2,0),0),0))*$AG309</f>
        <v>0</v>
      </c>
      <c r="AK309" s="13">
        <f t="shared" ca="1" si="97"/>
        <v>0</v>
      </c>
      <c r="AL309" s="13">
        <f t="shared" ca="1" si="105"/>
        <v>0</v>
      </c>
      <c r="AM309" s="13">
        <f t="shared" ca="1" si="106"/>
        <v>0</v>
      </c>
      <c r="AO309" s="32">
        <v>290</v>
      </c>
      <c r="AP309" s="32">
        <v>25</v>
      </c>
      <c r="AQ309" s="32">
        <v>2</v>
      </c>
      <c r="AR309" s="13"/>
      <c r="AS309" s="32"/>
      <c r="AT309" s="13">
        <f t="shared" ca="1" si="107"/>
        <v>0</v>
      </c>
      <c r="AU309" s="33"/>
      <c r="AV309" s="13">
        <f t="shared" ca="1" si="98"/>
        <v>0</v>
      </c>
      <c r="AW309" s="13">
        <f ca="1">ROUNDUP(($AT309+$AV309)*VLOOKUP($AP309,Paraméterek!$P$38:$Q$38,2)/12*IF($D310="Nem",IF($M$13=0,1,$M$13),1),IF($D$4="Forint",0,2))</f>
        <v>0</v>
      </c>
      <c r="AX309" s="13"/>
      <c r="AY309" s="13"/>
      <c r="AZ309" s="13">
        <f>ROUNDUP(IF(SUM($AX309:$AY309)=0,0,IF(IF(ISBLANK($AY309),$AX309,$AY309)*Paraméterek!$J$112&lt;IF($D$4="Forint",Paraméterek!$J$113,Paraméterek!$K$113),IF($D$4="Forint",Paraméterek!$J$113,Paraméterek!$K$113),IF(IF(ISBLANK($AY309),$AX309,$AY309)*Paraméterek!$J$112&gt;IF($D$4="Forint",Paraméterek!$J$114,Paraméterek!$K$114),IF($D$4="Forint",Paraméterek!$J$114,Paraméterek!$K$114),IF(ISBLANK($AY309),$AX309,$AY309)*Paraméterek!$J$112))),IF($D$4="Forint",0,2))</f>
        <v>0</v>
      </c>
      <c r="BA309" s="13">
        <f ca="1">$AT309+$AV309-$AW309-IF(ROUNDDOWN(IF(ISBLANK($AY309),$AX309,$AY309),IF($D$4="Forint",0,2))&gt;$AT309+$AV309-$AW309-IF($D$4="Forint",Paraméterek!$J$114,Paraméterek!$K$114),0,ROUNDDOWN(IF(ISBLANK($AY309),$AX309,$AY309),IF($D$4="Forint",0,2))-$AZ309)</f>
        <v>0</v>
      </c>
      <c r="BB309" s="13">
        <f t="shared" ca="1" si="99"/>
        <v>0</v>
      </c>
      <c r="BD309" s="32">
        <v>290</v>
      </c>
      <c r="BE309" s="32">
        <v>25</v>
      </c>
      <c r="BF309" s="32">
        <v>2</v>
      </c>
      <c r="BG309" s="34">
        <f t="shared" ca="1" si="108"/>
        <v>2043</v>
      </c>
      <c r="BH309" s="32" t="str">
        <f ca="1">IF(MOD(MONTH($D$14)+$BD309-1,12)=Paraméterek!$C$288,"Igen","")</f>
        <v>Igen</v>
      </c>
      <c r="BI309" s="13">
        <f ca="1">IF($BH309="Igen",MIN(ROUNDDOWN((SUMIF($BG$20:$BG$1027,$BG309-1,$K$20:$K$1027)-SUMIF($BG$20:$BG$1027,$BG309-1,$I$20:$I$1027))*Paraméterek!$C$289,IF($D$4="Forint",0,2)),IF($D$4="Forint",Paraméterek!$C$285,Paraméterek!$D$285)),0)</f>
        <v>0</v>
      </c>
      <c r="BJ309" s="13">
        <f t="shared" ca="1" si="100"/>
        <v>0</v>
      </c>
      <c r="BK309" s="13">
        <f t="shared" ca="1" si="109"/>
        <v>0</v>
      </c>
      <c r="BL309" s="33"/>
      <c r="BM309" s="13">
        <f t="shared" ca="1" si="101"/>
        <v>0</v>
      </c>
      <c r="BN309" s="13">
        <f ca="1">ROUNDUP(($BK309+$BM309)*VLOOKUP($BE309,Paraméterek!$P$38:$Q$38,2)/12*IF($D310="Nem",IF($M$13=0,1,$M$13),1),IF($D$4="Forint",0,2))</f>
        <v>0</v>
      </c>
      <c r="BO309" s="13">
        <f t="shared" ca="1" si="102"/>
        <v>0</v>
      </c>
      <c r="BP309" s="13">
        <f ca="1">IF($D310="Nem",$BO309,$BO309-ROUNDUP(SUM($BI$20:$BI309)*120%,IF($D$4="Forint",0,2)))</f>
        <v>0</v>
      </c>
    </row>
    <row r="310" spans="1:68" x14ac:dyDescent="0.2">
      <c r="A310" s="32">
        <v>291</v>
      </c>
      <c r="B310" s="32">
        <v>25</v>
      </c>
      <c r="C310" s="32">
        <v>3</v>
      </c>
      <c r="D310" s="32" t="str">
        <f t="shared" ca="1" si="88"/>
        <v>Nem</v>
      </c>
      <c r="E310" s="13">
        <f t="shared" ca="1" si="89"/>
        <v>0</v>
      </c>
      <c r="F310" s="13"/>
      <c r="G310" s="13"/>
      <c r="H310" s="13"/>
      <c r="I310" s="13">
        <f t="shared" ca="1" si="90"/>
        <v>0</v>
      </c>
      <c r="J310" s="13">
        <f t="shared" ca="1" si="91"/>
        <v>0</v>
      </c>
      <c r="K310" s="13">
        <f t="shared" ca="1" si="92"/>
        <v>0</v>
      </c>
      <c r="L310" s="13" t="e">
        <f ca="1">ROUNDUP(IF($D$2="Egyszeri",$E310,IF($D$2="Havi",SUM($E$20:$E$31),IF(MOD($C310,$M$1)-1=0,SUM($E$20:$E$31),0))/12*$M$1)*VLOOKUP($B310,Paraméterek!$I$28:$P$31,IF($D$2="Egyszeri",8,HLOOKUP(ROUNDUP($M$11+$M$13,0),Paraméterek!$J$26:$O$27,2))),IF($D$4="Forint",0,2))</f>
        <v>#N/A</v>
      </c>
      <c r="M310" s="13">
        <f t="shared" ca="1" si="93"/>
        <v>0</v>
      </c>
      <c r="N310" s="13">
        <f t="shared" ca="1" si="103"/>
        <v>0</v>
      </c>
      <c r="O310" s="13">
        <f ca="1">IF($D310="Igen",IF($W309&gt;=IF($D$4="Forint",Paraméterek!$J$121,Paraméterek!$K$121),0,IF($D$4="Forint",Paraméterek!$J$121,Paraméterek!$K$121)-$W309),0)</f>
        <v>0</v>
      </c>
      <c r="P310" s="13" t="e">
        <f ca="1">ROUNDUP($O310*VLOOKUP($M$4+$B310-1,Paraméterek!$H$58:$I$105,2,0)/Paraméterek!$I$56,IF($D$4="Forint",0,2))</f>
        <v>#N/A</v>
      </c>
      <c r="Q310" s="13">
        <f t="shared" ca="1" si="94"/>
        <v>0</v>
      </c>
      <c r="R310" s="33"/>
      <c r="S310" s="13" t="e">
        <f t="shared" ca="1" si="95"/>
        <v>#N/A</v>
      </c>
      <c r="T310" s="13" t="e">
        <f ca="1">ROUNDUP(($N310-$P310-$Q310+$S310)*VLOOKUP($B310,Paraméterek!$I$38:$K$39,IF($D$2="Egyszeri",3,2))/12*IF($D311="Nem",IF($M$13=0,1,$M$13),1),IF($D$4="Forint",0,2))</f>
        <v>#N/A</v>
      </c>
      <c r="U310" s="13"/>
      <c r="V310" s="13"/>
      <c r="W310" s="13" t="e">
        <f ca="1">$N310-$P310-$Q310+$S310-$T310-IF(ROUNDUP(IF(ISBLANK($V310),$U310*0,$V310)/IF($D$2="Egyszeri",VLOOKUP($B310+IF($C310=12,1,0),Paraméterek!$V$257:$W$262,2),IF($B310=1,1,VLOOKUP($B310+IF($C310=12,1,0),Paraméterek!$I$258:$T$278,HLOOKUP($M$11+1,Paraméterek!$J$256:$T$257,2)))),IF($D$4="Forint",0,2))&gt;$N310-$P310-$Q310+$S310-$T310-IF($D$4="Forint",Paraméterek!$C$216,Paraméterek!$D$216),0,ROUNDUP(IF(ISBLANK($V310),$U310*0,$V310)/IF($D$2="Egyszeri",VLOOKUP($B310+IF($C310=12,1,0),Paraméterek!$V$257:$W$262,2),IF($B310=1,1,VLOOKUP($B310+IF($C310=12,1,0),Paraméterek!$I$258:$T$278,HLOOKUP($M$11+1,Paraméterek!$J$256:$T$257,2)))),IF($D$4="Forint",0,2)))</f>
        <v>#N/A</v>
      </c>
      <c r="X310" s="13" t="e">
        <f ca="1">ROUNDDOWN($W310*IF($D$2="Egyszeri",VLOOKUP($B310+IF($C310=12,1,0),Paraméterek!$V$257:$W$262,2),VLOOKUP($B310+IF($C310=12,1,0),Paraméterek!$I$258:$T$278,HLOOKUP($M$11+1,Paraméterek!$I$256:$T$257,2))),IF($D$4="Forint",0,2))</f>
        <v>#N/A</v>
      </c>
      <c r="Z310" s="32">
        <v>291</v>
      </c>
      <c r="AA310" s="32">
        <v>25</v>
      </c>
      <c r="AB310" s="32">
        <v>3</v>
      </c>
      <c r="AC310" s="13">
        <f t="shared" ca="1" si="104"/>
        <v>0</v>
      </c>
      <c r="AD310" s="33"/>
      <c r="AE310" s="13">
        <f t="shared" ca="1" si="96"/>
        <v>0</v>
      </c>
      <c r="AF310" s="13">
        <f ca="1">ROUNDUP(($AC310+$AE310)*VLOOKUP($AA310,Paraméterek!$P$38:$Q$38,2)/12*IF($D311="Nem",IF($M$13=0,1,$M$13),1),IF($D$4="Forint",0,2))</f>
        <v>0</v>
      </c>
      <c r="AG310" s="13">
        <f ca="1">IF($D$2="Egyszeri",IF($D$7&gt;=IF($D$4="Forint",Paraméterek!$P$223,Paraméterek!$P$224),$D$7-IF($D$4="Forint",Paraméterek!$P$223,Paraméterek!$P$224),0),MIN(IF($AB310=12,AVERAGEIF($E$20:$E310,"&gt;0",$E$20:$E310)*12,0),SUM($E$20:$E$31)))</f>
        <v>0</v>
      </c>
      <c r="AH310" s="13">
        <f>IF($AA310=10,$AG310*IF($AB310=12,IF($AG310&lt;IF($D$4="Forint",Paraméterek!$L$223,Paraméterek!$L$224),0,VLOOKUP($AA310,Paraméterek!$K$226:$M$228,IF($AG310&lt;IF($D$4="Forint",Paraméterek!$M$223,Paraméterek!$M$224),2,3))),0),0)</f>
        <v>0</v>
      </c>
      <c r="AI310" s="13">
        <f ca="1">IF(AND($AA310=$M$11+1,$AB310=$M$12+1),SUMIF($AA$20:$AA$1027,$AA310,$AG$20:$AG$1027)*IF(SUMIF($AA$20:$AA$1027,$AA310,$AG$20:$AG$1027)&lt;IF($D$4="Forint",Paraméterek!$L$223,Paraméterek!$L$224),0,VLOOKUP($AA310,Paraméterek!$K$230:$M$250,IF(SUMIF($AA$20:$AA$1027,$AA310,$AG$20:$AG$1027)&lt;IF($D$4="Forint",Paraméterek!$M$223,Paraméterek!$M$224),2,3))),0)</f>
        <v>0</v>
      </c>
      <c r="AJ310" s="13">
        <f ca="1">IF(AND($AA310&gt;=5,MOD($AA310,5)=0),IF($AB310=12,VLOOKUP($AA310,Paraméterek!$O$225:$P$240,2),0),IF(OR($AA310=3,$AA310=4),IF($AB310=12,VLOOKUP($AA310,Paraméterek!$O$225:$P$240,2,0),0),0))*$AG310</f>
        <v>0</v>
      </c>
      <c r="AK310" s="13">
        <f t="shared" ca="1" si="97"/>
        <v>0</v>
      </c>
      <c r="AL310" s="13">
        <f t="shared" ca="1" si="105"/>
        <v>0</v>
      </c>
      <c r="AM310" s="13">
        <f t="shared" ca="1" si="106"/>
        <v>0</v>
      </c>
      <c r="AO310" s="32">
        <v>291</v>
      </c>
      <c r="AP310" s="32">
        <v>25</v>
      </c>
      <c r="AQ310" s="32">
        <v>3</v>
      </c>
      <c r="AR310" s="13"/>
      <c r="AS310" s="32"/>
      <c r="AT310" s="13">
        <f t="shared" ca="1" si="107"/>
        <v>0</v>
      </c>
      <c r="AU310" s="33"/>
      <c r="AV310" s="13">
        <f t="shared" ca="1" si="98"/>
        <v>0</v>
      </c>
      <c r="AW310" s="13">
        <f ca="1">ROUNDUP(($AT310+$AV310)*VLOOKUP($AP310,Paraméterek!$P$38:$Q$38,2)/12*IF($D311="Nem",IF($M$13=0,1,$M$13),1),IF($D$4="Forint",0,2))</f>
        <v>0</v>
      </c>
      <c r="AX310" s="13"/>
      <c r="AY310" s="13"/>
      <c r="AZ310" s="13">
        <f>ROUNDUP(IF(SUM($AX310:$AY310)=0,0,IF(IF(ISBLANK($AY310),$AX310,$AY310)*Paraméterek!$J$112&lt;IF($D$4="Forint",Paraméterek!$J$113,Paraméterek!$K$113),IF($D$4="Forint",Paraméterek!$J$113,Paraméterek!$K$113),IF(IF(ISBLANK($AY310),$AX310,$AY310)*Paraméterek!$J$112&gt;IF($D$4="Forint",Paraméterek!$J$114,Paraméterek!$K$114),IF($D$4="Forint",Paraméterek!$J$114,Paraméterek!$K$114),IF(ISBLANK($AY310),$AX310,$AY310)*Paraméterek!$J$112))),IF($D$4="Forint",0,2))</f>
        <v>0</v>
      </c>
      <c r="BA310" s="13">
        <f ca="1">$AT310+$AV310-$AW310-IF(ROUNDDOWN(IF(ISBLANK($AY310),$AX310,$AY310),IF($D$4="Forint",0,2))&gt;$AT310+$AV310-$AW310-IF($D$4="Forint",Paraméterek!$J$114,Paraméterek!$K$114),0,ROUNDDOWN(IF(ISBLANK($AY310),$AX310,$AY310),IF($D$4="Forint",0,2))-$AZ310)</f>
        <v>0</v>
      </c>
      <c r="BB310" s="13">
        <f t="shared" ca="1" si="99"/>
        <v>0</v>
      </c>
      <c r="BD310" s="32">
        <v>291</v>
      </c>
      <c r="BE310" s="32">
        <v>25</v>
      </c>
      <c r="BF310" s="32">
        <v>3</v>
      </c>
      <c r="BG310" s="34">
        <f t="shared" ca="1" si="108"/>
        <v>2043</v>
      </c>
      <c r="BH310" s="32" t="str">
        <f ca="1">IF(MOD(MONTH($D$14)+$BD310-1,12)=Paraméterek!$C$288,"Igen","")</f>
        <v/>
      </c>
      <c r="BI310" s="13">
        <f ca="1">IF($BH310="Igen",MIN(ROUNDDOWN((SUMIF($BG$20:$BG$1027,$BG310-1,$K$20:$K$1027)-SUMIF($BG$20:$BG$1027,$BG310-1,$I$20:$I$1027))*Paraméterek!$C$289,IF($D$4="Forint",0,2)),IF($D$4="Forint",Paraméterek!$C$285,Paraméterek!$D$285)),0)</f>
        <v>0</v>
      </c>
      <c r="BJ310" s="13">
        <f t="shared" ca="1" si="100"/>
        <v>0</v>
      </c>
      <c r="BK310" s="13">
        <f t="shared" ca="1" si="109"/>
        <v>0</v>
      </c>
      <c r="BL310" s="33"/>
      <c r="BM310" s="13">
        <f t="shared" ca="1" si="101"/>
        <v>0</v>
      </c>
      <c r="BN310" s="13">
        <f ca="1">ROUNDUP(($BK310+$BM310)*VLOOKUP($BE310,Paraméterek!$P$38:$Q$38,2)/12*IF($D311="Nem",IF($M$13=0,1,$M$13),1),IF($D$4="Forint",0,2))</f>
        <v>0</v>
      </c>
      <c r="BO310" s="13">
        <f t="shared" ca="1" si="102"/>
        <v>0</v>
      </c>
      <c r="BP310" s="13">
        <f ca="1">IF($D311="Nem",$BO310,$BO310-ROUNDUP(SUM($BI$20:$BI310)*120%,IF($D$4="Forint",0,2)))</f>
        <v>0</v>
      </c>
    </row>
    <row r="311" spans="1:68" x14ac:dyDescent="0.2">
      <c r="A311" s="32">
        <v>292</v>
      </c>
      <c r="B311" s="32">
        <v>25</v>
      </c>
      <c r="C311" s="32">
        <v>4</v>
      </c>
      <c r="D311" s="32" t="str">
        <f t="shared" ca="1" si="88"/>
        <v>Nem</v>
      </c>
      <c r="E311" s="13">
        <f t="shared" ca="1" si="89"/>
        <v>0</v>
      </c>
      <c r="F311" s="13"/>
      <c r="G311" s="13"/>
      <c r="H311" s="13"/>
      <c r="I311" s="13">
        <f t="shared" ca="1" si="90"/>
        <v>0</v>
      </c>
      <c r="J311" s="13">
        <f t="shared" ca="1" si="91"/>
        <v>0</v>
      </c>
      <c r="K311" s="13">
        <f t="shared" ca="1" si="92"/>
        <v>0</v>
      </c>
      <c r="L311" s="13" t="e">
        <f ca="1">ROUNDUP(IF($D$2="Egyszeri",$E311,IF($D$2="Havi",SUM($E$20:$E$31),IF(MOD($C311,$M$1)-1=0,SUM($E$20:$E$31),0))/12*$M$1)*VLOOKUP($B311,Paraméterek!$I$28:$P$31,IF($D$2="Egyszeri",8,HLOOKUP(ROUNDUP($M$11+$M$13,0),Paraméterek!$J$26:$O$27,2))),IF($D$4="Forint",0,2))</f>
        <v>#N/A</v>
      </c>
      <c r="M311" s="13">
        <f t="shared" ca="1" si="93"/>
        <v>0</v>
      </c>
      <c r="N311" s="13">
        <f t="shared" ca="1" si="103"/>
        <v>0</v>
      </c>
      <c r="O311" s="13">
        <f ca="1">IF($D311="Igen",IF($W310&gt;=IF($D$4="Forint",Paraméterek!$J$121,Paraméterek!$K$121),0,IF($D$4="Forint",Paraméterek!$J$121,Paraméterek!$K$121)-$W310),0)</f>
        <v>0</v>
      </c>
      <c r="P311" s="13" t="e">
        <f ca="1">ROUNDUP($O311*VLOOKUP($M$4+$B311-1,Paraméterek!$H$58:$I$105,2,0)/Paraméterek!$I$56,IF($D$4="Forint",0,2))</f>
        <v>#N/A</v>
      </c>
      <c r="Q311" s="13">
        <f t="shared" ca="1" si="94"/>
        <v>0</v>
      </c>
      <c r="R311" s="33"/>
      <c r="S311" s="13" t="e">
        <f t="shared" ca="1" si="95"/>
        <v>#N/A</v>
      </c>
      <c r="T311" s="13" t="e">
        <f ca="1">ROUNDUP(($N311-$P311-$Q311+$S311)*VLOOKUP($B311,Paraméterek!$I$38:$K$39,IF($D$2="Egyszeri",3,2))/12*IF($D312="Nem",IF($M$13=0,1,$M$13),1),IF($D$4="Forint",0,2))</f>
        <v>#N/A</v>
      </c>
      <c r="U311" s="13"/>
      <c r="V311" s="13"/>
      <c r="W311" s="13" t="e">
        <f ca="1">$N311-$P311-$Q311+$S311-$T311-IF(ROUNDUP(IF(ISBLANK($V311),$U311*0,$V311)/IF($D$2="Egyszeri",VLOOKUP($B311+IF($C311=12,1,0),Paraméterek!$V$257:$W$262,2),IF($B311=1,1,VLOOKUP($B311+IF($C311=12,1,0),Paraméterek!$I$258:$T$278,HLOOKUP($M$11+1,Paraméterek!$J$256:$T$257,2)))),IF($D$4="Forint",0,2))&gt;$N311-$P311-$Q311+$S311-$T311-IF($D$4="Forint",Paraméterek!$C$216,Paraméterek!$D$216),0,ROUNDUP(IF(ISBLANK($V311),$U311*0,$V311)/IF($D$2="Egyszeri",VLOOKUP($B311+IF($C311=12,1,0),Paraméterek!$V$257:$W$262,2),IF($B311=1,1,VLOOKUP($B311+IF($C311=12,1,0),Paraméterek!$I$258:$T$278,HLOOKUP($M$11+1,Paraméterek!$J$256:$T$257,2)))),IF($D$4="Forint",0,2)))</f>
        <v>#N/A</v>
      </c>
      <c r="X311" s="13" t="e">
        <f ca="1">ROUNDDOWN($W311*IF($D$2="Egyszeri",VLOOKUP($B311+IF($C311=12,1,0),Paraméterek!$V$257:$W$262,2),VLOOKUP($B311+IF($C311=12,1,0),Paraméterek!$I$258:$T$278,HLOOKUP($M$11+1,Paraméterek!$I$256:$T$257,2))),IF($D$4="Forint",0,2))</f>
        <v>#N/A</v>
      </c>
      <c r="Z311" s="32">
        <v>292</v>
      </c>
      <c r="AA311" s="32">
        <v>25</v>
      </c>
      <c r="AB311" s="32">
        <v>4</v>
      </c>
      <c r="AC311" s="13">
        <f t="shared" ca="1" si="104"/>
        <v>0</v>
      </c>
      <c r="AD311" s="33"/>
      <c r="AE311" s="13">
        <f t="shared" ca="1" si="96"/>
        <v>0</v>
      </c>
      <c r="AF311" s="13">
        <f ca="1">ROUNDUP(($AC311+$AE311)*VLOOKUP($AA311,Paraméterek!$P$38:$Q$38,2)/12*IF($D312="Nem",IF($M$13=0,1,$M$13),1),IF($D$4="Forint",0,2))</f>
        <v>0</v>
      </c>
      <c r="AG311" s="13">
        <f ca="1">IF($D$2="Egyszeri",IF($D$7&gt;=IF($D$4="Forint",Paraméterek!$P$223,Paraméterek!$P$224),$D$7-IF($D$4="Forint",Paraméterek!$P$223,Paraméterek!$P$224),0),MIN(IF($AB311=12,AVERAGEIF($E$20:$E311,"&gt;0",$E$20:$E311)*12,0),SUM($E$20:$E$31)))</f>
        <v>0</v>
      </c>
      <c r="AH311" s="13">
        <f>IF($AA311=10,$AG311*IF($AB311=12,IF($AG311&lt;IF($D$4="Forint",Paraméterek!$L$223,Paraméterek!$L$224),0,VLOOKUP($AA311,Paraméterek!$K$226:$M$228,IF($AG311&lt;IF($D$4="Forint",Paraméterek!$M$223,Paraméterek!$M$224),2,3))),0),0)</f>
        <v>0</v>
      </c>
      <c r="AI311" s="13">
        <f ca="1">IF(AND($AA311=$M$11+1,$AB311=$M$12+1),SUMIF($AA$20:$AA$1027,$AA311,$AG$20:$AG$1027)*IF(SUMIF($AA$20:$AA$1027,$AA311,$AG$20:$AG$1027)&lt;IF($D$4="Forint",Paraméterek!$L$223,Paraméterek!$L$224),0,VLOOKUP($AA311,Paraméterek!$K$230:$M$250,IF(SUMIF($AA$20:$AA$1027,$AA311,$AG$20:$AG$1027)&lt;IF($D$4="Forint",Paraméterek!$M$223,Paraméterek!$M$224),2,3))),0)</f>
        <v>0</v>
      </c>
      <c r="AJ311" s="13">
        <f ca="1">IF(AND($AA311&gt;=5,MOD($AA311,5)=0),IF($AB311=12,VLOOKUP($AA311,Paraméterek!$O$225:$P$240,2),0),IF(OR($AA311=3,$AA311=4),IF($AB311=12,VLOOKUP($AA311,Paraméterek!$O$225:$P$240,2,0),0),0))*$AG311</f>
        <v>0</v>
      </c>
      <c r="AK311" s="13">
        <f t="shared" ca="1" si="97"/>
        <v>0</v>
      </c>
      <c r="AL311" s="13">
        <f t="shared" ca="1" si="105"/>
        <v>0</v>
      </c>
      <c r="AM311" s="13">
        <f t="shared" ca="1" si="106"/>
        <v>0</v>
      </c>
      <c r="AO311" s="32">
        <v>292</v>
      </c>
      <c r="AP311" s="32">
        <v>25</v>
      </c>
      <c r="AQ311" s="32">
        <v>4</v>
      </c>
      <c r="AR311" s="13"/>
      <c r="AS311" s="32"/>
      <c r="AT311" s="13">
        <f t="shared" ca="1" si="107"/>
        <v>0</v>
      </c>
      <c r="AU311" s="33"/>
      <c r="AV311" s="13">
        <f t="shared" ca="1" si="98"/>
        <v>0</v>
      </c>
      <c r="AW311" s="13">
        <f ca="1">ROUNDUP(($AT311+$AV311)*VLOOKUP($AP311,Paraméterek!$P$38:$Q$38,2)/12*IF($D312="Nem",IF($M$13=0,1,$M$13),1),IF($D$4="Forint",0,2))</f>
        <v>0</v>
      </c>
      <c r="AX311" s="13"/>
      <c r="AY311" s="13"/>
      <c r="AZ311" s="13">
        <f>ROUNDUP(IF(SUM($AX311:$AY311)=0,0,IF(IF(ISBLANK($AY311),$AX311,$AY311)*Paraméterek!$J$112&lt;IF($D$4="Forint",Paraméterek!$J$113,Paraméterek!$K$113),IF($D$4="Forint",Paraméterek!$J$113,Paraméterek!$K$113),IF(IF(ISBLANK($AY311),$AX311,$AY311)*Paraméterek!$J$112&gt;IF($D$4="Forint",Paraméterek!$J$114,Paraméterek!$K$114),IF($D$4="Forint",Paraméterek!$J$114,Paraméterek!$K$114),IF(ISBLANK($AY311),$AX311,$AY311)*Paraméterek!$J$112))),IF($D$4="Forint",0,2))</f>
        <v>0</v>
      </c>
      <c r="BA311" s="13">
        <f ca="1">$AT311+$AV311-$AW311-IF(ROUNDDOWN(IF(ISBLANK($AY311),$AX311,$AY311),IF($D$4="Forint",0,2))&gt;$AT311+$AV311-$AW311-IF($D$4="Forint",Paraméterek!$J$114,Paraméterek!$K$114),0,ROUNDDOWN(IF(ISBLANK($AY311),$AX311,$AY311),IF($D$4="Forint",0,2))-$AZ311)</f>
        <v>0</v>
      </c>
      <c r="BB311" s="13">
        <f t="shared" ca="1" si="99"/>
        <v>0</v>
      </c>
      <c r="BD311" s="32">
        <v>292</v>
      </c>
      <c r="BE311" s="32">
        <v>25</v>
      </c>
      <c r="BF311" s="32">
        <v>4</v>
      </c>
      <c r="BG311" s="34">
        <f t="shared" ca="1" si="108"/>
        <v>2043</v>
      </c>
      <c r="BH311" s="32" t="str">
        <f ca="1">IF(MOD(MONTH($D$14)+$BD311-1,12)=Paraméterek!$C$288,"Igen","")</f>
        <v/>
      </c>
      <c r="BI311" s="13">
        <f ca="1">IF($BH311="Igen",MIN(ROUNDDOWN((SUMIF($BG$20:$BG$1027,$BG311-1,$K$20:$K$1027)-SUMIF($BG$20:$BG$1027,$BG311-1,$I$20:$I$1027))*Paraméterek!$C$289,IF($D$4="Forint",0,2)),IF($D$4="Forint",Paraméterek!$C$285,Paraméterek!$D$285)),0)</f>
        <v>0</v>
      </c>
      <c r="BJ311" s="13">
        <f t="shared" ca="1" si="100"/>
        <v>0</v>
      </c>
      <c r="BK311" s="13">
        <f t="shared" ca="1" si="109"/>
        <v>0</v>
      </c>
      <c r="BL311" s="33"/>
      <c r="BM311" s="13">
        <f t="shared" ca="1" si="101"/>
        <v>0</v>
      </c>
      <c r="BN311" s="13">
        <f ca="1">ROUNDUP(($BK311+$BM311)*VLOOKUP($BE311,Paraméterek!$P$38:$Q$38,2)/12*IF($D312="Nem",IF($M$13=0,1,$M$13),1),IF($D$4="Forint",0,2))</f>
        <v>0</v>
      </c>
      <c r="BO311" s="13">
        <f t="shared" ca="1" si="102"/>
        <v>0</v>
      </c>
      <c r="BP311" s="13">
        <f ca="1">IF($D312="Nem",$BO311,$BO311-ROUNDUP(SUM($BI$20:$BI311)*120%,IF($D$4="Forint",0,2)))</f>
        <v>0</v>
      </c>
    </row>
    <row r="312" spans="1:68" x14ac:dyDescent="0.2">
      <c r="A312" s="32">
        <v>293</v>
      </c>
      <c r="B312" s="32">
        <v>25</v>
      </c>
      <c r="C312" s="32">
        <v>5</v>
      </c>
      <c r="D312" s="32" t="str">
        <f t="shared" ca="1" si="88"/>
        <v>Nem</v>
      </c>
      <c r="E312" s="13">
        <f t="shared" ca="1" si="89"/>
        <v>0</v>
      </c>
      <c r="F312" s="13"/>
      <c r="G312" s="13"/>
      <c r="H312" s="13"/>
      <c r="I312" s="13">
        <f t="shared" ca="1" si="90"/>
        <v>0</v>
      </c>
      <c r="J312" s="13">
        <f t="shared" ca="1" si="91"/>
        <v>0</v>
      </c>
      <c r="K312" s="13">
        <f t="shared" ca="1" si="92"/>
        <v>0</v>
      </c>
      <c r="L312" s="13" t="e">
        <f ca="1">ROUNDUP(IF($D$2="Egyszeri",$E312,IF($D$2="Havi",SUM($E$20:$E$31),IF(MOD($C312,$M$1)-1=0,SUM($E$20:$E$31),0))/12*$M$1)*VLOOKUP($B312,Paraméterek!$I$28:$P$31,IF($D$2="Egyszeri",8,HLOOKUP(ROUNDUP($M$11+$M$13,0),Paraméterek!$J$26:$O$27,2))),IF($D$4="Forint",0,2))</f>
        <v>#N/A</v>
      </c>
      <c r="M312" s="13">
        <f t="shared" ca="1" si="93"/>
        <v>0</v>
      </c>
      <c r="N312" s="13">
        <f t="shared" ca="1" si="103"/>
        <v>0</v>
      </c>
      <c r="O312" s="13">
        <f ca="1">IF($D312="Igen",IF($W311&gt;=IF($D$4="Forint",Paraméterek!$J$121,Paraméterek!$K$121),0,IF($D$4="Forint",Paraméterek!$J$121,Paraméterek!$K$121)-$W311),0)</f>
        <v>0</v>
      </c>
      <c r="P312" s="13" t="e">
        <f ca="1">ROUNDUP($O312*VLOOKUP($M$4+$B312-1,Paraméterek!$H$58:$I$105,2,0)/Paraméterek!$I$56,IF($D$4="Forint",0,2))</f>
        <v>#N/A</v>
      </c>
      <c r="Q312" s="13">
        <f t="shared" ca="1" si="94"/>
        <v>0</v>
      </c>
      <c r="R312" s="33"/>
      <c r="S312" s="13" t="e">
        <f t="shared" ca="1" si="95"/>
        <v>#N/A</v>
      </c>
      <c r="T312" s="13" t="e">
        <f ca="1">ROUNDUP(($N312-$P312-$Q312+$S312)*VLOOKUP($B312,Paraméterek!$I$38:$K$39,IF($D$2="Egyszeri",3,2))/12*IF($D313="Nem",IF($M$13=0,1,$M$13),1),IF($D$4="Forint",0,2))</f>
        <v>#N/A</v>
      </c>
      <c r="U312" s="13"/>
      <c r="V312" s="13"/>
      <c r="W312" s="13" t="e">
        <f ca="1">$N312-$P312-$Q312+$S312-$T312-IF(ROUNDUP(IF(ISBLANK($V312),$U312*0,$V312)/IF($D$2="Egyszeri",VLOOKUP($B312+IF($C312=12,1,0),Paraméterek!$V$257:$W$262,2),IF($B312=1,1,VLOOKUP($B312+IF($C312=12,1,0),Paraméterek!$I$258:$T$278,HLOOKUP($M$11+1,Paraméterek!$J$256:$T$257,2)))),IF($D$4="Forint",0,2))&gt;$N312-$P312-$Q312+$S312-$T312-IF($D$4="Forint",Paraméterek!$C$216,Paraméterek!$D$216),0,ROUNDUP(IF(ISBLANK($V312),$U312*0,$V312)/IF($D$2="Egyszeri",VLOOKUP($B312+IF($C312=12,1,0),Paraméterek!$V$257:$W$262,2),IF($B312=1,1,VLOOKUP($B312+IF($C312=12,1,0),Paraméterek!$I$258:$T$278,HLOOKUP($M$11+1,Paraméterek!$J$256:$T$257,2)))),IF($D$4="Forint",0,2)))</f>
        <v>#N/A</v>
      </c>
      <c r="X312" s="13" t="e">
        <f ca="1">ROUNDDOWN($W312*IF($D$2="Egyszeri",VLOOKUP($B312+IF($C312=12,1,0),Paraméterek!$V$257:$W$262,2),VLOOKUP($B312+IF($C312=12,1,0),Paraméterek!$I$258:$T$278,HLOOKUP($M$11+1,Paraméterek!$I$256:$T$257,2))),IF($D$4="Forint",0,2))</f>
        <v>#N/A</v>
      </c>
      <c r="Z312" s="32">
        <v>293</v>
      </c>
      <c r="AA312" s="32">
        <v>25</v>
      </c>
      <c r="AB312" s="32">
        <v>5</v>
      </c>
      <c r="AC312" s="13">
        <f t="shared" ca="1" si="104"/>
        <v>0</v>
      </c>
      <c r="AD312" s="33"/>
      <c r="AE312" s="13">
        <f t="shared" ca="1" si="96"/>
        <v>0</v>
      </c>
      <c r="AF312" s="13">
        <f ca="1">ROUNDUP(($AC312+$AE312)*VLOOKUP($AA312,Paraméterek!$P$38:$Q$38,2)/12*IF($D313="Nem",IF($M$13=0,1,$M$13),1),IF($D$4="Forint",0,2))</f>
        <v>0</v>
      </c>
      <c r="AG312" s="13">
        <f ca="1">IF($D$2="Egyszeri",IF($D$7&gt;=IF($D$4="Forint",Paraméterek!$P$223,Paraméterek!$P$224),$D$7-IF($D$4="Forint",Paraméterek!$P$223,Paraméterek!$P$224),0),MIN(IF($AB312=12,AVERAGEIF($E$20:$E312,"&gt;0",$E$20:$E312)*12,0),SUM($E$20:$E$31)))</f>
        <v>0</v>
      </c>
      <c r="AH312" s="13">
        <f>IF($AA312=10,$AG312*IF($AB312=12,IF($AG312&lt;IF($D$4="Forint",Paraméterek!$L$223,Paraméterek!$L$224),0,VLOOKUP($AA312,Paraméterek!$K$226:$M$228,IF($AG312&lt;IF($D$4="Forint",Paraméterek!$M$223,Paraméterek!$M$224),2,3))),0),0)</f>
        <v>0</v>
      </c>
      <c r="AI312" s="13">
        <f ca="1">IF(AND($AA312=$M$11+1,$AB312=$M$12+1),SUMIF($AA$20:$AA$1027,$AA312,$AG$20:$AG$1027)*IF(SUMIF($AA$20:$AA$1027,$AA312,$AG$20:$AG$1027)&lt;IF($D$4="Forint",Paraméterek!$L$223,Paraméterek!$L$224),0,VLOOKUP($AA312,Paraméterek!$K$230:$M$250,IF(SUMIF($AA$20:$AA$1027,$AA312,$AG$20:$AG$1027)&lt;IF($D$4="Forint",Paraméterek!$M$223,Paraméterek!$M$224),2,3))),0)</f>
        <v>0</v>
      </c>
      <c r="AJ312" s="13">
        <f ca="1">IF(AND($AA312&gt;=5,MOD($AA312,5)=0),IF($AB312=12,VLOOKUP($AA312,Paraméterek!$O$225:$P$240,2),0),IF(OR($AA312=3,$AA312=4),IF($AB312=12,VLOOKUP($AA312,Paraméterek!$O$225:$P$240,2,0),0),0))*$AG312</f>
        <v>0</v>
      </c>
      <c r="AK312" s="13">
        <f t="shared" ca="1" si="97"/>
        <v>0</v>
      </c>
      <c r="AL312" s="13">
        <f t="shared" ca="1" si="105"/>
        <v>0</v>
      </c>
      <c r="AM312" s="13">
        <f t="shared" ca="1" si="106"/>
        <v>0</v>
      </c>
      <c r="AO312" s="32">
        <v>293</v>
      </c>
      <c r="AP312" s="32">
        <v>25</v>
      </c>
      <c r="AQ312" s="32">
        <v>5</v>
      </c>
      <c r="AR312" s="13"/>
      <c r="AS312" s="32"/>
      <c r="AT312" s="13">
        <f t="shared" ca="1" si="107"/>
        <v>0</v>
      </c>
      <c r="AU312" s="33"/>
      <c r="AV312" s="13">
        <f t="shared" ca="1" si="98"/>
        <v>0</v>
      </c>
      <c r="AW312" s="13">
        <f ca="1">ROUNDUP(($AT312+$AV312)*VLOOKUP($AP312,Paraméterek!$P$38:$Q$38,2)/12*IF($D313="Nem",IF($M$13=0,1,$M$13),1),IF($D$4="Forint",0,2))</f>
        <v>0</v>
      </c>
      <c r="AX312" s="13"/>
      <c r="AY312" s="13"/>
      <c r="AZ312" s="13">
        <f>ROUNDUP(IF(SUM($AX312:$AY312)=0,0,IF(IF(ISBLANK($AY312),$AX312,$AY312)*Paraméterek!$J$112&lt;IF($D$4="Forint",Paraméterek!$J$113,Paraméterek!$K$113),IF($D$4="Forint",Paraméterek!$J$113,Paraméterek!$K$113),IF(IF(ISBLANK($AY312),$AX312,$AY312)*Paraméterek!$J$112&gt;IF($D$4="Forint",Paraméterek!$J$114,Paraméterek!$K$114),IF($D$4="Forint",Paraméterek!$J$114,Paraméterek!$K$114),IF(ISBLANK($AY312),$AX312,$AY312)*Paraméterek!$J$112))),IF($D$4="Forint",0,2))</f>
        <v>0</v>
      </c>
      <c r="BA312" s="13">
        <f ca="1">$AT312+$AV312-$AW312-IF(ROUNDDOWN(IF(ISBLANK($AY312),$AX312,$AY312),IF($D$4="Forint",0,2))&gt;$AT312+$AV312-$AW312-IF($D$4="Forint",Paraméterek!$J$114,Paraméterek!$K$114),0,ROUNDDOWN(IF(ISBLANK($AY312),$AX312,$AY312),IF($D$4="Forint",0,2))-$AZ312)</f>
        <v>0</v>
      </c>
      <c r="BB312" s="13">
        <f t="shared" ca="1" si="99"/>
        <v>0</v>
      </c>
      <c r="BD312" s="32">
        <v>293</v>
      </c>
      <c r="BE312" s="32">
        <v>25</v>
      </c>
      <c r="BF312" s="32">
        <v>5</v>
      </c>
      <c r="BG312" s="34">
        <f t="shared" ca="1" si="108"/>
        <v>2043</v>
      </c>
      <c r="BH312" s="32" t="str">
        <f ca="1">IF(MOD(MONTH($D$14)+$BD312-1,12)=Paraméterek!$C$288,"Igen","")</f>
        <v/>
      </c>
      <c r="BI312" s="13">
        <f ca="1">IF($BH312="Igen",MIN(ROUNDDOWN((SUMIF($BG$20:$BG$1027,$BG312-1,$K$20:$K$1027)-SUMIF($BG$20:$BG$1027,$BG312-1,$I$20:$I$1027))*Paraméterek!$C$289,IF($D$4="Forint",0,2)),IF($D$4="Forint",Paraméterek!$C$285,Paraméterek!$D$285)),0)</f>
        <v>0</v>
      </c>
      <c r="BJ312" s="13">
        <f t="shared" ca="1" si="100"/>
        <v>0</v>
      </c>
      <c r="BK312" s="13">
        <f t="shared" ca="1" si="109"/>
        <v>0</v>
      </c>
      <c r="BL312" s="33"/>
      <c r="BM312" s="13">
        <f t="shared" ca="1" si="101"/>
        <v>0</v>
      </c>
      <c r="BN312" s="13">
        <f ca="1">ROUNDUP(($BK312+$BM312)*VLOOKUP($BE312,Paraméterek!$P$38:$Q$38,2)/12*IF($D313="Nem",IF($M$13=0,1,$M$13),1),IF($D$4="Forint",0,2))</f>
        <v>0</v>
      </c>
      <c r="BO312" s="13">
        <f t="shared" ca="1" si="102"/>
        <v>0</v>
      </c>
      <c r="BP312" s="13">
        <f ca="1">IF($D313="Nem",$BO312,$BO312-ROUNDUP(SUM($BI$20:$BI312)*120%,IF($D$4="Forint",0,2)))</f>
        <v>0</v>
      </c>
    </row>
    <row r="313" spans="1:68" x14ac:dyDescent="0.2">
      <c r="A313" s="32">
        <v>294</v>
      </c>
      <c r="B313" s="32">
        <v>25</v>
      </c>
      <c r="C313" s="32">
        <v>6</v>
      </c>
      <c r="D313" s="32" t="str">
        <f t="shared" ca="1" si="88"/>
        <v>Nem</v>
      </c>
      <c r="E313" s="13">
        <f t="shared" ca="1" si="89"/>
        <v>0</v>
      </c>
      <c r="F313" s="13"/>
      <c r="G313" s="13"/>
      <c r="H313" s="13"/>
      <c r="I313" s="13">
        <f t="shared" ca="1" si="90"/>
        <v>0</v>
      </c>
      <c r="J313" s="13">
        <f t="shared" ca="1" si="91"/>
        <v>0</v>
      </c>
      <c r="K313" s="13">
        <f t="shared" ca="1" si="92"/>
        <v>0</v>
      </c>
      <c r="L313" s="13" t="e">
        <f ca="1">ROUNDUP(IF($D$2="Egyszeri",$E313,IF($D$2="Havi",SUM($E$20:$E$31),IF(MOD($C313,$M$1)-1=0,SUM($E$20:$E$31),0))/12*$M$1)*VLOOKUP($B313,Paraméterek!$I$28:$P$31,IF($D$2="Egyszeri",8,HLOOKUP(ROUNDUP($M$11+$M$13,0),Paraméterek!$J$26:$O$27,2))),IF($D$4="Forint",0,2))</f>
        <v>#N/A</v>
      </c>
      <c r="M313" s="13">
        <f t="shared" ca="1" si="93"/>
        <v>0</v>
      </c>
      <c r="N313" s="13">
        <f t="shared" ca="1" si="103"/>
        <v>0</v>
      </c>
      <c r="O313" s="13">
        <f ca="1">IF($D313="Igen",IF($W312&gt;=IF($D$4="Forint",Paraméterek!$J$121,Paraméterek!$K$121),0,IF($D$4="Forint",Paraméterek!$J$121,Paraméterek!$K$121)-$W312),0)</f>
        <v>0</v>
      </c>
      <c r="P313" s="13" t="e">
        <f ca="1">ROUNDUP($O313*VLOOKUP($M$4+$B313-1,Paraméterek!$H$58:$I$105,2,0)/Paraméterek!$I$56,IF($D$4="Forint",0,2))</f>
        <v>#N/A</v>
      </c>
      <c r="Q313" s="13">
        <f t="shared" ca="1" si="94"/>
        <v>0</v>
      </c>
      <c r="R313" s="33"/>
      <c r="S313" s="13" t="e">
        <f t="shared" ca="1" si="95"/>
        <v>#N/A</v>
      </c>
      <c r="T313" s="13" t="e">
        <f ca="1">ROUNDUP(($N313-$P313-$Q313+$S313)*VLOOKUP($B313,Paraméterek!$I$38:$K$39,IF($D$2="Egyszeri",3,2))/12*IF($D314="Nem",IF($M$13=0,1,$M$13),1),IF($D$4="Forint",0,2))</f>
        <v>#N/A</v>
      </c>
      <c r="U313" s="13"/>
      <c r="V313" s="13"/>
      <c r="W313" s="13" t="e">
        <f ca="1">$N313-$P313-$Q313+$S313-$T313-IF(ROUNDUP(IF(ISBLANK($V313),$U313*0,$V313)/IF($D$2="Egyszeri",VLOOKUP($B313+IF($C313=12,1,0),Paraméterek!$V$257:$W$262,2),IF($B313=1,1,VLOOKUP($B313+IF($C313=12,1,0),Paraméterek!$I$258:$T$278,HLOOKUP($M$11+1,Paraméterek!$J$256:$T$257,2)))),IF($D$4="Forint",0,2))&gt;$N313-$P313-$Q313+$S313-$T313-IF($D$4="Forint",Paraméterek!$C$216,Paraméterek!$D$216),0,ROUNDUP(IF(ISBLANK($V313),$U313*0,$V313)/IF($D$2="Egyszeri",VLOOKUP($B313+IF($C313=12,1,0),Paraméterek!$V$257:$W$262,2),IF($B313=1,1,VLOOKUP($B313+IF($C313=12,1,0),Paraméterek!$I$258:$T$278,HLOOKUP($M$11+1,Paraméterek!$J$256:$T$257,2)))),IF($D$4="Forint",0,2)))</f>
        <v>#N/A</v>
      </c>
      <c r="X313" s="13" t="e">
        <f ca="1">ROUNDDOWN($W313*IF($D$2="Egyszeri",VLOOKUP($B313+IF($C313=12,1,0),Paraméterek!$V$257:$W$262,2),VLOOKUP($B313+IF($C313=12,1,0),Paraméterek!$I$258:$T$278,HLOOKUP($M$11+1,Paraméterek!$I$256:$T$257,2))),IF($D$4="Forint",0,2))</f>
        <v>#N/A</v>
      </c>
      <c r="Z313" s="32">
        <v>294</v>
      </c>
      <c r="AA313" s="32">
        <v>25</v>
      </c>
      <c r="AB313" s="32">
        <v>6</v>
      </c>
      <c r="AC313" s="13">
        <f t="shared" ca="1" si="104"/>
        <v>0</v>
      </c>
      <c r="AD313" s="33"/>
      <c r="AE313" s="13">
        <f t="shared" ca="1" si="96"/>
        <v>0</v>
      </c>
      <c r="AF313" s="13">
        <f ca="1">ROUNDUP(($AC313+$AE313)*VLOOKUP($AA313,Paraméterek!$P$38:$Q$38,2)/12*IF($D314="Nem",IF($M$13=0,1,$M$13),1),IF($D$4="Forint",0,2))</f>
        <v>0</v>
      </c>
      <c r="AG313" s="13">
        <f ca="1">IF($D$2="Egyszeri",IF($D$7&gt;=IF($D$4="Forint",Paraméterek!$P$223,Paraméterek!$P$224),$D$7-IF($D$4="Forint",Paraméterek!$P$223,Paraméterek!$P$224),0),MIN(IF($AB313=12,AVERAGEIF($E$20:$E313,"&gt;0",$E$20:$E313)*12,0),SUM($E$20:$E$31)))</f>
        <v>0</v>
      </c>
      <c r="AH313" s="13">
        <f>IF($AA313=10,$AG313*IF($AB313=12,IF($AG313&lt;IF($D$4="Forint",Paraméterek!$L$223,Paraméterek!$L$224),0,VLOOKUP($AA313,Paraméterek!$K$226:$M$228,IF($AG313&lt;IF($D$4="Forint",Paraméterek!$M$223,Paraméterek!$M$224),2,3))),0),0)</f>
        <v>0</v>
      </c>
      <c r="AI313" s="13">
        <f ca="1">IF(AND($AA313=$M$11+1,$AB313=$M$12+1),SUMIF($AA$20:$AA$1027,$AA313,$AG$20:$AG$1027)*IF(SUMIF($AA$20:$AA$1027,$AA313,$AG$20:$AG$1027)&lt;IF($D$4="Forint",Paraméterek!$L$223,Paraméterek!$L$224),0,VLOOKUP($AA313,Paraméterek!$K$230:$M$250,IF(SUMIF($AA$20:$AA$1027,$AA313,$AG$20:$AG$1027)&lt;IF($D$4="Forint",Paraméterek!$M$223,Paraméterek!$M$224),2,3))),0)</f>
        <v>0</v>
      </c>
      <c r="AJ313" s="13">
        <f ca="1">IF(AND($AA313&gt;=5,MOD($AA313,5)=0),IF($AB313=12,VLOOKUP($AA313,Paraméterek!$O$225:$P$240,2),0),IF(OR($AA313=3,$AA313=4),IF($AB313=12,VLOOKUP($AA313,Paraméterek!$O$225:$P$240,2,0),0),0))*$AG313</f>
        <v>0</v>
      </c>
      <c r="AK313" s="13">
        <f t="shared" ca="1" si="97"/>
        <v>0</v>
      </c>
      <c r="AL313" s="13">
        <f t="shared" ca="1" si="105"/>
        <v>0</v>
      </c>
      <c r="AM313" s="13">
        <f t="shared" ca="1" si="106"/>
        <v>0</v>
      </c>
      <c r="AO313" s="32">
        <v>294</v>
      </c>
      <c r="AP313" s="32">
        <v>25</v>
      </c>
      <c r="AQ313" s="32">
        <v>6</v>
      </c>
      <c r="AR313" s="13"/>
      <c r="AS313" s="32"/>
      <c r="AT313" s="13">
        <f t="shared" ca="1" si="107"/>
        <v>0</v>
      </c>
      <c r="AU313" s="33"/>
      <c r="AV313" s="13">
        <f t="shared" ca="1" si="98"/>
        <v>0</v>
      </c>
      <c r="AW313" s="13">
        <f ca="1">ROUNDUP(($AT313+$AV313)*VLOOKUP($AP313,Paraméterek!$P$38:$Q$38,2)/12*IF($D314="Nem",IF($M$13=0,1,$M$13),1),IF($D$4="Forint",0,2))</f>
        <v>0</v>
      </c>
      <c r="AX313" s="13"/>
      <c r="AY313" s="13"/>
      <c r="AZ313" s="13">
        <f>ROUNDUP(IF(SUM($AX313:$AY313)=0,0,IF(IF(ISBLANK($AY313),$AX313,$AY313)*Paraméterek!$J$112&lt;IF($D$4="Forint",Paraméterek!$J$113,Paraméterek!$K$113),IF($D$4="Forint",Paraméterek!$J$113,Paraméterek!$K$113),IF(IF(ISBLANK($AY313),$AX313,$AY313)*Paraméterek!$J$112&gt;IF($D$4="Forint",Paraméterek!$J$114,Paraméterek!$K$114),IF($D$4="Forint",Paraméterek!$J$114,Paraméterek!$K$114),IF(ISBLANK($AY313),$AX313,$AY313)*Paraméterek!$J$112))),IF($D$4="Forint",0,2))</f>
        <v>0</v>
      </c>
      <c r="BA313" s="13">
        <f ca="1">$AT313+$AV313-$AW313-IF(ROUNDDOWN(IF(ISBLANK($AY313),$AX313,$AY313),IF($D$4="Forint",0,2))&gt;$AT313+$AV313-$AW313-IF($D$4="Forint",Paraméterek!$J$114,Paraméterek!$K$114),0,ROUNDDOWN(IF(ISBLANK($AY313),$AX313,$AY313),IF($D$4="Forint",0,2))-$AZ313)</f>
        <v>0</v>
      </c>
      <c r="BB313" s="13">
        <f t="shared" ca="1" si="99"/>
        <v>0</v>
      </c>
      <c r="BD313" s="32">
        <v>294</v>
      </c>
      <c r="BE313" s="32">
        <v>25</v>
      </c>
      <c r="BF313" s="32">
        <v>6</v>
      </c>
      <c r="BG313" s="34">
        <f t="shared" ca="1" si="108"/>
        <v>2043</v>
      </c>
      <c r="BH313" s="32" t="str">
        <f ca="1">IF(MOD(MONTH($D$14)+$BD313-1,12)=Paraméterek!$C$288,"Igen","")</f>
        <v/>
      </c>
      <c r="BI313" s="13">
        <f ca="1">IF($BH313="Igen",MIN(ROUNDDOWN((SUMIF($BG$20:$BG$1027,$BG313-1,$K$20:$K$1027)-SUMIF($BG$20:$BG$1027,$BG313-1,$I$20:$I$1027))*Paraméterek!$C$289,IF($D$4="Forint",0,2)),IF($D$4="Forint",Paraméterek!$C$285,Paraméterek!$D$285)),0)</f>
        <v>0</v>
      </c>
      <c r="BJ313" s="13">
        <f t="shared" ca="1" si="100"/>
        <v>0</v>
      </c>
      <c r="BK313" s="13">
        <f t="shared" ca="1" si="109"/>
        <v>0</v>
      </c>
      <c r="BL313" s="33"/>
      <c r="BM313" s="13">
        <f t="shared" ca="1" si="101"/>
        <v>0</v>
      </c>
      <c r="BN313" s="13">
        <f ca="1">ROUNDUP(($BK313+$BM313)*VLOOKUP($BE313,Paraméterek!$P$38:$Q$38,2)/12*IF($D314="Nem",IF($M$13=0,1,$M$13),1),IF($D$4="Forint",0,2))</f>
        <v>0</v>
      </c>
      <c r="BO313" s="13">
        <f t="shared" ca="1" si="102"/>
        <v>0</v>
      </c>
      <c r="BP313" s="13">
        <f ca="1">IF($D314="Nem",$BO313,$BO313-ROUNDUP(SUM($BI$20:$BI313)*120%,IF($D$4="Forint",0,2)))</f>
        <v>0</v>
      </c>
    </row>
    <row r="314" spans="1:68" x14ac:dyDescent="0.2">
      <c r="A314" s="32">
        <v>295</v>
      </c>
      <c r="B314" s="32">
        <v>25</v>
      </c>
      <c r="C314" s="32">
        <v>7</v>
      </c>
      <c r="D314" s="32" t="str">
        <f t="shared" ca="1" si="88"/>
        <v>Nem</v>
      </c>
      <c r="E314" s="13">
        <f t="shared" ca="1" si="89"/>
        <v>0</v>
      </c>
      <c r="F314" s="13"/>
      <c r="G314" s="13"/>
      <c r="H314" s="13"/>
      <c r="I314" s="13">
        <f t="shared" ca="1" si="90"/>
        <v>0</v>
      </c>
      <c r="J314" s="13">
        <f t="shared" ca="1" si="91"/>
        <v>0</v>
      </c>
      <c r="K314" s="13">
        <f t="shared" ca="1" si="92"/>
        <v>0</v>
      </c>
      <c r="L314" s="13" t="e">
        <f ca="1">ROUNDUP(IF($D$2="Egyszeri",$E314,IF($D$2="Havi",SUM($E$20:$E$31),IF(MOD($C314,$M$1)-1=0,SUM($E$20:$E$31),0))/12*$M$1)*VLOOKUP($B314,Paraméterek!$I$28:$P$31,IF($D$2="Egyszeri",8,HLOOKUP(ROUNDUP($M$11+$M$13,0),Paraméterek!$J$26:$O$27,2))),IF($D$4="Forint",0,2))</f>
        <v>#N/A</v>
      </c>
      <c r="M314" s="13">
        <f t="shared" ca="1" si="93"/>
        <v>0</v>
      </c>
      <c r="N314" s="13">
        <f t="shared" ca="1" si="103"/>
        <v>0</v>
      </c>
      <c r="O314" s="13">
        <f ca="1">IF($D314="Igen",IF($W313&gt;=IF($D$4="Forint",Paraméterek!$J$121,Paraméterek!$K$121),0,IF($D$4="Forint",Paraméterek!$J$121,Paraméterek!$K$121)-$W313),0)</f>
        <v>0</v>
      </c>
      <c r="P314" s="13" t="e">
        <f ca="1">ROUNDUP($O314*VLOOKUP($M$4+$B314-1,Paraméterek!$H$58:$I$105,2,0)/Paraméterek!$I$56,IF($D$4="Forint",0,2))</f>
        <v>#N/A</v>
      </c>
      <c r="Q314" s="13">
        <f t="shared" ca="1" si="94"/>
        <v>0</v>
      </c>
      <c r="R314" s="33"/>
      <c r="S314" s="13" t="e">
        <f t="shared" ca="1" si="95"/>
        <v>#N/A</v>
      </c>
      <c r="T314" s="13" t="e">
        <f ca="1">ROUNDUP(($N314-$P314-$Q314+$S314)*VLOOKUP($B314,Paraméterek!$I$38:$K$39,IF($D$2="Egyszeri",3,2))/12*IF($D315="Nem",IF($M$13=0,1,$M$13),1),IF($D$4="Forint",0,2))</f>
        <v>#N/A</v>
      </c>
      <c r="U314" s="13"/>
      <c r="V314" s="13"/>
      <c r="W314" s="13" t="e">
        <f ca="1">$N314-$P314-$Q314+$S314-$T314-IF(ROUNDUP(IF(ISBLANK($V314),$U314*0,$V314)/IF($D$2="Egyszeri",VLOOKUP($B314+IF($C314=12,1,0),Paraméterek!$V$257:$W$262,2),IF($B314=1,1,VLOOKUP($B314+IF($C314=12,1,0),Paraméterek!$I$258:$T$278,HLOOKUP($M$11+1,Paraméterek!$J$256:$T$257,2)))),IF($D$4="Forint",0,2))&gt;$N314-$P314-$Q314+$S314-$T314-IF($D$4="Forint",Paraméterek!$C$216,Paraméterek!$D$216),0,ROUNDUP(IF(ISBLANK($V314),$U314*0,$V314)/IF($D$2="Egyszeri",VLOOKUP($B314+IF($C314=12,1,0),Paraméterek!$V$257:$W$262,2),IF($B314=1,1,VLOOKUP($B314+IF($C314=12,1,0),Paraméterek!$I$258:$T$278,HLOOKUP($M$11+1,Paraméterek!$J$256:$T$257,2)))),IF($D$4="Forint",0,2)))</f>
        <v>#N/A</v>
      </c>
      <c r="X314" s="13" t="e">
        <f ca="1">ROUNDDOWN($W314*IF($D$2="Egyszeri",VLOOKUP($B314+IF($C314=12,1,0),Paraméterek!$V$257:$W$262,2),VLOOKUP($B314+IF($C314=12,1,0),Paraméterek!$I$258:$T$278,HLOOKUP($M$11+1,Paraméterek!$I$256:$T$257,2))),IF($D$4="Forint",0,2))</f>
        <v>#N/A</v>
      </c>
      <c r="Z314" s="32">
        <v>295</v>
      </c>
      <c r="AA314" s="32">
        <v>25</v>
      </c>
      <c r="AB314" s="32">
        <v>7</v>
      </c>
      <c r="AC314" s="13">
        <f t="shared" ca="1" si="104"/>
        <v>0</v>
      </c>
      <c r="AD314" s="33"/>
      <c r="AE314" s="13">
        <f t="shared" ca="1" si="96"/>
        <v>0</v>
      </c>
      <c r="AF314" s="13">
        <f ca="1">ROUNDUP(($AC314+$AE314)*VLOOKUP($AA314,Paraméterek!$P$38:$Q$38,2)/12*IF($D315="Nem",IF($M$13=0,1,$M$13),1),IF($D$4="Forint",0,2))</f>
        <v>0</v>
      </c>
      <c r="AG314" s="13">
        <f ca="1">IF($D$2="Egyszeri",IF($D$7&gt;=IF($D$4="Forint",Paraméterek!$P$223,Paraméterek!$P$224),$D$7-IF($D$4="Forint",Paraméterek!$P$223,Paraméterek!$P$224),0),MIN(IF($AB314=12,AVERAGEIF($E$20:$E314,"&gt;0",$E$20:$E314)*12,0),SUM($E$20:$E$31)))</f>
        <v>0</v>
      </c>
      <c r="AH314" s="13">
        <f>IF($AA314=10,$AG314*IF($AB314=12,IF($AG314&lt;IF($D$4="Forint",Paraméterek!$L$223,Paraméterek!$L$224),0,VLOOKUP($AA314,Paraméterek!$K$226:$M$228,IF($AG314&lt;IF($D$4="Forint",Paraméterek!$M$223,Paraméterek!$M$224),2,3))),0),0)</f>
        <v>0</v>
      </c>
      <c r="AI314" s="13">
        <f ca="1">IF(AND($AA314=$M$11+1,$AB314=$M$12+1),SUMIF($AA$20:$AA$1027,$AA314,$AG$20:$AG$1027)*IF(SUMIF($AA$20:$AA$1027,$AA314,$AG$20:$AG$1027)&lt;IF($D$4="Forint",Paraméterek!$L$223,Paraméterek!$L$224),0,VLOOKUP($AA314,Paraméterek!$K$230:$M$250,IF(SUMIF($AA$20:$AA$1027,$AA314,$AG$20:$AG$1027)&lt;IF($D$4="Forint",Paraméterek!$M$223,Paraméterek!$M$224),2,3))),0)</f>
        <v>0</v>
      </c>
      <c r="AJ314" s="13">
        <f ca="1">IF(AND($AA314&gt;=5,MOD($AA314,5)=0),IF($AB314=12,VLOOKUP($AA314,Paraméterek!$O$225:$P$240,2),0),IF(OR($AA314=3,$AA314=4),IF($AB314=12,VLOOKUP($AA314,Paraméterek!$O$225:$P$240,2,0),0),0))*$AG314</f>
        <v>0</v>
      </c>
      <c r="AK314" s="13">
        <f t="shared" ca="1" si="97"/>
        <v>0</v>
      </c>
      <c r="AL314" s="13">
        <f t="shared" ca="1" si="105"/>
        <v>0</v>
      </c>
      <c r="AM314" s="13">
        <f t="shared" ca="1" si="106"/>
        <v>0</v>
      </c>
      <c r="AO314" s="32">
        <v>295</v>
      </c>
      <c r="AP314" s="32">
        <v>25</v>
      </c>
      <c r="AQ314" s="32">
        <v>7</v>
      </c>
      <c r="AR314" s="13"/>
      <c r="AS314" s="32"/>
      <c r="AT314" s="13">
        <f t="shared" ca="1" si="107"/>
        <v>0</v>
      </c>
      <c r="AU314" s="33"/>
      <c r="AV314" s="13">
        <f t="shared" ca="1" si="98"/>
        <v>0</v>
      </c>
      <c r="AW314" s="13">
        <f ca="1">ROUNDUP(($AT314+$AV314)*VLOOKUP($AP314,Paraméterek!$P$38:$Q$38,2)/12*IF($D315="Nem",IF($M$13=0,1,$M$13),1),IF($D$4="Forint",0,2))</f>
        <v>0</v>
      </c>
      <c r="AX314" s="13"/>
      <c r="AY314" s="13"/>
      <c r="AZ314" s="13">
        <f>ROUNDUP(IF(SUM($AX314:$AY314)=0,0,IF(IF(ISBLANK($AY314),$AX314,$AY314)*Paraméterek!$J$112&lt;IF($D$4="Forint",Paraméterek!$J$113,Paraméterek!$K$113),IF($D$4="Forint",Paraméterek!$J$113,Paraméterek!$K$113),IF(IF(ISBLANK($AY314),$AX314,$AY314)*Paraméterek!$J$112&gt;IF($D$4="Forint",Paraméterek!$J$114,Paraméterek!$K$114),IF($D$4="Forint",Paraméterek!$J$114,Paraméterek!$K$114),IF(ISBLANK($AY314),$AX314,$AY314)*Paraméterek!$J$112))),IF($D$4="Forint",0,2))</f>
        <v>0</v>
      </c>
      <c r="BA314" s="13">
        <f ca="1">$AT314+$AV314-$AW314-IF(ROUNDDOWN(IF(ISBLANK($AY314),$AX314,$AY314),IF($D$4="Forint",0,2))&gt;$AT314+$AV314-$AW314-IF($D$4="Forint",Paraméterek!$J$114,Paraméterek!$K$114),0,ROUNDDOWN(IF(ISBLANK($AY314),$AX314,$AY314),IF($D$4="Forint",0,2))-$AZ314)</f>
        <v>0</v>
      </c>
      <c r="BB314" s="13">
        <f t="shared" ca="1" si="99"/>
        <v>0</v>
      </c>
      <c r="BD314" s="32">
        <v>295</v>
      </c>
      <c r="BE314" s="32">
        <v>25</v>
      </c>
      <c r="BF314" s="32">
        <v>7</v>
      </c>
      <c r="BG314" s="34">
        <f t="shared" ca="1" si="108"/>
        <v>2043</v>
      </c>
      <c r="BH314" s="32" t="str">
        <f ca="1">IF(MOD(MONTH($D$14)+$BD314-1,12)=Paraméterek!$C$288,"Igen","")</f>
        <v/>
      </c>
      <c r="BI314" s="13">
        <f ca="1">IF($BH314="Igen",MIN(ROUNDDOWN((SUMIF($BG$20:$BG$1027,$BG314-1,$K$20:$K$1027)-SUMIF($BG$20:$BG$1027,$BG314-1,$I$20:$I$1027))*Paraméterek!$C$289,IF($D$4="Forint",0,2)),IF($D$4="Forint",Paraméterek!$C$285,Paraméterek!$D$285)),0)</f>
        <v>0</v>
      </c>
      <c r="BJ314" s="13">
        <f t="shared" ca="1" si="100"/>
        <v>0</v>
      </c>
      <c r="BK314" s="13">
        <f t="shared" ca="1" si="109"/>
        <v>0</v>
      </c>
      <c r="BL314" s="33"/>
      <c r="BM314" s="13">
        <f t="shared" ca="1" si="101"/>
        <v>0</v>
      </c>
      <c r="BN314" s="13">
        <f ca="1">ROUNDUP(($BK314+$BM314)*VLOOKUP($BE314,Paraméterek!$P$38:$Q$38,2)/12*IF($D315="Nem",IF($M$13=0,1,$M$13),1),IF($D$4="Forint",0,2))</f>
        <v>0</v>
      </c>
      <c r="BO314" s="13">
        <f t="shared" ca="1" si="102"/>
        <v>0</v>
      </c>
      <c r="BP314" s="13">
        <f ca="1">IF($D315="Nem",$BO314,$BO314-ROUNDUP(SUM($BI$20:$BI314)*120%,IF($D$4="Forint",0,2)))</f>
        <v>0</v>
      </c>
    </row>
    <row r="315" spans="1:68" x14ac:dyDescent="0.2">
      <c r="A315" s="32">
        <v>296</v>
      </c>
      <c r="B315" s="32">
        <v>25</v>
      </c>
      <c r="C315" s="32">
        <v>8</v>
      </c>
      <c r="D315" s="32" t="str">
        <f t="shared" ca="1" si="88"/>
        <v>Nem</v>
      </c>
      <c r="E315" s="13">
        <f t="shared" ca="1" si="89"/>
        <v>0</v>
      </c>
      <c r="F315" s="13"/>
      <c r="G315" s="13"/>
      <c r="H315" s="13"/>
      <c r="I315" s="13">
        <f t="shared" ca="1" si="90"/>
        <v>0</v>
      </c>
      <c r="J315" s="13">
        <f t="shared" ca="1" si="91"/>
        <v>0</v>
      </c>
      <c r="K315" s="13">
        <f t="shared" ca="1" si="92"/>
        <v>0</v>
      </c>
      <c r="L315" s="13" t="e">
        <f ca="1">ROUNDUP(IF($D$2="Egyszeri",$E315,IF($D$2="Havi",SUM($E$20:$E$31),IF(MOD($C315,$M$1)-1=0,SUM($E$20:$E$31),0))/12*$M$1)*VLOOKUP($B315,Paraméterek!$I$28:$P$31,IF($D$2="Egyszeri",8,HLOOKUP(ROUNDUP($M$11+$M$13,0),Paraméterek!$J$26:$O$27,2))),IF($D$4="Forint",0,2))</f>
        <v>#N/A</v>
      </c>
      <c r="M315" s="13">
        <f t="shared" ca="1" si="93"/>
        <v>0</v>
      </c>
      <c r="N315" s="13">
        <f t="shared" ca="1" si="103"/>
        <v>0</v>
      </c>
      <c r="O315" s="13">
        <f ca="1">IF($D315="Igen",IF($W314&gt;=IF($D$4="Forint",Paraméterek!$J$121,Paraméterek!$K$121),0,IF($D$4="Forint",Paraméterek!$J$121,Paraméterek!$K$121)-$W314),0)</f>
        <v>0</v>
      </c>
      <c r="P315" s="13" t="e">
        <f ca="1">ROUNDUP($O315*VLOOKUP($M$4+$B315-1,Paraméterek!$H$58:$I$105,2,0)/Paraméterek!$I$56,IF($D$4="Forint",0,2))</f>
        <v>#N/A</v>
      </c>
      <c r="Q315" s="13">
        <f t="shared" ca="1" si="94"/>
        <v>0</v>
      </c>
      <c r="R315" s="33"/>
      <c r="S315" s="13" t="e">
        <f t="shared" ca="1" si="95"/>
        <v>#N/A</v>
      </c>
      <c r="T315" s="13" t="e">
        <f ca="1">ROUNDUP(($N315-$P315-$Q315+$S315)*VLOOKUP($B315,Paraméterek!$I$38:$K$39,IF($D$2="Egyszeri",3,2))/12*IF($D316="Nem",IF($M$13=0,1,$M$13),1),IF($D$4="Forint",0,2))</f>
        <v>#N/A</v>
      </c>
      <c r="U315" s="13"/>
      <c r="V315" s="13"/>
      <c r="W315" s="13" t="e">
        <f ca="1">$N315-$P315-$Q315+$S315-$T315-IF(ROUNDUP(IF(ISBLANK($V315),$U315*0,$V315)/IF($D$2="Egyszeri",VLOOKUP($B315+IF($C315=12,1,0),Paraméterek!$V$257:$W$262,2),IF($B315=1,1,VLOOKUP($B315+IF($C315=12,1,0),Paraméterek!$I$258:$T$278,HLOOKUP($M$11+1,Paraméterek!$J$256:$T$257,2)))),IF($D$4="Forint",0,2))&gt;$N315-$P315-$Q315+$S315-$T315-IF($D$4="Forint",Paraméterek!$C$216,Paraméterek!$D$216),0,ROUNDUP(IF(ISBLANK($V315),$U315*0,$V315)/IF($D$2="Egyszeri",VLOOKUP($B315+IF($C315=12,1,0),Paraméterek!$V$257:$W$262,2),IF($B315=1,1,VLOOKUP($B315+IF($C315=12,1,0),Paraméterek!$I$258:$T$278,HLOOKUP($M$11+1,Paraméterek!$J$256:$T$257,2)))),IF($D$4="Forint",0,2)))</f>
        <v>#N/A</v>
      </c>
      <c r="X315" s="13" t="e">
        <f ca="1">ROUNDDOWN($W315*IF($D$2="Egyszeri",VLOOKUP($B315+IF($C315=12,1,0),Paraméterek!$V$257:$W$262,2),VLOOKUP($B315+IF($C315=12,1,0),Paraméterek!$I$258:$T$278,HLOOKUP($M$11+1,Paraméterek!$I$256:$T$257,2))),IF($D$4="Forint",0,2))</f>
        <v>#N/A</v>
      </c>
      <c r="Z315" s="32">
        <v>296</v>
      </c>
      <c r="AA315" s="32">
        <v>25</v>
      </c>
      <c r="AB315" s="32">
        <v>8</v>
      </c>
      <c r="AC315" s="13">
        <f t="shared" ca="1" si="104"/>
        <v>0</v>
      </c>
      <c r="AD315" s="33"/>
      <c r="AE315" s="13">
        <f t="shared" ca="1" si="96"/>
        <v>0</v>
      </c>
      <c r="AF315" s="13">
        <f ca="1">ROUNDUP(($AC315+$AE315)*VLOOKUP($AA315,Paraméterek!$P$38:$Q$38,2)/12*IF($D316="Nem",IF($M$13=0,1,$M$13),1),IF($D$4="Forint",0,2))</f>
        <v>0</v>
      </c>
      <c r="AG315" s="13">
        <f ca="1">IF($D$2="Egyszeri",IF($D$7&gt;=IF($D$4="Forint",Paraméterek!$P$223,Paraméterek!$P$224),$D$7-IF($D$4="Forint",Paraméterek!$P$223,Paraméterek!$P$224),0),MIN(IF($AB315=12,AVERAGEIF($E$20:$E315,"&gt;0",$E$20:$E315)*12,0),SUM($E$20:$E$31)))</f>
        <v>0</v>
      </c>
      <c r="AH315" s="13">
        <f>IF($AA315=10,$AG315*IF($AB315=12,IF($AG315&lt;IF($D$4="Forint",Paraméterek!$L$223,Paraméterek!$L$224),0,VLOOKUP($AA315,Paraméterek!$K$226:$M$228,IF($AG315&lt;IF($D$4="Forint",Paraméterek!$M$223,Paraméterek!$M$224),2,3))),0),0)</f>
        <v>0</v>
      </c>
      <c r="AI315" s="13">
        <f ca="1">IF(AND($AA315=$M$11+1,$AB315=$M$12+1),SUMIF($AA$20:$AA$1027,$AA315,$AG$20:$AG$1027)*IF(SUMIF($AA$20:$AA$1027,$AA315,$AG$20:$AG$1027)&lt;IF($D$4="Forint",Paraméterek!$L$223,Paraméterek!$L$224),0,VLOOKUP($AA315,Paraméterek!$K$230:$M$250,IF(SUMIF($AA$20:$AA$1027,$AA315,$AG$20:$AG$1027)&lt;IF($D$4="Forint",Paraméterek!$M$223,Paraméterek!$M$224),2,3))),0)</f>
        <v>0</v>
      </c>
      <c r="AJ315" s="13">
        <f ca="1">IF(AND($AA315&gt;=5,MOD($AA315,5)=0),IF($AB315=12,VLOOKUP($AA315,Paraméterek!$O$225:$P$240,2),0),IF(OR($AA315=3,$AA315=4),IF($AB315=12,VLOOKUP($AA315,Paraméterek!$O$225:$P$240,2,0),0),0))*$AG315</f>
        <v>0</v>
      </c>
      <c r="AK315" s="13">
        <f t="shared" ca="1" si="97"/>
        <v>0</v>
      </c>
      <c r="AL315" s="13">
        <f t="shared" ca="1" si="105"/>
        <v>0</v>
      </c>
      <c r="AM315" s="13">
        <f t="shared" ca="1" si="106"/>
        <v>0</v>
      </c>
      <c r="AO315" s="32">
        <v>296</v>
      </c>
      <c r="AP315" s="32">
        <v>25</v>
      </c>
      <c r="AQ315" s="32">
        <v>8</v>
      </c>
      <c r="AR315" s="13"/>
      <c r="AS315" s="32"/>
      <c r="AT315" s="13">
        <f t="shared" ca="1" si="107"/>
        <v>0</v>
      </c>
      <c r="AU315" s="33"/>
      <c r="AV315" s="13">
        <f t="shared" ca="1" si="98"/>
        <v>0</v>
      </c>
      <c r="AW315" s="13">
        <f ca="1">ROUNDUP(($AT315+$AV315)*VLOOKUP($AP315,Paraméterek!$P$38:$Q$38,2)/12*IF($D316="Nem",IF($M$13=0,1,$M$13),1),IF($D$4="Forint",0,2))</f>
        <v>0</v>
      </c>
      <c r="AX315" s="13"/>
      <c r="AY315" s="13"/>
      <c r="AZ315" s="13">
        <f>ROUNDUP(IF(SUM($AX315:$AY315)=0,0,IF(IF(ISBLANK($AY315),$AX315,$AY315)*Paraméterek!$J$112&lt;IF($D$4="Forint",Paraméterek!$J$113,Paraméterek!$K$113),IF($D$4="Forint",Paraméterek!$J$113,Paraméterek!$K$113),IF(IF(ISBLANK($AY315),$AX315,$AY315)*Paraméterek!$J$112&gt;IF($D$4="Forint",Paraméterek!$J$114,Paraméterek!$K$114),IF($D$4="Forint",Paraméterek!$J$114,Paraméterek!$K$114),IF(ISBLANK($AY315),$AX315,$AY315)*Paraméterek!$J$112))),IF($D$4="Forint",0,2))</f>
        <v>0</v>
      </c>
      <c r="BA315" s="13">
        <f ca="1">$AT315+$AV315-$AW315-IF(ROUNDDOWN(IF(ISBLANK($AY315),$AX315,$AY315),IF($D$4="Forint",0,2))&gt;$AT315+$AV315-$AW315-IF($D$4="Forint",Paraméterek!$J$114,Paraméterek!$K$114),0,ROUNDDOWN(IF(ISBLANK($AY315),$AX315,$AY315),IF($D$4="Forint",0,2))-$AZ315)</f>
        <v>0</v>
      </c>
      <c r="BB315" s="13">
        <f t="shared" ca="1" si="99"/>
        <v>0</v>
      </c>
      <c r="BD315" s="32">
        <v>296</v>
      </c>
      <c r="BE315" s="32">
        <v>25</v>
      </c>
      <c r="BF315" s="32">
        <v>8</v>
      </c>
      <c r="BG315" s="34">
        <f t="shared" ca="1" si="108"/>
        <v>2044</v>
      </c>
      <c r="BH315" s="32" t="str">
        <f ca="1">IF(MOD(MONTH($D$14)+$BD315-1,12)=Paraméterek!$C$288,"Igen","")</f>
        <v/>
      </c>
      <c r="BI315" s="13">
        <f ca="1">IF($BH315="Igen",MIN(ROUNDDOWN((SUMIF($BG$20:$BG$1027,$BG315-1,$K$20:$K$1027)-SUMIF($BG$20:$BG$1027,$BG315-1,$I$20:$I$1027))*Paraméterek!$C$289,IF($D$4="Forint",0,2)),IF($D$4="Forint",Paraméterek!$C$285,Paraméterek!$D$285)),0)</f>
        <v>0</v>
      </c>
      <c r="BJ315" s="13">
        <f t="shared" ca="1" si="100"/>
        <v>0</v>
      </c>
      <c r="BK315" s="13">
        <f t="shared" ca="1" si="109"/>
        <v>0</v>
      </c>
      <c r="BL315" s="33"/>
      <c r="BM315" s="13">
        <f t="shared" ca="1" si="101"/>
        <v>0</v>
      </c>
      <c r="BN315" s="13">
        <f ca="1">ROUNDUP(($BK315+$BM315)*VLOOKUP($BE315,Paraméterek!$P$38:$Q$38,2)/12*IF($D316="Nem",IF($M$13=0,1,$M$13),1),IF($D$4="Forint",0,2))</f>
        <v>0</v>
      </c>
      <c r="BO315" s="13">
        <f t="shared" ca="1" si="102"/>
        <v>0</v>
      </c>
      <c r="BP315" s="13">
        <f ca="1">IF($D316="Nem",$BO315,$BO315-ROUNDUP(SUM($BI$20:$BI315)*120%,IF($D$4="Forint",0,2)))</f>
        <v>0</v>
      </c>
    </row>
    <row r="316" spans="1:68" x14ac:dyDescent="0.2">
      <c r="A316" s="32">
        <v>297</v>
      </c>
      <c r="B316" s="32">
        <v>25</v>
      </c>
      <c r="C316" s="32">
        <v>9</v>
      </c>
      <c r="D316" s="32" t="str">
        <f t="shared" ca="1" si="88"/>
        <v>Nem</v>
      </c>
      <c r="E316" s="13">
        <f t="shared" ca="1" si="89"/>
        <v>0</v>
      </c>
      <c r="F316" s="13"/>
      <c r="G316" s="13"/>
      <c r="H316" s="13"/>
      <c r="I316" s="13">
        <f t="shared" ca="1" si="90"/>
        <v>0</v>
      </c>
      <c r="J316" s="13">
        <f t="shared" ca="1" si="91"/>
        <v>0</v>
      </c>
      <c r="K316" s="13">
        <f t="shared" ca="1" si="92"/>
        <v>0</v>
      </c>
      <c r="L316" s="13" t="e">
        <f ca="1">ROUNDUP(IF($D$2="Egyszeri",$E316,IF($D$2="Havi",SUM($E$20:$E$31),IF(MOD($C316,$M$1)-1=0,SUM($E$20:$E$31),0))/12*$M$1)*VLOOKUP($B316,Paraméterek!$I$28:$P$31,IF($D$2="Egyszeri",8,HLOOKUP(ROUNDUP($M$11+$M$13,0),Paraméterek!$J$26:$O$27,2))),IF($D$4="Forint",0,2))</f>
        <v>#N/A</v>
      </c>
      <c r="M316" s="13">
        <f t="shared" ca="1" si="93"/>
        <v>0</v>
      </c>
      <c r="N316" s="13">
        <f t="shared" ca="1" si="103"/>
        <v>0</v>
      </c>
      <c r="O316" s="13">
        <f ca="1">IF($D316="Igen",IF($W315&gt;=IF($D$4="Forint",Paraméterek!$J$121,Paraméterek!$K$121),0,IF($D$4="Forint",Paraméterek!$J$121,Paraméterek!$K$121)-$W315),0)</f>
        <v>0</v>
      </c>
      <c r="P316" s="13" t="e">
        <f ca="1">ROUNDUP($O316*VLOOKUP($M$4+$B316-1,Paraméterek!$H$58:$I$105,2,0)/Paraméterek!$I$56,IF($D$4="Forint",0,2))</f>
        <v>#N/A</v>
      </c>
      <c r="Q316" s="13">
        <f t="shared" ca="1" si="94"/>
        <v>0</v>
      </c>
      <c r="R316" s="33"/>
      <c r="S316" s="13" t="e">
        <f t="shared" ca="1" si="95"/>
        <v>#N/A</v>
      </c>
      <c r="T316" s="13" t="e">
        <f ca="1">ROUNDUP(($N316-$P316-$Q316+$S316)*VLOOKUP($B316,Paraméterek!$I$38:$K$39,IF($D$2="Egyszeri",3,2))/12*IF($D317="Nem",IF($M$13=0,1,$M$13),1),IF($D$4="Forint",0,2))</f>
        <v>#N/A</v>
      </c>
      <c r="U316" s="13"/>
      <c r="V316" s="13"/>
      <c r="W316" s="13" t="e">
        <f ca="1">$N316-$P316-$Q316+$S316-$T316-IF(ROUNDUP(IF(ISBLANK($V316),$U316*0,$V316)/IF($D$2="Egyszeri",VLOOKUP($B316+IF($C316=12,1,0),Paraméterek!$V$257:$W$262,2),IF($B316=1,1,VLOOKUP($B316+IF($C316=12,1,0),Paraméterek!$I$258:$T$278,HLOOKUP($M$11+1,Paraméterek!$J$256:$T$257,2)))),IF($D$4="Forint",0,2))&gt;$N316-$P316-$Q316+$S316-$T316-IF($D$4="Forint",Paraméterek!$C$216,Paraméterek!$D$216),0,ROUNDUP(IF(ISBLANK($V316),$U316*0,$V316)/IF($D$2="Egyszeri",VLOOKUP($B316+IF($C316=12,1,0),Paraméterek!$V$257:$W$262,2),IF($B316=1,1,VLOOKUP($B316+IF($C316=12,1,0),Paraméterek!$I$258:$T$278,HLOOKUP($M$11+1,Paraméterek!$J$256:$T$257,2)))),IF($D$4="Forint",0,2)))</f>
        <v>#N/A</v>
      </c>
      <c r="X316" s="13" t="e">
        <f ca="1">ROUNDDOWN($W316*IF($D$2="Egyszeri",VLOOKUP($B316+IF($C316=12,1,0),Paraméterek!$V$257:$W$262,2),VLOOKUP($B316+IF($C316=12,1,0),Paraméterek!$I$258:$T$278,HLOOKUP($M$11+1,Paraméterek!$I$256:$T$257,2))),IF($D$4="Forint",0,2))</f>
        <v>#N/A</v>
      </c>
      <c r="Z316" s="32">
        <v>297</v>
      </c>
      <c r="AA316" s="32">
        <v>25</v>
      </c>
      <c r="AB316" s="32">
        <v>9</v>
      </c>
      <c r="AC316" s="13">
        <f t="shared" ca="1" si="104"/>
        <v>0</v>
      </c>
      <c r="AD316" s="33"/>
      <c r="AE316" s="13">
        <f t="shared" ca="1" si="96"/>
        <v>0</v>
      </c>
      <c r="AF316" s="13">
        <f ca="1">ROUNDUP(($AC316+$AE316)*VLOOKUP($AA316,Paraméterek!$P$38:$Q$38,2)/12*IF($D317="Nem",IF($M$13=0,1,$M$13),1),IF($D$4="Forint",0,2))</f>
        <v>0</v>
      </c>
      <c r="AG316" s="13">
        <f ca="1">IF($D$2="Egyszeri",IF($D$7&gt;=IF($D$4="Forint",Paraméterek!$P$223,Paraméterek!$P$224),$D$7-IF($D$4="Forint",Paraméterek!$P$223,Paraméterek!$P$224),0),MIN(IF($AB316=12,AVERAGEIF($E$20:$E316,"&gt;0",$E$20:$E316)*12,0),SUM($E$20:$E$31)))</f>
        <v>0</v>
      </c>
      <c r="AH316" s="13">
        <f>IF($AA316=10,$AG316*IF($AB316=12,IF($AG316&lt;IF($D$4="Forint",Paraméterek!$L$223,Paraméterek!$L$224),0,VLOOKUP($AA316,Paraméterek!$K$226:$M$228,IF($AG316&lt;IF($D$4="Forint",Paraméterek!$M$223,Paraméterek!$M$224),2,3))),0),0)</f>
        <v>0</v>
      </c>
      <c r="AI316" s="13">
        <f ca="1">IF(AND($AA316=$M$11+1,$AB316=$M$12+1),SUMIF($AA$20:$AA$1027,$AA316,$AG$20:$AG$1027)*IF(SUMIF($AA$20:$AA$1027,$AA316,$AG$20:$AG$1027)&lt;IF($D$4="Forint",Paraméterek!$L$223,Paraméterek!$L$224),0,VLOOKUP($AA316,Paraméterek!$K$230:$M$250,IF(SUMIF($AA$20:$AA$1027,$AA316,$AG$20:$AG$1027)&lt;IF($D$4="Forint",Paraméterek!$M$223,Paraméterek!$M$224),2,3))),0)</f>
        <v>0</v>
      </c>
      <c r="AJ316" s="13">
        <f ca="1">IF(AND($AA316&gt;=5,MOD($AA316,5)=0),IF($AB316=12,VLOOKUP($AA316,Paraméterek!$O$225:$P$240,2),0),IF(OR($AA316=3,$AA316=4),IF($AB316=12,VLOOKUP($AA316,Paraméterek!$O$225:$P$240,2,0),0),0))*$AG316</f>
        <v>0</v>
      </c>
      <c r="AK316" s="13">
        <f t="shared" ca="1" si="97"/>
        <v>0</v>
      </c>
      <c r="AL316" s="13">
        <f t="shared" ca="1" si="105"/>
        <v>0</v>
      </c>
      <c r="AM316" s="13">
        <f t="shared" ca="1" si="106"/>
        <v>0</v>
      </c>
      <c r="AO316" s="32">
        <v>297</v>
      </c>
      <c r="AP316" s="32">
        <v>25</v>
      </c>
      <c r="AQ316" s="32">
        <v>9</v>
      </c>
      <c r="AR316" s="13"/>
      <c r="AS316" s="32"/>
      <c r="AT316" s="13">
        <f t="shared" ca="1" si="107"/>
        <v>0</v>
      </c>
      <c r="AU316" s="33"/>
      <c r="AV316" s="13">
        <f t="shared" ca="1" si="98"/>
        <v>0</v>
      </c>
      <c r="AW316" s="13">
        <f ca="1">ROUNDUP(($AT316+$AV316)*VLOOKUP($AP316,Paraméterek!$P$38:$Q$38,2)/12*IF($D317="Nem",IF($M$13=0,1,$M$13),1),IF($D$4="Forint",0,2))</f>
        <v>0</v>
      </c>
      <c r="AX316" s="13"/>
      <c r="AY316" s="13"/>
      <c r="AZ316" s="13">
        <f>ROUNDUP(IF(SUM($AX316:$AY316)=0,0,IF(IF(ISBLANK($AY316),$AX316,$AY316)*Paraméterek!$J$112&lt;IF($D$4="Forint",Paraméterek!$J$113,Paraméterek!$K$113),IF($D$4="Forint",Paraméterek!$J$113,Paraméterek!$K$113),IF(IF(ISBLANK($AY316),$AX316,$AY316)*Paraméterek!$J$112&gt;IF($D$4="Forint",Paraméterek!$J$114,Paraméterek!$K$114),IF($D$4="Forint",Paraméterek!$J$114,Paraméterek!$K$114),IF(ISBLANK($AY316),$AX316,$AY316)*Paraméterek!$J$112))),IF($D$4="Forint",0,2))</f>
        <v>0</v>
      </c>
      <c r="BA316" s="13">
        <f ca="1">$AT316+$AV316-$AW316-IF(ROUNDDOWN(IF(ISBLANK($AY316),$AX316,$AY316),IF($D$4="Forint",0,2))&gt;$AT316+$AV316-$AW316-IF($D$4="Forint",Paraméterek!$J$114,Paraméterek!$K$114),0,ROUNDDOWN(IF(ISBLANK($AY316),$AX316,$AY316),IF($D$4="Forint",0,2))-$AZ316)</f>
        <v>0</v>
      </c>
      <c r="BB316" s="13">
        <f t="shared" ca="1" si="99"/>
        <v>0</v>
      </c>
      <c r="BD316" s="32">
        <v>297</v>
      </c>
      <c r="BE316" s="32">
        <v>25</v>
      </c>
      <c r="BF316" s="32">
        <v>9</v>
      </c>
      <c r="BG316" s="34">
        <f t="shared" ca="1" si="108"/>
        <v>2044</v>
      </c>
      <c r="BH316" s="32" t="str">
        <f ca="1">IF(MOD(MONTH($D$14)+$BD316-1,12)=Paraméterek!$C$288,"Igen","")</f>
        <v/>
      </c>
      <c r="BI316" s="13">
        <f ca="1">IF($BH316="Igen",MIN(ROUNDDOWN((SUMIF($BG$20:$BG$1027,$BG316-1,$K$20:$K$1027)-SUMIF($BG$20:$BG$1027,$BG316-1,$I$20:$I$1027))*Paraméterek!$C$289,IF($D$4="Forint",0,2)),IF($D$4="Forint",Paraméterek!$C$285,Paraméterek!$D$285)),0)</f>
        <v>0</v>
      </c>
      <c r="BJ316" s="13">
        <f t="shared" ca="1" si="100"/>
        <v>0</v>
      </c>
      <c r="BK316" s="13">
        <f t="shared" ca="1" si="109"/>
        <v>0</v>
      </c>
      <c r="BL316" s="33"/>
      <c r="BM316" s="13">
        <f t="shared" ca="1" si="101"/>
        <v>0</v>
      </c>
      <c r="BN316" s="13">
        <f ca="1">ROUNDUP(($BK316+$BM316)*VLOOKUP($BE316,Paraméterek!$P$38:$Q$38,2)/12*IF($D317="Nem",IF($M$13=0,1,$M$13),1),IF($D$4="Forint",0,2))</f>
        <v>0</v>
      </c>
      <c r="BO316" s="13">
        <f t="shared" ca="1" si="102"/>
        <v>0</v>
      </c>
      <c r="BP316" s="13">
        <f ca="1">IF($D317="Nem",$BO316,$BO316-ROUNDUP(SUM($BI$20:$BI316)*120%,IF($D$4="Forint",0,2)))</f>
        <v>0</v>
      </c>
    </row>
    <row r="317" spans="1:68" x14ac:dyDescent="0.2">
      <c r="A317" s="32">
        <v>298</v>
      </c>
      <c r="B317" s="32">
        <v>25</v>
      </c>
      <c r="C317" s="32">
        <v>10</v>
      </c>
      <c r="D317" s="32" t="str">
        <f t="shared" ca="1" si="88"/>
        <v>Nem</v>
      </c>
      <c r="E317" s="13">
        <f t="shared" ca="1" si="89"/>
        <v>0</v>
      </c>
      <c r="F317" s="13"/>
      <c r="G317" s="13"/>
      <c r="H317" s="13"/>
      <c r="I317" s="13">
        <f t="shared" ca="1" si="90"/>
        <v>0</v>
      </c>
      <c r="J317" s="13">
        <f t="shared" ca="1" si="91"/>
        <v>0</v>
      </c>
      <c r="K317" s="13">
        <f t="shared" ca="1" si="92"/>
        <v>0</v>
      </c>
      <c r="L317" s="13" t="e">
        <f ca="1">ROUNDUP(IF($D$2="Egyszeri",$E317,IF($D$2="Havi",SUM($E$20:$E$31),IF(MOD($C317,$M$1)-1=0,SUM($E$20:$E$31),0))/12*$M$1)*VLOOKUP($B317,Paraméterek!$I$28:$P$31,IF($D$2="Egyszeri",8,HLOOKUP(ROUNDUP($M$11+$M$13,0),Paraméterek!$J$26:$O$27,2))),IF($D$4="Forint",0,2))</f>
        <v>#N/A</v>
      </c>
      <c r="M317" s="13">
        <f t="shared" ca="1" si="93"/>
        <v>0</v>
      </c>
      <c r="N317" s="13">
        <f t="shared" ca="1" si="103"/>
        <v>0</v>
      </c>
      <c r="O317" s="13">
        <f ca="1">IF($D317="Igen",IF($W316&gt;=IF($D$4="Forint",Paraméterek!$J$121,Paraméterek!$K$121),0,IF($D$4="Forint",Paraméterek!$J$121,Paraméterek!$K$121)-$W316),0)</f>
        <v>0</v>
      </c>
      <c r="P317" s="13" t="e">
        <f ca="1">ROUNDUP($O317*VLOOKUP($M$4+$B317-1,Paraméterek!$H$58:$I$105,2,0)/Paraméterek!$I$56,IF($D$4="Forint",0,2))</f>
        <v>#N/A</v>
      </c>
      <c r="Q317" s="13">
        <f t="shared" ca="1" si="94"/>
        <v>0</v>
      </c>
      <c r="R317" s="33"/>
      <c r="S317" s="13" t="e">
        <f t="shared" ca="1" si="95"/>
        <v>#N/A</v>
      </c>
      <c r="T317" s="13" t="e">
        <f ca="1">ROUNDUP(($N317-$P317-$Q317+$S317)*VLOOKUP($B317,Paraméterek!$I$38:$K$39,IF($D$2="Egyszeri",3,2))/12*IF($D318="Nem",IF($M$13=0,1,$M$13),1),IF($D$4="Forint",0,2))</f>
        <v>#N/A</v>
      </c>
      <c r="U317" s="13"/>
      <c r="V317" s="13"/>
      <c r="W317" s="13" t="e">
        <f ca="1">$N317-$P317-$Q317+$S317-$T317-IF(ROUNDUP(IF(ISBLANK($V317),$U317*0,$V317)/IF($D$2="Egyszeri",VLOOKUP($B317+IF($C317=12,1,0),Paraméterek!$V$257:$W$262,2),IF($B317=1,1,VLOOKUP($B317+IF($C317=12,1,0),Paraméterek!$I$258:$T$278,HLOOKUP($M$11+1,Paraméterek!$J$256:$T$257,2)))),IF($D$4="Forint",0,2))&gt;$N317-$P317-$Q317+$S317-$T317-IF($D$4="Forint",Paraméterek!$C$216,Paraméterek!$D$216),0,ROUNDUP(IF(ISBLANK($V317),$U317*0,$V317)/IF($D$2="Egyszeri",VLOOKUP($B317+IF($C317=12,1,0),Paraméterek!$V$257:$W$262,2),IF($B317=1,1,VLOOKUP($B317+IF($C317=12,1,0),Paraméterek!$I$258:$T$278,HLOOKUP($M$11+1,Paraméterek!$J$256:$T$257,2)))),IF($D$4="Forint",0,2)))</f>
        <v>#N/A</v>
      </c>
      <c r="X317" s="13" t="e">
        <f ca="1">ROUNDDOWN($W317*IF($D$2="Egyszeri",VLOOKUP($B317+IF($C317=12,1,0),Paraméterek!$V$257:$W$262,2),VLOOKUP($B317+IF($C317=12,1,0),Paraméterek!$I$258:$T$278,HLOOKUP($M$11+1,Paraméterek!$I$256:$T$257,2))),IF($D$4="Forint",0,2))</f>
        <v>#N/A</v>
      </c>
      <c r="Z317" s="32">
        <v>298</v>
      </c>
      <c r="AA317" s="32">
        <v>25</v>
      </c>
      <c r="AB317" s="32">
        <v>10</v>
      </c>
      <c r="AC317" s="13">
        <f t="shared" ca="1" si="104"/>
        <v>0</v>
      </c>
      <c r="AD317" s="33"/>
      <c r="AE317" s="13">
        <f t="shared" ca="1" si="96"/>
        <v>0</v>
      </c>
      <c r="AF317" s="13">
        <f ca="1">ROUNDUP(($AC317+$AE317)*VLOOKUP($AA317,Paraméterek!$P$38:$Q$38,2)/12*IF($D318="Nem",IF($M$13=0,1,$M$13),1),IF($D$4="Forint",0,2))</f>
        <v>0</v>
      </c>
      <c r="AG317" s="13">
        <f ca="1">IF($D$2="Egyszeri",IF($D$7&gt;=IF($D$4="Forint",Paraméterek!$P$223,Paraméterek!$P$224),$D$7-IF($D$4="Forint",Paraméterek!$P$223,Paraméterek!$P$224),0),MIN(IF($AB317=12,AVERAGEIF($E$20:$E317,"&gt;0",$E$20:$E317)*12,0),SUM($E$20:$E$31)))</f>
        <v>0</v>
      </c>
      <c r="AH317" s="13">
        <f>IF($AA317=10,$AG317*IF($AB317=12,IF($AG317&lt;IF($D$4="Forint",Paraméterek!$L$223,Paraméterek!$L$224),0,VLOOKUP($AA317,Paraméterek!$K$226:$M$228,IF($AG317&lt;IF($D$4="Forint",Paraméterek!$M$223,Paraméterek!$M$224),2,3))),0),0)</f>
        <v>0</v>
      </c>
      <c r="AI317" s="13">
        <f ca="1">IF(AND($AA317=$M$11+1,$AB317=$M$12+1),SUMIF($AA$20:$AA$1027,$AA317,$AG$20:$AG$1027)*IF(SUMIF($AA$20:$AA$1027,$AA317,$AG$20:$AG$1027)&lt;IF($D$4="Forint",Paraméterek!$L$223,Paraméterek!$L$224),0,VLOOKUP($AA317,Paraméterek!$K$230:$M$250,IF(SUMIF($AA$20:$AA$1027,$AA317,$AG$20:$AG$1027)&lt;IF($D$4="Forint",Paraméterek!$M$223,Paraméterek!$M$224),2,3))),0)</f>
        <v>0</v>
      </c>
      <c r="AJ317" s="13">
        <f ca="1">IF(AND($AA317&gt;=5,MOD($AA317,5)=0),IF($AB317=12,VLOOKUP($AA317,Paraméterek!$O$225:$P$240,2),0),IF(OR($AA317=3,$AA317=4),IF($AB317=12,VLOOKUP($AA317,Paraméterek!$O$225:$P$240,2,0),0),0))*$AG317</f>
        <v>0</v>
      </c>
      <c r="AK317" s="13">
        <f t="shared" ca="1" si="97"/>
        <v>0</v>
      </c>
      <c r="AL317" s="13">
        <f t="shared" ca="1" si="105"/>
        <v>0</v>
      </c>
      <c r="AM317" s="13">
        <f t="shared" ca="1" si="106"/>
        <v>0</v>
      </c>
      <c r="AO317" s="32">
        <v>298</v>
      </c>
      <c r="AP317" s="32">
        <v>25</v>
      </c>
      <c r="AQ317" s="32">
        <v>10</v>
      </c>
      <c r="AR317" s="13"/>
      <c r="AS317" s="32"/>
      <c r="AT317" s="13">
        <f t="shared" ca="1" si="107"/>
        <v>0</v>
      </c>
      <c r="AU317" s="33"/>
      <c r="AV317" s="13">
        <f t="shared" ca="1" si="98"/>
        <v>0</v>
      </c>
      <c r="AW317" s="13">
        <f ca="1">ROUNDUP(($AT317+$AV317)*VLOOKUP($AP317,Paraméterek!$P$38:$Q$38,2)/12*IF($D318="Nem",IF($M$13=0,1,$M$13),1),IF($D$4="Forint",0,2))</f>
        <v>0</v>
      </c>
      <c r="AX317" s="13"/>
      <c r="AY317" s="13"/>
      <c r="AZ317" s="13">
        <f>ROUNDUP(IF(SUM($AX317:$AY317)=0,0,IF(IF(ISBLANK($AY317),$AX317,$AY317)*Paraméterek!$J$112&lt;IF($D$4="Forint",Paraméterek!$J$113,Paraméterek!$K$113),IF($D$4="Forint",Paraméterek!$J$113,Paraméterek!$K$113),IF(IF(ISBLANK($AY317),$AX317,$AY317)*Paraméterek!$J$112&gt;IF($D$4="Forint",Paraméterek!$J$114,Paraméterek!$K$114),IF($D$4="Forint",Paraméterek!$J$114,Paraméterek!$K$114),IF(ISBLANK($AY317),$AX317,$AY317)*Paraméterek!$J$112))),IF($D$4="Forint",0,2))</f>
        <v>0</v>
      </c>
      <c r="BA317" s="13">
        <f ca="1">$AT317+$AV317-$AW317-IF(ROUNDDOWN(IF(ISBLANK($AY317),$AX317,$AY317),IF($D$4="Forint",0,2))&gt;$AT317+$AV317-$AW317-IF($D$4="Forint",Paraméterek!$J$114,Paraméterek!$K$114),0,ROUNDDOWN(IF(ISBLANK($AY317),$AX317,$AY317),IF($D$4="Forint",0,2))-$AZ317)</f>
        <v>0</v>
      </c>
      <c r="BB317" s="13">
        <f t="shared" ca="1" si="99"/>
        <v>0</v>
      </c>
      <c r="BD317" s="32">
        <v>298</v>
      </c>
      <c r="BE317" s="32">
        <v>25</v>
      </c>
      <c r="BF317" s="32">
        <v>10</v>
      </c>
      <c r="BG317" s="34">
        <f t="shared" ca="1" si="108"/>
        <v>2044</v>
      </c>
      <c r="BH317" s="32" t="str">
        <f ca="1">IF(MOD(MONTH($D$14)+$BD317-1,12)=Paraméterek!$C$288,"Igen","")</f>
        <v/>
      </c>
      <c r="BI317" s="13">
        <f ca="1">IF($BH317="Igen",MIN(ROUNDDOWN((SUMIF($BG$20:$BG$1027,$BG317-1,$K$20:$K$1027)-SUMIF($BG$20:$BG$1027,$BG317-1,$I$20:$I$1027))*Paraméterek!$C$289,IF($D$4="Forint",0,2)),IF($D$4="Forint",Paraméterek!$C$285,Paraméterek!$D$285)),0)</f>
        <v>0</v>
      </c>
      <c r="BJ317" s="13">
        <f t="shared" ca="1" si="100"/>
        <v>0</v>
      </c>
      <c r="BK317" s="13">
        <f t="shared" ca="1" si="109"/>
        <v>0</v>
      </c>
      <c r="BL317" s="33"/>
      <c r="BM317" s="13">
        <f t="shared" ca="1" si="101"/>
        <v>0</v>
      </c>
      <c r="BN317" s="13">
        <f ca="1">ROUNDUP(($BK317+$BM317)*VLOOKUP($BE317,Paraméterek!$P$38:$Q$38,2)/12*IF($D318="Nem",IF($M$13=0,1,$M$13),1),IF($D$4="Forint",0,2))</f>
        <v>0</v>
      </c>
      <c r="BO317" s="13">
        <f t="shared" ca="1" si="102"/>
        <v>0</v>
      </c>
      <c r="BP317" s="13">
        <f ca="1">IF($D318="Nem",$BO317,$BO317-ROUNDUP(SUM($BI$20:$BI317)*120%,IF($D$4="Forint",0,2)))</f>
        <v>0</v>
      </c>
    </row>
    <row r="318" spans="1:68" x14ac:dyDescent="0.2">
      <c r="A318" s="32">
        <v>299</v>
      </c>
      <c r="B318" s="32">
        <v>25</v>
      </c>
      <c r="C318" s="32">
        <v>11</v>
      </c>
      <c r="D318" s="32" t="str">
        <f t="shared" ca="1" si="88"/>
        <v>Nem</v>
      </c>
      <c r="E318" s="13">
        <f t="shared" ca="1" si="89"/>
        <v>0</v>
      </c>
      <c r="F318" s="13"/>
      <c r="G318" s="13"/>
      <c r="H318" s="13"/>
      <c r="I318" s="13">
        <f t="shared" ca="1" si="90"/>
        <v>0</v>
      </c>
      <c r="J318" s="13">
        <f t="shared" ca="1" si="91"/>
        <v>0</v>
      </c>
      <c r="K318" s="13">
        <f t="shared" ca="1" si="92"/>
        <v>0</v>
      </c>
      <c r="L318" s="13" t="e">
        <f ca="1">ROUNDUP(IF($D$2="Egyszeri",$E318,IF($D$2="Havi",SUM($E$20:$E$31),IF(MOD($C318,$M$1)-1=0,SUM($E$20:$E$31),0))/12*$M$1)*VLOOKUP($B318,Paraméterek!$I$28:$P$31,IF($D$2="Egyszeri",8,HLOOKUP(ROUNDUP($M$11+$M$13,0),Paraméterek!$J$26:$O$27,2))),IF($D$4="Forint",0,2))</f>
        <v>#N/A</v>
      </c>
      <c r="M318" s="13">
        <f t="shared" ca="1" si="93"/>
        <v>0</v>
      </c>
      <c r="N318" s="13">
        <f t="shared" ca="1" si="103"/>
        <v>0</v>
      </c>
      <c r="O318" s="13">
        <f ca="1">IF($D318="Igen",IF($W317&gt;=IF($D$4="Forint",Paraméterek!$J$121,Paraméterek!$K$121),0,IF($D$4="Forint",Paraméterek!$J$121,Paraméterek!$K$121)-$W317),0)</f>
        <v>0</v>
      </c>
      <c r="P318" s="13" t="e">
        <f ca="1">ROUNDUP($O318*VLOOKUP($M$4+$B318-1,Paraméterek!$H$58:$I$105,2,0)/Paraméterek!$I$56,IF($D$4="Forint",0,2))</f>
        <v>#N/A</v>
      </c>
      <c r="Q318" s="13">
        <f t="shared" ca="1" si="94"/>
        <v>0</v>
      </c>
      <c r="R318" s="33"/>
      <c r="S318" s="13" t="e">
        <f t="shared" ca="1" si="95"/>
        <v>#N/A</v>
      </c>
      <c r="T318" s="13" t="e">
        <f ca="1">ROUNDUP(($N318-$P318-$Q318+$S318)*VLOOKUP($B318,Paraméterek!$I$38:$K$39,IF($D$2="Egyszeri",3,2))/12*IF($D319="Nem",IF($M$13=0,1,$M$13),1),IF($D$4="Forint",0,2))</f>
        <v>#N/A</v>
      </c>
      <c r="U318" s="13"/>
      <c r="V318" s="13"/>
      <c r="W318" s="13" t="e">
        <f ca="1">$N318-$P318-$Q318+$S318-$T318-IF(ROUNDUP(IF(ISBLANK($V318),$U318*0,$V318)/IF($D$2="Egyszeri",VLOOKUP($B318+IF($C318=12,1,0),Paraméterek!$V$257:$W$262,2),IF($B318=1,1,VLOOKUP($B318+IF($C318=12,1,0),Paraméterek!$I$258:$T$278,HLOOKUP($M$11+1,Paraméterek!$J$256:$T$257,2)))),IF($D$4="Forint",0,2))&gt;$N318-$P318-$Q318+$S318-$T318-IF($D$4="Forint",Paraméterek!$C$216,Paraméterek!$D$216),0,ROUNDUP(IF(ISBLANK($V318),$U318*0,$V318)/IF($D$2="Egyszeri",VLOOKUP($B318+IF($C318=12,1,0),Paraméterek!$V$257:$W$262,2),IF($B318=1,1,VLOOKUP($B318+IF($C318=12,1,0),Paraméterek!$I$258:$T$278,HLOOKUP($M$11+1,Paraméterek!$J$256:$T$257,2)))),IF($D$4="Forint",0,2)))</f>
        <v>#N/A</v>
      </c>
      <c r="X318" s="13" t="e">
        <f ca="1">ROUNDDOWN($W318*IF($D$2="Egyszeri",VLOOKUP($B318+IF($C318=12,1,0),Paraméterek!$V$257:$W$262,2),VLOOKUP($B318+IF($C318=12,1,0),Paraméterek!$I$258:$T$278,HLOOKUP($M$11+1,Paraméterek!$I$256:$T$257,2))),IF($D$4="Forint",0,2))</f>
        <v>#N/A</v>
      </c>
      <c r="Z318" s="32">
        <v>299</v>
      </c>
      <c r="AA318" s="32">
        <v>25</v>
      </c>
      <c r="AB318" s="32">
        <v>11</v>
      </c>
      <c r="AC318" s="13">
        <f t="shared" ca="1" si="104"/>
        <v>0</v>
      </c>
      <c r="AD318" s="33"/>
      <c r="AE318" s="13">
        <f t="shared" ca="1" si="96"/>
        <v>0</v>
      </c>
      <c r="AF318" s="13">
        <f ca="1">ROUNDUP(($AC318+$AE318)*VLOOKUP($AA318,Paraméterek!$P$38:$Q$38,2)/12*IF($D319="Nem",IF($M$13=0,1,$M$13),1),IF($D$4="Forint",0,2))</f>
        <v>0</v>
      </c>
      <c r="AG318" s="13">
        <f ca="1">IF($D$2="Egyszeri",IF($D$7&gt;=IF($D$4="Forint",Paraméterek!$P$223,Paraméterek!$P$224),$D$7-IF($D$4="Forint",Paraméterek!$P$223,Paraméterek!$P$224),0),MIN(IF($AB318=12,AVERAGEIF($E$20:$E318,"&gt;0",$E$20:$E318)*12,0),SUM($E$20:$E$31)))</f>
        <v>0</v>
      </c>
      <c r="AH318" s="13">
        <f>IF($AA318=10,$AG318*IF($AB318=12,IF($AG318&lt;IF($D$4="Forint",Paraméterek!$L$223,Paraméterek!$L$224),0,VLOOKUP($AA318,Paraméterek!$K$226:$M$228,IF($AG318&lt;IF($D$4="Forint",Paraméterek!$M$223,Paraméterek!$M$224),2,3))),0),0)</f>
        <v>0</v>
      </c>
      <c r="AI318" s="13">
        <f ca="1">IF(AND($AA318=$M$11+1,$AB318=$M$12+1),SUMIF($AA$20:$AA$1027,$AA318,$AG$20:$AG$1027)*IF(SUMIF($AA$20:$AA$1027,$AA318,$AG$20:$AG$1027)&lt;IF($D$4="Forint",Paraméterek!$L$223,Paraméterek!$L$224),0,VLOOKUP($AA318,Paraméterek!$K$230:$M$250,IF(SUMIF($AA$20:$AA$1027,$AA318,$AG$20:$AG$1027)&lt;IF($D$4="Forint",Paraméterek!$M$223,Paraméterek!$M$224),2,3))),0)</f>
        <v>0</v>
      </c>
      <c r="AJ318" s="13">
        <f ca="1">IF(AND($AA318&gt;=5,MOD($AA318,5)=0),IF($AB318=12,VLOOKUP($AA318,Paraméterek!$O$225:$P$240,2),0),IF(OR($AA318=3,$AA318=4),IF($AB318=12,VLOOKUP($AA318,Paraméterek!$O$225:$P$240,2,0),0),0))*$AG318</f>
        <v>0</v>
      </c>
      <c r="AK318" s="13">
        <f t="shared" ca="1" si="97"/>
        <v>0</v>
      </c>
      <c r="AL318" s="13">
        <f t="shared" ca="1" si="105"/>
        <v>0</v>
      </c>
      <c r="AM318" s="13">
        <f t="shared" ca="1" si="106"/>
        <v>0</v>
      </c>
      <c r="AO318" s="32">
        <v>299</v>
      </c>
      <c r="AP318" s="32">
        <v>25</v>
      </c>
      <c r="AQ318" s="32">
        <v>11</v>
      </c>
      <c r="AR318" s="13"/>
      <c r="AS318" s="32"/>
      <c r="AT318" s="13">
        <f t="shared" ca="1" si="107"/>
        <v>0</v>
      </c>
      <c r="AU318" s="33"/>
      <c r="AV318" s="13">
        <f t="shared" ca="1" si="98"/>
        <v>0</v>
      </c>
      <c r="AW318" s="13">
        <f ca="1">ROUNDUP(($AT318+$AV318)*VLOOKUP($AP318,Paraméterek!$P$38:$Q$38,2)/12*IF($D319="Nem",IF($M$13=0,1,$M$13),1),IF($D$4="Forint",0,2))</f>
        <v>0</v>
      </c>
      <c r="AX318" s="13"/>
      <c r="AY318" s="13"/>
      <c r="AZ318" s="13">
        <f>ROUNDUP(IF(SUM($AX318:$AY318)=0,0,IF(IF(ISBLANK($AY318),$AX318,$AY318)*Paraméterek!$J$112&lt;IF($D$4="Forint",Paraméterek!$J$113,Paraméterek!$K$113),IF($D$4="Forint",Paraméterek!$J$113,Paraméterek!$K$113),IF(IF(ISBLANK($AY318),$AX318,$AY318)*Paraméterek!$J$112&gt;IF($D$4="Forint",Paraméterek!$J$114,Paraméterek!$K$114),IF($D$4="Forint",Paraméterek!$J$114,Paraméterek!$K$114),IF(ISBLANK($AY318),$AX318,$AY318)*Paraméterek!$J$112))),IF($D$4="Forint",0,2))</f>
        <v>0</v>
      </c>
      <c r="BA318" s="13">
        <f ca="1">$AT318+$AV318-$AW318-IF(ROUNDDOWN(IF(ISBLANK($AY318),$AX318,$AY318),IF($D$4="Forint",0,2))&gt;$AT318+$AV318-$AW318-IF($D$4="Forint",Paraméterek!$J$114,Paraméterek!$K$114),0,ROUNDDOWN(IF(ISBLANK($AY318),$AX318,$AY318),IF($D$4="Forint",0,2))-$AZ318)</f>
        <v>0</v>
      </c>
      <c r="BB318" s="13">
        <f t="shared" ca="1" si="99"/>
        <v>0</v>
      </c>
      <c r="BD318" s="32">
        <v>299</v>
      </c>
      <c r="BE318" s="32">
        <v>25</v>
      </c>
      <c r="BF318" s="32">
        <v>11</v>
      </c>
      <c r="BG318" s="34">
        <f t="shared" ca="1" si="108"/>
        <v>2044</v>
      </c>
      <c r="BH318" s="32" t="str">
        <f ca="1">IF(MOD(MONTH($D$14)+$BD318-1,12)=Paraméterek!$C$288,"Igen","")</f>
        <v/>
      </c>
      <c r="BI318" s="13">
        <f ca="1">IF($BH318="Igen",MIN(ROUNDDOWN((SUMIF($BG$20:$BG$1027,$BG318-1,$K$20:$K$1027)-SUMIF($BG$20:$BG$1027,$BG318-1,$I$20:$I$1027))*Paraméterek!$C$289,IF($D$4="Forint",0,2)),IF($D$4="Forint",Paraméterek!$C$285,Paraméterek!$D$285)),0)</f>
        <v>0</v>
      </c>
      <c r="BJ318" s="13">
        <f t="shared" ca="1" si="100"/>
        <v>0</v>
      </c>
      <c r="BK318" s="13">
        <f t="shared" ca="1" si="109"/>
        <v>0</v>
      </c>
      <c r="BL318" s="33"/>
      <c r="BM318" s="13">
        <f t="shared" ca="1" si="101"/>
        <v>0</v>
      </c>
      <c r="BN318" s="13">
        <f ca="1">ROUNDUP(($BK318+$BM318)*VLOOKUP($BE318,Paraméterek!$P$38:$Q$38,2)/12*IF($D319="Nem",IF($M$13=0,1,$M$13),1),IF($D$4="Forint",0,2))</f>
        <v>0</v>
      </c>
      <c r="BO318" s="13">
        <f t="shared" ca="1" si="102"/>
        <v>0</v>
      </c>
      <c r="BP318" s="13">
        <f ca="1">IF($D319="Nem",$BO318,$BO318-ROUNDUP(SUM($BI$20:$BI318)*120%,IF($D$4="Forint",0,2)))</f>
        <v>0</v>
      </c>
    </row>
    <row r="319" spans="1:68" x14ac:dyDescent="0.2">
      <c r="A319" s="32">
        <v>300</v>
      </c>
      <c r="B319" s="32">
        <v>25</v>
      </c>
      <c r="C319" s="32">
        <v>12</v>
      </c>
      <c r="D319" s="32" t="str">
        <f t="shared" ca="1" si="88"/>
        <v>Nem</v>
      </c>
      <c r="E319" s="13">
        <f t="shared" ca="1" si="89"/>
        <v>0</v>
      </c>
      <c r="F319" s="13"/>
      <c r="G319" s="13"/>
      <c r="H319" s="13"/>
      <c r="I319" s="13">
        <f t="shared" ca="1" si="90"/>
        <v>0</v>
      </c>
      <c r="J319" s="13">
        <f t="shared" ca="1" si="91"/>
        <v>0</v>
      </c>
      <c r="K319" s="13">
        <f t="shared" ca="1" si="92"/>
        <v>0</v>
      </c>
      <c r="L319" s="13" t="e">
        <f ca="1">ROUNDUP(IF($D$2="Egyszeri",$E319,IF($D$2="Havi",SUM($E$20:$E$31),IF(MOD($C319,$M$1)-1=0,SUM($E$20:$E$31),0))/12*$M$1)*VLOOKUP($B319,Paraméterek!$I$28:$P$31,IF($D$2="Egyszeri",8,HLOOKUP(ROUNDUP($M$11+$M$13,0),Paraméterek!$J$26:$O$27,2))),IF($D$4="Forint",0,2))</f>
        <v>#N/A</v>
      </c>
      <c r="M319" s="13">
        <f t="shared" ca="1" si="93"/>
        <v>0</v>
      </c>
      <c r="N319" s="13">
        <f t="shared" ca="1" si="103"/>
        <v>0</v>
      </c>
      <c r="O319" s="13">
        <f ca="1">IF($D319="Igen",IF($W318&gt;=IF($D$4="Forint",Paraméterek!$J$121,Paraméterek!$K$121),0,IF($D$4="Forint",Paraméterek!$J$121,Paraméterek!$K$121)-$W318),0)</f>
        <v>0</v>
      </c>
      <c r="P319" s="13" t="e">
        <f ca="1">ROUNDUP($O319*VLOOKUP($M$4+$B319-1,Paraméterek!$H$58:$I$105,2,0)/Paraméterek!$I$56,IF($D$4="Forint",0,2))</f>
        <v>#N/A</v>
      </c>
      <c r="Q319" s="13">
        <f t="shared" ca="1" si="94"/>
        <v>0</v>
      </c>
      <c r="R319" s="33"/>
      <c r="S319" s="13" t="e">
        <f t="shared" ca="1" si="95"/>
        <v>#N/A</v>
      </c>
      <c r="T319" s="13" t="e">
        <f ca="1">ROUNDUP(($N319-$P319-$Q319+$S319)*VLOOKUP($B319,Paraméterek!$I$38:$K$39,IF($D$2="Egyszeri",3,2))/12*IF($D320="Nem",IF($M$13=0,1,$M$13),1),IF($D$4="Forint",0,2))</f>
        <v>#N/A</v>
      </c>
      <c r="U319" s="13">
        <f>Tranzakciók!$F$56</f>
        <v>0</v>
      </c>
      <c r="V319" s="13"/>
      <c r="W319" s="13" t="e">
        <f ca="1">$N319-$P319-$Q319+$S319-$T319-IF(ROUNDUP(IF(ISBLANK($V319),$U319*0,$V319)/IF($D$2="Egyszeri",VLOOKUP($B319+IF($C319=12,1,0),Paraméterek!$V$257:$W$262,2),IF($B319=1,1,VLOOKUP($B319+IF($C319=12,1,0),Paraméterek!$I$258:$T$278,HLOOKUP($M$11+1,Paraméterek!$J$256:$T$257,2)))),IF($D$4="Forint",0,2))&gt;$N319-$P319-$Q319+$S319-$T319-IF($D$4="Forint",Paraméterek!$C$216,Paraméterek!$D$216),0,ROUNDUP(IF(ISBLANK($V319),$U319*0,$V319)/IF($D$2="Egyszeri",VLOOKUP($B319+IF($C319=12,1,0),Paraméterek!$V$257:$W$262,2),IF($B319=1,1,VLOOKUP($B319+IF($C319=12,1,0),Paraméterek!$I$258:$T$278,HLOOKUP($M$11+1,Paraméterek!$J$256:$T$257,2)))),IF($D$4="Forint",0,2)))</f>
        <v>#N/A</v>
      </c>
      <c r="X319" s="13" t="e">
        <f ca="1">ROUNDDOWN($W319*IF($D$2="Egyszeri",VLOOKUP($B319+IF($C319=12,1,0),Paraméterek!$V$257:$W$262,2),VLOOKUP($B319+IF($C319=12,1,0),Paraméterek!$I$258:$T$278,HLOOKUP($M$11+1,Paraméterek!$I$256:$T$257,2))),IF($D$4="Forint",0,2))</f>
        <v>#N/A</v>
      </c>
      <c r="Z319" s="32">
        <v>300</v>
      </c>
      <c r="AA319" s="32">
        <v>25</v>
      </c>
      <c r="AB319" s="32">
        <v>12</v>
      </c>
      <c r="AC319" s="13">
        <f t="shared" ca="1" si="104"/>
        <v>0</v>
      </c>
      <c r="AD319" s="33"/>
      <c r="AE319" s="13">
        <f t="shared" ca="1" si="96"/>
        <v>0</v>
      </c>
      <c r="AF319" s="13">
        <f ca="1">ROUNDUP(($AC319+$AE319)*VLOOKUP($AA319,Paraméterek!$P$38:$Q$38,2)/12*IF($D320="Nem",IF($M$13=0,1,$M$13),1),IF($D$4="Forint",0,2))</f>
        <v>0</v>
      </c>
      <c r="AG319" s="13" t="e">
        <f ca="1">IF($D$2="Egyszeri",IF($D$7&gt;=IF($D$4="Forint",Paraméterek!$P$223,Paraméterek!$P$224),$D$7-IF($D$4="Forint",Paraméterek!$P$223,Paraméterek!$P$224),0),MIN(IF($AB319=12,AVERAGEIF($E$20:$E319,"&gt;0",$E$20:$E319)*12,0),SUM($E$20:$E$31)))</f>
        <v>#DIV/0!</v>
      </c>
      <c r="AH319" s="13">
        <f>IF($AA319=10,$AG319*IF($AB319=12,IF($AG319&lt;IF($D$4="Forint",Paraméterek!$L$223,Paraméterek!$L$224),0,VLOOKUP($AA319,Paraméterek!$K$226:$M$228,IF($AG319&lt;IF($D$4="Forint",Paraméterek!$M$223,Paraméterek!$M$224),2,3))),0),0)</f>
        <v>0</v>
      </c>
      <c r="AI319" s="13">
        <f ca="1">IF(AND($AA319=$M$11+1,$AB319=$M$12+1),SUMIF($AA$20:$AA$1027,$AA319,$AG$20:$AG$1027)*IF(SUMIF($AA$20:$AA$1027,$AA319,$AG$20:$AG$1027)&lt;IF($D$4="Forint",Paraméterek!$L$223,Paraméterek!$L$224),0,VLOOKUP($AA319,Paraméterek!$K$230:$M$250,IF(SUMIF($AA$20:$AA$1027,$AA319,$AG$20:$AG$1027)&lt;IF($D$4="Forint",Paraméterek!$M$223,Paraméterek!$M$224),2,3))),0)</f>
        <v>0</v>
      </c>
      <c r="AJ319" s="13" t="e">
        <f ca="1">IF(AND($AA319&gt;=5,MOD($AA319,5)=0),IF($AB319=12,VLOOKUP($AA319,Paraméterek!$O$225:$P$240,2),0),IF(OR($AA319=3,$AA319=4),IF($AB319=12,VLOOKUP($AA319,Paraméterek!$O$225:$P$240,2,0),0),0))*$AG319</f>
        <v>#DIV/0!</v>
      </c>
      <c r="AK319" s="13">
        <f t="shared" ca="1" si="97"/>
        <v>0</v>
      </c>
      <c r="AL319" s="13">
        <f t="shared" ca="1" si="105"/>
        <v>0</v>
      </c>
      <c r="AM319" s="13">
        <f t="shared" ca="1" si="106"/>
        <v>0</v>
      </c>
      <c r="AO319" s="32">
        <v>300</v>
      </c>
      <c r="AP319" s="32">
        <v>25</v>
      </c>
      <c r="AQ319" s="32">
        <v>12</v>
      </c>
      <c r="AR319" s="13"/>
      <c r="AS319" s="32"/>
      <c r="AT319" s="13">
        <f t="shared" ca="1" si="107"/>
        <v>0</v>
      </c>
      <c r="AU319" s="33"/>
      <c r="AV319" s="13">
        <f t="shared" ca="1" si="98"/>
        <v>0</v>
      </c>
      <c r="AW319" s="13">
        <f ca="1">ROUNDUP(($AT319+$AV319)*VLOOKUP($AP319,Paraméterek!$P$38:$Q$38,2)/12*IF($D320="Nem",IF($M$13=0,1,$M$13),1),IF($D$4="Forint",0,2))</f>
        <v>0</v>
      </c>
      <c r="AX319" s="13">
        <f>Tranzakciók!$M$56</f>
        <v>0</v>
      </c>
      <c r="AY319" s="13"/>
      <c r="AZ319" s="13">
        <f>ROUNDUP(IF(SUM($AX319:$AY319)=0,0,IF(IF(ISBLANK($AY319),$AX319,$AY319)*Paraméterek!$J$112&lt;IF($D$4="Forint",Paraméterek!$J$113,Paraméterek!$K$113),IF($D$4="Forint",Paraméterek!$J$113,Paraméterek!$K$113),IF(IF(ISBLANK($AY319),$AX319,$AY319)*Paraméterek!$J$112&gt;IF($D$4="Forint",Paraméterek!$J$114,Paraméterek!$K$114),IF($D$4="Forint",Paraméterek!$J$114,Paraméterek!$K$114),IF(ISBLANK($AY319),$AX319,$AY319)*Paraméterek!$J$112))),IF($D$4="Forint",0,2))</f>
        <v>0</v>
      </c>
      <c r="BA319" s="13">
        <f ca="1">$AT319+$AV319-$AW319-IF(ROUNDDOWN(IF(ISBLANK($AY319),$AX319,$AY319),IF($D$4="Forint",0,2))&gt;$AT319+$AV319-$AW319-IF($D$4="Forint",Paraméterek!$J$114,Paraméterek!$K$114),0,ROUNDDOWN(IF(ISBLANK($AY319),$AX319,$AY319),IF($D$4="Forint",0,2))-$AZ319)</f>
        <v>0</v>
      </c>
      <c r="BB319" s="13">
        <f t="shared" ca="1" si="99"/>
        <v>0</v>
      </c>
      <c r="BD319" s="32">
        <v>300</v>
      </c>
      <c r="BE319" s="32">
        <v>25</v>
      </c>
      <c r="BF319" s="32">
        <v>12</v>
      </c>
      <c r="BG319" s="34">
        <f t="shared" ca="1" si="108"/>
        <v>2044</v>
      </c>
      <c r="BH319" s="32" t="str">
        <f ca="1">IF(MOD(MONTH($D$14)+$BD319-1,12)=Paraméterek!$C$288,"Igen","")</f>
        <v/>
      </c>
      <c r="BI319" s="13">
        <f ca="1">IF($BH319="Igen",MIN(ROUNDDOWN((SUMIF($BG$20:$BG$1027,$BG319-1,$K$20:$K$1027)-SUMIF($BG$20:$BG$1027,$BG319-1,$I$20:$I$1027))*Paraméterek!$C$289,IF($D$4="Forint",0,2)),IF($D$4="Forint",Paraméterek!$C$285,Paraméterek!$D$285)),0)</f>
        <v>0</v>
      </c>
      <c r="BJ319" s="13">
        <f t="shared" ca="1" si="100"/>
        <v>0</v>
      </c>
      <c r="BK319" s="13">
        <f t="shared" ca="1" si="109"/>
        <v>0</v>
      </c>
      <c r="BL319" s="33"/>
      <c r="BM319" s="13">
        <f t="shared" ca="1" si="101"/>
        <v>0</v>
      </c>
      <c r="BN319" s="13">
        <f ca="1">ROUNDUP(($BK319+$BM319)*VLOOKUP($BE319,Paraméterek!$P$38:$Q$38,2)/12*IF($D320="Nem",IF($M$13=0,1,$M$13),1),IF($D$4="Forint",0,2))</f>
        <v>0</v>
      </c>
      <c r="BO319" s="13">
        <f t="shared" ca="1" si="102"/>
        <v>0</v>
      </c>
      <c r="BP319" s="13">
        <f ca="1">IF($D320="Nem",$BO319,$BO319-ROUNDUP(SUM($BI$20:$BI319)*120%,IF($D$4="Forint",0,2)))</f>
        <v>0</v>
      </c>
    </row>
    <row r="320" spans="1:68" x14ac:dyDescent="0.2">
      <c r="A320" s="32">
        <v>301</v>
      </c>
      <c r="B320" s="32">
        <v>26</v>
      </c>
      <c r="C320" s="32">
        <v>1</v>
      </c>
      <c r="D320" s="32" t="str">
        <f t="shared" ca="1" si="88"/>
        <v>Nem</v>
      </c>
      <c r="E320" s="13">
        <f t="shared" ca="1" si="89"/>
        <v>0</v>
      </c>
      <c r="F320" s="13"/>
      <c r="G320" s="13">
        <f>Tranzakciók!$D$57</f>
        <v>0</v>
      </c>
      <c r="H320" s="13"/>
      <c r="I320" s="13">
        <f t="shared" ca="1" si="90"/>
        <v>0</v>
      </c>
      <c r="J320" s="13">
        <f t="shared" ca="1" si="91"/>
        <v>0</v>
      </c>
      <c r="K320" s="13">
        <f t="shared" ca="1" si="92"/>
        <v>0</v>
      </c>
      <c r="L320" s="13" t="e">
        <f ca="1">ROUNDUP(IF($D$2="Egyszeri",$E320,IF($D$2="Havi",SUM($E$20:$E$31),IF(MOD($C320,$M$1)-1=0,SUM($E$20:$E$31),0))/12*$M$1)*VLOOKUP($B320,Paraméterek!$I$28:$P$31,IF($D$2="Egyszeri",8,HLOOKUP(ROUNDUP($M$11+$M$13,0),Paraméterek!$J$26:$O$27,2))),IF($D$4="Forint",0,2))</f>
        <v>#N/A</v>
      </c>
      <c r="M320" s="13">
        <f t="shared" ca="1" si="93"/>
        <v>0</v>
      </c>
      <c r="N320" s="13">
        <f t="shared" ca="1" si="103"/>
        <v>0</v>
      </c>
      <c r="O320" s="13">
        <f ca="1">IF($D320="Igen",IF($W319&gt;=IF($D$4="Forint",Paraméterek!$J$121,Paraméterek!$K$121),0,IF($D$4="Forint",Paraméterek!$J$121,Paraméterek!$K$121)-$W319),0)</f>
        <v>0</v>
      </c>
      <c r="P320" s="13" t="e">
        <f ca="1">ROUNDUP($O320*VLOOKUP($M$4+$B320-1,Paraméterek!$H$58:$I$105,2,0)/Paraméterek!$I$56,IF($D$4="Forint",0,2))</f>
        <v>#N/A</v>
      </c>
      <c r="Q320" s="13">
        <f t="shared" ca="1" si="94"/>
        <v>0</v>
      </c>
      <c r="R320" s="33"/>
      <c r="S320" s="13" t="e">
        <f t="shared" ca="1" si="95"/>
        <v>#N/A</v>
      </c>
      <c r="T320" s="13" t="e">
        <f ca="1">ROUNDUP(($N320-$P320-$Q320+$S320)*VLOOKUP($B320,Paraméterek!$I$38:$K$39,IF($D$2="Egyszeri",3,2))/12*IF($D321="Nem",IF($M$13=0,1,$M$13),1),IF($D$4="Forint",0,2))</f>
        <v>#N/A</v>
      </c>
      <c r="U320" s="13"/>
      <c r="V320" s="13"/>
      <c r="W320" s="13" t="e">
        <f ca="1">$N320-$P320-$Q320+$S320-$T320-IF(ROUNDUP(IF(ISBLANK($V320),$U320*0,$V320)/IF($D$2="Egyszeri",VLOOKUP($B320+IF($C320=12,1,0),Paraméterek!$V$257:$W$262,2),IF($B320=1,1,VLOOKUP($B320+IF($C320=12,1,0),Paraméterek!$I$258:$T$278,HLOOKUP($M$11+1,Paraméterek!$J$256:$T$257,2)))),IF($D$4="Forint",0,2))&gt;$N320-$P320-$Q320+$S320-$T320-IF($D$4="Forint",Paraméterek!$C$216,Paraméterek!$D$216),0,ROUNDUP(IF(ISBLANK($V320),$U320*0,$V320)/IF($D$2="Egyszeri",VLOOKUP($B320+IF($C320=12,1,0),Paraméterek!$V$257:$W$262,2),IF($B320=1,1,VLOOKUP($B320+IF($C320=12,1,0),Paraméterek!$I$258:$T$278,HLOOKUP($M$11+1,Paraméterek!$J$256:$T$257,2)))),IF($D$4="Forint",0,2)))</f>
        <v>#N/A</v>
      </c>
      <c r="X320" s="13" t="e">
        <f ca="1">ROUNDDOWN($W320*IF($D$2="Egyszeri",VLOOKUP($B320+IF($C320=12,1,0),Paraméterek!$V$257:$W$262,2),VLOOKUP($B320+IF($C320=12,1,0),Paraméterek!$I$258:$T$278,HLOOKUP($M$11+1,Paraméterek!$I$256:$T$257,2))),IF($D$4="Forint",0,2))</f>
        <v>#N/A</v>
      </c>
      <c r="Z320" s="32">
        <v>301</v>
      </c>
      <c r="AA320" s="32">
        <v>26</v>
      </c>
      <c r="AB320" s="32">
        <v>1</v>
      </c>
      <c r="AC320" s="13">
        <f t="shared" ca="1" si="104"/>
        <v>0</v>
      </c>
      <c r="AD320" s="33"/>
      <c r="AE320" s="13">
        <f t="shared" ca="1" si="96"/>
        <v>0</v>
      </c>
      <c r="AF320" s="13">
        <f ca="1">ROUNDUP(($AC320+$AE320)*VLOOKUP($AA320,Paraméterek!$P$38:$Q$38,2)/12*IF($D321="Nem",IF($M$13=0,1,$M$13),1),IF($D$4="Forint",0,2))</f>
        <v>0</v>
      </c>
      <c r="AG320" s="13">
        <f ca="1">IF($D$2="Egyszeri",IF($D$7&gt;=IF($D$4="Forint",Paraméterek!$P$223,Paraméterek!$P$224),$D$7-IF($D$4="Forint",Paraméterek!$P$223,Paraméterek!$P$224),0),MIN(IF($AB320=12,AVERAGEIF($E$20:$E320,"&gt;0",$E$20:$E320)*12,0),SUM($E$20:$E$31)))</f>
        <v>0</v>
      </c>
      <c r="AH320" s="13">
        <f>IF($AA320=10,$AG320*IF($AB320=12,IF($AG320&lt;IF($D$4="Forint",Paraméterek!$L$223,Paraméterek!$L$224),0,VLOOKUP($AA320,Paraméterek!$K$226:$M$228,IF($AG320&lt;IF($D$4="Forint",Paraméterek!$M$223,Paraméterek!$M$224),2,3))),0),0)</f>
        <v>0</v>
      </c>
      <c r="AI320" s="13">
        <f ca="1">IF(AND($AA320=$M$11+1,$AB320=$M$12+1),SUMIF($AA$20:$AA$1027,$AA320,$AG$20:$AG$1027)*IF(SUMIF($AA$20:$AA$1027,$AA320,$AG$20:$AG$1027)&lt;IF($D$4="Forint",Paraméterek!$L$223,Paraméterek!$L$224),0,VLOOKUP($AA320,Paraméterek!$K$230:$M$250,IF(SUMIF($AA$20:$AA$1027,$AA320,$AG$20:$AG$1027)&lt;IF($D$4="Forint",Paraméterek!$M$223,Paraméterek!$M$224),2,3))),0)</f>
        <v>0</v>
      </c>
      <c r="AJ320" s="13">
        <f ca="1">IF(AND($AA320&gt;=5,MOD($AA320,5)=0),IF($AB320=12,VLOOKUP($AA320,Paraméterek!$O$225:$P$240,2),0),IF(OR($AA320=3,$AA320=4),IF($AB320=12,VLOOKUP($AA320,Paraméterek!$O$225:$P$240,2,0),0),0))*$AG320</f>
        <v>0</v>
      </c>
      <c r="AK320" s="13">
        <f t="shared" ca="1" si="97"/>
        <v>0</v>
      </c>
      <c r="AL320" s="13">
        <f t="shared" ca="1" si="105"/>
        <v>0</v>
      </c>
      <c r="AM320" s="13">
        <f t="shared" ca="1" si="106"/>
        <v>0</v>
      </c>
      <c r="AO320" s="32">
        <v>301</v>
      </c>
      <c r="AP320" s="32">
        <v>26</v>
      </c>
      <c r="AQ320" s="32">
        <v>1</v>
      </c>
      <c r="AR320" s="13">
        <f>Tranzakciók!$K$57</f>
        <v>0</v>
      </c>
      <c r="AS320" s="32"/>
      <c r="AT320" s="13">
        <f t="shared" ca="1" si="107"/>
        <v>0</v>
      </c>
      <c r="AU320" s="33"/>
      <c r="AV320" s="13">
        <f t="shared" ca="1" si="98"/>
        <v>0</v>
      </c>
      <c r="AW320" s="13">
        <f ca="1">ROUNDUP(($AT320+$AV320)*VLOOKUP($AP320,Paraméterek!$P$38:$Q$38,2)/12*IF($D321="Nem",IF($M$13=0,1,$M$13),1),IF($D$4="Forint",0,2))</f>
        <v>0</v>
      </c>
      <c r="AX320" s="13"/>
      <c r="AY320" s="13"/>
      <c r="AZ320" s="13">
        <f>ROUNDUP(IF(SUM($AX320:$AY320)=0,0,IF(IF(ISBLANK($AY320),$AX320,$AY320)*Paraméterek!$J$112&lt;IF($D$4="Forint",Paraméterek!$J$113,Paraméterek!$K$113),IF($D$4="Forint",Paraméterek!$J$113,Paraméterek!$K$113),IF(IF(ISBLANK($AY320),$AX320,$AY320)*Paraméterek!$J$112&gt;IF($D$4="Forint",Paraméterek!$J$114,Paraméterek!$K$114),IF($D$4="Forint",Paraméterek!$J$114,Paraméterek!$K$114),IF(ISBLANK($AY320),$AX320,$AY320)*Paraméterek!$J$112))),IF($D$4="Forint",0,2))</f>
        <v>0</v>
      </c>
      <c r="BA320" s="13">
        <f ca="1">$AT320+$AV320-$AW320-IF(ROUNDDOWN(IF(ISBLANK($AY320),$AX320,$AY320),IF($D$4="Forint",0,2))&gt;$AT320+$AV320-$AW320-IF($D$4="Forint",Paraméterek!$J$114,Paraméterek!$K$114),0,ROUNDDOWN(IF(ISBLANK($AY320),$AX320,$AY320),IF($D$4="Forint",0,2))-$AZ320)</f>
        <v>0</v>
      </c>
      <c r="BB320" s="13">
        <f t="shared" ca="1" si="99"/>
        <v>0</v>
      </c>
      <c r="BD320" s="32">
        <v>301</v>
      </c>
      <c r="BE320" s="32">
        <v>26</v>
      </c>
      <c r="BF320" s="32">
        <v>1</v>
      </c>
      <c r="BG320" s="34">
        <f t="shared" ca="1" si="108"/>
        <v>2044</v>
      </c>
      <c r="BH320" s="32" t="str">
        <f ca="1">IF(MOD(MONTH($D$14)+$BD320-1,12)=Paraméterek!$C$288,"Igen","")</f>
        <v/>
      </c>
      <c r="BI320" s="13">
        <f ca="1">IF($BH320="Igen",MIN(ROUNDDOWN((SUMIF($BG$20:$BG$1027,$BG320-1,$K$20:$K$1027)-SUMIF($BG$20:$BG$1027,$BG320-1,$I$20:$I$1027))*Paraméterek!$C$289,IF($D$4="Forint",0,2)),IF($D$4="Forint",Paraméterek!$C$285,Paraméterek!$D$285)),0)</f>
        <v>0</v>
      </c>
      <c r="BJ320" s="13">
        <f t="shared" ca="1" si="100"/>
        <v>0</v>
      </c>
      <c r="BK320" s="13">
        <f t="shared" ca="1" si="109"/>
        <v>0</v>
      </c>
      <c r="BL320" s="33"/>
      <c r="BM320" s="13">
        <f t="shared" ca="1" si="101"/>
        <v>0</v>
      </c>
      <c r="BN320" s="13">
        <f ca="1">ROUNDUP(($BK320+$BM320)*VLOOKUP($BE320,Paraméterek!$P$38:$Q$38,2)/12*IF($D321="Nem",IF($M$13=0,1,$M$13),1),IF($D$4="Forint",0,2))</f>
        <v>0</v>
      </c>
      <c r="BO320" s="13">
        <f t="shared" ca="1" si="102"/>
        <v>0</v>
      </c>
      <c r="BP320" s="13">
        <f ca="1">IF($D321="Nem",$BO320,$BO320-ROUNDUP(SUM($BI$20:$BI320)*120%,IF($D$4="Forint",0,2)))</f>
        <v>0</v>
      </c>
    </row>
    <row r="321" spans="1:68" x14ac:dyDescent="0.2">
      <c r="A321" s="32">
        <v>302</v>
      </c>
      <c r="B321" s="32">
        <v>26</v>
      </c>
      <c r="C321" s="32">
        <v>2</v>
      </c>
      <c r="D321" s="32" t="str">
        <f t="shared" ca="1" si="88"/>
        <v>Nem</v>
      </c>
      <c r="E321" s="13">
        <f t="shared" ca="1" si="89"/>
        <v>0</v>
      </c>
      <c r="F321" s="13"/>
      <c r="G321" s="13"/>
      <c r="H321" s="13"/>
      <c r="I321" s="13">
        <f t="shared" ca="1" si="90"/>
        <v>0</v>
      </c>
      <c r="J321" s="13">
        <f t="shared" ca="1" si="91"/>
        <v>0</v>
      </c>
      <c r="K321" s="13">
        <f t="shared" ca="1" si="92"/>
        <v>0</v>
      </c>
      <c r="L321" s="13" t="e">
        <f ca="1">ROUNDUP(IF($D$2="Egyszeri",$E321,IF($D$2="Havi",SUM($E$20:$E$31),IF(MOD($C321,$M$1)-1=0,SUM($E$20:$E$31),0))/12*$M$1)*VLOOKUP($B321,Paraméterek!$I$28:$P$31,IF($D$2="Egyszeri",8,HLOOKUP(ROUNDUP($M$11+$M$13,0),Paraméterek!$J$26:$O$27,2))),IF($D$4="Forint",0,2))</f>
        <v>#N/A</v>
      </c>
      <c r="M321" s="13">
        <f t="shared" ca="1" si="93"/>
        <v>0</v>
      </c>
      <c r="N321" s="13">
        <f t="shared" ca="1" si="103"/>
        <v>0</v>
      </c>
      <c r="O321" s="13">
        <f ca="1">IF($D321="Igen",IF($W320&gt;=IF($D$4="Forint",Paraméterek!$J$121,Paraméterek!$K$121),0,IF($D$4="Forint",Paraméterek!$J$121,Paraméterek!$K$121)-$W320),0)</f>
        <v>0</v>
      </c>
      <c r="P321" s="13" t="e">
        <f ca="1">ROUNDUP($O321*VLOOKUP($M$4+$B321-1,Paraméterek!$H$58:$I$105,2,0)/Paraméterek!$I$56,IF($D$4="Forint",0,2))</f>
        <v>#N/A</v>
      </c>
      <c r="Q321" s="13">
        <f t="shared" ca="1" si="94"/>
        <v>0</v>
      </c>
      <c r="R321" s="33"/>
      <c r="S321" s="13" t="e">
        <f t="shared" ca="1" si="95"/>
        <v>#N/A</v>
      </c>
      <c r="T321" s="13" t="e">
        <f ca="1">ROUNDUP(($N321-$P321-$Q321+$S321)*VLOOKUP($B321,Paraméterek!$I$38:$K$39,IF($D$2="Egyszeri",3,2))/12*IF($D322="Nem",IF($M$13=0,1,$M$13),1),IF($D$4="Forint",0,2))</f>
        <v>#N/A</v>
      </c>
      <c r="U321" s="13"/>
      <c r="V321" s="13"/>
      <c r="W321" s="13" t="e">
        <f ca="1">$N321-$P321-$Q321+$S321-$T321-IF(ROUNDUP(IF(ISBLANK($V321),$U321*0,$V321)/IF($D$2="Egyszeri",VLOOKUP($B321+IF($C321=12,1,0),Paraméterek!$V$257:$W$262,2),IF($B321=1,1,VLOOKUP($B321+IF($C321=12,1,0),Paraméterek!$I$258:$T$278,HLOOKUP($M$11+1,Paraméterek!$J$256:$T$257,2)))),IF($D$4="Forint",0,2))&gt;$N321-$P321-$Q321+$S321-$T321-IF($D$4="Forint",Paraméterek!$C$216,Paraméterek!$D$216),0,ROUNDUP(IF(ISBLANK($V321),$U321*0,$V321)/IF($D$2="Egyszeri",VLOOKUP($B321+IF($C321=12,1,0),Paraméterek!$V$257:$W$262,2),IF($B321=1,1,VLOOKUP($B321+IF($C321=12,1,0),Paraméterek!$I$258:$T$278,HLOOKUP($M$11+1,Paraméterek!$J$256:$T$257,2)))),IF($D$4="Forint",0,2)))</f>
        <v>#N/A</v>
      </c>
      <c r="X321" s="13" t="e">
        <f ca="1">ROUNDDOWN($W321*IF($D$2="Egyszeri",VLOOKUP($B321+IF($C321=12,1,0),Paraméterek!$V$257:$W$262,2),VLOOKUP($B321+IF($C321=12,1,0),Paraméterek!$I$258:$T$278,HLOOKUP($M$11+1,Paraméterek!$I$256:$T$257,2))),IF($D$4="Forint",0,2))</f>
        <v>#N/A</v>
      </c>
      <c r="Z321" s="32">
        <v>302</v>
      </c>
      <c r="AA321" s="32">
        <v>26</v>
      </c>
      <c r="AB321" s="32">
        <v>2</v>
      </c>
      <c r="AC321" s="13">
        <f t="shared" ca="1" si="104"/>
        <v>0</v>
      </c>
      <c r="AD321" s="33"/>
      <c r="AE321" s="13">
        <f t="shared" ca="1" si="96"/>
        <v>0</v>
      </c>
      <c r="AF321" s="13">
        <f ca="1">ROUNDUP(($AC321+$AE321)*VLOOKUP($AA321,Paraméterek!$P$38:$Q$38,2)/12*IF($D322="Nem",IF($M$13=0,1,$M$13),1),IF($D$4="Forint",0,2))</f>
        <v>0</v>
      </c>
      <c r="AG321" s="13">
        <f ca="1">IF($D$2="Egyszeri",IF($D$7&gt;=IF($D$4="Forint",Paraméterek!$P$223,Paraméterek!$P$224),$D$7-IF($D$4="Forint",Paraméterek!$P$223,Paraméterek!$P$224),0),MIN(IF($AB321=12,AVERAGEIF($E$20:$E321,"&gt;0",$E$20:$E321)*12,0),SUM($E$20:$E$31)))</f>
        <v>0</v>
      </c>
      <c r="AH321" s="13">
        <f>IF($AA321=10,$AG321*IF($AB321=12,IF($AG321&lt;IF($D$4="Forint",Paraméterek!$L$223,Paraméterek!$L$224),0,VLOOKUP($AA321,Paraméterek!$K$226:$M$228,IF($AG321&lt;IF($D$4="Forint",Paraméterek!$M$223,Paraméterek!$M$224),2,3))),0),0)</f>
        <v>0</v>
      </c>
      <c r="AI321" s="13">
        <f ca="1">IF(AND($AA321=$M$11+1,$AB321=$M$12+1),SUMIF($AA$20:$AA$1027,$AA321,$AG$20:$AG$1027)*IF(SUMIF($AA$20:$AA$1027,$AA321,$AG$20:$AG$1027)&lt;IF($D$4="Forint",Paraméterek!$L$223,Paraméterek!$L$224),0,VLOOKUP($AA321,Paraméterek!$K$230:$M$250,IF(SUMIF($AA$20:$AA$1027,$AA321,$AG$20:$AG$1027)&lt;IF($D$4="Forint",Paraméterek!$M$223,Paraméterek!$M$224),2,3))),0)</f>
        <v>0</v>
      </c>
      <c r="AJ321" s="13">
        <f ca="1">IF(AND($AA321&gt;=5,MOD($AA321,5)=0),IF($AB321=12,VLOOKUP($AA321,Paraméterek!$O$225:$P$240,2),0),IF(OR($AA321=3,$AA321=4),IF($AB321=12,VLOOKUP($AA321,Paraméterek!$O$225:$P$240,2,0),0),0))*$AG321</f>
        <v>0</v>
      </c>
      <c r="AK321" s="13">
        <f t="shared" ca="1" si="97"/>
        <v>0</v>
      </c>
      <c r="AL321" s="13">
        <f t="shared" ca="1" si="105"/>
        <v>0</v>
      </c>
      <c r="AM321" s="13">
        <f t="shared" ca="1" si="106"/>
        <v>0</v>
      </c>
      <c r="AO321" s="32">
        <v>302</v>
      </c>
      <c r="AP321" s="32">
        <v>26</v>
      </c>
      <c r="AQ321" s="32">
        <v>2</v>
      </c>
      <c r="AR321" s="13"/>
      <c r="AS321" s="32"/>
      <c r="AT321" s="13">
        <f t="shared" ca="1" si="107"/>
        <v>0</v>
      </c>
      <c r="AU321" s="33"/>
      <c r="AV321" s="13">
        <f t="shared" ca="1" si="98"/>
        <v>0</v>
      </c>
      <c r="AW321" s="13">
        <f ca="1">ROUNDUP(($AT321+$AV321)*VLOOKUP($AP321,Paraméterek!$P$38:$Q$38,2)/12*IF($D322="Nem",IF($M$13=0,1,$M$13),1),IF($D$4="Forint",0,2))</f>
        <v>0</v>
      </c>
      <c r="AX321" s="13"/>
      <c r="AY321" s="13"/>
      <c r="AZ321" s="13">
        <f>ROUNDUP(IF(SUM($AX321:$AY321)=0,0,IF(IF(ISBLANK($AY321),$AX321,$AY321)*Paraméterek!$J$112&lt;IF($D$4="Forint",Paraméterek!$J$113,Paraméterek!$K$113),IF($D$4="Forint",Paraméterek!$J$113,Paraméterek!$K$113),IF(IF(ISBLANK($AY321),$AX321,$AY321)*Paraméterek!$J$112&gt;IF($D$4="Forint",Paraméterek!$J$114,Paraméterek!$K$114),IF($D$4="Forint",Paraméterek!$J$114,Paraméterek!$K$114),IF(ISBLANK($AY321),$AX321,$AY321)*Paraméterek!$J$112))),IF($D$4="Forint",0,2))</f>
        <v>0</v>
      </c>
      <c r="BA321" s="13">
        <f ca="1">$AT321+$AV321-$AW321-IF(ROUNDDOWN(IF(ISBLANK($AY321),$AX321,$AY321),IF($D$4="Forint",0,2))&gt;$AT321+$AV321-$AW321-IF($D$4="Forint",Paraméterek!$J$114,Paraméterek!$K$114),0,ROUNDDOWN(IF(ISBLANK($AY321),$AX321,$AY321),IF($D$4="Forint",0,2))-$AZ321)</f>
        <v>0</v>
      </c>
      <c r="BB321" s="13">
        <f t="shared" ca="1" si="99"/>
        <v>0</v>
      </c>
      <c r="BD321" s="32">
        <v>302</v>
      </c>
      <c r="BE321" s="32">
        <v>26</v>
      </c>
      <c r="BF321" s="32">
        <v>2</v>
      </c>
      <c r="BG321" s="34">
        <f t="shared" ca="1" si="108"/>
        <v>2044</v>
      </c>
      <c r="BH321" s="32" t="str">
        <f ca="1">IF(MOD(MONTH($D$14)+$BD321-1,12)=Paraméterek!$C$288,"Igen","")</f>
        <v>Igen</v>
      </c>
      <c r="BI321" s="13">
        <f ca="1">IF($BH321="Igen",MIN(ROUNDDOWN((SUMIF($BG$20:$BG$1027,$BG321-1,$K$20:$K$1027)-SUMIF($BG$20:$BG$1027,$BG321-1,$I$20:$I$1027))*Paraméterek!$C$289,IF($D$4="Forint",0,2)),IF($D$4="Forint",Paraméterek!$C$285,Paraméterek!$D$285)),0)</f>
        <v>0</v>
      </c>
      <c r="BJ321" s="13">
        <f t="shared" ca="1" si="100"/>
        <v>0</v>
      </c>
      <c r="BK321" s="13">
        <f t="shared" ca="1" si="109"/>
        <v>0</v>
      </c>
      <c r="BL321" s="33"/>
      <c r="BM321" s="13">
        <f t="shared" ca="1" si="101"/>
        <v>0</v>
      </c>
      <c r="BN321" s="13">
        <f ca="1">ROUNDUP(($BK321+$BM321)*VLOOKUP($BE321,Paraméterek!$P$38:$Q$38,2)/12*IF($D322="Nem",IF($M$13=0,1,$M$13),1),IF($D$4="Forint",0,2))</f>
        <v>0</v>
      </c>
      <c r="BO321" s="13">
        <f t="shared" ca="1" si="102"/>
        <v>0</v>
      </c>
      <c r="BP321" s="13">
        <f ca="1">IF($D322="Nem",$BO321,$BO321-ROUNDUP(SUM($BI$20:$BI321)*120%,IF($D$4="Forint",0,2)))</f>
        <v>0</v>
      </c>
    </row>
    <row r="322" spans="1:68" x14ac:dyDescent="0.2">
      <c r="A322" s="32">
        <v>303</v>
      </c>
      <c r="B322" s="32">
        <v>26</v>
      </c>
      <c r="C322" s="32">
        <v>3</v>
      </c>
      <c r="D322" s="32" t="str">
        <f t="shared" ca="1" si="88"/>
        <v>Nem</v>
      </c>
      <c r="E322" s="13">
        <f t="shared" ca="1" si="89"/>
        <v>0</v>
      </c>
      <c r="F322" s="13"/>
      <c r="G322" s="13"/>
      <c r="H322" s="13"/>
      <c r="I322" s="13">
        <f t="shared" ca="1" si="90"/>
        <v>0</v>
      </c>
      <c r="J322" s="13">
        <f t="shared" ca="1" si="91"/>
        <v>0</v>
      </c>
      <c r="K322" s="13">
        <f t="shared" ca="1" si="92"/>
        <v>0</v>
      </c>
      <c r="L322" s="13" t="e">
        <f ca="1">ROUNDUP(IF($D$2="Egyszeri",$E322,IF($D$2="Havi",SUM($E$20:$E$31),IF(MOD($C322,$M$1)-1=0,SUM($E$20:$E$31),0))/12*$M$1)*VLOOKUP($B322,Paraméterek!$I$28:$P$31,IF($D$2="Egyszeri",8,HLOOKUP(ROUNDUP($M$11+$M$13,0),Paraméterek!$J$26:$O$27,2))),IF($D$4="Forint",0,2))</f>
        <v>#N/A</v>
      </c>
      <c r="M322" s="13">
        <f t="shared" ca="1" si="93"/>
        <v>0</v>
      </c>
      <c r="N322" s="13">
        <f t="shared" ca="1" si="103"/>
        <v>0</v>
      </c>
      <c r="O322" s="13">
        <f ca="1">IF($D322="Igen",IF($W321&gt;=IF($D$4="Forint",Paraméterek!$J$121,Paraméterek!$K$121),0,IF($D$4="Forint",Paraméterek!$J$121,Paraméterek!$K$121)-$W321),0)</f>
        <v>0</v>
      </c>
      <c r="P322" s="13" t="e">
        <f ca="1">ROUNDUP($O322*VLOOKUP($M$4+$B322-1,Paraméterek!$H$58:$I$105,2,0)/Paraméterek!$I$56,IF($D$4="Forint",0,2))</f>
        <v>#N/A</v>
      </c>
      <c r="Q322" s="13">
        <f t="shared" ca="1" si="94"/>
        <v>0</v>
      </c>
      <c r="R322" s="33"/>
      <c r="S322" s="13" t="e">
        <f t="shared" ca="1" si="95"/>
        <v>#N/A</v>
      </c>
      <c r="T322" s="13" t="e">
        <f ca="1">ROUNDUP(($N322-$P322-$Q322+$S322)*VLOOKUP($B322,Paraméterek!$I$38:$K$39,IF($D$2="Egyszeri",3,2))/12*IF($D323="Nem",IF($M$13=0,1,$M$13),1),IF($D$4="Forint",0,2))</f>
        <v>#N/A</v>
      </c>
      <c r="U322" s="13"/>
      <c r="V322" s="13"/>
      <c r="W322" s="13" t="e">
        <f ca="1">$N322-$P322-$Q322+$S322-$T322-IF(ROUNDUP(IF(ISBLANK($V322),$U322*0,$V322)/IF($D$2="Egyszeri",VLOOKUP($B322+IF($C322=12,1,0),Paraméterek!$V$257:$W$262,2),IF($B322=1,1,VLOOKUP($B322+IF($C322=12,1,0),Paraméterek!$I$258:$T$278,HLOOKUP($M$11+1,Paraméterek!$J$256:$T$257,2)))),IF($D$4="Forint",0,2))&gt;$N322-$P322-$Q322+$S322-$T322-IF($D$4="Forint",Paraméterek!$C$216,Paraméterek!$D$216),0,ROUNDUP(IF(ISBLANK($V322),$U322*0,$V322)/IF($D$2="Egyszeri",VLOOKUP($B322+IF($C322=12,1,0),Paraméterek!$V$257:$W$262,2),IF($B322=1,1,VLOOKUP($B322+IF($C322=12,1,0),Paraméterek!$I$258:$T$278,HLOOKUP($M$11+1,Paraméterek!$J$256:$T$257,2)))),IF($D$4="Forint",0,2)))</f>
        <v>#N/A</v>
      </c>
      <c r="X322" s="13" t="e">
        <f ca="1">ROUNDDOWN($W322*IF($D$2="Egyszeri",VLOOKUP($B322+IF($C322=12,1,0),Paraméterek!$V$257:$W$262,2),VLOOKUP($B322+IF($C322=12,1,0),Paraméterek!$I$258:$T$278,HLOOKUP($M$11+1,Paraméterek!$I$256:$T$257,2))),IF($D$4="Forint",0,2))</f>
        <v>#N/A</v>
      </c>
      <c r="Z322" s="32">
        <v>303</v>
      </c>
      <c r="AA322" s="32">
        <v>26</v>
      </c>
      <c r="AB322" s="32">
        <v>3</v>
      </c>
      <c r="AC322" s="13">
        <f t="shared" ca="1" si="104"/>
        <v>0</v>
      </c>
      <c r="AD322" s="33"/>
      <c r="AE322" s="13">
        <f t="shared" ca="1" si="96"/>
        <v>0</v>
      </c>
      <c r="AF322" s="13">
        <f ca="1">ROUNDUP(($AC322+$AE322)*VLOOKUP($AA322,Paraméterek!$P$38:$Q$38,2)/12*IF($D323="Nem",IF($M$13=0,1,$M$13),1),IF($D$4="Forint",0,2))</f>
        <v>0</v>
      </c>
      <c r="AG322" s="13">
        <f ca="1">IF($D$2="Egyszeri",IF($D$7&gt;=IF($D$4="Forint",Paraméterek!$P$223,Paraméterek!$P$224),$D$7-IF($D$4="Forint",Paraméterek!$P$223,Paraméterek!$P$224),0),MIN(IF($AB322=12,AVERAGEIF($E$20:$E322,"&gt;0",$E$20:$E322)*12,0),SUM($E$20:$E$31)))</f>
        <v>0</v>
      </c>
      <c r="AH322" s="13">
        <f>IF($AA322=10,$AG322*IF($AB322=12,IF($AG322&lt;IF($D$4="Forint",Paraméterek!$L$223,Paraméterek!$L$224),0,VLOOKUP($AA322,Paraméterek!$K$226:$M$228,IF($AG322&lt;IF($D$4="Forint",Paraméterek!$M$223,Paraméterek!$M$224),2,3))),0),0)</f>
        <v>0</v>
      </c>
      <c r="AI322" s="13">
        <f ca="1">IF(AND($AA322=$M$11+1,$AB322=$M$12+1),SUMIF($AA$20:$AA$1027,$AA322,$AG$20:$AG$1027)*IF(SUMIF($AA$20:$AA$1027,$AA322,$AG$20:$AG$1027)&lt;IF($D$4="Forint",Paraméterek!$L$223,Paraméterek!$L$224),0,VLOOKUP($AA322,Paraméterek!$K$230:$M$250,IF(SUMIF($AA$20:$AA$1027,$AA322,$AG$20:$AG$1027)&lt;IF($D$4="Forint",Paraméterek!$M$223,Paraméterek!$M$224),2,3))),0)</f>
        <v>0</v>
      </c>
      <c r="AJ322" s="13">
        <f ca="1">IF(AND($AA322&gt;=5,MOD($AA322,5)=0),IF($AB322=12,VLOOKUP($AA322,Paraméterek!$O$225:$P$240,2),0),IF(OR($AA322=3,$AA322=4),IF($AB322=12,VLOOKUP($AA322,Paraméterek!$O$225:$P$240,2,0),0),0))*$AG322</f>
        <v>0</v>
      </c>
      <c r="AK322" s="13">
        <f t="shared" ca="1" si="97"/>
        <v>0</v>
      </c>
      <c r="AL322" s="13">
        <f t="shared" ca="1" si="105"/>
        <v>0</v>
      </c>
      <c r="AM322" s="13">
        <f t="shared" ca="1" si="106"/>
        <v>0</v>
      </c>
      <c r="AO322" s="32">
        <v>303</v>
      </c>
      <c r="AP322" s="32">
        <v>26</v>
      </c>
      <c r="AQ322" s="32">
        <v>3</v>
      </c>
      <c r="AR322" s="13"/>
      <c r="AS322" s="32"/>
      <c r="AT322" s="13">
        <f t="shared" ca="1" si="107"/>
        <v>0</v>
      </c>
      <c r="AU322" s="33"/>
      <c r="AV322" s="13">
        <f t="shared" ca="1" si="98"/>
        <v>0</v>
      </c>
      <c r="AW322" s="13">
        <f ca="1">ROUNDUP(($AT322+$AV322)*VLOOKUP($AP322,Paraméterek!$P$38:$Q$38,2)/12*IF($D323="Nem",IF($M$13=0,1,$M$13),1),IF($D$4="Forint",0,2))</f>
        <v>0</v>
      </c>
      <c r="AX322" s="13"/>
      <c r="AY322" s="13"/>
      <c r="AZ322" s="13">
        <f>ROUNDUP(IF(SUM($AX322:$AY322)=0,0,IF(IF(ISBLANK($AY322),$AX322,$AY322)*Paraméterek!$J$112&lt;IF($D$4="Forint",Paraméterek!$J$113,Paraméterek!$K$113),IF($D$4="Forint",Paraméterek!$J$113,Paraméterek!$K$113),IF(IF(ISBLANK($AY322),$AX322,$AY322)*Paraméterek!$J$112&gt;IF($D$4="Forint",Paraméterek!$J$114,Paraméterek!$K$114),IF($D$4="Forint",Paraméterek!$J$114,Paraméterek!$K$114),IF(ISBLANK($AY322),$AX322,$AY322)*Paraméterek!$J$112))),IF($D$4="Forint",0,2))</f>
        <v>0</v>
      </c>
      <c r="BA322" s="13">
        <f ca="1">$AT322+$AV322-$AW322-IF(ROUNDDOWN(IF(ISBLANK($AY322),$AX322,$AY322),IF($D$4="Forint",0,2))&gt;$AT322+$AV322-$AW322-IF($D$4="Forint",Paraméterek!$J$114,Paraméterek!$K$114),0,ROUNDDOWN(IF(ISBLANK($AY322),$AX322,$AY322),IF($D$4="Forint",0,2))-$AZ322)</f>
        <v>0</v>
      </c>
      <c r="BB322" s="13">
        <f t="shared" ca="1" si="99"/>
        <v>0</v>
      </c>
      <c r="BD322" s="32">
        <v>303</v>
      </c>
      <c r="BE322" s="32">
        <v>26</v>
      </c>
      <c r="BF322" s="32">
        <v>3</v>
      </c>
      <c r="BG322" s="34">
        <f t="shared" ca="1" si="108"/>
        <v>2044</v>
      </c>
      <c r="BH322" s="32" t="str">
        <f ca="1">IF(MOD(MONTH($D$14)+$BD322-1,12)=Paraméterek!$C$288,"Igen","")</f>
        <v/>
      </c>
      <c r="BI322" s="13">
        <f ca="1">IF($BH322="Igen",MIN(ROUNDDOWN((SUMIF($BG$20:$BG$1027,$BG322-1,$K$20:$K$1027)-SUMIF($BG$20:$BG$1027,$BG322-1,$I$20:$I$1027))*Paraméterek!$C$289,IF($D$4="Forint",0,2)),IF($D$4="Forint",Paraméterek!$C$285,Paraméterek!$D$285)),0)</f>
        <v>0</v>
      </c>
      <c r="BJ322" s="13">
        <f t="shared" ca="1" si="100"/>
        <v>0</v>
      </c>
      <c r="BK322" s="13">
        <f t="shared" ca="1" si="109"/>
        <v>0</v>
      </c>
      <c r="BL322" s="33"/>
      <c r="BM322" s="13">
        <f t="shared" ca="1" si="101"/>
        <v>0</v>
      </c>
      <c r="BN322" s="13">
        <f ca="1">ROUNDUP(($BK322+$BM322)*VLOOKUP($BE322,Paraméterek!$P$38:$Q$38,2)/12*IF($D323="Nem",IF($M$13=0,1,$M$13),1),IF($D$4="Forint",0,2))</f>
        <v>0</v>
      </c>
      <c r="BO322" s="13">
        <f t="shared" ca="1" si="102"/>
        <v>0</v>
      </c>
      <c r="BP322" s="13">
        <f ca="1">IF($D323="Nem",$BO322,$BO322-ROUNDUP(SUM($BI$20:$BI322)*120%,IF($D$4="Forint",0,2)))</f>
        <v>0</v>
      </c>
    </row>
    <row r="323" spans="1:68" x14ac:dyDescent="0.2">
      <c r="A323" s="32">
        <v>304</v>
      </c>
      <c r="B323" s="32">
        <v>26</v>
      </c>
      <c r="C323" s="32">
        <v>4</v>
      </c>
      <c r="D323" s="32" t="str">
        <f t="shared" ca="1" si="88"/>
        <v>Nem</v>
      </c>
      <c r="E323" s="13">
        <f t="shared" ca="1" si="89"/>
        <v>0</v>
      </c>
      <c r="F323" s="13"/>
      <c r="G323" s="13"/>
      <c r="H323" s="13"/>
      <c r="I323" s="13">
        <f t="shared" ca="1" si="90"/>
        <v>0</v>
      </c>
      <c r="J323" s="13">
        <f t="shared" ca="1" si="91"/>
        <v>0</v>
      </c>
      <c r="K323" s="13">
        <f t="shared" ca="1" si="92"/>
        <v>0</v>
      </c>
      <c r="L323" s="13" t="e">
        <f ca="1">ROUNDUP(IF($D$2="Egyszeri",$E323,IF($D$2="Havi",SUM($E$20:$E$31),IF(MOD($C323,$M$1)-1=0,SUM($E$20:$E$31),0))/12*$M$1)*VLOOKUP($B323,Paraméterek!$I$28:$P$31,IF($D$2="Egyszeri",8,HLOOKUP(ROUNDUP($M$11+$M$13,0),Paraméterek!$J$26:$O$27,2))),IF($D$4="Forint",0,2))</f>
        <v>#N/A</v>
      </c>
      <c r="M323" s="13">
        <f t="shared" ca="1" si="93"/>
        <v>0</v>
      </c>
      <c r="N323" s="13">
        <f t="shared" ca="1" si="103"/>
        <v>0</v>
      </c>
      <c r="O323" s="13">
        <f ca="1">IF($D323="Igen",IF($W322&gt;=IF($D$4="Forint",Paraméterek!$J$121,Paraméterek!$K$121),0,IF($D$4="Forint",Paraméterek!$J$121,Paraméterek!$K$121)-$W322),0)</f>
        <v>0</v>
      </c>
      <c r="P323" s="13" t="e">
        <f ca="1">ROUNDUP($O323*VLOOKUP($M$4+$B323-1,Paraméterek!$H$58:$I$105,2,0)/Paraméterek!$I$56,IF($D$4="Forint",0,2))</f>
        <v>#N/A</v>
      </c>
      <c r="Q323" s="13">
        <f t="shared" ca="1" si="94"/>
        <v>0</v>
      </c>
      <c r="R323" s="33"/>
      <c r="S323" s="13" t="e">
        <f t="shared" ca="1" si="95"/>
        <v>#N/A</v>
      </c>
      <c r="T323" s="13" t="e">
        <f ca="1">ROUNDUP(($N323-$P323-$Q323+$S323)*VLOOKUP($B323,Paraméterek!$I$38:$K$39,IF($D$2="Egyszeri",3,2))/12*IF($D324="Nem",IF($M$13=0,1,$M$13),1),IF($D$4="Forint",0,2))</f>
        <v>#N/A</v>
      </c>
      <c r="U323" s="13"/>
      <c r="V323" s="13"/>
      <c r="W323" s="13" t="e">
        <f ca="1">$N323-$P323-$Q323+$S323-$T323-IF(ROUNDUP(IF(ISBLANK($V323),$U323*0,$V323)/IF($D$2="Egyszeri",VLOOKUP($B323+IF($C323=12,1,0),Paraméterek!$V$257:$W$262,2),IF($B323=1,1,VLOOKUP($B323+IF($C323=12,1,0),Paraméterek!$I$258:$T$278,HLOOKUP($M$11+1,Paraméterek!$J$256:$T$257,2)))),IF($D$4="Forint",0,2))&gt;$N323-$P323-$Q323+$S323-$T323-IF($D$4="Forint",Paraméterek!$C$216,Paraméterek!$D$216),0,ROUNDUP(IF(ISBLANK($V323),$U323*0,$V323)/IF($D$2="Egyszeri",VLOOKUP($B323+IF($C323=12,1,0),Paraméterek!$V$257:$W$262,2),IF($B323=1,1,VLOOKUP($B323+IF($C323=12,1,0),Paraméterek!$I$258:$T$278,HLOOKUP($M$11+1,Paraméterek!$J$256:$T$257,2)))),IF($D$4="Forint",0,2)))</f>
        <v>#N/A</v>
      </c>
      <c r="X323" s="13" t="e">
        <f ca="1">ROUNDDOWN($W323*IF($D$2="Egyszeri",VLOOKUP($B323+IF($C323=12,1,0),Paraméterek!$V$257:$W$262,2),VLOOKUP($B323+IF($C323=12,1,0),Paraméterek!$I$258:$T$278,HLOOKUP($M$11+1,Paraméterek!$I$256:$T$257,2))),IF($D$4="Forint",0,2))</f>
        <v>#N/A</v>
      </c>
      <c r="Z323" s="32">
        <v>304</v>
      </c>
      <c r="AA323" s="32">
        <v>26</v>
      </c>
      <c r="AB323" s="32">
        <v>4</v>
      </c>
      <c r="AC323" s="13">
        <f t="shared" ca="1" si="104"/>
        <v>0</v>
      </c>
      <c r="AD323" s="33"/>
      <c r="AE323" s="13">
        <f t="shared" ca="1" si="96"/>
        <v>0</v>
      </c>
      <c r="AF323" s="13">
        <f ca="1">ROUNDUP(($AC323+$AE323)*VLOOKUP($AA323,Paraméterek!$P$38:$Q$38,2)/12*IF($D324="Nem",IF($M$13=0,1,$M$13),1),IF($D$4="Forint",0,2))</f>
        <v>0</v>
      </c>
      <c r="AG323" s="13">
        <f ca="1">IF($D$2="Egyszeri",IF($D$7&gt;=IF($D$4="Forint",Paraméterek!$P$223,Paraméterek!$P$224),$D$7-IF($D$4="Forint",Paraméterek!$P$223,Paraméterek!$P$224),0),MIN(IF($AB323=12,AVERAGEIF($E$20:$E323,"&gt;0",$E$20:$E323)*12,0),SUM($E$20:$E$31)))</f>
        <v>0</v>
      </c>
      <c r="AH323" s="13">
        <f>IF($AA323=10,$AG323*IF($AB323=12,IF($AG323&lt;IF($D$4="Forint",Paraméterek!$L$223,Paraméterek!$L$224),0,VLOOKUP($AA323,Paraméterek!$K$226:$M$228,IF($AG323&lt;IF($D$4="Forint",Paraméterek!$M$223,Paraméterek!$M$224),2,3))),0),0)</f>
        <v>0</v>
      </c>
      <c r="AI323" s="13">
        <f ca="1">IF(AND($AA323=$M$11+1,$AB323=$M$12+1),SUMIF($AA$20:$AA$1027,$AA323,$AG$20:$AG$1027)*IF(SUMIF($AA$20:$AA$1027,$AA323,$AG$20:$AG$1027)&lt;IF($D$4="Forint",Paraméterek!$L$223,Paraméterek!$L$224),0,VLOOKUP($AA323,Paraméterek!$K$230:$M$250,IF(SUMIF($AA$20:$AA$1027,$AA323,$AG$20:$AG$1027)&lt;IF($D$4="Forint",Paraméterek!$M$223,Paraméterek!$M$224),2,3))),0)</f>
        <v>0</v>
      </c>
      <c r="AJ323" s="13">
        <f ca="1">IF(AND($AA323&gt;=5,MOD($AA323,5)=0),IF($AB323=12,VLOOKUP($AA323,Paraméterek!$O$225:$P$240,2),0),IF(OR($AA323=3,$AA323=4),IF($AB323=12,VLOOKUP($AA323,Paraméterek!$O$225:$P$240,2,0),0),0))*$AG323</f>
        <v>0</v>
      </c>
      <c r="AK323" s="13">
        <f t="shared" ca="1" si="97"/>
        <v>0</v>
      </c>
      <c r="AL323" s="13">
        <f t="shared" ca="1" si="105"/>
        <v>0</v>
      </c>
      <c r="AM323" s="13">
        <f t="shared" ca="1" si="106"/>
        <v>0</v>
      </c>
      <c r="AO323" s="32">
        <v>304</v>
      </c>
      <c r="AP323" s="32">
        <v>26</v>
      </c>
      <c r="AQ323" s="32">
        <v>4</v>
      </c>
      <c r="AR323" s="13"/>
      <c r="AS323" s="32"/>
      <c r="AT323" s="13">
        <f t="shared" ca="1" si="107"/>
        <v>0</v>
      </c>
      <c r="AU323" s="33"/>
      <c r="AV323" s="13">
        <f t="shared" ca="1" si="98"/>
        <v>0</v>
      </c>
      <c r="AW323" s="13">
        <f ca="1">ROUNDUP(($AT323+$AV323)*VLOOKUP($AP323,Paraméterek!$P$38:$Q$38,2)/12*IF($D324="Nem",IF($M$13=0,1,$M$13),1),IF($D$4="Forint",0,2))</f>
        <v>0</v>
      </c>
      <c r="AX323" s="13"/>
      <c r="AY323" s="13"/>
      <c r="AZ323" s="13">
        <f>ROUNDUP(IF(SUM($AX323:$AY323)=0,0,IF(IF(ISBLANK($AY323),$AX323,$AY323)*Paraméterek!$J$112&lt;IF($D$4="Forint",Paraméterek!$J$113,Paraméterek!$K$113),IF($D$4="Forint",Paraméterek!$J$113,Paraméterek!$K$113),IF(IF(ISBLANK($AY323),$AX323,$AY323)*Paraméterek!$J$112&gt;IF($D$4="Forint",Paraméterek!$J$114,Paraméterek!$K$114),IF($D$4="Forint",Paraméterek!$J$114,Paraméterek!$K$114),IF(ISBLANK($AY323),$AX323,$AY323)*Paraméterek!$J$112))),IF($D$4="Forint",0,2))</f>
        <v>0</v>
      </c>
      <c r="BA323" s="13">
        <f ca="1">$AT323+$AV323-$AW323-IF(ROUNDDOWN(IF(ISBLANK($AY323),$AX323,$AY323),IF($D$4="Forint",0,2))&gt;$AT323+$AV323-$AW323-IF($D$4="Forint",Paraméterek!$J$114,Paraméterek!$K$114),0,ROUNDDOWN(IF(ISBLANK($AY323),$AX323,$AY323),IF($D$4="Forint",0,2))-$AZ323)</f>
        <v>0</v>
      </c>
      <c r="BB323" s="13">
        <f t="shared" ca="1" si="99"/>
        <v>0</v>
      </c>
      <c r="BD323" s="32">
        <v>304</v>
      </c>
      <c r="BE323" s="32">
        <v>26</v>
      </c>
      <c r="BF323" s="32">
        <v>4</v>
      </c>
      <c r="BG323" s="34">
        <f t="shared" ca="1" si="108"/>
        <v>2044</v>
      </c>
      <c r="BH323" s="32" t="str">
        <f ca="1">IF(MOD(MONTH($D$14)+$BD323-1,12)=Paraméterek!$C$288,"Igen","")</f>
        <v/>
      </c>
      <c r="BI323" s="13">
        <f ca="1">IF($BH323="Igen",MIN(ROUNDDOWN((SUMIF($BG$20:$BG$1027,$BG323-1,$K$20:$K$1027)-SUMIF($BG$20:$BG$1027,$BG323-1,$I$20:$I$1027))*Paraméterek!$C$289,IF($D$4="Forint",0,2)),IF($D$4="Forint",Paraméterek!$C$285,Paraméterek!$D$285)),0)</f>
        <v>0</v>
      </c>
      <c r="BJ323" s="13">
        <f t="shared" ca="1" si="100"/>
        <v>0</v>
      </c>
      <c r="BK323" s="13">
        <f t="shared" ca="1" si="109"/>
        <v>0</v>
      </c>
      <c r="BL323" s="33"/>
      <c r="BM323" s="13">
        <f t="shared" ca="1" si="101"/>
        <v>0</v>
      </c>
      <c r="BN323" s="13">
        <f ca="1">ROUNDUP(($BK323+$BM323)*VLOOKUP($BE323,Paraméterek!$P$38:$Q$38,2)/12*IF($D324="Nem",IF($M$13=0,1,$M$13),1),IF($D$4="Forint",0,2))</f>
        <v>0</v>
      </c>
      <c r="BO323" s="13">
        <f t="shared" ca="1" si="102"/>
        <v>0</v>
      </c>
      <c r="BP323" s="13">
        <f ca="1">IF($D324="Nem",$BO323,$BO323-ROUNDUP(SUM($BI$20:$BI323)*120%,IF($D$4="Forint",0,2)))</f>
        <v>0</v>
      </c>
    </row>
    <row r="324" spans="1:68" x14ac:dyDescent="0.2">
      <c r="A324" s="32">
        <v>305</v>
      </c>
      <c r="B324" s="32">
        <v>26</v>
      </c>
      <c r="C324" s="32">
        <v>5</v>
      </c>
      <c r="D324" s="32" t="str">
        <f t="shared" ca="1" si="88"/>
        <v>Nem</v>
      </c>
      <c r="E324" s="13">
        <f t="shared" ca="1" si="89"/>
        <v>0</v>
      </c>
      <c r="F324" s="13"/>
      <c r="G324" s="13"/>
      <c r="H324" s="13"/>
      <c r="I324" s="13">
        <f t="shared" ca="1" si="90"/>
        <v>0</v>
      </c>
      <c r="J324" s="13">
        <f t="shared" ca="1" si="91"/>
        <v>0</v>
      </c>
      <c r="K324" s="13">
        <f t="shared" ca="1" si="92"/>
        <v>0</v>
      </c>
      <c r="L324" s="13" t="e">
        <f ca="1">ROUNDUP(IF($D$2="Egyszeri",$E324,IF($D$2="Havi",SUM($E$20:$E$31),IF(MOD($C324,$M$1)-1=0,SUM($E$20:$E$31),0))/12*$M$1)*VLOOKUP($B324,Paraméterek!$I$28:$P$31,IF($D$2="Egyszeri",8,HLOOKUP(ROUNDUP($M$11+$M$13,0),Paraméterek!$J$26:$O$27,2))),IF($D$4="Forint",0,2))</f>
        <v>#N/A</v>
      </c>
      <c r="M324" s="13">
        <f t="shared" ca="1" si="93"/>
        <v>0</v>
      </c>
      <c r="N324" s="13">
        <f t="shared" ca="1" si="103"/>
        <v>0</v>
      </c>
      <c r="O324" s="13">
        <f ca="1">IF($D324="Igen",IF($W323&gt;=IF($D$4="Forint",Paraméterek!$J$121,Paraméterek!$K$121),0,IF($D$4="Forint",Paraméterek!$J$121,Paraméterek!$K$121)-$W323),0)</f>
        <v>0</v>
      </c>
      <c r="P324" s="13" t="e">
        <f ca="1">ROUNDUP($O324*VLOOKUP($M$4+$B324-1,Paraméterek!$H$58:$I$105,2,0)/Paraméterek!$I$56,IF($D$4="Forint",0,2))</f>
        <v>#N/A</v>
      </c>
      <c r="Q324" s="13">
        <f t="shared" ca="1" si="94"/>
        <v>0</v>
      </c>
      <c r="R324" s="33"/>
      <c r="S324" s="13" t="e">
        <f t="shared" ca="1" si="95"/>
        <v>#N/A</v>
      </c>
      <c r="T324" s="13" t="e">
        <f ca="1">ROUNDUP(($N324-$P324-$Q324+$S324)*VLOOKUP($B324,Paraméterek!$I$38:$K$39,IF($D$2="Egyszeri",3,2))/12*IF($D325="Nem",IF($M$13=0,1,$M$13),1),IF($D$4="Forint",0,2))</f>
        <v>#N/A</v>
      </c>
      <c r="U324" s="13"/>
      <c r="V324" s="13"/>
      <c r="W324" s="13" t="e">
        <f ca="1">$N324-$P324-$Q324+$S324-$T324-IF(ROUNDUP(IF(ISBLANK($V324),$U324*0,$V324)/IF($D$2="Egyszeri",VLOOKUP($B324+IF($C324=12,1,0),Paraméterek!$V$257:$W$262,2),IF($B324=1,1,VLOOKUP($B324+IF($C324=12,1,0),Paraméterek!$I$258:$T$278,HLOOKUP($M$11+1,Paraméterek!$J$256:$T$257,2)))),IF($D$4="Forint",0,2))&gt;$N324-$P324-$Q324+$S324-$T324-IF($D$4="Forint",Paraméterek!$C$216,Paraméterek!$D$216),0,ROUNDUP(IF(ISBLANK($V324),$U324*0,$V324)/IF($D$2="Egyszeri",VLOOKUP($B324+IF($C324=12,1,0),Paraméterek!$V$257:$W$262,2),IF($B324=1,1,VLOOKUP($B324+IF($C324=12,1,0),Paraméterek!$I$258:$T$278,HLOOKUP($M$11+1,Paraméterek!$J$256:$T$257,2)))),IF($D$4="Forint",0,2)))</f>
        <v>#N/A</v>
      </c>
      <c r="X324" s="13" t="e">
        <f ca="1">ROUNDDOWN($W324*IF($D$2="Egyszeri",VLOOKUP($B324+IF($C324=12,1,0),Paraméterek!$V$257:$W$262,2),VLOOKUP($B324+IF($C324=12,1,0),Paraméterek!$I$258:$T$278,HLOOKUP($M$11+1,Paraméterek!$I$256:$T$257,2))),IF($D$4="Forint",0,2))</f>
        <v>#N/A</v>
      </c>
      <c r="Z324" s="32">
        <v>305</v>
      </c>
      <c r="AA324" s="32">
        <v>26</v>
      </c>
      <c r="AB324" s="32">
        <v>5</v>
      </c>
      <c r="AC324" s="13">
        <f t="shared" ca="1" si="104"/>
        <v>0</v>
      </c>
      <c r="AD324" s="33"/>
      <c r="AE324" s="13">
        <f t="shared" ca="1" si="96"/>
        <v>0</v>
      </c>
      <c r="AF324" s="13">
        <f ca="1">ROUNDUP(($AC324+$AE324)*VLOOKUP($AA324,Paraméterek!$P$38:$Q$38,2)/12*IF($D325="Nem",IF($M$13=0,1,$M$13),1),IF($D$4="Forint",0,2))</f>
        <v>0</v>
      </c>
      <c r="AG324" s="13">
        <f ca="1">IF($D$2="Egyszeri",IF($D$7&gt;=IF($D$4="Forint",Paraméterek!$P$223,Paraméterek!$P$224),$D$7-IF($D$4="Forint",Paraméterek!$P$223,Paraméterek!$P$224),0),MIN(IF($AB324=12,AVERAGEIF($E$20:$E324,"&gt;0",$E$20:$E324)*12,0),SUM($E$20:$E$31)))</f>
        <v>0</v>
      </c>
      <c r="AH324" s="13">
        <f>IF($AA324=10,$AG324*IF($AB324=12,IF($AG324&lt;IF($D$4="Forint",Paraméterek!$L$223,Paraméterek!$L$224),0,VLOOKUP($AA324,Paraméterek!$K$226:$M$228,IF($AG324&lt;IF($D$4="Forint",Paraméterek!$M$223,Paraméterek!$M$224),2,3))),0),0)</f>
        <v>0</v>
      </c>
      <c r="AI324" s="13">
        <f ca="1">IF(AND($AA324=$M$11+1,$AB324=$M$12+1),SUMIF($AA$20:$AA$1027,$AA324,$AG$20:$AG$1027)*IF(SUMIF($AA$20:$AA$1027,$AA324,$AG$20:$AG$1027)&lt;IF($D$4="Forint",Paraméterek!$L$223,Paraméterek!$L$224),0,VLOOKUP($AA324,Paraméterek!$K$230:$M$250,IF(SUMIF($AA$20:$AA$1027,$AA324,$AG$20:$AG$1027)&lt;IF($D$4="Forint",Paraméterek!$M$223,Paraméterek!$M$224),2,3))),0)</f>
        <v>0</v>
      </c>
      <c r="AJ324" s="13">
        <f ca="1">IF(AND($AA324&gt;=5,MOD($AA324,5)=0),IF($AB324=12,VLOOKUP($AA324,Paraméterek!$O$225:$P$240,2),0),IF(OR($AA324=3,$AA324=4),IF($AB324=12,VLOOKUP($AA324,Paraméterek!$O$225:$P$240,2,0),0),0))*$AG324</f>
        <v>0</v>
      </c>
      <c r="AK324" s="13">
        <f t="shared" ca="1" si="97"/>
        <v>0</v>
      </c>
      <c r="AL324" s="13">
        <f t="shared" ca="1" si="105"/>
        <v>0</v>
      </c>
      <c r="AM324" s="13">
        <f t="shared" ca="1" si="106"/>
        <v>0</v>
      </c>
      <c r="AO324" s="32">
        <v>305</v>
      </c>
      <c r="AP324" s="32">
        <v>26</v>
      </c>
      <c r="AQ324" s="32">
        <v>5</v>
      </c>
      <c r="AR324" s="13"/>
      <c r="AS324" s="32"/>
      <c r="AT324" s="13">
        <f t="shared" ca="1" si="107"/>
        <v>0</v>
      </c>
      <c r="AU324" s="33"/>
      <c r="AV324" s="13">
        <f t="shared" ca="1" si="98"/>
        <v>0</v>
      </c>
      <c r="AW324" s="13">
        <f ca="1">ROUNDUP(($AT324+$AV324)*VLOOKUP($AP324,Paraméterek!$P$38:$Q$38,2)/12*IF($D325="Nem",IF($M$13=0,1,$M$13),1),IF($D$4="Forint",0,2))</f>
        <v>0</v>
      </c>
      <c r="AX324" s="13"/>
      <c r="AY324" s="13"/>
      <c r="AZ324" s="13">
        <f>ROUNDUP(IF(SUM($AX324:$AY324)=0,0,IF(IF(ISBLANK($AY324),$AX324,$AY324)*Paraméterek!$J$112&lt;IF($D$4="Forint",Paraméterek!$J$113,Paraméterek!$K$113),IF($D$4="Forint",Paraméterek!$J$113,Paraméterek!$K$113),IF(IF(ISBLANK($AY324),$AX324,$AY324)*Paraméterek!$J$112&gt;IF($D$4="Forint",Paraméterek!$J$114,Paraméterek!$K$114),IF($D$4="Forint",Paraméterek!$J$114,Paraméterek!$K$114),IF(ISBLANK($AY324),$AX324,$AY324)*Paraméterek!$J$112))),IF($D$4="Forint",0,2))</f>
        <v>0</v>
      </c>
      <c r="BA324" s="13">
        <f ca="1">$AT324+$AV324-$AW324-IF(ROUNDDOWN(IF(ISBLANK($AY324),$AX324,$AY324),IF($D$4="Forint",0,2))&gt;$AT324+$AV324-$AW324-IF($D$4="Forint",Paraméterek!$J$114,Paraméterek!$K$114),0,ROUNDDOWN(IF(ISBLANK($AY324),$AX324,$AY324),IF($D$4="Forint",0,2))-$AZ324)</f>
        <v>0</v>
      </c>
      <c r="BB324" s="13">
        <f t="shared" ca="1" si="99"/>
        <v>0</v>
      </c>
      <c r="BD324" s="32">
        <v>305</v>
      </c>
      <c r="BE324" s="32">
        <v>26</v>
      </c>
      <c r="BF324" s="32">
        <v>5</v>
      </c>
      <c r="BG324" s="34">
        <f t="shared" ca="1" si="108"/>
        <v>2044</v>
      </c>
      <c r="BH324" s="32" t="str">
        <f ca="1">IF(MOD(MONTH($D$14)+$BD324-1,12)=Paraméterek!$C$288,"Igen","")</f>
        <v/>
      </c>
      <c r="BI324" s="13">
        <f ca="1">IF($BH324="Igen",MIN(ROUNDDOWN((SUMIF($BG$20:$BG$1027,$BG324-1,$K$20:$K$1027)-SUMIF($BG$20:$BG$1027,$BG324-1,$I$20:$I$1027))*Paraméterek!$C$289,IF($D$4="Forint",0,2)),IF($D$4="Forint",Paraméterek!$C$285,Paraméterek!$D$285)),0)</f>
        <v>0</v>
      </c>
      <c r="BJ324" s="13">
        <f t="shared" ca="1" si="100"/>
        <v>0</v>
      </c>
      <c r="BK324" s="13">
        <f t="shared" ca="1" si="109"/>
        <v>0</v>
      </c>
      <c r="BL324" s="33"/>
      <c r="BM324" s="13">
        <f t="shared" ca="1" si="101"/>
        <v>0</v>
      </c>
      <c r="BN324" s="13">
        <f ca="1">ROUNDUP(($BK324+$BM324)*VLOOKUP($BE324,Paraméterek!$P$38:$Q$38,2)/12*IF($D325="Nem",IF($M$13=0,1,$M$13),1),IF($D$4="Forint",0,2))</f>
        <v>0</v>
      </c>
      <c r="BO324" s="13">
        <f t="shared" ca="1" si="102"/>
        <v>0</v>
      </c>
      <c r="BP324" s="13">
        <f ca="1">IF($D325="Nem",$BO324,$BO324-ROUNDUP(SUM($BI$20:$BI324)*120%,IF($D$4="Forint",0,2)))</f>
        <v>0</v>
      </c>
    </row>
    <row r="325" spans="1:68" x14ac:dyDescent="0.2">
      <c r="A325" s="32">
        <v>306</v>
      </c>
      <c r="B325" s="32">
        <v>26</v>
      </c>
      <c r="C325" s="32">
        <v>6</v>
      </c>
      <c r="D325" s="32" t="str">
        <f t="shared" ca="1" si="88"/>
        <v>Nem</v>
      </c>
      <c r="E325" s="13">
        <f t="shared" ca="1" si="89"/>
        <v>0</v>
      </c>
      <c r="F325" s="13"/>
      <c r="G325" s="13"/>
      <c r="H325" s="13"/>
      <c r="I325" s="13">
        <f t="shared" ca="1" si="90"/>
        <v>0</v>
      </c>
      <c r="J325" s="13">
        <f t="shared" ca="1" si="91"/>
        <v>0</v>
      </c>
      <c r="K325" s="13">
        <f t="shared" ca="1" si="92"/>
        <v>0</v>
      </c>
      <c r="L325" s="13" t="e">
        <f ca="1">ROUNDUP(IF($D$2="Egyszeri",$E325,IF($D$2="Havi",SUM($E$20:$E$31),IF(MOD($C325,$M$1)-1=0,SUM($E$20:$E$31),0))/12*$M$1)*VLOOKUP($B325,Paraméterek!$I$28:$P$31,IF($D$2="Egyszeri",8,HLOOKUP(ROUNDUP($M$11+$M$13,0),Paraméterek!$J$26:$O$27,2))),IF($D$4="Forint",0,2))</f>
        <v>#N/A</v>
      </c>
      <c r="M325" s="13">
        <f t="shared" ca="1" si="93"/>
        <v>0</v>
      </c>
      <c r="N325" s="13">
        <f t="shared" ca="1" si="103"/>
        <v>0</v>
      </c>
      <c r="O325" s="13">
        <f ca="1">IF($D325="Igen",IF($W324&gt;=IF($D$4="Forint",Paraméterek!$J$121,Paraméterek!$K$121),0,IF($D$4="Forint",Paraméterek!$J$121,Paraméterek!$K$121)-$W324),0)</f>
        <v>0</v>
      </c>
      <c r="P325" s="13" t="e">
        <f ca="1">ROUNDUP($O325*VLOOKUP($M$4+$B325-1,Paraméterek!$H$58:$I$105,2,0)/Paraméterek!$I$56,IF($D$4="Forint",0,2))</f>
        <v>#N/A</v>
      </c>
      <c r="Q325" s="13">
        <f t="shared" ca="1" si="94"/>
        <v>0</v>
      </c>
      <c r="R325" s="33"/>
      <c r="S325" s="13" t="e">
        <f t="shared" ca="1" si="95"/>
        <v>#N/A</v>
      </c>
      <c r="T325" s="13" t="e">
        <f ca="1">ROUNDUP(($N325-$P325-$Q325+$S325)*VLOOKUP($B325,Paraméterek!$I$38:$K$39,IF($D$2="Egyszeri",3,2))/12*IF($D326="Nem",IF($M$13=0,1,$M$13),1),IF($D$4="Forint",0,2))</f>
        <v>#N/A</v>
      </c>
      <c r="U325" s="13"/>
      <c r="V325" s="13"/>
      <c r="W325" s="13" t="e">
        <f ca="1">$N325-$P325-$Q325+$S325-$T325-IF(ROUNDUP(IF(ISBLANK($V325),$U325*0,$V325)/IF($D$2="Egyszeri",VLOOKUP($B325+IF($C325=12,1,0),Paraméterek!$V$257:$W$262,2),IF($B325=1,1,VLOOKUP($B325+IF($C325=12,1,0),Paraméterek!$I$258:$T$278,HLOOKUP($M$11+1,Paraméterek!$J$256:$T$257,2)))),IF($D$4="Forint",0,2))&gt;$N325-$P325-$Q325+$S325-$T325-IF($D$4="Forint",Paraméterek!$C$216,Paraméterek!$D$216),0,ROUNDUP(IF(ISBLANK($V325),$U325*0,$V325)/IF($D$2="Egyszeri",VLOOKUP($B325+IF($C325=12,1,0),Paraméterek!$V$257:$W$262,2),IF($B325=1,1,VLOOKUP($B325+IF($C325=12,1,0),Paraméterek!$I$258:$T$278,HLOOKUP($M$11+1,Paraméterek!$J$256:$T$257,2)))),IF($D$4="Forint",0,2)))</f>
        <v>#N/A</v>
      </c>
      <c r="X325" s="13" t="e">
        <f ca="1">ROUNDDOWN($W325*IF($D$2="Egyszeri",VLOOKUP($B325+IF($C325=12,1,0),Paraméterek!$V$257:$W$262,2),VLOOKUP($B325+IF($C325=12,1,0),Paraméterek!$I$258:$T$278,HLOOKUP($M$11+1,Paraméterek!$I$256:$T$257,2))),IF($D$4="Forint",0,2))</f>
        <v>#N/A</v>
      </c>
      <c r="Z325" s="32">
        <v>306</v>
      </c>
      <c r="AA325" s="32">
        <v>26</v>
      </c>
      <c r="AB325" s="32">
        <v>6</v>
      </c>
      <c r="AC325" s="13">
        <f t="shared" ca="1" si="104"/>
        <v>0</v>
      </c>
      <c r="AD325" s="33"/>
      <c r="AE325" s="13">
        <f t="shared" ca="1" si="96"/>
        <v>0</v>
      </c>
      <c r="AF325" s="13">
        <f ca="1">ROUNDUP(($AC325+$AE325)*VLOOKUP($AA325,Paraméterek!$P$38:$Q$38,2)/12*IF($D326="Nem",IF($M$13=0,1,$M$13),1),IF($D$4="Forint",0,2))</f>
        <v>0</v>
      </c>
      <c r="AG325" s="13">
        <f ca="1">IF($D$2="Egyszeri",IF($D$7&gt;=IF($D$4="Forint",Paraméterek!$P$223,Paraméterek!$P$224),$D$7-IF($D$4="Forint",Paraméterek!$P$223,Paraméterek!$P$224),0),MIN(IF($AB325=12,AVERAGEIF($E$20:$E325,"&gt;0",$E$20:$E325)*12,0),SUM($E$20:$E$31)))</f>
        <v>0</v>
      </c>
      <c r="AH325" s="13">
        <f>IF($AA325=10,$AG325*IF($AB325=12,IF($AG325&lt;IF($D$4="Forint",Paraméterek!$L$223,Paraméterek!$L$224),0,VLOOKUP($AA325,Paraméterek!$K$226:$M$228,IF($AG325&lt;IF($D$4="Forint",Paraméterek!$M$223,Paraméterek!$M$224),2,3))),0),0)</f>
        <v>0</v>
      </c>
      <c r="AI325" s="13">
        <f ca="1">IF(AND($AA325=$M$11+1,$AB325=$M$12+1),SUMIF($AA$20:$AA$1027,$AA325,$AG$20:$AG$1027)*IF(SUMIF($AA$20:$AA$1027,$AA325,$AG$20:$AG$1027)&lt;IF($D$4="Forint",Paraméterek!$L$223,Paraméterek!$L$224),0,VLOOKUP($AA325,Paraméterek!$K$230:$M$250,IF(SUMIF($AA$20:$AA$1027,$AA325,$AG$20:$AG$1027)&lt;IF($D$4="Forint",Paraméterek!$M$223,Paraméterek!$M$224),2,3))),0)</f>
        <v>0</v>
      </c>
      <c r="AJ325" s="13">
        <f ca="1">IF(AND($AA325&gt;=5,MOD($AA325,5)=0),IF($AB325=12,VLOOKUP($AA325,Paraméterek!$O$225:$P$240,2),0),IF(OR($AA325=3,$AA325=4),IF($AB325=12,VLOOKUP($AA325,Paraméterek!$O$225:$P$240,2,0),0),0))*$AG325</f>
        <v>0</v>
      </c>
      <c r="AK325" s="13">
        <f t="shared" ca="1" si="97"/>
        <v>0</v>
      </c>
      <c r="AL325" s="13">
        <f t="shared" ca="1" si="105"/>
        <v>0</v>
      </c>
      <c r="AM325" s="13">
        <f t="shared" ca="1" si="106"/>
        <v>0</v>
      </c>
      <c r="AO325" s="32">
        <v>306</v>
      </c>
      <c r="AP325" s="32">
        <v>26</v>
      </c>
      <c r="AQ325" s="32">
        <v>6</v>
      </c>
      <c r="AR325" s="13"/>
      <c r="AS325" s="32"/>
      <c r="AT325" s="13">
        <f t="shared" ca="1" si="107"/>
        <v>0</v>
      </c>
      <c r="AU325" s="33"/>
      <c r="AV325" s="13">
        <f t="shared" ca="1" si="98"/>
        <v>0</v>
      </c>
      <c r="AW325" s="13">
        <f ca="1">ROUNDUP(($AT325+$AV325)*VLOOKUP($AP325,Paraméterek!$P$38:$Q$38,2)/12*IF($D326="Nem",IF($M$13=0,1,$M$13),1),IF($D$4="Forint",0,2))</f>
        <v>0</v>
      </c>
      <c r="AX325" s="13"/>
      <c r="AY325" s="13"/>
      <c r="AZ325" s="13">
        <f>ROUNDUP(IF(SUM($AX325:$AY325)=0,0,IF(IF(ISBLANK($AY325),$AX325,$AY325)*Paraméterek!$J$112&lt;IF($D$4="Forint",Paraméterek!$J$113,Paraméterek!$K$113),IF($D$4="Forint",Paraméterek!$J$113,Paraméterek!$K$113),IF(IF(ISBLANK($AY325),$AX325,$AY325)*Paraméterek!$J$112&gt;IF($D$4="Forint",Paraméterek!$J$114,Paraméterek!$K$114),IF($D$4="Forint",Paraméterek!$J$114,Paraméterek!$K$114),IF(ISBLANK($AY325),$AX325,$AY325)*Paraméterek!$J$112))),IF($D$4="Forint",0,2))</f>
        <v>0</v>
      </c>
      <c r="BA325" s="13">
        <f ca="1">$AT325+$AV325-$AW325-IF(ROUNDDOWN(IF(ISBLANK($AY325),$AX325,$AY325),IF($D$4="Forint",0,2))&gt;$AT325+$AV325-$AW325-IF($D$4="Forint",Paraméterek!$J$114,Paraméterek!$K$114),0,ROUNDDOWN(IF(ISBLANK($AY325),$AX325,$AY325),IF($D$4="Forint",0,2))-$AZ325)</f>
        <v>0</v>
      </c>
      <c r="BB325" s="13">
        <f t="shared" ca="1" si="99"/>
        <v>0</v>
      </c>
      <c r="BD325" s="32">
        <v>306</v>
      </c>
      <c r="BE325" s="32">
        <v>26</v>
      </c>
      <c r="BF325" s="32">
        <v>6</v>
      </c>
      <c r="BG325" s="34">
        <f t="shared" ca="1" si="108"/>
        <v>2044</v>
      </c>
      <c r="BH325" s="32" t="str">
        <f ca="1">IF(MOD(MONTH($D$14)+$BD325-1,12)=Paraméterek!$C$288,"Igen","")</f>
        <v/>
      </c>
      <c r="BI325" s="13">
        <f ca="1">IF($BH325="Igen",MIN(ROUNDDOWN((SUMIF($BG$20:$BG$1027,$BG325-1,$K$20:$K$1027)-SUMIF($BG$20:$BG$1027,$BG325-1,$I$20:$I$1027))*Paraméterek!$C$289,IF($D$4="Forint",0,2)),IF($D$4="Forint",Paraméterek!$C$285,Paraméterek!$D$285)),0)</f>
        <v>0</v>
      </c>
      <c r="BJ325" s="13">
        <f t="shared" ca="1" si="100"/>
        <v>0</v>
      </c>
      <c r="BK325" s="13">
        <f t="shared" ca="1" si="109"/>
        <v>0</v>
      </c>
      <c r="BL325" s="33"/>
      <c r="BM325" s="13">
        <f t="shared" ca="1" si="101"/>
        <v>0</v>
      </c>
      <c r="BN325" s="13">
        <f ca="1">ROUNDUP(($BK325+$BM325)*VLOOKUP($BE325,Paraméterek!$P$38:$Q$38,2)/12*IF($D326="Nem",IF($M$13=0,1,$M$13),1),IF($D$4="Forint",0,2))</f>
        <v>0</v>
      </c>
      <c r="BO325" s="13">
        <f t="shared" ca="1" si="102"/>
        <v>0</v>
      </c>
      <c r="BP325" s="13">
        <f ca="1">IF($D326="Nem",$BO325,$BO325-ROUNDUP(SUM($BI$20:$BI325)*120%,IF($D$4="Forint",0,2)))</f>
        <v>0</v>
      </c>
    </row>
    <row r="326" spans="1:68" x14ac:dyDescent="0.2">
      <c r="A326" s="32">
        <v>307</v>
      </c>
      <c r="B326" s="32">
        <v>26</v>
      </c>
      <c r="C326" s="32">
        <v>7</v>
      </c>
      <c r="D326" s="32" t="str">
        <f t="shared" ca="1" si="88"/>
        <v>Nem</v>
      </c>
      <c r="E326" s="13">
        <f t="shared" ca="1" si="89"/>
        <v>0</v>
      </c>
      <c r="F326" s="13"/>
      <c r="G326" s="13"/>
      <c r="H326" s="13"/>
      <c r="I326" s="13">
        <f t="shared" ca="1" si="90"/>
        <v>0</v>
      </c>
      <c r="J326" s="13">
        <f t="shared" ca="1" si="91"/>
        <v>0</v>
      </c>
      <c r="K326" s="13">
        <f t="shared" ca="1" si="92"/>
        <v>0</v>
      </c>
      <c r="L326" s="13" t="e">
        <f ca="1">ROUNDUP(IF($D$2="Egyszeri",$E326,IF($D$2="Havi",SUM($E$20:$E$31),IF(MOD($C326,$M$1)-1=0,SUM($E$20:$E$31),0))/12*$M$1)*VLOOKUP($B326,Paraméterek!$I$28:$P$31,IF($D$2="Egyszeri",8,HLOOKUP(ROUNDUP($M$11+$M$13,0),Paraméterek!$J$26:$O$27,2))),IF($D$4="Forint",0,2))</f>
        <v>#N/A</v>
      </c>
      <c r="M326" s="13">
        <f t="shared" ca="1" si="93"/>
        <v>0</v>
      </c>
      <c r="N326" s="13">
        <f t="shared" ca="1" si="103"/>
        <v>0</v>
      </c>
      <c r="O326" s="13">
        <f ca="1">IF($D326="Igen",IF($W325&gt;=IF($D$4="Forint",Paraméterek!$J$121,Paraméterek!$K$121),0,IF($D$4="Forint",Paraméterek!$J$121,Paraméterek!$K$121)-$W325),0)</f>
        <v>0</v>
      </c>
      <c r="P326" s="13" t="e">
        <f ca="1">ROUNDUP($O326*VLOOKUP($M$4+$B326-1,Paraméterek!$H$58:$I$105,2,0)/Paraméterek!$I$56,IF($D$4="Forint",0,2))</f>
        <v>#N/A</v>
      </c>
      <c r="Q326" s="13">
        <f t="shared" ca="1" si="94"/>
        <v>0</v>
      </c>
      <c r="R326" s="33"/>
      <c r="S326" s="13" t="e">
        <f t="shared" ca="1" si="95"/>
        <v>#N/A</v>
      </c>
      <c r="T326" s="13" t="e">
        <f ca="1">ROUNDUP(($N326-$P326-$Q326+$S326)*VLOOKUP($B326,Paraméterek!$I$38:$K$39,IF($D$2="Egyszeri",3,2))/12*IF($D327="Nem",IF($M$13=0,1,$M$13),1),IF($D$4="Forint",0,2))</f>
        <v>#N/A</v>
      </c>
      <c r="U326" s="13"/>
      <c r="V326" s="13"/>
      <c r="W326" s="13" t="e">
        <f ca="1">$N326-$P326-$Q326+$S326-$T326-IF(ROUNDUP(IF(ISBLANK($V326),$U326*0,$V326)/IF($D$2="Egyszeri",VLOOKUP($B326+IF($C326=12,1,0),Paraméterek!$V$257:$W$262,2),IF($B326=1,1,VLOOKUP($B326+IF($C326=12,1,0),Paraméterek!$I$258:$T$278,HLOOKUP($M$11+1,Paraméterek!$J$256:$T$257,2)))),IF($D$4="Forint",0,2))&gt;$N326-$P326-$Q326+$S326-$T326-IF($D$4="Forint",Paraméterek!$C$216,Paraméterek!$D$216),0,ROUNDUP(IF(ISBLANK($V326),$U326*0,$V326)/IF($D$2="Egyszeri",VLOOKUP($B326+IF($C326=12,1,0),Paraméterek!$V$257:$W$262,2),IF($B326=1,1,VLOOKUP($B326+IF($C326=12,1,0),Paraméterek!$I$258:$T$278,HLOOKUP($M$11+1,Paraméterek!$J$256:$T$257,2)))),IF($D$4="Forint",0,2)))</f>
        <v>#N/A</v>
      </c>
      <c r="X326" s="13" t="e">
        <f ca="1">ROUNDDOWN($W326*IF($D$2="Egyszeri",VLOOKUP($B326+IF($C326=12,1,0),Paraméterek!$V$257:$W$262,2),VLOOKUP($B326+IF($C326=12,1,0),Paraméterek!$I$258:$T$278,HLOOKUP($M$11+1,Paraméterek!$I$256:$T$257,2))),IF($D$4="Forint",0,2))</f>
        <v>#N/A</v>
      </c>
      <c r="Z326" s="32">
        <v>307</v>
      </c>
      <c r="AA326" s="32">
        <v>26</v>
      </c>
      <c r="AB326" s="32">
        <v>7</v>
      </c>
      <c r="AC326" s="13">
        <f t="shared" ca="1" si="104"/>
        <v>0</v>
      </c>
      <c r="AD326" s="33"/>
      <c r="AE326" s="13">
        <f t="shared" ca="1" si="96"/>
        <v>0</v>
      </c>
      <c r="AF326" s="13">
        <f ca="1">ROUNDUP(($AC326+$AE326)*VLOOKUP($AA326,Paraméterek!$P$38:$Q$38,2)/12*IF($D327="Nem",IF($M$13=0,1,$M$13),1),IF($D$4="Forint",0,2))</f>
        <v>0</v>
      </c>
      <c r="AG326" s="13">
        <f ca="1">IF($D$2="Egyszeri",IF($D$7&gt;=IF($D$4="Forint",Paraméterek!$P$223,Paraméterek!$P$224),$D$7-IF($D$4="Forint",Paraméterek!$P$223,Paraméterek!$P$224),0),MIN(IF($AB326=12,AVERAGEIF($E$20:$E326,"&gt;0",$E$20:$E326)*12,0),SUM($E$20:$E$31)))</f>
        <v>0</v>
      </c>
      <c r="AH326" s="13">
        <f>IF($AA326=10,$AG326*IF($AB326=12,IF($AG326&lt;IF($D$4="Forint",Paraméterek!$L$223,Paraméterek!$L$224),0,VLOOKUP($AA326,Paraméterek!$K$226:$M$228,IF($AG326&lt;IF($D$4="Forint",Paraméterek!$M$223,Paraméterek!$M$224),2,3))),0),0)</f>
        <v>0</v>
      </c>
      <c r="AI326" s="13">
        <f ca="1">IF(AND($AA326=$M$11+1,$AB326=$M$12+1),SUMIF($AA$20:$AA$1027,$AA326,$AG$20:$AG$1027)*IF(SUMIF($AA$20:$AA$1027,$AA326,$AG$20:$AG$1027)&lt;IF($D$4="Forint",Paraméterek!$L$223,Paraméterek!$L$224),0,VLOOKUP($AA326,Paraméterek!$K$230:$M$250,IF(SUMIF($AA$20:$AA$1027,$AA326,$AG$20:$AG$1027)&lt;IF($D$4="Forint",Paraméterek!$M$223,Paraméterek!$M$224),2,3))),0)</f>
        <v>0</v>
      </c>
      <c r="AJ326" s="13">
        <f ca="1">IF(AND($AA326&gt;=5,MOD($AA326,5)=0),IF($AB326=12,VLOOKUP($AA326,Paraméterek!$O$225:$P$240,2),0),IF(OR($AA326=3,$AA326=4),IF($AB326=12,VLOOKUP($AA326,Paraméterek!$O$225:$P$240,2,0),0),0))*$AG326</f>
        <v>0</v>
      </c>
      <c r="AK326" s="13">
        <f t="shared" ca="1" si="97"/>
        <v>0</v>
      </c>
      <c r="AL326" s="13">
        <f t="shared" ca="1" si="105"/>
        <v>0</v>
      </c>
      <c r="AM326" s="13">
        <f t="shared" ca="1" si="106"/>
        <v>0</v>
      </c>
      <c r="AO326" s="32">
        <v>307</v>
      </c>
      <c r="AP326" s="32">
        <v>26</v>
      </c>
      <c r="AQ326" s="32">
        <v>7</v>
      </c>
      <c r="AR326" s="13"/>
      <c r="AS326" s="32"/>
      <c r="AT326" s="13">
        <f t="shared" ca="1" si="107"/>
        <v>0</v>
      </c>
      <c r="AU326" s="33"/>
      <c r="AV326" s="13">
        <f t="shared" ca="1" si="98"/>
        <v>0</v>
      </c>
      <c r="AW326" s="13">
        <f ca="1">ROUNDUP(($AT326+$AV326)*VLOOKUP($AP326,Paraméterek!$P$38:$Q$38,2)/12*IF($D327="Nem",IF($M$13=0,1,$M$13),1),IF($D$4="Forint",0,2))</f>
        <v>0</v>
      </c>
      <c r="AX326" s="13"/>
      <c r="AY326" s="13"/>
      <c r="AZ326" s="13">
        <f>ROUNDUP(IF(SUM($AX326:$AY326)=0,0,IF(IF(ISBLANK($AY326),$AX326,$AY326)*Paraméterek!$J$112&lt;IF($D$4="Forint",Paraméterek!$J$113,Paraméterek!$K$113),IF($D$4="Forint",Paraméterek!$J$113,Paraméterek!$K$113),IF(IF(ISBLANK($AY326),$AX326,$AY326)*Paraméterek!$J$112&gt;IF($D$4="Forint",Paraméterek!$J$114,Paraméterek!$K$114),IF($D$4="Forint",Paraméterek!$J$114,Paraméterek!$K$114),IF(ISBLANK($AY326),$AX326,$AY326)*Paraméterek!$J$112))),IF($D$4="Forint",0,2))</f>
        <v>0</v>
      </c>
      <c r="BA326" s="13">
        <f ca="1">$AT326+$AV326-$AW326-IF(ROUNDDOWN(IF(ISBLANK($AY326),$AX326,$AY326),IF($D$4="Forint",0,2))&gt;$AT326+$AV326-$AW326-IF($D$4="Forint",Paraméterek!$J$114,Paraméterek!$K$114),0,ROUNDDOWN(IF(ISBLANK($AY326),$AX326,$AY326),IF($D$4="Forint",0,2))-$AZ326)</f>
        <v>0</v>
      </c>
      <c r="BB326" s="13">
        <f t="shared" ca="1" si="99"/>
        <v>0</v>
      </c>
      <c r="BD326" s="32">
        <v>307</v>
      </c>
      <c r="BE326" s="32">
        <v>26</v>
      </c>
      <c r="BF326" s="32">
        <v>7</v>
      </c>
      <c r="BG326" s="34">
        <f t="shared" ca="1" si="108"/>
        <v>2044</v>
      </c>
      <c r="BH326" s="32" t="str">
        <f ca="1">IF(MOD(MONTH($D$14)+$BD326-1,12)=Paraméterek!$C$288,"Igen","")</f>
        <v/>
      </c>
      <c r="BI326" s="13">
        <f ca="1">IF($BH326="Igen",MIN(ROUNDDOWN((SUMIF($BG$20:$BG$1027,$BG326-1,$K$20:$K$1027)-SUMIF($BG$20:$BG$1027,$BG326-1,$I$20:$I$1027))*Paraméterek!$C$289,IF($D$4="Forint",0,2)),IF($D$4="Forint",Paraméterek!$C$285,Paraméterek!$D$285)),0)</f>
        <v>0</v>
      </c>
      <c r="BJ326" s="13">
        <f t="shared" ca="1" si="100"/>
        <v>0</v>
      </c>
      <c r="BK326" s="13">
        <f t="shared" ca="1" si="109"/>
        <v>0</v>
      </c>
      <c r="BL326" s="33"/>
      <c r="BM326" s="13">
        <f t="shared" ca="1" si="101"/>
        <v>0</v>
      </c>
      <c r="BN326" s="13">
        <f ca="1">ROUNDUP(($BK326+$BM326)*VLOOKUP($BE326,Paraméterek!$P$38:$Q$38,2)/12*IF($D327="Nem",IF($M$13=0,1,$M$13),1),IF($D$4="Forint",0,2))</f>
        <v>0</v>
      </c>
      <c r="BO326" s="13">
        <f t="shared" ca="1" si="102"/>
        <v>0</v>
      </c>
      <c r="BP326" s="13">
        <f ca="1">IF($D327="Nem",$BO326,$BO326-ROUNDUP(SUM($BI$20:$BI326)*120%,IF($D$4="Forint",0,2)))</f>
        <v>0</v>
      </c>
    </row>
    <row r="327" spans="1:68" x14ac:dyDescent="0.2">
      <c r="A327" s="32">
        <v>308</v>
      </c>
      <c r="B327" s="32">
        <v>26</v>
      </c>
      <c r="C327" s="32">
        <v>8</v>
      </c>
      <c r="D327" s="32" t="str">
        <f t="shared" ca="1" si="88"/>
        <v>Nem</v>
      </c>
      <c r="E327" s="13">
        <f t="shared" ca="1" si="89"/>
        <v>0</v>
      </c>
      <c r="F327" s="13"/>
      <c r="G327" s="13"/>
      <c r="H327" s="13"/>
      <c r="I327" s="13">
        <f t="shared" ca="1" si="90"/>
        <v>0</v>
      </c>
      <c r="J327" s="13">
        <f t="shared" ca="1" si="91"/>
        <v>0</v>
      </c>
      <c r="K327" s="13">
        <f t="shared" ca="1" si="92"/>
        <v>0</v>
      </c>
      <c r="L327" s="13" t="e">
        <f ca="1">ROUNDUP(IF($D$2="Egyszeri",$E327,IF($D$2="Havi",SUM($E$20:$E$31),IF(MOD($C327,$M$1)-1=0,SUM($E$20:$E$31),0))/12*$M$1)*VLOOKUP($B327,Paraméterek!$I$28:$P$31,IF($D$2="Egyszeri",8,HLOOKUP(ROUNDUP($M$11+$M$13,0),Paraméterek!$J$26:$O$27,2))),IF($D$4="Forint",0,2))</f>
        <v>#N/A</v>
      </c>
      <c r="M327" s="13">
        <f t="shared" ca="1" si="93"/>
        <v>0</v>
      </c>
      <c r="N327" s="13">
        <f t="shared" ca="1" si="103"/>
        <v>0</v>
      </c>
      <c r="O327" s="13">
        <f ca="1">IF($D327="Igen",IF($W326&gt;=IF($D$4="Forint",Paraméterek!$J$121,Paraméterek!$K$121),0,IF($D$4="Forint",Paraméterek!$J$121,Paraméterek!$K$121)-$W326),0)</f>
        <v>0</v>
      </c>
      <c r="P327" s="13" t="e">
        <f ca="1">ROUNDUP($O327*VLOOKUP($M$4+$B327-1,Paraméterek!$H$58:$I$105,2,0)/Paraméterek!$I$56,IF($D$4="Forint",0,2))</f>
        <v>#N/A</v>
      </c>
      <c r="Q327" s="13">
        <f t="shared" ca="1" si="94"/>
        <v>0</v>
      </c>
      <c r="R327" s="33"/>
      <c r="S327" s="13" t="e">
        <f t="shared" ca="1" si="95"/>
        <v>#N/A</v>
      </c>
      <c r="T327" s="13" t="e">
        <f ca="1">ROUNDUP(($N327-$P327-$Q327+$S327)*VLOOKUP($B327,Paraméterek!$I$38:$K$39,IF($D$2="Egyszeri",3,2))/12*IF($D328="Nem",IF($M$13=0,1,$M$13),1),IF($D$4="Forint",0,2))</f>
        <v>#N/A</v>
      </c>
      <c r="U327" s="13"/>
      <c r="V327" s="13"/>
      <c r="W327" s="13" t="e">
        <f ca="1">$N327-$P327-$Q327+$S327-$T327-IF(ROUNDUP(IF(ISBLANK($V327),$U327*0,$V327)/IF($D$2="Egyszeri",VLOOKUP($B327+IF($C327=12,1,0),Paraméterek!$V$257:$W$262,2),IF($B327=1,1,VLOOKUP($B327+IF($C327=12,1,0),Paraméterek!$I$258:$T$278,HLOOKUP($M$11+1,Paraméterek!$J$256:$T$257,2)))),IF($D$4="Forint",0,2))&gt;$N327-$P327-$Q327+$S327-$T327-IF($D$4="Forint",Paraméterek!$C$216,Paraméterek!$D$216),0,ROUNDUP(IF(ISBLANK($V327),$U327*0,$V327)/IF($D$2="Egyszeri",VLOOKUP($B327+IF($C327=12,1,0),Paraméterek!$V$257:$W$262,2),IF($B327=1,1,VLOOKUP($B327+IF($C327=12,1,0),Paraméterek!$I$258:$T$278,HLOOKUP($M$11+1,Paraméterek!$J$256:$T$257,2)))),IF($D$4="Forint",0,2)))</f>
        <v>#N/A</v>
      </c>
      <c r="X327" s="13" t="e">
        <f ca="1">ROUNDDOWN($W327*IF($D$2="Egyszeri",VLOOKUP($B327+IF($C327=12,1,0),Paraméterek!$V$257:$W$262,2),VLOOKUP($B327+IF($C327=12,1,0),Paraméterek!$I$258:$T$278,HLOOKUP($M$11+1,Paraméterek!$I$256:$T$257,2))),IF($D$4="Forint",0,2))</f>
        <v>#N/A</v>
      </c>
      <c r="Z327" s="32">
        <v>308</v>
      </c>
      <c r="AA327" s="32">
        <v>26</v>
      </c>
      <c r="AB327" s="32">
        <v>8</v>
      </c>
      <c r="AC327" s="13">
        <f t="shared" ca="1" si="104"/>
        <v>0</v>
      </c>
      <c r="AD327" s="33"/>
      <c r="AE327" s="13">
        <f t="shared" ca="1" si="96"/>
        <v>0</v>
      </c>
      <c r="AF327" s="13">
        <f ca="1">ROUNDUP(($AC327+$AE327)*VLOOKUP($AA327,Paraméterek!$P$38:$Q$38,2)/12*IF($D328="Nem",IF($M$13=0,1,$M$13),1),IF($D$4="Forint",0,2))</f>
        <v>0</v>
      </c>
      <c r="AG327" s="13">
        <f ca="1">IF($D$2="Egyszeri",IF($D$7&gt;=IF($D$4="Forint",Paraméterek!$P$223,Paraméterek!$P$224),$D$7-IF($D$4="Forint",Paraméterek!$P$223,Paraméterek!$P$224),0),MIN(IF($AB327=12,AVERAGEIF($E$20:$E327,"&gt;0",$E$20:$E327)*12,0),SUM($E$20:$E$31)))</f>
        <v>0</v>
      </c>
      <c r="AH327" s="13">
        <f>IF($AA327=10,$AG327*IF($AB327=12,IF($AG327&lt;IF($D$4="Forint",Paraméterek!$L$223,Paraméterek!$L$224),0,VLOOKUP($AA327,Paraméterek!$K$226:$M$228,IF($AG327&lt;IF($D$4="Forint",Paraméterek!$M$223,Paraméterek!$M$224),2,3))),0),0)</f>
        <v>0</v>
      </c>
      <c r="AI327" s="13">
        <f ca="1">IF(AND($AA327=$M$11+1,$AB327=$M$12+1),SUMIF($AA$20:$AA$1027,$AA327,$AG$20:$AG$1027)*IF(SUMIF($AA$20:$AA$1027,$AA327,$AG$20:$AG$1027)&lt;IF($D$4="Forint",Paraméterek!$L$223,Paraméterek!$L$224),0,VLOOKUP($AA327,Paraméterek!$K$230:$M$250,IF(SUMIF($AA$20:$AA$1027,$AA327,$AG$20:$AG$1027)&lt;IF($D$4="Forint",Paraméterek!$M$223,Paraméterek!$M$224),2,3))),0)</f>
        <v>0</v>
      </c>
      <c r="AJ327" s="13">
        <f ca="1">IF(AND($AA327&gt;=5,MOD($AA327,5)=0),IF($AB327=12,VLOOKUP($AA327,Paraméterek!$O$225:$P$240,2),0),IF(OR($AA327=3,$AA327=4),IF($AB327=12,VLOOKUP($AA327,Paraméterek!$O$225:$P$240,2,0),0),0))*$AG327</f>
        <v>0</v>
      </c>
      <c r="AK327" s="13">
        <f t="shared" ca="1" si="97"/>
        <v>0</v>
      </c>
      <c r="AL327" s="13">
        <f t="shared" ca="1" si="105"/>
        <v>0</v>
      </c>
      <c r="AM327" s="13">
        <f t="shared" ca="1" si="106"/>
        <v>0</v>
      </c>
      <c r="AO327" s="32">
        <v>308</v>
      </c>
      <c r="AP327" s="32">
        <v>26</v>
      </c>
      <c r="AQ327" s="32">
        <v>8</v>
      </c>
      <c r="AR327" s="13"/>
      <c r="AS327" s="32"/>
      <c r="AT327" s="13">
        <f t="shared" ca="1" si="107"/>
        <v>0</v>
      </c>
      <c r="AU327" s="33"/>
      <c r="AV327" s="13">
        <f t="shared" ca="1" si="98"/>
        <v>0</v>
      </c>
      <c r="AW327" s="13">
        <f ca="1">ROUNDUP(($AT327+$AV327)*VLOOKUP($AP327,Paraméterek!$P$38:$Q$38,2)/12*IF($D328="Nem",IF($M$13=0,1,$M$13),1),IF($D$4="Forint",0,2))</f>
        <v>0</v>
      </c>
      <c r="AX327" s="13"/>
      <c r="AY327" s="13"/>
      <c r="AZ327" s="13">
        <f>ROUNDUP(IF(SUM($AX327:$AY327)=0,0,IF(IF(ISBLANK($AY327),$AX327,$AY327)*Paraméterek!$J$112&lt;IF($D$4="Forint",Paraméterek!$J$113,Paraméterek!$K$113),IF($D$4="Forint",Paraméterek!$J$113,Paraméterek!$K$113),IF(IF(ISBLANK($AY327),$AX327,$AY327)*Paraméterek!$J$112&gt;IF($D$4="Forint",Paraméterek!$J$114,Paraméterek!$K$114),IF($D$4="Forint",Paraméterek!$J$114,Paraméterek!$K$114),IF(ISBLANK($AY327),$AX327,$AY327)*Paraméterek!$J$112))),IF($D$4="Forint",0,2))</f>
        <v>0</v>
      </c>
      <c r="BA327" s="13">
        <f ca="1">$AT327+$AV327-$AW327-IF(ROUNDDOWN(IF(ISBLANK($AY327),$AX327,$AY327),IF($D$4="Forint",0,2))&gt;$AT327+$AV327-$AW327-IF($D$4="Forint",Paraméterek!$J$114,Paraméterek!$K$114),0,ROUNDDOWN(IF(ISBLANK($AY327),$AX327,$AY327),IF($D$4="Forint",0,2))-$AZ327)</f>
        <v>0</v>
      </c>
      <c r="BB327" s="13">
        <f t="shared" ca="1" si="99"/>
        <v>0</v>
      </c>
      <c r="BD327" s="32">
        <v>308</v>
      </c>
      <c r="BE327" s="32">
        <v>26</v>
      </c>
      <c r="BF327" s="32">
        <v>8</v>
      </c>
      <c r="BG327" s="34">
        <f t="shared" ca="1" si="108"/>
        <v>2045</v>
      </c>
      <c r="BH327" s="32" t="str">
        <f ca="1">IF(MOD(MONTH($D$14)+$BD327-1,12)=Paraméterek!$C$288,"Igen","")</f>
        <v/>
      </c>
      <c r="BI327" s="13">
        <f ca="1">IF($BH327="Igen",MIN(ROUNDDOWN((SUMIF($BG$20:$BG$1027,$BG327-1,$K$20:$K$1027)-SUMIF($BG$20:$BG$1027,$BG327-1,$I$20:$I$1027))*Paraméterek!$C$289,IF($D$4="Forint",0,2)),IF($D$4="Forint",Paraméterek!$C$285,Paraméterek!$D$285)),0)</f>
        <v>0</v>
      </c>
      <c r="BJ327" s="13">
        <f t="shared" ca="1" si="100"/>
        <v>0</v>
      </c>
      <c r="BK327" s="13">
        <f t="shared" ca="1" si="109"/>
        <v>0</v>
      </c>
      <c r="BL327" s="33"/>
      <c r="BM327" s="13">
        <f t="shared" ca="1" si="101"/>
        <v>0</v>
      </c>
      <c r="BN327" s="13">
        <f ca="1">ROUNDUP(($BK327+$BM327)*VLOOKUP($BE327,Paraméterek!$P$38:$Q$38,2)/12*IF($D328="Nem",IF($M$13=0,1,$M$13),1),IF($D$4="Forint",0,2))</f>
        <v>0</v>
      </c>
      <c r="BO327" s="13">
        <f t="shared" ca="1" si="102"/>
        <v>0</v>
      </c>
      <c r="BP327" s="13">
        <f ca="1">IF($D328="Nem",$BO327,$BO327-ROUNDUP(SUM($BI$20:$BI327)*120%,IF($D$4="Forint",0,2)))</f>
        <v>0</v>
      </c>
    </row>
    <row r="328" spans="1:68" x14ac:dyDescent="0.2">
      <c r="A328" s="32">
        <v>309</v>
      </c>
      <c r="B328" s="32">
        <v>26</v>
      </c>
      <c r="C328" s="32">
        <v>9</v>
      </c>
      <c r="D328" s="32" t="str">
        <f t="shared" ca="1" si="88"/>
        <v>Nem</v>
      </c>
      <c r="E328" s="13">
        <f t="shared" ca="1" si="89"/>
        <v>0</v>
      </c>
      <c r="F328" s="13"/>
      <c r="G328" s="13"/>
      <c r="H328" s="13"/>
      <c r="I328" s="13">
        <f t="shared" ca="1" si="90"/>
        <v>0</v>
      </c>
      <c r="J328" s="13">
        <f t="shared" ca="1" si="91"/>
        <v>0</v>
      </c>
      <c r="K328" s="13">
        <f t="shared" ca="1" si="92"/>
        <v>0</v>
      </c>
      <c r="L328" s="13" t="e">
        <f ca="1">ROUNDUP(IF($D$2="Egyszeri",$E328,IF($D$2="Havi",SUM($E$20:$E$31),IF(MOD($C328,$M$1)-1=0,SUM($E$20:$E$31),0))/12*$M$1)*VLOOKUP($B328,Paraméterek!$I$28:$P$31,IF($D$2="Egyszeri",8,HLOOKUP(ROUNDUP($M$11+$M$13,0),Paraméterek!$J$26:$O$27,2))),IF($D$4="Forint",0,2))</f>
        <v>#N/A</v>
      </c>
      <c r="M328" s="13">
        <f t="shared" ca="1" si="93"/>
        <v>0</v>
      </c>
      <c r="N328" s="13">
        <f t="shared" ca="1" si="103"/>
        <v>0</v>
      </c>
      <c r="O328" s="13">
        <f ca="1">IF($D328="Igen",IF($W327&gt;=IF($D$4="Forint",Paraméterek!$J$121,Paraméterek!$K$121),0,IF($D$4="Forint",Paraméterek!$J$121,Paraméterek!$K$121)-$W327),0)</f>
        <v>0</v>
      </c>
      <c r="P328" s="13" t="e">
        <f ca="1">ROUNDUP($O328*VLOOKUP($M$4+$B328-1,Paraméterek!$H$58:$I$105,2,0)/Paraméterek!$I$56,IF($D$4="Forint",0,2))</f>
        <v>#N/A</v>
      </c>
      <c r="Q328" s="13">
        <f t="shared" ca="1" si="94"/>
        <v>0</v>
      </c>
      <c r="R328" s="33"/>
      <c r="S328" s="13" t="e">
        <f t="shared" ca="1" si="95"/>
        <v>#N/A</v>
      </c>
      <c r="T328" s="13" t="e">
        <f ca="1">ROUNDUP(($N328-$P328-$Q328+$S328)*VLOOKUP($B328,Paraméterek!$I$38:$K$39,IF($D$2="Egyszeri",3,2))/12*IF($D329="Nem",IF($M$13=0,1,$M$13),1),IF($D$4="Forint",0,2))</f>
        <v>#N/A</v>
      </c>
      <c r="U328" s="13"/>
      <c r="V328" s="13"/>
      <c r="W328" s="13" t="e">
        <f ca="1">$N328-$P328-$Q328+$S328-$T328-IF(ROUNDUP(IF(ISBLANK($V328),$U328*0,$V328)/IF($D$2="Egyszeri",VLOOKUP($B328+IF($C328=12,1,0),Paraméterek!$V$257:$W$262,2),IF($B328=1,1,VLOOKUP($B328+IF($C328=12,1,0),Paraméterek!$I$258:$T$278,HLOOKUP($M$11+1,Paraméterek!$J$256:$T$257,2)))),IF($D$4="Forint",0,2))&gt;$N328-$P328-$Q328+$S328-$T328-IF($D$4="Forint",Paraméterek!$C$216,Paraméterek!$D$216),0,ROUNDUP(IF(ISBLANK($V328),$U328*0,$V328)/IF($D$2="Egyszeri",VLOOKUP($B328+IF($C328=12,1,0),Paraméterek!$V$257:$W$262,2),IF($B328=1,1,VLOOKUP($B328+IF($C328=12,1,0),Paraméterek!$I$258:$T$278,HLOOKUP($M$11+1,Paraméterek!$J$256:$T$257,2)))),IF($D$4="Forint",0,2)))</f>
        <v>#N/A</v>
      </c>
      <c r="X328" s="13" t="e">
        <f ca="1">ROUNDDOWN($W328*IF($D$2="Egyszeri",VLOOKUP($B328+IF($C328=12,1,0),Paraméterek!$V$257:$W$262,2),VLOOKUP($B328+IF($C328=12,1,0),Paraméterek!$I$258:$T$278,HLOOKUP($M$11+1,Paraméterek!$I$256:$T$257,2))),IF($D$4="Forint",0,2))</f>
        <v>#N/A</v>
      </c>
      <c r="Z328" s="32">
        <v>309</v>
      </c>
      <c r="AA328" s="32">
        <v>26</v>
      </c>
      <c r="AB328" s="32">
        <v>9</v>
      </c>
      <c r="AC328" s="13">
        <f t="shared" ca="1" si="104"/>
        <v>0</v>
      </c>
      <c r="AD328" s="33"/>
      <c r="AE328" s="13">
        <f t="shared" ca="1" si="96"/>
        <v>0</v>
      </c>
      <c r="AF328" s="13">
        <f ca="1">ROUNDUP(($AC328+$AE328)*VLOOKUP($AA328,Paraméterek!$P$38:$Q$38,2)/12*IF($D329="Nem",IF($M$13=0,1,$M$13),1),IF($D$4="Forint",0,2))</f>
        <v>0</v>
      </c>
      <c r="AG328" s="13">
        <f ca="1">IF($D$2="Egyszeri",IF($D$7&gt;=IF($D$4="Forint",Paraméterek!$P$223,Paraméterek!$P$224),$D$7-IF($D$4="Forint",Paraméterek!$P$223,Paraméterek!$P$224),0),MIN(IF($AB328=12,AVERAGEIF($E$20:$E328,"&gt;0",$E$20:$E328)*12,0),SUM($E$20:$E$31)))</f>
        <v>0</v>
      </c>
      <c r="AH328" s="13">
        <f>IF($AA328=10,$AG328*IF($AB328=12,IF($AG328&lt;IF($D$4="Forint",Paraméterek!$L$223,Paraméterek!$L$224),0,VLOOKUP($AA328,Paraméterek!$K$226:$M$228,IF($AG328&lt;IF($D$4="Forint",Paraméterek!$M$223,Paraméterek!$M$224),2,3))),0),0)</f>
        <v>0</v>
      </c>
      <c r="AI328" s="13">
        <f ca="1">IF(AND($AA328=$M$11+1,$AB328=$M$12+1),SUMIF($AA$20:$AA$1027,$AA328,$AG$20:$AG$1027)*IF(SUMIF($AA$20:$AA$1027,$AA328,$AG$20:$AG$1027)&lt;IF($D$4="Forint",Paraméterek!$L$223,Paraméterek!$L$224),0,VLOOKUP($AA328,Paraméterek!$K$230:$M$250,IF(SUMIF($AA$20:$AA$1027,$AA328,$AG$20:$AG$1027)&lt;IF($D$4="Forint",Paraméterek!$M$223,Paraméterek!$M$224),2,3))),0)</f>
        <v>0</v>
      </c>
      <c r="AJ328" s="13">
        <f ca="1">IF(AND($AA328&gt;=5,MOD($AA328,5)=0),IF($AB328=12,VLOOKUP($AA328,Paraméterek!$O$225:$P$240,2),0),IF(OR($AA328=3,$AA328=4),IF($AB328=12,VLOOKUP($AA328,Paraméterek!$O$225:$P$240,2,0),0),0))*$AG328</f>
        <v>0</v>
      </c>
      <c r="AK328" s="13">
        <f t="shared" ca="1" si="97"/>
        <v>0</v>
      </c>
      <c r="AL328" s="13">
        <f t="shared" ca="1" si="105"/>
        <v>0</v>
      </c>
      <c r="AM328" s="13">
        <f t="shared" ca="1" si="106"/>
        <v>0</v>
      </c>
      <c r="AO328" s="32">
        <v>309</v>
      </c>
      <c r="AP328" s="32">
        <v>26</v>
      </c>
      <c r="AQ328" s="32">
        <v>9</v>
      </c>
      <c r="AR328" s="13"/>
      <c r="AS328" s="32"/>
      <c r="AT328" s="13">
        <f t="shared" ca="1" si="107"/>
        <v>0</v>
      </c>
      <c r="AU328" s="33"/>
      <c r="AV328" s="13">
        <f t="shared" ca="1" si="98"/>
        <v>0</v>
      </c>
      <c r="AW328" s="13">
        <f ca="1">ROUNDUP(($AT328+$AV328)*VLOOKUP($AP328,Paraméterek!$P$38:$Q$38,2)/12*IF($D329="Nem",IF($M$13=0,1,$M$13),1),IF($D$4="Forint",0,2))</f>
        <v>0</v>
      </c>
      <c r="AX328" s="13"/>
      <c r="AY328" s="13"/>
      <c r="AZ328" s="13">
        <f>ROUNDUP(IF(SUM($AX328:$AY328)=0,0,IF(IF(ISBLANK($AY328),$AX328,$AY328)*Paraméterek!$J$112&lt;IF($D$4="Forint",Paraméterek!$J$113,Paraméterek!$K$113),IF($D$4="Forint",Paraméterek!$J$113,Paraméterek!$K$113),IF(IF(ISBLANK($AY328),$AX328,$AY328)*Paraméterek!$J$112&gt;IF($D$4="Forint",Paraméterek!$J$114,Paraméterek!$K$114),IF($D$4="Forint",Paraméterek!$J$114,Paraméterek!$K$114),IF(ISBLANK($AY328),$AX328,$AY328)*Paraméterek!$J$112))),IF($D$4="Forint",0,2))</f>
        <v>0</v>
      </c>
      <c r="BA328" s="13">
        <f ca="1">$AT328+$AV328-$AW328-IF(ROUNDDOWN(IF(ISBLANK($AY328),$AX328,$AY328),IF($D$4="Forint",0,2))&gt;$AT328+$AV328-$AW328-IF($D$4="Forint",Paraméterek!$J$114,Paraméterek!$K$114),0,ROUNDDOWN(IF(ISBLANK($AY328),$AX328,$AY328),IF($D$4="Forint",0,2))-$AZ328)</f>
        <v>0</v>
      </c>
      <c r="BB328" s="13">
        <f t="shared" ca="1" si="99"/>
        <v>0</v>
      </c>
      <c r="BD328" s="32">
        <v>309</v>
      </c>
      <c r="BE328" s="32">
        <v>26</v>
      </c>
      <c r="BF328" s="32">
        <v>9</v>
      </c>
      <c r="BG328" s="34">
        <f t="shared" ca="1" si="108"/>
        <v>2045</v>
      </c>
      <c r="BH328" s="32" t="str">
        <f ca="1">IF(MOD(MONTH($D$14)+$BD328-1,12)=Paraméterek!$C$288,"Igen","")</f>
        <v/>
      </c>
      <c r="BI328" s="13">
        <f ca="1">IF($BH328="Igen",MIN(ROUNDDOWN((SUMIF($BG$20:$BG$1027,$BG328-1,$K$20:$K$1027)-SUMIF($BG$20:$BG$1027,$BG328-1,$I$20:$I$1027))*Paraméterek!$C$289,IF($D$4="Forint",0,2)),IF($D$4="Forint",Paraméterek!$C$285,Paraméterek!$D$285)),0)</f>
        <v>0</v>
      </c>
      <c r="BJ328" s="13">
        <f t="shared" ca="1" si="100"/>
        <v>0</v>
      </c>
      <c r="BK328" s="13">
        <f t="shared" ca="1" si="109"/>
        <v>0</v>
      </c>
      <c r="BL328" s="33"/>
      <c r="BM328" s="13">
        <f t="shared" ca="1" si="101"/>
        <v>0</v>
      </c>
      <c r="BN328" s="13">
        <f ca="1">ROUNDUP(($BK328+$BM328)*VLOOKUP($BE328,Paraméterek!$P$38:$Q$38,2)/12*IF($D329="Nem",IF($M$13=0,1,$M$13),1),IF($D$4="Forint",0,2))</f>
        <v>0</v>
      </c>
      <c r="BO328" s="13">
        <f t="shared" ca="1" si="102"/>
        <v>0</v>
      </c>
      <c r="BP328" s="13">
        <f ca="1">IF($D329="Nem",$BO328,$BO328-ROUNDUP(SUM($BI$20:$BI328)*120%,IF($D$4="Forint",0,2)))</f>
        <v>0</v>
      </c>
    </row>
    <row r="329" spans="1:68" x14ac:dyDescent="0.2">
      <c r="A329" s="32">
        <v>310</v>
      </c>
      <c r="B329" s="32">
        <v>26</v>
      </c>
      <c r="C329" s="32">
        <v>10</v>
      </c>
      <c r="D329" s="32" t="str">
        <f t="shared" ca="1" si="88"/>
        <v>Nem</v>
      </c>
      <c r="E329" s="13">
        <f t="shared" ca="1" si="89"/>
        <v>0</v>
      </c>
      <c r="F329" s="13"/>
      <c r="G329" s="13"/>
      <c r="H329" s="13"/>
      <c r="I329" s="13">
        <f t="shared" ca="1" si="90"/>
        <v>0</v>
      </c>
      <c r="J329" s="13">
        <f t="shared" ca="1" si="91"/>
        <v>0</v>
      </c>
      <c r="K329" s="13">
        <f t="shared" ca="1" si="92"/>
        <v>0</v>
      </c>
      <c r="L329" s="13" t="e">
        <f ca="1">ROUNDUP(IF($D$2="Egyszeri",$E329,IF($D$2="Havi",SUM($E$20:$E$31),IF(MOD($C329,$M$1)-1=0,SUM($E$20:$E$31),0))/12*$M$1)*VLOOKUP($B329,Paraméterek!$I$28:$P$31,IF($D$2="Egyszeri",8,HLOOKUP(ROUNDUP($M$11+$M$13,0),Paraméterek!$J$26:$O$27,2))),IF($D$4="Forint",0,2))</f>
        <v>#N/A</v>
      </c>
      <c r="M329" s="13">
        <f t="shared" ca="1" si="93"/>
        <v>0</v>
      </c>
      <c r="N329" s="13">
        <f t="shared" ca="1" si="103"/>
        <v>0</v>
      </c>
      <c r="O329" s="13">
        <f ca="1">IF($D329="Igen",IF($W328&gt;=IF($D$4="Forint",Paraméterek!$J$121,Paraméterek!$K$121),0,IF($D$4="Forint",Paraméterek!$J$121,Paraméterek!$K$121)-$W328),0)</f>
        <v>0</v>
      </c>
      <c r="P329" s="13" t="e">
        <f ca="1">ROUNDUP($O329*VLOOKUP($M$4+$B329-1,Paraméterek!$H$58:$I$105,2,0)/Paraméterek!$I$56,IF($D$4="Forint",0,2))</f>
        <v>#N/A</v>
      </c>
      <c r="Q329" s="13">
        <f t="shared" ca="1" si="94"/>
        <v>0</v>
      </c>
      <c r="R329" s="33"/>
      <c r="S329" s="13" t="e">
        <f t="shared" ca="1" si="95"/>
        <v>#N/A</v>
      </c>
      <c r="T329" s="13" t="e">
        <f ca="1">ROUNDUP(($N329-$P329-$Q329+$S329)*VLOOKUP($B329,Paraméterek!$I$38:$K$39,IF($D$2="Egyszeri",3,2))/12*IF($D330="Nem",IF($M$13=0,1,$M$13),1),IF($D$4="Forint",0,2))</f>
        <v>#N/A</v>
      </c>
      <c r="U329" s="13"/>
      <c r="V329" s="13"/>
      <c r="W329" s="13" t="e">
        <f ca="1">$N329-$P329-$Q329+$S329-$T329-IF(ROUNDUP(IF(ISBLANK($V329),$U329*0,$V329)/IF($D$2="Egyszeri",VLOOKUP($B329+IF($C329=12,1,0),Paraméterek!$V$257:$W$262,2),IF($B329=1,1,VLOOKUP($B329+IF($C329=12,1,0),Paraméterek!$I$258:$T$278,HLOOKUP($M$11+1,Paraméterek!$J$256:$T$257,2)))),IF($D$4="Forint",0,2))&gt;$N329-$P329-$Q329+$S329-$T329-IF($D$4="Forint",Paraméterek!$C$216,Paraméterek!$D$216),0,ROUNDUP(IF(ISBLANK($V329),$U329*0,$V329)/IF($D$2="Egyszeri",VLOOKUP($B329+IF($C329=12,1,0),Paraméterek!$V$257:$W$262,2),IF($B329=1,1,VLOOKUP($B329+IF($C329=12,1,0),Paraméterek!$I$258:$T$278,HLOOKUP($M$11+1,Paraméterek!$J$256:$T$257,2)))),IF($D$4="Forint",0,2)))</f>
        <v>#N/A</v>
      </c>
      <c r="X329" s="13" t="e">
        <f ca="1">ROUNDDOWN($W329*IF($D$2="Egyszeri",VLOOKUP($B329+IF($C329=12,1,0),Paraméterek!$V$257:$W$262,2),VLOOKUP($B329+IF($C329=12,1,0),Paraméterek!$I$258:$T$278,HLOOKUP($M$11+1,Paraméterek!$I$256:$T$257,2))),IF($D$4="Forint",0,2))</f>
        <v>#N/A</v>
      </c>
      <c r="Z329" s="32">
        <v>310</v>
      </c>
      <c r="AA329" s="32">
        <v>26</v>
      </c>
      <c r="AB329" s="32">
        <v>10</v>
      </c>
      <c r="AC329" s="13">
        <f t="shared" ca="1" si="104"/>
        <v>0</v>
      </c>
      <c r="AD329" s="33"/>
      <c r="AE329" s="13">
        <f t="shared" ca="1" si="96"/>
        <v>0</v>
      </c>
      <c r="AF329" s="13">
        <f ca="1">ROUNDUP(($AC329+$AE329)*VLOOKUP($AA329,Paraméterek!$P$38:$Q$38,2)/12*IF($D330="Nem",IF($M$13=0,1,$M$13),1),IF($D$4="Forint",0,2))</f>
        <v>0</v>
      </c>
      <c r="AG329" s="13">
        <f ca="1">IF($D$2="Egyszeri",IF($D$7&gt;=IF($D$4="Forint",Paraméterek!$P$223,Paraméterek!$P$224),$D$7-IF($D$4="Forint",Paraméterek!$P$223,Paraméterek!$P$224),0),MIN(IF($AB329=12,AVERAGEIF($E$20:$E329,"&gt;0",$E$20:$E329)*12,0),SUM($E$20:$E$31)))</f>
        <v>0</v>
      </c>
      <c r="AH329" s="13">
        <f>IF($AA329=10,$AG329*IF($AB329=12,IF($AG329&lt;IF($D$4="Forint",Paraméterek!$L$223,Paraméterek!$L$224),0,VLOOKUP($AA329,Paraméterek!$K$226:$M$228,IF($AG329&lt;IF($D$4="Forint",Paraméterek!$M$223,Paraméterek!$M$224),2,3))),0),0)</f>
        <v>0</v>
      </c>
      <c r="AI329" s="13">
        <f ca="1">IF(AND($AA329=$M$11+1,$AB329=$M$12+1),SUMIF($AA$20:$AA$1027,$AA329,$AG$20:$AG$1027)*IF(SUMIF($AA$20:$AA$1027,$AA329,$AG$20:$AG$1027)&lt;IF($D$4="Forint",Paraméterek!$L$223,Paraméterek!$L$224),0,VLOOKUP($AA329,Paraméterek!$K$230:$M$250,IF(SUMIF($AA$20:$AA$1027,$AA329,$AG$20:$AG$1027)&lt;IF($D$4="Forint",Paraméterek!$M$223,Paraméterek!$M$224),2,3))),0)</f>
        <v>0</v>
      </c>
      <c r="AJ329" s="13">
        <f ca="1">IF(AND($AA329&gt;=5,MOD($AA329,5)=0),IF($AB329=12,VLOOKUP($AA329,Paraméterek!$O$225:$P$240,2),0),IF(OR($AA329=3,$AA329=4),IF($AB329=12,VLOOKUP($AA329,Paraméterek!$O$225:$P$240,2,0),0),0))*$AG329</f>
        <v>0</v>
      </c>
      <c r="AK329" s="13">
        <f t="shared" ca="1" si="97"/>
        <v>0</v>
      </c>
      <c r="AL329" s="13">
        <f t="shared" ca="1" si="105"/>
        <v>0</v>
      </c>
      <c r="AM329" s="13">
        <f t="shared" ca="1" si="106"/>
        <v>0</v>
      </c>
      <c r="AO329" s="32">
        <v>310</v>
      </c>
      <c r="AP329" s="32">
        <v>26</v>
      </c>
      <c r="AQ329" s="32">
        <v>10</v>
      </c>
      <c r="AR329" s="13"/>
      <c r="AS329" s="32"/>
      <c r="AT329" s="13">
        <f t="shared" ca="1" si="107"/>
        <v>0</v>
      </c>
      <c r="AU329" s="33"/>
      <c r="AV329" s="13">
        <f t="shared" ca="1" si="98"/>
        <v>0</v>
      </c>
      <c r="AW329" s="13">
        <f ca="1">ROUNDUP(($AT329+$AV329)*VLOOKUP($AP329,Paraméterek!$P$38:$Q$38,2)/12*IF($D330="Nem",IF($M$13=0,1,$M$13),1),IF($D$4="Forint",0,2))</f>
        <v>0</v>
      </c>
      <c r="AX329" s="13"/>
      <c r="AY329" s="13"/>
      <c r="AZ329" s="13">
        <f>ROUNDUP(IF(SUM($AX329:$AY329)=0,0,IF(IF(ISBLANK($AY329),$AX329,$AY329)*Paraméterek!$J$112&lt;IF($D$4="Forint",Paraméterek!$J$113,Paraméterek!$K$113),IF($D$4="Forint",Paraméterek!$J$113,Paraméterek!$K$113),IF(IF(ISBLANK($AY329),$AX329,$AY329)*Paraméterek!$J$112&gt;IF($D$4="Forint",Paraméterek!$J$114,Paraméterek!$K$114),IF($D$4="Forint",Paraméterek!$J$114,Paraméterek!$K$114),IF(ISBLANK($AY329),$AX329,$AY329)*Paraméterek!$J$112))),IF($D$4="Forint",0,2))</f>
        <v>0</v>
      </c>
      <c r="BA329" s="13">
        <f ca="1">$AT329+$AV329-$AW329-IF(ROUNDDOWN(IF(ISBLANK($AY329),$AX329,$AY329),IF($D$4="Forint",0,2))&gt;$AT329+$AV329-$AW329-IF($D$4="Forint",Paraméterek!$J$114,Paraméterek!$K$114),0,ROUNDDOWN(IF(ISBLANK($AY329),$AX329,$AY329),IF($D$4="Forint",0,2))-$AZ329)</f>
        <v>0</v>
      </c>
      <c r="BB329" s="13">
        <f t="shared" ca="1" si="99"/>
        <v>0</v>
      </c>
      <c r="BD329" s="32">
        <v>310</v>
      </c>
      <c r="BE329" s="32">
        <v>26</v>
      </c>
      <c r="BF329" s="32">
        <v>10</v>
      </c>
      <c r="BG329" s="34">
        <f t="shared" ca="1" si="108"/>
        <v>2045</v>
      </c>
      <c r="BH329" s="32" t="str">
        <f ca="1">IF(MOD(MONTH($D$14)+$BD329-1,12)=Paraméterek!$C$288,"Igen","")</f>
        <v/>
      </c>
      <c r="BI329" s="13">
        <f ca="1">IF($BH329="Igen",MIN(ROUNDDOWN((SUMIF($BG$20:$BG$1027,$BG329-1,$K$20:$K$1027)-SUMIF($BG$20:$BG$1027,$BG329-1,$I$20:$I$1027))*Paraméterek!$C$289,IF($D$4="Forint",0,2)),IF($D$4="Forint",Paraméterek!$C$285,Paraméterek!$D$285)),0)</f>
        <v>0</v>
      </c>
      <c r="BJ329" s="13">
        <f t="shared" ca="1" si="100"/>
        <v>0</v>
      </c>
      <c r="BK329" s="13">
        <f t="shared" ca="1" si="109"/>
        <v>0</v>
      </c>
      <c r="BL329" s="33"/>
      <c r="BM329" s="13">
        <f t="shared" ca="1" si="101"/>
        <v>0</v>
      </c>
      <c r="BN329" s="13">
        <f ca="1">ROUNDUP(($BK329+$BM329)*VLOOKUP($BE329,Paraméterek!$P$38:$Q$38,2)/12*IF($D330="Nem",IF($M$13=0,1,$M$13),1),IF($D$4="Forint",0,2))</f>
        <v>0</v>
      </c>
      <c r="BO329" s="13">
        <f t="shared" ca="1" si="102"/>
        <v>0</v>
      </c>
      <c r="BP329" s="13">
        <f ca="1">IF($D330="Nem",$BO329,$BO329-ROUNDUP(SUM($BI$20:$BI329)*120%,IF($D$4="Forint",0,2)))</f>
        <v>0</v>
      </c>
    </row>
    <row r="330" spans="1:68" x14ac:dyDescent="0.2">
      <c r="A330" s="32">
        <v>311</v>
      </c>
      <c r="B330" s="32">
        <v>26</v>
      </c>
      <c r="C330" s="32">
        <v>11</v>
      </c>
      <c r="D330" s="32" t="str">
        <f t="shared" ca="1" si="88"/>
        <v>Nem</v>
      </c>
      <c r="E330" s="13">
        <f t="shared" ca="1" si="89"/>
        <v>0</v>
      </c>
      <c r="F330" s="13"/>
      <c r="G330" s="13"/>
      <c r="H330" s="13"/>
      <c r="I330" s="13">
        <f t="shared" ca="1" si="90"/>
        <v>0</v>
      </c>
      <c r="J330" s="13">
        <f t="shared" ca="1" si="91"/>
        <v>0</v>
      </c>
      <c r="K330" s="13">
        <f t="shared" ca="1" si="92"/>
        <v>0</v>
      </c>
      <c r="L330" s="13" t="e">
        <f ca="1">ROUNDUP(IF($D$2="Egyszeri",$E330,IF($D$2="Havi",SUM($E$20:$E$31),IF(MOD($C330,$M$1)-1=0,SUM($E$20:$E$31),0))/12*$M$1)*VLOOKUP($B330,Paraméterek!$I$28:$P$31,IF($D$2="Egyszeri",8,HLOOKUP(ROUNDUP($M$11+$M$13,0),Paraméterek!$J$26:$O$27,2))),IF($D$4="Forint",0,2))</f>
        <v>#N/A</v>
      </c>
      <c r="M330" s="13">
        <f t="shared" ca="1" si="93"/>
        <v>0</v>
      </c>
      <c r="N330" s="13">
        <f t="shared" ca="1" si="103"/>
        <v>0</v>
      </c>
      <c r="O330" s="13">
        <f ca="1">IF($D330="Igen",IF($W329&gt;=IF($D$4="Forint",Paraméterek!$J$121,Paraméterek!$K$121),0,IF($D$4="Forint",Paraméterek!$J$121,Paraméterek!$K$121)-$W329),0)</f>
        <v>0</v>
      </c>
      <c r="P330" s="13" t="e">
        <f ca="1">ROUNDUP($O330*VLOOKUP($M$4+$B330-1,Paraméterek!$H$58:$I$105,2,0)/Paraméterek!$I$56,IF($D$4="Forint",0,2))</f>
        <v>#N/A</v>
      </c>
      <c r="Q330" s="13">
        <f t="shared" ca="1" si="94"/>
        <v>0</v>
      </c>
      <c r="R330" s="33"/>
      <c r="S330" s="13" t="e">
        <f t="shared" ca="1" si="95"/>
        <v>#N/A</v>
      </c>
      <c r="T330" s="13" t="e">
        <f ca="1">ROUNDUP(($N330-$P330-$Q330+$S330)*VLOOKUP($B330,Paraméterek!$I$38:$K$39,IF($D$2="Egyszeri",3,2))/12*IF($D331="Nem",IF($M$13=0,1,$M$13),1),IF($D$4="Forint",0,2))</f>
        <v>#N/A</v>
      </c>
      <c r="U330" s="13"/>
      <c r="V330" s="13"/>
      <c r="W330" s="13" t="e">
        <f ca="1">$N330-$P330-$Q330+$S330-$T330-IF(ROUNDUP(IF(ISBLANK($V330),$U330*0,$V330)/IF($D$2="Egyszeri",VLOOKUP($B330+IF($C330=12,1,0),Paraméterek!$V$257:$W$262,2),IF($B330=1,1,VLOOKUP($B330+IF($C330=12,1,0),Paraméterek!$I$258:$T$278,HLOOKUP($M$11+1,Paraméterek!$J$256:$T$257,2)))),IF($D$4="Forint",0,2))&gt;$N330-$P330-$Q330+$S330-$T330-IF($D$4="Forint",Paraméterek!$C$216,Paraméterek!$D$216),0,ROUNDUP(IF(ISBLANK($V330),$U330*0,$V330)/IF($D$2="Egyszeri",VLOOKUP($B330+IF($C330=12,1,0),Paraméterek!$V$257:$W$262,2),IF($B330=1,1,VLOOKUP($B330+IF($C330=12,1,0),Paraméterek!$I$258:$T$278,HLOOKUP($M$11+1,Paraméterek!$J$256:$T$257,2)))),IF($D$4="Forint",0,2)))</f>
        <v>#N/A</v>
      </c>
      <c r="X330" s="13" t="e">
        <f ca="1">ROUNDDOWN($W330*IF($D$2="Egyszeri",VLOOKUP($B330+IF($C330=12,1,0),Paraméterek!$V$257:$W$262,2),VLOOKUP($B330+IF($C330=12,1,0),Paraméterek!$I$258:$T$278,HLOOKUP($M$11+1,Paraméterek!$I$256:$T$257,2))),IF($D$4="Forint",0,2))</f>
        <v>#N/A</v>
      </c>
      <c r="Z330" s="32">
        <v>311</v>
      </c>
      <c r="AA330" s="32">
        <v>26</v>
      </c>
      <c r="AB330" s="32">
        <v>11</v>
      </c>
      <c r="AC330" s="13">
        <f t="shared" ca="1" si="104"/>
        <v>0</v>
      </c>
      <c r="AD330" s="33"/>
      <c r="AE330" s="13">
        <f t="shared" ca="1" si="96"/>
        <v>0</v>
      </c>
      <c r="AF330" s="13">
        <f ca="1">ROUNDUP(($AC330+$AE330)*VLOOKUP($AA330,Paraméterek!$P$38:$Q$38,2)/12*IF($D331="Nem",IF($M$13=0,1,$M$13),1),IF($D$4="Forint",0,2))</f>
        <v>0</v>
      </c>
      <c r="AG330" s="13">
        <f ca="1">IF($D$2="Egyszeri",IF($D$7&gt;=IF($D$4="Forint",Paraméterek!$P$223,Paraméterek!$P$224),$D$7-IF($D$4="Forint",Paraméterek!$P$223,Paraméterek!$P$224),0),MIN(IF($AB330=12,AVERAGEIF($E$20:$E330,"&gt;0",$E$20:$E330)*12,0),SUM($E$20:$E$31)))</f>
        <v>0</v>
      </c>
      <c r="AH330" s="13">
        <f>IF($AA330=10,$AG330*IF($AB330=12,IF($AG330&lt;IF($D$4="Forint",Paraméterek!$L$223,Paraméterek!$L$224),0,VLOOKUP($AA330,Paraméterek!$K$226:$M$228,IF($AG330&lt;IF($D$4="Forint",Paraméterek!$M$223,Paraméterek!$M$224),2,3))),0),0)</f>
        <v>0</v>
      </c>
      <c r="AI330" s="13">
        <f ca="1">IF(AND($AA330=$M$11+1,$AB330=$M$12+1),SUMIF($AA$20:$AA$1027,$AA330,$AG$20:$AG$1027)*IF(SUMIF($AA$20:$AA$1027,$AA330,$AG$20:$AG$1027)&lt;IF($D$4="Forint",Paraméterek!$L$223,Paraméterek!$L$224),0,VLOOKUP($AA330,Paraméterek!$K$230:$M$250,IF(SUMIF($AA$20:$AA$1027,$AA330,$AG$20:$AG$1027)&lt;IF($D$4="Forint",Paraméterek!$M$223,Paraméterek!$M$224),2,3))),0)</f>
        <v>0</v>
      </c>
      <c r="AJ330" s="13">
        <f ca="1">IF(AND($AA330&gt;=5,MOD($AA330,5)=0),IF($AB330=12,VLOOKUP($AA330,Paraméterek!$O$225:$P$240,2),0),IF(OR($AA330=3,$AA330=4),IF($AB330=12,VLOOKUP($AA330,Paraméterek!$O$225:$P$240,2,0),0),0))*$AG330</f>
        <v>0</v>
      </c>
      <c r="AK330" s="13">
        <f t="shared" ca="1" si="97"/>
        <v>0</v>
      </c>
      <c r="AL330" s="13">
        <f t="shared" ca="1" si="105"/>
        <v>0</v>
      </c>
      <c r="AM330" s="13">
        <f t="shared" ca="1" si="106"/>
        <v>0</v>
      </c>
      <c r="AO330" s="32">
        <v>311</v>
      </c>
      <c r="AP330" s="32">
        <v>26</v>
      </c>
      <c r="AQ330" s="32">
        <v>11</v>
      </c>
      <c r="AR330" s="13"/>
      <c r="AS330" s="32"/>
      <c r="AT330" s="13">
        <f t="shared" ca="1" si="107"/>
        <v>0</v>
      </c>
      <c r="AU330" s="33"/>
      <c r="AV330" s="13">
        <f t="shared" ca="1" si="98"/>
        <v>0</v>
      </c>
      <c r="AW330" s="13">
        <f ca="1">ROUNDUP(($AT330+$AV330)*VLOOKUP($AP330,Paraméterek!$P$38:$Q$38,2)/12*IF($D331="Nem",IF($M$13=0,1,$M$13),1),IF($D$4="Forint",0,2))</f>
        <v>0</v>
      </c>
      <c r="AX330" s="13"/>
      <c r="AY330" s="13"/>
      <c r="AZ330" s="13">
        <f>ROUNDUP(IF(SUM($AX330:$AY330)=0,0,IF(IF(ISBLANK($AY330),$AX330,$AY330)*Paraméterek!$J$112&lt;IF($D$4="Forint",Paraméterek!$J$113,Paraméterek!$K$113),IF($D$4="Forint",Paraméterek!$J$113,Paraméterek!$K$113),IF(IF(ISBLANK($AY330),$AX330,$AY330)*Paraméterek!$J$112&gt;IF($D$4="Forint",Paraméterek!$J$114,Paraméterek!$K$114),IF($D$4="Forint",Paraméterek!$J$114,Paraméterek!$K$114),IF(ISBLANK($AY330),$AX330,$AY330)*Paraméterek!$J$112))),IF($D$4="Forint",0,2))</f>
        <v>0</v>
      </c>
      <c r="BA330" s="13">
        <f ca="1">$AT330+$AV330-$AW330-IF(ROUNDDOWN(IF(ISBLANK($AY330),$AX330,$AY330),IF($D$4="Forint",0,2))&gt;$AT330+$AV330-$AW330-IF($D$4="Forint",Paraméterek!$J$114,Paraméterek!$K$114),0,ROUNDDOWN(IF(ISBLANK($AY330),$AX330,$AY330),IF($D$4="Forint",0,2))-$AZ330)</f>
        <v>0</v>
      </c>
      <c r="BB330" s="13">
        <f t="shared" ca="1" si="99"/>
        <v>0</v>
      </c>
      <c r="BD330" s="32">
        <v>311</v>
      </c>
      <c r="BE330" s="32">
        <v>26</v>
      </c>
      <c r="BF330" s="32">
        <v>11</v>
      </c>
      <c r="BG330" s="34">
        <f t="shared" ca="1" si="108"/>
        <v>2045</v>
      </c>
      <c r="BH330" s="32" t="str">
        <f ca="1">IF(MOD(MONTH($D$14)+$BD330-1,12)=Paraméterek!$C$288,"Igen","")</f>
        <v/>
      </c>
      <c r="BI330" s="13">
        <f ca="1">IF($BH330="Igen",MIN(ROUNDDOWN((SUMIF($BG$20:$BG$1027,$BG330-1,$K$20:$K$1027)-SUMIF($BG$20:$BG$1027,$BG330-1,$I$20:$I$1027))*Paraméterek!$C$289,IF($D$4="Forint",0,2)),IF($D$4="Forint",Paraméterek!$C$285,Paraméterek!$D$285)),0)</f>
        <v>0</v>
      </c>
      <c r="BJ330" s="13">
        <f t="shared" ca="1" si="100"/>
        <v>0</v>
      </c>
      <c r="BK330" s="13">
        <f t="shared" ca="1" si="109"/>
        <v>0</v>
      </c>
      <c r="BL330" s="33"/>
      <c r="BM330" s="13">
        <f t="shared" ca="1" si="101"/>
        <v>0</v>
      </c>
      <c r="BN330" s="13">
        <f ca="1">ROUNDUP(($BK330+$BM330)*VLOOKUP($BE330,Paraméterek!$P$38:$Q$38,2)/12*IF($D331="Nem",IF($M$13=0,1,$M$13),1),IF($D$4="Forint",0,2))</f>
        <v>0</v>
      </c>
      <c r="BO330" s="13">
        <f t="shared" ca="1" si="102"/>
        <v>0</v>
      </c>
      <c r="BP330" s="13">
        <f ca="1">IF($D331="Nem",$BO330,$BO330-ROUNDUP(SUM($BI$20:$BI330)*120%,IF($D$4="Forint",0,2)))</f>
        <v>0</v>
      </c>
    </row>
    <row r="331" spans="1:68" x14ac:dyDescent="0.2">
      <c r="A331" s="32">
        <v>312</v>
      </c>
      <c r="B331" s="32">
        <v>26</v>
      </c>
      <c r="C331" s="32">
        <v>12</v>
      </c>
      <c r="D331" s="32" t="str">
        <f t="shared" ca="1" si="88"/>
        <v>Nem</v>
      </c>
      <c r="E331" s="13">
        <f t="shared" ca="1" si="89"/>
        <v>0</v>
      </c>
      <c r="F331" s="13"/>
      <c r="G331" s="13"/>
      <c r="H331" s="13"/>
      <c r="I331" s="13">
        <f t="shared" ca="1" si="90"/>
        <v>0</v>
      </c>
      <c r="J331" s="13">
        <f t="shared" ca="1" si="91"/>
        <v>0</v>
      </c>
      <c r="K331" s="13">
        <f t="shared" ca="1" si="92"/>
        <v>0</v>
      </c>
      <c r="L331" s="13" t="e">
        <f ca="1">ROUNDUP(IF($D$2="Egyszeri",$E331,IF($D$2="Havi",SUM($E$20:$E$31),IF(MOD($C331,$M$1)-1=0,SUM($E$20:$E$31),0))/12*$M$1)*VLOOKUP($B331,Paraméterek!$I$28:$P$31,IF($D$2="Egyszeri",8,HLOOKUP(ROUNDUP($M$11+$M$13,0),Paraméterek!$J$26:$O$27,2))),IF($D$4="Forint",0,2))</f>
        <v>#N/A</v>
      </c>
      <c r="M331" s="13">
        <f t="shared" ca="1" si="93"/>
        <v>0</v>
      </c>
      <c r="N331" s="13">
        <f t="shared" ca="1" si="103"/>
        <v>0</v>
      </c>
      <c r="O331" s="13">
        <f ca="1">IF($D331="Igen",IF($W330&gt;=IF($D$4="Forint",Paraméterek!$J$121,Paraméterek!$K$121),0,IF($D$4="Forint",Paraméterek!$J$121,Paraméterek!$K$121)-$W330),0)</f>
        <v>0</v>
      </c>
      <c r="P331" s="13" t="e">
        <f ca="1">ROUNDUP($O331*VLOOKUP($M$4+$B331-1,Paraméterek!$H$58:$I$105,2,0)/Paraméterek!$I$56,IF($D$4="Forint",0,2))</f>
        <v>#N/A</v>
      </c>
      <c r="Q331" s="13">
        <f t="shared" ca="1" si="94"/>
        <v>0</v>
      </c>
      <c r="R331" s="33"/>
      <c r="S331" s="13" t="e">
        <f t="shared" ca="1" si="95"/>
        <v>#N/A</v>
      </c>
      <c r="T331" s="13" t="e">
        <f ca="1">ROUNDUP(($N331-$P331-$Q331+$S331)*VLOOKUP($B331,Paraméterek!$I$38:$K$39,IF($D$2="Egyszeri",3,2))/12*IF($D332="Nem",IF($M$13=0,1,$M$13),1),IF($D$4="Forint",0,2))</f>
        <v>#N/A</v>
      </c>
      <c r="U331" s="13">
        <f>Tranzakciók!$F$57</f>
        <v>0</v>
      </c>
      <c r="V331" s="13"/>
      <c r="W331" s="13" t="e">
        <f ca="1">$N331-$P331-$Q331+$S331-$T331-IF(ROUNDUP(IF(ISBLANK($V331),$U331*0,$V331)/IF($D$2="Egyszeri",VLOOKUP($B331+IF($C331=12,1,0),Paraméterek!$V$257:$W$262,2),IF($B331=1,1,VLOOKUP($B331+IF($C331=12,1,0),Paraméterek!$I$258:$T$278,HLOOKUP($M$11+1,Paraméterek!$J$256:$T$257,2)))),IF($D$4="Forint",0,2))&gt;$N331-$P331-$Q331+$S331-$T331-IF($D$4="Forint",Paraméterek!$C$216,Paraméterek!$D$216),0,ROUNDUP(IF(ISBLANK($V331),$U331*0,$V331)/IF($D$2="Egyszeri",VLOOKUP($B331+IF($C331=12,1,0),Paraméterek!$V$257:$W$262,2),IF($B331=1,1,VLOOKUP($B331+IF($C331=12,1,0),Paraméterek!$I$258:$T$278,HLOOKUP($M$11+1,Paraméterek!$J$256:$T$257,2)))),IF($D$4="Forint",0,2)))</f>
        <v>#N/A</v>
      </c>
      <c r="X331" s="13" t="e">
        <f ca="1">ROUNDDOWN($W331*IF($D$2="Egyszeri",VLOOKUP($B331+IF($C331=12,1,0),Paraméterek!$V$257:$W$262,2),VLOOKUP($B331+IF($C331=12,1,0),Paraméterek!$I$258:$T$278,HLOOKUP($M$11+1,Paraméterek!$I$256:$T$257,2))),IF($D$4="Forint",0,2))</f>
        <v>#N/A</v>
      </c>
      <c r="Z331" s="32">
        <v>312</v>
      </c>
      <c r="AA331" s="32">
        <v>26</v>
      </c>
      <c r="AB331" s="32">
        <v>12</v>
      </c>
      <c r="AC331" s="13">
        <f t="shared" ca="1" si="104"/>
        <v>0</v>
      </c>
      <c r="AD331" s="33"/>
      <c r="AE331" s="13">
        <f t="shared" ca="1" si="96"/>
        <v>0</v>
      </c>
      <c r="AF331" s="13">
        <f ca="1">ROUNDUP(($AC331+$AE331)*VLOOKUP($AA331,Paraméterek!$P$38:$Q$38,2)/12*IF($D332="Nem",IF($M$13=0,1,$M$13),1),IF($D$4="Forint",0,2))</f>
        <v>0</v>
      </c>
      <c r="AG331" s="13" t="e">
        <f ca="1">IF($D$2="Egyszeri",IF($D$7&gt;=IF($D$4="Forint",Paraméterek!$P$223,Paraméterek!$P$224),$D$7-IF($D$4="Forint",Paraméterek!$P$223,Paraméterek!$P$224),0),MIN(IF($AB331=12,AVERAGEIF($E$20:$E331,"&gt;0",$E$20:$E331)*12,0),SUM($E$20:$E$31)))</f>
        <v>#DIV/0!</v>
      </c>
      <c r="AH331" s="13">
        <f>IF($AA331=10,$AG331*IF($AB331=12,IF($AG331&lt;IF($D$4="Forint",Paraméterek!$L$223,Paraméterek!$L$224),0,VLOOKUP($AA331,Paraméterek!$K$226:$M$228,IF($AG331&lt;IF($D$4="Forint",Paraméterek!$M$223,Paraméterek!$M$224),2,3))),0),0)</f>
        <v>0</v>
      </c>
      <c r="AI331" s="13">
        <f ca="1">IF(AND($AA331=$M$11+1,$AB331=$M$12+1),SUMIF($AA$20:$AA$1027,$AA331,$AG$20:$AG$1027)*IF(SUMIF($AA$20:$AA$1027,$AA331,$AG$20:$AG$1027)&lt;IF($D$4="Forint",Paraméterek!$L$223,Paraméterek!$L$224),0,VLOOKUP($AA331,Paraméterek!$K$230:$M$250,IF(SUMIF($AA$20:$AA$1027,$AA331,$AG$20:$AG$1027)&lt;IF($D$4="Forint",Paraméterek!$M$223,Paraméterek!$M$224),2,3))),0)</f>
        <v>0</v>
      </c>
      <c r="AJ331" s="13" t="e">
        <f ca="1">IF(AND($AA331&gt;=5,MOD($AA331,5)=0),IF($AB331=12,VLOOKUP($AA331,Paraméterek!$O$225:$P$240,2),0),IF(OR($AA331=3,$AA331=4),IF($AB331=12,VLOOKUP($AA331,Paraméterek!$O$225:$P$240,2,0),0),0))*$AG331</f>
        <v>#DIV/0!</v>
      </c>
      <c r="AK331" s="13">
        <f t="shared" ca="1" si="97"/>
        <v>0</v>
      </c>
      <c r="AL331" s="13">
        <f t="shared" ca="1" si="105"/>
        <v>0</v>
      </c>
      <c r="AM331" s="13">
        <f t="shared" ca="1" si="106"/>
        <v>0</v>
      </c>
      <c r="AO331" s="32">
        <v>312</v>
      </c>
      <c r="AP331" s="32">
        <v>26</v>
      </c>
      <c r="AQ331" s="32">
        <v>12</v>
      </c>
      <c r="AR331" s="13"/>
      <c r="AS331" s="32"/>
      <c r="AT331" s="13">
        <f t="shared" ca="1" si="107"/>
        <v>0</v>
      </c>
      <c r="AU331" s="33"/>
      <c r="AV331" s="13">
        <f t="shared" ca="1" si="98"/>
        <v>0</v>
      </c>
      <c r="AW331" s="13">
        <f ca="1">ROUNDUP(($AT331+$AV331)*VLOOKUP($AP331,Paraméterek!$P$38:$Q$38,2)/12*IF($D332="Nem",IF($M$13=0,1,$M$13),1),IF($D$4="Forint",0,2))</f>
        <v>0</v>
      </c>
      <c r="AX331" s="13">
        <f>Tranzakciók!$M$57</f>
        <v>0</v>
      </c>
      <c r="AY331" s="13"/>
      <c r="AZ331" s="13">
        <f>ROUNDUP(IF(SUM($AX331:$AY331)=0,0,IF(IF(ISBLANK($AY331),$AX331,$AY331)*Paraméterek!$J$112&lt;IF($D$4="Forint",Paraméterek!$J$113,Paraméterek!$K$113),IF($D$4="Forint",Paraméterek!$J$113,Paraméterek!$K$113),IF(IF(ISBLANK($AY331),$AX331,$AY331)*Paraméterek!$J$112&gt;IF($D$4="Forint",Paraméterek!$J$114,Paraméterek!$K$114),IF($D$4="Forint",Paraméterek!$J$114,Paraméterek!$K$114),IF(ISBLANK($AY331),$AX331,$AY331)*Paraméterek!$J$112))),IF($D$4="Forint",0,2))</f>
        <v>0</v>
      </c>
      <c r="BA331" s="13">
        <f ca="1">$AT331+$AV331-$AW331-IF(ROUNDDOWN(IF(ISBLANK($AY331),$AX331,$AY331),IF($D$4="Forint",0,2))&gt;$AT331+$AV331-$AW331-IF($D$4="Forint",Paraméterek!$J$114,Paraméterek!$K$114),0,ROUNDDOWN(IF(ISBLANK($AY331),$AX331,$AY331),IF($D$4="Forint",0,2))-$AZ331)</f>
        <v>0</v>
      </c>
      <c r="BB331" s="13">
        <f t="shared" ca="1" si="99"/>
        <v>0</v>
      </c>
      <c r="BD331" s="32">
        <v>312</v>
      </c>
      <c r="BE331" s="32">
        <v>26</v>
      </c>
      <c r="BF331" s="32">
        <v>12</v>
      </c>
      <c r="BG331" s="34">
        <f t="shared" ca="1" si="108"/>
        <v>2045</v>
      </c>
      <c r="BH331" s="32" t="str">
        <f ca="1">IF(MOD(MONTH($D$14)+$BD331-1,12)=Paraméterek!$C$288,"Igen","")</f>
        <v/>
      </c>
      <c r="BI331" s="13">
        <f ca="1">IF($BH331="Igen",MIN(ROUNDDOWN((SUMIF($BG$20:$BG$1027,$BG331-1,$K$20:$K$1027)-SUMIF($BG$20:$BG$1027,$BG331-1,$I$20:$I$1027))*Paraméterek!$C$289,IF($D$4="Forint",0,2)),IF($D$4="Forint",Paraméterek!$C$285,Paraméterek!$D$285)),0)</f>
        <v>0</v>
      </c>
      <c r="BJ331" s="13">
        <f t="shared" ca="1" si="100"/>
        <v>0</v>
      </c>
      <c r="BK331" s="13">
        <f t="shared" ca="1" si="109"/>
        <v>0</v>
      </c>
      <c r="BL331" s="33"/>
      <c r="BM331" s="13">
        <f t="shared" ca="1" si="101"/>
        <v>0</v>
      </c>
      <c r="BN331" s="13">
        <f ca="1">ROUNDUP(($BK331+$BM331)*VLOOKUP($BE331,Paraméterek!$P$38:$Q$38,2)/12*IF($D332="Nem",IF($M$13=0,1,$M$13),1),IF($D$4="Forint",0,2))</f>
        <v>0</v>
      </c>
      <c r="BO331" s="13">
        <f t="shared" ca="1" si="102"/>
        <v>0</v>
      </c>
      <c r="BP331" s="13">
        <f ca="1">IF($D332="Nem",$BO331,$BO331-ROUNDUP(SUM($BI$20:$BI331)*120%,IF($D$4="Forint",0,2)))</f>
        <v>0</v>
      </c>
    </row>
    <row r="332" spans="1:68" x14ac:dyDescent="0.2">
      <c r="A332" s="32">
        <v>313</v>
      </c>
      <c r="B332" s="32">
        <v>27</v>
      </c>
      <c r="C332" s="32">
        <v>1</v>
      </c>
      <c r="D332" s="32" t="str">
        <f t="shared" ca="1" si="88"/>
        <v>Nem</v>
      </c>
      <c r="E332" s="13">
        <f t="shared" ca="1" si="89"/>
        <v>0</v>
      </c>
      <c r="F332" s="13"/>
      <c r="G332" s="13">
        <f>Tranzakciók!$D$58</f>
        <v>0</v>
      </c>
      <c r="H332" s="13"/>
      <c r="I332" s="13">
        <f t="shared" ca="1" si="90"/>
        <v>0</v>
      </c>
      <c r="J332" s="13">
        <f t="shared" ca="1" si="91"/>
        <v>0</v>
      </c>
      <c r="K332" s="13">
        <f t="shared" ca="1" si="92"/>
        <v>0</v>
      </c>
      <c r="L332" s="13" t="e">
        <f ca="1">ROUNDUP(IF($D$2="Egyszeri",$E332,IF($D$2="Havi",SUM($E$20:$E$31),IF(MOD($C332,$M$1)-1=0,SUM($E$20:$E$31),0))/12*$M$1)*VLOOKUP($B332,Paraméterek!$I$28:$P$31,IF($D$2="Egyszeri",8,HLOOKUP(ROUNDUP($M$11+$M$13,0),Paraméterek!$J$26:$O$27,2))),IF($D$4="Forint",0,2))</f>
        <v>#N/A</v>
      </c>
      <c r="M332" s="13">
        <f t="shared" ca="1" si="93"/>
        <v>0</v>
      </c>
      <c r="N332" s="13">
        <f t="shared" ca="1" si="103"/>
        <v>0</v>
      </c>
      <c r="O332" s="13">
        <f ca="1">IF($D332="Igen",IF($W331&gt;=IF($D$4="Forint",Paraméterek!$J$121,Paraméterek!$K$121),0,IF($D$4="Forint",Paraméterek!$J$121,Paraméterek!$K$121)-$W331),0)</f>
        <v>0</v>
      </c>
      <c r="P332" s="13" t="e">
        <f ca="1">ROUNDUP($O332*VLOOKUP($M$4+$B332-1,Paraméterek!$H$58:$I$105,2,0)/Paraméterek!$I$56,IF($D$4="Forint",0,2))</f>
        <v>#N/A</v>
      </c>
      <c r="Q332" s="13">
        <f t="shared" ca="1" si="94"/>
        <v>0</v>
      </c>
      <c r="R332" s="33"/>
      <c r="S332" s="13" t="e">
        <f t="shared" ca="1" si="95"/>
        <v>#N/A</v>
      </c>
      <c r="T332" s="13" t="e">
        <f ca="1">ROUNDUP(($N332-$P332-$Q332+$S332)*VLOOKUP($B332,Paraméterek!$I$38:$K$39,IF($D$2="Egyszeri",3,2))/12*IF($D333="Nem",IF($M$13=0,1,$M$13),1),IF($D$4="Forint",0,2))</f>
        <v>#N/A</v>
      </c>
      <c r="U332" s="13"/>
      <c r="V332" s="13"/>
      <c r="W332" s="13" t="e">
        <f ca="1">$N332-$P332-$Q332+$S332-$T332-IF(ROUNDUP(IF(ISBLANK($V332),$U332*0,$V332)/IF($D$2="Egyszeri",VLOOKUP($B332+IF($C332=12,1,0),Paraméterek!$V$257:$W$262,2),IF($B332=1,1,VLOOKUP($B332+IF($C332=12,1,0),Paraméterek!$I$258:$T$278,HLOOKUP($M$11+1,Paraméterek!$J$256:$T$257,2)))),IF($D$4="Forint",0,2))&gt;$N332-$P332-$Q332+$S332-$T332-IF($D$4="Forint",Paraméterek!$C$216,Paraméterek!$D$216),0,ROUNDUP(IF(ISBLANK($V332),$U332*0,$V332)/IF($D$2="Egyszeri",VLOOKUP($B332+IF($C332=12,1,0),Paraméterek!$V$257:$W$262,2),IF($B332=1,1,VLOOKUP($B332+IF($C332=12,1,0),Paraméterek!$I$258:$T$278,HLOOKUP($M$11+1,Paraméterek!$J$256:$T$257,2)))),IF($D$4="Forint",0,2)))</f>
        <v>#N/A</v>
      </c>
      <c r="X332" s="13" t="e">
        <f ca="1">ROUNDDOWN($W332*IF($D$2="Egyszeri",VLOOKUP($B332+IF($C332=12,1,0),Paraméterek!$V$257:$W$262,2),VLOOKUP($B332+IF($C332=12,1,0),Paraméterek!$I$258:$T$278,HLOOKUP($M$11+1,Paraméterek!$I$256:$T$257,2))),IF($D$4="Forint",0,2))</f>
        <v>#N/A</v>
      </c>
      <c r="Z332" s="32">
        <v>313</v>
      </c>
      <c r="AA332" s="32">
        <v>27</v>
      </c>
      <c r="AB332" s="32">
        <v>1</v>
      </c>
      <c r="AC332" s="13">
        <f t="shared" ca="1" si="104"/>
        <v>0</v>
      </c>
      <c r="AD332" s="33"/>
      <c r="AE332" s="13">
        <f t="shared" ca="1" si="96"/>
        <v>0</v>
      </c>
      <c r="AF332" s="13">
        <f ca="1">ROUNDUP(($AC332+$AE332)*VLOOKUP($AA332,Paraméterek!$P$38:$Q$38,2)/12*IF($D333="Nem",IF($M$13=0,1,$M$13),1),IF($D$4="Forint",0,2))</f>
        <v>0</v>
      </c>
      <c r="AG332" s="13">
        <f ca="1">IF($D$2="Egyszeri",IF($D$7&gt;=IF($D$4="Forint",Paraméterek!$P$223,Paraméterek!$P$224),$D$7-IF($D$4="Forint",Paraméterek!$P$223,Paraméterek!$P$224),0),MIN(IF($AB332=12,AVERAGEIF($E$20:$E332,"&gt;0",$E$20:$E332)*12,0),SUM($E$20:$E$31)))</f>
        <v>0</v>
      </c>
      <c r="AH332" s="13">
        <f>IF($AA332=10,$AG332*IF($AB332=12,IF($AG332&lt;IF($D$4="Forint",Paraméterek!$L$223,Paraméterek!$L$224),0,VLOOKUP($AA332,Paraméterek!$K$226:$M$228,IF($AG332&lt;IF($D$4="Forint",Paraméterek!$M$223,Paraméterek!$M$224),2,3))),0),0)</f>
        <v>0</v>
      </c>
      <c r="AI332" s="13">
        <f ca="1">IF(AND($AA332=$M$11+1,$AB332=$M$12+1),SUMIF($AA$20:$AA$1027,$AA332,$AG$20:$AG$1027)*IF(SUMIF($AA$20:$AA$1027,$AA332,$AG$20:$AG$1027)&lt;IF($D$4="Forint",Paraméterek!$L$223,Paraméterek!$L$224),0,VLOOKUP($AA332,Paraméterek!$K$230:$M$250,IF(SUMIF($AA$20:$AA$1027,$AA332,$AG$20:$AG$1027)&lt;IF($D$4="Forint",Paraméterek!$M$223,Paraméterek!$M$224),2,3))),0)</f>
        <v>0</v>
      </c>
      <c r="AJ332" s="13">
        <f ca="1">IF(AND($AA332&gt;=5,MOD($AA332,5)=0),IF($AB332=12,VLOOKUP($AA332,Paraméterek!$O$225:$P$240,2),0),IF(OR($AA332=3,$AA332=4),IF($AB332=12,VLOOKUP($AA332,Paraméterek!$O$225:$P$240,2,0),0),0))*$AG332</f>
        <v>0</v>
      </c>
      <c r="AK332" s="13">
        <f t="shared" ca="1" si="97"/>
        <v>0</v>
      </c>
      <c r="AL332" s="13">
        <f t="shared" ca="1" si="105"/>
        <v>0</v>
      </c>
      <c r="AM332" s="13">
        <f t="shared" ca="1" si="106"/>
        <v>0</v>
      </c>
      <c r="AO332" s="32">
        <v>313</v>
      </c>
      <c r="AP332" s="32">
        <v>27</v>
      </c>
      <c r="AQ332" s="32">
        <v>1</v>
      </c>
      <c r="AR332" s="13">
        <f>Tranzakciók!$K$58</f>
        <v>0</v>
      </c>
      <c r="AS332" s="32"/>
      <c r="AT332" s="13">
        <f t="shared" ca="1" si="107"/>
        <v>0</v>
      </c>
      <c r="AU332" s="33"/>
      <c r="AV332" s="13">
        <f t="shared" ca="1" si="98"/>
        <v>0</v>
      </c>
      <c r="AW332" s="13">
        <f ca="1">ROUNDUP(($AT332+$AV332)*VLOOKUP($AP332,Paraméterek!$P$38:$Q$38,2)/12*IF($D333="Nem",IF($M$13=0,1,$M$13),1),IF($D$4="Forint",0,2))</f>
        <v>0</v>
      </c>
      <c r="AX332" s="13"/>
      <c r="AY332" s="13"/>
      <c r="AZ332" s="13">
        <f>ROUNDUP(IF(SUM($AX332:$AY332)=0,0,IF(IF(ISBLANK($AY332),$AX332,$AY332)*Paraméterek!$J$112&lt;IF($D$4="Forint",Paraméterek!$J$113,Paraméterek!$K$113),IF($D$4="Forint",Paraméterek!$J$113,Paraméterek!$K$113),IF(IF(ISBLANK($AY332),$AX332,$AY332)*Paraméterek!$J$112&gt;IF($D$4="Forint",Paraméterek!$J$114,Paraméterek!$K$114),IF($D$4="Forint",Paraméterek!$J$114,Paraméterek!$K$114),IF(ISBLANK($AY332),$AX332,$AY332)*Paraméterek!$J$112))),IF($D$4="Forint",0,2))</f>
        <v>0</v>
      </c>
      <c r="BA332" s="13">
        <f ca="1">$AT332+$AV332-$AW332-IF(ROUNDDOWN(IF(ISBLANK($AY332),$AX332,$AY332),IF($D$4="Forint",0,2))&gt;$AT332+$AV332-$AW332-IF($D$4="Forint",Paraméterek!$J$114,Paraméterek!$K$114),0,ROUNDDOWN(IF(ISBLANK($AY332),$AX332,$AY332),IF($D$4="Forint",0,2))-$AZ332)</f>
        <v>0</v>
      </c>
      <c r="BB332" s="13">
        <f t="shared" ca="1" si="99"/>
        <v>0</v>
      </c>
      <c r="BD332" s="32">
        <v>313</v>
      </c>
      <c r="BE332" s="32">
        <v>27</v>
      </c>
      <c r="BF332" s="32">
        <v>1</v>
      </c>
      <c r="BG332" s="34">
        <f t="shared" ca="1" si="108"/>
        <v>2045</v>
      </c>
      <c r="BH332" s="32" t="str">
        <f ca="1">IF(MOD(MONTH($D$14)+$BD332-1,12)=Paraméterek!$C$288,"Igen","")</f>
        <v/>
      </c>
      <c r="BI332" s="13">
        <f ca="1">IF($BH332="Igen",MIN(ROUNDDOWN((SUMIF($BG$20:$BG$1027,$BG332-1,$K$20:$K$1027)-SUMIF($BG$20:$BG$1027,$BG332-1,$I$20:$I$1027))*Paraméterek!$C$289,IF($D$4="Forint",0,2)),IF($D$4="Forint",Paraméterek!$C$285,Paraméterek!$D$285)),0)</f>
        <v>0</v>
      </c>
      <c r="BJ332" s="13">
        <f t="shared" ca="1" si="100"/>
        <v>0</v>
      </c>
      <c r="BK332" s="13">
        <f t="shared" ca="1" si="109"/>
        <v>0</v>
      </c>
      <c r="BL332" s="33"/>
      <c r="BM332" s="13">
        <f t="shared" ca="1" si="101"/>
        <v>0</v>
      </c>
      <c r="BN332" s="13">
        <f ca="1">ROUNDUP(($BK332+$BM332)*VLOOKUP($BE332,Paraméterek!$P$38:$Q$38,2)/12*IF($D333="Nem",IF($M$13=0,1,$M$13),1),IF($D$4="Forint",0,2))</f>
        <v>0</v>
      </c>
      <c r="BO332" s="13">
        <f t="shared" ca="1" si="102"/>
        <v>0</v>
      </c>
      <c r="BP332" s="13">
        <f ca="1">IF($D333="Nem",$BO332,$BO332-ROUNDUP(SUM($BI$20:$BI332)*120%,IF($D$4="Forint",0,2)))</f>
        <v>0</v>
      </c>
    </row>
    <row r="333" spans="1:68" x14ac:dyDescent="0.2">
      <c r="A333" s="32">
        <v>314</v>
      </c>
      <c r="B333" s="32">
        <v>27</v>
      </c>
      <c r="C333" s="32">
        <v>2</v>
      </c>
      <c r="D333" s="32" t="str">
        <f t="shared" ca="1" si="88"/>
        <v>Nem</v>
      </c>
      <c r="E333" s="13">
        <f t="shared" ca="1" si="89"/>
        <v>0</v>
      </c>
      <c r="F333" s="13"/>
      <c r="G333" s="13"/>
      <c r="H333" s="13"/>
      <c r="I333" s="13">
        <f t="shared" ca="1" si="90"/>
        <v>0</v>
      </c>
      <c r="J333" s="13">
        <f t="shared" ca="1" si="91"/>
        <v>0</v>
      </c>
      <c r="K333" s="13">
        <f t="shared" ca="1" si="92"/>
        <v>0</v>
      </c>
      <c r="L333" s="13" t="e">
        <f ca="1">ROUNDUP(IF($D$2="Egyszeri",$E333,IF($D$2="Havi",SUM($E$20:$E$31),IF(MOD($C333,$M$1)-1=0,SUM($E$20:$E$31),0))/12*$M$1)*VLOOKUP($B333,Paraméterek!$I$28:$P$31,IF($D$2="Egyszeri",8,HLOOKUP(ROUNDUP($M$11+$M$13,0),Paraméterek!$J$26:$O$27,2))),IF($D$4="Forint",0,2))</f>
        <v>#N/A</v>
      </c>
      <c r="M333" s="13">
        <f t="shared" ca="1" si="93"/>
        <v>0</v>
      </c>
      <c r="N333" s="13">
        <f t="shared" ca="1" si="103"/>
        <v>0</v>
      </c>
      <c r="O333" s="13">
        <f ca="1">IF($D333="Igen",IF($W332&gt;=IF($D$4="Forint",Paraméterek!$J$121,Paraméterek!$K$121),0,IF($D$4="Forint",Paraméterek!$J$121,Paraméterek!$K$121)-$W332),0)</f>
        <v>0</v>
      </c>
      <c r="P333" s="13" t="e">
        <f ca="1">ROUNDUP($O333*VLOOKUP($M$4+$B333-1,Paraméterek!$H$58:$I$105,2,0)/Paraméterek!$I$56,IF($D$4="Forint",0,2))</f>
        <v>#N/A</v>
      </c>
      <c r="Q333" s="13">
        <f t="shared" ca="1" si="94"/>
        <v>0</v>
      </c>
      <c r="R333" s="33"/>
      <c r="S333" s="13" t="e">
        <f t="shared" ca="1" si="95"/>
        <v>#N/A</v>
      </c>
      <c r="T333" s="13" t="e">
        <f ca="1">ROUNDUP(($N333-$P333-$Q333+$S333)*VLOOKUP($B333,Paraméterek!$I$38:$K$39,IF($D$2="Egyszeri",3,2))/12*IF($D334="Nem",IF($M$13=0,1,$M$13),1),IF($D$4="Forint",0,2))</f>
        <v>#N/A</v>
      </c>
      <c r="U333" s="13"/>
      <c r="V333" s="13"/>
      <c r="W333" s="13" t="e">
        <f ca="1">$N333-$P333-$Q333+$S333-$T333-IF(ROUNDUP(IF(ISBLANK($V333),$U333*0,$V333)/IF($D$2="Egyszeri",VLOOKUP($B333+IF($C333=12,1,0),Paraméterek!$V$257:$W$262,2),IF($B333=1,1,VLOOKUP($B333+IF($C333=12,1,0),Paraméterek!$I$258:$T$278,HLOOKUP($M$11+1,Paraméterek!$J$256:$T$257,2)))),IF($D$4="Forint",0,2))&gt;$N333-$P333-$Q333+$S333-$T333-IF($D$4="Forint",Paraméterek!$C$216,Paraméterek!$D$216),0,ROUNDUP(IF(ISBLANK($V333),$U333*0,$V333)/IF($D$2="Egyszeri",VLOOKUP($B333+IF($C333=12,1,0),Paraméterek!$V$257:$W$262,2),IF($B333=1,1,VLOOKUP($B333+IF($C333=12,1,0),Paraméterek!$I$258:$T$278,HLOOKUP($M$11+1,Paraméterek!$J$256:$T$257,2)))),IF($D$4="Forint",0,2)))</f>
        <v>#N/A</v>
      </c>
      <c r="X333" s="13" t="e">
        <f ca="1">ROUNDDOWN($W333*IF($D$2="Egyszeri",VLOOKUP($B333+IF($C333=12,1,0),Paraméterek!$V$257:$W$262,2),VLOOKUP($B333+IF($C333=12,1,0),Paraméterek!$I$258:$T$278,HLOOKUP($M$11+1,Paraméterek!$I$256:$T$257,2))),IF($D$4="Forint",0,2))</f>
        <v>#N/A</v>
      </c>
      <c r="Z333" s="32">
        <v>314</v>
      </c>
      <c r="AA333" s="32">
        <v>27</v>
      </c>
      <c r="AB333" s="32">
        <v>2</v>
      </c>
      <c r="AC333" s="13">
        <f t="shared" ca="1" si="104"/>
        <v>0</v>
      </c>
      <c r="AD333" s="33"/>
      <c r="AE333" s="13">
        <f t="shared" ca="1" si="96"/>
        <v>0</v>
      </c>
      <c r="AF333" s="13">
        <f ca="1">ROUNDUP(($AC333+$AE333)*VLOOKUP($AA333,Paraméterek!$P$38:$Q$38,2)/12*IF($D334="Nem",IF($M$13=0,1,$M$13),1),IF($D$4="Forint",0,2))</f>
        <v>0</v>
      </c>
      <c r="AG333" s="13">
        <f ca="1">IF($D$2="Egyszeri",IF($D$7&gt;=IF($D$4="Forint",Paraméterek!$P$223,Paraméterek!$P$224),$D$7-IF($D$4="Forint",Paraméterek!$P$223,Paraméterek!$P$224),0),MIN(IF($AB333=12,AVERAGEIF($E$20:$E333,"&gt;0",$E$20:$E333)*12,0),SUM($E$20:$E$31)))</f>
        <v>0</v>
      </c>
      <c r="AH333" s="13">
        <f>IF($AA333=10,$AG333*IF($AB333=12,IF($AG333&lt;IF($D$4="Forint",Paraméterek!$L$223,Paraméterek!$L$224),0,VLOOKUP($AA333,Paraméterek!$K$226:$M$228,IF($AG333&lt;IF($D$4="Forint",Paraméterek!$M$223,Paraméterek!$M$224),2,3))),0),0)</f>
        <v>0</v>
      </c>
      <c r="AI333" s="13">
        <f ca="1">IF(AND($AA333=$M$11+1,$AB333=$M$12+1),SUMIF($AA$20:$AA$1027,$AA333,$AG$20:$AG$1027)*IF(SUMIF($AA$20:$AA$1027,$AA333,$AG$20:$AG$1027)&lt;IF($D$4="Forint",Paraméterek!$L$223,Paraméterek!$L$224),0,VLOOKUP($AA333,Paraméterek!$K$230:$M$250,IF(SUMIF($AA$20:$AA$1027,$AA333,$AG$20:$AG$1027)&lt;IF($D$4="Forint",Paraméterek!$M$223,Paraméterek!$M$224),2,3))),0)</f>
        <v>0</v>
      </c>
      <c r="AJ333" s="13">
        <f ca="1">IF(AND($AA333&gt;=5,MOD($AA333,5)=0),IF($AB333=12,VLOOKUP($AA333,Paraméterek!$O$225:$P$240,2),0),IF(OR($AA333=3,$AA333=4),IF($AB333=12,VLOOKUP($AA333,Paraméterek!$O$225:$P$240,2,0),0),0))*$AG333</f>
        <v>0</v>
      </c>
      <c r="AK333" s="13">
        <f t="shared" ca="1" si="97"/>
        <v>0</v>
      </c>
      <c r="AL333" s="13">
        <f t="shared" ca="1" si="105"/>
        <v>0</v>
      </c>
      <c r="AM333" s="13">
        <f t="shared" ca="1" si="106"/>
        <v>0</v>
      </c>
      <c r="AO333" s="32">
        <v>314</v>
      </c>
      <c r="AP333" s="32">
        <v>27</v>
      </c>
      <c r="AQ333" s="32">
        <v>2</v>
      </c>
      <c r="AR333" s="13"/>
      <c r="AS333" s="32"/>
      <c r="AT333" s="13">
        <f t="shared" ca="1" si="107"/>
        <v>0</v>
      </c>
      <c r="AU333" s="33"/>
      <c r="AV333" s="13">
        <f t="shared" ca="1" si="98"/>
        <v>0</v>
      </c>
      <c r="AW333" s="13">
        <f ca="1">ROUNDUP(($AT333+$AV333)*VLOOKUP($AP333,Paraméterek!$P$38:$Q$38,2)/12*IF($D334="Nem",IF($M$13=0,1,$M$13),1),IF($D$4="Forint",0,2))</f>
        <v>0</v>
      </c>
      <c r="AX333" s="13"/>
      <c r="AY333" s="13"/>
      <c r="AZ333" s="13">
        <f>ROUNDUP(IF(SUM($AX333:$AY333)=0,0,IF(IF(ISBLANK($AY333),$AX333,$AY333)*Paraméterek!$J$112&lt;IF($D$4="Forint",Paraméterek!$J$113,Paraméterek!$K$113),IF($D$4="Forint",Paraméterek!$J$113,Paraméterek!$K$113),IF(IF(ISBLANK($AY333),$AX333,$AY333)*Paraméterek!$J$112&gt;IF($D$4="Forint",Paraméterek!$J$114,Paraméterek!$K$114),IF($D$4="Forint",Paraméterek!$J$114,Paraméterek!$K$114),IF(ISBLANK($AY333),$AX333,$AY333)*Paraméterek!$J$112))),IF($D$4="Forint",0,2))</f>
        <v>0</v>
      </c>
      <c r="BA333" s="13">
        <f ca="1">$AT333+$AV333-$AW333-IF(ROUNDDOWN(IF(ISBLANK($AY333),$AX333,$AY333),IF($D$4="Forint",0,2))&gt;$AT333+$AV333-$AW333-IF($D$4="Forint",Paraméterek!$J$114,Paraméterek!$K$114),0,ROUNDDOWN(IF(ISBLANK($AY333),$AX333,$AY333),IF($D$4="Forint",0,2))-$AZ333)</f>
        <v>0</v>
      </c>
      <c r="BB333" s="13">
        <f t="shared" ca="1" si="99"/>
        <v>0</v>
      </c>
      <c r="BD333" s="32">
        <v>314</v>
      </c>
      <c r="BE333" s="32">
        <v>27</v>
      </c>
      <c r="BF333" s="32">
        <v>2</v>
      </c>
      <c r="BG333" s="34">
        <f t="shared" ca="1" si="108"/>
        <v>2045</v>
      </c>
      <c r="BH333" s="32" t="str">
        <f ca="1">IF(MOD(MONTH($D$14)+$BD333-1,12)=Paraméterek!$C$288,"Igen","")</f>
        <v>Igen</v>
      </c>
      <c r="BI333" s="13">
        <f ca="1">IF($BH333="Igen",MIN(ROUNDDOWN((SUMIF($BG$20:$BG$1027,$BG333-1,$K$20:$K$1027)-SUMIF($BG$20:$BG$1027,$BG333-1,$I$20:$I$1027))*Paraméterek!$C$289,IF($D$4="Forint",0,2)),IF($D$4="Forint",Paraméterek!$C$285,Paraméterek!$D$285)),0)</f>
        <v>0</v>
      </c>
      <c r="BJ333" s="13">
        <f t="shared" ca="1" si="100"/>
        <v>0</v>
      </c>
      <c r="BK333" s="13">
        <f t="shared" ca="1" si="109"/>
        <v>0</v>
      </c>
      <c r="BL333" s="33"/>
      <c r="BM333" s="13">
        <f t="shared" ca="1" si="101"/>
        <v>0</v>
      </c>
      <c r="BN333" s="13">
        <f ca="1">ROUNDUP(($BK333+$BM333)*VLOOKUP($BE333,Paraméterek!$P$38:$Q$38,2)/12*IF($D334="Nem",IF($M$13=0,1,$M$13),1),IF($D$4="Forint",0,2))</f>
        <v>0</v>
      </c>
      <c r="BO333" s="13">
        <f t="shared" ca="1" si="102"/>
        <v>0</v>
      </c>
      <c r="BP333" s="13">
        <f ca="1">IF($D334="Nem",$BO333,$BO333-ROUNDUP(SUM($BI$20:$BI333)*120%,IF($D$4="Forint",0,2)))</f>
        <v>0</v>
      </c>
    </row>
    <row r="334" spans="1:68" x14ac:dyDescent="0.2">
      <c r="A334" s="32">
        <v>315</v>
      </c>
      <c r="B334" s="32">
        <v>27</v>
      </c>
      <c r="C334" s="32">
        <v>3</v>
      </c>
      <c r="D334" s="32" t="str">
        <f t="shared" ca="1" si="88"/>
        <v>Nem</v>
      </c>
      <c r="E334" s="13">
        <f t="shared" ca="1" si="89"/>
        <v>0</v>
      </c>
      <c r="F334" s="13"/>
      <c r="G334" s="13"/>
      <c r="H334" s="13"/>
      <c r="I334" s="13">
        <f t="shared" ca="1" si="90"/>
        <v>0</v>
      </c>
      <c r="J334" s="13">
        <f t="shared" ca="1" si="91"/>
        <v>0</v>
      </c>
      <c r="K334" s="13">
        <f t="shared" ca="1" si="92"/>
        <v>0</v>
      </c>
      <c r="L334" s="13" t="e">
        <f ca="1">ROUNDUP(IF($D$2="Egyszeri",$E334,IF($D$2="Havi",SUM($E$20:$E$31),IF(MOD($C334,$M$1)-1=0,SUM($E$20:$E$31),0))/12*$M$1)*VLOOKUP($B334,Paraméterek!$I$28:$P$31,IF($D$2="Egyszeri",8,HLOOKUP(ROUNDUP($M$11+$M$13,0),Paraméterek!$J$26:$O$27,2))),IF($D$4="Forint",0,2))</f>
        <v>#N/A</v>
      </c>
      <c r="M334" s="13">
        <f t="shared" ca="1" si="93"/>
        <v>0</v>
      </c>
      <c r="N334" s="13">
        <f t="shared" ca="1" si="103"/>
        <v>0</v>
      </c>
      <c r="O334" s="13">
        <f ca="1">IF($D334="Igen",IF($W333&gt;=IF($D$4="Forint",Paraméterek!$J$121,Paraméterek!$K$121),0,IF($D$4="Forint",Paraméterek!$J$121,Paraméterek!$K$121)-$W333),0)</f>
        <v>0</v>
      </c>
      <c r="P334" s="13" t="e">
        <f ca="1">ROUNDUP($O334*VLOOKUP($M$4+$B334-1,Paraméterek!$H$58:$I$105,2,0)/Paraméterek!$I$56,IF($D$4="Forint",0,2))</f>
        <v>#N/A</v>
      </c>
      <c r="Q334" s="13">
        <f t="shared" ca="1" si="94"/>
        <v>0</v>
      </c>
      <c r="R334" s="33"/>
      <c r="S334" s="13" t="e">
        <f t="shared" ca="1" si="95"/>
        <v>#N/A</v>
      </c>
      <c r="T334" s="13" t="e">
        <f ca="1">ROUNDUP(($N334-$P334-$Q334+$S334)*VLOOKUP($B334,Paraméterek!$I$38:$K$39,IF($D$2="Egyszeri",3,2))/12*IF($D335="Nem",IF($M$13=0,1,$M$13),1),IF($D$4="Forint",0,2))</f>
        <v>#N/A</v>
      </c>
      <c r="U334" s="13"/>
      <c r="V334" s="13"/>
      <c r="W334" s="13" t="e">
        <f ca="1">$N334-$P334-$Q334+$S334-$T334-IF(ROUNDUP(IF(ISBLANK($V334),$U334*0,$V334)/IF($D$2="Egyszeri",VLOOKUP($B334+IF($C334=12,1,0),Paraméterek!$V$257:$W$262,2),IF($B334=1,1,VLOOKUP($B334+IF($C334=12,1,0),Paraméterek!$I$258:$T$278,HLOOKUP($M$11+1,Paraméterek!$J$256:$T$257,2)))),IF($D$4="Forint",0,2))&gt;$N334-$P334-$Q334+$S334-$T334-IF($D$4="Forint",Paraméterek!$C$216,Paraméterek!$D$216),0,ROUNDUP(IF(ISBLANK($V334),$U334*0,$V334)/IF($D$2="Egyszeri",VLOOKUP($B334+IF($C334=12,1,0),Paraméterek!$V$257:$W$262,2),IF($B334=1,1,VLOOKUP($B334+IF($C334=12,1,0),Paraméterek!$I$258:$T$278,HLOOKUP($M$11+1,Paraméterek!$J$256:$T$257,2)))),IF($D$4="Forint",0,2)))</f>
        <v>#N/A</v>
      </c>
      <c r="X334" s="13" t="e">
        <f ca="1">ROUNDDOWN($W334*IF($D$2="Egyszeri",VLOOKUP($B334+IF($C334=12,1,0),Paraméterek!$V$257:$W$262,2),VLOOKUP($B334+IF($C334=12,1,0),Paraméterek!$I$258:$T$278,HLOOKUP($M$11+1,Paraméterek!$I$256:$T$257,2))),IF($D$4="Forint",0,2))</f>
        <v>#N/A</v>
      </c>
      <c r="Z334" s="32">
        <v>315</v>
      </c>
      <c r="AA334" s="32">
        <v>27</v>
      </c>
      <c r="AB334" s="32">
        <v>3</v>
      </c>
      <c r="AC334" s="13">
        <f t="shared" ca="1" si="104"/>
        <v>0</v>
      </c>
      <c r="AD334" s="33"/>
      <c r="AE334" s="13">
        <f t="shared" ca="1" si="96"/>
        <v>0</v>
      </c>
      <c r="AF334" s="13">
        <f ca="1">ROUNDUP(($AC334+$AE334)*VLOOKUP($AA334,Paraméterek!$P$38:$Q$38,2)/12*IF($D335="Nem",IF($M$13=0,1,$M$13),1),IF($D$4="Forint",0,2))</f>
        <v>0</v>
      </c>
      <c r="AG334" s="13">
        <f ca="1">IF($D$2="Egyszeri",IF($D$7&gt;=IF($D$4="Forint",Paraméterek!$P$223,Paraméterek!$P$224),$D$7-IF($D$4="Forint",Paraméterek!$P$223,Paraméterek!$P$224),0),MIN(IF($AB334=12,AVERAGEIF($E$20:$E334,"&gt;0",$E$20:$E334)*12,0),SUM($E$20:$E$31)))</f>
        <v>0</v>
      </c>
      <c r="AH334" s="13">
        <f>IF($AA334=10,$AG334*IF($AB334=12,IF($AG334&lt;IF($D$4="Forint",Paraméterek!$L$223,Paraméterek!$L$224),0,VLOOKUP($AA334,Paraméterek!$K$226:$M$228,IF($AG334&lt;IF($D$4="Forint",Paraméterek!$M$223,Paraméterek!$M$224),2,3))),0),0)</f>
        <v>0</v>
      </c>
      <c r="AI334" s="13">
        <f ca="1">IF(AND($AA334=$M$11+1,$AB334=$M$12+1),SUMIF($AA$20:$AA$1027,$AA334,$AG$20:$AG$1027)*IF(SUMIF($AA$20:$AA$1027,$AA334,$AG$20:$AG$1027)&lt;IF($D$4="Forint",Paraméterek!$L$223,Paraméterek!$L$224),0,VLOOKUP($AA334,Paraméterek!$K$230:$M$250,IF(SUMIF($AA$20:$AA$1027,$AA334,$AG$20:$AG$1027)&lt;IF($D$4="Forint",Paraméterek!$M$223,Paraméterek!$M$224),2,3))),0)</f>
        <v>0</v>
      </c>
      <c r="AJ334" s="13">
        <f ca="1">IF(AND($AA334&gt;=5,MOD($AA334,5)=0),IF($AB334=12,VLOOKUP($AA334,Paraméterek!$O$225:$P$240,2),0),IF(OR($AA334=3,$AA334=4),IF($AB334=12,VLOOKUP($AA334,Paraméterek!$O$225:$P$240,2,0),0),0))*$AG334</f>
        <v>0</v>
      </c>
      <c r="AK334" s="13">
        <f t="shared" ca="1" si="97"/>
        <v>0</v>
      </c>
      <c r="AL334" s="13">
        <f t="shared" ca="1" si="105"/>
        <v>0</v>
      </c>
      <c r="AM334" s="13">
        <f t="shared" ca="1" si="106"/>
        <v>0</v>
      </c>
      <c r="AO334" s="32">
        <v>315</v>
      </c>
      <c r="AP334" s="32">
        <v>27</v>
      </c>
      <c r="AQ334" s="32">
        <v>3</v>
      </c>
      <c r="AR334" s="13"/>
      <c r="AS334" s="32"/>
      <c r="AT334" s="13">
        <f t="shared" ca="1" si="107"/>
        <v>0</v>
      </c>
      <c r="AU334" s="33"/>
      <c r="AV334" s="13">
        <f t="shared" ca="1" si="98"/>
        <v>0</v>
      </c>
      <c r="AW334" s="13">
        <f ca="1">ROUNDUP(($AT334+$AV334)*VLOOKUP($AP334,Paraméterek!$P$38:$Q$38,2)/12*IF($D335="Nem",IF($M$13=0,1,$M$13),1),IF($D$4="Forint",0,2))</f>
        <v>0</v>
      </c>
      <c r="AX334" s="13"/>
      <c r="AY334" s="13"/>
      <c r="AZ334" s="13">
        <f>ROUNDUP(IF(SUM($AX334:$AY334)=0,0,IF(IF(ISBLANK($AY334),$AX334,$AY334)*Paraméterek!$J$112&lt;IF($D$4="Forint",Paraméterek!$J$113,Paraméterek!$K$113),IF($D$4="Forint",Paraméterek!$J$113,Paraméterek!$K$113),IF(IF(ISBLANK($AY334),$AX334,$AY334)*Paraméterek!$J$112&gt;IF($D$4="Forint",Paraméterek!$J$114,Paraméterek!$K$114),IF($D$4="Forint",Paraméterek!$J$114,Paraméterek!$K$114),IF(ISBLANK($AY334),$AX334,$AY334)*Paraméterek!$J$112))),IF($D$4="Forint",0,2))</f>
        <v>0</v>
      </c>
      <c r="BA334" s="13">
        <f ca="1">$AT334+$AV334-$AW334-IF(ROUNDDOWN(IF(ISBLANK($AY334),$AX334,$AY334),IF($D$4="Forint",0,2))&gt;$AT334+$AV334-$AW334-IF($D$4="Forint",Paraméterek!$J$114,Paraméterek!$K$114),0,ROUNDDOWN(IF(ISBLANK($AY334),$AX334,$AY334),IF($D$4="Forint",0,2))-$AZ334)</f>
        <v>0</v>
      </c>
      <c r="BB334" s="13">
        <f t="shared" ca="1" si="99"/>
        <v>0</v>
      </c>
      <c r="BD334" s="32">
        <v>315</v>
      </c>
      <c r="BE334" s="32">
        <v>27</v>
      </c>
      <c r="BF334" s="32">
        <v>3</v>
      </c>
      <c r="BG334" s="34">
        <f t="shared" ca="1" si="108"/>
        <v>2045</v>
      </c>
      <c r="BH334" s="32" t="str">
        <f ca="1">IF(MOD(MONTH($D$14)+$BD334-1,12)=Paraméterek!$C$288,"Igen","")</f>
        <v/>
      </c>
      <c r="BI334" s="13">
        <f ca="1">IF($BH334="Igen",MIN(ROUNDDOWN((SUMIF($BG$20:$BG$1027,$BG334-1,$K$20:$K$1027)-SUMIF($BG$20:$BG$1027,$BG334-1,$I$20:$I$1027))*Paraméterek!$C$289,IF($D$4="Forint",0,2)),IF($D$4="Forint",Paraméterek!$C$285,Paraméterek!$D$285)),0)</f>
        <v>0</v>
      </c>
      <c r="BJ334" s="13">
        <f t="shared" ca="1" si="100"/>
        <v>0</v>
      </c>
      <c r="BK334" s="13">
        <f t="shared" ca="1" si="109"/>
        <v>0</v>
      </c>
      <c r="BL334" s="33"/>
      <c r="BM334" s="13">
        <f t="shared" ca="1" si="101"/>
        <v>0</v>
      </c>
      <c r="BN334" s="13">
        <f ca="1">ROUNDUP(($BK334+$BM334)*VLOOKUP($BE334,Paraméterek!$P$38:$Q$38,2)/12*IF($D335="Nem",IF($M$13=0,1,$M$13),1),IF($D$4="Forint",0,2))</f>
        <v>0</v>
      </c>
      <c r="BO334" s="13">
        <f t="shared" ca="1" si="102"/>
        <v>0</v>
      </c>
      <c r="BP334" s="13">
        <f ca="1">IF($D335="Nem",$BO334,$BO334-ROUNDUP(SUM($BI$20:$BI334)*120%,IF($D$4="Forint",0,2)))</f>
        <v>0</v>
      </c>
    </row>
    <row r="335" spans="1:68" x14ac:dyDescent="0.2">
      <c r="A335" s="32">
        <v>316</v>
      </c>
      <c r="B335" s="32">
        <v>27</v>
      </c>
      <c r="C335" s="32">
        <v>4</v>
      </c>
      <c r="D335" s="32" t="str">
        <f t="shared" ca="1" si="88"/>
        <v>Nem</v>
      </c>
      <c r="E335" s="13">
        <f t="shared" ca="1" si="89"/>
        <v>0</v>
      </c>
      <c r="F335" s="13"/>
      <c r="G335" s="13"/>
      <c r="H335" s="13"/>
      <c r="I335" s="13">
        <f t="shared" ca="1" si="90"/>
        <v>0</v>
      </c>
      <c r="J335" s="13">
        <f t="shared" ca="1" si="91"/>
        <v>0</v>
      </c>
      <c r="K335" s="13">
        <f t="shared" ca="1" si="92"/>
        <v>0</v>
      </c>
      <c r="L335" s="13" t="e">
        <f ca="1">ROUNDUP(IF($D$2="Egyszeri",$E335,IF($D$2="Havi",SUM($E$20:$E$31),IF(MOD($C335,$M$1)-1=0,SUM($E$20:$E$31),0))/12*$M$1)*VLOOKUP($B335,Paraméterek!$I$28:$P$31,IF($D$2="Egyszeri",8,HLOOKUP(ROUNDUP($M$11+$M$13,0),Paraméterek!$J$26:$O$27,2))),IF($D$4="Forint",0,2))</f>
        <v>#N/A</v>
      </c>
      <c r="M335" s="13">
        <f t="shared" ca="1" si="93"/>
        <v>0</v>
      </c>
      <c r="N335" s="13">
        <f t="shared" ca="1" si="103"/>
        <v>0</v>
      </c>
      <c r="O335" s="13">
        <f ca="1">IF($D335="Igen",IF($W334&gt;=IF($D$4="Forint",Paraméterek!$J$121,Paraméterek!$K$121),0,IF($D$4="Forint",Paraméterek!$J$121,Paraméterek!$K$121)-$W334),0)</f>
        <v>0</v>
      </c>
      <c r="P335" s="13" t="e">
        <f ca="1">ROUNDUP($O335*VLOOKUP($M$4+$B335-1,Paraméterek!$H$58:$I$105,2,0)/Paraméterek!$I$56,IF($D$4="Forint",0,2))</f>
        <v>#N/A</v>
      </c>
      <c r="Q335" s="13">
        <f t="shared" ca="1" si="94"/>
        <v>0</v>
      </c>
      <c r="R335" s="33"/>
      <c r="S335" s="13" t="e">
        <f t="shared" ca="1" si="95"/>
        <v>#N/A</v>
      </c>
      <c r="T335" s="13" t="e">
        <f ca="1">ROUNDUP(($N335-$P335-$Q335+$S335)*VLOOKUP($B335,Paraméterek!$I$38:$K$39,IF($D$2="Egyszeri",3,2))/12*IF($D336="Nem",IF($M$13=0,1,$M$13),1),IF($D$4="Forint",0,2))</f>
        <v>#N/A</v>
      </c>
      <c r="U335" s="13"/>
      <c r="V335" s="13"/>
      <c r="W335" s="13" t="e">
        <f ca="1">$N335-$P335-$Q335+$S335-$T335-IF(ROUNDUP(IF(ISBLANK($V335),$U335*0,$V335)/IF($D$2="Egyszeri",VLOOKUP($B335+IF($C335=12,1,0),Paraméterek!$V$257:$W$262,2),IF($B335=1,1,VLOOKUP($B335+IF($C335=12,1,0),Paraméterek!$I$258:$T$278,HLOOKUP($M$11+1,Paraméterek!$J$256:$T$257,2)))),IF($D$4="Forint",0,2))&gt;$N335-$P335-$Q335+$S335-$T335-IF($D$4="Forint",Paraméterek!$C$216,Paraméterek!$D$216),0,ROUNDUP(IF(ISBLANK($V335),$U335*0,$V335)/IF($D$2="Egyszeri",VLOOKUP($B335+IF($C335=12,1,0),Paraméterek!$V$257:$W$262,2),IF($B335=1,1,VLOOKUP($B335+IF($C335=12,1,0),Paraméterek!$I$258:$T$278,HLOOKUP($M$11+1,Paraméterek!$J$256:$T$257,2)))),IF($D$4="Forint",0,2)))</f>
        <v>#N/A</v>
      </c>
      <c r="X335" s="13" t="e">
        <f ca="1">ROUNDDOWN($W335*IF($D$2="Egyszeri",VLOOKUP($B335+IF($C335=12,1,0),Paraméterek!$V$257:$W$262,2),VLOOKUP($B335+IF($C335=12,1,0),Paraméterek!$I$258:$T$278,HLOOKUP($M$11+1,Paraméterek!$I$256:$T$257,2))),IF($D$4="Forint",0,2))</f>
        <v>#N/A</v>
      </c>
      <c r="Z335" s="32">
        <v>316</v>
      </c>
      <c r="AA335" s="32">
        <v>27</v>
      </c>
      <c r="AB335" s="32">
        <v>4</v>
      </c>
      <c r="AC335" s="13">
        <f t="shared" ca="1" si="104"/>
        <v>0</v>
      </c>
      <c r="AD335" s="33"/>
      <c r="AE335" s="13">
        <f t="shared" ca="1" si="96"/>
        <v>0</v>
      </c>
      <c r="AF335" s="13">
        <f ca="1">ROUNDUP(($AC335+$AE335)*VLOOKUP($AA335,Paraméterek!$P$38:$Q$38,2)/12*IF($D336="Nem",IF($M$13=0,1,$M$13),1),IF($D$4="Forint",0,2))</f>
        <v>0</v>
      </c>
      <c r="AG335" s="13">
        <f ca="1">IF($D$2="Egyszeri",IF($D$7&gt;=IF($D$4="Forint",Paraméterek!$P$223,Paraméterek!$P$224),$D$7-IF($D$4="Forint",Paraméterek!$P$223,Paraméterek!$P$224),0),MIN(IF($AB335=12,AVERAGEIF($E$20:$E335,"&gt;0",$E$20:$E335)*12,0),SUM($E$20:$E$31)))</f>
        <v>0</v>
      </c>
      <c r="AH335" s="13">
        <f>IF($AA335=10,$AG335*IF($AB335=12,IF($AG335&lt;IF($D$4="Forint",Paraméterek!$L$223,Paraméterek!$L$224),0,VLOOKUP($AA335,Paraméterek!$K$226:$M$228,IF($AG335&lt;IF($D$4="Forint",Paraméterek!$M$223,Paraméterek!$M$224),2,3))),0),0)</f>
        <v>0</v>
      </c>
      <c r="AI335" s="13">
        <f ca="1">IF(AND($AA335=$M$11+1,$AB335=$M$12+1),SUMIF($AA$20:$AA$1027,$AA335,$AG$20:$AG$1027)*IF(SUMIF($AA$20:$AA$1027,$AA335,$AG$20:$AG$1027)&lt;IF($D$4="Forint",Paraméterek!$L$223,Paraméterek!$L$224),0,VLOOKUP($AA335,Paraméterek!$K$230:$M$250,IF(SUMIF($AA$20:$AA$1027,$AA335,$AG$20:$AG$1027)&lt;IF($D$4="Forint",Paraméterek!$M$223,Paraméterek!$M$224),2,3))),0)</f>
        <v>0</v>
      </c>
      <c r="AJ335" s="13">
        <f ca="1">IF(AND($AA335&gt;=5,MOD($AA335,5)=0),IF($AB335=12,VLOOKUP($AA335,Paraméterek!$O$225:$P$240,2),0),IF(OR($AA335=3,$AA335=4),IF($AB335=12,VLOOKUP($AA335,Paraméterek!$O$225:$P$240,2,0),0),0))*$AG335</f>
        <v>0</v>
      </c>
      <c r="AK335" s="13">
        <f t="shared" ca="1" si="97"/>
        <v>0</v>
      </c>
      <c r="AL335" s="13">
        <f t="shared" ca="1" si="105"/>
        <v>0</v>
      </c>
      <c r="AM335" s="13">
        <f t="shared" ca="1" si="106"/>
        <v>0</v>
      </c>
      <c r="AO335" s="32">
        <v>316</v>
      </c>
      <c r="AP335" s="32">
        <v>27</v>
      </c>
      <c r="AQ335" s="32">
        <v>4</v>
      </c>
      <c r="AR335" s="13"/>
      <c r="AS335" s="32"/>
      <c r="AT335" s="13">
        <f t="shared" ca="1" si="107"/>
        <v>0</v>
      </c>
      <c r="AU335" s="33"/>
      <c r="AV335" s="13">
        <f t="shared" ca="1" si="98"/>
        <v>0</v>
      </c>
      <c r="AW335" s="13">
        <f ca="1">ROUNDUP(($AT335+$AV335)*VLOOKUP($AP335,Paraméterek!$P$38:$Q$38,2)/12*IF($D336="Nem",IF($M$13=0,1,$M$13),1),IF($D$4="Forint",0,2))</f>
        <v>0</v>
      </c>
      <c r="AX335" s="13"/>
      <c r="AY335" s="13"/>
      <c r="AZ335" s="13">
        <f>ROUNDUP(IF(SUM($AX335:$AY335)=0,0,IF(IF(ISBLANK($AY335),$AX335,$AY335)*Paraméterek!$J$112&lt;IF($D$4="Forint",Paraméterek!$J$113,Paraméterek!$K$113),IF($D$4="Forint",Paraméterek!$J$113,Paraméterek!$K$113),IF(IF(ISBLANK($AY335),$AX335,$AY335)*Paraméterek!$J$112&gt;IF($D$4="Forint",Paraméterek!$J$114,Paraméterek!$K$114),IF($D$4="Forint",Paraméterek!$J$114,Paraméterek!$K$114),IF(ISBLANK($AY335),$AX335,$AY335)*Paraméterek!$J$112))),IF($D$4="Forint",0,2))</f>
        <v>0</v>
      </c>
      <c r="BA335" s="13">
        <f ca="1">$AT335+$AV335-$AW335-IF(ROUNDDOWN(IF(ISBLANK($AY335),$AX335,$AY335),IF($D$4="Forint",0,2))&gt;$AT335+$AV335-$AW335-IF($D$4="Forint",Paraméterek!$J$114,Paraméterek!$K$114),0,ROUNDDOWN(IF(ISBLANK($AY335),$AX335,$AY335),IF($D$4="Forint",0,2))-$AZ335)</f>
        <v>0</v>
      </c>
      <c r="BB335" s="13">
        <f t="shared" ca="1" si="99"/>
        <v>0</v>
      </c>
      <c r="BD335" s="32">
        <v>316</v>
      </c>
      <c r="BE335" s="32">
        <v>27</v>
      </c>
      <c r="BF335" s="32">
        <v>4</v>
      </c>
      <c r="BG335" s="34">
        <f t="shared" ca="1" si="108"/>
        <v>2045</v>
      </c>
      <c r="BH335" s="32" t="str">
        <f ca="1">IF(MOD(MONTH($D$14)+$BD335-1,12)=Paraméterek!$C$288,"Igen","")</f>
        <v/>
      </c>
      <c r="BI335" s="13">
        <f ca="1">IF($BH335="Igen",MIN(ROUNDDOWN((SUMIF($BG$20:$BG$1027,$BG335-1,$K$20:$K$1027)-SUMIF($BG$20:$BG$1027,$BG335-1,$I$20:$I$1027))*Paraméterek!$C$289,IF($D$4="Forint",0,2)),IF($D$4="Forint",Paraméterek!$C$285,Paraméterek!$D$285)),0)</f>
        <v>0</v>
      </c>
      <c r="BJ335" s="13">
        <f t="shared" ca="1" si="100"/>
        <v>0</v>
      </c>
      <c r="BK335" s="13">
        <f t="shared" ca="1" si="109"/>
        <v>0</v>
      </c>
      <c r="BL335" s="33"/>
      <c r="BM335" s="13">
        <f t="shared" ca="1" si="101"/>
        <v>0</v>
      </c>
      <c r="BN335" s="13">
        <f ca="1">ROUNDUP(($BK335+$BM335)*VLOOKUP($BE335,Paraméterek!$P$38:$Q$38,2)/12*IF($D336="Nem",IF($M$13=0,1,$M$13),1),IF($D$4="Forint",0,2))</f>
        <v>0</v>
      </c>
      <c r="BO335" s="13">
        <f t="shared" ca="1" si="102"/>
        <v>0</v>
      </c>
      <c r="BP335" s="13">
        <f ca="1">IF($D336="Nem",$BO335,$BO335-ROUNDUP(SUM($BI$20:$BI335)*120%,IF($D$4="Forint",0,2)))</f>
        <v>0</v>
      </c>
    </row>
    <row r="336" spans="1:68" x14ac:dyDescent="0.2">
      <c r="A336" s="32">
        <v>317</v>
      </c>
      <c r="B336" s="32">
        <v>27</v>
      </c>
      <c r="C336" s="32">
        <v>5</v>
      </c>
      <c r="D336" s="32" t="str">
        <f t="shared" ca="1" si="88"/>
        <v>Nem</v>
      </c>
      <c r="E336" s="13">
        <f t="shared" ca="1" si="89"/>
        <v>0</v>
      </c>
      <c r="F336" s="13"/>
      <c r="G336" s="13"/>
      <c r="H336" s="13"/>
      <c r="I336" s="13">
        <f t="shared" ca="1" si="90"/>
        <v>0</v>
      </c>
      <c r="J336" s="13">
        <f t="shared" ca="1" si="91"/>
        <v>0</v>
      </c>
      <c r="K336" s="13">
        <f t="shared" ca="1" si="92"/>
        <v>0</v>
      </c>
      <c r="L336" s="13" t="e">
        <f ca="1">ROUNDUP(IF($D$2="Egyszeri",$E336,IF($D$2="Havi",SUM($E$20:$E$31),IF(MOD($C336,$M$1)-1=0,SUM($E$20:$E$31),0))/12*$M$1)*VLOOKUP($B336,Paraméterek!$I$28:$P$31,IF($D$2="Egyszeri",8,HLOOKUP(ROUNDUP($M$11+$M$13,0),Paraméterek!$J$26:$O$27,2))),IF($D$4="Forint",0,2))</f>
        <v>#N/A</v>
      </c>
      <c r="M336" s="13">
        <f t="shared" ca="1" si="93"/>
        <v>0</v>
      </c>
      <c r="N336" s="13">
        <f t="shared" ca="1" si="103"/>
        <v>0</v>
      </c>
      <c r="O336" s="13">
        <f ca="1">IF($D336="Igen",IF($W335&gt;=IF($D$4="Forint",Paraméterek!$J$121,Paraméterek!$K$121),0,IF($D$4="Forint",Paraméterek!$J$121,Paraméterek!$K$121)-$W335),0)</f>
        <v>0</v>
      </c>
      <c r="P336" s="13" t="e">
        <f ca="1">ROUNDUP($O336*VLOOKUP($M$4+$B336-1,Paraméterek!$H$58:$I$105,2,0)/Paraméterek!$I$56,IF($D$4="Forint",0,2))</f>
        <v>#N/A</v>
      </c>
      <c r="Q336" s="13">
        <f t="shared" ca="1" si="94"/>
        <v>0</v>
      </c>
      <c r="R336" s="33"/>
      <c r="S336" s="13" t="e">
        <f t="shared" ca="1" si="95"/>
        <v>#N/A</v>
      </c>
      <c r="T336" s="13" t="e">
        <f ca="1">ROUNDUP(($N336-$P336-$Q336+$S336)*VLOOKUP($B336,Paraméterek!$I$38:$K$39,IF($D$2="Egyszeri",3,2))/12*IF($D337="Nem",IF($M$13=0,1,$M$13),1),IF($D$4="Forint",0,2))</f>
        <v>#N/A</v>
      </c>
      <c r="U336" s="13"/>
      <c r="V336" s="13"/>
      <c r="W336" s="13" t="e">
        <f ca="1">$N336-$P336-$Q336+$S336-$T336-IF(ROUNDUP(IF(ISBLANK($V336),$U336*0,$V336)/IF($D$2="Egyszeri",VLOOKUP($B336+IF($C336=12,1,0),Paraméterek!$V$257:$W$262,2),IF($B336=1,1,VLOOKUP($B336+IF($C336=12,1,0),Paraméterek!$I$258:$T$278,HLOOKUP($M$11+1,Paraméterek!$J$256:$T$257,2)))),IF($D$4="Forint",0,2))&gt;$N336-$P336-$Q336+$S336-$T336-IF($D$4="Forint",Paraméterek!$C$216,Paraméterek!$D$216),0,ROUNDUP(IF(ISBLANK($V336),$U336*0,$V336)/IF($D$2="Egyszeri",VLOOKUP($B336+IF($C336=12,1,0),Paraméterek!$V$257:$W$262,2),IF($B336=1,1,VLOOKUP($B336+IF($C336=12,1,0),Paraméterek!$I$258:$T$278,HLOOKUP($M$11+1,Paraméterek!$J$256:$T$257,2)))),IF($D$4="Forint",0,2)))</f>
        <v>#N/A</v>
      </c>
      <c r="X336" s="13" t="e">
        <f ca="1">ROUNDDOWN($W336*IF($D$2="Egyszeri",VLOOKUP($B336+IF($C336=12,1,0),Paraméterek!$V$257:$W$262,2),VLOOKUP($B336+IF($C336=12,1,0),Paraméterek!$I$258:$T$278,HLOOKUP($M$11+1,Paraméterek!$I$256:$T$257,2))),IF($D$4="Forint",0,2))</f>
        <v>#N/A</v>
      </c>
      <c r="Z336" s="32">
        <v>317</v>
      </c>
      <c r="AA336" s="32">
        <v>27</v>
      </c>
      <c r="AB336" s="32">
        <v>5</v>
      </c>
      <c r="AC336" s="13">
        <f t="shared" ca="1" si="104"/>
        <v>0</v>
      </c>
      <c r="AD336" s="33"/>
      <c r="AE336" s="13">
        <f t="shared" ca="1" si="96"/>
        <v>0</v>
      </c>
      <c r="AF336" s="13">
        <f ca="1">ROUNDUP(($AC336+$AE336)*VLOOKUP($AA336,Paraméterek!$P$38:$Q$38,2)/12*IF($D337="Nem",IF($M$13=0,1,$M$13),1),IF($D$4="Forint",0,2))</f>
        <v>0</v>
      </c>
      <c r="AG336" s="13">
        <f ca="1">IF($D$2="Egyszeri",IF($D$7&gt;=IF($D$4="Forint",Paraméterek!$P$223,Paraméterek!$P$224),$D$7-IF($D$4="Forint",Paraméterek!$P$223,Paraméterek!$P$224),0),MIN(IF($AB336=12,AVERAGEIF($E$20:$E336,"&gt;0",$E$20:$E336)*12,0),SUM($E$20:$E$31)))</f>
        <v>0</v>
      </c>
      <c r="AH336" s="13">
        <f>IF($AA336=10,$AG336*IF($AB336=12,IF($AG336&lt;IF($D$4="Forint",Paraméterek!$L$223,Paraméterek!$L$224),0,VLOOKUP($AA336,Paraméterek!$K$226:$M$228,IF($AG336&lt;IF($D$4="Forint",Paraméterek!$M$223,Paraméterek!$M$224),2,3))),0),0)</f>
        <v>0</v>
      </c>
      <c r="AI336" s="13">
        <f ca="1">IF(AND($AA336=$M$11+1,$AB336=$M$12+1),SUMIF($AA$20:$AA$1027,$AA336,$AG$20:$AG$1027)*IF(SUMIF($AA$20:$AA$1027,$AA336,$AG$20:$AG$1027)&lt;IF($D$4="Forint",Paraméterek!$L$223,Paraméterek!$L$224),0,VLOOKUP($AA336,Paraméterek!$K$230:$M$250,IF(SUMIF($AA$20:$AA$1027,$AA336,$AG$20:$AG$1027)&lt;IF($D$4="Forint",Paraméterek!$M$223,Paraméterek!$M$224),2,3))),0)</f>
        <v>0</v>
      </c>
      <c r="AJ336" s="13">
        <f ca="1">IF(AND($AA336&gt;=5,MOD($AA336,5)=0),IF($AB336=12,VLOOKUP($AA336,Paraméterek!$O$225:$P$240,2),0),IF(OR($AA336=3,$AA336=4),IF($AB336=12,VLOOKUP($AA336,Paraméterek!$O$225:$P$240,2,0),0),0))*$AG336</f>
        <v>0</v>
      </c>
      <c r="AK336" s="13">
        <f t="shared" ca="1" si="97"/>
        <v>0</v>
      </c>
      <c r="AL336" s="13">
        <f t="shared" ca="1" si="105"/>
        <v>0</v>
      </c>
      <c r="AM336" s="13">
        <f t="shared" ca="1" si="106"/>
        <v>0</v>
      </c>
      <c r="AO336" s="32">
        <v>317</v>
      </c>
      <c r="AP336" s="32">
        <v>27</v>
      </c>
      <c r="AQ336" s="32">
        <v>5</v>
      </c>
      <c r="AR336" s="13"/>
      <c r="AS336" s="32"/>
      <c r="AT336" s="13">
        <f t="shared" ca="1" si="107"/>
        <v>0</v>
      </c>
      <c r="AU336" s="33"/>
      <c r="AV336" s="13">
        <f t="shared" ca="1" si="98"/>
        <v>0</v>
      </c>
      <c r="AW336" s="13">
        <f ca="1">ROUNDUP(($AT336+$AV336)*VLOOKUP($AP336,Paraméterek!$P$38:$Q$38,2)/12*IF($D337="Nem",IF($M$13=0,1,$M$13),1),IF($D$4="Forint",0,2))</f>
        <v>0</v>
      </c>
      <c r="AX336" s="13"/>
      <c r="AY336" s="13"/>
      <c r="AZ336" s="13">
        <f>ROUNDUP(IF(SUM($AX336:$AY336)=0,0,IF(IF(ISBLANK($AY336),$AX336,$AY336)*Paraméterek!$J$112&lt;IF($D$4="Forint",Paraméterek!$J$113,Paraméterek!$K$113),IF($D$4="Forint",Paraméterek!$J$113,Paraméterek!$K$113),IF(IF(ISBLANK($AY336),$AX336,$AY336)*Paraméterek!$J$112&gt;IF($D$4="Forint",Paraméterek!$J$114,Paraméterek!$K$114),IF($D$4="Forint",Paraméterek!$J$114,Paraméterek!$K$114),IF(ISBLANK($AY336),$AX336,$AY336)*Paraméterek!$J$112))),IF($D$4="Forint",0,2))</f>
        <v>0</v>
      </c>
      <c r="BA336" s="13">
        <f ca="1">$AT336+$AV336-$AW336-IF(ROUNDDOWN(IF(ISBLANK($AY336),$AX336,$AY336),IF($D$4="Forint",0,2))&gt;$AT336+$AV336-$AW336-IF($D$4="Forint",Paraméterek!$J$114,Paraméterek!$K$114),0,ROUNDDOWN(IF(ISBLANK($AY336),$AX336,$AY336),IF($D$4="Forint",0,2))-$AZ336)</f>
        <v>0</v>
      </c>
      <c r="BB336" s="13">
        <f t="shared" ca="1" si="99"/>
        <v>0</v>
      </c>
      <c r="BD336" s="32">
        <v>317</v>
      </c>
      <c r="BE336" s="32">
        <v>27</v>
      </c>
      <c r="BF336" s="32">
        <v>5</v>
      </c>
      <c r="BG336" s="34">
        <f t="shared" ca="1" si="108"/>
        <v>2045</v>
      </c>
      <c r="BH336" s="32" t="str">
        <f ca="1">IF(MOD(MONTH($D$14)+$BD336-1,12)=Paraméterek!$C$288,"Igen","")</f>
        <v/>
      </c>
      <c r="BI336" s="13">
        <f ca="1">IF($BH336="Igen",MIN(ROUNDDOWN((SUMIF($BG$20:$BG$1027,$BG336-1,$K$20:$K$1027)-SUMIF($BG$20:$BG$1027,$BG336-1,$I$20:$I$1027))*Paraméterek!$C$289,IF($D$4="Forint",0,2)),IF($D$4="Forint",Paraméterek!$C$285,Paraméterek!$D$285)),0)</f>
        <v>0</v>
      </c>
      <c r="BJ336" s="13">
        <f t="shared" ca="1" si="100"/>
        <v>0</v>
      </c>
      <c r="BK336" s="13">
        <f t="shared" ca="1" si="109"/>
        <v>0</v>
      </c>
      <c r="BL336" s="33"/>
      <c r="BM336" s="13">
        <f t="shared" ca="1" si="101"/>
        <v>0</v>
      </c>
      <c r="BN336" s="13">
        <f ca="1">ROUNDUP(($BK336+$BM336)*VLOOKUP($BE336,Paraméterek!$P$38:$Q$38,2)/12*IF($D337="Nem",IF($M$13=0,1,$M$13),1),IF($D$4="Forint",0,2))</f>
        <v>0</v>
      </c>
      <c r="BO336" s="13">
        <f t="shared" ca="1" si="102"/>
        <v>0</v>
      </c>
      <c r="BP336" s="13">
        <f ca="1">IF($D337="Nem",$BO336,$BO336-ROUNDUP(SUM($BI$20:$BI336)*120%,IF($D$4="Forint",0,2)))</f>
        <v>0</v>
      </c>
    </row>
    <row r="337" spans="1:68" x14ac:dyDescent="0.2">
      <c r="A337" s="32">
        <v>318</v>
      </c>
      <c r="B337" s="32">
        <v>27</v>
      </c>
      <c r="C337" s="32">
        <v>6</v>
      </c>
      <c r="D337" s="32" t="str">
        <f t="shared" ca="1" si="88"/>
        <v>Nem</v>
      </c>
      <c r="E337" s="13">
        <f t="shared" ca="1" si="89"/>
        <v>0</v>
      </c>
      <c r="F337" s="13"/>
      <c r="G337" s="13"/>
      <c r="H337" s="13"/>
      <c r="I337" s="13">
        <f t="shared" ca="1" si="90"/>
        <v>0</v>
      </c>
      <c r="J337" s="13">
        <f t="shared" ca="1" si="91"/>
        <v>0</v>
      </c>
      <c r="K337" s="13">
        <f t="shared" ca="1" si="92"/>
        <v>0</v>
      </c>
      <c r="L337" s="13" t="e">
        <f ca="1">ROUNDUP(IF($D$2="Egyszeri",$E337,IF($D$2="Havi",SUM($E$20:$E$31),IF(MOD($C337,$M$1)-1=0,SUM($E$20:$E$31),0))/12*$M$1)*VLOOKUP($B337,Paraméterek!$I$28:$P$31,IF($D$2="Egyszeri",8,HLOOKUP(ROUNDUP($M$11+$M$13,0),Paraméterek!$J$26:$O$27,2))),IF($D$4="Forint",0,2))</f>
        <v>#N/A</v>
      </c>
      <c r="M337" s="13">
        <f t="shared" ca="1" si="93"/>
        <v>0</v>
      </c>
      <c r="N337" s="13">
        <f t="shared" ca="1" si="103"/>
        <v>0</v>
      </c>
      <c r="O337" s="13">
        <f ca="1">IF($D337="Igen",IF($W336&gt;=IF($D$4="Forint",Paraméterek!$J$121,Paraméterek!$K$121),0,IF($D$4="Forint",Paraméterek!$J$121,Paraméterek!$K$121)-$W336),0)</f>
        <v>0</v>
      </c>
      <c r="P337" s="13" t="e">
        <f ca="1">ROUNDUP($O337*VLOOKUP($M$4+$B337-1,Paraméterek!$H$58:$I$105,2,0)/Paraméterek!$I$56,IF($D$4="Forint",0,2))</f>
        <v>#N/A</v>
      </c>
      <c r="Q337" s="13">
        <f t="shared" ca="1" si="94"/>
        <v>0</v>
      </c>
      <c r="R337" s="33"/>
      <c r="S337" s="13" t="e">
        <f t="shared" ca="1" si="95"/>
        <v>#N/A</v>
      </c>
      <c r="T337" s="13" t="e">
        <f ca="1">ROUNDUP(($N337-$P337-$Q337+$S337)*VLOOKUP($B337,Paraméterek!$I$38:$K$39,IF($D$2="Egyszeri",3,2))/12*IF($D338="Nem",IF($M$13=0,1,$M$13),1),IF($D$4="Forint",0,2))</f>
        <v>#N/A</v>
      </c>
      <c r="U337" s="13"/>
      <c r="V337" s="13"/>
      <c r="W337" s="13" t="e">
        <f ca="1">$N337-$P337-$Q337+$S337-$T337-IF(ROUNDUP(IF(ISBLANK($V337),$U337*0,$V337)/IF($D$2="Egyszeri",VLOOKUP($B337+IF($C337=12,1,0),Paraméterek!$V$257:$W$262,2),IF($B337=1,1,VLOOKUP($B337+IF($C337=12,1,0),Paraméterek!$I$258:$T$278,HLOOKUP($M$11+1,Paraméterek!$J$256:$T$257,2)))),IF($D$4="Forint",0,2))&gt;$N337-$P337-$Q337+$S337-$T337-IF($D$4="Forint",Paraméterek!$C$216,Paraméterek!$D$216),0,ROUNDUP(IF(ISBLANK($V337),$U337*0,$V337)/IF($D$2="Egyszeri",VLOOKUP($B337+IF($C337=12,1,0),Paraméterek!$V$257:$W$262,2),IF($B337=1,1,VLOOKUP($B337+IF($C337=12,1,0),Paraméterek!$I$258:$T$278,HLOOKUP($M$11+1,Paraméterek!$J$256:$T$257,2)))),IF($D$4="Forint",0,2)))</f>
        <v>#N/A</v>
      </c>
      <c r="X337" s="13" t="e">
        <f ca="1">ROUNDDOWN($W337*IF($D$2="Egyszeri",VLOOKUP($B337+IF($C337=12,1,0),Paraméterek!$V$257:$W$262,2),VLOOKUP($B337+IF($C337=12,1,0),Paraméterek!$I$258:$T$278,HLOOKUP($M$11+1,Paraméterek!$I$256:$T$257,2))),IF($D$4="Forint",0,2))</f>
        <v>#N/A</v>
      </c>
      <c r="Z337" s="32">
        <v>318</v>
      </c>
      <c r="AA337" s="32">
        <v>27</v>
      </c>
      <c r="AB337" s="32">
        <v>6</v>
      </c>
      <c r="AC337" s="13">
        <f t="shared" ca="1" si="104"/>
        <v>0</v>
      </c>
      <c r="AD337" s="33"/>
      <c r="AE337" s="13">
        <f t="shared" ca="1" si="96"/>
        <v>0</v>
      </c>
      <c r="AF337" s="13">
        <f ca="1">ROUNDUP(($AC337+$AE337)*VLOOKUP($AA337,Paraméterek!$P$38:$Q$38,2)/12*IF($D338="Nem",IF($M$13=0,1,$M$13),1),IF($D$4="Forint",0,2))</f>
        <v>0</v>
      </c>
      <c r="AG337" s="13">
        <f ca="1">IF($D$2="Egyszeri",IF($D$7&gt;=IF($D$4="Forint",Paraméterek!$P$223,Paraméterek!$P$224),$D$7-IF($D$4="Forint",Paraméterek!$P$223,Paraméterek!$P$224),0),MIN(IF($AB337=12,AVERAGEIF($E$20:$E337,"&gt;0",$E$20:$E337)*12,0),SUM($E$20:$E$31)))</f>
        <v>0</v>
      </c>
      <c r="AH337" s="13">
        <f>IF($AA337=10,$AG337*IF($AB337=12,IF($AG337&lt;IF($D$4="Forint",Paraméterek!$L$223,Paraméterek!$L$224),0,VLOOKUP($AA337,Paraméterek!$K$226:$M$228,IF($AG337&lt;IF($D$4="Forint",Paraméterek!$M$223,Paraméterek!$M$224),2,3))),0),0)</f>
        <v>0</v>
      </c>
      <c r="AI337" s="13">
        <f ca="1">IF(AND($AA337=$M$11+1,$AB337=$M$12+1),SUMIF($AA$20:$AA$1027,$AA337,$AG$20:$AG$1027)*IF(SUMIF($AA$20:$AA$1027,$AA337,$AG$20:$AG$1027)&lt;IF($D$4="Forint",Paraméterek!$L$223,Paraméterek!$L$224),0,VLOOKUP($AA337,Paraméterek!$K$230:$M$250,IF(SUMIF($AA$20:$AA$1027,$AA337,$AG$20:$AG$1027)&lt;IF($D$4="Forint",Paraméterek!$M$223,Paraméterek!$M$224),2,3))),0)</f>
        <v>0</v>
      </c>
      <c r="AJ337" s="13">
        <f ca="1">IF(AND($AA337&gt;=5,MOD($AA337,5)=0),IF($AB337=12,VLOOKUP($AA337,Paraméterek!$O$225:$P$240,2),0),IF(OR($AA337=3,$AA337=4),IF($AB337=12,VLOOKUP($AA337,Paraméterek!$O$225:$P$240,2,0),0),0))*$AG337</f>
        <v>0</v>
      </c>
      <c r="AK337" s="13">
        <f t="shared" ca="1" si="97"/>
        <v>0</v>
      </c>
      <c r="AL337" s="13">
        <f t="shared" ca="1" si="105"/>
        <v>0</v>
      </c>
      <c r="AM337" s="13">
        <f t="shared" ca="1" si="106"/>
        <v>0</v>
      </c>
      <c r="AO337" s="32">
        <v>318</v>
      </c>
      <c r="AP337" s="32">
        <v>27</v>
      </c>
      <c r="AQ337" s="32">
        <v>6</v>
      </c>
      <c r="AR337" s="13"/>
      <c r="AS337" s="32"/>
      <c r="AT337" s="13">
        <f t="shared" ca="1" si="107"/>
        <v>0</v>
      </c>
      <c r="AU337" s="33"/>
      <c r="AV337" s="13">
        <f t="shared" ca="1" si="98"/>
        <v>0</v>
      </c>
      <c r="AW337" s="13">
        <f ca="1">ROUNDUP(($AT337+$AV337)*VLOOKUP($AP337,Paraméterek!$P$38:$Q$38,2)/12*IF($D338="Nem",IF($M$13=0,1,$M$13),1),IF($D$4="Forint",0,2))</f>
        <v>0</v>
      </c>
      <c r="AX337" s="13"/>
      <c r="AY337" s="13"/>
      <c r="AZ337" s="13">
        <f>ROUNDUP(IF(SUM($AX337:$AY337)=0,0,IF(IF(ISBLANK($AY337),$AX337,$AY337)*Paraméterek!$J$112&lt;IF($D$4="Forint",Paraméterek!$J$113,Paraméterek!$K$113),IF($D$4="Forint",Paraméterek!$J$113,Paraméterek!$K$113),IF(IF(ISBLANK($AY337),$AX337,$AY337)*Paraméterek!$J$112&gt;IF($D$4="Forint",Paraméterek!$J$114,Paraméterek!$K$114),IF($D$4="Forint",Paraméterek!$J$114,Paraméterek!$K$114),IF(ISBLANK($AY337),$AX337,$AY337)*Paraméterek!$J$112))),IF($D$4="Forint",0,2))</f>
        <v>0</v>
      </c>
      <c r="BA337" s="13">
        <f ca="1">$AT337+$AV337-$AW337-IF(ROUNDDOWN(IF(ISBLANK($AY337),$AX337,$AY337),IF($D$4="Forint",0,2))&gt;$AT337+$AV337-$AW337-IF($D$4="Forint",Paraméterek!$J$114,Paraméterek!$K$114),0,ROUNDDOWN(IF(ISBLANK($AY337),$AX337,$AY337),IF($D$4="Forint",0,2))-$AZ337)</f>
        <v>0</v>
      </c>
      <c r="BB337" s="13">
        <f t="shared" ca="1" si="99"/>
        <v>0</v>
      </c>
      <c r="BD337" s="32">
        <v>318</v>
      </c>
      <c r="BE337" s="32">
        <v>27</v>
      </c>
      <c r="BF337" s="32">
        <v>6</v>
      </c>
      <c r="BG337" s="34">
        <f t="shared" ca="1" si="108"/>
        <v>2045</v>
      </c>
      <c r="BH337" s="32" t="str">
        <f ca="1">IF(MOD(MONTH($D$14)+$BD337-1,12)=Paraméterek!$C$288,"Igen","")</f>
        <v/>
      </c>
      <c r="BI337" s="13">
        <f ca="1">IF($BH337="Igen",MIN(ROUNDDOWN((SUMIF($BG$20:$BG$1027,$BG337-1,$K$20:$K$1027)-SUMIF($BG$20:$BG$1027,$BG337-1,$I$20:$I$1027))*Paraméterek!$C$289,IF($D$4="Forint",0,2)),IF($D$4="Forint",Paraméterek!$C$285,Paraméterek!$D$285)),0)</f>
        <v>0</v>
      </c>
      <c r="BJ337" s="13">
        <f t="shared" ca="1" si="100"/>
        <v>0</v>
      </c>
      <c r="BK337" s="13">
        <f t="shared" ca="1" si="109"/>
        <v>0</v>
      </c>
      <c r="BL337" s="33"/>
      <c r="BM337" s="13">
        <f t="shared" ca="1" si="101"/>
        <v>0</v>
      </c>
      <c r="BN337" s="13">
        <f ca="1">ROUNDUP(($BK337+$BM337)*VLOOKUP($BE337,Paraméterek!$P$38:$Q$38,2)/12*IF($D338="Nem",IF($M$13=0,1,$M$13),1),IF($D$4="Forint",0,2))</f>
        <v>0</v>
      </c>
      <c r="BO337" s="13">
        <f t="shared" ca="1" si="102"/>
        <v>0</v>
      </c>
      <c r="BP337" s="13">
        <f ca="1">IF($D338="Nem",$BO337,$BO337-ROUNDUP(SUM($BI$20:$BI337)*120%,IF($D$4="Forint",0,2)))</f>
        <v>0</v>
      </c>
    </row>
    <row r="338" spans="1:68" x14ac:dyDescent="0.2">
      <c r="A338" s="32">
        <v>319</v>
      </c>
      <c r="B338" s="32">
        <v>27</v>
      </c>
      <c r="C338" s="32">
        <v>7</v>
      </c>
      <c r="D338" s="32" t="str">
        <f t="shared" ca="1" si="88"/>
        <v>Nem</v>
      </c>
      <c r="E338" s="13">
        <f t="shared" ca="1" si="89"/>
        <v>0</v>
      </c>
      <c r="F338" s="13"/>
      <c r="G338" s="13"/>
      <c r="H338" s="13"/>
      <c r="I338" s="13">
        <f t="shared" ca="1" si="90"/>
        <v>0</v>
      </c>
      <c r="J338" s="13">
        <f t="shared" ca="1" si="91"/>
        <v>0</v>
      </c>
      <c r="K338" s="13">
        <f t="shared" ca="1" si="92"/>
        <v>0</v>
      </c>
      <c r="L338" s="13" t="e">
        <f ca="1">ROUNDUP(IF($D$2="Egyszeri",$E338,IF($D$2="Havi",SUM($E$20:$E$31),IF(MOD($C338,$M$1)-1=0,SUM($E$20:$E$31),0))/12*$M$1)*VLOOKUP($B338,Paraméterek!$I$28:$P$31,IF($D$2="Egyszeri",8,HLOOKUP(ROUNDUP($M$11+$M$13,0),Paraméterek!$J$26:$O$27,2))),IF($D$4="Forint",0,2))</f>
        <v>#N/A</v>
      </c>
      <c r="M338" s="13">
        <f t="shared" ca="1" si="93"/>
        <v>0</v>
      </c>
      <c r="N338" s="13">
        <f t="shared" ca="1" si="103"/>
        <v>0</v>
      </c>
      <c r="O338" s="13">
        <f ca="1">IF($D338="Igen",IF($W337&gt;=IF($D$4="Forint",Paraméterek!$J$121,Paraméterek!$K$121),0,IF($D$4="Forint",Paraméterek!$J$121,Paraméterek!$K$121)-$W337),0)</f>
        <v>0</v>
      </c>
      <c r="P338" s="13" t="e">
        <f ca="1">ROUNDUP($O338*VLOOKUP($M$4+$B338-1,Paraméterek!$H$58:$I$105,2,0)/Paraméterek!$I$56,IF($D$4="Forint",0,2))</f>
        <v>#N/A</v>
      </c>
      <c r="Q338" s="13">
        <f t="shared" ca="1" si="94"/>
        <v>0</v>
      </c>
      <c r="R338" s="33"/>
      <c r="S338" s="13" t="e">
        <f t="shared" ca="1" si="95"/>
        <v>#N/A</v>
      </c>
      <c r="T338" s="13" t="e">
        <f ca="1">ROUNDUP(($N338-$P338-$Q338+$S338)*VLOOKUP($B338,Paraméterek!$I$38:$K$39,IF($D$2="Egyszeri",3,2))/12*IF($D339="Nem",IF($M$13=0,1,$M$13),1),IF($D$4="Forint",0,2))</f>
        <v>#N/A</v>
      </c>
      <c r="U338" s="13"/>
      <c r="V338" s="13"/>
      <c r="W338" s="13" t="e">
        <f ca="1">$N338-$P338-$Q338+$S338-$T338-IF(ROUNDUP(IF(ISBLANK($V338),$U338*0,$V338)/IF($D$2="Egyszeri",VLOOKUP($B338+IF($C338=12,1,0),Paraméterek!$V$257:$W$262,2),IF($B338=1,1,VLOOKUP($B338+IF($C338=12,1,0),Paraméterek!$I$258:$T$278,HLOOKUP($M$11+1,Paraméterek!$J$256:$T$257,2)))),IF($D$4="Forint",0,2))&gt;$N338-$P338-$Q338+$S338-$T338-IF($D$4="Forint",Paraméterek!$C$216,Paraméterek!$D$216),0,ROUNDUP(IF(ISBLANK($V338),$U338*0,$V338)/IF($D$2="Egyszeri",VLOOKUP($B338+IF($C338=12,1,0),Paraméterek!$V$257:$W$262,2),IF($B338=1,1,VLOOKUP($B338+IF($C338=12,1,0),Paraméterek!$I$258:$T$278,HLOOKUP($M$11+1,Paraméterek!$J$256:$T$257,2)))),IF($D$4="Forint",0,2)))</f>
        <v>#N/A</v>
      </c>
      <c r="X338" s="13" t="e">
        <f ca="1">ROUNDDOWN($W338*IF($D$2="Egyszeri",VLOOKUP($B338+IF($C338=12,1,0),Paraméterek!$V$257:$W$262,2),VLOOKUP($B338+IF($C338=12,1,0),Paraméterek!$I$258:$T$278,HLOOKUP($M$11+1,Paraméterek!$I$256:$T$257,2))),IF($D$4="Forint",0,2))</f>
        <v>#N/A</v>
      </c>
      <c r="Z338" s="32">
        <v>319</v>
      </c>
      <c r="AA338" s="32">
        <v>27</v>
      </c>
      <c r="AB338" s="32">
        <v>7</v>
      </c>
      <c r="AC338" s="13">
        <f t="shared" ca="1" si="104"/>
        <v>0</v>
      </c>
      <c r="AD338" s="33"/>
      <c r="AE338" s="13">
        <f t="shared" ca="1" si="96"/>
        <v>0</v>
      </c>
      <c r="AF338" s="13">
        <f ca="1">ROUNDUP(($AC338+$AE338)*VLOOKUP($AA338,Paraméterek!$P$38:$Q$38,2)/12*IF($D339="Nem",IF($M$13=0,1,$M$13),1),IF($D$4="Forint",0,2))</f>
        <v>0</v>
      </c>
      <c r="AG338" s="13">
        <f ca="1">IF($D$2="Egyszeri",IF($D$7&gt;=IF($D$4="Forint",Paraméterek!$P$223,Paraméterek!$P$224),$D$7-IF($D$4="Forint",Paraméterek!$P$223,Paraméterek!$P$224),0),MIN(IF($AB338=12,AVERAGEIF($E$20:$E338,"&gt;0",$E$20:$E338)*12,0),SUM($E$20:$E$31)))</f>
        <v>0</v>
      </c>
      <c r="AH338" s="13">
        <f>IF($AA338=10,$AG338*IF($AB338=12,IF($AG338&lt;IF($D$4="Forint",Paraméterek!$L$223,Paraméterek!$L$224),0,VLOOKUP($AA338,Paraméterek!$K$226:$M$228,IF($AG338&lt;IF($D$4="Forint",Paraméterek!$M$223,Paraméterek!$M$224),2,3))),0),0)</f>
        <v>0</v>
      </c>
      <c r="AI338" s="13">
        <f ca="1">IF(AND($AA338=$M$11+1,$AB338=$M$12+1),SUMIF($AA$20:$AA$1027,$AA338,$AG$20:$AG$1027)*IF(SUMIF($AA$20:$AA$1027,$AA338,$AG$20:$AG$1027)&lt;IF($D$4="Forint",Paraméterek!$L$223,Paraméterek!$L$224),0,VLOOKUP($AA338,Paraméterek!$K$230:$M$250,IF(SUMIF($AA$20:$AA$1027,$AA338,$AG$20:$AG$1027)&lt;IF($D$4="Forint",Paraméterek!$M$223,Paraméterek!$M$224),2,3))),0)</f>
        <v>0</v>
      </c>
      <c r="AJ338" s="13">
        <f ca="1">IF(AND($AA338&gt;=5,MOD($AA338,5)=0),IF($AB338=12,VLOOKUP($AA338,Paraméterek!$O$225:$P$240,2),0),IF(OR($AA338=3,$AA338=4),IF($AB338=12,VLOOKUP($AA338,Paraméterek!$O$225:$P$240,2,0),0),0))*$AG338</f>
        <v>0</v>
      </c>
      <c r="AK338" s="13">
        <f t="shared" ca="1" si="97"/>
        <v>0</v>
      </c>
      <c r="AL338" s="13">
        <f t="shared" ca="1" si="105"/>
        <v>0</v>
      </c>
      <c r="AM338" s="13">
        <f t="shared" ca="1" si="106"/>
        <v>0</v>
      </c>
      <c r="AO338" s="32">
        <v>319</v>
      </c>
      <c r="AP338" s="32">
        <v>27</v>
      </c>
      <c r="AQ338" s="32">
        <v>7</v>
      </c>
      <c r="AR338" s="13"/>
      <c r="AS338" s="32"/>
      <c r="AT338" s="13">
        <f t="shared" ca="1" si="107"/>
        <v>0</v>
      </c>
      <c r="AU338" s="33"/>
      <c r="AV338" s="13">
        <f t="shared" ca="1" si="98"/>
        <v>0</v>
      </c>
      <c r="AW338" s="13">
        <f ca="1">ROUNDUP(($AT338+$AV338)*VLOOKUP($AP338,Paraméterek!$P$38:$Q$38,2)/12*IF($D339="Nem",IF($M$13=0,1,$M$13),1),IF($D$4="Forint",0,2))</f>
        <v>0</v>
      </c>
      <c r="AX338" s="13"/>
      <c r="AY338" s="13"/>
      <c r="AZ338" s="13">
        <f>ROUNDUP(IF(SUM($AX338:$AY338)=0,0,IF(IF(ISBLANK($AY338),$AX338,$AY338)*Paraméterek!$J$112&lt;IF($D$4="Forint",Paraméterek!$J$113,Paraméterek!$K$113),IF($D$4="Forint",Paraméterek!$J$113,Paraméterek!$K$113),IF(IF(ISBLANK($AY338),$AX338,$AY338)*Paraméterek!$J$112&gt;IF($D$4="Forint",Paraméterek!$J$114,Paraméterek!$K$114),IF($D$4="Forint",Paraméterek!$J$114,Paraméterek!$K$114),IF(ISBLANK($AY338),$AX338,$AY338)*Paraméterek!$J$112))),IF($D$4="Forint",0,2))</f>
        <v>0</v>
      </c>
      <c r="BA338" s="13">
        <f ca="1">$AT338+$AV338-$AW338-IF(ROUNDDOWN(IF(ISBLANK($AY338),$AX338,$AY338),IF($D$4="Forint",0,2))&gt;$AT338+$AV338-$AW338-IF($D$4="Forint",Paraméterek!$J$114,Paraméterek!$K$114),0,ROUNDDOWN(IF(ISBLANK($AY338),$AX338,$AY338),IF($D$4="Forint",0,2))-$AZ338)</f>
        <v>0</v>
      </c>
      <c r="BB338" s="13">
        <f t="shared" ca="1" si="99"/>
        <v>0</v>
      </c>
      <c r="BD338" s="32">
        <v>319</v>
      </c>
      <c r="BE338" s="32">
        <v>27</v>
      </c>
      <c r="BF338" s="32">
        <v>7</v>
      </c>
      <c r="BG338" s="34">
        <f t="shared" ca="1" si="108"/>
        <v>2045</v>
      </c>
      <c r="BH338" s="32" t="str">
        <f ca="1">IF(MOD(MONTH($D$14)+$BD338-1,12)=Paraméterek!$C$288,"Igen","")</f>
        <v/>
      </c>
      <c r="BI338" s="13">
        <f ca="1">IF($BH338="Igen",MIN(ROUNDDOWN((SUMIF($BG$20:$BG$1027,$BG338-1,$K$20:$K$1027)-SUMIF($BG$20:$BG$1027,$BG338-1,$I$20:$I$1027))*Paraméterek!$C$289,IF($D$4="Forint",0,2)),IF($D$4="Forint",Paraméterek!$C$285,Paraméterek!$D$285)),0)</f>
        <v>0</v>
      </c>
      <c r="BJ338" s="13">
        <f t="shared" ca="1" si="100"/>
        <v>0</v>
      </c>
      <c r="BK338" s="13">
        <f t="shared" ca="1" si="109"/>
        <v>0</v>
      </c>
      <c r="BL338" s="33"/>
      <c r="BM338" s="13">
        <f t="shared" ca="1" si="101"/>
        <v>0</v>
      </c>
      <c r="BN338" s="13">
        <f ca="1">ROUNDUP(($BK338+$BM338)*VLOOKUP($BE338,Paraméterek!$P$38:$Q$38,2)/12*IF($D339="Nem",IF($M$13=0,1,$M$13),1),IF($D$4="Forint",0,2))</f>
        <v>0</v>
      </c>
      <c r="BO338" s="13">
        <f t="shared" ca="1" si="102"/>
        <v>0</v>
      </c>
      <c r="BP338" s="13">
        <f ca="1">IF($D339="Nem",$BO338,$BO338-ROUNDUP(SUM($BI$20:$BI338)*120%,IF($D$4="Forint",0,2)))</f>
        <v>0</v>
      </c>
    </row>
    <row r="339" spans="1:68" x14ac:dyDescent="0.2">
      <c r="A339" s="32">
        <v>320</v>
      </c>
      <c r="B339" s="32">
        <v>27</v>
      </c>
      <c r="C339" s="32">
        <v>8</v>
      </c>
      <c r="D339" s="32" t="str">
        <f t="shared" ca="1" si="88"/>
        <v>Nem</v>
      </c>
      <c r="E339" s="13">
        <f t="shared" ca="1" si="89"/>
        <v>0</v>
      </c>
      <c r="F339" s="13"/>
      <c r="G339" s="13"/>
      <c r="H339" s="13"/>
      <c r="I339" s="13">
        <f t="shared" ca="1" si="90"/>
        <v>0</v>
      </c>
      <c r="J339" s="13">
        <f t="shared" ca="1" si="91"/>
        <v>0</v>
      </c>
      <c r="K339" s="13">
        <f t="shared" ca="1" si="92"/>
        <v>0</v>
      </c>
      <c r="L339" s="13" t="e">
        <f ca="1">ROUNDUP(IF($D$2="Egyszeri",$E339,IF($D$2="Havi",SUM($E$20:$E$31),IF(MOD($C339,$M$1)-1=0,SUM($E$20:$E$31),0))/12*$M$1)*VLOOKUP($B339,Paraméterek!$I$28:$P$31,IF($D$2="Egyszeri",8,HLOOKUP(ROUNDUP($M$11+$M$13,0),Paraméterek!$J$26:$O$27,2))),IF($D$4="Forint",0,2))</f>
        <v>#N/A</v>
      </c>
      <c r="M339" s="13">
        <f t="shared" ca="1" si="93"/>
        <v>0</v>
      </c>
      <c r="N339" s="13">
        <f t="shared" ca="1" si="103"/>
        <v>0</v>
      </c>
      <c r="O339" s="13">
        <f ca="1">IF($D339="Igen",IF($W338&gt;=IF($D$4="Forint",Paraméterek!$J$121,Paraméterek!$K$121),0,IF($D$4="Forint",Paraméterek!$J$121,Paraméterek!$K$121)-$W338),0)</f>
        <v>0</v>
      </c>
      <c r="P339" s="13" t="e">
        <f ca="1">ROUNDUP($O339*VLOOKUP($M$4+$B339-1,Paraméterek!$H$58:$I$105,2,0)/Paraméterek!$I$56,IF($D$4="Forint",0,2))</f>
        <v>#N/A</v>
      </c>
      <c r="Q339" s="13">
        <f t="shared" ca="1" si="94"/>
        <v>0</v>
      </c>
      <c r="R339" s="33"/>
      <c r="S339" s="13" t="e">
        <f t="shared" ca="1" si="95"/>
        <v>#N/A</v>
      </c>
      <c r="T339" s="13" t="e">
        <f ca="1">ROUNDUP(($N339-$P339-$Q339+$S339)*VLOOKUP($B339,Paraméterek!$I$38:$K$39,IF($D$2="Egyszeri",3,2))/12*IF($D340="Nem",IF($M$13=0,1,$M$13),1),IF($D$4="Forint",0,2))</f>
        <v>#N/A</v>
      </c>
      <c r="U339" s="13"/>
      <c r="V339" s="13"/>
      <c r="W339" s="13" t="e">
        <f ca="1">$N339-$P339-$Q339+$S339-$T339-IF(ROUNDUP(IF(ISBLANK($V339),$U339*0,$V339)/IF($D$2="Egyszeri",VLOOKUP($B339+IF($C339=12,1,0),Paraméterek!$V$257:$W$262,2),IF($B339=1,1,VLOOKUP($B339+IF($C339=12,1,0),Paraméterek!$I$258:$T$278,HLOOKUP($M$11+1,Paraméterek!$J$256:$T$257,2)))),IF($D$4="Forint",0,2))&gt;$N339-$P339-$Q339+$S339-$T339-IF($D$4="Forint",Paraméterek!$C$216,Paraméterek!$D$216),0,ROUNDUP(IF(ISBLANK($V339),$U339*0,$V339)/IF($D$2="Egyszeri",VLOOKUP($B339+IF($C339=12,1,0),Paraméterek!$V$257:$W$262,2),IF($B339=1,1,VLOOKUP($B339+IF($C339=12,1,0),Paraméterek!$I$258:$T$278,HLOOKUP($M$11+1,Paraméterek!$J$256:$T$257,2)))),IF($D$4="Forint",0,2)))</f>
        <v>#N/A</v>
      </c>
      <c r="X339" s="13" t="e">
        <f ca="1">ROUNDDOWN($W339*IF($D$2="Egyszeri",VLOOKUP($B339+IF($C339=12,1,0),Paraméterek!$V$257:$W$262,2),VLOOKUP($B339+IF($C339=12,1,0),Paraméterek!$I$258:$T$278,HLOOKUP($M$11+1,Paraméterek!$I$256:$T$257,2))),IF($D$4="Forint",0,2))</f>
        <v>#N/A</v>
      </c>
      <c r="Z339" s="32">
        <v>320</v>
      </c>
      <c r="AA339" s="32">
        <v>27</v>
      </c>
      <c r="AB339" s="32">
        <v>8</v>
      </c>
      <c r="AC339" s="13">
        <f t="shared" ca="1" si="104"/>
        <v>0</v>
      </c>
      <c r="AD339" s="33"/>
      <c r="AE339" s="13">
        <f t="shared" ca="1" si="96"/>
        <v>0</v>
      </c>
      <c r="AF339" s="13">
        <f ca="1">ROUNDUP(($AC339+$AE339)*VLOOKUP($AA339,Paraméterek!$P$38:$Q$38,2)/12*IF($D340="Nem",IF($M$13=0,1,$M$13),1),IF($D$4="Forint",0,2))</f>
        <v>0</v>
      </c>
      <c r="AG339" s="13">
        <f ca="1">IF($D$2="Egyszeri",IF($D$7&gt;=IF($D$4="Forint",Paraméterek!$P$223,Paraméterek!$P$224),$D$7-IF($D$4="Forint",Paraméterek!$P$223,Paraméterek!$P$224),0),MIN(IF($AB339=12,AVERAGEIF($E$20:$E339,"&gt;0",$E$20:$E339)*12,0),SUM($E$20:$E$31)))</f>
        <v>0</v>
      </c>
      <c r="AH339" s="13">
        <f>IF($AA339=10,$AG339*IF($AB339=12,IF($AG339&lt;IF($D$4="Forint",Paraméterek!$L$223,Paraméterek!$L$224),0,VLOOKUP($AA339,Paraméterek!$K$226:$M$228,IF($AG339&lt;IF($D$4="Forint",Paraméterek!$M$223,Paraméterek!$M$224),2,3))),0),0)</f>
        <v>0</v>
      </c>
      <c r="AI339" s="13">
        <f ca="1">IF(AND($AA339=$M$11+1,$AB339=$M$12+1),SUMIF($AA$20:$AA$1027,$AA339,$AG$20:$AG$1027)*IF(SUMIF($AA$20:$AA$1027,$AA339,$AG$20:$AG$1027)&lt;IF($D$4="Forint",Paraméterek!$L$223,Paraméterek!$L$224),0,VLOOKUP($AA339,Paraméterek!$K$230:$M$250,IF(SUMIF($AA$20:$AA$1027,$AA339,$AG$20:$AG$1027)&lt;IF($D$4="Forint",Paraméterek!$M$223,Paraméterek!$M$224),2,3))),0)</f>
        <v>0</v>
      </c>
      <c r="AJ339" s="13">
        <f ca="1">IF(AND($AA339&gt;=5,MOD($AA339,5)=0),IF($AB339=12,VLOOKUP($AA339,Paraméterek!$O$225:$P$240,2),0),IF(OR($AA339=3,$AA339=4),IF($AB339=12,VLOOKUP($AA339,Paraméterek!$O$225:$P$240,2,0),0),0))*$AG339</f>
        <v>0</v>
      </c>
      <c r="AK339" s="13">
        <f t="shared" ca="1" si="97"/>
        <v>0</v>
      </c>
      <c r="AL339" s="13">
        <f t="shared" ca="1" si="105"/>
        <v>0</v>
      </c>
      <c r="AM339" s="13">
        <f t="shared" ca="1" si="106"/>
        <v>0</v>
      </c>
      <c r="AO339" s="32">
        <v>320</v>
      </c>
      <c r="AP339" s="32">
        <v>27</v>
      </c>
      <c r="AQ339" s="32">
        <v>8</v>
      </c>
      <c r="AR339" s="13"/>
      <c r="AS339" s="32"/>
      <c r="AT339" s="13">
        <f t="shared" ca="1" si="107"/>
        <v>0</v>
      </c>
      <c r="AU339" s="33"/>
      <c r="AV339" s="13">
        <f t="shared" ca="1" si="98"/>
        <v>0</v>
      </c>
      <c r="AW339" s="13">
        <f ca="1">ROUNDUP(($AT339+$AV339)*VLOOKUP($AP339,Paraméterek!$P$38:$Q$38,2)/12*IF($D340="Nem",IF($M$13=0,1,$M$13),1),IF($D$4="Forint",0,2))</f>
        <v>0</v>
      </c>
      <c r="AX339" s="13"/>
      <c r="AY339" s="13"/>
      <c r="AZ339" s="13">
        <f>ROUNDUP(IF(SUM($AX339:$AY339)=0,0,IF(IF(ISBLANK($AY339),$AX339,$AY339)*Paraméterek!$J$112&lt;IF($D$4="Forint",Paraméterek!$J$113,Paraméterek!$K$113),IF($D$4="Forint",Paraméterek!$J$113,Paraméterek!$K$113),IF(IF(ISBLANK($AY339),$AX339,$AY339)*Paraméterek!$J$112&gt;IF($D$4="Forint",Paraméterek!$J$114,Paraméterek!$K$114),IF($D$4="Forint",Paraméterek!$J$114,Paraméterek!$K$114),IF(ISBLANK($AY339),$AX339,$AY339)*Paraméterek!$J$112))),IF($D$4="Forint",0,2))</f>
        <v>0</v>
      </c>
      <c r="BA339" s="13">
        <f ca="1">$AT339+$AV339-$AW339-IF(ROUNDDOWN(IF(ISBLANK($AY339),$AX339,$AY339),IF($D$4="Forint",0,2))&gt;$AT339+$AV339-$AW339-IF($D$4="Forint",Paraméterek!$J$114,Paraméterek!$K$114),0,ROUNDDOWN(IF(ISBLANK($AY339),$AX339,$AY339),IF($D$4="Forint",0,2))-$AZ339)</f>
        <v>0</v>
      </c>
      <c r="BB339" s="13">
        <f t="shared" ca="1" si="99"/>
        <v>0</v>
      </c>
      <c r="BD339" s="32">
        <v>320</v>
      </c>
      <c r="BE339" s="32">
        <v>27</v>
      </c>
      <c r="BF339" s="32">
        <v>8</v>
      </c>
      <c r="BG339" s="34">
        <f t="shared" ca="1" si="108"/>
        <v>2046</v>
      </c>
      <c r="BH339" s="32" t="str">
        <f ca="1">IF(MOD(MONTH($D$14)+$BD339-1,12)=Paraméterek!$C$288,"Igen","")</f>
        <v/>
      </c>
      <c r="BI339" s="13">
        <f ca="1">IF($BH339="Igen",MIN(ROUNDDOWN((SUMIF($BG$20:$BG$1027,$BG339-1,$K$20:$K$1027)-SUMIF($BG$20:$BG$1027,$BG339-1,$I$20:$I$1027))*Paraméterek!$C$289,IF($D$4="Forint",0,2)),IF($D$4="Forint",Paraméterek!$C$285,Paraméterek!$D$285)),0)</f>
        <v>0</v>
      </c>
      <c r="BJ339" s="13">
        <f t="shared" ca="1" si="100"/>
        <v>0</v>
      </c>
      <c r="BK339" s="13">
        <f t="shared" ca="1" si="109"/>
        <v>0</v>
      </c>
      <c r="BL339" s="33"/>
      <c r="BM339" s="13">
        <f t="shared" ca="1" si="101"/>
        <v>0</v>
      </c>
      <c r="BN339" s="13">
        <f ca="1">ROUNDUP(($BK339+$BM339)*VLOOKUP($BE339,Paraméterek!$P$38:$Q$38,2)/12*IF($D340="Nem",IF($M$13=0,1,$M$13),1),IF($D$4="Forint",0,2))</f>
        <v>0</v>
      </c>
      <c r="BO339" s="13">
        <f t="shared" ca="1" si="102"/>
        <v>0</v>
      </c>
      <c r="BP339" s="13">
        <f ca="1">IF($D340="Nem",$BO339,$BO339-ROUNDUP(SUM($BI$20:$BI339)*120%,IF($D$4="Forint",0,2)))</f>
        <v>0</v>
      </c>
    </row>
    <row r="340" spans="1:68" x14ac:dyDescent="0.2">
      <c r="A340" s="32">
        <v>321</v>
      </c>
      <c r="B340" s="32">
        <v>27</v>
      </c>
      <c r="C340" s="32">
        <v>9</v>
      </c>
      <c r="D340" s="32" t="str">
        <f t="shared" ca="1" si="88"/>
        <v>Nem</v>
      </c>
      <c r="E340" s="13">
        <f t="shared" ca="1" si="89"/>
        <v>0</v>
      </c>
      <c r="F340" s="13"/>
      <c r="G340" s="13"/>
      <c r="H340" s="13"/>
      <c r="I340" s="13">
        <f t="shared" ca="1" si="90"/>
        <v>0</v>
      </c>
      <c r="J340" s="13">
        <f t="shared" ca="1" si="91"/>
        <v>0</v>
      </c>
      <c r="K340" s="13">
        <f t="shared" ca="1" si="92"/>
        <v>0</v>
      </c>
      <c r="L340" s="13" t="e">
        <f ca="1">ROUNDUP(IF($D$2="Egyszeri",$E340,IF($D$2="Havi",SUM($E$20:$E$31),IF(MOD($C340,$M$1)-1=0,SUM($E$20:$E$31),0))/12*$M$1)*VLOOKUP($B340,Paraméterek!$I$28:$P$31,IF($D$2="Egyszeri",8,HLOOKUP(ROUNDUP($M$11+$M$13,0),Paraméterek!$J$26:$O$27,2))),IF($D$4="Forint",0,2))</f>
        <v>#N/A</v>
      </c>
      <c r="M340" s="13">
        <f t="shared" ca="1" si="93"/>
        <v>0</v>
      </c>
      <c r="N340" s="13">
        <f t="shared" ca="1" si="103"/>
        <v>0</v>
      </c>
      <c r="O340" s="13">
        <f ca="1">IF($D340="Igen",IF($W339&gt;=IF($D$4="Forint",Paraméterek!$J$121,Paraméterek!$K$121),0,IF($D$4="Forint",Paraméterek!$J$121,Paraméterek!$K$121)-$W339),0)</f>
        <v>0</v>
      </c>
      <c r="P340" s="13" t="e">
        <f ca="1">ROUNDUP($O340*VLOOKUP($M$4+$B340-1,Paraméterek!$H$58:$I$105,2,0)/Paraméterek!$I$56,IF($D$4="Forint",0,2))</f>
        <v>#N/A</v>
      </c>
      <c r="Q340" s="13">
        <f t="shared" ca="1" si="94"/>
        <v>0</v>
      </c>
      <c r="R340" s="33"/>
      <c r="S340" s="13" t="e">
        <f t="shared" ca="1" si="95"/>
        <v>#N/A</v>
      </c>
      <c r="T340" s="13" t="e">
        <f ca="1">ROUNDUP(($N340-$P340-$Q340+$S340)*VLOOKUP($B340,Paraméterek!$I$38:$K$39,IF($D$2="Egyszeri",3,2))/12*IF($D341="Nem",IF($M$13=0,1,$M$13),1),IF($D$4="Forint",0,2))</f>
        <v>#N/A</v>
      </c>
      <c r="U340" s="13"/>
      <c r="V340" s="13"/>
      <c r="W340" s="13" t="e">
        <f ca="1">$N340-$P340-$Q340+$S340-$T340-IF(ROUNDUP(IF(ISBLANK($V340),$U340*0,$V340)/IF($D$2="Egyszeri",VLOOKUP($B340+IF($C340=12,1,0),Paraméterek!$V$257:$W$262,2),IF($B340=1,1,VLOOKUP($B340+IF($C340=12,1,0),Paraméterek!$I$258:$T$278,HLOOKUP($M$11+1,Paraméterek!$J$256:$T$257,2)))),IF($D$4="Forint",0,2))&gt;$N340-$P340-$Q340+$S340-$T340-IF($D$4="Forint",Paraméterek!$C$216,Paraméterek!$D$216),0,ROUNDUP(IF(ISBLANK($V340),$U340*0,$V340)/IF($D$2="Egyszeri",VLOOKUP($B340+IF($C340=12,1,0),Paraméterek!$V$257:$W$262,2),IF($B340=1,1,VLOOKUP($B340+IF($C340=12,1,0),Paraméterek!$I$258:$T$278,HLOOKUP($M$11+1,Paraméterek!$J$256:$T$257,2)))),IF($D$4="Forint",0,2)))</f>
        <v>#N/A</v>
      </c>
      <c r="X340" s="13" t="e">
        <f ca="1">ROUNDDOWN($W340*IF($D$2="Egyszeri",VLOOKUP($B340+IF($C340=12,1,0),Paraméterek!$V$257:$W$262,2),VLOOKUP($B340+IF($C340=12,1,0),Paraméterek!$I$258:$T$278,HLOOKUP($M$11+1,Paraméterek!$I$256:$T$257,2))),IF($D$4="Forint",0,2))</f>
        <v>#N/A</v>
      </c>
      <c r="Z340" s="32">
        <v>321</v>
      </c>
      <c r="AA340" s="32">
        <v>27</v>
      </c>
      <c r="AB340" s="32">
        <v>9</v>
      </c>
      <c r="AC340" s="13">
        <f t="shared" ca="1" si="104"/>
        <v>0</v>
      </c>
      <c r="AD340" s="33"/>
      <c r="AE340" s="13">
        <f t="shared" ca="1" si="96"/>
        <v>0</v>
      </c>
      <c r="AF340" s="13">
        <f ca="1">ROUNDUP(($AC340+$AE340)*VLOOKUP($AA340,Paraméterek!$P$38:$Q$38,2)/12*IF($D341="Nem",IF($M$13=0,1,$M$13),1),IF($D$4="Forint",0,2))</f>
        <v>0</v>
      </c>
      <c r="AG340" s="13">
        <f ca="1">IF($D$2="Egyszeri",IF($D$7&gt;=IF($D$4="Forint",Paraméterek!$P$223,Paraméterek!$P$224),$D$7-IF($D$4="Forint",Paraméterek!$P$223,Paraméterek!$P$224),0),MIN(IF($AB340=12,AVERAGEIF($E$20:$E340,"&gt;0",$E$20:$E340)*12,0),SUM($E$20:$E$31)))</f>
        <v>0</v>
      </c>
      <c r="AH340" s="13">
        <f>IF($AA340=10,$AG340*IF($AB340=12,IF($AG340&lt;IF($D$4="Forint",Paraméterek!$L$223,Paraméterek!$L$224),0,VLOOKUP($AA340,Paraméterek!$K$226:$M$228,IF($AG340&lt;IF($D$4="Forint",Paraméterek!$M$223,Paraméterek!$M$224),2,3))),0),0)</f>
        <v>0</v>
      </c>
      <c r="AI340" s="13">
        <f ca="1">IF(AND($AA340=$M$11+1,$AB340=$M$12+1),SUMIF($AA$20:$AA$1027,$AA340,$AG$20:$AG$1027)*IF(SUMIF($AA$20:$AA$1027,$AA340,$AG$20:$AG$1027)&lt;IF($D$4="Forint",Paraméterek!$L$223,Paraméterek!$L$224),0,VLOOKUP($AA340,Paraméterek!$K$230:$M$250,IF(SUMIF($AA$20:$AA$1027,$AA340,$AG$20:$AG$1027)&lt;IF($D$4="Forint",Paraméterek!$M$223,Paraméterek!$M$224),2,3))),0)</f>
        <v>0</v>
      </c>
      <c r="AJ340" s="13">
        <f ca="1">IF(AND($AA340&gt;=5,MOD($AA340,5)=0),IF($AB340=12,VLOOKUP($AA340,Paraméterek!$O$225:$P$240,2),0),IF(OR($AA340=3,$AA340=4),IF($AB340=12,VLOOKUP($AA340,Paraméterek!$O$225:$P$240,2,0),0),0))*$AG340</f>
        <v>0</v>
      </c>
      <c r="AK340" s="13">
        <f t="shared" ca="1" si="97"/>
        <v>0</v>
      </c>
      <c r="AL340" s="13">
        <f t="shared" ca="1" si="105"/>
        <v>0</v>
      </c>
      <c r="AM340" s="13">
        <f t="shared" ca="1" si="106"/>
        <v>0</v>
      </c>
      <c r="AO340" s="32">
        <v>321</v>
      </c>
      <c r="AP340" s="32">
        <v>27</v>
      </c>
      <c r="AQ340" s="32">
        <v>9</v>
      </c>
      <c r="AR340" s="13"/>
      <c r="AS340" s="32"/>
      <c r="AT340" s="13">
        <f t="shared" ca="1" si="107"/>
        <v>0</v>
      </c>
      <c r="AU340" s="33"/>
      <c r="AV340" s="13">
        <f t="shared" ca="1" si="98"/>
        <v>0</v>
      </c>
      <c r="AW340" s="13">
        <f ca="1">ROUNDUP(($AT340+$AV340)*VLOOKUP($AP340,Paraméterek!$P$38:$Q$38,2)/12*IF($D341="Nem",IF($M$13=0,1,$M$13),1),IF($D$4="Forint",0,2))</f>
        <v>0</v>
      </c>
      <c r="AX340" s="13"/>
      <c r="AY340" s="13"/>
      <c r="AZ340" s="13">
        <f>ROUNDUP(IF(SUM($AX340:$AY340)=0,0,IF(IF(ISBLANK($AY340),$AX340,$AY340)*Paraméterek!$J$112&lt;IF($D$4="Forint",Paraméterek!$J$113,Paraméterek!$K$113),IF($D$4="Forint",Paraméterek!$J$113,Paraméterek!$K$113),IF(IF(ISBLANK($AY340),$AX340,$AY340)*Paraméterek!$J$112&gt;IF($D$4="Forint",Paraméterek!$J$114,Paraméterek!$K$114),IF($D$4="Forint",Paraméterek!$J$114,Paraméterek!$K$114),IF(ISBLANK($AY340),$AX340,$AY340)*Paraméterek!$J$112))),IF($D$4="Forint",0,2))</f>
        <v>0</v>
      </c>
      <c r="BA340" s="13">
        <f ca="1">$AT340+$AV340-$AW340-IF(ROUNDDOWN(IF(ISBLANK($AY340),$AX340,$AY340),IF($D$4="Forint",0,2))&gt;$AT340+$AV340-$AW340-IF($D$4="Forint",Paraméterek!$J$114,Paraméterek!$K$114),0,ROUNDDOWN(IF(ISBLANK($AY340),$AX340,$AY340),IF($D$4="Forint",0,2))-$AZ340)</f>
        <v>0</v>
      </c>
      <c r="BB340" s="13">
        <f t="shared" ca="1" si="99"/>
        <v>0</v>
      </c>
      <c r="BD340" s="32">
        <v>321</v>
      </c>
      <c r="BE340" s="32">
        <v>27</v>
      </c>
      <c r="BF340" s="32">
        <v>9</v>
      </c>
      <c r="BG340" s="34">
        <f t="shared" ca="1" si="108"/>
        <v>2046</v>
      </c>
      <c r="BH340" s="32" t="str">
        <f ca="1">IF(MOD(MONTH($D$14)+$BD340-1,12)=Paraméterek!$C$288,"Igen","")</f>
        <v/>
      </c>
      <c r="BI340" s="13">
        <f ca="1">IF($BH340="Igen",MIN(ROUNDDOWN((SUMIF($BG$20:$BG$1027,$BG340-1,$K$20:$K$1027)-SUMIF($BG$20:$BG$1027,$BG340-1,$I$20:$I$1027))*Paraméterek!$C$289,IF($D$4="Forint",0,2)),IF($D$4="Forint",Paraméterek!$C$285,Paraméterek!$D$285)),0)</f>
        <v>0</v>
      </c>
      <c r="BJ340" s="13">
        <f t="shared" ca="1" si="100"/>
        <v>0</v>
      </c>
      <c r="BK340" s="13">
        <f t="shared" ca="1" si="109"/>
        <v>0</v>
      </c>
      <c r="BL340" s="33"/>
      <c r="BM340" s="13">
        <f t="shared" ca="1" si="101"/>
        <v>0</v>
      </c>
      <c r="BN340" s="13">
        <f ca="1">ROUNDUP(($BK340+$BM340)*VLOOKUP($BE340,Paraméterek!$P$38:$Q$38,2)/12*IF($D341="Nem",IF($M$13=0,1,$M$13),1),IF($D$4="Forint",0,2))</f>
        <v>0</v>
      </c>
      <c r="BO340" s="13">
        <f t="shared" ca="1" si="102"/>
        <v>0</v>
      </c>
      <c r="BP340" s="13">
        <f ca="1">IF($D341="Nem",$BO340,$BO340-ROUNDUP(SUM($BI$20:$BI340)*120%,IF($D$4="Forint",0,2)))</f>
        <v>0</v>
      </c>
    </row>
    <row r="341" spans="1:68" x14ac:dyDescent="0.2">
      <c r="A341" s="32">
        <v>322</v>
      </c>
      <c r="B341" s="32">
        <v>27</v>
      </c>
      <c r="C341" s="32">
        <v>10</v>
      </c>
      <c r="D341" s="32" t="str">
        <f t="shared" ref="D341:D404" ca="1" si="110">IF($B341&lt;$M$11+1,"Igen",IF($B341&gt;$M$11+1,"Nem",IF($C341&lt;=$M$12+IF($M$13&gt;0,1,0),"Igen","Nem")))</f>
        <v>Nem</v>
      </c>
      <c r="E341" s="13">
        <f t="shared" ref="E341:E404" ca="1" si="111">IF($D341="Igen",IF($D$2="Egyszeri",IF($A341=1,$D$7,0),ROUNDUP(IF($D$2="Havi",$D$7,IF(MOD($C341,$M$1)-1=0,$D$7,0))*(1+$D$6)^($B341-1),IF($D$4="Forint",0,2))),0)</f>
        <v>0</v>
      </c>
      <c r="F341" s="13"/>
      <c r="G341" s="13"/>
      <c r="H341" s="13"/>
      <c r="I341" s="13">
        <f t="shared" ref="I341:I404" ca="1" si="112">ROUNDUP(IF(AND($D$8="Nincs",$D$2&lt;&gt;"Egyszeri"),$E341*10%,0),IF($D$4="Forint",0,2))</f>
        <v>0</v>
      </c>
      <c r="J341" s="13">
        <f t="shared" ref="J341:J404" ca="1" si="113">IF($D341="Igen",IF($D$2="Egyszeri",IF($A341=1,$M$3,0),ROUNDUP(IF($D$2="Havi",$M$3,IF(MOD($C341,$M$1)-1=0,$M$3,0))*(1+$M$2)^($B341-1),IF($D$4="Forint",0,2))),0)</f>
        <v>0</v>
      </c>
      <c r="K341" s="13">
        <f t="shared" ref="K341:K404" ca="1" si="114">IF($D341="Igen",IF(ISBLANK($F341),$E341,$F341)+IF(ISBLANK($H341),$G341,$H341)+$I341+$J341,0)</f>
        <v>0</v>
      </c>
      <c r="L341" s="13" t="e">
        <f ca="1">ROUNDUP(IF($D$2="Egyszeri",$E341,IF($D$2="Havi",SUM($E$20:$E$31),IF(MOD($C341,$M$1)-1=0,SUM($E$20:$E$31),0))/12*$M$1)*VLOOKUP($B341,Paraméterek!$I$28:$P$31,IF($D$2="Egyszeri",8,HLOOKUP(ROUNDUP($M$11+$M$13,0),Paraméterek!$J$26:$O$27,2))),IF($D$4="Forint",0,2))</f>
        <v>#N/A</v>
      </c>
      <c r="M341" s="13">
        <f t="shared" ref="M341:M404" ca="1" si="115">IF($D341="Igen",$E341-$L341+IF(ISBLANK($H341),$G341,$H341),0)</f>
        <v>0</v>
      </c>
      <c r="N341" s="13">
        <f t="shared" ca="1" si="103"/>
        <v>0</v>
      </c>
      <c r="O341" s="13">
        <f ca="1">IF($D341="Igen",IF($W340&gt;=IF($D$4="Forint",Paraméterek!$J$121,Paraméterek!$K$121),0,IF($D$4="Forint",Paraméterek!$J$121,Paraméterek!$K$121)-$W340),0)</f>
        <v>0</v>
      </c>
      <c r="P341" s="13" t="e">
        <f ca="1">ROUNDUP($O341*VLOOKUP($M$4+$B341-1,Paraméterek!$H$58:$I$105,2,0)/Paraméterek!$I$56,IF($D$4="Forint",0,2))</f>
        <v>#N/A</v>
      </c>
      <c r="Q341" s="13">
        <f t="shared" ref="Q341:Q404" ca="1" si="116">IF($D341="Igen",ROUNDUP($M$5*(1+$M$2)^($B341-1),IF($D$4="Forint",0,2)),0)</f>
        <v>0</v>
      </c>
      <c r="R341" s="33"/>
      <c r="S341" s="13" t="e">
        <f t="shared" ref="S341:S404" ca="1" si="117">ROUNDDOWN(($N341-$P341-$Q341)*IF(ISBLANK($R341),$M$6,$R341)*IF($D342="Nem",IF($M$13=0,1,$M$13),1),IF($D$4="Forint",0,2))</f>
        <v>#N/A</v>
      </c>
      <c r="T341" s="13" t="e">
        <f ca="1">ROUNDUP(($N341-$P341-$Q341+$S341)*VLOOKUP($B341,Paraméterek!$I$38:$K$39,IF($D$2="Egyszeri",3,2))/12*IF($D342="Nem",IF($M$13=0,1,$M$13),1),IF($D$4="Forint",0,2))</f>
        <v>#N/A</v>
      </c>
      <c r="U341" s="13"/>
      <c r="V341" s="13"/>
      <c r="W341" s="13" t="e">
        <f ca="1">$N341-$P341-$Q341+$S341-$T341-IF(ROUNDUP(IF(ISBLANK($V341),$U341*0,$V341)/IF($D$2="Egyszeri",VLOOKUP($B341+IF($C341=12,1,0),Paraméterek!$V$257:$W$262,2),IF($B341=1,1,VLOOKUP($B341+IF($C341=12,1,0),Paraméterek!$I$258:$T$278,HLOOKUP($M$11+1,Paraméterek!$J$256:$T$257,2)))),IF($D$4="Forint",0,2))&gt;$N341-$P341-$Q341+$S341-$T341-IF($D$4="Forint",Paraméterek!$C$216,Paraméterek!$D$216),0,ROUNDUP(IF(ISBLANK($V341),$U341*0,$V341)/IF($D$2="Egyszeri",VLOOKUP($B341+IF($C341=12,1,0),Paraméterek!$V$257:$W$262,2),IF($B341=1,1,VLOOKUP($B341+IF($C341=12,1,0),Paraméterek!$I$258:$T$278,HLOOKUP($M$11+1,Paraméterek!$J$256:$T$257,2)))),IF($D$4="Forint",0,2)))</f>
        <v>#N/A</v>
      </c>
      <c r="X341" s="13" t="e">
        <f ca="1">ROUNDDOWN($W341*IF($D$2="Egyszeri",VLOOKUP($B341+IF($C341=12,1,0),Paraméterek!$V$257:$W$262,2),VLOOKUP($B341+IF($C341=12,1,0),Paraméterek!$I$258:$T$278,HLOOKUP($M$11+1,Paraméterek!$I$256:$T$257,2))),IF($D$4="Forint",0,2))</f>
        <v>#N/A</v>
      </c>
      <c r="Z341" s="32">
        <v>322</v>
      </c>
      <c r="AA341" s="32">
        <v>27</v>
      </c>
      <c r="AB341" s="32">
        <v>10</v>
      </c>
      <c r="AC341" s="13">
        <f t="shared" ca="1" si="104"/>
        <v>0</v>
      </c>
      <c r="AD341" s="33"/>
      <c r="AE341" s="13">
        <f t="shared" ref="AE341:AE404" ca="1" si="118">ROUNDDOWN($AC341*IF(ISBLANK($AD341),$M$8,$AD341)*IF($D342="Nem",IF($M$13=0,1,$M$13),1),IF($D$4="Forint",0,2))</f>
        <v>0</v>
      </c>
      <c r="AF341" s="13">
        <f ca="1">ROUNDUP(($AC341+$AE341)*VLOOKUP($AA341,Paraméterek!$P$38:$Q$38,2)/12*IF($D342="Nem",IF($M$13=0,1,$M$13),1),IF($D$4="Forint",0,2))</f>
        <v>0</v>
      </c>
      <c r="AG341" s="13">
        <f ca="1">IF($D$2="Egyszeri",IF($D$7&gt;=IF($D$4="Forint",Paraméterek!$P$223,Paraméterek!$P$224),$D$7-IF($D$4="Forint",Paraméterek!$P$223,Paraméterek!$P$224),0),MIN(IF($AB341=12,AVERAGEIF($E$20:$E341,"&gt;0",$E$20:$E341)*12,0),SUM($E$20:$E$31)))</f>
        <v>0</v>
      </c>
      <c r="AH341" s="13">
        <f>IF($AA341=10,$AG341*IF($AB341=12,IF($AG341&lt;IF($D$4="Forint",Paraméterek!$L$223,Paraméterek!$L$224),0,VLOOKUP($AA341,Paraméterek!$K$226:$M$228,IF($AG341&lt;IF($D$4="Forint",Paraméterek!$M$223,Paraméterek!$M$224),2,3))),0),0)</f>
        <v>0</v>
      </c>
      <c r="AI341" s="13">
        <f ca="1">IF(AND($AA341=$M$11+1,$AB341=$M$12+1),SUMIF($AA$20:$AA$1027,$AA341,$AG$20:$AG$1027)*IF(SUMIF($AA$20:$AA$1027,$AA341,$AG$20:$AG$1027)&lt;IF($D$4="Forint",Paraméterek!$L$223,Paraméterek!$L$224),0,VLOOKUP($AA341,Paraméterek!$K$230:$M$250,IF(SUMIF($AA$20:$AA$1027,$AA341,$AG$20:$AG$1027)&lt;IF($D$4="Forint",Paraméterek!$M$223,Paraméterek!$M$224),2,3))),0)</f>
        <v>0</v>
      </c>
      <c r="AJ341" s="13">
        <f ca="1">IF(AND($AA341&gt;=5,MOD($AA341,5)=0),IF($AB341=12,VLOOKUP($AA341,Paraméterek!$O$225:$P$240,2),0),IF(OR($AA341=3,$AA341=4),IF($AB341=12,VLOOKUP($AA341,Paraméterek!$O$225:$P$240,2,0),0),0))*$AG341</f>
        <v>0</v>
      </c>
      <c r="AK341" s="13">
        <f t="shared" ref="AK341:AK404" ca="1" si="119">ROUNDDOWN(IF($D$2="Egyszeri",$AJ341,$AH341+$AI341),IF($D$4="Forint",0,2))</f>
        <v>0</v>
      </c>
      <c r="AL341" s="13">
        <f t="shared" ca="1" si="105"/>
        <v>0</v>
      </c>
      <c r="AM341" s="13">
        <f t="shared" ca="1" si="106"/>
        <v>0</v>
      </c>
      <c r="AO341" s="32">
        <v>322</v>
      </c>
      <c r="AP341" s="32">
        <v>27</v>
      </c>
      <c r="AQ341" s="32">
        <v>10</v>
      </c>
      <c r="AR341" s="13"/>
      <c r="AS341" s="32"/>
      <c r="AT341" s="13">
        <f t="shared" ca="1" si="107"/>
        <v>0</v>
      </c>
      <c r="AU341" s="33"/>
      <c r="AV341" s="13">
        <f t="shared" ref="AV341:AV404" ca="1" si="120">ROUNDDOWN($AT341*IF(ISBLANK($AU341),$M$7,$AU341)*IF($D342="Nem",IF($M$13=0,1,$M$13),1),IF($D$4="Forint",0,2))</f>
        <v>0</v>
      </c>
      <c r="AW341" s="13">
        <f ca="1">ROUNDUP(($AT341+$AV341)*VLOOKUP($AP341,Paraméterek!$P$38:$Q$38,2)/12*IF($D342="Nem",IF($M$13=0,1,$M$13),1),IF($D$4="Forint",0,2))</f>
        <v>0</v>
      </c>
      <c r="AX341" s="13"/>
      <c r="AY341" s="13"/>
      <c r="AZ341" s="13">
        <f>ROUNDUP(IF(SUM($AX341:$AY341)=0,0,IF(IF(ISBLANK($AY341),$AX341,$AY341)*Paraméterek!$J$112&lt;IF($D$4="Forint",Paraméterek!$J$113,Paraméterek!$K$113),IF($D$4="Forint",Paraméterek!$J$113,Paraméterek!$K$113),IF(IF(ISBLANK($AY341),$AX341,$AY341)*Paraméterek!$J$112&gt;IF($D$4="Forint",Paraméterek!$J$114,Paraméterek!$K$114),IF($D$4="Forint",Paraméterek!$J$114,Paraméterek!$K$114),IF(ISBLANK($AY341),$AX341,$AY341)*Paraméterek!$J$112))),IF($D$4="Forint",0,2))</f>
        <v>0</v>
      </c>
      <c r="BA341" s="13">
        <f ca="1">$AT341+$AV341-$AW341-IF(ROUNDDOWN(IF(ISBLANK($AY341),$AX341,$AY341),IF($D$4="Forint",0,2))&gt;$AT341+$AV341-$AW341-IF($D$4="Forint",Paraméterek!$J$114,Paraméterek!$K$114),0,ROUNDDOWN(IF(ISBLANK($AY341),$AX341,$AY341),IF($D$4="Forint",0,2))-$AZ341)</f>
        <v>0</v>
      </c>
      <c r="BB341" s="13">
        <f t="shared" ref="BB341:BB404" ca="1" si="121">$BA341</f>
        <v>0</v>
      </c>
      <c r="BD341" s="32">
        <v>322</v>
      </c>
      <c r="BE341" s="32">
        <v>27</v>
      </c>
      <c r="BF341" s="32">
        <v>10</v>
      </c>
      <c r="BG341" s="34">
        <f t="shared" ca="1" si="108"/>
        <v>2046</v>
      </c>
      <c r="BH341" s="32" t="str">
        <f ca="1">IF(MOD(MONTH($D$14)+$BD341-1,12)=Paraméterek!$C$288,"Igen","")</f>
        <v/>
      </c>
      <c r="BI341" s="13">
        <f ca="1">IF($BH341="Igen",MIN(ROUNDDOWN((SUMIF($BG$20:$BG$1027,$BG341-1,$K$20:$K$1027)-SUMIF($BG$20:$BG$1027,$BG341-1,$I$20:$I$1027))*Paraméterek!$C$289,IF($D$4="Forint",0,2)),IF($D$4="Forint",Paraméterek!$C$285,Paraméterek!$D$285)),0)</f>
        <v>0</v>
      </c>
      <c r="BJ341" s="13">
        <f t="shared" ref="BJ341:BJ404" ca="1" si="122">IF(AND($D341="Igen",$BH341="Igen"),$BI341,0)</f>
        <v>0</v>
      </c>
      <c r="BK341" s="13">
        <f t="shared" ca="1" si="109"/>
        <v>0</v>
      </c>
      <c r="BL341" s="33"/>
      <c r="BM341" s="13">
        <f t="shared" ref="BM341:BM404" ca="1" si="123">ROUNDDOWN($BK341*IF(ISBLANK($BL341),$M$9,$BL341)*IF($D342="Nem",IF($M$13=0,1,$M$13),1),IF($D$4="Forint",0,2))</f>
        <v>0</v>
      </c>
      <c r="BN341" s="13">
        <f ca="1">ROUNDUP(($BK341+$BM341)*VLOOKUP($BE341,Paraméterek!$P$38:$Q$38,2)/12*IF($D342="Nem",IF($M$13=0,1,$M$13),1),IF($D$4="Forint",0,2))</f>
        <v>0</v>
      </c>
      <c r="BO341" s="13">
        <f t="shared" ref="BO341:BO404" ca="1" si="124">$BK341+$BM341-$BN341</f>
        <v>0</v>
      </c>
      <c r="BP341" s="13">
        <f ca="1">IF($D342="Nem",$BO341,$BO341-ROUNDUP(SUM($BI$20:$BI341)*120%,IF($D$4="Forint",0,2)))</f>
        <v>0</v>
      </c>
    </row>
    <row r="342" spans="1:68" x14ac:dyDescent="0.2">
      <c r="A342" s="32">
        <v>323</v>
      </c>
      <c r="B342" s="32">
        <v>27</v>
      </c>
      <c r="C342" s="32">
        <v>11</v>
      </c>
      <c r="D342" s="32" t="str">
        <f t="shared" ca="1" si="110"/>
        <v>Nem</v>
      </c>
      <c r="E342" s="13">
        <f t="shared" ca="1" si="111"/>
        <v>0</v>
      </c>
      <c r="F342" s="13"/>
      <c r="G342" s="13"/>
      <c r="H342" s="13"/>
      <c r="I342" s="13">
        <f t="shared" ca="1" si="112"/>
        <v>0</v>
      </c>
      <c r="J342" s="13">
        <f t="shared" ca="1" si="113"/>
        <v>0</v>
      </c>
      <c r="K342" s="13">
        <f t="shared" ca="1" si="114"/>
        <v>0</v>
      </c>
      <c r="L342" s="13" t="e">
        <f ca="1">ROUNDUP(IF($D$2="Egyszeri",$E342,IF($D$2="Havi",SUM($E$20:$E$31),IF(MOD($C342,$M$1)-1=0,SUM($E$20:$E$31),0))/12*$M$1)*VLOOKUP($B342,Paraméterek!$I$28:$P$31,IF($D$2="Egyszeri",8,HLOOKUP(ROUNDUP($M$11+$M$13,0),Paraméterek!$J$26:$O$27,2))),IF($D$4="Forint",0,2))</f>
        <v>#N/A</v>
      </c>
      <c r="M342" s="13">
        <f t="shared" ca="1" si="115"/>
        <v>0</v>
      </c>
      <c r="N342" s="13">
        <f t="shared" ref="N342:N405" ca="1" si="125">IF($D342="Igen",$M342+$W341,0)</f>
        <v>0</v>
      </c>
      <c r="O342" s="13">
        <f ca="1">IF($D342="Igen",IF($W341&gt;=IF($D$4="Forint",Paraméterek!$J$121,Paraméterek!$K$121),0,IF($D$4="Forint",Paraméterek!$J$121,Paraméterek!$K$121)-$W341),0)</f>
        <v>0</v>
      </c>
      <c r="P342" s="13" t="e">
        <f ca="1">ROUNDUP($O342*VLOOKUP($M$4+$B342-1,Paraméterek!$H$58:$I$105,2,0)/Paraméterek!$I$56,IF($D$4="Forint",0,2))</f>
        <v>#N/A</v>
      </c>
      <c r="Q342" s="13">
        <f t="shared" ca="1" si="116"/>
        <v>0</v>
      </c>
      <c r="R342" s="33"/>
      <c r="S342" s="13" t="e">
        <f t="shared" ca="1" si="117"/>
        <v>#N/A</v>
      </c>
      <c r="T342" s="13" t="e">
        <f ca="1">ROUNDUP(($N342-$P342-$Q342+$S342)*VLOOKUP($B342,Paraméterek!$I$38:$K$39,IF($D$2="Egyszeri",3,2))/12*IF($D343="Nem",IF($M$13=0,1,$M$13),1),IF($D$4="Forint",0,2))</f>
        <v>#N/A</v>
      </c>
      <c r="U342" s="13"/>
      <c r="V342" s="13"/>
      <c r="W342" s="13" t="e">
        <f ca="1">$N342-$P342-$Q342+$S342-$T342-IF(ROUNDUP(IF(ISBLANK($V342),$U342*0,$V342)/IF($D$2="Egyszeri",VLOOKUP($B342+IF($C342=12,1,0),Paraméterek!$V$257:$W$262,2),IF($B342=1,1,VLOOKUP($B342+IF($C342=12,1,0),Paraméterek!$I$258:$T$278,HLOOKUP($M$11+1,Paraméterek!$J$256:$T$257,2)))),IF($D$4="Forint",0,2))&gt;$N342-$P342-$Q342+$S342-$T342-IF($D$4="Forint",Paraméterek!$C$216,Paraméterek!$D$216),0,ROUNDUP(IF(ISBLANK($V342),$U342*0,$V342)/IF($D$2="Egyszeri",VLOOKUP($B342+IF($C342=12,1,0),Paraméterek!$V$257:$W$262,2),IF($B342=1,1,VLOOKUP($B342+IF($C342=12,1,0),Paraméterek!$I$258:$T$278,HLOOKUP($M$11+1,Paraméterek!$J$256:$T$257,2)))),IF($D$4="Forint",0,2)))</f>
        <v>#N/A</v>
      </c>
      <c r="X342" s="13" t="e">
        <f ca="1">ROUNDDOWN($W342*IF($D$2="Egyszeri",VLOOKUP($B342+IF($C342=12,1,0),Paraméterek!$V$257:$W$262,2),VLOOKUP($B342+IF($C342=12,1,0),Paraméterek!$I$258:$T$278,HLOOKUP($M$11+1,Paraméterek!$I$256:$T$257,2))),IF($D$4="Forint",0,2))</f>
        <v>#N/A</v>
      </c>
      <c r="Z342" s="32">
        <v>323</v>
      </c>
      <c r="AA342" s="32">
        <v>27</v>
      </c>
      <c r="AB342" s="32">
        <v>11</v>
      </c>
      <c r="AC342" s="13">
        <f t="shared" ref="AC342:AC405" ca="1" si="126">IF($D342="Igen",$AL341,0)</f>
        <v>0</v>
      </c>
      <c r="AD342" s="33"/>
      <c r="AE342" s="13">
        <f t="shared" ca="1" si="118"/>
        <v>0</v>
      </c>
      <c r="AF342" s="13">
        <f ca="1">ROUNDUP(($AC342+$AE342)*VLOOKUP($AA342,Paraméterek!$P$38:$Q$38,2)/12*IF($D343="Nem",IF($M$13=0,1,$M$13),1),IF($D$4="Forint",0,2))</f>
        <v>0</v>
      </c>
      <c r="AG342" s="13">
        <f ca="1">IF($D$2="Egyszeri",IF($D$7&gt;=IF($D$4="Forint",Paraméterek!$P$223,Paraméterek!$P$224),$D$7-IF($D$4="Forint",Paraméterek!$P$223,Paraméterek!$P$224),0),MIN(IF($AB342=12,AVERAGEIF($E$20:$E342,"&gt;0",$E$20:$E342)*12,0),SUM($E$20:$E$31)))</f>
        <v>0</v>
      </c>
      <c r="AH342" s="13">
        <f>IF($AA342=10,$AG342*IF($AB342=12,IF($AG342&lt;IF($D$4="Forint",Paraméterek!$L$223,Paraméterek!$L$224),0,VLOOKUP($AA342,Paraméterek!$K$226:$M$228,IF($AG342&lt;IF($D$4="Forint",Paraméterek!$M$223,Paraméterek!$M$224),2,3))),0),0)</f>
        <v>0</v>
      </c>
      <c r="AI342" s="13">
        <f ca="1">IF(AND($AA342=$M$11+1,$AB342=$M$12+1),SUMIF($AA$20:$AA$1027,$AA342,$AG$20:$AG$1027)*IF(SUMIF($AA$20:$AA$1027,$AA342,$AG$20:$AG$1027)&lt;IF($D$4="Forint",Paraméterek!$L$223,Paraméterek!$L$224),0,VLOOKUP($AA342,Paraméterek!$K$230:$M$250,IF(SUMIF($AA$20:$AA$1027,$AA342,$AG$20:$AG$1027)&lt;IF($D$4="Forint",Paraméterek!$M$223,Paraméterek!$M$224),2,3))),0)</f>
        <v>0</v>
      </c>
      <c r="AJ342" s="13">
        <f ca="1">IF(AND($AA342&gt;=5,MOD($AA342,5)=0),IF($AB342=12,VLOOKUP($AA342,Paraméterek!$O$225:$P$240,2),0),IF(OR($AA342=3,$AA342=4),IF($AB342=12,VLOOKUP($AA342,Paraméterek!$O$225:$P$240,2,0),0),0))*$AG342</f>
        <v>0</v>
      </c>
      <c r="AK342" s="13">
        <f t="shared" ca="1" si="119"/>
        <v>0</v>
      </c>
      <c r="AL342" s="13">
        <f t="shared" ref="AL342:AL405" ca="1" si="127">$AC342+$AE342-$AF342+$AK342</f>
        <v>0</v>
      </c>
      <c r="AM342" s="13">
        <f t="shared" ref="AM342:AM405" ca="1" si="128">$AL342</f>
        <v>0</v>
      </c>
      <c r="AO342" s="32">
        <v>323</v>
      </c>
      <c r="AP342" s="32">
        <v>27</v>
      </c>
      <c r="AQ342" s="32">
        <v>11</v>
      </c>
      <c r="AR342" s="13"/>
      <c r="AS342" s="32"/>
      <c r="AT342" s="13">
        <f t="shared" ref="AT342:AT405" ca="1" si="129">IF($D342="Igen",IF(ISBLANK($AS342),$AR342,$AS342)+$BA341,0)</f>
        <v>0</v>
      </c>
      <c r="AU342" s="33"/>
      <c r="AV342" s="13">
        <f t="shared" ca="1" si="120"/>
        <v>0</v>
      </c>
      <c r="AW342" s="13">
        <f ca="1">ROUNDUP(($AT342+$AV342)*VLOOKUP($AP342,Paraméterek!$P$38:$Q$38,2)/12*IF($D343="Nem",IF($M$13=0,1,$M$13),1),IF($D$4="Forint",0,2))</f>
        <v>0</v>
      </c>
      <c r="AX342" s="13"/>
      <c r="AY342" s="13"/>
      <c r="AZ342" s="13">
        <f>ROUNDUP(IF(SUM($AX342:$AY342)=0,0,IF(IF(ISBLANK($AY342),$AX342,$AY342)*Paraméterek!$J$112&lt;IF($D$4="Forint",Paraméterek!$J$113,Paraméterek!$K$113),IF($D$4="Forint",Paraméterek!$J$113,Paraméterek!$K$113),IF(IF(ISBLANK($AY342),$AX342,$AY342)*Paraméterek!$J$112&gt;IF($D$4="Forint",Paraméterek!$J$114,Paraméterek!$K$114),IF($D$4="Forint",Paraméterek!$J$114,Paraméterek!$K$114),IF(ISBLANK($AY342),$AX342,$AY342)*Paraméterek!$J$112))),IF($D$4="Forint",0,2))</f>
        <v>0</v>
      </c>
      <c r="BA342" s="13">
        <f ca="1">$AT342+$AV342-$AW342-IF(ROUNDDOWN(IF(ISBLANK($AY342),$AX342,$AY342),IF($D$4="Forint",0,2))&gt;$AT342+$AV342-$AW342-IF($D$4="Forint",Paraméterek!$J$114,Paraméterek!$K$114),0,ROUNDDOWN(IF(ISBLANK($AY342),$AX342,$AY342),IF($D$4="Forint",0,2))-$AZ342)</f>
        <v>0</v>
      </c>
      <c r="BB342" s="13">
        <f t="shared" ca="1" si="121"/>
        <v>0</v>
      </c>
      <c r="BD342" s="32">
        <v>323</v>
      </c>
      <c r="BE342" s="32">
        <v>27</v>
      </c>
      <c r="BF342" s="32">
        <v>11</v>
      </c>
      <c r="BG342" s="34">
        <f t="shared" ref="BG342:BG405" ca="1" si="130">$BG341+IF(MOD(MONTH($D$14)+$BD342-1,12)=1,1,0)</f>
        <v>2046</v>
      </c>
      <c r="BH342" s="32" t="str">
        <f ca="1">IF(MOD(MONTH($D$14)+$BD342-1,12)=Paraméterek!$C$288,"Igen","")</f>
        <v/>
      </c>
      <c r="BI342" s="13">
        <f ca="1">IF($BH342="Igen",MIN(ROUNDDOWN((SUMIF($BG$20:$BG$1027,$BG342-1,$K$20:$K$1027)-SUMIF($BG$20:$BG$1027,$BG342-1,$I$20:$I$1027))*Paraméterek!$C$289,IF($D$4="Forint",0,2)),IF($D$4="Forint",Paraméterek!$C$285,Paraméterek!$D$285)),0)</f>
        <v>0</v>
      </c>
      <c r="BJ342" s="13">
        <f t="shared" ca="1" si="122"/>
        <v>0</v>
      </c>
      <c r="BK342" s="13">
        <f t="shared" ref="BK342:BK405" ca="1" si="131">$BJ342+IF($D342="Igen",$BO341,0)</f>
        <v>0</v>
      </c>
      <c r="BL342" s="33"/>
      <c r="BM342" s="13">
        <f t="shared" ca="1" si="123"/>
        <v>0</v>
      </c>
      <c r="BN342" s="13">
        <f ca="1">ROUNDUP(($BK342+$BM342)*VLOOKUP($BE342,Paraméterek!$P$38:$Q$38,2)/12*IF($D343="Nem",IF($M$13=0,1,$M$13),1),IF($D$4="Forint",0,2))</f>
        <v>0</v>
      </c>
      <c r="BO342" s="13">
        <f t="shared" ca="1" si="124"/>
        <v>0</v>
      </c>
      <c r="BP342" s="13">
        <f ca="1">IF($D343="Nem",$BO342,$BO342-ROUNDUP(SUM($BI$20:$BI342)*120%,IF($D$4="Forint",0,2)))</f>
        <v>0</v>
      </c>
    </row>
    <row r="343" spans="1:68" x14ac:dyDescent="0.2">
      <c r="A343" s="32">
        <v>324</v>
      </c>
      <c r="B343" s="32">
        <v>27</v>
      </c>
      <c r="C343" s="32">
        <v>12</v>
      </c>
      <c r="D343" s="32" t="str">
        <f t="shared" ca="1" si="110"/>
        <v>Nem</v>
      </c>
      <c r="E343" s="13">
        <f t="shared" ca="1" si="111"/>
        <v>0</v>
      </c>
      <c r="F343" s="13"/>
      <c r="G343" s="13"/>
      <c r="H343" s="13"/>
      <c r="I343" s="13">
        <f t="shared" ca="1" si="112"/>
        <v>0</v>
      </c>
      <c r="J343" s="13">
        <f t="shared" ca="1" si="113"/>
        <v>0</v>
      </c>
      <c r="K343" s="13">
        <f t="shared" ca="1" si="114"/>
        <v>0</v>
      </c>
      <c r="L343" s="13" t="e">
        <f ca="1">ROUNDUP(IF($D$2="Egyszeri",$E343,IF($D$2="Havi",SUM($E$20:$E$31),IF(MOD($C343,$M$1)-1=0,SUM($E$20:$E$31),0))/12*$M$1)*VLOOKUP($B343,Paraméterek!$I$28:$P$31,IF($D$2="Egyszeri",8,HLOOKUP(ROUNDUP($M$11+$M$13,0),Paraméterek!$J$26:$O$27,2))),IF($D$4="Forint",0,2))</f>
        <v>#N/A</v>
      </c>
      <c r="M343" s="13">
        <f t="shared" ca="1" si="115"/>
        <v>0</v>
      </c>
      <c r="N343" s="13">
        <f t="shared" ca="1" si="125"/>
        <v>0</v>
      </c>
      <c r="O343" s="13">
        <f ca="1">IF($D343="Igen",IF($W342&gt;=IF($D$4="Forint",Paraméterek!$J$121,Paraméterek!$K$121),0,IF($D$4="Forint",Paraméterek!$J$121,Paraméterek!$K$121)-$W342),0)</f>
        <v>0</v>
      </c>
      <c r="P343" s="13" t="e">
        <f ca="1">ROUNDUP($O343*VLOOKUP($M$4+$B343-1,Paraméterek!$H$58:$I$105,2,0)/Paraméterek!$I$56,IF($D$4="Forint",0,2))</f>
        <v>#N/A</v>
      </c>
      <c r="Q343" s="13">
        <f t="shared" ca="1" si="116"/>
        <v>0</v>
      </c>
      <c r="R343" s="33"/>
      <c r="S343" s="13" t="e">
        <f t="shared" ca="1" si="117"/>
        <v>#N/A</v>
      </c>
      <c r="T343" s="13" t="e">
        <f ca="1">ROUNDUP(($N343-$P343-$Q343+$S343)*VLOOKUP($B343,Paraméterek!$I$38:$K$39,IF($D$2="Egyszeri",3,2))/12*IF($D344="Nem",IF($M$13=0,1,$M$13),1),IF($D$4="Forint",0,2))</f>
        <v>#N/A</v>
      </c>
      <c r="U343" s="13">
        <f>Tranzakciók!$F$58</f>
        <v>0</v>
      </c>
      <c r="V343" s="13"/>
      <c r="W343" s="13" t="e">
        <f ca="1">$N343-$P343-$Q343+$S343-$T343-IF(ROUNDUP(IF(ISBLANK($V343),$U343*0,$V343)/IF($D$2="Egyszeri",VLOOKUP($B343+IF($C343=12,1,0),Paraméterek!$V$257:$W$262,2),IF($B343=1,1,VLOOKUP($B343+IF($C343=12,1,0),Paraméterek!$I$258:$T$278,HLOOKUP($M$11+1,Paraméterek!$J$256:$T$257,2)))),IF($D$4="Forint",0,2))&gt;$N343-$P343-$Q343+$S343-$T343-IF($D$4="Forint",Paraméterek!$C$216,Paraméterek!$D$216),0,ROUNDUP(IF(ISBLANK($V343),$U343*0,$V343)/IF($D$2="Egyszeri",VLOOKUP($B343+IF($C343=12,1,0),Paraméterek!$V$257:$W$262,2),IF($B343=1,1,VLOOKUP($B343+IF($C343=12,1,0),Paraméterek!$I$258:$T$278,HLOOKUP($M$11+1,Paraméterek!$J$256:$T$257,2)))),IF($D$4="Forint",0,2)))</f>
        <v>#N/A</v>
      </c>
      <c r="X343" s="13" t="e">
        <f ca="1">ROUNDDOWN($W343*IF($D$2="Egyszeri",VLOOKUP($B343+IF($C343=12,1,0),Paraméterek!$V$257:$W$262,2),VLOOKUP($B343+IF($C343=12,1,0),Paraméterek!$I$258:$T$278,HLOOKUP($M$11+1,Paraméterek!$I$256:$T$257,2))),IF($D$4="Forint",0,2))</f>
        <v>#N/A</v>
      </c>
      <c r="Z343" s="32">
        <v>324</v>
      </c>
      <c r="AA343" s="32">
        <v>27</v>
      </c>
      <c r="AB343" s="32">
        <v>12</v>
      </c>
      <c r="AC343" s="13">
        <f t="shared" ca="1" si="126"/>
        <v>0</v>
      </c>
      <c r="AD343" s="33"/>
      <c r="AE343" s="13">
        <f t="shared" ca="1" si="118"/>
        <v>0</v>
      </c>
      <c r="AF343" s="13">
        <f ca="1">ROUNDUP(($AC343+$AE343)*VLOOKUP($AA343,Paraméterek!$P$38:$Q$38,2)/12*IF($D344="Nem",IF($M$13=0,1,$M$13),1),IF($D$4="Forint",0,2))</f>
        <v>0</v>
      </c>
      <c r="AG343" s="13" t="e">
        <f ca="1">IF($D$2="Egyszeri",IF($D$7&gt;=IF($D$4="Forint",Paraméterek!$P$223,Paraméterek!$P$224),$D$7-IF($D$4="Forint",Paraméterek!$P$223,Paraméterek!$P$224),0),MIN(IF($AB343=12,AVERAGEIF($E$20:$E343,"&gt;0",$E$20:$E343)*12,0),SUM($E$20:$E$31)))</f>
        <v>#DIV/0!</v>
      </c>
      <c r="AH343" s="13">
        <f>IF($AA343=10,$AG343*IF($AB343=12,IF($AG343&lt;IF($D$4="Forint",Paraméterek!$L$223,Paraméterek!$L$224),0,VLOOKUP($AA343,Paraméterek!$K$226:$M$228,IF($AG343&lt;IF($D$4="Forint",Paraméterek!$M$223,Paraméterek!$M$224),2,3))),0),0)</f>
        <v>0</v>
      </c>
      <c r="AI343" s="13">
        <f ca="1">IF(AND($AA343=$M$11+1,$AB343=$M$12+1),SUMIF($AA$20:$AA$1027,$AA343,$AG$20:$AG$1027)*IF(SUMIF($AA$20:$AA$1027,$AA343,$AG$20:$AG$1027)&lt;IF($D$4="Forint",Paraméterek!$L$223,Paraméterek!$L$224),0,VLOOKUP($AA343,Paraméterek!$K$230:$M$250,IF(SUMIF($AA$20:$AA$1027,$AA343,$AG$20:$AG$1027)&lt;IF($D$4="Forint",Paraméterek!$M$223,Paraméterek!$M$224),2,3))),0)</f>
        <v>0</v>
      </c>
      <c r="AJ343" s="13" t="e">
        <f ca="1">IF(AND($AA343&gt;=5,MOD($AA343,5)=0),IF($AB343=12,VLOOKUP($AA343,Paraméterek!$O$225:$P$240,2),0),IF(OR($AA343=3,$AA343=4),IF($AB343=12,VLOOKUP($AA343,Paraméterek!$O$225:$P$240,2,0),0),0))*$AG343</f>
        <v>#DIV/0!</v>
      </c>
      <c r="AK343" s="13">
        <f t="shared" ca="1" si="119"/>
        <v>0</v>
      </c>
      <c r="AL343" s="13">
        <f t="shared" ca="1" si="127"/>
        <v>0</v>
      </c>
      <c r="AM343" s="13">
        <f t="shared" ca="1" si="128"/>
        <v>0</v>
      </c>
      <c r="AO343" s="32">
        <v>324</v>
      </c>
      <c r="AP343" s="32">
        <v>27</v>
      </c>
      <c r="AQ343" s="32">
        <v>12</v>
      </c>
      <c r="AR343" s="13"/>
      <c r="AS343" s="32"/>
      <c r="AT343" s="13">
        <f t="shared" ca="1" si="129"/>
        <v>0</v>
      </c>
      <c r="AU343" s="33"/>
      <c r="AV343" s="13">
        <f t="shared" ca="1" si="120"/>
        <v>0</v>
      </c>
      <c r="AW343" s="13">
        <f ca="1">ROUNDUP(($AT343+$AV343)*VLOOKUP($AP343,Paraméterek!$P$38:$Q$38,2)/12*IF($D344="Nem",IF($M$13=0,1,$M$13),1),IF($D$4="Forint",0,2))</f>
        <v>0</v>
      </c>
      <c r="AX343" s="13">
        <f>Tranzakciók!$M$58</f>
        <v>0</v>
      </c>
      <c r="AY343" s="13"/>
      <c r="AZ343" s="13">
        <f>ROUNDUP(IF(SUM($AX343:$AY343)=0,0,IF(IF(ISBLANK($AY343),$AX343,$AY343)*Paraméterek!$J$112&lt;IF($D$4="Forint",Paraméterek!$J$113,Paraméterek!$K$113),IF($D$4="Forint",Paraméterek!$J$113,Paraméterek!$K$113),IF(IF(ISBLANK($AY343),$AX343,$AY343)*Paraméterek!$J$112&gt;IF($D$4="Forint",Paraméterek!$J$114,Paraméterek!$K$114),IF($D$4="Forint",Paraméterek!$J$114,Paraméterek!$K$114),IF(ISBLANK($AY343),$AX343,$AY343)*Paraméterek!$J$112))),IF($D$4="Forint",0,2))</f>
        <v>0</v>
      </c>
      <c r="BA343" s="13">
        <f ca="1">$AT343+$AV343-$AW343-IF(ROUNDDOWN(IF(ISBLANK($AY343),$AX343,$AY343),IF($D$4="Forint",0,2))&gt;$AT343+$AV343-$AW343-IF($D$4="Forint",Paraméterek!$J$114,Paraméterek!$K$114),0,ROUNDDOWN(IF(ISBLANK($AY343),$AX343,$AY343),IF($D$4="Forint",0,2))-$AZ343)</f>
        <v>0</v>
      </c>
      <c r="BB343" s="13">
        <f t="shared" ca="1" si="121"/>
        <v>0</v>
      </c>
      <c r="BD343" s="32">
        <v>324</v>
      </c>
      <c r="BE343" s="32">
        <v>27</v>
      </c>
      <c r="BF343" s="32">
        <v>12</v>
      </c>
      <c r="BG343" s="34">
        <f t="shared" ca="1" si="130"/>
        <v>2046</v>
      </c>
      <c r="BH343" s="32" t="str">
        <f ca="1">IF(MOD(MONTH($D$14)+$BD343-1,12)=Paraméterek!$C$288,"Igen","")</f>
        <v/>
      </c>
      <c r="BI343" s="13">
        <f ca="1">IF($BH343="Igen",MIN(ROUNDDOWN((SUMIF($BG$20:$BG$1027,$BG343-1,$K$20:$K$1027)-SUMIF($BG$20:$BG$1027,$BG343-1,$I$20:$I$1027))*Paraméterek!$C$289,IF($D$4="Forint",0,2)),IF($D$4="Forint",Paraméterek!$C$285,Paraméterek!$D$285)),0)</f>
        <v>0</v>
      </c>
      <c r="BJ343" s="13">
        <f t="shared" ca="1" si="122"/>
        <v>0</v>
      </c>
      <c r="BK343" s="13">
        <f t="shared" ca="1" si="131"/>
        <v>0</v>
      </c>
      <c r="BL343" s="33"/>
      <c r="BM343" s="13">
        <f t="shared" ca="1" si="123"/>
        <v>0</v>
      </c>
      <c r="BN343" s="13">
        <f ca="1">ROUNDUP(($BK343+$BM343)*VLOOKUP($BE343,Paraméterek!$P$38:$Q$38,2)/12*IF($D344="Nem",IF($M$13=0,1,$M$13),1),IF($D$4="Forint",0,2))</f>
        <v>0</v>
      </c>
      <c r="BO343" s="13">
        <f t="shared" ca="1" si="124"/>
        <v>0</v>
      </c>
      <c r="BP343" s="13">
        <f ca="1">IF($D344="Nem",$BO343,$BO343-ROUNDUP(SUM($BI$20:$BI343)*120%,IF($D$4="Forint",0,2)))</f>
        <v>0</v>
      </c>
    </row>
    <row r="344" spans="1:68" x14ac:dyDescent="0.2">
      <c r="A344" s="32">
        <v>325</v>
      </c>
      <c r="B344" s="32">
        <v>28</v>
      </c>
      <c r="C344" s="32">
        <v>1</v>
      </c>
      <c r="D344" s="32" t="str">
        <f t="shared" ca="1" si="110"/>
        <v>Nem</v>
      </c>
      <c r="E344" s="13">
        <f t="shared" ca="1" si="111"/>
        <v>0</v>
      </c>
      <c r="F344" s="13"/>
      <c r="G344" s="13">
        <f>Tranzakciók!$D$59</f>
        <v>0</v>
      </c>
      <c r="H344" s="13"/>
      <c r="I344" s="13">
        <f t="shared" ca="1" si="112"/>
        <v>0</v>
      </c>
      <c r="J344" s="13">
        <f t="shared" ca="1" si="113"/>
        <v>0</v>
      </c>
      <c r="K344" s="13">
        <f t="shared" ca="1" si="114"/>
        <v>0</v>
      </c>
      <c r="L344" s="13" t="e">
        <f ca="1">ROUNDUP(IF($D$2="Egyszeri",$E344,IF($D$2="Havi",SUM($E$20:$E$31),IF(MOD($C344,$M$1)-1=0,SUM($E$20:$E$31),0))/12*$M$1)*VLOOKUP($B344,Paraméterek!$I$28:$P$31,IF($D$2="Egyszeri",8,HLOOKUP(ROUNDUP($M$11+$M$13,0),Paraméterek!$J$26:$O$27,2))),IF($D$4="Forint",0,2))</f>
        <v>#N/A</v>
      </c>
      <c r="M344" s="13">
        <f t="shared" ca="1" si="115"/>
        <v>0</v>
      </c>
      <c r="N344" s="13">
        <f t="shared" ca="1" si="125"/>
        <v>0</v>
      </c>
      <c r="O344" s="13">
        <f ca="1">IF($D344="Igen",IF($W343&gt;=IF($D$4="Forint",Paraméterek!$J$121,Paraméterek!$K$121),0,IF($D$4="Forint",Paraméterek!$J$121,Paraméterek!$K$121)-$W343),0)</f>
        <v>0</v>
      </c>
      <c r="P344" s="13" t="e">
        <f ca="1">ROUNDUP($O344*VLOOKUP($M$4+$B344-1,Paraméterek!$H$58:$I$105,2,0)/Paraméterek!$I$56,IF($D$4="Forint",0,2))</f>
        <v>#N/A</v>
      </c>
      <c r="Q344" s="13">
        <f t="shared" ca="1" si="116"/>
        <v>0</v>
      </c>
      <c r="R344" s="33"/>
      <c r="S344" s="13" t="e">
        <f t="shared" ca="1" si="117"/>
        <v>#N/A</v>
      </c>
      <c r="T344" s="13" t="e">
        <f ca="1">ROUNDUP(($N344-$P344-$Q344+$S344)*VLOOKUP($B344,Paraméterek!$I$38:$K$39,IF($D$2="Egyszeri",3,2))/12*IF($D345="Nem",IF($M$13=0,1,$M$13),1),IF($D$4="Forint",0,2))</f>
        <v>#N/A</v>
      </c>
      <c r="U344" s="13"/>
      <c r="V344" s="13"/>
      <c r="W344" s="13" t="e">
        <f ca="1">$N344-$P344-$Q344+$S344-$T344-IF(ROUNDUP(IF(ISBLANK($V344),$U344*0,$V344)/IF($D$2="Egyszeri",VLOOKUP($B344+IF($C344=12,1,0),Paraméterek!$V$257:$W$262,2),IF($B344=1,1,VLOOKUP($B344+IF($C344=12,1,0),Paraméterek!$I$258:$T$278,HLOOKUP($M$11+1,Paraméterek!$J$256:$T$257,2)))),IF($D$4="Forint",0,2))&gt;$N344-$P344-$Q344+$S344-$T344-IF($D$4="Forint",Paraméterek!$C$216,Paraméterek!$D$216),0,ROUNDUP(IF(ISBLANK($V344),$U344*0,$V344)/IF($D$2="Egyszeri",VLOOKUP($B344+IF($C344=12,1,0),Paraméterek!$V$257:$W$262,2),IF($B344=1,1,VLOOKUP($B344+IF($C344=12,1,0),Paraméterek!$I$258:$T$278,HLOOKUP($M$11+1,Paraméterek!$J$256:$T$257,2)))),IF($D$4="Forint",0,2)))</f>
        <v>#N/A</v>
      </c>
      <c r="X344" s="13" t="e">
        <f ca="1">ROUNDDOWN($W344*IF($D$2="Egyszeri",VLOOKUP($B344+IF($C344=12,1,0),Paraméterek!$V$257:$W$262,2),VLOOKUP($B344+IF($C344=12,1,0),Paraméterek!$I$258:$T$278,HLOOKUP($M$11+1,Paraméterek!$I$256:$T$257,2))),IF($D$4="Forint",0,2))</f>
        <v>#N/A</v>
      </c>
      <c r="Z344" s="32">
        <v>325</v>
      </c>
      <c r="AA344" s="32">
        <v>28</v>
      </c>
      <c r="AB344" s="32">
        <v>1</v>
      </c>
      <c r="AC344" s="13">
        <f t="shared" ca="1" si="126"/>
        <v>0</v>
      </c>
      <c r="AD344" s="33"/>
      <c r="AE344" s="13">
        <f t="shared" ca="1" si="118"/>
        <v>0</v>
      </c>
      <c r="AF344" s="13">
        <f ca="1">ROUNDUP(($AC344+$AE344)*VLOOKUP($AA344,Paraméterek!$P$38:$Q$38,2)/12*IF($D345="Nem",IF($M$13=0,1,$M$13),1),IF($D$4="Forint",0,2))</f>
        <v>0</v>
      </c>
      <c r="AG344" s="13">
        <f ca="1">IF($D$2="Egyszeri",IF($D$7&gt;=IF($D$4="Forint",Paraméterek!$P$223,Paraméterek!$P$224),$D$7-IF($D$4="Forint",Paraméterek!$P$223,Paraméterek!$P$224),0),MIN(IF($AB344=12,AVERAGEIF($E$20:$E344,"&gt;0",$E$20:$E344)*12,0),SUM($E$20:$E$31)))</f>
        <v>0</v>
      </c>
      <c r="AH344" s="13">
        <f>IF($AA344=10,$AG344*IF($AB344=12,IF($AG344&lt;IF($D$4="Forint",Paraméterek!$L$223,Paraméterek!$L$224),0,VLOOKUP($AA344,Paraméterek!$K$226:$M$228,IF($AG344&lt;IF($D$4="Forint",Paraméterek!$M$223,Paraméterek!$M$224),2,3))),0),0)</f>
        <v>0</v>
      </c>
      <c r="AI344" s="13">
        <f ca="1">IF(AND($AA344=$M$11+1,$AB344=$M$12+1),SUMIF($AA$20:$AA$1027,$AA344,$AG$20:$AG$1027)*IF(SUMIF($AA$20:$AA$1027,$AA344,$AG$20:$AG$1027)&lt;IF($D$4="Forint",Paraméterek!$L$223,Paraméterek!$L$224),0,VLOOKUP($AA344,Paraméterek!$K$230:$M$250,IF(SUMIF($AA$20:$AA$1027,$AA344,$AG$20:$AG$1027)&lt;IF($D$4="Forint",Paraméterek!$M$223,Paraméterek!$M$224),2,3))),0)</f>
        <v>0</v>
      </c>
      <c r="AJ344" s="13">
        <f ca="1">IF(AND($AA344&gt;=5,MOD($AA344,5)=0),IF($AB344=12,VLOOKUP($AA344,Paraméterek!$O$225:$P$240,2),0),IF(OR($AA344=3,$AA344=4),IF($AB344=12,VLOOKUP($AA344,Paraméterek!$O$225:$P$240,2,0),0),0))*$AG344</f>
        <v>0</v>
      </c>
      <c r="AK344" s="13">
        <f t="shared" ca="1" si="119"/>
        <v>0</v>
      </c>
      <c r="AL344" s="13">
        <f t="shared" ca="1" si="127"/>
        <v>0</v>
      </c>
      <c r="AM344" s="13">
        <f t="shared" ca="1" si="128"/>
        <v>0</v>
      </c>
      <c r="AO344" s="32">
        <v>325</v>
      </c>
      <c r="AP344" s="32">
        <v>28</v>
      </c>
      <c r="AQ344" s="32">
        <v>1</v>
      </c>
      <c r="AR344" s="13">
        <f>Tranzakciók!$K$59</f>
        <v>0</v>
      </c>
      <c r="AS344" s="32"/>
      <c r="AT344" s="13">
        <f t="shared" ca="1" si="129"/>
        <v>0</v>
      </c>
      <c r="AU344" s="33"/>
      <c r="AV344" s="13">
        <f t="shared" ca="1" si="120"/>
        <v>0</v>
      </c>
      <c r="AW344" s="13">
        <f ca="1">ROUNDUP(($AT344+$AV344)*VLOOKUP($AP344,Paraméterek!$P$38:$Q$38,2)/12*IF($D345="Nem",IF($M$13=0,1,$M$13),1),IF($D$4="Forint",0,2))</f>
        <v>0</v>
      </c>
      <c r="AX344" s="13"/>
      <c r="AY344" s="13"/>
      <c r="AZ344" s="13">
        <f>ROUNDUP(IF(SUM($AX344:$AY344)=0,0,IF(IF(ISBLANK($AY344),$AX344,$AY344)*Paraméterek!$J$112&lt;IF($D$4="Forint",Paraméterek!$J$113,Paraméterek!$K$113),IF($D$4="Forint",Paraméterek!$J$113,Paraméterek!$K$113),IF(IF(ISBLANK($AY344),$AX344,$AY344)*Paraméterek!$J$112&gt;IF($D$4="Forint",Paraméterek!$J$114,Paraméterek!$K$114),IF($D$4="Forint",Paraméterek!$J$114,Paraméterek!$K$114),IF(ISBLANK($AY344),$AX344,$AY344)*Paraméterek!$J$112))),IF($D$4="Forint",0,2))</f>
        <v>0</v>
      </c>
      <c r="BA344" s="13">
        <f ca="1">$AT344+$AV344-$AW344-IF(ROUNDDOWN(IF(ISBLANK($AY344),$AX344,$AY344),IF($D$4="Forint",0,2))&gt;$AT344+$AV344-$AW344-IF($D$4="Forint",Paraméterek!$J$114,Paraméterek!$K$114),0,ROUNDDOWN(IF(ISBLANK($AY344),$AX344,$AY344),IF($D$4="Forint",0,2))-$AZ344)</f>
        <v>0</v>
      </c>
      <c r="BB344" s="13">
        <f t="shared" ca="1" si="121"/>
        <v>0</v>
      </c>
      <c r="BD344" s="32">
        <v>325</v>
      </c>
      <c r="BE344" s="32">
        <v>28</v>
      </c>
      <c r="BF344" s="32">
        <v>1</v>
      </c>
      <c r="BG344" s="34">
        <f t="shared" ca="1" si="130"/>
        <v>2046</v>
      </c>
      <c r="BH344" s="32" t="str">
        <f ca="1">IF(MOD(MONTH($D$14)+$BD344-1,12)=Paraméterek!$C$288,"Igen","")</f>
        <v/>
      </c>
      <c r="BI344" s="13">
        <f ca="1">IF($BH344="Igen",MIN(ROUNDDOWN((SUMIF($BG$20:$BG$1027,$BG344-1,$K$20:$K$1027)-SUMIF($BG$20:$BG$1027,$BG344-1,$I$20:$I$1027))*Paraméterek!$C$289,IF($D$4="Forint",0,2)),IF($D$4="Forint",Paraméterek!$C$285,Paraméterek!$D$285)),0)</f>
        <v>0</v>
      </c>
      <c r="BJ344" s="13">
        <f t="shared" ca="1" si="122"/>
        <v>0</v>
      </c>
      <c r="BK344" s="13">
        <f t="shared" ca="1" si="131"/>
        <v>0</v>
      </c>
      <c r="BL344" s="33"/>
      <c r="BM344" s="13">
        <f t="shared" ca="1" si="123"/>
        <v>0</v>
      </c>
      <c r="BN344" s="13">
        <f ca="1">ROUNDUP(($BK344+$BM344)*VLOOKUP($BE344,Paraméterek!$P$38:$Q$38,2)/12*IF($D345="Nem",IF($M$13=0,1,$M$13),1),IF($D$4="Forint",0,2))</f>
        <v>0</v>
      </c>
      <c r="BO344" s="13">
        <f t="shared" ca="1" si="124"/>
        <v>0</v>
      </c>
      <c r="BP344" s="13">
        <f ca="1">IF($D345="Nem",$BO344,$BO344-ROUNDUP(SUM($BI$20:$BI344)*120%,IF($D$4="Forint",0,2)))</f>
        <v>0</v>
      </c>
    </row>
    <row r="345" spans="1:68" x14ac:dyDescent="0.2">
      <c r="A345" s="32">
        <v>326</v>
      </c>
      <c r="B345" s="32">
        <v>28</v>
      </c>
      <c r="C345" s="32">
        <v>2</v>
      </c>
      <c r="D345" s="32" t="str">
        <f t="shared" ca="1" si="110"/>
        <v>Nem</v>
      </c>
      <c r="E345" s="13">
        <f t="shared" ca="1" si="111"/>
        <v>0</v>
      </c>
      <c r="F345" s="13"/>
      <c r="G345" s="13"/>
      <c r="H345" s="13"/>
      <c r="I345" s="13">
        <f t="shared" ca="1" si="112"/>
        <v>0</v>
      </c>
      <c r="J345" s="13">
        <f t="shared" ca="1" si="113"/>
        <v>0</v>
      </c>
      <c r="K345" s="13">
        <f t="shared" ca="1" si="114"/>
        <v>0</v>
      </c>
      <c r="L345" s="13" t="e">
        <f ca="1">ROUNDUP(IF($D$2="Egyszeri",$E345,IF($D$2="Havi",SUM($E$20:$E$31),IF(MOD($C345,$M$1)-1=0,SUM($E$20:$E$31),0))/12*$M$1)*VLOOKUP($B345,Paraméterek!$I$28:$P$31,IF($D$2="Egyszeri",8,HLOOKUP(ROUNDUP($M$11+$M$13,0),Paraméterek!$J$26:$O$27,2))),IF($D$4="Forint",0,2))</f>
        <v>#N/A</v>
      </c>
      <c r="M345" s="13">
        <f t="shared" ca="1" si="115"/>
        <v>0</v>
      </c>
      <c r="N345" s="13">
        <f t="shared" ca="1" si="125"/>
        <v>0</v>
      </c>
      <c r="O345" s="13">
        <f ca="1">IF($D345="Igen",IF($W344&gt;=IF($D$4="Forint",Paraméterek!$J$121,Paraméterek!$K$121),0,IF($D$4="Forint",Paraméterek!$J$121,Paraméterek!$K$121)-$W344),0)</f>
        <v>0</v>
      </c>
      <c r="P345" s="13" t="e">
        <f ca="1">ROUNDUP($O345*VLOOKUP($M$4+$B345-1,Paraméterek!$H$58:$I$105,2,0)/Paraméterek!$I$56,IF($D$4="Forint",0,2))</f>
        <v>#N/A</v>
      </c>
      <c r="Q345" s="13">
        <f t="shared" ca="1" si="116"/>
        <v>0</v>
      </c>
      <c r="R345" s="33"/>
      <c r="S345" s="13" t="e">
        <f t="shared" ca="1" si="117"/>
        <v>#N/A</v>
      </c>
      <c r="T345" s="13" t="e">
        <f ca="1">ROUNDUP(($N345-$P345-$Q345+$S345)*VLOOKUP($B345,Paraméterek!$I$38:$K$39,IF($D$2="Egyszeri",3,2))/12*IF($D346="Nem",IF($M$13=0,1,$M$13),1),IF($D$4="Forint",0,2))</f>
        <v>#N/A</v>
      </c>
      <c r="U345" s="13"/>
      <c r="V345" s="13"/>
      <c r="W345" s="13" t="e">
        <f ca="1">$N345-$P345-$Q345+$S345-$T345-IF(ROUNDUP(IF(ISBLANK($V345),$U345*0,$V345)/IF($D$2="Egyszeri",VLOOKUP($B345+IF($C345=12,1,0),Paraméterek!$V$257:$W$262,2),IF($B345=1,1,VLOOKUP($B345+IF($C345=12,1,0),Paraméterek!$I$258:$T$278,HLOOKUP($M$11+1,Paraméterek!$J$256:$T$257,2)))),IF($D$4="Forint",0,2))&gt;$N345-$P345-$Q345+$S345-$T345-IF($D$4="Forint",Paraméterek!$C$216,Paraméterek!$D$216),0,ROUNDUP(IF(ISBLANK($V345),$U345*0,$V345)/IF($D$2="Egyszeri",VLOOKUP($B345+IF($C345=12,1,0),Paraméterek!$V$257:$W$262,2),IF($B345=1,1,VLOOKUP($B345+IF($C345=12,1,0),Paraméterek!$I$258:$T$278,HLOOKUP($M$11+1,Paraméterek!$J$256:$T$257,2)))),IF($D$4="Forint",0,2)))</f>
        <v>#N/A</v>
      </c>
      <c r="X345" s="13" t="e">
        <f ca="1">ROUNDDOWN($W345*IF($D$2="Egyszeri",VLOOKUP($B345+IF($C345=12,1,0),Paraméterek!$V$257:$W$262,2),VLOOKUP($B345+IF($C345=12,1,0),Paraméterek!$I$258:$T$278,HLOOKUP($M$11+1,Paraméterek!$I$256:$T$257,2))),IF($D$4="Forint",0,2))</f>
        <v>#N/A</v>
      </c>
      <c r="Z345" s="32">
        <v>326</v>
      </c>
      <c r="AA345" s="32">
        <v>28</v>
      </c>
      <c r="AB345" s="32">
        <v>2</v>
      </c>
      <c r="AC345" s="13">
        <f t="shared" ca="1" si="126"/>
        <v>0</v>
      </c>
      <c r="AD345" s="33"/>
      <c r="AE345" s="13">
        <f t="shared" ca="1" si="118"/>
        <v>0</v>
      </c>
      <c r="AF345" s="13">
        <f ca="1">ROUNDUP(($AC345+$AE345)*VLOOKUP($AA345,Paraméterek!$P$38:$Q$38,2)/12*IF($D346="Nem",IF($M$13=0,1,$M$13),1),IF($D$4="Forint",0,2))</f>
        <v>0</v>
      </c>
      <c r="AG345" s="13">
        <f ca="1">IF($D$2="Egyszeri",IF($D$7&gt;=IF($D$4="Forint",Paraméterek!$P$223,Paraméterek!$P$224),$D$7-IF($D$4="Forint",Paraméterek!$P$223,Paraméterek!$P$224),0),MIN(IF($AB345=12,AVERAGEIF($E$20:$E345,"&gt;0",$E$20:$E345)*12,0),SUM($E$20:$E$31)))</f>
        <v>0</v>
      </c>
      <c r="AH345" s="13">
        <f>IF($AA345=10,$AG345*IF($AB345=12,IF($AG345&lt;IF($D$4="Forint",Paraméterek!$L$223,Paraméterek!$L$224),0,VLOOKUP($AA345,Paraméterek!$K$226:$M$228,IF($AG345&lt;IF($D$4="Forint",Paraméterek!$M$223,Paraméterek!$M$224),2,3))),0),0)</f>
        <v>0</v>
      </c>
      <c r="AI345" s="13">
        <f ca="1">IF(AND($AA345=$M$11+1,$AB345=$M$12+1),SUMIF($AA$20:$AA$1027,$AA345,$AG$20:$AG$1027)*IF(SUMIF($AA$20:$AA$1027,$AA345,$AG$20:$AG$1027)&lt;IF($D$4="Forint",Paraméterek!$L$223,Paraméterek!$L$224),0,VLOOKUP($AA345,Paraméterek!$K$230:$M$250,IF(SUMIF($AA$20:$AA$1027,$AA345,$AG$20:$AG$1027)&lt;IF($D$4="Forint",Paraméterek!$M$223,Paraméterek!$M$224),2,3))),0)</f>
        <v>0</v>
      </c>
      <c r="AJ345" s="13">
        <f ca="1">IF(AND($AA345&gt;=5,MOD($AA345,5)=0),IF($AB345=12,VLOOKUP($AA345,Paraméterek!$O$225:$P$240,2),0),IF(OR($AA345=3,$AA345=4),IF($AB345=12,VLOOKUP($AA345,Paraméterek!$O$225:$P$240,2,0),0),0))*$AG345</f>
        <v>0</v>
      </c>
      <c r="AK345" s="13">
        <f t="shared" ca="1" si="119"/>
        <v>0</v>
      </c>
      <c r="AL345" s="13">
        <f t="shared" ca="1" si="127"/>
        <v>0</v>
      </c>
      <c r="AM345" s="13">
        <f t="shared" ca="1" si="128"/>
        <v>0</v>
      </c>
      <c r="AO345" s="32">
        <v>326</v>
      </c>
      <c r="AP345" s="32">
        <v>28</v>
      </c>
      <c r="AQ345" s="32">
        <v>2</v>
      </c>
      <c r="AR345" s="13"/>
      <c r="AS345" s="32"/>
      <c r="AT345" s="13">
        <f t="shared" ca="1" si="129"/>
        <v>0</v>
      </c>
      <c r="AU345" s="33"/>
      <c r="AV345" s="13">
        <f t="shared" ca="1" si="120"/>
        <v>0</v>
      </c>
      <c r="AW345" s="13">
        <f ca="1">ROUNDUP(($AT345+$AV345)*VLOOKUP($AP345,Paraméterek!$P$38:$Q$38,2)/12*IF($D346="Nem",IF($M$13=0,1,$M$13),1),IF($D$4="Forint",0,2))</f>
        <v>0</v>
      </c>
      <c r="AX345" s="13"/>
      <c r="AY345" s="13"/>
      <c r="AZ345" s="13">
        <f>ROUNDUP(IF(SUM($AX345:$AY345)=0,0,IF(IF(ISBLANK($AY345),$AX345,$AY345)*Paraméterek!$J$112&lt;IF($D$4="Forint",Paraméterek!$J$113,Paraméterek!$K$113),IF($D$4="Forint",Paraméterek!$J$113,Paraméterek!$K$113),IF(IF(ISBLANK($AY345),$AX345,$AY345)*Paraméterek!$J$112&gt;IF($D$4="Forint",Paraméterek!$J$114,Paraméterek!$K$114),IF($D$4="Forint",Paraméterek!$J$114,Paraméterek!$K$114),IF(ISBLANK($AY345),$AX345,$AY345)*Paraméterek!$J$112))),IF($D$4="Forint",0,2))</f>
        <v>0</v>
      </c>
      <c r="BA345" s="13">
        <f ca="1">$AT345+$AV345-$AW345-IF(ROUNDDOWN(IF(ISBLANK($AY345),$AX345,$AY345),IF($D$4="Forint",0,2))&gt;$AT345+$AV345-$AW345-IF($D$4="Forint",Paraméterek!$J$114,Paraméterek!$K$114),0,ROUNDDOWN(IF(ISBLANK($AY345),$AX345,$AY345),IF($D$4="Forint",0,2))-$AZ345)</f>
        <v>0</v>
      </c>
      <c r="BB345" s="13">
        <f t="shared" ca="1" si="121"/>
        <v>0</v>
      </c>
      <c r="BD345" s="32">
        <v>326</v>
      </c>
      <c r="BE345" s="32">
        <v>28</v>
      </c>
      <c r="BF345" s="32">
        <v>2</v>
      </c>
      <c r="BG345" s="34">
        <f t="shared" ca="1" si="130"/>
        <v>2046</v>
      </c>
      <c r="BH345" s="32" t="str">
        <f ca="1">IF(MOD(MONTH($D$14)+$BD345-1,12)=Paraméterek!$C$288,"Igen","")</f>
        <v>Igen</v>
      </c>
      <c r="BI345" s="13">
        <f ca="1">IF($BH345="Igen",MIN(ROUNDDOWN((SUMIF($BG$20:$BG$1027,$BG345-1,$K$20:$K$1027)-SUMIF($BG$20:$BG$1027,$BG345-1,$I$20:$I$1027))*Paraméterek!$C$289,IF($D$4="Forint",0,2)),IF($D$4="Forint",Paraméterek!$C$285,Paraméterek!$D$285)),0)</f>
        <v>0</v>
      </c>
      <c r="BJ345" s="13">
        <f t="shared" ca="1" si="122"/>
        <v>0</v>
      </c>
      <c r="BK345" s="13">
        <f t="shared" ca="1" si="131"/>
        <v>0</v>
      </c>
      <c r="BL345" s="33"/>
      <c r="BM345" s="13">
        <f t="shared" ca="1" si="123"/>
        <v>0</v>
      </c>
      <c r="BN345" s="13">
        <f ca="1">ROUNDUP(($BK345+$BM345)*VLOOKUP($BE345,Paraméterek!$P$38:$Q$38,2)/12*IF($D346="Nem",IF($M$13=0,1,$M$13),1),IF($D$4="Forint",0,2))</f>
        <v>0</v>
      </c>
      <c r="BO345" s="13">
        <f t="shared" ca="1" si="124"/>
        <v>0</v>
      </c>
      <c r="BP345" s="13">
        <f ca="1">IF($D346="Nem",$BO345,$BO345-ROUNDUP(SUM($BI$20:$BI345)*120%,IF($D$4="Forint",0,2)))</f>
        <v>0</v>
      </c>
    </row>
    <row r="346" spans="1:68" x14ac:dyDescent="0.2">
      <c r="A346" s="32">
        <v>327</v>
      </c>
      <c r="B346" s="32">
        <v>28</v>
      </c>
      <c r="C346" s="32">
        <v>3</v>
      </c>
      <c r="D346" s="32" t="str">
        <f t="shared" ca="1" si="110"/>
        <v>Nem</v>
      </c>
      <c r="E346" s="13">
        <f t="shared" ca="1" si="111"/>
        <v>0</v>
      </c>
      <c r="F346" s="13"/>
      <c r="G346" s="13"/>
      <c r="H346" s="13"/>
      <c r="I346" s="13">
        <f t="shared" ca="1" si="112"/>
        <v>0</v>
      </c>
      <c r="J346" s="13">
        <f t="shared" ca="1" si="113"/>
        <v>0</v>
      </c>
      <c r="K346" s="13">
        <f t="shared" ca="1" si="114"/>
        <v>0</v>
      </c>
      <c r="L346" s="13" t="e">
        <f ca="1">ROUNDUP(IF($D$2="Egyszeri",$E346,IF($D$2="Havi",SUM($E$20:$E$31),IF(MOD($C346,$M$1)-1=0,SUM($E$20:$E$31),0))/12*$M$1)*VLOOKUP($B346,Paraméterek!$I$28:$P$31,IF($D$2="Egyszeri",8,HLOOKUP(ROUNDUP($M$11+$M$13,0),Paraméterek!$J$26:$O$27,2))),IF($D$4="Forint",0,2))</f>
        <v>#N/A</v>
      </c>
      <c r="M346" s="13">
        <f t="shared" ca="1" si="115"/>
        <v>0</v>
      </c>
      <c r="N346" s="13">
        <f t="shared" ca="1" si="125"/>
        <v>0</v>
      </c>
      <c r="O346" s="13">
        <f ca="1">IF($D346="Igen",IF($W345&gt;=IF($D$4="Forint",Paraméterek!$J$121,Paraméterek!$K$121),0,IF($D$4="Forint",Paraméterek!$J$121,Paraméterek!$K$121)-$W345),0)</f>
        <v>0</v>
      </c>
      <c r="P346" s="13" t="e">
        <f ca="1">ROUNDUP($O346*VLOOKUP($M$4+$B346-1,Paraméterek!$H$58:$I$105,2,0)/Paraméterek!$I$56,IF($D$4="Forint",0,2))</f>
        <v>#N/A</v>
      </c>
      <c r="Q346" s="13">
        <f t="shared" ca="1" si="116"/>
        <v>0</v>
      </c>
      <c r="R346" s="33"/>
      <c r="S346" s="13" t="e">
        <f t="shared" ca="1" si="117"/>
        <v>#N/A</v>
      </c>
      <c r="T346" s="13" t="e">
        <f ca="1">ROUNDUP(($N346-$P346-$Q346+$S346)*VLOOKUP($B346,Paraméterek!$I$38:$K$39,IF($D$2="Egyszeri",3,2))/12*IF($D347="Nem",IF($M$13=0,1,$M$13),1),IF($D$4="Forint",0,2))</f>
        <v>#N/A</v>
      </c>
      <c r="U346" s="13"/>
      <c r="V346" s="13"/>
      <c r="W346" s="13" t="e">
        <f ca="1">$N346-$P346-$Q346+$S346-$T346-IF(ROUNDUP(IF(ISBLANK($V346),$U346*0,$V346)/IF($D$2="Egyszeri",VLOOKUP($B346+IF($C346=12,1,0),Paraméterek!$V$257:$W$262,2),IF($B346=1,1,VLOOKUP($B346+IF($C346=12,1,0),Paraméterek!$I$258:$T$278,HLOOKUP($M$11+1,Paraméterek!$J$256:$T$257,2)))),IF($D$4="Forint",0,2))&gt;$N346-$P346-$Q346+$S346-$T346-IF($D$4="Forint",Paraméterek!$C$216,Paraméterek!$D$216),0,ROUNDUP(IF(ISBLANK($V346),$U346*0,$V346)/IF($D$2="Egyszeri",VLOOKUP($B346+IF($C346=12,1,0),Paraméterek!$V$257:$W$262,2),IF($B346=1,1,VLOOKUP($B346+IF($C346=12,1,0),Paraméterek!$I$258:$T$278,HLOOKUP($M$11+1,Paraméterek!$J$256:$T$257,2)))),IF($D$4="Forint",0,2)))</f>
        <v>#N/A</v>
      </c>
      <c r="X346" s="13" t="e">
        <f ca="1">ROUNDDOWN($W346*IF($D$2="Egyszeri",VLOOKUP($B346+IF($C346=12,1,0),Paraméterek!$V$257:$W$262,2),VLOOKUP($B346+IF($C346=12,1,0),Paraméterek!$I$258:$T$278,HLOOKUP($M$11+1,Paraméterek!$I$256:$T$257,2))),IF($D$4="Forint",0,2))</f>
        <v>#N/A</v>
      </c>
      <c r="Z346" s="32">
        <v>327</v>
      </c>
      <c r="AA346" s="32">
        <v>28</v>
      </c>
      <c r="AB346" s="32">
        <v>3</v>
      </c>
      <c r="AC346" s="13">
        <f t="shared" ca="1" si="126"/>
        <v>0</v>
      </c>
      <c r="AD346" s="33"/>
      <c r="AE346" s="13">
        <f t="shared" ca="1" si="118"/>
        <v>0</v>
      </c>
      <c r="AF346" s="13">
        <f ca="1">ROUNDUP(($AC346+$AE346)*VLOOKUP($AA346,Paraméterek!$P$38:$Q$38,2)/12*IF($D347="Nem",IF($M$13=0,1,$M$13),1),IF($D$4="Forint",0,2))</f>
        <v>0</v>
      </c>
      <c r="AG346" s="13">
        <f ca="1">IF($D$2="Egyszeri",IF($D$7&gt;=IF($D$4="Forint",Paraméterek!$P$223,Paraméterek!$P$224),$D$7-IF($D$4="Forint",Paraméterek!$P$223,Paraméterek!$P$224),0),MIN(IF($AB346=12,AVERAGEIF($E$20:$E346,"&gt;0",$E$20:$E346)*12,0),SUM($E$20:$E$31)))</f>
        <v>0</v>
      </c>
      <c r="AH346" s="13">
        <f>IF($AA346=10,$AG346*IF($AB346=12,IF($AG346&lt;IF($D$4="Forint",Paraméterek!$L$223,Paraméterek!$L$224),0,VLOOKUP($AA346,Paraméterek!$K$226:$M$228,IF($AG346&lt;IF($D$4="Forint",Paraméterek!$M$223,Paraméterek!$M$224),2,3))),0),0)</f>
        <v>0</v>
      </c>
      <c r="AI346" s="13">
        <f ca="1">IF(AND($AA346=$M$11+1,$AB346=$M$12+1),SUMIF($AA$20:$AA$1027,$AA346,$AG$20:$AG$1027)*IF(SUMIF($AA$20:$AA$1027,$AA346,$AG$20:$AG$1027)&lt;IF($D$4="Forint",Paraméterek!$L$223,Paraméterek!$L$224),0,VLOOKUP($AA346,Paraméterek!$K$230:$M$250,IF(SUMIF($AA$20:$AA$1027,$AA346,$AG$20:$AG$1027)&lt;IF($D$4="Forint",Paraméterek!$M$223,Paraméterek!$M$224),2,3))),0)</f>
        <v>0</v>
      </c>
      <c r="AJ346" s="13">
        <f ca="1">IF(AND($AA346&gt;=5,MOD($AA346,5)=0),IF($AB346=12,VLOOKUP($AA346,Paraméterek!$O$225:$P$240,2),0),IF(OR($AA346=3,$AA346=4),IF($AB346=12,VLOOKUP($AA346,Paraméterek!$O$225:$P$240,2,0),0),0))*$AG346</f>
        <v>0</v>
      </c>
      <c r="AK346" s="13">
        <f t="shared" ca="1" si="119"/>
        <v>0</v>
      </c>
      <c r="AL346" s="13">
        <f t="shared" ca="1" si="127"/>
        <v>0</v>
      </c>
      <c r="AM346" s="13">
        <f t="shared" ca="1" si="128"/>
        <v>0</v>
      </c>
      <c r="AO346" s="32">
        <v>327</v>
      </c>
      <c r="AP346" s="32">
        <v>28</v>
      </c>
      <c r="AQ346" s="32">
        <v>3</v>
      </c>
      <c r="AR346" s="13"/>
      <c r="AS346" s="32"/>
      <c r="AT346" s="13">
        <f t="shared" ca="1" si="129"/>
        <v>0</v>
      </c>
      <c r="AU346" s="33"/>
      <c r="AV346" s="13">
        <f t="shared" ca="1" si="120"/>
        <v>0</v>
      </c>
      <c r="AW346" s="13">
        <f ca="1">ROUNDUP(($AT346+$AV346)*VLOOKUP($AP346,Paraméterek!$P$38:$Q$38,2)/12*IF($D347="Nem",IF($M$13=0,1,$M$13),1),IF($D$4="Forint",0,2))</f>
        <v>0</v>
      </c>
      <c r="AX346" s="13"/>
      <c r="AY346" s="13"/>
      <c r="AZ346" s="13">
        <f>ROUNDUP(IF(SUM($AX346:$AY346)=0,0,IF(IF(ISBLANK($AY346),$AX346,$AY346)*Paraméterek!$J$112&lt;IF($D$4="Forint",Paraméterek!$J$113,Paraméterek!$K$113),IF($D$4="Forint",Paraméterek!$J$113,Paraméterek!$K$113),IF(IF(ISBLANK($AY346),$AX346,$AY346)*Paraméterek!$J$112&gt;IF($D$4="Forint",Paraméterek!$J$114,Paraméterek!$K$114),IF($D$4="Forint",Paraméterek!$J$114,Paraméterek!$K$114),IF(ISBLANK($AY346),$AX346,$AY346)*Paraméterek!$J$112))),IF($D$4="Forint",0,2))</f>
        <v>0</v>
      </c>
      <c r="BA346" s="13">
        <f ca="1">$AT346+$AV346-$AW346-IF(ROUNDDOWN(IF(ISBLANK($AY346),$AX346,$AY346),IF($D$4="Forint",0,2))&gt;$AT346+$AV346-$AW346-IF($D$4="Forint",Paraméterek!$J$114,Paraméterek!$K$114),0,ROUNDDOWN(IF(ISBLANK($AY346),$AX346,$AY346),IF($D$4="Forint",0,2))-$AZ346)</f>
        <v>0</v>
      </c>
      <c r="BB346" s="13">
        <f t="shared" ca="1" si="121"/>
        <v>0</v>
      </c>
      <c r="BD346" s="32">
        <v>327</v>
      </c>
      <c r="BE346" s="32">
        <v>28</v>
      </c>
      <c r="BF346" s="32">
        <v>3</v>
      </c>
      <c r="BG346" s="34">
        <f t="shared" ca="1" si="130"/>
        <v>2046</v>
      </c>
      <c r="BH346" s="32" t="str">
        <f ca="1">IF(MOD(MONTH($D$14)+$BD346-1,12)=Paraméterek!$C$288,"Igen","")</f>
        <v/>
      </c>
      <c r="BI346" s="13">
        <f ca="1">IF($BH346="Igen",MIN(ROUNDDOWN((SUMIF($BG$20:$BG$1027,$BG346-1,$K$20:$K$1027)-SUMIF($BG$20:$BG$1027,$BG346-1,$I$20:$I$1027))*Paraméterek!$C$289,IF($D$4="Forint",0,2)),IF($D$4="Forint",Paraméterek!$C$285,Paraméterek!$D$285)),0)</f>
        <v>0</v>
      </c>
      <c r="BJ346" s="13">
        <f t="shared" ca="1" si="122"/>
        <v>0</v>
      </c>
      <c r="BK346" s="13">
        <f t="shared" ca="1" si="131"/>
        <v>0</v>
      </c>
      <c r="BL346" s="33"/>
      <c r="BM346" s="13">
        <f t="shared" ca="1" si="123"/>
        <v>0</v>
      </c>
      <c r="BN346" s="13">
        <f ca="1">ROUNDUP(($BK346+$BM346)*VLOOKUP($BE346,Paraméterek!$P$38:$Q$38,2)/12*IF($D347="Nem",IF($M$13=0,1,$M$13),1),IF($D$4="Forint",0,2))</f>
        <v>0</v>
      </c>
      <c r="BO346" s="13">
        <f t="shared" ca="1" si="124"/>
        <v>0</v>
      </c>
      <c r="BP346" s="13">
        <f ca="1">IF($D347="Nem",$BO346,$BO346-ROUNDUP(SUM($BI$20:$BI346)*120%,IF($D$4="Forint",0,2)))</f>
        <v>0</v>
      </c>
    </row>
    <row r="347" spans="1:68" x14ac:dyDescent="0.2">
      <c r="A347" s="32">
        <v>328</v>
      </c>
      <c r="B347" s="32">
        <v>28</v>
      </c>
      <c r="C347" s="32">
        <v>4</v>
      </c>
      <c r="D347" s="32" t="str">
        <f t="shared" ca="1" si="110"/>
        <v>Nem</v>
      </c>
      <c r="E347" s="13">
        <f t="shared" ca="1" si="111"/>
        <v>0</v>
      </c>
      <c r="F347" s="13"/>
      <c r="G347" s="13"/>
      <c r="H347" s="13"/>
      <c r="I347" s="13">
        <f t="shared" ca="1" si="112"/>
        <v>0</v>
      </c>
      <c r="J347" s="13">
        <f t="shared" ca="1" si="113"/>
        <v>0</v>
      </c>
      <c r="K347" s="13">
        <f t="shared" ca="1" si="114"/>
        <v>0</v>
      </c>
      <c r="L347" s="13" t="e">
        <f ca="1">ROUNDUP(IF($D$2="Egyszeri",$E347,IF($D$2="Havi",SUM($E$20:$E$31),IF(MOD($C347,$M$1)-1=0,SUM($E$20:$E$31),0))/12*$M$1)*VLOOKUP($B347,Paraméterek!$I$28:$P$31,IF($D$2="Egyszeri",8,HLOOKUP(ROUNDUP($M$11+$M$13,0),Paraméterek!$J$26:$O$27,2))),IF($D$4="Forint",0,2))</f>
        <v>#N/A</v>
      </c>
      <c r="M347" s="13">
        <f t="shared" ca="1" si="115"/>
        <v>0</v>
      </c>
      <c r="N347" s="13">
        <f t="shared" ca="1" si="125"/>
        <v>0</v>
      </c>
      <c r="O347" s="13">
        <f ca="1">IF($D347="Igen",IF($W346&gt;=IF($D$4="Forint",Paraméterek!$J$121,Paraméterek!$K$121),0,IF($D$4="Forint",Paraméterek!$J$121,Paraméterek!$K$121)-$W346),0)</f>
        <v>0</v>
      </c>
      <c r="P347" s="13" t="e">
        <f ca="1">ROUNDUP($O347*VLOOKUP($M$4+$B347-1,Paraméterek!$H$58:$I$105,2,0)/Paraméterek!$I$56,IF($D$4="Forint",0,2))</f>
        <v>#N/A</v>
      </c>
      <c r="Q347" s="13">
        <f t="shared" ca="1" si="116"/>
        <v>0</v>
      </c>
      <c r="R347" s="33"/>
      <c r="S347" s="13" t="e">
        <f t="shared" ca="1" si="117"/>
        <v>#N/A</v>
      </c>
      <c r="T347" s="13" t="e">
        <f ca="1">ROUNDUP(($N347-$P347-$Q347+$S347)*VLOOKUP($B347,Paraméterek!$I$38:$K$39,IF($D$2="Egyszeri",3,2))/12*IF($D348="Nem",IF($M$13=0,1,$M$13),1),IF($D$4="Forint",0,2))</f>
        <v>#N/A</v>
      </c>
      <c r="U347" s="13"/>
      <c r="V347" s="13"/>
      <c r="W347" s="13" t="e">
        <f ca="1">$N347-$P347-$Q347+$S347-$T347-IF(ROUNDUP(IF(ISBLANK($V347),$U347*0,$V347)/IF($D$2="Egyszeri",VLOOKUP($B347+IF($C347=12,1,0),Paraméterek!$V$257:$W$262,2),IF($B347=1,1,VLOOKUP($B347+IF($C347=12,1,0),Paraméterek!$I$258:$T$278,HLOOKUP($M$11+1,Paraméterek!$J$256:$T$257,2)))),IF($D$4="Forint",0,2))&gt;$N347-$P347-$Q347+$S347-$T347-IF($D$4="Forint",Paraméterek!$C$216,Paraméterek!$D$216),0,ROUNDUP(IF(ISBLANK($V347),$U347*0,$V347)/IF($D$2="Egyszeri",VLOOKUP($B347+IF($C347=12,1,0),Paraméterek!$V$257:$W$262,2),IF($B347=1,1,VLOOKUP($B347+IF($C347=12,1,0),Paraméterek!$I$258:$T$278,HLOOKUP($M$11+1,Paraméterek!$J$256:$T$257,2)))),IF($D$4="Forint",0,2)))</f>
        <v>#N/A</v>
      </c>
      <c r="X347" s="13" t="e">
        <f ca="1">ROUNDDOWN($W347*IF($D$2="Egyszeri",VLOOKUP($B347+IF($C347=12,1,0),Paraméterek!$V$257:$W$262,2),VLOOKUP($B347+IF($C347=12,1,0),Paraméterek!$I$258:$T$278,HLOOKUP($M$11+1,Paraméterek!$I$256:$T$257,2))),IF($D$4="Forint",0,2))</f>
        <v>#N/A</v>
      </c>
      <c r="Z347" s="32">
        <v>328</v>
      </c>
      <c r="AA347" s="32">
        <v>28</v>
      </c>
      <c r="AB347" s="32">
        <v>4</v>
      </c>
      <c r="AC347" s="13">
        <f t="shared" ca="1" si="126"/>
        <v>0</v>
      </c>
      <c r="AD347" s="33"/>
      <c r="AE347" s="13">
        <f t="shared" ca="1" si="118"/>
        <v>0</v>
      </c>
      <c r="AF347" s="13">
        <f ca="1">ROUNDUP(($AC347+$AE347)*VLOOKUP($AA347,Paraméterek!$P$38:$Q$38,2)/12*IF($D348="Nem",IF($M$13=0,1,$M$13),1),IF($D$4="Forint",0,2))</f>
        <v>0</v>
      </c>
      <c r="AG347" s="13">
        <f ca="1">IF($D$2="Egyszeri",IF($D$7&gt;=IF($D$4="Forint",Paraméterek!$P$223,Paraméterek!$P$224),$D$7-IF($D$4="Forint",Paraméterek!$P$223,Paraméterek!$P$224),0),MIN(IF($AB347=12,AVERAGEIF($E$20:$E347,"&gt;0",$E$20:$E347)*12,0),SUM($E$20:$E$31)))</f>
        <v>0</v>
      </c>
      <c r="AH347" s="13">
        <f>IF($AA347=10,$AG347*IF($AB347=12,IF($AG347&lt;IF($D$4="Forint",Paraméterek!$L$223,Paraméterek!$L$224),0,VLOOKUP($AA347,Paraméterek!$K$226:$M$228,IF($AG347&lt;IF($D$4="Forint",Paraméterek!$M$223,Paraméterek!$M$224),2,3))),0),0)</f>
        <v>0</v>
      </c>
      <c r="AI347" s="13">
        <f ca="1">IF(AND($AA347=$M$11+1,$AB347=$M$12+1),SUMIF($AA$20:$AA$1027,$AA347,$AG$20:$AG$1027)*IF(SUMIF($AA$20:$AA$1027,$AA347,$AG$20:$AG$1027)&lt;IF($D$4="Forint",Paraméterek!$L$223,Paraméterek!$L$224),0,VLOOKUP($AA347,Paraméterek!$K$230:$M$250,IF(SUMIF($AA$20:$AA$1027,$AA347,$AG$20:$AG$1027)&lt;IF($D$4="Forint",Paraméterek!$M$223,Paraméterek!$M$224),2,3))),0)</f>
        <v>0</v>
      </c>
      <c r="AJ347" s="13">
        <f ca="1">IF(AND($AA347&gt;=5,MOD($AA347,5)=0),IF($AB347=12,VLOOKUP($AA347,Paraméterek!$O$225:$P$240,2),0),IF(OR($AA347=3,$AA347=4),IF($AB347=12,VLOOKUP($AA347,Paraméterek!$O$225:$P$240,2,0),0),0))*$AG347</f>
        <v>0</v>
      </c>
      <c r="AK347" s="13">
        <f t="shared" ca="1" si="119"/>
        <v>0</v>
      </c>
      <c r="AL347" s="13">
        <f t="shared" ca="1" si="127"/>
        <v>0</v>
      </c>
      <c r="AM347" s="13">
        <f t="shared" ca="1" si="128"/>
        <v>0</v>
      </c>
      <c r="AO347" s="32">
        <v>328</v>
      </c>
      <c r="AP347" s="32">
        <v>28</v>
      </c>
      <c r="AQ347" s="32">
        <v>4</v>
      </c>
      <c r="AR347" s="13"/>
      <c r="AS347" s="32"/>
      <c r="AT347" s="13">
        <f t="shared" ca="1" si="129"/>
        <v>0</v>
      </c>
      <c r="AU347" s="33"/>
      <c r="AV347" s="13">
        <f t="shared" ca="1" si="120"/>
        <v>0</v>
      </c>
      <c r="AW347" s="13">
        <f ca="1">ROUNDUP(($AT347+$AV347)*VLOOKUP($AP347,Paraméterek!$P$38:$Q$38,2)/12*IF($D348="Nem",IF($M$13=0,1,$M$13),1),IF($D$4="Forint",0,2))</f>
        <v>0</v>
      </c>
      <c r="AX347" s="13"/>
      <c r="AY347" s="13"/>
      <c r="AZ347" s="13">
        <f>ROUNDUP(IF(SUM($AX347:$AY347)=0,0,IF(IF(ISBLANK($AY347),$AX347,$AY347)*Paraméterek!$J$112&lt;IF($D$4="Forint",Paraméterek!$J$113,Paraméterek!$K$113),IF($D$4="Forint",Paraméterek!$J$113,Paraméterek!$K$113),IF(IF(ISBLANK($AY347),$AX347,$AY347)*Paraméterek!$J$112&gt;IF($D$4="Forint",Paraméterek!$J$114,Paraméterek!$K$114),IF($D$4="Forint",Paraméterek!$J$114,Paraméterek!$K$114),IF(ISBLANK($AY347),$AX347,$AY347)*Paraméterek!$J$112))),IF($D$4="Forint",0,2))</f>
        <v>0</v>
      </c>
      <c r="BA347" s="13">
        <f ca="1">$AT347+$AV347-$AW347-IF(ROUNDDOWN(IF(ISBLANK($AY347),$AX347,$AY347),IF($D$4="Forint",0,2))&gt;$AT347+$AV347-$AW347-IF($D$4="Forint",Paraméterek!$J$114,Paraméterek!$K$114),0,ROUNDDOWN(IF(ISBLANK($AY347),$AX347,$AY347),IF($D$4="Forint",0,2))-$AZ347)</f>
        <v>0</v>
      </c>
      <c r="BB347" s="13">
        <f t="shared" ca="1" si="121"/>
        <v>0</v>
      </c>
      <c r="BD347" s="32">
        <v>328</v>
      </c>
      <c r="BE347" s="32">
        <v>28</v>
      </c>
      <c r="BF347" s="32">
        <v>4</v>
      </c>
      <c r="BG347" s="34">
        <f t="shared" ca="1" si="130"/>
        <v>2046</v>
      </c>
      <c r="BH347" s="32" t="str">
        <f ca="1">IF(MOD(MONTH($D$14)+$BD347-1,12)=Paraméterek!$C$288,"Igen","")</f>
        <v/>
      </c>
      <c r="BI347" s="13">
        <f ca="1">IF($BH347="Igen",MIN(ROUNDDOWN((SUMIF($BG$20:$BG$1027,$BG347-1,$K$20:$K$1027)-SUMIF($BG$20:$BG$1027,$BG347-1,$I$20:$I$1027))*Paraméterek!$C$289,IF($D$4="Forint",0,2)),IF($D$4="Forint",Paraméterek!$C$285,Paraméterek!$D$285)),0)</f>
        <v>0</v>
      </c>
      <c r="BJ347" s="13">
        <f t="shared" ca="1" si="122"/>
        <v>0</v>
      </c>
      <c r="BK347" s="13">
        <f t="shared" ca="1" si="131"/>
        <v>0</v>
      </c>
      <c r="BL347" s="33"/>
      <c r="BM347" s="13">
        <f t="shared" ca="1" si="123"/>
        <v>0</v>
      </c>
      <c r="BN347" s="13">
        <f ca="1">ROUNDUP(($BK347+$BM347)*VLOOKUP($BE347,Paraméterek!$P$38:$Q$38,2)/12*IF($D348="Nem",IF($M$13=0,1,$M$13),1),IF($D$4="Forint",0,2))</f>
        <v>0</v>
      </c>
      <c r="BO347" s="13">
        <f t="shared" ca="1" si="124"/>
        <v>0</v>
      </c>
      <c r="BP347" s="13">
        <f ca="1">IF($D348="Nem",$BO347,$BO347-ROUNDUP(SUM($BI$20:$BI347)*120%,IF($D$4="Forint",0,2)))</f>
        <v>0</v>
      </c>
    </row>
    <row r="348" spans="1:68" x14ac:dyDescent="0.2">
      <c r="A348" s="32">
        <v>329</v>
      </c>
      <c r="B348" s="32">
        <v>28</v>
      </c>
      <c r="C348" s="32">
        <v>5</v>
      </c>
      <c r="D348" s="32" t="str">
        <f t="shared" ca="1" si="110"/>
        <v>Nem</v>
      </c>
      <c r="E348" s="13">
        <f t="shared" ca="1" si="111"/>
        <v>0</v>
      </c>
      <c r="F348" s="13"/>
      <c r="G348" s="13"/>
      <c r="H348" s="13"/>
      <c r="I348" s="13">
        <f t="shared" ca="1" si="112"/>
        <v>0</v>
      </c>
      <c r="J348" s="13">
        <f t="shared" ca="1" si="113"/>
        <v>0</v>
      </c>
      <c r="K348" s="13">
        <f t="shared" ca="1" si="114"/>
        <v>0</v>
      </c>
      <c r="L348" s="13" t="e">
        <f ca="1">ROUNDUP(IF($D$2="Egyszeri",$E348,IF($D$2="Havi",SUM($E$20:$E$31),IF(MOD($C348,$M$1)-1=0,SUM($E$20:$E$31),0))/12*$M$1)*VLOOKUP($B348,Paraméterek!$I$28:$P$31,IF($D$2="Egyszeri",8,HLOOKUP(ROUNDUP($M$11+$M$13,0),Paraméterek!$J$26:$O$27,2))),IF($D$4="Forint",0,2))</f>
        <v>#N/A</v>
      </c>
      <c r="M348" s="13">
        <f t="shared" ca="1" si="115"/>
        <v>0</v>
      </c>
      <c r="N348" s="13">
        <f t="shared" ca="1" si="125"/>
        <v>0</v>
      </c>
      <c r="O348" s="13">
        <f ca="1">IF($D348="Igen",IF($W347&gt;=IF($D$4="Forint",Paraméterek!$J$121,Paraméterek!$K$121),0,IF($D$4="Forint",Paraméterek!$J$121,Paraméterek!$K$121)-$W347),0)</f>
        <v>0</v>
      </c>
      <c r="P348" s="13" t="e">
        <f ca="1">ROUNDUP($O348*VLOOKUP($M$4+$B348-1,Paraméterek!$H$58:$I$105,2,0)/Paraméterek!$I$56,IF($D$4="Forint",0,2))</f>
        <v>#N/A</v>
      </c>
      <c r="Q348" s="13">
        <f t="shared" ca="1" si="116"/>
        <v>0</v>
      </c>
      <c r="R348" s="33"/>
      <c r="S348" s="13" t="e">
        <f t="shared" ca="1" si="117"/>
        <v>#N/A</v>
      </c>
      <c r="T348" s="13" t="e">
        <f ca="1">ROUNDUP(($N348-$P348-$Q348+$S348)*VLOOKUP($B348,Paraméterek!$I$38:$K$39,IF($D$2="Egyszeri",3,2))/12*IF($D349="Nem",IF($M$13=0,1,$M$13),1),IF($D$4="Forint",0,2))</f>
        <v>#N/A</v>
      </c>
      <c r="U348" s="13"/>
      <c r="V348" s="13"/>
      <c r="W348" s="13" t="e">
        <f ca="1">$N348-$P348-$Q348+$S348-$T348-IF(ROUNDUP(IF(ISBLANK($V348),$U348*0,$V348)/IF($D$2="Egyszeri",VLOOKUP($B348+IF($C348=12,1,0),Paraméterek!$V$257:$W$262,2),IF($B348=1,1,VLOOKUP($B348+IF($C348=12,1,0),Paraméterek!$I$258:$T$278,HLOOKUP($M$11+1,Paraméterek!$J$256:$T$257,2)))),IF($D$4="Forint",0,2))&gt;$N348-$P348-$Q348+$S348-$T348-IF($D$4="Forint",Paraméterek!$C$216,Paraméterek!$D$216),0,ROUNDUP(IF(ISBLANK($V348),$U348*0,$V348)/IF($D$2="Egyszeri",VLOOKUP($B348+IF($C348=12,1,0),Paraméterek!$V$257:$W$262,2),IF($B348=1,1,VLOOKUP($B348+IF($C348=12,1,0),Paraméterek!$I$258:$T$278,HLOOKUP($M$11+1,Paraméterek!$J$256:$T$257,2)))),IF($D$4="Forint",0,2)))</f>
        <v>#N/A</v>
      </c>
      <c r="X348" s="13" t="e">
        <f ca="1">ROUNDDOWN($W348*IF($D$2="Egyszeri",VLOOKUP($B348+IF($C348=12,1,0),Paraméterek!$V$257:$W$262,2),VLOOKUP($B348+IF($C348=12,1,0),Paraméterek!$I$258:$T$278,HLOOKUP($M$11+1,Paraméterek!$I$256:$T$257,2))),IF($D$4="Forint",0,2))</f>
        <v>#N/A</v>
      </c>
      <c r="Z348" s="32">
        <v>329</v>
      </c>
      <c r="AA348" s="32">
        <v>28</v>
      </c>
      <c r="AB348" s="32">
        <v>5</v>
      </c>
      <c r="AC348" s="13">
        <f t="shared" ca="1" si="126"/>
        <v>0</v>
      </c>
      <c r="AD348" s="33"/>
      <c r="AE348" s="13">
        <f t="shared" ca="1" si="118"/>
        <v>0</v>
      </c>
      <c r="AF348" s="13">
        <f ca="1">ROUNDUP(($AC348+$AE348)*VLOOKUP($AA348,Paraméterek!$P$38:$Q$38,2)/12*IF($D349="Nem",IF($M$13=0,1,$M$13),1),IF($D$4="Forint",0,2))</f>
        <v>0</v>
      </c>
      <c r="AG348" s="13">
        <f ca="1">IF($D$2="Egyszeri",IF($D$7&gt;=IF($D$4="Forint",Paraméterek!$P$223,Paraméterek!$P$224),$D$7-IF($D$4="Forint",Paraméterek!$P$223,Paraméterek!$P$224),0),MIN(IF($AB348=12,AVERAGEIF($E$20:$E348,"&gt;0",$E$20:$E348)*12,0),SUM($E$20:$E$31)))</f>
        <v>0</v>
      </c>
      <c r="AH348" s="13">
        <f>IF($AA348=10,$AG348*IF($AB348=12,IF($AG348&lt;IF($D$4="Forint",Paraméterek!$L$223,Paraméterek!$L$224),0,VLOOKUP($AA348,Paraméterek!$K$226:$M$228,IF($AG348&lt;IF($D$4="Forint",Paraméterek!$M$223,Paraméterek!$M$224),2,3))),0),0)</f>
        <v>0</v>
      </c>
      <c r="AI348" s="13">
        <f ca="1">IF(AND($AA348=$M$11+1,$AB348=$M$12+1),SUMIF($AA$20:$AA$1027,$AA348,$AG$20:$AG$1027)*IF(SUMIF($AA$20:$AA$1027,$AA348,$AG$20:$AG$1027)&lt;IF($D$4="Forint",Paraméterek!$L$223,Paraméterek!$L$224),0,VLOOKUP($AA348,Paraméterek!$K$230:$M$250,IF(SUMIF($AA$20:$AA$1027,$AA348,$AG$20:$AG$1027)&lt;IF($D$4="Forint",Paraméterek!$M$223,Paraméterek!$M$224),2,3))),0)</f>
        <v>0</v>
      </c>
      <c r="AJ348" s="13">
        <f ca="1">IF(AND($AA348&gt;=5,MOD($AA348,5)=0),IF($AB348=12,VLOOKUP($AA348,Paraméterek!$O$225:$P$240,2),0),IF(OR($AA348=3,$AA348=4),IF($AB348=12,VLOOKUP($AA348,Paraméterek!$O$225:$P$240,2,0),0),0))*$AG348</f>
        <v>0</v>
      </c>
      <c r="AK348" s="13">
        <f t="shared" ca="1" si="119"/>
        <v>0</v>
      </c>
      <c r="AL348" s="13">
        <f t="shared" ca="1" si="127"/>
        <v>0</v>
      </c>
      <c r="AM348" s="13">
        <f t="shared" ca="1" si="128"/>
        <v>0</v>
      </c>
      <c r="AO348" s="32">
        <v>329</v>
      </c>
      <c r="AP348" s="32">
        <v>28</v>
      </c>
      <c r="AQ348" s="32">
        <v>5</v>
      </c>
      <c r="AR348" s="13"/>
      <c r="AS348" s="32"/>
      <c r="AT348" s="13">
        <f t="shared" ca="1" si="129"/>
        <v>0</v>
      </c>
      <c r="AU348" s="33"/>
      <c r="AV348" s="13">
        <f t="shared" ca="1" si="120"/>
        <v>0</v>
      </c>
      <c r="AW348" s="13">
        <f ca="1">ROUNDUP(($AT348+$AV348)*VLOOKUP($AP348,Paraméterek!$P$38:$Q$38,2)/12*IF($D349="Nem",IF($M$13=0,1,$M$13),1),IF($D$4="Forint",0,2))</f>
        <v>0</v>
      </c>
      <c r="AX348" s="13"/>
      <c r="AY348" s="13"/>
      <c r="AZ348" s="13">
        <f>ROUNDUP(IF(SUM($AX348:$AY348)=0,0,IF(IF(ISBLANK($AY348),$AX348,$AY348)*Paraméterek!$J$112&lt;IF($D$4="Forint",Paraméterek!$J$113,Paraméterek!$K$113),IF($D$4="Forint",Paraméterek!$J$113,Paraméterek!$K$113),IF(IF(ISBLANK($AY348),$AX348,$AY348)*Paraméterek!$J$112&gt;IF($D$4="Forint",Paraméterek!$J$114,Paraméterek!$K$114),IF($D$4="Forint",Paraméterek!$J$114,Paraméterek!$K$114),IF(ISBLANK($AY348),$AX348,$AY348)*Paraméterek!$J$112))),IF($D$4="Forint",0,2))</f>
        <v>0</v>
      </c>
      <c r="BA348" s="13">
        <f ca="1">$AT348+$AV348-$AW348-IF(ROUNDDOWN(IF(ISBLANK($AY348),$AX348,$AY348),IF($D$4="Forint",0,2))&gt;$AT348+$AV348-$AW348-IF($D$4="Forint",Paraméterek!$J$114,Paraméterek!$K$114),0,ROUNDDOWN(IF(ISBLANK($AY348),$AX348,$AY348),IF($D$4="Forint",0,2))-$AZ348)</f>
        <v>0</v>
      </c>
      <c r="BB348" s="13">
        <f t="shared" ca="1" si="121"/>
        <v>0</v>
      </c>
      <c r="BD348" s="32">
        <v>329</v>
      </c>
      <c r="BE348" s="32">
        <v>28</v>
      </c>
      <c r="BF348" s="32">
        <v>5</v>
      </c>
      <c r="BG348" s="34">
        <f t="shared" ca="1" si="130"/>
        <v>2046</v>
      </c>
      <c r="BH348" s="32" t="str">
        <f ca="1">IF(MOD(MONTH($D$14)+$BD348-1,12)=Paraméterek!$C$288,"Igen","")</f>
        <v/>
      </c>
      <c r="BI348" s="13">
        <f ca="1">IF($BH348="Igen",MIN(ROUNDDOWN((SUMIF($BG$20:$BG$1027,$BG348-1,$K$20:$K$1027)-SUMIF($BG$20:$BG$1027,$BG348-1,$I$20:$I$1027))*Paraméterek!$C$289,IF($D$4="Forint",0,2)),IF($D$4="Forint",Paraméterek!$C$285,Paraméterek!$D$285)),0)</f>
        <v>0</v>
      </c>
      <c r="BJ348" s="13">
        <f t="shared" ca="1" si="122"/>
        <v>0</v>
      </c>
      <c r="BK348" s="13">
        <f t="shared" ca="1" si="131"/>
        <v>0</v>
      </c>
      <c r="BL348" s="33"/>
      <c r="BM348" s="13">
        <f t="shared" ca="1" si="123"/>
        <v>0</v>
      </c>
      <c r="BN348" s="13">
        <f ca="1">ROUNDUP(($BK348+$BM348)*VLOOKUP($BE348,Paraméterek!$P$38:$Q$38,2)/12*IF($D349="Nem",IF($M$13=0,1,$M$13),1),IF($D$4="Forint",0,2))</f>
        <v>0</v>
      </c>
      <c r="BO348" s="13">
        <f t="shared" ca="1" si="124"/>
        <v>0</v>
      </c>
      <c r="BP348" s="13">
        <f ca="1">IF($D349="Nem",$BO348,$BO348-ROUNDUP(SUM($BI$20:$BI348)*120%,IF($D$4="Forint",0,2)))</f>
        <v>0</v>
      </c>
    </row>
    <row r="349" spans="1:68" x14ac:dyDescent="0.2">
      <c r="A349" s="32">
        <v>330</v>
      </c>
      <c r="B349" s="32">
        <v>28</v>
      </c>
      <c r="C349" s="32">
        <v>6</v>
      </c>
      <c r="D349" s="32" t="str">
        <f t="shared" ca="1" si="110"/>
        <v>Nem</v>
      </c>
      <c r="E349" s="13">
        <f t="shared" ca="1" si="111"/>
        <v>0</v>
      </c>
      <c r="F349" s="13"/>
      <c r="G349" s="13"/>
      <c r="H349" s="13"/>
      <c r="I349" s="13">
        <f t="shared" ca="1" si="112"/>
        <v>0</v>
      </c>
      <c r="J349" s="13">
        <f t="shared" ca="1" si="113"/>
        <v>0</v>
      </c>
      <c r="K349" s="13">
        <f t="shared" ca="1" si="114"/>
        <v>0</v>
      </c>
      <c r="L349" s="13" t="e">
        <f ca="1">ROUNDUP(IF($D$2="Egyszeri",$E349,IF($D$2="Havi",SUM($E$20:$E$31),IF(MOD($C349,$M$1)-1=0,SUM($E$20:$E$31),0))/12*$M$1)*VLOOKUP($B349,Paraméterek!$I$28:$P$31,IF($D$2="Egyszeri",8,HLOOKUP(ROUNDUP($M$11+$M$13,0),Paraméterek!$J$26:$O$27,2))),IF($D$4="Forint",0,2))</f>
        <v>#N/A</v>
      </c>
      <c r="M349" s="13">
        <f t="shared" ca="1" si="115"/>
        <v>0</v>
      </c>
      <c r="N349" s="13">
        <f t="shared" ca="1" si="125"/>
        <v>0</v>
      </c>
      <c r="O349" s="13">
        <f ca="1">IF($D349="Igen",IF($W348&gt;=IF($D$4="Forint",Paraméterek!$J$121,Paraméterek!$K$121),0,IF($D$4="Forint",Paraméterek!$J$121,Paraméterek!$K$121)-$W348),0)</f>
        <v>0</v>
      </c>
      <c r="P349" s="13" t="e">
        <f ca="1">ROUNDUP($O349*VLOOKUP($M$4+$B349-1,Paraméterek!$H$58:$I$105,2,0)/Paraméterek!$I$56,IF($D$4="Forint",0,2))</f>
        <v>#N/A</v>
      </c>
      <c r="Q349" s="13">
        <f t="shared" ca="1" si="116"/>
        <v>0</v>
      </c>
      <c r="R349" s="33"/>
      <c r="S349" s="13" t="e">
        <f t="shared" ca="1" si="117"/>
        <v>#N/A</v>
      </c>
      <c r="T349" s="13" t="e">
        <f ca="1">ROUNDUP(($N349-$P349-$Q349+$S349)*VLOOKUP($B349,Paraméterek!$I$38:$K$39,IF($D$2="Egyszeri",3,2))/12*IF($D350="Nem",IF($M$13=0,1,$M$13),1),IF($D$4="Forint",0,2))</f>
        <v>#N/A</v>
      </c>
      <c r="U349" s="13"/>
      <c r="V349" s="13"/>
      <c r="W349" s="13" t="e">
        <f ca="1">$N349-$P349-$Q349+$S349-$T349-IF(ROUNDUP(IF(ISBLANK($V349),$U349*0,$V349)/IF($D$2="Egyszeri",VLOOKUP($B349+IF($C349=12,1,0),Paraméterek!$V$257:$W$262,2),IF($B349=1,1,VLOOKUP($B349+IF($C349=12,1,0),Paraméterek!$I$258:$T$278,HLOOKUP($M$11+1,Paraméterek!$J$256:$T$257,2)))),IF($D$4="Forint",0,2))&gt;$N349-$P349-$Q349+$S349-$T349-IF($D$4="Forint",Paraméterek!$C$216,Paraméterek!$D$216),0,ROUNDUP(IF(ISBLANK($V349),$U349*0,$V349)/IF($D$2="Egyszeri",VLOOKUP($B349+IF($C349=12,1,0),Paraméterek!$V$257:$W$262,2),IF($B349=1,1,VLOOKUP($B349+IF($C349=12,1,0),Paraméterek!$I$258:$T$278,HLOOKUP($M$11+1,Paraméterek!$J$256:$T$257,2)))),IF($D$4="Forint",0,2)))</f>
        <v>#N/A</v>
      </c>
      <c r="X349" s="13" t="e">
        <f ca="1">ROUNDDOWN($W349*IF($D$2="Egyszeri",VLOOKUP($B349+IF($C349=12,1,0),Paraméterek!$V$257:$W$262,2),VLOOKUP($B349+IF($C349=12,1,0),Paraméterek!$I$258:$T$278,HLOOKUP($M$11+1,Paraméterek!$I$256:$T$257,2))),IF($D$4="Forint",0,2))</f>
        <v>#N/A</v>
      </c>
      <c r="Z349" s="32">
        <v>330</v>
      </c>
      <c r="AA349" s="32">
        <v>28</v>
      </c>
      <c r="AB349" s="32">
        <v>6</v>
      </c>
      <c r="AC349" s="13">
        <f t="shared" ca="1" si="126"/>
        <v>0</v>
      </c>
      <c r="AD349" s="33"/>
      <c r="AE349" s="13">
        <f t="shared" ca="1" si="118"/>
        <v>0</v>
      </c>
      <c r="AF349" s="13">
        <f ca="1">ROUNDUP(($AC349+$AE349)*VLOOKUP($AA349,Paraméterek!$P$38:$Q$38,2)/12*IF($D350="Nem",IF($M$13=0,1,$M$13),1),IF($D$4="Forint",0,2))</f>
        <v>0</v>
      </c>
      <c r="AG349" s="13">
        <f ca="1">IF($D$2="Egyszeri",IF($D$7&gt;=IF($D$4="Forint",Paraméterek!$P$223,Paraméterek!$P$224),$D$7-IF($D$4="Forint",Paraméterek!$P$223,Paraméterek!$P$224),0),MIN(IF($AB349=12,AVERAGEIF($E$20:$E349,"&gt;0",$E$20:$E349)*12,0),SUM($E$20:$E$31)))</f>
        <v>0</v>
      </c>
      <c r="AH349" s="13">
        <f>IF($AA349=10,$AG349*IF($AB349=12,IF($AG349&lt;IF($D$4="Forint",Paraméterek!$L$223,Paraméterek!$L$224),0,VLOOKUP($AA349,Paraméterek!$K$226:$M$228,IF($AG349&lt;IF($D$4="Forint",Paraméterek!$M$223,Paraméterek!$M$224),2,3))),0),0)</f>
        <v>0</v>
      </c>
      <c r="AI349" s="13">
        <f ca="1">IF(AND($AA349=$M$11+1,$AB349=$M$12+1),SUMIF($AA$20:$AA$1027,$AA349,$AG$20:$AG$1027)*IF(SUMIF($AA$20:$AA$1027,$AA349,$AG$20:$AG$1027)&lt;IF($D$4="Forint",Paraméterek!$L$223,Paraméterek!$L$224),0,VLOOKUP($AA349,Paraméterek!$K$230:$M$250,IF(SUMIF($AA$20:$AA$1027,$AA349,$AG$20:$AG$1027)&lt;IF($D$4="Forint",Paraméterek!$M$223,Paraméterek!$M$224),2,3))),0)</f>
        <v>0</v>
      </c>
      <c r="AJ349" s="13">
        <f ca="1">IF(AND($AA349&gt;=5,MOD($AA349,5)=0),IF($AB349=12,VLOOKUP($AA349,Paraméterek!$O$225:$P$240,2),0),IF(OR($AA349=3,$AA349=4),IF($AB349=12,VLOOKUP($AA349,Paraméterek!$O$225:$P$240,2,0),0),0))*$AG349</f>
        <v>0</v>
      </c>
      <c r="AK349" s="13">
        <f t="shared" ca="1" si="119"/>
        <v>0</v>
      </c>
      <c r="AL349" s="13">
        <f t="shared" ca="1" si="127"/>
        <v>0</v>
      </c>
      <c r="AM349" s="13">
        <f t="shared" ca="1" si="128"/>
        <v>0</v>
      </c>
      <c r="AO349" s="32">
        <v>330</v>
      </c>
      <c r="AP349" s="32">
        <v>28</v>
      </c>
      <c r="AQ349" s="32">
        <v>6</v>
      </c>
      <c r="AR349" s="13"/>
      <c r="AS349" s="32"/>
      <c r="AT349" s="13">
        <f t="shared" ca="1" si="129"/>
        <v>0</v>
      </c>
      <c r="AU349" s="33"/>
      <c r="AV349" s="13">
        <f t="shared" ca="1" si="120"/>
        <v>0</v>
      </c>
      <c r="AW349" s="13">
        <f ca="1">ROUNDUP(($AT349+$AV349)*VLOOKUP($AP349,Paraméterek!$P$38:$Q$38,2)/12*IF($D350="Nem",IF($M$13=0,1,$M$13),1),IF($D$4="Forint",0,2))</f>
        <v>0</v>
      </c>
      <c r="AX349" s="13"/>
      <c r="AY349" s="13"/>
      <c r="AZ349" s="13">
        <f>ROUNDUP(IF(SUM($AX349:$AY349)=0,0,IF(IF(ISBLANK($AY349),$AX349,$AY349)*Paraméterek!$J$112&lt;IF($D$4="Forint",Paraméterek!$J$113,Paraméterek!$K$113),IF($D$4="Forint",Paraméterek!$J$113,Paraméterek!$K$113),IF(IF(ISBLANK($AY349),$AX349,$AY349)*Paraméterek!$J$112&gt;IF($D$4="Forint",Paraméterek!$J$114,Paraméterek!$K$114),IF($D$4="Forint",Paraméterek!$J$114,Paraméterek!$K$114),IF(ISBLANK($AY349),$AX349,$AY349)*Paraméterek!$J$112))),IF($D$4="Forint",0,2))</f>
        <v>0</v>
      </c>
      <c r="BA349" s="13">
        <f ca="1">$AT349+$AV349-$AW349-IF(ROUNDDOWN(IF(ISBLANK($AY349),$AX349,$AY349),IF($D$4="Forint",0,2))&gt;$AT349+$AV349-$AW349-IF($D$4="Forint",Paraméterek!$J$114,Paraméterek!$K$114),0,ROUNDDOWN(IF(ISBLANK($AY349),$AX349,$AY349),IF($D$4="Forint",0,2))-$AZ349)</f>
        <v>0</v>
      </c>
      <c r="BB349" s="13">
        <f t="shared" ca="1" si="121"/>
        <v>0</v>
      </c>
      <c r="BD349" s="32">
        <v>330</v>
      </c>
      <c r="BE349" s="32">
        <v>28</v>
      </c>
      <c r="BF349" s="32">
        <v>6</v>
      </c>
      <c r="BG349" s="34">
        <f t="shared" ca="1" si="130"/>
        <v>2046</v>
      </c>
      <c r="BH349" s="32" t="str">
        <f ca="1">IF(MOD(MONTH($D$14)+$BD349-1,12)=Paraméterek!$C$288,"Igen","")</f>
        <v/>
      </c>
      <c r="BI349" s="13">
        <f ca="1">IF($BH349="Igen",MIN(ROUNDDOWN((SUMIF($BG$20:$BG$1027,$BG349-1,$K$20:$K$1027)-SUMIF($BG$20:$BG$1027,$BG349-1,$I$20:$I$1027))*Paraméterek!$C$289,IF($D$4="Forint",0,2)),IF($D$4="Forint",Paraméterek!$C$285,Paraméterek!$D$285)),0)</f>
        <v>0</v>
      </c>
      <c r="BJ349" s="13">
        <f t="shared" ca="1" si="122"/>
        <v>0</v>
      </c>
      <c r="BK349" s="13">
        <f t="shared" ca="1" si="131"/>
        <v>0</v>
      </c>
      <c r="BL349" s="33"/>
      <c r="BM349" s="13">
        <f t="shared" ca="1" si="123"/>
        <v>0</v>
      </c>
      <c r="BN349" s="13">
        <f ca="1">ROUNDUP(($BK349+$BM349)*VLOOKUP($BE349,Paraméterek!$P$38:$Q$38,2)/12*IF($D350="Nem",IF($M$13=0,1,$M$13),1),IF($D$4="Forint",0,2))</f>
        <v>0</v>
      </c>
      <c r="BO349" s="13">
        <f t="shared" ca="1" si="124"/>
        <v>0</v>
      </c>
      <c r="BP349" s="13">
        <f ca="1">IF($D350="Nem",$BO349,$BO349-ROUNDUP(SUM($BI$20:$BI349)*120%,IF($D$4="Forint",0,2)))</f>
        <v>0</v>
      </c>
    </row>
    <row r="350" spans="1:68" x14ac:dyDescent="0.2">
      <c r="A350" s="32">
        <v>331</v>
      </c>
      <c r="B350" s="32">
        <v>28</v>
      </c>
      <c r="C350" s="32">
        <v>7</v>
      </c>
      <c r="D350" s="32" t="str">
        <f t="shared" ca="1" si="110"/>
        <v>Nem</v>
      </c>
      <c r="E350" s="13">
        <f t="shared" ca="1" si="111"/>
        <v>0</v>
      </c>
      <c r="F350" s="13"/>
      <c r="G350" s="13"/>
      <c r="H350" s="13"/>
      <c r="I350" s="13">
        <f t="shared" ca="1" si="112"/>
        <v>0</v>
      </c>
      <c r="J350" s="13">
        <f t="shared" ca="1" si="113"/>
        <v>0</v>
      </c>
      <c r="K350" s="13">
        <f t="shared" ca="1" si="114"/>
        <v>0</v>
      </c>
      <c r="L350" s="13" t="e">
        <f ca="1">ROUNDUP(IF($D$2="Egyszeri",$E350,IF($D$2="Havi",SUM($E$20:$E$31),IF(MOD($C350,$M$1)-1=0,SUM($E$20:$E$31),0))/12*$M$1)*VLOOKUP($B350,Paraméterek!$I$28:$P$31,IF($D$2="Egyszeri",8,HLOOKUP(ROUNDUP($M$11+$M$13,0),Paraméterek!$J$26:$O$27,2))),IF($D$4="Forint",0,2))</f>
        <v>#N/A</v>
      </c>
      <c r="M350" s="13">
        <f t="shared" ca="1" si="115"/>
        <v>0</v>
      </c>
      <c r="N350" s="13">
        <f t="shared" ca="1" si="125"/>
        <v>0</v>
      </c>
      <c r="O350" s="13">
        <f ca="1">IF($D350="Igen",IF($W349&gt;=IF($D$4="Forint",Paraméterek!$J$121,Paraméterek!$K$121),0,IF($D$4="Forint",Paraméterek!$J$121,Paraméterek!$K$121)-$W349),0)</f>
        <v>0</v>
      </c>
      <c r="P350" s="13" t="e">
        <f ca="1">ROUNDUP($O350*VLOOKUP($M$4+$B350-1,Paraméterek!$H$58:$I$105,2,0)/Paraméterek!$I$56,IF($D$4="Forint",0,2))</f>
        <v>#N/A</v>
      </c>
      <c r="Q350" s="13">
        <f t="shared" ca="1" si="116"/>
        <v>0</v>
      </c>
      <c r="R350" s="33"/>
      <c r="S350" s="13" t="e">
        <f t="shared" ca="1" si="117"/>
        <v>#N/A</v>
      </c>
      <c r="T350" s="13" t="e">
        <f ca="1">ROUNDUP(($N350-$P350-$Q350+$S350)*VLOOKUP($B350,Paraméterek!$I$38:$K$39,IF($D$2="Egyszeri",3,2))/12*IF($D351="Nem",IF($M$13=0,1,$M$13),1),IF($D$4="Forint",0,2))</f>
        <v>#N/A</v>
      </c>
      <c r="U350" s="13"/>
      <c r="V350" s="13"/>
      <c r="W350" s="13" t="e">
        <f ca="1">$N350-$P350-$Q350+$S350-$T350-IF(ROUNDUP(IF(ISBLANK($V350),$U350*0,$V350)/IF($D$2="Egyszeri",VLOOKUP($B350+IF($C350=12,1,0),Paraméterek!$V$257:$W$262,2),IF($B350=1,1,VLOOKUP($B350+IF($C350=12,1,0),Paraméterek!$I$258:$T$278,HLOOKUP($M$11+1,Paraméterek!$J$256:$T$257,2)))),IF($D$4="Forint",0,2))&gt;$N350-$P350-$Q350+$S350-$T350-IF($D$4="Forint",Paraméterek!$C$216,Paraméterek!$D$216),0,ROUNDUP(IF(ISBLANK($V350),$U350*0,$V350)/IF($D$2="Egyszeri",VLOOKUP($B350+IF($C350=12,1,0),Paraméterek!$V$257:$W$262,2),IF($B350=1,1,VLOOKUP($B350+IF($C350=12,1,0),Paraméterek!$I$258:$T$278,HLOOKUP($M$11+1,Paraméterek!$J$256:$T$257,2)))),IF($D$4="Forint",0,2)))</f>
        <v>#N/A</v>
      </c>
      <c r="X350" s="13" t="e">
        <f ca="1">ROUNDDOWN($W350*IF($D$2="Egyszeri",VLOOKUP($B350+IF($C350=12,1,0),Paraméterek!$V$257:$W$262,2),VLOOKUP($B350+IF($C350=12,1,0),Paraméterek!$I$258:$T$278,HLOOKUP($M$11+1,Paraméterek!$I$256:$T$257,2))),IF($D$4="Forint",0,2))</f>
        <v>#N/A</v>
      </c>
      <c r="Z350" s="32">
        <v>331</v>
      </c>
      <c r="AA350" s="32">
        <v>28</v>
      </c>
      <c r="AB350" s="32">
        <v>7</v>
      </c>
      <c r="AC350" s="13">
        <f t="shared" ca="1" si="126"/>
        <v>0</v>
      </c>
      <c r="AD350" s="33"/>
      <c r="AE350" s="13">
        <f t="shared" ca="1" si="118"/>
        <v>0</v>
      </c>
      <c r="AF350" s="13">
        <f ca="1">ROUNDUP(($AC350+$AE350)*VLOOKUP($AA350,Paraméterek!$P$38:$Q$38,2)/12*IF($D351="Nem",IF($M$13=0,1,$M$13),1),IF($D$4="Forint",0,2))</f>
        <v>0</v>
      </c>
      <c r="AG350" s="13">
        <f ca="1">IF($D$2="Egyszeri",IF($D$7&gt;=IF($D$4="Forint",Paraméterek!$P$223,Paraméterek!$P$224),$D$7-IF($D$4="Forint",Paraméterek!$P$223,Paraméterek!$P$224),0),MIN(IF($AB350=12,AVERAGEIF($E$20:$E350,"&gt;0",$E$20:$E350)*12,0),SUM($E$20:$E$31)))</f>
        <v>0</v>
      </c>
      <c r="AH350" s="13">
        <f>IF($AA350=10,$AG350*IF($AB350=12,IF($AG350&lt;IF($D$4="Forint",Paraméterek!$L$223,Paraméterek!$L$224),0,VLOOKUP($AA350,Paraméterek!$K$226:$M$228,IF($AG350&lt;IF($D$4="Forint",Paraméterek!$M$223,Paraméterek!$M$224),2,3))),0),0)</f>
        <v>0</v>
      </c>
      <c r="AI350" s="13">
        <f ca="1">IF(AND($AA350=$M$11+1,$AB350=$M$12+1),SUMIF($AA$20:$AA$1027,$AA350,$AG$20:$AG$1027)*IF(SUMIF($AA$20:$AA$1027,$AA350,$AG$20:$AG$1027)&lt;IF($D$4="Forint",Paraméterek!$L$223,Paraméterek!$L$224),0,VLOOKUP($AA350,Paraméterek!$K$230:$M$250,IF(SUMIF($AA$20:$AA$1027,$AA350,$AG$20:$AG$1027)&lt;IF($D$4="Forint",Paraméterek!$M$223,Paraméterek!$M$224),2,3))),0)</f>
        <v>0</v>
      </c>
      <c r="AJ350" s="13">
        <f ca="1">IF(AND($AA350&gt;=5,MOD($AA350,5)=0),IF($AB350=12,VLOOKUP($AA350,Paraméterek!$O$225:$P$240,2),0),IF(OR($AA350=3,$AA350=4),IF($AB350=12,VLOOKUP($AA350,Paraméterek!$O$225:$P$240,2,0),0),0))*$AG350</f>
        <v>0</v>
      </c>
      <c r="AK350" s="13">
        <f t="shared" ca="1" si="119"/>
        <v>0</v>
      </c>
      <c r="AL350" s="13">
        <f t="shared" ca="1" si="127"/>
        <v>0</v>
      </c>
      <c r="AM350" s="13">
        <f t="shared" ca="1" si="128"/>
        <v>0</v>
      </c>
      <c r="AO350" s="32">
        <v>331</v>
      </c>
      <c r="AP350" s="32">
        <v>28</v>
      </c>
      <c r="AQ350" s="32">
        <v>7</v>
      </c>
      <c r="AR350" s="13"/>
      <c r="AS350" s="32"/>
      <c r="AT350" s="13">
        <f t="shared" ca="1" si="129"/>
        <v>0</v>
      </c>
      <c r="AU350" s="33"/>
      <c r="AV350" s="13">
        <f t="shared" ca="1" si="120"/>
        <v>0</v>
      </c>
      <c r="AW350" s="13">
        <f ca="1">ROUNDUP(($AT350+$AV350)*VLOOKUP($AP350,Paraméterek!$P$38:$Q$38,2)/12*IF($D351="Nem",IF($M$13=0,1,$M$13),1),IF($D$4="Forint",0,2))</f>
        <v>0</v>
      </c>
      <c r="AX350" s="13"/>
      <c r="AY350" s="13"/>
      <c r="AZ350" s="13">
        <f>ROUNDUP(IF(SUM($AX350:$AY350)=0,0,IF(IF(ISBLANK($AY350),$AX350,$AY350)*Paraméterek!$J$112&lt;IF($D$4="Forint",Paraméterek!$J$113,Paraméterek!$K$113),IF($D$4="Forint",Paraméterek!$J$113,Paraméterek!$K$113),IF(IF(ISBLANK($AY350),$AX350,$AY350)*Paraméterek!$J$112&gt;IF($D$4="Forint",Paraméterek!$J$114,Paraméterek!$K$114),IF($D$4="Forint",Paraméterek!$J$114,Paraméterek!$K$114),IF(ISBLANK($AY350),$AX350,$AY350)*Paraméterek!$J$112))),IF($D$4="Forint",0,2))</f>
        <v>0</v>
      </c>
      <c r="BA350" s="13">
        <f ca="1">$AT350+$AV350-$AW350-IF(ROUNDDOWN(IF(ISBLANK($AY350),$AX350,$AY350),IF($D$4="Forint",0,2))&gt;$AT350+$AV350-$AW350-IF($D$4="Forint",Paraméterek!$J$114,Paraméterek!$K$114),0,ROUNDDOWN(IF(ISBLANK($AY350),$AX350,$AY350),IF($D$4="Forint",0,2))-$AZ350)</f>
        <v>0</v>
      </c>
      <c r="BB350" s="13">
        <f t="shared" ca="1" si="121"/>
        <v>0</v>
      </c>
      <c r="BD350" s="32">
        <v>331</v>
      </c>
      <c r="BE350" s="32">
        <v>28</v>
      </c>
      <c r="BF350" s="32">
        <v>7</v>
      </c>
      <c r="BG350" s="34">
        <f t="shared" ca="1" si="130"/>
        <v>2046</v>
      </c>
      <c r="BH350" s="32" t="str">
        <f ca="1">IF(MOD(MONTH($D$14)+$BD350-1,12)=Paraméterek!$C$288,"Igen","")</f>
        <v/>
      </c>
      <c r="BI350" s="13">
        <f ca="1">IF($BH350="Igen",MIN(ROUNDDOWN((SUMIF($BG$20:$BG$1027,$BG350-1,$K$20:$K$1027)-SUMIF($BG$20:$BG$1027,$BG350-1,$I$20:$I$1027))*Paraméterek!$C$289,IF($D$4="Forint",0,2)),IF($D$4="Forint",Paraméterek!$C$285,Paraméterek!$D$285)),0)</f>
        <v>0</v>
      </c>
      <c r="BJ350" s="13">
        <f t="shared" ca="1" si="122"/>
        <v>0</v>
      </c>
      <c r="BK350" s="13">
        <f t="shared" ca="1" si="131"/>
        <v>0</v>
      </c>
      <c r="BL350" s="33"/>
      <c r="BM350" s="13">
        <f t="shared" ca="1" si="123"/>
        <v>0</v>
      </c>
      <c r="BN350" s="13">
        <f ca="1">ROUNDUP(($BK350+$BM350)*VLOOKUP($BE350,Paraméterek!$P$38:$Q$38,2)/12*IF($D351="Nem",IF($M$13=0,1,$M$13),1),IF($D$4="Forint",0,2))</f>
        <v>0</v>
      </c>
      <c r="BO350" s="13">
        <f t="shared" ca="1" si="124"/>
        <v>0</v>
      </c>
      <c r="BP350" s="13">
        <f ca="1">IF($D351="Nem",$BO350,$BO350-ROUNDUP(SUM($BI$20:$BI350)*120%,IF($D$4="Forint",0,2)))</f>
        <v>0</v>
      </c>
    </row>
    <row r="351" spans="1:68" x14ac:dyDescent="0.2">
      <c r="A351" s="32">
        <v>332</v>
      </c>
      <c r="B351" s="32">
        <v>28</v>
      </c>
      <c r="C351" s="32">
        <v>8</v>
      </c>
      <c r="D351" s="32" t="str">
        <f t="shared" ca="1" si="110"/>
        <v>Nem</v>
      </c>
      <c r="E351" s="13">
        <f t="shared" ca="1" si="111"/>
        <v>0</v>
      </c>
      <c r="F351" s="13"/>
      <c r="G351" s="13"/>
      <c r="H351" s="13"/>
      <c r="I351" s="13">
        <f t="shared" ca="1" si="112"/>
        <v>0</v>
      </c>
      <c r="J351" s="13">
        <f t="shared" ca="1" si="113"/>
        <v>0</v>
      </c>
      <c r="K351" s="13">
        <f t="shared" ca="1" si="114"/>
        <v>0</v>
      </c>
      <c r="L351" s="13" t="e">
        <f ca="1">ROUNDUP(IF($D$2="Egyszeri",$E351,IF($D$2="Havi",SUM($E$20:$E$31),IF(MOD($C351,$M$1)-1=0,SUM($E$20:$E$31),0))/12*$M$1)*VLOOKUP($B351,Paraméterek!$I$28:$P$31,IF($D$2="Egyszeri",8,HLOOKUP(ROUNDUP($M$11+$M$13,0),Paraméterek!$J$26:$O$27,2))),IF($D$4="Forint",0,2))</f>
        <v>#N/A</v>
      </c>
      <c r="M351" s="13">
        <f t="shared" ca="1" si="115"/>
        <v>0</v>
      </c>
      <c r="N351" s="13">
        <f t="shared" ca="1" si="125"/>
        <v>0</v>
      </c>
      <c r="O351" s="13">
        <f ca="1">IF($D351="Igen",IF($W350&gt;=IF($D$4="Forint",Paraméterek!$J$121,Paraméterek!$K$121),0,IF($D$4="Forint",Paraméterek!$J$121,Paraméterek!$K$121)-$W350),0)</f>
        <v>0</v>
      </c>
      <c r="P351" s="13" t="e">
        <f ca="1">ROUNDUP($O351*VLOOKUP($M$4+$B351-1,Paraméterek!$H$58:$I$105,2,0)/Paraméterek!$I$56,IF($D$4="Forint",0,2))</f>
        <v>#N/A</v>
      </c>
      <c r="Q351" s="13">
        <f t="shared" ca="1" si="116"/>
        <v>0</v>
      </c>
      <c r="R351" s="33"/>
      <c r="S351" s="13" t="e">
        <f t="shared" ca="1" si="117"/>
        <v>#N/A</v>
      </c>
      <c r="T351" s="13" t="e">
        <f ca="1">ROUNDUP(($N351-$P351-$Q351+$S351)*VLOOKUP($B351,Paraméterek!$I$38:$K$39,IF($D$2="Egyszeri",3,2))/12*IF($D352="Nem",IF($M$13=0,1,$M$13),1),IF($D$4="Forint",0,2))</f>
        <v>#N/A</v>
      </c>
      <c r="U351" s="13"/>
      <c r="V351" s="13"/>
      <c r="W351" s="13" t="e">
        <f ca="1">$N351-$P351-$Q351+$S351-$T351-IF(ROUNDUP(IF(ISBLANK($V351),$U351*0,$V351)/IF($D$2="Egyszeri",VLOOKUP($B351+IF($C351=12,1,0),Paraméterek!$V$257:$W$262,2),IF($B351=1,1,VLOOKUP($B351+IF($C351=12,1,0),Paraméterek!$I$258:$T$278,HLOOKUP($M$11+1,Paraméterek!$J$256:$T$257,2)))),IF($D$4="Forint",0,2))&gt;$N351-$P351-$Q351+$S351-$T351-IF($D$4="Forint",Paraméterek!$C$216,Paraméterek!$D$216),0,ROUNDUP(IF(ISBLANK($V351),$U351*0,$V351)/IF($D$2="Egyszeri",VLOOKUP($B351+IF($C351=12,1,0),Paraméterek!$V$257:$W$262,2),IF($B351=1,1,VLOOKUP($B351+IF($C351=12,1,0),Paraméterek!$I$258:$T$278,HLOOKUP($M$11+1,Paraméterek!$J$256:$T$257,2)))),IF($D$4="Forint",0,2)))</f>
        <v>#N/A</v>
      </c>
      <c r="X351" s="13" t="e">
        <f ca="1">ROUNDDOWN($W351*IF($D$2="Egyszeri",VLOOKUP($B351+IF($C351=12,1,0),Paraméterek!$V$257:$W$262,2),VLOOKUP($B351+IF($C351=12,1,0),Paraméterek!$I$258:$T$278,HLOOKUP($M$11+1,Paraméterek!$I$256:$T$257,2))),IF($D$4="Forint",0,2))</f>
        <v>#N/A</v>
      </c>
      <c r="Z351" s="32">
        <v>332</v>
      </c>
      <c r="AA351" s="32">
        <v>28</v>
      </c>
      <c r="AB351" s="32">
        <v>8</v>
      </c>
      <c r="AC351" s="13">
        <f t="shared" ca="1" si="126"/>
        <v>0</v>
      </c>
      <c r="AD351" s="33"/>
      <c r="AE351" s="13">
        <f t="shared" ca="1" si="118"/>
        <v>0</v>
      </c>
      <c r="AF351" s="13">
        <f ca="1">ROUNDUP(($AC351+$AE351)*VLOOKUP($AA351,Paraméterek!$P$38:$Q$38,2)/12*IF($D352="Nem",IF($M$13=0,1,$M$13),1),IF($D$4="Forint",0,2))</f>
        <v>0</v>
      </c>
      <c r="AG351" s="13">
        <f ca="1">IF($D$2="Egyszeri",IF($D$7&gt;=IF($D$4="Forint",Paraméterek!$P$223,Paraméterek!$P$224),$D$7-IF($D$4="Forint",Paraméterek!$P$223,Paraméterek!$P$224),0),MIN(IF($AB351=12,AVERAGEIF($E$20:$E351,"&gt;0",$E$20:$E351)*12,0),SUM($E$20:$E$31)))</f>
        <v>0</v>
      </c>
      <c r="AH351" s="13">
        <f>IF($AA351=10,$AG351*IF($AB351=12,IF($AG351&lt;IF($D$4="Forint",Paraméterek!$L$223,Paraméterek!$L$224),0,VLOOKUP($AA351,Paraméterek!$K$226:$M$228,IF($AG351&lt;IF($D$4="Forint",Paraméterek!$M$223,Paraméterek!$M$224),2,3))),0),0)</f>
        <v>0</v>
      </c>
      <c r="AI351" s="13">
        <f ca="1">IF(AND($AA351=$M$11+1,$AB351=$M$12+1),SUMIF($AA$20:$AA$1027,$AA351,$AG$20:$AG$1027)*IF(SUMIF($AA$20:$AA$1027,$AA351,$AG$20:$AG$1027)&lt;IF($D$4="Forint",Paraméterek!$L$223,Paraméterek!$L$224),0,VLOOKUP($AA351,Paraméterek!$K$230:$M$250,IF(SUMIF($AA$20:$AA$1027,$AA351,$AG$20:$AG$1027)&lt;IF($D$4="Forint",Paraméterek!$M$223,Paraméterek!$M$224),2,3))),0)</f>
        <v>0</v>
      </c>
      <c r="AJ351" s="13">
        <f ca="1">IF(AND($AA351&gt;=5,MOD($AA351,5)=0),IF($AB351=12,VLOOKUP($AA351,Paraméterek!$O$225:$P$240,2),0),IF(OR($AA351=3,$AA351=4),IF($AB351=12,VLOOKUP($AA351,Paraméterek!$O$225:$P$240,2,0),0),0))*$AG351</f>
        <v>0</v>
      </c>
      <c r="AK351" s="13">
        <f t="shared" ca="1" si="119"/>
        <v>0</v>
      </c>
      <c r="AL351" s="13">
        <f t="shared" ca="1" si="127"/>
        <v>0</v>
      </c>
      <c r="AM351" s="13">
        <f t="shared" ca="1" si="128"/>
        <v>0</v>
      </c>
      <c r="AO351" s="32">
        <v>332</v>
      </c>
      <c r="AP351" s="32">
        <v>28</v>
      </c>
      <c r="AQ351" s="32">
        <v>8</v>
      </c>
      <c r="AR351" s="13"/>
      <c r="AS351" s="32"/>
      <c r="AT351" s="13">
        <f t="shared" ca="1" si="129"/>
        <v>0</v>
      </c>
      <c r="AU351" s="33"/>
      <c r="AV351" s="13">
        <f t="shared" ca="1" si="120"/>
        <v>0</v>
      </c>
      <c r="AW351" s="13">
        <f ca="1">ROUNDUP(($AT351+$AV351)*VLOOKUP($AP351,Paraméterek!$P$38:$Q$38,2)/12*IF($D352="Nem",IF($M$13=0,1,$M$13),1),IF($D$4="Forint",0,2))</f>
        <v>0</v>
      </c>
      <c r="AX351" s="13"/>
      <c r="AY351" s="13"/>
      <c r="AZ351" s="13">
        <f>ROUNDUP(IF(SUM($AX351:$AY351)=0,0,IF(IF(ISBLANK($AY351),$AX351,$AY351)*Paraméterek!$J$112&lt;IF($D$4="Forint",Paraméterek!$J$113,Paraméterek!$K$113),IF($D$4="Forint",Paraméterek!$J$113,Paraméterek!$K$113),IF(IF(ISBLANK($AY351),$AX351,$AY351)*Paraméterek!$J$112&gt;IF($D$4="Forint",Paraméterek!$J$114,Paraméterek!$K$114),IF($D$4="Forint",Paraméterek!$J$114,Paraméterek!$K$114),IF(ISBLANK($AY351),$AX351,$AY351)*Paraméterek!$J$112))),IF($D$4="Forint",0,2))</f>
        <v>0</v>
      </c>
      <c r="BA351" s="13">
        <f ca="1">$AT351+$AV351-$AW351-IF(ROUNDDOWN(IF(ISBLANK($AY351),$AX351,$AY351),IF($D$4="Forint",0,2))&gt;$AT351+$AV351-$AW351-IF($D$4="Forint",Paraméterek!$J$114,Paraméterek!$K$114),0,ROUNDDOWN(IF(ISBLANK($AY351),$AX351,$AY351),IF($D$4="Forint",0,2))-$AZ351)</f>
        <v>0</v>
      </c>
      <c r="BB351" s="13">
        <f t="shared" ca="1" si="121"/>
        <v>0</v>
      </c>
      <c r="BD351" s="32">
        <v>332</v>
      </c>
      <c r="BE351" s="32">
        <v>28</v>
      </c>
      <c r="BF351" s="32">
        <v>8</v>
      </c>
      <c r="BG351" s="34">
        <f t="shared" ca="1" si="130"/>
        <v>2047</v>
      </c>
      <c r="BH351" s="32" t="str">
        <f ca="1">IF(MOD(MONTH($D$14)+$BD351-1,12)=Paraméterek!$C$288,"Igen","")</f>
        <v/>
      </c>
      <c r="BI351" s="13">
        <f ca="1">IF($BH351="Igen",MIN(ROUNDDOWN((SUMIF($BG$20:$BG$1027,$BG351-1,$K$20:$K$1027)-SUMIF($BG$20:$BG$1027,$BG351-1,$I$20:$I$1027))*Paraméterek!$C$289,IF($D$4="Forint",0,2)),IF($D$4="Forint",Paraméterek!$C$285,Paraméterek!$D$285)),0)</f>
        <v>0</v>
      </c>
      <c r="BJ351" s="13">
        <f t="shared" ca="1" si="122"/>
        <v>0</v>
      </c>
      <c r="BK351" s="13">
        <f t="shared" ca="1" si="131"/>
        <v>0</v>
      </c>
      <c r="BL351" s="33"/>
      <c r="BM351" s="13">
        <f t="shared" ca="1" si="123"/>
        <v>0</v>
      </c>
      <c r="BN351" s="13">
        <f ca="1">ROUNDUP(($BK351+$BM351)*VLOOKUP($BE351,Paraméterek!$P$38:$Q$38,2)/12*IF($D352="Nem",IF($M$13=0,1,$M$13),1),IF($D$4="Forint",0,2))</f>
        <v>0</v>
      </c>
      <c r="BO351" s="13">
        <f t="shared" ca="1" si="124"/>
        <v>0</v>
      </c>
      <c r="BP351" s="13">
        <f ca="1">IF($D352="Nem",$BO351,$BO351-ROUNDUP(SUM($BI$20:$BI351)*120%,IF($D$4="Forint",0,2)))</f>
        <v>0</v>
      </c>
    </row>
    <row r="352" spans="1:68" x14ac:dyDescent="0.2">
      <c r="A352" s="32">
        <v>333</v>
      </c>
      <c r="B352" s="32">
        <v>28</v>
      </c>
      <c r="C352" s="32">
        <v>9</v>
      </c>
      <c r="D352" s="32" t="str">
        <f t="shared" ca="1" si="110"/>
        <v>Nem</v>
      </c>
      <c r="E352" s="13">
        <f t="shared" ca="1" si="111"/>
        <v>0</v>
      </c>
      <c r="F352" s="13"/>
      <c r="G352" s="13"/>
      <c r="H352" s="13"/>
      <c r="I352" s="13">
        <f t="shared" ca="1" si="112"/>
        <v>0</v>
      </c>
      <c r="J352" s="13">
        <f t="shared" ca="1" si="113"/>
        <v>0</v>
      </c>
      <c r="K352" s="13">
        <f t="shared" ca="1" si="114"/>
        <v>0</v>
      </c>
      <c r="L352" s="13" t="e">
        <f ca="1">ROUNDUP(IF($D$2="Egyszeri",$E352,IF($D$2="Havi",SUM($E$20:$E$31),IF(MOD($C352,$M$1)-1=0,SUM($E$20:$E$31),0))/12*$M$1)*VLOOKUP($B352,Paraméterek!$I$28:$P$31,IF($D$2="Egyszeri",8,HLOOKUP(ROUNDUP($M$11+$M$13,0),Paraméterek!$J$26:$O$27,2))),IF($D$4="Forint",0,2))</f>
        <v>#N/A</v>
      </c>
      <c r="M352" s="13">
        <f t="shared" ca="1" si="115"/>
        <v>0</v>
      </c>
      <c r="N352" s="13">
        <f t="shared" ca="1" si="125"/>
        <v>0</v>
      </c>
      <c r="O352" s="13">
        <f ca="1">IF($D352="Igen",IF($W351&gt;=IF($D$4="Forint",Paraméterek!$J$121,Paraméterek!$K$121),0,IF($D$4="Forint",Paraméterek!$J$121,Paraméterek!$K$121)-$W351),0)</f>
        <v>0</v>
      </c>
      <c r="P352" s="13" t="e">
        <f ca="1">ROUNDUP($O352*VLOOKUP($M$4+$B352-1,Paraméterek!$H$58:$I$105,2,0)/Paraméterek!$I$56,IF($D$4="Forint",0,2))</f>
        <v>#N/A</v>
      </c>
      <c r="Q352" s="13">
        <f t="shared" ca="1" si="116"/>
        <v>0</v>
      </c>
      <c r="R352" s="33"/>
      <c r="S352" s="13" t="e">
        <f t="shared" ca="1" si="117"/>
        <v>#N/A</v>
      </c>
      <c r="T352" s="13" t="e">
        <f ca="1">ROUNDUP(($N352-$P352-$Q352+$S352)*VLOOKUP($B352,Paraméterek!$I$38:$K$39,IF($D$2="Egyszeri",3,2))/12*IF($D353="Nem",IF($M$13=0,1,$M$13),1),IF($D$4="Forint",0,2))</f>
        <v>#N/A</v>
      </c>
      <c r="U352" s="13"/>
      <c r="V352" s="13"/>
      <c r="W352" s="13" t="e">
        <f ca="1">$N352-$P352-$Q352+$S352-$T352-IF(ROUNDUP(IF(ISBLANK($V352),$U352*0,$V352)/IF($D$2="Egyszeri",VLOOKUP($B352+IF($C352=12,1,0),Paraméterek!$V$257:$W$262,2),IF($B352=1,1,VLOOKUP($B352+IF($C352=12,1,0),Paraméterek!$I$258:$T$278,HLOOKUP($M$11+1,Paraméterek!$J$256:$T$257,2)))),IF($D$4="Forint",0,2))&gt;$N352-$P352-$Q352+$S352-$T352-IF($D$4="Forint",Paraméterek!$C$216,Paraméterek!$D$216),0,ROUNDUP(IF(ISBLANK($V352),$U352*0,$V352)/IF($D$2="Egyszeri",VLOOKUP($B352+IF($C352=12,1,0),Paraméterek!$V$257:$W$262,2),IF($B352=1,1,VLOOKUP($B352+IF($C352=12,1,0),Paraméterek!$I$258:$T$278,HLOOKUP($M$11+1,Paraméterek!$J$256:$T$257,2)))),IF($D$4="Forint",0,2)))</f>
        <v>#N/A</v>
      </c>
      <c r="X352" s="13" t="e">
        <f ca="1">ROUNDDOWN($W352*IF($D$2="Egyszeri",VLOOKUP($B352+IF($C352=12,1,0),Paraméterek!$V$257:$W$262,2),VLOOKUP($B352+IF($C352=12,1,0),Paraméterek!$I$258:$T$278,HLOOKUP($M$11+1,Paraméterek!$I$256:$T$257,2))),IF($D$4="Forint",0,2))</f>
        <v>#N/A</v>
      </c>
      <c r="Z352" s="32">
        <v>333</v>
      </c>
      <c r="AA352" s="32">
        <v>28</v>
      </c>
      <c r="AB352" s="32">
        <v>9</v>
      </c>
      <c r="AC352" s="13">
        <f t="shared" ca="1" si="126"/>
        <v>0</v>
      </c>
      <c r="AD352" s="33"/>
      <c r="AE352" s="13">
        <f t="shared" ca="1" si="118"/>
        <v>0</v>
      </c>
      <c r="AF352" s="13">
        <f ca="1">ROUNDUP(($AC352+$AE352)*VLOOKUP($AA352,Paraméterek!$P$38:$Q$38,2)/12*IF($D353="Nem",IF($M$13=0,1,$M$13),1),IF($D$4="Forint",0,2))</f>
        <v>0</v>
      </c>
      <c r="AG352" s="13">
        <f ca="1">IF($D$2="Egyszeri",IF($D$7&gt;=IF($D$4="Forint",Paraméterek!$P$223,Paraméterek!$P$224),$D$7-IF($D$4="Forint",Paraméterek!$P$223,Paraméterek!$P$224),0),MIN(IF($AB352=12,AVERAGEIF($E$20:$E352,"&gt;0",$E$20:$E352)*12,0),SUM($E$20:$E$31)))</f>
        <v>0</v>
      </c>
      <c r="AH352" s="13">
        <f>IF($AA352=10,$AG352*IF($AB352=12,IF($AG352&lt;IF($D$4="Forint",Paraméterek!$L$223,Paraméterek!$L$224),0,VLOOKUP($AA352,Paraméterek!$K$226:$M$228,IF($AG352&lt;IF($D$4="Forint",Paraméterek!$M$223,Paraméterek!$M$224),2,3))),0),0)</f>
        <v>0</v>
      </c>
      <c r="AI352" s="13">
        <f ca="1">IF(AND($AA352=$M$11+1,$AB352=$M$12+1),SUMIF($AA$20:$AA$1027,$AA352,$AG$20:$AG$1027)*IF(SUMIF($AA$20:$AA$1027,$AA352,$AG$20:$AG$1027)&lt;IF($D$4="Forint",Paraméterek!$L$223,Paraméterek!$L$224),0,VLOOKUP($AA352,Paraméterek!$K$230:$M$250,IF(SUMIF($AA$20:$AA$1027,$AA352,$AG$20:$AG$1027)&lt;IF($D$4="Forint",Paraméterek!$M$223,Paraméterek!$M$224),2,3))),0)</f>
        <v>0</v>
      </c>
      <c r="AJ352" s="13">
        <f ca="1">IF(AND($AA352&gt;=5,MOD($AA352,5)=0),IF($AB352=12,VLOOKUP($AA352,Paraméterek!$O$225:$P$240,2),0),IF(OR($AA352=3,$AA352=4),IF($AB352=12,VLOOKUP($AA352,Paraméterek!$O$225:$P$240,2,0),0),0))*$AG352</f>
        <v>0</v>
      </c>
      <c r="AK352" s="13">
        <f t="shared" ca="1" si="119"/>
        <v>0</v>
      </c>
      <c r="AL352" s="13">
        <f t="shared" ca="1" si="127"/>
        <v>0</v>
      </c>
      <c r="AM352" s="13">
        <f t="shared" ca="1" si="128"/>
        <v>0</v>
      </c>
      <c r="AO352" s="32">
        <v>333</v>
      </c>
      <c r="AP352" s="32">
        <v>28</v>
      </c>
      <c r="AQ352" s="32">
        <v>9</v>
      </c>
      <c r="AR352" s="13"/>
      <c r="AS352" s="32"/>
      <c r="AT352" s="13">
        <f t="shared" ca="1" si="129"/>
        <v>0</v>
      </c>
      <c r="AU352" s="33"/>
      <c r="AV352" s="13">
        <f t="shared" ca="1" si="120"/>
        <v>0</v>
      </c>
      <c r="AW352" s="13">
        <f ca="1">ROUNDUP(($AT352+$AV352)*VLOOKUP($AP352,Paraméterek!$P$38:$Q$38,2)/12*IF($D353="Nem",IF($M$13=0,1,$M$13),1),IF($D$4="Forint",0,2))</f>
        <v>0</v>
      </c>
      <c r="AX352" s="13"/>
      <c r="AY352" s="13"/>
      <c r="AZ352" s="13">
        <f>ROUNDUP(IF(SUM($AX352:$AY352)=0,0,IF(IF(ISBLANK($AY352),$AX352,$AY352)*Paraméterek!$J$112&lt;IF($D$4="Forint",Paraméterek!$J$113,Paraméterek!$K$113),IF($D$4="Forint",Paraméterek!$J$113,Paraméterek!$K$113),IF(IF(ISBLANK($AY352),$AX352,$AY352)*Paraméterek!$J$112&gt;IF($D$4="Forint",Paraméterek!$J$114,Paraméterek!$K$114),IF($D$4="Forint",Paraméterek!$J$114,Paraméterek!$K$114),IF(ISBLANK($AY352),$AX352,$AY352)*Paraméterek!$J$112))),IF($D$4="Forint",0,2))</f>
        <v>0</v>
      </c>
      <c r="BA352" s="13">
        <f ca="1">$AT352+$AV352-$AW352-IF(ROUNDDOWN(IF(ISBLANK($AY352),$AX352,$AY352),IF($D$4="Forint",0,2))&gt;$AT352+$AV352-$AW352-IF($D$4="Forint",Paraméterek!$J$114,Paraméterek!$K$114),0,ROUNDDOWN(IF(ISBLANK($AY352),$AX352,$AY352),IF($D$4="Forint",0,2))-$AZ352)</f>
        <v>0</v>
      </c>
      <c r="BB352" s="13">
        <f t="shared" ca="1" si="121"/>
        <v>0</v>
      </c>
      <c r="BD352" s="32">
        <v>333</v>
      </c>
      <c r="BE352" s="32">
        <v>28</v>
      </c>
      <c r="BF352" s="32">
        <v>9</v>
      </c>
      <c r="BG352" s="34">
        <f t="shared" ca="1" si="130"/>
        <v>2047</v>
      </c>
      <c r="BH352" s="32" t="str">
        <f ca="1">IF(MOD(MONTH($D$14)+$BD352-1,12)=Paraméterek!$C$288,"Igen","")</f>
        <v/>
      </c>
      <c r="BI352" s="13">
        <f ca="1">IF($BH352="Igen",MIN(ROUNDDOWN((SUMIF($BG$20:$BG$1027,$BG352-1,$K$20:$K$1027)-SUMIF($BG$20:$BG$1027,$BG352-1,$I$20:$I$1027))*Paraméterek!$C$289,IF($D$4="Forint",0,2)),IF($D$4="Forint",Paraméterek!$C$285,Paraméterek!$D$285)),0)</f>
        <v>0</v>
      </c>
      <c r="BJ352" s="13">
        <f t="shared" ca="1" si="122"/>
        <v>0</v>
      </c>
      <c r="BK352" s="13">
        <f t="shared" ca="1" si="131"/>
        <v>0</v>
      </c>
      <c r="BL352" s="33"/>
      <c r="BM352" s="13">
        <f t="shared" ca="1" si="123"/>
        <v>0</v>
      </c>
      <c r="BN352" s="13">
        <f ca="1">ROUNDUP(($BK352+$BM352)*VLOOKUP($BE352,Paraméterek!$P$38:$Q$38,2)/12*IF($D353="Nem",IF($M$13=0,1,$M$13),1),IF($D$4="Forint",0,2))</f>
        <v>0</v>
      </c>
      <c r="BO352" s="13">
        <f t="shared" ca="1" si="124"/>
        <v>0</v>
      </c>
      <c r="BP352" s="13">
        <f ca="1">IF($D353="Nem",$BO352,$BO352-ROUNDUP(SUM($BI$20:$BI352)*120%,IF($D$4="Forint",0,2)))</f>
        <v>0</v>
      </c>
    </row>
    <row r="353" spans="1:68" x14ac:dyDescent="0.2">
      <c r="A353" s="32">
        <v>334</v>
      </c>
      <c r="B353" s="32">
        <v>28</v>
      </c>
      <c r="C353" s="32">
        <v>10</v>
      </c>
      <c r="D353" s="32" t="str">
        <f t="shared" ca="1" si="110"/>
        <v>Nem</v>
      </c>
      <c r="E353" s="13">
        <f t="shared" ca="1" si="111"/>
        <v>0</v>
      </c>
      <c r="F353" s="13"/>
      <c r="G353" s="13"/>
      <c r="H353" s="13"/>
      <c r="I353" s="13">
        <f t="shared" ca="1" si="112"/>
        <v>0</v>
      </c>
      <c r="J353" s="13">
        <f t="shared" ca="1" si="113"/>
        <v>0</v>
      </c>
      <c r="K353" s="13">
        <f t="shared" ca="1" si="114"/>
        <v>0</v>
      </c>
      <c r="L353" s="13" t="e">
        <f ca="1">ROUNDUP(IF($D$2="Egyszeri",$E353,IF($D$2="Havi",SUM($E$20:$E$31),IF(MOD($C353,$M$1)-1=0,SUM($E$20:$E$31),0))/12*$M$1)*VLOOKUP($B353,Paraméterek!$I$28:$P$31,IF($D$2="Egyszeri",8,HLOOKUP(ROUNDUP($M$11+$M$13,0),Paraméterek!$J$26:$O$27,2))),IF($D$4="Forint",0,2))</f>
        <v>#N/A</v>
      </c>
      <c r="M353" s="13">
        <f t="shared" ca="1" si="115"/>
        <v>0</v>
      </c>
      <c r="N353" s="13">
        <f t="shared" ca="1" si="125"/>
        <v>0</v>
      </c>
      <c r="O353" s="13">
        <f ca="1">IF($D353="Igen",IF($W352&gt;=IF($D$4="Forint",Paraméterek!$J$121,Paraméterek!$K$121),0,IF($D$4="Forint",Paraméterek!$J$121,Paraméterek!$K$121)-$W352),0)</f>
        <v>0</v>
      </c>
      <c r="P353" s="13" t="e">
        <f ca="1">ROUNDUP($O353*VLOOKUP($M$4+$B353-1,Paraméterek!$H$58:$I$105,2,0)/Paraméterek!$I$56,IF($D$4="Forint",0,2))</f>
        <v>#N/A</v>
      </c>
      <c r="Q353" s="13">
        <f t="shared" ca="1" si="116"/>
        <v>0</v>
      </c>
      <c r="R353" s="33"/>
      <c r="S353" s="13" t="e">
        <f t="shared" ca="1" si="117"/>
        <v>#N/A</v>
      </c>
      <c r="T353" s="13" t="e">
        <f ca="1">ROUNDUP(($N353-$P353-$Q353+$S353)*VLOOKUP($B353,Paraméterek!$I$38:$K$39,IF($D$2="Egyszeri",3,2))/12*IF($D354="Nem",IF($M$13=0,1,$M$13),1),IF($D$4="Forint",0,2))</f>
        <v>#N/A</v>
      </c>
      <c r="U353" s="13"/>
      <c r="V353" s="13"/>
      <c r="W353" s="13" t="e">
        <f ca="1">$N353-$P353-$Q353+$S353-$T353-IF(ROUNDUP(IF(ISBLANK($V353),$U353*0,$V353)/IF($D$2="Egyszeri",VLOOKUP($B353+IF($C353=12,1,0),Paraméterek!$V$257:$W$262,2),IF($B353=1,1,VLOOKUP($B353+IF($C353=12,1,0),Paraméterek!$I$258:$T$278,HLOOKUP($M$11+1,Paraméterek!$J$256:$T$257,2)))),IF($D$4="Forint",0,2))&gt;$N353-$P353-$Q353+$S353-$T353-IF($D$4="Forint",Paraméterek!$C$216,Paraméterek!$D$216),0,ROUNDUP(IF(ISBLANK($V353),$U353*0,$V353)/IF($D$2="Egyszeri",VLOOKUP($B353+IF($C353=12,1,0),Paraméterek!$V$257:$W$262,2),IF($B353=1,1,VLOOKUP($B353+IF($C353=12,1,0),Paraméterek!$I$258:$T$278,HLOOKUP($M$11+1,Paraméterek!$J$256:$T$257,2)))),IF($D$4="Forint",0,2)))</f>
        <v>#N/A</v>
      </c>
      <c r="X353" s="13" t="e">
        <f ca="1">ROUNDDOWN($W353*IF($D$2="Egyszeri",VLOOKUP($B353+IF($C353=12,1,0),Paraméterek!$V$257:$W$262,2),VLOOKUP($B353+IF($C353=12,1,0),Paraméterek!$I$258:$T$278,HLOOKUP($M$11+1,Paraméterek!$I$256:$T$257,2))),IF($D$4="Forint",0,2))</f>
        <v>#N/A</v>
      </c>
      <c r="Z353" s="32">
        <v>334</v>
      </c>
      <c r="AA353" s="32">
        <v>28</v>
      </c>
      <c r="AB353" s="32">
        <v>10</v>
      </c>
      <c r="AC353" s="13">
        <f t="shared" ca="1" si="126"/>
        <v>0</v>
      </c>
      <c r="AD353" s="33"/>
      <c r="AE353" s="13">
        <f t="shared" ca="1" si="118"/>
        <v>0</v>
      </c>
      <c r="AF353" s="13">
        <f ca="1">ROUNDUP(($AC353+$AE353)*VLOOKUP($AA353,Paraméterek!$P$38:$Q$38,2)/12*IF($D354="Nem",IF($M$13=0,1,$M$13),1),IF($D$4="Forint",0,2))</f>
        <v>0</v>
      </c>
      <c r="AG353" s="13">
        <f ca="1">IF($D$2="Egyszeri",IF($D$7&gt;=IF($D$4="Forint",Paraméterek!$P$223,Paraméterek!$P$224),$D$7-IF($D$4="Forint",Paraméterek!$P$223,Paraméterek!$P$224),0),MIN(IF($AB353=12,AVERAGEIF($E$20:$E353,"&gt;0",$E$20:$E353)*12,0),SUM($E$20:$E$31)))</f>
        <v>0</v>
      </c>
      <c r="AH353" s="13">
        <f>IF($AA353=10,$AG353*IF($AB353=12,IF($AG353&lt;IF($D$4="Forint",Paraméterek!$L$223,Paraméterek!$L$224),0,VLOOKUP($AA353,Paraméterek!$K$226:$M$228,IF($AG353&lt;IF($D$4="Forint",Paraméterek!$M$223,Paraméterek!$M$224),2,3))),0),0)</f>
        <v>0</v>
      </c>
      <c r="AI353" s="13">
        <f ca="1">IF(AND($AA353=$M$11+1,$AB353=$M$12+1),SUMIF($AA$20:$AA$1027,$AA353,$AG$20:$AG$1027)*IF(SUMIF($AA$20:$AA$1027,$AA353,$AG$20:$AG$1027)&lt;IF($D$4="Forint",Paraméterek!$L$223,Paraméterek!$L$224),0,VLOOKUP($AA353,Paraméterek!$K$230:$M$250,IF(SUMIF($AA$20:$AA$1027,$AA353,$AG$20:$AG$1027)&lt;IF($D$4="Forint",Paraméterek!$M$223,Paraméterek!$M$224),2,3))),0)</f>
        <v>0</v>
      </c>
      <c r="AJ353" s="13">
        <f ca="1">IF(AND($AA353&gt;=5,MOD($AA353,5)=0),IF($AB353=12,VLOOKUP($AA353,Paraméterek!$O$225:$P$240,2),0),IF(OR($AA353=3,$AA353=4),IF($AB353=12,VLOOKUP($AA353,Paraméterek!$O$225:$P$240,2,0),0),0))*$AG353</f>
        <v>0</v>
      </c>
      <c r="AK353" s="13">
        <f t="shared" ca="1" si="119"/>
        <v>0</v>
      </c>
      <c r="AL353" s="13">
        <f t="shared" ca="1" si="127"/>
        <v>0</v>
      </c>
      <c r="AM353" s="13">
        <f t="shared" ca="1" si="128"/>
        <v>0</v>
      </c>
      <c r="AO353" s="32">
        <v>334</v>
      </c>
      <c r="AP353" s="32">
        <v>28</v>
      </c>
      <c r="AQ353" s="32">
        <v>10</v>
      </c>
      <c r="AR353" s="13"/>
      <c r="AS353" s="32"/>
      <c r="AT353" s="13">
        <f t="shared" ca="1" si="129"/>
        <v>0</v>
      </c>
      <c r="AU353" s="33"/>
      <c r="AV353" s="13">
        <f t="shared" ca="1" si="120"/>
        <v>0</v>
      </c>
      <c r="AW353" s="13">
        <f ca="1">ROUNDUP(($AT353+$AV353)*VLOOKUP($AP353,Paraméterek!$P$38:$Q$38,2)/12*IF($D354="Nem",IF($M$13=0,1,$M$13),1),IF($D$4="Forint",0,2))</f>
        <v>0</v>
      </c>
      <c r="AX353" s="13"/>
      <c r="AY353" s="13"/>
      <c r="AZ353" s="13">
        <f>ROUNDUP(IF(SUM($AX353:$AY353)=0,0,IF(IF(ISBLANK($AY353),$AX353,$AY353)*Paraméterek!$J$112&lt;IF($D$4="Forint",Paraméterek!$J$113,Paraméterek!$K$113),IF($D$4="Forint",Paraméterek!$J$113,Paraméterek!$K$113),IF(IF(ISBLANK($AY353),$AX353,$AY353)*Paraméterek!$J$112&gt;IF($D$4="Forint",Paraméterek!$J$114,Paraméterek!$K$114),IF($D$4="Forint",Paraméterek!$J$114,Paraméterek!$K$114),IF(ISBLANK($AY353),$AX353,$AY353)*Paraméterek!$J$112))),IF($D$4="Forint",0,2))</f>
        <v>0</v>
      </c>
      <c r="BA353" s="13">
        <f ca="1">$AT353+$AV353-$AW353-IF(ROUNDDOWN(IF(ISBLANK($AY353),$AX353,$AY353),IF($D$4="Forint",0,2))&gt;$AT353+$AV353-$AW353-IF($D$4="Forint",Paraméterek!$J$114,Paraméterek!$K$114),0,ROUNDDOWN(IF(ISBLANK($AY353),$AX353,$AY353),IF($D$4="Forint",0,2))-$AZ353)</f>
        <v>0</v>
      </c>
      <c r="BB353" s="13">
        <f t="shared" ca="1" si="121"/>
        <v>0</v>
      </c>
      <c r="BD353" s="32">
        <v>334</v>
      </c>
      <c r="BE353" s="32">
        <v>28</v>
      </c>
      <c r="BF353" s="32">
        <v>10</v>
      </c>
      <c r="BG353" s="34">
        <f t="shared" ca="1" si="130"/>
        <v>2047</v>
      </c>
      <c r="BH353" s="32" t="str">
        <f ca="1">IF(MOD(MONTH($D$14)+$BD353-1,12)=Paraméterek!$C$288,"Igen","")</f>
        <v/>
      </c>
      <c r="BI353" s="13">
        <f ca="1">IF($BH353="Igen",MIN(ROUNDDOWN((SUMIF($BG$20:$BG$1027,$BG353-1,$K$20:$K$1027)-SUMIF($BG$20:$BG$1027,$BG353-1,$I$20:$I$1027))*Paraméterek!$C$289,IF($D$4="Forint",0,2)),IF($D$4="Forint",Paraméterek!$C$285,Paraméterek!$D$285)),0)</f>
        <v>0</v>
      </c>
      <c r="BJ353" s="13">
        <f t="shared" ca="1" si="122"/>
        <v>0</v>
      </c>
      <c r="BK353" s="13">
        <f t="shared" ca="1" si="131"/>
        <v>0</v>
      </c>
      <c r="BL353" s="33"/>
      <c r="BM353" s="13">
        <f t="shared" ca="1" si="123"/>
        <v>0</v>
      </c>
      <c r="BN353" s="13">
        <f ca="1">ROUNDUP(($BK353+$BM353)*VLOOKUP($BE353,Paraméterek!$P$38:$Q$38,2)/12*IF($D354="Nem",IF($M$13=0,1,$M$13),1),IF($D$4="Forint",0,2))</f>
        <v>0</v>
      </c>
      <c r="BO353" s="13">
        <f t="shared" ca="1" si="124"/>
        <v>0</v>
      </c>
      <c r="BP353" s="13">
        <f ca="1">IF($D354="Nem",$BO353,$BO353-ROUNDUP(SUM($BI$20:$BI353)*120%,IF($D$4="Forint",0,2)))</f>
        <v>0</v>
      </c>
    </row>
    <row r="354" spans="1:68" x14ac:dyDescent="0.2">
      <c r="A354" s="32">
        <v>335</v>
      </c>
      <c r="B354" s="32">
        <v>28</v>
      </c>
      <c r="C354" s="32">
        <v>11</v>
      </c>
      <c r="D354" s="32" t="str">
        <f t="shared" ca="1" si="110"/>
        <v>Nem</v>
      </c>
      <c r="E354" s="13">
        <f t="shared" ca="1" si="111"/>
        <v>0</v>
      </c>
      <c r="F354" s="13"/>
      <c r="G354" s="13"/>
      <c r="H354" s="13"/>
      <c r="I354" s="13">
        <f t="shared" ca="1" si="112"/>
        <v>0</v>
      </c>
      <c r="J354" s="13">
        <f t="shared" ca="1" si="113"/>
        <v>0</v>
      </c>
      <c r="K354" s="13">
        <f t="shared" ca="1" si="114"/>
        <v>0</v>
      </c>
      <c r="L354" s="13" t="e">
        <f ca="1">ROUNDUP(IF($D$2="Egyszeri",$E354,IF($D$2="Havi",SUM($E$20:$E$31),IF(MOD($C354,$M$1)-1=0,SUM($E$20:$E$31),0))/12*$M$1)*VLOOKUP($B354,Paraméterek!$I$28:$P$31,IF($D$2="Egyszeri",8,HLOOKUP(ROUNDUP($M$11+$M$13,0),Paraméterek!$J$26:$O$27,2))),IF($D$4="Forint",0,2))</f>
        <v>#N/A</v>
      </c>
      <c r="M354" s="13">
        <f t="shared" ca="1" si="115"/>
        <v>0</v>
      </c>
      <c r="N354" s="13">
        <f t="shared" ca="1" si="125"/>
        <v>0</v>
      </c>
      <c r="O354" s="13">
        <f ca="1">IF($D354="Igen",IF($W353&gt;=IF($D$4="Forint",Paraméterek!$J$121,Paraméterek!$K$121),0,IF($D$4="Forint",Paraméterek!$J$121,Paraméterek!$K$121)-$W353),0)</f>
        <v>0</v>
      </c>
      <c r="P354" s="13" t="e">
        <f ca="1">ROUNDUP($O354*VLOOKUP($M$4+$B354-1,Paraméterek!$H$58:$I$105,2,0)/Paraméterek!$I$56,IF($D$4="Forint",0,2))</f>
        <v>#N/A</v>
      </c>
      <c r="Q354" s="13">
        <f t="shared" ca="1" si="116"/>
        <v>0</v>
      </c>
      <c r="R354" s="33"/>
      <c r="S354" s="13" t="e">
        <f t="shared" ca="1" si="117"/>
        <v>#N/A</v>
      </c>
      <c r="T354" s="13" t="e">
        <f ca="1">ROUNDUP(($N354-$P354-$Q354+$S354)*VLOOKUP($B354,Paraméterek!$I$38:$K$39,IF($D$2="Egyszeri",3,2))/12*IF($D355="Nem",IF($M$13=0,1,$M$13),1),IF($D$4="Forint",0,2))</f>
        <v>#N/A</v>
      </c>
      <c r="U354" s="13"/>
      <c r="V354" s="13"/>
      <c r="W354" s="13" t="e">
        <f ca="1">$N354-$P354-$Q354+$S354-$T354-IF(ROUNDUP(IF(ISBLANK($V354),$U354*0,$V354)/IF($D$2="Egyszeri",VLOOKUP($B354+IF($C354=12,1,0),Paraméterek!$V$257:$W$262,2),IF($B354=1,1,VLOOKUP($B354+IF($C354=12,1,0),Paraméterek!$I$258:$T$278,HLOOKUP($M$11+1,Paraméterek!$J$256:$T$257,2)))),IF($D$4="Forint",0,2))&gt;$N354-$P354-$Q354+$S354-$T354-IF($D$4="Forint",Paraméterek!$C$216,Paraméterek!$D$216),0,ROUNDUP(IF(ISBLANK($V354),$U354*0,$V354)/IF($D$2="Egyszeri",VLOOKUP($B354+IF($C354=12,1,0),Paraméterek!$V$257:$W$262,2),IF($B354=1,1,VLOOKUP($B354+IF($C354=12,1,0),Paraméterek!$I$258:$T$278,HLOOKUP($M$11+1,Paraméterek!$J$256:$T$257,2)))),IF($D$4="Forint",0,2)))</f>
        <v>#N/A</v>
      </c>
      <c r="X354" s="13" t="e">
        <f ca="1">ROUNDDOWN($W354*IF($D$2="Egyszeri",VLOOKUP($B354+IF($C354=12,1,0),Paraméterek!$V$257:$W$262,2),VLOOKUP($B354+IF($C354=12,1,0),Paraméterek!$I$258:$T$278,HLOOKUP($M$11+1,Paraméterek!$I$256:$T$257,2))),IF($D$4="Forint",0,2))</f>
        <v>#N/A</v>
      </c>
      <c r="Z354" s="32">
        <v>335</v>
      </c>
      <c r="AA354" s="32">
        <v>28</v>
      </c>
      <c r="AB354" s="32">
        <v>11</v>
      </c>
      <c r="AC354" s="13">
        <f t="shared" ca="1" si="126"/>
        <v>0</v>
      </c>
      <c r="AD354" s="33"/>
      <c r="AE354" s="13">
        <f t="shared" ca="1" si="118"/>
        <v>0</v>
      </c>
      <c r="AF354" s="13">
        <f ca="1">ROUNDUP(($AC354+$AE354)*VLOOKUP($AA354,Paraméterek!$P$38:$Q$38,2)/12*IF($D355="Nem",IF($M$13=0,1,$M$13),1),IF($D$4="Forint",0,2))</f>
        <v>0</v>
      </c>
      <c r="AG354" s="13">
        <f ca="1">IF($D$2="Egyszeri",IF($D$7&gt;=IF($D$4="Forint",Paraméterek!$P$223,Paraméterek!$P$224),$D$7-IF($D$4="Forint",Paraméterek!$P$223,Paraméterek!$P$224),0),MIN(IF($AB354=12,AVERAGEIF($E$20:$E354,"&gt;0",$E$20:$E354)*12,0),SUM($E$20:$E$31)))</f>
        <v>0</v>
      </c>
      <c r="AH354" s="13">
        <f>IF($AA354=10,$AG354*IF($AB354=12,IF($AG354&lt;IF($D$4="Forint",Paraméterek!$L$223,Paraméterek!$L$224),0,VLOOKUP($AA354,Paraméterek!$K$226:$M$228,IF($AG354&lt;IF($D$4="Forint",Paraméterek!$M$223,Paraméterek!$M$224),2,3))),0),0)</f>
        <v>0</v>
      </c>
      <c r="AI354" s="13">
        <f ca="1">IF(AND($AA354=$M$11+1,$AB354=$M$12+1),SUMIF($AA$20:$AA$1027,$AA354,$AG$20:$AG$1027)*IF(SUMIF($AA$20:$AA$1027,$AA354,$AG$20:$AG$1027)&lt;IF($D$4="Forint",Paraméterek!$L$223,Paraméterek!$L$224),0,VLOOKUP($AA354,Paraméterek!$K$230:$M$250,IF(SUMIF($AA$20:$AA$1027,$AA354,$AG$20:$AG$1027)&lt;IF($D$4="Forint",Paraméterek!$M$223,Paraméterek!$M$224),2,3))),0)</f>
        <v>0</v>
      </c>
      <c r="AJ354" s="13">
        <f ca="1">IF(AND($AA354&gt;=5,MOD($AA354,5)=0),IF($AB354=12,VLOOKUP($AA354,Paraméterek!$O$225:$P$240,2),0),IF(OR($AA354=3,$AA354=4),IF($AB354=12,VLOOKUP($AA354,Paraméterek!$O$225:$P$240,2,0),0),0))*$AG354</f>
        <v>0</v>
      </c>
      <c r="AK354" s="13">
        <f t="shared" ca="1" si="119"/>
        <v>0</v>
      </c>
      <c r="AL354" s="13">
        <f t="shared" ca="1" si="127"/>
        <v>0</v>
      </c>
      <c r="AM354" s="13">
        <f t="shared" ca="1" si="128"/>
        <v>0</v>
      </c>
      <c r="AO354" s="32">
        <v>335</v>
      </c>
      <c r="AP354" s="32">
        <v>28</v>
      </c>
      <c r="AQ354" s="32">
        <v>11</v>
      </c>
      <c r="AR354" s="13"/>
      <c r="AS354" s="32"/>
      <c r="AT354" s="13">
        <f t="shared" ca="1" si="129"/>
        <v>0</v>
      </c>
      <c r="AU354" s="33"/>
      <c r="AV354" s="13">
        <f t="shared" ca="1" si="120"/>
        <v>0</v>
      </c>
      <c r="AW354" s="13">
        <f ca="1">ROUNDUP(($AT354+$AV354)*VLOOKUP($AP354,Paraméterek!$P$38:$Q$38,2)/12*IF($D355="Nem",IF($M$13=0,1,$M$13),1),IF($D$4="Forint",0,2))</f>
        <v>0</v>
      </c>
      <c r="AX354" s="13"/>
      <c r="AY354" s="13"/>
      <c r="AZ354" s="13">
        <f>ROUNDUP(IF(SUM($AX354:$AY354)=0,0,IF(IF(ISBLANK($AY354),$AX354,$AY354)*Paraméterek!$J$112&lt;IF($D$4="Forint",Paraméterek!$J$113,Paraméterek!$K$113),IF($D$4="Forint",Paraméterek!$J$113,Paraméterek!$K$113),IF(IF(ISBLANK($AY354),$AX354,$AY354)*Paraméterek!$J$112&gt;IF($D$4="Forint",Paraméterek!$J$114,Paraméterek!$K$114),IF($D$4="Forint",Paraméterek!$J$114,Paraméterek!$K$114),IF(ISBLANK($AY354),$AX354,$AY354)*Paraméterek!$J$112))),IF($D$4="Forint",0,2))</f>
        <v>0</v>
      </c>
      <c r="BA354" s="13">
        <f ca="1">$AT354+$AV354-$AW354-IF(ROUNDDOWN(IF(ISBLANK($AY354),$AX354,$AY354),IF($D$4="Forint",0,2))&gt;$AT354+$AV354-$AW354-IF($D$4="Forint",Paraméterek!$J$114,Paraméterek!$K$114),0,ROUNDDOWN(IF(ISBLANK($AY354),$AX354,$AY354),IF($D$4="Forint",0,2))-$AZ354)</f>
        <v>0</v>
      </c>
      <c r="BB354" s="13">
        <f t="shared" ca="1" si="121"/>
        <v>0</v>
      </c>
      <c r="BD354" s="32">
        <v>335</v>
      </c>
      <c r="BE354" s="32">
        <v>28</v>
      </c>
      <c r="BF354" s="32">
        <v>11</v>
      </c>
      <c r="BG354" s="34">
        <f t="shared" ca="1" si="130"/>
        <v>2047</v>
      </c>
      <c r="BH354" s="32" t="str">
        <f ca="1">IF(MOD(MONTH($D$14)+$BD354-1,12)=Paraméterek!$C$288,"Igen","")</f>
        <v/>
      </c>
      <c r="BI354" s="13">
        <f ca="1">IF($BH354="Igen",MIN(ROUNDDOWN((SUMIF($BG$20:$BG$1027,$BG354-1,$K$20:$K$1027)-SUMIF($BG$20:$BG$1027,$BG354-1,$I$20:$I$1027))*Paraméterek!$C$289,IF($D$4="Forint",0,2)),IF($D$4="Forint",Paraméterek!$C$285,Paraméterek!$D$285)),0)</f>
        <v>0</v>
      </c>
      <c r="BJ354" s="13">
        <f t="shared" ca="1" si="122"/>
        <v>0</v>
      </c>
      <c r="BK354" s="13">
        <f t="shared" ca="1" si="131"/>
        <v>0</v>
      </c>
      <c r="BL354" s="33"/>
      <c r="BM354" s="13">
        <f t="shared" ca="1" si="123"/>
        <v>0</v>
      </c>
      <c r="BN354" s="13">
        <f ca="1">ROUNDUP(($BK354+$BM354)*VLOOKUP($BE354,Paraméterek!$P$38:$Q$38,2)/12*IF($D355="Nem",IF($M$13=0,1,$M$13),1),IF($D$4="Forint",0,2))</f>
        <v>0</v>
      </c>
      <c r="BO354" s="13">
        <f t="shared" ca="1" si="124"/>
        <v>0</v>
      </c>
      <c r="BP354" s="13">
        <f ca="1">IF($D355="Nem",$BO354,$BO354-ROUNDUP(SUM($BI$20:$BI354)*120%,IF($D$4="Forint",0,2)))</f>
        <v>0</v>
      </c>
    </row>
    <row r="355" spans="1:68" x14ac:dyDescent="0.2">
      <c r="A355" s="32">
        <v>336</v>
      </c>
      <c r="B355" s="32">
        <v>28</v>
      </c>
      <c r="C355" s="32">
        <v>12</v>
      </c>
      <c r="D355" s="32" t="str">
        <f t="shared" ca="1" si="110"/>
        <v>Nem</v>
      </c>
      <c r="E355" s="13">
        <f t="shared" ca="1" si="111"/>
        <v>0</v>
      </c>
      <c r="F355" s="13"/>
      <c r="G355" s="13"/>
      <c r="H355" s="13"/>
      <c r="I355" s="13">
        <f t="shared" ca="1" si="112"/>
        <v>0</v>
      </c>
      <c r="J355" s="13">
        <f t="shared" ca="1" si="113"/>
        <v>0</v>
      </c>
      <c r="K355" s="13">
        <f t="shared" ca="1" si="114"/>
        <v>0</v>
      </c>
      <c r="L355" s="13" t="e">
        <f ca="1">ROUNDUP(IF($D$2="Egyszeri",$E355,IF($D$2="Havi",SUM($E$20:$E$31),IF(MOD($C355,$M$1)-1=0,SUM($E$20:$E$31),0))/12*$M$1)*VLOOKUP($B355,Paraméterek!$I$28:$P$31,IF($D$2="Egyszeri",8,HLOOKUP(ROUNDUP($M$11+$M$13,0),Paraméterek!$J$26:$O$27,2))),IF($D$4="Forint",0,2))</f>
        <v>#N/A</v>
      </c>
      <c r="M355" s="13">
        <f t="shared" ca="1" si="115"/>
        <v>0</v>
      </c>
      <c r="N355" s="13">
        <f t="shared" ca="1" si="125"/>
        <v>0</v>
      </c>
      <c r="O355" s="13">
        <f ca="1">IF($D355="Igen",IF($W354&gt;=IF($D$4="Forint",Paraméterek!$J$121,Paraméterek!$K$121),0,IF($D$4="Forint",Paraméterek!$J$121,Paraméterek!$K$121)-$W354),0)</f>
        <v>0</v>
      </c>
      <c r="P355" s="13" t="e">
        <f ca="1">ROUNDUP($O355*VLOOKUP($M$4+$B355-1,Paraméterek!$H$58:$I$105,2,0)/Paraméterek!$I$56,IF($D$4="Forint",0,2))</f>
        <v>#N/A</v>
      </c>
      <c r="Q355" s="13">
        <f t="shared" ca="1" si="116"/>
        <v>0</v>
      </c>
      <c r="R355" s="33"/>
      <c r="S355" s="13" t="e">
        <f t="shared" ca="1" si="117"/>
        <v>#N/A</v>
      </c>
      <c r="T355" s="13" t="e">
        <f ca="1">ROUNDUP(($N355-$P355-$Q355+$S355)*VLOOKUP($B355,Paraméterek!$I$38:$K$39,IF($D$2="Egyszeri",3,2))/12*IF($D356="Nem",IF($M$13=0,1,$M$13),1),IF($D$4="Forint",0,2))</f>
        <v>#N/A</v>
      </c>
      <c r="U355" s="13">
        <f>Tranzakciók!$F$59</f>
        <v>0</v>
      </c>
      <c r="V355" s="13"/>
      <c r="W355" s="13" t="e">
        <f ca="1">$N355-$P355-$Q355+$S355-$T355-IF(ROUNDUP(IF(ISBLANK($V355),$U355*0,$V355)/IF($D$2="Egyszeri",VLOOKUP($B355+IF($C355=12,1,0),Paraméterek!$V$257:$W$262,2),IF($B355=1,1,VLOOKUP($B355+IF($C355=12,1,0),Paraméterek!$I$258:$T$278,HLOOKUP($M$11+1,Paraméterek!$J$256:$T$257,2)))),IF($D$4="Forint",0,2))&gt;$N355-$P355-$Q355+$S355-$T355-IF($D$4="Forint",Paraméterek!$C$216,Paraméterek!$D$216),0,ROUNDUP(IF(ISBLANK($V355),$U355*0,$V355)/IF($D$2="Egyszeri",VLOOKUP($B355+IF($C355=12,1,0),Paraméterek!$V$257:$W$262,2),IF($B355=1,1,VLOOKUP($B355+IF($C355=12,1,0),Paraméterek!$I$258:$T$278,HLOOKUP($M$11+1,Paraméterek!$J$256:$T$257,2)))),IF($D$4="Forint",0,2)))</f>
        <v>#N/A</v>
      </c>
      <c r="X355" s="13" t="e">
        <f ca="1">ROUNDDOWN($W355*IF($D$2="Egyszeri",VLOOKUP($B355+IF($C355=12,1,0),Paraméterek!$V$257:$W$262,2),VLOOKUP($B355+IF($C355=12,1,0),Paraméterek!$I$258:$T$278,HLOOKUP($M$11+1,Paraméterek!$I$256:$T$257,2))),IF($D$4="Forint",0,2))</f>
        <v>#N/A</v>
      </c>
      <c r="Z355" s="32">
        <v>336</v>
      </c>
      <c r="AA355" s="32">
        <v>28</v>
      </c>
      <c r="AB355" s="32">
        <v>12</v>
      </c>
      <c r="AC355" s="13">
        <f t="shared" ca="1" si="126"/>
        <v>0</v>
      </c>
      <c r="AD355" s="33"/>
      <c r="AE355" s="13">
        <f t="shared" ca="1" si="118"/>
        <v>0</v>
      </c>
      <c r="AF355" s="13">
        <f ca="1">ROUNDUP(($AC355+$AE355)*VLOOKUP($AA355,Paraméterek!$P$38:$Q$38,2)/12*IF($D356="Nem",IF($M$13=0,1,$M$13),1),IF($D$4="Forint",0,2))</f>
        <v>0</v>
      </c>
      <c r="AG355" s="13" t="e">
        <f ca="1">IF($D$2="Egyszeri",IF($D$7&gt;=IF($D$4="Forint",Paraméterek!$P$223,Paraméterek!$P$224),$D$7-IF($D$4="Forint",Paraméterek!$P$223,Paraméterek!$P$224),0),MIN(IF($AB355=12,AVERAGEIF($E$20:$E355,"&gt;0",$E$20:$E355)*12,0),SUM($E$20:$E$31)))</f>
        <v>#DIV/0!</v>
      </c>
      <c r="AH355" s="13">
        <f>IF($AA355=10,$AG355*IF($AB355=12,IF($AG355&lt;IF($D$4="Forint",Paraméterek!$L$223,Paraméterek!$L$224),0,VLOOKUP($AA355,Paraméterek!$K$226:$M$228,IF($AG355&lt;IF($D$4="Forint",Paraméterek!$M$223,Paraméterek!$M$224),2,3))),0),0)</f>
        <v>0</v>
      </c>
      <c r="AI355" s="13">
        <f ca="1">IF(AND($AA355=$M$11+1,$AB355=$M$12+1),SUMIF($AA$20:$AA$1027,$AA355,$AG$20:$AG$1027)*IF(SUMIF($AA$20:$AA$1027,$AA355,$AG$20:$AG$1027)&lt;IF($D$4="Forint",Paraméterek!$L$223,Paraméterek!$L$224),0,VLOOKUP($AA355,Paraméterek!$K$230:$M$250,IF(SUMIF($AA$20:$AA$1027,$AA355,$AG$20:$AG$1027)&lt;IF($D$4="Forint",Paraméterek!$M$223,Paraméterek!$M$224),2,3))),0)</f>
        <v>0</v>
      </c>
      <c r="AJ355" s="13" t="e">
        <f ca="1">IF(AND($AA355&gt;=5,MOD($AA355,5)=0),IF($AB355=12,VLOOKUP($AA355,Paraméterek!$O$225:$P$240,2),0),IF(OR($AA355=3,$AA355=4),IF($AB355=12,VLOOKUP($AA355,Paraméterek!$O$225:$P$240,2,0),0),0))*$AG355</f>
        <v>#DIV/0!</v>
      </c>
      <c r="AK355" s="13">
        <f t="shared" ca="1" si="119"/>
        <v>0</v>
      </c>
      <c r="AL355" s="13">
        <f t="shared" ca="1" si="127"/>
        <v>0</v>
      </c>
      <c r="AM355" s="13">
        <f t="shared" ca="1" si="128"/>
        <v>0</v>
      </c>
      <c r="AO355" s="32">
        <v>336</v>
      </c>
      <c r="AP355" s="32">
        <v>28</v>
      </c>
      <c r="AQ355" s="32">
        <v>12</v>
      </c>
      <c r="AR355" s="13"/>
      <c r="AS355" s="32"/>
      <c r="AT355" s="13">
        <f t="shared" ca="1" si="129"/>
        <v>0</v>
      </c>
      <c r="AU355" s="33"/>
      <c r="AV355" s="13">
        <f t="shared" ca="1" si="120"/>
        <v>0</v>
      </c>
      <c r="AW355" s="13">
        <f ca="1">ROUNDUP(($AT355+$AV355)*VLOOKUP($AP355,Paraméterek!$P$38:$Q$38,2)/12*IF($D356="Nem",IF($M$13=0,1,$M$13),1),IF($D$4="Forint",0,2))</f>
        <v>0</v>
      </c>
      <c r="AX355" s="13">
        <f>Tranzakciók!$M$59</f>
        <v>0</v>
      </c>
      <c r="AY355" s="13"/>
      <c r="AZ355" s="13">
        <f>ROUNDUP(IF(SUM($AX355:$AY355)=0,0,IF(IF(ISBLANK($AY355),$AX355,$AY355)*Paraméterek!$J$112&lt;IF($D$4="Forint",Paraméterek!$J$113,Paraméterek!$K$113),IF($D$4="Forint",Paraméterek!$J$113,Paraméterek!$K$113),IF(IF(ISBLANK($AY355),$AX355,$AY355)*Paraméterek!$J$112&gt;IF($D$4="Forint",Paraméterek!$J$114,Paraméterek!$K$114),IF($D$4="Forint",Paraméterek!$J$114,Paraméterek!$K$114),IF(ISBLANK($AY355),$AX355,$AY355)*Paraméterek!$J$112))),IF($D$4="Forint",0,2))</f>
        <v>0</v>
      </c>
      <c r="BA355" s="13">
        <f ca="1">$AT355+$AV355-$AW355-IF(ROUNDDOWN(IF(ISBLANK($AY355),$AX355,$AY355),IF($D$4="Forint",0,2))&gt;$AT355+$AV355-$AW355-IF($D$4="Forint",Paraméterek!$J$114,Paraméterek!$K$114),0,ROUNDDOWN(IF(ISBLANK($AY355),$AX355,$AY355),IF($D$4="Forint",0,2))-$AZ355)</f>
        <v>0</v>
      </c>
      <c r="BB355" s="13">
        <f t="shared" ca="1" si="121"/>
        <v>0</v>
      </c>
      <c r="BD355" s="32">
        <v>336</v>
      </c>
      <c r="BE355" s="32">
        <v>28</v>
      </c>
      <c r="BF355" s="32">
        <v>12</v>
      </c>
      <c r="BG355" s="34">
        <f t="shared" ca="1" si="130"/>
        <v>2047</v>
      </c>
      <c r="BH355" s="32" t="str">
        <f ca="1">IF(MOD(MONTH($D$14)+$BD355-1,12)=Paraméterek!$C$288,"Igen","")</f>
        <v/>
      </c>
      <c r="BI355" s="13">
        <f ca="1">IF($BH355="Igen",MIN(ROUNDDOWN((SUMIF($BG$20:$BG$1027,$BG355-1,$K$20:$K$1027)-SUMIF($BG$20:$BG$1027,$BG355-1,$I$20:$I$1027))*Paraméterek!$C$289,IF($D$4="Forint",0,2)),IF($D$4="Forint",Paraméterek!$C$285,Paraméterek!$D$285)),0)</f>
        <v>0</v>
      </c>
      <c r="BJ355" s="13">
        <f t="shared" ca="1" si="122"/>
        <v>0</v>
      </c>
      <c r="BK355" s="13">
        <f t="shared" ca="1" si="131"/>
        <v>0</v>
      </c>
      <c r="BL355" s="33"/>
      <c r="BM355" s="13">
        <f t="shared" ca="1" si="123"/>
        <v>0</v>
      </c>
      <c r="BN355" s="13">
        <f ca="1">ROUNDUP(($BK355+$BM355)*VLOOKUP($BE355,Paraméterek!$P$38:$Q$38,2)/12*IF($D356="Nem",IF($M$13=0,1,$M$13),1),IF($D$4="Forint",0,2))</f>
        <v>0</v>
      </c>
      <c r="BO355" s="13">
        <f t="shared" ca="1" si="124"/>
        <v>0</v>
      </c>
      <c r="BP355" s="13">
        <f ca="1">IF($D356="Nem",$BO355,$BO355-ROUNDUP(SUM($BI$20:$BI355)*120%,IF($D$4="Forint",0,2)))</f>
        <v>0</v>
      </c>
    </row>
    <row r="356" spans="1:68" x14ac:dyDescent="0.2">
      <c r="A356" s="32">
        <v>337</v>
      </c>
      <c r="B356" s="32">
        <v>29</v>
      </c>
      <c r="C356" s="32">
        <v>1</v>
      </c>
      <c r="D356" s="32" t="str">
        <f t="shared" ca="1" si="110"/>
        <v>Nem</v>
      </c>
      <c r="E356" s="13">
        <f t="shared" ca="1" si="111"/>
        <v>0</v>
      </c>
      <c r="F356" s="13"/>
      <c r="G356" s="13">
        <f>Tranzakciók!$D$60</f>
        <v>0</v>
      </c>
      <c r="H356" s="13"/>
      <c r="I356" s="13">
        <f t="shared" ca="1" si="112"/>
        <v>0</v>
      </c>
      <c r="J356" s="13">
        <f t="shared" ca="1" si="113"/>
        <v>0</v>
      </c>
      <c r="K356" s="13">
        <f t="shared" ca="1" si="114"/>
        <v>0</v>
      </c>
      <c r="L356" s="13" t="e">
        <f ca="1">ROUNDUP(IF($D$2="Egyszeri",$E356,IF($D$2="Havi",SUM($E$20:$E$31),IF(MOD($C356,$M$1)-1=0,SUM($E$20:$E$31),0))/12*$M$1)*VLOOKUP($B356,Paraméterek!$I$28:$P$31,IF($D$2="Egyszeri",8,HLOOKUP(ROUNDUP($M$11+$M$13,0),Paraméterek!$J$26:$O$27,2))),IF($D$4="Forint",0,2))</f>
        <v>#N/A</v>
      </c>
      <c r="M356" s="13">
        <f t="shared" ca="1" si="115"/>
        <v>0</v>
      </c>
      <c r="N356" s="13">
        <f t="shared" ca="1" si="125"/>
        <v>0</v>
      </c>
      <c r="O356" s="13">
        <f ca="1">IF($D356="Igen",IF($W355&gt;=IF($D$4="Forint",Paraméterek!$J$121,Paraméterek!$K$121),0,IF($D$4="Forint",Paraméterek!$J$121,Paraméterek!$K$121)-$W355),0)</f>
        <v>0</v>
      </c>
      <c r="P356" s="13" t="e">
        <f ca="1">ROUNDUP($O356*VLOOKUP($M$4+$B356-1,Paraméterek!$H$58:$I$105,2,0)/Paraméterek!$I$56,IF($D$4="Forint",0,2))</f>
        <v>#N/A</v>
      </c>
      <c r="Q356" s="13">
        <f t="shared" ca="1" si="116"/>
        <v>0</v>
      </c>
      <c r="R356" s="33"/>
      <c r="S356" s="13" t="e">
        <f t="shared" ca="1" si="117"/>
        <v>#N/A</v>
      </c>
      <c r="T356" s="13" t="e">
        <f ca="1">ROUNDUP(($N356-$P356-$Q356+$S356)*VLOOKUP($B356,Paraméterek!$I$38:$K$39,IF($D$2="Egyszeri",3,2))/12*IF($D357="Nem",IF($M$13=0,1,$M$13),1),IF($D$4="Forint",0,2))</f>
        <v>#N/A</v>
      </c>
      <c r="U356" s="13"/>
      <c r="V356" s="13"/>
      <c r="W356" s="13" t="e">
        <f ca="1">$N356-$P356-$Q356+$S356-$T356-IF(ROUNDUP(IF(ISBLANK($V356),$U356*0,$V356)/IF($D$2="Egyszeri",VLOOKUP($B356+IF($C356=12,1,0),Paraméterek!$V$257:$W$262,2),IF($B356=1,1,VLOOKUP($B356+IF($C356=12,1,0),Paraméterek!$I$258:$T$278,HLOOKUP($M$11+1,Paraméterek!$J$256:$T$257,2)))),IF($D$4="Forint",0,2))&gt;$N356-$P356-$Q356+$S356-$T356-IF($D$4="Forint",Paraméterek!$C$216,Paraméterek!$D$216),0,ROUNDUP(IF(ISBLANK($V356),$U356*0,$V356)/IF($D$2="Egyszeri",VLOOKUP($B356+IF($C356=12,1,0),Paraméterek!$V$257:$W$262,2),IF($B356=1,1,VLOOKUP($B356+IF($C356=12,1,0),Paraméterek!$I$258:$T$278,HLOOKUP($M$11+1,Paraméterek!$J$256:$T$257,2)))),IF($D$4="Forint",0,2)))</f>
        <v>#N/A</v>
      </c>
      <c r="X356" s="13" t="e">
        <f ca="1">ROUNDDOWN($W356*IF($D$2="Egyszeri",VLOOKUP($B356+IF($C356=12,1,0),Paraméterek!$V$257:$W$262,2),VLOOKUP($B356+IF($C356=12,1,0),Paraméterek!$I$258:$T$278,HLOOKUP($M$11+1,Paraméterek!$I$256:$T$257,2))),IF($D$4="Forint",0,2))</f>
        <v>#N/A</v>
      </c>
      <c r="Z356" s="32">
        <v>337</v>
      </c>
      <c r="AA356" s="32">
        <v>29</v>
      </c>
      <c r="AB356" s="32">
        <v>1</v>
      </c>
      <c r="AC356" s="13">
        <f t="shared" ca="1" si="126"/>
        <v>0</v>
      </c>
      <c r="AD356" s="33"/>
      <c r="AE356" s="13">
        <f t="shared" ca="1" si="118"/>
        <v>0</v>
      </c>
      <c r="AF356" s="13">
        <f ca="1">ROUNDUP(($AC356+$AE356)*VLOOKUP($AA356,Paraméterek!$P$38:$Q$38,2)/12*IF($D357="Nem",IF($M$13=0,1,$M$13),1),IF($D$4="Forint",0,2))</f>
        <v>0</v>
      </c>
      <c r="AG356" s="13">
        <f ca="1">IF($D$2="Egyszeri",IF($D$7&gt;=IF($D$4="Forint",Paraméterek!$P$223,Paraméterek!$P$224),$D$7-IF($D$4="Forint",Paraméterek!$P$223,Paraméterek!$P$224),0),MIN(IF($AB356=12,AVERAGEIF($E$20:$E356,"&gt;0",$E$20:$E356)*12,0),SUM($E$20:$E$31)))</f>
        <v>0</v>
      </c>
      <c r="AH356" s="13">
        <f>IF($AA356=10,$AG356*IF($AB356=12,IF($AG356&lt;IF($D$4="Forint",Paraméterek!$L$223,Paraméterek!$L$224),0,VLOOKUP($AA356,Paraméterek!$K$226:$M$228,IF($AG356&lt;IF($D$4="Forint",Paraméterek!$M$223,Paraméterek!$M$224),2,3))),0),0)</f>
        <v>0</v>
      </c>
      <c r="AI356" s="13">
        <f ca="1">IF(AND($AA356=$M$11+1,$AB356=$M$12+1),SUMIF($AA$20:$AA$1027,$AA356,$AG$20:$AG$1027)*IF(SUMIF($AA$20:$AA$1027,$AA356,$AG$20:$AG$1027)&lt;IF($D$4="Forint",Paraméterek!$L$223,Paraméterek!$L$224),0,VLOOKUP($AA356,Paraméterek!$K$230:$M$250,IF(SUMIF($AA$20:$AA$1027,$AA356,$AG$20:$AG$1027)&lt;IF($D$4="Forint",Paraméterek!$M$223,Paraméterek!$M$224),2,3))),0)</f>
        <v>0</v>
      </c>
      <c r="AJ356" s="13">
        <f ca="1">IF(AND($AA356&gt;=5,MOD($AA356,5)=0),IF($AB356=12,VLOOKUP($AA356,Paraméterek!$O$225:$P$240,2),0),IF(OR($AA356=3,$AA356=4),IF($AB356=12,VLOOKUP($AA356,Paraméterek!$O$225:$P$240,2,0),0),0))*$AG356</f>
        <v>0</v>
      </c>
      <c r="AK356" s="13">
        <f t="shared" ca="1" si="119"/>
        <v>0</v>
      </c>
      <c r="AL356" s="13">
        <f t="shared" ca="1" si="127"/>
        <v>0</v>
      </c>
      <c r="AM356" s="13">
        <f t="shared" ca="1" si="128"/>
        <v>0</v>
      </c>
      <c r="AO356" s="32">
        <v>337</v>
      </c>
      <c r="AP356" s="32">
        <v>29</v>
      </c>
      <c r="AQ356" s="32">
        <v>1</v>
      </c>
      <c r="AR356" s="13">
        <f>Tranzakciók!$K$60</f>
        <v>0</v>
      </c>
      <c r="AS356" s="32"/>
      <c r="AT356" s="13">
        <f t="shared" ca="1" si="129"/>
        <v>0</v>
      </c>
      <c r="AU356" s="33"/>
      <c r="AV356" s="13">
        <f t="shared" ca="1" si="120"/>
        <v>0</v>
      </c>
      <c r="AW356" s="13">
        <f ca="1">ROUNDUP(($AT356+$AV356)*VLOOKUP($AP356,Paraméterek!$P$38:$Q$38,2)/12*IF($D357="Nem",IF($M$13=0,1,$M$13),1),IF($D$4="Forint",0,2))</f>
        <v>0</v>
      </c>
      <c r="AX356" s="13"/>
      <c r="AY356" s="13"/>
      <c r="AZ356" s="13">
        <f>ROUNDUP(IF(SUM($AX356:$AY356)=0,0,IF(IF(ISBLANK($AY356),$AX356,$AY356)*Paraméterek!$J$112&lt;IF($D$4="Forint",Paraméterek!$J$113,Paraméterek!$K$113),IF($D$4="Forint",Paraméterek!$J$113,Paraméterek!$K$113),IF(IF(ISBLANK($AY356),$AX356,$AY356)*Paraméterek!$J$112&gt;IF($D$4="Forint",Paraméterek!$J$114,Paraméterek!$K$114),IF($D$4="Forint",Paraméterek!$J$114,Paraméterek!$K$114),IF(ISBLANK($AY356),$AX356,$AY356)*Paraméterek!$J$112))),IF($D$4="Forint",0,2))</f>
        <v>0</v>
      </c>
      <c r="BA356" s="13">
        <f ca="1">$AT356+$AV356-$AW356-IF(ROUNDDOWN(IF(ISBLANK($AY356),$AX356,$AY356),IF($D$4="Forint",0,2))&gt;$AT356+$AV356-$AW356-IF($D$4="Forint",Paraméterek!$J$114,Paraméterek!$K$114),0,ROUNDDOWN(IF(ISBLANK($AY356),$AX356,$AY356),IF($D$4="Forint",0,2))-$AZ356)</f>
        <v>0</v>
      </c>
      <c r="BB356" s="13">
        <f t="shared" ca="1" si="121"/>
        <v>0</v>
      </c>
      <c r="BD356" s="32">
        <v>337</v>
      </c>
      <c r="BE356" s="32">
        <v>29</v>
      </c>
      <c r="BF356" s="32">
        <v>1</v>
      </c>
      <c r="BG356" s="34">
        <f t="shared" ca="1" si="130"/>
        <v>2047</v>
      </c>
      <c r="BH356" s="32" t="str">
        <f ca="1">IF(MOD(MONTH($D$14)+$BD356-1,12)=Paraméterek!$C$288,"Igen","")</f>
        <v/>
      </c>
      <c r="BI356" s="13">
        <f ca="1">IF($BH356="Igen",MIN(ROUNDDOWN((SUMIF($BG$20:$BG$1027,$BG356-1,$K$20:$K$1027)-SUMIF($BG$20:$BG$1027,$BG356-1,$I$20:$I$1027))*Paraméterek!$C$289,IF($D$4="Forint",0,2)),IF($D$4="Forint",Paraméterek!$C$285,Paraméterek!$D$285)),0)</f>
        <v>0</v>
      </c>
      <c r="BJ356" s="13">
        <f t="shared" ca="1" si="122"/>
        <v>0</v>
      </c>
      <c r="BK356" s="13">
        <f t="shared" ca="1" si="131"/>
        <v>0</v>
      </c>
      <c r="BL356" s="33"/>
      <c r="BM356" s="13">
        <f t="shared" ca="1" si="123"/>
        <v>0</v>
      </c>
      <c r="BN356" s="13">
        <f ca="1">ROUNDUP(($BK356+$BM356)*VLOOKUP($BE356,Paraméterek!$P$38:$Q$38,2)/12*IF($D357="Nem",IF($M$13=0,1,$M$13),1),IF($D$4="Forint",0,2))</f>
        <v>0</v>
      </c>
      <c r="BO356" s="13">
        <f t="shared" ca="1" si="124"/>
        <v>0</v>
      </c>
      <c r="BP356" s="13">
        <f ca="1">IF($D357="Nem",$BO356,$BO356-ROUNDUP(SUM($BI$20:$BI356)*120%,IF($D$4="Forint",0,2)))</f>
        <v>0</v>
      </c>
    </row>
    <row r="357" spans="1:68" x14ac:dyDescent="0.2">
      <c r="A357" s="32">
        <v>338</v>
      </c>
      <c r="B357" s="32">
        <v>29</v>
      </c>
      <c r="C357" s="32">
        <v>2</v>
      </c>
      <c r="D357" s="32" t="str">
        <f t="shared" ca="1" si="110"/>
        <v>Nem</v>
      </c>
      <c r="E357" s="13">
        <f t="shared" ca="1" si="111"/>
        <v>0</v>
      </c>
      <c r="F357" s="13"/>
      <c r="G357" s="13"/>
      <c r="H357" s="13"/>
      <c r="I357" s="13">
        <f t="shared" ca="1" si="112"/>
        <v>0</v>
      </c>
      <c r="J357" s="13">
        <f t="shared" ca="1" si="113"/>
        <v>0</v>
      </c>
      <c r="K357" s="13">
        <f t="shared" ca="1" si="114"/>
        <v>0</v>
      </c>
      <c r="L357" s="13" t="e">
        <f ca="1">ROUNDUP(IF($D$2="Egyszeri",$E357,IF($D$2="Havi",SUM($E$20:$E$31),IF(MOD($C357,$M$1)-1=0,SUM($E$20:$E$31),0))/12*$M$1)*VLOOKUP($B357,Paraméterek!$I$28:$P$31,IF($D$2="Egyszeri",8,HLOOKUP(ROUNDUP($M$11+$M$13,0),Paraméterek!$J$26:$O$27,2))),IF($D$4="Forint",0,2))</f>
        <v>#N/A</v>
      </c>
      <c r="M357" s="13">
        <f t="shared" ca="1" si="115"/>
        <v>0</v>
      </c>
      <c r="N357" s="13">
        <f t="shared" ca="1" si="125"/>
        <v>0</v>
      </c>
      <c r="O357" s="13">
        <f ca="1">IF($D357="Igen",IF($W356&gt;=IF($D$4="Forint",Paraméterek!$J$121,Paraméterek!$K$121),0,IF($D$4="Forint",Paraméterek!$J$121,Paraméterek!$K$121)-$W356),0)</f>
        <v>0</v>
      </c>
      <c r="P357" s="13" t="e">
        <f ca="1">ROUNDUP($O357*VLOOKUP($M$4+$B357-1,Paraméterek!$H$58:$I$105,2,0)/Paraméterek!$I$56,IF($D$4="Forint",0,2))</f>
        <v>#N/A</v>
      </c>
      <c r="Q357" s="13">
        <f t="shared" ca="1" si="116"/>
        <v>0</v>
      </c>
      <c r="R357" s="33"/>
      <c r="S357" s="13" t="e">
        <f t="shared" ca="1" si="117"/>
        <v>#N/A</v>
      </c>
      <c r="T357" s="13" t="e">
        <f ca="1">ROUNDUP(($N357-$P357-$Q357+$S357)*VLOOKUP($B357,Paraméterek!$I$38:$K$39,IF($D$2="Egyszeri",3,2))/12*IF($D358="Nem",IF($M$13=0,1,$M$13),1),IF($D$4="Forint",0,2))</f>
        <v>#N/A</v>
      </c>
      <c r="U357" s="13"/>
      <c r="V357" s="13"/>
      <c r="W357" s="13" t="e">
        <f ca="1">$N357-$P357-$Q357+$S357-$T357-IF(ROUNDUP(IF(ISBLANK($V357),$U357*0,$V357)/IF($D$2="Egyszeri",VLOOKUP($B357+IF($C357=12,1,0),Paraméterek!$V$257:$W$262,2),IF($B357=1,1,VLOOKUP($B357+IF($C357=12,1,0),Paraméterek!$I$258:$T$278,HLOOKUP($M$11+1,Paraméterek!$J$256:$T$257,2)))),IF($D$4="Forint",0,2))&gt;$N357-$P357-$Q357+$S357-$T357-IF($D$4="Forint",Paraméterek!$C$216,Paraméterek!$D$216),0,ROUNDUP(IF(ISBLANK($V357),$U357*0,$V357)/IF($D$2="Egyszeri",VLOOKUP($B357+IF($C357=12,1,0),Paraméterek!$V$257:$W$262,2),IF($B357=1,1,VLOOKUP($B357+IF($C357=12,1,0),Paraméterek!$I$258:$T$278,HLOOKUP($M$11+1,Paraméterek!$J$256:$T$257,2)))),IF($D$4="Forint",0,2)))</f>
        <v>#N/A</v>
      </c>
      <c r="X357" s="13" t="e">
        <f ca="1">ROUNDDOWN($W357*IF($D$2="Egyszeri",VLOOKUP($B357+IF($C357=12,1,0),Paraméterek!$V$257:$W$262,2),VLOOKUP($B357+IF($C357=12,1,0),Paraméterek!$I$258:$T$278,HLOOKUP($M$11+1,Paraméterek!$I$256:$T$257,2))),IF($D$4="Forint",0,2))</f>
        <v>#N/A</v>
      </c>
      <c r="Z357" s="32">
        <v>338</v>
      </c>
      <c r="AA357" s="32">
        <v>29</v>
      </c>
      <c r="AB357" s="32">
        <v>2</v>
      </c>
      <c r="AC357" s="13">
        <f t="shared" ca="1" si="126"/>
        <v>0</v>
      </c>
      <c r="AD357" s="33"/>
      <c r="AE357" s="13">
        <f t="shared" ca="1" si="118"/>
        <v>0</v>
      </c>
      <c r="AF357" s="13">
        <f ca="1">ROUNDUP(($AC357+$AE357)*VLOOKUP($AA357,Paraméterek!$P$38:$Q$38,2)/12*IF($D358="Nem",IF($M$13=0,1,$M$13),1),IF($D$4="Forint",0,2))</f>
        <v>0</v>
      </c>
      <c r="AG357" s="13">
        <f ca="1">IF($D$2="Egyszeri",IF($D$7&gt;=IF($D$4="Forint",Paraméterek!$P$223,Paraméterek!$P$224),$D$7-IF($D$4="Forint",Paraméterek!$P$223,Paraméterek!$P$224),0),MIN(IF($AB357=12,AVERAGEIF($E$20:$E357,"&gt;0",$E$20:$E357)*12,0),SUM($E$20:$E$31)))</f>
        <v>0</v>
      </c>
      <c r="AH357" s="13">
        <f>IF($AA357=10,$AG357*IF($AB357=12,IF($AG357&lt;IF($D$4="Forint",Paraméterek!$L$223,Paraméterek!$L$224),0,VLOOKUP($AA357,Paraméterek!$K$226:$M$228,IF($AG357&lt;IF($D$4="Forint",Paraméterek!$M$223,Paraméterek!$M$224),2,3))),0),0)</f>
        <v>0</v>
      </c>
      <c r="AI357" s="13">
        <f ca="1">IF(AND($AA357=$M$11+1,$AB357=$M$12+1),SUMIF($AA$20:$AA$1027,$AA357,$AG$20:$AG$1027)*IF(SUMIF($AA$20:$AA$1027,$AA357,$AG$20:$AG$1027)&lt;IF($D$4="Forint",Paraméterek!$L$223,Paraméterek!$L$224),0,VLOOKUP($AA357,Paraméterek!$K$230:$M$250,IF(SUMIF($AA$20:$AA$1027,$AA357,$AG$20:$AG$1027)&lt;IF($D$4="Forint",Paraméterek!$M$223,Paraméterek!$M$224),2,3))),0)</f>
        <v>0</v>
      </c>
      <c r="AJ357" s="13">
        <f ca="1">IF(AND($AA357&gt;=5,MOD($AA357,5)=0),IF($AB357=12,VLOOKUP($AA357,Paraméterek!$O$225:$P$240,2),0),IF(OR($AA357=3,$AA357=4),IF($AB357=12,VLOOKUP($AA357,Paraméterek!$O$225:$P$240,2,0),0),0))*$AG357</f>
        <v>0</v>
      </c>
      <c r="AK357" s="13">
        <f t="shared" ca="1" si="119"/>
        <v>0</v>
      </c>
      <c r="AL357" s="13">
        <f t="shared" ca="1" si="127"/>
        <v>0</v>
      </c>
      <c r="AM357" s="13">
        <f t="shared" ca="1" si="128"/>
        <v>0</v>
      </c>
      <c r="AO357" s="32">
        <v>338</v>
      </c>
      <c r="AP357" s="32">
        <v>29</v>
      </c>
      <c r="AQ357" s="32">
        <v>2</v>
      </c>
      <c r="AR357" s="13"/>
      <c r="AS357" s="32"/>
      <c r="AT357" s="13">
        <f t="shared" ca="1" si="129"/>
        <v>0</v>
      </c>
      <c r="AU357" s="33"/>
      <c r="AV357" s="13">
        <f t="shared" ca="1" si="120"/>
        <v>0</v>
      </c>
      <c r="AW357" s="13">
        <f ca="1">ROUNDUP(($AT357+$AV357)*VLOOKUP($AP357,Paraméterek!$P$38:$Q$38,2)/12*IF($D358="Nem",IF($M$13=0,1,$M$13),1),IF($D$4="Forint",0,2))</f>
        <v>0</v>
      </c>
      <c r="AX357" s="13"/>
      <c r="AY357" s="13"/>
      <c r="AZ357" s="13">
        <f>ROUNDUP(IF(SUM($AX357:$AY357)=0,0,IF(IF(ISBLANK($AY357),$AX357,$AY357)*Paraméterek!$J$112&lt;IF($D$4="Forint",Paraméterek!$J$113,Paraméterek!$K$113),IF($D$4="Forint",Paraméterek!$J$113,Paraméterek!$K$113),IF(IF(ISBLANK($AY357),$AX357,$AY357)*Paraméterek!$J$112&gt;IF($D$4="Forint",Paraméterek!$J$114,Paraméterek!$K$114),IF($D$4="Forint",Paraméterek!$J$114,Paraméterek!$K$114),IF(ISBLANK($AY357),$AX357,$AY357)*Paraméterek!$J$112))),IF($D$4="Forint",0,2))</f>
        <v>0</v>
      </c>
      <c r="BA357" s="13">
        <f ca="1">$AT357+$AV357-$AW357-IF(ROUNDDOWN(IF(ISBLANK($AY357),$AX357,$AY357),IF($D$4="Forint",0,2))&gt;$AT357+$AV357-$AW357-IF($D$4="Forint",Paraméterek!$J$114,Paraméterek!$K$114),0,ROUNDDOWN(IF(ISBLANK($AY357),$AX357,$AY357),IF($D$4="Forint",0,2))-$AZ357)</f>
        <v>0</v>
      </c>
      <c r="BB357" s="13">
        <f t="shared" ca="1" si="121"/>
        <v>0</v>
      </c>
      <c r="BD357" s="32">
        <v>338</v>
      </c>
      <c r="BE357" s="32">
        <v>29</v>
      </c>
      <c r="BF357" s="32">
        <v>2</v>
      </c>
      <c r="BG357" s="34">
        <f t="shared" ca="1" si="130"/>
        <v>2047</v>
      </c>
      <c r="BH357" s="32" t="str">
        <f ca="1">IF(MOD(MONTH($D$14)+$BD357-1,12)=Paraméterek!$C$288,"Igen","")</f>
        <v>Igen</v>
      </c>
      <c r="BI357" s="13">
        <f ca="1">IF($BH357="Igen",MIN(ROUNDDOWN((SUMIF($BG$20:$BG$1027,$BG357-1,$K$20:$K$1027)-SUMIF($BG$20:$BG$1027,$BG357-1,$I$20:$I$1027))*Paraméterek!$C$289,IF($D$4="Forint",0,2)),IF($D$4="Forint",Paraméterek!$C$285,Paraméterek!$D$285)),0)</f>
        <v>0</v>
      </c>
      <c r="BJ357" s="13">
        <f t="shared" ca="1" si="122"/>
        <v>0</v>
      </c>
      <c r="BK357" s="13">
        <f t="shared" ca="1" si="131"/>
        <v>0</v>
      </c>
      <c r="BL357" s="33"/>
      <c r="BM357" s="13">
        <f t="shared" ca="1" si="123"/>
        <v>0</v>
      </c>
      <c r="BN357" s="13">
        <f ca="1">ROUNDUP(($BK357+$BM357)*VLOOKUP($BE357,Paraméterek!$P$38:$Q$38,2)/12*IF($D358="Nem",IF($M$13=0,1,$M$13),1),IF($D$4="Forint",0,2))</f>
        <v>0</v>
      </c>
      <c r="BO357" s="13">
        <f t="shared" ca="1" si="124"/>
        <v>0</v>
      </c>
      <c r="BP357" s="13">
        <f ca="1">IF($D358="Nem",$BO357,$BO357-ROUNDUP(SUM($BI$20:$BI357)*120%,IF($D$4="Forint",0,2)))</f>
        <v>0</v>
      </c>
    </row>
    <row r="358" spans="1:68" x14ac:dyDescent="0.2">
      <c r="A358" s="32">
        <v>339</v>
      </c>
      <c r="B358" s="32">
        <v>29</v>
      </c>
      <c r="C358" s="32">
        <v>3</v>
      </c>
      <c r="D358" s="32" t="str">
        <f t="shared" ca="1" si="110"/>
        <v>Nem</v>
      </c>
      <c r="E358" s="13">
        <f t="shared" ca="1" si="111"/>
        <v>0</v>
      </c>
      <c r="F358" s="13"/>
      <c r="G358" s="13"/>
      <c r="H358" s="13"/>
      <c r="I358" s="13">
        <f t="shared" ca="1" si="112"/>
        <v>0</v>
      </c>
      <c r="J358" s="13">
        <f t="shared" ca="1" si="113"/>
        <v>0</v>
      </c>
      <c r="K358" s="13">
        <f t="shared" ca="1" si="114"/>
        <v>0</v>
      </c>
      <c r="L358" s="13" t="e">
        <f ca="1">ROUNDUP(IF($D$2="Egyszeri",$E358,IF($D$2="Havi",SUM($E$20:$E$31),IF(MOD($C358,$M$1)-1=0,SUM($E$20:$E$31),0))/12*$M$1)*VLOOKUP($B358,Paraméterek!$I$28:$P$31,IF($D$2="Egyszeri",8,HLOOKUP(ROUNDUP($M$11+$M$13,0),Paraméterek!$J$26:$O$27,2))),IF($D$4="Forint",0,2))</f>
        <v>#N/A</v>
      </c>
      <c r="M358" s="13">
        <f t="shared" ca="1" si="115"/>
        <v>0</v>
      </c>
      <c r="N358" s="13">
        <f t="shared" ca="1" si="125"/>
        <v>0</v>
      </c>
      <c r="O358" s="13">
        <f ca="1">IF($D358="Igen",IF($W357&gt;=IF($D$4="Forint",Paraméterek!$J$121,Paraméterek!$K$121),0,IF($D$4="Forint",Paraméterek!$J$121,Paraméterek!$K$121)-$W357),0)</f>
        <v>0</v>
      </c>
      <c r="P358" s="13" t="e">
        <f ca="1">ROUNDUP($O358*VLOOKUP($M$4+$B358-1,Paraméterek!$H$58:$I$105,2,0)/Paraméterek!$I$56,IF($D$4="Forint",0,2))</f>
        <v>#N/A</v>
      </c>
      <c r="Q358" s="13">
        <f t="shared" ca="1" si="116"/>
        <v>0</v>
      </c>
      <c r="R358" s="33"/>
      <c r="S358" s="13" t="e">
        <f t="shared" ca="1" si="117"/>
        <v>#N/A</v>
      </c>
      <c r="T358" s="13" t="e">
        <f ca="1">ROUNDUP(($N358-$P358-$Q358+$S358)*VLOOKUP($B358,Paraméterek!$I$38:$K$39,IF($D$2="Egyszeri",3,2))/12*IF($D359="Nem",IF($M$13=0,1,$M$13),1),IF($D$4="Forint",0,2))</f>
        <v>#N/A</v>
      </c>
      <c r="U358" s="13"/>
      <c r="V358" s="13"/>
      <c r="W358" s="13" t="e">
        <f ca="1">$N358-$P358-$Q358+$S358-$T358-IF(ROUNDUP(IF(ISBLANK($V358),$U358*0,$V358)/IF($D$2="Egyszeri",VLOOKUP($B358+IF($C358=12,1,0),Paraméterek!$V$257:$W$262,2),IF($B358=1,1,VLOOKUP($B358+IF($C358=12,1,0),Paraméterek!$I$258:$T$278,HLOOKUP($M$11+1,Paraméterek!$J$256:$T$257,2)))),IF($D$4="Forint",0,2))&gt;$N358-$P358-$Q358+$S358-$T358-IF($D$4="Forint",Paraméterek!$C$216,Paraméterek!$D$216),0,ROUNDUP(IF(ISBLANK($V358),$U358*0,$V358)/IF($D$2="Egyszeri",VLOOKUP($B358+IF($C358=12,1,0),Paraméterek!$V$257:$W$262,2),IF($B358=1,1,VLOOKUP($B358+IF($C358=12,1,0),Paraméterek!$I$258:$T$278,HLOOKUP($M$11+1,Paraméterek!$J$256:$T$257,2)))),IF($D$4="Forint",0,2)))</f>
        <v>#N/A</v>
      </c>
      <c r="X358" s="13" t="e">
        <f ca="1">ROUNDDOWN($W358*IF($D$2="Egyszeri",VLOOKUP($B358+IF($C358=12,1,0),Paraméterek!$V$257:$W$262,2),VLOOKUP($B358+IF($C358=12,1,0),Paraméterek!$I$258:$T$278,HLOOKUP($M$11+1,Paraméterek!$I$256:$T$257,2))),IF($D$4="Forint",0,2))</f>
        <v>#N/A</v>
      </c>
      <c r="Z358" s="32">
        <v>339</v>
      </c>
      <c r="AA358" s="32">
        <v>29</v>
      </c>
      <c r="AB358" s="32">
        <v>3</v>
      </c>
      <c r="AC358" s="13">
        <f t="shared" ca="1" si="126"/>
        <v>0</v>
      </c>
      <c r="AD358" s="33"/>
      <c r="AE358" s="13">
        <f t="shared" ca="1" si="118"/>
        <v>0</v>
      </c>
      <c r="AF358" s="13">
        <f ca="1">ROUNDUP(($AC358+$AE358)*VLOOKUP($AA358,Paraméterek!$P$38:$Q$38,2)/12*IF($D359="Nem",IF($M$13=0,1,$M$13),1),IF($D$4="Forint",0,2))</f>
        <v>0</v>
      </c>
      <c r="AG358" s="13">
        <f ca="1">IF($D$2="Egyszeri",IF($D$7&gt;=IF($D$4="Forint",Paraméterek!$P$223,Paraméterek!$P$224),$D$7-IF($D$4="Forint",Paraméterek!$P$223,Paraméterek!$P$224),0),MIN(IF($AB358=12,AVERAGEIF($E$20:$E358,"&gt;0",$E$20:$E358)*12,0),SUM($E$20:$E$31)))</f>
        <v>0</v>
      </c>
      <c r="AH358" s="13">
        <f>IF($AA358=10,$AG358*IF($AB358=12,IF($AG358&lt;IF($D$4="Forint",Paraméterek!$L$223,Paraméterek!$L$224),0,VLOOKUP($AA358,Paraméterek!$K$226:$M$228,IF($AG358&lt;IF($D$4="Forint",Paraméterek!$M$223,Paraméterek!$M$224),2,3))),0),0)</f>
        <v>0</v>
      </c>
      <c r="AI358" s="13">
        <f ca="1">IF(AND($AA358=$M$11+1,$AB358=$M$12+1),SUMIF($AA$20:$AA$1027,$AA358,$AG$20:$AG$1027)*IF(SUMIF($AA$20:$AA$1027,$AA358,$AG$20:$AG$1027)&lt;IF($D$4="Forint",Paraméterek!$L$223,Paraméterek!$L$224),0,VLOOKUP($AA358,Paraméterek!$K$230:$M$250,IF(SUMIF($AA$20:$AA$1027,$AA358,$AG$20:$AG$1027)&lt;IF($D$4="Forint",Paraméterek!$M$223,Paraméterek!$M$224),2,3))),0)</f>
        <v>0</v>
      </c>
      <c r="AJ358" s="13">
        <f ca="1">IF(AND($AA358&gt;=5,MOD($AA358,5)=0),IF($AB358=12,VLOOKUP($AA358,Paraméterek!$O$225:$P$240,2),0),IF(OR($AA358=3,$AA358=4),IF($AB358=12,VLOOKUP($AA358,Paraméterek!$O$225:$P$240,2,0),0),0))*$AG358</f>
        <v>0</v>
      </c>
      <c r="AK358" s="13">
        <f t="shared" ca="1" si="119"/>
        <v>0</v>
      </c>
      <c r="AL358" s="13">
        <f t="shared" ca="1" si="127"/>
        <v>0</v>
      </c>
      <c r="AM358" s="13">
        <f t="shared" ca="1" si="128"/>
        <v>0</v>
      </c>
      <c r="AO358" s="32">
        <v>339</v>
      </c>
      <c r="AP358" s="32">
        <v>29</v>
      </c>
      <c r="AQ358" s="32">
        <v>3</v>
      </c>
      <c r="AR358" s="13"/>
      <c r="AS358" s="32"/>
      <c r="AT358" s="13">
        <f t="shared" ca="1" si="129"/>
        <v>0</v>
      </c>
      <c r="AU358" s="33"/>
      <c r="AV358" s="13">
        <f t="shared" ca="1" si="120"/>
        <v>0</v>
      </c>
      <c r="AW358" s="13">
        <f ca="1">ROUNDUP(($AT358+$AV358)*VLOOKUP($AP358,Paraméterek!$P$38:$Q$38,2)/12*IF($D359="Nem",IF($M$13=0,1,$M$13),1),IF($D$4="Forint",0,2))</f>
        <v>0</v>
      </c>
      <c r="AX358" s="13"/>
      <c r="AY358" s="13"/>
      <c r="AZ358" s="13">
        <f>ROUNDUP(IF(SUM($AX358:$AY358)=0,0,IF(IF(ISBLANK($AY358),$AX358,$AY358)*Paraméterek!$J$112&lt;IF($D$4="Forint",Paraméterek!$J$113,Paraméterek!$K$113),IF($D$4="Forint",Paraméterek!$J$113,Paraméterek!$K$113),IF(IF(ISBLANK($AY358),$AX358,$AY358)*Paraméterek!$J$112&gt;IF($D$4="Forint",Paraméterek!$J$114,Paraméterek!$K$114),IF($D$4="Forint",Paraméterek!$J$114,Paraméterek!$K$114),IF(ISBLANK($AY358),$AX358,$AY358)*Paraméterek!$J$112))),IF($D$4="Forint",0,2))</f>
        <v>0</v>
      </c>
      <c r="BA358" s="13">
        <f ca="1">$AT358+$AV358-$AW358-IF(ROUNDDOWN(IF(ISBLANK($AY358),$AX358,$AY358),IF($D$4="Forint",0,2))&gt;$AT358+$AV358-$AW358-IF($D$4="Forint",Paraméterek!$J$114,Paraméterek!$K$114),0,ROUNDDOWN(IF(ISBLANK($AY358),$AX358,$AY358),IF($D$4="Forint",0,2))-$AZ358)</f>
        <v>0</v>
      </c>
      <c r="BB358" s="13">
        <f t="shared" ca="1" si="121"/>
        <v>0</v>
      </c>
      <c r="BD358" s="32">
        <v>339</v>
      </c>
      <c r="BE358" s="32">
        <v>29</v>
      </c>
      <c r="BF358" s="32">
        <v>3</v>
      </c>
      <c r="BG358" s="34">
        <f t="shared" ca="1" si="130"/>
        <v>2047</v>
      </c>
      <c r="BH358" s="32" t="str">
        <f ca="1">IF(MOD(MONTH($D$14)+$BD358-1,12)=Paraméterek!$C$288,"Igen","")</f>
        <v/>
      </c>
      <c r="BI358" s="13">
        <f ca="1">IF($BH358="Igen",MIN(ROUNDDOWN((SUMIF($BG$20:$BG$1027,$BG358-1,$K$20:$K$1027)-SUMIF($BG$20:$BG$1027,$BG358-1,$I$20:$I$1027))*Paraméterek!$C$289,IF($D$4="Forint",0,2)),IF($D$4="Forint",Paraméterek!$C$285,Paraméterek!$D$285)),0)</f>
        <v>0</v>
      </c>
      <c r="BJ358" s="13">
        <f t="shared" ca="1" si="122"/>
        <v>0</v>
      </c>
      <c r="BK358" s="13">
        <f t="shared" ca="1" si="131"/>
        <v>0</v>
      </c>
      <c r="BL358" s="33"/>
      <c r="BM358" s="13">
        <f t="shared" ca="1" si="123"/>
        <v>0</v>
      </c>
      <c r="BN358" s="13">
        <f ca="1">ROUNDUP(($BK358+$BM358)*VLOOKUP($BE358,Paraméterek!$P$38:$Q$38,2)/12*IF($D359="Nem",IF($M$13=0,1,$M$13),1),IF($D$4="Forint",0,2))</f>
        <v>0</v>
      </c>
      <c r="BO358" s="13">
        <f t="shared" ca="1" si="124"/>
        <v>0</v>
      </c>
      <c r="BP358" s="13">
        <f ca="1">IF($D359="Nem",$BO358,$BO358-ROUNDUP(SUM($BI$20:$BI358)*120%,IF($D$4="Forint",0,2)))</f>
        <v>0</v>
      </c>
    </row>
    <row r="359" spans="1:68" x14ac:dyDescent="0.2">
      <c r="A359" s="32">
        <v>340</v>
      </c>
      <c r="B359" s="32">
        <v>29</v>
      </c>
      <c r="C359" s="32">
        <v>4</v>
      </c>
      <c r="D359" s="32" t="str">
        <f t="shared" ca="1" si="110"/>
        <v>Nem</v>
      </c>
      <c r="E359" s="13">
        <f t="shared" ca="1" si="111"/>
        <v>0</v>
      </c>
      <c r="F359" s="13"/>
      <c r="G359" s="13"/>
      <c r="H359" s="13"/>
      <c r="I359" s="13">
        <f t="shared" ca="1" si="112"/>
        <v>0</v>
      </c>
      <c r="J359" s="13">
        <f t="shared" ca="1" si="113"/>
        <v>0</v>
      </c>
      <c r="K359" s="13">
        <f t="shared" ca="1" si="114"/>
        <v>0</v>
      </c>
      <c r="L359" s="13" t="e">
        <f ca="1">ROUNDUP(IF($D$2="Egyszeri",$E359,IF($D$2="Havi",SUM($E$20:$E$31),IF(MOD($C359,$M$1)-1=0,SUM($E$20:$E$31),0))/12*$M$1)*VLOOKUP($B359,Paraméterek!$I$28:$P$31,IF($D$2="Egyszeri",8,HLOOKUP(ROUNDUP($M$11+$M$13,0),Paraméterek!$J$26:$O$27,2))),IF($D$4="Forint",0,2))</f>
        <v>#N/A</v>
      </c>
      <c r="M359" s="13">
        <f t="shared" ca="1" si="115"/>
        <v>0</v>
      </c>
      <c r="N359" s="13">
        <f t="shared" ca="1" si="125"/>
        <v>0</v>
      </c>
      <c r="O359" s="13">
        <f ca="1">IF($D359="Igen",IF($W358&gt;=IF($D$4="Forint",Paraméterek!$J$121,Paraméterek!$K$121),0,IF($D$4="Forint",Paraméterek!$J$121,Paraméterek!$K$121)-$W358),0)</f>
        <v>0</v>
      </c>
      <c r="P359" s="13" t="e">
        <f ca="1">ROUNDUP($O359*VLOOKUP($M$4+$B359-1,Paraméterek!$H$58:$I$105,2,0)/Paraméterek!$I$56,IF($D$4="Forint",0,2))</f>
        <v>#N/A</v>
      </c>
      <c r="Q359" s="13">
        <f t="shared" ca="1" si="116"/>
        <v>0</v>
      </c>
      <c r="R359" s="33"/>
      <c r="S359" s="13" t="e">
        <f t="shared" ca="1" si="117"/>
        <v>#N/A</v>
      </c>
      <c r="T359" s="13" t="e">
        <f ca="1">ROUNDUP(($N359-$P359-$Q359+$S359)*VLOOKUP($B359,Paraméterek!$I$38:$K$39,IF($D$2="Egyszeri",3,2))/12*IF($D360="Nem",IF($M$13=0,1,$M$13),1),IF($D$4="Forint",0,2))</f>
        <v>#N/A</v>
      </c>
      <c r="U359" s="13"/>
      <c r="V359" s="13"/>
      <c r="W359" s="13" t="e">
        <f ca="1">$N359-$P359-$Q359+$S359-$T359-IF(ROUNDUP(IF(ISBLANK($V359),$U359*0,$V359)/IF($D$2="Egyszeri",VLOOKUP($B359+IF($C359=12,1,0),Paraméterek!$V$257:$W$262,2),IF($B359=1,1,VLOOKUP($B359+IF($C359=12,1,0),Paraméterek!$I$258:$T$278,HLOOKUP($M$11+1,Paraméterek!$J$256:$T$257,2)))),IF($D$4="Forint",0,2))&gt;$N359-$P359-$Q359+$S359-$T359-IF($D$4="Forint",Paraméterek!$C$216,Paraméterek!$D$216),0,ROUNDUP(IF(ISBLANK($V359),$U359*0,$V359)/IF($D$2="Egyszeri",VLOOKUP($B359+IF($C359=12,1,0),Paraméterek!$V$257:$W$262,2),IF($B359=1,1,VLOOKUP($B359+IF($C359=12,1,0),Paraméterek!$I$258:$T$278,HLOOKUP($M$11+1,Paraméterek!$J$256:$T$257,2)))),IF($D$4="Forint",0,2)))</f>
        <v>#N/A</v>
      </c>
      <c r="X359" s="13" t="e">
        <f ca="1">ROUNDDOWN($W359*IF($D$2="Egyszeri",VLOOKUP($B359+IF($C359=12,1,0),Paraméterek!$V$257:$W$262,2),VLOOKUP($B359+IF($C359=12,1,0),Paraméterek!$I$258:$T$278,HLOOKUP($M$11+1,Paraméterek!$I$256:$T$257,2))),IF($D$4="Forint",0,2))</f>
        <v>#N/A</v>
      </c>
      <c r="Z359" s="32">
        <v>340</v>
      </c>
      <c r="AA359" s="32">
        <v>29</v>
      </c>
      <c r="AB359" s="32">
        <v>4</v>
      </c>
      <c r="AC359" s="13">
        <f t="shared" ca="1" si="126"/>
        <v>0</v>
      </c>
      <c r="AD359" s="33"/>
      <c r="AE359" s="13">
        <f t="shared" ca="1" si="118"/>
        <v>0</v>
      </c>
      <c r="AF359" s="13">
        <f ca="1">ROUNDUP(($AC359+$AE359)*VLOOKUP($AA359,Paraméterek!$P$38:$Q$38,2)/12*IF($D360="Nem",IF($M$13=0,1,$M$13),1),IF($D$4="Forint",0,2))</f>
        <v>0</v>
      </c>
      <c r="AG359" s="13">
        <f ca="1">IF($D$2="Egyszeri",IF($D$7&gt;=IF($D$4="Forint",Paraméterek!$P$223,Paraméterek!$P$224),$D$7-IF($D$4="Forint",Paraméterek!$P$223,Paraméterek!$P$224),0),MIN(IF($AB359=12,AVERAGEIF($E$20:$E359,"&gt;0",$E$20:$E359)*12,0),SUM($E$20:$E$31)))</f>
        <v>0</v>
      </c>
      <c r="AH359" s="13">
        <f>IF($AA359=10,$AG359*IF($AB359=12,IF($AG359&lt;IF($D$4="Forint",Paraméterek!$L$223,Paraméterek!$L$224),0,VLOOKUP($AA359,Paraméterek!$K$226:$M$228,IF($AG359&lt;IF($D$4="Forint",Paraméterek!$M$223,Paraméterek!$M$224),2,3))),0),0)</f>
        <v>0</v>
      </c>
      <c r="AI359" s="13">
        <f ca="1">IF(AND($AA359=$M$11+1,$AB359=$M$12+1),SUMIF($AA$20:$AA$1027,$AA359,$AG$20:$AG$1027)*IF(SUMIF($AA$20:$AA$1027,$AA359,$AG$20:$AG$1027)&lt;IF($D$4="Forint",Paraméterek!$L$223,Paraméterek!$L$224),0,VLOOKUP($AA359,Paraméterek!$K$230:$M$250,IF(SUMIF($AA$20:$AA$1027,$AA359,$AG$20:$AG$1027)&lt;IF($D$4="Forint",Paraméterek!$M$223,Paraméterek!$M$224),2,3))),0)</f>
        <v>0</v>
      </c>
      <c r="AJ359" s="13">
        <f ca="1">IF(AND($AA359&gt;=5,MOD($AA359,5)=0),IF($AB359=12,VLOOKUP($AA359,Paraméterek!$O$225:$P$240,2),0),IF(OR($AA359=3,$AA359=4),IF($AB359=12,VLOOKUP($AA359,Paraméterek!$O$225:$P$240,2,0),0),0))*$AG359</f>
        <v>0</v>
      </c>
      <c r="AK359" s="13">
        <f t="shared" ca="1" si="119"/>
        <v>0</v>
      </c>
      <c r="AL359" s="13">
        <f t="shared" ca="1" si="127"/>
        <v>0</v>
      </c>
      <c r="AM359" s="13">
        <f t="shared" ca="1" si="128"/>
        <v>0</v>
      </c>
      <c r="AO359" s="32">
        <v>340</v>
      </c>
      <c r="AP359" s="32">
        <v>29</v>
      </c>
      <c r="AQ359" s="32">
        <v>4</v>
      </c>
      <c r="AR359" s="13"/>
      <c r="AS359" s="32"/>
      <c r="AT359" s="13">
        <f t="shared" ca="1" si="129"/>
        <v>0</v>
      </c>
      <c r="AU359" s="33"/>
      <c r="AV359" s="13">
        <f t="shared" ca="1" si="120"/>
        <v>0</v>
      </c>
      <c r="AW359" s="13">
        <f ca="1">ROUNDUP(($AT359+$AV359)*VLOOKUP($AP359,Paraméterek!$P$38:$Q$38,2)/12*IF($D360="Nem",IF($M$13=0,1,$M$13),1),IF($D$4="Forint",0,2))</f>
        <v>0</v>
      </c>
      <c r="AX359" s="13"/>
      <c r="AY359" s="13"/>
      <c r="AZ359" s="13">
        <f>ROUNDUP(IF(SUM($AX359:$AY359)=0,0,IF(IF(ISBLANK($AY359),$AX359,$AY359)*Paraméterek!$J$112&lt;IF($D$4="Forint",Paraméterek!$J$113,Paraméterek!$K$113),IF($D$4="Forint",Paraméterek!$J$113,Paraméterek!$K$113),IF(IF(ISBLANK($AY359),$AX359,$AY359)*Paraméterek!$J$112&gt;IF($D$4="Forint",Paraméterek!$J$114,Paraméterek!$K$114),IF($D$4="Forint",Paraméterek!$J$114,Paraméterek!$K$114),IF(ISBLANK($AY359),$AX359,$AY359)*Paraméterek!$J$112))),IF($D$4="Forint",0,2))</f>
        <v>0</v>
      </c>
      <c r="BA359" s="13">
        <f ca="1">$AT359+$AV359-$AW359-IF(ROUNDDOWN(IF(ISBLANK($AY359),$AX359,$AY359),IF($D$4="Forint",0,2))&gt;$AT359+$AV359-$AW359-IF($D$4="Forint",Paraméterek!$J$114,Paraméterek!$K$114),0,ROUNDDOWN(IF(ISBLANK($AY359),$AX359,$AY359),IF($D$4="Forint",0,2))-$AZ359)</f>
        <v>0</v>
      </c>
      <c r="BB359" s="13">
        <f t="shared" ca="1" si="121"/>
        <v>0</v>
      </c>
      <c r="BD359" s="32">
        <v>340</v>
      </c>
      <c r="BE359" s="32">
        <v>29</v>
      </c>
      <c r="BF359" s="32">
        <v>4</v>
      </c>
      <c r="BG359" s="34">
        <f t="shared" ca="1" si="130"/>
        <v>2047</v>
      </c>
      <c r="BH359" s="32" t="str">
        <f ca="1">IF(MOD(MONTH($D$14)+$BD359-1,12)=Paraméterek!$C$288,"Igen","")</f>
        <v/>
      </c>
      <c r="BI359" s="13">
        <f ca="1">IF($BH359="Igen",MIN(ROUNDDOWN((SUMIF($BG$20:$BG$1027,$BG359-1,$K$20:$K$1027)-SUMIF($BG$20:$BG$1027,$BG359-1,$I$20:$I$1027))*Paraméterek!$C$289,IF($D$4="Forint",0,2)),IF($D$4="Forint",Paraméterek!$C$285,Paraméterek!$D$285)),0)</f>
        <v>0</v>
      </c>
      <c r="BJ359" s="13">
        <f t="shared" ca="1" si="122"/>
        <v>0</v>
      </c>
      <c r="BK359" s="13">
        <f t="shared" ca="1" si="131"/>
        <v>0</v>
      </c>
      <c r="BL359" s="33"/>
      <c r="BM359" s="13">
        <f t="shared" ca="1" si="123"/>
        <v>0</v>
      </c>
      <c r="BN359" s="13">
        <f ca="1">ROUNDUP(($BK359+$BM359)*VLOOKUP($BE359,Paraméterek!$P$38:$Q$38,2)/12*IF($D360="Nem",IF($M$13=0,1,$M$13),1),IF($D$4="Forint",0,2))</f>
        <v>0</v>
      </c>
      <c r="BO359" s="13">
        <f t="shared" ca="1" si="124"/>
        <v>0</v>
      </c>
      <c r="BP359" s="13">
        <f ca="1">IF($D360="Nem",$BO359,$BO359-ROUNDUP(SUM($BI$20:$BI359)*120%,IF($D$4="Forint",0,2)))</f>
        <v>0</v>
      </c>
    </row>
    <row r="360" spans="1:68" x14ac:dyDescent="0.2">
      <c r="A360" s="32">
        <v>341</v>
      </c>
      <c r="B360" s="32">
        <v>29</v>
      </c>
      <c r="C360" s="32">
        <v>5</v>
      </c>
      <c r="D360" s="32" t="str">
        <f t="shared" ca="1" si="110"/>
        <v>Nem</v>
      </c>
      <c r="E360" s="13">
        <f t="shared" ca="1" si="111"/>
        <v>0</v>
      </c>
      <c r="F360" s="13"/>
      <c r="G360" s="13"/>
      <c r="H360" s="13"/>
      <c r="I360" s="13">
        <f t="shared" ca="1" si="112"/>
        <v>0</v>
      </c>
      <c r="J360" s="13">
        <f t="shared" ca="1" si="113"/>
        <v>0</v>
      </c>
      <c r="K360" s="13">
        <f t="shared" ca="1" si="114"/>
        <v>0</v>
      </c>
      <c r="L360" s="13" t="e">
        <f ca="1">ROUNDUP(IF($D$2="Egyszeri",$E360,IF($D$2="Havi",SUM($E$20:$E$31),IF(MOD($C360,$M$1)-1=0,SUM($E$20:$E$31),0))/12*$M$1)*VLOOKUP($B360,Paraméterek!$I$28:$P$31,IF($D$2="Egyszeri",8,HLOOKUP(ROUNDUP($M$11+$M$13,0),Paraméterek!$J$26:$O$27,2))),IF($D$4="Forint",0,2))</f>
        <v>#N/A</v>
      </c>
      <c r="M360" s="13">
        <f t="shared" ca="1" si="115"/>
        <v>0</v>
      </c>
      <c r="N360" s="13">
        <f t="shared" ca="1" si="125"/>
        <v>0</v>
      </c>
      <c r="O360" s="13">
        <f ca="1">IF($D360="Igen",IF($W359&gt;=IF($D$4="Forint",Paraméterek!$J$121,Paraméterek!$K$121),0,IF($D$4="Forint",Paraméterek!$J$121,Paraméterek!$K$121)-$W359),0)</f>
        <v>0</v>
      </c>
      <c r="P360" s="13" t="e">
        <f ca="1">ROUNDUP($O360*VLOOKUP($M$4+$B360-1,Paraméterek!$H$58:$I$105,2,0)/Paraméterek!$I$56,IF($D$4="Forint",0,2))</f>
        <v>#N/A</v>
      </c>
      <c r="Q360" s="13">
        <f t="shared" ca="1" si="116"/>
        <v>0</v>
      </c>
      <c r="R360" s="33"/>
      <c r="S360" s="13" t="e">
        <f t="shared" ca="1" si="117"/>
        <v>#N/A</v>
      </c>
      <c r="T360" s="13" t="e">
        <f ca="1">ROUNDUP(($N360-$P360-$Q360+$S360)*VLOOKUP($B360,Paraméterek!$I$38:$K$39,IF($D$2="Egyszeri",3,2))/12*IF($D361="Nem",IF($M$13=0,1,$M$13),1),IF($D$4="Forint",0,2))</f>
        <v>#N/A</v>
      </c>
      <c r="U360" s="13"/>
      <c r="V360" s="13"/>
      <c r="W360" s="13" t="e">
        <f ca="1">$N360-$P360-$Q360+$S360-$T360-IF(ROUNDUP(IF(ISBLANK($V360),$U360*0,$V360)/IF($D$2="Egyszeri",VLOOKUP($B360+IF($C360=12,1,0),Paraméterek!$V$257:$W$262,2),IF($B360=1,1,VLOOKUP($B360+IF($C360=12,1,0),Paraméterek!$I$258:$T$278,HLOOKUP($M$11+1,Paraméterek!$J$256:$T$257,2)))),IF($D$4="Forint",0,2))&gt;$N360-$P360-$Q360+$S360-$T360-IF($D$4="Forint",Paraméterek!$C$216,Paraméterek!$D$216),0,ROUNDUP(IF(ISBLANK($V360),$U360*0,$V360)/IF($D$2="Egyszeri",VLOOKUP($B360+IF($C360=12,1,0),Paraméterek!$V$257:$W$262,2),IF($B360=1,1,VLOOKUP($B360+IF($C360=12,1,0),Paraméterek!$I$258:$T$278,HLOOKUP($M$11+1,Paraméterek!$J$256:$T$257,2)))),IF($D$4="Forint",0,2)))</f>
        <v>#N/A</v>
      </c>
      <c r="X360" s="13" t="e">
        <f ca="1">ROUNDDOWN($W360*IF($D$2="Egyszeri",VLOOKUP($B360+IF($C360=12,1,0),Paraméterek!$V$257:$W$262,2),VLOOKUP($B360+IF($C360=12,1,0),Paraméterek!$I$258:$T$278,HLOOKUP($M$11+1,Paraméterek!$I$256:$T$257,2))),IF($D$4="Forint",0,2))</f>
        <v>#N/A</v>
      </c>
      <c r="Z360" s="32">
        <v>341</v>
      </c>
      <c r="AA360" s="32">
        <v>29</v>
      </c>
      <c r="AB360" s="32">
        <v>5</v>
      </c>
      <c r="AC360" s="13">
        <f t="shared" ca="1" si="126"/>
        <v>0</v>
      </c>
      <c r="AD360" s="33"/>
      <c r="AE360" s="13">
        <f t="shared" ca="1" si="118"/>
        <v>0</v>
      </c>
      <c r="AF360" s="13">
        <f ca="1">ROUNDUP(($AC360+$AE360)*VLOOKUP($AA360,Paraméterek!$P$38:$Q$38,2)/12*IF($D361="Nem",IF($M$13=0,1,$M$13),1),IF($D$4="Forint",0,2))</f>
        <v>0</v>
      </c>
      <c r="AG360" s="13">
        <f ca="1">IF($D$2="Egyszeri",IF($D$7&gt;=IF($D$4="Forint",Paraméterek!$P$223,Paraméterek!$P$224),$D$7-IF($D$4="Forint",Paraméterek!$P$223,Paraméterek!$P$224),0),MIN(IF($AB360=12,AVERAGEIF($E$20:$E360,"&gt;0",$E$20:$E360)*12,0),SUM($E$20:$E$31)))</f>
        <v>0</v>
      </c>
      <c r="AH360" s="13">
        <f>IF($AA360=10,$AG360*IF($AB360=12,IF($AG360&lt;IF($D$4="Forint",Paraméterek!$L$223,Paraméterek!$L$224),0,VLOOKUP($AA360,Paraméterek!$K$226:$M$228,IF($AG360&lt;IF($D$4="Forint",Paraméterek!$M$223,Paraméterek!$M$224),2,3))),0),0)</f>
        <v>0</v>
      </c>
      <c r="AI360" s="13">
        <f ca="1">IF(AND($AA360=$M$11+1,$AB360=$M$12+1),SUMIF($AA$20:$AA$1027,$AA360,$AG$20:$AG$1027)*IF(SUMIF($AA$20:$AA$1027,$AA360,$AG$20:$AG$1027)&lt;IF($D$4="Forint",Paraméterek!$L$223,Paraméterek!$L$224),0,VLOOKUP($AA360,Paraméterek!$K$230:$M$250,IF(SUMIF($AA$20:$AA$1027,$AA360,$AG$20:$AG$1027)&lt;IF($D$4="Forint",Paraméterek!$M$223,Paraméterek!$M$224),2,3))),0)</f>
        <v>0</v>
      </c>
      <c r="AJ360" s="13">
        <f ca="1">IF(AND($AA360&gt;=5,MOD($AA360,5)=0),IF($AB360=12,VLOOKUP($AA360,Paraméterek!$O$225:$P$240,2),0),IF(OR($AA360=3,$AA360=4),IF($AB360=12,VLOOKUP($AA360,Paraméterek!$O$225:$P$240,2,0),0),0))*$AG360</f>
        <v>0</v>
      </c>
      <c r="AK360" s="13">
        <f t="shared" ca="1" si="119"/>
        <v>0</v>
      </c>
      <c r="AL360" s="13">
        <f t="shared" ca="1" si="127"/>
        <v>0</v>
      </c>
      <c r="AM360" s="13">
        <f t="shared" ca="1" si="128"/>
        <v>0</v>
      </c>
      <c r="AO360" s="32">
        <v>341</v>
      </c>
      <c r="AP360" s="32">
        <v>29</v>
      </c>
      <c r="AQ360" s="32">
        <v>5</v>
      </c>
      <c r="AR360" s="13"/>
      <c r="AS360" s="32"/>
      <c r="AT360" s="13">
        <f t="shared" ca="1" si="129"/>
        <v>0</v>
      </c>
      <c r="AU360" s="33"/>
      <c r="AV360" s="13">
        <f t="shared" ca="1" si="120"/>
        <v>0</v>
      </c>
      <c r="AW360" s="13">
        <f ca="1">ROUNDUP(($AT360+$AV360)*VLOOKUP($AP360,Paraméterek!$P$38:$Q$38,2)/12*IF($D361="Nem",IF($M$13=0,1,$M$13),1),IF($D$4="Forint",0,2))</f>
        <v>0</v>
      </c>
      <c r="AX360" s="13"/>
      <c r="AY360" s="13"/>
      <c r="AZ360" s="13">
        <f>ROUNDUP(IF(SUM($AX360:$AY360)=0,0,IF(IF(ISBLANK($AY360),$AX360,$AY360)*Paraméterek!$J$112&lt;IF($D$4="Forint",Paraméterek!$J$113,Paraméterek!$K$113),IF($D$4="Forint",Paraméterek!$J$113,Paraméterek!$K$113),IF(IF(ISBLANK($AY360),$AX360,$AY360)*Paraméterek!$J$112&gt;IF($D$4="Forint",Paraméterek!$J$114,Paraméterek!$K$114),IF($D$4="Forint",Paraméterek!$J$114,Paraméterek!$K$114),IF(ISBLANK($AY360),$AX360,$AY360)*Paraméterek!$J$112))),IF($D$4="Forint",0,2))</f>
        <v>0</v>
      </c>
      <c r="BA360" s="13">
        <f ca="1">$AT360+$AV360-$AW360-IF(ROUNDDOWN(IF(ISBLANK($AY360),$AX360,$AY360),IF($D$4="Forint",0,2))&gt;$AT360+$AV360-$AW360-IF($D$4="Forint",Paraméterek!$J$114,Paraméterek!$K$114),0,ROUNDDOWN(IF(ISBLANK($AY360),$AX360,$AY360),IF($D$4="Forint",0,2))-$AZ360)</f>
        <v>0</v>
      </c>
      <c r="BB360" s="13">
        <f t="shared" ca="1" si="121"/>
        <v>0</v>
      </c>
      <c r="BD360" s="32">
        <v>341</v>
      </c>
      <c r="BE360" s="32">
        <v>29</v>
      </c>
      <c r="BF360" s="32">
        <v>5</v>
      </c>
      <c r="BG360" s="34">
        <f t="shared" ca="1" si="130"/>
        <v>2047</v>
      </c>
      <c r="BH360" s="32" t="str">
        <f ca="1">IF(MOD(MONTH($D$14)+$BD360-1,12)=Paraméterek!$C$288,"Igen","")</f>
        <v/>
      </c>
      <c r="BI360" s="13">
        <f ca="1">IF($BH360="Igen",MIN(ROUNDDOWN((SUMIF($BG$20:$BG$1027,$BG360-1,$K$20:$K$1027)-SUMIF($BG$20:$BG$1027,$BG360-1,$I$20:$I$1027))*Paraméterek!$C$289,IF($D$4="Forint",0,2)),IF($D$4="Forint",Paraméterek!$C$285,Paraméterek!$D$285)),0)</f>
        <v>0</v>
      </c>
      <c r="BJ360" s="13">
        <f t="shared" ca="1" si="122"/>
        <v>0</v>
      </c>
      <c r="BK360" s="13">
        <f t="shared" ca="1" si="131"/>
        <v>0</v>
      </c>
      <c r="BL360" s="33"/>
      <c r="BM360" s="13">
        <f t="shared" ca="1" si="123"/>
        <v>0</v>
      </c>
      <c r="BN360" s="13">
        <f ca="1">ROUNDUP(($BK360+$BM360)*VLOOKUP($BE360,Paraméterek!$P$38:$Q$38,2)/12*IF($D361="Nem",IF($M$13=0,1,$M$13),1),IF($D$4="Forint",0,2))</f>
        <v>0</v>
      </c>
      <c r="BO360" s="13">
        <f t="shared" ca="1" si="124"/>
        <v>0</v>
      </c>
      <c r="BP360" s="13">
        <f ca="1">IF($D361="Nem",$BO360,$BO360-ROUNDUP(SUM($BI$20:$BI360)*120%,IF($D$4="Forint",0,2)))</f>
        <v>0</v>
      </c>
    </row>
    <row r="361" spans="1:68" x14ac:dyDescent="0.2">
      <c r="A361" s="32">
        <v>342</v>
      </c>
      <c r="B361" s="32">
        <v>29</v>
      </c>
      <c r="C361" s="32">
        <v>6</v>
      </c>
      <c r="D361" s="32" t="str">
        <f t="shared" ca="1" si="110"/>
        <v>Nem</v>
      </c>
      <c r="E361" s="13">
        <f t="shared" ca="1" si="111"/>
        <v>0</v>
      </c>
      <c r="F361" s="13"/>
      <c r="G361" s="13"/>
      <c r="H361" s="13"/>
      <c r="I361" s="13">
        <f t="shared" ca="1" si="112"/>
        <v>0</v>
      </c>
      <c r="J361" s="13">
        <f t="shared" ca="1" si="113"/>
        <v>0</v>
      </c>
      <c r="K361" s="13">
        <f t="shared" ca="1" si="114"/>
        <v>0</v>
      </c>
      <c r="L361" s="13" t="e">
        <f ca="1">ROUNDUP(IF($D$2="Egyszeri",$E361,IF($D$2="Havi",SUM($E$20:$E$31),IF(MOD($C361,$M$1)-1=0,SUM($E$20:$E$31),0))/12*$M$1)*VLOOKUP($B361,Paraméterek!$I$28:$P$31,IF($D$2="Egyszeri",8,HLOOKUP(ROUNDUP($M$11+$M$13,0),Paraméterek!$J$26:$O$27,2))),IF($D$4="Forint",0,2))</f>
        <v>#N/A</v>
      </c>
      <c r="M361" s="13">
        <f t="shared" ca="1" si="115"/>
        <v>0</v>
      </c>
      <c r="N361" s="13">
        <f t="shared" ca="1" si="125"/>
        <v>0</v>
      </c>
      <c r="O361" s="13">
        <f ca="1">IF($D361="Igen",IF($W360&gt;=IF($D$4="Forint",Paraméterek!$J$121,Paraméterek!$K$121),0,IF($D$4="Forint",Paraméterek!$J$121,Paraméterek!$K$121)-$W360),0)</f>
        <v>0</v>
      </c>
      <c r="P361" s="13" t="e">
        <f ca="1">ROUNDUP($O361*VLOOKUP($M$4+$B361-1,Paraméterek!$H$58:$I$105,2,0)/Paraméterek!$I$56,IF($D$4="Forint",0,2))</f>
        <v>#N/A</v>
      </c>
      <c r="Q361" s="13">
        <f t="shared" ca="1" si="116"/>
        <v>0</v>
      </c>
      <c r="R361" s="33"/>
      <c r="S361" s="13" t="e">
        <f t="shared" ca="1" si="117"/>
        <v>#N/A</v>
      </c>
      <c r="T361" s="13" t="e">
        <f ca="1">ROUNDUP(($N361-$P361-$Q361+$S361)*VLOOKUP($B361,Paraméterek!$I$38:$K$39,IF($D$2="Egyszeri",3,2))/12*IF($D362="Nem",IF($M$13=0,1,$M$13),1),IF($D$4="Forint",0,2))</f>
        <v>#N/A</v>
      </c>
      <c r="U361" s="13"/>
      <c r="V361" s="13"/>
      <c r="W361" s="13" t="e">
        <f ca="1">$N361-$P361-$Q361+$S361-$T361-IF(ROUNDUP(IF(ISBLANK($V361),$U361*0,$V361)/IF($D$2="Egyszeri",VLOOKUP($B361+IF($C361=12,1,0),Paraméterek!$V$257:$W$262,2),IF($B361=1,1,VLOOKUP($B361+IF($C361=12,1,0),Paraméterek!$I$258:$T$278,HLOOKUP($M$11+1,Paraméterek!$J$256:$T$257,2)))),IF($D$4="Forint",0,2))&gt;$N361-$P361-$Q361+$S361-$T361-IF($D$4="Forint",Paraméterek!$C$216,Paraméterek!$D$216),0,ROUNDUP(IF(ISBLANK($V361),$U361*0,$V361)/IF($D$2="Egyszeri",VLOOKUP($B361+IF($C361=12,1,0),Paraméterek!$V$257:$W$262,2),IF($B361=1,1,VLOOKUP($B361+IF($C361=12,1,0),Paraméterek!$I$258:$T$278,HLOOKUP($M$11+1,Paraméterek!$J$256:$T$257,2)))),IF($D$4="Forint",0,2)))</f>
        <v>#N/A</v>
      </c>
      <c r="X361" s="13" t="e">
        <f ca="1">ROUNDDOWN($W361*IF($D$2="Egyszeri",VLOOKUP($B361+IF($C361=12,1,0),Paraméterek!$V$257:$W$262,2),VLOOKUP($B361+IF($C361=12,1,0),Paraméterek!$I$258:$T$278,HLOOKUP($M$11+1,Paraméterek!$I$256:$T$257,2))),IF($D$4="Forint",0,2))</f>
        <v>#N/A</v>
      </c>
      <c r="Z361" s="32">
        <v>342</v>
      </c>
      <c r="AA361" s="32">
        <v>29</v>
      </c>
      <c r="AB361" s="32">
        <v>6</v>
      </c>
      <c r="AC361" s="13">
        <f t="shared" ca="1" si="126"/>
        <v>0</v>
      </c>
      <c r="AD361" s="33"/>
      <c r="AE361" s="13">
        <f t="shared" ca="1" si="118"/>
        <v>0</v>
      </c>
      <c r="AF361" s="13">
        <f ca="1">ROUNDUP(($AC361+$AE361)*VLOOKUP($AA361,Paraméterek!$P$38:$Q$38,2)/12*IF($D362="Nem",IF($M$13=0,1,$M$13),1),IF($D$4="Forint",0,2))</f>
        <v>0</v>
      </c>
      <c r="AG361" s="13">
        <f ca="1">IF($D$2="Egyszeri",IF($D$7&gt;=IF($D$4="Forint",Paraméterek!$P$223,Paraméterek!$P$224),$D$7-IF($D$4="Forint",Paraméterek!$P$223,Paraméterek!$P$224),0),MIN(IF($AB361=12,AVERAGEIF($E$20:$E361,"&gt;0",$E$20:$E361)*12,0),SUM($E$20:$E$31)))</f>
        <v>0</v>
      </c>
      <c r="AH361" s="13">
        <f>IF($AA361=10,$AG361*IF($AB361=12,IF($AG361&lt;IF($D$4="Forint",Paraméterek!$L$223,Paraméterek!$L$224),0,VLOOKUP($AA361,Paraméterek!$K$226:$M$228,IF($AG361&lt;IF($D$4="Forint",Paraméterek!$M$223,Paraméterek!$M$224),2,3))),0),0)</f>
        <v>0</v>
      </c>
      <c r="AI361" s="13">
        <f ca="1">IF(AND($AA361=$M$11+1,$AB361=$M$12+1),SUMIF($AA$20:$AA$1027,$AA361,$AG$20:$AG$1027)*IF(SUMIF($AA$20:$AA$1027,$AA361,$AG$20:$AG$1027)&lt;IF($D$4="Forint",Paraméterek!$L$223,Paraméterek!$L$224),0,VLOOKUP($AA361,Paraméterek!$K$230:$M$250,IF(SUMIF($AA$20:$AA$1027,$AA361,$AG$20:$AG$1027)&lt;IF($D$4="Forint",Paraméterek!$M$223,Paraméterek!$M$224),2,3))),0)</f>
        <v>0</v>
      </c>
      <c r="AJ361" s="13">
        <f ca="1">IF(AND($AA361&gt;=5,MOD($AA361,5)=0),IF($AB361=12,VLOOKUP($AA361,Paraméterek!$O$225:$P$240,2),0),IF(OR($AA361=3,$AA361=4),IF($AB361=12,VLOOKUP($AA361,Paraméterek!$O$225:$P$240,2,0),0),0))*$AG361</f>
        <v>0</v>
      </c>
      <c r="AK361" s="13">
        <f t="shared" ca="1" si="119"/>
        <v>0</v>
      </c>
      <c r="AL361" s="13">
        <f t="shared" ca="1" si="127"/>
        <v>0</v>
      </c>
      <c r="AM361" s="13">
        <f t="shared" ca="1" si="128"/>
        <v>0</v>
      </c>
      <c r="AO361" s="32">
        <v>342</v>
      </c>
      <c r="AP361" s="32">
        <v>29</v>
      </c>
      <c r="AQ361" s="32">
        <v>6</v>
      </c>
      <c r="AR361" s="13"/>
      <c r="AS361" s="32"/>
      <c r="AT361" s="13">
        <f t="shared" ca="1" si="129"/>
        <v>0</v>
      </c>
      <c r="AU361" s="33"/>
      <c r="AV361" s="13">
        <f t="shared" ca="1" si="120"/>
        <v>0</v>
      </c>
      <c r="AW361" s="13">
        <f ca="1">ROUNDUP(($AT361+$AV361)*VLOOKUP($AP361,Paraméterek!$P$38:$Q$38,2)/12*IF($D362="Nem",IF($M$13=0,1,$M$13),1),IF($D$4="Forint",0,2))</f>
        <v>0</v>
      </c>
      <c r="AX361" s="13"/>
      <c r="AY361" s="13"/>
      <c r="AZ361" s="13">
        <f>ROUNDUP(IF(SUM($AX361:$AY361)=0,0,IF(IF(ISBLANK($AY361),$AX361,$AY361)*Paraméterek!$J$112&lt;IF($D$4="Forint",Paraméterek!$J$113,Paraméterek!$K$113),IF($D$4="Forint",Paraméterek!$J$113,Paraméterek!$K$113),IF(IF(ISBLANK($AY361),$AX361,$AY361)*Paraméterek!$J$112&gt;IF($D$4="Forint",Paraméterek!$J$114,Paraméterek!$K$114),IF($D$4="Forint",Paraméterek!$J$114,Paraméterek!$K$114),IF(ISBLANK($AY361),$AX361,$AY361)*Paraméterek!$J$112))),IF($D$4="Forint",0,2))</f>
        <v>0</v>
      </c>
      <c r="BA361" s="13">
        <f ca="1">$AT361+$AV361-$AW361-IF(ROUNDDOWN(IF(ISBLANK($AY361),$AX361,$AY361),IF($D$4="Forint",0,2))&gt;$AT361+$AV361-$AW361-IF($D$4="Forint",Paraméterek!$J$114,Paraméterek!$K$114),0,ROUNDDOWN(IF(ISBLANK($AY361),$AX361,$AY361),IF($D$4="Forint",0,2))-$AZ361)</f>
        <v>0</v>
      </c>
      <c r="BB361" s="13">
        <f t="shared" ca="1" si="121"/>
        <v>0</v>
      </c>
      <c r="BD361" s="32">
        <v>342</v>
      </c>
      <c r="BE361" s="32">
        <v>29</v>
      </c>
      <c r="BF361" s="32">
        <v>6</v>
      </c>
      <c r="BG361" s="34">
        <f t="shared" ca="1" si="130"/>
        <v>2047</v>
      </c>
      <c r="BH361" s="32" t="str">
        <f ca="1">IF(MOD(MONTH($D$14)+$BD361-1,12)=Paraméterek!$C$288,"Igen","")</f>
        <v/>
      </c>
      <c r="BI361" s="13">
        <f ca="1">IF($BH361="Igen",MIN(ROUNDDOWN((SUMIF($BG$20:$BG$1027,$BG361-1,$K$20:$K$1027)-SUMIF($BG$20:$BG$1027,$BG361-1,$I$20:$I$1027))*Paraméterek!$C$289,IF($D$4="Forint",0,2)),IF($D$4="Forint",Paraméterek!$C$285,Paraméterek!$D$285)),0)</f>
        <v>0</v>
      </c>
      <c r="BJ361" s="13">
        <f t="shared" ca="1" si="122"/>
        <v>0</v>
      </c>
      <c r="BK361" s="13">
        <f t="shared" ca="1" si="131"/>
        <v>0</v>
      </c>
      <c r="BL361" s="33"/>
      <c r="BM361" s="13">
        <f t="shared" ca="1" si="123"/>
        <v>0</v>
      </c>
      <c r="BN361" s="13">
        <f ca="1">ROUNDUP(($BK361+$BM361)*VLOOKUP($BE361,Paraméterek!$P$38:$Q$38,2)/12*IF($D362="Nem",IF($M$13=0,1,$M$13),1),IF($D$4="Forint",0,2))</f>
        <v>0</v>
      </c>
      <c r="BO361" s="13">
        <f t="shared" ca="1" si="124"/>
        <v>0</v>
      </c>
      <c r="BP361" s="13">
        <f ca="1">IF($D362="Nem",$BO361,$BO361-ROUNDUP(SUM($BI$20:$BI361)*120%,IF($D$4="Forint",0,2)))</f>
        <v>0</v>
      </c>
    </row>
    <row r="362" spans="1:68" x14ac:dyDescent="0.2">
      <c r="A362" s="32">
        <v>343</v>
      </c>
      <c r="B362" s="32">
        <v>29</v>
      </c>
      <c r="C362" s="32">
        <v>7</v>
      </c>
      <c r="D362" s="32" t="str">
        <f t="shared" ca="1" si="110"/>
        <v>Nem</v>
      </c>
      <c r="E362" s="13">
        <f t="shared" ca="1" si="111"/>
        <v>0</v>
      </c>
      <c r="F362" s="13"/>
      <c r="G362" s="13"/>
      <c r="H362" s="13"/>
      <c r="I362" s="13">
        <f t="shared" ca="1" si="112"/>
        <v>0</v>
      </c>
      <c r="J362" s="13">
        <f t="shared" ca="1" si="113"/>
        <v>0</v>
      </c>
      <c r="K362" s="13">
        <f t="shared" ca="1" si="114"/>
        <v>0</v>
      </c>
      <c r="L362" s="13" t="e">
        <f ca="1">ROUNDUP(IF($D$2="Egyszeri",$E362,IF($D$2="Havi",SUM($E$20:$E$31),IF(MOD($C362,$M$1)-1=0,SUM($E$20:$E$31),0))/12*$M$1)*VLOOKUP($B362,Paraméterek!$I$28:$P$31,IF($D$2="Egyszeri",8,HLOOKUP(ROUNDUP($M$11+$M$13,0),Paraméterek!$J$26:$O$27,2))),IF($D$4="Forint",0,2))</f>
        <v>#N/A</v>
      </c>
      <c r="M362" s="13">
        <f t="shared" ca="1" si="115"/>
        <v>0</v>
      </c>
      <c r="N362" s="13">
        <f t="shared" ca="1" si="125"/>
        <v>0</v>
      </c>
      <c r="O362" s="13">
        <f ca="1">IF($D362="Igen",IF($W361&gt;=IF($D$4="Forint",Paraméterek!$J$121,Paraméterek!$K$121),0,IF($D$4="Forint",Paraméterek!$J$121,Paraméterek!$K$121)-$W361),0)</f>
        <v>0</v>
      </c>
      <c r="P362" s="13" t="e">
        <f ca="1">ROUNDUP($O362*VLOOKUP($M$4+$B362-1,Paraméterek!$H$58:$I$105,2,0)/Paraméterek!$I$56,IF($D$4="Forint",0,2))</f>
        <v>#N/A</v>
      </c>
      <c r="Q362" s="13">
        <f t="shared" ca="1" si="116"/>
        <v>0</v>
      </c>
      <c r="R362" s="33"/>
      <c r="S362" s="13" t="e">
        <f t="shared" ca="1" si="117"/>
        <v>#N/A</v>
      </c>
      <c r="T362" s="13" t="e">
        <f ca="1">ROUNDUP(($N362-$P362-$Q362+$S362)*VLOOKUP($B362,Paraméterek!$I$38:$K$39,IF($D$2="Egyszeri",3,2))/12*IF($D363="Nem",IF($M$13=0,1,$M$13),1),IF($D$4="Forint",0,2))</f>
        <v>#N/A</v>
      </c>
      <c r="U362" s="13"/>
      <c r="V362" s="13"/>
      <c r="W362" s="13" t="e">
        <f ca="1">$N362-$P362-$Q362+$S362-$T362-IF(ROUNDUP(IF(ISBLANK($V362),$U362*0,$V362)/IF($D$2="Egyszeri",VLOOKUP($B362+IF($C362=12,1,0),Paraméterek!$V$257:$W$262,2),IF($B362=1,1,VLOOKUP($B362+IF($C362=12,1,0),Paraméterek!$I$258:$T$278,HLOOKUP($M$11+1,Paraméterek!$J$256:$T$257,2)))),IF($D$4="Forint",0,2))&gt;$N362-$P362-$Q362+$S362-$T362-IF($D$4="Forint",Paraméterek!$C$216,Paraméterek!$D$216),0,ROUNDUP(IF(ISBLANK($V362),$U362*0,$V362)/IF($D$2="Egyszeri",VLOOKUP($B362+IF($C362=12,1,0),Paraméterek!$V$257:$W$262,2),IF($B362=1,1,VLOOKUP($B362+IF($C362=12,1,0),Paraméterek!$I$258:$T$278,HLOOKUP($M$11+1,Paraméterek!$J$256:$T$257,2)))),IF($D$4="Forint",0,2)))</f>
        <v>#N/A</v>
      </c>
      <c r="X362" s="13" t="e">
        <f ca="1">ROUNDDOWN($W362*IF($D$2="Egyszeri",VLOOKUP($B362+IF($C362=12,1,0),Paraméterek!$V$257:$W$262,2),VLOOKUP($B362+IF($C362=12,1,0),Paraméterek!$I$258:$T$278,HLOOKUP($M$11+1,Paraméterek!$I$256:$T$257,2))),IF($D$4="Forint",0,2))</f>
        <v>#N/A</v>
      </c>
      <c r="Z362" s="32">
        <v>343</v>
      </c>
      <c r="AA362" s="32">
        <v>29</v>
      </c>
      <c r="AB362" s="32">
        <v>7</v>
      </c>
      <c r="AC362" s="13">
        <f t="shared" ca="1" si="126"/>
        <v>0</v>
      </c>
      <c r="AD362" s="33"/>
      <c r="AE362" s="13">
        <f t="shared" ca="1" si="118"/>
        <v>0</v>
      </c>
      <c r="AF362" s="13">
        <f ca="1">ROUNDUP(($AC362+$AE362)*VLOOKUP($AA362,Paraméterek!$P$38:$Q$38,2)/12*IF($D363="Nem",IF($M$13=0,1,$M$13),1),IF($D$4="Forint",0,2))</f>
        <v>0</v>
      </c>
      <c r="AG362" s="13">
        <f ca="1">IF($D$2="Egyszeri",IF($D$7&gt;=IF($D$4="Forint",Paraméterek!$P$223,Paraméterek!$P$224),$D$7-IF($D$4="Forint",Paraméterek!$P$223,Paraméterek!$P$224),0),MIN(IF($AB362=12,AVERAGEIF($E$20:$E362,"&gt;0",$E$20:$E362)*12,0),SUM($E$20:$E$31)))</f>
        <v>0</v>
      </c>
      <c r="AH362" s="13">
        <f>IF($AA362=10,$AG362*IF($AB362=12,IF($AG362&lt;IF($D$4="Forint",Paraméterek!$L$223,Paraméterek!$L$224),0,VLOOKUP($AA362,Paraméterek!$K$226:$M$228,IF($AG362&lt;IF($D$4="Forint",Paraméterek!$M$223,Paraméterek!$M$224),2,3))),0),0)</f>
        <v>0</v>
      </c>
      <c r="AI362" s="13">
        <f ca="1">IF(AND($AA362=$M$11+1,$AB362=$M$12+1),SUMIF($AA$20:$AA$1027,$AA362,$AG$20:$AG$1027)*IF(SUMIF($AA$20:$AA$1027,$AA362,$AG$20:$AG$1027)&lt;IF($D$4="Forint",Paraméterek!$L$223,Paraméterek!$L$224),0,VLOOKUP($AA362,Paraméterek!$K$230:$M$250,IF(SUMIF($AA$20:$AA$1027,$AA362,$AG$20:$AG$1027)&lt;IF($D$4="Forint",Paraméterek!$M$223,Paraméterek!$M$224),2,3))),0)</f>
        <v>0</v>
      </c>
      <c r="AJ362" s="13">
        <f ca="1">IF(AND($AA362&gt;=5,MOD($AA362,5)=0),IF($AB362=12,VLOOKUP($AA362,Paraméterek!$O$225:$P$240,2),0),IF(OR($AA362=3,$AA362=4),IF($AB362=12,VLOOKUP($AA362,Paraméterek!$O$225:$P$240,2,0),0),0))*$AG362</f>
        <v>0</v>
      </c>
      <c r="AK362" s="13">
        <f t="shared" ca="1" si="119"/>
        <v>0</v>
      </c>
      <c r="AL362" s="13">
        <f t="shared" ca="1" si="127"/>
        <v>0</v>
      </c>
      <c r="AM362" s="13">
        <f t="shared" ca="1" si="128"/>
        <v>0</v>
      </c>
      <c r="AO362" s="32">
        <v>343</v>
      </c>
      <c r="AP362" s="32">
        <v>29</v>
      </c>
      <c r="AQ362" s="32">
        <v>7</v>
      </c>
      <c r="AR362" s="13"/>
      <c r="AS362" s="32"/>
      <c r="AT362" s="13">
        <f t="shared" ca="1" si="129"/>
        <v>0</v>
      </c>
      <c r="AU362" s="33"/>
      <c r="AV362" s="13">
        <f t="shared" ca="1" si="120"/>
        <v>0</v>
      </c>
      <c r="AW362" s="13">
        <f ca="1">ROUNDUP(($AT362+$AV362)*VLOOKUP($AP362,Paraméterek!$P$38:$Q$38,2)/12*IF($D363="Nem",IF($M$13=0,1,$M$13),1),IF($D$4="Forint",0,2))</f>
        <v>0</v>
      </c>
      <c r="AX362" s="13"/>
      <c r="AY362" s="13"/>
      <c r="AZ362" s="13">
        <f>ROUNDUP(IF(SUM($AX362:$AY362)=0,0,IF(IF(ISBLANK($AY362),$AX362,$AY362)*Paraméterek!$J$112&lt;IF($D$4="Forint",Paraméterek!$J$113,Paraméterek!$K$113),IF($D$4="Forint",Paraméterek!$J$113,Paraméterek!$K$113),IF(IF(ISBLANK($AY362),$AX362,$AY362)*Paraméterek!$J$112&gt;IF($D$4="Forint",Paraméterek!$J$114,Paraméterek!$K$114),IF($D$4="Forint",Paraméterek!$J$114,Paraméterek!$K$114),IF(ISBLANK($AY362),$AX362,$AY362)*Paraméterek!$J$112))),IF($D$4="Forint",0,2))</f>
        <v>0</v>
      </c>
      <c r="BA362" s="13">
        <f ca="1">$AT362+$AV362-$AW362-IF(ROUNDDOWN(IF(ISBLANK($AY362),$AX362,$AY362),IF($D$4="Forint",0,2))&gt;$AT362+$AV362-$AW362-IF($D$4="Forint",Paraméterek!$J$114,Paraméterek!$K$114),0,ROUNDDOWN(IF(ISBLANK($AY362),$AX362,$AY362),IF($D$4="Forint",0,2))-$AZ362)</f>
        <v>0</v>
      </c>
      <c r="BB362" s="13">
        <f t="shared" ca="1" si="121"/>
        <v>0</v>
      </c>
      <c r="BD362" s="32">
        <v>343</v>
      </c>
      <c r="BE362" s="32">
        <v>29</v>
      </c>
      <c r="BF362" s="32">
        <v>7</v>
      </c>
      <c r="BG362" s="34">
        <f t="shared" ca="1" si="130"/>
        <v>2047</v>
      </c>
      <c r="BH362" s="32" t="str">
        <f ca="1">IF(MOD(MONTH($D$14)+$BD362-1,12)=Paraméterek!$C$288,"Igen","")</f>
        <v/>
      </c>
      <c r="BI362" s="13">
        <f ca="1">IF($BH362="Igen",MIN(ROUNDDOWN((SUMIF($BG$20:$BG$1027,$BG362-1,$K$20:$K$1027)-SUMIF($BG$20:$BG$1027,$BG362-1,$I$20:$I$1027))*Paraméterek!$C$289,IF($D$4="Forint",0,2)),IF($D$4="Forint",Paraméterek!$C$285,Paraméterek!$D$285)),0)</f>
        <v>0</v>
      </c>
      <c r="BJ362" s="13">
        <f t="shared" ca="1" si="122"/>
        <v>0</v>
      </c>
      <c r="BK362" s="13">
        <f t="shared" ca="1" si="131"/>
        <v>0</v>
      </c>
      <c r="BL362" s="33"/>
      <c r="BM362" s="13">
        <f t="shared" ca="1" si="123"/>
        <v>0</v>
      </c>
      <c r="BN362" s="13">
        <f ca="1">ROUNDUP(($BK362+$BM362)*VLOOKUP($BE362,Paraméterek!$P$38:$Q$38,2)/12*IF($D363="Nem",IF($M$13=0,1,$M$13),1),IF($D$4="Forint",0,2))</f>
        <v>0</v>
      </c>
      <c r="BO362" s="13">
        <f t="shared" ca="1" si="124"/>
        <v>0</v>
      </c>
      <c r="BP362" s="13">
        <f ca="1">IF($D363="Nem",$BO362,$BO362-ROUNDUP(SUM($BI$20:$BI362)*120%,IF($D$4="Forint",0,2)))</f>
        <v>0</v>
      </c>
    </row>
    <row r="363" spans="1:68" x14ac:dyDescent="0.2">
      <c r="A363" s="32">
        <v>344</v>
      </c>
      <c r="B363" s="32">
        <v>29</v>
      </c>
      <c r="C363" s="32">
        <v>8</v>
      </c>
      <c r="D363" s="32" t="str">
        <f t="shared" ca="1" si="110"/>
        <v>Nem</v>
      </c>
      <c r="E363" s="13">
        <f t="shared" ca="1" si="111"/>
        <v>0</v>
      </c>
      <c r="F363" s="13"/>
      <c r="G363" s="13"/>
      <c r="H363" s="13"/>
      <c r="I363" s="13">
        <f t="shared" ca="1" si="112"/>
        <v>0</v>
      </c>
      <c r="J363" s="13">
        <f t="shared" ca="1" si="113"/>
        <v>0</v>
      </c>
      <c r="K363" s="13">
        <f t="shared" ca="1" si="114"/>
        <v>0</v>
      </c>
      <c r="L363" s="13" t="e">
        <f ca="1">ROUNDUP(IF($D$2="Egyszeri",$E363,IF($D$2="Havi",SUM($E$20:$E$31),IF(MOD($C363,$M$1)-1=0,SUM($E$20:$E$31),0))/12*$M$1)*VLOOKUP($B363,Paraméterek!$I$28:$P$31,IF($D$2="Egyszeri",8,HLOOKUP(ROUNDUP($M$11+$M$13,0),Paraméterek!$J$26:$O$27,2))),IF($D$4="Forint",0,2))</f>
        <v>#N/A</v>
      </c>
      <c r="M363" s="13">
        <f t="shared" ca="1" si="115"/>
        <v>0</v>
      </c>
      <c r="N363" s="13">
        <f t="shared" ca="1" si="125"/>
        <v>0</v>
      </c>
      <c r="O363" s="13">
        <f ca="1">IF($D363="Igen",IF($W362&gt;=IF($D$4="Forint",Paraméterek!$J$121,Paraméterek!$K$121),0,IF($D$4="Forint",Paraméterek!$J$121,Paraméterek!$K$121)-$W362),0)</f>
        <v>0</v>
      </c>
      <c r="P363" s="13" t="e">
        <f ca="1">ROUNDUP($O363*VLOOKUP($M$4+$B363-1,Paraméterek!$H$58:$I$105,2,0)/Paraméterek!$I$56,IF($D$4="Forint",0,2))</f>
        <v>#N/A</v>
      </c>
      <c r="Q363" s="13">
        <f t="shared" ca="1" si="116"/>
        <v>0</v>
      </c>
      <c r="R363" s="33"/>
      <c r="S363" s="13" t="e">
        <f t="shared" ca="1" si="117"/>
        <v>#N/A</v>
      </c>
      <c r="T363" s="13" t="e">
        <f ca="1">ROUNDUP(($N363-$P363-$Q363+$S363)*VLOOKUP($B363,Paraméterek!$I$38:$K$39,IF($D$2="Egyszeri",3,2))/12*IF($D364="Nem",IF($M$13=0,1,$M$13),1),IF($D$4="Forint",0,2))</f>
        <v>#N/A</v>
      </c>
      <c r="U363" s="13"/>
      <c r="V363" s="13"/>
      <c r="W363" s="13" t="e">
        <f ca="1">$N363-$P363-$Q363+$S363-$T363-IF(ROUNDUP(IF(ISBLANK($V363),$U363*0,$V363)/IF($D$2="Egyszeri",VLOOKUP($B363+IF($C363=12,1,0),Paraméterek!$V$257:$W$262,2),IF($B363=1,1,VLOOKUP($B363+IF($C363=12,1,0),Paraméterek!$I$258:$T$278,HLOOKUP($M$11+1,Paraméterek!$J$256:$T$257,2)))),IF($D$4="Forint",0,2))&gt;$N363-$P363-$Q363+$S363-$T363-IF($D$4="Forint",Paraméterek!$C$216,Paraméterek!$D$216),0,ROUNDUP(IF(ISBLANK($V363),$U363*0,$V363)/IF($D$2="Egyszeri",VLOOKUP($B363+IF($C363=12,1,0),Paraméterek!$V$257:$W$262,2),IF($B363=1,1,VLOOKUP($B363+IF($C363=12,1,0),Paraméterek!$I$258:$T$278,HLOOKUP($M$11+1,Paraméterek!$J$256:$T$257,2)))),IF($D$4="Forint",0,2)))</f>
        <v>#N/A</v>
      </c>
      <c r="X363" s="13" t="e">
        <f ca="1">ROUNDDOWN($W363*IF($D$2="Egyszeri",VLOOKUP($B363+IF($C363=12,1,0),Paraméterek!$V$257:$W$262,2),VLOOKUP($B363+IF($C363=12,1,0),Paraméterek!$I$258:$T$278,HLOOKUP($M$11+1,Paraméterek!$I$256:$T$257,2))),IF($D$4="Forint",0,2))</f>
        <v>#N/A</v>
      </c>
      <c r="Z363" s="32">
        <v>344</v>
      </c>
      <c r="AA363" s="32">
        <v>29</v>
      </c>
      <c r="AB363" s="32">
        <v>8</v>
      </c>
      <c r="AC363" s="13">
        <f t="shared" ca="1" si="126"/>
        <v>0</v>
      </c>
      <c r="AD363" s="33"/>
      <c r="AE363" s="13">
        <f t="shared" ca="1" si="118"/>
        <v>0</v>
      </c>
      <c r="AF363" s="13">
        <f ca="1">ROUNDUP(($AC363+$AE363)*VLOOKUP($AA363,Paraméterek!$P$38:$Q$38,2)/12*IF($D364="Nem",IF($M$13=0,1,$M$13),1),IF($D$4="Forint",0,2))</f>
        <v>0</v>
      </c>
      <c r="AG363" s="13">
        <f ca="1">IF($D$2="Egyszeri",IF($D$7&gt;=IF($D$4="Forint",Paraméterek!$P$223,Paraméterek!$P$224),$D$7-IF($D$4="Forint",Paraméterek!$P$223,Paraméterek!$P$224),0),MIN(IF($AB363=12,AVERAGEIF($E$20:$E363,"&gt;0",$E$20:$E363)*12,0),SUM($E$20:$E$31)))</f>
        <v>0</v>
      </c>
      <c r="AH363" s="13">
        <f>IF($AA363=10,$AG363*IF($AB363=12,IF($AG363&lt;IF($D$4="Forint",Paraméterek!$L$223,Paraméterek!$L$224),0,VLOOKUP($AA363,Paraméterek!$K$226:$M$228,IF($AG363&lt;IF($D$4="Forint",Paraméterek!$M$223,Paraméterek!$M$224),2,3))),0),0)</f>
        <v>0</v>
      </c>
      <c r="AI363" s="13">
        <f ca="1">IF(AND($AA363=$M$11+1,$AB363=$M$12+1),SUMIF($AA$20:$AA$1027,$AA363,$AG$20:$AG$1027)*IF(SUMIF($AA$20:$AA$1027,$AA363,$AG$20:$AG$1027)&lt;IF($D$4="Forint",Paraméterek!$L$223,Paraméterek!$L$224),0,VLOOKUP($AA363,Paraméterek!$K$230:$M$250,IF(SUMIF($AA$20:$AA$1027,$AA363,$AG$20:$AG$1027)&lt;IF($D$4="Forint",Paraméterek!$M$223,Paraméterek!$M$224),2,3))),0)</f>
        <v>0</v>
      </c>
      <c r="AJ363" s="13">
        <f ca="1">IF(AND($AA363&gt;=5,MOD($AA363,5)=0),IF($AB363=12,VLOOKUP($AA363,Paraméterek!$O$225:$P$240,2),0),IF(OR($AA363=3,$AA363=4),IF($AB363=12,VLOOKUP($AA363,Paraméterek!$O$225:$P$240,2,0),0),0))*$AG363</f>
        <v>0</v>
      </c>
      <c r="AK363" s="13">
        <f t="shared" ca="1" si="119"/>
        <v>0</v>
      </c>
      <c r="AL363" s="13">
        <f t="shared" ca="1" si="127"/>
        <v>0</v>
      </c>
      <c r="AM363" s="13">
        <f t="shared" ca="1" si="128"/>
        <v>0</v>
      </c>
      <c r="AO363" s="32">
        <v>344</v>
      </c>
      <c r="AP363" s="32">
        <v>29</v>
      </c>
      <c r="AQ363" s="32">
        <v>8</v>
      </c>
      <c r="AR363" s="13"/>
      <c r="AS363" s="32"/>
      <c r="AT363" s="13">
        <f t="shared" ca="1" si="129"/>
        <v>0</v>
      </c>
      <c r="AU363" s="33"/>
      <c r="AV363" s="13">
        <f t="shared" ca="1" si="120"/>
        <v>0</v>
      </c>
      <c r="AW363" s="13">
        <f ca="1">ROUNDUP(($AT363+$AV363)*VLOOKUP($AP363,Paraméterek!$P$38:$Q$38,2)/12*IF($D364="Nem",IF($M$13=0,1,$M$13),1),IF($D$4="Forint",0,2))</f>
        <v>0</v>
      </c>
      <c r="AX363" s="13"/>
      <c r="AY363" s="13"/>
      <c r="AZ363" s="13">
        <f>ROUNDUP(IF(SUM($AX363:$AY363)=0,0,IF(IF(ISBLANK($AY363),$AX363,$AY363)*Paraméterek!$J$112&lt;IF($D$4="Forint",Paraméterek!$J$113,Paraméterek!$K$113),IF($D$4="Forint",Paraméterek!$J$113,Paraméterek!$K$113),IF(IF(ISBLANK($AY363),$AX363,$AY363)*Paraméterek!$J$112&gt;IF($D$4="Forint",Paraméterek!$J$114,Paraméterek!$K$114),IF($D$4="Forint",Paraméterek!$J$114,Paraméterek!$K$114),IF(ISBLANK($AY363),$AX363,$AY363)*Paraméterek!$J$112))),IF($D$4="Forint",0,2))</f>
        <v>0</v>
      </c>
      <c r="BA363" s="13">
        <f ca="1">$AT363+$AV363-$AW363-IF(ROUNDDOWN(IF(ISBLANK($AY363),$AX363,$AY363),IF($D$4="Forint",0,2))&gt;$AT363+$AV363-$AW363-IF($D$4="Forint",Paraméterek!$J$114,Paraméterek!$K$114),0,ROUNDDOWN(IF(ISBLANK($AY363),$AX363,$AY363),IF($D$4="Forint",0,2))-$AZ363)</f>
        <v>0</v>
      </c>
      <c r="BB363" s="13">
        <f t="shared" ca="1" si="121"/>
        <v>0</v>
      </c>
      <c r="BD363" s="32">
        <v>344</v>
      </c>
      <c r="BE363" s="32">
        <v>29</v>
      </c>
      <c r="BF363" s="32">
        <v>8</v>
      </c>
      <c r="BG363" s="34">
        <f t="shared" ca="1" si="130"/>
        <v>2048</v>
      </c>
      <c r="BH363" s="32" t="str">
        <f ca="1">IF(MOD(MONTH($D$14)+$BD363-1,12)=Paraméterek!$C$288,"Igen","")</f>
        <v/>
      </c>
      <c r="BI363" s="13">
        <f ca="1">IF($BH363="Igen",MIN(ROUNDDOWN((SUMIF($BG$20:$BG$1027,$BG363-1,$K$20:$K$1027)-SUMIF($BG$20:$BG$1027,$BG363-1,$I$20:$I$1027))*Paraméterek!$C$289,IF($D$4="Forint",0,2)),IF($D$4="Forint",Paraméterek!$C$285,Paraméterek!$D$285)),0)</f>
        <v>0</v>
      </c>
      <c r="BJ363" s="13">
        <f t="shared" ca="1" si="122"/>
        <v>0</v>
      </c>
      <c r="BK363" s="13">
        <f t="shared" ca="1" si="131"/>
        <v>0</v>
      </c>
      <c r="BL363" s="33"/>
      <c r="BM363" s="13">
        <f t="shared" ca="1" si="123"/>
        <v>0</v>
      </c>
      <c r="BN363" s="13">
        <f ca="1">ROUNDUP(($BK363+$BM363)*VLOOKUP($BE363,Paraméterek!$P$38:$Q$38,2)/12*IF($D364="Nem",IF($M$13=0,1,$M$13),1),IF($D$4="Forint",0,2))</f>
        <v>0</v>
      </c>
      <c r="BO363" s="13">
        <f t="shared" ca="1" si="124"/>
        <v>0</v>
      </c>
      <c r="BP363" s="13">
        <f ca="1">IF($D364="Nem",$BO363,$BO363-ROUNDUP(SUM($BI$20:$BI363)*120%,IF($D$4="Forint",0,2)))</f>
        <v>0</v>
      </c>
    </row>
    <row r="364" spans="1:68" x14ac:dyDescent="0.2">
      <c r="A364" s="32">
        <v>345</v>
      </c>
      <c r="B364" s="32">
        <v>29</v>
      </c>
      <c r="C364" s="32">
        <v>9</v>
      </c>
      <c r="D364" s="32" t="str">
        <f t="shared" ca="1" si="110"/>
        <v>Nem</v>
      </c>
      <c r="E364" s="13">
        <f t="shared" ca="1" si="111"/>
        <v>0</v>
      </c>
      <c r="F364" s="13"/>
      <c r="G364" s="13"/>
      <c r="H364" s="13"/>
      <c r="I364" s="13">
        <f t="shared" ca="1" si="112"/>
        <v>0</v>
      </c>
      <c r="J364" s="13">
        <f t="shared" ca="1" si="113"/>
        <v>0</v>
      </c>
      <c r="K364" s="13">
        <f t="shared" ca="1" si="114"/>
        <v>0</v>
      </c>
      <c r="L364" s="13" t="e">
        <f ca="1">ROUNDUP(IF($D$2="Egyszeri",$E364,IF($D$2="Havi",SUM($E$20:$E$31),IF(MOD($C364,$M$1)-1=0,SUM($E$20:$E$31),0))/12*$M$1)*VLOOKUP($B364,Paraméterek!$I$28:$P$31,IF($D$2="Egyszeri",8,HLOOKUP(ROUNDUP($M$11+$M$13,0),Paraméterek!$J$26:$O$27,2))),IF($D$4="Forint",0,2))</f>
        <v>#N/A</v>
      </c>
      <c r="M364" s="13">
        <f t="shared" ca="1" si="115"/>
        <v>0</v>
      </c>
      <c r="N364" s="13">
        <f t="shared" ca="1" si="125"/>
        <v>0</v>
      </c>
      <c r="O364" s="13">
        <f ca="1">IF($D364="Igen",IF($W363&gt;=IF($D$4="Forint",Paraméterek!$J$121,Paraméterek!$K$121),0,IF($D$4="Forint",Paraméterek!$J$121,Paraméterek!$K$121)-$W363),0)</f>
        <v>0</v>
      </c>
      <c r="P364" s="13" t="e">
        <f ca="1">ROUNDUP($O364*VLOOKUP($M$4+$B364-1,Paraméterek!$H$58:$I$105,2,0)/Paraméterek!$I$56,IF($D$4="Forint",0,2))</f>
        <v>#N/A</v>
      </c>
      <c r="Q364" s="13">
        <f t="shared" ca="1" si="116"/>
        <v>0</v>
      </c>
      <c r="R364" s="33"/>
      <c r="S364" s="13" t="e">
        <f t="shared" ca="1" si="117"/>
        <v>#N/A</v>
      </c>
      <c r="T364" s="13" t="e">
        <f ca="1">ROUNDUP(($N364-$P364-$Q364+$S364)*VLOOKUP($B364,Paraméterek!$I$38:$K$39,IF($D$2="Egyszeri",3,2))/12*IF($D365="Nem",IF($M$13=0,1,$M$13),1),IF($D$4="Forint",0,2))</f>
        <v>#N/A</v>
      </c>
      <c r="U364" s="13"/>
      <c r="V364" s="13"/>
      <c r="W364" s="13" t="e">
        <f ca="1">$N364-$P364-$Q364+$S364-$T364-IF(ROUNDUP(IF(ISBLANK($V364),$U364*0,$V364)/IF($D$2="Egyszeri",VLOOKUP($B364+IF($C364=12,1,0),Paraméterek!$V$257:$W$262,2),IF($B364=1,1,VLOOKUP($B364+IF($C364=12,1,0),Paraméterek!$I$258:$T$278,HLOOKUP($M$11+1,Paraméterek!$J$256:$T$257,2)))),IF($D$4="Forint",0,2))&gt;$N364-$P364-$Q364+$S364-$T364-IF($D$4="Forint",Paraméterek!$C$216,Paraméterek!$D$216),0,ROUNDUP(IF(ISBLANK($V364),$U364*0,$V364)/IF($D$2="Egyszeri",VLOOKUP($B364+IF($C364=12,1,0),Paraméterek!$V$257:$W$262,2),IF($B364=1,1,VLOOKUP($B364+IF($C364=12,1,0),Paraméterek!$I$258:$T$278,HLOOKUP($M$11+1,Paraméterek!$J$256:$T$257,2)))),IF($D$4="Forint",0,2)))</f>
        <v>#N/A</v>
      </c>
      <c r="X364" s="13" t="e">
        <f ca="1">ROUNDDOWN($W364*IF($D$2="Egyszeri",VLOOKUP($B364+IF($C364=12,1,0),Paraméterek!$V$257:$W$262,2),VLOOKUP($B364+IF($C364=12,1,0),Paraméterek!$I$258:$T$278,HLOOKUP($M$11+1,Paraméterek!$I$256:$T$257,2))),IF($D$4="Forint",0,2))</f>
        <v>#N/A</v>
      </c>
      <c r="Z364" s="32">
        <v>345</v>
      </c>
      <c r="AA364" s="32">
        <v>29</v>
      </c>
      <c r="AB364" s="32">
        <v>9</v>
      </c>
      <c r="AC364" s="13">
        <f t="shared" ca="1" si="126"/>
        <v>0</v>
      </c>
      <c r="AD364" s="33"/>
      <c r="AE364" s="13">
        <f t="shared" ca="1" si="118"/>
        <v>0</v>
      </c>
      <c r="AF364" s="13">
        <f ca="1">ROUNDUP(($AC364+$AE364)*VLOOKUP($AA364,Paraméterek!$P$38:$Q$38,2)/12*IF($D365="Nem",IF($M$13=0,1,$M$13),1),IF($D$4="Forint",0,2))</f>
        <v>0</v>
      </c>
      <c r="AG364" s="13">
        <f ca="1">IF($D$2="Egyszeri",IF($D$7&gt;=IF($D$4="Forint",Paraméterek!$P$223,Paraméterek!$P$224),$D$7-IF($D$4="Forint",Paraméterek!$P$223,Paraméterek!$P$224),0),MIN(IF($AB364=12,AVERAGEIF($E$20:$E364,"&gt;0",$E$20:$E364)*12,0),SUM($E$20:$E$31)))</f>
        <v>0</v>
      </c>
      <c r="AH364" s="13">
        <f>IF($AA364=10,$AG364*IF($AB364=12,IF($AG364&lt;IF($D$4="Forint",Paraméterek!$L$223,Paraméterek!$L$224),0,VLOOKUP($AA364,Paraméterek!$K$226:$M$228,IF($AG364&lt;IF($D$4="Forint",Paraméterek!$M$223,Paraméterek!$M$224),2,3))),0),0)</f>
        <v>0</v>
      </c>
      <c r="AI364" s="13">
        <f ca="1">IF(AND($AA364=$M$11+1,$AB364=$M$12+1),SUMIF($AA$20:$AA$1027,$AA364,$AG$20:$AG$1027)*IF(SUMIF($AA$20:$AA$1027,$AA364,$AG$20:$AG$1027)&lt;IF($D$4="Forint",Paraméterek!$L$223,Paraméterek!$L$224),0,VLOOKUP($AA364,Paraméterek!$K$230:$M$250,IF(SUMIF($AA$20:$AA$1027,$AA364,$AG$20:$AG$1027)&lt;IF($D$4="Forint",Paraméterek!$M$223,Paraméterek!$M$224),2,3))),0)</f>
        <v>0</v>
      </c>
      <c r="AJ364" s="13">
        <f ca="1">IF(AND($AA364&gt;=5,MOD($AA364,5)=0),IF($AB364=12,VLOOKUP($AA364,Paraméterek!$O$225:$P$240,2),0),IF(OR($AA364=3,$AA364=4),IF($AB364=12,VLOOKUP($AA364,Paraméterek!$O$225:$P$240,2,0),0),0))*$AG364</f>
        <v>0</v>
      </c>
      <c r="AK364" s="13">
        <f t="shared" ca="1" si="119"/>
        <v>0</v>
      </c>
      <c r="AL364" s="13">
        <f t="shared" ca="1" si="127"/>
        <v>0</v>
      </c>
      <c r="AM364" s="13">
        <f t="shared" ca="1" si="128"/>
        <v>0</v>
      </c>
      <c r="AO364" s="32">
        <v>345</v>
      </c>
      <c r="AP364" s="32">
        <v>29</v>
      </c>
      <c r="AQ364" s="32">
        <v>9</v>
      </c>
      <c r="AR364" s="13"/>
      <c r="AS364" s="32"/>
      <c r="AT364" s="13">
        <f t="shared" ca="1" si="129"/>
        <v>0</v>
      </c>
      <c r="AU364" s="33"/>
      <c r="AV364" s="13">
        <f t="shared" ca="1" si="120"/>
        <v>0</v>
      </c>
      <c r="AW364" s="13">
        <f ca="1">ROUNDUP(($AT364+$AV364)*VLOOKUP($AP364,Paraméterek!$P$38:$Q$38,2)/12*IF($D365="Nem",IF($M$13=0,1,$M$13),1),IF($D$4="Forint",0,2))</f>
        <v>0</v>
      </c>
      <c r="AX364" s="13"/>
      <c r="AY364" s="13"/>
      <c r="AZ364" s="13">
        <f>ROUNDUP(IF(SUM($AX364:$AY364)=0,0,IF(IF(ISBLANK($AY364),$AX364,$AY364)*Paraméterek!$J$112&lt;IF($D$4="Forint",Paraméterek!$J$113,Paraméterek!$K$113),IF($D$4="Forint",Paraméterek!$J$113,Paraméterek!$K$113),IF(IF(ISBLANK($AY364),$AX364,$AY364)*Paraméterek!$J$112&gt;IF($D$4="Forint",Paraméterek!$J$114,Paraméterek!$K$114),IF($D$4="Forint",Paraméterek!$J$114,Paraméterek!$K$114),IF(ISBLANK($AY364),$AX364,$AY364)*Paraméterek!$J$112))),IF($D$4="Forint",0,2))</f>
        <v>0</v>
      </c>
      <c r="BA364" s="13">
        <f ca="1">$AT364+$AV364-$AW364-IF(ROUNDDOWN(IF(ISBLANK($AY364),$AX364,$AY364),IF($D$4="Forint",0,2))&gt;$AT364+$AV364-$AW364-IF($D$4="Forint",Paraméterek!$J$114,Paraméterek!$K$114),0,ROUNDDOWN(IF(ISBLANK($AY364),$AX364,$AY364),IF($D$4="Forint",0,2))-$AZ364)</f>
        <v>0</v>
      </c>
      <c r="BB364" s="13">
        <f t="shared" ca="1" si="121"/>
        <v>0</v>
      </c>
      <c r="BD364" s="32">
        <v>345</v>
      </c>
      <c r="BE364" s="32">
        <v>29</v>
      </c>
      <c r="BF364" s="32">
        <v>9</v>
      </c>
      <c r="BG364" s="34">
        <f t="shared" ca="1" si="130"/>
        <v>2048</v>
      </c>
      <c r="BH364" s="32" t="str">
        <f ca="1">IF(MOD(MONTH($D$14)+$BD364-1,12)=Paraméterek!$C$288,"Igen","")</f>
        <v/>
      </c>
      <c r="BI364" s="13">
        <f ca="1">IF($BH364="Igen",MIN(ROUNDDOWN((SUMIF($BG$20:$BG$1027,$BG364-1,$K$20:$K$1027)-SUMIF($BG$20:$BG$1027,$BG364-1,$I$20:$I$1027))*Paraméterek!$C$289,IF($D$4="Forint",0,2)),IF($D$4="Forint",Paraméterek!$C$285,Paraméterek!$D$285)),0)</f>
        <v>0</v>
      </c>
      <c r="BJ364" s="13">
        <f t="shared" ca="1" si="122"/>
        <v>0</v>
      </c>
      <c r="BK364" s="13">
        <f t="shared" ca="1" si="131"/>
        <v>0</v>
      </c>
      <c r="BL364" s="33"/>
      <c r="BM364" s="13">
        <f t="shared" ca="1" si="123"/>
        <v>0</v>
      </c>
      <c r="BN364" s="13">
        <f ca="1">ROUNDUP(($BK364+$BM364)*VLOOKUP($BE364,Paraméterek!$P$38:$Q$38,2)/12*IF($D365="Nem",IF($M$13=0,1,$M$13),1),IF($D$4="Forint",0,2))</f>
        <v>0</v>
      </c>
      <c r="BO364" s="13">
        <f t="shared" ca="1" si="124"/>
        <v>0</v>
      </c>
      <c r="BP364" s="13">
        <f ca="1">IF($D365="Nem",$BO364,$BO364-ROUNDUP(SUM($BI$20:$BI364)*120%,IF($D$4="Forint",0,2)))</f>
        <v>0</v>
      </c>
    </row>
    <row r="365" spans="1:68" x14ac:dyDescent="0.2">
      <c r="A365" s="32">
        <v>346</v>
      </c>
      <c r="B365" s="32">
        <v>29</v>
      </c>
      <c r="C365" s="32">
        <v>10</v>
      </c>
      <c r="D365" s="32" t="str">
        <f t="shared" ca="1" si="110"/>
        <v>Nem</v>
      </c>
      <c r="E365" s="13">
        <f t="shared" ca="1" si="111"/>
        <v>0</v>
      </c>
      <c r="F365" s="13"/>
      <c r="G365" s="13"/>
      <c r="H365" s="13"/>
      <c r="I365" s="13">
        <f t="shared" ca="1" si="112"/>
        <v>0</v>
      </c>
      <c r="J365" s="13">
        <f t="shared" ca="1" si="113"/>
        <v>0</v>
      </c>
      <c r="K365" s="13">
        <f t="shared" ca="1" si="114"/>
        <v>0</v>
      </c>
      <c r="L365" s="13" t="e">
        <f ca="1">ROUNDUP(IF($D$2="Egyszeri",$E365,IF($D$2="Havi",SUM($E$20:$E$31),IF(MOD($C365,$M$1)-1=0,SUM($E$20:$E$31),0))/12*$M$1)*VLOOKUP($B365,Paraméterek!$I$28:$P$31,IF($D$2="Egyszeri",8,HLOOKUP(ROUNDUP($M$11+$M$13,0),Paraméterek!$J$26:$O$27,2))),IF($D$4="Forint",0,2))</f>
        <v>#N/A</v>
      </c>
      <c r="M365" s="13">
        <f t="shared" ca="1" si="115"/>
        <v>0</v>
      </c>
      <c r="N365" s="13">
        <f t="shared" ca="1" si="125"/>
        <v>0</v>
      </c>
      <c r="O365" s="13">
        <f ca="1">IF($D365="Igen",IF($W364&gt;=IF($D$4="Forint",Paraméterek!$J$121,Paraméterek!$K$121),0,IF($D$4="Forint",Paraméterek!$J$121,Paraméterek!$K$121)-$W364),0)</f>
        <v>0</v>
      </c>
      <c r="P365" s="13" t="e">
        <f ca="1">ROUNDUP($O365*VLOOKUP($M$4+$B365-1,Paraméterek!$H$58:$I$105,2,0)/Paraméterek!$I$56,IF($D$4="Forint",0,2))</f>
        <v>#N/A</v>
      </c>
      <c r="Q365" s="13">
        <f t="shared" ca="1" si="116"/>
        <v>0</v>
      </c>
      <c r="R365" s="33"/>
      <c r="S365" s="13" t="e">
        <f t="shared" ca="1" si="117"/>
        <v>#N/A</v>
      </c>
      <c r="T365" s="13" t="e">
        <f ca="1">ROUNDUP(($N365-$P365-$Q365+$S365)*VLOOKUP($B365,Paraméterek!$I$38:$K$39,IF($D$2="Egyszeri",3,2))/12*IF($D366="Nem",IF($M$13=0,1,$M$13),1),IF($D$4="Forint",0,2))</f>
        <v>#N/A</v>
      </c>
      <c r="U365" s="13"/>
      <c r="V365" s="13"/>
      <c r="W365" s="13" t="e">
        <f ca="1">$N365-$P365-$Q365+$S365-$T365-IF(ROUNDUP(IF(ISBLANK($V365),$U365*0,$V365)/IF($D$2="Egyszeri",VLOOKUP($B365+IF($C365=12,1,0),Paraméterek!$V$257:$W$262,2),IF($B365=1,1,VLOOKUP($B365+IF($C365=12,1,0),Paraméterek!$I$258:$T$278,HLOOKUP($M$11+1,Paraméterek!$J$256:$T$257,2)))),IF($D$4="Forint",0,2))&gt;$N365-$P365-$Q365+$S365-$T365-IF($D$4="Forint",Paraméterek!$C$216,Paraméterek!$D$216),0,ROUNDUP(IF(ISBLANK($V365),$U365*0,$V365)/IF($D$2="Egyszeri",VLOOKUP($B365+IF($C365=12,1,0),Paraméterek!$V$257:$W$262,2),IF($B365=1,1,VLOOKUP($B365+IF($C365=12,1,0),Paraméterek!$I$258:$T$278,HLOOKUP($M$11+1,Paraméterek!$J$256:$T$257,2)))),IF($D$4="Forint",0,2)))</f>
        <v>#N/A</v>
      </c>
      <c r="X365" s="13" t="e">
        <f ca="1">ROUNDDOWN($W365*IF($D$2="Egyszeri",VLOOKUP($B365+IF($C365=12,1,0),Paraméterek!$V$257:$W$262,2),VLOOKUP($B365+IF($C365=12,1,0),Paraméterek!$I$258:$T$278,HLOOKUP($M$11+1,Paraméterek!$I$256:$T$257,2))),IF($D$4="Forint",0,2))</f>
        <v>#N/A</v>
      </c>
      <c r="Z365" s="32">
        <v>346</v>
      </c>
      <c r="AA365" s="32">
        <v>29</v>
      </c>
      <c r="AB365" s="32">
        <v>10</v>
      </c>
      <c r="AC365" s="13">
        <f t="shared" ca="1" si="126"/>
        <v>0</v>
      </c>
      <c r="AD365" s="33"/>
      <c r="AE365" s="13">
        <f t="shared" ca="1" si="118"/>
        <v>0</v>
      </c>
      <c r="AF365" s="13">
        <f ca="1">ROUNDUP(($AC365+$AE365)*VLOOKUP($AA365,Paraméterek!$P$38:$Q$38,2)/12*IF($D366="Nem",IF($M$13=0,1,$M$13),1),IF($D$4="Forint",0,2))</f>
        <v>0</v>
      </c>
      <c r="AG365" s="13">
        <f ca="1">IF($D$2="Egyszeri",IF($D$7&gt;=IF($D$4="Forint",Paraméterek!$P$223,Paraméterek!$P$224),$D$7-IF($D$4="Forint",Paraméterek!$P$223,Paraméterek!$P$224),0),MIN(IF($AB365=12,AVERAGEIF($E$20:$E365,"&gt;0",$E$20:$E365)*12,0),SUM($E$20:$E$31)))</f>
        <v>0</v>
      </c>
      <c r="AH365" s="13">
        <f>IF($AA365=10,$AG365*IF($AB365=12,IF($AG365&lt;IF($D$4="Forint",Paraméterek!$L$223,Paraméterek!$L$224),0,VLOOKUP($AA365,Paraméterek!$K$226:$M$228,IF($AG365&lt;IF($D$4="Forint",Paraméterek!$M$223,Paraméterek!$M$224),2,3))),0),0)</f>
        <v>0</v>
      </c>
      <c r="AI365" s="13">
        <f ca="1">IF(AND($AA365=$M$11+1,$AB365=$M$12+1),SUMIF($AA$20:$AA$1027,$AA365,$AG$20:$AG$1027)*IF(SUMIF($AA$20:$AA$1027,$AA365,$AG$20:$AG$1027)&lt;IF($D$4="Forint",Paraméterek!$L$223,Paraméterek!$L$224),0,VLOOKUP($AA365,Paraméterek!$K$230:$M$250,IF(SUMIF($AA$20:$AA$1027,$AA365,$AG$20:$AG$1027)&lt;IF($D$4="Forint",Paraméterek!$M$223,Paraméterek!$M$224),2,3))),0)</f>
        <v>0</v>
      </c>
      <c r="AJ365" s="13">
        <f ca="1">IF(AND($AA365&gt;=5,MOD($AA365,5)=0),IF($AB365=12,VLOOKUP($AA365,Paraméterek!$O$225:$P$240,2),0),IF(OR($AA365=3,$AA365=4),IF($AB365=12,VLOOKUP($AA365,Paraméterek!$O$225:$P$240,2,0),0),0))*$AG365</f>
        <v>0</v>
      </c>
      <c r="AK365" s="13">
        <f t="shared" ca="1" si="119"/>
        <v>0</v>
      </c>
      <c r="AL365" s="13">
        <f t="shared" ca="1" si="127"/>
        <v>0</v>
      </c>
      <c r="AM365" s="13">
        <f t="shared" ca="1" si="128"/>
        <v>0</v>
      </c>
      <c r="AO365" s="32">
        <v>346</v>
      </c>
      <c r="AP365" s="32">
        <v>29</v>
      </c>
      <c r="AQ365" s="32">
        <v>10</v>
      </c>
      <c r="AR365" s="13"/>
      <c r="AS365" s="32"/>
      <c r="AT365" s="13">
        <f t="shared" ca="1" si="129"/>
        <v>0</v>
      </c>
      <c r="AU365" s="33"/>
      <c r="AV365" s="13">
        <f t="shared" ca="1" si="120"/>
        <v>0</v>
      </c>
      <c r="AW365" s="13">
        <f ca="1">ROUNDUP(($AT365+$AV365)*VLOOKUP($AP365,Paraméterek!$P$38:$Q$38,2)/12*IF($D366="Nem",IF($M$13=0,1,$M$13),1),IF($D$4="Forint",0,2))</f>
        <v>0</v>
      </c>
      <c r="AX365" s="13"/>
      <c r="AY365" s="13"/>
      <c r="AZ365" s="13">
        <f>ROUNDUP(IF(SUM($AX365:$AY365)=0,0,IF(IF(ISBLANK($AY365),$AX365,$AY365)*Paraméterek!$J$112&lt;IF($D$4="Forint",Paraméterek!$J$113,Paraméterek!$K$113),IF($D$4="Forint",Paraméterek!$J$113,Paraméterek!$K$113),IF(IF(ISBLANK($AY365),$AX365,$AY365)*Paraméterek!$J$112&gt;IF($D$4="Forint",Paraméterek!$J$114,Paraméterek!$K$114),IF($D$4="Forint",Paraméterek!$J$114,Paraméterek!$K$114),IF(ISBLANK($AY365),$AX365,$AY365)*Paraméterek!$J$112))),IF($D$4="Forint",0,2))</f>
        <v>0</v>
      </c>
      <c r="BA365" s="13">
        <f ca="1">$AT365+$AV365-$AW365-IF(ROUNDDOWN(IF(ISBLANK($AY365),$AX365,$AY365),IF($D$4="Forint",0,2))&gt;$AT365+$AV365-$AW365-IF($D$4="Forint",Paraméterek!$J$114,Paraméterek!$K$114),0,ROUNDDOWN(IF(ISBLANK($AY365),$AX365,$AY365),IF($D$4="Forint",0,2))-$AZ365)</f>
        <v>0</v>
      </c>
      <c r="BB365" s="13">
        <f t="shared" ca="1" si="121"/>
        <v>0</v>
      </c>
      <c r="BD365" s="32">
        <v>346</v>
      </c>
      <c r="BE365" s="32">
        <v>29</v>
      </c>
      <c r="BF365" s="32">
        <v>10</v>
      </c>
      <c r="BG365" s="34">
        <f t="shared" ca="1" si="130"/>
        <v>2048</v>
      </c>
      <c r="BH365" s="32" t="str">
        <f ca="1">IF(MOD(MONTH($D$14)+$BD365-1,12)=Paraméterek!$C$288,"Igen","")</f>
        <v/>
      </c>
      <c r="BI365" s="13">
        <f ca="1">IF($BH365="Igen",MIN(ROUNDDOWN((SUMIF($BG$20:$BG$1027,$BG365-1,$K$20:$K$1027)-SUMIF($BG$20:$BG$1027,$BG365-1,$I$20:$I$1027))*Paraméterek!$C$289,IF($D$4="Forint",0,2)),IF($D$4="Forint",Paraméterek!$C$285,Paraméterek!$D$285)),0)</f>
        <v>0</v>
      </c>
      <c r="BJ365" s="13">
        <f t="shared" ca="1" si="122"/>
        <v>0</v>
      </c>
      <c r="BK365" s="13">
        <f t="shared" ca="1" si="131"/>
        <v>0</v>
      </c>
      <c r="BL365" s="33"/>
      <c r="BM365" s="13">
        <f t="shared" ca="1" si="123"/>
        <v>0</v>
      </c>
      <c r="BN365" s="13">
        <f ca="1">ROUNDUP(($BK365+$BM365)*VLOOKUP($BE365,Paraméterek!$P$38:$Q$38,2)/12*IF($D366="Nem",IF($M$13=0,1,$M$13),1),IF($D$4="Forint",0,2))</f>
        <v>0</v>
      </c>
      <c r="BO365" s="13">
        <f t="shared" ca="1" si="124"/>
        <v>0</v>
      </c>
      <c r="BP365" s="13">
        <f ca="1">IF($D366="Nem",$BO365,$BO365-ROUNDUP(SUM($BI$20:$BI365)*120%,IF($D$4="Forint",0,2)))</f>
        <v>0</v>
      </c>
    </row>
    <row r="366" spans="1:68" x14ac:dyDescent="0.2">
      <c r="A366" s="32">
        <v>347</v>
      </c>
      <c r="B366" s="32">
        <v>29</v>
      </c>
      <c r="C366" s="32">
        <v>11</v>
      </c>
      <c r="D366" s="32" t="str">
        <f t="shared" ca="1" si="110"/>
        <v>Nem</v>
      </c>
      <c r="E366" s="13">
        <f t="shared" ca="1" si="111"/>
        <v>0</v>
      </c>
      <c r="F366" s="13"/>
      <c r="G366" s="13"/>
      <c r="H366" s="13"/>
      <c r="I366" s="13">
        <f t="shared" ca="1" si="112"/>
        <v>0</v>
      </c>
      <c r="J366" s="13">
        <f t="shared" ca="1" si="113"/>
        <v>0</v>
      </c>
      <c r="K366" s="13">
        <f t="shared" ca="1" si="114"/>
        <v>0</v>
      </c>
      <c r="L366" s="13" t="e">
        <f ca="1">ROUNDUP(IF($D$2="Egyszeri",$E366,IF($D$2="Havi",SUM($E$20:$E$31),IF(MOD($C366,$M$1)-1=0,SUM($E$20:$E$31),0))/12*$M$1)*VLOOKUP($B366,Paraméterek!$I$28:$P$31,IF($D$2="Egyszeri",8,HLOOKUP(ROUNDUP($M$11+$M$13,0),Paraméterek!$J$26:$O$27,2))),IF($D$4="Forint",0,2))</f>
        <v>#N/A</v>
      </c>
      <c r="M366" s="13">
        <f t="shared" ca="1" si="115"/>
        <v>0</v>
      </c>
      <c r="N366" s="13">
        <f t="shared" ca="1" si="125"/>
        <v>0</v>
      </c>
      <c r="O366" s="13">
        <f ca="1">IF($D366="Igen",IF($W365&gt;=IF($D$4="Forint",Paraméterek!$J$121,Paraméterek!$K$121),0,IF($D$4="Forint",Paraméterek!$J$121,Paraméterek!$K$121)-$W365),0)</f>
        <v>0</v>
      </c>
      <c r="P366" s="13" t="e">
        <f ca="1">ROUNDUP($O366*VLOOKUP($M$4+$B366-1,Paraméterek!$H$58:$I$105,2,0)/Paraméterek!$I$56,IF($D$4="Forint",0,2))</f>
        <v>#N/A</v>
      </c>
      <c r="Q366" s="13">
        <f t="shared" ca="1" si="116"/>
        <v>0</v>
      </c>
      <c r="R366" s="33"/>
      <c r="S366" s="13" t="e">
        <f t="shared" ca="1" si="117"/>
        <v>#N/A</v>
      </c>
      <c r="T366" s="13" t="e">
        <f ca="1">ROUNDUP(($N366-$P366-$Q366+$S366)*VLOOKUP($B366,Paraméterek!$I$38:$K$39,IF($D$2="Egyszeri",3,2))/12*IF($D367="Nem",IF($M$13=0,1,$M$13),1),IF($D$4="Forint",0,2))</f>
        <v>#N/A</v>
      </c>
      <c r="U366" s="13"/>
      <c r="V366" s="13"/>
      <c r="W366" s="13" t="e">
        <f ca="1">$N366-$P366-$Q366+$S366-$T366-IF(ROUNDUP(IF(ISBLANK($V366),$U366*0,$V366)/IF($D$2="Egyszeri",VLOOKUP($B366+IF($C366=12,1,0),Paraméterek!$V$257:$W$262,2),IF($B366=1,1,VLOOKUP($B366+IF($C366=12,1,0),Paraméterek!$I$258:$T$278,HLOOKUP($M$11+1,Paraméterek!$J$256:$T$257,2)))),IF($D$4="Forint",0,2))&gt;$N366-$P366-$Q366+$S366-$T366-IF($D$4="Forint",Paraméterek!$C$216,Paraméterek!$D$216),0,ROUNDUP(IF(ISBLANK($V366),$U366*0,$V366)/IF($D$2="Egyszeri",VLOOKUP($B366+IF($C366=12,1,0),Paraméterek!$V$257:$W$262,2),IF($B366=1,1,VLOOKUP($B366+IF($C366=12,1,0),Paraméterek!$I$258:$T$278,HLOOKUP($M$11+1,Paraméterek!$J$256:$T$257,2)))),IF($D$4="Forint",0,2)))</f>
        <v>#N/A</v>
      </c>
      <c r="X366" s="13" t="e">
        <f ca="1">ROUNDDOWN($W366*IF($D$2="Egyszeri",VLOOKUP($B366+IF($C366=12,1,0),Paraméterek!$V$257:$W$262,2),VLOOKUP($B366+IF($C366=12,1,0),Paraméterek!$I$258:$T$278,HLOOKUP($M$11+1,Paraméterek!$I$256:$T$257,2))),IF($D$4="Forint",0,2))</f>
        <v>#N/A</v>
      </c>
      <c r="Z366" s="32">
        <v>347</v>
      </c>
      <c r="AA366" s="32">
        <v>29</v>
      </c>
      <c r="AB366" s="32">
        <v>11</v>
      </c>
      <c r="AC366" s="13">
        <f t="shared" ca="1" si="126"/>
        <v>0</v>
      </c>
      <c r="AD366" s="33"/>
      <c r="AE366" s="13">
        <f t="shared" ca="1" si="118"/>
        <v>0</v>
      </c>
      <c r="AF366" s="13">
        <f ca="1">ROUNDUP(($AC366+$AE366)*VLOOKUP($AA366,Paraméterek!$P$38:$Q$38,2)/12*IF($D367="Nem",IF($M$13=0,1,$M$13),1),IF($D$4="Forint",0,2))</f>
        <v>0</v>
      </c>
      <c r="AG366" s="13">
        <f ca="1">IF($D$2="Egyszeri",IF($D$7&gt;=IF($D$4="Forint",Paraméterek!$P$223,Paraméterek!$P$224),$D$7-IF($D$4="Forint",Paraméterek!$P$223,Paraméterek!$P$224),0),MIN(IF($AB366=12,AVERAGEIF($E$20:$E366,"&gt;0",$E$20:$E366)*12,0),SUM($E$20:$E$31)))</f>
        <v>0</v>
      </c>
      <c r="AH366" s="13">
        <f>IF($AA366=10,$AG366*IF($AB366=12,IF($AG366&lt;IF($D$4="Forint",Paraméterek!$L$223,Paraméterek!$L$224),0,VLOOKUP($AA366,Paraméterek!$K$226:$M$228,IF($AG366&lt;IF($D$4="Forint",Paraméterek!$M$223,Paraméterek!$M$224),2,3))),0),0)</f>
        <v>0</v>
      </c>
      <c r="AI366" s="13">
        <f ca="1">IF(AND($AA366=$M$11+1,$AB366=$M$12+1),SUMIF($AA$20:$AA$1027,$AA366,$AG$20:$AG$1027)*IF(SUMIF($AA$20:$AA$1027,$AA366,$AG$20:$AG$1027)&lt;IF($D$4="Forint",Paraméterek!$L$223,Paraméterek!$L$224),0,VLOOKUP($AA366,Paraméterek!$K$230:$M$250,IF(SUMIF($AA$20:$AA$1027,$AA366,$AG$20:$AG$1027)&lt;IF($D$4="Forint",Paraméterek!$M$223,Paraméterek!$M$224),2,3))),0)</f>
        <v>0</v>
      </c>
      <c r="AJ366" s="13">
        <f ca="1">IF(AND($AA366&gt;=5,MOD($AA366,5)=0),IF($AB366=12,VLOOKUP($AA366,Paraméterek!$O$225:$P$240,2),0),IF(OR($AA366=3,$AA366=4),IF($AB366=12,VLOOKUP($AA366,Paraméterek!$O$225:$P$240,2,0),0),0))*$AG366</f>
        <v>0</v>
      </c>
      <c r="AK366" s="13">
        <f t="shared" ca="1" si="119"/>
        <v>0</v>
      </c>
      <c r="AL366" s="13">
        <f t="shared" ca="1" si="127"/>
        <v>0</v>
      </c>
      <c r="AM366" s="13">
        <f t="shared" ca="1" si="128"/>
        <v>0</v>
      </c>
      <c r="AO366" s="32">
        <v>347</v>
      </c>
      <c r="AP366" s="32">
        <v>29</v>
      </c>
      <c r="AQ366" s="32">
        <v>11</v>
      </c>
      <c r="AR366" s="13"/>
      <c r="AS366" s="32"/>
      <c r="AT366" s="13">
        <f t="shared" ca="1" si="129"/>
        <v>0</v>
      </c>
      <c r="AU366" s="33"/>
      <c r="AV366" s="13">
        <f t="shared" ca="1" si="120"/>
        <v>0</v>
      </c>
      <c r="AW366" s="13">
        <f ca="1">ROUNDUP(($AT366+$AV366)*VLOOKUP($AP366,Paraméterek!$P$38:$Q$38,2)/12*IF($D367="Nem",IF($M$13=0,1,$M$13),1),IF($D$4="Forint",0,2))</f>
        <v>0</v>
      </c>
      <c r="AX366" s="13"/>
      <c r="AY366" s="13"/>
      <c r="AZ366" s="13">
        <f>ROUNDUP(IF(SUM($AX366:$AY366)=0,0,IF(IF(ISBLANK($AY366),$AX366,$AY366)*Paraméterek!$J$112&lt;IF($D$4="Forint",Paraméterek!$J$113,Paraméterek!$K$113),IF($D$4="Forint",Paraméterek!$J$113,Paraméterek!$K$113),IF(IF(ISBLANK($AY366),$AX366,$AY366)*Paraméterek!$J$112&gt;IF($D$4="Forint",Paraméterek!$J$114,Paraméterek!$K$114),IF($D$4="Forint",Paraméterek!$J$114,Paraméterek!$K$114),IF(ISBLANK($AY366),$AX366,$AY366)*Paraméterek!$J$112))),IF($D$4="Forint",0,2))</f>
        <v>0</v>
      </c>
      <c r="BA366" s="13">
        <f ca="1">$AT366+$AV366-$AW366-IF(ROUNDDOWN(IF(ISBLANK($AY366),$AX366,$AY366),IF($D$4="Forint",0,2))&gt;$AT366+$AV366-$AW366-IF($D$4="Forint",Paraméterek!$J$114,Paraméterek!$K$114),0,ROUNDDOWN(IF(ISBLANK($AY366),$AX366,$AY366),IF($D$4="Forint",0,2))-$AZ366)</f>
        <v>0</v>
      </c>
      <c r="BB366" s="13">
        <f t="shared" ca="1" si="121"/>
        <v>0</v>
      </c>
      <c r="BD366" s="32">
        <v>347</v>
      </c>
      <c r="BE366" s="32">
        <v>29</v>
      </c>
      <c r="BF366" s="32">
        <v>11</v>
      </c>
      <c r="BG366" s="34">
        <f t="shared" ca="1" si="130"/>
        <v>2048</v>
      </c>
      <c r="BH366" s="32" t="str">
        <f ca="1">IF(MOD(MONTH($D$14)+$BD366-1,12)=Paraméterek!$C$288,"Igen","")</f>
        <v/>
      </c>
      <c r="BI366" s="13">
        <f ca="1">IF($BH366="Igen",MIN(ROUNDDOWN((SUMIF($BG$20:$BG$1027,$BG366-1,$K$20:$K$1027)-SUMIF($BG$20:$BG$1027,$BG366-1,$I$20:$I$1027))*Paraméterek!$C$289,IF($D$4="Forint",0,2)),IF($D$4="Forint",Paraméterek!$C$285,Paraméterek!$D$285)),0)</f>
        <v>0</v>
      </c>
      <c r="BJ366" s="13">
        <f t="shared" ca="1" si="122"/>
        <v>0</v>
      </c>
      <c r="BK366" s="13">
        <f t="shared" ca="1" si="131"/>
        <v>0</v>
      </c>
      <c r="BL366" s="33"/>
      <c r="BM366" s="13">
        <f t="shared" ca="1" si="123"/>
        <v>0</v>
      </c>
      <c r="BN366" s="13">
        <f ca="1">ROUNDUP(($BK366+$BM366)*VLOOKUP($BE366,Paraméterek!$P$38:$Q$38,2)/12*IF($D367="Nem",IF($M$13=0,1,$M$13),1),IF($D$4="Forint",0,2))</f>
        <v>0</v>
      </c>
      <c r="BO366" s="13">
        <f t="shared" ca="1" si="124"/>
        <v>0</v>
      </c>
      <c r="BP366" s="13">
        <f ca="1">IF($D367="Nem",$BO366,$BO366-ROUNDUP(SUM($BI$20:$BI366)*120%,IF($D$4="Forint",0,2)))</f>
        <v>0</v>
      </c>
    </row>
    <row r="367" spans="1:68" x14ac:dyDescent="0.2">
      <c r="A367" s="32">
        <v>348</v>
      </c>
      <c r="B367" s="32">
        <v>29</v>
      </c>
      <c r="C367" s="32">
        <v>12</v>
      </c>
      <c r="D367" s="32" t="str">
        <f t="shared" ca="1" si="110"/>
        <v>Nem</v>
      </c>
      <c r="E367" s="13">
        <f t="shared" ca="1" si="111"/>
        <v>0</v>
      </c>
      <c r="F367" s="13"/>
      <c r="G367" s="13"/>
      <c r="H367" s="13"/>
      <c r="I367" s="13">
        <f t="shared" ca="1" si="112"/>
        <v>0</v>
      </c>
      <c r="J367" s="13">
        <f t="shared" ca="1" si="113"/>
        <v>0</v>
      </c>
      <c r="K367" s="13">
        <f t="shared" ca="1" si="114"/>
        <v>0</v>
      </c>
      <c r="L367" s="13" t="e">
        <f ca="1">ROUNDUP(IF($D$2="Egyszeri",$E367,IF($D$2="Havi",SUM($E$20:$E$31),IF(MOD($C367,$M$1)-1=0,SUM($E$20:$E$31),0))/12*$M$1)*VLOOKUP($B367,Paraméterek!$I$28:$P$31,IF($D$2="Egyszeri",8,HLOOKUP(ROUNDUP($M$11+$M$13,0),Paraméterek!$J$26:$O$27,2))),IF($D$4="Forint",0,2))</f>
        <v>#N/A</v>
      </c>
      <c r="M367" s="13">
        <f t="shared" ca="1" si="115"/>
        <v>0</v>
      </c>
      <c r="N367" s="13">
        <f t="shared" ca="1" si="125"/>
        <v>0</v>
      </c>
      <c r="O367" s="13">
        <f ca="1">IF($D367="Igen",IF($W366&gt;=IF($D$4="Forint",Paraméterek!$J$121,Paraméterek!$K$121),0,IF($D$4="Forint",Paraméterek!$J$121,Paraméterek!$K$121)-$W366),0)</f>
        <v>0</v>
      </c>
      <c r="P367" s="13" t="e">
        <f ca="1">ROUNDUP($O367*VLOOKUP($M$4+$B367-1,Paraméterek!$H$58:$I$105,2,0)/Paraméterek!$I$56,IF($D$4="Forint",0,2))</f>
        <v>#N/A</v>
      </c>
      <c r="Q367" s="13">
        <f t="shared" ca="1" si="116"/>
        <v>0</v>
      </c>
      <c r="R367" s="33"/>
      <c r="S367" s="13" t="e">
        <f t="shared" ca="1" si="117"/>
        <v>#N/A</v>
      </c>
      <c r="T367" s="13" t="e">
        <f ca="1">ROUNDUP(($N367-$P367-$Q367+$S367)*VLOOKUP($B367,Paraméterek!$I$38:$K$39,IF($D$2="Egyszeri",3,2))/12*IF($D368="Nem",IF($M$13=0,1,$M$13),1),IF($D$4="Forint",0,2))</f>
        <v>#N/A</v>
      </c>
      <c r="U367" s="13">
        <f>Tranzakciók!$F$60</f>
        <v>0</v>
      </c>
      <c r="V367" s="13"/>
      <c r="W367" s="13" t="e">
        <f ca="1">$N367-$P367-$Q367+$S367-$T367-IF(ROUNDUP(IF(ISBLANK($V367),$U367*0,$V367)/IF($D$2="Egyszeri",VLOOKUP($B367+IF($C367=12,1,0),Paraméterek!$V$257:$W$262,2),IF($B367=1,1,VLOOKUP($B367+IF($C367=12,1,0),Paraméterek!$I$258:$T$278,HLOOKUP($M$11+1,Paraméterek!$J$256:$T$257,2)))),IF($D$4="Forint",0,2))&gt;$N367-$P367-$Q367+$S367-$T367-IF($D$4="Forint",Paraméterek!$C$216,Paraméterek!$D$216),0,ROUNDUP(IF(ISBLANK($V367),$U367*0,$V367)/IF($D$2="Egyszeri",VLOOKUP($B367+IF($C367=12,1,0),Paraméterek!$V$257:$W$262,2),IF($B367=1,1,VLOOKUP($B367+IF($C367=12,1,0),Paraméterek!$I$258:$T$278,HLOOKUP($M$11+1,Paraméterek!$J$256:$T$257,2)))),IF($D$4="Forint",0,2)))</f>
        <v>#N/A</v>
      </c>
      <c r="X367" s="13" t="e">
        <f ca="1">ROUNDDOWN($W367*IF($D$2="Egyszeri",VLOOKUP($B367+IF($C367=12,1,0),Paraméterek!$V$257:$W$262,2),VLOOKUP($B367+IF($C367=12,1,0),Paraméterek!$I$258:$T$278,HLOOKUP($M$11+1,Paraméterek!$I$256:$T$257,2))),IF($D$4="Forint",0,2))</f>
        <v>#N/A</v>
      </c>
      <c r="Z367" s="32">
        <v>348</v>
      </c>
      <c r="AA367" s="32">
        <v>29</v>
      </c>
      <c r="AB367" s="32">
        <v>12</v>
      </c>
      <c r="AC367" s="13">
        <f t="shared" ca="1" si="126"/>
        <v>0</v>
      </c>
      <c r="AD367" s="33"/>
      <c r="AE367" s="13">
        <f t="shared" ca="1" si="118"/>
        <v>0</v>
      </c>
      <c r="AF367" s="13">
        <f ca="1">ROUNDUP(($AC367+$AE367)*VLOOKUP($AA367,Paraméterek!$P$38:$Q$38,2)/12*IF($D368="Nem",IF($M$13=0,1,$M$13),1),IF($D$4="Forint",0,2))</f>
        <v>0</v>
      </c>
      <c r="AG367" s="13" t="e">
        <f ca="1">IF($D$2="Egyszeri",IF($D$7&gt;=IF($D$4="Forint",Paraméterek!$P$223,Paraméterek!$P$224),$D$7-IF($D$4="Forint",Paraméterek!$P$223,Paraméterek!$P$224),0),MIN(IF($AB367=12,AVERAGEIF($E$20:$E367,"&gt;0",$E$20:$E367)*12,0),SUM($E$20:$E$31)))</f>
        <v>#DIV/0!</v>
      </c>
      <c r="AH367" s="13">
        <f>IF($AA367=10,$AG367*IF($AB367=12,IF($AG367&lt;IF($D$4="Forint",Paraméterek!$L$223,Paraméterek!$L$224),0,VLOOKUP($AA367,Paraméterek!$K$226:$M$228,IF($AG367&lt;IF($D$4="Forint",Paraméterek!$M$223,Paraméterek!$M$224),2,3))),0),0)</f>
        <v>0</v>
      </c>
      <c r="AI367" s="13">
        <f ca="1">IF(AND($AA367=$M$11+1,$AB367=$M$12+1),SUMIF($AA$20:$AA$1027,$AA367,$AG$20:$AG$1027)*IF(SUMIF($AA$20:$AA$1027,$AA367,$AG$20:$AG$1027)&lt;IF($D$4="Forint",Paraméterek!$L$223,Paraméterek!$L$224),0,VLOOKUP($AA367,Paraméterek!$K$230:$M$250,IF(SUMIF($AA$20:$AA$1027,$AA367,$AG$20:$AG$1027)&lt;IF($D$4="Forint",Paraméterek!$M$223,Paraméterek!$M$224),2,3))),0)</f>
        <v>0</v>
      </c>
      <c r="AJ367" s="13" t="e">
        <f ca="1">IF(AND($AA367&gt;=5,MOD($AA367,5)=0),IF($AB367=12,VLOOKUP($AA367,Paraméterek!$O$225:$P$240,2),0),IF(OR($AA367=3,$AA367=4),IF($AB367=12,VLOOKUP($AA367,Paraméterek!$O$225:$P$240,2,0),0),0))*$AG367</f>
        <v>#DIV/0!</v>
      </c>
      <c r="AK367" s="13">
        <f t="shared" ca="1" si="119"/>
        <v>0</v>
      </c>
      <c r="AL367" s="13">
        <f t="shared" ca="1" si="127"/>
        <v>0</v>
      </c>
      <c r="AM367" s="13">
        <f t="shared" ca="1" si="128"/>
        <v>0</v>
      </c>
      <c r="AO367" s="32">
        <v>348</v>
      </c>
      <c r="AP367" s="32">
        <v>29</v>
      </c>
      <c r="AQ367" s="32">
        <v>12</v>
      </c>
      <c r="AR367" s="13"/>
      <c r="AS367" s="32"/>
      <c r="AT367" s="13">
        <f t="shared" ca="1" si="129"/>
        <v>0</v>
      </c>
      <c r="AU367" s="33"/>
      <c r="AV367" s="13">
        <f t="shared" ca="1" si="120"/>
        <v>0</v>
      </c>
      <c r="AW367" s="13">
        <f ca="1">ROUNDUP(($AT367+$AV367)*VLOOKUP($AP367,Paraméterek!$P$38:$Q$38,2)/12*IF($D368="Nem",IF($M$13=0,1,$M$13),1),IF($D$4="Forint",0,2))</f>
        <v>0</v>
      </c>
      <c r="AX367" s="13">
        <f>Tranzakciók!$M$60</f>
        <v>0</v>
      </c>
      <c r="AY367" s="13"/>
      <c r="AZ367" s="13">
        <f>ROUNDUP(IF(SUM($AX367:$AY367)=0,0,IF(IF(ISBLANK($AY367),$AX367,$AY367)*Paraméterek!$J$112&lt;IF($D$4="Forint",Paraméterek!$J$113,Paraméterek!$K$113),IF($D$4="Forint",Paraméterek!$J$113,Paraméterek!$K$113),IF(IF(ISBLANK($AY367),$AX367,$AY367)*Paraméterek!$J$112&gt;IF($D$4="Forint",Paraméterek!$J$114,Paraméterek!$K$114),IF($D$4="Forint",Paraméterek!$J$114,Paraméterek!$K$114),IF(ISBLANK($AY367),$AX367,$AY367)*Paraméterek!$J$112))),IF($D$4="Forint",0,2))</f>
        <v>0</v>
      </c>
      <c r="BA367" s="13">
        <f ca="1">$AT367+$AV367-$AW367-IF(ROUNDDOWN(IF(ISBLANK($AY367),$AX367,$AY367),IF($D$4="Forint",0,2))&gt;$AT367+$AV367-$AW367-IF($D$4="Forint",Paraméterek!$J$114,Paraméterek!$K$114),0,ROUNDDOWN(IF(ISBLANK($AY367),$AX367,$AY367),IF($D$4="Forint",0,2))-$AZ367)</f>
        <v>0</v>
      </c>
      <c r="BB367" s="13">
        <f t="shared" ca="1" si="121"/>
        <v>0</v>
      </c>
      <c r="BD367" s="32">
        <v>348</v>
      </c>
      <c r="BE367" s="32">
        <v>29</v>
      </c>
      <c r="BF367" s="32">
        <v>12</v>
      </c>
      <c r="BG367" s="34">
        <f t="shared" ca="1" si="130"/>
        <v>2048</v>
      </c>
      <c r="BH367" s="32" t="str">
        <f ca="1">IF(MOD(MONTH($D$14)+$BD367-1,12)=Paraméterek!$C$288,"Igen","")</f>
        <v/>
      </c>
      <c r="BI367" s="13">
        <f ca="1">IF($BH367="Igen",MIN(ROUNDDOWN((SUMIF($BG$20:$BG$1027,$BG367-1,$K$20:$K$1027)-SUMIF($BG$20:$BG$1027,$BG367-1,$I$20:$I$1027))*Paraméterek!$C$289,IF($D$4="Forint",0,2)),IF($D$4="Forint",Paraméterek!$C$285,Paraméterek!$D$285)),0)</f>
        <v>0</v>
      </c>
      <c r="BJ367" s="13">
        <f t="shared" ca="1" si="122"/>
        <v>0</v>
      </c>
      <c r="BK367" s="13">
        <f t="shared" ca="1" si="131"/>
        <v>0</v>
      </c>
      <c r="BL367" s="33"/>
      <c r="BM367" s="13">
        <f t="shared" ca="1" si="123"/>
        <v>0</v>
      </c>
      <c r="BN367" s="13">
        <f ca="1">ROUNDUP(($BK367+$BM367)*VLOOKUP($BE367,Paraméterek!$P$38:$Q$38,2)/12*IF($D368="Nem",IF($M$13=0,1,$M$13),1),IF($D$4="Forint",0,2))</f>
        <v>0</v>
      </c>
      <c r="BO367" s="13">
        <f t="shared" ca="1" si="124"/>
        <v>0</v>
      </c>
      <c r="BP367" s="13">
        <f ca="1">IF($D368="Nem",$BO367,$BO367-ROUNDUP(SUM($BI$20:$BI367)*120%,IF($D$4="Forint",0,2)))</f>
        <v>0</v>
      </c>
    </row>
    <row r="368" spans="1:68" x14ac:dyDescent="0.2">
      <c r="A368" s="32">
        <v>349</v>
      </c>
      <c r="B368" s="32">
        <v>30</v>
      </c>
      <c r="C368" s="32">
        <v>1</v>
      </c>
      <c r="D368" s="32" t="str">
        <f t="shared" ca="1" si="110"/>
        <v>Nem</v>
      </c>
      <c r="E368" s="13">
        <f t="shared" ca="1" si="111"/>
        <v>0</v>
      </c>
      <c r="F368" s="13"/>
      <c r="G368" s="13">
        <f>Tranzakciók!$D$61</f>
        <v>0</v>
      </c>
      <c r="H368" s="13"/>
      <c r="I368" s="13">
        <f t="shared" ca="1" si="112"/>
        <v>0</v>
      </c>
      <c r="J368" s="13">
        <f t="shared" ca="1" si="113"/>
        <v>0</v>
      </c>
      <c r="K368" s="13">
        <f t="shared" ca="1" si="114"/>
        <v>0</v>
      </c>
      <c r="L368" s="13" t="e">
        <f ca="1">ROUNDUP(IF($D$2="Egyszeri",$E368,IF($D$2="Havi",SUM($E$20:$E$31),IF(MOD($C368,$M$1)-1=0,SUM($E$20:$E$31),0))/12*$M$1)*VLOOKUP($B368,Paraméterek!$I$28:$P$31,IF($D$2="Egyszeri",8,HLOOKUP(ROUNDUP($M$11+$M$13,0),Paraméterek!$J$26:$O$27,2))),IF($D$4="Forint",0,2))</f>
        <v>#N/A</v>
      </c>
      <c r="M368" s="13">
        <f t="shared" ca="1" si="115"/>
        <v>0</v>
      </c>
      <c r="N368" s="13">
        <f t="shared" ca="1" si="125"/>
        <v>0</v>
      </c>
      <c r="O368" s="13">
        <f ca="1">IF($D368="Igen",IF($W367&gt;=IF($D$4="Forint",Paraméterek!$J$121,Paraméterek!$K$121),0,IF($D$4="Forint",Paraméterek!$J$121,Paraméterek!$K$121)-$W367),0)</f>
        <v>0</v>
      </c>
      <c r="P368" s="13" t="e">
        <f ca="1">ROUNDUP($O368*VLOOKUP($M$4+$B368-1,Paraméterek!$H$58:$I$105,2,0)/Paraméterek!$I$56,IF($D$4="Forint",0,2))</f>
        <v>#N/A</v>
      </c>
      <c r="Q368" s="13">
        <f t="shared" ca="1" si="116"/>
        <v>0</v>
      </c>
      <c r="R368" s="33"/>
      <c r="S368" s="13" t="e">
        <f t="shared" ca="1" si="117"/>
        <v>#N/A</v>
      </c>
      <c r="T368" s="13" t="e">
        <f ca="1">ROUNDUP(($N368-$P368-$Q368+$S368)*VLOOKUP($B368,Paraméterek!$I$38:$K$39,IF($D$2="Egyszeri",3,2))/12*IF($D369="Nem",IF($M$13=0,1,$M$13),1),IF($D$4="Forint",0,2))</f>
        <v>#N/A</v>
      </c>
      <c r="U368" s="13"/>
      <c r="V368" s="13"/>
      <c r="W368" s="13" t="e">
        <f ca="1">$N368-$P368-$Q368+$S368-$T368-IF(ROUNDUP(IF(ISBLANK($V368),$U368*0,$V368)/IF($D$2="Egyszeri",VLOOKUP($B368+IF($C368=12,1,0),Paraméterek!$V$257:$W$262,2),IF($B368=1,1,VLOOKUP($B368+IF($C368=12,1,0),Paraméterek!$I$258:$T$278,HLOOKUP($M$11+1,Paraméterek!$J$256:$T$257,2)))),IF($D$4="Forint",0,2))&gt;$N368-$P368-$Q368+$S368-$T368-IF($D$4="Forint",Paraméterek!$C$216,Paraméterek!$D$216),0,ROUNDUP(IF(ISBLANK($V368),$U368*0,$V368)/IF($D$2="Egyszeri",VLOOKUP($B368+IF($C368=12,1,0),Paraméterek!$V$257:$W$262,2),IF($B368=1,1,VLOOKUP($B368+IF($C368=12,1,0),Paraméterek!$I$258:$T$278,HLOOKUP($M$11+1,Paraméterek!$J$256:$T$257,2)))),IF($D$4="Forint",0,2)))</f>
        <v>#N/A</v>
      </c>
      <c r="X368" s="13" t="e">
        <f ca="1">ROUNDDOWN($W368*IF($D$2="Egyszeri",VLOOKUP($B368+IF($C368=12,1,0),Paraméterek!$V$257:$W$262,2),VLOOKUP($B368+IF($C368=12,1,0),Paraméterek!$I$258:$T$278,HLOOKUP($M$11+1,Paraméterek!$I$256:$T$257,2))),IF($D$4="Forint",0,2))</f>
        <v>#N/A</v>
      </c>
      <c r="Z368" s="32">
        <v>349</v>
      </c>
      <c r="AA368" s="32">
        <v>30</v>
      </c>
      <c r="AB368" s="32">
        <v>1</v>
      </c>
      <c r="AC368" s="13">
        <f t="shared" ca="1" si="126"/>
        <v>0</v>
      </c>
      <c r="AD368" s="33"/>
      <c r="AE368" s="13">
        <f t="shared" ca="1" si="118"/>
        <v>0</v>
      </c>
      <c r="AF368" s="13">
        <f ca="1">ROUNDUP(($AC368+$AE368)*VLOOKUP($AA368,Paraméterek!$P$38:$Q$38,2)/12*IF($D369="Nem",IF($M$13=0,1,$M$13),1),IF($D$4="Forint",0,2))</f>
        <v>0</v>
      </c>
      <c r="AG368" s="13">
        <f ca="1">IF($D$2="Egyszeri",IF($D$7&gt;=IF($D$4="Forint",Paraméterek!$P$223,Paraméterek!$P$224),$D$7-IF($D$4="Forint",Paraméterek!$P$223,Paraméterek!$P$224),0),MIN(IF($AB368=12,AVERAGEIF($E$20:$E368,"&gt;0",$E$20:$E368)*12,0),SUM($E$20:$E$31)))</f>
        <v>0</v>
      </c>
      <c r="AH368" s="13">
        <f>IF($AA368=10,$AG368*IF($AB368=12,IF($AG368&lt;IF($D$4="Forint",Paraméterek!$L$223,Paraméterek!$L$224),0,VLOOKUP($AA368,Paraméterek!$K$226:$M$228,IF($AG368&lt;IF($D$4="Forint",Paraméterek!$M$223,Paraméterek!$M$224),2,3))),0),0)</f>
        <v>0</v>
      </c>
      <c r="AI368" s="13">
        <f ca="1">IF(AND($AA368=$M$11+1,$AB368=$M$12+1),SUMIF($AA$20:$AA$1027,$AA368,$AG$20:$AG$1027)*IF(SUMIF($AA$20:$AA$1027,$AA368,$AG$20:$AG$1027)&lt;IF($D$4="Forint",Paraméterek!$L$223,Paraméterek!$L$224),0,VLOOKUP($AA368,Paraméterek!$K$230:$M$250,IF(SUMIF($AA$20:$AA$1027,$AA368,$AG$20:$AG$1027)&lt;IF($D$4="Forint",Paraméterek!$M$223,Paraméterek!$M$224),2,3))),0)</f>
        <v>0</v>
      </c>
      <c r="AJ368" s="13">
        <f ca="1">IF(AND($AA368&gt;=5,MOD($AA368,5)=0),IF($AB368=12,VLOOKUP($AA368,Paraméterek!$O$225:$P$240,2),0),IF(OR($AA368=3,$AA368=4),IF($AB368=12,VLOOKUP($AA368,Paraméterek!$O$225:$P$240,2,0),0),0))*$AG368</f>
        <v>0</v>
      </c>
      <c r="AK368" s="13">
        <f t="shared" ca="1" si="119"/>
        <v>0</v>
      </c>
      <c r="AL368" s="13">
        <f t="shared" ca="1" si="127"/>
        <v>0</v>
      </c>
      <c r="AM368" s="13">
        <f t="shared" ca="1" si="128"/>
        <v>0</v>
      </c>
      <c r="AO368" s="32">
        <v>349</v>
      </c>
      <c r="AP368" s="32">
        <v>30</v>
      </c>
      <c r="AQ368" s="32">
        <v>1</v>
      </c>
      <c r="AR368" s="13">
        <f>Tranzakciók!$K$61</f>
        <v>0</v>
      </c>
      <c r="AS368" s="32"/>
      <c r="AT368" s="13">
        <f t="shared" ca="1" si="129"/>
        <v>0</v>
      </c>
      <c r="AU368" s="33"/>
      <c r="AV368" s="13">
        <f t="shared" ca="1" si="120"/>
        <v>0</v>
      </c>
      <c r="AW368" s="13">
        <f ca="1">ROUNDUP(($AT368+$AV368)*VLOOKUP($AP368,Paraméterek!$P$38:$Q$38,2)/12*IF($D369="Nem",IF($M$13=0,1,$M$13),1),IF($D$4="Forint",0,2))</f>
        <v>0</v>
      </c>
      <c r="AX368" s="13"/>
      <c r="AY368" s="13"/>
      <c r="AZ368" s="13">
        <f>ROUNDUP(IF(SUM($AX368:$AY368)=0,0,IF(IF(ISBLANK($AY368),$AX368,$AY368)*Paraméterek!$J$112&lt;IF($D$4="Forint",Paraméterek!$J$113,Paraméterek!$K$113),IF($D$4="Forint",Paraméterek!$J$113,Paraméterek!$K$113),IF(IF(ISBLANK($AY368),$AX368,$AY368)*Paraméterek!$J$112&gt;IF($D$4="Forint",Paraméterek!$J$114,Paraméterek!$K$114),IF($D$4="Forint",Paraméterek!$J$114,Paraméterek!$K$114),IF(ISBLANK($AY368),$AX368,$AY368)*Paraméterek!$J$112))),IF($D$4="Forint",0,2))</f>
        <v>0</v>
      </c>
      <c r="BA368" s="13">
        <f ca="1">$AT368+$AV368-$AW368-IF(ROUNDDOWN(IF(ISBLANK($AY368),$AX368,$AY368),IF($D$4="Forint",0,2))&gt;$AT368+$AV368-$AW368-IF($D$4="Forint",Paraméterek!$J$114,Paraméterek!$K$114),0,ROUNDDOWN(IF(ISBLANK($AY368),$AX368,$AY368),IF($D$4="Forint",0,2))-$AZ368)</f>
        <v>0</v>
      </c>
      <c r="BB368" s="13">
        <f t="shared" ca="1" si="121"/>
        <v>0</v>
      </c>
      <c r="BD368" s="32">
        <v>349</v>
      </c>
      <c r="BE368" s="32">
        <v>30</v>
      </c>
      <c r="BF368" s="32">
        <v>1</v>
      </c>
      <c r="BG368" s="34">
        <f t="shared" ca="1" si="130"/>
        <v>2048</v>
      </c>
      <c r="BH368" s="32" t="str">
        <f ca="1">IF(MOD(MONTH($D$14)+$BD368-1,12)=Paraméterek!$C$288,"Igen","")</f>
        <v/>
      </c>
      <c r="BI368" s="13">
        <f ca="1">IF($BH368="Igen",MIN(ROUNDDOWN((SUMIF($BG$20:$BG$1027,$BG368-1,$K$20:$K$1027)-SUMIF($BG$20:$BG$1027,$BG368-1,$I$20:$I$1027))*Paraméterek!$C$289,IF($D$4="Forint",0,2)),IF($D$4="Forint",Paraméterek!$C$285,Paraméterek!$D$285)),0)</f>
        <v>0</v>
      </c>
      <c r="BJ368" s="13">
        <f t="shared" ca="1" si="122"/>
        <v>0</v>
      </c>
      <c r="BK368" s="13">
        <f t="shared" ca="1" si="131"/>
        <v>0</v>
      </c>
      <c r="BL368" s="33"/>
      <c r="BM368" s="13">
        <f t="shared" ca="1" si="123"/>
        <v>0</v>
      </c>
      <c r="BN368" s="13">
        <f ca="1">ROUNDUP(($BK368+$BM368)*VLOOKUP($BE368,Paraméterek!$P$38:$Q$38,2)/12*IF($D369="Nem",IF($M$13=0,1,$M$13),1),IF($D$4="Forint",0,2))</f>
        <v>0</v>
      </c>
      <c r="BO368" s="13">
        <f t="shared" ca="1" si="124"/>
        <v>0</v>
      </c>
      <c r="BP368" s="13">
        <f ca="1">IF($D369="Nem",$BO368,$BO368-ROUNDUP(SUM($BI$20:$BI368)*120%,IF($D$4="Forint",0,2)))</f>
        <v>0</v>
      </c>
    </row>
    <row r="369" spans="1:68" x14ac:dyDescent="0.2">
      <c r="A369" s="32">
        <v>350</v>
      </c>
      <c r="B369" s="32">
        <v>30</v>
      </c>
      <c r="C369" s="32">
        <v>2</v>
      </c>
      <c r="D369" s="32" t="str">
        <f t="shared" ca="1" si="110"/>
        <v>Nem</v>
      </c>
      <c r="E369" s="13">
        <f t="shared" ca="1" si="111"/>
        <v>0</v>
      </c>
      <c r="F369" s="13"/>
      <c r="G369" s="13"/>
      <c r="H369" s="13"/>
      <c r="I369" s="13">
        <f t="shared" ca="1" si="112"/>
        <v>0</v>
      </c>
      <c r="J369" s="13">
        <f t="shared" ca="1" si="113"/>
        <v>0</v>
      </c>
      <c r="K369" s="13">
        <f t="shared" ca="1" si="114"/>
        <v>0</v>
      </c>
      <c r="L369" s="13" t="e">
        <f ca="1">ROUNDUP(IF($D$2="Egyszeri",$E369,IF($D$2="Havi",SUM($E$20:$E$31),IF(MOD($C369,$M$1)-1=0,SUM($E$20:$E$31),0))/12*$M$1)*VLOOKUP($B369,Paraméterek!$I$28:$P$31,IF($D$2="Egyszeri",8,HLOOKUP(ROUNDUP($M$11+$M$13,0),Paraméterek!$J$26:$O$27,2))),IF($D$4="Forint",0,2))</f>
        <v>#N/A</v>
      </c>
      <c r="M369" s="13">
        <f t="shared" ca="1" si="115"/>
        <v>0</v>
      </c>
      <c r="N369" s="13">
        <f t="shared" ca="1" si="125"/>
        <v>0</v>
      </c>
      <c r="O369" s="13">
        <f ca="1">IF($D369="Igen",IF($W368&gt;=IF($D$4="Forint",Paraméterek!$J$121,Paraméterek!$K$121),0,IF($D$4="Forint",Paraméterek!$J$121,Paraméterek!$K$121)-$W368),0)</f>
        <v>0</v>
      </c>
      <c r="P369" s="13" t="e">
        <f ca="1">ROUNDUP($O369*VLOOKUP($M$4+$B369-1,Paraméterek!$H$58:$I$105,2,0)/Paraméterek!$I$56,IF($D$4="Forint",0,2))</f>
        <v>#N/A</v>
      </c>
      <c r="Q369" s="13">
        <f t="shared" ca="1" si="116"/>
        <v>0</v>
      </c>
      <c r="R369" s="33"/>
      <c r="S369" s="13" t="e">
        <f t="shared" ca="1" si="117"/>
        <v>#N/A</v>
      </c>
      <c r="T369" s="13" t="e">
        <f ca="1">ROUNDUP(($N369-$P369-$Q369+$S369)*VLOOKUP($B369,Paraméterek!$I$38:$K$39,IF($D$2="Egyszeri",3,2))/12*IF($D370="Nem",IF($M$13=0,1,$M$13),1),IF($D$4="Forint",0,2))</f>
        <v>#N/A</v>
      </c>
      <c r="U369" s="13"/>
      <c r="V369" s="13"/>
      <c r="W369" s="13" t="e">
        <f ca="1">$N369-$P369-$Q369+$S369-$T369-IF(ROUNDUP(IF(ISBLANK($V369),$U369*0,$V369)/IF($D$2="Egyszeri",VLOOKUP($B369+IF($C369=12,1,0),Paraméterek!$V$257:$W$262,2),IF($B369=1,1,VLOOKUP($B369+IF($C369=12,1,0),Paraméterek!$I$258:$T$278,HLOOKUP($M$11+1,Paraméterek!$J$256:$T$257,2)))),IF($D$4="Forint",0,2))&gt;$N369-$P369-$Q369+$S369-$T369-IF($D$4="Forint",Paraméterek!$C$216,Paraméterek!$D$216),0,ROUNDUP(IF(ISBLANK($V369),$U369*0,$V369)/IF($D$2="Egyszeri",VLOOKUP($B369+IF($C369=12,1,0),Paraméterek!$V$257:$W$262,2),IF($B369=1,1,VLOOKUP($B369+IF($C369=12,1,0),Paraméterek!$I$258:$T$278,HLOOKUP($M$11+1,Paraméterek!$J$256:$T$257,2)))),IF($D$4="Forint",0,2)))</f>
        <v>#N/A</v>
      </c>
      <c r="X369" s="13" t="e">
        <f ca="1">ROUNDDOWN($W369*IF($D$2="Egyszeri",VLOOKUP($B369+IF($C369=12,1,0),Paraméterek!$V$257:$W$262,2),VLOOKUP($B369+IF($C369=12,1,0),Paraméterek!$I$258:$T$278,HLOOKUP($M$11+1,Paraméterek!$I$256:$T$257,2))),IF($D$4="Forint",0,2))</f>
        <v>#N/A</v>
      </c>
      <c r="Z369" s="32">
        <v>350</v>
      </c>
      <c r="AA369" s="32">
        <v>30</v>
      </c>
      <c r="AB369" s="32">
        <v>2</v>
      </c>
      <c r="AC369" s="13">
        <f t="shared" ca="1" si="126"/>
        <v>0</v>
      </c>
      <c r="AD369" s="33"/>
      <c r="AE369" s="13">
        <f t="shared" ca="1" si="118"/>
        <v>0</v>
      </c>
      <c r="AF369" s="13">
        <f ca="1">ROUNDUP(($AC369+$AE369)*VLOOKUP($AA369,Paraméterek!$P$38:$Q$38,2)/12*IF($D370="Nem",IF($M$13=0,1,$M$13),1),IF($D$4="Forint",0,2))</f>
        <v>0</v>
      </c>
      <c r="AG369" s="13">
        <f ca="1">IF($D$2="Egyszeri",IF($D$7&gt;=IF($D$4="Forint",Paraméterek!$P$223,Paraméterek!$P$224),$D$7-IF($D$4="Forint",Paraméterek!$P$223,Paraméterek!$P$224),0),MIN(IF($AB369=12,AVERAGEIF($E$20:$E369,"&gt;0",$E$20:$E369)*12,0),SUM($E$20:$E$31)))</f>
        <v>0</v>
      </c>
      <c r="AH369" s="13">
        <f>IF($AA369=10,$AG369*IF($AB369=12,IF($AG369&lt;IF($D$4="Forint",Paraméterek!$L$223,Paraméterek!$L$224),0,VLOOKUP($AA369,Paraméterek!$K$226:$M$228,IF($AG369&lt;IF($D$4="Forint",Paraméterek!$M$223,Paraméterek!$M$224),2,3))),0),0)</f>
        <v>0</v>
      </c>
      <c r="AI369" s="13">
        <f ca="1">IF(AND($AA369=$M$11+1,$AB369=$M$12+1),SUMIF($AA$20:$AA$1027,$AA369,$AG$20:$AG$1027)*IF(SUMIF($AA$20:$AA$1027,$AA369,$AG$20:$AG$1027)&lt;IF($D$4="Forint",Paraméterek!$L$223,Paraméterek!$L$224),0,VLOOKUP($AA369,Paraméterek!$K$230:$M$250,IF(SUMIF($AA$20:$AA$1027,$AA369,$AG$20:$AG$1027)&lt;IF($D$4="Forint",Paraméterek!$M$223,Paraméterek!$M$224),2,3))),0)</f>
        <v>0</v>
      </c>
      <c r="AJ369" s="13">
        <f ca="1">IF(AND($AA369&gt;=5,MOD($AA369,5)=0),IF($AB369=12,VLOOKUP($AA369,Paraméterek!$O$225:$P$240,2),0),IF(OR($AA369=3,$AA369=4),IF($AB369=12,VLOOKUP($AA369,Paraméterek!$O$225:$P$240,2,0),0),0))*$AG369</f>
        <v>0</v>
      </c>
      <c r="AK369" s="13">
        <f t="shared" ca="1" si="119"/>
        <v>0</v>
      </c>
      <c r="AL369" s="13">
        <f t="shared" ca="1" si="127"/>
        <v>0</v>
      </c>
      <c r="AM369" s="13">
        <f t="shared" ca="1" si="128"/>
        <v>0</v>
      </c>
      <c r="AO369" s="32">
        <v>350</v>
      </c>
      <c r="AP369" s="32">
        <v>30</v>
      </c>
      <c r="AQ369" s="32">
        <v>2</v>
      </c>
      <c r="AR369" s="13"/>
      <c r="AS369" s="32"/>
      <c r="AT369" s="13">
        <f t="shared" ca="1" si="129"/>
        <v>0</v>
      </c>
      <c r="AU369" s="33"/>
      <c r="AV369" s="13">
        <f t="shared" ca="1" si="120"/>
        <v>0</v>
      </c>
      <c r="AW369" s="13">
        <f ca="1">ROUNDUP(($AT369+$AV369)*VLOOKUP($AP369,Paraméterek!$P$38:$Q$38,2)/12*IF($D370="Nem",IF($M$13=0,1,$M$13),1),IF($D$4="Forint",0,2))</f>
        <v>0</v>
      </c>
      <c r="AX369" s="13"/>
      <c r="AY369" s="13"/>
      <c r="AZ369" s="13">
        <f>ROUNDUP(IF(SUM($AX369:$AY369)=0,0,IF(IF(ISBLANK($AY369),$AX369,$AY369)*Paraméterek!$J$112&lt;IF($D$4="Forint",Paraméterek!$J$113,Paraméterek!$K$113),IF($D$4="Forint",Paraméterek!$J$113,Paraméterek!$K$113),IF(IF(ISBLANK($AY369),$AX369,$AY369)*Paraméterek!$J$112&gt;IF($D$4="Forint",Paraméterek!$J$114,Paraméterek!$K$114),IF($D$4="Forint",Paraméterek!$J$114,Paraméterek!$K$114),IF(ISBLANK($AY369),$AX369,$AY369)*Paraméterek!$J$112))),IF($D$4="Forint",0,2))</f>
        <v>0</v>
      </c>
      <c r="BA369" s="13">
        <f ca="1">$AT369+$AV369-$AW369-IF(ROUNDDOWN(IF(ISBLANK($AY369),$AX369,$AY369),IF($D$4="Forint",0,2))&gt;$AT369+$AV369-$AW369-IF($D$4="Forint",Paraméterek!$J$114,Paraméterek!$K$114),0,ROUNDDOWN(IF(ISBLANK($AY369),$AX369,$AY369),IF($D$4="Forint",0,2))-$AZ369)</f>
        <v>0</v>
      </c>
      <c r="BB369" s="13">
        <f t="shared" ca="1" si="121"/>
        <v>0</v>
      </c>
      <c r="BD369" s="32">
        <v>350</v>
      </c>
      <c r="BE369" s="32">
        <v>30</v>
      </c>
      <c r="BF369" s="32">
        <v>2</v>
      </c>
      <c r="BG369" s="34">
        <f t="shared" ca="1" si="130"/>
        <v>2048</v>
      </c>
      <c r="BH369" s="32" t="str">
        <f ca="1">IF(MOD(MONTH($D$14)+$BD369-1,12)=Paraméterek!$C$288,"Igen","")</f>
        <v>Igen</v>
      </c>
      <c r="BI369" s="13">
        <f ca="1">IF($BH369="Igen",MIN(ROUNDDOWN((SUMIF($BG$20:$BG$1027,$BG369-1,$K$20:$K$1027)-SUMIF($BG$20:$BG$1027,$BG369-1,$I$20:$I$1027))*Paraméterek!$C$289,IF($D$4="Forint",0,2)),IF($D$4="Forint",Paraméterek!$C$285,Paraméterek!$D$285)),0)</f>
        <v>0</v>
      </c>
      <c r="BJ369" s="13">
        <f t="shared" ca="1" si="122"/>
        <v>0</v>
      </c>
      <c r="BK369" s="13">
        <f t="shared" ca="1" si="131"/>
        <v>0</v>
      </c>
      <c r="BL369" s="33"/>
      <c r="BM369" s="13">
        <f t="shared" ca="1" si="123"/>
        <v>0</v>
      </c>
      <c r="BN369" s="13">
        <f ca="1">ROUNDUP(($BK369+$BM369)*VLOOKUP($BE369,Paraméterek!$P$38:$Q$38,2)/12*IF($D370="Nem",IF($M$13=0,1,$M$13),1),IF($D$4="Forint",0,2))</f>
        <v>0</v>
      </c>
      <c r="BO369" s="13">
        <f t="shared" ca="1" si="124"/>
        <v>0</v>
      </c>
      <c r="BP369" s="13">
        <f ca="1">IF($D370="Nem",$BO369,$BO369-ROUNDUP(SUM($BI$20:$BI369)*120%,IF($D$4="Forint",0,2)))</f>
        <v>0</v>
      </c>
    </row>
    <row r="370" spans="1:68" x14ac:dyDescent="0.2">
      <c r="A370" s="32">
        <v>351</v>
      </c>
      <c r="B370" s="32">
        <v>30</v>
      </c>
      <c r="C370" s="32">
        <v>3</v>
      </c>
      <c r="D370" s="32" t="str">
        <f t="shared" ca="1" si="110"/>
        <v>Nem</v>
      </c>
      <c r="E370" s="13">
        <f t="shared" ca="1" si="111"/>
        <v>0</v>
      </c>
      <c r="F370" s="13"/>
      <c r="G370" s="13"/>
      <c r="H370" s="13"/>
      <c r="I370" s="13">
        <f t="shared" ca="1" si="112"/>
        <v>0</v>
      </c>
      <c r="J370" s="13">
        <f t="shared" ca="1" si="113"/>
        <v>0</v>
      </c>
      <c r="K370" s="13">
        <f t="shared" ca="1" si="114"/>
        <v>0</v>
      </c>
      <c r="L370" s="13" t="e">
        <f ca="1">ROUNDUP(IF($D$2="Egyszeri",$E370,IF($D$2="Havi",SUM($E$20:$E$31),IF(MOD($C370,$M$1)-1=0,SUM($E$20:$E$31),0))/12*$M$1)*VLOOKUP($B370,Paraméterek!$I$28:$P$31,IF($D$2="Egyszeri",8,HLOOKUP(ROUNDUP($M$11+$M$13,0),Paraméterek!$J$26:$O$27,2))),IF($D$4="Forint",0,2))</f>
        <v>#N/A</v>
      </c>
      <c r="M370" s="13">
        <f t="shared" ca="1" si="115"/>
        <v>0</v>
      </c>
      <c r="N370" s="13">
        <f t="shared" ca="1" si="125"/>
        <v>0</v>
      </c>
      <c r="O370" s="13">
        <f ca="1">IF($D370="Igen",IF($W369&gt;=IF($D$4="Forint",Paraméterek!$J$121,Paraméterek!$K$121),0,IF($D$4="Forint",Paraméterek!$J$121,Paraméterek!$K$121)-$W369),0)</f>
        <v>0</v>
      </c>
      <c r="P370" s="13" t="e">
        <f ca="1">ROUNDUP($O370*VLOOKUP($M$4+$B370-1,Paraméterek!$H$58:$I$105,2,0)/Paraméterek!$I$56,IF($D$4="Forint",0,2))</f>
        <v>#N/A</v>
      </c>
      <c r="Q370" s="13">
        <f t="shared" ca="1" si="116"/>
        <v>0</v>
      </c>
      <c r="R370" s="33"/>
      <c r="S370" s="13" t="e">
        <f t="shared" ca="1" si="117"/>
        <v>#N/A</v>
      </c>
      <c r="T370" s="13" t="e">
        <f ca="1">ROUNDUP(($N370-$P370-$Q370+$S370)*VLOOKUP($B370,Paraméterek!$I$38:$K$39,IF($D$2="Egyszeri",3,2))/12*IF($D371="Nem",IF($M$13=0,1,$M$13),1),IF($D$4="Forint",0,2))</f>
        <v>#N/A</v>
      </c>
      <c r="U370" s="13"/>
      <c r="V370" s="13"/>
      <c r="W370" s="13" t="e">
        <f ca="1">$N370-$P370-$Q370+$S370-$T370-IF(ROUNDUP(IF(ISBLANK($V370),$U370*0,$V370)/IF($D$2="Egyszeri",VLOOKUP($B370+IF($C370=12,1,0),Paraméterek!$V$257:$W$262,2),IF($B370=1,1,VLOOKUP($B370+IF($C370=12,1,0),Paraméterek!$I$258:$T$278,HLOOKUP($M$11+1,Paraméterek!$J$256:$T$257,2)))),IF($D$4="Forint",0,2))&gt;$N370-$P370-$Q370+$S370-$T370-IF($D$4="Forint",Paraméterek!$C$216,Paraméterek!$D$216),0,ROUNDUP(IF(ISBLANK($V370),$U370*0,$V370)/IF($D$2="Egyszeri",VLOOKUP($B370+IF($C370=12,1,0),Paraméterek!$V$257:$W$262,2),IF($B370=1,1,VLOOKUP($B370+IF($C370=12,1,0),Paraméterek!$I$258:$T$278,HLOOKUP($M$11+1,Paraméterek!$J$256:$T$257,2)))),IF($D$4="Forint",0,2)))</f>
        <v>#N/A</v>
      </c>
      <c r="X370" s="13" t="e">
        <f ca="1">ROUNDDOWN($W370*IF($D$2="Egyszeri",VLOOKUP($B370+IF($C370=12,1,0),Paraméterek!$V$257:$W$262,2),VLOOKUP($B370+IF($C370=12,1,0),Paraméterek!$I$258:$T$278,HLOOKUP($M$11+1,Paraméterek!$I$256:$T$257,2))),IF($D$4="Forint",0,2))</f>
        <v>#N/A</v>
      </c>
      <c r="Z370" s="32">
        <v>351</v>
      </c>
      <c r="AA370" s="32">
        <v>30</v>
      </c>
      <c r="AB370" s="32">
        <v>3</v>
      </c>
      <c r="AC370" s="13">
        <f t="shared" ca="1" si="126"/>
        <v>0</v>
      </c>
      <c r="AD370" s="33"/>
      <c r="AE370" s="13">
        <f t="shared" ca="1" si="118"/>
        <v>0</v>
      </c>
      <c r="AF370" s="13">
        <f ca="1">ROUNDUP(($AC370+$AE370)*VLOOKUP($AA370,Paraméterek!$P$38:$Q$38,2)/12*IF($D371="Nem",IF($M$13=0,1,$M$13),1),IF($D$4="Forint",0,2))</f>
        <v>0</v>
      </c>
      <c r="AG370" s="13">
        <f ca="1">IF($D$2="Egyszeri",IF($D$7&gt;=IF($D$4="Forint",Paraméterek!$P$223,Paraméterek!$P$224),$D$7-IF($D$4="Forint",Paraméterek!$P$223,Paraméterek!$P$224),0),MIN(IF($AB370=12,AVERAGEIF($E$20:$E370,"&gt;0",$E$20:$E370)*12,0),SUM($E$20:$E$31)))</f>
        <v>0</v>
      </c>
      <c r="AH370" s="13">
        <f>IF($AA370=10,$AG370*IF($AB370=12,IF($AG370&lt;IF($D$4="Forint",Paraméterek!$L$223,Paraméterek!$L$224),0,VLOOKUP($AA370,Paraméterek!$K$226:$M$228,IF($AG370&lt;IF($D$4="Forint",Paraméterek!$M$223,Paraméterek!$M$224),2,3))),0),0)</f>
        <v>0</v>
      </c>
      <c r="AI370" s="13">
        <f ca="1">IF(AND($AA370=$M$11+1,$AB370=$M$12+1),SUMIF($AA$20:$AA$1027,$AA370,$AG$20:$AG$1027)*IF(SUMIF($AA$20:$AA$1027,$AA370,$AG$20:$AG$1027)&lt;IF($D$4="Forint",Paraméterek!$L$223,Paraméterek!$L$224),0,VLOOKUP($AA370,Paraméterek!$K$230:$M$250,IF(SUMIF($AA$20:$AA$1027,$AA370,$AG$20:$AG$1027)&lt;IF($D$4="Forint",Paraméterek!$M$223,Paraméterek!$M$224),2,3))),0)</f>
        <v>0</v>
      </c>
      <c r="AJ370" s="13">
        <f ca="1">IF(AND($AA370&gt;=5,MOD($AA370,5)=0),IF($AB370=12,VLOOKUP($AA370,Paraméterek!$O$225:$P$240,2),0),IF(OR($AA370=3,$AA370=4),IF($AB370=12,VLOOKUP($AA370,Paraméterek!$O$225:$P$240,2,0),0),0))*$AG370</f>
        <v>0</v>
      </c>
      <c r="AK370" s="13">
        <f t="shared" ca="1" si="119"/>
        <v>0</v>
      </c>
      <c r="AL370" s="13">
        <f t="shared" ca="1" si="127"/>
        <v>0</v>
      </c>
      <c r="AM370" s="13">
        <f t="shared" ca="1" si="128"/>
        <v>0</v>
      </c>
      <c r="AO370" s="32">
        <v>351</v>
      </c>
      <c r="AP370" s="32">
        <v>30</v>
      </c>
      <c r="AQ370" s="32">
        <v>3</v>
      </c>
      <c r="AR370" s="13"/>
      <c r="AS370" s="32"/>
      <c r="AT370" s="13">
        <f t="shared" ca="1" si="129"/>
        <v>0</v>
      </c>
      <c r="AU370" s="33"/>
      <c r="AV370" s="13">
        <f t="shared" ca="1" si="120"/>
        <v>0</v>
      </c>
      <c r="AW370" s="13">
        <f ca="1">ROUNDUP(($AT370+$AV370)*VLOOKUP($AP370,Paraméterek!$P$38:$Q$38,2)/12*IF($D371="Nem",IF($M$13=0,1,$M$13),1),IF($D$4="Forint",0,2))</f>
        <v>0</v>
      </c>
      <c r="AX370" s="13"/>
      <c r="AY370" s="13"/>
      <c r="AZ370" s="13">
        <f>ROUNDUP(IF(SUM($AX370:$AY370)=0,0,IF(IF(ISBLANK($AY370),$AX370,$AY370)*Paraméterek!$J$112&lt;IF($D$4="Forint",Paraméterek!$J$113,Paraméterek!$K$113),IF($D$4="Forint",Paraméterek!$J$113,Paraméterek!$K$113),IF(IF(ISBLANK($AY370),$AX370,$AY370)*Paraméterek!$J$112&gt;IF($D$4="Forint",Paraméterek!$J$114,Paraméterek!$K$114),IF($D$4="Forint",Paraméterek!$J$114,Paraméterek!$K$114),IF(ISBLANK($AY370),$AX370,$AY370)*Paraméterek!$J$112))),IF($D$4="Forint",0,2))</f>
        <v>0</v>
      </c>
      <c r="BA370" s="13">
        <f ca="1">$AT370+$AV370-$AW370-IF(ROUNDDOWN(IF(ISBLANK($AY370),$AX370,$AY370),IF($D$4="Forint",0,2))&gt;$AT370+$AV370-$AW370-IF($D$4="Forint",Paraméterek!$J$114,Paraméterek!$K$114),0,ROUNDDOWN(IF(ISBLANK($AY370),$AX370,$AY370),IF($D$4="Forint",0,2))-$AZ370)</f>
        <v>0</v>
      </c>
      <c r="BB370" s="13">
        <f t="shared" ca="1" si="121"/>
        <v>0</v>
      </c>
      <c r="BD370" s="32">
        <v>351</v>
      </c>
      <c r="BE370" s="32">
        <v>30</v>
      </c>
      <c r="BF370" s="32">
        <v>3</v>
      </c>
      <c r="BG370" s="34">
        <f t="shared" ca="1" si="130"/>
        <v>2048</v>
      </c>
      <c r="BH370" s="32" t="str">
        <f ca="1">IF(MOD(MONTH($D$14)+$BD370-1,12)=Paraméterek!$C$288,"Igen","")</f>
        <v/>
      </c>
      <c r="BI370" s="13">
        <f ca="1">IF($BH370="Igen",MIN(ROUNDDOWN((SUMIF($BG$20:$BG$1027,$BG370-1,$K$20:$K$1027)-SUMIF($BG$20:$BG$1027,$BG370-1,$I$20:$I$1027))*Paraméterek!$C$289,IF($D$4="Forint",0,2)),IF($D$4="Forint",Paraméterek!$C$285,Paraméterek!$D$285)),0)</f>
        <v>0</v>
      </c>
      <c r="BJ370" s="13">
        <f t="shared" ca="1" si="122"/>
        <v>0</v>
      </c>
      <c r="BK370" s="13">
        <f t="shared" ca="1" si="131"/>
        <v>0</v>
      </c>
      <c r="BL370" s="33"/>
      <c r="BM370" s="13">
        <f t="shared" ca="1" si="123"/>
        <v>0</v>
      </c>
      <c r="BN370" s="13">
        <f ca="1">ROUNDUP(($BK370+$BM370)*VLOOKUP($BE370,Paraméterek!$P$38:$Q$38,2)/12*IF($D371="Nem",IF($M$13=0,1,$M$13),1),IF($D$4="Forint",0,2))</f>
        <v>0</v>
      </c>
      <c r="BO370" s="13">
        <f t="shared" ca="1" si="124"/>
        <v>0</v>
      </c>
      <c r="BP370" s="13">
        <f ca="1">IF($D371="Nem",$BO370,$BO370-ROUNDUP(SUM($BI$20:$BI370)*120%,IF($D$4="Forint",0,2)))</f>
        <v>0</v>
      </c>
    </row>
    <row r="371" spans="1:68" x14ac:dyDescent="0.2">
      <c r="A371" s="32">
        <v>352</v>
      </c>
      <c r="B371" s="32">
        <v>30</v>
      </c>
      <c r="C371" s="32">
        <v>4</v>
      </c>
      <c r="D371" s="32" t="str">
        <f t="shared" ca="1" si="110"/>
        <v>Nem</v>
      </c>
      <c r="E371" s="13">
        <f t="shared" ca="1" si="111"/>
        <v>0</v>
      </c>
      <c r="F371" s="13"/>
      <c r="G371" s="13"/>
      <c r="H371" s="13"/>
      <c r="I371" s="13">
        <f t="shared" ca="1" si="112"/>
        <v>0</v>
      </c>
      <c r="J371" s="13">
        <f t="shared" ca="1" si="113"/>
        <v>0</v>
      </c>
      <c r="K371" s="13">
        <f t="shared" ca="1" si="114"/>
        <v>0</v>
      </c>
      <c r="L371" s="13" t="e">
        <f ca="1">ROUNDUP(IF($D$2="Egyszeri",$E371,IF($D$2="Havi",SUM($E$20:$E$31),IF(MOD($C371,$M$1)-1=0,SUM($E$20:$E$31),0))/12*$M$1)*VLOOKUP($B371,Paraméterek!$I$28:$P$31,IF($D$2="Egyszeri",8,HLOOKUP(ROUNDUP($M$11+$M$13,0),Paraméterek!$J$26:$O$27,2))),IF($D$4="Forint",0,2))</f>
        <v>#N/A</v>
      </c>
      <c r="M371" s="13">
        <f t="shared" ca="1" si="115"/>
        <v>0</v>
      </c>
      <c r="N371" s="13">
        <f t="shared" ca="1" si="125"/>
        <v>0</v>
      </c>
      <c r="O371" s="13">
        <f ca="1">IF($D371="Igen",IF($W370&gt;=IF($D$4="Forint",Paraméterek!$J$121,Paraméterek!$K$121),0,IF($D$4="Forint",Paraméterek!$J$121,Paraméterek!$K$121)-$W370),0)</f>
        <v>0</v>
      </c>
      <c r="P371" s="13" t="e">
        <f ca="1">ROUNDUP($O371*VLOOKUP($M$4+$B371-1,Paraméterek!$H$58:$I$105,2,0)/Paraméterek!$I$56,IF($D$4="Forint",0,2))</f>
        <v>#N/A</v>
      </c>
      <c r="Q371" s="13">
        <f t="shared" ca="1" si="116"/>
        <v>0</v>
      </c>
      <c r="R371" s="33"/>
      <c r="S371" s="13" t="e">
        <f t="shared" ca="1" si="117"/>
        <v>#N/A</v>
      </c>
      <c r="T371" s="13" t="e">
        <f ca="1">ROUNDUP(($N371-$P371-$Q371+$S371)*VLOOKUP($B371,Paraméterek!$I$38:$K$39,IF($D$2="Egyszeri",3,2))/12*IF($D372="Nem",IF($M$13=0,1,$M$13),1),IF($D$4="Forint",0,2))</f>
        <v>#N/A</v>
      </c>
      <c r="U371" s="13"/>
      <c r="V371" s="13"/>
      <c r="W371" s="13" t="e">
        <f ca="1">$N371-$P371-$Q371+$S371-$T371-IF(ROUNDUP(IF(ISBLANK($V371),$U371*0,$V371)/IF($D$2="Egyszeri",VLOOKUP($B371+IF($C371=12,1,0),Paraméterek!$V$257:$W$262,2),IF($B371=1,1,VLOOKUP($B371+IF($C371=12,1,0),Paraméterek!$I$258:$T$278,HLOOKUP($M$11+1,Paraméterek!$J$256:$T$257,2)))),IF($D$4="Forint",0,2))&gt;$N371-$P371-$Q371+$S371-$T371-IF($D$4="Forint",Paraméterek!$C$216,Paraméterek!$D$216),0,ROUNDUP(IF(ISBLANK($V371),$U371*0,$V371)/IF($D$2="Egyszeri",VLOOKUP($B371+IF($C371=12,1,0),Paraméterek!$V$257:$W$262,2),IF($B371=1,1,VLOOKUP($B371+IF($C371=12,1,0),Paraméterek!$I$258:$T$278,HLOOKUP($M$11+1,Paraméterek!$J$256:$T$257,2)))),IF($D$4="Forint",0,2)))</f>
        <v>#N/A</v>
      </c>
      <c r="X371" s="13" t="e">
        <f ca="1">ROUNDDOWN($W371*IF($D$2="Egyszeri",VLOOKUP($B371+IF($C371=12,1,0),Paraméterek!$V$257:$W$262,2),VLOOKUP($B371+IF($C371=12,1,0),Paraméterek!$I$258:$T$278,HLOOKUP($M$11+1,Paraméterek!$I$256:$T$257,2))),IF($D$4="Forint",0,2))</f>
        <v>#N/A</v>
      </c>
      <c r="Z371" s="32">
        <v>352</v>
      </c>
      <c r="AA371" s="32">
        <v>30</v>
      </c>
      <c r="AB371" s="32">
        <v>4</v>
      </c>
      <c r="AC371" s="13">
        <f t="shared" ca="1" si="126"/>
        <v>0</v>
      </c>
      <c r="AD371" s="33"/>
      <c r="AE371" s="13">
        <f t="shared" ca="1" si="118"/>
        <v>0</v>
      </c>
      <c r="AF371" s="13">
        <f ca="1">ROUNDUP(($AC371+$AE371)*VLOOKUP($AA371,Paraméterek!$P$38:$Q$38,2)/12*IF($D372="Nem",IF($M$13=0,1,$M$13),1),IF($D$4="Forint",0,2))</f>
        <v>0</v>
      </c>
      <c r="AG371" s="13">
        <f ca="1">IF($D$2="Egyszeri",IF($D$7&gt;=IF($D$4="Forint",Paraméterek!$P$223,Paraméterek!$P$224),$D$7-IF($D$4="Forint",Paraméterek!$P$223,Paraméterek!$P$224),0),MIN(IF($AB371=12,AVERAGEIF($E$20:$E371,"&gt;0",$E$20:$E371)*12,0),SUM($E$20:$E$31)))</f>
        <v>0</v>
      </c>
      <c r="AH371" s="13">
        <f>IF($AA371=10,$AG371*IF($AB371=12,IF($AG371&lt;IF($D$4="Forint",Paraméterek!$L$223,Paraméterek!$L$224),0,VLOOKUP($AA371,Paraméterek!$K$226:$M$228,IF($AG371&lt;IF($D$4="Forint",Paraméterek!$M$223,Paraméterek!$M$224),2,3))),0),0)</f>
        <v>0</v>
      </c>
      <c r="AI371" s="13">
        <f ca="1">IF(AND($AA371=$M$11+1,$AB371=$M$12+1),SUMIF($AA$20:$AA$1027,$AA371,$AG$20:$AG$1027)*IF(SUMIF($AA$20:$AA$1027,$AA371,$AG$20:$AG$1027)&lt;IF($D$4="Forint",Paraméterek!$L$223,Paraméterek!$L$224),0,VLOOKUP($AA371,Paraméterek!$K$230:$M$250,IF(SUMIF($AA$20:$AA$1027,$AA371,$AG$20:$AG$1027)&lt;IF($D$4="Forint",Paraméterek!$M$223,Paraméterek!$M$224),2,3))),0)</f>
        <v>0</v>
      </c>
      <c r="AJ371" s="13">
        <f ca="1">IF(AND($AA371&gt;=5,MOD($AA371,5)=0),IF($AB371=12,VLOOKUP($AA371,Paraméterek!$O$225:$P$240,2),0),IF(OR($AA371=3,$AA371=4),IF($AB371=12,VLOOKUP($AA371,Paraméterek!$O$225:$P$240,2,0),0),0))*$AG371</f>
        <v>0</v>
      </c>
      <c r="AK371" s="13">
        <f t="shared" ca="1" si="119"/>
        <v>0</v>
      </c>
      <c r="AL371" s="13">
        <f t="shared" ca="1" si="127"/>
        <v>0</v>
      </c>
      <c r="AM371" s="13">
        <f t="shared" ca="1" si="128"/>
        <v>0</v>
      </c>
      <c r="AO371" s="32">
        <v>352</v>
      </c>
      <c r="AP371" s="32">
        <v>30</v>
      </c>
      <c r="AQ371" s="32">
        <v>4</v>
      </c>
      <c r="AR371" s="13"/>
      <c r="AS371" s="32"/>
      <c r="AT371" s="13">
        <f t="shared" ca="1" si="129"/>
        <v>0</v>
      </c>
      <c r="AU371" s="33"/>
      <c r="AV371" s="13">
        <f t="shared" ca="1" si="120"/>
        <v>0</v>
      </c>
      <c r="AW371" s="13">
        <f ca="1">ROUNDUP(($AT371+$AV371)*VLOOKUP($AP371,Paraméterek!$P$38:$Q$38,2)/12*IF($D372="Nem",IF($M$13=0,1,$M$13),1),IF($D$4="Forint",0,2))</f>
        <v>0</v>
      </c>
      <c r="AX371" s="13"/>
      <c r="AY371" s="13"/>
      <c r="AZ371" s="13">
        <f>ROUNDUP(IF(SUM($AX371:$AY371)=0,0,IF(IF(ISBLANK($AY371),$AX371,$AY371)*Paraméterek!$J$112&lt;IF($D$4="Forint",Paraméterek!$J$113,Paraméterek!$K$113),IF($D$4="Forint",Paraméterek!$J$113,Paraméterek!$K$113),IF(IF(ISBLANK($AY371),$AX371,$AY371)*Paraméterek!$J$112&gt;IF($D$4="Forint",Paraméterek!$J$114,Paraméterek!$K$114),IF($D$4="Forint",Paraméterek!$J$114,Paraméterek!$K$114),IF(ISBLANK($AY371),$AX371,$AY371)*Paraméterek!$J$112))),IF($D$4="Forint",0,2))</f>
        <v>0</v>
      </c>
      <c r="BA371" s="13">
        <f ca="1">$AT371+$AV371-$AW371-IF(ROUNDDOWN(IF(ISBLANK($AY371),$AX371,$AY371),IF($D$4="Forint",0,2))&gt;$AT371+$AV371-$AW371-IF($D$4="Forint",Paraméterek!$J$114,Paraméterek!$K$114),0,ROUNDDOWN(IF(ISBLANK($AY371),$AX371,$AY371),IF($D$4="Forint",0,2))-$AZ371)</f>
        <v>0</v>
      </c>
      <c r="BB371" s="13">
        <f t="shared" ca="1" si="121"/>
        <v>0</v>
      </c>
      <c r="BD371" s="32">
        <v>352</v>
      </c>
      <c r="BE371" s="32">
        <v>30</v>
      </c>
      <c r="BF371" s="32">
        <v>4</v>
      </c>
      <c r="BG371" s="34">
        <f t="shared" ca="1" si="130"/>
        <v>2048</v>
      </c>
      <c r="BH371" s="32" t="str">
        <f ca="1">IF(MOD(MONTH($D$14)+$BD371-1,12)=Paraméterek!$C$288,"Igen","")</f>
        <v/>
      </c>
      <c r="BI371" s="13">
        <f ca="1">IF($BH371="Igen",MIN(ROUNDDOWN((SUMIF($BG$20:$BG$1027,$BG371-1,$K$20:$K$1027)-SUMIF($BG$20:$BG$1027,$BG371-1,$I$20:$I$1027))*Paraméterek!$C$289,IF($D$4="Forint",0,2)),IF($D$4="Forint",Paraméterek!$C$285,Paraméterek!$D$285)),0)</f>
        <v>0</v>
      </c>
      <c r="BJ371" s="13">
        <f t="shared" ca="1" si="122"/>
        <v>0</v>
      </c>
      <c r="BK371" s="13">
        <f t="shared" ca="1" si="131"/>
        <v>0</v>
      </c>
      <c r="BL371" s="33"/>
      <c r="BM371" s="13">
        <f t="shared" ca="1" si="123"/>
        <v>0</v>
      </c>
      <c r="BN371" s="13">
        <f ca="1">ROUNDUP(($BK371+$BM371)*VLOOKUP($BE371,Paraméterek!$P$38:$Q$38,2)/12*IF($D372="Nem",IF($M$13=0,1,$M$13),1),IF($D$4="Forint",0,2))</f>
        <v>0</v>
      </c>
      <c r="BO371" s="13">
        <f t="shared" ca="1" si="124"/>
        <v>0</v>
      </c>
      <c r="BP371" s="13">
        <f ca="1">IF($D372="Nem",$BO371,$BO371-ROUNDUP(SUM($BI$20:$BI371)*120%,IF($D$4="Forint",0,2)))</f>
        <v>0</v>
      </c>
    </row>
    <row r="372" spans="1:68" x14ac:dyDescent="0.2">
      <c r="A372" s="32">
        <v>353</v>
      </c>
      <c r="B372" s="32">
        <v>30</v>
      </c>
      <c r="C372" s="32">
        <v>5</v>
      </c>
      <c r="D372" s="32" t="str">
        <f t="shared" ca="1" si="110"/>
        <v>Nem</v>
      </c>
      <c r="E372" s="13">
        <f t="shared" ca="1" si="111"/>
        <v>0</v>
      </c>
      <c r="F372" s="13"/>
      <c r="G372" s="13"/>
      <c r="H372" s="13"/>
      <c r="I372" s="13">
        <f t="shared" ca="1" si="112"/>
        <v>0</v>
      </c>
      <c r="J372" s="13">
        <f t="shared" ca="1" si="113"/>
        <v>0</v>
      </c>
      <c r="K372" s="13">
        <f t="shared" ca="1" si="114"/>
        <v>0</v>
      </c>
      <c r="L372" s="13" t="e">
        <f ca="1">ROUNDUP(IF($D$2="Egyszeri",$E372,IF($D$2="Havi",SUM($E$20:$E$31),IF(MOD($C372,$M$1)-1=0,SUM($E$20:$E$31),0))/12*$M$1)*VLOOKUP($B372,Paraméterek!$I$28:$P$31,IF($D$2="Egyszeri",8,HLOOKUP(ROUNDUP($M$11+$M$13,0),Paraméterek!$J$26:$O$27,2))),IF($D$4="Forint",0,2))</f>
        <v>#N/A</v>
      </c>
      <c r="M372" s="13">
        <f t="shared" ca="1" si="115"/>
        <v>0</v>
      </c>
      <c r="N372" s="13">
        <f t="shared" ca="1" si="125"/>
        <v>0</v>
      </c>
      <c r="O372" s="13">
        <f ca="1">IF($D372="Igen",IF($W371&gt;=IF($D$4="Forint",Paraméterek!$J$121,Paraméterek!$K$121),0,IF($D$4="Forint",Paraméterek!$J$121,Paraméterek!$K$121)-$W371),0)</f>
        <v>0</v>
      </c>
      <c r="P372" s="13" t="e">
        <f ca="1">ROUNDUP($O372*VLOOKUP($M$4+$B372-1,Paraméterek!$H$58:$I$105,2,0)/Paraméterek!$I$56,IF($D$4="Forint",0,2))</f>
        <v>#N/A</v>
      </c>
      <c r="Q372" s="13">
        <f t="shared" ca="1" si="116"/>
        <v>0</v>
      </c>
      <c r="R372" s="33"/>
      <c r="S372" s="13" t="e">
        <f t="shared" ca="1" si="117"/>
        <v>#N/A</v>
      </c>
      <c r="T372" s="13" t="e">
        <f ca="1">ROUNDUP(($N372-$P372-$Q372+$S372)*VLOOKUP($B372,Paraméterek!$I$38:$K$39,IF($D$2="Egyszeri",3,2))/12*IF($D373="Nem",IF($M$13=0,1,$M$13),1),IF($D$4="Forint",0,2))</f>
        <v>#N/A</v>
      </c>
      <c r="U372" s="13"/>
      <c r="V372" s="13"/>
      <c r="W372" s="13" t="e">
        <f ca="1">$N372-$P372-$Q372+$S372-$T372-IF(ROUNDUP(IF(ISBLANK($V372),$U372*0,$V372)/IF($D$2="Egyszeri",VLOOKUP($B372+IF($C372=12,1,0),Paraméterek!$V$257:$W$262,2),IF($B372=1,1,VLOOKUP($B372+IF($C372=12,1,0),Paraméterek!$I$258:$T$278,HLOOKUP($M$11+1,Paraméterek!$J$256:$T$257,2)))),IF($D$4="Forint",0,2))&gt;$N372-$P372-$Q372+$S372-$T372-IF($D$4="Forint",Paraméterek!$C$216,Paraméterek!$D$216),0,ROUNDUP(IF(ISBLANK($V372),$U372*0,$V372)/IF($D$2="Egyszeri",VLOOKUP($B372+IF($C372=12,1,0),Paraméterek!$V$257:$W$262,2),IF($B372=1,1,VLOOKUP($B372+IF($C372=12,1,0),Paraméterek!$I$258:$T$278,HLOOKUP($M$11+1,Paraméterek!$J$256:$T$257,2)))),IF($D$4="Forint",0,2)))</f>
        <v>#N/A</v>
      </c>
      <c r="X372" s="13" t="e">
        <f ca="1">ROUNDDOWN($W372*IF($D$2="Egyszeri",VLOOKUP($B372+IF($C372=12,1,0),Paraméterek!$V$257:$W$262,2),VLOOKUP($B372+IF($C372=12,1,0),Paraméterek!$I$258:$T$278,HLOOKUP($M$11+1,Paraméterek!$I$256:$T$257,2))),IF($D$4="Forint",0,2))</f>
        <v>#N/A</v>
      </c>
      <c r="Z372" s="32">
        <v>353</v>
      </c>
      <c r="AA372" s="32">
        <v>30</v>
      </c>
      <c r="AB372" s="32">
        <v>5</v>
      </c>
      <c r="AC372" s="13">
        <f t="shared" ca="1" si="126"/>
        <v>0</v>
      </c>
      <c r="AD372" s="33"/>
      <c r="AE372" s="13">
        <f t="shared" ca="1" si="118"/>
        <v>0</v>
      </c>
      <c r="AF372" s="13">
        <f ca="1">ROUNDUP(($AC372+$AE372)*VLOOKUP($AA372,Paraméterek!$P$38:$Q$38,2)/12*IF($D373="Nem",IF($M$13=0,1,$M$13),1),IF($D$4="Forint",0,2))</f>
        <v>0</v>
      </c>
      <c r="AG372" s="13">
        <f ca="1">IF($D$2="Egyszeri",IF($D$7&gt;=IF($D$4="Forint",Paraméterek!$P$223,Paraméterek!$P$224),$D$7-IF($D$4="Forint",Paraméterek!$P$223,Paraméterek!$P$224),0),MIN(IF($AB372=12,AVERAGEIF($E$20:$E372,"&gt;0",$E$20:$E372)*12,0),SUM($E$20:$E$31)))</f>
        <v>0</v>
      </c>
      <c r="AH372" s="13">
        <f>IF($AA372=10,$AG372*IF($AB372=12,IF($AG372&lt;IF($D$4="Forint",Paraméterek!$L$223,Paraméterek!$L$224),0,VLOOKUP($AA372,Paraméterek!$K$226:$M$228,IF($AG372&lt;IF($D$4="Forint",Paraméterek!$M$223,Paraméterek!$M$224),2,3))),0),0)</f>
        <v>0</v>
      </c>
      <c r="AI372" s="13">
        <f ca="1">IF(AND($AA372=$M$11+1,$AB372=$M$12+1),SUMIF($AA$20:$AA$1027,$AA372,$AG$20:$AG$1027)*IF(SUMIF($AA$20:$AA$1027,$AA372,$AG$20:$AG$1027)&lt;IF($D$4="Forint",Paraméterek!$L$223,Paraméterek!$L$224),0,VLOOKUP($AA372,Paraméterek!$K$230:$M$250,IF(SUMIF($AA$20:$AA$1027,$AA372,$AG$20:$AG$1027)&lt;IF($D$4="Forint",Paraméterek!$M$223,Paraméterek!$M$224),2,3))),0)</f>
        <v>0</v>
      </c>
      <c r="AJ372" s="13">
        <f ca="1">IF(AND($AA372&gt;=5,MOD($AA372,5)=0),IF($AB372=12,VLOOKUP($AA372,Paraméterek!$O$225:$P$240,2),0),IF(OR($AA372=3,$AA372=4),IF($AB372=12,VLOOKUP($AA372,Paraméterek!$O$225:$P$240,2,0),0),0))*$AG372</f>
        <v>0</v>
      </c>
      <c r="AK372" s="13">
        <f t="shared" ca="1" si="119"/>
        <v>0</v>
      </c>
      <c r="AL372" s="13">
        <f t="shared" ca="1" si="127"/>
        <v>0</v>
      </c>
      <c r="AM372" s="13">
        <f t="shared" ca="1" si="128"/>
        <v>0</v>
      </c>
      <c r="AO372" s="32">
        <v>353</v>
      </c>
      <c r="AP372" s="32">
        <v>30</v>
      </c>
      <c r="AQ372" s="32">
        <v>5</v>
      </c>
      <c r="AR372" s="13"/>
      <c r="AS372" s="32"/>
      <c r="AT372" s="13">
        <f t="shared" ca="1" si="129"/>
        <v>0</v>
      </c>
      <c r="AU372" s="33"/>
      <c r="AV372" s="13">
        <f t="shared" ca="1" si="120"/>
        <v>0</v>
      </c>
      <c r="AW372" s="13">
        <f ca="1">ROUNDUP(($AT372+$AV372)*VLOOKUP($AP372,Paraméterek!$P$38:$Q$38,2)/12*IF($D373="Nem",IF($M$13=0,1,$M$13),1),IF($D$4="Forint",0,2))</f>
        <v>0</v>
      </c>
      <c r="AX372" s="13"/>
      <c r="AY372" s="13"/>
      <c r="AZ372" s="13">
        <f>ROUNDUP(IF(SUM($AX372:$AY372)=0,0,IF(IF(ISBLANK($AY372),$AX372,$AY372)*Paraméterek!$J$112&lt;IF($D$4="Forint",Paraméterek!$J$113,Paraméterek!$K$113),IF($D$4="Forint",Paraméterek!$J$113,Paraméterek!$K$113),IF(IF(ISBLANK($AY372),$AX372,$AY372)*Paraméterek!$J$112&gt;IF($D$4="Forint",Paraméterek!$J$114,Paraméterek!$K$114),IF($D$4="Forint",Paraméterek!$J$114,Paraméterek!$K$114),IF(ISBLANK($AY372),$AX372,$AY372)*Paraméterek!$J$112))),IF($D$4="Forint",0,2))</f>
        <v>0</v>
      </c>
      <c r="BA372" s="13">
        <f ca="1">$AT372+$AV372-$AW372-IF(ROUNDDOWN(IF(ISBLANK($AY372),$AX372,$AY372),IF($D$4="Forint",0,2))&gt;$AT372+$AV372-$AW372-IF($D$4="Forint",Paraméterek!$J$114,Paraméterek!$K$114),0,ROUNDDOWN(IF(ISBLANK($AY372),$AX372,$AY372),IF($D$4="Forint",0,2))-$AZ372)</f>
        <v>0</v>
      </c>
      <c r="BB372" s="13">
        <f t="shared" ca="1" si="121"/>
        <v>0</v>
      </c>
      <c r="BD372" s="32">
        <v>353</v>
      </c>
      <c r="BE372" s="32">
        <v>30</v>
      </c>
      <c r="BF372" s="32">
        <v>5</v>
      </c>
      <c r="BG372" s="34">
        <f t="shared" ca="1" si="130"/>
        <v>2048</v>
      </c>
      <c r="BH372" s="32" t="str">
        <f ca="1">IF(MOD(MONTH($D$14)+$BD372-1,12)=Paraméterek!$C$288,"Igen","")</f>
        <v/>
      </c>
      <c r="BI372" s="13">
        <f ca="1">IF($BH372="Igen",MIN(ROUNDDOWN((SUMIF($BG$20:$BG$1027,$BG372-1,$K$20:$K$1027)-SUMIF($BG$20:$BG$1027,$BG372-1,$I$20:$I$1027))*Paraméterek!$C$289,IF($D$4="Forint",0,2)),IF($D$4="Forint",Paraméterek!$C$285,Paraméterek!$D$285)),0)</f>
        <v>0</v>
      </c>
      <c r="BJ372" s="13">
        <f t="shared" ca="1" si="122"/>
        <v>0</v>
      </c>
      <c r="BK372" s="13">
        <f t="shared" ca="1" si="131"/>
        <v>0</v>
      </c>
      <c r="BL372" s="33"/>
      <c r="BM372" s="13">
        <f t="shared" ca="1" si="123"/>
        <v>0</v>
      </c>
      <c r="BN372" s="13">
        <f ca="1">ROUNDUP(($BK372+$BM372)*VLOOKUP($BE372,Paraméterek!$P$38:$Q$38,2)/12*IF($D373="Nem",IF($M$13=0,1,$M$13),1),IF($D$4="Forint",0,2))</f>
        <v>0</v>
      </c>
      <c r="BO372" s="13">
        <f t="shared" ca="1" si="124"/>
        <v>0</v>
      </c>
      <c r="BP372" s="13">
        <f ca="1">IF($D373="Nem",$BO372,$BO372-ROUNDUP(SUM($BI$20:$BI372)*120%,IF($D$4="Forint",0,2)))</f>
        <v>0</v>
      </c>
    </row>
    <row r="373" spans="1:68" x14ac:dyDescent="0.2">
      <c r="A373" s="32">
        <v>354</v>
      </c>
      <c r="B373" s="32">
        <v>30</v>
      </c>
      <c r="C373" s="32">
        <v>6</v>
      </c>
      <c r="D373" s="32" t="str">
        <f t="shared" ca="1" si="110"/>
        <v>Nem</v>
      </c>
      <c r="E373" s="13">
        <f t="shared" ca="1" si="111"/>
        <v>0</v>
      </c>
      <c r="F373" s="13"/>
      <c r="G373" s="13"/>
      <c r="H373" s="13"/>
      <c r="I373" s="13">
        <f t="shared" ca="1" si="112"/>
        <v>0</v>
      </c>
      <c r="J373" s="13">
        <f t="shared" ca="1" si="113"/>
        <v>0</v>
      </c>
      <c r="K373" s="13">
        <f t="shared" ca="1" si="114"/>
        <v>0</v>
      </c>
      <c r="L373" s="13" t="e">
        <f ca="1">ROUNDUP(IF($D$2="Egyszeri",$E373,IF($D$2="Havi",SUM($E$20:$E$31),IF(MOD($C373,$M$1)-1=0,SUM($E$20:$E$31),0))/12*$M$1)*VLOOKUP($B373,Paraméterek!$I$28:$P$31,IF($D$2="Egyszeri",8,HLOOKUP(ROUNDUP($M$11+$M$13,0),Paraméterek!$J$26:$O$27,2))),IF($D$4="Forint",0,2))</f>
        <v>#N/A</v>
      </c>
      <c r="M373" s="13">
        <f t="shared" ca="1" si="115"/>
        <v>0</v>
      </c>
      <c r="N373" s="13">
        <f t="shared" ca="1" si="125"/>
        <v>0</v>
      </c>
      <c r="O373" s="13">
        <f ca="1">IF($D373="Igen",IF($W372&gt;=IF($D$4="Forint",Paraméterek!$J$121,Paraméterek!$K$121),0,IF($D$4="Forint",Paraméterek!$J$121,Paraméterek!$K$121)-$W372),0)</f>
        <v>0</v>
      </c>
      <c r="P373" s="13" t="e">
        <f ca="1">ROUNDUP($O373*VLOOKUP($M$4+$B373-1,Paraméterek!$H$58:$I$105,2,0)/Paraméterek!$I$56,IF($D$4="Forint",0,2))</f>
        <v>#N/A</v>
      </c>
      <c r="Q373" s="13">
        <f t="shared" ca="1" si="116"/>
        <v>0</v>
      </c>
      <c r="R373" s="33"/>
      <c r="S373" s="13" t="e">
        <f t="shared" ca="1" si="117"/>
        <v>#N/A</v>
      </c>
      <c r="T373" s="13" t="e">
        <f ca="1">ROUNDUP(($N373-$P373-$Q373+$S373)*VLOOKUP($B373,Paraméterek!$I$38:$K$39,IF($D$2="Egyszeri",3,2))/12*IF($D374="Nem",IF($M$13=0,1,$M$13),1),IF($D$4="Forint",0,2))</f>
        <v>#N/A</v>
      </c>
      <c r="U373" s="13"/>
      <c r="V373" s="13"/>
      <c r="W373" s="13" t="e">
        <f ca="1">$N373-$P373-$Q373+$S373-$T373-IF(ROUNDUP(IF(ISBLANK($V373),$U373*0,$V373)/IF($D$2="Egyszeri",VLOOKUP($B373+IF($C373=12,1,0),Paraméterek!$V$257:$W$262,2),IF($B373=1,1,VLOOKUP($B373+IF($C373=12,1,0),Paraméterek!$I$258:$T$278,HLOOKUP($M$11+1,Paraméterek!$J$256:$T$257,2)))),IF($D$4="Forint",0,2))&gt;$N373-$P373-$Q373+$S373-$T373-IF($D$4="Forint",Paraméterek!$C$216,Paraméterek!$D$216),0,ROUNDUP(IF(ISBLANK($V373),$U373*0,$V373)/IF($D$2="Egyszeri",VLOOKUP($B373+IF($C373=12,1,0),Paraméterek!$V$257:$W$262,2),IF($B373=1,1,VLOOKUP($B373+IF($C373=12,1,0),Paraméterek!$I$258:$T$278,HLOOKUP($M$11+1,Paraméterek!$J$256:$T$257,2)))),IF($D$4="Forint",0,2)))</f>
        <v>#N/A</v>
      </c>
      <c r="X373" s="13" t="e">
        <f ca="1">ROUNDDOWN($W373*IF($D$2="Egyszeri",VLOOKUP($B373+IF($C373=12,1,0),Paraméterek!$V$257:$W$262,2),VLOOKUP($B373+IF($C373=12,1,0),Paraméterek!$I$258:$T$278,HLOOKUP($M$11+1,Paraméterek!$I$256:$T$257,2))),IF($D$4="Forint",0,2))</f>
        <v>#N/A</v>
      </c>
      <c r="Z373" s="32">
        <v>354</v>
      </c>
      <c r="AA373" s="32">
        <v>30</v>
      </c>
      <c r="AB373" s="32">
        <v>6</v>
      </c>
      <c r="AC373" s="13">
        <f t="shared" ca="1" si="126"/>
        <v>0</v>
      </c>
      <c r="AD373" s="33"/>
      <c r="AE373" s="13">
        <f t="shared" ca="1" si="118"/>
        <v>0</v>
      </c>
      <c r="AF373" s="13">
        <f ca="1">ROUNDUP(($AC373+$AE373)*VLOOKUP($AA373,Paraméterek!$P$38:$Q$38,2)/12*IF($D374="Nem",IF($M$13=0,1,$M$13),1),IF($D$4="Forint",0,2))</f>
        <v>0</v>
      </c>
      <c r="AG373" s="13">
        <f ca="1">IF($D$2="Egyszeri",IF($D$7&gt;=IF($D$4="Forint",Paraméterek!$P$223,Paraméterek!$P$224),$D$7-IF($D$4="Forint",Paraméterek!$P$223,Paraméterek!$P$224),0),MIN(IF($AB373=12,AVERAGEIF($E$20:$E373,"&gt;0",$E$20:$E373)*12,0),SUM($E$20:$E$31)))</f>
        <v>0</v>
      </c>
      <c r="AH373" s="13">
        <f>IF($AA373=10,$AG373*IF($AB373=12,IF($AG373&lt;IF($D$4="Forint",Paraméterek!$L$223,Paraméterek!$L$224),0,VLOOKUP($AA373,Paraméterek!$K$226:$M$228,IF($AG373&lt;IF($D$4="Forint",Paraméterek!$M$223,Paraméterek!$M$224),2,3))),0),0)</f>
        <v>0</v>
      </c>
      <c r="AI373" s="13">
        <f ca="1">IF(AND($AA373=$M$11+1,$AB373=$M$12+1),SUMIF($AA$20:$AA$1027,$AA373,$AG$20:$AG$1027)*IF(SUMIF($AA$20:$AA$1027,$AA373,$AG$20:$AG$1027)&lt;IF($D$4="Forint",Paraméterek!$L$223,Paraméterek!$L$224),0,VLOOKUP($AA373,Paraméterek!$K$230:$M$250,IF(SUMIF($AA$20:$AA$1027,$AA373,$AG$20:$AG$1027)&lt;IF($D$4="Forint",Paraméterek!$M$223,Paraméterek!$M$224),2,3))),0)</f>
        <v>0</v>
      </c>
      <c r="AJ373" s="13">
        <f ca="1">IF(AND($AA373&gt;=5,MOD($AA373,5)=0),IF($AB373=12,VLOOKUP($AA373,Paraméterek!$O$225:$P$240,2),0),IF(OR($AA373=3,$AA373=4),IF($AB373=12,VLOOKUP($AA373,Paraméterek!$O$225:$P$240,2,0),0),0))*$AG373</f>
        <v>0</v>
      </c>
      <c r="AK373" s="13">
        <f t="shared" ca="1" si="119"/>
        <v>0</v>
      </c>
      <c r="AL373" s="13">
        <f t="shared" ca="1" si="127"/>
        <v>0</v>
      </c>
      <c r="AM373" s="13">
        <f t="shared" ca="1" si="128"/>
        <v>0</v>
      </c>
      <c r="AO373" s="32">
        <v>354</v>
      </c>
      <c r="AP373" s="32">
        <v>30</v>
      </c>
      <c r="AQ373" s="32">
        <v>6</v>
      </c>
      <c r="AR373" s="13"/>
      <c r="AS373" s="32"/>
      <c r="AT373" s="13">
        <f t="shared" ca="1" si="129"/>
        <v>0</v>
      </c>
      <c r="AU373" s="33"/>
      <c r="AV373" s="13">
        <f t="shared" ca="1" si="120"/>
        <v>0</v>
      </c>
      <c r="AW373" s="13">
        <f ca="1">ROUNDUP(($AT373+$AV373)*VLOOKUP($AP373,Paraméterek!$P$38:$Q$38,2)/12*IF($D374="Nem",IF($M$13=0,1,$M$13),1),IF($D$4="Forint",0,2))</f>
        <v>0</v>
      </c>
      <c r="AX373" s="13"/>
      <c r="AY373" s="13"/>
      <c r="AZ373" s="13">
        <f>ROUNDUP(IF(SUM($AX373:$AY373)=0,0,IF(IF(ISBLANK($AY373),$AX373,$AY373)*Paraméterek!$J$112&lt;IF($D$4="Forint",Paraméterek!$J$113,Paraméterek!$K$113),IF($D$4="Forint",Paraméterek!$J$113,Paraméterek!$K$113),IF(IF(ISBLANK($AY373),$AX373,$AY373)*Paraméterek!$J$112&gt;IF($D$4="Forint",Paraméterek!$J$114,Paraméterek!$K$114),IF($D$4="Forint",Paraméterek!$J$114,Paraméterek!$K$114),IF(ISBLANK($AY373),$AX373,$AY373)*Paraméterek!$J$112))),IF($D$4="Forint",0,2))</f>
        <v>0</v>
      </c>
      <c r="BA373" s="13">
        <f ca="1">$AT373+$AV373-$AW373-IF(ROUNDDOWN(IF(ISBLANK($AY373),$AX373,$AY373),IF($D$4="Forint",0,2))&gt;$AT373+$AV373-$AW373-IF($D$4="Forint",Paraméterek!$J$114,Paraméterek!$K$114),0,ROUNDDOWN(IF(ISBLANK($AY373),$AX373,$AY373),IF($D$4="Forint",0,2))-$AZ373)</f>
        <v>0</v>
      </c>
      <c r="BB373" s="13">
        <f t="shared" ca="1" si="121"/>
        <v>0</v>
      </c>
      <c r="BD373" s="32">
        <v>354</v>
      </c>
      <c r="BE373" s="32">
        <v>30</v>
      </c>
      <c r="BF373" s="32">
        <v>6</v>
      </c>
      <c r="BG373" s="34">
        <f t="shared" ca="1" si="130"/>
        <v>2048</v>
      </c>
      <c r="BH373" s="32" t="str">
        <f ca="1">IF(MOD(MONTH($D$14)+$BD373-1,12)=Paraméterek!$C$288,"Igen","")</f>
        <v/>
      </c>
      <c r="BI373" s="13">
        <f ca="1">IF($BH373="Igen",MIN(ROUNDDOWN((SUMIF($BG$20:$BG$1027,$BG373-1,$K$20:$K$1027)-SUMIF($BG$20:$BG$1027,$BG373-1,$I$20:$I$1027))*Paraméterek!$C$289,IF($D$4="Forint",0,2)),IF($D$4="Forint",Paraméterek!$C$285,Paraméterek!$D$285)),0)</f>
        <v>0</v>
      </c>
      <c r="BJ373" s="13">
        <f t="shared" ca="1" si="122"/>
        <v>0</v>
      </c>
      <c r="BK373" s="13">
        <f t="shared" ca="1" si="131"/>
        <v>0</v>
      </c>
      <c r="BL373" s="33"/>
      <c r="BM373" s="13">
        <f t="shared" ca="1" si="123"/>
        <v>0</v>
      </c>
      <c r="BN373" s="13">
        <f ca="1">ROUNDUP(($BK373+$BM373)*VLOOKUP($BE373,Paraméterek!$P$38:$Q$38,2)/12*IF($D374="Nem",IF($M$13=0,1,$M$13),1),IF($D$4="Forint",0,2))</f>
        <v>0</v>
      </c>
      <c r="BO373" s="13">
        <f t="shared" ca="1" si="124"/>
        <v>0</v>
      </c>
      <c r="BP373" s="13">
        <f ca="1">IF($D374="Nem",$BO373,$BO373-ROUNDUP(SUM($BI$20:$BI373)*120%,IF($D$4="Forint",0,2)))</f>
        <v>0</v>
      </c>
    </row>
    <row r="374" spans="1:68" x14ac:dyDescent="0.2">
      <c r="A374" s="32">
        <v>355</v>
      </c>
      <c r="B374" s="32">
        <v>30</v>
      </c>
      <c r="C374" s="32">
        <v>7</v>
      </c>
      <c r="D374" s="32" t="str">
        <f t="shared" ca="1" si="110"/>
        <v>Nem</v>
      </c>
      <c r="E374" s="13">
        <f t="shared" ca="1" si="111"/>
        <v>0</v>
      </c>
      <c r="F374" s="13"/>
      <c r="G374" s="13"/>
      <c r="H374" s="13"/>
      <c r="I374" s="13">
        <f t="shared" ca="1" si="112"/>
        <v>0</v>
      </c>
      <c r="J374" s="13">
        <f t="shared" ca="1" si="113"/>
        <v>0</v>
      </c>
      <c r="K374" s="13">
        <f t="shared" ca="1" si="114"/>
        <v>0</v>
      </c>
      <c r="L374" s="13" t="e">
        <f ca="1">ROUNDUP(IF($D$2="Egyszeri",$E374,IF($D$2="Havi",SUM($E$20:$E$31),IF(MOD($C374,$M$1)-1=0,SUM($E$20:$E$31),0))/12*$M$1)*VLOOKUP($B374,Paraméterek!$I$28:$P$31,IF($D$2="Egyszeri",8,HLOOKUP(ROUNDUP($M$11+$M$13,0),Paraméterek!$J$26:$O$27,2))),IF($D$4="Forint",0,2))</f>
        <v>#N/A</v>
      </c>
      <c r="M374" s="13">
        <f t="shared" ca="1" si="115"/>
        <v>0</v>
      </c>
      <c r="N374" s="13">
        <f t="shared" ca="1" si="125"/>
        <v>0</v>
      </c>
      <c r="O374" s="13">
        <f ca="1">IF($D374="Igen",IF($W373&gt;=IF($D$4="Forint",Paraméterek!$J$121,Paraméterek!$K$121),0,IF($D$4="Forint",Paraméterek!$J$121,Paraméterek!$K$121)-$W373),0)</f>
        <v>0</v>
      </c>
      <c r="P374" s="13" t="e">
        <f ca="1">ROUNDUP($O374*VLOOKUP($M$4+$B374-1,Paraméterek!$H$58:$I$105,2,0)/Paraméterek!$I$56,IF($D$4="Forint",0,2))</f>
        <v>#N/A</v>
      </c>
      <c r="Q374" s="13">
        <f t="shared" ca="1" si="116"/>
        <v>0</v>
      </c>
      <c r="R374" s="33"/>
      <c r="S374" s="13" t="e">
        <f t="shared" ca="1" si="117"/>
        <v>#N/A</v>
      </c>
      <c r="T374" s="13" t="e">
        <f ca="1">ROUNDUP(($N374-$P374-$Q374+$S374)*VLOOKUP($B374,Paraméterek!$I$38:$K$39,IF($D$2="Egyszeri",3,2))/12*IF($D375="Nem",IF($M$13=0,1,$M$13),1),IF($D$4="Forint",0,2))</f>
        <v>#N/A</v>
      </c>
      <c r="U374" s="13"/>
      <c r="V374" s="13"/>
      <c r="W374" s="13" t="e">
        <f ca="1">$N374-$P374-$Q374+$S374-$T374-IF(ROUNDUP(IF(ISBLANK($V374),$U374*0,$V374)/IF($D$2="Egyszeri",VLOOKUP($B374+IF($C374=12,1,0),Paraméterek!$V$257:$W$262,2),IF($B374=1,1,VLOOKUP($B374+IF($C374=12,1,0),Paraméterek!$I$258:$T$278,HLOOKUP($M$11+1,Paraméterek!$J$256:$T$257,2)))),IF($D$4="Forint",0,2))&gt;$N374-$P374-$Q374+$S374-$T374-IF($D$4="Forint",Paraméterek!$C$216,Paraméterek!$D$216),0,ROUNDUP(IF(ISBLANK($V374),$U374*0,$V374)/IF($D$2="Egyszeri",VLOOKUP($B374+IF($C374=12,1,0),Paraméterek!$V$257:$W$262,2),IF($B374=1,1,VLOOKUP($B374+IF($C374=12,1,0),Paraméterek!$I$258:$T$278,HLOOKUP($M$11+1,Paraméterek!$J$256:$T$257,2)))),IF($D$4="Forint",0,2)))</f>
        <v>#N/A</v>
      </c>
      <c r="X374" s="13" t="e">
        <f ca="1">ROUNDDOWN($W374*IF($D$2="Egyszeri",VLOOKUP($B374+IF($C374=12,1,0),Paraméterek!$V$257:$W$262,2),VLOOKUP($B374+IF($C374=12,1,0),Paraméterek!$I$258:$T$278,HLOOKUP($M$11+1,Paraméterek!$I$256:$T$257,2))),IF($D$4="Forint",0,2))</f>
        <v>#N/A</v>
      </c>
      <c r="Z374" s="32">
        <v>355</v>
      </c>
      <c r="AA374" s="32">
        <v>30</v>
      </c>
      <c r="AB374" s="32">
        <v>7</v>
      </c>
      <c r="AC374" s="13">
        <f t="shared" ca="1" si="126"/>
        <v>0</v>
      </c>
      <c r="AD374" s="33"/>
      <c r="AE374" s="13">
        <f t="shared" ca="1" si="118"/>
        <v>0</v>
      </c>
      <c r="AF374" s="13">
        <f ca="1">ROUNDUP(($AC374+$AE374)*VLOOKUP($AA374,Paraméterek!$P$38:$Q$38,2)/12*IF($D375="Nem",IF($M$13=0,1,$M$13),1),IF($D$4="Forint",0,2))</f>
        <v>0</v>
      </c>
      <c r="AG374" s="13">
        <f ca="1">IF($D$2="Egyszeri",IF($D$7&gt;=IF($D$4="Forint",Paraméterek!$P$223,Paraméterek!$P$224),$D$7-IF($D$4="Forint",Paraméterek!$P$223,Paraméterek!$P$224),0),MIN(IF($AB374=12,AVERAGEIF($E$20:$E374,"&gt;0",$E$20:$E374)*12,0),SUM($E$20:$E$31)))</f>
        <v>0</v>
      </c>
      <c r="AH374" s="13">
        <f>IF($AA374=10,$AG374*IF($AB374=12,IF($AG374&lt;IF($D$4="Forint",Paraméterek!$L$223,Paraméterek!$L$224),0,VLOOKUP($AA374,Paraméterek!$K$226:$M$228,IF($AG374&lt;IF($D$4="Forint",Paraméterek!$M$223,Paraméterek!$M$224),2,3))),0),0)</f>
        <v>0</v>
      </c>
      <c r="AI374" s="13">
        <f ca="1">IF(AND($AA374=$M$11+1,$AB374=$M$12+1),SUMIF($AA$20:$AA$1027,$AA374,$AG$20:$AG$1027)*IF(SUMIF($AA$20:$AA$1027,$AA374,$AG$20:$AG$1027)&lt;IF($D$4="Forint",Paraméterek!$L$223,Paraméterek!$L$224),0,VLOOKUP($AA374,Paraméterek!$K$230:$M$250,IF(SUMIF($AA$20:$AA$1027,$AA374,$AG$20:$AG$1027)&lt;IF($D$4="Forint",Paraméterek!$M$223,Paraméterek!$M$224),2,3))),0)</f>
        <v>0</v>
      </c>
      <c r="AJ374" s="13">
        <f ca="1">IF(AND($AA374&gt;=5,MOD($AA374,5)=0),IF($AB374=12,VLOOKUP($AA374,Paraméterek!$O$225:$P$240,2),0),IF(OR($AA374=3,$AA374=4),IF($AB374=12,VLOOKUP($AA374,Paraméterek!$O$225:$P$240,2,0),0),0))*$AG374</f>
        <v>0</v>
      </c>
      <c r="AK374" s="13">
        <f t="shared" ca="1" si="119"/>
        <v>0</v>
      </c>
      <c r="AL374" s="13">
        <f t="shared" ca="1" si="127"/>
        <v>0</v>
      </c>
      <c r="AM374" s="13">
        <f t="shared" ca="1" si="128"/>
        <v>0</v>
      </c>
      <c r="AO374" s="32">
        <v>355</v>
      </c>
      <c r="AP374" s="32">
        <v>30</v>
      </c>
      <c r="AQ374" s="32">
        <v>7</v>
      </c>
      <c r="AR374" s="13"/>
      <c r="AS374" s="32"/>
      <c r="AT374" s="13">
        <f t="shared" ca="1" si="129"/>
        <v>0</v>
      </c>
      <c r="AU374" s="33"/>
      <c r="AV374" s="13">
        <f t="shared" ca="1" si="120"/>
        <v>0</v>
      </c>
      <c r="AW374" s="13">
        <f ca="1">ROUNDUP(($AT374+$AV374)*VLOOKUP($AP374,Paraméterek!$P$38:$Q$38,2)/12*IF($D375="Nem",IF($M$13=0,1,$M$13),1),IF($D$4="Forint",0,2))</f>
        <v>0</v>
      </c>
      <c r="AX374" s="13"/>
      <c r="AY374" s="13"/>
      <c r="AZ374" s="13">
        <f>ROUNDUP(IF(SUM($AX374:$AY374)=0,0,IF(IF(ISBLANK($AY374),$AX374,$AY374)*Paraméterek!$J$112&lt;IF($D$4="Forint",Paraméterek!$J$113,Paraméterek!$K$113),IF($D$4="Forint",Paraméterek!$J$113,Paraméterek!$K$113),IF(IF(ISBLANK($AY374),$AX374,$AY374)*Paraméterek!$J$112&gt;IF($D$4="Forint",Paraméterek!$J$114,Paraméterek!$K$114),IF($D$4="Forint",Paraméterek!$J$114,Paraméterek!$K$114),IF(ISBLANK($AY374),$AX374,$AY374)*Paraméterek!$J$112))),IF($D$4="Forint",0,2))</f>
        <v>0</v>
      </c>
      <c r="BA374" s="13">
        <f ca="1">$AT374+$AV374-$AW374-IF(ROUNDDOWN(IF(ISBLANK($AY374),$AX374,$AY374),IF($D$4="Forint",0,2))&gt;$AT374+$AV374-$AW374-IF($D$4="Forint",Paraméterek!$J$114,Paraméterek!$K$114),0,ROUNDDOWN(IF(ISBLANK($AY374),$AX374,$AY374),IF($D$4="Forint",0,2))-$AZ374)</f>
        <v>0</v>
      </c>
      <c r="BB374" s="13">
        <f t="shared" ca="1" si="121"/>
        <v>0</v>
      </c>
      <c r="BD374" s="32">
        <v>355</v>
      </c>
      <c r="BE374" s="32">
        <v>30</v>
      </c>
      <c r="BF374" s="32">
        <v>7</v>
      </c>
      <c r="BG374" s="34">
        <f t="shared" ca="1" si="130"/>
        <v>2048</v>
      </c>
      <c r="BH374" s="32" t="str">
        <f ca="1">IF(MOD(MONTH($D$14)+$BD374-1,12)=Paraméterek!$C$288,"Igen","")</f>
        <v/>
      </c>
      <c r="BI374" s="13">
        <f ca="1">IF($BH374="Igen",MIN(ROUNDDOWN((SUMIF($BG$20:$BG$1027,$BG374-1,$K$20:$K$1027)-SUMIF($BG$20:$BG$1027,$BG374-1,$I$20:$I$1027))*Paraméterek!$C$289,IF($D$4="Forint",0,2)),IF($D$4="Forint",Paraméterek!$C$285,Paraméterek!$D$285)),0)</f>
        <v>0</v>
      </c>
      <c r="BJ374" s="13">
        <f t="shared" ca="1" si="122"/>
        <v>0</v>
      </c>
      <c r="BK374" s="13">
        <f t="shared" ca="1" si="131"/>
        <v>0</v>
      </c>
      <c r="BL374" s="33"/>
      <c r="BM374" s="13">
        <f t="shared" ca="1" si="123"/>
        <v>0</v>
      </c>
      <c r="BN374" s="13">
        <f ca="1">ROUNDUP(($BK374+$BM374)*VLOOKUP($BE374,Paraméterek!$P$38:$Q$38,2)/12*IF($D375="Nem",IF($M$13=0,1,$M$13),1),IF($D$4="Forint",0,2))</f>
        <v>0</v>
      </c>
      <c r="BO374" s="13">
        <f t="shared" ca="1" si="124"/>
        <v>0</v>
      </c>
      <c r="BP374" s="13">
        <f ca="1">IF($D375="Nem",$BO374,$BO374-ROUNDUP(SUM($BI$20:$BI374)*120%,IF($D$4="Forint",0,2)))</f>
        <v>0</v>
      </c>
    </row>
    <row r="375" spans="1:68" x14ac:dyDescent="0.2">
      <c r="A375" s="32">
        <v>356</v>
      </c>
      <c r="B375" s="32">
        <v>30</v>
      </c>
      <c r="C375" s="32">
        <v>8</v>
      </c>
      <c r="D375" s="32" t="str">
        <f t="shared" ca="1" si="110"/>
        <v>Nem</v>
      </c>
      <c r="E375" s="13">
        <f t="shared" ca="1" si="111"/>
        <v>0</v>
      </c>
      <c r="F375" s="13"/>
      <c r="G375" s="13"/>
      <c r="H375" s="13"/>
      <c r="I375" s="13">
        <f t="shared" ca="1" si="112"/>
        <v>0</v>
      </c>
      <c r="J375" s="13">
        <f t="shared" ca="1" si="113"/>
        <v>0</v>
      </c>
      <c r="K375" s="13">
        <f t="shared" ca="1" si="114"/>
        <v>0</v>
      </c>
      <c r="L375" s="13" t="e">
        <f ca="1">ROUNDUP(IF($D$2="Egyszeri",$E375,IF($D$2="Havi",SUM($E$20:$E$31),IF(MOD($C375,$M$1)-1=0,SUM($E$20:$E$31),0))/12*$M$1)*VLOOKUP($B375,Paraméterek!$I$28:$P$31,IF($D$2="Egyszeri",8,HLOOKUP(ROUNDUP($M$11+$M$13,0),Paraméterek!$J$26:$O$27,2))),IF($D$4="Forint",0,2))</f>
        <v>#N/A</v>
      </c>
      <c r="M375" s="13">
        <f t="shared" ca="1" si="115"/>
        <v>0</v>
      </c>
      <c r="N375" s="13">
        <f t="shared" ca="1" si="125"/>
        <v>0</v>
      </c>
      <c r="O375" s="13">
        <f ca="1">IF($D375="Igen",IF($W374&gt;=IF($D$4="Forint",Paraméterek!$J$121,Paraméterek!$K$121),0,IF($D$4="Forint",Paraméterek!$J$121,Paraméterek!$K$121)-$W374),0)</f>
        <v>0</v>
      </c>
      <c r="P375" s="13" t="e">
        <f ca="1">ROUNDUP($O375*VLOOKUP($M$4+$B375-1,Paraméterek!$H$58:$I$105,2,0)/Paraméterek!$I$56,IF($D$4="Forint",0,2))</f>
        <v>#N/A</v>
      </c>
      <c r="Q375" s="13">
        <f t="shared" ca="1" si="116"/>
        <v>0</v>
      </c>
      <c r="R375" s="33"/>
      <c r="S375" s="13" t="e">
        <f t="shared" ca="1" si="117"/>
        <v>#N/A</v>
      </c>
      <c r="T375" s="13" t="e">
        <f ca="1">ROUNDUP(($N375-$P375-$Q375+$S375)*VLOOKUP($B375,Paraméterek!$I$38:$K$39,IF($D$2="Egyszeri",3,2))/12*IF($D376="Nem",IF($M$13=0,1,$M$13),1),IF($D$4="Forint",0,2))</f>
        <v>#N/A</v>
      </c>
      <c r="U375" s="13"/>
      <c r="V375" s="13"/>
      <c r="W375" s="13" t="e">
        <f ca="1">$N375-$P375-$Q375+$S375-$T375-IF(ROUNDUP(IF(ISBLANK($V375),$U375*0,$V375)/IF($D$2="Egyszeri",VLOOKUP($B375+IF($C375=12,1,0),Paraméterek!$V$257:$W$262,2),IF($B375=1,1,VLOOKUP($B375+IF($C375=12,1,0),Paraméterek!$I$258:$T$278,HLOOKUP($M$11+1,Paraméterek!$J$256:$T$257,2)))),IF($D$4="Forint",0,2))&gt;$N375-$P375-$Q375+$S375-$T375-IF($D$4="Forint",Paraméterek!$C$216,Paraméterek!$D$216),0,ROUNDUP(IF(ISBLANK($V375),$U375*0,$V375)/IF($D$2="Egyszeri",VLOOKUP($B375+IF($C375=12,1,0),Paraméterek!$V$257:$W$262,2),IF($B375=1,1,VLOOKUP($B375+IF($C375=12,1,0),Paraméterek!$I$258:$T$278,HLOOKUP($M$11+1,Paraméterek!$J$256:$T$257,2)))),IF($D$4="Forint",0,2)))</f>
        <v>#N/A</v>
      </c>
      <c r="X375" s="13" t="e">
        <f ca="1">ROUNDDOWN($W375*IF($D$2="Egyszeri",VLOOKUP($B375+IF($C375=12,1,0),Paraméterek!$V$257:$W$262,2),VLOOKUP($B375+IF($C375=12,1,0),Paraméterek!$I$258:$T$278,HLOOKUP($M$11+1,Paraméterek!$I$256:$T$257,2))),IF($D$4="Forint",0,2))</f>
        <v>#N/A</v>
      </c>
      <c r="Z375" s="32">
        <v>356</v>
      </c>
      <c r="AA375" s="32">
        <v>30</v>
      </c>
      <c r="AB375" s="32">
        <v>8</v>
      </c>
      <c r="AC375" s="13">
        <f t="shared" ca="1" si="126"/>
        <v>0</v>
      </c>
      <c r="AD375" s="33"/>
      <c r="AE375" s="13">
        <f t="shared" ca="1" si="118"/>
        <v>0</v>
      </c>
      <c r="AF375" s="13">
        <f ca="1">ROUNDUP(($AC375+$AE375)*VLOOKUP($AA375,Paraméterek!$P$38:$Q$38,2)/12*IF($D376="Nem",IF($M$13=0,1,$M$13),1),IF($D$4="Forint",0,2))</f>
        <v>0</v>
      </c>
      <c r="AG375" s="13">
        <f ca="1">IF($D$2="Egyszeri",IF($D$7&gt;=IF($D$4="Forint",Paraméterek!$P$223,Paraméterek!$P$224),$D$7-IF($D$4="Forint",Paraméterek!$P$223,Paraméterek!$P$224),0),MIN(IF($AB375=12,AVERAGEIF($E$20:$E375,"&gt;0",$E$20:$E375)*12,0),SUM($E$20:$E$31)))</f>
        <v>0</v>
      </c>
      <c r="AH375" s="13">
        <f>IF($AA375=10,$AG375*IF($AB375=12,IF($AG375&lt;IF($D$4="Forint",Paraméterek!$L$223,Paraméterek!$L$224),0,VLOOKUP($AA375,Paraméterek!$K$226:$M$228,IF($AG375&lt;IF($D$4="Forint",Paraméterek!$M$223,Paraméterek!$M$224),2,3))),0),0)</f>
        <v>0</v>
      </c>
      <c r="AI375" s="13">
        <f ca="1">IF(AND($AA375=$M$11+1,$AB375=$M$12+1),SUMIF($AA$20:$AA$1027,$AA375,$AG$20:$AG$1027)*IF(SUMIF($AA$20:$AA$1027,$AA375,$AG$20:$AG$1027)&lt;IF($D$4="Forint",Paraméterek!$L$223,Paraméterek!$L$224),0,VLOOKUP($AA375,Paraméterek!$K$230:$M$250,IF(SUMIF($AA$20:$AA$1027,$AA375,$AG$20:$AG$1027)&lt;IF($D$4="Forint",Paraméterek!$M$223,Paraméterek!$M$224),2,3))),0)</f>
        <v>0</v>
      </c>
      <c r="AJ375" s="13">
        <f ca="1">IF(AND($AA375&gt;=5,MOD($AA375,5)=0),IF($AB375=12,VLOOKUP($AA375,Paraméterek!$O$225:$P$240,2),0),IF(OR($AA375=3,$AA375=4),IF($AB375=12,VLOOKUP($AA375,Paraméterek!$O$225:$P$240,2,0),0),0))*$AG375</f>
        <v>0</v>
      </c>
      <c r="AK375" s="13">
        <f t="shared" ca="1" si="119"/>
        <v>0</v>
      </c>
      <c r="AL375" s="13">
        <f t="shared" ca="1" si="127"/>
        <v>0</v>
      </c>
      <c r="AM375" s="13">
        <f t="shared" ca="1" si="128"/>
        <v>0</v>
      </c>
      <c r="AO375" s="32">
        <v>356</v>
      </c>
      <c r="AP375" s="32">
        <v>30</v>
      </c>
      <c r="AQ375" s="32">
        <v>8</v>
      </c>
      <c r="AR375" s="13"/>
      <c r="AS375" s="32"/>
      <c r="AT375" s="13">
        <f t="shared" ca="1" si="129"/>
        <v>0</v>
      </c>
      <c r="AU375" s="33"/>
      <c r="AV375" s="13">
        <f t="shared" ca="1" si="120"/>
        <v>0</v>
      </c>
      <c r="AW375" s="13">
        <f ca="1">ROUNDUP(($AT375+$AV375)*VLOOKUP($AP375,Paraméterek!$P$38:$Q$38,2)/12*IF($D376="Nem",IF($M$13=0,1,$M$13),1),IF($D$4="Forint",0,2))</f>
        <v>0</v>
      </c>
      <c r="AX375" s="13"/>
      <c r="AY375" s="13"/>
      <c r="AZ375" s="13">
        <f>ROUNDUP(IF(SUM($AX375:$AY375)=0,0,IF(IF(ISBLANK($AY375),$AX375,$AY375)*Paraméterek!$J$112&lt;IF($D$4="Forint",Paraméterek!$J$113,Paraméterek!$K$113),IF($D$4="Forint",Paraméterek!$J$113,Paraméterek!$K$113),IF(IF(ISBLANK($AY375),$AX375,$AY375)*Paraméterek!$J$112&gt;IF($D$4="Forint",Paraméterek!$J$114,Paraméterek!$K$114),IF($D$4="Forint",Paraméterek!$J$114,Paraméterek!$K$114),IF(ISBLANK($AY375),$AX375,$AY375)*Paraméterek!$J$112))),IF($D$4="Forint",0,2))</f>
        <v>0</v>
      </c>
      <c r="BA375" s="13">
        <f ca="1">$AT375+$AV375-$AW375-IF(ROUNDDOWN(IF(ISBLANK($AY375),$AX375,$AY375),IF($D$4="Forint",0,2))&gt;$AT375+$AV375-$AW375-IF($D$4="Forint",Paraméterek!$J$114,Paraméterek!$K$114),0,ROUNDDOWN(IF(ISBLANK($AY375),$AX375,$AY375),IF($D$4="Forint",0,2))-$AZ375)</f>
        <v>0</v>
      </c>
      <c r="BB375" s="13">
        <f t="shared" ca="1" si="121"/>
        <v>0</v>
      </c>
      <c r="BD375" s="32">
        <v>356</v>
      </c>
      <c r="BE375" s="32">
        <v>30</v>
      </c>
      <c r="BF375" s="32">
        <v>8</v>
      </c>
      <c r="BG375" s="34">
        <f t="shared" ca="1" si="130"/>
        <v>2049</v>
      </c>
      <c r="BH375" s="32" t="str">
        <f ca="1">IF(MOD(MONTH($D$14)+$BD375-1,12)=Paraméterek!$C$288,"Igen","")</f>
        <v/>
      </c>
      <c r="BI375" s="13">
        <f ca="1">IF($BH375="Igen",MIN(ROUNDDOWN((SUMIF($BG$20:$BG$1027,$BG375-1,$K$20:$K$1027)-SUMIF($BG$20:$BG$1027,$BG375-1,$I$20:$I$1027))*Paraméterek!$C$289,IF($D$4="Forint",0,2)),IF($D$4="Forint",Paraméterek!$C$285,Paraméterek!$D$285)),0)</f>
        <v>0</v>
      </c>
      <c r="BJ375" s="13">
        <f t="shared" ca="1" si="122"/>
        <v>0</v>
      </c>
      <c r="BK375" s="13">
        <f t="shared" ca="1" si="131"/>
        <v>0</v>
      </c>
      <c r="BL375" s="33"/>
      <c r="BM375" s="13">
        <f t="shared" ca="1" si="123"/>
        <v>0</v>
      </c>
      <c r="BN375" s="13">
        <f ca="1">ROUNDUP(($BK375+$BM375)*VLOOKUP($BE375,Paraméterek!$P$38:$Q$38,2)/12*IF($D376="Nem",IF($M$13=0,1,$M$13),1),IF($D$4="Forint",0,2))</f>
        <v>0</v>
      </c>
      <c r="BO375" s="13">
        <f t="shared" ca="1" si="124"/>
        <v>0</v>
      </c>
      <c r="BP375" s="13">
        <f ca="1">IF($D376="Nem",$BO375,$BO375-ROUNDUP(SUM($BI$20:$BI375)*120%,IF($D$4="Forint",0,2)))</f>
        <v>0</v>
      </c>
    </row>
    <row r="376" spans="1:68" x14ac:dyDescent="0.2">
      <c r="A376" s="32">
        <v>357</v>
      </c>
      <c r="B376" s="32">
        <v>30</v>
      </c>
      <c r="C376" s="32">
        <v>9</v>
      </c>
      <c r="D376" s="32" t="str">
        <f t="shared" ca="1" si="110"/>
        <v>Nem</v>
      </c>
      <c r="E376" s="13">
        <f t="shared" ca="1" si="111"/>
        <v>0</v>
      </c>
      <c r="F376" s="13"/>
      <c r="G376" s="13"/>
      <c r="H376" s="13"/>
      <c r="I376" s="13">
        <f t="shared" ca="1" si="112"/>
        <v>0</v>
      </c>
      <c r="J376" s="13">
        <f t="shared" ca="1" si="113"/>
        <v>0</v>
      </c>
      <c r="K376" s="13">
        <f t="shared" ca="1" si="114"/>
        <v>0</v>
      </c>
      <c r="L376" s="13" t="e">
        <f ca="1">ROUNDUP(IF($D$2="Egyszeri",$E376,IF($D$2="Havi",SUM($E$20:$E$31),IF(MOD($C376,$M$1)-1=0,SUM($E$20:$E$31),0))/12*$M$1)*VLOOKUP($B376,Paraméterek!$I$28:$P$31,IF($D$2="Egyszeri",8,HLOOKUP(ROUNDUP($M$11+$M$13,0),Paraméterek!$J$26:$O$27,2))),IF($D$4="Forint",0,2))</f>
        <v>#N/A</v>
      </c>
      <c r="M376" s="13">
        <f t="shared" ca="1" si="115"/>
        <v>0</v>
      </c>
      <c r="N376" s="13">
        <f t="shared" ca="1" si="125"/>
        <v>0</v>
      </c>
      <c r="O376" s="13">
        <f ca="1">IF($D376="Igen",IF($W375&gt;=IF($D$4="Forint",Paraméterek!$J$121,Paraméterek!$K$121),0,IF($D$4="Forint",Paraméterek!$J$121,Paraméterek!$K$121)-$W375),0)</f>
        <v>0</v>
      </c>
      <c r="P376" s="13" t="e">
        <f ca="1">ROUNDUP($O376*VLOOKUP($M$4+$B376-1,Paraméterek!$H$58:$I$105,2,0)/Paraméterek!$I$56,IF($D$4="Forint",0,2))</f>
        <v>#N/A</v>
      </c>
      <c r="Q376" s="13">
        <f t="shared" ca="1" si="116"/>
        <v>0</v>
      </c>
      <c r="R376" s="33"/>
      <c r="S376" s="13" t="e">
        <f t="shared" ca="1" si="117"/>
        <v>#N/A</v>
      </c>
      <c r="T376" s="13" t="e">
        <f ca="1">ROUNDUP(($N376-$P376-$Q376+$S376)*VLOOKUP($B376,Paraméterek!$I$38:$K$39,IF($D$2="Egyszeri",3,2))/12*IF($D377="Nem",IF($M$13=0,1,$M$13),1),IF($D$4="Forint",0,2))</f>
        <v>#N/A</v>
      </c>
      <c r="U376" s="13"/>
      <c r="V376" s="13"/>
      <c r="W376" s="13" t="e">
        <f ca="1">$N376-$P376-$Q376+$S376-$T376-IF(ROUNDUP(IF(ISBLANK($V376),$U376*0,$V376)/IF($D$2="Egyszeri",VLOOKUP($B376+IF($C376=12,1,0),Paraméterek!$V$257:$W$262,2),IF($B376=1,1,VLOOKUP($B376+IF($C376=12,1,0),Paraméterek!$I$258:$T$278,HLOOKUP($M$11+1,Paraméterek!$J$256:$T$257,2)))),IF($D$4="Forint",0,2))&gt;$N376-$P376-$Q376+$S376-$T376-IF($D$4="Forint",Paraméterek!$C$216,Paraméterek!$D$216),0,ROUNDUP(IF(ISBLANK($V376),$U376*0,$V376)/IF($D$2="Egyszeri",VLOOKUP($B376+IF($C376=12,1,0),Paraméterek!$V$257:$W$262,2),IF($B376=1,1,VLOOKUP($B376+IF($C376=12,1,0),Paraméterek!$I$258:$T$278,HLOOKUP($M$11+1,Paraméterek!$J$256:$T$257,2)))),IF($D$4="Forint",0,2)))</f>
        <v>#N/A</v>
      </c>
      <c r="X376" s="13" t="e">
        <f ca="1">ROUNDDOWN($W376*IF($D$2="Egyszeri",VLOOKUP($B376+IF($C376=12,1,0),Paraméterek!$V$257:$W$262,2),VLOOKUP($B376+IF($C376=12,1,0),Paraméterek!$I$258:$T$278,HLOOKUP($M$11+1,Paraméterek!$I$256:$T$257,2))),IF($D$4="Forint",0,2))</f>
        <v>#N/A</v>
      </c>
      <c r="Z376" s="32">
        <v>357</v>
      </c>
      <c r="AA376" s="32">
        <v>30</v>
      </c>
      <c r="AB376" s="32">
        <v>9</v>
      </c>
      <c r="AC376" s="13">
        <f t="shared" ca="1" si="126"/>
        <v>0</v>
      </c>
      <c r="AD376" s="33"/>
      <c r="AE376" s="13">
        <f t="shared" ca="1" si="118"/>
        <v>0</v>
      </c>
      <c r="AF376" s="13">
        <f ca="1">ROUNDUP(($AC376+$AE376)*VLOOKUP($AA376,Paraméterek!$P$38:$Q$38,2)/12*IF($D377="Nem",IF($M$13=0,1,$M$13),1),IF($D$4="Forint",0,2))</f>
        <v>0</v>
      </c>
      <c r="AG376" s="13">
        <f ca="1">IF($D$2="Egyszeri",IF($D$7&gt;=IF($D$4="Forint",Paraméterek!$P$223,Paraméterek!$P$224),$D$7-IF($D$4="Forint",Paraméterek!$P$223,Paraméterek!$P$224),0),MIN(IF($AB376=12,AVERAGEIF($E$20:$E376,"&gt;0",$E$20:$E376)*12,0),SUM($E$20:$E$31)))</f>
        <v>0</v>
      </c>
      <c r="AH376" s="13">
        <f>IF($AA376=10,$AG376*IF($AB376=12,IF($AG376&lt;IF($D$4="Forint",Paraméterek!$L$223,Paraméterek!$L$224),0,VLOOKUP($AA376,Paraméterek!$K$226:$M$228,IF($AG376&lt;IF($D$4="Forint",Paraméterek!$M$223,Paraméterek!$M$224),2,3))),0),0)</f>
        <v>0</v>
      </c>
      <c r="AI376" s="13">
        <f ca="1">IF(AND($AA376=$M$11+1,$AB376=$M$12+1),SUMIF($AA$20:$AA$1027,$AA376,$AG$20:$AG$1027)*IF(SUMIF($AA$20:$AA$1027,$AA376,$AG$20:$AG$1027)&lt;IF($D$4="Forint",Paraméterek!$L$223,Paraméterek!$L$224),0,VLOOKUP($AA376,Paraméterek!$K$230:$M$250,IF(SUMIF($AA$20:$AA$1027,$AA376,$AG$20:$AG$1027)&lt;IF($D$4="Forint",Paraméterek!$M$223,Paraméterek!$M$224),2,3))),0)</f>
        <v>0</v>
      </c>
      <c r="AJ376" s="13">
        <f ca="1">IF(AND($AA376&gt;=5,MOD($AA376,5)=0),IF($AB376=12,VLOOKUP($AA376,Paraméterek!$O$225:$P$240,2),0),IF(OR($AA376=3,$AA376=4),IF($AB376=12,VLOOKUP($AA376,Paraméterek!$O$225:$P$240,2,0),0),0))*$AG376</f>
        <v>0</v>
      </c>
      <c r="AK376" s="13">
        <f t="shared" ca="1" si="119"/>
        <v>0</v>
      </c>
      <c r="AL376" s="13">
        <f t="shared" ca="1" si="127"/>
        <v>0</v>
      </c>
      <c r="AM376" s="13">
        <f t="shared" ca="1" si="128"/>
        <v>0</v>
      </c>
      <c r="AO376" s="32">
        <v>357</v>
      </c>
      <c r="AP376" s="32">
        <v>30</v>
      </c>
      <c r="AQ376" s="32">
        <v>9</v>
      </c>
      <c r="AR376" s="13"/>
      <c r="AS376" s="32"/>
      <c r="AT376" s="13">
        <f t="shared" ca="1" si="129"/>
        <v>0</v>
      </c>
      <c r="AU376" s="33"/>
      <c r="AV376" s="13">
        <f t="shared" ca="1" si="120"/>
        <v>0</v>
      </c>
      <c r="AW376" s="13">
        <f ca="1">ROUNDUP(($AT376+$AV376)*VLOOKUP($AP376,Paraméterek!$P$38:$Q$38,2)/12*IF($D377="Nem",IF($M$13=0,1,$M$13),1),IF($D$4="Forint",0,2))</f>
        <v>0</v>
      </c>
      <c r="AX376" s="13"/>
      <c r="AY376" s="13"/>
      <c r="AZ376" s="13">
        <f>ROUNDUP(IF(SUM($AX376:$AY376)=0,0,IF(IF(ISBLANK($AY376),$AX376,$AY376)*Paraméterek!$J$112&lt;IF($D$4="Forint",Paraméterek!$J$113,Paraméterek!$K$113),IF($D$4="Forint",Paraméterek!$J$113,Paraméterek!$K$113),IF(IF(ISBLANK($AY376),$AX376,$AY376)*Paraméterek!$J$112&gt;IF($D$4="Forint",Paraméterek!$J$114,Paraméterek!$K$114),IF($D$4="Forint",Paraméterek!$J$114,Paraméterek!$K$114),IF(ISBLANK($AY376),$AX376,$AY376)*Paraméterek!$J$112))),IF($D$4="Forint",0,2))</f>
        <v>0</v>
      </c>
      <c r="BA376" s="13">
        <f ca="1">$AT376+$AV376-$AW376-IF(ROUNDDOWN(IF(ISBLANK($AY376),$AX376,$AY376),IF($D$4="Forint",0,2))&gt;$AT376+$AV376-$AW376-IF($D$4="Forint",Paraméterek!$J$114,Paraméterek!$K$114),0,ROUNDDOWN(IF(ISBLANK($AY376),$AX376,$AY376),IF($D$4="Forint",0,2))-$AZ376)</f>
        <v>0</v>
      </c>
      <c r="BB376" s="13">
        <f t="shared" ca="1" si="121"/>
        <v>0</v>
      </c>
      <c r="BD376" s="32">
        <v>357</v>
      </c>
      <c r="BE376" s="32">
        <v>30</v>
      </c>
      <c r="BF376" s="32">
        <v>9</v>
      </c>
      <c r="BG376" s="34">
        <f t="shared" ca="1" si="130"/>
        <v>2049</v>
      </c>
      <c r="BH376" s="32" t="str">
        <f ca="1">IF(MOD(MONTH($D$14)+$BD376-1,12)=Paraméterek!$C$288,"Igen","")</f>
        <v/>
      </c>
      <c r="BI376" s="13">
        <f ca="1">IF($BH376="Igen",MIN(ROUNDDOWN((SUMIF($BG$20:$BG$1027,$BG376-1,$K$20:$K$1027)-SUMIF($BG$20:$BG$1027,$BG376-1,$I$20:$I$1027))*Paraméterek!$C$289,IF($D$4="Forint",0,2)),IF($D$4="Forint",Paraméterek!$C$285,Paraméterek!$D$285)),0)</f>
        <v>0</v>
      </c>
      <c r="BJ376" s="13">
        <f t="shared" ca="1" si="122"/>
        <v>0</v>
      </c>
      <c r="BK376" s="13">
        <f t="shared" ca="1" si="131"/>
        <v>0</v>
      </c>
      <c r="BL376" s="33"/>
      <c r="BM376" s="13">
        <f t="shared" ca="1" si="123"/>
        <v>0</v>
      </c>
      <c r="BN376" s="13">
        <f ca="1">ROUNDUP(($BK376+$BM376)*VLOOKUP($BE376,Paraméterek!$P$38:$Q$38,2)/12*IF($D377="Nem",IF($M$13=0,1,$M$13),1),IF($D$4="Forint",0,2))</f>
        <v>0</v>
      </c>
      <c r="BO376" s="13">
        <f t="shared" ca="1" si="124"/>
        <v>0</v>
      </c>
      <c r="BP376" s="13">
        <f ca="1">IF($D377="Nem",$BO376,$BO376-ROUNDUP(SUM($BI$20:$BI376)*120%,IF($D$4="Forint",0,2)))</f>
        <v>0</v>
      </c>
    </row>
    <row r="377" spans="1:68" x14ac:dyDescent="0.2">
      <c r="A377" s="32">
        <v>358</v>
      </c>
      <c r="B377" s="32">
        <v>30</v>
      </c>
      <c r="C377" s="32">
        <v>10</v>
      </c>
      <c r="D377" s="32" t="str">
        <f t="shared" ca="1" si="110"/>
        <v>Nem</v>
      </c>
      <c r="E377" s="13">
        <f t="shared" ca="1" si="111"/>
        <v>0</v>
      </c>
      <c r="F377" s="13"/>
      <c r="G377" s="13"/>
      <c r="H377" s="13"/>
      <c r="I377" s="13">
        <f t="shared" ca="1" si="112"/>
        <v>0</v>
      </c>
      <c r="J377" s="13">
        <f t="shared" ca="1" si="113"/>
        <v>0</v>
      </c>
      <c r="K377" s="13">
        <f t="shared" ca="1" si="114"/>
        <v>0</v>
      </c>
      <c r="L377" s="13" t="e">
        <f ca="1">ROUNDUP(IF($D$2="Egyszeri",$E377,IF($D$2="Havi",SUM($E$20:$E$31),IF(MOD($C377,$M$1)-1=0,SUM($E$20:$E$31),0))/12*$M$1)*VLOOKUP($B377,Paraméterek!$I$28:$P$31,IF($D$2="Egyszeri",8,HLOOKUP(ROUNDUP($M$11+$M$13,0),Paraméterek!$J$26:$O$27,2))),IF($D$4="Forint",0,2))</f>
        <v>#N/A</v>
      </c>
      <c r="M377" s="13">
        <f t="shared" ca="1" si="115"/>
        <v>0</v>
      </c>
      <c r="N377" s="13">
        <f t="shared" ca="1" si="125"/>
        <v>0</v>
      </c>
      <c r="O377" s="13">
        <f ca="1">IF($D377="Igen",IF($W376&gt;=IF($D$4="Forint",Paraméterek!$J$121,Paraméterek!$K$121),0,IF($D$4="Forint",Paraméterek!$J$121,Paraméterek!$K$121)-$W376),0)</f>
        <v>0</v>
      </c>
      <c r="P377" s="13" t="e">
        <f ca="1">ROUNDUP($O377*VLOOKUP($M$4+$B377-1,Paraméterek!$H$58:$I$105,2,0)/Paraméterek!$I$56,IF($D$4="Forint",0,2))</f>
        <v>#N/A</v>
      </c>
      <c r="Q377" s="13">
        <f t="shared" ca="1" si="116"/>
        <v>0</v>
      </c>
      <c r="R377" s="33"/>
      <c r="S377" s="13" t="e">
        <f t="shared" ca="1" si="117"/>
        <v>#N/A</v>
      </c>
      <c r="T377" s="13" t="e">
        <f ca="1">ROUNDUP(($N377-$P377-$Q377+$S377)*VLOOKUP($B377,Paraméterek!$I$38:$K$39,IF($D$2="Egyszeri",3,2))/12*IF($D378="Nem",IF($M$13=0,1,$M$13),1),IF($D$4="Forint",0,2))</f>
        <v>#N/A</v>
      </c>
      <c r="U377" s="13"/>
      <c r="V377" s="13"/>
      <c r="W377" s="13" t="e">
        <f ca="1">$N377-$P377-$Q377+$S377-$T377-IF(ROUNDUP(IF(ISBLANK($V377),$U377*0,$V377)/IF($D$2="Egyszeri",VLOOKUP($B377+IF($C377=12,1,0),Paraméterek!$V$257:$W$262,2),IF($B377=1,1,VLOOKUP($B377+IF($C377=12,1,0),Paraméterek!$I$258:$T$278,HLOOKUP($M$11+1,Paraméterek!$J$256:$T$257,2)))),IF($D$4="Forint",0,2))&gt;$N377-$P377-$Q377+$S377-$T377-IF($D$4="Forint",Paraméterek!$C$216,Paraméterek!$D$216),0,ROUNDUP(IF(ISBLANK($V377),$U377*0,$V377)/IF($D$2="Egyszeri",VLOOKUP($B377+IF($C377=12,1,0),Paraméterek!$V$257:$W$262,2),IF($B377=1,1,VLOOKUP($B377+IF($C377=12,1,0),Paraméterek!$I$258:$T$278,HLOOKUP($M$11+1,Paraméterek!$J$256:$T$257,2)))),IF($D$4="Forint",0,2)))</f>
        <v>#N/A</v>
      </c>
      <c r="X377" s="13" t="e">
        <f ca="1">ROUNDDOWN($W377*IF($D$2="Egyszeri",VLOOKUP($B377+IF($C377=12,1,0),Paraméterek!$V$257:$W$262,2),VLOOKUP($B377+IF($C377=12,1,0),Paraméterek!$I$258:$T$278,HLOOKUP($M$11+1,Paraméterek!$I$256:$T$257,2))),IF($D$4="Forint",0,2))</f>
        <v>#N/A</v>
      </c>
      <c r="Z377" s="32">
        <v>358</v>
      </c>
      <c r="AA377" s="32">
        <v>30</v>
      </c>
      <c r="AB377" s="32">
        <v>10</v>
      </c>
      <c r="AC377" s="13">
        <f t="shared" ca="1" si="126"/>
        <v>0</v>
      </c>
      <c r="AD377" s="33"/>
      <c r="AE377" s="13">
        <f t="shared" ca="1" si="118"/>
        <v>0</v>
      </c>
      <c r="AF377" s="13">
        <f ca="1">ROUNDUP(($AC377+$AE377)*VLOOKUP($AA377,Paraméterek!$P$38:$Q$38,2)/12*IF($D378="Nem",IF($M$13=0,1,$M$13),1),IF($D$4="Forint",0,2))</f>
        <v>0</v>
      </c>
      <c r="AG377" s="13">
        <f ca="1">IF($D$2="Egyszeri",IF($D$7&gt;=IF($D$4="Forint",Paraméterek!$P$223,Paraméterek!$P$224),$D$7-IF($D$4="Forint",Paraméterek!$P$223,Paraméterek!$P$224),0),MIN(IF($AB377=12,AVERAGEIF($E$20:$E377,"&gt;0",$E$20:$E377)*12,0),SUM($E$20:$E$31)))</f>
        <v>0</v>
      </c>
      <c r="AH377" s="13">
        <f>IF($AA377=10,$AG377*IF($AB377=12,IF($AG377&lt;IF($D$4="Forint",Paraméterek!$L$223,Paraméterek!$L$224),0,VLOOKUP($AA377,Paraméterek!$K$226:$M$228,IF($AG377&lt;IF($D$4="Forint",Paraméterek!$M$223,Paraméterek!$M$224),2,3))),0),0)</f>
        <v>0</v>
      </c>
      <c r="AI377" s="13">
        <f ca="1">IF(AND($AA377=$M$11+1,$AB377=$M$12+1),SUMIF($AA$20:$AA$1027,$AA377,$AG$20:$AG$1027)*IF(SUMIF($AA$20:$AA$1027,$AA377,$AG$20:$AG$1027)&lt;IF($D$4="Forint",Paraméterek!$L$223,Paraméterek!$L$224),0,VLOOKUP($AA377,Paraméterek!$K$230:$M$250,IF(SUMIF($AA$20:$AA$1027,$AA377,$AG$20:$AG$1027)&lt;IF($D$4="Forint",Paraméterek!$M$223,Paraméterek!$M$224),2,3))),0)</f>
        <v>0</v>
      </c>
      <c r="AJ377" s="13">
        <f ca="1">IF(AND($AA377&gt;=5,MOD($AA377,5)=0),IF($AB377=12,VLOOKUP($AA377,Paraméterek!$O$225:$P$240,2),0),IF(OR($AA377=3,$AA377=4),IF($AB377=12,VLOOKUP($AA377,Paraméterek!$O$225:$P$240,2,0),0),0))*$AG377</f>
        <v>0</v>
      </c>
      <c r="AK377" s="13">
        <f t="shared" ca="1" si="119"/>
        <v>0</v>
      </c>
      <c r="AL377" s="13">
        <f t="shared" ca="1" si="127"/>
        <v>0</v>
      </c>
      <c r="AM377" s="13">
        <f t="shared" ca="1" si="128"/>
        <v>0</v>
      </c>
      <c r="AO377" s="32">
        <v>358</v>
      </c>
      <c r="AP377" s="32">
        <v>30</v>
      </c>
      <c r="AQ377" s="32">
        <v>10</v>
      </c>
      <c r="AR377" s="13"/>
      <c r="AS377" s="32"/>
      <c r="AT377" s="13">
        <f t="shared" ca="1" si="129"/>
        <v>0</v>
      </c>
      <c r="AU377" s="33"/>
      <c r="AV377" s="13">
        <f t="shared" ca="1" si="120"/>
        <v>0</v>
      </c>
      <c r="AW377" s="13">
        <f ca="1">ROUNDUP(($AT377+$AV377)*VLOOKUP($AP377,Paraméterek!$P$38:$Q$38,2)/12*IF($D378="Nem",IF($M$13=0,1,$M$13),1),IF($D$4="Forint",0,2))</f>
        <v>0</v>
      </c>
      <c r="AX377" s="13"/>
      <c r="AY377" s="13"/>
      <c r="AZ377" s="13">
        <f>ROUNDUP(IF(SUM($AX377:$AY377)=0,0,IF(IF(ISBLANK($AY377),$AX377,$AY377)*Paraméterek!$J$112&lt;IF($D$4="Forint",Paraméterek!$J$113,Paraméterek!$K$113),IF($D$4="Forint",Paraméterek!$J$113,Paraméterek!$K$113),IF(IF(ISBLANK($AY377),$AX377,$AY377)*Paraméterek!$J$112&gt;IF($D$4="Forint",Paraméterek!$J$114,Paraméterek!$K$114),IF($D$4="Forint",Paraméterek!$J$114,Paraméterek!$K$114),IF(ISBLANK($AY377),$AX377,$AY377)*Paraméterek!$J$112))),IF($D$4="Forint",0,2))</f>
        <v>0</v>
      </c>
      <c r="BA377" s="13">
        <f ca="1">$AT377+$AV377-$AW377-IF(ROUNDDOWN(IF(ISBLANK($AY377),$AX377,$AY377),IF($D$4="Forint",0,2))&gt;$AT377+$AV377-$AW377-IF($D$4="Forint",Paraméterek!$J$114,Paraméterek!$K$114),0,ROUNDDOWN(IF(ISBLANK($AY377),$AX377,$AY377),IF($D$4="Forint",0,2))-$AZ377)</f>
        <v>0</v>
      </c>
      <c r="BB377" s="13">
        <f t="shared" ca="1" si="121"/>
        <v>0</v>
      </c>
      <c r="BD377" s="32">
        <v>358</v>
      </c>
      <c r="BE377" s="32">
        <v>30</v>
      </c>
      <c r="BF377" s="32">
        <v>10</v>
      </c>
      <c r="BG377" s="34">
        <f t="shared" ca="1" si="130"/>
        <v>2049</v>
      </c>
      <c r="BH377" s="32" t="str">
        <f ca="1">IF(MOD(MONTH($D$14)+$BD377-1,12)=Paraméterek!$C$288,"Igen","")</f>
        <v/>
      </c>
      <c r="BI377" s="13">
        <f ca="1">IF($BH377="Igen",MIN(ROUNDDOWN((SUMIF($BG$20:$BG$1027,$BG377-1,$K$20:$K$1027)-SUMIF($BG$20:$BG$1027,$BG377-1,$I$20:$I$1027))*Paraméterek!$C$289,IF($D$4="Forint",0,2)),IF($D$4="Forint",Paraméterek!$C$285,Paraméterek!$D$285)),0)</f>
        <v>0</v>
      </c>
      <c r="BJ377" s="13">
        <f t="shared" ca="1" si="122"/>
        <v>0</v>
      </c>
      <c r="BK377" s="13">
        <f t="shared" ca="1" si="131"/>
        <v>0</v>
      </c>
      <c r="BL377" s="33"/>
      <c r="BM377" s="13">
        <f t="shared" ca="1" si="123"/>
        <v>0</v>
      </c>
      <c r="BN377" s="13">
        <f ca="1">ROUNDUP(($BK377+$BM377)*VLOOKUP($BE377,Paraméterek!$P$38:$Q$38,2)/12*IF($D378="Nem",IF($M$13=0,1,$M$13),1),IF($D$4="Forint",0,2))</f>
        <v>0</v>
      </c>
      <c r="BO377" s="13">
        <f t="shared" ca="1" si="124"/>
        <v>0</v>
      </c>
      <c r="BP377" s="13">
        <f ca="1">IF($D378="Nem",$BO377,$BO377-ROUNDUP(SUM($BI$20:$BI377)*120%,IF($D$4="Forint",0,2)))</f>
        <v>0</v>
      </c>
    </row>
    <row r="378" spans="1:68" x14ac:dyDescent="0.2">
      <c r="A378" s="32">
        <v>359</v>
      </c>
      <c r="B378" s="32">
        <v>30</v>
      </c>
      <c r="C378" s="32">
        <v>11</v>
      </c>
      <c r="D378" s="32" t="str">
        <f t="shared" ca="1" si="110"/>
        <v>Nem</v>
      </c>
      <c r="E378" s="13">
        <f t="shared" ca="1" si="111"/>
        <v>0</v>
      </c>
      <c r="F378" s="13"/>
      <c r="G378" s="13"/>
      <c r="H378" s="13"/>
      <c r="I378" s="13">
        <f t="shared" ca="1" si="112"/>
        <v>0</v>
      </c>
      <c r="J378" s="13">
        <f t="shared" ca="1" si="113"/>
        <v>0</v>
      </c>
      <c r="K378" s="13">
        <f t="shared" ca="1" si="114"/>
        <v>0</v>
      </c>
      <c r="L378" s="13" t="e">
        <f ca="1">ROUNDUP(IF($D$2="Egyszeri",$E378,IF($D$2="Havi",SUM($E$20:$E$31),IF(MOD($C378,$M$1)-1=0,SUM($E$20:$E$31),0))/12*$M$1)*VLOOKUP($B378,Paraméterek!$I$28:$P$31,IF($D$2="Egyszeri",8,HLOOKUP(ROUNDUP($M$11+$M$13,0),Paraméterek!$J$26:$O$27,2))),IF($D$4="Forint",0,2))</f>
        <v>#N/A</v>
      </c>
      <c r="M378" s="13">
        <f t="shared" ca="1" si="115"/>
        <v>0</v>
      </c>
      <c r="N378" s="13">
        <f t="shared" ca="1" si="125"/>
        <v>0</v>
      </c>
      <c r="O378" s="13">
        <f ca="1">IF($D378="Igen",IF($W377&gt;=IF($D$4="Forint",Paraméterek!$J$121,Paraméterek!$K$121),0,IF($D$4="Forint",Paraméterek!$J$121,Paraméterek!$K$121)-$W377),0)</f>
        <v>0</v>
      </c>
      <c r="P378" s="13" t="e">
        <f ca="1">ROUNDUP($O378*VLOOKUP($M$4+$B378-1,Paraméterek!$H$58:$I$105,2,0)/Paraméterek!$I$56,IF($D$4="Forint",0,2))</f>
        <v>#N/A</v>
      </c>
      <c r="Q378" s="13">
        <f t="shared" ca="1" si="116"/>
        <v>0</v>
      </c>
      <c r="R378" s="33"/>
      <c r="S378" s="13" t="e">
        <f t="shared" ca="1" si="117"/>
        <v>#N/A</v>
      </c>
      <c r="T378" s="13" t="e">
        <f ca="1">ROUNDUP(($N378-$P378-$Q378+$S378)*VLOOKUP($B378,Paraméterek!$I$38:$K$39,IF($D$2="Egyszeri",3,2))/12*IF($D379="Nem",IF($M$13=0,1,$M$13),1),IF($D$4="Forint",0,2))</f>
        <v>#N/A</v>
      </c>
      <c r="U378" s="13"/>
      <c r="V378" s="13"/>
      <c r="W378" s="13" t="e">
        <f ca="1">$N378-$P378-$Q378+$S378-$T378-IF(ROUNDUP(IF(ISBLANK($V378),$U378*0,$V378)/IF($D$2="Egyszeri",VLOOKUP($B378+IF($C378=12,1,0),Paraméterek!$V$257:$W$262,2),IF($B378=1,1,VLOOKUP($B378+IF($C378=12,1,0),Paraméterek!$I$258:$T$278,HLOOKUP($M$11+1,Paraméterek!$J$256:$T$257,2)))),IF($D$4="Forint",0,2))&gt;$N378-$P378-$Q378+$S378-$T378-IF($D$4="Forint",Paraméterek!$C$216,Paraméterek!$D$216),0,ROUNDUP(IF(ISBLANK($V378),$U378*0,$V378)/IF($D$2="Egyszeri",VLOOKUP($B378+IF($C378=12,1,0),Paraméterek!$V$257:$W$262,2),IF($B378=1,1,VLOOKUP($B378+IF($C378=12,1,0),Paraméterek!$I$258:$T$278,HLOOKUP($M$11+1,Paraméterek!$J$256:$T$257,2)))),IF($D$4="Forint",0,2)))</f>
        <v>#N/A</v>
      </c>
      <c r="X378" s="13" t="e">
        <f ca="1">ROUNDDOWN($W378*IF($D$2="Egyszeri",VLOOKUP($B378+IF($C378=12,1,0),Paraméterek!$V$257:$W$262,2),VLOOKUP($B378+IF($C378=12,1,0),Paraméterek!$I$258:$T$278,HLOOKUP($M$11+1,Paraméterek!$I$256:$T$257,2))),IF($D$4="Forint",0,2))</f>
        <v>#N/A</v>
      </c>
      <c r="Z378" s="32">
        <v>359</v>
      </c>
      <c r="AA378" s="32">
        <v>30</v>
      </c>
      <c r="AB378" s="32">
        <v>11</v>
      </c>
      <c r="AC378" s="13">
        <f t="shared" ca="1" si="126"/>
        <v>0</v>
      </c>
      <c r="AD378" s="33"/>
      <c r="AE378" s="13">
        <f t="shared" ca="1" si="118"/>
        <v>0</v>
      </c>
      <c r="AF378" s="13">
        <f ca="1">ROUNDUP(($AC378+$AE378)*VLOOKUP($AA378,Paraméterek!$P$38:$Q$38,2)/12*IF($D379="Nem",IF($M$13=0,1,$M$13),1),IF($D$4="Forint",0,2))</f>
        <v>0</v>
      </c>
      <c r="AG378" s="13">
        <f ca="1">IF($D$2="Egyszeri",IF($D$7&gt;=IF($D$4="Forint",Paraméterek!$P$223,Paraméterek!$P$224),$D$7-IF($D$4="Forint",Paraméterek!$P$223,Paraméterek!$P$224),0),MIN(IF($AB378=12,AVERAGEIF($E$20:$E378,"&gt;0",$E$20:$E378)*12,0),SUM($E$20:$E$31)))</f>
        <v>0</v>
      </c>
      <c r="AH378" s="13">
        <f>IF($AA378=10,$AG378*IF($AB378=12,IF($AG378&lt;IF($D$4="Forint",Paraméterek!$L$223,Paraméterek!$L$224),0,VLOOKUP($AA378,Paraméterek!$K$226:$M$228,IF($AG378&lt;IF($D$4="Forint",Paraméterek!$M$223,Paraméterek!$M$224),2,3))),0),0)</f>
        <v>0</v>
      </c>
      <c r="AI378" s="13">
        <f ca="1">IF(AND($AA378=$M$11+1,$AB378=$M$12+1),SUMIF($AA$20:$AA$1027,$AA378,$AG$20:$AG$1027)*IF(SUMIF($AA$20:$AA$1027,$AA378,$AG$20:$AG$1027)&lt;IF($D$4="Forint",Paraméterek!$L$223,Paraméterek!$L$224),0,VLOOKUP($AA378,Paraméterek!$K$230:$M$250,IF(SUMIF($AA$20:$AA$1027,$AA378,$AG$20:$AG$1027)&lt;IF($D$4="Forint",Paraméterek!$M$223,Paraméterek!$M$224),2,3))),0)</f>
        <v>0</v>
      </c>
      <c r="AJ378" s="13">
        <f ca="1">IF(AND($AA378&gt;=5,MOD($AA378,5)=0),IF($AB378=12,VLOOKUP($AA378,Paraméterek!$O$225:$P$240,2),0),IF(OR($AA378=3,$AA378=4),IF($AB378=12,VLOOKUP($AA378,Paraméterek!$O$225:$P$240,2,0),0),0))*$AG378</f>
        <v>0</v>
      </c>
      <c r="AK378" s="13">
        <f t="shared" ca="1" si="119"/>
        <v>0</v>
      </c>
      <c r="AL378" s="13">
        <f t="shared" ca="1" si="127"/>
        <v>0</v>
      </c>
      <c r="AM378" s="13">
        <f t="shared" ca="1" si="128"/>
        <v>0</v>
      </c>
      <c r="AO378" s="32">
        <v>359</v>
      </c>
      <c r="AP378" s="32">
        <v>30</v>
      </c>
      <c r="AQ378" s="32">
        <v>11</v>
      </c>
      <c r="AR378" s="13"/>
      <c r="AS378" s="32"/>
      <c r="AT378" s="13">
        <f t="shared" ca="1" si="129"/>
        <v>0</v>
      </c>
      <c r="AU378" s="33"/>
      <c r="AV378" s="13">
        <f t="shared" ca="1" si="120"/>
        <v>0</v>
      </c>
      <c r="AW378" s="13">
        <f ca="1">ROUNDUP(($AT378+$AV378)*VLOOKUP($AP378,Paraméterek!$P$38:$Q$38,2)/12*IF($D379="Nem",IF($M$13=0,1,$M$13),1),IF($D$4="Forint",0,2))</f>
        <v>0</v>
      </c>
      <c r="AX378" s="13"/>
      <c r="AY378" s="13"/>
      <c r="AZ378" s="13">
        <f>ROUNDUP(IF(SUM($AX378:$AY378)=0,0,IF(IF(ISBLANK($AY378),$AX378,$AY378)*Paraméterek!$J$112&lt;IF($D$4="Forint",Paraméterek!$J$113,Paraméterek!$K$113),IF($D$4="Forint",Paraméterek!$J$113,Paraméterek!$K$113),IF(IF(ISBLANK($AY378),$AX378,$AY378)*Paraméterek!$J$112&gt;IF($D$4="Forint",Paraméterek!$J$114,Paraméterek!$K$114),IF($D$4="Forint",Paraméterek!$J$114,Paraméterek!$K$114),IF(ISBLANK($AY378),$AX378,$AY378)*Paraméterek!$J$112))),IF($D$4="Forint",0,2))</f>
        <v>0</v>
      </c>
      <c r="BA378" s="13">
        <f ca="1">$AT378+$AV378-$AW378-IF(ROUNDDOWN(IF(ISBLANK($AY378),$AX378,$AY378),IF($D$4="Forint",0,2))&gt;$AT378+$AV378-$AW378-IF($D$4="Forint",Paraméterek!$J$114,Paraméterek!$K$114),0,ROUNDDOWN(IF(ISBLANK($AY378),$AX378,$AY378),IF($D$4="Forint",0,2))-$AZ378)</f>
        <v>0</v>
      </c>
      <c r="BB378" s="13">
        <f t="shared" ca="1" si="121"/>
        <v>0</v>
      </c>
      <c r="BD378" s="32">
        <v>359</v>
      </c>
      <c r="BE378" s="32">
        <v>30</v>
      </c>
      <c r="BF378" s="32">
        <v>11</v>
      </c>
      <c r="BG378" s="34">
        <f t="shared" ca="1" si="130"/>
        <v>2049</v>
      </c>
      <c r="BH378" s="32" t="str">
        <f ca="1">IF(MOD(MONTH($D$14)+$BD378-1,12)=Paraméterek!$C$288,"Igen","")</f>
        <v/>
      </c>
      <c r="BI378" s="13">
        <f ca="1">IF($BH378="Igen",MIN(ROUNDDOWN((SUMIF($BG$20:$BG$1027,$BG378-1,$K$20:$K$1027)-SUMIF($BG$20:$BG$1027,$BG378-1,$I$20:$I$1027))*Paraméterek!$C$289,IF($D$4="Forint",0,2)),IF($D$4="Forint",Paraméterek!$C$285,Paraméterek!$D$285)),0)</f>
        <v>0</v>
      </c>
      <c r="BJ378" s="13">
        <f t="shared" ca="1" si="122"/>
        <v>0</v>
      </c>
      <c r="BK378" s="13">
        <f t="shared" ca="1" si="131"/>
        <v>0</v>
      </c>
      <c r="BL378" s="33"/>
      <c r="BM378" s="13">
        <f t="shared" ca="1" si="123"/>
        <v>0</v>
      </c>
      <c r="BN378" s="13">
        <f ca="1">ROUNDUP(($BK378+$BM378)*VLOOKUP($BE378,Paraméterek!$P$38:$Q$38,2)/12*IF($D379="Nem",IF($M$13=0,1,$M$13),1),IF($D$4="Forint",0,2))</f>
        <v>0</v>
      </c>
      <c r="BO378" s="13">
        <f t="shared" ca="1" si="124"/>
        <v>0</v>
      </c>
      <c r="BP378" s="13">
        <f ca="1">IF($D379="Nem",$BO378,$BO378-ROUNDUP(SUM($BI$20:$BI378)*120%,IF($D$4="Forint",0,2)))</f>
        <v>0</v>
      </c>
    </row>
    <row r="379" spans="1:68" x14ac:dyDescent="0.2">
      <c r="A379" s="32">
        <v>360</v>
      </c>
      <c r="B379" s="32">
        <v>30</v>
      </c>
      <c r="C379" s="32">
        <v>12</v>
      </c>
      <c r="D379" s="32" t="str">
        <f t="shared" ca="1" si="110"/>
        <v>Nem</v>
      </c>
      <c r="E379" s="13">
        <f t="shared" ca="1" si="111"/>
        <v>0</v>
      </c>
      <c r="F379" s="13"/>
      <c r="G379" s="13"/>
      <c r="H379" s="13"/>
      <c r="I379" s="13">
        <f t="shared" ca="1" si="112"/>
        <v>0</v>
      </c>
      <c r="J379" s="13">
        <f t="shared" ca="1" si="113"/>
        <v>0</v>
      </c>
      <c r="K379" s="13">
        <f t="shared" ca="1" si="114"/>
        <v>0</v>
      </c>
      <c r="L379" s="13" t="e">
        <f ca="1">ROUNDUP(IF($D$2="Egyszeri",$E379,IF($D$2="Havi",SUM($E$20:$E$31),IF(MOD($C379,$M$1)-1=0,SUM($E$20:$E$31),0))/12*$M$1)*VLOOKUP($B379,Paraméterek!$I$28:$P$31,IF($D$2="Egyszeri",8,HLOOKUP(ROUNDUP($M$11+$M$13,0),Paraméterek!$J$26:$O$27,2))),IF($D$4="Forint",0,2))</f>
        <v>#N/A</v>
      </c>
      <c r="M379" s="13">
        <f t="shared" ca="1" si="115"/>
        <v>0</v>
      </c>
      <c r="N379" s="13">
        <f t="shared" ca="1" si="125"/>
        <v>0</v>
      </c>
      <c r="O379" s="13">
        <f ca="1">IF($D379="Igen",IF($W378&gt;=IF($D$4="Forint",Paraméterek!$J$121,Paraméterek!$K$121),0,IF($D$4="Forint",Paraméterek!$J$121,Paraméterek!$K$121)-$W378),0)</f>
        <v>0</v>
      </c>
      <c r="P379" s="13" t="e">
        <f ca="1">ROUNDUP($O379*VLOOKUP($M$4+$B379-1,Paraméterek!$H$58:$I$105,2,0)/Paraméterek!$I$56,IF($D$4="Forint",0,2))</f>
        <v>#N/A</v>
      </c>
      <c r="Q379" s="13">
        <f t="shared" ca="1" si="116"/>
        <v>0</v>
      </c>
      <c r="R379" s="33"/>
      <c r="S379" s="13" t="e">
        <f t="shared" ca="1" si="117"/>
        <v>#N/A</v>
      </c>
      <c r="T379" s="13" t="e">
        <f ca="1">ROUNDUP(($N379-$P379-$Q379+$S379)*VLOOKUP($B379,Paraméterek!$I$38:$K$39,IF($D$2="Egyszeri",3,2))/12*IF($D380="Nem",IF($M$13=0,1,$M$13),1),IF($D$4="Forint",0,2))</f>
        <v>#N/A</v>
      </c>
      <c r="U379" s="13">
        <f>Tranzakciók!$F$61</f>
        <v>0</v>
      </c>
      <c r="V379" s="13"/>
      <c r="W379" s="13" t="e">
        <f ca="1">$N379-$P379-$Q379+$S379-$T379-IF(ROUNDUP(IF(ISBLANK($V379),$U379*0,$V379)/IF($D$2="Egyszeri",VLOOKUP($B379+IF($C379=12,1,0),Paraméterek!$V$257:$W$262,2),IF($B379=1,1,VLOOKUP($B379+IF($C379=12,1,0),Paraméterek!$I$258:$T$278,HLOOKUP($M$11+1,Paraméterek!$J$256:$T$257,2)))),IF($D$4="Forint",0,2))&gt;$N379-$P379-$Q379+$S379-$T379-IF($D$4="Forint",Paraméterek!$C$216,Paraméterek!$D$216),0,ROUNDUP(IF(ISBLANK($V379),$U379*0,$V379)/IF($D$2="Egyszeri",VLOOKUP($B379+IF($C379=12,1,0),Paraméterek!$V$257:$W$262,2),IF($B379=1,1,VLOOKUP($B379+IF($C379=12,1,0),Paraméterek!$I$258:$T$278,HLOOKUP($M$11+1,Paraméterek!$J$256:$T$257,2)))),IF($D$4="Forint",0,2)))</f>
        <v>#N/A</v>
      </c>
      <c r="X379" s="13" t="e">
        <f ca="1">ROUNDDOWN($W379*IF($D$2="Egyszeri",VLOOKUP($B379+IF($C379=12,1,0),Paraméterek!$V$257:$W$262,2),VLOOKUP($B379+IF($C379=12,1,0),Paraméterek!$I$258:$T$278,HLOOKUP($M$11+1,Paraméterek!$I$256:$T$257,2))),IF($D$4="Forint",0,2))</f>
        <v>#N/A</v>
      </c>
      <c r="Z379" s="32">
        <v>360</v>
      </c>
      <c r="AA379" s="32">
        <v>30</v>
      </c>
      <c r="AB379" s="32">
        <v>12</v>
      </c>
      <c r="AC379" s="13">
        <f t="shared" ca="1" si="126"/>
        <v>0</v>
      </c>
      <c r="AD379" s="33"/>
      <c r="AE379" s="13">
        <f t="shared" ca="1" si="118"/>
        <v>0</v>
      </c>
      <c r="AF379" s="13">
        <f ca="1">ROUNDUP(($AC379+$AE379)*VLOOKUP($AA379,Paraméterek!$P$38:$Q$38,2)/12*IF($D380="Nem",IF($M$13=0,1,$M$13),1),IF($D$4="Forint",0,2))</f>
        <v>0</v>
      </c>
      <c r="AG379" s="13" t="e">
        <f ca="1">IF($D$2="Egyszeri",IF($D$7&gt;=IF($D$4="Forint",Paraméterek!$P$223,Paraméterek!$P$224),$D$7-IF($D$4="Forint",Paraméterek!$P$223,Paraméterek!$P$224),0),MIN(IF($AB379=12,AVERAGEIF($E$20:$E379,"&gt;0",$E$20:$E379)*12,0),SUM($E$20:$E$31)))</f>
        <v>#DIV/0!</v>
      </c>
      <c r="AH379" s="13">
        <f>IF($AA379=10,$AG379*IF($AB379=12,IF($AG379&lt;IF($D$4="Forint",Paraméterek!$L$223,Paraméterek!$L$224),0,VLOOKUP($AA379,Paraméterek!$K$226:$M$228,IF($AG379&lt;IF($D$4="Forint",Paraméterek!$M$223,Paraméterek!$M$224),2,3))),0),0)</f>
        <v>0</v>
      </c>
      <c r="AI379" s="13">
        <f ca="1">IF(AND($AA379=$M$11+1,$AB379=$M$12+1),SUMIF($AA$20:$AA$1027,$AA379,$AG$20:$AG$1027)*IF(SUMIF($AA$20:$AA$1027,$AA379,$AG$20:$AG$1027)&lt;IF($D$4="Forint",Paraméterek!$L$223,Paraméterek!$L$224),0,VLOOKUP($AA379,Paraméterek!$K$230:$M$250,IF(SUMIF($AA$20:$AA$1027,$AA379,$AG$20:$AG$1027)&lt;IF($D$4="Forint",Paraméterek!$M$223,Paraméterek!$M$224),2,3))),0)</f>
        <v>0</v>
      </c>
      <c r="AJ379" s="13" t="e">
        <f ca="1">IF(AND($AA379&gt;=5,MOD($AA379,5)=0),IF($AB379=12,VLOOKUP($AA379,Paraméterek!$O$225:$P$240,2),0),IF(OR($AA379=3,$AA379=4),IF($AB379=12,VLOOKUP($AA379,Paraméterek!$O$225:$P$240,2,0),0),0))*$AG379</f>
        <v>#DIV/0!</v>
      </c>
      <c r="AK379" s="13">
        <f t="shared" ca="1" si="119"/>
        <v>0</v>
      </c>
      <c r="AL379" s="13">
        <f t="shared" ca="1" si="127"/>
        <v>0</v>
      </c>
      <c r="AM379" s="13">
        <f t="shared" ca="1" si="128"/>
        <v>0</v>
      </c>
      <c r="AO379" s="32">
        <v>360</v>
      </c>
      <c r="AP379" s="32">
        <v>30</v>
      </c>
      <c r="AQ379" s="32">
        <v>12</v>
      </c>
      <c r="AR379" s="13"/>
      <c r="AS379" s="32"/>
      <c r="AT379" s="13">
        <f t="shared" ca="1" si="129"/>
        <v>0</v>
      </c>
      <c r="AU379" s="33"/>
      <c r="AV379" s="13">
        <f t="shared" ca="1" si="120"/>
        <v>0</v>
      </c>
      <c r="AW379" s="13">
        <f ca="1">ROUNDUP(($AT379+$AV379)*VLOOKUP($AP379,Paraméterek!$P$38:$Q$38,2)/12*IF($D380="Nem",IF($M$13=0,1,$M$13),1),IF($D$4="Forint",0,2))</f>
        <v>0</v>
      </c>
      <c r="AX379" s="13">
        <f>Tranzakciók!$M$61</f>
        <v>0</v>
      </c>
      <c r="AY379" s="13"/>
      <c r="AZ379" s="13">
        <f>ROUNDUP(IF(SUM($AX379:$AY379)=0,0,IF(IF(ISBLANK($AY379),$AX379,$AY379)*Paraméterek!$J$112&lt;IF($D$4="Forint",Paraméterek!$J$113,Paraméterek!$K$113),IF($D$4="Forint",Paraméterek!$J$113,Paraméterek!$K$113),IF(IF(ISBLANK($AY379),$AX379,$AY379)*Paraméterek!$J$112&gt;IF($D$4="Forint",Paraméterek!$J$114,Paraméterek!$K$114),IF($D$4="Forint",Paraméterek!$J$114,Paraméterek!$K$114),IF(ISBLANK($AY379),$AX379,$AY379)*Paraméterek!$J$112))),IF($D$4="Forint",0,2))</f>
        <v>0</v>
      </c>
      <c r="BA379" s="13">
        <f ca="1">$AT379+$AV379-$AW379-IF(ROUNDDOWN(IF(ISBLANK($AY379),$AX379,$AY379),IF($D$4="Forint",0,2))&gt;$AT379+$AV379-$AW379-IF($D$4="Forint",Paraméterek!$J$114,Paraméterek!$K$114),0,ROUNDDOWN(IF(ISBLANK($AY379),$AX379,$AY379),IF($D$4="Forint",0,2))-$AZ379)</f>
        <v>0</v>
      </c>
      <c r="BB379" s="13">
        <f t="shared" ca="1" si="121"/>
        <v>0</v>
      </c>
      <c r="BD379" s="32">
        <v>360</v>
      </c>
      <c r="BE379" s="32">
        <v>30</v>
      </c>
      <c r="BF379" s="32">
        <v>12</v>
      </c>
      <c r="BG379" s="34">
        <f t="shared" ca="1" si="130"/>
        <v>2049</v>
      </c>
      <c r="BH379" s="32" t="str">
        <f ca="1">IF(MOD(MONTH($D$14)+$BD379-1,12)=Paraméterek!$C$288,"Igen","")</f>
        <v/>
      </c>
      <c r="BI379" s="13">
        <f ca="1">IF($BH379="Igen",MIN(ROUNDDOWN((SUMIF($BG$20:$BG$1027,$BG379-1,$K$20:$K$1027)-SUMIF($BG$20:$BG$1027,$BG379-1,$I$20:$I$1027))*Paraméterek!$C$289,IF($D$4="Forint",0,2)),IF($D$4="Forint",Paraméterek!$C$285,Paraméterek!$D$285)),0)</f>
        <v>0</v>
      </c>
      <c r="BJ379" s="13">
        <f t="shared" ca="1" si="122"/>
        <v>0</v>
      </c>
      <c r="BK379" s="13">
        <f t="shared" ca="1" si="131"/>
        <v>0</v>
      </c>
      <c r="BL379" s="33"/>
      <c r="BM379" s="13">
        <f t="shared" ca="1" si="123"/>
        <v>0</v>
      </c>
      <c r="BN379" s="13">
        <f ca="1">ROUNDUP(($BK379+$BM379)*VLOOKUP($BE379,Paraméterek!$P$38:$Q$38,2)/12*IF($D380="Nem",IF($M$13=0,1,$M$13),1),IF($D$4="Forint",0,2))</f>
        <v>0</v>
      </c>
      <c r="BO379" s="13">
        <f t="shared" ca="1" si="124"/>
        <v>0</v>
      </c>
      <c r="BP379" s="13">
        <f ca="1">IF($D380="Nem",$BO379,$BO379-ROUNDUP(SUM($BI$20:$BI379)*120%,IF($D$4="Forint",0,2)))</f>
        <v>0</v>
      </c>
    </row>
    <row r="380" spans="1:68" x14ac:dyDescent="0.2">
      <c r="A380" s="32">
        <v>361</v>
      </c>
      <c r="B380" s="32">
        <v>31</v>
      </c>
      <c r="C380" s="32">
        <v>1</v>
      </c>
      <c r="D380" s="32" t="str">
        <f t="shared" ca="1" si="110"/>
        <v>Nem</v>
      </c>
      <c r="E380" s="13">
        <f t="shared" ca="1" si="111"/>
        <v>0</v>
      </c>
      <c r="F380" s="13"/>
      <c r="G380" s="13">
        <f>Tranzakciók!$D$62</f>
        <v>0</v>
      </c>
      <c r="H380" s="13"/>
      <c r="I380" s="13">
        <f t="shared" ca="1" si="112"/>
        <v>0</v>
      </c>
      <c r="J380" s="13">
        <f t="shared" ca="1" si="113"/>
        <v>0</v>
      </c>
      <c r="K380" s="13">
        <f t="shared" ca="1" si="114"/>
        <v>0</v>
      </c>
      <c r="L380" s="13" t="e">
        <f ca="1">ROUNDUP(IF($D$2="Egyszeri",$E380,IF($D$2="Havi",SUM($E$20:$E$31),IF(MOD($C380,$M$1)-1=0,SUM($E$20:$E$31),0))/12*$M$1)*VLOOKUP($B380,Paraméterek!$I$28:$P$31,IF($D$2="Egyszeri",8,HLOOKUP(ROUNDUP($M$11+$M$13,0),Paraméterek!$J$26:$O$27,2))),IF($D$4="Forint",0,2))</f>
        <v>#N/A</v>
      </c>
      <c r="M380" s="13">
        <f t="shared" ca="1" si="115"/>
        <v>0</v>
      </c>
      <c r="N380" s="13">
        <f t="shared" ca="1" si="125"/>
        <v>0</v>
      </c>
      <c r="O380" s="13">
        <f ca="1">IF($D380="Igen",IF($W379&gt;=IF($D$4="Forint",Paraméterek!$J$121,Paraméterek!$K$121),0,IF($D$4="Forint",Paraméterek!$J$121,Paraméterek!$K$121)-$W379),0)</f>
        <v>0</v>
      </c>
      <c r="P380" s="13" t="e">
        <f ca="1">ROUNDUP($O380*VLOOKUP($M$4+$B380-1,Paraméterek!$H$58:$I$105,2,0)/Paraméterek!$I$56,IF($D$4="Forint",0,2))</f>
        <v>#N/A</v>
      </c>
      <c r="Q380" s="13">
        <f t="shared" ca="1" si="116"/>
        <v>0</v>
      </c>
      <c r="R380" s="33"/>
      <c r="S380" s="13" t="e">
        <f t="shared" ca="1" si="117"/>
        <v>#N/A</v>
      </c>
      <c r="T380" s="13" t="e">
        <f ca="1">ROUNDUP(($N380-$P380-$Q380+$S380)*VLOOKUP($B380,Paraméterek!$I$38:$K$39,IF($D$2="Egyszeri",3,2))/12*IF($D381="Nem",IF($M$13=0,1,$M$13),1),IF($D$4="Forint",0,2))</f>
        <v>#N/A</v>
      </c>
      <c r="U380" s="13"/>
      <c r="V380" s="13"/>
      <c r="W380" s="13" t="e">
        <f ca="1">$N380-$P380-$Q380+$S380-$T380-IF(ROUNDUP(IF(ISBLANK($V380),$U380*0,$V380)/IF($D$2="Egyszeri",VLOOKUP($B380+IF($C380=12,1,0),Paraméterek!$V$257:$W$262,2),IF($B380=1,1,VLOOKUP($B380+IF($C380=12,1,0),Paraméterek!$I$258:$T$278,HLOOKUP($M$11+1,Paraméterek!$J$256:$T$257,2)))),IF($D$4="Forint",0,2))&gt;$N380-$P380-$Q380+$S380-$T380-IF($D$4="Forint",Paraméterek!$C$216,Paraméterek!$D$216),0,ROUNDUP(IF(ISBLANK($V380),$U380*0,$V380)/IF($D$2="Egyszeri",VLOOKUP($B380+IF($C380=12,1,0),Paraméterek!$V$257:$W$262,2),IF($B380=1,1,VLOOKUP($B380+IF($C380=12,1,0),Paraméterek!$I$258:$T$278,HLOOKUP($M$11+1,Paraméterek!$J$256:$T$257,2)))),IF($D$4="Forint",0,2)))</f>
        <v>#N/A</v>
      </c>
      <c r="X380" s="13" t="e">
        <f ca="1">ROUNDDOWN($W380*IF($D$2="Egyszeri",VLOOKUP($B380+IF($C380=12,1,0),Paraméterek!$V$257:$W$262,2),VLOOKUP($B380+IF($C380=12,1,0),Paraméterek!$I$258:$T$278,HLOOKUP($M$11+1,Paraméterek!$I$256:$T$257,2))),IF($D$4="Forint",0,2))</f>
        <v>#N/A</v>
      </c>
      <c r="Z380" s="32">
        <v>361</v>
      </c>
      <c r="AA380" s="32">
        <v>31</v>
      </c>
      <c r="AB380" s="32">
        <v>1</v>
      </c>
      <c r="AC380" s="13">
        <f t="shared" ca="1" si="126"/>
        <v>0</v>
      </c>
      <c r="AD380" s="33"/>
      <c r="AE380" s="13">
        <f t="shared" ca="1" si="118"/>
        <v>0</v>
      </c>
      <c r="AF380" s="13">
        <f ca="1">ROUNDUP(($AC380+$AE380)*VLOOKUP($AA380,Paraméterek!$P$38:$Q$38,2)/12*IF($D381="Nem",IF($M$13=0,1,$M$13),1),IF($D$4="Forint",0,2))</f>
        <v>0</v>
      </c>
      <c r="AG380" s="13">
        <f ca="1">IF($D$2="Egyszeri",IF($D$7&gt;=IF($D$4="Forint",Paraméterek!$P$223,Paraméterek!$P$224),$D$7-IF($D$4="Forint",Paraméterek!$P$223,Paraméterek!$P$224),0),MIN(IF($AB380=12,AVERAGEIF($E$20:$E380,"&gt;0",$E$20:$E380)*12,0),SUM($E$20:$E$31)))</f>
        <v>0</v>
      </c>
      <c r="AH380" s="13">
        <f>IF($AA380=10,$AG380*IF($AB380=12,IF($AG380&lt;IF($D$4="Forint",Paraméterek!$L$223,Paraméterek!$L$224),0,VLOOKUP($AA380,Paraméterek!$K$226:$M$228,IF($AG380&lt;IF($D$4="Forint",Paraméterek!$M$223,Paraméterek!$M$224),2,3))),0),0)</f>
        <v>0</v>
      </c>
      <c r="AI380" s="13">
        <f ca="1">IF(AND($AA380=$M$11+1,$AB380=$M$12+1),SUMIF($AA$20:$AA$1027,$AA380,$AG$20:$AG$1027)*IF(SUMIF($AA$20:$AA$1027,$AA380,$AG$20:$AG$1027)&lt;IF($D$4="Forint",Paraméterek!$L$223,Paraméterek!$L$224),0,VLOOKUP($AA380,Paraméterek!$K$230:$M$250,IF(SUMIF($AA$20:$AA$1027,$AA380,$AG$20:$AG$1027)&lt;IF($D$4="Forint",Paraméterek!$M$223,Paraméterek!$M$224),2,3))),0)</f>
        <v>0</v>
      </c>
      <c r="AJ380" s="13">
        <f ca="1">IF(AND($AA380&gt;=5,MOD($AA380,5)=0),IF($AB380=12,VLOOKUP($AA380,Paraméterek!$O$225:$P$240,2),0),IF(OR($AA380=3,$AA380=4),IF($AB380=12,VLOOKUP($AA380,Paraméterek!$O$225:$P$240,2,0),0),0))*$AG380</f>
        <v>0</v>
      </c>
      <c r="AK380" s="13">
        <f t="shared" ca="1" si="119"/>
        <v>0</v>
      </c>
      <c r="AL380" s="13">
        <f t="shared" ca="1" si="127"/>
        <v>0</v>
      </c>
      <c r="AM380" s="13">
        <f t="shared" ca="1" si="128"/>
        <v>0</v>
      </c>
      <c r="AO380" s="32">
        <v>361</v>
      </c>
      <c r="AP380" s="32">
        <v>31</v>
      </c>
      <c r="AQ380" s="32">
        <v>1</v>
      </c>
      <c r="AR380" s="13">
        <f>Tranzakciók!$K$62</f>
        <v>0</v>
      </c>
      <c r="AS380" s="32"/>
      <c r="AT380" s="13">
        <f t="shared" ca="1" si="129"/>
        <v>0</v>
      </c>
      <c r="AU380" s="33"/>
      <c r="AV380" s="13">
        <f t="shared" ca="1" si="120"/>
        <v>0</v>
      </c>
      <c r="AW380" s="13">
        <f ca="1">ROUNDUP(($AT380+$AV380)*VLOOKUP($AP380,Paraméterek!$P$38:$Q$38,2)/12*IF($D381="Nem",IF($M$13=0,1,$M$13),1),IF($D$4="Forint",0,2))</f>
        <v>0</v>
      </c>
      <c r="AX380" s="13"/>
      <c r="AY380" s="13"/>
      <c r="AZ380" s="13">
        <f>ROUNDUP(IF(SUM($AX380:$AY380)=0,0,IF(IF(ISBLANK($AY380),$AX380,$AY380)*Paraméterek!$J$112&lt;IF($D$4="Forint",Paraméterek!$J$113,Paraméterek!$K$113),IF($D$4="Forint",Paraméterek!$J$113,Paraméterek!$K$113),IF(IF(ISBLANK($AY380),$AX380,$AY380)*Paraméterek!$J$112&gt;IF($D$4="Forint",Paraméterek!$J$114,Paraméterek!$K$114),IF($D$4="Forint",Paraméterek!$J$114,Paraméterek!$K$114),IF(ISBLANK($AY380),$AX380,$AY380)*Paraméterek!$J$112))),IF($D$4="Forint",0,2))</f>
        <v>0</v>
      </c>
      <c r="BA380" s="13">
        <f ca="1">$AT380+$AV380-$AW380-IF(ROUNDDOWN(IF(ISBLANK($AY380),$AX380,$AY380),IF($D$4="Forint",0,2))&gt;$AT380+$AV380-$AW380-IF($D$4="Forint",Paraméterek!$J$114,Paraméterek!$K$114),0,ROUNDDOWN(IF(ISBLANK($AY380),$AX380,$AY380),IF($D$4="Forint",0,2))-$AZ380)</f>
        <v>0</v>
      </c>
      <c r="BB380" s="13">
        <f t="shared" ca="1" si="121"/>
        <v>0</v>
      </c>
      <c r="BD380" s="32">
        <v>361</v>
      </c>
      <c r="BE380" s="32">
        <v>31</v>
      </c>
      <c r="BF380" s="32">
        <v>1</v>
      </c>
      <c r="BG380" s="34">
        <f t="shared" ca="1" si="130"/>
        <v>2049</v>
      </c>
      <c r="BH380" s="32" t="str">
        <f ca="1">IF(MOD(MONTH($D$14)+$BD380-1,12)=Paraméterek!$C$288,"Igen","")</f>
        <v/>
      </c>
      <c r="BI380" s="13">
        <f ca="1">IF($BH380="Igen",MIN(ROUNDDOWN((SUMIF($BG$20:$BG$1027,$BG380-1,$K$20:$K$1027)-SUMIF($BG$20:$BG$1027,$BG380-1,$I$20:$I$1027))*Paraméterek!$C$289,IF($D$4="Forint",0,2)),IF($D$4="Forint",Paraméterek!$C$285,Paraméterek!$D$285)),0)</f>
        <v>0</v>
      </c>
      <c r="BJ380" s="13">
        <f t="shared" ca="1" si="122"/>
        <v>0</v>
      </c>
      <c r="BK380" s="13">
        <f t="shared" ca="1" si="131"/>
        <v>0</v>
      </c>
      <c r="BL380" s="33"/>
      <c r="BM380" s="13">
        <f t="shared" ca="1" si="123"/>
        <v>0</v>
      </c>
      <c r="BN380" s="13">
        <f ca="1">ROUNDUP(($BK380+$BM380)*VLOOKUP($BE380,Paraméterek!$P$38:$Q$38,2)/12*IF($D381="Nem",IF($M$13=0,1,$M$13),1),IF($D$4="Forint",0,2))</f>
        <v>0</v>
      </c>
      <c r="BO380" s="13">
        <f t="shared" ca="1" si="124"/>
        <v>0</v>
      </c>
      <c r="BP380" s="13">
        <f ca="1">IF($D381="Nem",$BO380,$BO380-ROUNDUP(SUM($BI$20:$BI380)*120%,IF($D$4="Forint",0,2)))</f>
        <v>0</v>
      </c>
    </row>
    <row r="381" spans="1:68" x14ac:dyDescent="0.2">
      <c r="A381" s="32">
        <v>362</v>
      </c>
      <c r="B381" s="32">
        <v>31</v>
      </c>
      <c r="C381" s="32">
        <v>2</v>
      </c>
      <c r="D381" s="32" t="str">
        <f t="shared" ca="1" si="110"/>
        <v>Nem</v>
      </c>
      <c r="E381" s="13">
        <f t="shared" ca="1" si="111"/>
        <v>0</v>
      </c>
      <c r="F381" s="13"/>
      <c r="G381" s="13"/>
      <c r="H381" s="13"/>
      <c r="I381" s="13">
        <f t="shared" ca="1" si="112"/>
        <v>0</v>
      </c>
      <c r="J381" s="13">
        <f t="shared" ca="1" si="113"/>
        <v>0</v>
      </c>
      <c r="K381" s="13">
        <f t="shared" ca="1" si="114"/>
        <v>0</v>
      </c>
      <c r="L381" s="13" t="e">
        <f ca="1">ROUNDUP(IF($D$2="Egyszeri",$E381,IF($D$2="Havi",SUM($E$20:$E$31),IF(MOD($C381,$M$1)-1=0,SUM($E$20:$E$31),0))/12*$M$1)*VLOOKUP($B381,Paraméterek!$I$28:$P$31,IF($D$2="Egyszeri",8,HLOOKUP(ROUNDUP($M$11+$M$13,0),Paraméterek!$J$26:$O$27,2))),IF($D$4="Forint",0,2))</f>
        <v>#N/A</v>
      </c>
      <c r="M381" s="13">
        <f t="shared" ca="1" si="115"/>
        <v>0</v>
      </c>
      <c r="N381" s="13">
        <f t="shared" ca="1" si="125"/>
        <v>0</v>
      </c>
      <c r="O381" s="13">
        <f ca="1">IF($D381="Igen",IF($W380&gt;=IF($D$4="Forint",Paraméterek!$J$121,Paraméterek!$K$121),0,IF($D$4="Forint",Paraméterek!$J$121,Paraméterek!$K$121)-$W380),0)</f>
        <v>0</v>
      </c>
      <c r="P381" s="13" t="e">
        <f ca="1">ROUNDUP($O381*VLOOKUP($M$4+$B381-1,Paraméterek!$H$58:$I$105,2,0)/Paraméterek!$I$56,IF($D$4="Forint",0,2))</f>
        <v>#N/A</v>
      </c>
      <c r="Q381" s="13">
        <f t="shared" ca="1" si="116"/>
        <v>0</v>
      </c>
      <c r="R381" s="33"/>
      <c r="S381" s="13" t="e">
        <f t="shared" ca="1" si="117"/>
        <v>#N/A</v>
      </c>
      <c r="T381" s="13" t="e">
        <f ca="1">ROUNDUP(($N381-$P381-$Q381+$S381)*VLOOKUP($B381,Paraméterek!$I$38:$K$39,IF($D$2="Egyszeri",3,2))/12*IF($D382="Nem",IF($M$13=0,1,$M$13),1),IF($D$4="Forint",0,2))</f>
        <v>#N/A</v>
      </c>
      <c r="U381" s="13"/>
      <c r="V381" s="13"/>
      <c r="W381" s="13" t="e">
        <f ca="1">$N381-$P381-$Q381+$S381-$T381-IF(ROUNDUP(IF(ISBLANK($V381),$U381*0,$V381)/IF($D$2="Egyszeri",VLOOKUP($B381+IF($C381=12,1,0),Paraméterek!$V$257:$W$262,2),IF($B381=1,1,VLOOKUP($B381+IF($C381=12,1,0),Paraméterek!$I$258:$T$278,HLOOKUP($M$11+1,Paraméterek!$J$256:$T$257,2)))),IF($D$4="Forint",0,2))&gt;$N381-$P381-$Q381+$S381-$T381-IF($D$4="Forint",Paraméterek!$C$216,Paraméterek!$D$216),0,ROUNDUP(IF(ISBLANK($V381),$U381*0,$V381)/IF($D$2="Egyszeri",VLOOKUP($B381+IF($C381=12,1,0),Paraméterek!$V$257:$W$262,2),IF($B381=1,1,VLOOKUP($B381+IF($C381=12,1,0),Paraméterek!$I$258:$T$278,HLOOKUP($M$11+1,Paraméterek!$J$256:$T$257,2)))),IF($D$4="Forint",0,2)))</f>
        <v>#N/A</v>
      </c>
      <c r="X381" s="13" t="e">
        <f ca="1">ROUNDDOWN($W381*IF($D$2="Egyszeri",VLOOKUP($B381+IF($C381=12,1,0),Paraméterek!$V$257:$W$262,2),VLOOKUP($B381+IF($C381=12,1,0),Paraméterek!$I$258:$T$278,HLOOKUP($M$11+1,Paraméterek!$I$256:$T$257,2))),IF($D$4="Forint",0,2))</f>
        <v>#N/A</v>
      </c>
      <c r="Z381" s="32">
        <v>362</v>
      </c>
      <c r="AA381" s="32">
        <v>31</v>
      </c>
      <c r="AB381" s="32">
        <v>2</v>
      </c>
      <c r="AC381" s="13">
        <f t="shared" ca="1" si="126"/>
        <v>0</v>
      </c>
      <c r="AD381" s="33"/>
      <c r="AE381" s="13">
        <f t="shared" ca="1" si="118"/>
        <v>0</v>
      </c>
      <c r="AF381" s="13">
        <f ca="1">ROUNDUP(($AC381+$AE381)*VLOOKUP($AA381,Paraméterek!$P$38:$Q$38,2)/12*IF($D382="Nem",IF($M$13=0,1,$M$13),1),IF($D$4="Forint",0,2))</f>
        <v>0</v>
      </c>
      <c r="AG381" s="13">
        <f ca="1">IF($D$2="Egyszeri",IF($D$7&gt;=IF($D$4="Forint",Paraméterek!$P$223,Paraméterek!$P$224),$D$7-IF($D$4="Forint",Paraméterek!$P$223,Paraméterek!$P$224),0),MIN(IF($AB381=12,AVERAGEIF($E$20:$E381,"&gt;0",$E$20:$E381)*12,0),SUM($E$20:$E$31)))</f>
        <v>0</v>
      </c>
      <c r="AH381" s="13">
        <f>IF($AA381=10,$AG381*IF($AB381=12,IF($AG381&lt;IF($D$4="Forint",Paraméterek!$L$223,Paraméterek!$L$224),0,VLOOKUP($AA381,Paraméterek!$K$226:$M$228,IF($AG381&lt;IF($D$4="Forint",Paraméterek!$M$223,Paraméterek!$M$224),2,3))),0),0)</f>
        <v>0</v>
      </c>
      <c r="AI381" s="13">
        <f ca="1">IF(AND($AA381=$M$11+1,$AB381=$M$12+1),SUMIF($AA$20:$AA$1027,$AA381,$AG$20:$AG$1027)*IF(SUMIF($AA$20:$AA$1027,$AA381,$AG$20:$AG$1027)&lt;IF($D$4="Forint",Paraméterek!$L$223,Paraméterek!$L$224),0,VLOOKUP($AA381,Paraméterek!$K$230:$M$250,IF(SUMIF($AA$20:$AA$1027,$AA381,$AG$20:$AG$1027)&lt;IF($D$4="Forint",Paraméterek!$M$223,Paraméterek!$M$224),2,3))),0)</f>
        <v>0</v>
      </c>
      <c r="AJ381" s="13">
        <f ca="1">IF(AND($AA381&gt;=5,MOD($AA381,5)=0),IF($AB381=12,VLOOKUP($AA381,Paraméterek!$O$225:$P$240,2),0),IF(OR($AA381=3,$AA381=4),IF($AB381=12,VLOOKUP($AA381,Paraméterek!$O$225:$P$240,2,0),0),0))*$AG381</f>
        <v>0</v>
      </c>
      <c r="AK381" s="13">
        <f t="shared" ca="1" si="119"/>
        <v>0</v>
      </c>
      <c r="AL381" s="13">
        <f t="shared" ca="1" si="127"/>
        <v>0</v>
      </c>
      <c r="AM381" s="13">
        <f t="shared" ca="1" si="128"/>
        <v>0</v>
      </c>
      <c r="AO381" s="32">
        <v>362</v>
      </c>
      <c r="AP381" s="32">
        <v>31</v>
      </c>
      <c r="AQ381" s="32">
        <v>2</v>
      </c>
      <c r="AR381" s="13"/>
      <c r="AS381" s="32"/>
      <c r="AT381" s="13">
        <f t="shared" ca="1" si="129"/>
        <v>0</v>
      </c>
      <c r="AU381" s="33"/>
      <c r="AV381" s="13">
        <f t="shared" ca="1" si="120"/>
        <v>0</v>
      </c>
      <c r="AW381" s="13">
        <f ca="1">ROUNDUP(($AT381+$AV381)*VLOOKUP($AP381,Paraméterek!$P$38:$Q$38,2)/12*IF($D382="Nem",IF($M$13=0,1,$M$13),1),IF($D$4="Forint",0,2))</f>
        <v>0</v>
      </c>
      <c r="AX381" s="13"/>
      <c r="AY381" s="13"/>
      <c r="AZ381" s="13">
        <f>ROUNDUP(IF(SUM($AX381:$AY381)=0,0,IF(IF(ISBLANK($AY381),$AX381,$AY381)*Paraméterek!$J$112&lt;IF($D$4="Forint",Paraméterek!$J$113,Paraméterek!$K$113),IF($D$4="Forint",Paraméterek!$J$113,Paraméterek!$K$113),IF(IF(ISBLANK($AY381),$AX381,$AY381)*Paraméterek!$J$112&gt;IF($D$4="Forint",Paraméterek!$J$114,Paraméterek!$K$114),IF($D$4="Forint",Paraméterek!$J$114,Paraméterek!$K$114),IF(ISBLANK($AY381),$AX381,$AY381)*Paraméterek!$J$112))),IF($D$4="Forint",0,2))</f>
        <v>0</v>
      </c>
      <c r="BA381" s="13">
        <f ca="1">$AT381+$AV381-$AW381-IF(ROUNDDOWN(IF(ISBLANK($AY381),$AX381,$AY381),IF($D$4="Forint",0,2))&gt;$AT381+$AV381-$AW381-IF($D$4="Forint",Paraméterek!$J$114,Paraméterek!$K$114),0,ROUNDDOWN(IF(ISBLANK($AY381),$AX381,$AY381),IF($D$4="Forint",0,2))-$AZ381)</f>
        <v>0</v>
      </c>
      <c r="BB381" s="13">
        <f t="shared" ca="1" si="121"/>
        <v>0</v>
      </c>
      <c r="BD381" s="32">
        <v>362</v>
      </c>
      <c r="BE381" s="32">
        <v>31</v>
      </c>
      <c r="BF381" s="32">
        <v>2</v>
      </c>
      <c r="BG381" s="34">
        <f t="shared" ca="1" si="130"/>
        <v>2049</v>
      </c>
      <c r="BH381" s="32" t="str">
        <f ca="1">IF(MOD(MONTH($D$14)+$BD381-1,12)=Paraméterek!$C$288,"Igen","")</f>
        <v>Igen</v>
      </c>
      <c r="BI381" s="13">
        <f ca="1">IF($BH381="Igen",MIN(ROUNDDOWN((SUMIF($BG$20:$BG$1027,$BG381-1,$K$20:$K$1027)-SUMIF($BG$20:$BG$1027,$BG381-1,$I$20:$I$1027))*Paraméterek!$C$289,IF($D$4="Forint",0,2)),IF($D$4="Forint",Paraméterek!$C$285,Paraméterek!$D$285)),0)</f>
        <v>0</v>
      </c>
      <c r="BJ381" s="13">
        <f t="shared" ca="1" si="122"/>
        <v>0</v>
      </c>
      <c r="BK381" s="13">
        <f t="shared" ca="1" si="131"/>
        <v>0</v>
      </c>
      <c r="BL381" s="33"/>
      <c r="BM381" s="13">
        <f t="shared" ca="1" si="123"/>
        <v>0</v>
      </c>
      <c r="BN381" s="13">
        <f ca="1">ROUNDUP(($BK381+$BM381)*VLOOKUP($BE381,Paraméterek!$P$38:$Q$38,2)/12*IF($D382="Nem",IF($M$13=0,1,$M$13),1),IF($D$4="Forint",0,2))</f>
        <v>0</v>
      </c>
      <c r="BO381" s="13">
        <f t="shared" ca="1" si="124"/>
        <v>0</v>
      </c>
      <c r="BP381" s="13">
        <f ca="1">IF($D382="Nem",$BO381,$BO381-ROUNDUP(SUM($BI$20:$BI381)*120%,IF($D$4="Forint",0,2)))</f>
        <v>0</v>
      </c>
    </row>
    <row r="382" spans="1:68" x14ac:dyDescent="0.2">
      <c r="A382" s="32">
        <v>363</v>
      </c>
      <c r="B382" s="32">
        <v>31</v>
      </c>
      <c r="C382" s="32">
        <v>3</v>
      </c>
      <c r="D382" s="32" t="str">
        <f t="shared" ca="1" si="110"/>
        <v>Nem</v>
      </c>
      <c r="E382" s="13">
        <f t="shared" ca="1" si="111"/>
        <v>0</v>
      </c>
      <c r="F382" s="13"/>
      <c r="G382" s="13"/>
      <c r="H382" s="13"/>
      <c r="I382" s="13">
        <f t="shared" ca="1" si="112"/>
        <v>0</v>
      </c>
      <c r="J382" s="13">
        <f t="shared" ca="1" si="113"/>
        <v>0</v>
      </c>
      <c r="K382" s="13">
        <f t="shared" ca="1" si="114"/>
        <v>0</v>
      </c>
      <c r="L382" s="13" t="e">
        <f ca="1">ROUNDUP(IF($D$2="Egyszeri",$E382,IF($D$2="Havi",SUM($E$20:$E$31),IF(MOD($C382,$M$1)-1=0,SUM($E$20:$E$31),0))/12*$M$1)*VLOOKUP($B382,Paraméterek!$I$28:$P$31,IF($D$2="Egyszeri",8,HLOOKUP(ROUNDUP($M$11+$M$13,0),Paraméterek!$J$26:$O$27,2))),IF($D$4="Forint",0,2))</f>
        <v>#N/A</v>
      </c>
      <c r="M382" s="13">
        <f t="shared" ca="1" si="115"/>
        <v>0</v>
      </c>
      <c r="N382" s="13">
        <f t="shared" ca="1" si="125"/>
        <v>0</v>
      </c>
      <c r="O382" s="13">
        <f ca="1">IF($D382="Igen",IF($W381&gt;=IF($D$4="Forint",Paraméterek!$J$121,Paraméterek!$K$121),0,IF($D$4="Forint",Paraméterek!$J$121,Paraméterek!$K$121)-$W381),0)</f>
        <v>0</v>
      </c>
      <c r="P382" s="13" t="e">
        <f ca="1">ROUNDUP($O382*VLOOKUP($M$4+$B382-1,Paraméterek!$H$58:$I$105,2,0)/Paraméterek!$I$56,IF($D$4="Forint",0,2))</f>
        <v>#N/A</v>
      </c>
      <c r="Q382" s="13">
        <f t="shared" ca="1" si="116"/>
        <v>0</v>
      </c>
      <c r="R382" s="33"/>
      <c r="S382" s="13" t="e">
        <f t="shared" ca="1" si="117"/>
        <v>#N/A</v>
      </c>
      <c r="T382" s="13" t="e">
        <f ca="1">ROUNDUP(($N382-$P382-$Q382+$S382)*VLOOKUP($B382,Paraméterek!$I$38:$K$39,IF($D$2="Egyszeri",3,2))/12*IF($D383="Nem",IF($M$13=0,1,$M$13),1),IF($D$4="Forint",0,2))</f>
        <v>#N/A</v>
      </c>
      <c r="U382" s="13"/>
      <c r="V382" s="13"/>
      <c r="W382" s="13" t="e">
        <f ca="1">$N382-$P382-$Q382+$S382-$T382-IF(ROUNDUP(IF(ISBLANK($V382),$U382*0,$V382)/IF($D$2="Egyszeri",VLOOKUP($B382+IF($C382=12,1,0),Paraméterek!$V$257:$W$262,2),IF($B382=1,1,VLOOKUP($B382+IF($C382=12,1,0),Paraméterek!$I$258:$T$278,HLOOKUP($M$11+1,Paraméterek!$J$256:$T$257,2)))),IF($D$4="Forint",0,2))&gt;$N382-$P382-$Q382+$S382-$T382-IF($D$4="Forint",Paraméterek!$C$216,Paraméterek!$D$216),0,ROUNDUP(IF(ISBLANK($V382),$U382*0,$V382)/IF($D$2="Egyszeri",VLOOKUP($B382+IF($C382=12,1,0),Paraméterek!$V$257:$W$262,2),IF($B382=1,1,VLOOKUP($B382+IF($C382=12,1,0),Paraméterek!$I$258:$T$278,HLOOKUP($M$11+1,Paraméterek!$J$256:$T$257,2)))),IF($D$4="Forint",0,2)))</f>
        <v>#N/A</v>
      </c>
      <c r="X382" s="13" t="e">
        <f ca="1">ROUNDDOWN($W382*IF($D$2="Egyszeri",VLOOKUP($B382+IF($C382=12,1,0),Paraméterek!$V$257:$W$262,2),VLOOKUP($B382+IF($C382=12,1,0),Paraméterek!$I$258:$T$278,HLOOKUP($M$11+1,Paraméterek!$I$256:$T$257,2))),IF($D$4="Forint",0,2))</f>
        <v>#N/A</v>
      </c>
      <c r="Z382" s="32">
        <v>363</v>
      </c>
      <c r="AA382" s="32">
        <v>31</v>
      </c>
      <c r="AB382" s="32">
        <v>3</v>
      </c>
      <c r="AC382" s="13">
        <f t="shared" ca="1" si="126"/>
        <v>0</v>
      </c>
      <c r="AD382" s="33"/>
      <c r="AE382" s="13">
        <f t="shared" ca="1" si="118"/>
        <v>0</v>
      </c>
      <c r="AF382" s="13">
        <f ca="1">ROUNDUP(($AC382+$AE382)*VLOOKUP($AA382,Paraméterek!$P$38:$Q$38,2)/12*IF($D383="Nem",IF($M$13=0,1,$M$13),1),IF($D$4="Forint",0,2))</f>
        <v>0</v>
      </c>
      <c r="AG382" s="13">
        <f ca="1">IF($D$2="Egyszeri",IF($D$7&gt;=IF($D$4="Forint",Paraméterek!$P$223,Paraméterek!$P$224),$D$7-IF($D$4="Forint",Paraméterek!$P$223,Paraméterek!$P$224),0),MIN(IF($AB382=12,AVERAGEIF($E$20:$E382,"&gt;0",$E$20:$E382)*12,0),SUM($E$20:$E$31)))</f>
        <v>0</v>
      </c>
      <c r="AH382" s="13">
        <f>IF($AA382=10,$AG382*IF($AB382=12,IF($AG382&lt;IF($D$4="Forint",Paraméterek!$L$223,Paraméterek!$L$224),0,VLOOKUP($AA382,Paraméterek!$K$226:$M$228,IF($AG382&lt;IF($D$4="Forint",Paraméterek!$M$223,Paraméterek!$M$224),2,3))),0),0)</f>
        <v>0</v>
      </c>
      <c r="AI382" s="13">
        <f ca="1">IF(AND($AA382=$M$11+1,$AB382=$M$12+1),SUMIF($AA$20:$AA$1027,$AA382,$AG$20:$AG$1027)*IF(SUMIF($AA$20:$AA$1027,$AA382,$AG$20:$AG$1027)&lt;IF($D$4="Forint",Paraméterek!$L$223,Paraméterek!$L$224),0,VLOOKUP($AA382,Paraméterek!$K$230:$M$250,IF(SUMIF($AA$20:$AA$1027,$AA382,$AG$20:$AG$1027)&lt;IF($D$4="Forint",Paraméterek!$M$223,Paraméterek!$M$224),2,3))),0)</f>
        <v>0</v>
      </c>
      <c r="AJ382" s="13">
        <f ca="1">IF(AND($AA382&gt;=5,MOD($AA382,5)=0),IF($AB382=12,VLOOKUP($AA382,Paraméterek!$O$225:$P$240,2),0),IF(OR($AA382=3,$AA382=4),IF($AB382=12,VLOOKUP($AA382,Paraméterek!$O$225:$P$240,2,0),0),0))*$AG382</f>
        <v>0</v>
      </c>
      <c r="AK382" s="13">
        <f t="shared" ca="1" si="119"/>
        <v>0</v>
      </c>
      <c r="AL382" s="13">
        <f t="shared" ca="1" si="127"/>
        <v>0</v>
      </c>
      <c r="AM382" s="13">
        <f t="shared" ca="1" si="128"/>
        <v>0</v>
      </c>
      <c r="AO382" s="32">
        <v>363</v>
      </c>
      <c r="AP382" s="32">
        <v>31</v>
      </c>
      <c r="AQ382" s="32">
        <v>3</v>
      </c>
      <c r="AR382" s="13"/>
      <c r="AS382" s="32"/>
      <c r="AT382" s="13">
        <f t="shared" ca="1" si="129"/>
        <v>0</v>
      </c>
      <c r="AU382" s="33"/>
      <c r="AV382" s="13">
        <f t="shared" ca="1" si="120"/>
        <v>0</v>
      </c>
      <c r="AW382" s="13">
        <f ca="1">ROUNDUP(($AT382+$AV382)*VLOOKUP($AP382,Paraméterek!$P$38:$Q$38,2)/12*IF($D383="Nem",IF($M$13=0,1,$M$13),1),IF($D$4="Forint",0,2))</f>
        <v>0</v>
      </c>
      <c r="AX382" s="13"/>
      <c r="AY382" s="13"/>
      <c r="AZ382" s="13">
        <f>ROUNDUP(IF(SUM($AX382:$AY382)=0,0,IF(IF(ISBLANK($AY382),$AX382,$AY382)*Paraméterek!$J$112&lt;IF($D$4="Forint",Paraméterek!$J$113,Paraméterek!$K$113),IF($D$4="Forint",Paraméterek!$J$113,Paraméterek!$K$113),IF(IF(ISBLANK($AY382),$AX382,$AY382)*Paraméterek!$J$112&gt;IF($D$4="Forint",Paraméterek!$J$114,Paraméterek!$K$114),IF($D$4="Forint",Paraméterek!$J$114,Paraméterek!$K$114),IF(ISBLANK($AY382),$AX382,$AY382)*Paraméterek!$J$112))),IF($D$4="Forint",0,2))</f>
        <v>0</v>
      </c>
      <c r="BA382" s="13">
        <f ca="1">$AT382+$AV382-$AW382-IF(ROUNDDOWN(IF(ISBLANK($AY382),$AX382,$AY382),IF($D$4="Forint",0,2))&gt;$AT382+$AV382-$AW382-IF($D$4="Forint",Paraméterek!$J$114,Paraméterek!$K$114),0,ROUNDDOWN(IF(ISBLANK($AY382),$AX382,$AY382),IF($D$4="Forint",0,2))-$AZ382)</f>
        <v>0</v>
      </c>
      <c r="BB382" s="13">
        <f t="shared" ca="1" si="121"/>
        <v>0</v>
      </c>
      <c r="BD382" s="32">
        <v>363</v>
      </c>
      <c r="BE382" s="32">
        <v>31</v>
      </c>
      <c r="BF382" s="32">
        <v>3</v>
      </c>
      <c r="BG382" s="34">
        <f t="shared" ca="1" si="130"/>
        <v>2049</v>
      </c>
      <c r="BH382" s="32" t="str">
        <f ca="1">IF(MOD(MONTH($D$14)+$BD382-1,12)=Paraméterek!$C$288,"Igen","")</f>
        <v/>
      </c>
      <c r="BI382" s="13">
        <f ca="1">IF($BH382="Igen",MIN(ROUNDDOWN((SUMIF($BG$20:$BG$1027,$BG382-1,$K$20:$K$1027)-SUMIF($BG$20:$BG$1027,$BG382-1,$I$20:$I$1027))*Paraméterek!$C$289,IF($D$4="Forint",0,2)),IF($D$4="Forint",Paraméterek!$C$285,Paraméterek!$D$285)),0)</f>
        <v>0</v>
      </c>
      <c r="BJ382" s="13">
        <f t="shared" ca="1" si="122"/>
        <v>0</v>
      </c>
      <c r="BK382" s="13">
        <f t="shared" ca="1" si="131"/>
        <v>0</v>
      </c>
      <c r="BL382" s="33"/>
      <c r="BM382" s="13">
        <f t="shared" ca="1" si="123"/>
        <v>0</v>
      </c>
      <c r="BN382" s="13">
        <f ca="1">ROUNDUP(($BK382+$BM382)*VLOOKUP($BE382,Paraméterek!$P$38:$Q$38,2)/12*IF($D383="Nem",IF($M$13=0,1,$M$13),1),IF($D$4="Forint",0,2))</f>
        <v>0</v>
      </c>
      <c r="BO382" s="13">
        <f t="shared" ca="1" si="124"/>
        <v>0</v>
      </c>
      <c r="BP382" s="13">
        <f ca="1">IF($D383="Nem",$BO382,$BO382-ROUNDUP(SUM($BI$20:$BI382)*120%,IF($D$4="Forint",0,2)))</f>
        <v>0</v>
      </c>
    </row>
    <row r="383" spans="1:68" x14ac:dyDescent="0.2">
      <c r="A383" s="32">
        <v>364</v>
      </c>
      <c r="B383" s="32">
        <v>31</v>
      </c>
      <c r="C383" s="32">
        <v>4</v>
      </c>
      <c r="D383" s="32" t="str">
        <f t="shared" ca="1" si="110"/>
        <v>Nem</v>
      </c>
      <c r="E383" s="13">
        <f t="shared" ca="1" si="111"/>
        <v>0</v>
      </c>
      <c r="F383" s="13"/>
      <c r="G383" s="13"/>
      <c r="H383" s="13"/>
      <c r="I383" s="13">
        <f t="shared" ca="1" si="112"/>
        <v>0</v>
      </c>
      <c r="J383" s="13">
        <f t="shared" ca="1" si="113"/>
        <v>0</v>
      </c>
      <c r="K383" s="13">
        <f t="shared" ca="1" si="114"/>
        <v>0</v>
      </c>
      <c r="L383" s="13" t="e">
        <f ca="1">ROUNDUP(IF($D$2="Egyszeri",$E383,IF($D$2="Havi",SUM($E$20:$E$31),IF(MOD($C383,$M$1)-1=0,SUM($E$20:$E$31),0))/12*$M$1)*VLOOKUP($B383,Paraméterek!$I$28:$P$31,IF($D$2="Egyszeri",8,HLOOKUP(ROUNDUP($M$11+$M$13,0),Paraméterek!$J$26:$O$27,2))),IF($D$4="Forint",0,2))</f>
        <v>#N/A</v>
      </c>
      <c r="M383" s="13">
        <f t="shared" ca="1" si="115"/>
        <v>0</v>
      </c>
      <c r="N383" s="13">
        <f t="shared" ca="1" si="125"/>
        <v>0</v>
      </c>
      <c r="O383" s="13">
        <f ca="1">IF($D383="Igen",IF($W382&gt;=IF($D$4="Forint",Paraméterek!$J$121,Paraméterek!$K$121),0,IF($D$4="Forint",Paraméterek!$J$121,Paraméterek!$K$121)-$W382),0)</f>
        <v>0</v>
      </c>
      <c r="P383" s="13" t="e">
        <f ca="1">ROUNDUP($O383*VLOOKUP($M$4+$B383-1,Paraméterek!$H$58:$I$105,2,0)/Paraméterek!$I$56,IF($D$4="Forint",0,2))</f>
        <v>#N/A</v>
      </c>
      <c r="Q383" s="13">
        <f t="shared" ca="1" si="116"/>
        <v>0</v>
      </c>
      <c r="R383" s="33"/>
      <c r="S383" s="13" t="e">
        <f t="shared" ca="1" si="117"/>
        <v>#N/A</v>
      </c>
      <c r="T383" s="13" t="e">
        <f ca="1">ROUNDUP(($N383-$P383-$Q383+$S383)*VLOOKUP($B383,Paraméterek!$I$38:$K$39,IF($D$2="Egyszeri",3,2))/12*IF($D384="Nem",IF($M$13=0,1,$M$13),1),IF($D$4="Forint",0,2))</f>
        <v>#N/A</v>
      </c>
      <c r="U383" s="13"/>
      <c r="V383" s="13"/>
      <c r="W383" s="13" t="e">
        <f ca="1">$N383-$P383-$Q383+$S383-$T383-IF(ROUNDUP(IF(ISBLANK($V383),$U383*0,$V383)/IF($D$2="Egyszeri",VLOOKUP($B383+IF($C383=12,1,0),Paraméterek!$V$257:$W$262,2),IF($B383=1,1,VLOOKUP($B383+IF($C383=12,1,0),Paraméterek!$I$258:$T$278,HLOOKUP($M$11+1,Paraméterek!$J$256:$T$257,2)))),IF($D$4="Forint",0,2))&gt;$N383-$P383-$Q383+$S383-$T383-IF($D$4="Forint",Paraméterek!$C$216,Paraméterek!$D$216),0,ROUNDUP(IF(ISBLANK($V383),$U383*0,$V383)/IF($D$2="Egyszeri",VLOOKUP($B383+IF($C383=12,1,0),Paraméterek!$V$257:$W$262,2),IF($B383=1,1,VLOOKUP($B383+IF($C383=12,1,0),Paraméterek!$I$258:$T$278,HLOOKUP($M$11+1,Paraméterek!$J$256:$T$257,2)))),IF($D$4="Forint",0,2)))</f>
        <v>#N/A</v>
      </c>
      <c r="X383" s="13" t="e">
        <f ca="1">ROUNDDOWN($W383*IF($D$2="Egyszeri",VLOOKUP($B383+IF($C383=12,1,0),Paraméterek!$V$257:$W$262,2),VLOOKUP($B383+IF($C383=12,1,0),Paraméterek!$I$258:$T$278,HLOOKUP($M$11+1,Paraméterek!$I$256:$T$257,2))),IF($D$4="Forint",0,2))</f>
        <v>#N/A</v>
      </c>
      <c r="Z383" s="32">
        <v>364</v>
      </c>
      <c r="AA383" s="32">
        <v>31</v>
      </c>
      <c r="AB383" s="32">
        <v>4</v>
      </c>
      <c r="AC383" s="13">
        <f t="shared" ca="1" si="126"/>
        <v>0</v>
      </c>
      <c r="AD383" s="33"/>
      <c r="AE383" s="13">
        <f t="shared" ca="1" si="118"/>
        <v>0</v>
      </c>
      <c r="AF383" s="13">
        <f ca="1">ROUNDUP(($AC383+$AE383)*VLOOKUP($AA383,Paraméterek!$P$38:$Q$38,2)/12*IF($D384="Nem",IF($M$13=0,1,$M$13),1),IF($D$4="Forint",0,2))</f>
        <v>0</v>
      </c>
      <c r="AG383" s="13">
        <f ca="1">IF($D$2="Egyszeri",IF($D$7&gt;=IF($D$4="Forint",Paraméterek!$P$223,Paraméterek!$P$224),$D$7-IF($D$4="Forint",Paraméterek!$P$223,Paraméterek!$P$224),0),MIN(IF($AB383=12,AVERAGEIF($E$20:$E383,"&gt;0",$E$20:$E383)*12,0),SUM($E$20:$E$31)))</f>
        <v>0</v>
      </c>
      <c r="AH383" s="13">
        <f>IF($AA383=10,$AG383*IF($AB383=12,IF($AG383&lt;IF($D$4="Forint",Paraméterek!$L$223,Paraméterek!$L$224),0,VLOOKUP($AA383,Paraméterek!$K$226:$M$228,IF($AG383&lt;IF($D$4="Forint",Paraméterek!$M$223,Paraméterek!$M$224),2,3))),0),0)</f>
        <v>0</v>
      </c>
      <c r="AI383" s="13">
        <f ca="1">IF(AND($AA383=$M$11+1,$AB383=$M$12+1),SUMIF($AA$20:$AA$1027,$AA383,$AG$20:$AG$1027)*IF(SUMIF($AA$20:$AA$1027,$AA383,$AG$20:$AG$1027)&lt;IF($D$4="Forint",Paraméterek!$L$223,Paraméterek!$L$224),0,VLOOKUP($AA383,Paraméterek!$K$230:$M$250,IF(SUMIF($AA$20:$AA$1027,$AA383,$AG$20:$AG$1027)&lt;IF($D$4="Forint",Paraméterek!$M$223,Paraméterek!$M$224),2,3))),0)</f>
        <v>0</v>
      </c>
      <c r="AJ383" s="13">
        <f ca="1">IF(AND($AA383&gt;=5,MOD($AA383,5)=0),IF($AB383=12,VLOOKUP($AA383,Paraméterek!$O$225:$P$240,2),0),IF(OR($AA383=3,$AA383=4),IF($AB383=12,VLOOKUP($AA383,Paraméterek!$O$225:$P$240,2,0),0),0))*$AG383</f>
        <v>0</v>
      </c>
      <c r="AK383" s="13">
        <f t="shared" ca="1" si="119"/>
        <v>0</v>
      </c>
      <c r="AL383" s="13">
        <f t="shared" ca="1" si="127"/>
        <v>0</v>
      </c>
      <c r="AM383" s="13">
        <f t="shared" ca="1" si="128"/>
        <v>0</v>
      </c>
      <c r="AO383" s="32">
        <v>364</v>
      </c>
      <c r="AP383" s="32">
        <v>31</v>
      </c>
      <c r="AQ383" s="32">
        <v>4</v>
      </c>
      <c r="AR383" s="13"/>
      <c r="AS383" s="32"/>
      <c r="AT383" s="13">
        <f t="shared" ca="1" si="129"/>
        <v>0</v>
      </c>
      <c r="AU383" s="33"/>
      <c r="AV383" s="13">
        <f t="shared" ca="1" si="120"/>
        <v>0</v>
      </c>
      <c r="AW383" s="13">
        <f ca="1">ROUNDUP(($AT383+$AV383)*VLOOKUP($AP383,Paraméterek!$P$38:$Q$38,2)/12*IF($D384="Nem",IF($M$13=0,1,$M$13),1),IF($D$4="Forint",0,2))</f>
        <v>0</v>
      </c>
      <c r="AX383" s="13"/>
      <c r="AY383" s="13"/>
      <c r="AZ383" s="13">
        <f>ROUNDUP(IF(SUM($AX383:$AY383)=0,0,IF(IF(ISBLANK($AY383),$AX383,$AY383)*Paraméterek!$J$112&lt;IF($D$4="Forint",Paraméterek!$J$113,Paraméterek!$K$113),IF($D$4="Forint",Paraméterek!$J$113,Paraméterek!$K$113),IF(IF(ISBLANK($AY383),$AX383,$AY383)*Paraméterek!$J$112&gt;IF($D$4="Forint",Paraméterek!$J$114,Paraméterek!$K$114),IF($D$4="Forint",Paraméterek!$J$114,Paraméterek!$K$114),IF(ISBLANK($AY383),$AX383,$AY383)*Paraméterek!$J$112))),IF($D$4="Forint",0,2))</f>
        <v>0</v>
      </c>
      <c r="BA383" s="13">
        <f ca="1">$AT383+$AV383-$AW383-IF(ROUNDDOWN(IF(ISBLANK($AY383),$AX383,$AY383),IF($D$4="Forint",0,2))&gt;$AT383+$AV383-$AW383-IF($D$4="Forint",Paraméterek!$J$114,Paraméterek!$K$114),0,ROUNDDOWN(IF(ISBLANK($AY383),$AX383,$AY383),IF($D$4="Forint",0,2))-$AZ383)</f>
        <v>0</v>
      </c>
      <c r="BB383" s="13">
        <f t="shared" ca="1" si="121"/>
        <v>0</v>
      </c>
      <c r="BD383" s="32">
        <v>364</v>
      </c>
      <c r="BE383" s="32">
        <v>31</v>
      </c>
      <c r="BF383" s="32">
        <v>4</v>
      </c>
      <c r="BG383" s="34">
        <f t="shared" ca="1" si="130"/>
        <v>2049</v>
      </c>
      <c r="BH383" s="32" t="str">
        <f ca="1">IF(MOD(MONTH($D$14)+$BD383-1,12)=Paraméterek!$C$288,"Igen","")</f>
        <v/>
      </c>
      <c r="BI383" s="13">
        <f ca="1">IF($BH383="Igen",MIN(ROUNDDOWN((SUMIF($BG$20:$BG$1027,$BG383-1,$K$20:$K$1027)-SUMIF($BG$20:$BG$1027,$BG383-1,$I$20:$I$1027))*Paraméterek!$C$289,IF($D$4="Forint",0,2)),IF($D$4="Forint",Paraméterek!$C$285,Paraméterek!$D$285)),0)</f>
        <v>0</v>
      </c>
      <c r="BJ383" s="13">
        <f t="shared" ca="1" si="122"/>
        <v>0</v>
      </c>
      <c r="BK383" s="13">
        <f t="shared" ca="1" si="131"/>
        <v>0</v>
      </c>
      <c r="BL383" s="33"/>
      <c r="BM383" s="13">
        <f t="shared" ca="1" si="123"/>
        <v>0</v>
      </c>
      <c r="BN383" s="13">
        <f ca="1">ROUNDUP(($BK383+$BM383)*VLOOKUP($BE383,Paraméterek!$P$38:$Q$38,2)/12*IF($D384="Nem",IF($M$13=0,1,$M$13),1),IF($D$4="Forint",0,2))</f>
        <v>0</v>
      </c>
      <c r="BO383" s="13">
        <f t="shared" ca="1" si="124"/>
        <v>0</v>
      </c>
      <c r="BP383" s="13">
        <f ca="1">IF($D384="Nem",$BO383,$BO383-ROUNDUP(SUM($BI$20:$BI383)*120%,IF($D$4="Forint",0,2)))</f>
        <v>0</v>
      </c>
    </row>
    <row r="384" spans="1:68" x14ac:dyDescent="0.2">
      <c r="A384" s="32">
        <v>365</v>
      </c>
      <c r="B384" s="32">
        <v>31</v>
      </c>
      <c r="C384" s="32">
        <v>5</v>
      </c>
      <c r="D384" s="32" t="str">
        <f t="shared" ca="1" si="110"/>
        <v>Nem</v>
      </c>
      <c r="E384" s="13">
        <f t="shared" ca="1" si="111"/>
        <v>0</v>
      </c>
      <c r="F384" s="13"/>
      <c r="G384" s="13"/>
      <c r="H384" s="13"/>
      <c r="I384" s="13">
        <f t="shared" ca="1" si="112"/>
        <v>0</v>
      </c>
      <c r="J384" s="13">
        <f t="shared" ca="1" si="113"/>
        <v>0</v>
      </c>
      <c r="K384" s="13">
        <f t="shared" ca="1" si="114"/>
        <v>0</v>
      </c>
      <c r="L384" s="13" t="e">
        <f ca="1">ROUNDUP(IF($D$2="Egyszeri",$E384,IF($D$2="Havi",SUM($E$20:$E$31),IF(MOD($C384,$M$1)-1=0,SUM($E$20:$E$31),0))/12*$M$1)*VLOOKUP($B384,Paraméterek!$I$28:$P$31,IF($D$2="Egyszeri",8,HLOOKUP(ROUNDUP($M$11+$M$13,0),Paraméterek!$J$26:$O$27,2))),IF($D$4="Forint",0,2))</f>
        <v>#N/A</v>
      </c>
      <c r="M384" s="13">
        <f t="shared" ca="1" si="115"/>
        <v>0</v>
      </c>
      <c r="N384" s="13">
        <f t="shared" ca="1" si="125"/>
        <v>0</v>
      </c>
      <c r="O384" s="13">
        <f ca="1">IF($D384="Igen",IF($W383&gt;=IF($D$4="Forint",Paraméterek!$J$121,Paraméterek!$K$121),0,IF($D$4="Forint",Paraméterek!$J$121,Paraméterek!$K$121)-$W383),0)</f>
        <v>0</v>
      </c>
      <c r="P384" s="13" t="e">
        <f ca="1">ROUNDUP($O384*VLOOKUP($M$4+$B384-1,Paraméterek!$H$58:$I$105,2,0)/Paraméterek!$I$56,IF($D$4="Forint",0,2))</f>
        <v>#N/A</v>
      </c>
      <c r="Q384" s="13">
        <f t="shared" ca="1" si="116"/>
        <v>0</v>
      </c>
      <c r="R384" s="33"/>
      <c r="S384" s="13" t="e">
        <f t="shared" ca="1" si="117"/>
        <v>#N/A</v>
      </c>
      <c r="T384" s="13" t="e">
        <f ca="1">ROUNDUP(($N384-$P384-$Q384+$S384)*VLOOKUP($B384,Paraméterek!$I$38:$K$39,IF($D$2="Egyszeri",3,2))/12*IF($D385="Nem",IF($M$13=0,1,$M$13),1),IF($D$4="Forint",0,2))</f>
        <v>#N/A</v>
      </c>
      <c r="U384" s="13"/>
      <c r="V384" s="13"/>
      <c r="W384" s="13" t="e">
        <f ca="1">$N384-$P384-$Q384+$S384-$T384-IF(ROUNDUP(IF(ISBLANK($V384),$U384*0,$V384)/IF($D$2="Egyszeri",VLOOKUP($B384+IF($C384=12,1,0),Paraméterek!$V$257:$W$262,2),IF($B384=1,1,VLOOKUP($B384+IF($C384=12,1,0),Paraméterek!$I$258:$T$278,HLOOKUP($M$11+1,Paraméterek!$J$256:$T$257,2)))),IF($D$4="Forint",0,2))&gt;$N384-$P384-$Q384+$S384-$T384-IF($D$4="Forint",Paraméterek!$C$216,Paraméterek!$D$216),0,ROUNDUP(IF(ISBLANK($V384),$U384*0,$V384)/IF($D$2="Egyszeri",VLOOKUP($B384+IF($C384=12,1,0),Paraméterek!$V$257:$W$262,2),IF($B384=1,1,VLOOKUP($B384+IF($C384=12,1,0),Paraméterek!$I$258:$T$278,HLOOKUP($M$11+1,Paraméterek!$J$256:$T$257,2)))),IF($D$4="Forint",0,2)))</f>
        <v>#N/A</v>
      </c>
      <c r="X384" s="13" t="e">
        <f ca="1">ROUNDDOWN($W384*IF($D$2="Egyszeri",VLOOKUP($B384+IF($C384=12,1,0),Paraméterek!$V$257:$W$262,2),VLOOKUP($B384+IF($C384=12,1,0),Paraméterek!$I$258:$T$278,HLOOKUP($M$11+1,Paraméterek!$I$256:$T$257,2))),IF($D$4="Forint",0,2))</f>
        <v>#N/A</v>
      </c>
      <c r="Z384" s="32">
        <v>365</v>
      </c>
      <c r="AA384" s="32">
        <v>31</v>
      </c>
      <c r="AB384" s="32">
        <v>5</v>
      </c>
      <c r="AC384" s="13">
        <f t="shared" ca="1" si="126"/>
        <v>0</v>
      </c>
      <c r="AD384" s="33"/>
      <c r="AE384" s="13">
        <f t="shared" ca="1" si="118"/>
        <v>0</v>
      </c>
      <c r="AF384" s="13">
        <f ca="1">ROUNDUP(($AC384+$AE384)*VLOOKUP($AA384,Paraméterek!$P$38:$Q$38,2)/12*IF($D385="Nem",IF($M$13=0,1,$M$13),1),IF($D$4="Forint",0,2))</f>
        <v>0</v>
      </c>
      <c r="AG384" s="13">
        <f ca="1">IF($D$2="Egyszeri",IF($D$7&gt;=IF($D$4="Forint",Paraméterek!$P$223,Paraméterek!$P$224),$D$7-IF($D$4="Forint",Paraméterek!$P$223,Paraméterek!$P$224),0),MIN(IF($AB384=12,AVERAGEIF($E$20:$E384,"&gt;0",$E$20:$E384)*12,0),SUM($E$20:$E$31)))</f>
        <v>0</v>
      </c>
      <c r="AH384" s="13">
        <f>IF($AA384=10,$AG384*IF($AB384=12,IF($AG384&lt;IF($D$4="Forint",Paraméterek!$L$223,Paraméterek!$L$224),0,VLOOKUP($AA384,Paraméterek!$K$226:$M$228,IF($AG384&lt;IF($D$4="Forint",Paraméterek!$M$223,Paraméterek!$M$224),2,3))),0),0)</f>
        <v>0</v>
      </c>
      <c r="AI384" s="13">
        <f ca="1">IF(AND($AA384=$M$11+1,$AB384=$M$12+1),SUMIF($AA$20:$AA$1027,$AA384,$AG$20:$AG$1027)*IF(SUMIF($AA$20:$AA$1027,$AA384,$AG$20:$AG$1027)&lt;IF($D$4="Forint",Paraméterek!$L$223,Paraméterek!$L$224),0,VLOOKUP($AA384,Paraméterek!$K$230:$M$250,IF(SUMIF($AA$20:$AA$1027,$AA384,$AG$20:$AG$1027)&lt;IF($D$4="Forint",Paraméterek!$M$223,Paraméterek!$M$224),2,3))),0)</f>
        <v>0</v>
      </c>
      <c r="AJ384" s="13">
        <f ca="1">IF(AND($AA384&gt;=5,MOD($AA384,5)=0),IF($AB384=12,VLOOKUP($AA384,Paraméterek!$O$225:$P$240,2),0),IF(OR($AA384=3,$AA384=4),IF($AB384=12,VLOOKUP($AA384,Paraméterek!$O$225:$P$240,2,0),0),0))*$AG384</f>
        <v>0</v>
      </c>
      <c r="AK384" s="13">
        <f t="shared" ca="1" si="119"/>
        <v>0</v>
      </c>
      <c r="AL384" s="13">
        <f t="shared" ca="1" si="127"/>
        <v>0</v>
      </c>
      <c r="AM384" s="13">
        <f t="shared" ca="1" si="128"/>
        <v>0</v>
      </c>
      <c r="AO384" s="32">
        <v>365</v>
      </c>
      <c r="AP384" s="32">
        <v>31</v>
      </c>
      <c r="AQ384" s="32">
        <v>5</v>
      </c>
      <c r="AR384" s="13"/>
      <c r="AS384" s="32"/>
      <c r="AT384" s="13">
        <f t="shared" ca="1" si="129"/>
        <v>0</v>
      </c>
      <c r="AU384" s="33"/>
      <c r="AV384" s="13">
        <f t="shared" ca="1" si="120"/>
        <v>0</v>
      </c>
      <c r="AW384" s="13">
        <f ca="1">ROUNDUP(($AT384+$AV384)*VLOOKUP($AP384,Paraméterek!$P$38:$Q$38,2)/12*IF($D385="Nem",IF($M$13=0,1,$M$13),1),IF($D$4="Forint",0,2))</f>
        <v>0</v>
      </c>
      <c r="AX384" s="13"/>
      <c r="AY384" s="13"/>
      <c r="AZ384" s="13">
        <f>ROUNDUP(IF(SUM($AX384:$AY384)=0,0,IF(IF(ISBLANK($AY384),$AX384,$AY384)*Paraméterek!$J$112&lt;IF($D$4="Forint",Paraméterek!$J$113,Paraméterek!$K$113),IF($D$4="Forint",Paraméterek!$J$113,Paraméterek!$K$113),IF(IF(ISBLANK($AY384),$AX384,$AY384)*Paraméterek!$J$112&gt;IF($D$4="Forint",Paraméterek!$J$114,Paraméterek!$K$114),IF($D$4="Forint",Paraméterek!$J$114,Paraméterek!$K$114),IF(ISBLANK($AY384),$AX384,$AY384)*Paraméterek!$J$112))),IF($D$4="Forint",0,2))</f>
        <v>0</v>
      </c>
      <c r="BA384" s="13">
        <f ca="1">$AT384+$AV384-$AW384-IF(ROUNDDOWN(IF(ISBLANK($AY384),$AX384,$AY384),IF($D$4="Forint",0,2))&gt;$AT384+$AV384-$AW384-IF($D$4="Forint",Paraméterek!$J$114,Paraméterek!$K$114),0,ROUNDDOWN(IF(ISBLANK($AY384),$AX384,$AY384),IF($D$4="Forint",0,2))-$AZ384)</f>
        <v>0</v>
      </c>
      <c r="BB384" s="13">
        <f t="shared" ca="1" si="121"/>
        <v>0</v>
      </c>
      <c r="BD384" s="32">
        <v>365</v>
      </c>
      <c r="BE384" s="32">
        <v>31</v>
      </c>
      <c r="BF384" s="32">
        <v>5</v>
      </c>
      <c r="BG384" s="34">
        <f t="shared" ca="1" si="130"/>
        <v>2049</v>
      </c>
      <c r="BH384" s="32" t="str">
        <f ca="1">IF(MOD(MONTH($D$14)+$BD384-1,12)=Paraméterek!$C$288,"Igen","")</f>
        <v/>
      </c>
      <c r="BI384" s="13">
        <f ca="1">IF($BH384="Igen",MIN(ROUNDDOWN((SUMIF($BG$20:$BG$1027,$BG384-1,$K$20:$K$1027)-SUMIF($BG$20:$BG$1027,$BG384-1,$I$20:$I$1027))*Paraméterek!$C$289,IF($D$4="Forint",0,2)),IF($D$4="Forint",Paraméterek!$C$285,Paraméterek!$D$285)),0)</f>
        <v>0</v>
      </c>
      <c r="BJ384" s="13">
        <f t="shared" ca="1" si="122"/>
        <v>0</v>
      </c>
      <c r="BK384" s="13">
        <f t="shared" ca="1" si="131"/>
        <v>0</v>
      </c>
      <c r="BL384" s="33"/>
      <c r="BM384" s="13">
        <f t="shared" ca="1" si="123"/>
        <v>0</v>
      </c>
      <c r="BN384" s="13">
        <f ca="1">ROUNDUP(($BK384+$BM384)*VLOOKUP($BE384,Paraméterek!$P$38:$Q$38,2)/12*IF($D385="Nem",IF($M$13=0,1,$M$13),1),IF($D$4="Forint",0,2))</f>
        <v>0</v>
      </c>
      <c r="BO384" s="13">
        <f t="shared" ca="1" si="124"/>
        <v>0</v>
      </c>
      <c r="BP384" s="13">
        <f ca="1">IF($D385="Nem",$BO384,$BO384-ROUNDUP(SUM($BI$20:$BI384)*120%,IF($D$4="Forint",0,2)))</f>
        <v>0</v>
      </c>
    </row>
    <row r="385" spans="1:68" x14ac:dyDescent="0.2">
      <c r="A385" s="32">
        <v>366</v>
      </c>
      <c r="B385" s="32">
        <v>31</v>
      </c>
      <c r="C385" s="32">
        <v>6</v>
      </c>
      <c r="D385" s="32" t="str">
        <f t="shared" ca="1" si="110"/>
        <v>Nem</v>
      </c>
      <c r="E385" s="13">
        <f t="shared" ca="1" si="111"/>
        <v>0</v>
      </c>
      <c r="F385" s="13"/>
      <c r="G385" s="13"/>
      <c r="H385" s="13"/>
      <c r="I385" s="13">
        <f t="shared" ca="1" si="112"/>
        <v>0</v>
      </c>
      <c r="J385" s="13">
        <f t="shared" ca="1" si="113"/>
        <v>0</v>
      </c>
      <c r="K385" s="13">
        <f t="shared" ca="1" si="114"/>
        <v>0</v>
      </c>
      <c r="L385" s="13" t="e">
        <f ca="1">ROUNDUP(IF($D$2="Egyszeri",$E385,IF($D$2="Havi",SUM($E$20:$E$31),IF(MOD($C385,$M$1)-1=0,SUM($E$20:$E$31),0))/12*$M$1)*VLOOKUP($B385,Paraméterek!$I$28:$P$31,IF($D$2="Egyszeri",8,HLOOKUP(ROUNDUP($M$11+$M$13,0),Paraméterek!$J$26:$O$27,2))),IF($D$4="Forint",0,2))</f>
        <v>#N/A</v>
      </c>
      <c r="M385" s="13">
        <f t="shared" ca="1" si="115"/>
        <v>0</v>
      </c>
      <c r="N385" s="13">
        <f t="shared" ca="1" si="125"/>
        <v>0</v>
      </c>
      <c r="O385" s="13">
        <f ca="1">IF($D385="Igen",IF($W384&gt;=IF($D$4="Forint",Paraméterek!$J$121,Paraméterek!$K$121),0,IF($D$4="Forint",Paraméterek!$J$121,Paraméterek!$K$121)-$W384),0)</f>
        <v>0</v>
      </c>
      <c r="P385" s="13" t="e">
        <f ca="1">ROUNDUP($O385*VLOOKUP($M$4+$B385-1,Paraméterek!$H$58:$I$105,2,0)/Paraméterek!$I$56,IF($D$4="Forint",0,2))</f>
        <v>#N/A</v>
      </c>
      <c r="Q385" s="13">
        <f t="shared" ca="1" si="116"/>
        <v>0</v>
      </c>
      <c r="R385" s="33"/>
      <c r="S385" s="13" t="e">
        <f t="shared" ca="1" si="117"/>
        <v>#N/A</v>
      </c>
      <c r="T385" s="13" t="e">
        <f ca="1">ROUNDUP(($N385-$P385-$Q385+$S385)*VLOOKUP($B385,Paraméterek!$I$38:$K$39,IF($D$2="Egyszeri",3,2))/12*IF($D386="Nem",IF($M$13=0,1,$M$13),1),IF($D$4="Forint",0,2))</f>
        <v>#N/A</v>
      </c>
      <c r="U385" s="13"/>
      <c r="V385" s="13"/>
      <c r="W385" s="13" t="e">
        <f ca="1">$N385-$P385-$Q385+$S385-$T385-IF(ROUNDUP(IF(ISBLANK($V385),$U385*0,$V385)/IF($D$2="Egyszeri",VLOOKUP($B385+IF($C385=12,1,0),Paraméterek!$V$257:$W$262,2),IF($B385=1,1,VLOOKUP($B385+IF($C385=12,1,0),Paraméterek!$I$258:$T$278,HLOOKUP($M$11+1,Paraméterek!$J$256:$T$257,2)))),IF($D$4="Forint",0,2))&gt;$N385-$P385-$Q385+$S385-$T385-IF($D$4="Forint",Paraméterek!$C$216,Paraméterek!$D$216),0,ROUNDUP(IF(ISBLANK($V385),$U385*0,$V385)/IF($D$2="Egyszeri",VLOOKUP($B385+IF($C385=12,1,0),Paraméterek!$V$257:$W$262,2),IF($B385=1,1,VLOOKUP($B385+IF($C385=12,1,0),Paraméterek!$I$258:$T$278,HLOOKUP($M$11+1,Paraméterek!$J$256:$T$257,2)))),IF($D$4="Forint",0,2)))</f>
        <v>#N/A</v>
      </c>
      <c r="X385" s="13" t="e">
        <f ca="1">ROUNDDOWN($W385*IF($D$2="Egyszeri",VLOOKUP($B385+IF($C385=12,1,0),Paraméterek!$V$257:$W$262,2),VLOOKUP($B385+IF($C385=12,1,0),Paraméterek!$I$258:$T$278,HLOOKUP($M$11+1,Paraméterek!$I$256:$T$257,2))),IF($D$4="Forint",0,2))</f>
        <v>#N/A</v>
      </c>
      <c r="Z385" s="32">
        <v>366</v>
      </c>
      <c r="AA385" s="32">
        <v>31</v>
      </c>
      <c r="AB385" s="32">
        <v>6</v>
      </c>
      <c r="AC385" s="13">
        <f t="shared" ca="1" si="126"/>
        <v>0</v>
      </c>
      <c r="AD385" s="33"/>
      <c r="AE385" s="13">
        <f t="shared" ca="1" si="118"/>
        <v>0</v>
      </c>
      <c r="AF385" s="13">
        <f ca="1">ROUNDUP(($AC385+$AE385)*VLOOKUP($AA385,Paraméterek!$P$38:$Q$38,2)/12*IF($D386="Nem",IF($M$13=0,1,$M$13),1),IF($D$4="Forint",0,2))</f>
        <v>0</v>
      </c>
      <c r="AG385" s="13">
        <f ca="1">IF($D$2="Egyszeri",IF($D$7&gt;=IF($D$4="Forint",Paraméterek!$P$223,Paraméterek!$P$224),$D$7-IF($D$4="Forint",Paraméterek!$P$223,Paraméterek!$P$224),0),MIN(IF($AB385=12,AVERAGEIF($E$20:$E385,"&gt;0",$E$20:$E385)*12,0),SUM($E$20:$E$31)))</f>
        <v>0</v>
      </c>
      <c r="AH385" s="13">
        <f>IF($AA385=10,$AG385*IF($AB385=12,IF($AG385&lt;IF($D$4="Forint",Paraméterek!$L$223,Paraméterek!$L$224),0,VLOOKUP($AA385,Paraméterek!$K$226:$M$228,IF($AG385&lt;IF($D$4="Forint",Paraméterek!$M$223,Paraméterek!$M$224),2,3))),0),0)</f>
        <v>0</v>
      </c>
      <c r="AI385" s="13">
        <f ca="1">IF(AND($AA385=$M$11+1,$AB385=$M$12+1),SUMIF($AA$20:$AA$1027,$AA385,$AG$20:$AG$1027)*IF(SUMIF($AA$20:$AA$1027,$AA385,$AG$20:$AG$1027)&lt;IF($D$4="Forint",Paraméterek!$L$223,Paraméterek!$L$224),0,VLOOKUP($AA385,Paraméterek!$K$230:$M$250,IF(SUMIF($AA$20:$AA$1027,$AA385,$AG$20:$AG$1027)&lt;IF($D$4="Forint",Paraméterek!$M$223,Paraméterek!$M$224),2,3))),0)</f>
        <v>0</v>
      </c>
      <c r="AJ385" s="13">
        <f ca="1">IF(AND($AA385&gt;=5,MOD($AA385,5)=0),IF($AB385=12,VLOOKUP($AA385,Paraméterek!$O$225:$P$240,2),0),IF(OR($AA385=3,$AA385=4),IF($AB385=12,VLOOKUP($AA385,Paraméterek!$O$225:$P$240,2,0),0),0))*$AG385</f>
        <v>0</v>
      </c>
      <c r="AK385" s="13">
        <f t="shared" ca="1" si="119"/>
        <v>0</v>
      </c>
      <c r="AL385" s="13">
        <f t="shared" ca="1" si="127"/>
        <v>0</v>
      </c>
      <c r="AM385" s="13">
        <f t="shared" ca="1" si="128"/>
        <v>0</v>
      </c>
      <c r="AO385" s="32">
        <v>366</v>
      </c>
      <c r="AP385" s="32">
        <v>31</v>
      </c>
      <c r="AQ385" s="32">
        <v>6</v>
      </c>
      <c r="AR385" s="13"/>
      <c r="AS385" s="32"/>
      <c r="AT385" s="13">
        <f t="shared" ca="1" si="129"/>
        <v>0</v>
      </c>
      <c r="AU385" s="33"/>
      <c r="AV385" s="13">
        <f t="shared" ca="1" si="120"/>
        <v>0</v>
      </c>
      <c r="AW385" s="13">
        <f ca="1">ROUNDUP(($AT385+$AV385)*VLOOKUP($AP385,Paraméterek!$P$38:$Q$38,2)/12*IF($D386="Nem",IF($M$13=0,1,$M$13),1),IF($D$4="Forint",0,2))</f>
        <v>0</v>
      </c>
      <c r="AX385" s="13"/>
      <c r="AY385" s="13"/>
      <c r="AZ385" s="13">
        <f>ROUNDUP(IF(SUM($AX385:$AY385)=0,0,IF(IF(ISBLANK($AY385),$AX385,$AY385)*Paraméterek!$J$112&lt;IF($D$4="Forint",Paraméterek!$J$113,Paraméterek!$K$113),IF($D$4="Forint",Paraméterek!$J$113,Paraméterek!$K$113),IF(IF(ISBLANK($AY385),$AX385,$AY385)*Paraméterek!$J$112&gt;IF($D$4="Forint",Paraméterek!$J$114,Paraméterek!$K$114),IF($D$4="Forint",Paraméterek!$J$114,Paraméterek!$K$114),IF(ISBLANK($AY385),$AX385,$AY385)*Paraméterek!$J$112))),IF($D$4="Forint",0,2))</f>
        <v>0</v>
      </c>
      <c r="BA385" s="13">
        <f ca="1">$AT385+$AV385-$AW385-IF(ROUNDDOWN(IF(ISBLANK($AY385),$AX385,$AY385),IF($D$4="Forint",0,2))&gt;$AT385+$AV385-$AW385-IF($D$4="Forint",Paraméterek!$J$114,Paraméterek!$K$114),0,ROUNDDOWN(IF(ISBLANK($AY385),$AX385,$AY385),IF($D$4="Forint",0,2))-$AZ385)</f>
        <v>0</v>
      </c>
      <c r="BB385" s="13">
        <f t="shared" ca="1" si="121"/>
        <v>0</v>
      </c>
      <c r="BD385" s="32">
        <v>366</v>
      </c>
      <c r="BE385" s="32">
        <v>31</v>
      </c>
      <c r="BF385" s="32">
        <v>6</v>
      </c>
      <c r="BG385" s="34">
        <f t="shared" ca="1" si="130"/>
        <v>2049</v>
      </c>
      <c r="BH385" s="32" t="str">
        <f ca="1">IF(MOD(MONTH($D$14)+$BD385-1,12)=Paraméterek!$C$288,"Igen","")</f>
        <v/>
      </c>
      <c r="BI385" s="13">
        <f ca="1">IF($BH385="Igen",MIN(ROUNDDOWN((SUMIF($BG$20:$BG$1027,$BG385-1,$K$20:$K$1027)-SUMIF($BG$20:$BG$1027,$BG385-1,$I$20:$I$1027))*Paraméterek!$C$289,IF($D$4="Forint",0,2)),IF($D$4="Forint",Paraméterek!$C$285,Paraméterek!$D$285)),0)</f>
        <v>0</v>
      </c>
      <c r="BJ385" s="13">
        <f t="shared" ca="1" si="122"/>
        <v>0</v>
      </c>
      <c r="BK385" s="13">
        <f t="shared" ca="1" si="131"/>
        <v>0</v>
      </c>
      <c r="BL385" s="33"/>
      <c r="BM385" s="13">
        <f t="shared" ca="1" si="123"/>
        <v>0</v>
      </c>
      <c r="BN385" s="13">
        <f ca="1">ROUNDUP(($BK385+$BM385)*VLOOKUP($BE385,Paraméterek!$P$38:$Q$38,2)/12*IF($D386="Nem",IF($M$13=0,1,$M$13),1),IF($D$4="Forint",0,2))</f>
        <v>0</v>
      </c>
      <c r="BO385" s="13">
        <f t="shared" ca="1" si="124"/>
        <v>0</v>
      </c>
      <c r="BP385" s="13">
        <f ca="1">IF($D386="Nem",$BO385,$BO385-ROUNDUP(SUM($BI$20:$BI385)*120%,IF($D$4="Forint",0,2)))</f>
        <v>0</v>
      </c>
    </row>
    <row r="386" spans="1:68" x14ac:dyDescent="0.2">
      <c r="A386" s="32">
        <v>367</v>
      </c>
      <c r="B386" s="32">
        <v>31</v>
      </c>
      <c r="C386" s="32">
        <v>7</v>
      </c>
      <c r="D386" s="32" t="str">
        <f t="shared" ca="1" si="110"/>
        <v>Nem</v>
      </c>
      <c r="E386" s="13">
        <f t="shared" ca="1" si="111"/>
        <v>0</v>
      </c>
      <c r="F386" s="13"/>
      <c r="G386" s="13"/>
      <c r="H386" s="13"/>
      <c r="I386" s="13">
        <f t="shared" ca="1" si="112"/>
        <v>0</v>
      </c>
      <c r="J386" s="13">
        <f t="shared" ca="1" si="113"/>
        <v>0</v>
      </c>
      <c r="K386" s="13">
        <f t="shared" ca="1" si="114"/>
        <v>0</v>
      </c>
      <c r="L386" s="13" t="e">
        <f ca="1">ROUNDUP(IF($D$2="Egyszeri",$E386,IF($D$2="Havi",SUM($E$20:$E$31),IF(MOD($C386,$M$1)-1=0,SUM($E$20:$E$31),0))/12*$M$1)*VLOOKUP($B386,Paraméterek!$I$28:$P$31,IF($D$2="Egyszeri",8,HLOOKUP(ROUNDUP($M$11+$M$13,0),Paraméterek!$J$26:$O$27,2))),IF($D$4="Forint",0,2))</f>
        <v>#N/A</v>
      </c>
      <c r="M386" s="13">
        <f t="shared" ca="1" si="115"/>
        <v>0</v>
      </c>
      <c r="N386" s="13">
        <f t="shared" ca="1" si="125"/>
        <v>0</v>
      </c>
      <c r="O386" s="13">
        <f ca="1">IF($D386="Igen",IF($W385&gt;=IF($D$4="Forint",Paraméterek!$J$121,Paraméterek!$K$121),0,IF($D$4="Forint",Paraméterek!$J$121,Paraméterek!$K$121)-$W385),0)</f>
        <v>0</v>
      </c>
      <c r="P386" s="13" t="e">
        <f ca="1">ROUNDUP($O386*VLOOKUP($M$4+$B386-1,Paraméterek!$H$58:$I$105,2,0)/Paraméterek!$I$56,IF($D$4="Forint",0,2))</f>
        <v>#N/A</v>
      </c>
      <c r="Q386" s="13">
        <f t="shared" ca="1" si="116"/>
        <v>0</v>
      </c>
      <c r="R386" s="33"/>
      <c r="S386" s="13" t="e">
        <f t="shared" ca="1" si="117"/>
        <v>#N/A</v>
      </c>
      <c r="T386" s="13" t="e">
        <f ca="1">ROUNDUP(($N386-$P386-$Q386+$S386)*VLOOKUP($B386,Paraméterek!$I$38:$K$39,IF($D$2="Egyszeri",3,2))/12*IF($D387="Nem",IF($M$13=0,1,$M$13),1),IF($D$4="Forint",0,2))</f>
        <v>#N/A</v>
      </c>
      <c r="U386" s="13"/>
      <c r="V386" s="13"/>
      <c r="W386" s="13" t="e">
        <f ca="1">$N386-$P386-$Q386+$S386-$T386-IF(ROUNDUP(IF(ISBLANK($V386),$U386*0,$V386)/IF($D$2="Egyszeri",VLOOKUP($B386+IF($C386=12,1,0),Paraméterek!$V$257:$W$262,2),IF($B386=1,1,VLOOKUP($B386+IF($C386=12,1,0),Paraméterek!$I$258:$T$278,HLOOKUP($M$11+1,Paraméterek!$J$256:$T$257,2)))),IF($D$4="Forint",0,2))&gt;$N386-$P386-$Q386+$S386-$T386-IF($D$4="Forint",Paraméterek!$C$216,Paraméterek!$D$216),0,ROUNDUP(IF(ISBLANK($V386),$U386*0,$V386)/IF($D$2="Egyszeri",VLOOKUP($B386+IF($C386=12,1,0),Paraméterek!$V$257:$W$262,2),IF($B386=1,1,VLOOKUP($B386+IF($C386=12,1,0),Paraméterek!$I$258:$T$278,HLOOKUP($M$11+1,Paraméterek!$J$256:$T$257,2)))),IF($D$4="Forint",0,2)))</f>
        <v>#N/A</v>
      </c>
      <c r="X386" s="13" t="e">
        <f ca="1">ROUNDDOWN($W386*IF($D$2="Egyszeri",VLOOKUP($B386+IF($C386=12,1,0),Paraméterek!$V$257:$W$262,2),VLOOKUP($B386+IF($C386=12,1,0),Paraméterek!$I$258:$T$278,HLOOKUP($M$11+1,Paraméterek!$I$256:$T$257,2))),IF($D$4="Forint",0,2))</f>
        <v>#N/A</v>
      </c>
      <c r="Z386" s="32">
        <v>367</v>
      </c>
      <c r="AA386" s="32">
        <v>31</v>
      </c>
      <c r="AB386" s="32">
        <v>7</v>
      </c>
      <c r="AC386" s="13">
        <f t="shared" ca="1" si="126"/>
        <v>0</v>
      </c>
      <c r="AD386" s="33"/>
      <c r="AE386" s="13">
        <f t="shared" ca="1" si="118"/>
        <v>0</v>
      </c>
      <c r="AF386" s="13">
        <f ca="1">ROUNDUP(($AC386+$AE386)*VLOOKUP($AA386,Paraméterek!$P$38:$Q$38,2)/12*IF($D387="Nem",IF($M$13=0,1,$M$13),1),IF($D$4="Forint",0,2))</f>
        <v>0</v>
      </c>
      <c r="AG386" s="13">
        <f ca="1">IF($D$2="Egyszeri",IF($D$7&gt;=IF($D$4="Forint",Paraméterek!$P$223,Paraméterek!$P$224),$D$7-IF($D$4="Forint",Paraméterek!$P$223,Paraméterek!$P$224),0),MIN(IF($AB386=12,AVERAGEIF($E$20:$E386,"&gt;0",$E$20:$E386)*12,0),SUM($E$20:$E$31)))</f>
        <v>0</v>
      </c>
      <c r="AH386" s="13">
        <f>IF($AA386=10,$AG386*IF($AB386=12,IF($AG386&lt;IF($D$4="Forint",Paraméterek!$L$223,Paraméterek!$L$224),0,VLOOKUP($AA386,Paraméterek!$K$226:$M$228,IF($AG386&lt;IF($D$4="Forint",Paraméterek!$M$223,Paraméterek!$M$224),2,3))),0),0)</f>
        <v>0</v>
      </c>
      <c r="AI386" s="13">
        <f ca="1">IF(AND($AA386=$M$11+1,$AB386=$M$12+1),SUMIF($AA$20:$AA$1027,$AA386,$AG$20:$AG$1027)*IF(SUMIF($AA$20:$AA$1027,$AA386,$AG$20:$AG$1027)&lt;IF($D$4="Forint",Paraméterek!$L$223,Paraméterek!$L$224),0,VLOOKUP($AA386,Paraméterek!$K$230:$M$250,IF(SUMIF($AA$20:$AA$1027,$AA386,$AG$20:$AG$1027)&lt;IF($D$4="Forint",Paraméterek!$M$223,Paraméterek!$M$224),2,3))),0)</f>
        <v>0</v>
      </c>
      <c r="AJ386" s="13">
        <f ca="1">IF(AND($AA386&gt;=5,MOD($AA386,5)=0),IF($AB386=12,VLOOKUP($AA386,Paraméterek!$O$225:$P$240,2),0),IF(OR($AA386=3,$AA386=4),IF($AB386=12,VLOOKUP($AA386,Paraméterek!$O$225:$P$240,2,0),0),0))*$AG386</f>
        <v>0</v>
      </c>
      <c r="AK386" s="13">
        <f t="shared" ca="1" si="119"/>
        <v>0</v>
      </c>
      <c r="AL386" s="13">
        <f t="shared" ca="1" si="127"/>
        <v>0</v>
      </c>
      <c r="AM386" s="13">
        <f t="shared" ca="1" si="128"/>
        <v>0</v>
      </c>
      <c r="AO386" s="32">
        <v>367</v>
      </c>
      <c r="AP386" s="32">
        <v>31</v>
      </c>
      <c r="AQ386" s="32">
        <v>7</v>
      </c>
      <c r="AR386" s="13"/>
      <c r="AS386" s="32"/>
      <c r="AT386" s="13">
        <f t="shared" ca="1" si="129"/>
        <v>0</v>
      </c>
      <c r="AU386" s="33"/>
      <c r="AV386" s="13">
        <f t="shared" ca="1" si="120"/>
        <v>0</v>
      </c>
      <c r="AW386" s="13">
        <f ca="1">ROUNDUP(($AT386+$AV386)*VLOOKUP($AP386,Paraméterek!$P$38:$Q$38,2)/12*IF($D387="Nem",IF($M$13=0,1,$M$13),1),IF($D$4="Forint",0,2))</f>
        <v>0</v>
      </c>
      <c r="AX386" s="13"/>
      <c r="AY386" s="13"/>
      <c r="AZ386" s="13">
        <f>ROUNDUP(IF(SUM($AX386:$AY386)=0,0,IF(IF(ISBLANK($AY386),$AX386,$AY386)*Paraméterek!$J$112&lt;IF($D$4="Forint",Paraméterek!$J$113,Paraméterek!$K$113),IF($D$4="Forint",Paraméterek!$J$113,Paraméterek!$K$113),IF(IF(ISBLANK($AY386),$AX386,$AY386)*Paraméterek!$J$112&gt;IF($D$4="Forint",Paraméterek!$J$114,Paraméterek!$K$114),IF($D$4="Forint",Paraméterek!$J$114,Paraméterek!$K$114),IF(ISBLANK($AY386),$AX386,$AY386)*Paraméterek!$J$112))),IF($D$4="Forint",0,2))</f>
        <v>0</v>
      </c>
      <c r="BA386" s="13">
        <f ca="1">$AT386+$AV386-$AW386-IF(ROUNDDOWN(IF(ISBLANK($AY386),$AX386,$AY386),IF($D$4="Forint",0,2))&gt;$AT386+$AV386-$AW386-IF($D$4="Forint",Paraméterek!$J$114,Paraméterek!$K$114),0,ROUNDDOWN(IF(ISBLANK($AY386),$AX386,$AY386),IF($D$4="Forint",0,2))-$AZ386)</f>
        <v>0</v>
      </c>
      <c r="BB386" s="13">
        <f t="shared" ca="1" si="121"/>
        <v>0</v>
      </c>
      <c r="BD386" s="32">
        <v>367</v>
      </c>
      <c r="BE386" s="32">
        <v>31</v>
      </c>
      <c r="BF386" s="32">
        <v>7</v>
      </c>
      <c r="BG386" s="34">
        <f t="shared" ca="1" si="130"/>
        <v>2049</v>
      </c>
      <c r="BH386" s="32" t="str">
        <f ca="1">IF(MOD(MONTH($D$14)+$BD386-1,12)=Paraméterek!$C$288,"Igen","")</f>
        <v/>
      </c>
      <c r="BI386" s="13">
        <f ca="1">IF($BH386="Igen",MIN(ROUNDDOWN((SUMIF($BG$20:$BG$1027,$BG386-1,$K$20:$K$1027)-SUMIF($BG$20:$BG$1027,$BG386-1,$I$20:$I$1027))*Paraméterek!$C$289,IF($D$4="Forint",0,2)),IF($D$4="Forint",Paraméterek!$C$285,Paraméterek!$D$285)),0)</f>
        <v>0</v>
      </c>
      <c r="BJ386" s="13">
        <f t="shared" ca="1" si="122"/>
        <v>0</v>
      </c>
      <c r="BK386" s="13">
        <f t="shared" ca="1" si="131"/>
        <v>0</v>
      </c>
      <c r="BL386" s="33"/>
      <c r="BM386" s="13">
        <f t="shared" ca="1" si="123"/>
        <v>0</v>
      </c>
      <c r="BN386" s="13">
        <f ca="1">ROUNDUP(($BK386+$BM386)*VLOOKUP($BE386,Paraméterek!$P$38:$Q$38,2)/12*IF($D387="Nem",IF($M$13=0,1,$M$13),1),IF($D$4="Forint",0,2))</f>
        <v>0</v>
      </c>
      <c r="BO386" s="13">
        <f t="shared" ca="1" si="124"/>
        <v>0</v>
      </c>
      <c r="BP386" s="13">
        <f ca="1">IF($D387="Nem",$BO386,$BO386-ROUNDUP(SUM($BI$20:$BI386)*120%,IF($D$4="Forint",0,2)))</f>
        <v>0</v>
      </c>
    </row>
    <row r="387" spans="1:68" x14ac:dyDescent="0.2">
      <c r="A387" s="32">
        <v>368</v>
      </c>
      <c r="B387" s="32">
        <v>31</v>
      </c>
      <c r="C387" s="32">
        <v>8</v>
      </c>
      <c r="D387" s="32" t="str">
        <f t="shared" ca="1" si="110"/>
        <v>Nem</v>
      </c>
      <c r="E387" s="13">
        <f t="shared" ca="1" si="111"/>
        <v>0</v>
      </c>
      <c r="F387" s="13"/>
      <c r="G387" s="13"/>
      <c r="H387" s="13"/>
      <c r="I387" s="13">
        <f t="shared" ca="1" si="112"/>
        <v>0</v>
      </c>
      <c r="J387" s="13">
        <f t="shared" ca="1" si="113"/>
        <v>0</v>
      </c>
      <c r="K387" s="13">
        <f t="shared" ca="1" si="114"/>
        <v>0</v>
      </c>
      <c r="L387" s="13" t="e">
        <f ca="1">ROUNDUP(IF($D$2="Egyszeri",$E387,IF($D$2="Havi",SUM($E$20:$E$31),IF(MOD($C387,$M$1)-1=0,SUM($E$20:$E$31),0))/12*$M$1)*VLOOKUP($B387,Paraméterek!$I$28:$P$31,IF($D$2="Egyszeri",8,HLOOKUP(ROUNDUP($M$11+$M$13,0),Paraméterek!$J$26:$O$27,2))),IF($D$4="Forint",0,2))</f>
        <v>#N/A</v>
      </c>
      <c r="M387" s="13">
        <f t="shared" ca="1" si="115"/>
        <v>0</v>
      </c>
      <c r="N387" s="13">
        <f t="shared" ca="1" si="125"/>
        <v>0</v>
      </c>
      <c r="O387" s="13">
        <f ca="1">IF($D387="Igen",IF($W386&gt;=IF($D$4="Forint",Paraméterek!$J$121,Paraméterek!$K$121),0,IF($D$4="Forint",Paraméterek!$J$121,Paraméterek!$K$121)-$W386),0)</f>
        <v>0</v>
      </c>
      <c r="P387" s="13" t="e">
        <f ca="1">ROUNDUP($O387*VLOOKUP($M$4+$B387-1,Paraméterek!$H$58:$I$105,2,0)/Paraméterek!$I$56,IF($D$4="Forint",0,2))</f>
        <v>#N/A</v>
      </c>
      <c r="Q387" s="13">
        <f t="shared" ca="1" si="116"/>
        <v>0</v>
      </c>
      <c r="R387" s="33"/>
      <c r="S387" s="13" t="e">
        <f t="shared" ca="1" si="117"/>
        <v>#N/A</v>
      </c>
      <c r="T387" s="13" t="e">
        <f ca="1">ROUNDUP(($N387-$P387-$Q387+$S387)*VLOOKUP($B387,Paraméterek!$I$38:$K$39,IF($D$2="Egyszeri",3,2))/12*IF($D388="Nem",IF($M$13=0,1,$M$13),1),IF($D$4="Forint",0,2))</f>
        <v>#N/A</v>
      </c>
      <c r="U387" s="13"/>
      <c r="V387" s="13"/>
      <c r="W387" s="13" t="e">
        <f ca="1">$N387-$P387-$Q387+$S387-$T387-IF(ROUNDUP(IF(ISBLANK($V387),$U387*0,$V387)/IF($D$2="Egyszeri",VLOOKUP($B387+IF($C387=12,1,0),Paraméterek!$V$257:$W$262,2),IF($B387=1,1,VLOOKUP($B387+IF($C387=12,1,0),Paraméterek!$I$258:$T$278,HLOOKUP($M$11+1,Paraméterek!$J$256:$T$257,2)))),IF($D$4="Forint",0,2))&gt;$N387-$P387-$Q387+$S387-$T387-IF($D$4="Forint",Paraméterek!$C$216,Paraméterek!$D$216),0,ROUNDUP(IF(ISBLANK($V387),$U387*0,$V387)/IF($D$2="Egyszeri",VLOOKUP($B387+IF($C387=12,1,0),Paraméterek!$V$257:$W$262,2),IF($B387=1,1,VLOOKUP($B387+IF($C387=12,1,0),Paraméterek!$I$258:$T$278,HLOOKUP($M$11+1,Paraméterek!$J$256:$T$257,2)))),IF($D$4="Forint",0,2)))</f>
        <v>#N/A</v>
      </c>
      <c r="X387" s="13" t="e">
        <f ca="1">ROUNDDOWN($W387*IF($D$2="Egyszeri",VLOOKUP($B387+IF($C387=12,1,0),Paraméterek!$V$257:$W$262,2),VLOOKUP($B387+IF($C387=12,1,0),Paraméterek!$I$258:$T$278,HLOOKUP($M$11+1,Paraméterek!$I$256:$T$257,2))),IF($D$4="Forint",0,2))</f>
        <v>#N/A</v>
      </c>
      <c r="Z387" s="32">
        <v>368</v>
      </c>
      <c r="AA387" s="32">
        <v>31</v>
      </c>
      <c r="AB387" s="32">
        <v>8</v>
      </c>
      <c r="AC387" s="13">
        <f t="shared" ca="1" si="126"/>
        <v>0</v>
      </c>
      <c r="AD387" s="33"/>
      <c r="AE387" s="13">
        <f t="shared" ca="1" si="118"/>
        <v>0</v>
      </c>
      <c r="AF387" s="13">
        <f ca="1">ROUNDUP(($AC387+$AE387)*VLOOKUP($AA387,Paraméterek!$P$38:$Q$38,2)/12*IF($D388="Nem",IF($M$13=0,1,$M$13),1),IF($D$4="Forint",0,2))</f>
        <v>0</v>
      </c>
      <c r="AG387" s="13">
        <f ca="1">IF($D$2="Egyszeri",IF($D$7&gt;=IF($D$4="Forint",Paraméterek!$P$223,Paraméterek!$P$224),$D$7-IF($D$4="Forint",Paraméterek!$P$223,Paraméterek!$P$224),0),MIN(IF($AB387=12,AVERAGEIF($E$20:$E387,"&gt;0",$E$20:$E387)*12,0),SUM($E$20:$E$31)))</f>
        <v>0</v>
      </c>
      <c r="AH387" s="13">
        <f>IF($AA387=10,$AG387*IF($AB387=12,IF($AG387&lt;IF($D$4="Forint",Paraméterek!$L$223,Paraméterek!$L$224),0,VLOOKUP($AA387,Paraméterek!$K$226:$M$228,IF($AG387&lt;IF($D$4="Forint",Paraméterek!$M$223,Paraméterek!$M$224),2,3))),0),0)</f>
        <v>0</v>
      </c>
      <c r="AI387" s="13">
        <f ca="1">IF(AND($AA387=$M$11+1,$AB387=$M$12+1),SUMIF($AA$20:$AA$1027,$AA387,$AG$20:$AG$1027)*IF(SUMIF($AA$20:$AA$1027,$AA387,$AG$20:$AG$1027)&lt;IF($D$4="Forint",Paraméterek!$L$223,Paraméterek!$L$224),0,VLOOKUP($AA387,Paraméterek!$K$230:$M$250,IF(SUMIF($AA$20:$AA$1027,$AA387,$AG$20:$AG$1027)&lt;IF($D$4="Forint",Paraméterek!$M$223,Paraméterek!$M$224),2,3))),0)</f>
        <v>0</v>
      </c>
      <c r="AJ387" s="13">
        <f ca="1">IF(AND($AA387&gt;=5,MOD($AA387,5)=0),IF($AB387=12,VLOOKUP($AA387,Paraméterek!$O$225:$P$240,2),0),IF(OR($AA387=3,$AA387=4),IF($AB387=12,VLOOKUP($AA387,Paraméterek!$O$225:$P$240,2,0),0),0))*$AG387</f>
        <v>0</v>
      </c>
      <c r="AK387" s="13">
        <f t="shared" ca="1" si="119"/>
        <v>0</v>
      </c>
      <c r="AL387" s="13">
        <f t="shared" ca="1" si="127"/>
        <v>0</v>
      </c>
      <c r="AM387" s="13">
        <f t="shared" ca="1" si="128"/>
        <v>0</v>
      </c>
      <c r="AO387" s="32">
        <v>368</v>
      </c>
      <c r="AP387" s="32">
        <v>31</v>
      </c>
      <c r="AQ387" s="32">
        <v>8</v>
      </c>
      <c r="AR387" s="13"/>
      <c r="AS387" s="32"/>
      <c r="AT387" s="13">
        <f t="shared" ca="1" si="129"/>
        <v>0</v>
      </c>
      <c r="AU387" s="33"/>
      <c r="AV387" s="13">
        <f t="shared" ca="1" si="120"/>
        <v>0</v>
      </c>
      <c r="AW387" s="13">
        <f ca="1">ROUNDUP(($AT387+$AV387)*VLOOKUP($AP387,Paraméterek!$P$38:$Q$38,2)/12*IF($D388="Nem",IF($M$13=0,1,$M$13),1),IF($D$4="Forint",0,2))</f>
        <v>0</v>
      </c>
      <c r="AX387" s="13"/>
      <c r="AY387" s="13"/>
      <c r="AZ387" s="13">
        <f>ROUNDUP(IF(SUM($AX387:$AY387)=0,0,IF(IF(ISBLANK($AY387),$AX387,$AY387)*Paraméterek!$J$112&lt;IF($D$4="Forint",Paraméterek!$J$113,Paraméterek!$K$113),IF($D$4="Forint",Paraméterek!$J$113,Paraméterek!$K$113),IF(IF(ISBLANK($AY387),$AX387,$AY387)*Paraméterek!$J$112&gt;IF($D$4="Forint",Paraméterek!$J$114,Paraméterek!$K$114),IF($D$4="Forint",Paraméterek!$J$114,Paraméterek!$K$114),IF(ISBLANK($AY387),$AX387,$AY387)*Paraméterek!$J$112))),IF($D$4="Forint",0,2))</f>
        <v>0</v>
      </c>
      <c r="BA387" s="13">
        <f ca="1">$AT387+$AV387-$AW387-IF(ROUNDDOWN(IF(ISBLANK($AY387),$AX387,$AY387),IF($D$4="Forint",0,2))&gt;$AT387+$AV387-$AW387-IF($D$4="Forint",Paraméterek!$J$114,Paraméterek!$K$114),0,ROUNDDOWN(IF(ISBLANK($AY387),$AX387,$AY387),IF($D$4="Forint",0,2))-$AZ387)</f>
        <v>0</v>
      </c>
      <c r="BB387" s="13">
        <f t="shared" ca="1" si="121"/>
        <v>0</v>
      </c>
      <c r="BD387" s="32">
        <v>368</v>
      </c>
      <c r="BE387" s="32">
        <v>31</v>
      </c>
      <c r="BF387" s="32">
        <v>8</v>
      </c>
      <c r="BG387" s="34">
        <f t="shared" ca="1" si="130"/>
        <v>2050</v>
      </c>
      <c r="BH387" s="32" t="str">
        <f ca="1">IF(MOD(MONTH($D$14)+$BD387-1,12)=Paraméterek!$C$288,"Igen","")</f>
        <v/>
      </c>
      <c r="BI387" s="13">
        <f ca="1">IF($BH387="Igen",MIN(ROUNDDOWN((SUMIF($BG$20:$BG$1027,$BG387-1,$K$20:$K$1027)-SUMIF($BG$20:$BG$1027,$BG387-1,$I$20:$I$1027))*Paraméterek!$C$289,IF($D$4="Forint",0,2)),IF($D$4="Forint",Paraméterek!$C$285,Paraméterek!$D$285)),0)</f>
        <v>0</v>
      </c>
      <c r="BJ387" s="13">
        <f t="shared" ca="1" si="122"/>
        <v>0</v>
      </c>
      <c r="BK387" s="13">
        <f t="shared" ca="1" si="131"/>
        <v>0</v>
      </c>
      <c r="BL387" s="33"/>
      <c r="BM387" s="13">
        <f t="shared" ca="1" si="123"/>
        <v>0</v>
      </c>
      <c r="BN387" s="13">
        <f ca="1">ROUNDUP(($BK387+$BM387)*VLOOKUP($BE387,Paraméterek!$P$38:$Q$38,2)/12*IF($D388="Nem",IF($M$13=0,1,$M$13),1),IF($D$4="Forint",0,2))</f>
        <v>0</v>
      </c>
      <c r="BO387" s="13">
        <f t="shared" ca="1" si="124"/>
        <v>0</v>
      </c>
      <c r="BP387" s="13">
        <f ca="1">IF($D388="Nem",$BO387,$BO387-ROUNDUP(SUM($BI$20:$BI387)*120%,IF($D$4="Forint",0,2)))</f>
        <v>0</v>
      </c>
    </row>
    <row r="388" spans="1:68" x14ac:dyDescent="0.2">
      <c r="A388" s="32">
        <v>369</v>
      </c>
      <c r="B388" s="32">
        <v>31</v>
      </c>
      <c r="C388" s="32">
        <v>9</v>
      </c>
      <c r="D388" s="32" t="str">
        <f t="shared" ca="1" si="110"/>
        <v>Nem</v>
      </c>
      <c r="E388" s="13">
        <f t="shared" ca="1" si="111"/>
        <v>0</v>
      </c>
      <c r="F388" s="13"/>
      <c r="G388" s="13"/>
      <c r="H388" s="13"/>
      <c r="I388" s="13">
        <f t="shared" ca="1" si="112"/>
        <v>0</v>
      </c>
      <c r="J388" s="13">
        <f t="shared" ca="1" si="113"/>
        <v>0</v>
      </c>
      <c r="K388" s="13">
        <f t="shared" ca="1" si="114"/>
        <v>0</v>
      </c>
      <c r="L388" s="13" t="e">
        <f ca="1">ROUNDUP(IF($D$2="Egyszeri",$E388,IF($D$2="Havi",SUM($E$20:$E$31),IF(MOD($C388,$M$1)-1=0,SUM($E$20:$E$31),0))/12*$M$1)*VLOOKUP($B388,Paraméterek!$I$28:$P$31,IF($D$2="Egyszeri",8,HLOOKUP(ROUNDUP($M$11+$M$13,0),Paraméterek!$J$26:$O$27,2))),IF($D$4="Forint",0,2))</f>
        <v>#N/A</v>
      </c>
      <c r="M388" s="13">
        <f t="shared" ca="1" si="115"/>
        <v>0</v>
      </c>
      <c r="N388" s="13">
        <f t="shared" ca="1" si="125"/>
        <v>0</v>
      </c>
      <c r="O388" s="13">
        <f ca="1">IF($D388="Igen",IF($W387&gt;=IF($D$4="Forint",Paraméterek!$J$121,Paraméterek!$K$121),0,IF($D$4="Forint",Paraméterek!$J$121,Paraméterek!$K$121)-$W387),0)</f>
        <v>0</v>
      </c>
      <c r="P388" s="13" t="e">
        <f ca="1">ROUNDUP($O388*VLOOKUP($M$4+$B388-1,Paraméterek!$H$58:$I$105,2,0)/Paraméterek!$I$56,IF($D$4="Forint",0,2))</f>
        <v>#N/A</v>
      </c>
      <c r="Q388" s="13">
        <f t="shared" ca="1" si="116"/>
        <v>0</v>
      </c>
      <c r="R388" s="33"/>
      <c r="S388" s="13" t="e">
        <f t="shared" ca="1" si="117"/>
        <v>#N/A</v>
      </c>
      <c r="T388" s="13" t="e">
        <f ca="1">ROUNDUP(($N388-$P388-$Q388+$S388)*VLOOKUP($B388,Paraméterek!$I$38:$K$39,IF($D$2="Egyszeri",3,2))/12*IF($D389="Nem",IF($M$13=0,1,$M$13),1),IF($D$4="Forint",0,2))</f>
        <v>#N/A</v>
      </c>
      <c r="U388" s="13"/>
      <c r="V388" s="13"/>
      <c r="W388" s="13" t="e">
        <f ca="1">$N388-$P388-$Q388+$S388-$T388-IF(ROUNDUP(IF(ISBLANK($V388),$U388*0,$V388)/IF($D$2="Egyszeri",VLOOKUP($B388+IF($C388=12,1,0),Paraméterek!$V$257:$W$262,2),IF($B388=1,1,VLOOKUP($B388+IF($C388=12,1,0),Paraméterek!$I$258:$T$278,HLOOKUP($M$11+1,Paraméterek!$J$256:$T$257,2)))),IF($D$4="Forint",0,2))&gt;$N388-$P388-$Q388+$S388-$T388-IF($D$4="Forint",Paraméterek!$C$216,Paraméterek!$D$216),0,ROUNDUP(IF(ISBLANK($V388),$U388*0,$V388)/IF($D$2="Egyszeri",VLOOKUP($B388+IF($C388=12,1,0),Paraméterek!$V$257:$W$262,2),IF($B388=1,1,VLOOKUP($B388+IF($C388=12,1,0),Paraméterek!$I$258:$T$278,HLOOKUP($M$11+1,Paraméterek!$J$256:$T$257,2)))),IF($D$4="Forint",0,2)))</f>
        <v>#N/A</v>
      </c>
      <c r="X388" s="13" t="e">
        <f ca="1">ROUNDDOWN($W388*IF($D$2="Egyszeri",VLOOKUP($B388+IF($C388=12,1,0),Paraméterek!$V$257:$W$262,2),VLOOKUP($B388+IF($C388=12,1,0),Paraméterek!$I$258:$T$278,HLOOKUP($M$11+1,Paraméterek!$I$256:$T$257,2))),IF($D$4="Forint",0,2))</f>
        <v>#N/A</v>
      </c>
      <c r="Z388" s="32">
        <v>369</v>
      </c>
      <c r="AA388" s="32">
        <v>31</v>
      </c>
      <c r="AB388" s="32">
        <v>9</v>
      </c>
      <c r="AC388" s="13">
        <f t="shared" ca="1" si="126"/>
        <v>0</v>
      </c>
      <c r="AD388" s="33"/>
      <c r="AE388" s="13">
        <f t="shared" ca="1" si="118"/>
        <v>0</v>
      </c>
      <c r="AF388" s="13">
        <f ca="1">ROUNDUP(($AC388+$AE388)*VLOOKUP($AA388,Paraméterek!$P$38:$Q$38,2)/12*IF($D389="Nem",IF($M$13=0,1,$M$13),1),IF($D$4="Forint",0,2))</f>
        <v>0</v>
      </c>
      <c r="AG388" s="13">
        <f ca="1">IF($D$2="Egyszeri",IF($D$7&gt;=IF($D$4="Forint",Paraméterek!$P$223,Paraméterek!$P$224),$D$7-IF($D$4="Forint",Paraméterek!$P$223,Paraméterek!$P$224),0),MIN(IF($AB388=12,AVERAGEIF($E$20:$E388,"&gt;0",$E$20:$E388)*12,0),SUM($E$20:$E$31)))</f>
        <v>0</v>
      </c>
      <c r="AH388" s="13">
        <f>IF($AA388=10,$AG388*IF($AB388=12,IF($AG388&lt;IF($D$4="Forint",Paraméterek!$L$223,Paraméterek!$L$224),0,VLOOKUP($AA388,Paraméterek!$K$226:$M$228,IF($AG388&lt;IF($D$4="Forint",Paraméterek!$M$223,Paraméterek!$M$224),2,3))),0),0)</f>
        <v>0</v>
      </c>
      <c r="AI388" s="13">
        <f ca="1">IF(AND($AA388=$M$11+1,$AB388=$M$12+1),SUMIF($AA$20:$AA$1027,$AA388,$AG$20:$AG$1027)*IF(SUMIF($AA$20:$AA$1027,$AA388,$AG$20:$AG$1027)&lt;IF($D$4="Forint",Paraméterek!$L$223,Paraméterek!$L$224),0,VLOOKUP($AA388,Paraméterek!$K$230:$M$250,IF(SUMIF($AA$20:$AA$1027,$AA388,$AG$20:$AG$1027)&lt;IF($D$4="Forint",Paraméterek!$M$223,Paraméterek!$M$224),2,3))),0)</f>
        <v>0</v>
      </c>
      <c r="AJ388" s="13">
        <f ca="1">IF(AND($AA388&gt;=5,MOD($AA388,5)=0),IF($AB388=12,VLOOKUP($AA388,Paraméterek!$O$225:$P$240,2),0),IF(OR($AA388=3,$AA388=4),IF($AB388=12,VLOOKUP($AA388,Paraméterek!$O$225:$P$240,2,0),0),0))*$AG388</f>
        <v>0</v>
      </c>
      <c r="AK388" s="13">
        <f t="shared" ca="1" si="119"/>
        <v>0</v>
      </c>
      <c r="AL388" s="13">
        <f t="shared" ca="1" si="127"/>
        <v>0</v>
      </c>
      <c r="AM388" s="13">
        <f t="shared" ca="1" si="128"/>
        <v>0</v>
      </c>
      <c r="AO388" s="32">
        <v>369</v>
      </c>
      <c r="AP388" s="32">
        <v>31</v>
      </c>
      <c r="AQ388" s="32">
        <v>9</v>
      </c>
      <c r="AR388" s="13"/>
      <c r="AS388" s="32"/>
      <c r="AT388" s="13">
        <f t="shared" ca="1" si="129"/>
        <v>0</v>
      </c>
      <c r="AU388" s="33"/>
      <c r="AV388" s="13">
        <f t="shared" ca="1" si="120"/>
        <v>0</v>
      </c>
      <c r="AW388" s="13">
        <f ca="1">ROUNDUP(($AT388+$AV388)*VLOOKUP($AP388,Paraméterek!$P$38:$Q$38,2)/12*IF($D389="Nem",IF($M$13=0,1,$M$13),1),IF($D$4="Forint",0,2))</f>
        <v>0</v>
      </c>
      <c r="AX388" s="13"/>
      <c r="AY388" s="13"/>
      <c r="AZ388" s="13">
        <f>ROUNDUP(IF(SUM($AX388:$AY388)=0,0,IF(IF(ISBLANK($AY388),$AX388,$AY388)*Paraméterek!$J$112&lt;IF($D$4="Forint",Paraméterek!$J$113,Paraméterek!$K$113),IF($D$4="Forint",Paraméterek!$J$113,Paraméterek!$K$113),IF(IF(ISBLANK($AY388),$AX388,$AY388)*Paraméterek!$J$112&gt;IF($D$4="Forint",Paraméterek!$J$114,Paraméterek!$K$114),IF($D$4="Forint",Paraméterek!$J$114,Paraméterek!$K$114),IF(ISBLANK($AY388),$AX388,$AY388)*Paraméterek!$J$112))),IF($D$4="Forint",0,2))</f>
        <v>0</v>
      </c>
      <c r="BA388" s="13">
        <f ca="1">$AT388+$AV388-$AW388-IF(ROUNDDOWN(IF(ISBLANK($AY388),$AX388,$AY388),IF($D$4="Forint",0,2))&gt;$AT388+$AV388-$AW388-IF($D$4="Forint",Paraméterek!$J$114,Paraméterek!$K$114),0,ROUNDDOWN(IF(ISBLANK($AY388),$AX388,$AY388),IF($D$4="Forint",0,2))-$AZ388)</f>
        <v>0</v>
      </c>
      <c r="BB388" s="13">
        <f t="shared" ca="1" si="121"/>
        <v>0</v>
      </c>
      <c r="BD388" s="32">
        <v>369</v>
      </c>
      <c r="BE388" s="32">
        <v>31</v>
      </c>
      <c r="BF388" s="32">
        <v>9</v>
      </c>
      <c r="BG388" s="34">
        <f t="shared" ca="1" si="130"/>
        <v>2050</v>
      </c>
      <c r="BH388" s="32" t="str">
        <f ca="1">IF(MOD(MONTH($D$14)+$BD388-1,12)=Paraméterek!$C$288,"Igen","")</f>
        <v/>
      </c>
      <c r="BI388" s="13">
        <f ca="1">IF($BH388="Igen",MIN(ROUNDDOWN((SUMIF($BG$20:$BG$1027,$BG388-1,$K$20:$K$1027)-SUMIF($BG$20:$BG$1027,$BG388-1,$I$20:$I$1027))*Paraméterek!$C$289,IF($D$4="Forint",0,2)),IF($D$4="Forint",Paraméterek!$C$285,Paraméterek!$D$285)),0)</f>
        <v>0</v>
      </c>
      <c r="BJ388" s="13">
        <f t="shared" ca="1" si="122"/>
        <v>0</v>
      </c>
      <c r="BK388" s="13">
        <f t="shared" ca="1" si="131"/>
        <v>0</v>
      </c>
      <c r="BL388" s="33"/>
      <c r="BM388" s="13">
        <f t="shared" ca="1" si="123"/>
        <v>0</v>
      </c>
      <c r="BN388" s="13">
        <f ca="1">ROUNDUP(($BK388+$BM388)*VLOOKUP($BE388,Paraméterek!$P$38:$Q$38,2)/12*IF($D389="Nem",IF($M$13=0,1,$M$13),1),IF($D$4="Forint",0,2))</f>
        <v>0</v>
      </c>
      <c r="BO388" s="13">
        <f t="shared" ca="1" si="124"/>
        <v>0</v>
      </c>
      <c r="BP388" s="13">
        <f ca="1">IF($D389="Nem",$BO388,$BO388-ROUNDUP(SUM($BI$20:$BI388)*120%,IF($D$4="Forint",0,2)))</f>
        <v>0</v>
      </c>
    </row>
    <row r="389" spans="1:68" x14ac:dyDescent="0.2">
      <c r="A389" s="32">
        <v>370</v>
      </c>
      <c r="B389" s="32">
        <v>31</v>
      </c>
      <c r="C389" s="32">
        <v>10</v>
      </c>
      <c r="D389" s="32" t="str">
        <f t="shared" ca="1" si="110"/>
        <v>Nem</v>
      </c>
      <c r="E389" s="13">
        <f t="shared" ca="1" si="111"/>
        <v>0</v>
      </c>
      <c r="F389" s="13"/>
      <c r="G389" s="13"/>
      <c r="H389" s="13"/>
      <c r="I389" s="13">
        <f t="shared" ca="1" si="112"/>
        <v>0</v>
      </c>
      <c r="J389" s="13">
        <f t="shared" ca="1" si="113"/>
        <v>0</v>
      </c>
      <c r="K389" s="13">
        <f t="shared" ca="1" si="114"/>
        <v>0</v>
      </c>
      <c r="L389" s="13" t="e">
        <f ca="1">ROUNDUP(IF($D$2="Egyszeri",$E389,IF($D$2="Havi",SUM($E$20:$E$31),IF(MOD($C389,$M$1)-1=0,SUM($E$20:$E$31),0))/12*$M$1)*VLOOKUP($B389,Paraméterek!$I$28:$P$31,IF($D$2="Egyszeri",8,HLOOKUP(ROUNDUP($M$11+$M$13,0),Paraméterek!$J$26:$O$27,2))),IF($D$4="Forint",0,2))</f>
        <v>#N/A</v>
      </c>
      <c r="M389" s="13">
        <f t="shared" ca="1" si="115"/>
        <v>0</v>
      </c>
      <c r="N389" s="13">
        <f t="shared" ca="1" si="125"/>
        <v>0</v>
      </c>
      <c r="O389" s="13">
        <f ca="1">IF($D389="Igen",IF($W388&gt;=IF($D$4="Forint",Paraméterek!$J$121,Paraméterek!$K$121),0,IF($D$4="Forint",Paraméterek!$J$121,Paraméterek!$K$121)-$W388),0)</f>
        <v>0</v>
      </c>
      <c r="P389" s="13" t="e">
        <f ca="1">ROUNDUP($O389*VLOOKUP($M$4+$B389-1,Paraméterek!$H$58:$I$105,2,0)/Paraméterek!$I$56,IF($D$4="Forint",0,2))</f>
        <v>#N/A</v>
      </c>
      <c r="Q389" s="13">
        <f t="shared" ca="1" si="116"/>
        <v>0</v>
      </c>
      <c r="R389" s="33"/>
      <c r="S389" s="13" t="e">
        <f t="shared" ca="1" si="117"/>
        <v>#N/A</v>
      </c>
      <c r="T389" s="13" t="e">
        <f ca="1">ROUNDUP(($N389-$P389-$Q389+$S389)*VLOOKUP($B389,Paraméterek!$I$38:$K$39,IF($D$2="Egyszeri",3,2))/12*IF($D390="Nem",IF($M$13=0,1,$M$13),1),IF($D$4="Forint",0,2))</f>
        <v>#N/A</v>
      </c>
      <c r="U389" s="13"/>
      <c r="V389" s="13"/>
      <c r="W389" s="13" t="e">
        <f ca="1">$N389-$P389-$Q389+$S389-$T389-IF(ROUNDUP(IF(ISBLANK($V389),$U389*0,$V389)/IF($D$2="Egyszeri",VLOOKUP($B389+IF($C389=12,1,0),Paraméterek!$V$257:$W$262,2),IF($B389=1,1,VLOOKUP($B389+IF($C389=12,1,0),Paraméterek!$I$258:$T$278,HLOOKUP($M$11+1,Paraméterek!$J$256:$T$257,2)))),IF($D$4="Forint",0,2))&gt;$N389-$P389-$Q389+$S389-$T389-IF($D$4="Forint",Paraméterek!$C$216,Paraméterek!$D$216),0,ROUNDUP(IF(ISBLANK($V389),$U389*0,$V389)/IF($D$2="Egyszeri",VLOOKUP($B389+IF($C389=12,1,0),Paraméterek!$V$257:$W$262,2),IF($B389=1,1,VLOOKUP($B389+IF($C389=12,1,0),Paraméterek!$I$258:$T$278,HLOOKUP($M$11+1,Paraméterek!$J$256:$T$257,2)))),IF($D$4="Forint",0,2)))</f>
        <v>#N/A</v>
      </c>
      <c r="X389" s="13" t="e">
        <f ca="1">ROUNDDOWN($W389*IF($D$2="Egyszeri",VLOOKUP($B389+IF($C389=12,1,0),Paraméterek!$V$257:$W$262,2),VLOOKUP($B389+IF($C389=12,1,0),Paraméterek!$I$258:$T$278,HLOOKUP($M$11+1,Paraméterek!$I$256:$T$257,2))),IF($D$4="Forint",0,2))</f>
        <v>#N/A</v>
      </c>
      <c r="Z389" s="32">
        <v>370</v>
      </c>
      <c r="AA389" s="32">
        <v>31</v>
      </c>
      <c r="AB389" s="32">
        <v>10</v>
      </c>
      <c r="AC389" s="13">
        <f t="shared" ca="1" si="126"/>
        <v>0</v>
      </c>
      <c r="AD389" s="33"/>
      <c r="AE389" s="13">
        <f t="shared" ca="1" si="118"/>
        <v>0</v>
      </c>
      <c r="AF389" s="13">
        <f ca="1">ROUNDUP(($AC389+$AE389)*VLOOKUP($AA389,Paraméterek!$P$38:$Q$38,2)/12*IF($D390="Nem",IF($M$13=0,1,$M$13),1),IF($D$4="Forint",0,2))</f>
        <v>0</v>
      </c>
      <c r="AG389" s="13">
        <f ca="1">IF($D$2="Egyszeri",IF($D$7&gt;=IF($D$4="Forint",Paraméterek!$P$223,Paraméterek!$P$224),$D$7-IF($D$4="Forint",Paraméterek!$P$223,Paraméterek!$P$224),0),MIN(IF($AB389=12,AVERAGEIF($E$20:$E389,"&gt;0",$E$20:$E389)*12,0),SUM($E$20:$E$31)))</f>
        <v>0</v>
      </c>
      <c r="AH389" s="13">
        <f>IF($AA389=10,$AG389*IF($AB389=12,IF($AG389&lt;IF($D$4="Forint",Paraméterek!$L$223,Paraméterek!$L$224),0,VLOOKUP($AA389,Paraméterek!$K$226:$M$228,IF($AG389&lt;IF($D$4="Forint",Paraméterek!$M$223,Paraméterek!$M$224),2,3))),0),0)</f>
        <v>0</v>
      </c>
      <c r="AI389" s="13">
        <f ca="1">IF(AND($AA389=$M$11+1,$AB389=$M$12+1),SUMIF($AA$20:$AA$1027,$AA389,$AG$20:$AG$1027)*IF(SUMIF($AA$20:$AA$1027,$AA389,$AG$20:$AG$1027)&lt;IF($D$4="Forint",Paraméterek!$L$223,Paraméterek!$L$224),0,VLOOKUP($AA389,Paraméterek!$K$230:$M$250,IF(SUMIF($AA$20:$AA$1027,$AA389,$AG$20:$AG$1027)&lt;IF($D$4="Forint",Paraméterek!$M$223,Paraméterek!$M$224),2,3))),0)</f>
        <v>0</v>
      </c>
      <c r="AJ389" s="13">
        <f ca="1">IF(AND($AA389&gt;=5,MOD($AA389,5)=0),IF($AB389=12,VLOOKUP($AA389,Paraméterek!$O$225:$P$240,2),0),IF(OR($AA389=3,$AA389=4),IF($AB389=12,VLOOKUP($AA389,Paraméterek!$O$225:$P$240,2,0),0),0))*$AG389</f>
        <v>0</v>
      </c>
      <c r="AK389" s="13">
        <f t="shared" ca="1" si="119"/>
        <v>0</v>
      </c>
      <c r="AL389" s="13">
        <f t="shared" ca="1" si="127"/>
        <v>0</v>
      </c>
      <c r="AM389" s="13">
        <f t="shared" ca="1" si="128"/>
        <v>0</v>
      </c>
      <c r="AO389" s="32">
        <v>370</v>
      </c>
      <c r="AP389" s="32">
        <v>31</v>
      </c>
      <c r="AQ389" s="32">
        <v>10</v>
      </c>
      <c r="AR389" s="13"/>
      <c r="AS389" s="32"/>
      <c r="AT389" s="13">
        <f t="shared" ca="1" si="129"/>
        <v>0</v>
      </c>
      <c r="AU389" s="33"/>
      <c r="AV389" s="13">
        <f t="shared" ca="1" si="120"/>
        <v>0</v>
      </c>
      <c r="AW389" s="13">
        <f ca="1">ROUNDUP(($AT389+$AV389)*VLOOKUP($AP389,Paraméterek!$P$38:$Q$38,2)/12*IF($D390="Nem",IF($M$13=0,1,$M$13),1),IF($D$4="Forint",0,2))</f>
        <v>0</v>
      </c>
      <c r="AX389" s="13"/>
      <c r="AY389" s="13"/>
      <c r="AZ389" s="13">
        <f>ROUNDUP(IF(SUM($AX389:$AY389)=0,0,IF(IF(ISBLANK($AY389),$AX389,$AY389)*Paraméterek!$J$112&lt;IF($D$4="Forint",Paraméterek!$J$113,Paraméterek!$K$113),IF($D$4="Forint",Paraméterek!$J$113,Paraméterek!$K$113),IF(IF(ISBLANK($AY389),$AX389,$AY389)*Paraméterek!$J$112&gt;IF($D$4="Forint",Paraméterek!$J$114,Paraméterek!$K$114),IF($D$4="Forint",Paraméterek!$J$114,Paraméterek!$K$114),IF(ISBLANK($AY389),$AX389,$AY389)*Paraméterek!$J$112))),IF($D$4="Forint",0,2))</f>
        <v>0</v>
      </c>
      <c r="BA389" s="13">
        <f ca="1">$AT389+$AV389-$AW389-IF(ROUNDDOWN(IF(ISBLANK($AY389),$AX389,$AY389),IF($D$4="Forint",0,2))&gt;$AT389+$AV389-$AW389-IF($D$4="Forint",Paraméterek!$J$114,Paraméterek!$K$114),0,ROUNDDOWN(IF(ISBLANK($AY389),$AX389,$AY389),IF($D$4="Forint",0,2))-$AZ389)</f>
        <v>0</v>
      </c>
      <c r="BB389" s="13">
        <f t="shared" ca="1" si="121"/>
        <v>0</v>
      </c>
      <c r="BD389" s="32">
        <v>370</v>
      </c>
      <c r="BE389" s="32">
        <v>31</v>
      </c>
      <c r="BF389" s="32">
        <v>10</v>
      </c>
      <c r="BG389" s="34">
        <f t="shared" ca="1" si="130"/>
        <v>2050</v>
      </c>
      <c r="BH389" s="32" t="str">
        <f ca="1">IF(MOD(MONTH($D$14)+$BD389-1,12)=Paraméterek!$C$288,"Igen","")</f>
        <v/>
      </c>
      <c r="BI389" s="13">
        <f ca="1">IF($BH389="Igen",MIN(ROUNDDOWN((SUMIF($BG$20:$BG$1027,$BG389-1,$K$20:$K$1027)-SUMIF($BG$20:$BG$1027,$BG389-1,$I$20:$I$1027))*Paraméterek!$C$289,IF($D$4="Forint",0,2)),IF($D$4="Forint",Paraméterek!$C$285,Paraméterek!$D$285)),0)</f>
        <v>0</v>
      </c>
      <c r="BJ389" s="13">
        <f t="shared" ca="1" si="122"/>
        <v>0</v>
      </c>
      <c r="BK389" s="13">
        <f t="shared" ca="1" si="131"/>
        <v>0</v>
      </c>
      <c r="BL389" s="33"/>
      <c r="BM389" s="13">
        <f t="shared" ca="1" si="123"/>
        <v>0</v>
      </c>
      <c r="BN389" s="13">
        <f ca="1">ROUNDUP(($BK389+$BM389)*VLOOKUP($BE389,Paraméterek!$P$38:$Q$38,2)/12*IF($D390="Nem",IF($M$13=0,1,$M$13),1),IF($D$4="Forint",0,2))</f>
        <v>0</v>
      </c>
      <c r="BO389" s="13">
        <f t="shared" ca="1" si="124"/>
        <v>0</v>
      </c>
      <c r="BP389" s="13">
        <f ca="1">IF($D390="Nem",$BO389,$BO389-ROUNDUP(SUM($BI$20:$BI389)*120%,IF($D$4="Forint",0,2)))</f>
        <v>0</v>
      </c>
    </row>
    <row r="390" spans="1:68" x14ac:dyDescent="0.2">
      <c r="A390" s="32">
        <v>371</v>
      </c>
      <c r="B390" s="32">
        <v>31</v>
      </c>
      <c r="C390" s="32">
        <v>11</v>
      </c>
      <c r="D390" s="32" t="str">
        <f t="shared" ca="1" si="110"/>
        <v>Nem</v>
      </c>
      <c r="E390" s="13">
        <f t="shared" ca="1" si="111"/>
        <v>0</v>
      </c>
      <c r="F390" s="13"/>
      <c r="G390" s="13"/>
      <c r="H390" s="13"/>
      <c r="I390" s="13">
        <f t="shared" ca="1" si="112"/>
        <v>0</v>
      </c>
      <c r="J390" s="13">
        <f t="shared" ca="1" si="113"/>
        <v>0</v>
      </c>
      <c r="K390" s="13">
        <f t="shared" ca="1" si="114"/>
        <v>0</v>
      </c>
      <c r="L390" s="13" t="e">
        <f ca="1">ROUNDUP(IF($D$2="Egyszeri",$E390,IF($D$2="Havi",SUM($E$20:$E$31),IF(MOD($C390,$M$1)-1=0,SUM($E$20:$E$31),0))/12*$M$1)*VLOOKUP($B390,Paraméterek!$I$28:$P$31,IF($D$2="Egyszeri",8,HLOOKUP(ROUNDUP($M$11+$M$13,0),Paraméterek!$J$26:$O$27,2))),IF($D$4="Forint",0,2))</f>
        <v>#N/A</v>
      </c>
      <c r="M390" s="13">
        <f t="shared" ca="1" si="115"/>
        <v>0</v>
      </c>
      <c r="N390" s="13">
        <f t="shared" ca="1" si="125"/>
        <v>0</v>
      </c>
      <c r="O390" s="13">
        <f ca="1">IF($D390="Igen",IF($W389&gt;=IF($D$4="Forint",Paraméterek!$J$121,Paraméterek!$K$121),0,IF($D$4="Forint",Paraméterek!$J$121,Paraméterek!$K$121)-$W389),0)</f>
        <v>0</v>
      </c>
      <c r="P390" s="13" t="e">
        <f ca="1">ROUNDUP($O390*VLOOKUP($M$4+$B390-1,Paraméterek!$H$58:$I$105,2,0)/Paraméterek!$I$56,IF($D$4="Forint",0,2))</f>
        <v>#N/A</v>
      </c>
      <c r="Q390" s="13">
        <f t="shared" ca="1" si="116"/>
        <v>0</v>
      </c>
      <c r="R390" s="33"/>
      <c r="S390" s="13" t="e">
        <f t="shared" ca="1" si="117"/>
        <v>#N/A</v>
      </c>
      <c r="T390" s="13" t="e">
        <f ca="1">ROUNDUP(($N390-$P390-$Q390+$S390)*VLOOKUP($B390,Paraméterek!$I$38:$K$39,IF($D$2="Egyszeri",3,2))/12*IF($D391="Nem",IF($M$13=0,1,$M$13),1),IF($D$4="Forint",0,2))</f>
        <v>#N/A</v>
      </c>
      <c r="U390" s="13"/>
      <c r="V390" s="13"/>
      <c r="W390" s="13" t="e">
        <f ca="1">$N390-$P390-$Q390+$S390-$T390-IF(ROUNDUP(IF(ISBLANK($V390),$U390*0,$V390)/IF($D$2="Egyszeri",VLOOKUP($B390+IF($C390=12,1,0),Paraméterek!$V$257:$W$262,2),IF($B390=1,1,VLOOKUP($B390+IF($C390=12,1,0),Paraméterek!$I$258:$T$278,HLOOKUP($M$11+1,Paraméterek!$J$256:$T$257,2)))),IF($D$4="Forint",0,2))&gt;$N390-$P390-$Q390+$S390-$T390-IF($D$4="Forint",Paraméterek!$C$216,Paraméterek!$D$216),0,ROUNDUP(IF(ISBLANK($V390),$U390*0,$V390)/IF($D$2="Egyszeri",VLOOKUP($B390+IF($C390=12,1,0),Paraméterek!$V$257:$W$262,2),IF($B390=1,1,VLOOKUP($B390+IF($C390=12,1,0),Paraméterek!$I$258:$T$278,HLOOKUP($M$11+1,Paraméterek!$J$256:$T$257,2)))),IF($D$4="Forint",0,2)))</f>
        <v>#N/A</v>
      </c>
      <c r="X390" s="13" t="e">
        <f ca="1">ROUNDDOWN($W390*IF($D$2="Egyszeri",VLOOKUP($B390+IF($C390=12,1,0),Paraméterek!$V$257:$W$262,2),VLOOKUP($B390+IF($C390=12,1,0),Paraméterek!$I$258:$T$278,HLOOKUP($M$11+1,Paraméterek!$I$256:$T$257,2))),IF($D$4="Forint",0,2))</f>
        <v>#N/A</v>
      </c>
      <c r="Z390" s="32">
        <v>371</v>
      </c>
      <c r="AA390" s="32">
        <v>31</v>
      </c>
      <c r="AB390" s="32">
        <v>11</v>
      </c>
      <c r="AC390" s="13">
        <f t="shared" ca="1" si="126"/>
        <v>0</v>
      </c>
      <c r="AD390" s="33"/>
      <c r="AE390" s="13">
        <f t="shared" ca="1" si="118"/>
        <v>0</v>
      </c>
      <c r="AF390" s="13">
        <f ca="1">ROUNDUP(($AC390+$AE390)*VLOOKUP($AA390,Paraméterek!$P$38:$Q$38,2)/12*IF($D391="Nem",IF($M$13=0,1,$M$13),1),IF($D$4="Forint",0,2))</f>
        <v>0</v>
      </c>
      <c r="AG390" s="13">
        <f ca="1">IF($D$2="Egyszeri",IF($D$7&gt;=IF($D$4="Forint",Paraméterek!$P$223,Paraméterek!$P$224),$D$7-IF($D$4="Forint",Paraméterek!$P$223,Paraméterek!$P$224),0),MIN(IF($AB390=12,AVERAGEIF($E$20:$E390,"&gt;0",$E$20:$E390)*12,0),SUM($E$20:$E$31)))</f>
        <v>0</v>
      </c>
      <c r="AH390" s="13">
        <f>IF($AA390=10,$AG390*IF($AB390=12,IF($AG390&lt;IF($D$4="Forint",Paraméterek!$L$223,Paraméterek!$L$224),0,VLOOKUP($AA390,Paraméterek!$K$226:$M$228,IF($AG390&lt;IF($D$4="Forint",Paraméterek!$M$223,Paraméterek!$M$224),2,3))),0),0)</f>
        <v>0</v>
      </c>
      <c r="AI390" s="13">
        <f ca="1">IF(AND($AA390=$M$11+1,$AB390=$M$12+1),SUMIF($AA$20:$AA$1027,$AA390,$AG$20:$AG$1027)*IF(SUMIF($AA$20:$AA$1027,$AA390,$AG$20:$AG$1027)&lt;IF($D$4="Forint",Paraméterek!$L$223,Paraméterek!$L$224),0,VLOOKUP($AA390,Paraméterek!$K$230:$M$250,IF(SUMIF($AA$20:$AA$1027,$AA390,$AG$20:$AG$1027)&lt;IF($D$4="Forint",Paraméterek!$M$223,Paraméterek!$M$224),2,3))),0)</f>
        <v>0</v>
      </c>
      <c r="AJ390" s="13">
        <f ca="1">IF(AND($AA390&gt;=5,MOD($AA390,5)=0),IF($AB390=12,VLOOKUP($AA390,Paraméterek!$O$225:$P$240,2),0),IF(OR($AA390=3,$AA390=4),IF($AB390=12,VLOOKUP($AA390,Paraméterek!$O$225:$P$240,2,0),0),0))*$AG390</f>
        <v>0</v>
      </c>
      <c r="AK390" s="13">
        <f t="shared" ca="1" si="119"/>
        <v>0</v>
      </c>
      <c r="AL390" s="13">
        <f t="shared" ca="1" si="127"/>
        <v>0</v>
      </c>
      <c r="AM390" s="13">
        <f t="shared" ca="1" si="128"/>
        <v>0</v>
      </c>
      <c r="AO390" s="32">
        <v>371</v>
      </c>
      <c r="AP390" s="32">
        <v>31</v>
      </c>
      <c r="AQ390" s="32">
        <v>11</v>
      </c>
      <c r="AR390" s="13"/>
      <c r="AS390" s="32"/>
      <c r="AT390" s="13">
        <f t="shared" ca="1" si="129"/>
        <v>0</v>
      </c>
      <c r="AU390" s="33"/>
      <c r="AV390" s="13">
        <f t="shared" ca="1" si="120"/>
        <v>0</v>
      </c>
      <c r="AW390" s="13">
        <f ca="1">ROUNDUP(($AT390+$AV390)*VLOOKUP($AP390,Paraméterek!$P$38:$Q$38,2)/12*IF($D391="Nem",IF($M$13=0,1,$M$13),1),IF($D$4="Forint",0,2))</f>
        <v>0</v>
      </c>
      <c r="AX390" s="13"/>
      <c r="AY390" s="13"/>
      <c r="AZ390" s="13">
        <f>ROUNDUP(IF(SUM($AX390:$AY390)=0,0,IF(IF(ISBLANK($AY390),$AX390,$AY390)*Paraméterek!$J$112&lt;IF($D$4="Forint",Paraméterek!$J$113,Paraméterek!$K$113),IF($D$4="Forint",Paraméterek!$J$113,Paraméterek!$K$113),IF(IF(ISBLANK($AY390),$AX390,$AY390)*Paraméterek!$J$112&gt;IF($D$4="Forint",Paraméterek!$J$114,Paraméterek!$K$114),IF($D$4="Forint",Paraméterek!$J$114,Paraméterek!$K$114),IF(ISBLANK($AY390),$AX390,$AY390)*Paraméterek!$J$112))),IF($D$4="Forint",0,2))</f>
        <v>0</v>
      </c>
      <c r="BA390" s="13">
        <f ca="1">$AT390+$AV390-$AW390-IF(ROUNDDOWN(IF(ISBLANK($AY390),$AX390,$AY390),IF($D$4="Forint",0,2))&gt;$AT390+$AV390-$AW390-IF($D$4="Forint",Paraméterek!$J$114,Paraméterek!$K$114),0,ROUNDDOWN(IF(ISBLANK($AY390),$AX390,$AY390),IF($D$4="Forint",0,2))-$AZ390)</f>
        <v>0</v>
      </c>
      <c r="BB390" s="13">
        <f t="shared" ca="1" si="121"/>
        <v>0</v>
      </c>
      <c r="BD390" s="32">
        <v>371</v>
      </c>
      <c r="BE390" s="32">
        <v>31</v>
      </c>
      <c r="BF390" s="32">
        <v>11</v>
      </c>
      <c r="BG390" s="34">
        <f t="shared" ca="1" si="130"/>
        <v>2050</v>
      </c>
      <c r="BH390" s="32" t="str">
        <f ca="1">IF(MOD(MONTH($D$14)+$BD390-1,12)=Paraméterek!$C$288,"Igen","")</f>
        <v/>
      </c>
      <c r="BI390" s="13">
        <f ca="1">IF($BH390="Igen",MIN(ROUNDDOWN((SUMIF($BG$20:$BG$1027,$BG390-1,$K$20:$K$1027)-SUMIF($BG$20:$BG$1027,$BG390-1,$I$20:$I$1027))*Paraméterek!$C$289,IF($D$4="Forint",0,2)),IF($D$4="Forint",Paraméterek!$C$285,Paraméterek!$D$285)),0)</f>
        <v>0</v>
      </c>
      <c r="BJ390" s="13">
        <f t="shared" ca="1" si="122"/>
        <v>0</v>
      </c>
      <c r="BK390" s="13">
        <f t="shared" ca="1" si="131"/>
        <v>0</v>
      </c>
      <c r="BL390" s="33"/>
      <c r="BM390" s="13">
        <f t="shared" ca="1" si="123"/>
        <v>0</v>
      </c>
      <c r="BN390" s="13">
        <f ca="1">ROUNDUP(($BK390+$BM390)*VLOOKUP($BE390,Paraméterek!$P$38:$Q$38,2)/12*IF($D391="Nem",IF($M$13=0,1,$M$13),1),IF($D$4="Forint",0,2))</f>
        <v>0</v>
      </c>
      <c r="BO390" s="13">
        <f t="shared" ca="1" si="124"/>
        <v>0</v>
      </c>
      <c r="BP390" s="13">
        <f ca="1">IF($D391="Nem",$BO390,$BO390-ROUNDUP(SUM($BI$20:$BI390)*120%,IF($D$4="Forint",0,2)))</f>
        <v>0</v>
      </c>
    </row>
    <row r="391" spans="1:68" x14ac:dyDescent="0.2">
      <c r="A391" s="32">
        <v>372</v>
      </c>
      <c r="B391" s="32">
        <v>31</v>
      </c>
      <c r="C391" s="32">
        <v>12</v>
      </c>
      <c r="D391" s="32" t="str">
        <f t="shared" ca="1" si="110"/>
        <v>Nem</v>
      </c>
      <c r="E391" s="13">
        <f t="shared" ca="1" si="111"/>
        <v>0</v>
      </c>
      <c r="F391" s="13"/>
      <c r="G391" s="13"/>
      <c r="H391" s="13"/>
      <c r="I391" s="13">
        <f t="shared" ca="1" si="112"/>
        <v>0</v>
      </c>
      <c r="J391" s="13">
        <f t="shared" ca="1" si="113"/>
        <v>0</v>
      </c>
      <c r="K391" s="13">
        <f t="shared" ca="1" si="114"/>
        <v>0</v>
      </c>
      <c r="L391" s="13" t="e">
        <f ca="1">ROUNDUP(IF($D$2="Egyszeri",$E391,IF($D$2="Havi",SUM($E$20:$E$31),IF(MOD($C391,$M$1)-1=0,SUM($E$20:$E$31),0))/12*$M$1)*VLOOKUP($B391,Paraméterek!$I$28:$P$31,IF($D$2="Egyszeri",8,HLOOKUP(ROUNDUP($M$11+$M$13,0),Paraméterek!$J$26:$O$27,2))),IF($D$4="Forint",0,2))</f>
        <v>#N/A</v>
      </c>
      <c r="M391" s="13">
        <f t="shared" ca="1" si="115"/>
        <v>0</v>
      </c>
      <c r="N391" s="13">
        <f t="shared" ca="1" si="125"/>
        <v>0</v>
      </c>
      <c r="O391" s="13">
        <f ca="1">IF($D391="Igen",IF($W390&gt;=IF($D$4="Forint",Paraméterek!$J$121,Paraméterek!$K$121),0,IF($D$4="Forint",Paraméterek!$J$121,Paraméterek!$K$121)-$W390),0)</f>
        <v>0</v>
      </c>
      <c r="P391" s="13" t="e">
        <f ca="1">ROUNDUP($O391*VLOOKUP($M$4+$B391-1,Paraméterek!$H$58:$I$105,2,0)/Paraméterek!$I$56,IF($D$4="Forint",0,2))</f>
        <v>#N/A</v>
      </c>
      <c r="Q391" s="13">
        <f t="shared" ca="1" si="116"/>
        <v>0</v>
      </c>
      <c r="R391" s="33"/>
      <c r="S391" s="13" t="e">
        <f t="shared" ca="1" si="117"/>
        <v>#N/A</v>
      </c>
      <c r="T391" s="13" t="e">
        <f ca="1">ROUNDUP(($N391-$P391-$Q391+$S391)*VLOOKUP($B391,Paraméterek!$I$38:$K$39,IF($D$2="Egyszeri",3,2))/12*IF($D392="Nem",IF($M$13=0,1,$M$13),1),IF($D$4="Forint",0,2))</f>
        <v>#N/A</v>
      </c>
      <c r="U391" s="13">
        <f>Tranzakciók!$F$62</f>
        <v>0</v>
      </c>
      <c r="V391" s="13"/>
      <c r="W391" s="13" t="e">
        <f ca="1">$N391-$P391-$Q391+$S391-$T391-IF(ROUNDUP(IF(ISBLANK($V391),$U391*0,$V391)/IF($D$2="Egyszeri",VLOOKUP($B391+IF($C391=12,1,0),Paraméterek!$V$257:$W$262,2),IF($B391=1,1,VLOOKUP($B391+IF($C391=12,1,0),Paraméterek!$I$258:$T$278,HLOOKUP($M$11+1,Paraméterek!$J$256:$T$257,2)))),IF($D$4="Forint",0,2))&gt;$N391-$P391-$Q391+$S391-$T391-IF($D$4="Forint",Paraméterek!$C$216,Paraméterek!$D$216),0,ROUNDUP(IF(ISBLANK($V391),$U391*0,$V391)/IF($D$2="Egyszeri",VLOOKUP($B391+IF($C391=12,1,0),Paraméterek!$V$257:$W$262,2),IF($B391=1,1,VLOOKUP($B391+IF($C391=12,1,0),Paraméterek!$I$258:$T$278,HLOOKUP($M$11+1,Paraméterek!$J$256:$T$257,2)))),IF($D$4="Forint",0,2)))</f>
        <v>#N/A</v>
      </c>
      <c r="X391" s="13" t="e">
        <f ca="1">ROUNDDOWN($W391*IF($D$2="Egyszeri",VLOOKUP($B391+IF($C391=12,1,0),Paraméterek!$V$257:$W$262,2),VLOOKUP($B391+IF($C391=12,1,0),Paraméterek!$I$258:$T$278,HLOOKUP($M$11+1,Paraméterek!$I$256:$T$257,2))),IF($D$4="Forint",0,2))</f>
        <v>#N/A</v>
      </c>
      <c r="Z391" s="32">
        <v>372</v>
      </c>
      <c r="AA391" s="32">
        <v>31</v>
      </c>
      <c r="AB391" s="32">
        <v>12</v>
      </c>
      <c r="AC391" s="13">
        <f t="shared" ca="1" si="126"/>
        <v>0</v>
      </c>
      <c r="AD391" s="33"/>
      <c r="AE391" s="13">
        <f t="shared" ca="1" si="118"/>
        <v>0</v>
      </c>
      <c r="AF391" s="13">
        <f ca="1">ROUNDUP(($AC391+$AE391)*VLOOKUP($AA391,Paraméterek!$P$38:$Q$38,2)/12*IF($D392="Nem",IF($M$13=0,1,$M$13),1),IF($D$4="Forint",0,2))</f>
        <v>0</v>
      </c>
      <c r="AG391" s="13" t="e">
        <f ca="1">IF($D$2="Egyszeri",IF($D$7&gt;=IF($D$4="Forint",Paraméterek!$P$223,Paraméterek!$P$224),$D$7-IF($D$4="Forint",Paraméterek!$P$223,Paraméterek!$P$224),0),MIN(IF($AB391=12,AVERAGEIF($E$20:$E391,"&gt;0",$E$20:$E391)*12,0),SUM($E$20:$E$31)))</f>
        <v>#DIV/0!</v>
      </c>
      <c r="AH391" s="13">
        <f>IF($AA391=10,$AG391*IF($AB391=12,IF($AG391&lt;IF($D$4="Forint",Paraméterek!$L$223,Paraméterek!$L$224),0,VLOOKUP($AA391,Paraméterek!$K$226:$M$228,IF($AG391&lt;IF($D$4="Forint",Paraméterek!$M$223,Paraméterek!$M$224),2,3))),0),0)</f>
        <v>0</v>
      </c>
      <c r="AI391" s="13">
        <f ca="1">IF(AND($AA391=$M$11+1,$AB391=$M$12+1),SUMIF($AA$20:$AA$1027,$AA391,$AG$20:$AG$1027)*IF(SUMIF($AA$20:$AA$1027,$AA391,$AG$20:$AG$1027)&lt;IF($D$4="Forint",Paraméterek!$L$223,Paraméterek!$L$224),0,VLOOKUP($AA391,Paraméterek!$K$230:$M$250,IF(SUMIF($AA$20:$AA$1027,$AA391,$AG$20:$AG$1027)&lt;IF($D$4="Forint",Paraméterek!$M$223,Paraméterek!$M$224),2,3))),0)</f>
        <v>0</v>
      </c>
      <c r="AJ391" s="13" t="e">
        <f ca="1">IF(AND($AA391&gt;=5,MOD($AA391,5)=0),IF($AB391=12,VLOOKUP($AA391,Paraméterek!$O$225:$P$240,2),0),IF(OR($AA391=3,$AA391=4),IF($AB391=12,VLOOKUP($AA391,Paraméterek!$O$225:$P$240,2,0),0),0))*$AG391</f>
        <v>#DIV/0!</v>
      </c>
      <c r="AK391" s="13">
        <f t="shared" ca="1" si="119"/>
        <v>0</v>
      </c>
      <c r="AL391" s="13">
        <f t="shared" ca="1" si="127"/>
        <v>0</v>
      </c>
      <c r="AM391" s="13">
        <f t="shared" ca="1" si="128"/>
        <v>0</v>
      </c>
      <c r="AO391" s="32">
        <v>372</v>
      </c>
      <c r="AP391" s="32">
        <v>31</v>
      </c>
      <c r="AQ391" s="32">
        <v>12</v>
      </c>
      <c r="AR391" s="13"/>
      <c r="AS391" s="32"/>
      <c r="AT391" s="13">
        <f t="shared" ca="1" si="129"/>
        <v>0</v>
      </c>
      <c r="AU391" s="33"/>
      <c r="AV391" s="13">
        <f t="shared" ca="1" si="120"/>
        <v>0</v>
      </c>
      <c r="AW391" s="13">
        <f ca="1">ROUNDUP(($AT391+$AV391)*VLOOKUP($AP391,Paraméterek!$P$38:$Q$38,2)/12*IF($D392="Nem",IF($M$13=0,1,$M$13),1),IF($D$4="Forint",0,2))</f>
        <v>0</v>
      </c>
      <c r="AX391" s="13">
        <f>Tranzakciók!$M$62</f>
        <v>0</v>
      </c>
      <c r="AY391" s="13"/>
      <c r="AZ391" s="13">
        <f>ROUNDUP(IF(SUM($AX391:$AY391)=0,0,IF(IF(ISBLANK($AY391),$AX391,$AY391)*Paraméterek!$J$112&lt;IF($D$4="Forint",Paraméterek!$J$113,Paraméterek!$K$113),IF($D$4="Forint",Paraméterek!$J$113,Paraméterek!$K$113),IF(IF(ISBLANK($AY391),$AX391,$AY391)*Paraméterek!$J$112&gt;IF($D$4="Forint",Paraméterek!$J$114,Paraméterek!$K$114),IF($D$4="Forint",Paraméterek!$J$114,Paraméterek!$K$114),IF(ISBLANK($AY391),$AX391,$AY391)*Paraméterek!$J$112))),IF($D$4="Forint",0,2))</f>
        <v>0</v>
      </c>
      <c r="BA391" s="13">
        <f ca="1">$AT391+$AV391-$AW391-IF(ROUNDDOWN(IF(ISBLANK($AY391),$AX391,$AY391),IF($D$4="Forint",0,2))&gt;$AT391+$AV391-$AW391-IF($D$4="Forint",Paraméterek!$J$114,Paraméterek!$K$114),0,ROUNDDOWN(IF(ISBLANK($AY391),$AX391,$AY391),IF($D$4="Forint",0,2))-$AZ391)</f>
        <v>0</v>
      </c>
      <c r="BB391" s="13">
        <f t="shared" ca="1" si="121"/>
        <v>0</v>
      </c>
      <c r="BD391" s="32">
        <v>372</v>
      </c>
      <c r="BE391" s="32">
        <v>31</v>
      </c>
      <c r="BF391" s="32">
        <v>12</v>
      </c>
      <c r="BG391" s="34">
        <f t="shared" ca="1" si="130"/>
        <v>2050</v>
      </c>
      <c r="BH391" s="32" t="str">
        <f ca="1">IF(MOD(MONTH($D$14)+$BD391-1,12)=Paraméterek!$C$288,"Igen","")</f>
        <v/>
      </c>
      <c r="BI391" s="13">
        <f ca="1">IF($BH391="Igen",MIN(ROUNDDOWN((SUMIF($BG$20:$BG$1027,$BG391-1,$K$20:$K$1027)-SUMIF($BG$20:$BG$1027,$BG391-1,$I$20:$I$1027))*Paraméterek!$C$289,IF($D$4="Forint",0,2)),IF($D$4="Forint",Paraméterek!$C$285,Paraméterek!$D$285)),0)</f>
        <v>0</v>
      </c>
      <c r="BJ391" s="13">
        <f t="shared" ca="1" si="122"/>
        <v>0</v>
      </c>
      <c r="BK391" s="13">
        <f t="shared" ca="1" si="131"/>
        <v>0</v>
      </c>
      <c r="BL391" s="33"/>
      <c r="BM391" s="13">
        <f t="shared" ca="1" si="123"/>
        <v>0</v>
      </c>
      <c r="BN391" s="13">
        <f ca="1">ROUNDUP(($BK391+$BM391)*VLOOKUP($BE391,Paraméterek!$P$38:$Q$38,2)/12*IF($D392="Nem",IF($M$13=0,1,$M$13),1),IF($D$4="Forint",0,2))</f>
        <v>0</v>
      </c>
      <c r="BO391" s="13">
        <f t="shared" ca="1" si="124"/>
        <v>0</v>
      </c>
      <c r="BP391" s="13">
        <f ca="1">IF($D392="Nem",$BO391,$BO391-ROUNDUP(SUM($BI$20:$BI391)*120%,IF($D$4="Forint",0,2)))</f>
        <v>0</v>
      </c>
    </row>
    <row r="392" spans="1:68" x14ac:dyDescent="0.2">
      <c r="A392" s="32">
        <v>373</v>
      </c>
      <c r="B392" s="32">
        <v>32</v>
      </c>
      <c r="C392" s="32">
        <v>1</v>
      </c>
      <c r="D392" s="32" t="str">
        <f t="shared" ca="1" si="110"/>
        <v>Nem</v>
      </c>
      <c r="E392" s="13">
        <f t="shared" ca="1" si="111"/>
        <v>0</v>
      </c>
      <c r="F392" s="13"/>
      <c r="G392" s="13">
        <f>Tranzakciók!$D$63</f>
        <v>0</v>
      </c>
      <c r="H392" s="13"/>
      <c r="I392" s="13">
        <f t="shared" ca="1" si="112"/>
        <v>0</v>
      </c>
      <c r="J392" s="13">
        <f t="shared" ca="1" si="113"/>
        <v>0</v>
      </c>
      <c r="K392" s="13">
        <f t="shared" ca="1" si="114"/>
        <v>0</v>
      </c>
      <c r="L392" s="13" t="e">
        <f ca="1">ROUNDUP(IF($D$2="Egyszeri",$E392,IF($D$2="Havi",SUM($E$20:$E$31),IF(MOD($C392,$M$1)-1=0,SUM($E$20:$E$31),0))/12*$M$1)*VLOOKUP($B392,Paraméterek!$I$28:$P$31,IF($D$2="Egyszeri",8,HLOOKUP(ROUNDUP($M$11+$M$13,0),Paraméterek!$J$26:$O$27,2))),IF($D$4="Forint",0,2))</f>
        <v>#N/A</v>
      </c>
      <c r="M392" s="13">
        <f t="shared" ca="1" si="115"/>
        <v>0</v>
      </c>
      <c r="N392" s="13">
        <f t="shared" ca="1" si="125"/>
        <v>0</v>
      </c>
      <c r="O392" s="13">
        <f ca="1">IF($D392="Igen",IF($W391&gt;=IF($D$4="Forint",Paraméterek!$J$121,Paraméterek!$K$121),0,IF($D$4="Forint",Paraméterek!$J$121,Paraméterek!$K$121)-$W391),0)</f>
        <v>0</v>
      </c>
      <c r="P392" s="13" t="e">
        <f ca="1">ROUNDUP($O392*VLOOKUP($M$4+$B392-1,Paraméterek!$H$58:$I$105,2,0)/Paraméterek!$I$56,IF($D$4="Forint",0,2))</f>
        <v>#N/A</v>
      </c>
      <c r="Q392" s="13">
        <f t="shared" ca="1" si="116"/>
        <v>0</v>
      </c>
      <c r="R392" s="33"/>
      <c r="S392" s="13" t="e">
        <f t="shared" ca="1" si="117"/>
        <v>#N/A</v>
      </c>
      <c r="T392" s="13" t="e">
        <f ca="1">ROUNDUP(($N392-$P392-$Q392+$S392)*VLOOKUP($B392,Paraméterek!$I$38:$K$39,IF($D$2="Egyszeri",3,2))/12*IF($D393="Nem",IF($M$13=0,1,$M$13),1),IF($D$4="Forint",0,2))</f>
        <v>#N/A</v>
      </c>
      <c r="U392" s="13"/>
      <c r="V392" s="13"/>
      <c r="W392" s="13" t="e">
        <f ca="1">$N392-$P392-$Q392+$S392-$T392-IF(ROUNDUP(IF(ISBLANK($V392),$U392*0,$V392)/IF($D$2="Egyszeri",VLOOKUP($B392+IF($C392=12,1,0),Paraméterek!$V$257:$W$262,2),IF($B392=1,1,VLOOKUP($B392+IF($C392=12,1,0),Paraméterek!$I$258:$T$278,HLOOKUP($M$11+1,Paraméterek!$J$256:$T$257,2)))),IF($D$4="Forint",0,2))&gt;$N392-$P392-$Q392+$S392-$T392-IF($D$4="Forint",Paraméterek!$C$216,Paraméterek!$D$216),0,ROUNDUP(IF(ISBLANK($V392),$U392*0,$V392)/IF($D$2="Egyszeri",VLOOKUP($B392+IF($C392=12,1,0),Paraméterek!$V$257:$W$262,2),IF($B392=1,1,VLOOKUP($B392+IF($C392=12,1,0),Paraméterek!$I$258:$T$278,HLOOKUP($M$11+1,Paraméterek!$J$256:$T$257,2)))),IF($D$4="Forint",0,2)))</f>
        <v>#N/A</v>
      </c>
      <c r="X392" s="13" t="e">
        <f ca="1">ROUNDDOWN($W392*IF($D$2="Egyszeri",VLOOKUP($B392+IF($C392=12,1,0),Paraméterek!$V$257:$W$262,2),VLOOKUP($B392+IF($C392=12,1,0),Paraméterek!$I$258:$T$278,HLOOKUP($M$11+1,Paraméterek!$I$256:$T$257,2))),IF($D$4="Forint",0,2))</f>
        <v>#N/A</v>
      </c>
      <c r="Z392" s="32">
        <v>373</v>
      </c>
      <c r="AA392" s="32">
        <v>32</v>
      </c>
      <c r="AB392" s="32">
        <v>1</v>
      </c>
      <c r="AC392" s="13">
        <f t="shared" ca="1" si="126"/>
        <v>0</v>
      </c>
      <c r="AD392" s="33"/>
      <c r="AE392" s="13">
        <f t="shared" ca="1" si="118"/>
        <v>0</v>
      </c>
      <c r="AF392" s="13">
        <f ca="1">ROUNDUP(($AC392+$AE392)*VLOOKUP($AA392,Paraméterek!$P$38:$Q$38,2)/12*IF($D393="Nem",IF($M$13=0,1,$M$13),1),IF($D$4="Forint",0,2))</f>
        <v>0</v>
      </c>
      <c r="AG392" s="13">
        <f ca="1">IF($D$2="Egyszeri",IF($D$7&gt;=IF($D$4="Forint",Paraméterek!$P$223,Paraméterek!$P$224),$D$7-IF($D$4="Forint",Paraméterek!$P$223,Paraméterek!$P$224),0),MIN(IF($AB392=12,AVERAGEIF($E$20:$E392,"&gt;0",$E$20:$E392)*12,0),SUM($E$20:$E$31)))</f>
        <v>0</v>
      </c>
      <c r="AH392" s="13">
        <f>IF($AA392=10,$AG392*IF($AB392=12,IF($AG392&lt;IF($D$4="Forint",Paraméterek!$L$223,Paraméterek!$L$224),0,VLOOKUP($AA392,Paraméterek!$K$226:$M$228,IF($AG392&lt;IF($D$4="Forint",Paraméterek!$M$223,Paraméterek!$M$224),2,3))),0),0)</f>
        <v>0</v>
      </c>
      <c r="AI392" s="13">
        <f ca="1">IF(AND($AA392=$M$11+1,$AB392=$M$12+1),SUMIF($AA$20:$AA$1027,$AA392,$AG$20:$AG$1027)*IF(SUMIF($AA$20:$AA$1027,$AA392,$AG$20:$AG$1027)&lt;IF($D$4="Forint",Paraméterek!$L$223,Paraméterek!$L$224),0,VLOOKUP($AA392,Paraméterek!$K$230:$M$250,IF(SUMIF($AA$20:$AA$1027,$AA392,$AG$20:$AG$1027)&lt;IF($D$4="Forint",Paraméterek!$M$223,Paraméterek!$M$224),2,3))),0)</f>
        <v>0</v>
      </c>
      <c r="AJ392" s="13">
        <f ca="1">IF(AND($AA392&gt;=5,MOD($AA392,5)=0),IF($AB392=12,VLOOKUP($AA392,Paraméterek!$O$225:$P$240,2),0),IF(OR($AA392=3,$AA392=4),IF($AB392=12,VLOOKUP($AA392,Paraméterek!$O$225:$P$240,2,0),0),0))*$AG392</f>
        <v>0</v>
      </c>
      <c r="AK392" s="13">
        <f t="shared" ca="1" si="119"/>
        <v>0</v>
      </c>
      <c r="AL392" s="13">
        <f t="shared" ca="1" si="127"/>
        <v>0</v>
      </c>
      <c r="AM392" s="13">
        <f t="shared" ca="1" si="128"/>
        <v>0</v>
      </c>
      <c r="AO392" s="32">
        <v>373</v>
      </c>
      <c r="AP392" s="32">
        <v>32</v>
      </c>
      <c r="AQ392" s="32">
        <v>1</v>
      </c>
      <c r="AR392" s="13">
        <f>Tranzakciók!$K$63</f>
        <v>0</v>
      </c>
      <c r="AS392" s="32"/>
      <c r="AT392" s="13">
        <f t="shared" ca="1" si="129"/>
        <v>0</v>
      </c>
      <c r="AU392" s="33"/>
      <c r="AV392" s="13">
        <f t="shared" ca="1" si="120"/>
        <v>0</v>
      </c>
      <c r="AW392" s="13">
        <f ca="1">ROUNDUP(($AT392+$AV392)*VLOOKUP($AP392,Paraméterek!$P$38:$Q$38,2)/12*IF($D393="Nem",IF($M$13=0,1,$M$13),1),IF($D$4="Forint",0,2))</f>
        <v>0</v>
      </c>
      <c r="AX392" s="13"/>
      <c r="AY392" s="13"/>
      <c r="AZ392" s="13">
        <f>ROUNDUP(IF(SUM($AX392:$AY392)=0,0,IF(IF(ISBLANK($AY392),$AX392,$AY392)*Paraméterek!$J$112&lt;IF($D$4="Forint",Paraméterek!$J$113,Paraméterek!$K$113),IF($D$4="Forint",Paraméterek!$J$113,Paraméterek!$K$113),IF(IF(ISBLANK($AY392),$AX392,$AY392)*Paraméterek!$J$112&gt;IF($D$4="Forint",Paraméterek!$J$114,Paraméterek!$K$114),IF($D$4="Forint",Paraméterek!$J$114,Paraméterek!$K$114),IF(ISBLANK($AY392),$AX392,$AY392)*Paraméterek!$J$112))),IF($D$4="Forint",0,2))</f>
        <v>0</v>
      </c>
      <c r="BA392" s="13">
        <f ca="1">$AT392+$AV392-$AW392-IF(ROUNDDOWN(IF(ISBLANK($AY392),$AX392,$AY392),IF($D$4="Forint",0,2))&gt;$AT392+$AV392-$AW392-IF($D$4="Forint",Paraméterek!$J$114,Paraméterek!$K$114),0,ROUNDDOWN(IF(ISBLANK($AY392),$AX392,$AY392),IF($D$4="Forint",0,2))-$AZ392)</f>
        <v>0</v>
      </c>
      <c r="BB392" s="13">
        <f t="shared" ca="1" si="121"/>
        <v>0</v>
      </c>
      <c r="BD392" s="32">
        <v>373</v>
      </c>
      <c r="BE392" s="32">
        <v>32</v>
      </c>
      <c r="BF392" s="32">
        <v>1</v>
      </c>
      <c r="BG392" s="34">
        <f t="shared" ca="1" si="130"/>
        <v>2050</v>
      </c>
      <c r="BH392" s="32" t="str">
        <f ca="1">IF(MOD(MONTH($D$14)+$BD392-1,12)=Paraméterek!$C$288,"Igen","")</f>
        <v/>
      </c>
      <c r="BI392" s="13">
        <f ca="1">IF($BH392="Igen",MIN(ROUNDDOWN((SUMIF($BG$20:$BG$1027,$BG392-1,$K$20:$K$1027)-SUMIF($BG$20:$BG$1027,$BG392-1,$I$20:$I$1027))*Paraméterek!$C$289,IF($D$4="Forint",0,2)),IF($D$4="Forint",Paraméterek!$C$285,Paraméterek!$D$285)),0)</f>
        <v>0</v>
      </c>
      <c r="BJ392" s="13">
        <f t="shared" ca="1" si="122"/>
        <v>0</v>
      </c>
      <c r="BK392" s="13">
        <f t="shared" ca="1" si="131"/>
        <v>0</v>
      </c>
      <c r="BL392" s="33"/>
      <c r="BM392" s="13">
        <f t="shared" ca="1" si="123"/>
        <v>0</v>
      </c>
      <c r="BN392" s="13">
        <f ca="1">ROUNDUP(($BK392+$BM392)*VLOOKUP($BE392,Paraméterek!$P$38:$Q$38,2)/12*IF($D393="Nem",IF($M$13=0,1,$M$13),1),IF($D$4="Forint",0,2))</f>
        <v>0</v>
      </c>
      <c r="BO392" s="13">
        <f t="shared" ca="1" si="124"/>
        <v>0</v>
      </c>
      <c r="BP392" s="13">
        <f ca="1">IF($D393="Nem",$BO392,$BO392-ROUNDUP(SUM($BI$20:$BI392)*120%,IF($D$4="Forint",0,2)))</f>
        <v>0</v>
      </c>
    </row>
    <row r="393" spans="1:68" x14ac:dyDescent="0.2">
      <c r="A393" s="32">
        <v>374</v>
      </c>
      <c r="B393" s="32">
        <v>32</v>
      </c>
      <c r="C393" s="32">
        <v>2</v>
      </c>
      <c r="D393" s="32" t="str">
        <f t="shared" ca="1" si="110"/>
        <v>Nem</v>
      </c>
      <c r="E393" s="13">
        <f t="shared" ca="1" si="111"/>
        <v>0</v>
      </c>
      <c r="F393" s="13"/>
      <c r="G393" s="13"/>
      <c r="H393" s="13"/>
      <c r="I393" s="13">
        <f t="shared" ca="1" si="112"/>
        <v>0</v>
      </c>
      <c r="J393" s="13">
        <f t="shared" ca="1" si="113"/>
        <v>0</v>
      </c>
      <c r="K393" s="13">
        <f t="shared" ca="1" si="114"/>
        <v>0</v>
      </c>
      <c r="L393" s="13" t="e">
        <f ca="1">ROUNDUP(IF($D$2="Egyszeri",$E393,IF($D$2="Havi",SUM($E$20:$E$31),IF(MOD($C393,$M$1)-1=0,SUM($E$20:$E$31),0))/12*$M$1)*VLOOKUP($B393,Paraméterek!$I$28:$P$31,IF($D$2="Egyszeri",8,HLOOKUP(ROUNDUP($M$11+$M$13,0),Paraméterek!$J$26:$O$27,2))),IF($D$4="Forint",0,2))</f>
        <v>#N/A</v>
      </c>
      <c r="M393" s="13">
        <f t="shared" ca="1" si="115"/>
        <v>0</v>
      </c>
      <c r="N393" s="13">
        <f t="shared" ca="1" si="125"/>
        <v>0</v>
      </c>
      <c r="O393" s="13">
        <f ca="1">IF($D393="Igen",IF($W392&gt;=IF($D$4="Forint",Paraméterek!$J$121,Paraméterek!$K$121),0,IF($D$4="Forint",Paraméterek!$J$121,Paraméterek!$K$121)-$W392),0)</f>
        <v>0</v>
      </c>
      <c r="P393" s="13" t="e">
        <f ca="1">ROUNDUP($O393*VLOOKUP($M$4+$B393-1,Paraméterek!$H$58:$I$105,2,0)/Paraméterek!$I$56,IF($D$4="Forint",0,2))</f>
        <v>#N/A</v>
      </c>
      <c r="Q393" s="13">
        <f t="shared" ca="1" si="116"/>
        <v>0</v>
      </c>
      <c r="R393" s="33"/>
      <c r="S393" s="13" t="e">
        <f t="shared" ca="1" si="117"/>
        <v>#N/A</v>
      </c>
      <c r="T393" s="13" t="e">
        <f ca="1">ROUNDUP(($N393-$P393-$Q393+$S393)*VLOOKUP($B393,Paraméterek!$I$38:$K$39,IF($D$2="Egyszeri",3,2))/12*IF($D394="Nem",IF($M$13=0,1,$M$13),1),IF($D$4="Forint",0,2))</f>
        <v>#N/A</v>
      </c>
      <c r="U393" s="13"/>
      <c r="V393" s="13"/>
      <c r="W393" s="13" t="e">
        <f ca="1">$N393-$P393-$Q393+$S393-$T393-IF(ROUNDUP(IF(ISBLANK($V393),$U393*0,$V393)/IF($D$2="Egyszeri",VLOOKUP($B393+IF($C393=12,1,0),Paraméterek!$V$257:$W$262,2),IF($B393=1,1,VLOOKUP($B393+IF($C393=12,1,0),Paraméterek!$I$258:$T$278,HLOOKUP($M$11+1,Paraméterek!$J$256:$T$257,2)))),IF($D$4="Forint",0,2))&gt;$N393-$P393-$Q393+$S393-$T393-IF($D$4="Forint",Paraméterek!$C$216,Paraméterek!$D$216),0,ROUNDUP(IF(ISBLANK($V393),$U393*0,$V393)/IF($D$2="Egyszeri",VLOOKUP($B393+IF($C393=12,1,0),Paraméterek!$V$257:$W$262,2),IF($B393=1,1,VLOOKUP($B393+IF($C393=12,1,0),Paraméterek!$I$258:$T$278,HLOOKUP($M$11+1,Paraméterek!$J$256:$T$257,2)))),IF($D$4="Forint",0,2)))</f>
        <v>#N/A</v>
      </c>
      <c r="X393" s="13" t="e">
        <f ca="1">ROUNDDOWN($W393*IF($D$2="Egyszeri",VLOOKUP($B393+IF($C393=12,1,0),Paraméterek!$V$257:$W$262,2),VLOOKUP($B393+IF($C393=12,1,0),Paraméterek!$I$258:$T$278,HLOOKUP($M$11+1,Paraméterek!$I$256:$T$257,2))),IF($D$4="Forint",0,2))</f>
        <v>#N/A</v>
      </c>
      <c r="Z393" s="32">
        <v>374</v>
      </c>
      <c r="AA393" s="32">
        <v>32</v>
      </c>
      <c r="AB393" s="32">
        <v>2</v>
      </c>
      <c r="AC393" s="13">
        <f t="shared" ca="1" si="126"/>
        <v>0</v>
      </c>
      <c r="AD393" s="33"/>
      <c r="AE393" s="13">
        <f t="shared" ca="1" si="118"/>
        <v>0</v>
      </c>
      <c r="AF393" s="13">
        <f ca="1">ROUNDUP(($AC393+$AE393)*VLOOKUP($AA393,Paraméterek!$P$38:$Q$38,2)/12*IF($D394="Nem",IF($M$13=0,1,$M$13),1),IF($D$4="Forint",0,2))</f>
        <v>0</v>
      </c>
      <c r="AG393" s="13">
        <f ca="1">IF($D$2="Egyszeri",IF($D$7&gt;=IF($D$4="Forint",Paraméterek!$P$223,Paraméterek!$P$224),$D$7-IF($D$4="Forint",Paraméterek!$P$223,Paraméterek!$P$224),0),MIN(IF($AB393=12,AVERAGEIF($E$20:$E393,"&gt;0",$E$20:$E393)*12,0),SUM($E$20:$E$31)))</f>
        <v>0</v>
      </c>
      <c r="AH393" s="13">
        <f>IF($AA393=10,$AG393*IF($AB393=12,IF($AG393&lt;IF($D$4="Forint",Paraméterek!$L$223,Paraméterek!$L$224),0,VLOOKUP($AA393,Paraméterek!$K$226:$M$228,IF($AG393&lt;IF($D$4="Forint",Paraméterek!$M$223,Paraméterek!$M$224),2,3))),0),0)</f>
        <v>0</v>
      </c>
      <c r="AI393" s="13">
        <f ca="1">IF(AND($AA393=$M$11+1,$AB393=$M$12+1),SUMIF($AA$20:$AA$1027,$AA393,$AG$20:$AG$1027)*IF(SUMIF($AA$20:$AA$1027,$AA393,$AG$20:$AG$1027)&lt;IF($D$4="Forint",Paraméterek!$L$223,Paraméterek!$L$224),0,VLOOKUP($AA393,Paraméterek!$K$230:$M$250,IF(SUMIF($AA$20:$AA$1027,$AA393,$AG$20:$AG$1027)&lt;IF($D$4="Forint",Paraméterek!$M$223,Paraméterek!$M$224),2,3))),0)</f>
        <v>0</v>
      </c>
      <c r="AJ393" s="13">
        <f ca="1">IF(AND($AA393&gt;=5,MOD($AA393,5)=0),IF($AB393=12,VLOOKUP($AA393,Paraméterek!$O$225:$P$240,2),0),IF(OR($AA393=3,$AA393=4),IF($AB393=12,VLOOKUP($AA393,Paraméterek!$O$225:$P$240,2,0),0),0))*$AG393</f>
        <v>0</v>
      </c>
      <c r="AK393" s="13">
        <f t="shared" ca="1" si="119"/>
        <v>0</v>
      </c>
      <c r="AL393" s="13">
        <f t="shared" ca="1" si="127"/>
        <v>0</v>
      </c>
      <c r="AM393" s="13">
        <f t="shared" ca="1" si="128"/>
        <v>0</v>
      </c>
      <c r="AO393" s="32">
        <v>374</v>
      </c>
      <c r="AP393" s="32">
        <v>32</v>
      </c>
      <c r="AQ393" s="32">
        <v>2</v>
      </c>
      <c r="AR393" s="13"/>
      <c r="AS393" s="32"/>
      <c r="AT393" s="13">
        <f t="shared" ca="1" si="129"/>
        <v>0</v>
      </c>
      <c r="AU393" s="33"/>
      <c r="AV393" s="13">
        <f t="shared" ca="1" si="120"/>
        <v>0</v>
      </c>
      <c r="AW393" s="13">
        <f ca="1">ROUNDUP(($AT393+$AV393)*VLOOKUP($AP393,Paraméterek!$P$38:$Q$38,2)/12*IF($D394="Nem",IF($M$13=0,1,$M$13),1),IF($D$4="Forint",0,2))</f>
        <v>0</v>
      </c>
      <c r="AX393" s="13"/>
      <c r="AY393" s="13"/>
      <c r="AZ393" s="13">
        <f>ROUNDUP(IF(SUM($AX393:$AY393)=0,0,IF(IF(ISBLANK($AY393),$AX393,$AY393)*Paraméterek!$J$112&lt;IF($D$4="Forint",Paraméterek!$J$113,Paraméterek!$K$113),IF($D$4="Forint",Paraméterek!$J$113,Paraméterek!$K$113),IF(IF(ISBLANK($AY393),$AX393,$AY393)*Paraméterek!$J$112&gt;IF($D$4="Forint",Paraméterek!$J$114,Paraméterek!$K$114),IF($D$4="Forint",Paraméterek!$J$114,Paraméterek!$K$114),IF(ISBLANK($AY393),$AX393,$AY393)*Paraméterek!$J$112))),IF($D$4="Forint",0,2))</f>
        <v>0</v>
      </c>
      <c r="BA393" s="13">
        <f ca="1">$AT393+$AV393-$AW393-IF(ROUNDDOWN(IF(ISBLANK($AY393),$AX393,$AY393),IF($D$4="Forint",0,2))&gt;$AT393+$AV393-$AW393-IF($D$4="Forint",Paraméterek!$J$114,Paraméterek!$K$114),0,ROUNDDOWN(IF(ISBLANK($AY393),$AX393,$AY393),IF($D$4="Forint",0,2))-$AZ393)</f>
        <v>0</v>
      </c>
      <c r="BB393" s="13">
        <f t="shared" ca="1" si="121"/>
        <v>0</v>
      </c>
      <c r="BD393" s="32">
        <v>374</v>
      </c>
      <c r="BE393" s="32">
        <v>32</v>
      </c>
      <c r="BF393" s="32">
        <v>2</v>
      </c>
      <c r="BG393" s="34">
        <f t="shared" ca="1" si="130"/>
        <v>2050</v>
      </c>
      <c r="BH393" s="32" t="str">
        <f ca="1">IF(MOD(MONTH($D$14)+$BD393-1,12)=Paraméterek!$C$288,"Igen","")</f>
        <v>Igen</v>
      </c>
      <c r="BI393" s="13">
        <f ca="1">IF($BH393="Igen",MIN(ROUNDDOWN((SUMIF($BG$20:$BG$1027,$BG393-1,$K$20:$K$1027)-SUMIF($BG$20:$BG$1027,$BG393-1,$I$20:$I$1027))*Paraméterek!$C$289,IF($D$4="Forint",0,2)),IF($D$4="Forint",Paraméterek!$C$285,Paraméterek!$D$285)),0)</f>
        <v>0</v>
      </c>
      <c r="BJ393" s="13">
        <f t="shared" ca="1" si="122"/>
        <v>0</v>
      </c>
      <c r="BK393" s="13">
        <f t="shared" ca="1" si="131"/>
        <v>0</v>
      </c>
      <c r="BL393" s="33"/>
      <c r="BM393" s="13">
        <f t="shared" ca="1" si="123"/>
        <v>0</v>
      </c>
      <c r="BN393" s="13">
        <f ca="1">ROUNDUP(($BK393+$BM393)*VLOOKUP($BE393,Paraméterek!$P$38:$Q$38,2)/12*IF($D394="Nem",IF($M$13=0,1,$M$13),1),IF($D$4="Forint",0,2))</f>
        <v>0</v>
      </c>
      <c r="BO393" s="13">
        <f t="shared" ca="1" si="124"/>
        <v>0</v>
      </c>
      <c r="BP393" s="13">
        <f ca="1">IF($D394="Nem",$BO393,$BO393-ROUNDUP(SUM($BI$20:$BI393)*120%,IF($D$4="Forint",0,2)))</f>
        <v>0</v>
      </c>
    </row>
    <row r="394" spans="1:68" x14ac:dyDescent="0.2">
      <c r="A394" s="32">
        <v>375</v>
      </c>
      <c r="B394" s="32">
        <v>32</v>
      </c>
      <c r="C394" s="32">
        <v>3</v>
      </c>
      <c r="D394" s="32" t="str">
        <f t="shared" ca="1" si="110"/>
        <v>Nem</v>
      </c>
      <c r="E394" s="13">
        <f t="shared" ca="1" si="111"/>
        <v>0</v>
      </c>
      <c r="F394" s="13"/>
      <c r="G394" s="13"/>
      <c r="H394" s="13"/>
      <c r="I394" s="13">
        <f t="shared" ca="1" si="112"/>
        <v>0</v>
      </c>
      <c r="J394" s="13">
        <f t="shared" ca="1" si="113"/>
        <v>0</v>
      </c>
      <c r="K394" s="13">
        <f t="shared" ca="1" si="114"/>
        <v>0</v>
      </c>
      <c r="L394" s="13" t="e">
        <f ca="1">ROUNDUP(IF($D$2="Egyszeri",$E394,IF($D$2="Havi",SUM($E$20:$E$31),IF(MOD($C394,$M$1)-1=0,SUM($E$20:$E$31),0))/12*$M$1)*VLOOKUP($B394,Paraméterek!$I$28:$P$31,IF($D$2="Egyszeri",8,HLOOKUP(ROUNDUP($M$11+$M$13,0),Paraméterek!$J$26:$O$27,2))),IF($D$4="Forint",0,2))</f>
        <v>#N/A</v>
      </c>
      <c r="M394" s="13">
        <f t="shared" ca="1" si="115"/>
        <v>0</v>
      </c>
      <c r="N394" s="13">
        <f t="shared" ca="1" si="125"/>
        <v>0</v>
      </c>
      <c r="O394" s="13">
        <f ca="1">IF($D394="Igen",IF($W393&gt;=IF($D$4="Forint",Paraméterek!$J$121,Paraméterek!$K$121),0,IF($D$4="Forint",Paraméterek!$J$121,Paraméterek!$K$121)-$W393),0)</f>
        <v>0</v>
      </c>
      <c r="P394" s="13" t="e">
        <f ca="1">ROUNDUP($O394*VLOOKUP($M$4+$B394-1,Paraméterek!$H$58:$I$105,2,0)/Paraméterek!$I$56,IF($D$4="Forint",0,2))</f>
        <v>#N/A</v>
      </c>
      <c r="Q394" s="13">
        <f t="shared" ca="1" si="116"/>
        <v>0</v>
      </c>
      <c r="R394" s="33"/>
      <c r="S394" s="13" t="e">
        <f t="shared" ca="1" si="117"/>
        <v>#N/A</v>
      </c>
      <c r="T394" s="13" t="e">
        <f ca="1">ROUNDUP(($N394-$P394-$Q394+$S394)*VLOOKUP($B394,Paraméterek!$I$38:$K$39,IF($D$2="Egyszeri",3,2))/12*IF($D395="Nem",IF($M$13=0,1,$M$13),1),IF($D$4="Forint",0,2))</f>
        <v>#N/A</v>
      </c>
      <c r="U394" s="13"/>
      <c r="V394" s="13"/>
      <c r="W394" s="13" t="e">
        <f ca="1">$N394-$P394-$Q394+$S394-$T394-IF(ROUNDUP(IF(ISBLANK($V394),$U394*0,$V394)/IF($D$2="Egyszeri",VLOOKUP($B394+IF($C394=12,1,0),Paraméterek!$V$257:$W$262,2),IF($B394=1,1,VLOOKUP($B394+IF($C394=12,1,0),Paraméterek!$I$258:$T$278,HLOOKUP($M$11+1,Paraméterek!$J$256:$T$257,2)))),IF($D$4="Forint",0,2))&gt;$N394-$P394-$Q394+$S394-$T394-IF($D$4="Forint",Paraméterek!$C$216,Paraméterek!$D$216),0,ROUNDUP(IF(ISBLANK($V394),$U394*0,$V394)/IF($D$2="Egyszeri",VLOOKUP($B394+IF($C394=12,1,0),Paraméterek!$V$257:$W$262,2),IF($B394=1,1,VLOOKUP($B394+IF($C394=12,1,0),Paraméterek!$I$258:$T$278,HLOOKUP($M$11+1,Paraméterek!$J$256:$T$257,2)))),IF($D$4="Forint",0,2)))</f>
        <v>#N/A</v>
      </c>
      <c r="X394" s="13" t="e">
        <f ca="1">ROUNDDOWN($W394*IF($D$2="Egyszeri",VLOOKUP($B394+IF($C394=12,1,0),Paraméterek!$V$257:$W$262,2),VLOOKUP($B394+IF($C394=12,1,0),Paraméterek!$I$258:$T$278,HLOOKUP($M$11+1,Paraméterek!$I$256:$T$257,2))),IF($D$4="Forint",0,2))</f>
        <v>#N/A</v>
      </c>
      <c r="Z394" s="32">
        <v>375</v>
      </c>
      <c r="AA394" s="32">
        <v>32</v>
      </c>
      <c r="AB394" s="32">
        <v>3</v>
      </c>
      <c r="AC394" s="13">
        <f t="shared" ca="1" si="126"/>
        <v>0</v>
      </c>
      <c r="AD394" s="33"/>
      <c r="AE394" s="13">
        <f t="shared" ca="1" si="118"/>
        <v>0</v>
      </c>
      <c r="AF394" s="13">
        <f ca="1">ROUNDUP(($AC394+$AE394)*VLOOKUP($AA394,Paraméterek!$P$38:$Q$38,2)/12*IF($D395="Nem",IF($M$13=0,1,$M$13),1),IF($D$4="Forint",0,2))</f>
        <v>0</v>
      </c>
      <c r="AG394" s="13">
        <f ca="1">IF($D$2="Egyszeri",IF($D$7&gt;=IF($D$4="Forint",Paraméterek!$P$223,Paraméterek!$P$224),$D$7-IF($D$4="Forint",Paraméterek!$P$223,Paraméterek!$P$224),0),MIN(IF($AB394=12,AVERAGEIF($E$20:$E394,"&gt;0",$E$20:$E394)*12,0),SUM($E$20:$E$31)))</f>
        <v>0</v>
      </c>
      <c r="AH394" s="13">
        <f>IF($AA394=10,$AG394*IF($AB394=12,IF($AG394&lt;IF($D$4="Forint",Paraméterek!$L$223,Paraméterek!$L$224),0,VLOOKUP($AA394,Paraméterek!$K$226:$M$228,IF($AG394&lt;IF($D$4="Forint",Paraméterek!$M$223,Paraméterek!$M$224),2,3))),0),0)</f>
        <v>0</v>
      </c>
      <c r="AI394" s="13">
        <f ca="1">IF(AND($AA394=$M$11+1,$AB394=$M$12+1),SUMIF($AA$20:$AA$1027,$AA394,$AG$20:$AG$1027)*IF(SUMIF($AA$20:$AA$1027,$AA394,$AG$20:$AG$1027)&lt;IF($D$4="Forint",Paraméterek!$L$223,Paraméterek!$L$224),0,VLOOKUP($AA394,Paraméterek!$K$230:$M$250,IF(SUMIF($AA$20:$AA$1027,$AA394,$AG$20:$AG$1027)&lt;IF($D$4="Forint",Paraméterek!$M$223,Paraméterek!$M$224),2,3))),0)</f>
        <v>0</v>
      </c>
      <c r="AJ394" s="13">
        <f ca="1">IF(AND($AA394&gt;=5,MOD($AA394,5)=0),IF($AB394=12,VLOOKUP($AA394,Paraméterek!$O$225:$P$240,2),0),IF(OR($AA394=3,$AA394=4),IF($AB394=12,VLOOKUP($AA394,Paraméterek!$O$225:$P$240,2,0),0),0))*$AG394</f>
        <v>0</v>
      </c>
      <c r="AK394" s="13">
        <f t="shared" ca="1" si="119"/>
        <v>0</v>
      </c>
      <c r="AL394" s="13">
        <f t="shared" ca="1" si="127"/>
        <v>0</v>
      </c>
      <c r="AM394" s="13">
        <f t="shared" ca="1" si="128"/>
        <v>0</v>
      </c>
      <c r="AO394" s="32">
        <v>375</v>
      </c>
      <c r="AP394" s="32">
        <v>32</v>
      </c>
      <c r="AQ394" s="32">
        <v>3</v>
      </c>
      <c r="AR394" s="13"/>
      <c r="AS394" s="32"/>
      <c r="AT394" s="13">
        <f t="shared" ca="1" si="129"/>
        <v>0</v>
      </c>
      <c r="AU394" s="33"/>
      <c r="AV394" s="13">
        <f t="shared" ca="1" si="120"/>
        <v>0</v>
      </c>
      <c r="AW394" s="13">
        <f ca="1">ROUNDUP(($AT394+$AV394)*VLOOKUP($AP394,Paraméterek!$P$38:$Q$38,2)/12*IF($D395="Nem",IF($M$13=0,1,$M$13),1),IF($D$4="Forint",0,2))</f>
        <v>0</v>
      </c>
      <c r="AX394" s="13"/>
      <c r="AY394" s="13"/>
      <c r="AZ394" s="13">
        <f>ROUNDUP(IF(SUM($AX394:$AY394)=0,0,IF(IF(ISBLANK($AY394),$AX394,$AY394)*Paraméterek!$J$112&lt;IF($D$4="Forint",Paraméterek!$J$113,Paraméterek!$K$113),IF($D$4="Forint",Paraméterek!$J$113,Paraméterek!$K$113),IF(IF(ISBLANK($AY394),$AX394,$AY394)*Paraméterek!$J$112&gt;IF($D$4="Forint",Paraméterek!$J$114,Paraméterek!$K$114),IF($D$4="Forint",Paraméterek!$J$114,Paraméterek!$K$114),IF(ISBLANK($AY394),$AX394,$AY394)*Paraméterek!$J$112))),IF($D$4="Forint",0,2))</f>
        <v>0</v>
      </c>
      <c r="BA394" s="13">
        <f ca="1">$AT394+$AV394-$AW394-IF(ROUNDDOWN(IF(ISBLANK($AY394),$AX394,$AY394),IF($D$4="Forint",0,2))&gt;$AT394+$AV394-$AW394-IF($D$4="Forint",Paraméterek!$J$114,Paraméterek!$K$114),0,ROUNDDOWN(IF(ISBLANK($AY394),$AX394,$AY394),IF($D$4="Forint",0,2))-$AZ394)</f>
        <v>0</v>
      </c>
      <c r="BB394" s="13">
        <f t="shared" ca="1" si="121"/>
        <v>0</v>
      </c>
      <c r="BD394" s="32">
        <v>375</v>
      </c>
      <c r="BE394" s="32">
        <v>32</v>
      </c>
      <c r="BF394" s="32">
        <v>3</v>
      </c>
      <c r="BG394" s="34">
        <f t="shared" ca="1" si="130"/>
        <v>2050</v>
      </c>
      <c r="BH394" s="32" t="str">
        <f ca="1">IF(MOD(MONTH($D$14)+$BD394-1,12)=Paraméterek!$C$288,"Igen","")</f>
        <v/>
      </c>
      <c r="BI394" s="13">
        <f ca="1">IF($BH394="Igen",MIN(ROUNDDOWN((SUMIF($BG$20:$BG$1027,$BG394-1,$K$20:$K$1027)-SUMIF($BG$20:$BG$1027,$BG394-1,$I$20:$I$1027))*Paraméterek!$C$289,IF($D$4="Forint",0,2)),IF($D$4="Forint",Paraméterek!$C$285,Paraméterek!$D$285)),0)</f>
        <v>0</v>
      </c>
      <c r="BJ394" s="13">
        <f t="shared" ca="1" si="122"/>
        <v>0</v>
      </c>
      <c r="BK394" s="13">
        <f t="shared" ca="1" si="131"/>
        <v>0</v>
      </c>
      <c r="BL394" s="33"/>
      <c r="BM394" s="13">
        <f t="shared" ca="1" si="123"/>
        <v>0</v>
      </c>
      <c r="BN394" s="13">
        <f ca="1">ROUNDUP(($BK394+$BM394)*VLOOKUP($BE394,Paraméterek!$P$38:$Q$38,2)/12*IF($D395="Nem",IF($M$13=0,1,$M$13),1),IF($D$4="Forint",0,2))</f>
        <v>0</v>
      </c>
      <c r="BO394" s="13">
        <f t="shared" ca="1" si="124"/>
        <v>0</v>
      </c>
      <c r="BP394" s="13">
        <f ca="1">IF($D395="Nem",$BO394,$BO394-ROUNDUP(SUM($BI$20:$BI394)*120%,IF($D$4="Forint",0,2)))</f>
        <v>0</v>
      </c>
    </row>
    <row r="395" spans="1:68" x14ac:dyDescent="0.2">
      <c r="A395" s="32">
        <v>376</v>
      </c>
      <c r="B395" s="32">
        <v>32</v>
      </c>
      <c r="C395" s="32">
        <v>4</v>
      </c>
      <c r="D395" s="32" t="str">
        <f t="shared" ca="1" si="110"/>
        <v>Nem</v>
      </c>
      <c r="E395" s="13">
        <f t="shared" ca="1" si="111"/>
        <v>0</v>
      </c>
      <c r="F395" s="13"/>
      <c r="G395" s="13"/>
      <c r="H395" s="13"/>
      <c r="I395" s="13">
        <f t="shared" ca="1" si="112"/>
        <v>0</v>
      </c>
      <c r="J395" s="13">
        <f t="shared" ca="1" si="113"/>
        <v>0</v>
      </c>
      <c r="K395" s="13">
        <f t="shared" ca="1" si="114"/>
        <v>0</v>
      </c>
      <c r="L395" s="13" t="e">
        <f ca="1">ROUNDUP(IF($D$2="Egyszeri",$E395,IF($D$2="Havi",SUM($E$20:$E$31),IF(MOD($C395,$M$1)-1=0,SUM($E$20:$E$31),0))/12*$M$1)*VLOOKUP($B395,Paraméterek!$I$28:$P$31,IF($D$2="Egyszeri",8,HLOOKUP(ROUNDUP($M$11+$M$13,0),Paraméterek!$J$26:$O$27,2))),IF($D$4="Forint",0,2))</f>
        <v>#N/A</v>
      </c>
      <c r="M395" s="13">
        <f t="shared" ca="1" si="115"/>
        <v>0</v>
      </c>
      <c r="N395" s="13">
        <f t="shared" ca="1" si="125"/>
        <v>0</v>
      </c>
      <c r="O395" s="13">
        <f ca="1">IF($D395="Igen",IF($W394&gt;=IF($D$4="Forint",Paraméterek!$J$121,Paraméterek!$K$121),0,IF($D$4="Forint",Paraméterek!$J$121,Paraméterek!$K$121)-$W394),0)</f>
        <v>0</v>
      </c>
      <c r="P395" s="13" t="e">
        <f ca="1">ROUNDUP($O395*VLOOKUP($M$4+$B395-1,Paraméterek!$H$58:$I$105,2,0)/Paraméterek!$I$56,IF($D$4="Forint",0,2))</f>
        <v>#N/A</v>
      </c>
      <c r="Q395" s="13">
        <f t="shared" ca="1" si="116"/>
        <v>0</v>
      </c>
      <c r="R395" s="33"/>
      <c r="S395" s="13" t="e">
        <f t="shared" ca="1" si="117"/>
        <v>#N/A</v>
      </c>
      <c r="T395" s="13" t="e">
        <f ca="1">ROUNDUP(($N395-$P395-$Q395+$S395)*VLOOKUP($B395,Paraméterek!$I$38:$K$39,IF($D$2="Egyszeri",3,2))/12*IF($D396="Nem",IF($M$13=0,1,$M$13),1),IF($D$4="Forint",0,2))</f>
        <v>#N/A</v>
      </c>
      <c r="U395" s="13"/>
      <c r="V395" s="13"/>
      <c r="W395" s="13" t="e">
        <f ca="1">$N395-$P395-$Q395+$S395-$T395-IF(ROUNDUP(IF(ISBLANK($V395),$U395*0,$V395)/IF($D$2="Egyszeri",VLOOKUP($B395+IF($C395=12,1,0),Paraméterek!$V$257:$W$262,2),IF($B395=1,1,VLOOKUP($B395+IF($C395=12,1,0),Paraméterek!$I$258:$T$278,HLOOKUP($M$11+1,Paraméterek!$J$256:$T$257,2)))),IF($D$4="Forint",0,2))&gt;$N395-$P395-$Q395+$S395-$T395-IF($D$4="Forint",Paraméterek!$C$216,Paraméterek!$D$216),0,ROUNDUP(IF(ISBLANK($V395),$U395*0,$V395)/IF($D$2="Egyszeri",VLOOKUP($B395+IF($C395=12,1,0),Paraméterek!$V$257:$W$262,2),IF($B395=1,1,VLOOKUP($B395+IF($C395=12,1,0),Paraméterek!$I$258:$T$278,HLOOKUP($M$11+1,Paraméterek!$J$256:$T$257,2)))),IF($D$4="Forint",0,2)))</f>
        <v>#N/A</v>
      </c>
      <c r="X395" s="13" t="e">
        <f ca="1">ROUNDDOWN($W395*IF($D$2="Egyszeri",VLOOKUP($B395+IF($C395=12,1,0),Paraméterek!$V$257:$W$262,2),VLOOKUP($B395+IF($C395=12,1,0),Paraméterek!$I$258:$T$278,HLOOKUP($M$11+1,Paraméterek!$I$256:$T$257,2))),IF($D$4="Forint",0,2))</f>
        <v>#N/A</v>
      </c>
      <c r="Z395" s="32">
        <v>376</v>
      </c>
      <c r="AA395" s="32">
        <v>32</v>
      </c>
      <c r="AB395" s="32">
        <v>4</v>
      </c>
      <c r="AC395" s="13">
        <f t="shared" ca="1" si="126"/>
        <v>0</v>
      </c>
      <c r="AD395" s="33"/>
      <c r="AE395" s="13">
        <f t="shared" ca="1" si="118"/>
        <v>0</v>
      </c>
      <c r="AF395" s="13">
        <f ca="1">ROUNDUP(($AC395+$AE395)*VLOOKUP($AA395,Paraméterek!$P$38:$Q$38,2)/12*IF($D396="Nem",IF($M$13=0,1,$M$13),1),IF($D$4="Forint",0,2))</f>
        <v>0</v>
      </c>
      <c r="AG395" s="13">
        <f ca="1">IF($D$2="Egyszeri",IF($D$7&gt;=IF($D$4="Forint",Paraméterek!$P$223,Paraméterek!$P$224),$D$7-IF($D$4="Forint",Paraméterek!$P$223,Paraméterek!$P$224),0),MIN(IF($AB395=12,AVERAGEIF($E$20:$E395,"&gt;0",$E$20:$E395)*12,0),SUM($E$20:$E$31)))</f>
        <v>0</v>
      </c>
      <c r="AH395" s="13">
        <f>IF($AA395=10,$AG395*IF($AB395=12,IF($AG395&lt;IF($D$4="Forint",Paraméterek!$L$223,Paraméterek!$L$224),0,VLOOKUP($AA395,Paraméterek!$K$226:$M$228,IF($AG395&lt;IF($D$4="Forint",Paraméterek!$M$223,Paraméterek!$M$224),2,3))),0),0)</f>
        <v>0</v>
      </c>
      <c r="AI395" s="13">
        <f ca="1">IF(AND($AA395=$M$11+1,$AB395=$M$12+1),SUMIF($AA$20:$AA$1027,$AA395,$AG$20:$AG$1027)*IF(SUMIF($AA$20:$AA$1027,$AA395,$AG$20:$AG$1027)&lt;IF($D$4="Forint",Paraméterek!$L$223,Paraméterek!$L$224),0,VLOOKUP($AA395,Paraméterek!$K$230:$M$250,IF(SUMIF($AA$20:$AA$1027,$AA395,$AG$20:$AG$1027)&lt;IF($D$4="Forint",Paraméterek!$M$223,Paraméterek!$M$224),2,3))),0)</f>
        <v>0</v>
      </c>
      <c r="AJ395" s="13">
        <f ca="1">IF(AND($AA395&gt;=5,MOD($AA395,5)=0),IF($AB395=12,VLOOKUP($AA395,Paraméterek!$O$225:$P$240,2),0),IF(OR($AA395=3,$AA395=4),IF($AB395=12,VLOOKUP($AA395,Paraméterek!$O$225:$P$240,2,0),0),0))*$AG395</f>
        <v>0</v>
      </c>
      <c r="AK395" s="13">
        <f t="shared" ca="1" si="119"/>
        <v>0</v>
      </c>
      <c r="AL395" s="13">
        <f t="shared" ca="1" si="127"/>
        <v>0</v>
      </c>
      <c r="AM395" s="13">
        <f t="shared" ca="1" si="128"/>
        <v>0</v>
      </c>
      <c r="AO395" s="32">
        <v>376</v>
      </c>
      <c r="AP395" s="32">
        <v>32</v>
      </c>
      <c r="AQ395" s="32">
        <v>4</v>
      </c>
      <c r="AR395" s="13"/>
      <c r="AS395" s="32"/>
      <c r="AT395" s="13">
        <f t="shared" ca="1" si="129"/>
        <v>0</v>
      </c>
      <c r="AU395" s="33"/>
      <c r="AV395" s="13">
        <f t="shared" ca="1" si="120"/>
        <v>0</v>
      </c>
      <c r="AW395" s="13">
        <f ca="1">ROUNDUP(($AT395+$AV395)*VLOOKUP($AP395,Paraméterek!$P$38:$Q$38,2)/12*IF($D396="Nem",IF($M$13=0,1,$M$13),1),IF($D$4="Forint",0,2))</f>
        <v>0</v>
      </c>
      <c r="AX395" s="13"/>
      <c r="AY395" s="13"/>
      <c r="AZ395" s="13">
        <f>ROUNDUP(IF(SUM($AX395:$AY395)=0,0,IF(IF(ISBLANK($AY395),$AX395,$AY395)*Paraméterek!$J$112&lt;IF($D$4="Forint",Paraméterek!$J$113,Paraméterek!$K$113),IF($D$4="Forint",Paraméterek!$J$113,Paraméterek!$K$113),IF(IF(ISBLANK($AY395),$AX395,$AY395)*Paraméterek!$J$112&gt;IF($D$4="Forint",Paraméterek!$J$114,Paraméterek!$K$114),IF($D$4="Forint",Paraméterek!$J$114,Paraméterek!$K$114),IF(ISBLANK($AY395),$AX395,$AY395)*Paraméterek!$J$112))),IF($D$4="Forint",0,2))</f>
        <v>0</v>
      </c>
      <c r="BA395" s="13">
        <f ca="1">$AT395+$AV395-$AW395-IF(ROUNDDOWN(IF(ISBLANK($AY395),$AX395,$AY395),IF($D$4="Forint",0,2))&gt;$AT395+$AV395-$AW395-IF($D$4="Forint",Paraméterek!$J$114,Paraméterek!$K$114),0,ROUNDDOWN(IF(ISBLANK($AY395),$AX395,$AY395),IF($D$4="Forint",0,2))-$AZ395)</f>
        <v>0</v>
      </c>
      <c r="BB395" s="13">
        <f t="shared" ca="1" si="121"/>
        <v>0</v>
      </c>
      <c r="BD395" s="32">
        <v>376</v>
      </c>
      <c r="BE395" s="32">
        <v>32</v>
      </c>
      <c r="BF395" s="32">
        <v>4</v>
      </c>
      <c r="BG395" s="34">
        <f t="shared" ca="1" si="130"/>
        <v>2050</v>
      </c>
      <c r="BH395" s="32" t="str">
        <f ca="1">IF(MOD(MONTH($D$14)+$BD395-1,12)=Paraméterek!$C$288,"Igen","")</f>
        <v/>
      </c>
      <c r="BI395" s="13">
        <f ca="1">IF($BH395="Igen",MIN(ROUNDDOWN((SUMIF($BG$20:$BG$1027,$BG395-1,$K$20:$K$1027)-SUMIF($BG$20:$BG$1027,$BG395-1,$I$20:$I$1027))*Paraméterek!$C$289,IF($D$4="Forint",0,2)),IF($D$4="Forint",Paraméterek!$C$285,Paraméterek!$D$285)),0)</f>
        <v>0</v>
      </c>
      <c r="BJ395" s="13">
        <f t="shared" ca="1" si="122"/>
        <v>0</v>
      </c>
      <c r="BK395" s="13">
        <f t="shared" ca="1" si="131"/>
        <v>0</v>
      </c>
      <c r="BL395" s="33"/>
      <c r="BM395" s="13">
        <f t="shared" ca="1" si="123"/>
        <v>0</v>
      </c>
      <c r="BN395" s="13">
        <f ca="1">ROUNDUP(($BK395+$BM395)*VLOOKUP($BE395,Paraméterek!$P$38:$Q$38,2)/12*IF($D396="Nem",IF($M$13=0,1,$M$13),1),IF($D$4="Forint",0,2))</f>
        <v>0</v>
      </c>
      <c r="BO395" s="13">
        <f t="shared" ca="1" si="124"/>
        <v>0</v>
      </c>
      <c r="BP395" s="13">
        <f ca="1">IF($D396="Nem",$BO395,$BO395-ROUNDUP(SUM($BI$20:$BI395)*120%,IF($D$4="Forint",0,2)))</f>
        <v>0</v>
      </c>
    </row>
    <row r="396" spans="1:68" x14ac:dyDescent="0.2">
      <c r="A396" s="32">
        <v>377</v>
      </c>
      <c r="B396" s="32">
        <v>32</v>
      </c>
      <c r="C396" s="32">
        <v>5</v>
      </c>
      <c r="D396" s="32" t="str">
        <f t="shared" ca="1" si="110"/>
        <v>Nem</v>
      </c>
      <c r="E396" s="13">
        <f t="shared" ca="1" si="111"/>
        <v>0</v>
      </c>
      <c r="F396" s="13"/>
      <c r="G396" s="13"/>
      <c r="H396" s="13"/>
      <c r="I396" s="13">
        <f t="shared" ca="1" si="112"/>
        <v>0</v>
      </c>
      <c r="J396" s="13">
        <f t="shared" ca="1" si="113"/>
        <v>0</v>
      </c>
      <c r="K396" s="13">
        <f t="shared" ca="1" si="114"/>
        <v>0</v>
      </c>
      <c r="L396" s="13" t="e">
        <f ca="1">ROUNDUP(IF($D$2="Egyszeri",$E396,IF($D$2="Havi",SUM($E$20:$E$31),IF(MOD($C396,$M$1)-1=0,SUM($E$20:$E$31),0))/12*$M$1)*VLOOKUP($B396,Paraméterek!$I$28:$P$31,IF($D$2="Egyszeri",8,HLOOKUP(ROUNDUP($M$11+$M$13,0),Paraméterek!$J$26:$O$27,2))),IF($D$4="Forint",0,2))</f>
        <v>#N/A</v>
      </c>
      <c r="M396" s="13">
        <f t="shared" ca="1" si="115"/>
        <v>0</v>
      </c>
      <c r="N396" s="13">
        <f t="shared" ca="1" si="125"/>
        <v>0</v>
      </c>
      <c r="O396" s="13">
        <f ca="1">IF($D396="Igen",IF($W395&gt;=IF($D$4="Forint",Paraméterek!$J$121,Paraméterek!$K$121),0,IF($D$4="Forint",Paraméterek!$J$121,Paraméterek!$K$121)-$W395),0)</f>
        <v>0</v>
      </c>
      <c r="P396" s="13" t="e">
        <f ca="1">ROUNDUP($O396*VLOOKUP($M$4+$B396-1,Paraméterek!$H$58:$I$105,2,0)/Paraméterek!$I$56,IF($D$4="Forint",0,2))</f>
        <v>#N/A</v>
      </c>
      <c r="Q396" s="13">
        <f t="shared" ca="1" si="116"/>
        <v>0</v>
      </c>
      <c r="R396" s="33"/>
      <c r="S396" s="13" t="e">
        <f t="shared" ca="1" si="117"/>
        <v>#N/A</v>
      </c>
      <c r="T396" s="13" t="e">
        <f ca="1">ROUNDUP(($N396-$P396-$Q396+$S396)*VLOOKUP($B396,Paraméterek!$I$38:$K$39,IF($D$2="Egyszeri",3,2))/12*IF($D397="Nem",IF($M$13=0,1,$M$13),1),IF($D$4="Forint",0,2))</f>
        <v>#N/A</v>
      </c>
      <c r="U396" s="13"/>
      <c r="V396" s="13"/>
      <c r="W396" s="13" t="e">
        <f ca="1">$N396-$P396-$Q396+$S396-$T396-IF(ROUNDUP(IF(ISBLANK($V396),$U396*0,$V396)/IF($D$2="Egyszeri",VLOOKUP($B396+IF($C396=12,1,0),Paraméterek!$V$257:$W$262,2),IF($B396=1,1,VLOOKUP($B396+IF($C396=12,1,0),Paraméterek!$I$258:$T$278,HLOOKUP($M$11+1,Paraméterek!$J$256:$T$257,2)))),IF($D$4="Forint",0,2))&gt;$N396-$P396-$Q396+$S396-$T396-IF($D$4="Forint",Paraméterek!$C$216,Paraméterek!$D$216),0,ROUNDUP(IF(ISBLANK($V396),$U396*0,$V396)/IF($D$2="Egyszeri",VLOOKUP($B396+IF($C396=12,1,0),Paraméterek!$V$257:$W$262,2),IF($B396=1,1,VLOOKUP($B396+IF($C396=12,1,0),Paraméterek!$I$258:$T$278,HLOOKUP($M$11+1,Paraméterek!$J$256:$T$257,2)))),IF($D$4="Forint",0,2)))</f>
        <v>#N/A</v>
      </c>
      <c r="X396" s="13" t="e">
        <f ca="1">ROUNDDOWN($W396*IF($D$2="Egyszeri",VLOOKUP($B396+IF($C396=12,1,0),Paraméterek!$V$257:$W$262,2),VLOOKUP($B396+IF($C396=12,1,0),Paraméterek!$I$258:$T$278,HLOOKUP($M$11+1,Paraméterek!$I$256:$T$257,2))),IF($D$4="Forint",0,2))</f>
        <v>#N/A</v>
      </c>
      <c r="Z396" s="32">
        <v>377</v>
      </c>
      <c r="AA396" s="32">
        <v>32</v>
      </c>
      <c r="AB396" s="32">
        <v>5</v>
      </c>
      <c r="AC396" s="13">
        <f t="shared" ca="1" si="126"/>
        <v>0</v>
      </c>
      <c r="AD396" s="33"/>
      <c r="AE396" s="13">
        <f t="shared" ca="1" si="118"/>
        <v>0</v>
      </c>
      <c r="AF396" s="13">
        <f ca="1">ROUNDUP(($AC396+$AE396)*VLOOKUP($AA396,Paraméterek!$P$38:$Q$38,2)/12*IF($D397="Nem",IF($M$13=0,1,$M$13),1),IF($D$4="Forint",0,2))</f>
        <v>0</v>
      </c>
      <c r="AG396" s="13">
        <f ca="1">IF($D$2="Egyszeri",IF($D$7&gt;=IF($D$4="Forint",Paraméterek!$P$223,Paraméterek!$P$224),$D$7-IF($D$4="Forint",Paraméterek!$P$223,Paraméterek!$P$224),0),MIN(IF($AB396=12,AVERAGEIF($E$20:$E396,"&gt;0",$E$20:$E396)*12,0),SUM($E$20:$E$31)))</f>
        <v>0</v>
      </c>
      <c r="AH396" s="13">
        <f>IF($AA396=10,$AG396*IF($AB396=12,IF($AG396&lt;IF($D$4="Forint",Paraméterek!$L$223,Paraméterek!$L$224),0,VLOOKUP($AA396,Paraméterek!$K$226:$M$228,IF($AG396&lt;IF($D$4="Forint",Paraméterek!$M$223,Paraméterek!$M$224),2,3))),0),0)</f>
        <v>0</v>
      </c>
      <c r="AI396" s="13">
        <f ca="1">IF(AND($AA396=$M$11+1,$AB396=$M$12+1),SUMIF($AA$20:$AA$1027,$AA396,$AG$20:$AG$1027)*IF(SUMIF($AA$20:$AA$1027,$AA396,$AG$20:$AG$1027)&lt;IF($D$4="Forint",Paraméterek!$L$223,Paraméterek!$L$224),0,VLOOKUP($AA396,Paraméterek!$K$230:$M$250,IF(SUMIF($AA$20:$AA$1027,$AA396,$AG$20:$AG$1027)&lt;IF($D$4="Forint",Paraméterek!$M$223,Paraméterek!$M$224),2,3))),0)</f>
        <v>0</v>
      </c>
      <c r="AJ396" s="13">
        <f ca="1">IF(AND($AA396&gt;=5,MOD($AA396,5)=0),IF($AB396=12,VLOOKUP($AA396,Paraméterek!$O$225:$P$240,2),0),IF(OR($AA396=3,$AA396=4),IF($AB396=12,VLOOKUP($AA396,Paraméterek!$O$225:$P$240,2,0),0),0))*$AG396</f>
        <v>0</v>
      </c>
      <c r="AK396" s="13">
        <f t="shared" ca="1" si="119"/>
        <v>0</v>
      </c>
      <c r="AL396" s="13">
        <f t="shared" ca="1" si="127"/>
        <v>0</v>
      </c>
      <c r="AM396" s="13">
        <f t="shared" ca="1" si="128"/>
        <v>0</v>
      </c>
      <c r="AO396" s="32">
        <v>377</v>
      </c>
      <c r="AP396" s="32">
        <v>32</v>
      </c>
      <c r="AQ396" s="32">
        <v>5</v>
      </c>
      <c r="AR396" s="13"/>
      <c r="AS396" s="32"/>
      <c r="AT396" s="13">
        <f t="shared" ca="1" si="129"/>
        <v>0</v>
      </c>
      <c r="AU396" s="33"/>
      <c r="AV396" s="13">
        <f t="shared" ca="1" si="120"/>
        <v>0</v>
      </c>
      <c r="AW396" s="13">
        <f ca="1">ROUNDUP(($AT396+$AV396)*VLOOKUP($AP396,Paraméterek!$P$38:$Q$38,2)/12*IF($D397="Nem",IF($M$13=0,1,$M$13),1),IF($D$4="Forint",0,2))</f>
        <v>0</v>
      </c>
      <c r="AX396" s="13"/>
      <c r="AY396" s="13"/>
      <c r="AZ396" s="13">
        <f>ROUNDUP(IF(SUM($AX396:$AY396)=0,0,IF(IF(ISBLANK($AY396),$AX396,$AY396)*Paraméterek!$J$112&lt;IF($D$4="Forint",Paraméterek!$J$113,Paraméterek!$K$113),IF($D$4="Forint",Paraméterek!$J$113,Paraméterek!$K$113),IF(IF(ISBLANK($AY396),$AX396,$AY396)*Paraméterek!$J$112&gt;IF($D$4="Forint",Paraméterek!$J$114,Paraméterek!$K$114),IF($D$4="Forint",Paraméterek!$J$114,Paraméterek!$K$114),IF(ISBLANK($AY396),$AX396,$AY396)*Paraméterek!$J$112))),IF($D$4="Forint",0,2))</f>
        <v>0</v>
      </c>
      <c r="BA396" s="13">
        <f ca="1">$AT396+$AV396-$AW396-IF(ROUNDDOWN(IF(ISBLANK($AY396),$AX396,$AY396),IF($D$4="Forint",0,2))&gt;$AT396+$AV396-$AW396-IF($D$4="Forint",Paraméterek!$J$114,Paraméterek!$K$114),0,ROUNDDOWN(IF(ISBLANK($AY396),$AX396,$AY396),IF($D$4="Forint",0,2))-$AZ396)</f>
        <v>0</v>
      </c>
      <c r="BB396" s="13">
        <f t="shared" ca="1" si="121"/>
        <v>0</v>
      </c>
      <c r="BD396" s="32">
        <v>377</v>
      </c>
      <c r="BE396" s="32">
        <v>32</v>
      </c>
      <c r="BF396" s="32">
        <v>5</v>
      </c>
      <c r="BG396" s="34">
        <f t="shared" ca="1" si="130"/>
        <v>2050</v>
      </c>
      <c r="BH396" s="32" t="str">
        <f ca="1">IF(MOD(MONTH($D$14)+$BD396-1,12)=Paraméterek!$C$288,"Igen","")</f>
        <v/>
      </c>
      <c r="BI396" s="13">
        <f ca="1">IF($BH396="Igen",MIN(ROUNDDOWN((SUMIF($BG$20:$BG$1027,$BG396-1,$K$20:$K$1027)-SUMIF($BG$20:$BG$1027,$BG396-1,$I$20:$I$1027))*Paraméterek!$C$289,IF($D$4="Forint",0,2)),IF($D$4="Forint",Paraméterek!$C$285,Paraméterek!$D$285)),0)</f>
        <v>0</v>
      </c>
      <c r="BJ396" s="13">
        <f t="shared" ca="1" si="122"/>
        <v>0</v>
      </c>
      <c r="BK396" s="13">
        <f t="shared" ca="1" si="131"/>
        <v>0</v>
      </c>
      <c r="BL396" s="33"/>
      <c r="BM396" s="13">
        <f t="shared" ca="1" si="123"/>
        <v>0</v>
      </c>
      <c r="BN396" s="13">
        <f ca="1">ROUNDUP(($BK396+$BM396)*VLOOKUP($BE396,Paraméterek!$P$38:$Q$38,2)/12*IF($D397="Nem",IF($M$13=0,1,$M$13),1),IF($D$4="Forint",0,2))</f>
        <v>0</v>
      </c>
      <c r="BO396" s="13">
        <f t="shared" ca="1" si="124"/>
        <v>0</v>
      </c>
      <c r="BP396" s="13">
        <f ca="1">IF($D397="Nem",$BO396,$BO396-ROUNDUP(SUM($BI$20:$BI396)*120%,IF($D$4="Forint",0,2)))</f>
        <v>0</v>
      </c>
    </row>
    <row r="397" spans="1:68" x14ac:dyDescent="0.2">
      <c r="A397" s="32">
        <v>378</v>
      </c>
      <c r="B397" s="32">
        <v>32</v>
      </c>
      <c r="C397" s="32">
        <v>6</v>
      </c>
      <c r="D397" s="32" t="str">
        <f t="shared" ca="1" si="110"/>
        <v>Nem</v>
      </c>
      <c r="E397" s="13">
        <f t="shared" ca="1" si="111"/>
        <v>0</v>
      </c>
      <c r="F397" s="13"/>
      <c r="G397" s="13"/>
      <c r="H397" s="13"/>
      <c r="I397" s="13">
        <f t="shared" ca="1" si="112"/>
        <v>0</v>
      </c>
      <c r="J397" s="13">
        <f t="shared" ca="1" si="113"/>
        <v>0</v>
      </c>
      <c r="K397" s="13">
        <f t="shared" ca="1" si="114"/>
        <v>0</v>
      </c>
      <c r="L397" s="13" t="e">
        <f ca="1">ROUNDUP(IF($D$2="Egyszeri",$E397,IF($D$2="Havi",SUM($E$20:$E$31),IF(MOD($C397,$M$1)-1=0,SUM($E$20:$E$31),0))/12*$M$1)*VLOOKUP($B397,Paraméterek!$I$28:$P$31,IF($D$2="Egyszeri",8,HLOOKUP(ROUNDUP($M$11+$M$13,0),Paraméterek!$J$26:$O$27,2))),IF($D$4="Forint",0,2))</f>
        <v>#N/A</v>
      </c>
      <c r="M397" s="13">
        <f t="shared" ca="1" si="115"/>
        <v>0</v>
      </c>
      <c r="N397" s="13">
        <f t="shared" ca="1" si="125"/>
        <v>0</v>
      </c>
      <c r="O397" s="13">
        <f ca="1">IF($D397="Igen",IF($W396&gt;=IF($D$4="Forint",Paraméterek!$J$121,Paraméterek!$K$121),0,IF($D$4="Forint",Paraméterek!$J$121,Paraméterek!$K$121)-$W396),0)</f>
        <v>0</v>
      </c>
      <c r="P397" s="13" t="e">
        <f ca="1">ROUNDUP($O397*VLOOKUP($M$4+$B397-1,Paraméterek!$H$58:$I$105,2,0)/Paraméterek!$I$56,IF($D$4="Forint",0,2))</f>
        <v>#N/A</v>
      </c>
      <c r="Q397" s="13">
        <f t="shared" ca="1" si="116"/>
        <v>0</v>
      </c>
      <c r="R397" s="33"/>
      <c r="S397" s="13" t="e">
        <f t="shared" ca="1" si="117"/>
        <v>#N/A</v>
      </c>
      <c r="T397" s="13" t="e">
        <f ca="1">ROUNDUP(($N397-$P397-$Q397+$S397)*VLOOKUP($B397,Paraméterek!$I$38:$K$39,IF($D$2="Egyszeri",3,2))/12*IF($D398="Nem",IF($M$13=0,1,$M$13),1),IF($D$4="Forint",0,2))</f>
        <v>#N/A</v>
      </c>
      <c r="U397" s="13"/>
      <c r="V397" s="13"/>
      <c r="W397" s="13" t="e">
        <f ca="1">$N397-$P397-$Q397+$S397-$T397-IF(ROUNDUP(IF(ISBLANK($V397),$U397*0,$V397)/IF($D$2="Egyszeri",VLOOKUP($B397+IF($C397=12,1,0),Paraméterek!$V$257:$W$262,2),IF($B397=1,1,VLOOKUP($B397+IF($C397=12,1,0),Paraméterek!$I$258:$T$278,HLOOKUP($M$11+1,Paraméterek!$J$256:$T$257,2)))),IF($D$4="Forint",0,2))&gt;$N397-$P397-$Q397+$S397-$T397-IF($D$4="Forint",Paraméterek!$C$216,Paraméterek!$D$216),0,ROUNDUP(IF(ISBLANK($V397),$U397*0,$V397)/IF($D$2="Egyszeri",VLOOKUP($B397+IF($C397=12,1,0),Paraméterek!$V$257:$W$262,2),IF($B397=1,1,VLOOKUP($B397+IF($C397=12,1,0),Paraméterek!$I$258:$T$278,HLOOKUP($M$11+1,Paraméterek!$J$256:$T$257,2)))),IF($D$4="Forint",0,2)))</f>
        <v>#N/A</v>
      </c>
      <c r="X397" s="13" t="e">
        <f ca="1">ROUNDDOWN($W397*IF($D$2="Egyszeri",VLOOKUP($B397+IF($C397=12,1,0),Paraméterek!$V$257:$W$262,2),VLOOKUP($B397+IF($C397=12,1,0),Paraméterek!$I$258:$T$278,HLOOKUP($M$11+1,Paraméterek!$I$256:$T$257,2))),IF($D$4="Forint",0,2))</f>
        <v>#N/A</v>
      </c>
      <c r="Z397" s="32">
        <v>378</v>
      </c>
      <c r="AA397" s="32">
        <v>32</v>
      </c>
      <c r="AB397" s="32">
        <v>6</v>
      </c>
      <c r="AC397" s="13">
        <f t="shared" ca="1" si="126"/>
        <v>0</v>
      </c>
      <c r="AD397" s="33"/>
      <c r="AE397" s="13">
        <f t="shared" ca="1" si="118"/>
        <v>0</v>
      </c>
      <c r="AF397" s="13">
        <f ca="1">ROUNDUP(($AC397+$AE397)*VLOOKUP($AA397,Paraméterek!$P$38:$Q$38,2)/12*IF($D398="Nem",IF($M$13=0,1,$M$13),1),IF($D$4="Forint",0,2))</f>
        <v>0</v>
      </c>
      <c r="AG397" s="13">
        <f ca="1">IF($D$2="Egyszeri",IF($D$7&gt;=IF($D$4="Forint",Paraméterek!$P$223,Paraméterek!$P$224),$D$7-IF($D$4="Forint",Paraméterek!$P$223,Paraméterek!$P$224),0),MIN(IF($AB397=12,AVERAGEIF($E$20:$E397,"&gt;0",$E$20:$E397)*12,0),SUM($E$20:$E$31)))</f>
        <v>0</v>
      </c>
      <c r="AH397" s="13">
        <f>IF($AA397=10,$AG397*IF($AB397=12,IF($AG397&lt;IF($D$4="Forint",Paraméterek!$L$223,Paraméterek!$L$224),0,VLOOKUP($AA397,Paraméterek!$K$226:$M$228,IF($AG397&lt;IF($D$4="Forint",Paraméterek!$M$223,Paraméterek!$M$224),2,3))),0),0)</f>
        <v>0</v>
      </c>
      <c r="AI397" s="13">
        <f ca="1">IF(AND($AA397=$M$11+1,$AB397=$M$12+1),SUMIF($AA$20:$AA$1027,$AA397,$AG$20:$AG$1027)*IF(SUMIF($AA$20:$AA$1027,$AA397,$AG$20:$AG$1027)&lt;IF($D$4="Forint",Paraméterek!$L$223,Paraméterek!$L$224),0,VLOOKUP($AA397,Paraméterek!$K$230:$M$250,IF(SUMIF($AA$20:$AA$1027,$AA397,$AG$20:$AG$1027)&lt;IF($D$4="Forint",Paraméterek!$M$223,Paraméterek!$M$224),2,3))),0)</f>
        <v>0</v>
      </c>
      <c r="AJ397" s="13">
        <f ca="1">IF(AND($AA397&gt;=5,MOD($AA397,5)=0),IF($AB397=12,VLOOKUP($AA397,Paraméterek!$O$225:$P$240,2),0),IF(OR($AA397=3,$AA397=4),IF($AB397=12,VLOOKUP($AA397,Paraméterek!$O$225:$P$240,2,0),0),0))*$AG397</f>
        <v>0</v>
      </c>
      <c r="AK397" s="13">
        <f t="shared" ca="1" si="119"/>
        <v>0</v>
      </c>
      <c r="AL397" s="13">
        <f t="shared" ca="1" si="127"/>
        <v>0</v>
      </c>
      <c r="AM397" s="13">
        <f t="shared" ca="1" si="128"/>
        <v>0</v>
      </c>
      <c r="AO397" s="32">
        <v>378</v>
      </c>
      <c r="AP397" s="32">
        <v>32</v>
      </c>
      <c r="AQ397" s="32">
        <v>6</v>
      </c>
      <c r="AR397" s="13"/>
      <c r="AS397" s="32"/>
      <c r="AT397" s="13">
        <f t="shared" ca="1" si="129"/>
        <v>0</v>
      </c>
      <c r="AU397" s="33"/>
      <c r="AV397" s="13">
        <f t="shared" ca="1" si="120"/>
        <v>0</v>
      </c>
      <c r="AW397" s="13">
        <f ca="1">ROUNDUP(($AT397+$AV397)*VLOOKUP($AP397,Paraméterek!$P$38:$Q$38,2)/12*IF($D398="Nem",IF($M$13=0,1,$M$13),1),IF($D$4="Forint",0,2))</f>
        <v>0</v>
      </c>
      <c r="AX397" s="13"/>
      <c r="AY397" s="13"/>
      <c r="AZ397" s="13">
        <f>ROUNDUP(IF(SUM($AX397:$AY397)=0,0,IF(IF(ISBLANK($AY397),$AX397,$AY397)*Paraméterek!$J$112&lt;IF($D$4="Forint",Paraméterek!$J$113,Paraméterek!$K$113),IF($D$4="Forint",Paraméterek!$J$113,Paraméterek!$K$113),IF(IF(ISBLANK($AY397),$AX397,$AY397)*Paraméterek!$J$112&gt;IF($D$4="Forint",Paraméterek!$J$114,Paraméterek!$K$114),IF($D$4="Forint",Paraméterek!$J$114,Paraméterek!$K$114),IF(ISBLANK($AY397),$AX397,$AY397)*Paraméterek!$J$112))),IF($D$4="Forint",0,2))</f>
        <v>0</v>
      </c>
      <c r="BA397" s="13">
        <f ca="1">$AT397+$AV397-$AW397-IF(ROUNDDOWN(IF(ISBLANK($AY397),$AX397,$AY397),IF($D$4="Forint",0,2))&gt;$AT397+$AV397-$AW397-IF($D$4="Forint",Paraméterek!$J$114,Paraméterek!$K$114),0,ROUNDDOWN(IF(ISBLANK($AY397),$AX397,$AY397),IF($D$4="Forint",0,2))-$AZ397)</f>
        <v>0</v>
      </c>
      <c r="BB397" s="13">
        <f t="shared" ca="1" si="121"/>
        <v>0</v>
      </c>
      <c r="BD397" s="32">
        <v>378</v>
      </c>
      <c r="BE397" s="32">
        <v>32</v>
      </c>
      <c r="BF397" s="32">
        <v>6</v>
      </c>
      <c r="BG397" s="34">
        <f t="shared" ca="1" si="130"/>
        <v>2050</v>
      </c>
      <c r="BH397" s="32" t="str">
        <f ca="1">IF(MOD(MONTH($D$14)+$BD397-1,12)=Paraméterek!$C$288,"Igen","")</f>
        <v/>
      </c>
      <c r="BI397" s="13">
        <f ca="1">IF($BH397="Igen",MIN(ROUNDDOWN((SUMIF($BG$20:$BG$1027,$BG397-1,$K$20:$K$1027)-SUMIF($BG$20:$BG$1027,$BG397-1,$I$20:$I$1027))*Paraméterek!$C$289,IF($D$4="Forint",0,2)),IF($D$4="Forint",Paraméterek!$C$285,Paraméterek!$D$285)),0)</f>
        <v>0</v>
      </c>
      <c r="BJ397" s="13">
        <f t="shared" ca="1" si="122"/>
        <v>0</v>
      </c>
      <c r="BK397" s="13">
        <f t="shared" ca="1" si="131"/>
        <v>0</v>
      </c>
      <c r="BL397" s="33"/>
      <c r="BM397" s="13">
        <f t="shared" ca="1" si="123"/>
        <v>0</v>
      </c>
      <c r="BN397" s="13">
        <f ca="1">ROUNDUP(($BK397+$BM397)*VLOOKUP($BE397,Paraméterek!$P$38:$Q$38,2)/12*IF($D398="Nem",IF($M$13=0,1,$M$13),1),IF($D$4="Forint",0,2))</f>
        <v>0</v>
      </c>
      <c r="BO397" s="13">
        <f t="shared" ca="1" si="124"/>
        <v>0</v>
      </c>
      <c r="BP397" s="13">
        <f ca="1">IF($D398="Nem",$BO397,$BO397-ROUNDUP(SUM($BI$20:$BI397)*120%,IF($D$4="Forint",0,2)))</f>
        <v>0</v>
      </c>
    </row>
    <row r="398" spans="1:68" x14ac:dyDescent="0.2">
      <c r="A398" s="32">
        <v>379</v>
      </c>
      <c r="B398" s="32">
        <v>32</v>
      </c>
      <c r="C398" s="32">
        <v>7</v>
      </c>
      <c r="D398" s="32" t="str">
        <f t="shared" ca="1" si="110"/>
        <v>Nem</v>
      </c>
      <c r="E398" s="13">
        <f t="shared" ca="1" si="111"/>
        <v>0</v>
      </c>
      <c r="F398" s="13"/>
      <c r="G398" s="13"/>
      <c r="H398" s="13"/>
      <c r="I398" s="13">
        <f t="shared" ca="1" si="112"/>
        <v>0</v>
      </c>
      <c r="J398" s="13">
        <f t="shared" ca="1" si="113"/>
        <v>0</v>
      </c>
      <c r="K398" s="13">
        <f t="shared" ca="1" si="114"/>
        <v>0</v>
      </c>
      <c r="L398" s="13" t="e">
        <f ca="1">ROUNDUP(IF($D$2="Egyszeri",$E398,IF($D$2="Havi",SUM($E$20:$E$31),IF(MOD($C398,$M$1)-1=0,SUM($E$20:$E$31),0))/12*$M$1)*VLOOKUP($B398,Paraméterek!$I$28:$P$31,IF($D$2="Egyszeri",8,HLOOKUP(ROUNDUP($M$11+$M$13,0),Paraméterek!$J$26:$O$27,2))),IF($D$4="Forint",0,2))</f>
        <v>#N/A</v>
      </c>
      <c r="M398" s="13">
        <f t="shared" ca="1" si="115"/>
        <v>0</v>
      </c>
      <c r="N398" s="13">
        <f t="shared" ca="1" si="125"/>
        <v>0</v>
      </c>
      <c r="O398" s="13">
        <f ca="1">IF($D398="Igen",IF($W397&gt;=IF($D$4="Forint",Paraméterek!$J$121,Paraméterek!$K$121),0,IF($D$4="Forint",Paraméterek!$J$121,Paraméterek!$K$121)-$W397),0)</f>
        <v>0</v>
      </c>
      <c r="P398" s="13" t="e">
        <f ca="1">ROUNDUP($O398*VLOOKUP($M$4+$B398-1,Paraméterek!$H$58:$I$105,2,0)/Paraméterek!$I$56,IF($D$4="Forint",0,2))</f>
        <v>#N/A</v>
      </c>
      <c r="Q398" s="13">
        <f t="shared" ca="1" si="116"/>
        <v>0</v>
      </c>
      <c r="R398" s="33"/>
      <c r="S398" s="13" t="e">
        <f t="shared" ca="1" si="117"/>
        <v>#N/A</v>
      </c>
      <c r="T398" s="13" t="e">
        <f ca="1">ROUNDUP(($N398-$P398-$Q398+$S398)*VLOOKUP($B398,Paraméterek!$I$38:$K$39,IF($D$2="Egyszeri",3,2))/12*IF($D399="Nem",IF($M$13=0,1,$M$13),1),IF($D$4="Forint",0,2))</f>
        <v>#N/A</v>
      </c>
      <c r="U398" s="13"/>
      <c r="V398" s="13"/>
      <c r="W398" s="13" t="e">
        <f ca="1">$N398-$P398-$Q398+$S398-$T398-IF(ROUNDUP(IF(ISBLANK($V398),$U398*0,$V398)/IF($D$2="Egyszeri",VLOOKUP($B398+IF($C398=12,1,0),Paraméterek!$V$257:$W$262,2),IF($B398=1,1,VLOOKUP($B398+IF($C398=12,1,0),Paraméterek!$I$258:$T$278,HLOOKUP($M$11+1,Paraméterek!$J$256:$T$257,2)))),IF($D$4="Forint",0,2))&gt;$N398-$P398-$Q398+$S398-$T398-IF($D$4="Forint",Paraméterek!$C$216,Paraméterek!$D$216),0,ROUNDUP(IF(ISBLANK($V398),$U398*0,$V398)/IF($D$2="Egyszeri",VLOOKUP($B398+IF($C398=12,1,0),Paraméterek!$V$257:$W$262,2),IF($B398=1,1,VLOOKUP($B398+IF($C398=12,1,0),Paraméterek!$I$258:$T$278,HLOOKUP($M$11+1,Paraméterek!$J$256:$T$257,2)))),IF($D$4="Forint",0,2)))</f>
        <v>#N/A</v>
      </c>
      <c r="X398" s="13" t="e">
        <f ca="1">ROUNDDOWN($W398*IF($D$2="Egyszeri",VLOOKUP($B398+IF($C398=12,1,0),Paraméterek!$V$257:$W$262,2),VLOOKUP($B398+IF($C398=12,1,0),Paraméterek!$I$258:$T$278,HLOOKUP($M$11+1,Paraméterek!$I$256:$T$257,2))),IF($D$4="Forint",0,2))</f>
        <v>#N/A</v>
      </c>
      <c r="Z398" s="32">
        <v>379</v>
      </c>
      <c r="AA398" s="32">
        <v>32</v>
      </c>
      <c r="AB398" s="32">
        <v>7</v>
      </c>
      <c r="AC398" s="13">
        <f t="shared" ca="1" si="126"/>
        <v>0</v>
      </c>
      <c r="AD398" s="33"/>
      <c r="AE398" s="13">
        <f t="shared" ca="1" si="118"/>
        <v>0</v>
      </c>
      <c r="AF398" s="13">
        <f ca="1">ROUNDUP(($AC398+$AE398)*VLOOKUP($AA398,Paraméterek!$P$38:$Q$38,2)/12*IF($D399="Nem",IF($M$13=0,1,$M$13),1),IF($D$4="Forint",0,2))</f>
        <v>0</v>
      </c>
      <c r="AG398" s="13">
        <f ca="1">IF($D$2="Egyszeri",IF($D$7&gt;=IF($D$4="Forint",Paraméterek!$P$223,Paraméterek!$P$224),$D$7-IF($D$4="Forint",Paraméterek!$P$223,Paraméterek!$P$224),0),MIN(IF($AB398=12,AVERAGEIF($E$20:$E398,"&gt;0",$E$20:$E398)*12,0),SUM($E$20:$E$31)))</f>
        <v>0</v>
      </c>
      <c r="AH398" s="13">
        <f>IF($AA398=10,$AG398*IF($AB398=12,IF($AG398&lt;IF($D$4="Forint",Paraméterek!$L$223,Paraméterek!$L$224),0,VLOOKUP($AA398,Paraméterek!$K$226:$M$228,IF($AG398&lt;IF($D$4="Forint",Paraméterek!$M$223,Paraméterek!$M$224),2,3))),0),0)</f>
        <v>0</v>
      </c>
      <c r="AI398" s="13">
        <f ca="1">IF(AND($AA398=$M$11+1,$AB398=$M$12+1),SUMIF($AA$20:$AA$1027,$AA398,$AG$20:$AG$1027)*IF(SUMIF($AA$20:$AA$1027,$AA398,$AG$20:$AG$1027)&lt;IF($D$4="Forint",Paraméterek!$L$223,Paraméterek!$L$224),0,VLOOKUP($AA398,Paraméterek!$K$230:$M$250,IF(SUMIF($AA$20:$AA$1027,$AA398,$AG$20:$AG$1027)&lt;IF($D$4="Forint",Paraméterek!$M$223,Paraméterek!$M$224),2,3))),0)</f>
        <v>0</v>
      </c>
      <c r="AJ398" s="13">
        <f ca="1">IF(AND($AA398&gt;=5,MOD($AA398,5)=0),IF($AB398=12,VLOOKUP($AA398,Paraméterek!$O$225:$P$240,2),0),IF(OR($AA398=3,$AA398=4),IF($AB398=12,VLOOKUP($AA398,Paraméterek!$O$225:$P$240,2,0),0),0))*$AG398</f>
        <v>0</v>
      </c>
      <c r="AK398" s="13">
        <f t="shared" ca="1" si="119"/>
        <v>0</v>
      </c>
      <c r="AL398" s="13">
        <f t="shared" ca="1" si="127"/>
        <v>0</v>
      </c>
      <c r="AM398" s="13">
        <f t="shared" ca="1" si="128"/>
        <v>0</v>
      </c>
      <c r="AO398" s="32">
        <v>379</v>
      </c>
      <c r="AP398" s="32">
        <v>32</v>
      </c>
      <c r="AQ398" s="32">
        <v>7</v>
      </c>
      <c r="AR398" s="13"/>
      <c r="AS398" s="32"/>
      <c r="AT398" s="13">
        <f t="shared" ca="1" si="129"/>
        <v>0</v>
      </c>
      <c r="AU398" s="33"/>
      <c r="AV398" s="13">
        <f t="shared" ca="1" si="120"/>
        <v>0</v>
      </c>
      <c r="AW398" s="13">
        <f ca="1">ROUNDUP(($AT398+$AV398)*VLOOKUP($AP398,Paraméterek!$P$38:$Q$38,2)/12*IF($D399="Nem",IF($M$13=0,1,$M$13),1),IF($D$4="Forint",0,2))</f>
        <v>0</v>
      </c>
      <c r="AX398" s="13"/>
      <c r="AY398" s="13"/>
      <c r="AZ398" s="13">
        <f>ROUNDUP(IF(SUM($AX398:$AY398)=0,0,IF(IF(ISBLANK($AY398),$AX398,$AY398)*Paraméterek!$J$112&lt;IF($D$4="Forint",Paraméterek!$J$113,Paraméterek!$K$113),IF($D$4="Forint",Paraméterek!$J$113,Paraméterek!$K$113),IF(IF(ISBLANK($AY398),$AX398,$AY398)*Paraméterek!$J$112&gt;IF($D$4="Forint",Paraméterek!$J$114,Paraméterek!$K$114),IF($D$4="Forint",Paraméterek!$J$114,Paraméterek!$K$114),IF(ISBLANK($AY398),$AX398,$AY398)*Paraméterek!$J$112))),IF($D$4="Forint",0,2))</f>
        <v>0</v>
      </c>
      <c r="BA398" s="13">
        <f ca="1">$AT398+$AV398-$AW398-IF(ROUNDDOWN(IF(ISBLANK($AY398),$AX398,$AY398),IF($D$4="Forint",0,2))&gt;$AT398+$AV398-$AW398-IF($D$4="Forint",Paraméterek!$J$114,Paraméterek!$K$114),0,ROUNDDOWN(IF(ISBLANK($AY398),$AX398,$AY398),IF($D$4="Forint",0,2))-$AZ398)</f>
        <v>0</v>
      </c>
      <c r="BB398" s="13">
        <f t="shared" ca="1" si="121"/>
        <v>0</v>
      </c>
      <c r="BD398" s="32">
        <v>379</v>
      </c>
      <c r="BE398" s="32">
        <v>32</v>
      </c>
      <c r="BF398" s="32">
        <v>7</v>
      </c>
      <c r="BG398" s="34">
        <f t="shared" ca="1" si="130"/>
        <v>2050</v>
      </c>
      <c r="BH398" s="32" t="str">
        <f ca="1">IF(MOD(MONTH($D$14)+$BD398-1,12)=Paraméterek!$C$288,"Igen","")</f>
        <v/>
      </c>
      <c r="BI398" s="13">
        <f ca="1">IF($BH398="Igen",MIN(ROUNDDOWN((SUMIF($BG$20:$BG$1027,$BG398-1,$K$20:$K$1027)-SUMIF($BG$20:$BG$1027,$BG398-1,$I$20:$I$1027))*Paraméterek!$C$289,IF($D$4="Forint",0,2)),IF($D$4="Forint",Paraméterek!$C$285,Paraméterek!$D$285)),0)</f>
        <v>0</v>
      </c>
      <c r="BJ398" s="13">
        <f t="shared" ca="1" si="122"/>
        <v>0</v>
      </c>
      <c r="BK398" s="13">
        <f t="shared" ca="1" si="131"/>
        <v>0</v>
      </c>
      <c r="BL398" s="33"/>
      <c r="BM398" s="13">
        <f t="shared" ca="1" si="123"/>
        <v>0</v>
      </c>
      <c r="BN398" s="13">
        <f ca="1">ROUNDUP(($BK398+$BM398)*VLOOKUP($BE398,Paraméterek!$P$38:$Q$38,2)/12*IF($D399="Nem",IF($M$13=0,1,$M$13),1),IF($D$4="Forint",0,2))</f>
        <v>0</v>
      </c>
      <c r="BO398" s="13">
        <f t="shared" ca="1" si="124"/>
        <v>0</v>
      </c>
      <c r="BP398" s="13">
        <f ca="1">IF($D399="Nem",$BO398,$BO398-ROUNDUP(SUM($BI$20:$BI398)*120%,IF($D$4="Forint",0,2)))</f>
        <v>0</v>
      </c>
    </row>
    <row r="399" spans="1:68" x14ac:dyDescent="0.2">
      <c r="A399" s="32">
        <v>380</v>
      </c>
      <c r="B399" s="32">
        <v>32</v>
      </c>
      <c r="C399" s="32">
        <v>8</v>
      </c>
      <c r="D399" s="32" t="str">
        <f t="shared" ca="1" si="110"/>
        <v>Nem</v>
      </c>
      <c r="E399" s="13">
        <f t="shared" ca="1" si="111"/>
        <v>0</v>
      </c>
      <c r="F399" s="13"/>
      <c r="G399" s="13"/>
      <c r="H399" s="13"/>
      <c r="I399" s="13">
        <f t="shared" ca="1" si="112"/>
        <v>0</v>
      </c>
      <c r="J399" s="13">
        <f t="shared" ca="1" si="113"/>
        <v>0</v>
      </c>
      <c r="K399" s="13">
        <f t="shared" ca="1" si="114"/>
        <v>0</v>
      </c>
      <c r="L399" s="13" t="e">
        <f ca="1">ROUNDUP(IF($D$2="Egyszeri",$E399,IF($D$2="Havi",SUM($E$20:$E$31),IF(MOD($C399,$M$1)-1=0,SUM($E$20:$E$31),0))/12*$M$1)*VLOOKUP($B399,Paraméterek!$I$28:$P$31,IF($D$2="Egyszeri",8,HLOOKUP(ROUNDUP($M$11+$M$13,0),Paraméterek!$J$26:$O$27,2))),IF($D$4="Forint",0,2))</f>
        <v>#N/A</v>
      </c>
      <c r="M399" s="13">
        <f t="shared" ca="1" si="115"/>
        <v>0</v>
      </c>
      <c r="N399" s="13">
        <f t="shared" ca="1" si="125"/>
        <v>0</v>
      </c>
      <c r="O399" s="13">
        <f ca="1">IF($D399="Igen",IF($W398&gt;=IF($D$4="Forint",Paraméterek!$J$121,Paraméterek!$K$121),0,IF($D$4="Forint",Paraméterek!$J$121,Paraméterek!$K$121)-$W398),0)</f>
        <v>0</v>
      </c>
      <c r="P399" s="13" t="e">
        <f ca="1">ROUNDUP($O399*VLOOKUP($M$4+$B399-1,Paraméterek!$H$58:$I$105,2,0)/Paraméterek!$I$56,IF($D$4="Forint",0,2))</f>
        <v>#N/A</v>
      </c>
      <c r="Q399" s="13">
        <f t="shared" ca="1" si="116"/>
        <v>0</v>
      </c>
      <c r="R399" s="33"/>
      <c r="S399" s="13" t="e">
        <f t="shared" ca="1" si="117"/>
        <v>#N/A</v>
      </c>
      <c r="T399" s="13" t="e">
        <f ca="1">ROUNDUP(($N399-$P399-$Q399+$S399)*VLOOKUP($B399,Paraméterek!$I$38:$K$39,IF($D$2="Egyszeri",3,2))/12*IF($D400="Nem",IF($M$13=0,1,$M$13),1),IF($D$4="Forint",0,2))</f>
        <v>#N/A</v>
      </c>
      <c r="U399" s="13"/>
      <c r="V399" s="13"/>
      <c r="W399" s="13" t="e">
        <f ca="1">$N399-$P399-$Q399+$S399-$T399-IF(ROUNDUP(IF(ISBLANK($V399),$U399*0,$V399)/IF($D$2="Egyszeri",VLOOKUP($B399+IF($C399=12,1,0),Paraméterek!$V$257:$W$262,2),IF($B399=1,1,VLOOKUP($B399+IF($C399=12,1,0),Paraméterek!$I$258:$T$278,HLOOKUP($M$11+1,Paraméterek!$J$256:$T$257,2)))),IF($D$4="Forint",0,2))&gt;$N399-$P399-$Q399+$S399-$T399-IF($D$4="Forint",Paraméterek!$C$216,Paraméterek!$D$216),0,ROUNDUP(IF(ISBLANK($V399),$U399*0,$V399)/IF($D$2="Egyszeri",VLOOKUP($B399+IF($C399=12,1,0),Paraméterek!$V$257:$W$262,2),IF($B399=1,1,VLOOKUP($B399+IF($C399=12,1,0),Paraméterek!$I$258:$T$278,HLOOKUP($M$11+1,Paraméterek!$J$256:$T$257,2)))),IF($D$4="Forint",0,2)))</f>
        <v>#N/A</v>
      </c>
      <c r="X399" s="13" t="e">
        <f ca="1">ROUNDDOWN($W399*IF($D$2="Egyszeri",VLOOKUP($B399+IF($C399=12,1,0),Paraméterek!$V$257:$W$262,2),VLOOKUP($B399+IF($C399=12,1,0),Paraméterek!$I$258:$T$278,HLOOKUP($M$11+1,Paraméterek!$I$256:$T$257,2))),IF($D$4="Forint",0,2))</f>
        <v>#N/A</v>
      </c>
      <c r="Z399" s="32">
        <v>380</v>
      </c>
      <c r="AA399" s="32">
        <v>32</v>
      </c>
      <c r="AB399" s="32">
        <v>8</v>
      </c>
      <c r="AC399" s="13">
        <f t="shared" ca="1" si="126"/>
        <v>0</v>
      </c>
      <c r="AD399" s="33"/>
      <c r="AE399" s="13">
        <f t="shared" ca="1" si="118"/>
        <v>0</v>
      </c>
      <c r="AF399" s="13">
        <f ca="1">ROUNDUP(($AC399+$AE399)*VLOOKUP($AA399,Paraméterek!$P$38:$Q$38,2)/12*IF($D400="Nem",IF($M$13=0,1,$M$13),1),IF($D$4="Forint",0,2))</f>
        <v>0</v>
      </c>
      <c r="AG399" s="13">
        <f ca="1">IF($D$2="Egyszeri",IF($D$7&gt;=IF($D$4="Forint",Paraméterek!$P$223,Paraméterek!$P$224),$D$7-IF($D$4="Forint",Paraméterek!$P$223,Paraméterek!$P$224),0),MIN(IF($AB399=12,AVERAGEIF($E$20:$E399,"&gt;0",$E$20:$E399)*12,0),SUM($E$20:$E$31)))</f>
        <v>0</v>
      </c>
      <c r="AH399" s="13">
        <f>IF($AA399=10,$AG399*IF($AB399=12,IF($AG399&lt;IF($D$4="Forint",Paraméterek!$L$223,Paraméterek!$L$224),0,VLOOKUP($AA399,Paraméterek!$K$226:$M$228,IF($AG399&lt;IF($D$4="Forint",Paraméterek!$M$223,Paraméterek!$M$224),2,3))),0),0)</f>
        <v>0</v>
      </c>
      <c r="AI399" s="13">
        <f ca="1">IF(AND($AA399=$M$11+1,$AB399=$M$12+1),SUMIF($AA$20:$AA$1027,$AA399,$AG$20:$AG$1027)*IF(SUMIF($AA$20:$AA$1027,$AA399,$AG$20:$AG$1027)&lt;IF($D$4="Forint",Paraméterek!$L$223,Paraméterek!$L$224),0,VLOOKUP($AA399,Paraméterek!$K$230:$M$250,IF(SUMIF($AA$20:$AA$1027,$AA399,$AG$20:$AG$1027)&lt;IF($D$4="Forint",Paraméterek!$M$223,Paraméterek!$M$224),2,3))),0)</f>
        <v>0</v>
      </c>
      <c r="AJ399" s="13">
        <f ca="1">IF(AND($AA399&gt;=5,MOD($AA399,5)=0),IF($AB399=12,VLOOKUP($AA399,Paraméterek!$O$225:$P$240,2),0),IF(OR($AA399=3,$AA399=4),IF($AB399=12,VLOOKUP($AA399,Paraméterek!$O$225:$P$240,2,0),0),0))*$AG399</f>
        <v>0</v>
      </c>
      <c r="AK399" s="13">
        <f t="shared" ca="1" si="119"/>
        <v>0</v>
      </c>
      <c r="AL399" s="13">
        <f t="shared" ca="1" si="127"/>
        <v>0</v>
      </c>
      <c r="AM399" s="13">
        <f t="shared" ca="1" si="128"/>
        <v>0</v>
      </c>
      <c r="AO399" s="32">
        <v>380</v>
      </c>
      <c r="AP399" s="32">
        <v>32</v>
      </c>
      <c r="AQ399" s="32">
        <v>8</v>
      </c>
      <c r="AR399" s="13"/>
      <c r="AS399" s="32"/>
      <c r="AT399" s="13">
        <f t="shared" ca="1" si="129"/>
        <v>0</v>
      </c>
      <c r="AU399" s="33"/>
      <c r="AV399" s="13">
        <f t="shared" ca="1" si="120"/>
        <v>0</v>
      </c>
      <c r="AW399" s="13">
        <f ca="1">ROUNDUP(($AT399+$AV399)*VLOOKUP($AP399,Paraméterek!$P$38:$Q$38,2)/12*IF($D400="Nem",IF($M$13=0,1,$M$13),1),IF($D$4="Forint",0,2))</f>
        <v>0</v>
      </c>
      <c r="AX399" s="13"/>
      <c r="AY399" s="13"/>
      <c r="AZ399" s="13">
        <f>ROUNDUP(IF(SUM($AX399:$AY399)=0,0,IF(IF(ISBLANK($AY399),$AX399,$AY399)*Paraméterek!$J$112&lt;IF($D$4="Forint",Paraméterek!$J$113,Paraméterek!$K$113),IF($D$4="Forint",Paraméterek!$J$113,Paraméterek!$K$113),IF(IF(ISBLANK($AY399),$AX399,$AY399)*Paraméterek!$J$112&gt;IF($D$4="Forint",Paraméterek!$J$114,Paraméterek!$K$114),IF($D$4="Forint",Paraméterek!$J$114,Paraméterek!$K$114),IF(ISBLANK($AY399),$AX399,$AY399)*Paraméterek!$J$112))),IF($D$4="Forint",0,2))</f>
        <v>0</v>
      </c>
      <c r="BA399" s="13">
        <f ca="1">$AT399+$AV399-$AW399-IF(ROUNDDOWN(IF(ISBLANK($AY399),$AX399,$AY399),IF($D$4="Forint",0,2))&gt;$AT399+$AV399-$AW399-IF($D$4="Forint",Paraméterek!$J$114,Paraméterek!$K$114),0,ROUNDDOWN(IF(ISBLANK($AY399),$AX399,$AY399),IF($D$4="Forint",0,2))-$AZ399)</f>
        <v>0</v>
      </c>
      <c r="BB399" s="13">
        <f t="shared" ca="1" si="121"/>
        <v>0</v>
      </c>
      <c r="BD399" s="32">
        <v>380</v>
      </c>
      <c r="BE399" s="32">
        <v>32</v>
      </c>
      <c r="BF399" s="32">
        <v>8</v>
      </c>
      <c r="BG399" s="34">
        <f t="shared" ca="1" si="130"/>
        <v>2051</v>
      </c>
      <c r="BH399" s="32" t="str">
        <f ca="1">IF(MOD(MONTH($D$14)+$BD399-1,12)=Paraméterek!$C$288,"Igen","")</f>
        <v/>
      </c>
      <c r="BI399" s="13">
        <f ca="1">IF($BH399="Igen",MIN(ROUNDDOWN((SUMIF($BG$20:$BG$1027,$BG399-1,$K$20:$K$1027)-SUMIF($BG$20:$BG$1027,$BG399-1,$I$20:$I$1027))*Paraméterek!$C$289,IF($D$4="Forint",0,2)),IF($D$4="Forint",Paraméterek!$C$285,Paraméterek!$D$285)),0)</f>
        <v>0</v>
      </c>
      <c r="BJ399" s="13">
        <f t="shared" ca="1" si="122"/>
        <v>0</v>
      </c>
      <c r="BK399" s="13">
        <f t="shared" ca="1" si="131"/>
        <v>0</v>
      </c>
      <c r="BL399" s="33"/>
      <c r="BM399" s="13">
        <f t="shared" ca="1" si="123"/>
        <v>0</v>
      </c>
      <c r="BN399" s="13">
        <f ca="1">ROUNDUP(($BK399+$BM399)*VLOOKUP($BE399,Paraméterek!$P$38:$Q$38,2)/12*IF($D400="Nem",IF($M$13=0,1,$M$13),1),IF($D$4="Forint",0,2))</f>
        <v>0</v>
      </c>
      <c r="BO399" s="13">
        <f t="shared" ca="1" si="124"/>
        <v>0</v>
      </c>
      <c r="BP399" s="13">
        <f ca="1">IF($D400="Nem",$BO399,$BO399-ROUNDUP(SUM($BI$20:$BI399)*120%,IF($D$4="Forint",0,2)))</f>
        <v>0</v>
      </c>
    </row>
    <row r="400" spans="1:68" x14ac:dyDescent="0.2">
      <c r="A400" s="32">
        <v>381</v>
      </c>
      <c r="B400" s="32">
        <v>32</v>
      </c>
      <c r="C400" s="32">
        <v>9</v>
      </c>
      <c r="D400" s="32" t="str">
        <f t="shared" ca="1" si="110"/>
        <v>Nem</v>
      </c>
      <c r="E400" s="13">
        <f t="shared" ca="1" si="111"/>
        <v>0</v>
      </c>
      <c r="F400" s="13"/>
      <c r="G400" s="13"/>
      <c r="H400" s="13"/>
      <c r="I400" s="13">
        <f t="shared" ca="1" si="112"/>
        <v>0</v>
      </c>
      <c r="J400" s="13">
        <f t="shared" ca="1" si="113"/>
        <v>0</v>
      </c>
      <c r="K400" s="13">
        <f t="shared" ca="1" si="114"/>
        <v>0</v>
      </c>
      <c r="L400" s="13" t="e">
        <f ca="1">ROUNDUP(IF($D$2="Egyszeri",$E400,IF($D$2="Havi",SUM($E$20:$E$31),IF(MOD($C400,$M$1)-1=0,SUM($E$20:$E$31),0))/12*$M$1)*VLOOKUP($B400,Paraméterek!$I$28:$P$31,IF($D$2="Egyszeri",8,HLOOKUP(ROUNDUP($M$11+$M$13,0),Paraméterek!$J$26:$O$27,2))),IF($D$4="Forint",0,2))</f>
        <v>#N/A</v>
      </c>
      <c r="M400" s="13">
        <f t="shared" ca="1" si="115"/>
        <v>0</v>
      </c>
      <c r="N400" s="13">
        <f t="shared" ca="1" si="125"/>
        <v>0</v>
      </c>
      <c r="O400" s="13">
        <f ca="1">IF($D400="Igen",IF($W399&gt;=IF($D$4="Forint",Paraméterek!$J$121,Paraméterek!$K$121),0,IF($D$4="Forint",Paraméterek!$J$121,Paraméterek!$K$121)-$W399),0)</f>
        <v>0</v>
      </c>
      <c r="P400" s="13" t="e">
        <f ca="1">ROUNDUP($O400*VLOOKUP($M$4+$B400-1,Paraméterek!$H$58:$I$105,2,0)/Paraméterek!$I$56,IF($D$4="Forint",0,2))</f>
        <v>#N/A</v>
      </c>
      <c r="Q400" s="13">
        <f t="shared" ca="1" si="116"/>
        <v>0</v>
      </c>
      <c r="R400" s="33"/>
      <c r="S400" s="13" t="e">
        <f t="shared" ca="1" si="117"/>
        <v>#N/A</v>
      </c>
      <c r="T400" s="13" t="e">
        <f ca="1">ROUNDUP(($N400-$P400-$Q400+$S400)*VLOOKUP($B400,Paraméterek!$I$38:$K$39,IF($D$2="Egyszeri",3,2))/12*IF($D401="Nem",IF($M$13=0,1,$M$13),1),IF($D$4="Forint",0,2))</f>
        <v>#N/A</v>
      </c>
      <c r="U400" s="13"/>
      <c r="V400" s="13"/>
      <c r="W400" s="13" t="e">
        <f ca="1">$N400-$P400-$Q400+$S400-$T400-IF(ROUNDUP(IF(ISBLANK($V400),$U400*0,$V400)/IF($D$2="Egyszeri",VLOOKUP($B400+IF($C400=12,1,0),Paraméterek!$V$257:$W$262,2),IF($B400=1,1,VLOOKUP($B400+IF($C400=12,1,0),Paraméterek!$I$258:$T$278,HLOOKUP($M$11+1,Paraméterek!$J$256:$T$257,2)))),IF($D$4="Forint",0,2))&gt;$N400-$P400-$Q400+$S400-$T400-IF($D$4="Forint",Paraméterek!$C$216,Paraméterek!$D$216),0,ROUNDUP(IF(ISBLANK($V400),$U400*0,$V400)/IF($D$2="Egyszeri",VLOOKUP($B400+IF($C400=12,1,0),Paraméterek!$V$257:$W$262,2),IF($B400=1,1,VLOOKUP($B400+IF($C400=12,1,0),Paraméterek!$I$258:$T$278,HLOOKUP($M$11+1,Paraméterek!$J$256:$T$257,2)))),IF($D$4="Forint",0,2)))</f>
        <v>#N/A</v>
      </c>
      <c r="X400" s="13" t="e">
        <f ca="1">ROUNDDOWN($W400*IF($D$2="Egyszeri",VLOOKUP($B400+IF($C400=12,1,0),Paraméterek!$V$257:$W$262,2),VLOOKUP($B400+IF($C400=12,1,0),Paraméterek!$I$258:$T$278,HLOOKUP($M$11+1,Paraméterek!$I$256:$T$257,2))),IF($D$4="Forint",0,2))</f>
        <v>#N/A</v>
      </c>
      <c r="Z400" s="32">
        <v>381</v>
      </c>
      <c r="AA400" s="32">
        <v>32</v>
      </c>
      <c r="AB400" s="32">
        <v>9</v>
      </c>
      <c r="AC400" s="13">
        <f t="shared" ca="1" si="126"/>
        <v>0</v>
      </c>
      <c r="AD400" s="33"/>
      <c r="AE400" s="13">
        <f t="shared" ca="1" si="118"/>
        <v>0</v>
      </c>
      <c r="AF400" s="13">
        <f ca="1">ROUNDUP(($AC400+$AE400)*VLOOKUP($AA400,Paraméterek!$P$38:$Q$38,2)/12*IF($D401="Nem",IF($M$13=0,1,$M$13),1),IF($D$4="Forint",0,2))</f>
        <v>0</v>
      </c>
      <c r="AG400" s="13">
        <f ca="1">IF($D$2="Egyszeri",IF($D$7&gt;=IF($D$4="Forint",Paraméterek!$P$223,Paraméterek!$P$224),$D$7-IF($D$4="Forint",Paraméterek!$P$223,Paraméterek!$P$224),0),MIN(IF($AB400=12,AVERAGEIF($E$20:$E400,"&gt;0",$E$20:$E400)*12,0),SUM($E$20:$E$31)))</f>
        <v>0</v>
      </c>
      <c r="AH400" s="13">
        <f>IF($AA400=10,$AG400*IF($AB400=12,IF($AG400&lt;IF($D$4="Forint",Paraméterek!$L$223,Paraméterek!$L$224),0,VLOOKUP($AA400,Paraméterek!$K$226:$M$228,IF($AG400&lt;IF($D$4="Forint",Paraméterek!$M$223,Paraméterek!$M$224),2,3))),0),0)</f>
        <v>0</v>
      </c>
      <c r="AI400" s="13">
        <f ca="1">IF(AND($AA400=$M$11+1,$AB400=$M$12+1),SUMIF($AA$20:$AA$1027,$AA400,$AG$20:$AG$1027)*IF(SUMIF($AA$20:$AA$1027,$AA400,$AG$20:$AG$1027)&lt;IF($D$4="Forint",Paraméterek!$L$223,Paraméterek!$L$224),0,VLOOKUP($AA400,Paraméterek!$K$230:$M$250,IF(SUMIF($AA$20:$AA$1027,$AA400,$AG$20:$AG$1027)&lt;IF($D$4="Forint",Paraméterek!$M$223,Paraméterek!$M$224),2,3))),0)</f>
        <v>0</v>
      </c>
      <c r="AJ400" s="13">
        <f ca="1">IF(AND($AA400&gt;=5,MOD($AA400,5)=0),IF($AB400=12,VLOOKUP($AA400,Paraméterek!$O$225:$P$240,2),0),IF(OR($AA400=3,$AA400=4),IF($AB400=12,VLOOKUP($AA400,Paraméterek!$O$225:$P$240,2,0),0),0))*$AG400</f>
        <v>0</v>
      </c>
      <c r="AK400" s="13">
        <f t="shared" ca="1" si="119"/>
        <v>0</v>
      </c>
      <c r="AL400" s="13">
        <f t="shared" ca="1" si="127"/>
        <v>0</v>
      </c>
      <c r="AM400" s="13">
        <f t="shared" ca="1" si="128"/>
        <v>0</v>
      </c>
      <c r="AO400" s="32">
        <v>381</v>
      </c>
      <c r="AP400" s="32">
        <v>32</v>
      </c>
      <c r="AQ400" s="32">
        <v>9</v>
      </c>
      <c r="AR400" s="13"/>
      <c r="AS400" s="32"/>
      <c r="AT400" s="13">
        <f t="shared" ca="1" si="129"/>
        <v>0</v>
      </c>
      <c r="AU400" s="33"/>
      <c r="AV400" s="13">
        <f t="shared" ca="1" si="120"/>
        <v>0</v>
      </c>
      <c r="AW400" s="13">
        <f ca="1">ROUNDUP(($AT400+$AV400)*VLOOKUP($AP400,Paraméterek!$P$38:$Q$38,2)/12*IF($D401="Nem",IF($M$13=0,1,$M$13),1),IF($D$4="Forint",0,2))</f>
        <v>0</v>
      </c>
      <c r="AX400" s="13"/>
      <c r="AY400" s="13"/>
      <c r="AZ400" s="13">
        <f>ROUNDUP(IF(SUM($AX400:$AY400)=0,0,IF(IF(ISBLANK($AY400),$AX400,$AY400)*Paraméterek!$J$112&lt;IF($D$4="Forint",Paraméterek!$J$113,Paraméterek!$K$113),IF($D$4="Forint",Paraméterek!$J$113,Paraméterek!$K$113),IF(IF(ISBLANK($AY400),$AX400,$AY400)*Paraméterek!$J$112&gt;IF($D$4="Forint",Paraméterek!$J$114,Paraméterek!$K$114),IF($D$4="Forint",Paraméterek!$J$114,Paraméterek!$K$114),IF(ISBLANK($AY400),$AX400,$AY400)*Paraméterek!$J$112))),IF($D$4="Forint",0,2))</f>
        <v>0</v>
      </c>
      <c r="BA400" s="13">
        <f ca="1">$AT400+$AV400-$AW400-IF(ROUNDDOWN(IF(ISBLANK($AY400),$AX400,$AY400),IF($D$4="Forint",0,2))&gt;$AT400+$AV400-$AW400-IF($D$4="Forint",Paraméterek!$J$114,Paraméterek!$K$114),0,ROUNDDOWN(IF(ISBLANK($AY400),$AX400,$AY400),IF($D$4="Forint",0,2))-$AZ400)</f>
        <v>0</v>
      </c>
      <c r="BB400" s="13">
        <f t="shared" ca="1" si="121"/>
        <v>0</v>
      </c>
      <c r="BD400" s="32">
        <v>381</v>
      </c>
      <c r="BE400" s="32">
        <v>32</v>
      </c>
      <c r="BF400" s="32">
        <v>9</v>
      </c>
      <c r="BG400" s="34">
        <f t="shared" ca="1" si="130"/>
        <v>2051</v>
      </c>
      <c r="BH400" s="32" t="str">
        <f ca="1">IF(MOD(MONTH($D$14)+$BD400-1,12)=Paraméterek!$C$288,"Igen","")</f>
        <v/>
      </c>
      <c r="BI400" s="13">
        <f ca="1">IF($BH400="Igen",MIN(ROUNDDOWN((SUMIF($BG$20:$BG$1027,$BG400-1,$K$20:$K$1027)-SUMIF($BG$20:$BG$1027,$BG400-1,$I$20:$I$1027))*Paraméterek!$C$289,IF($D$4="Forint",0,2)),IF($D$4="Forint",Paraméterek!$C$285,Paraméterek!$D$285)),0)</f>
        <v>0</v>
      </c>
      <c r="BJ400" s="13">
        <f t="shared" ca="1" si="122"/>
        <v>0</v>
      </c>
      <c r="BK400" s="13">
        <f t="shared" ca="1" si="131"/>
        <v>0</v>
      </c>
      <c r="BL400" s="33"/>
      <c r="BM400" s="13">
        <f t="shared" ca="1" si="123"/>
        <v>0</v>
      </c>
      <c r="BN400" s="13">
        <f ca="1">ROUNDUP(($BK400+$BM400)*VLOOKUP($BE400,Paraméterek!$P$38:$Q$38,2)/12*IF($D401="Nem",IF($M$13=0,1,$M$13),1),IF($D$4="Forint",0,2))</f>
        <v>0</v>
      </c>
      <c r="BO400" s="13">
        <f t="shared" ca="1" si="124"/>
        <v>0</v>
      </c>
      <c r="BP400" s="13">
        <f ca="1">IF($D401="Nem",$BO400,$BO400-ROUNDUP(SUM($BI$20:$BI400)*120%,IF($D$4="Forint",0,2)))</f>
        <v>0</v>
      </c>
    </row>
    <row r="401" spans="1:68" x14ac:dyDescent="0.2">
      <c r="A401" s="32">
        <v>382</v>
      </c>
      <c r="B401" s="32">
        <v>32</v>
      </c>
      <c r="C401" s="32">
        <v>10</v>
      </c>
      <c r="D401" s="32" t="str">
        <f t="shared" ca="1" si="110"/>
        <v>Nem</v>
      </c>
      <c r="E401" s="13">
        <f t="shared" ca="1" si="111"/>
        <v>0</v>
      </c>
      <c r="F401" s="13"/>
      <c r="G401" s="13"/>
      <c r="H401" s="13"/>
      <c r="I401" s="13">
        <f t="shared" ca="1" si="112"/>
        <v>0</v>
      </c>
      <c r="J401" s="13">
        <f t="shared" ca="1" si="113"/>
        <v>0</v>
      </c>
      <c r="K401" s="13">
        <f t="shared" ca="1" si="114"/>
        <v>0</v>
      </c>
      <c r="L401" s="13" t="e">
        <f ca="1">ROUNDUP(IF($D$2="Egyszeri",$E401,IF($D$2="Havi",SUM($E$20:$E$31),IF(MOD($C401,$M$1)-1=0,SUM($E$20:$E$31),0))/12*$M$1)*VLOOKUP($B401,Paraméterek!$I$28:$P$31,IF($D$2="Egyszeri",8,HLOOKUP(ROUNDUP($M$11+$M$13,0),Paraméterek!$J$26:$O$27,2))),IF($D$4="Forint",0,2))</f>
        <v>#N/A</v>
      </c>
      <c r="M401" s="13">
        <f t="shared" ca="1" si="115"/>
        <v>0</v>
      </c>
      <c r="N401" s="13">
        <f t="shared" ca="1" si="125"/>
        <v>0</v>
      </c>
      <c r="O401" s="13">
        <f ca="1">IF($D401="Igen",IF($W400&gt;=IF($D$4="Forint",Paraméterek!$J$121,Paraméterek!$K$121),0,IF($D$4="Forint",Paraméterek!$J$121,Paraméterek!$K$121)-$W400),0)</f>
        <v>0</v>
      </c>
      <c r="P401" s="13" t="e">
        <f ca="1">ROUNDUP($O401*VLOOKUP($M$4+$B401-1,Paraméterek!$H$58:$I$105,2,0)/Paraméterek!$I$56,IF($D$4="Forint",0,2))</f>
        <v>#N/A</v>
      </c>
      <c r="Q401" s="13">
        <f t="shared" ca="1" si="116"/>
        <v>0</v>
      </c>
      <c r="R401" s="33"/>
      <c r="S401" s="13" t="e">
        <f t="shared" ca="1" si="117"/>
        <v>#N/A</v>
      </c>
      <c r="T401" s="13" t="e">
        <f ca="1">ROUNDUP(($N401-$P401-$Q401+$S401)*VLOOKUP($B401,Paraméterek!$I$38:$K$39,IF($D$2="Egyszeri",3,2))/12*IF($D402="Nem",IF($M$13=0,1,$M$13),1),IF($D$4="Forint",0,2))</f>
        <v>#N/A</v>
      </c>
      <c r="U401" s="13"/>
      <c r="V401" s="13"/>
      <c r="W401" s="13" t="e">
        <f ca="1">$N401-$P401-$Q401+$S401-$T401-IF(ROUNDUP(IF(ISBLANK($V401),$U401*0,$V401)/IF($D$2="Egyszeri",VLOOKUP($B401+IF($C401=12,1,0),Paraméterek!$V$257:$W$262,2),IF($B401=1,1,VLOOKUP($B401+IF($C401=12,1,0),Paraméterek!$I$258:$T$278,HLOOKUP($M$11+1,Paraméterek!$J$256:$T$257,2)))),IF($D$4="Forint",0,2))&gt;$N401-$P401-$Q401+$S401-$T401-IF($D$4="Forint",Paraméterek!$C$216,Paraméterek!$D$216),0,ROUNDUP(IF(ISBLANK($V401),$U401*0,$V401)/IF($D$2="Egyszeri",VLOOKUP($B401+IF($C401=12,1,0),Paraméterek!$V$257:$W$262,2),IF($B401=1,1,VLOOKUP($B401+IF($C401=12,1,0),Paraméterek!$I$258:$T$278,HLOOKUP($M$11+1,Paraméterek!$J$256:$T$257,2)))),IF($D$4="Forint",0,2)))</f>
        <v>#N/A</v>
      </c>
      <c r="X401" s="13" t="e">
        <f ca="1">ROUNDDOWN($W401*IF($D$2="Egyszeri",VLOOKUP($B401+IF($C401=12,1,0),Paraméterek!$V$257:$W$262,2),VLOOKUP($B401+IF($C401=12,1,0),Paraméterek!$I$258:$T$278,HLOOKUP($M$11+1,Paraméterek!$I$256:$T$257,2))),IF($D$4="Forint",0,2))</f>
        <v>#N/A</v>
      </c>
      <c r="Z401" s="32">
        <v>382</v>
      </c>
      <c r="AA401" s="32">
        <v>32</v>
      </c>
      <c r="AB401" s="32">
        <v>10</v>
      </c>
      <c r="AC401" s="13">
        <f t="shared" ca="1" si="126"/>
        <v>0</v>
      </c>
      <c r="AD401" s="33"/>
      <c r="AE401" s="13">
        <f t="shared" ca="1" si="118"/>
        <v>0</v>
      </c>
      <c r="AF401" s="13">
        <f ca="1">ROUNDUP(($AC401+$AE401)*VLOOKUP($AA401,Paraméterek!$P$38:$Q$38,2)/12*IF($D402="Nem",IF($M$13=0,1,$M$13),1),IF($D$4="Forint",0,2))</f>
        <v>0</v>
      </c>
      <c r="AG401" s="13">
        <f ca="1">IF($D$2="Egyszeri",IF($D$7&gt;=IF($D$4="Forint",Paraméterek!$P$223,Paraméterek!$P$224),$D$7-IF($D$4="Forint",Paraméterek!$P$223,Paraméterek!$P$224),0),MIN(IF($AB401=12,AVERAGEIF($E$20:$E401,"&gt;0",$E$20:$E401)*12,0),SUM($E$20:$E$31)))</f>
        <v>0</v>
      </c>
      <c r="AH401" s="13">
        <f>IF($AA401=10,$AG401*IF($AB401=12,IF($AG401&lt;IF($D$4="Forint",Paraméterek!$L$223,Paraméterek!$L$224),0,VLOOKUP($AA401,Paraméterek!$K$226:$M$228,IF($AG401&lt;IF($D$4="Forint",Paraméterek!$M$223,Paraméterek!$M$224),2,3))),0),0)</f>
        <v>0</v>
      </c>
      <c r="AI401" s="13">
        <f ca="1">IF(AND($AA401=$M$11+1,$AB401=$M$12+1),SUMIF($AA$20:$AA$1027,$AA401,$AG$20:$AG$1027)*IF(SUMIF($AA$20:$AA$1027,$AA401,$AG$20:$AG$1027)&lt;IF($D$4="Forint",Paraméterek!$L$223,Paraméterek!$L$224),0,VLOOKUP($AA401,Paraméterek!$K$230:$M$250,IF(SUMIF($AA$20:$AA$1027,$AA401,$AG$20:$AG$1027)&lt;IF($D$4="Forint",Paraméterek!$M$223,Paraméterek!$M$224),2,3))),0)</f>
        <v>0</v>
      </c>
      <c r="AJ401" s="13">
        <f ca="1">IF(AND($AA401&gt;=5,MOD($AA401,5)=0),IF($AB401=12,VLOOKUP($AA401,Paraméterek!$O$225:$P$240,2),0),IF(OR($AA401=3,$AA401=4),IF($AB401=12,VLOOKUP($AA401,Paraméterek!$O$225:$P$240,2,0),0),0))*$AG401</f>
        <v>0</v>
      </c>
      <c r="AK401" s="13">
        <f t="shared" ca="1" si="119"/>
        <v>0</v>
      </c>
      <c r="AL401" s="13">
        <f t="shared" ca="1" si="127"/>
        <v>0</v>
      </c>
      <c r="AM401" s="13">
        <f t="shared" ca="1" si="128"/>
        <v>0</v>
      </c>
      <c r="AO401" s="32">
        <v>382</v>
      </c>
      <c r="AP401" s="32">
        <v>32</v>
      </c>
      <c r="AQ401" s="32">
        <v>10</v>
      </c>
      <c r="AR401" s="13"/>
      <c r="AS401" s="32"/>
      <c r="AT401" s="13">
        <f t="shared" ca="1" si="129"/>
        <v>0</v>
      </c>
      <c r="AU401" s="33"/>
      <c r="AV401" s="13">
        <f t="shared" ca="1" si="120"/>
        <v>0</v>
      </c>
      <c r="AW401" s="13">
        <f ca="1">ROUNDUP(($AT401+$AV401)*VLOOKUP($AP401,Paraméterek!$P$38:$Q$38,2)/12*IF($D402="Nem",IF($M$13=0,1,$M$13),1),IF($D$4="Forint",0,2))</f>
        <v>0</v>
      </c>
      <c r="AX401" s="13"/>
      <c r="AY401" s="13"/>
      <c r="AZ401" s="13">
        <f>ROUNDUP(IF(SUM($AX401:$AY401)=0,0,IF(IF(ISBLANK($AY401),$AX401,$AY401)*Paraméterek!$J$112&lt;IF($D$4="Forint",Paraméterek!$J$113,Paraméterek!$K$113),IF($D$4="Forint",Paraméterek!$J$113,Paraméterek!$K$113),IF(IF(ISBLANK($AY401),$AX401,$AY401)*Paraméterek!$J$112&gt;IF($D$4="Forint",Paraméterek!$J$114,Paraméterek!$K$114),IF($D$4="Forint",Paraméterek!$J$114,Paraméterek!$K$114),IF(ISBLANK($AY401),$AX401,$AY401)*Paraméterek!$J$112))),IF($D$4="Forint",0,2))</f>
        <v>0</v>
      </c>
      <c r="BA401" s="13">
        <f ca="1">$AT401+$AV401-$AW401-IF(ROUNDDOWN(IF(ISBLANK($AY401),$AX401,$AY401),IF($D$4="Forint",0,2))&gt;$AT401+$AV401-$AW401-IF($D$4="Forint",Paraméterek!$J$114,Paraméterek!$K$114),0,ROUNDDOWN(IF(ISBLANK($AY401),$AX401,$AY401),IF($D$4="Forint",0,2))-$AZ401)</f>
        <v>0</v>
      </c>
      <c r="BB401" s="13">
        <f t="shared" ca="1" si="121"/>
        <v>0</v>
      </c>
      <c r="BD401" s="32">
        <v>382</v>
      </c>
      <c r="BE401" s="32">
        <v>32</v>
      </c>
      <c r="BF401" s="32">
        <v>10</v>
      </c>
      <c r="BG401" s="34">
        <f t="shared" ca="1" si="130"/>
        <v>2051</v>
      </c>
      <c r="BH401" s="32" t="str">
        <f ca="1">IF(MOD(MONTH($D$14)+$BD401-1,12)=Paraméterek!$C$288,"Igen","")</f>
        <v/>
      </c>
      <c r="BI401" s="13">
        <f ca="1">IF($BH401="Igen",MIN(ROUNDDOWN((SUMIF($BG$20:$BG$1027,$BG401-1,$K$20:$K$1027)-SUMIF($BG$20:$BG$1027,$BG401-1,$I$20:$I$1027))*Paraméterek!$C$289,IF($D$4="Forint",0,2)),IF($D$4="Forint",Paraméterek!$C$285,Paraméterek!$D$285)),0)</f>
        <v>0</v>
      </c>
      <c r="BJ401" s="13">
        <f t="shared" ca="1" si="122"/>
        <v>0</v>
      </c>
      <c r="BK401" s="13">
        <f t="shared" ca="1" si="131"/>
        <v>0</v>
      </c>
      <c r="BL401" s="33"/>
      <c r="BM401" s="13">
        <f t="shared" ca="1" si="123"/>
        <v>0</v>
      </c>
      <c r="BN401" s="13">
        <f ca="1">ROUNDUP(($BK401+$BM401)*VLOOKUP($BE401,Paraméterek!$P$38:$Q$38,2)/12*IF($D402="Nem",IF($M$13=0,1,$M$13),1),IF($D$4="Forint",0,2))</f>
        <v>0</v>
      </c>
      <c r="BO401" s="13">
        <f t="shared" ca="1" si="124"/>
        <v>0</v>
      </c>
      <c r="BP401" s="13">
        <f ca="1">IF($D402="Nem",$BO401,$BO401-ROUNDUP(SUM($BI$20:$BI401)*120%,IF($D$4="Forint",0,2)))</f>
        <v>0</v>
      </c>
    </row>
    <row r="402" spans="1:68" x14ac:dyDescent="0.2">
      <c r="A402" s="32">
        <v>383</v>
      </c>
      <c r="B402" s="32">
        <v>32</v>
      </c>
      <c r="C402" s="32">
        <v>11</v>
      </c>
      <c r="D402" s="32" t="str">
        <f t="shared" ca="1" si="110"/>
        <v>Nem</v>
      </c>
      <c r="E402" s="13">
        <f t="shared" ca="1" si="111"/>
        <v>0</v>
      </c>
      <c r="F402" s="13"/>
      <c r="G402" s="13"/>
      <c r="H402" s="13"/>
      <c r="I402" s="13">
        <f t="shared" ca="1" si="112"/>
        <v>0</v>
      </c>
      <c r="J402" s="13">
        <f t="shared" ca="1" si="113"/>
        <v>0</v>
      </c>
      <c r="K402" s="13">
        <f t="shared" ca="1" si="114"/>
        <v>0</v>
      </c>
      <c r="L402" s="13" t="e">
        <f ca="1">ROUNDUP(IF($D$2="Egyszeri",$E402,IF($D$2="Havi",SUM($E$20:$E$31),IF(MOD($C402,$M$1)-1=0,SUM($E$20:$E$31),0))/12*$M$1)*VLOOKUP($B402,Paraméterek!$I$28:$P$31,IF($D$2="Egyszeri",8,HLOOKUP(ROUNDUP($M$11+$M$13,0),Paraméterek!$J$26:$O$27,2))),IF($D$4="Forint",0,2))</f>
        <v>#N/A</v>
      </c>
      <c r="M402" s="13">
        <f t="shared" ca="1" si="115"/>
        <v>0</v>
      </c>
      <c r="N402" s="13">
        <f t="shared" ca="1" si="125"/>
        <v>0</v>
      </c>
      <c r="O402" s="13">
        <f ca="1">IF($D402="Igen",IF($W401&gt;=IF($D$4="Forint",Paraméterek!$J$121,Paraméterek!$K$121),0,IF($D$4="Forint",Paraméterek!$J$121,Paraméterek!$K$121)-$W401),0)</f>
        <v>0</v>
      </c>
      <c r="P402" s="13" t="e">
        <f ca="1">ROUNDUP($O402*VLOOKUP($M$4+$B402-1,Paraméterek!$H$58:$I$105,2,0)/Paraméterek!$I$56,IF($D$4="Forint",0,2))</f>
        <v>#N/A</v>
      </c>
      <c r="Q402" s="13">
        <f t="shared" ca="1" si="116"/>
        <v>0</v>
      </c>
      <c r="R402" s="33"/>
      <c r="S402" s="13" t="e">
        <f t="shared" ca="1" si="117"/>
        <v>#N/A</v>
      </c>
      <c r="T402" s="13" t="e">
        <f ca="1">ROUNDUP(($N402-$P402-$Q402+$S402)*VLOOKUP($B402,Paraméterek!$I$38:$K$39,IF($D$2="Egyszeri",3,2))/12*IF($D403="Nem",IF($M$13=0,1,$M$13),1),IF($D$4="Forint",0,2))</f>
        <v>#N/A</v>
      </c>
      <c r="U402" s="13"/>
      <c r="V402" s="13"/>
      <c r="W402" s="13" t="e">
        <f ca="1">$N402-$P402-$Q402+$S402-$T402-IF(ROUNDUP(IF(ISBLANK($V402),$U402*0,$V402)/IF($D$2="Egyszeri",VLOOKUP($B402+IF($C402=12,1,0),Paraméterek!$V$257:$W$262,2),IF($B402=1,1,VLOOKUP($B402+IF($C402=12,1,0),Paraméterek!$I$258:$T$278,HLOOKUP($M$11+1,Paraméterek!$J$256:$T$257,2)))),IF($D$4="Forint",0,2))&gt;$N402-$P402-$Q402+$S402-$T402-IF($D$4="Forint",Paraméterek!$C$216,Paraméterek!$D$216),0,ROUNDUP(IF(ISBLANK($V402),$U402*0,$V402)/IF($D$2="Egyszeri",VLOOKUP($B402+IF($C402=12,1,0),Paraméterek!$V$257:$W$262,2),IF($B402=1,1,VLOOKUP($B402+IF($C402=12,1,0),Paraméterek!$I$258:$T$278,HLOOKUP($M$11+1,Paraméterek!$J$256:$T$257,2)))),IF($D$4="Forint",0,2)))</f>
        <v>#N/A</v>
      </c>
      <c r="X402" s="13" t="e">
        <f ca="1">ROUNDDOWN($W402*IF($D$2="Egyszeri",VLOOKUP($B402+IF($C402=12,1,0),Paraméterek!$V$257:$W$262,2),VLOOKUP($B402+IF($C402=12,1,0),Paraméterek!$I$258:$T$278,HLOOKUP($M$11+1,Paraméterek!$I$256:$T$257,2))),IF($D$4="Forint",0,2))</f>
        <v>#N/A</v>
      </c>
      <c r="Z402" s="32">
        <v>383</v>
      </c>
      <c r="AA402" s="32">
        <v>32</v>
      </c>
      <c r="AB402" s="32">
        <v>11</v>
      </c>
      <c r="AC402" s="13">
        <f t="shared" ca="1" si="126"/>
        <v>0</v>
      </c>
      <c r="AD402" s="33"/>
      <c r="AE402" s="13">
        <f t="shared" ca="1" si="118"/>
        <v>0</v>
      </c>
      <c r="AF402" s="13">
        <f ca="1">ROUNDUP(($AC402+$AE402)*VLOOKUP($AA402,Paraméterek!$P$38:$Q$38,2)/12*IF($D403="Nem",IF($M$13=0,1,$M$13),1),IF($D$4="Forint",0,2))</f>
        <v>0</v>
      </c>
      <c r="AG402" s="13">
        <f ca="1">IF($D$2="Egyszeri",IF($D$7&gt;=IF($D$4="Forint",Paraméterek!$P$223,Paraméterek!$P$224),$D$7-IF($D$4="Forint",Paraméterek!$P$223,Paraméterek!$P$224),0),MIN(IF($AB402=12,AVERAGEIF($E$20:$E402,"&gt;0",$E$20:$E402)*12,0),SUM($E$20:$E$31)))</f>
        <v>0</v>
      </c>
      <c r="AH402" s="13">
        <f>IF($AA402=10,$AG402*IF($AB402=12,IF($AG402&lt;IF($D$4="Forint",Paraméterek!$L$223,Paraméterek!$L$224),0,VLOOKUP($AA402,Paraméterek!$K$226:$M$228,IF($AG402&lt;IF($D$4="Forint",Paraméterek!$M$223,Paraméterek!$M$224),2,3))),0),0)</f>
        <v>0</v>
      </c>
      <c r="AI402" s="13">
        <f ca="1">IF(AND($AA402=$M$11+1,$AB402=$M$12+1),SUMIF($AA$20:$AA$1027,$AA402,$AG$20:$AG$1027)*IF(SUMIF($AA$20:$AA$1027,$AA402,$AG$20:$AG$1027)&lt;IF($D$4="Forint",Paraméterek!$L$223,Paraméterek!$L$224),0,VLOOKUP($AA402,Paraméterek!$K$230:$M$250,IF(SUMIF($AA$20:$AA$1027,$AA402,$AG$20:$AG$1027)&lt;IF($D$4="Forint",Paraméterek!$M$223,Paraméterek!$M$224),2,3))),0)</f>
        <v>0</v>
      </c>
      <c r="AJ402" s="13">
        <f ca="1">IF(AND($AA402&gt;=5,MOD($AA402,5)=0),IF($AB402=12,VLOOKUP($AA402,Paraméterek!$O$225:$P$240,2),0),IF(OR($AA402=3,$AA402=4),IF($AB402=12,VLOOKUP($AA402,Paraméterek!$O$225:$P$240,2,0),0),0))*$AG402</f>
        <v>0</v>
      </c>
      <c r="AK402" s="13">
        <f t="shared" ca="1" si="119"/>
        <v>0</v>
      </c>
      <c r="AL402" s="13">
        <f t="shared" ca="1" si="127"/>
        <v>0</v>
      </c>
      <c r="AM402" s="13">
        <f t="shared" ca="1" si="128"/>
        <v>0</v>
      </c>
      <c r="AO402" s="32">
        <v>383</v>
      </c>
      <c r="AP402" s="32">
        <v>32</v>
      </c>
      <c r="AQ402" s="32">
        <v>11</v>
      </c>
      <c r="AR402" s="13"/>
      <c r="AS402" s="32"/>
      <c r="AT402" s="13">
        <f t="shared" ca="1" si="129"/>
        <v>0</v>
      </c>
      <c r="AU402" s="33"/>
      <c r="AV402" s="13">
        <f t="shared" ca="1" si="120"/>
        <v>0</v>
      </c>
      <c r="AW402" s="13">
        <f ca="1">ROUNDUP(($AT402+$AV402)*VLOOKUP($AP402,Paraméterek!$P$38:$Q$38,2)/12*IF($D403="Nem",IF($M$13=0,1,$M$13),1),IF($D$4="Forint",0,2))</f>
        <v>0</v>
      </c>
      <c r="AX402" s="13"/>
      <c r="AY402" s="13"/>
      <c r="AZ402" s="13">
        <f>ROUNDUP(IF(SUM($AX402:$AY402)=0,0,IF(IF(ISBLANK($AY402),$AX402,$AY402)*Paraméterek!$J$112&lt;IF($D$4="Forint",Paraméterek!$J$113,Paraméterek!$K$113),IF($D$4="Forint",Paraméterek!$J$113,Paraméterek!$K$113),IF(IF(ISBLANK($AY402),$AX402,$AY402)*Paraméterek!$J$112&gt;IF($D$4="Forint",Paraméterek!$J$114,Paraméterek!$K$114),IF($D$4="Forint",Paraméterek!$J$114,Paraméterek!$K$114),IF(ISBLANK($AY402),$AX402,$AY402)*Paraméterek!$J$112))),IF($D$4="Forint",0,2))</f>
        <v>0</v>
      </c>
      <c r="BA402" s="13">
        <f ca="1">$AT402+$AV402-$AW402-IF(ROUNDDOWN(IF(ISBLANK($AY402),$AX402,$AY402),IF($D$4="Forint",0,2))&gt;$AT402+$AV402-$AW402-IF($D$4="Forint",Paraméterek!$J$114,Paraméterek!$K$114),0,ROUNDDOWN(IF(ISBLANK($AY402),$AX402,$AY402),IF($D$4="Forint",0,2))-$AZ402)</f>
        <v>0</v>
      </c>
      <c r="BB402" s="13">
        <f t="shared" ca="1" si="121"/>
        <v>0</v>
      </c>
      <c r="BD402" s="32">
        <v>383</v>
      </c>
      <c r="BE402" s="32">
        <v>32</v>
      </c>
      <c r="BF402" s="32">
        <v>11</v>
      </c>
      <c r="BG402" s="34">
        <f t="shared" ca="1" si="130"/>
        <v>2051</v>
      </c>
      <c r="BH402" s="32" t="str">
        <f ca="1">IF(MOD(MONTH($D$14)+$BD402-1,12)=Paraméterek!$C$288,"Igen","")</f>
        <v/>
      </c>
      <c r="BI402" s="13">
        <f ca="1">IF($BH402="Igen",MIN(ROUNDDOWN((SUMIF($BG$20:$BG$1027,$BG402-1,$K$20:$K$1027)-SUMIF($BG$20:$BG$1027,$BG402-1,$I$20:$I$1027))*Paraméterek!$C$289,IF($D$4="Forint",0,2)),IF($D$4="Forint",Paraméterek!$C$285,Paraméterek!$D$285)),0)</f>
        <v>0</v>
      </c>
      <c r="BJ402" s="13">
        <f t="shared" ca="1" si="122"/>
        <v>0</v>
      </c>
      <c r="BK402" s="13">
        <f t="shared" ca="1" si="131"/>
        <v>0</v>
      </c>
      <c r="BL402" s="33"/>
      <c r="BM402" s="13">
        <f t="shared" ca="1" si="123"/>
        <v>0</v>
      </c>
      <c r="BN402" s="13">
        <f ca="1">ROUNDUP(($BK402+$BM402)*VLOOKUP($BE402,Paraméterek!$P$38:$Q$38,2)/12*IF($D403="Nem",IF($M$13=0,1,$M$13),1),IF($D$4="Forint",0,2))</f>
        <v>0</v>
      </c>
      <c r="BO402" s="13">
        <f t="shared" ca="1" si="124"/>
        <v>0</v>
      </c>
      <c r="BP402" s="13">
        <f ca="1">IF($D403="Nem",$BO402,$BO402-ROUNDUP(SUM($BI$20:$BI402)*120%,IF($D$4="Forint",0,2)))</f>
        <v>0</v>
      </c>
    </row>
    <row r="403" spans="1:68" x14ac:dyDescent="0.2">
      <c r="A403" s="32">
        <v>384</v>
      </c>
      <c r="B403" s="32">
        <v>32</v>
      </c>
      <c r="C403" s="32">
        <v>12</v>
      </c>
      <c r="D403" s="32" t="str">
        <f t="shared" ca="1" si="110"/>
        <v>Nem</v>
      </c>
      <c r="E403" s="13">
        <f t="shared" ca="1" si="111"/>
        <v>0</v>
      </c>
      <c r="F403" s="13"/>
      <c r="G403" s="13"/>
      <c r="H403" s="13"/>
      <c r="I403" s="13">
        <f t="shared" ca="1" si="112"/>
        <v>0</v>
      </c>
      <c r="J403" s="13">
        <f t="shared" ca="1" si="113"/>
        <v>0</v>
      </c>
      <c r="K403" s="13">
        <f t="shared" ca="1" si="114"/>
        <v>0</v>
      </c>
      <c r="L403" s="13" t="e">
        <f ca="1">ROUNDUP(IF($D$2="Egyszeri",$E403,IF($D$2="Havi",SUM($E$20:$E$31),IF(MOD($C403,$M$1)-1=0,SUM($E$20:$E$31),0))/12*$M$1)*VLOOKUP($B403,Paraméterek!$I$28:$P$31,IF($D$2="Egyszeri",8,HLOOKUP(ROUNDUP($M$11+$M$13,0),Paraméterek!$J$26:$O$27,2))),IF($D$4="Forint",0,2))</f>
        <v>#N/A</v>
      </c>
      <c r="M403" s="13">
        <f t="shared" ca="1" si="115"/>
        <v>0</v>
      </c>
      <c r="N403" s="13">
        <f t="shared" ca="1" si="125"/>
        <v>0</v>
      </c>
      <c r="O403" s="13">
        <f ca="1">IF($D403="Igen",IF($W402&gt;=IF($D$4="Forint",Paraméterek!$J$121,Paraméterek!$K$121),0,IF($D$4="Forint",Paraméterek!$J$121,Paraméterek!$K$121)-$W402),0)</f>
        <v>0</v>
      </c>
      <c r="P403" s="13" t="e">
        <f ca="1">ROUNDUP($O403*VLOOKUP($M$4+$B403-1,Paraméterek!$H$58:$I$105,2,0)/Paraméterek!$I$56,IF($D$4="Forint",0,2))</f>
        <v>#N/A</v>
      </c>
      <c r="Q403" s="13">
        <f t="shared" ca="1" si="116"/>
        <v>0</v>
      </c>
      <c r="R403" s="33"/>
      <c r="S403" s="13" t="e">
        <f t="shared" ca="1" si="117"/>
        <v>#N/A</v>
      </c>
      <c r="T403" s="13" t="e">
        <f ca="1">ROUNDUP(($N403-$P403-$Q403+$S403)*VLOOKUP($B403,Paraméterek!$I$38:$K$39,IF($D$2="Egyszeri",3,2))/12*IF($D404="Nem",IF($M$13=0,1,$M$13),1),IF($D$4="Forint",0,2))</f>
        <v>#N/A</v>
      </c>
      <c r="U403" s="13">
        <f>Tranzakciók!$F$63</f>
        <v>0</v>
      </c>
      <c r="V403" s="13"/>
      <c r="W403" s="13" t="e">
        <f ca="1">$N403-$P403-$Q403+$S403-$T403-IF(ROUNDUP(IF(ISBLANK($V403),$U403*0,$V403)/IF($D$2="Egyszeri",VLOOKUP($B403+IF($C403=12,1,0),Paraméterek!$V$257:$W$262,2),IF($B403=1,1,VLOOKUP($B403+IF($C403=12,1,0),Paraméterek!$I$258:$T$278,HLOOKUP($M$11+1,Paraméterek!$J$256:$T$257,2)))),IF($D$4="Forint",0,2))&gt;$N403-$P403-$Q403+$S403-$T403-IF($D$4="Forint",Paraméterek!$C$216,Paraméterek!$D$216),0,ROUNDUP(IF(ISBLANK($V403),$U403*0,$V403)/IF($D$2="Egyszeri",VLOOKUP($B403+IF($C403=12,1,0),Paraméterek!$V$257:$W$262,2),IF($B403=1,1,VLOOKUP($B403+IF($C403=12,1,0),Paraméterek!$I$258:$T$278,HLOOKUP($M$11+1,Paraméterek!$J$256:$T$257,2)))),IF($D$4="Forint",0,2)))</f>
        <v>#N/A</v>
      </c>
      <c r="X403" s="13" t="e">
        <f ca="1">ROUNDDOWN($W403*IF($D$2="Egyszeri",VLOOKUP($B403+IF($C403=12,1,0),Paraméterek!$V$257:$W$262,2),VLOOKUP($B403+IF($C403=12,1,0),Paraméterek!$I$258:$T$278,HLOOKUP($M$11+1,Paraméterek!$I$256:$T$257,2))),IF($D$4="Forint",0,2))</f>
        <v>#N/A</v>
      </c>
      <c r="Z403" s="32">
        <v>384</v>
      </c>
      <c r="AA403" s="32">
        <v>32</v>
      </c>
      <c r="AB403" s="32">
        <v>12</v>
      </c>
      <c r="AC403" s="13">
        <f t="shared" ca="1" si="126"/>
        <v>0</v>
      </c>
      <c r="AD403" s="33"/>
      <c r="AE403" s="13">
        <f t="shared" ca="1" si="118"/>
        <v>0</v>
      </c>
      <c r="AF403" s="13">
        <f ca="1">ROUNDUP(($AC403+$AE403)*VLOOKUP($AA403,Paraméterek!$P$38:$Q$38,2)/12*IF($D404="Nem",IF($M$13=0,1,$M$13),1),IF($D$4="Forint",0,2))</f>
        <v>0</v>
      </c>
      <c r="AG403" s="13" t="e">
        <f ca="1">IF($D$2="Egyszeri",IF($D$7&gt;=IF($D$4="Forint",Paraméterek!$P$223,Paraméterek!$P$224),$D$7-IF($D$4="Forint",Paraméterek!$P$223,Paraméterek!$P$224),0),MIN(IF($AB403=12,AVERAGEIF($E$20:$E403,"&gt;0",$E$20:$E403)*12,0),SUM($E$20:$E$31)))</f>
        <v>#DIV/0!</v>
      </c>
      <c r="AH403" s="13">
        <f>IF($AA403=10,$AG403*IF($AB403=12,IF($AG403&lt;IF($D$4="Forint",Paraméterek!$L$223,Paraméterek!$L$224),0,VLOOKUP($AA403,Paraméterek!$K$226:$M$228,IF($AG403&lt;IF($D$4="Forint",Paraméterek!$M$223,Paraméterek!$M$224),2,3))),0),0)</f>
        <v>0</v>
      </c>
      <c r="AI403" s="13">
        <f ca="1">IF(AND($AA403=$M$11+1,$AB403=$M$12+1),SUMIF($AA$20:$AA$1027,$AA403,$AG$20:$AG$1027)*IF(SUMIF($AA$20:$AA$1027,$AA403,$AG$20:$AG$1027)&lt;IF($D$4="Forint",Paraméterek!$L$223,Paraméterek!$L$224),0,VLOOKUP($AA403,Paraméterek!$K$230:$M$250,IF(SUMIF($AA$20:$AA$1027,$AA403,$AG$20:$AG$1027)&lt;IF($D$4="Forint",Paraméterek!$M$223,Paraméterek!$M$224),2,3))),0)</f>
        <v>0</v>
      </c>
      <c r="AJ403" s="13" t="e">
        <f ca="1">IF(AND($AA403&gt;=5,MOD($AA403,5)=0),IF($AB403=12,VLOOKUP($AA403,Paraméterek!$O$225:$P$240,2),0),IF(OR($AA403=3,$AA403=4),IF($AB403=12,VLOOKUP($AA403,Paraméterek!$O$225:$P$240,2,0),0),0))*$AG403</f>
        <v>#DIV/0!</v>
      </c>
      <c r="AK403" s="13">
        <f t="shared" ca="1" si="119"/>
        <v>0</v>
      </c>
      <c r="AL403" s="13">
        <f t="shared" ca="1" si="127"/>
        <v>0</v>
      </c>
      <c r="AM403" s="13">
        <f t="shared" ca="1" si="128"/>
        <v>0</v>
      </c>
      <c r="AO403" s="32">
        <v>384</v>
      </c>
      <c r="AP403" s="32">
        <v>32</v>
      </c>
      <c r="AQ403" s="32">
        <v>12</v>
      </c>
      <c r="AR403" s="13"/>
      <c r="AS403" s="32"/>
      <c r="AT403" s="13">
        <f t="shared" ca="1" si="129"/>
        <v>0</v>
      </c>
      <c r="AU403" s="33"/>
      <c r="AV403" s="13">
        <f t="shared" ca="1" si="120"/>
        <v>0</v>
      </c>
      <c r="AW403" s="13">
        <f ca="1">ROUNDUP(($AT403+$AV403)*VLOOKUP($AP403,Paraméterek!$P$38:$Q$38,2)/12*IF($D404="Nem",IF($M$13=0,1,$M$13),1),IF($D$4="Forint",0,2))</f>
        <v>0</v>
      </c>
      <c r="AX403" s="13">
        <f>Tranzakciók!$M$63</f>
        <v>0</v>
      </c>
      <c r="AY403" s="13"/>
      <c r="AZ403" s="13">
        <f>ROUNDUP(IF(SUM($AX403:$AY403)=0,0,IF(IF(ISBLANK($AY403),$AX403,$AY403)*Paraméterek!$J$112&lt;IF($D$4="Forint",Paraméterek!$J$113,Paraméterek!$K$113),IF($D$4="Forint",Paraméterek!$J$113,Paraméterek!$K$113),IF(IF(ISBLANK($AY403),$AX403,$AY403)*Paraméterek!$J$112&gt;IF($D$4="Forint",Paraméterek!$J$114,Paraméterek!$K$114),IF($D$4="Forint",Paraméterek!$J$114,Paraméterek!$K$114),IF(ISBLANK($AY403),$AX403,$AY403)*Paraméterek!$J$112))),IF($D$4="Forint",0,2))</f>
        <v>0</v>
      </c>
      <c r="BA403" s="13">
        <f ca="1">$AT403+$AV403-$AW403-IF(ROUNDDOWN(IF(ISBLANK($AY403),$AX403,$AY403),IF($D$4="Forint",0,2))&gt;$AT403+$AV403-$AW403-IF($D$4="Forint",Paraméterek!$J$114,Paraméterek!$K$114),0,ROUNDDOWN(IF(ISBLANK($AY403),$AX403,$AY403),IF($D$4="Forint",0,2))-$AZ403)</f>
        <v>0</v>
      </c>
      <c r="BB403" s="13">
        <f t="shared" ca="1" si="121"/>
        <v>0</v>
      </c>
      <c r="BD403" s="32">
        <v>384</v>
      </c>
      <c r="BE403" s="32">
        <v>32</v>
      </c>
      <c r="BF403" s="32">
        <v>12</v>
      </c>
      <c r="BG403" s="34">
        <f t="shared" ca="1" si="130"/>
        <v>2051</v>
      </c>
      <c r="BH403" s="32" t="str">
        <f ca="1">IF(MOD(MONTH($D$14)+$BD403-1,12)=Paraméterek!$C$288,"Igen","")</f>
        <v/>
      </c>
      <c r="BI403" s="13">
        <f ca="1">IF($BH403="Igen",MIN(ROUNDDOWN((SUMIF($BG$20:$BG$1027,$BG403-1,$K$20:$K$1027)-SUMIF($BG$20:$BG$1027,$BG403-1,$I$20:$I$1027))*Paraméterek!$C$289,IF($D$4="Forint",0,2)),IF($D$4="Forint",Paraméterek!$C$285,Paraméterek!$D$285)),0)</f>
        <v>0</v>
      </c>
      <c r="BJ403" s="13">
        <f t="shared" ca="1" si="122"/>
        <v>0</v>
      </c>
      <c r="BK403" s="13">
        <f t="shared" ca="1" si="131"/>
        <v>0</v>
      </c>
      <c r="BL403" s="33"/>
      <c r="BM403" s="13">
        <f t="shared" ca="1" si="123"/>
        <v>0</v>
      </c>
      <c r="BN403" s="13">
        <f ca="1">ROUNDUP(($BK403+$BM403)*VLOOKUP($BE403,Paraméterek!$P$38:$Q$38,2)/12*IF($D404="Nem",IF($M$13=0,1,$M$13),1),IF($D$4="Forint",0,2))</f>
        <v>0</v>
      </c>
      <c r="BO403" s="13">
        <f t="shared" ca="1" si="124"/>
        <v>0</v>
      </c>
      <c r="BP403" s="13">
        <f ca="1">IF($D404="Nem",$BO403,$BO403-ROUNDUP(SUM($BI$20:$BI403)*120%,IF($D$4="Forint",0,2)))</f>
        <v>0</v>
      </c>
    </row>
    <row r="404" spans="1:68" x14ac:dyDescent="0.2">
      <c r="A404" s="32">
        <v>385</v>
      </c>
      <c r="B404" s="32">
        <v>33</v>
      </c>
      <c r="C404" s="32">
        <v>1</v>
      </c>
      <c r="D404" s="32" t="str">
        <f t="shared" ca="1" si="110"/>
        <v>Nem</v>
      </c>
      <c r="E404" s="13">
        <f t="shared" ca="1" si="111"/>
        <v>0</v>
      </c>
      <c r="F404" s="13"/>
      <c r="G404" s="13">
        <f>Tranzakciók!$D$64</f>
        <v>0</v>
      </c>
      <c r="H404" s="13"/>
      <c r="I404" s="13">
        <f t="shared" ca="1" si="112"/>
        <v>0</v>
      </c>
      <c r="J404" s="13">
        <f t="shared" ca="1" si="113"/>
        <v>0</v>
      </c>
      <c r="K404" s="13">
        <f t="shared" ca="1" si="114"/>
        <v>0</v>
      </c>
      <c r="L404" s="13" t="e">
        <f ca="1">ROUNDUP(IF($D$2="Egyszeri",$E404,IF($D$2="Havi",SUM($E$20:$E$31),IF(MOD($C404,$M$1)-1=0,SUM($E$20:$E$31),0))/12*$M$1)*VLOOKUP($B404,Paraméterek!$I$28:$P$31,IF($D$2="Egyszeri",8,HLOOKUP(ROUNDUP($M$11+$M$13,0),Paraméterek!$J$26:$O$27,2))),IF($D$4="Forint",0,2))</f>
        <v>#N/A</v>
      </c>
      <c r="M404" s="13">
        <f t="shared" ca="1" si="115"/>
        <v>0</v>
      </c>
      <c r="N404" s="13">
        <f t="shared" ca="1" si="125"/>
        <v>0</v>
      </c>
      <c r="O404" s="13">
        <f ca="1">IF($D404="Igen",IF($W403&gt;=IF($D$4="Forint",Paraméterek!$J$121,Paraméterek!$K$121),0,IF($D$4="Forint",Paraméterek!$J$121,Paraméterek!$K$121)-$W403),0)</f>
        <v>0</v>
      </c>
      <c r="P404" s="13" t="e">
        <f ca="1">ROUNDUP($O404*VLOOKUP($M$4+$B404-1,Paraméterek!$H$58:$I$105,2,0)/Paraméterek!$I$56,IF($D$4="Forint",0,2))</f>
        <v>#N/A</v>
      </c>
      <c r="Q404" s="13">
        <f t="shared" ca="1" si="116"/>
        <v>0</v>
      </c>
      <c r="R404" s="33"/>
      <c r="S404" s="13" t="e">
        <f t="shared" ca="1" si="117"/>
        <v>#N/A</v>
      </c>
      <c r="T404" s="13" t="e">
        <f ca="1">ROUNDUP(($N404-$P404-$Q404+$S404)*VLOOKUP($B404,Paraméterek!$I$38:$K$39,IF($D$2="Egyszeri",3,2))/12*IF($D405="Nem",IF($M$13=0,1,$M$13),1),IF($D$4="Forint",0,2))</f>
        <v>#N/A</v>
      </c>
      <c r="U404" s="13"/>
      <c r="V404" s="13"/>
      <c r="W404" s="13" t="e">
        <f ca="1">$N404-$P404-$Q404+$S404-$T404-IF(ROUNDUP(IF(ISBLANK($V404),$U404*0,$V404)/IF($D$2="Egyszeri",VLOOKUP($B404+IF($C404=12,1,0),Paraméterek!$V$257:$W$262,2),IF($B404=1,1,VLOOKUP($B404+IF($C404=12,1,0),Paraméterek!$I$258:$T$278,HLOOKUP($M$11+1,Paraméterek!$J$256:$T$257,2)))),IF($D$4="Forint",0,2))&gt;$N404-$P404-$Q404+$S404-$T404-IF($D$4="Forint",Paraméterek!$C$216,Paraméterek!$D$216),0,ROUNDUP(IF(ISBLANK($V404),$U404*0,$V404)/IF($D$2="Egyszeri",VLOOKUP($B404+IF($C404=12,1,0),Paraméterek!$V$257:$W$262,2),IF($B404=1,1,VLOOKUP($B404+IF($C404=12,1,0),Paraméterek!$I$258:$T$278,HLOOKUP($M$11+1,Paraméterek!$J$256:$T$257,2)))),IF($D$4="Forint",0,2)))</f>
        <v>#N/A</v>
      </c>
      <c r="X404" s="13" t="e">
        <f ca="1">ROUNDDOWN($W404*IF($D$2="Egyszeri",VLOOKUP($B404+IF($C404=12,1,0),Paraméterek!$V$257:$W$262,2),VLOOKUP($B404+IF($C404=12,1,0),Paraméterek!$I$258:$T$278,HLOOKUP($M$11+1,Paraméterek!$I$256:$T$257,2))),IF($D$4="Forint",0,2))</f>
        <v>#N/A</v>
      </c>
      <c r="Z404" s="32">
        <v>385</v>
      </c>
      <c r="AA404" s="32">
        <v>33</v>
      </c>
      <c r="AB404" s="32">
        <v>1</v>
      </c>
      <c r="AC404" s="13">
        <f t="shared" ca="1" si="126"/>
        <v>0</v>
      </c>
      <c r="AD404" s="33"/>
      <c r="AE404" s="13">
        <f t="shared" ca="1" si="118"/>
        <v>0</v>
      </c>
      <c r="AF404" s="13">
        <f ca="1">ROUNDUP(($AC404+$AE404)*VLOOKUP($AA404,Paraméterek!$P$38:$Q$38,2)/12*IF($D405="Nem",IF($M$13=0,1,$M$13),1),IF($D$4="Forint",0,2))</f>
        <v>0</v>
      </c>
      <c r="AG404" s="13">
        <f ca="1">IF($D$2="Egyszeri",IF($D$7&gt;=IF($D$4="Forint",Paraméterek!$P$223,Paraméterek!$P$224),$D$7-IF($D$4="Forint",Paraméterek!$P$223,Paraméterek!$P$224),0),MIN(IF($AB404=12,AVERAGEIF($E$20:$E404,"&gt;0",$E$20:$E404)*12,0),SUM($E$20:$E$31)))</f>
        <v>0</v>
      </c>
      <c r="AH404" s="13">
        <f>IF($AA404=10,$AG404*IF($AB404=12,IF($AG404&lt;IF($D$4="Forint",Paraméterek!$L$223,Paraméterek!$L$224),0,VLOOKUP($AA404,Paraméterek!$K$226:$M$228,IF($AG404&lt;IF($D$4="Forint",Paraméterek!$M$223,Paraméterek!$M$224),2,3))),0),0)</f>
        <v>0</v>
      </c>
      <c r="AI404" s="13">
        <f ca="1">IF(AND($AA404=$M$11+1,$AB404=$M$12+1),SUMIF($AA$20:$AA$1027,$AA404,$AG$20:$AG$1027)*IF(SUMIF($AA$20:$AA$1027,$AA404,$AG$20:$AG$1027)&lt;IF($D$4="Forint",Paraméterek!$L$223,Paraméterek!$L$224),0,VLOOKUP($AA404,Paraméterek!$K$230:$M$250,IF(SUMIF($AA$20:$AA$1027,$AA404,$AG$20:$AG$1027)&lt;IF($D$4="Forint",Paraméterek!$M$223,Paraméterek!$M$224),2,3))),0)</f>
        <v>0</v>
      </c>
      <c r="AJ404" s="13">
        <f ca="1">IF(AND($AA404&gt;=5,MOD($AA404,5)=0),IF($AB404=12,VLOOKUP($AA404,Paraméterek!$O$225:$P$240,2),0),IF(OR($AA404=3,$AA404=4),IF($AB404=12,VLOOKUP($AA404,Paraméterek!$O$225:$P$240,2,0),0),0))*$AG404</f>
        <v>0</v>
      </c>
      <c r="AK404" s="13">
        <f t="shared" ca="1" si="119"/>
        <v>0</v>
      </c>
      <c r="AL404" s="13">
        <f t="shared" ca="1" si="127"/>
        <v>0</v>
      </c>
      <c r="AM404" s="13">
        <f t="shared" ca="1" si="128"/>
        <v>0</v>
      </c>
      <c r="AO404" s="32">
        <v>385</v>
      </c>
      <c r="AP404" s="32">
        <v>33</v>
      </c>
      <c r="AQ404" s="32">
        <v>1</v>
      </c>
      <c r="AR404" s="13">
        <f>Tranzakciók!$K$64</f>
        <v>0</v>
      </c>
      <c r="AS404" s="32"/>
      <c r="AT404" s="13">
        <f t="shared" ca="1" si="129"/>
        <v>0</v>
      </c>
      <c r="AU404" s="33"/>
      <c r="AV404" s="13">
        <f t="shared" ca="1" si="120"/>
        <v>0</v>
      </c>
      <c r="AW404" s="13">
        <f ca="1">ROUNDUP(($AT404+$AV404)*VLOOKUP($AP404,Paraméterek!$P$38:$Q$38,2)/12*IF($D405="Nem",IF($M$13=0,1,$M$13),1),IF($D$4="Forint",0,2))</f>
        <v>0</v>
      </c>
      <c r="AX404" s="13"/>
      <c r="AY404" s="13"/>
      <c r="AZ404" s="13">
        <f>ROUNDUP(IF(SUM($AX404:$AY404)=0,0,IF(IF(ISBLANK($AY404),$AX404,$AY404)*Paraméterek!$J$112&lt;IF($D$4="Forint",Paraméterek!$J$113,Paraméterek!$K$113),IF($D$4="Forint",Paraméterek!$J$113,Paraméterek!$K$113),IF(IF(ISBLANK($AY404),$AX404,$AY404)*Paraméterek!$J$112&gt;IF($D$4="Forint",Paraméterek!$J$114,Paraméterek!$K$114),IF($D$4="Forint",Paraméterek!$J$114,Paraméterek!$K$114),IF(ISBLANK($AY404),$AX404,$AY404)*Paraméterek!$J$112))),IF($D$4="Forint",0,2))</f>
        <v>0</v>
      </c>
      <c r="BA404" s="13">
        <f ca="1">$AT404+$AV404-$AW404-IF(ROUNDDOWN(IF(ISBLANK($AY404),$AX404,$AY404),IF($D$4="Forint",0,2))&gt;$AT404+$AV404-$AW404-IF($D$4="Forint",Paraméterek!$J$114,Paraméterek!$K$114),0,ROUNDDOWN(IF(ISBLANK($AY404),$AX404,$AY404),IF($D$4="Forint",0,2))-$AZ404)</f>
        <v>0</v>
      </c>
      <c r="BB404" s="13">
        <f t="shared" ca="1" si="121"/>
        <v>0</v>
      </c>
      <c r="BD404" s="32">
        <v>385</v>
      </c>
      <c r="BE404" s="32">
        <v>33</v>
      </c>
      <c r="BF404" s="32">
        <v>1</v>
      </c>
      <c r="BG404" s="34">
        <f t="shared" ca="1" si="130"/>
        <v>2051</v>
      </c>
      <c r="BH404" s="32" t="str">
        <f ca="1">IF(MOD(MONTH($D$14)+$BD404-1,12)=Paraméterek!$C$288,"Igen","")</f>
        <v/>
      </c>
      <c r="BI404" s="13">
        <f ca="1">IF($BH404="Igen",MIN(ROUNDDOWN((SUMIF($BG$20:$BG$1027,$BG404-1,$K$20:$K$1027)-SUMIF($BG$20:$BG$1027,$BG404-1,$I$20:$I$1027))*Paraméterek!$C$289,IF($D$4="Forint",0,2)),IF($D$4="Forint",Paraméterek!$C$285,Paraméterek!$D$285)),0)</f>
        <v>0</v>
      </c>
      <c r="BJ404" s="13">
        <f t="shared" ca="1" si="122"/>
        <v>0</v>
      </c>
      <c r="BK404" s="13">
        <f t="shared" ca="1" si="131"/>
        <v>0</v>
      </c>
      <c r="BL404" s="33"/>
      <c r="BM404" s="13">
        <f t="shared" ca="1" si="123"/>
        <v>0</v>
      </c>
      <c r="BN404" s="13">
        <f ca="1">ROUNDUP(($BK404+$BM404)*VLOOKUP($BE404,Paraméterek!$P$38:$Q$38,2)/12*IF($D405="Nem",IF($M$13=0,1,$M$13),1),IF($D$4="Forint",0,2))</f>
        <v>0</v>
      </c>
      <c r="BO404" s="13">
        <f t="shared" ca="1" si="124"/>
        <v>0</v>
      </c>
      <c r="BP404" s="13">
        <f ca="1">IF($D405="Nem",$BO404,$BO404-ROUNDUP(SUM($BI$20:$BI404)*120%,IF($D$4="Forint",0,2)))</f>
        <v>0</v>
      </c>
    </row>
    <row r="405" spans="1:68" x14ac:dyDescent="0.2">
      <c r="A405" s="32">
        <v>386</v>
      </c>
      <c r="B405" s="32">
        <v>33</v>
      </c>
      <c r="C405" s="32">
        <v>2</v>
      </c>
      <c r="D405" s="32" t="str">
        <f t="shared" ref="D405:D468" ca="1" si="132">IF($B405&lt;$M$11+1,"Igen",IF($B405&gt;$M$11+1,"Nem",IF($C405&lt;=$M$12+IF($M$13&gt;0,1,0),"Igen","Nem")))</f>
        <v>Nem</v>
      </c>
      <c r="E405" s="13">
        <f t="shared" ref="E405:E468" ca="1" si="133">IF($D405="Igen",IF($D$2="Egyszeri",IF($A405=1,$D$7,0),ROUNDUP(IF($D$2="Havi",$D$7,IF(MOD($C405,$M$1)-1=0,$D$7,0))*(1+$D$6)^($B405-1),IF($D$4="Forint",0,2))),0)</f>
        <v>0</v>
      </c>
      <c r="F405" s="13"/>
      <c r="G405" s="13"/>
      <c r="H405" s="13"/>
      <c r="I405" s="13">
        <f t="shared" ref="I405:I468" ca="1" si="134">ROUNDUP(IF(AND($D$8="Nincs",$D$2&lt;&gt;"Egyszeri"),$E405*10%,0),IF($D$4="Forint",0,2))</f>
        <v>0</v>
      </c>
      <c r="J405" s="13">
        <f t="shared" ref="J405:J468" ca="1" si="135">IF($D405="Igen",IF($D$2="Egyszeri",IF($A405=1,$M$3,0),ROUNDUP(IF($D$2="Havi",$M$3,IF(MOD($C405,$M$1)-1=0,$M$3,0))*(1+$M$2)^($B405-1),IF($D$4="Forint",0,2))),0)</f>
        <v>0</v>
      </c>
      <c r="K405" s="13">
        <f t="shared" ref="K405:K468" ca="1" si="136">IF($D405="Igen",IF(ISBLANK($F405),$E405,$F405)+IF(ISBLANK($H405),$G405,$H405)+$I405+$J405,0)</f>
        <v>0</v>
      </c>
      <c r="L405" s="13" t="e">
        <f ca="1">ROUNDUP(IF($D$2="Egyszeri",$E405,IF($D$2="Havi",SUM($E$20:$E$31),IF(MOD($C405,$M$1)-1=0,SUM($E$20:$E$31),0))/12*$M$1)*VLOOKUP($B405,Paraméterek!$I$28:$P$31,IF($D$2="Egyszeri",8,HLOOKUP(ROUNDUP($M$11+$M$13,0),Paraméterek!$J$26:$O$27,2))),IF($D$4="Forint",0,2))</f>
        <v>#N/A</v>
      </c>
      <c r="M405" s="13">
        <f t="shared" ref="M405:M468" ca="1" si="137">IF($D405="Igen",$E405-$L405+IF(ISBLANK($H405),$G405,$H405),0)</f>
        <v>0</v>
      </c>
      <c r="N405" s="13">
        <f t="shared" ca="1" si="125"/>
        <v>0</v>
      </c>
      <c r="O405" s="13">
        <f ca="1">IF($D405="Igen",IF($W404&gt;=IF($D$4="Forint",Paraméterek!$J$121,Paraméterek!$K$121),0,IF($D$4="Forint",Paraméterek!$J$121,Paraméterek!$K$121)-$W404),0)</f>
        <v>0</v>
      </c>
      <c r="P405" s="13" t="e">
        <f ca="1">ROUNDUP($O405*VLOOKUP($M$4+$B405-1,Paraméterek!$H$58:$I$105,2,0)/Paraméterek!$I$56,IF($D$4="Forint",0,2))</f>
        <v>#N/A</v>
      </c>
      <c r="Q405" s="13">
        <f t="shared" ref="Q405:Q468" ca="1" si="138">IF($D405="Igen",ROUNDUP($M$5*(1+$M$2)^($B405-1),IF($D$4="Forint",0,2)),0)</f>
        <v>0</v>
      </c>
      <c r="R405" s="33"/>
      <c r="S405" s="13" t="e">
        <f t="shared" ref="S405:S468" ca="1" si="139">ROUNDDOWN(($N405-$P405-$Q405)*IF(ISBLANK($R405),$M$6,$R405)*IF($D406="Nem",IF($M$13=0,1,$M$13),1),IF($D$4="Forint",0,2))</f>
        <v>#N/A</v>
      </c>
      <c r="T405" s="13" t="e">
        <f ca="1">ROUNDUP(($N405-$P405-$Q405+$S405)*VLOOKUP($B405,Paraméterek!$I$38:$K$39,IF($D$2="Egyszeri",3,2))/12*IF($D406="Nem",IF($M$13=0,1,$M$13),1),IF($D$4="Forint",0,2))</f>
        <v>#N/A</v>
      </c>
      <c r="U405" s="13"/>
      <c r="V405" s="13"/>
      <c r="W405" s="13" t="e">
        <f ca="1">$N405-$P405-$Q405+$S405-$T405-IF(ROUNDUP(IF(ISBLANK($V405),$U405*0,$V405)/IF($D$2="Egyszeri",VLOOKUP($B405+IF($C405=12,1,0),Paraméterek!$V$257:$W$262,2),IF($B405=1,1,VLOOKUP($B405+IF($C405=12,1,0),Paraméterek!$I$258:$T$278,HLOOKUP($M$11+1,Paraméterek!$J$256:$T$257,2)))),IF($D$4="Forint",0,2))&gt;$N405-$P405-$Q405+$S405-$T405-IF($D$4="Forint",Paraméterek!$C$216,Paraméterek!$D$216),0,ROUNDUP(IF(ISBLANK($V405),$U405*0,$V405)/IF($D$2="Egyszeri",VLOOKUP($B405+IF($C405=12,1,0),Paraméterek!$V$257:$W$262,2),IF($B405=1,1,VLOOKUP($B405+IF($C405=12,1,0),Paraméterek!$I$258:$T$278,HLOOKUP($M$11+1,Paraméterek!$J$256:$T$257,2)))),IF($D$4="Forint",0,2)))</f>
        <v>#N/A</v>
      </c>
      <c r="X405" s="13" t="e">
        <f ca="1">ROUNDDOWN($W405*IF($D$2="Egyszeri",VLOOKUP($B405+IF($C405=12,1,0),Paraméterek!$V$257:$W$262,2),VLOOKUP($B405+IF($C405=12,1,0),Paraméterek!$I$258:$T$278,HLOOKUP($M$11+1,Paraméterek!$I$256:$T$257,2))),IF($D$4="Forint",0,2))</f>
        <v>#N/A</v>
      </c>
      <c r="Z405" s="32">
        <v>386</v>
      </c>
      <c r="AA405" s="32">
        <v>33</v>
      </c>
      <c r="AB405" s="32">
        <v>2</v>
      </c>
      <c r="AC405" s="13">
        <f t="shared" ca="1" si="126"/>
        <v>0</v>
      </c>
      <c r="AD405" s="33"/>
      <c r="AE405" s="13">
        <f t="shared" ref="AE405:AE468" ca="1" si="140">ROUNDDOWN($AC405*IF(ISBLANK($AD405),$M$8,$AD405)*IF($D406="Nem",IF($M$13=0,1,$M$13),1),IF($D$4="Forint",0,2))</f>
        <v>0</v>
      </c>
      <c r="AF405" s="13">
        <f ca="1">ROUNDUP(($AC405+$AE405)*VLOOKUP($AA405,Paraméterek!$P$38:$Q$38,2)/12*IF($D406="Nem",IF($M$13=0,1,$M$13),1),IF($D$4="Forint",0,2))</f>
        <v>0</v>
      </c>
      <c r="AG405" s="13">
        <f ca="1">IF($D$2="Egyszeri",IF($D$7&gt;=IF($D$4="Forint",Paraméterek!$P$223,Paraméterek!$P$224),$D$7-IF($D$4="Forint",Paraméterek!$P$223,Paraméterek!$P$224),0),MIN(IF($AB405=12,AVERAGEIF($E$20:$E405,"&gt;0",$E$20:$E405)*12,0),SUM($E$20:$E$31)))</f>
        <v>0</v>
      </c>
      <c r="AH405" s="13">
        <f>IF($AA405=10,$AG405*IF($AB405=12,IF($AG405&lt;IF($D$4="Forint",Paraméterek!$L$223,Paraméterek!$L$224),0,VLOOKUP($AA405,Paraméterek!$K$226:$M$228,IF($AG405&lt;IF($D$4="Forint",Paraméterek!$M$223,Paraméterek!$M$224),2,3))),0),0)</f>
        <v>0</v>
      </c>
      <c r="AI405" s="13">
        <f ca="1">IF(AND($AA405=$M$11+1,$AB405=$M$12+1),SUMIF($AA$20:$AA$1027,$AA405,$AG$20:$AG$1027)*IF(SUMIF($AA$20:$AA$1027,$AA405,$AG$20:$AG$1027)&lt;IF($D$4="Forint",Paraméterek!$L$223,Paraméterek!$L$224),0,VLOOKUP($AA405,Paraméterek!$K$230:$M$250,IF(SUMIF($AA$20:$AA$1027,$AA405,$AG$20:$AG$1027)&lt;IF($D$4="Forint",Paraméterek!$M$223,Paraméterek!$M$224),2,3))),0)</f>
        <v>0</v>
      </c>
      <c r="AJ405" s="13">
        <f ca="1">IF(AND($AA405&gt;=5,MOD($AA405,5)=0),IF($AB405=12,VLOOKUP($AA405,Paraméterek!$O$225:$P$240,2),0),IF(OR($AA405=3,$AA405=4),IF($AB405=12,VLOOKUP($AA405,Paraméterek!$O$225:$P$240,2,0),0),0))*$AG405</f>
        <v>0</v>
      </c>
      <c r="AK405" s="13">
        <f t="shared" ref="AK405:AK468" ca="1" si="141">ROUNDDOWN(IF($D$2="Egyszeri",$AJ405,$AH405+$AI405),IF($D$4="Forint",0,2))</f>
        <v>0</v>
      </c>
      <c r="AL405" s="13">
        <f t="shared" ca="1" si="127"/>
        <v>0</v>
      </c>
      <c r="AM405" s="13">
        <f t="shared" ca="1" si="128"/>
        <v>0</v>
      </c>
      <c r="AO405" s="32">
        <v>386</v>
      </c>
      <c r="AP405" s="32">
        <v>33</v>
      </c>
      <c r="AQ405" s="32">
        <v>2</v>
      </c>
      <c r="AR405" s="13"/>
      <c r="AS405" s="32"/>
      <c r="AT405" s="13">
        <f t="shared" ca="1" si="129"/>
        <v>0</v>
      </c>
      <c r="AU405" s="33"/>
      <c r="AV405" s="13">
        <f t="shared" ref="AV405:AV468" ca="1" si="142">ROUNDDOWN($AT405*IF(ISBLANK($AU405),$M$7,$AU405)*IF($D406="Nem",IF($M$13=0,1,$M$13),1),IF($D$4="Forint",0,2))</f>
        <v>0</v>
      </c>
      <c r="AW405" s="13">
        <f ca="1">ROUNDUP(($AT405+$AV405)*VLOOKUP($AP405,Paraméterek!$P$38:$Q$38,2)/12*IF($D406="Nem",IF($M$13=0,1,$M$13),1),IF($D$4="Forint",0,2))</f>
        <v>0</v>
      </c>
      <c r="AX405" s="13"/>
      <c r="AY405" s="13"/>
      <c r="AZ405" s="13">
        <f>ROUNDUP(IF(SUM($AX405:$AY405)=0,0,IF(IF(ISBLANK($AY405),$AX405,$AY405)*Paraméterek!$J$112&lt;IF($D$4="Forint",Paraméterek!$J$113,Paraméterek!$K$113),IF($D$4="Forint",Paraméterek!$J$113,Paraméterek!$K$113),IF(IF(ISBLANK($AY405),$AX405,$AY405)*Paraméterek!$J$112&gt;IF($D$4="Forint",Paraméterek!$J$114,Paraméterek!$K$114),IF($D$4="Forint",Paraméterek!$J$114,Paraméterek!$K$114),IF(ISBLANK($AY405),$AX405,$AY405)*Paraméterek!$J$112))),IF($D$4="Forint",0,2))</f>
        <v>0</v>
      </c>
      <c r="BA405" s="13">
        <f ca="1">$AT405+$AV405-$AW405-IF(ROUNDDOWN(IF(ISBLANK($AY405),$AX405,$AY405),IF($D$4="Forint",0,2))&gt;$AT405+$AV405-$AW405-IF($D$4="Forint",Paraméterek!$J$114,Paraméterek!$K$114),0,ROUNDDOWN(IF(ISBLANK($AY405),$AX405,$AY405),IF($D$4="Forint",0,2))-$AZ405)</f>
        <v>0</v>
      </c>
      <c r="BB405" s="13">
        <f t="shared" ref="BB405:BB468" ca="1" si="143">$BA405</f>
        <v>0</v>
      </c>
      <c r="BD405" s="32">
        <v>386</v>
      </c>
      <c r="BE405" s="32">
        <v>33</v>
      </c>
      <c r="BF405" s="32">
        <v>2</v>
      </c>
      <c r="BG405" s="34">
        <f t="shared" ca="1" si="130"/>
        <v>2051</v>
      </c>
      <c r="BH405" s="32" t="str">
        <f ca="1">IF(MOD(MONTH($D$14)+$BD405-1,12)=Paraméterek!$C$288,"Igen","")</f>
        <v>Igen</v>
      </c>
      <c r="BI405" s="13">
        <f ca="1">IF($BH405="Igen",MIN(ROUNDDOWN((SUMIF($BG$20:$BG$1027,$BG405-1,$K$20:$K$1027)-SUMIF($BG$20:$BG$1027,$BG405-1,$I$20:$I$1027))*Paraméterek!$C$289,IF($D$4="Forint",0,2)),IF($D$4="Forint",Paraméterek!$C$285,Paraméterek!$D$285)),0)</f>
        <v>0</v>
      </c>
      <c r="BJ405" s="13">
        <f t="shared" ref="BJ405:BJ468" ca="1" si="144">IF(AND($D405="Igen",$BH405="Igen"),$BI405,0)</f>
        <v>0</v>
      </c>
      <c r="BK405" s="13">
        <f t="shared" ca="1" si="131"/>
        <v>0</v>
      </c>
      <c r="BL405" s="33"/>
      <c r="BM405" s="13">
        <f t="shared" ref="BM405:BM468" ca="1" si="145">ROUNDDOWN($BK405*IF(ISBLANK($BL405),$M$9,$BL405)*IF($D406="Nem",IF($M$13=0,1,$M$13),1),IF($D$4="Forint",0,2))</f>
        <v>0</v>
      </c>
      <c r="BN405" s="13">
        <f ca="1">ROUNDUP(($BK405+$BM405)*VLOOKUP($BE405,Paraméterek!$P$38:$Q$38,2)/12*IF($D406="Nem",IF($M$13=0,1,$M$13),1),IF($D$4="Forint",0,2))</f>
        <v>0</v>
      </c>
      <c r="BO405" s="13">
        <f t="shared" ref="BO405:BO468" ca="1" si="146">$BK405+$BM405-$BN405</f>
        <v>0</v>
      </c>
      <c r="BP405" s="13">
        <f ca="1">IF($D406="Nem",$BO405,$BO405-ROUNDUP(SUM($BI$20:$BI405)*120%,IF($D$4="Forint",0,2)))</f>
        <v>0</v>
      </c>
    </row>
    <row r="406" spans="1:68" x14ac:dyDescent="0.2">
      <c r="A406" s="32">
        <v>387</v>
      </c>
      <c r="B406" s="32">
        <v>33</v>
      </c>
      <c r="C406" s="32">
        <v>3</v>
      </c>
      <c r="D406" s="32" t="str">
        <f t="shared" ca="1" si="132"/>
        <v>Nem</v>
      </c>
      <c r="E406" s="13">
        <f t="shared" ca="1" si="133"/>
        <v>0</v>
      </c>
      <c r="F406" s="13"/>
      <c r="G406" s="13"/>
      <c r="H406" s="13"/>
      <c r="I406" s="13">
        <f t="shared" ca="1" si="134"/>
        <v>0</v>
      </c>
      <c r="J406" s="13">
        <f t="shared" ca="1" si="135"/>
        <v>0</v>
      </c>
      <c r="K406" s="13">
        <f t="shared" ca="1" si="136"/>
        <v>0</v>
      </c>
      <c r="L406" s="13" t="e">
        <f ca="1">ROUNDUP(IF($D$2="Egyszeri",$E406,IF($D$2="Havi",SUM($E$20:$E$31),IF(MOD($C406,$M$1)-1=0,SUM($E$20:$E$31),0))/12*$M$1)*VLOOKUP($B406,Paraméterek!$I$28:$P$31,IF($D$2="Egyszeri",8,HLOOKUP(ROUNDUP($M$11+$M$13,0),Paraméterek!$J$26:$O$27,2))),IF($D$4="Forint",0,2))</f>
        <v>#N/A</v>
      </c>
      <c r="M406" s="13">
        <f t="shared" ca="1" si="137"/>
        <v>0</v>
      </c>
      <c r="N406" s="13">
        <f t="shared" ref="N406:N469" ca="1" si="147">IF($D406="Igen",$M406+$W405,0)</f>
        <v>0</v>
      </c>
      <c r="O406" s="13">
        <f ca="1">IF($D406="Igen",IF($W405&gt;=IF($D$4="Forint",Paraméterek!$J$121,Paraméterek!$K$121),0,IF($D$4="Forint",Paraméterek!$J$121,Paraméterek!$K$121)-$W405),0)</f>
        <v>0</v>
      </c>
      <c r="P406" s="13" t="e">
        <f ca="1">ROUNDUP($O406*VLOOKUP($M$4+$B406-1,Paraméterek!$H$58:$I$105,2,0)/Paraméterek!$I$56,IF($D$4="Forint",0,2))</f>
        <v>#N/A</v>
      </c>
      <c r="Q406" s="13">
        <f t="shared" ca="1" si="138"/>
        <v>0</v>
      </c>
      <c r="R406" s="33"/>
      <c r="S406" s="13" t="e">
        <f t="shared" ca="1" si="139"/>
        <v>#N/A</v>
      </c>
      <c r="T406" s="13" t="e">
        <f ca="1">ROUNDUP(($N406-$P406-$Q406+$S406)*VLOOKUP($B406,Paraméterek!$I$38:$K$39,IF($D$2="Egyszeri",3,2))/12*IF($D407="Nem",IF($M$13=0,1,$M$13),1),IF($D$4="Forint",0,2))</f>
        <v>#N/A</v>
      </c>
      <c r="U406" s="13"/>
      <c r="V406" s="13"/>
      <c r="W406" s="13" t="e">
        <f ca="1">$N406-$P406-$Q406+$S406-$T406-IF(ROUNDUP(IF(ISBLANK($V406),$U406*0,$V406)/IF($D$2="Egyszeri",VLOOKUP($B406+IF($C406=12,1,0),Paraméterek!$V$257:$W$262,2),IF($B406=1,1,VLOOKUP($B406+IF($C406=12,1,0),Paraméterek!$I$258:$T$278,HLOOKUP($M$11+1,Paraméterek!$J$256:$T$257,2)))),IF($D$4="Forint",0,2))&gt;$N406-$P406-$Q406+$S406-$T406-IF($D$4="Forint",Paraméterek!$C$216,Paraméterek!$D$216),0,ROUNDUP(IF(ISBLANK($V406),$U406*0,$V406)/IF($D$2="Egyszeri",VLOOKUP($B406+IF($C406=12,1,0),Paraméterek!$V$257:$W$262,2),IF($B406=1,1,VLOOKUP($B406+IF($C406=12,1,0),Paraméterek!$I$258:$T$278,HLOOKUP($M$11+1,Paraméterek!$J$256:$T$257,2)))),IF($D$4="Forint",0,2)))</f>
        <v>#N/A</v>
      </c>
      <c r="X406" s="13" t="e">
        <f ca="1">ROUNDDOWN($W406*IF($D$2="Egyszeri",VLOOKUP($B406+IF($C406=12,1,0),Paraméterek!$V$257:$W$262,2),VLOOKUP($B406+IF($C406=12,1,0),Paraméterek!$I$258:$T$278,HLOOKUP($M$11+1,Paraméterek!$I$256:$T$257,2))),IF($D$4="Forint",0,2))</f>
        <v>#N/A</v>
      </c>
      <c r="Z406" s="32">
        <v>387</v>
      </c>
      <c r="AA406" s="32">
        <v>33</v>
      </c>
      <c r="AB406" s="32">
        <v>3</v>
      </c>
      <c r="AC406" s="13">
        <f t="shared" ref="AC406:AC469" ca="1" si="148">IF($D406="Igen",$AL405,0)</f>
        <v>0</v>
      </c>
      <c r="AD406" s="33"/>
      <c r="AE406" s="13">
        <f t="shared" ca="1" si="140"/>
        <v>0</v>
      </c>
      <c r="AF406" s="13">
        <f ca="1">ROUNDUP(($AC406+$AE406)*VLOOKUP($AA406,Paraméterek!$P$38:$Q$38,2)/12*IF($D407="Nem",IF($M$13=0,1,$M$13),1),IF($D$4="Forint",0,2))</f>
        <v>0</v>
      </c>
      <c r="AG406" s="13">
        <f ca="1">IF($D$2="Egyszeri",IF($D$7&gt;=IF($D$4="Forint",Paraméterek!$P$223,Paraméterek!$P$224),$D$7-IF($D$4="Forint",Paraméterek!$P$223,Paraméterek!$P$224),0),MIN(IF($AB406=12,AVERAGEIF($E$20:$E406,"&gt;0",$E$20:$E406)*12,0),SUM($E$20:$E$31)))</f>
        <v>0</v>
      </c>
      <c r="AH406" s="13">
        <f>IF($AA406=10,$AG406*IF($AB406=12,IF($AG406&lt;IF($D$4="Forint",Paraméterek!$L$223,Paraméterek!$L$224),0,VLOOKUP($AA406,Paraméterek!$K$226:$M$228,IF($AG406&lt;IF($D$4="Forint",Paraméterek!$M$223,Paraméterek!$M$224),2,3))),0),0)</f>
        <v>0</v>
      </c>
      <c r="AI406" s="13">
        <f ca="1">IF(AND($AA406=$M$11+1,$AB406=$M$12+1),SUMIF($AA$20:$AA$1027,$AA406,$AG$20:$AG$1027)*IF(SUMIF($AA$20:$AA$1027,$AA406,$AG$20:$AG$1027)&lt;IF($D$4="Forint",Paraméterek!$L$223,Paraméterek!$L$224),0,VLOOKUP($AA406,Paraméterek!$K$230:$M$250,IF(SUMIF($AA$20:$AA$1027,$AA406,$AG$20:$AG$1027)&lt;IF($D$4="Forint",Paraméterek!$M$223,Paraméterek!$M$224),2,3))),0)</f>
        <v>0</v>
      </c>
      <c r="AJ406" s="13">
        <f ca="1">IF(AND($AA406&gt;=5,MOD($AA406,5)=0),IF($AB406=12,VLOOKUP($AA406,Paraméterek!$O$225:$P$240,2),0),IF(OR($AA406=3,$AA406=4),IF($AB406=12,VLOOKUP($AA406,Paraméterek!$O$225:$P$240,2,0),0),0))*$AG406</f>
        <v>0</v>
      </c>
      <c r="AK406" s="13">
        <f t="shared" ca="1" si="141"/>
        <v>0</v>
      </c>
      <c r="AL406" s="13">
        <f t="shared" ref="AL406:AL469" ca="1" si="149">$AC406+$AE406-$AF406+$AK406</f>
        <v>0</v>
      </c>
      <c r="AM406" s="13">
        <f t="shared" ref="AM406:AM469" ca="1" si="150">$AL406</f>
        <v>0</v>
      </c>
      <c r="AO406" s="32">
        <v>387</v>
      </c>
      <c r="AP406" s="32">
        <v>33</v>
      </c>
      <c r="AQ406" s="32">
        <v>3</v>
      </c>
      <c r="AR406" s="13"/>
      <c r="AS406" s="32"/>
      <c r="AT406" s="13">
        <f t="shared" ref="AT406:AT469" ca="1" si="151">IF($D406="Igen",IF(ISBLANK($AS406),$AR406,$AS406)+$BA405,0)</f>
        <v>0</v>
      </c>
      <c r="AU406" s="33"/>
      <c r="AV406" s="13">
        <f t="shared" ca="1" si="142"/>
        <v>0</v>
      </c>
      <c r="AW406" s="13">
        <f ca="1">ROUNDUP(($AT406+$AV406)*VLOOKUP($AP406,Paraméterek!$P$38:$Q$38,2)/12*IF($D407="Nem",IF($M$13=0,1,$M$13),1),IF($D$4="Forint",0,2))</f>
        <v>0</v>
      </c>
      <c r="AX406" s="13"/>
      <c r="AY406" s="13"/>
      <c r="AZ406" s="13">
        <f>ROUNDUP(IF(SUM($AX406:$AY406)=0,0,IF(IF(ISBLANK($AY406),$AX406,$AY406)*Paraméterek!$J$112&lt;IF($D$4="Forint",Paraméterek!$J$113,Paraméterek!$K$113),IF($D$4="Forint",Paraméterek!$J$113,Paraméterek!$K$113),IF(IF(ISBLANK($AY406),$AX406,$AY406)*Paraméterek!$J$112&gt;IF($D$4="Forint",Paraméterek!$J$114,Paraméterek!$K$114),IF($D$4="Forint",Paraméterek!$J$114,Paraméterek!$K$114),IF(ISBLANK($AY406),$AX406,$AY406)*Paraméterek!$J$112))),IF($D$4="Forint",0,2))</f>
        <v>0</v>
      </c>
      <c r="BA406" s="13">
        <f ca="1">$AT406+$AV406-$AW406-IF(ROUNDDOWN(IF(ISBLANK($AY406),$AX406,$AY406),IF($D$4="Forint",0,2))&gt;$AT406+$AV406-$AW406-IF($D$4="Forint",Paraméterek!$J$114,Paraméterek!$K$114),0,ROUNDDOWN(IF(ISBLANK($AY406),$AX406,$AY406),IF($D$4="Forint",0,2))-$AZ406)</f>
        <v>0</v>
      </c>
      <c r="BB406" s="13">
        <f t="shared" ca="1" si="143"/>
        <v>0</v>
      </c>
      <c r="BD406" s="32">
        <v>387</v>
      </c>
      <c r="BE406" s="32">
        <v>33</v>
      </c>
      <c r="BF406" s="32">
        <v>3</v>
      </c>
      <c r="BG406" s="34">
        <f t="shared" ref="BG406:BG469" ca="1" si="152">$BG405+IF(MOD(MONTH($D$14)+$BD406-1,12)=1,1,0)</f>
        <v>2051</v>
      </c>
      <c r="BH406" s="32" t="str">
        <f ca="1">IF(MOD(MONTH($D$14)+$BD406-1,12)=Paraméterek!$C$288,"Igen","")</f>
        <v/>
      </c>
      <c r="BI406" s="13">
        <f ca="1">IF($BH406="Igen",MIN(ROUNDDOWN((SUMIF($BG$20:$BG$1027,$BG406-1,$K$20:$K$1027)-SUMIF($BG$20:$BG$1027,$BG406-1,$I$20:$I$1027))*Paraméterek!$C$289,IF($D$4="Forint",0,2)),IF($D$4="Forint",Paraméterek!$C$285,Paraméterek!$D$285)),0)</f>
        <v>0</v>
      </c>
      <c r="BJ406" s="13">
        <f t="shared" ca="1" si="144"/>
        <v>0</v>
      </c>
      <c r="BK406" s="13">
        <f t="shared" ref="BK406:BK469" ca="1" si="153">$BJ406+IF($D406="Igen",$BO405,0)</f>
        <v>0</v>
      </c>
      <c r="BL406" s="33"/>
      <c r="BM406" s="13">
        <f t="shared" ca="1" si="145"/>
        <v>0</v>
      </c>
      <c r="BN406" s="13">
        <f ca="1">ROUNDUP(($BK406+$BM406)*VLOOKUP($BE406,Paraméterek!$P$38:$Q$38,2)/12*IF($D407="Nem",IF($M$13=0,1,$M$13),1),IF($D$4="Forint",0,2))</f>
        <v>0</v>
      </c>
      <c r="BO406" s="13">
        <f t="shared" ca="1" si="146"/>
        <v>0</v>
      </c>
      <c r="BP406" s="13">
        <f ca="1">IF($D407="Nem",$BO406,$BO406-ROUNDUP(SUM($BI$20:$BI406)*120%,IF($D$4="Forint",0,2)))</f>
        <v>0</v>
      </c>
    </row>
    <row r="407" spans="1:68" x14ac:dyDescent="0.2">
      <c r="A407" s="32">
        <v>388</v>
      </c>
      <c r="B407" s="32">
        <v>33</v>
      </c>
      <c r="C407" s="32">
        <v>4</v>
      </c>
      <c r="D407" s="32" t="str">
        <f t="shared" ca="1" si="132"/>
        <v>Nem</v>
      </c>
      <c r="E407" s="13">
        <f t="shared" ca="1" si="133"/>
        <v>0</v>
      </c>
      <c r="F407" s="13"/>
      <c r="G407" s="13"/>
      <c r="H407" s="13"/>
      <c r="I407" s="13">
        <f t="shared" ca="1" si="134"/>
        <v>0</v>
      </c>
      <c r="J407" s="13">
        <f t="shared" ca="1" si="135"/>
        <v>0</v>
      </c>
      <c r="K407" s="13">
        <f t="shared" ca="1" si="136"/>
        <v>0</v>
      </c>
      <c r="L407" s="13" t="e">
        <f ca="1">ROUNDUP(IF($D$2="Egyszeri",$E407,IF($D$2="Havi",SUM($E$20:$E$31),IF(MOD($C407,$M$1)-1=0,SUM($E$20:$E$31),0))/12*$M$1)*VLOOKUP($B407,Paraméterek!$I$28:$P$31,IF($D$2="Egyszeri",8,HLOOKUP(ROUNDUP($M$11+$M$13,0),Paraméterek!$J$26:$O$27,2))),IF($D$4="Forint",0,2))</f>
        <v>#N/A</v>
      </c>
      <c r="M407" s="13">
        <f t="shared" ca="1" si="137"/>
        <v>0</v>
      </c>
      <c r="N407" s="13">
        <f t="shared" ca="1" si="147"/>
        <v>0</v>
      </c>
      <c r="O407" s="13">
        <f ca="1">IF($D407="Igen",IF($W406&gt;=IF($D$4="Forint",Paraméterek!$J$121,Paraméterek!$K$121),0,IF($D$4="Forint",Paraméterek!$J$121,Paraméterek!$K$121)-$W406),0)</f>
        <v>0</v>
      </c>
      <c r="P407" s="13" t="e">
        <f ca="1">ROUNDUP($O407*VLOOKUP($M$4+$B407-1,Paraméterek!$H$58:$I$105,2,0)/Paraméterek!$I$56,IF($D$4="Forint",0,2))</f>
        <v>#N/A</v>
      </c>
      <c r="Q407" s="13">
        <f t="shared" ca="1" si="138"/>
        <v>0</v>
      </c>
      <c r="R407" s="33"/>
      <c r="S407" s="13" t="e">
        <f t="shared" ca="1" si="139"/>
        <v>#N/A</v>
      </c>
      <c r="T407" s="13" t="e">
        <f ca="1">ROUNDUP(($N407-$P407-$Q407+$S407)*VLOOKUP($B407,Paraméterek!$I$38:$K$39,IF($D$2="Egyszeri",3,2))/12*IF($D408="Nem",IF($M$13=0,1,$M$13),1),IF($D$4="Forint",0,2))</f>
        <v>#N/A</v>
      </c>
      <c r="U407" s="13"/>
      <c r="V407" s="13"/>
      <c r="W407" s="13" t="e">
        <f ca="1">$N407-$P407-$Q407+$S407-$T407-IF(ROUNDUP(IF(ISBLANK($V407),$U407*0,$V407)/IF($D$2="Egyszeri",VLOOKUP($B407+IF($C407=12,1,0),Paraméterek!$V$257:$W$262,2),IF($B407=1,1,VLOOKUP($B407+IF($C407=12,1,0),Paraméterek!$I$258:$T$278,HLOOKUP($M$11+1,Paraméterek!$J$256:$T$257,2)))),IF($D$4="Forint",0,2))&gt;$N407-$P407-$Q407+$S407-$T407-IF($D$4="Forint",Paraméterek!$C$216,Paraméterek!$D$216),0,ROUNDUP(IF(ISBLANK($V407),$U407*0,$V407)/IF($D$2="Egyszeri",VLOOKUP($B407+IF($C407=12,1,0),Paraméterek!$V$257:$W$262,2),IF($B407=1,1,VLOOKUP($B407+IF($C407=12,1,0),Paraméterek!$I$258:$T$278,HLOOKUP($M$11+1,Paraméterek!$J$256:$T$257,2)))),IF($D$4="Forint",0,2)))</f>
        <v>#N/A</v>
      </c>
      <c r="X407" s="13" t="e">
        <f ca="1">ROUNDDOWN($W407*IF($D$2="Egyszeri",VLOOKUP($B407+IF($C407=12,1,0),Paraméterek!$V$257:$W$262,2),VLOOKUP($B407+IF($C407=12,1,0),Paraméterek!$I$258:$T$278,HLOOKUP($M$11+1,Paraméterek!$I$256:$T$257,2))),IF($D$4="Forint",0,2))</f>
        <v>#N/A</v>
      </c>
      <c r="Z407" s="32">
        <v>388</v>
      </c>
      <c r="AA407" s="32">
        <v>33</v>
      </c>
      <c r="AB407" s="32">
        <v>4</v>
      </c>
      <c r="AC407" s="13">
        <f t="shared" ca="1" si="148"/>
        <v>0</v>
      </c>
      <c r="AD407" s="33"/>
      <c r="AE407" s="13">
        <f t="shared" ca="1" si="140"/>
        <v>0</v>
      </c>
      <c r="AF407" s="13">
        <f ca="1">ROUNDUP(($AC407+$AE407)*VLOOKUP($AA407,Paraméterek!$P$38:$Q$38,2)/12*IF($D408="Nem",IF($M$13=0,1,$M$13),1),IF($D$4="Forint",0,2))</f>
        <v>0</v>
      </c>
      <c r="AG407" s="13">
        <f ca="1">IF($D$2="Egyszeri",IF($D$7&gt;=IF($D$4="Forint",Paraméterek!$P$223,Paraméterek!$P$224),$D$7-IF($D$4="Forint",Paraméterek!$P$223,Paraméterek!$P$224),0),MIN(IF($AB407=12,AVERAGEIF($E$20:$E407,"&gt;0",$E$20:$E407)*12,0),SUM($E$20:$E$31)))</f>
        <v>0</v>
      </c>
      <c r="AH407" s="13">
        <f>IF($AA407=10,$AG407*IF($AB407=12,IF($AG407&lt;IF($D$4="Forint",Paraméterek!$L$223,Paraméterek!$L$224),0,VLOOKUP($AA407,Paraméterek!$K$226:$M$228,IF($AG407&lt;IF($D$4="Forint",Paraméterek!$M$223,Paraméterek!$M$224),2,3))),0),0)</f>
        <v>0</v>
      </c>
      <c r="AI407" s="13">
        <f ca="1">IF(AND($AA407=$M$11+1,$AB407=$M$12+1),SUMIF($AA$20:$AA$1027,$AA407,$AG$20:$AG$1027)*IF(SUMIF($AA$20:$AA$1027,$AA407,$AG$20:$AG$1027)&lt;IF($D$4="Forint",Paraméterek!$L$223,Paraméterek!$L$224),0,VLOOKUP($AA407,Paraméterek!$K$230:$M$250,IF(SUMIF($AA$20:$AA$1027,$AA407,$AG$20:$AG$1027)&lt;IF($D$4="Forint",Paraméterek!$M$223,Paraméterek!$M$224),2,3))),0)</f>
        <v>0</v>
      </c>
      <c r="AJ407" s="13">
        <f ca="1">IF(AND($AA407&gt;=5,MOD($AA407,5)=0),IF($AB407=12,VLOOKUP($AA407,Paraméterek!$O$225:$P$240,2),0),IF(OR($AA407=3,$AA407=4),IF($AB407=12,VLOOKUP($AA407,Paraméterek!$O$225:$P$240,2,0),0),0))*$AG407</f>
        <v>0</v>
      </c>
      <c r="AK407" s="13">
        <f t="shared" ca="1" si="141"/>
        <v>0</v>
      </c>
      <c r="AL407" s="13">
        <f t="shared" ca="1" si="149"/>
        <v>0</v>
      </c>
      <c r="AM407" s="13">
        <f t="shared" ca="1" si="150"/>
        <v>0</v>
      </c>
      <c r="AO407" s="32">
        <v>388</v>
      </c>
      <c r="AP407" s="32">
        <v>33</v>
      </c>
      <c r="AQ407" s="32">
        <v>4</v>
      </c>
      <c r="AR407" s="13"/>
      <c r="AS407" s="32"/>
      <c r="AT407" s="13">
        <f t="shared" ca="1" si="151"/>
        <v>0</v>
      </c>
      <c r="AU407" s="33"/>
      <c r="AV407" s="13">
        <f t="shared" ca="1" si="142"/>
        <v>0</v>
      </c>
      <c r="AW407" s="13">
        <f ca="1">ROUNDUP(($AT407+$AV407)*VLOOKUP($AP407,Paraméterek!$P$38:$Q$38,2)/12*IF($D408="Nem",IF($M$13=0,1,$M$13),1),IF($D$4="Forint",0,2))</f>
        <v>0</v>
      </c>
      <c r="AX407" s="13"/>
      <c r="AY407" s="13"/>
      <c r="AZ407" s="13">
        <f>ROUNDUP(IF(SUM($AX407:$AY407)=0,0,IF(IF(ISBLANK($AY407),$AX407,$AY407)*Paraméterek!$J$112&lt;IF($D$4="Forint",Paraméterek!$J$113,Paraméterek!$K$113),IF($D$4="Forint",Paraméterek!$J$113,Paraméterek!$K$113),IF(IF(ISBLANK($AY407),$AX407,$AY407)*Paraméterek!$J$112&gt;IF($D$4="Forint",Paraméterek!$J$114,Paraméterek!$K$114),IF($D$4="Forint",Paraméterek!$J$114,Paraméterek!$K$114),IF(ISBLANK($AY407),$AX407,$AY407)*Paraméterek!$J$112))),IF($D$4="Forint",0,2))</f>
        <v>0</v>
      </c>
      <c r="BA407" s="13">
        <f ca="1">$AT407+$AV407-$AW407-IF(ROUNDDOWN(IF(ISBLANK($AY407),$AX407,$AY407),IF($D$4="Forint",0,2))&gt;$AT407+$AV407-$AW407-IF($D$4="Forint",Paraméterek!$J$114,Paraméterek!$K$114),0,ROUNDDOWN(IF(ISBLANK($AY407),$AX407,$AY407),IF($D$4="Forint",0,2))-$AZ407)</f>
        <v>0</v>
      </c>
      <c r="BB407" s="13">
        <f t="shared" ca="1" si="143"/>
        <v>0</v>
      </c>
      <c r="BD407" s="32">
        <v>388</v>
      </c>
      <c r="BE407" s="32">
        <v>33</v>
      </c>
      <c r="BF407" s="32">
        <v>4</v>
      </c>
      <c r="BG407" s="34">
        <f t="shared" ca="1" si="152"/>
        <v>2051</v>
      </c>
      <c r="BH407" s="32" t="str">
        <f ca="1">IF(MOD(MONTH($D$14)+$BD407-1,12)=Paraméterek!$C$288,"Igen","")</f>
        <v/>
      </c>
      <c r="BI407" s="13">
        <f ca="1">IF($BH407="Igen",MIN(ROUNDDOWN((SUMIF($BG$20:$BG$1027,$BG407-1,$K$20:$K$1027)-SUMIF($BG$20:$BG$1027,$BG407-1,$I$20:$I$1027))*Paraméterek!$C$289,IF($D$4="Forint",0,2)),IF($D$4="Forint",Paraméterek!$C$285,Paraméterek!$D$285)),0)</f>
        <v>0</v>
      </c>
      <c r="BJ407" s="13">
        <f t="shared" ca="1" si="144"/>
        <v>0</v>
      </c>
      <c r="BK407" s="13">
        <f t="shared" ca="1" si="153"/>
        <v>0</v>
      </c>
      <c r="BL407" s="33"/>
      <c r="BM407" s="13">
        <f t="shared" ca="1" si="145"/>
        <v>0</v>
      </c>
      <c r="BN407" s="13">
        <f ca="1">ROUNDUP(($BK407+$BM407)*VLOOKUP($BE407,Paraméterek!$P$38:$Q$38,2)/12*IF($D408="Nem",IF($M$13=0,1,$M$13),1),IF($D$4="Forint",0,2))</f>
        <v>0</v>
      </c>
      <c r="BO407" s="13">
        <f t="shared" ca="1" si="146"/>
        <v>0</v>
      </c>
      <c r="BP407" s="13">
        <f ca="1">IF($D408="Nem",$BO407,$BO407-ROUNDUP(SUM($BI$20:$BI407)*120%,IF($D$4="Forint",0,2)))</f>
        <v>0</v>
      </c>
    </row>
    <row r="408" spans="1:68" x14ac:dyDescent="0.2">
      <c r="A408" s="32">
        <v>389</v>
      </c>
      <c r="B408" s="32">
        <v>33</v>
      </c>
      <c r="C408" s="32">
        <v>5</v>
      </c>
      <c r="D408" s="32" t="str">
        <f t="shared" ca="1" si="132"/>
        <v>Nem</v>
      </c>
      <c r="E408" s="13">
        <f t="shared" ca="1" si="133"/>
        <v>0</v>
      </c>
      <c r="F408" s="13"/>
      <c r="G408" s="13"/>
      <c r="H408" s="13"/>
      <c r="I408" s="13">
        <f t="shared" ca="1" si="134"/>
        <v>0</v>
      </c>
      <c r="J408" s="13">
        <f t="shared" ca="1" si="135"/>
        <v>0</v>
      </c>
      <c r="K408" s="13">
        <f t="shared" ca="1" si="136"/>
        <v>0</v>
      </c>
      <c r="L408" s="13" t="e">
        <f ca="1">ROUNDUP(IF($D$2="Egyszeri",$E408,IF($D$2="Havi",SUM($E$20:$E$31),IF(MOD($C408,$M$1)-1=0,SUM($E$20:$E$31),0))/12*$M$1)*VLOOKUP($B408,Paraméterek!$I$28:$P$31,IF($D$2="Egyszeri",8,HLOOKUP(ROUNDUP($M$11+$M$13,0),Paraméterek!$J$26:$O$27,2))),IF($D$4="Forint",0,2))</f>
        <v>#N/A</v>
      </c>
      <c r="M408" s="13">
        <f t="shared" ca="1" si="137"/>
        <v>0</v>
      </c>
      <c r="N408" s="13">
        <f t="shared" ca="1" si="147"/>
        <v>0</v>
      </c>
      <c r="O408" s="13">
        <f ca="1">IF($D408="Igen",IF($W407&gt;=IF($D$4="Forint",Paraméterek!$J$121,Paraméterek!$K$121),0,IF($D$4="Forint",Paraméterek!$J$121,Paraméterek!$K$121)-$W407),0)</f>
        <v>0</v>
      </c>
      <c r="P408" s="13" t="e">
        <f ca="1">ROUNDUP($O408*VLOOKUP($M$4+$B408-1,Paraméterek!$H$58:$I$105,2,0)/Paraméterek!$I$56,IF($D$4="Forint",0,2))</f>
        <v>#N/A</v>
      </c>
      <c r="Q408" s="13">
        <f t="shared" ca="1" si="138"/>
        <v>0</v>
      </c>
      <c r="R408" s="33"/>
      <c r="S408" s="13" t="e">
        <f t="shared" ca="1" si="139"/>
        <v>#N/A</v>
      </c>
      <c r="T408" s="13" t="e">
        <f ca="1">ROUNDUP(($N408-$P408-$Q408+$S408)*VLOOKUP($B408,Paraméterek!$I$38:$K$39,IF($D$2="Egyszeri",3,2))/12*IF($D409="Nem",IF($M$13=0,1,$M$13),1),IF($D$4="Forint",0,2))</f>
        <v>#N/A</v>
      </c>
      <c r="U408" s="13"/>
      <c r="V408" s="13"/>
      <c r="W408" s="13" t="e">
        <f ca="1">$N408-$P408-$Q408+$S408-$T408-IF(ROUNDUP(IF(ISBLANK($V408),$U408*0,$V408)/IF($D$2="Egyszeri",VLOOKUP($B408+IF($C408=12,1,0),Paraméterek!$V$257:$W$262,2),IF($B408=1,1,VLOOKUP($B408+IF($C408=12,1,0),Paraméterek!$I$258:$T$278,HLOOKUP($M$11+1,Paraméterek!$J$256:$T$257,2)))),IF($D$4="Forint",0,2))&gt;$N408-$P408-$Q408+$S408-$T408-IF($D$4="Forint",Paraméterek!$C$216,Paraméterek!$D$216),0,ROUNDUP(IF(ISBLANK($V408),$U408*0,$V408)/IF($D$2="Egyszeri",VLOOKUP($B408+IF($C408=12,1,0),Paraméterek!$V$257:$W$262,2),IF($B408=1,1,VLOOKUP($B408+IF($C408=12,1,0),Paraméterek!$I$258:$T$278,HLOOKUP($M$11+1,Paraméterek!$J$256:$T$257,2)))),IF($D$4="Forint",0,2)))</f>
        <v>#N/A</v>
      </c>
      <c r="X408" s="13" t="e">
        <f ca="1">ROUNDDOWN($W408*IF($D$2="Egyszeri",VLOOKUP($B408+IF($C408=12,1,0),Paraméterek!$V$257:$W$262,2),VLOOKUP($B408+IF($C408=12,1,0),Paraméterek!$I$258:$T$278,HLOOKUP($M$11+1,Paraméterek!$I$256:$T$257,2))),IF($D$4="Forint",0,2))</f>
        <v>#N/A</v>
      </c>
      <c r="Z408" s="32">
        <v>389</v>
      </c>
      <c r="AA408" s="32">
        <v>33</v>
      </c>
      <c r="AB408" s="32">
        <v>5</v>
      </c>
      <c r="AC408" s="13">
        <f t="shared" ca="1" si="148"/>
        <v>0</v>
      </c>
      <c r="AD408" s="33"/>
      <c r="AE408" s="13">
        <f t="shared" ca="1" si="140"/>
        <v>0</v>
      </c>
      <c r="AF408" s="13">
        <f ca="1">ROUNDUP(($AC408+$AE408)*VLOOKUP($AA408,Paraméterek!$P$38:$Q$38,2)/12*IF($D409="Nem",IF($M$13=0,1,$M$13),1),IF($D$4="Forint",0,2))</f>
        <v>0</v>
      </c>
      <c r="AG408" s="13">
        <f ca="1">IF($D$2="Egyszeri",IF($D$7&gt;=IF($D$4="Forint",Paraméterek!$P$223,Paraméterek!$P$224),$D$7-IF($D$4="Forint",Paraméterek!$P$223,Paraméterek!$P$224),0),MIN(IF($AB408=12,AVERAGEIF($E$20:$E408,"&gt;0",$E$20:$E408)*12,0),SUM($E$20:$E$31)))</f>
        <v>0</v>
      </c>
      <c r="AH408" s="13">
        <f>IF($AA408=10,$AG408*IF($AB408=12,IF($AG408&lt;IF($D$4="Forint",Paraméterek!$L$223,Paraméterek!$L$224),0,VLOOKUP($AA408,Paraméterek!$K$226:$M$228,IF($AG408&lt;IF($D$4="Forint",Paraméterek!$M$223,Paraméterek!$M$224),2,3))),0),0)</f>
        <v>0</v>
      </c>
      <c r="AI408" s="13">
        <f ca="1">IF(AND($AA408=$M$11+1,$AB408=$M$12+1),SUMIF($AA$20:$AA$1027,$AA408,$AG$20:$AG$1027)*IF(SUMIF($AA$20:$AA$1027,$AA408,$AG$20:$AG$1027)&lt;IF($D$4="Forint",Paraméterek!$L$223,Paraméterek!$L$224),0,VLOOKUP($AA408,Paraméterek!$K$230:$M$250,IF(SUMIF($AA$20:$AA$1027,$AA408,$AG$20:$AG$1027)&lt;IF($D$4="Forint",Paraméterek!$M$223,Paraméterek!$M$224),2,3))),0)</f>
        <v>0</v>
      </c>
      <c r="AJ408" s="13">
        <f ca="1">IF(AND($AA408&gt;=5,MOD($AA408,5)=0),IF($AB408=12,VLOOKUP($AA408,Paraméterek!$O$225:$P$240,2),0),IF(OR($AA408=3,$AA408=4),IF($AB408=12,VLOOKUP($AA408,Paraméterek!$O$225:$P$240,2,0),0),0))*$AG408</f>
        <v>0</v>
      </c>
      <c r="AK408" s="13">
        <f t="shared" ca="1" si="141"/>
        <v>0</v>
      </c>
      <c r="AL408" s="13">
        <f t="shared" ca="1" si="149"/>
        <v>0</v>
      </c>
      <c r="AM408" s="13">
        <f t="shared" ca="1" si="150"/>
        <v>0</v>
      </c>
      <c r="AO408" s="32">
        <v>389</v>
      </c>
      <c r="AP408" s="32">
        <v>33</v>
      </c>
      <c r="AQ408" s="32">
        <v>5</v>
      </c>
      <c r="AR408" s="13"/>
      <c r="AS408" s="32"/>
      <c r="AT408" s="13">
        <f t="shared" ca="1" si="151"/>
        <v>0</v>
      </c>
      <c r="AU408" s="33"/>
      <c r="AV408" s="13">
        <f t="shared" ca="1" si="142"/>
        <v>0</v>
      </c>
      <c r="AW408" s="13">
        <f ca="1">ROUNDUP(($AT408+$AV408)*VLOOKUP($AP408,Paraméterek!$P$38:$Q$38,2)/12*IF($D409="Nem",IF($M$13=0,1,$M$13),1),IF($D$4="Forint",0,2))</f>
        <v>0</v>
      </c>
      <c r="AX408" s="13"/>
      <c r="AY408" s="13"/>
      <c r="AZ408" s="13">
        <f>ROUNDUP(IF(SUM($AX408:$AY408)=0,0,IF(IF(ISBLANK($AY408),$AX408,$AY408)*Paraméterek!$J$112&lt;IF($D$4="Forint",Paraméterek!$J$113,Paraméterek!$K$113),IF($D$4="Forint",Paraméterek!$J$113,Paraméterek!$K$113),IF(IF(ISBLANK($AY408),$AX408,$AY408)*Paraméterek!$J$112&gt;IF($D$4="Forint",Paraméterek!$J$114,Paraméterek!$K$114),IF($D$4="Forint",Paraméterek!$J$114,Paraméterek!$K$114),IF(ISBLANK($AY408),$AX408,$AY408)*Paraméterek!$J$112))),IF($D$4="Forint",0,2))</f>
        <v>0</v>
      </c>
      <c r="BA408" s="13">
        <f ca="1">$AT408+$AV408-$AW408-IF(ROUNDDOWN(IF(ISBLANK($AY408),$AX408,$AY408),IF($D$4="Forint",0,2))&gt;$AT408+$AV408-$AW408-IF($D$4="Forint",Paraméterek!$J$114,Paraméterek!$K$114),0,ROUNDDOWN(IF(ISBLANK($AY408),$AX408,$AY408),IF($D$4="Forint",0,2))-$AZ408)</f>
        <v>0</v>
      </c>
      <c r="BB408" s="13">
        <f t="shared" ca="1" si="143"/>
        <v>0</v>
      </c>
      <c r="BD408" s="32">
        <v>389</v>
      </c>
      <c r="BE408" s="32">
        <v>33</v>
      </c>
      <c r="BF408" s="32">
        <v>5</v>
      </c>
      <c r="BG408" s="34">
        <f t="shared" ca="1" si="152"/>
        <v>2051</v>
      </c>
      <c r="BH408" s="32" t="str">
        <f ca="1">IF(MOD(MONTH($D$14)+$BD408-1,12)=Paraméterek!$C$288,"Igen","")</f>
        <v/>
      </c>
      <c r="BI408" s="13">
        <f ca="1">IF($BH408="Igen",MIN(ROUNDDOWN((SUMIF($BG$20:$BG$1027,$BG408-1,$K$20:$K$1027)-SUMIF($BG$20:$BG$1027,$BG408-1,$I$20:$I$1027))*Paraméterek!$C$289,IF($D$4="Forint",0,2)),IF($D$4="Forint",Paraméterek!$C$285,Paraméterek!$D$285)),0)</f>
        <v>0</v>
      </c>
      <c r="BJ408" s="13">
        <f t="shared" ca="1" si="144"/>
        <v>0</v>
      </c>
      <c r="BK408" s="13">
        <f t="shared" ca="1" si="153"/>
        <v>0</v>
      </c>
      <c r="BL408" s="33"/>
      <c r="BM408" s="13">
        <f t="shared" ca="1" si="145"/>
        <v>0</v>
      </c>
      <c r="BN408" s="13">
        <f ca="1">ROUNDUP(($BK408+$BM408)*VLOOKUP($BE408,Paraméterek!$P$38:$Q$38,2)/12*IF($D409="Nem",IF($M$13=0,1,$M$13),1),IF($D$4="Forint",0,2))</f>
        <v>0</v>
      </c>
      <c r="BO408" s="13">
        <f t="shared" ca="1" si="146"/>
        <v>0</v>
      </c>
      <c r="BP408" s="13">
        <f ca="1">IF($D409="Nem",$BO408,$BO408-ROUNDUP(SUM($BI$20:$BI408)*120%,IF($D$4="Forint",0,2)))</f>
        <v>0</v>
      </c>
    </row>
    <row r="409" spans="1:68" x14ac:dyDescent="0.2">
      <c r="A409" s="32">
        <v>390</v>
      </c>
      <c r="B409" s="32">
        <v>33</v>
      </c>
      <c r="C409" s="32">
        <v>6</v>
      </c>
      <c r="D409" s="32" t="str">
        <f t="shared" ca="1" si="132"/>
        <v>Nem</v>
      </c>
      <c r="E409" s="13">
        <f t="shared" ca="1" si="133"/>
        <v>0</v>
      </c>
      <c r="F409" s="13"/>
      <c r="G409" s="13"/>
      <c r="H409" s="13"/>
      <c r="I409" s="13">
        <f t="shared" ca="1" si="134"/>
        <v>0</v>
      </c>
      <c r="J409" s="13">
        <f t="shared" ca="1" si="135"/>
        <v>0</v>
      </c>
      <c r="K409" s="13">
        <f t="shared" ca="1" si="136"/>
        <v>0</v>
      </c>
      <c r="L409" s="13" t="e">
        <f ca="1">ROUNDUP(IF($D$2="Egyszeri",$E409,IF($D$2="Havi",SUM($E$20:$E$31),IF(MOD($C409,$M$1)-1=0,SUM($E$20:$E$31),0))/12*$M$1)*VLOOKUP($B409,Paraméterek!$I$28:$P$31,IF($D$2="Egyszeri",8,HLOOKUP(ROUNDUP($M$11+$M$13,0),Paraméterek!$J$26:$O$27,2))),IF($D$4="Forint",0,2))</f>
        <v>#N/A</v>
      </c>
      <c r="M409" s="13">
        <f t="shared" ca="1" si="137"/>
        <v>0</v>
      </c>
      <c r="N409" s="13">
        <f t="shared" ca="1" si="147"/>
        <v>0</v>
      </c>
      <c r="O409" s="13">
        <f ca="1">IF($D409="Igen",IF($W408&gt;=IF($D$4="Forint",Paraméterek!$J$121,Paraméterek!$K$121),0,IF($D$4="Forint",Paraméterek!$J$121,Paraméterek!$K$121)-$W408),0)</f>
        <v>0</v>
      </c>
      <c r="P409" s="13" t="e">
        <f ca="1">ROUNDUP($O409*VLOOKUP($M$4+$B409-1,Paraméterek!$H$58:$I$105,2,0)/Paraméterek!$I$56,IF($D$4="Forint",0,2))</f>
        <v>#N/A</v>
      </c>
      <c r="Q409" s="13">
        <f t="shared" ca="1" si="138"/>
        <v>0</v>
      </c>
      <c r="R409" s="33"/>
      <c r="S409" s="13" t="e">
        <f t="shared" ca="1" si="139"/>
        <v>#N/A</v>
      </c>
      <c r="T409" s="13" t="e">
        <f ca="1">ROUNDUP(($N409-$P409-$Q409+$S409)*VLOOKUP($B409,Paraméterek!$I$38:$K$39,IF($D$2="Egyszeri",3,2))/12*IF($D410="Nem",IF($M$13=0,1,$M$13),1),IF($D$4="Forint",0,2))</f>
        <v>#N/A</v>
      </c>
      <c r="U409" s="13"/>
      <c r="V409" s="13"/>
      <c r="W409" s="13" t="e">
        <f ca="1">$N409-$P409-$Q409+$S409-$T409-IF(ROUNDUP(IF(ISBLANK($V409),$U409*0,$V409)/IF($D$2="Egyszeri",VLOOKUP($B409+IF($C409=12,1,0),Paraméterek!$V$257:$W$262,2),IF($B409=1,1,VLOOKUP($B409+IF($C409=12,1,0),Paraméterek!$I$258:$T$278,HLOOKUP($M$11+1,Paraméterek!$J$256:$T$257,2)))),IF($D$4="Forint",0,2))&gt;$N409-$P409-$Q409+$S409-$T409-IF($D$4="Forint",Paraméterek!$C$216,Paraméterek!$D$216),0,ROUNDUP(IF(ISBLANK($V409),$U409*0,$V409)/IF($D$2="Egyszeri",VLOOKUP($B409+IF($C409=12,1,0),Paraméterek!$V$257:$W$262,2),IF($B409=1,1,VLOOKUP($B409+IF($C409=12,1,0),Paraméterek!$I$258:$T$278,HLOOKUP($M$11+1,Paraméterek!$J$256:$T$257,2)))),IF($D$4="Forint",0,2)))</f>
        <v>#N/A</v>
      </c>
      <c r="X409" s="13" t="e">
        <f ca="1">ROUNDDOWN($W409*IF($D$2="Egyszeri",VLOOKUP($B409+IF($C409=12,1,0),Paraméterek!$V$257:$W$262,2),VLOOKUP($B409+IF($C409=12,1,0),Paraméterek!$I$258:$T$278,HLOOKUP($M$11+1,Paraméterek!$I$256:$T$257,2))),IF($D$4="Forint",0,2))</f>
        <v>#N/A</v>
      </c>
      <c r="Z409" s="32">
        <v>390</v>
      </c>
      <c r="AA409" s="32">
        <v>33</v>
      </c>
      <c r="AB409" s="32">
        <v>6</v>
      </c>
      <c r="AC409" s="13">
        <f t="shared" ca="1" si="148"/>
        <v>0</v>
      </c>
      <c r="AD409" s="33"/>
      <c r="AE409" s="13">
        <f t="shared" ca="1" si="140"/>
        <v>0</v>
      </c>
      <c r="AF409" s="13">
        <f ca="1">ROUNDUP(($AC409+$AE409)*VLOOKUP($AA409,Paraméterek!$P$38:$Q$38,2)/12*IF($D410="Nem",IF($M$13=0,1,$M$13),1),IF($D$4="Forint",0,2))</f>
        <v>0</v>
      </c>
      <c r="AG409" s="13">
        <f ca="1">IF($D$2="Egyszeri",IF($D$7&gt;=IF($D$4="Forint",Paraméterek!$P$223,Paraméterek!$P$224),$D$7-IF($D$4="Forint",Paraméterek!$P$223,Paraméterek!$P$224),0),MIN(IF($AB409=12,AVERAGEIF($E$20:$E409,"&gt;0",$E$20:$E409)*12,0),SUM($E$20:$E$31)))</f>
        <v>0</v>
      </c>
      <c r="AH409" s="13">
        <f>IF($AA409=10,$AG409*IF($AB409=12,IF($AG409&lt;IF($D$4="Forint",Paraméterek!$L$223,Paraméterek!$L$224),0,VLOOKUP($AA409,Paraméterek!$K$226:$M$228,IF($AG409&lt;IF($D$4="Forint",Paraméterek!$M$223,Paraméterek!$M$224),2,3))),0),0)</f>
        <v>0</v>
      </c>
      <c r="AI409" s="13">
        <f ca="1">IF(AND($AA409=$M$11+1,$AB409=$M$12+1),SUMIF($AA$20:$AA$1027,$AA409,$AG$20:$AG$1027)*IF(SUMIF($AA$20:$AA$1027,$AA409,$AG$20:$AG$1027)&lt;IF($D$4="Forint",Paraméterek!$L$223,Paraméterek!$L$224),0,VLOOKUP($AA409,Paraméterek!$K$230:$M$250,IF(SUMIF($AA$20:$AA$1027,$AA409,$AG$20:$AG$1027)&lt;IF($D$4="Forint",Paraméterek!$M$223,Paraméterek!$M$224),2,3))),0)</f>
        <v>0</v>
      </c>
      <c r="AJ409" s="13">
        <f ca="1">IF(AND($AA409&gt;=5,MOD($AA409,5)=0),IF($AB409=12,VLOOKUP($AA409,Paraméterek!$O$225:$P$240,2),0),IF(OR($AA409=3,$AA409=4),IF($AB409=12,VLOOKUP($AA409,Paraméterek!$O$225:$P$240,2,0),0),0))*$AG409</f>
        <v>0</v>
      </c>
      <c r="AK409" s="13">
        <f t="shared" ca="1" si="141"/>
        <v>0</v>
      </c>
      <c r="AL409" s="13">
        <f t="shared" ca="1" si="149"/>
        <v>0</v>
      </c>
      <c r="AM409" s="13">
        <f t="shared" ca="1" si="150"/>
        <v>0</v>
      </c>
      <c r="AO409" s="32">
        <v>390</v>
      </c>
      <c r="AP409" s="32">
        <v>33</v>
      </c>
      <c r="AQ409" s="32">
        <v>6</v>
      </c>
      <c r="AR409" s="13"/>
      <c r="AS409" s="32"/>
      <c r="AT409" s="13">
        <f t="shared" ca="1" si="151"/>
        <v>0</v>
      </c>
      <c r="AU409" s="33"/>
      <c r="AV409" s="13">
        <f t="shared" ca="1" si="142"/>
        <v>0</v>
      </c>
      <c r="AW409" s="13">
        <f ca="1">ROUNDUP(($AT409+$AV409)*VLOOKUP($AP409,Paraméterek!$P$38:$Q$38,2)/12*IF($D410="Nem",IF($M$13=0,1,$M$13),1),IF($D$4="Forint",0,2))</f>
        <v>0</v>
      </c>
      <c r="AX409" s="13"/>
      <c r="AY409" s="13"/>
      <c r="AZ409" s="13">
        <f>ROUNDUP(IF(SUM($AX409:$AY409)=0,0,IF(IF(ISBLANK($AY409),$AX409,$AY409)*Paraméterek!$J$112&lt;IF($D$4="Forint",Paraméterek!$J$113,Paraméterek!$K$113),IF($D$4="Forint",Paraméterek!$J$113,Paraméterek!$K$113),IF(IF(ISBLANK($AY409),$AX409,$AY409)*Paraméterek!$J$112&gt;IF($D$4="Forint",Paraméterek!$J$114,Paraméterek!$K$114),IF($D$4="Forint",Paraméterek!$J$114,Paraméterek!$K$114),IF(ISBLANK($AY409),$AX409,$AY409)*Paraméterek!$J$112))),IF($D$4="Forint",0,2))</f>
        <v>0</v>
      </c>
      <c r="BA409" s="13">
        <f ca="1">$AT409+$AV409-$AW409-IF(ROUNDDOWN(IF(ISBLANK($AY409),$AX409,$AY409),IF($D$4="Forint",0,2))&gt;$AT409+$AV409-$AW409-IF($D$4="Forint",Paraméterek!$J$114,Paraméterek!$K$114),0,ROUNDDOWN(IF(ISBLANK($AY409),$AX409,$AY409),IF($D$4="Forint",0,2))-$AZ409)</f>
        <v>0</v>
      </c>
      <c r="BB409" s="13">
        <f t="shared" ca="1" si="143"/>
        <v>0</v>
      </c>
      <c r="BD409" s="32">
        <v>390</v>
      </c>
      <c r="BE409" s="32">
        <v>33</v>
      </c>
      <c r="BF409" s="32">
        <v>6</v>
      </c>
      <c r="BG409" s="34">
        <f t="shared" ca="1" si="152"/>
        <v>2051</v>
      </c>
      <c r="BH409" s="32" t="str">
        <f ca="1">IF(MOD(MONTH($D$14)+$BD409-1,12)=Paraméterek!$C$288,"Igen","")</f>
        <v/>
      </c>
      <c r="BI409" s="13">
        <f ca="1">IF($BH409="Igen",MIN(ROUNDDOWN((SUMIF($BG$20:$BG$1027,$BG409-1,$K$20:$K$1027)-SUMIF($BG$20:$BG$1027,$BG409-1,$I$20:$I$1027))*Paraméterek!$C$289,IF($D$4="Forint",0,2)),IF($D$4="Forint",Paraméterek!$C$285,Paraméterek!$D$285)),0)</f>
        <v>0</v>
      </c>
      <c r="BJ409" s="13">
        <f t="shared" ca="1" si="144"/>
        <v>0</v>
      </c>
      <c r="BK409" s="13">
        <f t="shared" ca="1" si="153"/>
        <v>0</v>
      </c>
      <c r="BL409" s="33"/>
      <c r="BM409" s="13">
        <f t="shared" ca="1" si="145"/>
        <v>0</v>
      </c>
      <c r="BN409" s="13">
        <f ca="1">ROUNDUP(($BK409+$BM409)*VLOOKUP($BE409,Paraméterek!$P$38:$Q$38,2)/12*IF($D410="Nem",IF($M$13=0,1,$M$13),1),IF($D$4="Forint",0,2))</f>
        <v>0</v>
      </c>
      <c r="BO409" s="13">
        <f t="shared" ca="1" si="146"/>
        <v>0</v>
      </c>
      <c r="BP409" s="13">
        <f ca="1">IF($D410="Nem",$BO409,$BO409-ROUNDUP(SUM($BI$20:$BI409)*120%,IF($D$4="Forint",0,2)))</f>
        <v>0</v>
      </c>
    </row>
    <row r="410" spans="1:68" x14ac:dyDescent="0.2">
      <c r="A410" s="32">
        <v>391</v>
      </c>
      <c r="B410" s="32">
        <v>33</v>
      </c>
      <c r="C410" s="32">
        <v>7</v>
      </c>
      <c r="D410" s="32" t="str">
        <f t="shared" ca="1" si="132"/>
        <v>Nem</v>
      </c>
      <c r="E410" s="13">
        <f t="shared" ca="1" si="133"/>
        <v>0</v>
      </c>
      <c r="F410" s="13"/>
      <c r="G410" s="13"/>
      <c r="H410" s="13"/>
      <c r="I410" s="13">
        <f t="shared" ca="1" si="134"/>
        <v>0</v>
      </c>
      <c r="J410" s="13">
        <f t="shared" ca="1" si="135"/>
        <v>0</v>
      </c>
      <c r="K410" s="13">
        <f t="shared" ca="1" si="136"/>
        <v>0</v>
      </c>
      <c r="L410" s="13" t="e">
        <f ca="1">ROUNDUP(IF($D$2="Egyszeri",$E410,IF($D$2="Havi",SUM($E$20:$E$31),IF(MOD($C410,$M$1)-1=0,SUM($E$20:$E$31),0))/12*$M$1)*VLOOKUP($B410,Paraméterek!$I$28:$P$31,IF($D$2="Egyszeri",8,HLOOKUP(ROUNDUP($M$11+$M$13,0),Paraméterek!$J$26:$O$27,2))),IF($D$4="Forint",0,2))</f>
        <v>#N/A</v>
      </c>
      <c r="M410" s="13">
        <f t="shared" ca="1" si="137"/>
        <v>0</v>
      </c>
      <c r="N410" s="13">
        <f t="shared" ca="1" si="147"/>
        <v>0</v>
      </c>
      <c r="O410" s="13">
        <f ca="1">IF($D410="Igen",IF($W409&gt;=IF($D$4="Forint",Paraméterek!$J$121,Paraméterek!$K$121),0,IF($D$4="Forint",Paraméterek!$J$121,Paraméterek!$K$121)-$W409),0)</f>
        <v>0</v>
      </c>
      <c r="P410" s="13" t="e">
        <f ca="1">ROUNDUP($O410*VLOOKUP($M$4+$B410-1,Paraméterek!$H$58:$I$105,2,0)/Paraméterek!$I$56,IF($D$4="Forint",0,2))</f>
        <v>#N/A</v>
      </c>
      <c r="Q410" s="13">
        <f t="shared" ca="1" si="138"/>
        <v>0</v>
      </c>
      <c r="R410" s="33"/>
      <c r="S410" s="13" t="e">
        <f t="shared" ca="1" si="139"/>
        <v>#N/A</v>
      </c>
      <c r="T410" s="13" t="e">
        <f ca="1">ROUNDUP(($N410-$P410-$Q410+$S410)*VLOOKUP($B410,Paraméterek!$I$38:$K$39,IF($D$2="Egyszeri",3,2))/12*IF($D411="Nem",IF($M$13=0,1,$M$13),1),IF($D$4="Forint",0,2))</f>
        <v>#N/A</v>
      </c>
      <c r="U410" s="13"/>
      <c r="V410" s="13"/>
      <c r="W410" s="13" t="e">
        <f ca="1">$N410-$P410-$Q410+$S410-$T410-IF(ROUNDUP(IF(ISBLANK($V410),$U410*0,$V410)/IF($D$2="Egyszeri",VLOOKUP($B410+IF($C410=12,1,0),Paraméterek!$V$257:$W$262,2),IF($B410=1,1,VLOOKUP($B410+IF($C410=12,1,0),Paraméterek!$I$258:$T$278,HLOOKUP($M$11+1,Paraméterek!$J$256:$T$257,2)))),IF($D$4="Forint",0,2))&gt;$N410-$P410-$Q410+$S410-$T410-IF($D$4="Forint",Paraméterek!$C$216,Paraméterek!$D$216),0,ROUNDUP(IF(ISBLANK($V410),$U410*0,$V410)/IF($D$2="Egyszeri",VLOOKUP($B410+IF($C410=12,1,0),Paraméterek!$V$257:$W$262,2),IF($B410=1,1,VLOOKUP($B410+IF($C410=12,1,0),Paraméterek!$I$258:$T$278,HLOOKUP($M$11+1,Paraméterek!$J$256:$T$257,2)))),IF($D$4="Forint",0,2)))</f>
        <v>#N/A</v>
      </c>
      <c r="X410" s="13" t="e">
        <f ca="1">ROUNDDOWN($W410*IF($D$2="Egyszeri",VLOOKUP($B410+IF($C410=12,1,0),Paraméterek!$V$257:$W$262,2),VLOOKUP($B410+IF($C410=12,1,0),Paraméterek!$I$258:$T$278,HLOOKUP($M$11+1,Paraméterek!$I$256:$T$257,2))),IF($D$4="Forint",0,2))</f>
        <v>#N/A</v>
      </c>
      <c r="Z410" s="32">
        <v>391</v>
      </c>
      <c r="AA410" s="32">
        <v>33</v>
      </c>
      <c r="AB410" s="32">
        <v>7</v>
      </c>
      <c r="AC410" s="13">
        <f t="shared" ca="1" si="148"/>
        <v>0</v>
      </c>
      <c r="AD410" s="33"/>
      <c r="AE410" s="13">
        <f t="shared" ca="1" si="140"/>
        <v>0</v>
      </c>
      <c r="AF410" s="13">
        <f ca="1">ROUNDUP(($AC410+$AE410)*VLOOKUP($AA410,Paraméterek!$P$38:$Q$38,2)/12*IF($D411="Nem",IF($M$13=0,1,$M$13),1),IF($D$4="Forint",0,2))</f>
        <v>0</v>
      </c>
      <c r="AG410" s="13">
        <f ca="1">IF($D$2="Egyszeri",IF($D$7&gt;=IF($D$4="Forint",Paraméterek!$P$223,Paraméterek!$P$224),$D$7-IF($D$4="Forint",Paraméterek!$P$223,Paraméterek!$P$224),0),MIN(IF($AB410=12,AVERAGEIF($E$20:$E410,"&gt;0",$E$20:$E410)*12,0),SUM($E$20:$E$31)))</f>
        <v>0</v>
      </c>
      <c r="AH410" s="13">
        <f>IF($AA410=10,$AG410*IF($AB410=12,IF($AG410&lt;IF($D$4="Forint",Paraméterek!$L$223,Paraméterek!$L$224),0,VLOOKUP($AA410,Paraméterek!$K$226:$M$228,IF($AG410&lt;IF($D$4="Forint",Paraméterek!$M$223,Paraméterek!$M$224),2,3))),0),0)</f>
        <v>0</v>
      </c>
      <c r="AI410" s="13">
        <f ca="1">IF(AND($AA410=$M$11+1,$AB410=$M$12+1),SUMIF($AA$20:$AA$1027,$AA410,$AG$20:$AG$1027)*IF(SUMIF($AA$20:$AA$1027,$AA410,$AG$20:$AG$1027)&lt;IF($D$4="Forint",Paraméterek!$L$223,Paraméterek!$L$224),0,VLOOKUP($AA410,Paraméterek!$K$230:$M$250,IF(SUMIF($AA$20:$AA$1027,$AA410,$AG$20:$AG$1027)&lt;IF($D$4="Forint",Paraméterek!$M$223,Paraméterek!$M$224),2,3))),0)</f>
        <v>0</v>
      </c>
      <c r="AJ410" s="13">
        <f ca="1">IF(AND($AA410&gt;=5,MOD($AA410,5)=0),IF($AB410=12,VLOOKUP($AA410,Paraméterek!$O$225:$P$240,2),0),IF(OR($AA410=3,$AA410=4),IF($AB410=12,VLOOKUP($AA410,Paraméterek!$O$225:$P$240,2,0),0),0))*$AG410</f>
        <v>0</v>
      </c>
      <c r="AK410" s="13">
        <f t="shared" ca="1" si="141"/>
        <v>0</v>
      </c>
      <c r="AL410" s="13">
        <f t="shared" ca="1" si="149"/>
        <v>0</v>
      </c>
      <c r="AM410" s="13">
        <f t="shared" ca="1" si="150"/>
        <v>0</v>
      </c>
      <c r="AO410" s="32">
        <v>391</v>
      </c>
      <c r="AP410" s="32">
        <v>33</v>
      </c>
      <c r="AQ410" s="32">
        <v>7</v>
      </c>
      <c r="AR410" s="13"/>
      <c r="AS410" s="32"/>
      <c r="AT410" s="13">
        <f t="shared" ca="1" si="151"/>
        <v>0</v>
      </c>
      <c r="AU410" s="33"/>
      <c r="AV410" s="13">
        <f t="shared" ca="1" si="142"/>
        <v>0</v>
      </c>
      <c r="AW410" s="13">
        <f ca="1">ROUNDUP(($AT410+$AV410)*VLOOKUP($AP410,Paraméterek!$P$38:$Q$38,2)/12*IF($D411="Nem",IF($M$13=0,1,$M$13),1),IF($D$4="Forint",0,2))</f>
        <v>0</v>
      </c>
      <c r="AX410" s="13"/>
      <c r="AY410" s="13"/>
      <c r="AZ410" s="13">
        <f>ROUNDUP(IF(SUM($AX410:$AY410)=0,0,IF(IF(ISBLANK($AY410),$AX410,$AY410)*Paraméterek!$J$112&lt;IF($D$4="Forint",Paraméterek!$J$113,Paraméterek!$K$113),IF($D$4="Forint",Paraméterek!$J$113,Paraméterek!$K$113),IF(IF(ISBLANK($AY410),$AX410,$AY410)*Paraméterek!$J$112&gt;IF($D$4="Forint",Paraméterek!$J$114,Paraméterek!$K$114),IF($D$4="Forint",Paraméterek!$J$114,Paraméterek!$K$114),IF(ISBLANK($AY410),$AX410,$AY410)*Paraméterek!$J$112))),IF($D$4="Forint",0,2))</f>
        <v>0</v>
      </c>
      <c r="BA410" s="13">
        <f ca="1">$AT410+$AV410-$AW410-IF(ROUNDDOWN(IF(ISBLANK($AY410),$AX410,$AY410),IF($D$4="Forint",0,2))&gt;$AT410+$AV410-$AW410-IF($D$4="Forint",Paraméterek!$J$114,Paraméterek!$K$114),0,ROUNDDOWN(IF(ISBLANK($AY410),$AX410,$AY410),IF($D$4="Forint",0,2))-$AZ410)</f>
        <v>0</v>
      </c>
      <c r="BB410" s="13">
        <f t="shared" ca="1" si="143"/>
        <v>0</v>
      </c>
      <c r="BD410" s="32">
        <v>391</v>
      </c>
      <c r="BE410" s="32">
        <v>33</v>
      </c>
      <c r="BF410" s="32">
        <v>7</v>
      </c>
      <c r="BG410" s="34">
        <f t="shared" ca="1" si="152"/>
        <v>2051</v>
      </c>
      <c r="BH410" s="32" t="str">
        <f ca="1">IF(MOD(MONTH($D$14)+$BD410-1,12)=Paraméterek!$C$288,"Igen","")</f>
        <v/>
      </c>
      <c r="BI410" s="13">
        <f ca="1">IF($BH410="Igen",MIN(ROUNDDOWN((SUMIF($BG$20:$BG$1027,$BG410-1,$K$20:$K$1027)-SUMIF($BG$20:$BG$1027,$BG410-1,$I$20:$I$1027))*Paraméterek!$C$289,IF($D$4="Forint",0,2)),IF($D$4="Forint",Paraméterek!$C$285,Paraméterek!$D$285)),0)</f>
        <v>0</v>
      </c>
      <c r="BJ410" s="13">
        <f t="shared" ca="1" si="144"/>
        <v>0</v>
      </c>
      <c r="BK410" s="13">
        <f t="shared" ca="1" si="153"/>
        <v>0</v>
      </c>
      <c r="BL410" s="33"/>
      <c r="BM410" s="13">
        <f t="shared" ca="1" si="145"/>
        <v>0</v>
      </c>
      <c r="BN410" s="13">
        <f ca="1">ROUNDUP(($BK410+$BM410)*VLOOKUP($BE410,Paraméterek!$P$38:$Q$38,2)/12*IF($D411="Nem",IF($M$13=0,1,$M$13),1),IF($D$4="Forint",0,2))</f>
        <v>0</v>
      </c>
      <c r="BO410" s="13">
        <f t="shared" ca="1" si="146"/>
        <v>0</v>
      </c>
      <c r="BP410" s="13">
        <f ca="1">IF($D411="Nem",$BO410,$BO410-ROUNDUP(SUM($BI$20:$BI410)*120%,IF($D$4="Forint",0,2)))</f>
        <v>0</v>
      </c>
    </row>
    <row r="411" spans="1:68" x14ac:dyDescent="0.2">
      <c r="A411" s="32">
        <v>392</v>
      </c>
      <c r="B411" s="32">
        <v>33</v>
      </c>
      <c r="C411" s="32">
        <v>8</v>
      </c>
      <c r="D411" s="32" t="str">
        <f t="shared" ca="1" si="132"/>
        <v>Nem</v>
      </c>
      <c r="E411" s="13">
        <f t="shared" ca="1" si="133"/>
        <v>0</v>
      </c>
      <c r="F411" s="13"/>
      <c r="G411" s="13"/>
      <c r="H411" s="13"/>
      <c r="I411" s="13">
        <f t="shared" ca="1" si="134"/>
        <v>0</v>
      </c>
      <c r="J411" s="13">
        <f t="shared" ca="1" si="135"/>
        <v>0</v>
      </c>
      <c r="K411" s="13">
        <f t="shared" ca="1" si="136"/>
        <v>0</v>
      </c>
      <c r="L411" s="13" t="e">
        <f ca="1">ROUNDUP(IF($D$2="Egyszeri",$E411,IF($D$2="Havi",SUM($E$20:$E$31),IF(MOD($C411,$M$1)-1=0,SUM($E$20:$E$31),0))/12*$M$1)*VLOOKUP($B411,Paraméterek!$I$28:$P$31,IF($D$2="Egyszeri",8,HLOOKUP(ROUNDUP($M$11+$M$13,0),Paraméterek!$J$26:$O$27,2))),IF($D$4="Forint",0,2))</f>
        <v>#N/A</v>
      </c>
      <c r="M411" s="13">
        <f t="shared" ca="1" si="137"/>
        <v>0</v>
      </c>
      <c r="N411" s="13">
        <f t="shared" ca="1" si="147"/>
        <v>0</v>
      </c>
      <c r="O411" s="13">
        <f ca="1">IF($D411="Igen",IF($W410&gt;=IF($D$4="Forint",Paraméterek!$J$121,Paraméterek!$K$121),0,IF($D$4="Forint",Paraméterek!$J$121,Paraméterek!$K$121)-$W410),0)</f>
        <v>0</v>
      </c>
      <c r="P411" s="13" t="e">
        <f ca="1">ROUNDUP($O411*VLOOKUP($M$4+$B411-1,Paraméterek!$H$58:$I$105,2,0)/Paraméterek!$I$56,IF($D$4="Forint",0,2))</f>
        <v>#N/A</v>
      </c>
      <c r="Q411" s="13">
        <f t="shared" ca="1" si="138"/>
        <v>0</v>
      </c>
      <c r="R411" s="33"/>
      <c r="S411" s="13" t="e">
        <f t="shared" ca="1" si="139"/>
        <v>#N/A</v>
      </c>
      <c r="T411" s="13" t="e">
        <f ca="1">ROUNDUP(($N411-$P411-$Q411+$S411)*VLOOKUP($B411,Paraméterek!$I$38:$K$39,IF($D$2="Egyszeri",3,2))/12*IF($D412="Nem",IF($M$13=0,1,$M$13),1),IF($D$4="Forint",0,2))</f>
        <v>#N/A</v>
      </c>
      <c r="U411" s="13"/>
      <c r="V411" s="13"/>
      <c r="W411" s="13" t="e">
        <f ca="1">$N411-$P411-$Q411+$S411-$T411-IF(ROUNDUP(IF(ISBLANK($V411),$U411*0,$V411)/IF($D$2="Egyszeri",VLOOKUP($B411+IF($C411=12,1,0),Paraméterek!$V$257:$W$262,2),IF($B411=1,1,VLOOKUP($B411+IF($C411=12,1,0),Paraméterek!$I$258:$T$278,HLOOKUP($M$11+1,Paraméterek!$J$256:$T$257,2)))),IF($D$4="Forint",0,2))&gt;$N411-$P411-$Q411+$S411-$T411-IF($D$4="Forint",Paraméterek!$C$216,Paraméterek!$D$216),0,ROUNDUP(IF(ISBLANK($V411),$U411*0,$V411)/IF($D$2="Egyszeri",VLOOKUP($B411+IF($C411=12,1,0),Paraméterek!$V$257:$W$262,2),IF($B411=1,1,VLOOKUP($B411+IF($C411=12,1,0),Paraméterek!$I$258:$T$278,HLOOKUP($M$11+1,Paraméterek!$J$256:$T$257,2)))),IF($D$4="Forint",0,2)))</f>
        <v>#N/A</v>
      </c>
      <c r="X411" s="13" t="e">
        <f ca="1">ROUNDDOWN($W411*IF($D$2="Egyszeri",VLOOKUP($B411+IF($C411=12,1,0),Paraméterek!$V$257:$W$262,2),VLOOKUP($B411+IF($C411=12,1,0),Paraméterek!$I$258:$T$278,HLOOKUP($M$11+1,Paraméterek!$I$256:$T$257,2))),IF($D$4="Forint",0,2))</f>
        <v>#N/A</v>
      </c>
      <c r="Z411" s="32">
        <v>392</v>
      </c>
      <c r="AA411" s="32">
        <v>33</v>
      </c>
      <c r="AB411" s="32">
        <v>8</v>
      </c>
      <c r="AC411" s="13">
        <f t="shared" ca="1" si="148"/>
        <v>0</v>
      </c>
      <c r="AD411" s="33"/>
      <c r="AE411" s="13">
        <f t="shared" ca="1" si="140"/>
        <v>0</v>
      </c>
      <c r="AF411" s="13">
        <f ca="1">ROUNDUP(($AC411+$AE411)*VLOOKUP($AA411,Paraméterek!$P$38:$Q$38,2)/12*IF($D412="Nem",IF($M$13=0,1,$M$13),1),IF($D$4="Forint",0,2))</f>
        <v>0</v>
      </c>
      <c r="AG411" s="13">
        <f ca="1">IF($D$2="Egyszeri",IF($D$7&gt;=IF($D$4="Forint",Paraméterek!$P$223,Paraméterek!$P$224),$D$7-IF($D$4="Forint",Paraméterek!$P$223,Paraméterek!$P$224),0),MIN(IF($AB411=12,AVERAGEIF($E$20:$E411,"&gt;0",$E$20:$E411)*12,0),SUM($E$20:$E$31)))</f>
        <v>0</v>
      </c>
      <c r="AH411" s="13">
        <f>IF($AA411=10,$AG411*IF($AB411=12,IF($AG411&lt;IF($D$4="Forint",Paraméterek!$L$223,Paraméterek!$L$224),0,VLOOKUP($AA411,Paraméterek!$K$226:$M$228,IF($AG411&lt;IF($D$4="Forint",Paraméterek!$M$223,Paraméterek!$M$224),2,3))),0),0)</f>
        <v>0</v>
      </c>
      <c r="AI411" s="13">
        <f ca="1">IF(AND($AA411=$M$11+1,$AB411=$M$12+1),SUMIF($AA$20:$AA$1027,$AA411,$AG$20:$AG$1027)*IF(SUMIF($AA$20:$AA$1027,$AA411,$AG$20:$AG$1027)&lt;IF($D$4="Forint",Paraméterek!$L$223,Paraméterek!$L$224),0,VLOOKUP($AA411,Paraméterek!$K$230:$M$250,IF(SUMIF($AA$20:$AA$1027,$AA411,$AG$20:$AG$1027)&lt;IF($D$4="Forint",Paraméterek!$M$223,Paraméterek!$M$224),2,3))),0)</f>
        <v>0</v>
      </c>
      <c r="AJ411" s="13">
        <f ca="1">IF(AND($AA411&gt;=5,MOD($AA411,5)=0),IF($AB411=12,VLOOKUP($AA411,Paraméterek!$O$225:$P$240,2),0),IF(OR($AA411=3,$AA411=4),IF($AB411=12,VLOOKUP($AA411,Paraméterek!$O$225:$P$240,2,0),0),0))*$AG411</f>
        <v>0</v>
      </c>
      <c r="AK411" s="13">
        <f t="shared" ca="1" si="141"/>
        <v>0</v>
      </c>
      <c r="AL411" s="13">
        <f t="shared" ca="1" si="149"/>
        <v>0</v>
      </c>
      <c r="AM411" s="13">
        <f t="shared" ca="1" si="150"/>
        <v>0</v>
      </c>
      <c r="AO411" s="32">
        <v>392</v>
      </c>
      <c r="AP411" s="32">
        <v>33</v>
      </c>
      <c r="AQ411" s="32">
        <v>8</v>
      </c>
      <c r="AR411" s="13"/>
      <c r="AS411" s="32"/>
      <c r="AT411" s="13">
        <f t="shared" ca="1" si="151"/>
        <v>0</v>
      </c>
      <c r="AU411" s="33"/>
      <c r="AV411" s="13">
        <f t="shared" ca="1" si="142"/>
        <v>0</v>
      </c>
      <c r="AW411" s="13">
        <f ca="1">ROUNDUP(($AT411+$AV411)*VLOOKUP($AP411,Paraméterek!$P$38:$Q$38,2)/12*IF($D412="Nem",IF($M$13=0,1,$M$13),1),IF($D$4="Forint",0,2))</f>
        <v>0</v>
      </c>
      <c r="AX411" s="13"/>
      <c r="AY411" s="13"/>
      <c r="AZ411" s="13">
        <f>ROUNDUP(IF(SUM($AX411:$AY411)=0,0,IF(IF(ISBLANK($AY411),$AX411,$AY411)*Paraméterek!$J$112&lt;IF($D$4="Forint",Paraméterek!$J$113,Paraméterek!$K$113),IF($D$4="Forint",Paraméterek!$J$113,Paraméterek!$K$113),IF(IF(ISBLANK($AY411),$AX411,$AY411)*Paraméterek!$J$112&gt;IF($D$4="Forint",Paraméterek!$J$114,Paraméterek!$K$114),IF($D$4="Forint",Paraméterek!$J$114,Paraméterek!$K$114),IF(ISBLANK($AY411),$AX411,$AY411)*Paraméterek!$J$112))),IF($D$4="Forint",0,2))</f>
        <v>0</v>
      </c>
      <c r="BA411" s="13">
        <f ca="1">$AT411+$AV411-$AW411-IF(ROUNDDOWN(IF(ISBLANK($AY411),$AX411,$AY411),IF($D$4="Forint",0,2))&gt;$AT411+$AV411-$AW411-IF($D$4="Forint",Paraméterek!$J$114,Paraméterek!$K$114),0,ROUNDDOWN(IF(ISBLANK($AY411),$AX411,$AY411),IF($D$4="Forint",0,2))-$AZ411)</f>
        <v>0</v>
      </c>
      <c r="BB411" s="13">
        <f t="shared" ca="1" si="143"/>
        <v>0</v>
      </c>
      <c r="BD411" s="32">
        <v>392</v>
      </c>
      <c r="BE411" s="32">
        <v>33</v>
      </c>
      <c r="BF411" s="32">
        <v>8</v>
      </c>
      <c r="BG411" s="34">
        <f t="shared" ca="1" si="152"/>
        <v>2052</v>
      </c>
      <c r="BH411" s="32" t="str">
        <f ca="1">IF(MOD(MONTH($D$14)+$BD411-1,12)=Paraméterek!$C$288,"Igen","")</f>
        <v/>
      </c>
      <c r="BI411" s="13">
        <f ca="1">IF($BH411="Igen",MIN(ROUNDDOWN((SUMIF($BG$20:$BG$1027,$BG411-1,$K$20:$K$1027)-SUMIF($BG$20:$BG$1027,$BG411-1,$I$20:$I$1027))*Paraméterek!$C$289,IF($D$4="Forint",0,2)),IF($D$4="Forint",Paraméterek!$C$285,Paraméterek!$D$285)),0)</f>
        <v>0</v>
      </c>
      <c r="BJ411" s="13">
        <f t="shared" ca="1" si="144"/>
        <v>0</v>
      </c>
      <c r="BK411" s="13">
        <f t="shared" ca="1" si="153"/>
        <v>0</v>
      </c>
      <c r="BL411" s="33"/>
      <c r="BM411" s="13">
        <f t="shared" ca="1" si="145"/>
        <v>0</v>
      </c>
      <c r="BN411" s="13">
        <f ca="1">ROUNDUP(($BK411+$BM411)*VLOOKUP($BE411,Paraméterek!$P$38:$Q$38,2)/12*IF($D412="Nem",IF($M$13=0,1,$M$13),1),IF($D$4="Forint",0,2))</f>
        <v>0</v>
      </c>
      <c r="BO411" s="13">
        <f t="shared" ca="1" si="146"/>
        <v>0</v>
      </c>
      <c r="BP411" s="13">
        <f ca="1">IF($D412="Nem",$BO411,$BO411-ROUNDUP(SUM($BI$20:$BI411)*120%,IF($D$4="Forint",0,2)))</f>
        <v>0</v>
      </c>
    </row>
    <row r="412" spans="1:68" x14ac:dyDescent="0.2">
      <c r="A412" s="32">
        <v>393</v>
      </c>
      <c r="B412" s="32">
        <v>33</v>
      </c>
      <c r="C412" s="32">
        <v>9</v>
      </c>
      <c r="D412" s="32" t="str">
        <f t="shared" ca="1" si="132"/>
        <v>Nem</v>
      </c>
      <c r="E412" s="13">
        <f t="shared" ca="1" si="133"/>
        <v>0</v>
      </c>
      <c r="F412" s="13"/>
      <c r="G412" s="13"/>
      <c r="H412" s="13"/>
      <c r="I412" s="13">
        <f t="shared" ca="1" si="134"/>
        <v>0</v>
      </c>
      <c r="J412" s="13">
        <f t="shared" ca="1" si="135"/>
        <v>0</v>
      </c>
      <c r="K412" s="13">
        <f t="shared" ca="1" si="136"/>
        <v>0</v>
      </c>
      <c r="L412" s="13" t="e">
        <f ca="1">ROUNDUP(IF($D$2="Egyszeri",$E412,IF($D$2="Havi",SUM($E$20:$E$31),IF(MOD($C412,$M$1)-1=0,SUM($E$20:$E$31),0))/12*$M$1)*VLOOKUP($B412,Paraméterek!$I$28:$P$31,IF($D$2="Egyszeri",8,HLOOKUP(ROUNDUP($M$11+$M$13,0),Paraméterek!$J$26:$O$27,2))),IF($D$4="Forint",0,2))</f>
        <v>#N/A</v>
      </c>
      <c r="M412" s="13">
        <f t="shared" ca="1" si="137"/>
        <v>0</v>
      </c>
      <c r="N412" s="13">
        <f t="shared" ca="1" si="147"/>
        <v>0</v>
      </c>
      <c r="O412" s="13">
        <f ca="1">IF($D412="Igen",IF($W411&gt;=IF($D$4="Forint",Paraméterek!$J$121,Paraméterek!$K$121),0,IF($D$4="Forint",Paraméterek!$J$121,Paraméterek!$K$121)-$W411),0)</f>
        <v>0</v>
      </c>
      <c r="P412" s="13" t="e">
        <f ca="1">ROUNDUP($O412*VLOOKUP($M$4+$B412-1,Paraméterek!$H$58:$I$105,2,0)/Paraméterek!$I$56,IF($D$4="Forint",0,2))</f>
        <v>#N/A</v>
      </c>
      <c r="Q412" s="13">
        <f t="shared" ca="1" si="138"/>
        <v>0</v>
      </c>
      <c r="R412" s="33"/>
      <c r="S412" s="13" t="e">
        <f t="shared" ca="1" si="139"/>
        <v>#N/A</v>
      </c>
      <c r="T412" s="13" t="e">
        <f ca="1">ROUNDUP(($N412-$P412-$Q412+$S412)*VLOOKUP($B412,Paraméterek!$I$38:$K$39,IF($D$2="Egyszeri",3,2))/12*IF($D413="Nem",IF($M$13=0,1,$M$13),1),IF($D$4="Forint",0,2))</f>
        <v>#N/A</v>
      </c>
      <c r="U412" s="13"/>
      <c r="V412" s="13"/>
      <c r="W412" s="13" t="e">
        <f ca="1">$N412-$P412-$Q412+$S412-$T412-IF(ROUNDUP(IF(ISBLANK($V412),$U412*0,$V412)/IF($D$2="Egyszeri",VLOOKUP($B412+IF($C412=12,1,0),Paraméterek!$V$257:$W$262,2),IF($B412=1,1,VLOOKUP($B412+IF($C412=12,1,0),Paraméterek!$I$258:$T$278,HLOOKUP($M$11+1,Paraméterek!$J$256:$T$257,2)))),IF($D$4="Forint",0,2))&gt;$N412-$P412-$Q412+$S412-$T412-IF($D$4="Forint",Paraméterek!$C$216,Paraméterek!$D$216),0,ROUNDUP(IF(ISBLANK($V412),$U412*0,$V412)/IF($D$2="Egyszeri",VLOOKUP($B412+IF($C412=12,1,0),Paraméterek!$V$257:$W$262,2),IF($B412=1,1,VLOOKUP($B412+IF($C412=12,1,0),Paraméterek!$I$258:$T$278,HLOOKUP($M$11+1,Paraméterek!$J$256:$T$257,2)))),IF($D$4="Forint",0,2)))</f>
        <v>#N/A</v>
      </c>
      <c r="X412" s="13" t="e">
        <f ca="1">ROUNDDOWN($W412*IF($D$2="Egyszeri",VLOOKUP($B412+IF($C412=12,1,0),Paraméterek!$V$257:$W$262,2),VLOOKUP($B412+IF($C412=12,1,0),Paraméterek!$I$258:$T$278,HLOOKUP($M$11+1,Paraméterek!$I$256:$T$257,2))),IF($D$4="Forint",0,2))</f>
        <v>#N/A</v>
      </c>
      <c r="Z412" s="32">
        <v>393</v>
      </c>
      <c r="AA412" s="32">
        <v>33</v>
      </c>
      <c r="AB412" s="32">
        <v>9</v>
      </c>
      <c r="AC412" s="13">
        <f t="shared" ca="1" si="148"/>
        <v>0</v>
      </c>
      <c r="AD412" s="33"/>
      <c r="AE412" s="13">
        <f t="shared" ca="1" si="140"/>
        <v>0</v>
      </c>
      <c r="AF412" s="13">
        <f ca="1">ROUNDUP(($AC412+$AE412)*VLOOKUP($AA412,Paraméterek!$P$38:$Q$38,2)/12*IF($D413="Nem",IF($M$13=0,1,$M$13),1),IF($D$4="Forint",0,2))</f>
        <v>0</v>
      </c>
      <c r="AG412" s="13">
        <f ca="1">IF($D$2="Egyszeri",IF($D$7&gt;=IF($D$4="Forint",Paraméterek!$P$223,Paraméterek!$P$224),$D$7-IF($D$4="Forint",Paraméterek!$P$223,Paraméterek!$P$224),0),MIN(IF($AB412=12,AVERAGEIF($E$20:$E412,"&gt;0",$E$20:$E412)*12,0),SUM($E$20:$E$31)))</f>
        <v>0</v>
      </c>
      <c r="AH412" s="13">
        <f>IF($AA412=10,$AG412*IF($AB412=12,IF($AG412&lt;IF($D$4="Forint",Paraméterek!$L$223,Paraméterek!$L$224),0,VLOOKUP($AA412,Paraméterek!$K$226:$M$228,IF($AG412&lt;IF($D$4="Forint",Paraméterek!$M$223,Paraméterek!$M$224),2,3))),0),0)</f>
        <v>0</v>
      </c>
      <c r="AI412" s="13">
        <f ca="1">IF(AND($AA412=$M$11+1,$AB412=$M$12+1),SUMIF($AA$20:$AA$1027,$AA412,$AG$20:$AG$1027)*IF(SUMIF($AA$20:$AA$1027,$AA412,$AG$20:$AG$1027)&lt;IF($D$4="Forint",Paraméterek!$L$223,Paraméterek!$L$224),0,VLOOKUP($AA412,Paraméterek!$K$230:$M$250,IF(SUMIF($AA$20:$AA$1027,$AA412,$AG$20:$AG$1027)&lt;IF($D$4="Forint",Paraméterek!$M$223,Paraméterek!$M$224),2,3))),0)</f>
        <v>0</v>
      </c>
      <c r="AJ412" s="13">
        <f ca="1">IF(AND($AA412&gt;=5,MOD($AA412,5)=0),IF($AB412=12,VLOOKUP($AA412,Paraméterek!$O$225:$P$240,2),0),IF(OR($AA412=3,$AA412=4),IF($AB412=12,VLOOKUP($AA412,Paraméterek!$O$225:$P$240,2,0),0),0))*$AG412</f>
        <v>0</v>
      </c>
      <c r="AK412" s="13">
        <f t="shared" ca="1" si="141"/>
        <v>0</v>
      </c>
      <c r="AL412" s="13">
        <f t="shared" ca="1" si="149"/>
        <v>0</v>
      </c>
      <c r="AM412" s="13">
        <f t="shared" ca="1" si="150"/>
        <v>0</v>
      </c>
      <c r="AO412" s="32">
        <v>393</v>
      </c>
      <c r="AP412" s="32">
        <v>33</v>
      </c>
      <c r="AQ412" s="32">
        <v>9</v>
      </c>
      <c r="AR412" s="13"/>
      <c r="AS412" s="32"/>
      <c r="AT412" s="13">
        <f t="shared" ca="1" si="151"/>
        <v>0</v>
      </c>
      <c r="AU412" s="33"/>
      <c r="AV412" s="13">
        <f t="shared" ca="1" si="142"/>
        <v>0</v>
      </c>
      <c r="AW412" s="13">
        <f ca="1">ROUNDUP(($AT412+$AV412)*VLOOKUP($AP412,Paraméterek!$P$38:$Q$38,2)/12*IF($D413="Nem",IF($M$13=0,1,$M$13),1),IF($D$4="Forint",0,2))</f>
        <v>0</v>
      </c>
      <c r="AX412" s="13"/>
      <c r="AY412" s="13"/>
      <c r="AZ412" s="13">
        <f>ROUNDUP(IF(SUM($AX412:$AY412)=0,0,IF(IF(ISBLANK($AY412),$AX412,$AY412)*Paraméterek!$J$112&lt;IF($D$4="Forint",Paraméterek!$J$113,Paraméterek!$K$113),IF($D$4="Forint",Paraméterek!$J$113,Paraméterek!$K$113),IF(IF(ISBLANK($AY412),$AX412,$AY412)*Paraméterek!$J$112&gt;IF($D$4="Forint",Paraméterek!$J$114,Paraméterek!$K$114),IF($D$4="Forint",Paraméterek!$J$114,Paraméterek!$K$114),IF(ISBLANK($AY412),$AX412,$AY412)*Paraméterek!$J$112))),IF($D$4="Forint",0,2))</f>
        <v>0</v>
      </c>
      <c r="BA412" s="13">
        <f ca="1">$AT412+$AV412-$AW412-IF(ROUNDDOWN(IF(ISBLANK($AY412),$AX412,$AY412),IF($D$4="Forint",0,2))&gt;$AT412+$AV412-$AW412-IF($D$4="Forint",Paraméterek!$J$114,Paraméterek!$K$114),0,ROUNDDOWN(IF(ISBLANK($AY412),$AX412,$AY412),IF($D$4="Forint",0,2))-$AZ412)</f>
        <v>0</v>
      </c>
      <c r="BB412" s="13">
        <f t="shared" ca="1" si="143"/>
        <v>0</v>
      </c>
      <c r="BD412" s="32">
        <v>393</v>
      </c>
      <c r="BE412" s="32">
        <v>33</v>
      </c>
      <c r="BF412" s="32">
        <v>9</v>
      </c>
      <c r="BG412" s="34">
        <f t="shared" ca="1" si="152"/>
        <v>2052</v>
      </c>
      <c r="BH412" s="32" t="str">
        <f ca="1">IF(MOD(MONTH($D$14)+$BD412-1,12)=Paraméterek!$C$288,"Igen","")</f>
        <v/>
      </c>
      <c r="BI412" s="13">
        <f ca="1">IF($BH412="Igen",MIN(ROUNDDOWN((SUMIF($BG$20:$BG$1027,$BG412-1,$K$20:$K$1027)-SUMIF($BG$20:$BG$1027,$BG412-1,$I$20:$I$1027))*Paraméterek!$C$289,IF($D$4="Forint",0,2)),IF($D$4="Forint",Paraméterek!$C$285,Paraméterek!$D$285)),0)</f>
        <v>0</v>
      </c>
      <c r="BJ412" s="13">
        <f t="shared" ca="1" si="144"/>
        <v>0</v>
      </c>
      <c r="BK412" s="13">
        <f t="shared" ca="1" si="153"/>
        <v>0</v>
      </c>
      <c r="BL412" s="33"/>
      <c r="BM412" s="13">
        <f t="shared" ca="1" si="145"/>
        <v>0</v>
      </c>
      <c r="BN412" s="13">
        <f ca="1">ROUNDUP(($BK412+$BM412)*VLOOKUP($BE412,Paraméterek!$P$38:$Q$38,2)/12*IF($D413="Nem",IF($M$13=0,1,$M$13),1),IF($D$4="Forint",0,2))</f>
        <v>0</v>
      </c>
      <c r="BO412" s="13">
        <f t="shared" ca="1" si="146"/>
        <v>0</v>
      </c>
      <c r="BP412" s="13">
        <f ca="1">IF($D413="Nem",$BO412,$BO412-ROUNDUP(SUM($BI$20:$BI412)*120%,IF($D$4="Forint",0,2)))</f>
        <v>0</v>
      </c>
    </row>
    <row r="413" spans="1:68" x14ac:dyDescent="0.2">
      <c r="A413" s="32">
        <v>394</v>
      </c>
      <c r="B413" s="32">
        <v>33</v>
      </c>
      <c r="C413" s="32">
        <v>10</v>
      </c>
      <c r="D413" s="32" t="str">
        <f t="shared" ca="1" si="132"/>
        <v>Nem</v>
      </c>
      <c r="E413" s="13">
        <f t="shared" ca="1" si="133"/>
        <v>0</v>
      </c>
      <c r="F413" s="13"/>
      <c r="G413" s="13"/>
      <c r="H413" s="13"/>
      <c r="I413" s="13">
        <f t="shared" ca="1" si="134"/>
        <v>0</v>
      </c>
      <c r="J413" s="13">
        <f t="shared" ca="1" si="135"/>
        <v>0</v>
      </c>
      <c r="K413" s="13">
        <f t="shared" ca="1" si="136"/>
        <v>0</v>
      </c>
      <c r="L413" s="13" t="e">
        <f ca="1">ROUNDUP(IF($D$2="Egyszeri",$E413,IF($D$2="Havi",SUM($E$20:$E$31),IF(MOD($C413,$M$1)-1=0,SUM($E$20:$E$31),0))/12*$M$1)*VLOOKUP($B413,Paraméterek!$I$28:$P$31,IF($D$2="Egyszeri",8,HLOOKUP(ROUNDUP($M$11+$M$13,0),Paraméterek!$J$26:$O$27,2))),IF($D$4="Forint",0,2))</f>
        <v>#N/A</v>
      </c>
      <c r="M413" s="13">
        <f t="shared" ca="1" si="137"/>
        <v>0</v>
      </c>
      <c r="N413" s="13">
        <f t="shared" ca="1" si="147"/>
        <v>0</v>
      </c>
      <c r="O413" s="13">
        <f ca="1">IF($D413="Igen",IF($W412&gt;=IF($D$4="Forint",Paraméterek!$J$121,Paraméterek!$K$121),0,IF($D$4="Forint",Paraméterek!$J$121,Paraméterek!$K$121)-$W412),0)</f>
        <v>0</v>
      </c>
      <c r="P413" s="13" t="e">
        <f ca="1">ROUNDUP($O413*VLOOKUP($M$4+$B413-1,Paraméterek!$H$58:$I$105,2,0)/Paraméterek!$I$56,IF($D$4="Forint",0,2))</f>
        <v>#N/A</v>
      </c>
      <c r="Q413" s="13">
        <f t="shared" ca="1" si="138"/>
        <v>0</v>
      </c>
      <c r="R413" s="33"/>
      <c r="S413" s="13" t="e">
        <f t="shared" ca="1" si="139"/>
        <v>#N/A</v>
      </c>
      <c r="T413" s="13" t="e">
        <f ca="1">ROUNDUP(($N413-$P413-$Q413+$S413)*VLOOKUP($B413,Paraméterek!$I$38:$K$39,IF($D$2="Egyszeri",3,2))/12*IF($D414="Nem",IF($M$13=0,1,$M$13),1),IF($D$4="Forint",0,2))</f>
        <v>#N/A</v>
      </c>
      <c r="U413" s="13"/>
      <c r="V413" s="13"/>
      <c r="W413" s="13" t="e">
        <f ca="1">$N413-$P413-$Q413+$S413-$T413-IF(ROUNDUP(IF(ISBLANK($V413),$U413*0,$V413)/IF($D$2="Egyszeri",VLOOKUP($B413+IF($C413=12,1,0),Paraméterek!$V$257:$W$262,2),IF($B413=1,1,VLOOKUP($B413+IF($C413=12,1,0),Paraméterek!$I$258:$T$278,HLOOKUP($M$11+1,Paraméterek!$J$256:$T$257,2)))),IF($D$4="Forint",0,2))&gt;$N413-$P413-$Q413+$S413-$T413-IF($D$4="Forint",Paraméterek!$C$216,Paraméterek!$D$216),0,ROUNDUP(IF(ISBLANK($V413),$U413*0,$V413)/IF($D$2="Egyszeri",VLOOKUP($B413+IF($C413=12,1,0),Paraméterek!$V$257:$W$262,2),IF($B413=1,1,VLOOKUP($B413+IF($C413=12,1,0),Paraméterek!$I$258:$T$278,HLOOKUP($M$11+1,Paraméterek!$J$256:$T$257,2)))),IF($D$4="Forint",0,2)))</f>
        <v>#N/A</v>
      </c>
      <c r="X413" s="13" t="e">
        <f ca="1">ROUNDDOWN($W413*IF($D$2="Egyszeri",VLOOKUP($B413+IF($C413=12,1,0),Paraméterek!$V$257:$W$262,2),VLOOKUP($B413+IF($C413=12,1,0),Paraméterek!$I$258:$T$278,HLOOKUP($M$11+1,Paraméterek!$I$256:$T$257,2))),IF($D$4="Forint",0,2))</f>
        <v>#N/A</v>
      </c>
      <c r="Z413" s="32">
        <v>394</v>
      </c>
      <c r="AA413" s="32">
        <v>33</v>
      </c>
      <c r="AB413" s="32">
        <v>10</v>
      </c>
      <c r="AC413" s="13">
        <f t="shared" ca="1" si="148"/>
        <v>0</v>
      </c>
      <c r="AD413" s="33"/>
      <c r="AE413" s="13">
        <f t="shared" ca="1" si="140"/>
        <v>0</v>
      </c>
      <c r="AF413" s="13">
        <f ca="1">ROUNDUP(($AC413+$AE413)*VLOOKUP($AA413,Paraméterek!$P$38:$Q$38,2)/12*IF($D414="Nem",IF($M$13=0,1,$M$13),1),IF($D$4="Forint",0,2))</f>
        <v>0</v>
      </c>
      <c r="AG413" s="13">
        <f ca="1">IF($D$2="Egyszeri",IF($D$7&gt;=IF($D$4="Forint",Paraméterek!$P$223,Paraméterek!$P$224),$D$7-IF($D$4="Forint",Paraméterek!$P$223,Paraméterek!$P$224),0),MIN(IF($AB413=12,AVERAGEIF($E$20:$E413,"&gt;0",$E$20:$E413)*12,0),SUM($E$20:$E$31)))</f>
        <v>0</v>
      </c>
      <c r="AH413" s="13">
        <f>IF($AA413=10,$AG413*IF($AB413=12,IF($AG413&lt;IF($D$4="Forint",Paraméterek!$L$223,Paraméterek!$L$224),0,VLOOKUP($AA413,Paraméterek!$K$226:$M$228,IF($AG413&lt;IF($D$4="Forint",Paraméterek!$M$223,Paraméterek!$M$224),2,3))),0),0)</f>
        <v>0</v>
      </c>
      <c r="AI413" s="13">
        <f ca="1">IF(AND($AA413=$M$11+1,$AB413=$M$12+1),SUMIF($AA$20:$AA$1027,$AA413,$AG$20:$AG$1027)*IF(SUMIF($AA$20:$AA$1027,$AA413,$AG$20:$AG$1027)&lt;IF($D$4="Forint",Paraméterek!$L$223,Paraméterek!$L$224),0,VLOOKUP($AA413,Paraméterek!$K$230:$M$250,IF(SUMIF($AA$20:$AA$1027,$AA413,$AG$20:$AG$1027)&lt;IF($D$4="Forint",Paraméterek!$M$223,Paraméterek!$M$224),2,3))),0)</f>
        <v>0</v>
      </c>
      <c r="AJ413" s="13">
        <f ca="1">IF(AND($AA413&gt;=5,MOD($AA413,5)=0),IF($AB413=12,VLOOKUP($AA413,Paraméterek!$O$225:$P$240,2),0),IF(OR($AA413=3,$AA413=4),IF($AB413=12,VLOOKUP($AA413,Paraméterek!$O$225:$P$240,2,0),0),0))*$AG413</f>
        <v>0</v>
      </c>
      <c r="AK413" s="13">
        <f t="shared" ca="1" si="141"/>
        <v>0</v>
      </c>
      <c r="AL413" s="13">
        <f t="shared" ca="1" si="149"/>
        <v>0</v>
      </c>
      <c r="AM413" s="13">
        <f t="shared" ca="1" si="150"/>
        <v>0</v>
      </c>
      <c r="AO413" s="32">
        <v>394</v>
      </c>
      <c r="AP413" s="32">
        <v>33</v>
      </c>
      <c r="AQ413" s="32">
        <v>10</v>
      </c>
      <c r="AR413" s="13"/>
      <c r="AS413" s="32"/>
      <c r="AT413" s="13">
        <f t="shared" ca="1" si="151"/>
        <v>0</v>
      </c>
      <c r="AU413" s="33"/>
      <c r="AV413" s="13">
        <f t="shared" ca="1" si="142"/>
        <v>0</v>
      </c>
      <c r="AW413" s="13">
        <f ca="1">ROUNDUP(($AT413+$AV413)*VLOOKUP($AP413,Paraméterek!$P$38:$Q$38,2)/12*IF($D414="Nem",IF($M$13=0,1,$M$13),1),IF($D$4="Forint",0,2))</f>
        <v>0</v>
      </c>
      <c r="AX413" s="13"/>
      <c r="AY413" s="13"/>
      <c r="AZ413" s="13">
        <f>ROUNDUP(IF(SUM($AX413:$AY413)=0,0,IF(IF(ISBLANK($AY413),$AX413,$AY413)*Paraméterek!$J$112&lt;IF($D$4="Forint",Paraméterek!$J$113,Paraméterek!$K$113),IF($D$4="Forint",Paraméterek!$J$113,Paraméterek!$K$113),IF(IF(ISBLANK($AY413),$AX413,$AY413)*Paraméterek!$J$112&gt;IF($D$4="Forint",Paraméterek!$J$114,Paraméterek!$K$114),IF($D$4="Forint",Paraméterek!$J$114,Paraméterek!$K$114),IF(ISBLANK($AY413),$AX413,$AY413)*Paraméterek!$J$112))),IF($D$4="Forint",0,2))</f>
        <v>0</v>
      </c>
      <c r="BA413" s="13">
        <f ca="1">$AT413+$AV413-$AW413-IF(ROUNDDOWN(IF(ISBLANK($AY413),$AX413,$AY413),IF($D$4="Forint",0,2))&gt;$AT413+$AV413-$AW413-IF($D$4="Forint",Paraméterek!$J$114,Paraméterek!$K$114),0,ROUNDDOWN(IF(ISBLANK($AY413),$AX413,$AY413),IF($D$4="Forint",0,2))-$AZ413)</f>
        <v>0</v>
      </c>
      <c r="BB413" s="13">
        <f t="shared" ca="1" si="143"/>
        <v>0</v>
      </c>
      <c r="BD413" s="32">
        <v>394</v>
      </c>
      <c r="BE413" s="32">
        <v>33</v>
      </c>
      <c r="BF413" s="32">
        <v>10</v>
      </c>
      <c r="BG413" s="34">
        <f t="shared" ca="1" si="152"/>
        <v>2052</v>
      </c>
      <c r="BH413" s="32" t="str">
        <f ca="1">IF(MOD(MONTH($D$14)+$BD413-1,12)=Paraméterek!$C$288,"Igen","")</f>
        <v/>
      </c>
      <c r="BI413" s="13">
        <f ca="1">IF($BH413="Igen",MIN(ROUNDDOWN((SUMIF($BG$20:$BG$1027,$BG413-1,$K$20:$K$1027)-SUMIF($BG$20:$BG$1027,$BG413-1,$I$20:$I$1027))*Paraméterek!$C$289,IF($D$4="Forint",0,2)),IF($D$4="Forint",Paraméterek!$C$285,Paraméterek!$D$285)),0)</f>
        <v>0</v>
      </c>
      <c r="BJ413" s="13">
        <f t="shared" ca="1" si="144"/>
        <v>0</v>
      </c>
      <c r="BK413" s="13">
        <f t="shared" ca="1" si="153"/>
        <v>0</v>
      </c>
      <c r="BL413" s="33"/>
      <c r="BM413" s="13">
        <f t="shared" ca="1" si="145"/>
        <v>0</v>
      </c>
      <c r="BN413" s="13">
        <f ca="1">ROUNDUP(($BK413+$BM413)*VLOOKUP($BE413,Paraméterek!$P$38:$Q$38,2)/12*IF($D414="Nem",IF($M$13=0,1,$M$13),1),IF($D$4="Forint",0,2))</f>
        <v>0</v>
      </c>
      <c r="BO413" s="13">
        <f t="shared" ca="1" si="146"/>
        <v>0</v>
      </c>
      <c r="BP413" s="13">
        <f ca="1">IF($D414="Nem",$BO413,$BO413-ROUNDUP(SUM($BI$20:$BI413)*120%,IF($D$4="Forint",0,2)))</f>
        <v>0</v>
      </c>
    </row>
    <row r="414" spans="1:68" x14ac:dyDescent="0.2">
      <c r="A414" s="32">
        <v>395</v>
      </c>
      <c r="B414" s="32">
        <v>33</v>
      </c>
      <c r="C414" s="32">
        <v>11</v>
      </c>
      <c r="D414" s="32" t="str">
        <f t="shared" ca="1" si="132"/>
        <v>Nem</v>
      </c>
      <c r="E414" s="13">
        <f t="shared" ca="1" si="133"/>
        <v>0</v>
      </c>
      <c r="F414" s="13"/>
      <c r="G414" s="13"/>
      <c r="H414" s="13"/>
      <c r="I414" s="13">
        <f t="shared" ca="1" si="134"/>
        <v>0</v>
      </c>
      <c r="J414" s="13">
        <f t="shared" ca="1" si="135"/>
        <v>0</v>
      </c>
      <c r="K414" s="13">
        <f t="shared" ca="1" si="136"/>
        <v>0</v>
      </c>
      <c r="L414" s="13" t="e">
        <f ca="1">ROUNDUP(IF($D$2="Egyszeri",$E414,IF($D$2="Havi",SUM($E$20:$E$31),IF(MOD($C414,$M$1)-1=0,SUM($E$20:$E$31),0))/12*$M$1)*VLOOKUP($B414,Paraméterek!$I$28:$P$31,IF($D$2="Egyszeri",8,HLOOKUP(ROUNDUP($M$11+$M$13,0),Paraméterek!$J$26:$O$27,2))),IF($D$4="Forint",0,2))</f>
        <v>#N/A</v>
      </c>
      <c r="M414" s="13">
        <f t="shared" ca="1" si="137"/>
        <v>0</v>
      </c>
      <c r="N414" s="13">
        <f t="shared" ca="1" si="147"/>
        <v>0</v>
      </c>
      <c r="O414" s="13">
        <f ca="1">IF($D414="Igen",IF($W413&gt;=IF($D$4="Forint",Paraméterek!$J$121,Paraméterek!$K$121),0,IF($D$4="Forint",Paraméterek!$J$121,Paraméterek!$K$121)-$W413),0)</f>
        <v>0</v>
      </c>
      <c r="P414" s="13" t="e">
        <f ca="1">ROUNDUP($O414*VLOOKUP($M$4+$B414-1,Paraméterek!$H$58:$I$105,2,0)/Paraméterek!$I$56,IF($D$4="Forint",0,2))</f>
        <v>#N/A</v>
      </c>
      <c r="Q414" s="13">
        <f t="shared" ca="1" si="138"/>
        <v>0</v>
      </c>
      <c r="R414" s="33"/>
      <c r="S414" s="13" t="e">
        <f t="shared" ca="1" si="139"/>
        <v>#N/A</v>
      </c>
      <c r="T414" s="13" t="e">
        <f ca="1">ROUNDUP(($N414-$P414-$Q414+$S414)*VLOOKUP($B414,Paraméterek!$I$38:$K$39,IF($D$2="Egyszeri",3,2))/12*IF($D415="Nem",IF($M$13=0,1,$M$13),1),IF($D$4="Forint",0,2))</f>
        <v>#N/A</v>
      </c>
      <c r="U414" s="13"/>
      <c r="V414" s="13"/>
      <c r="W414" s="13" t="e">
        <f ca="1">$N414-$P414-$Q414+$S414-$T414-IF(ROUNDUP(IF(ISBLANK($V414),$U414*0,$V414)/IF($D$2="Egyszeri",VLOOKUP($B414+IF($C414=12,1,0),Paraméterek!$V$257:$W$262,2),IF($B414=1,1,VLOOKUP($B414+IF($C414=12,1,0),Paraméterek!$I$258:$T$278,HLOOKUP($M$11+1,Paraméterek!$J$256:$T$257,2)))),IF($D$4="Forint",0,2))&gt;$N414-$P414-$Q414+$S414-$T414-IF($D$4="Forint",Paraméterek!$C$216,Paraméterek!$D$216),0,ROUNDUP(IF(ISBLANK($V414),$U414*0,$V414)/IF($D$2="Egyszeri",VLOOKUP($B414+IF($C414=12,1,0),Paraméterek!$V$257:$W$262,2),IF($B414=1,1,VLOOKUP($B414+IF($C414=12,1,0),Paraméterek!$I$258:$T$278,HLOOKUP($M$11+1,Paraméterek!$J$256:$T$257,2)))),IF($D$4="Forint",0,2)))</f>
        <v>#N/A</v>
      </c>
      <c r="X414" s="13" t="e">
        <f ca="1">ROUNDDOWN($W414*IF($D$2="Egyszeri",VLOOKUP($B414+IF($C414=12,1,0),Paraméterek!$V$257:$W$262,2),VLOOKUP($B414+IF($C414=12,1,0),Paraméterek!$I$258:$T$278,HLOOKUP($M$11+1,Paraméterek!$I$256:$T$257,2))),IF($D$4="Forint",0,2))</f>
        <v>#N/A</v>
      </c>
      <c r="Z414" s="32">
        <v>395</v>
      </c>
      <c r="AA414" s="32">
        <v>33</v>
      </c>
      <c r="AB414" s="32">
        <v>11</v>
      </c>
      <c r="AC414" s="13">
        <f t="shared" ca="1" si="148"/>
        <v>0</v>
      </c>
      <c r="AD414" s="33"/>
      <c r="AE414" s="13">
        <f t="shared" ca="1" si="140"/>
        <v>0</v>
      </c>
      <c r="AF414" s="13">
        <f ca="1">ROUNDUP(($AC414+$AE414)*VLOOKUP($AA414,Paraméterek!$P$38:$Q$38,2)/12*IF($D415="Nem",IF($M$13=0,1,$M$13),1),IF($D$4="Forint",0,2))</f>
        <v>0</v>
      </c>
      <c r="AG414" s="13">
        <f ca="1">IF($D$2="Egyszeri",IF($D$7&gt;=IF($D$4="Forint",Paraméterek!$P$223,Paraméterek!$P$224),$D$7-IF($D$4="Forint",Paraméterek!$P$223,Paraméterek!$P$224),0),MIN(IF($AB414=12,AVERAGEIF($E$20:$E414,"&gt;0",$E$20:$E414)*12,0),SUM($E$20:$E$31)))</f>
        <v>0</v>
      </c>
      <c r="AH414" s="13">
        <f>IF($AA414=10,$AG414*IF($AB414=12,IF($AG414&lt;IF($D$4="Forint",Paraméterek!$L$223,Paraméterek!$L$224),0,VLOOKUP($AA414,Paraméterek!$K$226:$M$228,IF($AG414&lt;IF($D$4="Forint",Paraméterek!$M$223,Paraméterek!$M$224),2,3))),0),0)</f>
        <v>0</v>
      </c>
      <c r="AI414" s="13">
        <f ca="1">IF(AND($AA414=$M$11+1,$AB414=$M$12+1),SUMIF($AA$20:$AA$1027,$AA414,$AG$20:$AG$1027)*IF(SUMIF($AA$20:$AA$1027,$AA414,$AG$20:$AG$1027)&lt;IF($D$4="Forint",Paraméterek!$L$223,Paraméterek!$L$224),0,VLOOKUP($AA414,Paraméterek!$K$230:$M$250,IF(SUMIF($AA$20:$AA$1027,$AA414,$AG$20:$AG$1027)&lt;IF($D$4="Forint",Paraméterek!$M$223,Paraméterek!$M$224),2,3))),0)</f>
        <v>0</v>
      </c>
      <c r="AJ414" s="13">
        <f ca="1">IF(AND($AA414&gt;=5,MOD($AA414,5)=0),IF($AB414=12,VLOOKUP($AA414,Paraméterek!$O$225:$P$240,2),0),IF(OR($AA414=3,$AA414=4),IF($AB414=12,VLOOKUP($AA414,Paraméterek!$O$225:$P$240,2,0),0),0))*$AG414</f>
        <v>0</v>
      </c>
      <c r="AK414" s="13">
        <f t="shared" ca="1" si="141"/>
        <v>0</v>
      </c>
      <c r="AL414" s="13">
        <f t="shared" ca="1" si="149"/>
        <v>0</v>
      </c>
      <c r="AM414" s="13">
        <f t="shared" ca="1" si="150"/>
        <v>0</v>
      </c>
      <c r="AO414" s="32">
        <v>395</v>
      </c>
      <c r="AP414" s="32">
        <v>33</v>
      </c>
      <c r="AQ414" s="32">
        <v>11</v>
      </c>
      <c r="AR414" s="13"/>
      <c r="AS414" s="32"/>
      <c r="AT414" s="13">
        <f t="shared" ca="1" si="151"/>
        <v>0</v>
      </c>
      <c r="AU414" s="33"/>
      <c r="AV414" s="13">
        <f t="shared" ca="1" si="142"/>
        <v>0</v>
      </c>
      <c r="AW414" s="13">
        <f ca="1">ROUNDUP(($AT414+$AV414)*VLOOKUP($AP414,Paraméterek!$P$38:$Q$38,2)/12*IF($D415="Nem",IF($M$13=0,1,$M$13),1),IF($D$4="Forint",0,2))</f>
        <v>0</v>
      </c>
      <c r="AX414" s="13"/>
      <c r="AY414" s="13"/>
      <c r="AZ414" s="13">
        <f>ROUNDUP(IF(SUM($AX414:$AY414)=0,0,IF(IF(ISBLANK($AY414),$AX414,$AY414)*Paraméterek!$J$112&lt;IF($D$4="Forint",Paraméterek!$J$113,Paraméterek!$K$113),IF($D$4="Forint",Paraméterek!$J$113,Paraméterek!$K$113),IF(IF(ISBLANK($AY414),$AX414,$AY414)*Paraméterek!$J$112&gt;IF($D$4="Forint",Paraméterek!$J$114,Paraméterek!$K$114),IF($D$4="Forint",Paraméterek!$J$114,Paraméterek!$K$114),IF(ISBLANK($AY414),$AX414,$AY414)*Paraméterek!$J$112))),IF($D$4="Forint",0,2))</f>
        <v>0</v>
      </c>
      <c r="BA414" s="13">
        <f ca="1">$AT414+$AV414-$AW414-IF(ROUNDDOWN(IF(ISBLANK($AY414),$AX414,$AY414),IF($D$4="Forint",0,2))&gt;$AT414+$AV414-$AW414-IF($D$4="Forint",Paraméterek!$J$114,Paraméterek!$K$114),0,ROUNDDOWN(IF(ISBLANK($AY414),$AX414,$AY414),IF($D$4="Forint",0,2))-$AZ414)</f>
        <v>0</v>
      </c>
      <c r="BB414" s="13">
        <f t="shared" ca="1" si="143"/>
        <v>0</v>
      </c>
      <c r="BD414" s="32">
        <v>395</v>
      </c>
      <c r="BE414" s="32">
        <v>33</v>
      </c>
      <c r="BF414" s="32">
        <v>11</v>
      </c>
      <c r="BG414" s="34">
        <f t="shared" ca="1" si="152"/>
        <v>2052</v>
      </c>
      <c r="BH414" s="32" t="str">
        <f ca="1">IF(MOD(MONTH($D$14)+$BD414-1,12)=Paraméterek!$C$288,"Igen","")</f>
        <v/>
      </c>
      <c r="BI414" s="13">
        <f ca="1">IF($BH414="Igen",MIN(ROUNDDOWN((SUMIF($BG$20:$BG$1027,$BG414-1,$K$20:$K$1027)-SUMIF($BG$20:$BG$1027,$BG414-1,$I$20:$I$1027))*Paraméterek!$C$289,IF($D$4="Forint",0,2)),IF($D$4="Forint",Paraméterek!$C$285,Paraméterek!$D$285)),0)</f>
        <v>0</v>
      </c>
      <c r="BJ414" s="13">
        <f t="shared" ca="1" si="144"/>
        <v>0</v>
      </c>
      <c r="BK414" s="13">
        <f t="shared" ca="1" si="153"/>
        <v>0</v>
      </c>
      <c r="BL414" s="33"/>
      <c r="BM414" s="13">
        <f t="shared" ca="1" si="145"/>
        <v>0</v>
      </c>
      <c r="BN414" s="13">
        <f ca="1">ROUNDUP(($BK414+$BM414)*VLOOKUP($BE414,Paraméterek!$P$38:$Q$38,2)/12*IF($D415="Nem",IF($M$13=0,1,$M$13),1),IF($D$4="Forint",0,2))</f>
        <v>0</v>
      </c>
      <c r="BO414" s="13">
        <f t="shared" ca="1" si="146"/>
        <v>0</v>
      </c>
      <c r="BP414" s="13">
        <f ca="1">IF($D415="Nem",$BO414,$BO414-ROUNDUP(SUM($BI$20:$BI414)*120%,IF($D$4="Forint",0,2)))</f>
        <v>0</v>
      </c>
    </row>
    <row r="415" spans="1:68" x14ac:dyDescent="0.2">
      <c r="A415" s="32">
        <v>396</v>
      </c>
      <c r="B415" s="32">
        <v>33</v>
      </c>
      <c r="C415" s="32">
        <v>12</v>
      </c>
      <c r="D415" s="32" t="str">
        <f t="shared" ca="1" si="132"/>
        <v>Nem</v>
      </c>
      <c r="E415" s="13">
        <f t="shared" ca="1" si="133"/>
        <v>0</v>
      </c>
      <c r="F415" s="13"/>
      <c r="G415" s="13"/>
      <c r="H415" s="13"/>
      <c r="I415" s="13">
        <f t="shared" ca="1" si="134"/>
        <v>0</v>
      </c>
      <c r="J415" s="13">
        <f t="shared" ca="1" si="135"/>
        <v>0</v>
      </c>
      <c r="K415" s="13">
        <f t="shared" ca="1" si="136"/>
        <v>0</v>
      </c>
      <c r="L415" s="13" t="e">
        <f ca="1">ROUNDUP(IF($D$2="Egyszeri",$E415,IF($D$2="Havi",SUM($E$20:$E$31),IF(MOD($C415,$M$1)-1=0,SUM($E$20:$E$31),0))/12*$M$1)*VLOOKUP($B415,Paraméterek!$I$28:$P$31,IF($D$2="Egyszeri",8,HLOOKUP(ROUNDUP($M$11+$M$13,0),Paraméterek!$J$26:$O$27,2))),IF($D$4="Forint",0,2))</f>
        <v>#N/A</v>
      </c>
      <c r="M415" s="13">
        <f t="shared" ca="1" si="137"/>
        <v>0</v>
      </c>
      <c r="N415" s="13">
        <f t="shared" ca="1" si="147"/>
        <v>0</v>
      </c>
      <c r="O415" s="13">
        <f ca="1">IF($D415="Igen",IF($W414&gt;=IF($D$4="Forint",Paraméterek!$J$121,Paraméterek!$K$121),0,IF($D$4="Forint",Paraméterek!$J$121,Paraméterek!$K$121)-$W414),0)</f>
        <v>0</v>
      </c>
      <c r="P415" s="13" t="e">
        <f ca="1">ROUNDUP($O415*VLOOKUP($M$4+$B415-1,Paraméterek!$H$58:$I$105,2,0)/Paraméterek!$I$56,IF($D$4="Forint",0,2))</f>
        <v>#N/A</v>
      </c>
      <c r="Q415" s="13">
        <f t="shared" ca="1" si="138"/>
        <v>0</v>
      </c>
      <c r="R415" s="33"/>
      <c r="S415" s="13" t="e">
        <f t="shared" ca="1" si="139"/>
        <v>#N/A</v>
      </c>
      <c r="T415" s="13" t="e">
        <f ca="1">ROUNDUP(($N415-$P415-$Q415+$S415)*VLOOKUP($B415,Paraméterek!$I$38:$K$39,IF($D$2="Egyszeri",3,2))/12*IF($D416="Nem",IF($M$13=0,1,$M$13),1),IF($D$4="Forint",0,2))</f>
        <v>#N/A</v>
      </c>
      <c r="U415" s="13">
        <f>Tranzakciók!$F$64</f>
        <v>0</v>
      </c>
      <c r="V415" s="13"/>
      <c r="W415" s="13" t="e">
        <f ca="1">$N415-$P415-$Q415+$S415-$T415-IF(ROUNDUP(IF(ISBLANK($V415),$U415*0,$V415)/IF($D$2="Egyszeri",VLOOKUP($B415+IF($C415=12,1,0),Paraméterek!$V$257:$W$262,2),IF($B415=1,1,VLOOKUP($B415+IF($C415=12,1,0),Paraméterek!$I$258:$T$278,HLOOKUP($M$11+1,Paraméterek!$J$256:$T$257,2)))),IF($D$4="Forint",0,2))&gt;$N415-$P415-$Q415+$S415-$T415-IF($D$4="Forint",Paraméterek!$C$216,Paraméterek!$D$216),0,ROUNDUP(IF(ISBLANK($V415),$U415*0,$V415)/IF($D$2="Egyszeri",VLOOKUP($B415+IF($C415=12,1,0),Paraméterek!$V$257:$W$262,2),IF($B415=1,1,VLOOKUP($B415+IF($C415=12,1,0),Paraméterek!$I$258:$T$278,HLOOKUP($M$11+1,Paraméterek!$J$256:$T$257,2)))),IF($D$4="Forint",0,2)))</f>
        <v>#N/A</v>
      </c>
      <c r="X415" s="13" t="e">
        <f ca="1">ROUNDDOWN($W415*IF($D$2="Egyszeri",VLOOKUP($B415+IF($C415=12,1,0),Paraméterek!$V$257:$W$262,2),VLOOKUP($B415+IF($C415=12,1,0),Paraméterek!$I$258:$T$278,HLOOKUP($M$11+1,Paraméterek!$I$256:$T$257,2))),IF($D$4="Forint",0,2))</f>
        <v>#N/A</v>
      </c>
      <c r="Z415" s="32">
        <v>396</v>
      </c>
      <c r="AA415" s="32">
        <v>33</v>
      </c>
      <c r="AB415" s="32">
        <v>12</v>
      </c>
      <c r="AC415" s="13">
        <f t="shared" ca="1" si="148"/>
        <v>0</v>
      </c>
      <c r="AD415" s="33"/>
      <c r="AE415" s="13">
        <f t="shared" ca="1" si="140"/>
        <v>0</v>
      </c>
      <c r="AF415" s="13">
        <f ca="1">ROUNDUP(($AC415+$AE415)*VLOOKUP($AA415,Paraméterek!$P$38:$Q$38,2)/12*IF($D416="Nem",IF($M$13=0,1,$M$13),1),IF($D$4="Forint",0,2))</f>
        <v>0</v>
      </c>
      <c r="AG415" s="13" t="e">
        <f ca="1">IF($D$2="Egyszeri",IF($D$7&gt;=IF($D$4="Forint",Paraméterek!$P$223,Paraméterek!$P$224),$D$7-IF($D$4="Forint",Paraméterek!$P$223,Paraméterek!$P$224),0),MIN(IF($AB415=12,AVERAGEIF($E$20:$E415,"&gt;0",$E$20:$E415)*12,0),SUM($E$20:$E$31)))</f>
        <v>#DIV/0!</v>
      </c>
      <c r="AH415" s="13">
        <f>IF($AA415=10,$AG415*IF($AB415=12,IF($AG415&lt;IF($D$4="Forint",Paraméterek!$L$223,Paraméterek!$L$224),0,VLOOKUP($AA415,Paraméterek!$K$226:$M$228,IF($AG415&lt;IF($D$4="Forint",Paraméterek!$M$223,Paraméterek!$M$224),2,3))),0),0)</f>
        <v>0</v>
      </c>
      <c r="AI415" s="13">
        <f ca="1">IF(AND($AA415=$M$11+1,$AB415=$M$12+1),SUMIF($AA$20:$AA$1027,$AA415,$AG$20:$AG$1027)*IF(SUMIF($AA$20:$AA$1027,$AA415,$AG$20:$AG$1027)&lt;IF($D$4="Forint",Paraméterek!$L$223,Paraméterek!$L$224),0,VLOOKUP($AA415,Paraméterek!$K$230:$M$250,IF(SUMIF($AA$20:$AA$1027,$AA415,$AG$20:$AG$1027)&lt;IF($D$4="Forint",Paraméterek!$M$223,Paraméterek!$M$224),2,3))),0)</f>
        <v>0</v>
      </c>
      <c r="AJ415" s="13" t="e">
        <f ca="1">IF(AND($AA415&gt;=5,MOD($AA415,5)=0),IF($AB415=12,VLOOKUP($AA415,Paraméterek!$O$225:$P$240,2),0),IF(OR($AA415=3,$AA415=4),IF($AB415=12,VLOOKUP($AA415,Paraméterek!$O$225:$P$240,2,0),0),0))*$AG415</f>
        <v>#DIV/0!</v>
      </c>
      <c r="AK415" s="13">
        <f t="shared" ca="1" si="141"/>
        <v>0</v>
      </c>
      <c r="AL415" s="13">
        <f t="shared" ca="1" si="149"/>
        <v>0</v>
      </c>
      <c r="AM415" s="13">
        <f t="shared" ca="1" si="150"/>
        <v>0</v>
      </c>
      <c r="AO415" s="32">
        <v>396</v>
      </c>
      <c r="AP415" s="32">
        <v>33</v>
      </c>
      <c r="AQ415" s="32">
        <v>12</v>
      </c>
      <c r="AR415" s="13"/>
      <c r="AS415" s="32"/>
      <c r="AT415" s="13">
        <f t="shared" ca="1" si="151"/>
        <v>0</v>
      </c>
      <c r="AU415" s="33"/>
      <c r="AV415" s="13">
        <f t="shared" ca="1" si="142"/>
        <v>0</v>
      </c>
      <c r="AW415" s="13">
        <f ca="1">ROUNDUP(($AT415+$AV415)*VLOOKUP($AP415,Paraméterek!$P$38:$Q$38,2)/12*IF($D416="Nem",IF($M$13=0,1,$M$13),1),IF($D$4="Forint",0,2))</f>
        <v>0</v>
      </c>
      <c r="AX415" s="13">
        <f>Tranzakciók!$M$64</f>
        <v>0</v>
      </c>
      <c r="AY415" s="13"/>
      <c r="AZ415" s="13">
        <f>ROUNDUP(IF(SUM($AX415:$AY415)=0,0,IF(IF(ISBLANK($AY415),$AX415,$AY415)*Paraméterek!$J$112&lt;IF($D$4="Forint",Paraméterek!$J$113,Paraméterek!$K$113),IF($D$4="Forint",Paraméterek!$J$113,Paraméterek!$K$113),IF(IF(ISBLANK($AY415),$AX415,$AY415)*Paraméterek!$J$112&gt;IF($D$4="Forint",Paraméterek!$J$114,Paraméterek!$K$114),IF($D$4="Forint",Paraméterek!$J$114,Paraméterek!$K$114),IF(ISBLANK($AY415),$AX415,$AY415)*Paraméterek!$J$112))),IF($D$4="Forint",0,2))</f>
        <v>0</v>
      </c>
      <c r="BA415" s="13">
        <f ca="1">$AT415+$AV415-$AW415-IF(ROUNDDOWN(IF(ISBLANK($AY415),$AX415,$AY415),IF($D$4="Forint",0,2))&gt;$AT415+$AV415-$AW415-IF($D$4="Forint",Paraméterek!$J$114,Paraméterek!$K$114),0,ROUNDDOWN(IF(ISBLANK($AY415),$AX415,$AY415),IF($D$4="Forint",0,2))-$AZ415)</f>
        <v>0</v>
      </c>
      <c r="BB415" s="13">
        <f t="shared" ca="1" si="143"/>
        <v>0</v>
      </c>
      <c r="BD415" s="32">
        <v>396</v>
      </c>
      <c r="BE415" s="32">
        <v>33</v>
      </c>
      <c r="BF415" s="32">
        <v>12</v>
      </c>
      <c r="BG415" s="34">
        <f t="shared" ca="1" si="152"/>
        <v>2052</v>
      </c>
      <c r="BH415" s="32" t="str">
        <f ca="1">IF(MOD(MONTH($D$14)+$BD415-1,12)=Paraméterek!$C$288,"Igen","")</f>
        <v/>
      </c>
      <c r="BI415" s="13">
        <f ca="1">IF($BH415="Igen",MIN(ROUNDDOWN((SUMIF($BG$20:$BG$1027,$BG415-1,$K$20:$K$1027)-SUMIF($BG$20:$BG$1027,$BG415-1,$I$20:$I$1027))*Paraméterek!$C$289,IF($D$4="Forint",0,2)),IF($D$4="Forint",Paraméterek!$C$285,Paraméterek!$D$285)),0)</f>
        <v>0</v>
      </c>
      <c r="BJ415" s="13">
        <f t="shared" ca="1" si="144"/>
        <v>0</v>
      </c>
      <c r="BK415" s="13">
        <f t="shared" ca="1" si="153"/>
        <v>0</v>
      </c>
      <c r="BL415" s="33"/>
      <c r="BM415" s="13">
        <f t="shared" ca="1" si="145"/>
        <v>0</v>
      </c>
      <c r="BN415" s="13">
        <f ca="1">ROUNDUP(($BK415+$BM415)*VLOOKUP($BE415,Paraméterek!$P$38:$Q$38,2)/12*IF($D416="Nem",IF($M$13=0,1,$M$13),1),IF($D$4="Forint",0,2))</f>
        <v>0</v>
      </c>
      <c r="BO415" s="13">
        <f t="shared" ca="1" si="146"/>
        <v>0</v>
      </c>
      <c r="BP415" s="13">
        <f ca="1">IF($D416="Nem",$BO415,$BO415-ROUNDUP(SUM($BI$20:$BI415)*120%,IF($D$4="Forint",0,2)))</f>
        <v>0</v>
      </c>
    </row>
    <row r="416" spans="1:68" x14ac:dyDescent="0.2">
      <c r="A416" s="32">
        <v>397</v>
      </c>
      <c r="B416" s="32">
        <v>34</v>
      </c>
      <c r="C416" s="32">
        <v>1</v>
      </c>
      <c r="D416" s="32" t="str">
        <f t="shared" ca="1" si="132"/>
        <v>Nem</v>
      </c>
      <c r="E416" s="13">
        <f t="shared" ca="1" si="133"/>
        <v>0</v>
      </c>
      <c r="F416" s="13"/>
      <c r="G416" s="13">
        <f>Tranzakciók!$D$65</f>
        <v>0</v>
      </c>
      <c r="H416" s="13"/>
      <c r="I416" s="13">
        <f t="shared" ca="1" si="134"/>
        <v>0</v>
      </c>
      <c r="J416" s="13">
        <f t="shared" ca="1" si="135"/>
        <v>0</v>
      </c>
      <c r="K416" s="13">
        <f t="shared" ca="1" si="136"/>
        <v>0</v>
      </c>
      <c r="L416" s="13" t="e">
        <f ca="1">ROUNDUP(IF($D$2="Egyszeri",$E416,IF($D$2="Havi",SUM($E$20:$E$31),IF(MOD($C416,$M$1)-1=0,SUM($E$20:$E$31),0))/12*$M$1)*VLOOKUP($B416,Paraméterek!$I$28:$P$31,IF($D$2="Egyszeri",8,HLOOKUP(ROUNDUP($M$11+$M$13,0),Paraméterek!$J$26:$O$27,2))),IF($D$4="Forint",0,2))</f>
        <v>#N/A</v>
      </c>
      <c r="M416" s="13">
        <f t="shared" ca="1" si="137"/>
        <v>0</v>
      </c>
      <c r="N416" s="13">
        <f t="shared" ca="1" si="147"/>
        <v>0</v>
      </c>
      <c r="O416" s="13">
        <f ca="1">IF($D416="Igen",IF($W415&gt;=IF($D$4="Forint",Paraméterek!$J$121,Paraméterek!$K$121),0,IF($D$4="Forint",Paraméterek!$J$121,Paraméterek!$K$121)-$W415),0)</f>
        <v>0</v>
      </c>
      <c r="P416" s="13" t="e">
        <f ca="1">ROUNDUP($O416*VLOOKUP($M$4+$B416-1,Paraméterek!$H$58:$I$105,2,0)/Paraméterek!$I$56,IF($D$4="Forint",0,2))</f>
        <v>#N/A</v>
      </c>
      <c r="Q416" s="13">
        <f t="shared" ca="1" si="138"/>
        <v>0</v>
      </c>
      <c r="R416" s="33"/>
      <c r="S416" s="13" t="e">
        <f t="shared" ca="1" si="139"/>
        <v>#N/A</v>
      </c>
      <c r="T416" s="13" t="e">
        <f ca="1">ROUNDUP(($N416-$P416-$Q416+$S416)*VLOOKUP($B416,Paraméterek!$I$38:$K$39,IF($D$2="Egyszeri",3,2))/12*IF($D417="Nem",IF($M$13=0,1,$M$13),1),IF($D$4="Forint",0,2))</f>
        <v>#N/A</v>
      </c>
      <c r="U416" s="13"/>
      <c r="V416" s="13"/>
      <c r="W416" s="13" t="e">
        <f ca="1">$N416-$P416-$Q416+$S416-$T416-IF(ROUNDUP(IF(ISBLANK($V416),$U416*0,$V416)/IF($D$2="Egyszeri",VLOOKUP($B416+IF($C416=12,1,0),Paraméterek!$V$257:$W$262,2),IF($B416=1,1,VLOOKUP($B416+IF($C416=12,1,0),Paraméterek!$I$258:$T$278,HLOOKUP($M$11+1,Paraméterek!$J$256:$T$257,2)))),IF($D$4="Forint",0,2))&gt;$N416-$P416-$Q416+$S416-$T416-IF($D$4="Forint",Paraméterek!$C$216,Paraméterek!$D$216),0,ROUNDUP(IF(ISBLANK($V416),$U416*0,$V416)/IF($D$2="Egyszeri",VLOOKUP($B416+IF($C416=12,1,0),Paraméterek!$V$257:$W$262,2),IF($B416=1,1,VLOOKUP($B416+IF($C416=12,1,0),Paraméterek!$I$258:$T$278,HLOOKUP($M$11+1,Paraméterek!$J$256:$T$257,2)))),IF($D$4="Forint",0,2)))</f>
        <v>#N/A</v>
      </c>
      <c r="X416" s="13" t="e">
        <f ca="1">ROUNDDOWN($W416*IF($D$2="Egyszeri",VLOOKUP($B416+IF($C416=12,1,0),Paraméterek!$V$257:$W$262,2),VLOOKUP($B416+IF($C416=12,1,0),Paraméterek!$I$258:$T$278,HLOOKUP($M$11+1,Paraméterek!$I$256:$T$257,2))),IF($D$4="Forint",0,2))</f>
        <v>#N/A</v>
      </c>
      <c r="Z416" s="32">
        <v>397</v>
      </c>
      <c r="AA416" s="32">
        <v>34</v>
      </c>
      <c r="AB416" s="32">
        <v>1</v>
      </c>
      <c r="AC416" s="13">
        <f t="shared" ca="1" si="148"/>
        <v>0</v>
      </c>
      <c r="AD416" s="33"/>
      <c r="AE416" s="13">
        <f t="shared" ca="1" si="140"/>
        <v>0</v>
      </c>
      <c r="AF416" s="13">
        <f ca="1">ROUNDUP(($AC416+$AE416)*VLOOKUP($AA416,Paraméterek!$P$38:$Q$38,2)/12*IF($D417="Nem",IF($M$13=0,1,$M$13),1),IF($D$4="Forint",0,2))</f>
        <v>0</v>
      </c>
      <c r="AG416" s="13">
        <f ca="1">IF($D$2="Egyszeri",IF($D$7&gt;=IF($D$4="Forint",Paraméterek!$P$223,Paraméterek!$P$224),$D$7-IF($D$4="Forint",Paraméterek!$P$223,Paraméterek!$P$224),0),MIN(IF($AB416=12,AVERAGEIF($E$20:$E416,"&gt;0",$E$20:$E416)*12,0),SUM($E$20:$E$31)))</f>
        <v>0</v>
      </c>
      <c r="AH416" s="13">
        <f>IF($AA416=10,$AG416*IF($AB416=12,IF($AG416&lt;IF($D$4="Forint",Paraméterek!$L$223,Paraméterek!$L$224),0,VLOOKUP($AA416,Paraméterek!$K$226:$M$228,IF($AG416&lt;IF($D$4="Forint",Paraméterek!$M$223,Paraméterek!$M$224),2,3))),0),0)</f>
        <v>0</v>
      </c>
      <c r="AI416" s="13">
        <f ca="1">IF(AND($AA416=$M$11+1,$AB416=$M$12+1),SUMIF($AA$20:$AA$1027,$AA416,$AG$20:$AG$1027)*IF(SUMIF($AA$20:$AA$1027,$AA416,$AG$20:$AG$1027)&lt;IF($D$4="Forint",Paraméterek!$L$223,Paraméterek!$L$224),0,VLOOKUP($AA416,Paraméterek!$K$230:$M$250,IF(SUMIF($AA$20:$AA$1027,$AA416,$AG$20:$AG$1027)&lt;IF($D$4="Forint",Paraméterek!$M$223,Paraméterek!$M$224),2,3))),0)</f>
        <v>0</v>
      </c>
      <c r="AJ416" s="13">
        <f ca="1">IF(AND($AA416&gt;=5,MOD($AA416,5)=0),IF($AB416=12,VLOOKUP($AA416,Paraméterek!$O$225:$P$240,2),0),IF(OR($AA416=3,$AA416=4),IF($AB416=12,VLOOKUP($AA416,Paraméterek!$O$225:$P$240,2,0),0),0))*$AG416</f>
        <v>0</v>
      </c>
      <c r="AK416" s="13">
        <f t="shared" ca="1" si="141"/>
        <v>0</v>
      </c>
      <c r="AL416" s="13">
        <f t="shared" ca="1" si="149"/>
        <v>0</v>
      </c>
      <c r="AM416" s="13">
        <f t="shared" ca="1" si="150"/>
        <v>0</v>
      </c>
      <c r="AO416" s="32">
        <v>397</v>
      </c>
      <c r="AP416" s="32">
        <v>34</v>
      </c>
      <c r="AQ416" s="32">
        <v>1</v>
      </c>
      <c r="AR416" s="13">
        <f>Tranzakciók!$K$65</f>
        <v>0</v>
      </c>
      <c r="AS416" s="32"/>
      <c r="AT416" s="13">
        <f t="shared" ca="1" si="151"/>
        <v>0</v>
      </c>
      <c r="AU416" s="33"/>
      <c r="AV416" s="13">
        <f t="shared" ca="1" si="142"/>
        <v>0</v>
      </c>
      <c r="AW416" s="13">
        <f ca="1">ROUNDUP(($AT416+$AV416)*VLOOKUP($AP416,Paraméterek!$P$38:$Q$38,2)/12*IF($D417="Nem",IF($M$13=0,1,$M$13),1),IF($D$4="Forint",0,2))</f>
        <v>0</v>
      </c>
      <c r="AX416" s="13"/>
      <c r="AY416" s="13"/>
      <c r="AZ416" s="13">
        <f>ROUNDUP(IF(SUM($AX416:$AY416)=0,0,IF(IF(ISBLANK($AY416),$AX416,$AY416)*Paraméterek!$J$112&lt;IF($D$4="Forint",Paraméterek!$J$113,Paraméterek!$K$113),IF($D$4="Forint",Paraméterek!$J$113,Paraméterek!$K$113),IF(IF(ISBLANK($AY416),$AX416,$AY416)*Paraméterek!$J$112&gt;IF($D$4="Forint",Paraméterek!$J$114,Paraméterek!$K$114),IF($D$4="Forint",Paraméterek!$J$114,Paraméterek!$K$114),IF(ISBLANK($AY416),$AX416,$AY416)*Paraméterek!$J$112))),IF($D$4="Forint",0,2))</f>
        <v>0</v>
      </c>
      <c r="BA416" s="13">
        <f ca="1">$AT416+$AV416-$AW416-IF(ROUNDDOWN(IF(ISBLANK($AY416),$AX416,$AY416),IF($D$4="Forint",0,2))&gt;$AT416+$AV416-$AW416-IF($D$4="Forint",Paraméterek!$J$114,Paraméterek!$K$114),0,ROUNDDOWN(IF(ISBLANK($AY416),$AX416,$AY416),IF($D$4="Forint",0,2))-$AZ416)</f>
        <v>0</v>
      </c>
      <c r="BB416" s="13">
        <f t="shared" ca="1" si="143"/>
        <v>0</v>
      </c>
      <c r="BD416" s="32">
        <v>397</v>
      </c>
      <c r="BE416" s="32">
        <v>34</v>
      </c>
      <c r="BF416" s="32">
        <v>1</v>
      </c>
      <c r="BG416" s="34">
        <f t="shared" ca="1" si="152"/>
        <v>2052</v>
      </c>
      <c r="BH416" s="32" t="str">
        <f ca="1">IF(MOD(MONTH($D$14)+$BD416-1,12)=Paraméterek!$C$288,"Igen","")</f>
        <v/>
      </c>
      <c r="BI416" s="13">
        <f ca="1">IF($BH416="Igen",MIN(ROUNDDOWN((SUMIF($BG$20:$BG$1027,$BG416-1,$K$20:$K$1027)-SUMIF($BG$20:$BG$1027,$BG416-1,$I$20:$I$1027))*Paraméterek!$C$289,IF($D$4="Forint",0,2)),IF($D$4="Forint",Paraméterek!$C$285,Paraméterek!$D$285)),0)</f>
        <v>0</v>
      </c>
      <c r="BJ416" s="13">
        <f t="shared" ca="1" si="144"/>
        <v>0</v>
      </c>
      <c r="BK416" s="13">
        <f t="shared" ca="1" si="153"/>
        <v>0</v>
      </c>
      <c r="BL416" s="33"/>
      <c r="BM416" s="13">
        <f t="shared" ca="1" si="145"/>
        <v>0</v>
      </c>
      <c r="BN416" s="13">
        <f ca="1">ROUNDUP(($BK416+$BM416)*VLOOKUP($BE416,Paraméterek!$P$38:$Q$38,2)/12*IF($D417="Nem",IF($M$13=0,1,$M$13),1),IF($D$4="Forint",0,2))</f>
        <v>0</v>
      </c>
      <c r="BO416" s="13">
        <f t="shared" ca="1" si="146"/>
        <v>0</v>
      </c>
      <c r="BP416" s="13">
        <f ca="1">IF($D417="Nem",$BO416,$BO416-ROUNDUP(SUM($BI$20:$BI416)*120%,IF($D$4="Forint",0,2)))</f>
        <v>0</v>
      </c>
    </row>
    <row r="417" spans="1:68" x14ac:dyDescent="0.2">
      <c r="A417" s="32">
        <v>398</v>
      </c>
      <c r="B417" s="32">
        <v>34</v>
      </c>
      <c r="C417" s="32">
        <v>2</v>
      </c>
      <c r="D417" s="32" t="str">
        <f t="shared" ca="1" si="132"/>
        <v>Nem</v>
      </c>
      <c r="E417" s="13">
        <f t="shared" ca="1" si="133"/>
        <v>0</v>
      </c>
      <c r="F417" s="13"/>
      <c r="G417" s="13"/>
      <c r="H417" s="13"/>
      <c r="I417" s="13">
        <f t="shared" ca="1" si="134"/>
        <v>0</v>
      </c>
      <c r="J417" s="13">
        <f t="shared" ca="1" si="135"/>
        <v>0</v>
      </c>
      <c r="K417" s="13">
        <f t="shared" ca="1" si="136"/>
        <v>0</v>
      </c>
      <c r="L417" s="13" t="e">
        <f ca="1">ROUNDUP(IF($D$2="Egyszeri",$E417,IF($D$2="Havi",SUM($E$20:$E$31),IF(MOD($C417,$M$1)-1=0,SUM($E$20:$E$31),0))/12*$M$1)*VLOOKUP($B417,Paraméterek!$I$28:$P$31,IF($D$2="Egyszeri",8,HLOOKUP(ROUNDUP($M$11+$M$13,0),Paraméterek!$J$26:$O$27,2))),IF($D$4="Forint",0,2))</f>
        <v>#N/A</v>
      </c>
      <c r="M417" s="13">
        <f t="shared" ca="1" si="137"/>
        <v>0</v>
      </c>
      <c r="N417" s="13">
        <f t="shared" ca="1" si="147"/>
        <v>0</v>
      </c>
      <c r="O417" s="13">
        <f ca="1">IF($D417="Igen",IF($W416&gt;=IF($D$4="Forint",Paraméterek!$J$121,Paraméterek!$K$121),0,IF($D$4="Forint",Paraméterek!$J$121,Paraméterek!$K$121)-$W416),0)</f>
        <v>0</v>
      </c>
      <c r="P417" s="13" t="e">
        <f ca="1">ROUNDUP($O417*VLOOKUP($M$4+$B417-1,Paraméterek!$H$58:$I$105,2,0)/Paraméterek!$I$56,IF($D$4="Forint",0,2))</f>
        <v>#N/A</v>
      </c>
      <c r="Q417" s="13">
        <f t="shared" ca="1" si="138"/>
        <v>0</v>
      </c>
      <c r="R417" s="33"/>
      <c r="S417" s="13" t="e">
        <f t="shared" ca="1" si="139"/>
        <v>#N/A</v>
      </c>
      <c r="T417" s="13" t="e">
        <f ca="1">ROUNDUP(($N417-$P417-$Q417+$S417)*VLOOKUP($B417,Paraméterek!$I$38:$K$39,IF($D$2="Egyszeri",3,2))/12*IF($D418="Nem",IF($M$13=0,1,$M$13),1),IF($D$4="Forint",0,2))</f>
        <v>#N/A</v>
      </c>
      <c r="U417" s="13"/>
      <c r="V417" s="13"/>
      <c r="W417" s="13" t="e">
        <f ca="1">$N417-$P417-$Q417+$S417-$T417-IF(ROUNDUP(IF(ISBLANK($V417),$U417*0,$V417)/IF($D$2="Egyszeri",VLOOKUP($B417+IF($C417=12,1,0),Paraméterek!$V$257:$W$262,2),IF($B417=1,1,VLOOKUP($B417+IF($C417=12,1,0),Paraméterek!$I$258:$T$278,HLOOKUP($M$11+1,Paraméterek!$J$256:$T$257,2)))),IF($D$4="Forint",0,2))&gt;$N417-$P417-$Q417+$S417-$T417-IF($D$4="Forint",Paraméterek!$C$216,Paraméterek!$D$216),0,ROUNDUP(IF(ISBLANK($V417),$U417*0,$V417)/IF($D$2="Egyszeri",VLOOKUP($B417+IF($C417=12,1,0),Paraméterek!$V$257:$W$262,2),IF($B417=1,1,VLOOKUP($B417+IF($C417=12,1,0),Paraméterek!$I$258:$T$278,HLOOKUP($M$11+1,Paraméterek!$J$256:$T$257,2)))),IF($D$4="Forint",0,2)))</f>
        <v>#N/A</v>
      </c>
      <c r="X417" s="13" t="e">
        <f ca="1">ROUNDDOWN($W417*IF($D$2="Egyszeri",VLOOKUP($B417+IF($C417=12,1,0),Paraméterek!$V$257:$W$262,2),VLOOKUP($B417+IF($C417=12,1,0),Paraméterek!$I$258:$T$278,HLOOKUP($M$11+1,Paraméterek!$I$256:$T$257,2))),IF($D$4="Forint",0,2))</f>
        <v>#N/A</v>
      </c>
      <c r="Z417" s="32">
        <v>398</v>
      </c>
      <c r="AA417" s="32">
        <v>34</v>
      </c>
      <c r="AB417" s="32">
        <v>2</v>
      </c>
      <c r="AC417" s="13">
        <f t="shared" ca="1" si="148"/>
        <v>0</v>
      </c>
      <c r="AD417" s="33"/>
      <c r="AE417" s="13">
        <f t="shared" ca="1" si="140"/>
        <v>0</v>
      </c>
      <c r="AF417" s="13">
        <f ca="1">ROUNDUP(($AC417+$AE417)*VLOOKUP($AA417,Paraméterek!$P$38:$Q$38,2)/12*IF($D418="Nem",IF($M$13=0,1,$M$13),1),IF($D$4="Forint",0,2))</f>
        <v>0</v>
      </c>
      <c r="AG417" s="13">
        <f ca="1">IF($D$2="Egyszeri",IF($D$7&gt;=IF($D$4="Forint",Paraméterek!$P$223,Paraméterek!$P$224),$D$7-IF($D$4="Forint",Paraméterek!$P$223,Paraméterek!$P$224),0),MIN(IF($AB417=12,AVERAGEIF($E$20:$E417,"&gt;0",$E$20:$E417)*12,0),SUM($E$20:$E$31)))</f>
        <v>0</v>
      </c>
      <c r="AH417" s="13">
        <f>IF($AA417=10,$AG417*IF($AB417=12,IF($AG417&lt;IF($D$4="Forint",Paraméterek!$L$223,Paraméterek!$L$224),0,VLOOKUP($AA417,Paraméterek!$K$226:$M$228,IF($AG417&lt;IF($D$4="Forint",Paraméterek!$M$223,Paraméterek!$M$224),2,3))),0),0)</f>
        <v>0</v>
      </c>
      <c r="AI417" s="13">
        <f ca="1">IF(AND($AA417=$M$11+1,$AB417=$M$12+1),SUMIF($AA$20:$AA$1027,$AA417,$AG$20:$AG$1027)*IF(SUMIF($AA$20:$AA$1027,$AA417,$AG$20:$AG$1027)&lt;IF($D$4="Forint",Paraméterek!$L$223,Paraméterek!$L$224),0,VLOOKUP($AA417,Paraméterek!$K$230:$M$250,IF(SUMIF($AA$20:$AA$1027,$AA417,$AG$20:$AG$1027)&lt;IF($D$4="Forint",Paraméterek!$M$223,Paraméterek!$M$224),2,3))),0)</f>
        <v>0</v>
      </c>
      <c r="AJ417" s="13">
        <f ca="1">IF(AND($AA417&gt;=5,MOD($AA417,5)=0),IF($AB417=12,VLOOKUP($AA417,Paraméterek!$O$225:$P$240,2),0),IF(OR($AA417=3,$AA417=4),IF($AB417=12,VLOOKUP($AA417,Paraméterek!$O$225:$P$240,2,0),0),0))*$AG417</f>
        <v>0</v>
      </c>
      <c r="AK417" s="13">
        <f t="shared" ca="1" si="141"/>
        <v>0</v>
      </c>
      <c r="AL417" s="13">
        <f t="shared" ca="1" si="149"/>
        <v>0</v>
      </c>
      <c r="AM417" s="13">
        <f t="shared" ca="1" si="150"/>
        <v>0</v>
      </c>
      <c r="AO417" s="32">
        <v>398</v>
      </c>
      <c r="AP417" s="32">
        <v>34</v>
      </c>
      <c r="AQ417" s="32">
        <v>2</v>
      </c>
      <c r="AR417" s="13"/>
      <c r="AS417" s="32"/>
      <c r="AT417" s="13">
        <f t="shared" ca="1" si="151"/>
        <v>0</v>
      </c>
      <c r="AU417" s="33"/>
      <c r="AV417" s="13">
        <f t="shared" ca="1" si="142"/>
        <v>0</v>
      </c>
      <c r="AW417" s="13">
        <f ca="1">ROUNDUP(($AT417+$AV417)*VLOOKUP($AP417,Paraméterek!$P$38:$Q$38,2)/12*IF($D418="Nem",IF($M$13=0,1,$M$13),1),IF($D$4="Forint",0,2))</f>
        <v>0</v>
      </c>
      <c r="AX417" s="13"/>
      <c r="AY417" s="13"/>
      <c r="AZ417" s="13">
        <f>ROUNDUP(IF(SUM($AX417:$AY417)=0,0,IF(IF(ISBLANK($AY417),$AX417,$AY417)*Paraméterek!$J$112&lt;IF($D$4="Forint",Paraméterek!$J$113,Paraméterek!$K$113),IF($D$4="Forint",Paraméterek!$J$113,Paraméterek!$K$113),IF(IF(ISBLANK($AY417),$AX417,$AY417)*Paraméterek!$J$112&gt;IF($D$4="Forint",Paraméterek!$J$114,Paraméterek!$K$114),IF($D$4="Forint",Paraméterek!$J$114,Paraméterek!$K$114),IF(ISBLANK($AY417),$AX417,$AY417)*Paraméterek!$J$112))),IF($D$4="Forint",0,2))</f>
        <v>0</v>
      </c>
      <c r="BA417" s="13">
        <f ca="1">$AT417+$AV417-$AW417-IF(ROUNDDOWN(IF(ISBLANK($AY417),$AX417,$AY417),IF($D$4="Forint",0,2))&gt;$AT417+$AV417-$AW417-IF($D$4="Forint",Paraméterek!$J$114,Paraméterek!$K$114),0,ROUNDDOWN(IF(ISBLANK($AY417),$AX417,$AY417),IF($D$4="Forint",0,2))-$AZ417)</f>
        <v>0</v>
      </c>
      <c r="BB417" s="13">
        <f t="shared" ca="1" si="143"/>
        <v>0</v>
      </c>
      <c r="BD417" s="32">
        <v>398</v>
      </c>
      <c r="BE417" s="32">
        <v>34</v>
      </c>
      <c r="BF417" s="32">
        <v>2</v>
      </c>
      <c r="BG417" s="34">
        <f t="shared" ca="1" si="152"/>
        <v>2052</v>
      </c>
      <c r="BH417" s="32" t="str">
        <f ca="1">IF(MOD(MONTH($D$14)+$BD417-1,12)=Paraméterek!$C$288,"Igen","")</f>
        <v>Igen</v>
      </c>
      <c r="BI417" s="13">
        <f ca="1">IF($BH417="Igen",MIN(ROUNDDOWN((SUMIF($BG$20:$BG$1027,$BG417-1,$K$20:$K$1027)-SUMIF($BG$20:$BG$1027,$BG417-1,$I$20:$I$1027))*Paraméterek!$C$289,IF($D$4="Forint",0,2)),IF($D$4="Forint",Paraméterek!$C$285,Paraméterek!$D$285)),0)</f>
        <v>0</v>
      </c>
      <c r="BJ417" s="13">
        <f t="shared" ca="1" si="144"/>
        <v>0</v>
      </c>
      <c r="BK417" s="13">
        <f t="shared" ca="1" si="153"/>
        <v>0</v>
      </c>
      <c r="BL417" s="33"/>
      <c r="BM417" s="13">
        <f t="shared" ca="1" si="145"/>
        <v>0</v>
      </c>
      <c r="BN417" s="13">
        <f ca="1">ROUNDUP(($BK417+$BM417)*VLOOKUP($BE417,Paraméterek!$P$38:$Q$38,2)/12*IF($D418="Nem",IF($M$13=0,1,$M$13),1),IF($D$4="Forint",0,2))</f>
        <v>0</v>
      </c>
      <c r="BO417" s="13">
        <f t="shared" ca="1" si="146"/>
        <v>0</v>
      </c>
      <c r="BP417" s="13">
        <f ca="1">IF($D418="Nem",$BO417,$BO417-ROUNDUP(SUM($BI$20:$BI417)*120%,IF($D$4="Forint",0,2)))</f>
        <v>0</v>
      </c>
    </row>
    <row r="418" spans="1:68" x14ac:dyDescent="0.2">
      <c r="A418" s="32">
        <v>399</v>
      </c>
      <c r="B418" s="32">
        <v>34</v>
      </c>
      <c r="C418" s="32">
        <v>3</v>
      </c>
      <c r="D418" s="32" t="str">
        <f t="shared" ca="1" si="132"/>
        <v>Nem</v>
      </c>
      <c r="E418" s="13">
        <f t="shared" ca="1" si="133"/>
        <v>0</v>
      </c>
      <c r="F418" s="13"/>
      <c r="G418" s="13"/>
      <c r="H418" s="13"/>
      <c r="I418" s="13">
        <f t="shared" ca="1" si="134"/>
        <v>0</v>
      </c>
      <c r="J418" s="13">
        <f t="shared" ca="1" si="135"/>
        <v>0</v>
      </c>
      <c r="K418" s="13">
        <f t="shared" ca="1" si="136"/>
        <v>0</v>
      </c>
      <c r="L418" s="13" t="e">
        <f ca="1">ROUNDUP(IF($D$2="Egyszeri",$E418,IF($D$2="Havi",SUM($E$20:$E$31),IF(MOD($C418,$M$1)-1=0,SUM($E$20:$E$31),0))/12*$M$1)*VLOOKUP($B418,Paraméterek!$I$28:$P$31,IF($D$2="Egyszeri",8,HLOOKUP(ROUNDUP($M$11+$M$13,0),Paraméterek!$J$26:$O$27,2))),IF($D$4="Forint",0,2))</f>
        <v>#N/A</v>
      </c>
      <c r="M418" s="13">
        <f t="shared" ca="1" si="137"/>
        <v>0</v>
      </c>
      <c r="N418" s="13">
        <f t="shared" ca="1" si="147"/>
        <v>0</v>
      </c>
      <c r="O418" s="13">
        <f ca="1">IF($D418="Igen",IF($W417&gt;=IF($D$4="Forint",Paraméterek!$J$121,Paraméterek!$K$121),0,IF($D$4="Forint",Paraméterek!$J$121,Paraméterek!$K$121)-$W417),0)</f>
        <v>0</v>
      </c>
      <c r="P418" s="13" t="e">
        <f ca="1">ROUNDUP($O418*VLOOKUP($M$4+$B418-1,Paraméterek!$H$58:$I$105,2,0)/Paraméterek!$I$56,IF($D$4="Forint",0,2))</f>
        <v>#N/A</v>
      </c>
      <c r="Q418" s="13">
        <f t="shared" ca="1" si="138"/>
        <v>0</v>
      </c>
      <c r="R418" s="33"/>
      <c r="S418" s="13" t="e">
        <f t="shared" ca="1" si="139"/>
        <v>#N/A</v>
      </c>
      <c r="T418" s="13" t="e">
        <f ca="1">ROUNDUP(($N418-$P418-$Q418+$S418)*VLOOKUP($B418,Paraméterek!$I$38:$K$39,IF($D$2="Egyszeri",3,2))/12*IF($D419="Nem",IF($M$13=0,1,$M$13),1),IF($D$4="Forint",0,2))</f>
        <v>#N/A</v>
      </c>
      <c r="U418" s="13"/>
      <c r="V418" s="13"/>
      <c r="W418" s="13" t="e">
        <f ca="1">$N418-$P418-$Q418+$S418-$T418-IF(ROUNDUP(IF(ISBLANK($V418),$U418*0,$V418)/IF($D$2="Egyszeri",VLOOKUP($B418+IF($C418=12,1,0),Paraméterek!$V$257:$W$262,2),IF($B418=1,1,VLOOKUP($B418+IF($C418=12,1,0),Paraméterek!$I$258:$T$278,HLOOKUP($M$11+1,Paraméterek!$J$256:$T$257,2)))),IF($D$4="Forint",0,2))&gt;$N418-$P418-$Q418+$S418-$T418-IF($D$4="Forint",Paraméterek!$C$216,Paraméterek!$D$216),0,ROUNDUP(IF(ISBLANK($V418),$U418*0,$V418)/IF($D$2="Egyszeri",VLOOKUP($B418+IF($C418=12,1,0),Paraméterek!$V$257:$W$262,2),IF($B418=1,1,VLOOKUP($B418+IF($C418=12,1,0),Paraméterek!$I$258:$T$278,HLOOKUP($M$11+1,Paraméterek!$J$256:$T$257,2)))),IF($D$4="Forint",0,2)))</f>
        <v>#N/A</v>
      </c>
      <c r="X418" s="13" t="e">
        <f ca="1">ROUNDDOWN($W418*IF($D$2="Egyszeri",VLOOKUP($B418+IF($C418=12,1,0),Paraméterek!$V$257:$W$262,2),VLOOKUP($B418+IF($C418=12,1,0),Paraméterek!$I$258:$T$278,HLOOKUP($M$11+1,Paraméterek!$I$256:$T$257,2))),IF($D$4="Forint",0,2))</f>
        <v>#N/A</v>
      </c>
      <c r="Z418" s="32">
        <v>399</v>
      </c>
      <c r="AA418" s="32">
        <v>34</v>
      </c>
      <c r="AB418" s="32">
        <v>3</v>
      </c>
      <c r="AC418" s="13">
        <f t="shared" ca="1" si="148"/>
        <v>0</v>
      </c>
      <c r="AD418" s="33"/>
      <c r="AE418" s="13">
        <f t="shared" ca="1" si="140"/>
        <v>0</v>
      </c>
      <c r="AF418" s="13">
        <f ca="1">ROUNDUP(($AC418+$AE418)*VLOOKUP($AA418,Paraméterek!$P$38:$Q$38,2)/12*IF($D419="Nem",IF($M$13=0,1,$M$13),1),IF($D$4="Forint",0,2))</f>
        <v>0</v>
      </c>
      <c r="AG418" s="13">
        <f ca="1">IF($D$2="Egyszeri",IF($D$7&gt;=IF($D$4="Forint",Paraméterek!$P$223,Paraméterek!$P$224),$D$7-IF($D$4="Forint",Paraméterek!$P$223,Paraméterek!$P$224),0),MIN(IF($AB418=12,AVERAGEIF($E$20:$E418,"&gt;0",$E$20:$E418)*12,0),SUM($E$20:$E$31)))</f>
        <v>0</v>
      </c>
      <c r="AH418" s="13">
        <f>IF($AA418=10,$AG418*IF($AB418=12,IF($AG418&lt;IF($D$4="Forint",Paraméterek!$L$223,Paraméterek!$L$224),0,VLOOKUP($AA418,Paraméterek!$K$226:$M$228,IF($AG418&lt;IF($D$4="Forint",Paraméterek!$M$223,Paraméterek!$M$224),2,3))),0),0)</f>
        <v>0</v>
      </c>
      <c r="AI418" s="13">
        <f ca="1">IF(AND($AA418=$M$11+1,$AB418=$M$12+1),SUMIF($AA$20:$AA$1027,$AA418,$AG$20:$AG$1027)*IF(SUMIF($AA$20:$AA$1027,$AA418,$AG$20:$AG$1027)&lt;IF($D$4="Forint",Paraméterek!$L$223,Paraméterek!$L$224),0,VLOOKUP($AA418,Paraméterek!$K$230:$M$250,IF(SUMIF($AA$20:$AA$1027,$AA418,$AG$20:$AG$1027)&lt;IF($D$4="Forint",Paraméterek!$M$223,Paraméterek!$M$224),2,3))),0)</f>
        <v>0</v>
      </c>
      <c r="AJ418" s="13">
        <f ca="1">IF(AND($AA418&gt;=5,MOD($AA418,5)=0),IF($AB418=12,VLOOKUP($AA418,Paraméterek!$O$225:$P$240,2),0),IF(OR($AA418=3,$AA418=4),IF($AB418=12,VLOOKUP($AA418,Paraméterek!$O$225:$P$240,2,0),0),0))*$AG418</f>
        <v>0</v>
      </c>
      <c r="AK418" s="13">
        <f t="shared" ca="1" si="141"/>
        <v>0</v>
      </c>
      <c r="AL418" s="13">
        <f t="shared" ca="1" si="149"/>
        <v>0</v>
      </c>
      <c r="AM418" s="13">
        <f t="shared" ca="1" si="150"/>
        <v>0</v>
      </c>
      <c r="AO418" s="32">
        <v>399</v>
      </c>
      <c r="AP418" s="32">
        <v>34</v>
      </c>
      <c r="AQ418" s="32">
        <v>3</v>
      </c>
      <c r="AR418" s="13"/>
      <c r="AS418" s="32"/>
      <c r="AT418" s="13">
        <f t="shared" ca="1" si="151"/>
        <v>0</v>
      </c>
      <c r="AU418" s="33"/>
      <c r="AV418" s="13">
        <f t="shared" ca="1" si="142"/>
        <v>0</v>
      </c>
      <c r="AW418" s="13">
        <f ca="1">ROUNDUP(($AT418+$AV418)*VLOOKUP($AP418,Paraméterek!$P$38:$Q$38,2)/12*IF($D419="Nem",IF($M$13=0,1,$M$13),1),IF($D$4="Forint",0,2))</f>
        <v>0</v>
      </c>
      <c r="AX418" s="13"/>
      <c r="AY418" s="13"/>
      <c r="AZ418" s="13">
        <f>ROUNDUP(IF(SUM($AX418:$AY418)=0,0,IF(IF(ISBLANK($AY418),$AX418,$AY418)*Paraméterek!$J$112&lt;IF($D$4="Forint",Paraméterek!$J$113,Paraméterek!$K$113),IF($D$4="Forint",Paraméterek!$J$113,Paraméterek!$K$113),IF(IF(ISBLANK($AY418),$AX418,$AY418)*Paraméterek!$J$112&gt;IF($D$4="Forint",Paraméterek!$J$114,Paraméterek!$K$114),IF($D$4="Forint",Paraméterek!$J$114,Paraméterek!$K$114),IF(ISBLANK($AY418),$AX418,$AY418)*Paraméterek!$J$112))),IF($D$4="Forint",0,2))</f>
        <v>0</v>
      </c>
      <c r="BA418" s="13">
        <f ca="1">$AT418+$AV418-$AW418-IF(ROUNDDOWN(IF(ISBLANK($AY418),$AX418,$AY418),IF($D$4="Forint",0,2))&gt;$AT418+$AV418-$AW418-IF($D$4="Forint",Paraméterek!$J$114,Paraméterek!$K$114),0,ROUNDDOWN(IF(ISBLANK($AY418),$AX418,$AY418),IF($D$4="Forint",0,2))-$AZ418)</f>
        <v>0</v>
      </c>
      <c r="BB418" s="13">
        <f t="shared" ca="1" si="143"/>
        <v>0</v>
      </c>
      <c r="BD418" s="32">
        <v>399</v>
      </c>
      <c r="BE418" s="32">
        <v>34</v>
      </c>
      <c r="BF418" s="32">
        <v>3</v>
      </c>
      <c r="BG418" s="34">
        <f t="shared" ca="1" si="152"/>
        <v>2052</v>
      </c>
      <c r="BH418" s="32" t="str">
        <f ca="1">IF(MOD(MONTH($D$14)+$BD418-1,12)=Paraméterek!$C$288,"Igen","")</f>
        <v/>
      </c>
      <c r="BI418" s="13">
        <f ca="1">IF($BH418="Igen",MIN(ROUNDDOWN((SUMIF($BG$20:$BG$1027,$BG418-1,$K$20:$K$1027)-SUMIF($BG$20:$BG$1027,$BG418-1,$I$20:$I$1027))*Paraméterek!$C$289,IF($D$4="Forint",0,2)),IF($D$4="Forint",Paraméterek!$C$285,Paraméterek!$D$285)),0)</f>
        <v>0</v>
      </c>
      <c r="BJ418" s="13">
        <f t="shared" ca="1" si="144"/>
        <v>0</v>
      </c>
      <c r="BK418" s="13">
        <f t="shared" ca="1" si="153"/>
        <v>0</v>
      </c>
      <c r="BL418" s="33"/>
      <c r="BM418" s="13">
        <f t="shared" ca="1" si="145"/>
        <v>0</v>
      </c>
      <c r="BN418" s="13">
        <f ca="1">ROUNDUP(($BK418+$BM418)*VLOOKUP($BE418,Paraméterek!$P$38:$Q$38,2)/12*IF($D419="Nem",IF($M$13=0,1,$M$13),1),IF($D$4="Forint",0,2))</f>
        <v>0</v>
      </c>
      <c r="BO418" s="13">
        <f t="shared" ca="1" si="146"/>
        <v>0</v>
      </c>
      <c r="BP418" s="13">
        <f ca="1">IF($D419="Nem",$BO418,$BO418-ROUNDUP(SUM($BI$20:$BI418)*120%,IF($D$4="Forint",0,2)))</f>
        <v>0</v>
      </c>
    </row>
    <row r="419" spans="1:68" x14ac:dyDescent="0.2">
      <c r="A419" s="32">
        <v>400</v>
      </c>
      <c r="B419" s="32">
        <v>34</v>
      </c>
      <c r="C419" s="32">
        <v>4</v>
      </c>
      <c r="D419" s="32" t="str">
        <f t="shared" ca="1" si="132"/>
        <v>Nem</v>
      </c>
      <c r="E419" s="13">
        <f t="shared" ca="1" si="133"/>
        <v>0</v>
      </c>
      <c r="F419" s="13"/>
      <c r="G419" s="13"/>
      <c r="H419" s="13"/>
      <c r="I419" s="13">
        <f t="shared" ca="1" si="134"/>
        <v>0</v>
      </c>
      <c r="J419" s="13">
        <f t="shared" ca="1" si="135"/>
        <v>0</v>
      </c>
      <c r="K419" s="13">
        <f t="shared" ca="1" si="136"/>
        <v>0</v>
      </c>
      <c r="L419" s="13" t="e">
        <f ca="1">ROUNDUP(IF($D$2="Egyszeri",$E419,IF($D$2="Havi",SUM($E$20:$E$31),IF(MOD($C419,$M$1)-1=0,SUM($E$20:$E$31),0))/12*$M$1)*VLOOKUP($B419,Paraméterek!$I$28:$P$31,IF($D$2="Egyszeri",8,HLOOKUP(ROUNDUP($M$11+$M$13,0),Paraméterek!$J$26:$O$27,2))),IF($D$4="Forint",0,2))</f>
        <v>#N/A</v>
      </c>
      <c r="M419" s="13">
        <f t="shared" ca="1" si="137"/>
        <v>0</v>
      </c>
      <c r="N419" s="13">
        <f t="shared" ca="1" si="147"/>
        <v>0</v>
      </c>
      <c r="O419" s="13">
        <f ca="1">IF($D419="Igen",IF($W418&gt;=IF($D$4="Forint",Paraméterek!$J$121,Paraméterek!$K$121),0,IF($D$4="Forint",Paraméterek!$J$121,Paraméterek!$K$121)-$W418),0)</f>
        <v>0</v>
      </c>
      <c r="P419" s="13" t="e">
        <f ca="1">ROUNDUP($O419*VLOOKUP($M$4+$B419-1,Paraméterek!$H$58:$I$105,2,0)/Paraméterek!$I$56,IF($D$4="Forint",0,2))</f>
        <v>#N/A</v>
      </c>
      <c r="Q419" s="13">
        <f t="shared" ca="1" si="138"/>
        <v>0</v>
      </c>
      <c r="R419" s="33"/>
      <c r="S419" s="13" t="e">
        <f t="shared" ca="1" si="139"/>
        <v>#N/A</v>
      </c>
      <c r="T419" s="13" t="e">
        <f ca="1">ROUNDUP(($N419-$P419-$Q419+$S419)*VLOOKUP($B419,Paraméterek!$I$38:$K$39,IF($D$2="Egyszeri",3,2))/12*IF($D420="Nem",IF($M$13=0,1,$M$13),1),IF($D$4="Forint",0,2))</f>
        <v>#N/A</v>
      </c>
      <c r="U419" s="13"/>
      <c r="V419" s="13"/>
      <c r="W419" s="13" t="e">
        <f ca="1">$N419-$P419-$Q419+$S419-$T419-IF(ROUNDUP(IF(ISBLANK($V419),$U419*0,$V419)/IF($D$2="Egyszeri",VLOOKUP($B419+IF($C419=12,1,0),Paraméterek!$V$257:$W$262,2),IF($B419=1,1,VLOOKUP($B419+IF($C419=12,1,0),Paraméterek!$I$258:$T$278,HLOOKUP($M$11+1,Paraméterek!$J$256:$T$257,2)))),IF($D$4="Forint",0,2))&gt;$N419-$P419-$Q419+$S419-$T419-IF($D$4="Forint",Paraméterek!$C$216,Paraméterek!$D$216),0,ROUNDUP(IF(ISBLANK($V419),$U419*0,$V419)/IF($D$2="Egyszeri",VLOOKUP($B419+IF($C419=12,1,0),Paraméterek!$V$257:$W$262,2),IF($B419=1,1,VLOOKUP($B419+IF($C419=12,1,0),Paraméterek!$I$258:$T$278,HLOOKUP($M$11+1,Paraméterek!$J$256:$T$257,2)))),IF($D$4="Forint",0,2)))</f>
        <v>#N/A</v>
      </c>
      <c r="X419" s="13" t="e">
        <f ca="1">ROUNDDOWN($W419*IF($D$2="Egyszeri",VLOOKUP($B419+IF($C419=12,1,0),Paraméterek!$V$257:$W$262,2),VLOOKUP($B419+IF($C419=12,1,0),Paraméterek!$I$258:$T$278,HLOOKUP($M$11+1,Paraméterek!$I$256:$T$257,2))),IF($D$4="Forint",0,2))</f>
        <v>#N/A</v>
      </c>
      <c r="Z419" s="32">
        <v>400</v>
      </c>
      <c r="AA419" s="32">
        <v>34</v>
      </c>
      <c r="AB419" s="32">
        <v>4</v>
      </c>
      <c r="AC419" s="13">
        <f t="shared" ca="1" si="148"/>
        <v>0</v>
      </c>
      <c r="AD419" s="33"/>
      <c r="AE419" s="13">
        <f t="shared" ca="1" si="140"/>
        <v>0</v>
      </c>
      <c r="AF419" s="13">
        <f ca="1">ROUNDUP(($AC419+$AE419)*VLOOKUP($AA419,Paraméterek!$P$38:$Q$38,2)/12*IF($D420="Nem",IF($M$13=0,1,$M$13),1),IF($D$4="Forint",0,2))</f>
        <v>0</v>
      </c>
      <c r="AG419" s="13">
        <f ca="1">IF($D$2="Egyszeri",IF($D$7&gt;=IF($D$4="Forint",Paraméterek!$P$223,Paraméterek!$P$224),$D$7-IF($D$4="Forint",Paraméterek!$P$223,Paraméterek!$P$224),0),MIN(IF($AB419=12,AVERAGEIF($E$20:$E419,"&gt;0",$E$20:$E419)*12,0),SUM($E$20:$E$31)))</f>
        <v>0</v>
      </c>
      <c r="AH419" s="13">
        <f>IF($AA419=10,$AG419*IF($AB419=12,IF($AG419&lt;IF($D$4="Forint",Paraméterek!$L$223,Paraméterek!$L$224),0,VLOOKUP($AA419,Paraméterek!$K$226:$M$228,IF($AG419&lt;IF($D$4="Forint",Paraméterek!$M$223,Paraméterek!$M$224),2,3))),0),0)</f>
        <v>0</v>
      </c>
      <c r="AI419" s="13">
        <f ca="1">IF(AND($AA419=$M$11+1,$AB419=$M$12+1),SUMIF($AA$20:$AA$1027,$AA419,$AG$20:$AG$1027)*IF(SUMIF($AA$20:$AA$1027,$AA419,$AG$20:$AG$1027)&lt;IF($D$4="Forint",Paraméterek!$L$223,Paraméterek!$L$224),0,VLOOKUP($AA419,Paraméterek!$K$230:$M$250,IF(SUMIF($AA$20:$AA$1027,$AA419,$AG$20:$AG$1027)&lt;IF($D$4="Forint",Paraméterek!$M$223,Paraméterek!$M$224),2,3))),0)</f>
        <v>0</v>
      </c>
      <c r="AJ419" s="13">
        <f ca="1">IF(AND($AA419&gt;=5,MOD($AA419,5)=0),IF($AB419=12,VLOOKUP($AA419,Paraméterek!$O$225:$P$240,2),0),IF(OR($AA419=3,$AA419=4),IF($AB419=12,VLOOKUP($AA419,Paraméterek!$O$225:$P$240,2,0),0),0))*$AG419</f>
        <v>0</v>
      </c>
      <c r="AK419" s="13">
        <f t="shared" ca="1" si="141"/>
        <v>0</v>
      </c>
      <c r="AL419" s="13">
        <f t="shared" ca="1" si="149"/>
        <v>0</v>
      </c>
      <c r="AM419" s="13">
        <f t="shared" ca="1" si="150"/>
        <v>0</v>
      </c>
      <c r="AO419" s="32">
        <v>400</v>
      </c>
      <c r="AP419" s="32">
        <v>34</v>
      </c>
      <c r="AQ419" s="32">
        <v>4</v>
      </c>
      <c r="AR419" s="13"/>
      <c r="AS419" s="32"/>
      <c r="AT419" s="13">
        <f t="shared" ca="1" si="151"/>
        <v>0</v>
      </c>
      <c r="AU419" s="33"/>
      <c r="AV419" s="13">
        <f t="shared" ca="1" si="142"/>
        <v>0</v>
      </c>
      <c r="AW419" s="13">
        <f ca="1">ROUNDUP(($AT419+$AV419)*VLOOKUP($AP419,Paraméterek!$P$38:$Q$38,2)/12*IF($D420="Nem",IF($M$13=0,1,$M$13),1),IF($D$4="Forint",0,2))</f>
        <v>0</v>
      </c>
      <c r="AX419" s="13"/>
      <c r="AY419" s="13"/>
      <c r="AZ419" s="13">
        <f>ROUNDUP(IF(SUM($AX419:$AY419)=0,0,IF(IF(ISBLANK($AY419),$AX419,$AY419)*Paraméterek!$J$112&lt;IF($D$4="Forint",Paraméterek!$J$113,Paraméterek!$K$113),IF($D$4="Forint",Paraméterek!$J$113,Paraméterek!$K$113),IF(IF(ISBLANK($AY419),$AX419,$AY419)*Paraméterek!$J$112&gt;IF($D$4="Forint",Paraméterek!$J$114,Paraméterek!$K$114),IF($D$4="Forint",Paraméterek!$J$114,Paraméterek!$K$114),IF(ISBLANK($AY419),$AX419,$AY419)*Paraméterek!$J$112))),IF($D$4="Forint",0,2))</f>
        <v>0</v>
      </c>
      <c r="BA419" s="13">
        <f ca="1">$AT419+$AV419-$AW419-IF(ROUNDDOWN(IF(ISBLANK($AY419),$AX419,$AY419),IF($D$4="Forint",0,2))&gt;$AT419+$AV419-$AW419-IF($D$4="Forint",Paraméterek!$J$114,Paraméterek!$K$114),0,ROUNDDOWN(IF(ISBLANK($AY419),$AX419,$AY419),IF($D$4="Forint",0,2))-$AZ419)</f>
        <v>0</v>
      </c>
      <c r="BB419" s="13">
        <f t="shared" ca="1" si="143"/>
        <v>0</v>
      </c>
      <c r="BD419" s="32">
        <v>400</v>
      </c>
      <c r="BE419" s="32">
        <v>34</v>
      </c>
      <c r="BF419" s="32">
        <v>4</v>
      </c>
      <c r="BG419" s="34">
        <f t="shared" ca="1" si="152"/>
        <v>2052</v>
      </c>
      <c r="BH419" s="32" t="str">
        <f ca="1">IF(MOD(MONTH($D$14)+$BD419-1,12)=Paraméterek!$C$288,"Igen","")</f>
        <v/>
      </c>
      <c r="BI419" s="13">
        <f ca="1">IF($BH419="Igen",MIN(ROUNDDOWN((SUMIF($BG$20:$BG$1027,$BG419-1,$K$20:$K$1027)-SUMIF($BG$20:$BG$1027,$BG419-1,$I$20:$I$1027))*Paraméterek!$C$289,IF($D$4="Forint",0,2)),IF($D$4="Forint",Paraméterek!$C$285,Paraméterek!$D$285)),0)</f>
        <v>0</v>
      </c>
      <c r="BJ419" s="13">
        <f t="shared" ca="1" si="144"/>
        <v>0</v>
      </c>
      <c r="BK419" s="13">
        <f t="shared" ca="1" si="153"/>
        <v>0</v>
      </c>
      <c r="BL419" s="33"/>
      <c r="BM419" s="13">
        <f t="shared" ca="1" si="145"/>
        <v>0</v>
      </c>
      <c r="BN419" s="13">
        <f ca="1">ROUNDUP(($BK419+$BM419)*VLOOKUP($BE419,Paraméterek!$P$38:$Q$38,2)/12*IF($D420="Nem",IF($M$13=0,1,$M$13),1),IF($D$4="Forint",0,2))</f>
        <v>0</v>
      </c>
      <c r="BO419" s="13">
        <f t="shared" ca="1" si="146"/>
        <v>0</v>
      </c>
      <c r="BP419" s="13">
        <f ca="1">IF($D420="Nem",$BO419,$BO419-ROUNDUP(SUM($BI$20:$BI419)*120%,IF($D$4="Forint",0,2)))</f>
        <v>0</v>
      </c>
    </row>
    <row r="420" spans="1:68" x14ac:dyDescent="0.2">
      <c r="A420" s="32">
        <v>401</v>
      </c>
      <c r="B420" s="32">
        <v>34</v>
      </c>
      <c r="C420" s="32">
        <v>5</v>
      </c>
      <c r="D420" s="32" t="str">
        <f t="shared" ca="1" si="132"/>
        <v>Nem</v>
      </c>
      <c r="E420" s="13">
        <f t="shared" ca="1" si="133"/>
        <v>0</v>
      </c>
      <c r="F420" s="13"/>
      <c r="G420" s="13"/>
      <c r="H420" s="13"/>
      <c r="I420" s="13">
        <f t="shared" ca="1" si="134"/>
        <v>0</v>
      </c>
      <c r="J420" s="13">
        <f t="shared" ca="1" si="135"/>
        <v>0</v>
      </c>
      <c r="K420" s="13">
        <f t="shared" ca="1" si="136"/>
        <v>0</v>
      </c>
      <c r="L420" s="13" t="e">
        <f ca="1">ROUNDUP(IF($D$2="Egyszeri",$E420,IF($D$2="Havi",SUM($E$20:$E$31),IF(MOD($C420,$M$1)-1=0,SUM($E$20:$E$31),0))/12*$M$1)*VLOOKUP($B420,Paraméterek!$I$28:$P$31,IF($D$2="Egyszeri",8,HLOOKUP(ROUNDUP($M$11+$M$13,0),Paraméterek!$J$26:$O$27,2))),IF($D$4="Forint",0,2))</f>
        <v>#N/A</v>
      </c>
      <c r="M420" s="13">
        <f t="shared" ca="1" si="137"/>
        <v>0</v>
      </c>
      <c r="N420" s="13">
        <f t="shared" ca="1" si="147"/>
        <v>0</v>
      </c>
      <c r="O420" s="13">
        <f ca="1">IF($D420="Igen",IF($W419&gt;=IF($D$4="Forint",Paraméterek!$J$121,Paraméterek!$K$121),0,IF($D$4="Forint",Paraméterek!$J$121,Paraméterek!$K$121)-$W419),0)</f>
        <v>0</v>
      </c>
      <c r="P420" s="13" t="e">
        <f ca="1">ROUNDUP($O420*VLOOKUP($M$4+$B420-1,Paraméterek!$H$58:$I$105,2,0)/Paraméterek!$I$56,IF($D$4="Forint",0,2))</f>
        <v>#N/A</v>
      </c>
      <c r="Q420" s="13">
        <f t="shared" ca="1" si="138"/>
        <v>0</v>
      </c>
      <c r="R420" s="33"/>
      <c r="S420" s="13" t="e">
        <f t="shared" ca="1" si="139"/>
        <v>#N/A</v>
      </c>
      <c r="T420" s="13" t="e">
        <f ca="1">ROUNDUP(($N420-$P420-$Q420+$S420)*VLOOKUP($B420,Paraméterek!$I$38:$K$39,IF($D$2="Egyszeri",3,2))/12*IF($D421="Nem",IF($M$13=0,1,$M$13),1),IF($D$4="Forint",0,2))</f>
        <v>#N/A</v>
      </c>
      <c r="U420" s="13"/>
      <c r="V420" s="13"/>
      <c r="W420" s="13" t="e">
        <f ca="1">$N420-$P420-$Q420+$S420-$T420-IF(ROUNDUP(IF(ISBLANK($V420),$U420*0,$V420)/IF($D$2="Egyszeri",VLOOKUP($B420+IF($C420=12,1,0),Paraméterek!$V$257:$W$262,2),IF($B420=1,1,VLOOKUP($B420+IF($C420=12,1,0),Paraméterek!$I$258:$T$278,HLOOKUP($M$11+1,Paraméterek!$J$256:$T$257,2)))),IF($D$4="Forint",0,2))&gt;$N420-$P420-$Q420+$S420-$T420-IF($D$4="Forint",Paraméterek!$C$216,Paraméterek!$D$216),0,ROUNDUP(IF(ISBLANK($V420),$U420*0,$V420)/IF($D$2="Egyszeri",VLOOKUP($B420+IF($C420=12,1,0),Paraméterek!$V$257:$W$262,2),IF($B420=1,1,VLOOKUP($B420+IF($C420=12,1,0),Paraméterek!$I$258:$T$278,HLOOKUP($M$11+1,Paraméterek!$J$256:$T$257,2)))),IF($D$4="Forint",0,2)))</f>
        <v>#N/A</v>
      </c>
      <c r="X420" s="13" t="e">
        <f ca="1">ROUNDDOWN($W420*IF($D$2="Egyszeri",VLOOKUP($B420+IF($C420=12,1,0),Paraméterek!$V$257:$W$262,2),VLOOKUP($B420+IF($C420=12,1,0),Paraméterek!$I$258:$T$278,HLOOKUP($M$11+1,Paraméterek!$I$256:$T$257,2))),IF($D$4="Forint",0,2))</f>
        <v>#N/A</v>
      </c>
      <c r="Z420" s="32">
        <v>401</v>
      </c>
      <c r="AA420" s="32">
        <v>34</v>
      </c>
      <c r="AB420" s="32">
        <v>5</v>
      </c>
      <c r="AC420" s="13">
        <f t="shared" ca="1" si="148"/>
        <v>0</v>
      </c>
      <c r="AD420" s="33"/>
      <c r="AE420" s="13">
        <f t="shared" ca="1" si="140"/>
        <v>0</v>
      </c>
      <c r="AF420" s="13">
        <f ca="1">ROUNDUP(($AC420+$AE420)*VLOOKUP($AA420,Paraméterek!$P$38:$Q$38,2)/12*IF($D421="Nem",IF($M$13=0,1,$M$13),1),IF($D$4="Forint",0,2))</f>
        <v>0</v>
      </c>
      <c r="AG420" s="13">
        <f ca="1">IF($D$2="Egyszeri",IF($D$7&gt;=IF($D$4="Forint",Paraméterek!$P$223,Paraméterek!$P$224),$D$7-IF($D$4="Forint",Paraméterek!$P$223,Paraméterek!$P$224),0),MIN(IF($AB420=12,AVERAGEIF($E$20:$E420,"&gt;0",$E$20:$E420)*12,0),SUM($E$20:$E$31)))</f>
        <v>0</v>
      </c>
      <c r="AH420" s="13">
        <f>IF($AA420=10,$AG420*IF($AB420=12,IF($AG420&lt;IF($D$4="Forint",Paraméterek!$L$223,Paraméterek!$L$224),0,VLOOKUP($AA420,Paraméterek!$K$226:$M$228,IF($AG420&lt;IF($D$4="Forint",Paraméterek!$M$223,Paraméterek!$M$224),2,3))),0),0)</f>
        <v>0</v>
      </c>
      <c r="AI420" s="13">
        <f ca="1">IF(AND($AA420=$M$11+1,$AB420=$M$12+1),SUMIF($AA$20:$AA$1027,$AA420,$AG$20:$AG$1027)*IF(SUMIF($AA$20:$AA$1027,$AA420,$AG$20:$AG$1027)&lt;IF($D$4="Forint",Paraméterek!$L$223,Paraméterek!$L$224),0,VLOOKUP($AA420,Paraméterek!$K$230:$M$250,IF(SUMIF($AA$20:$AA$1027,$AA420,$AG$20:$AG$1027)&lt;IF($D$4="Forint",Paraméterek!$M$223,Paraméterek!$M$224),2,3))),0)</f>
        <v>0</v>
      </c>
      <c r="AJ420" s="13">
        <f ca="1">IF(AND($AA420&gt;=5,MOD($AA420,5)=0),IF($AB420=12,VLOOKUP($AA420,Paraméterek!$O$225:$P$240,2),0),IF(OR($AA420=3,$AA420=4),IF($AB420=12,VLOOKUP($AA420,Paraméterek!$O$225:$P$240,2,0),0),0))*$AG420</f>
        <v>0</v>
      </c>
      <c r="AK420" s="13">
        <f t="shared" ca="1" si="141"/>
        <v>0</v>
      </c>
      <c r="AL420" s="13">
        <f t="shared" ca="1" si="149"/>
        <v>0</v>
      </c>
      <c r="AM420" s="13">
        <f t="shared" ca="1" si="150"/>
        <v>0</v>
      </c>
      <c r="AO420" s="32">
        <v>401</v>
      </c>
      <c r="AP420" s="32">
        <v>34</v>
      </c>
      <c r="AQ420" s="32">
        <v>5</v>
      </c>
      <c r="AR420" s="13"/>
      <c r="AS420" s="32"/>
      <c r="AT420" s="13">
        <f t="shared" ca="1" si="151"/>
        <v>0</v>
      </c>
      <c r="AU420" s="33"/>
      <c r="AV420" s="13">
        <f t="shared" ca="1" si="142"/>
        <v>0</v>
      </c>
      <c r="AW420" s="13">
        <f ca="1">ROUNDUP(($AT420+$AV420)*VLOOKUP($AP420,Paraméterek!$P$38:$Q$38,2)/12*IF($D421="Nem",IF($M$13=0,1,$M$13),1),IF($D$4="Forint",0,2))</f>
        <v>0</v>
      </c>
      <c r="AX420" s="13"/>
      <c r="AY420" s="13"/>
      <c r="AZ420" s="13">
        <f>ROUNDUP(IF(SUM($AX420:$AY420)=0,0,IF(IF(ISBLANK($AY420),$AX420,$AY420)*Paraméterek!$J$112&lt;IF($D$4="Forint",Paraméterek!$J$113,Paraméterek!$K$113),IF($D$4="Forint",Paraméterek!$J$113,Paraméterek!$K$113),IF(IF(ISBLANK($AY420),$AX420,$AY420)*Paraméterek!$J$112&gt;IF($D$4="Forint",Paraméterek!$J$114,Paraméterek!$K$114),IF($D$4="Forint",Paraméterek!$J$114,Paraméterek!$K$114),IF(ISBLANK($AY420),$AX420,$AY420)*Paraméterek!$J$112))),IF($D$4="Forint",0,2))</f>
        <v>0</v>
      </c>
      <c r="BA420" s="13">
        <f ca="1">$AT420+$AV420-$AW420-IF(ROUNDDOWN(IF(ISBLANK($AY420),$AX420,$AY420),IF($D$4="Forint",0,2))&gt;$AT420+$AV420-$AW420-IF($D$4="Forint",Paraméterek!$J$114,Paraméterek!$K$114),0,ROUNDDOWN(IF(ISBLANK($AY420),$AX420,$AY420),IF($D$4="Forint",0,2))-$AZ420)</f>
        <v>0</v>
      </c>
      <c r="BB420" s="13">
        <f t="shared" ca="1" si="143"/>
        <v>0</v>
      </c>
      <c r="BD420" s="32">
        <v>401</v>
      </c>
      <c r="BE420" s="32">
        <v>34</v>
      </c>
      <c r="BF420" s="32">
        <v>5</v>
      </c>
      <c r="BG420" s="34">
        <f t="shared" ca="1" si="152"/>
        <v>2052</v>
      </c>
      <c r="BH420" s="32" t="str">
        <f ca="1">IF(MOD(MONTH($D$14)+$BD420-1,12)=Paraméterek!$C$288,"Igen","")</f>
        <v/>
      </c>
      <c r="BI420" s="13">
        <f ca="1">IF($BH420="Igen",MIN(ROUNDDOWN((SUMIF($BG$20:$BG$1027,$BG420-1,$K$20:$K$1027)-SUMIF($BG$20:$BG$1027,$BG420-1,$I$20:$I$1027))*Paraméterek!$C$289,IF($D$4="Forint",0,2)),IF($D$4="Forint",Paraméterek!$C$285,Paraméterek!$D$285)),0)</f>
        <v>0</v>
      </c>
      <c r="BJ420" s="13">
        <f t="shared" ca="1" si="144"/>
        <v>0</v>
      </c>
      <c r="BK420" s="13">
        <f t="shared" ca="1" si="153"/>
        <v>0</v>
      </c>
      <c r="BL420" s="33"/>
      <c r="BM420" s="13">
        <f t="shared" ca="1" si="145"/>
        <v>0</v>
      </c>
      <c r="BN420" s="13">
        <f ca="1">ROUNDUP(($BK420+$BM420)*VLOOKUP($BE420,Paraméterek!$P$38:$Q$38,2)/12*IF($D421="Nem",IF($M$13=0,1,$M$13),1),IF($D$4="Forint",0,2))</f>
        <v>0</v>
      </c>
      <c r="BO420" s="13">
        <f t="shared" ca="1" si="146"/>
        <v>0</v>
      </c>
      <c r="BP420" s="13">
        <f ca="1">IF($D421="Nem",$BO420,$BO420-ROUNDUP(SUM($BI$20:$BI420)*120%,IF($D$4="Forint",0,2)))</f>
        <v>0</v>
      </c>
    </row>
    <row r="421" spans="1:68" x14ac:dyDescent="0.2">
      <c r="A421" s="32">
        <v>402</v>
      </c>
      <c r="B421" s="32">
        <v>34</v>
      </c>
      <c r="C421" s="32">
        <v>6</v>
      </c>
      <c r="D421" s="32" t="str">
        <f t="shared" ca="1" si="132"/>
        <v>Nem</v>
      </c>
      <c r="E421" s="13">
        <f t="shared" ca="1" si="133"/>
        <v>0</v>
      </c>
      <c r="F421" s="13"/>
      <c r="G421" s="13"/>
      <c r="H421" s="13"/>
      <c r="I421" s="13">
        <f t="shared" ca="1" si="134"/>
        <v>0</v>
      </c>
      <c r="J421" s="13">
        <f t="shared" ca="1" si="135"/>
        <v>0</v>
      </c>
      <c r="K421" s="13">
        <f t="shared" ca="1" si="136"/>
        <v>0</v>
      </c>
      <c r="L421" s="13" t="e">
        <f ca="1">ROUNDUP(IF($D$2="Egyszeri",$E421,IF($D$2="Havi",SUM($E$20:$E$31),IF(MOD($C421,$M$1)-1=0,SUM($E$20:$E$31),0))/12*$M$1)*VLOOKUP($B421,Paraméterek!$I$28:$P$31,IF($D$2="Egyszeri",8,HLOOKUP(ROUNDUP($M$11+$M$13,0),Paraméterek!$J$26:$O$27,2))),IF($D$4="Forint",0,2))</f>
        <v>#N/A</v>
      </c>
      <c r="M421" s="13">
        <f t="shared" ca="1" si="137"/>
        <v>0</v>
      </c>
      <c r="N421" s="13">
        <f t="shared" ca="1" si="147"/>
        <v>0</v>
      </c>
      <c r="O421" s="13">
        <f ca="1">IF($D421="Igen",IF($W420&gt;=IF($D$4="Forint",Paraméterek!$J$121,Paraméterek!$K$121),0,IF($D$4="Forint",Paraméterek!$J$121,Paraméterek!$K$121)-$W420),0)</f>
        <v>0</v>
      </c>
      <c r="P421" s="13" t="e">
        <f ca="1">ROUNDUP($O421*VLOOKUP($M$4+$B421-1,Paraméterek!$H$58:$I$105,2,0)/Paraméterek!$I$56,IF($D$4="Forint",0,2))</f>
        <v>#N/A</v>
      </c>
      <c r="Q421" s="13">
        <f t="shared" ca="1" si="138"/>
        <v>0</v>
      </c>
      <c r="R421" s="33"/>
      <c r="S421" s="13" t="e">
        <f t="shared" ca="1" si="139"/>
        <v>#N/A</v>
      </c>
      <c r="T421" s="13" t="e">
        <f ca="1">ROUNDUP(($N421-$P421-$Q421+$S421)*VLOOKUP($B421,Paraméterek!$I$38:$K$39,IF($D$2="Egyszeri",3,2))/12*IF($D422="Nem",IF($M$13=0,1,$M$13),1),IF($D$4="Forint",0,2))</f>
        <v>#N/A</v>
      </c>
      <c r="U421" s="13"/>
      <c r="V421" s="13"/>
      <c r="W421" s="13" t="e">
        <f ca="1">$N421-$P421-$Q421+$S421-$T421-IF(ROUNDUP(IF(ISBLANK($V421),$U421*0,$V421)/IF($D$2="Egyszeri",VLOOKUP($B421+IF($C421=12,1,0),Paraméterek!$V$257:$W$262,2),IF($B421=1,1,VLOOKUP($B421+IF($C421=12,1,0),Paraméterek!$I$258:$T$278,HLOOKUP($M$11+1,Paraméterek!$J$256:$T$257,2)))),IF($D$4="Forint",0,2))&gt;$N421-$P421-$Q421+$S421-$T421-IF($D$4="Forint",Paraméterek!$C$216,Paraméterek!$D$216),0,ROUNDUP(IF(ISBLANK($V421),$U421*0,$V421)/IF($D$2="Egyszeri",VLOOKUP($B421+IF($C421=12,1,0),Paraméterek!$V$257:$W$262,2),IF($B421=1,1,VLOOKUP($B421+IF($C421=12,1,0),Paraméterek!$I$258:$T$278,HLOOKUP($M$11+1,Paraméterek!$J$256:$T$257,2)))),IF($D$4="Forint",0,2)))</f>
        <v>#N/A</v>
      </c>
      <c r="X421" s="13" t="e">
        <f ca="1">ROUNDDOWN($W421*IF($D$2="Egyszeri",VLOOKUP($B421+IF($C421=12,1,0),Paraméterek!$V$257:$W$262,2),VLOOKUP($B421+IF($C421=12,1,0),Paraméterek!$I$258:$T$278,HLOOKUP($M$11+1,Paraméterek!$I$256:$T$257,2))),IF($D$4="Forint",0,2))</f>
        <v>#N/A</v>
      </c>
      <c r="Z421" s="32">
        <v>402</v>
      </c>
      <c r="AA421" s="32">
        <v>34</v>
      </c>
      <c r="AB421" s="32">
        <v>6</v>
      </c>
      <c r="AC421" s="13">
        <f t="shared" ca="1" si="148"/>
        <v>0</v>
      </c>
      <c r="AD421" s="33"/>
      <c r="AE421" s="13">
        <f t="shared" ca="1" si="140"/>
        <v>0</v>
      </c>
      <c r="AF421" s="13">
        <f ca="1">ROUNDUP(($AC421+$AE421)*VLOOKUP($AA421,Paraméterek!$P$38:$Q$38,2)/12*IF($D422="Nem",IF($M$13=0,1,$M$13),1),IF($D$4="Forint",0,2))</f>
        <v>0</v>
      </c>
      <c r="AG421" s="13">
        <f ca="1">IF($D$2="Egyszeri",IF($D$7&gt;=IF($D$4="Forint",Paraméterek!$P$223,Paraméterek!$P$224),$D$7-IF($D$4="Forint",Paraméterek!$P$223,Paraméterek!$P$224),0),MIN(IF($AB421=12,AVERAGEIF($E$20:$E421,"&gt;0",$E$20:$E421)*12,0),SUM($E$20:$E$31)))</f>
        <v>0</v>
      </c>
      <c r="AH421" s="13">
        <f>IF($AA421=10,$AG421*IF($AB421=12,IF($AG421&lt;IF($D$4="Forint",Paraméterek!$L$223,Paraméterek!$L$224),0,VLOOKUP($AA421,Paraméterek!$K$226:$M$228,IF($AG421&lt;IF($D$4="Forint",Paraméterek!$M$223,Paraméterek!$M$224),2,3))),0),0)</f>
        <v>0</v>
      </c>
      <c r="AI421" s="13">
        <f ca="1">IF(AND($AA421=$M$11+1,$AB421=$M$12+1),SUMIF($AA$20:$AA$1027,$AA421,$AG$20:$AG$1027)*IF(SUMIF($AA$20:$AA$1027,$AA421,$AG$20:$AG$1027)&lt;IF($D$4="Forint",Paraméterek!$L$223,Paraméterek!$L$224),0,VLOOKUP($AA421,Paraméterek!$K$230:$M$250,IF(SUMIF($AA$20:$AA$1027,$AA421,$AG$20:$AG$1027)&lt;IF($D$4="Forint",Paraméterek!$M$223,Paraméterek!$M$224),2,3))),0)</f>
        <v>0</v>
      </c>
      <c r="AJ421" s="13">
        <f ca="1">IF(AND($AA421&gt;=5,MOD($AA421,5)=0),IF($AB421=12,VLOOKUP($AA421,Paraméterek!$O$225:$P$240,2),0),IF(OR($AA421=3,$AA421=4),IF($AB421=12,VLOOKUP($AA421,Paraméterek!$O$225:$P$240,2,0),0),0))*$AG421</f>
        <v>0</v>
      </c>
      <c r="AK421" s="13">
        <f t="shared" ca="1" si="141"/>
        <v>0</v>
      </c>
      <c r="AL421" s="13">
        <f t="shared" ca="1" si="149"/>
        <v>0</v>
      </c>
      <c r="AM421" s="13">
        <f t="shared" ca="1" si="150"/>
        <v>0</v>
      </c>
      <c r="AO421" s="32">
        <v>402</v>
      </c>
      <c r="AP421" s="32">
        <v>34</v>
      </c>
      <c r="AQ421" s="32">
        <v>6</v>
      </c>
      <c r="AR421" s="13"/>
      <c r="AS421" s="32"/>
      <c r="AT421" s="13">
        <f t="shared" ca="1" si="151"/>
        <v>0</v>
      </c>
      <c r="AU421" s="33"/>
      <c r="AV421" s="13">
        <f t="shared" ca="1" si="142"/>
        <v>0</v>
      </c>
      <c r="AW421" s="13">
        <f ca="1">ROUNDUP(($AT421+$AV421)*VLOOKUP($AP421,Paraméterek!$P$38:$Q$38,2)/12*IF($D422="Nem",IF($M$13=0,1,$M$13),1),IF($D$4="Forint",0,2))</f>
        <v>0</v>
      </c>
      <c r="AX421" s="13"/>
      <c r="AY421" s="13"/>
      <c r="AZ421" s="13">
        <f>ROUNDUP(IF(SUM($AX421:$AY421)=0,0,IF(IF(ISBLANK($AY421),$AX421,$AY421)*Paraméterek!$J$112&lt;IF($D$4="Forint",Paraméterek!$J$113,Paraméterek!$K$113),IF($D$4="Forint",Paraméterek!$J$113,Paraméterek!$K$113),IF(IF(ISBLANK($AY421),$AX421,$AY421)*Paraméterek!$J$112&gt;IF($D$4="Forint",Paraméterek!$J$114,Paraméterek!$K$114),IF($D$4="Forint",Paraméterek!$J$114,Paraméterek!$K$114),IF(ISBLANK($AY421),$AX421,$AY421)*Paraméterek!$J$112))),IF($D$4="Forint",0,2))</f>
        <v>0</v>
      </c>
      <c r="BA421" s="13">
        <f ca="1">$AT421+$AV421-$AW421-IF(ROUNDDOWN(IF(ISBLANK($AY421),$AX421,$AY421),IF($D$4="Forint",0,2))&gt;$AT421+$AV421-$AW421-IF($D$4="Forint",Paraméterek!$J$114,Paraméterek!$K$114),0,ROUNDDOWN(IF(ISBLANK($AY421),$AX421,$AY421),IF($D$4="Forint",0,2))-$AZ421)</f>
        <v>0</v>
      </c>
      <c r="BB421" s="13">
        <f t="shared" ca="1" si="143"/>
        <v>0</v>
      </c>
      <c r="BD421" s="32">
        <v>402</v>
      </c>
      <c r="BE421" s="32">
        <v>34</v>
      </c>
      <c r="BF421" s="32">
        <v>6</v>
      </c>
      <c r="BG421" s="34">
        <f t="shared" ca="1" si="152"/>
        <v>2052</v>
      </c>
      <c r="BH421" s="32" t="str">
        <f ca="1">IF(MOD(MONTH($D$14)+$BD421-1,12)=Paraméterek!$C$288,"Igen","")</f>
        <v/>
      </c>
      <c r="BI421" s="13">
        <f ca="1">IF($BH421="Igen",MIN(ROUNDDOWN((SUMIF($BG$20:$BG$1027,$BG421-1,$K$20:$K$1027)-SUMIF($BG$20:$BG$1027,$BG421-1,$I$20:$I$1027))*Paraméterek!$C$289,IF($D$4="Forint",0,2)),IF($D$4="Forint",Paraméterek!$C$285,Paraméterek!$D$285)),0)</f>
        <v>0</v>
      </c>
      <c r="BJ421" s="13">
        <f t="shared" ca="1" si="144"/>
        <v>0</v>
      </c>
      <c r="BK421" s="13">
        <f t="shared" ca="1" si="153"/>
        <v>0</v>
      </c>
      <c r="BL421" s="33"/>
      <c r="BM421" s="13">
        <f t="shared" ca="1" si="145"/>
        <v>0</v>
      </c>
      <c r="BN421" s="13">
        <f ca="1">ROUNDUP(($BK421+$BM421)*VLOOKUP($BE421,Paraméterek!$P$38:$Q$38,2)/12*IF($D422="Nem",IF($M$13=0,1,$M$13),1),IF($D$4="Forint",0,2))</f>
        <v>0</v>
      </c>
      <c r="BO421" s="13">
        <f t="shared" ca="1" si="146"/>
        <v>0</v>
      </c>
      <c r="BP421" s="13">
        <f ca="1">IF($D422="Nem",$BO421,$BO421-ROUNDUP(SUM($BI$20:$BI421)*120%,IF($D$4="Forint",0,2)))</f>
        <v>0</v>
      </c>
    </row>
    <row r="422" spans="1:68" x14ac:dyDescent="0.2">
      <c r="A422" s="32">
        <v>403</v>
      </c>
      <c r="B422" s="32">
        <v>34</v>
      </c>
      <c r="C422" s="32">
        <v>7</v>
      </c>
      <c r="D422" s="32" t="str">
        <f t="shared" ca="1" si="132"/>
        <v>Nem</v>
      </c>
      <c r="E422" s="13">
        <f t="shared" ca="1" si="133"/>
        <v>0</v>
      </c>
      <c r="F422" s="13"/>
      <c r="G422" s="13"/>
      <c r="H422" s="13"/>
      <c r="I422" s="13">
        <f t="shared" ca="1" si="134"/>
        <v>0</v>
      </c>
      <c r="J422" s="13">
        <f t="shared" ca="1" si="135"/>
        <v>0</v>
      </c>
      <c r="K422" s="13">
        <f t="shared" ca="1" si="136"/>
        <v>0</v>
      </c>
      <c r="L422" s="13" t="e">
        <f ca="1">ROUNDUP(IF($D$2="Egyszeri",$E422,IF($D$2="Havi",SUM($E$20:$E$31),IF(MOD($C422,$M$1)-1=0,SUM($E$20:$E$31),0))/12*$M$1)*VLOOKUP($B422,Paraméterek!$I$28:$P$31,IF($D$2="Egyszeri",8,HLOOKUP(ROUNDUP($M$11+$M$13,0),Paraméterek!$J$26:$O$27,2))),IF($D$4="Forint",0,2))</f>
        <v>#N/A</v>
      </c>
      <c r="M422" s="13">
        <f t="shared" ca="1" si="137"/>
        <v>0</v>
      </c>
      <c r="N422" s="13">
        <f t="shared" ca="1" si="147"/>
        <v>0</v>
      </c>
      <c r="O422" s="13">
        <f ca="1">IF($D422="Igen",IF($W421&gt;=IF($D$4="Forint",Paraméterek!$J$121,Paraméterek!$K$121),0,IF($D$4="Forint",Paraméterek!$J$121,Paraméterek!$K$121)-$W421),0)</f>
        <v>0</v>
      </c>
      <c r="P422" s="13" t="e">
        <f ca="1">ROUNDUP($O422*VLOOKUP($M$4+$B422-1,Paraméterek!$H$58:$I$105,2,0)/Paraméterek!$I$56,IF($D$4="Forint",0,2))</f>
        <v>#N/A</v>
      </c>
      <c r="Q422" s="13">
        <f t="shared" ca="1" si="138"/>
        <v>0</v>
      </c>
      <c r="R422" s="33"/>
      <c r="S422" s="13" t="e">
        <f t="shared" ca="1" si="139"/>
        <v>#N/A</v>
      </c>
      <c r="T422" s="13" t="e">
        <f ca="1">ROUNDUP(($N422-$P422-$Q422+$S422)*VLOOKUP($B422,Paraméterek!$I$38:$K$39,IF($D$2="Egyszeri",3,2))/12*IF($D423="Nem",IF($M$13=0,1,$M$13),1),IF($D$4="Forint",0,2))</f>
        <v>#N/A</v>
      </c>
      <c r="U422" s="13"/>
      <c r="V422" s="13"/>
      <c r="W422" s="13" t="e">
        <f ca="1">$N422-$P422-$Q422+$S422-$T422-IF(ROUNDUP(IF(ISBLANK($V422),$U422*0,$V422)/IF($D$2="Egyszeri",VLOOKUP($B422+IF($C422=12,1,0),Paraméterek!$V$257:$W$262,2),IF($B422=1,1,VLOOKUP($B422+IF($C422=12,1,0),Paraméterek!$I$258:$T$278,HLOOKUP($M$11+1,Paraméterek!$J$256:$T$257,2)))),IF($D$4="Forint",0,2))&gt;$N422-$P422-$Q422+$S422-$T422-IF($D$4="Forint",Paraméterek!$C$216,Paraméterek!$D$216),0,ROUNDUP(IF(ISBLANK($V422),$U422*0,$V422)/IF($D$2="Egyszeri",VLOOKUP($B422+IF($C422=12,1,0),Paraméterek!$V$257:$W$262,2),IF($B422=1,1,VLOOKUP($B422+IF($C422=12,1,0),Paraméterek!$I$258:$T$278,HLOOKUP($M$11+1,Paraméterek!$J$256:$T$257,2)))),IF($D$4="Forint",0,2)))</f>
        <v>#N/A</v>
      </c>
      <c r="X422" s="13" t="e">
        <f ca="1">ROUNDDOWN($W422*IF($D$2="Egyszeri",VLOOKUP($B422+IF($C422=12,1,0),Paraméterek!$V$257:$W$262,2),VLOOKUP($B422+IF($C422=12,1,0),Paraméterek!$I$258:$T$278,HLOOKUP($M$11+1,Paraméterek!$I$256:$T$257,2))),IF($D$4="Forint",0,2))</f>
        <v>#N/A</v>
      </c>
      <c r="Z422" s="32">
        <v>403</v>
      </c>
      <c r="AA422" s="32">
        <v>34</v>
      </c>
      <c r="AB422" s="32">
        <v>7</v>
      </c>
      <c r="AC422" s="13">
        <f t="shared" ca="1" si="148"/>
        <v>0</v>
      </c>
      <c r="AD422" s="33"/>
      <c r="AE422" s="13">
        <f t="shared" ca="1" si="140"/>
        <v>0</v>
      </c>
      <c r="AF422" s="13">
        <f ca="1">ROUNDUP(($AC422+$AE422)*VLOOKUP($AA422,Paraméterek!$P$38:$Q$38,2)/12*IF($D423="Nem",IF($M$13=0,1,$M$13),1),IF($D$4="Forint",0,2))</f>
        <v>0</v>
      </c>
      <c r="AG422" s="13">
        <f ca="1">IF($D$2="Egyszeri",IF($D$7&gt;=IF($D$4="Forint",Paraméterek!$P$223,Paraméterek!$P$224),$D$7-IF($D$4="Forint",Paraméterek!$P$223,Paraméterek!$P$224),0),MIN(IF($AB422=12,AVERAGEIF($E$20:$E422,"&gt;0",$E$20:$E422)*12,0),SUM($E$20:$E$31)))</f>
        <v>0</v>
      </c>
      <c r="AH422" s="13">
        <f>IF($AA422=10,$AG422*IF($AB422=12,IF($AG422&lt;IF($D$4="Forint",Paraméterek!$L$223,Paraméterek!$L$224),0,VLOOKUP($AA422,Paraméterek!$K$226:$M$228,IF($AG422&lt;IF($D$4="Forint",Paraméterek!$M$223,Paraméterek!$M$224),2,3))),0),0)</f>
        <v>0</v>
      </c>
      <c r="AI422" s="13">
        <f ca="1">IF(AND($AA422=$M$11+1,$AB422=$M$12+1),SUMIF($AA$20:$AA$1027,$AA422,$AG$20:$AG$1027)*IF(SUMIF($AA$20:$AA$1027,$AA422,$AG$20:$AG$1027)&lt;IF($D$4="Forint",Paraméterek!$L$223,Paraméterek!$L$224),0,VLOOKUP($AA422,Paraméterek!$K$230:$M$250,IF(SUMIF($AA$20:$AA$1027,$AA422,$AG$20:$AG$1027)&lt;IF($D$4="Forint",Paraméterek!$M$223,Paraméterek!$M$224),2,3))),0)</f>
        <v>0</v>
      </c>
      <c r="AJ422" s="13">
        <f ca="1">IF(AND($AA422&gt;=5,MOD($AA422,5)=0),IF($AB422=12,VLOOKUP($AA422,Paraméterek!$O$225:$P$240,2),0),IF(OR($AA422=3,$AA422=4),IF($AB422=12,VLOOKUP($AA422,Paraméterek!$O$225:$P$240,2,0),0),0))*$AG422</f>
        <v>0</v>
      </c>
      <c r="AK422" s="13">
        <f t="shared" ca="1" si="141"/>
        <v>0</v>
      </c>
      <c r="AL422" s="13">
        <f t="shared" ca="1" si="149"/>
        <v>0</v>
      </c>
      <c r="AM422" s="13">
        <f t="shared" ca="1" si="150"/>
        <v>0</v>
      </c>
      <c r="AO422" s="32">
        <v>403</v>
      </c>
      <c r="AP422" s="32">
        <v>34</v>
      </c>
      <c r="AQ422" s="32">
        <v>7</v>
      </c>
      <c r="AR422" s="13"/>
      <c r="AS422" s="32"/>
      <c r="AT422" s="13">
        <f t="shared" ca="1" si="151"/>
        <v>0</v>
      </c>
      <c r="AU422" s="33"/>
      <c r="AV422" s="13">
        <f t="shared" ca="1" si="142"/>
        <v>0</v>
      </c>
      <c r="AW422" s="13">
        <f ca="1">ROUNDUP(($AT422+$AV422)*VLOOKUP($AP422,Paraméterek!$P$38:$Q$38,2)/12*IF($D423="Nem",IF($M$13=0,1,$M$13),1),IF($D$4="Forint",0,2))</f>
        <v>0</v>
      </c>
      <c r="AX422" s="13"/>
      <c r="AY422" s="13"/>
      <c r="AZ422" s="13">
        <f>ROUNDUP(IF(SUM($AX422:$AY422)=0,0,IF(IF(ISBLANK($AY422),$AX422,$AY422)*Paraméterek!$J$112&lt;IF($D$4="Forint",Paraméterek!$J$113,Paraméterek!$K$113),IF($D$4="Forint",Paraméterek!$J$113,Paraméterek!$K$113),IF(IF(ISBLANK($AY422),$AX422,$AY422)*Paraméterek!$J$112&gt;IF($D$4="Forint",Paraméterek!$J$114,Paraméterek!$K$114),IF($D$4="Forint",Paraméterek!$J$114,Paraméterek!$K$114),IF(ISBLANK($AY422),$AX422,$AY422)*Paraméterek!$J$112))),IF($D$4="Forint",0,2))</f>
        <v>0</v>
      </c>
      <c r="BA422" s="13">
        <f ca="1">$AT422+$AV422-$AW422-IF(ROUNDDOWN(IF(ISBLANK($AY422),$AX422,$AY422),IF($D$4="Forint",0,2))&gt;$AT422+$AV422-$AW422-IF($D$4="Forint",Paraméterek!$J$114,Paraméterek!$K$114),0,ROUNDDOWN(IF(ISBLANK($AY422),$AX422,$AY422),IF($D$4="Forint",0,2))-$AZ422)</f>
        <v>0</v>
      </c>
      <c r="BB422" s="13">
        <f t="shared" ca="1" si="143"/>
        <v>0</v>
      </c>
      <c r="BD422" s="32">
        <v>403</v>
      </c>
      <c r="BE422" s="32">
        <v>34</v>
      </c>
      <c r="BF422" s="32">
        <v>7</v>
      </c>
      <c r="BG422" s="34">
        <f t="shared" ca="1" si="152"/>
        <v>2052</v>
      </c>
      <c r="BH422" s="32" t="str">
        <f ca="1">IF(MOD(MONTH($D$14)+$BD422-1,12)=Paraméterek!$C$288,"Igen","")</f>
        <v/>
      </c>
      <c r="BI422" s="13">
        <f ca="1">IF($BH422="Igen",MIN(ROUNDDOWN((SUMIF($BG$20:$BG$1027,$BG422-1,$K$20:$K$1027)-SUMIF($BG$20:$BG$1027,$BG422-1,$I$20:$I$1027))*Paraméterek!$C$289,IF($D$4="Forint",0,2)),IF($D$4="Forint",Paraméterek!$C$285,Paraméterek!$D$285)),0)</f>
        <v>0</v>
      </c>
      <c r="BJ422" s="13">
        <f t="shared" ca="1" si="144"/>
        <v>0</v>
      </c>
      <c r="BK422" s="13">
        <f t="shared" ca="1" si="153"/>
        <v>0</v>
      </c>
      <c r="BL422" s="33"/>
      <c r="BM422" s="13">
        <f t="shared" ca="1" si="145"/>
        <v>0</v>
      </c>
      <c r="BN422" s="13">
        <f ca="1">ROUNDUP(($BK422+$BM422)*VLOOKUP($BE422,Paraméterek!$P$38:$Q$38,2)/12*IF($D423="Nem",IF($M$13=0,1,$M$13),1),IF($D$4="Forint",0,2))</f>
        <v>0</v>
      </c>
      <c r="BO422" s="13">
        <f t="shared" ca="1" si="146"/>
        <v>0</v>
      </c>
      <c r="BP422" s="13">
        <f ca="1">IF($D423="Nem",$BO422,$BO422-ROUNDUP(SUM($BI$20:$BI422)*120%,IF($D$4="Forint",0,2)))</f>
        <v>0</v>
      </c>
    </row>
    <row r="423" spans="1:68" x14ac:dyDescent="0.2">
      <c r="A423" s="32">
        <v>404</v>
      </c>
      <c r="B423" s="32">
        <v>34</v>
      </c>
      <c r="C423" s="32">
        <v>8</v>
      </c>
      <c r="D423" s="32" t="str">
        <f t="shared" ca="1" si="132"/>
        <v>Nem</v>
      </c>
      <c r="E423" s="13">
        <f t="shared" ca="1" si="133"/>
        <v>0</v>
      </c>
      <c r="F423" s="13"/>
      <c r="G423" s="13"/>
      <c r="H423" s="13"/>
      <c r="I423" s="13">
        <f t="shared" ca="1" si="134"/>
        <v>0</v>
      </c>
      <c r="J423" s="13">
        <f t="shared" ca="1" si="135"/>
        <v>0</v>
      </c>
      <c r="K423" s="13">
        <f t="shared" ca="1" si="136"/>
        <v>0</v>
      </c>
      <c r="L423" s="13" t="e">
        <f ca="1">ROUNDUP(IF($D$2="Egyszeri",$E423,IF($D$2="Havi",SUM($E$20:$E$31),IF(MOD($C423,$M$1)-1=0,SUM($E$20:$E$31),0))/12*$M$1)*VLOOKUP($B423,Paraméterek!$I$28:$P$31,IF($D$2="Egyszeri",8,HLOOKUP(ROUNDUP($M$11+$M$13,0),Paraméterek!$J$26:$O$27,2))),IF($D$4="Forint",0,2))</f>
        <v>#N/A</v>
      </c>
      <c r="M423" s="13">
        <f t="shared" ca="1" si="137"/>
        <v>0</v>
      </c>
      <c r="N423" s="13">
        <f t="shared" ca="1" si="147"/>
        <v>0</v>
      </c>
      <c r="O423" s="13">
        <f ca="1">IF($D423="Igen",IF($W422&gt;=IF($D$4="Forint",Paraméterek!$J$121,Paraméterek!$K$121),0,IF($D$4="Forint",Paraméterek!$J$121,Paraméterek!$K$121)-$W422),0)</f>
        <v>0</v>
      </c>
      <c r="P423" s="13" t="e">
        <f ca="1">ROUNDUP($O423*VLOOKUP($M$4+$B423-1,Paraméterek!$H$58:$I$105,2,0)/Paraméterek!$I$56,IF($D$4="Forint",0,2))</f>
        <v>#N/A</v>
      </c>
      <c r="Q423" s="13">
        <f t="shared" ca="1" si="138"/>
        <v>0</v>
      </c>
      <c r="R423" s="33"/>
      <c r="S423" s="13" t="e">
        <f t="shared" ca="1" si="139"/>
        <v>#N/A</v>
      </c>
      <c r="T423" s="13" t="e">
        <f ca="1">ROUNDUP(($N423-$P423-$Q423+$S423)*VLOOKUP($B423,Paraméterek!$I$38:$K$39,IF($D$2="Egyszeri",3,2))/12*IF($D424="Nem",IF($M$13=0,1,$M$13),1),IF($D$4="Forint",0,2))</f>
        <v>#N/A</v>
      </c>
      <c r="U423" s="13"/>
      <c r="V423" s="13"/>
      <c r="W423" s="13" t="e">
        <f ca="1">$N423-$P423-$Q423+$S423-$T423-IF(ROUNDUP(IF(ISBLANK($V423),$U423*0,$V423)/IF($D$2="Egyszeri",VLOOKUP($B423+IF($C423=12,1,0),Paraméterek!$V$257:$W$262,2),IF($B423=1,1,VLOOKUP($B423+IF($C423=12,1,0),Paraméterek!$I$258:$T$278,HLOOKUP($M$11+1,Paraméterek!$J$256:$T$257,2)))),IF($D$4="Forint",0,2))&gt;$N423-$P423-$Q423+$S423-$T423-IF($D$4="Forint",Paraméterek!$C$216,Paraméterek!$D$216),0,ROUNDUP(IF(ISBLANK($V423),$U423*0,$V423)/IF($D$2="Egyszeri",VLOOKUP($B423+IF($C423=12,1,0),Paraméterek!$V$257:$W$262,2),IF($B423=1,1,VLOOKUP($B423+IF($C423=12,1,0),Paraméterek!$I$258:$T$278,HLOOKUP($M$11+1,Paraméterek!$J$256:$T$257,2)))),IF($D$4="Forint",0,2)))</f>
        <v>#N/A</v>
      </c>
      <c r="X423" s="13" t="e">
        <f ca="1">ROUNDDOWN($W423*IF($D$2="Egyszeri",VLOOKUP($B423+IF($C423=12,1,0),Paraméterek!$V$257:$W$262,2),VLOOKUP($B423+IF($C423=12,1,0),Paraméterek!$I$258:$T$278,HLOOKUP($M$11+1,Paraméterek!$I$256:$T$257,2))),IF($D$4="Forint",0,2))</f>
        <v>#N/A</v>
      </c>
      <c r="Z423" s="32">
        <v>404</v>
      </c>
      <c r="AA423" s="32">
        <v>34</v>
      </c>
      <c r="AB423" s="32">
        <v>8</v>
      </c>
      <c r="AC423" s="13">
        <f t="shared" ca="1" si="148"/>
        <v>0</v>
      </c>
      <c r="AD423" s="33"/>
      <c r="AE423" s="13">
        <f t="shared" ca="1" si="140"/>
        <v>0</v>
      </c>
      <c r="AF423" s="13">
        <f ca="1">ROUNDUP(($AC423+$AE423)*VLOOKUP($AA423,Paraméterek!$P$38:$Q$38,2)/12*IF($D424="Nem",IF($M$13=0,1,$M$13),1),IF($D$4="Forint",0,2))</f>
        <v>0</v>
      </c>
      <c r="AG423" s="13">
        <f ca="1">IF($D$2="Egyszeri",IF($D$7&gt;=IF($D$4="Forint",Paraméterek!$P$223,Paraméterek!$P$224),$D$7-IF($D$4="Forint",Paraméterek!$P$223,Paraméterek!$P$224),0),MIN(IF($AB423=12,AVERAGEIF($E$20:$E423,"&gt;0",$E$20:$E423)*12,0),SUM($E$20:$E$31)))</f>
        <v>0</v>
      </c>
      <c r="AH423" s="13">
        <f>IF($AA423=10,$AG423*IF($AB423=12,IF($AG423&lt;IF($D$4="Forint",Paraméterek!$L$223,Paraméterek!$L$224),0,VLOOKUP($AA423,Paraméterek!$K$226:$M$228,IF($AG423&lt;IF($D$4="Forint",Paraméterek!$M$223,Paraméterek!$M$224),2,3))),0),0)</f>
        <v>0</v>
      </c>
      <c r="AI423" s="13">
        <f ca="1">IF(AND($AA423=$M$11+1,$AB423=$M$12+1),SUMIF($AA$20:$AA$1027,$AA423,$AG$20:$AG$1027)*IF(SUMIF($AA$20:$AA$1027,$AA423,$AG$20:$AG$1027)&lt;IF($D$4="Forint",Paraméterek!$L$223,Paraméterek!$L$224),0,VLOOKUP($AA423,Paraméterek!$K$230:$M$250,IF(SUMIF($AA$20:$AA$1027,$AA423,$AG$20:$AG$1027)&lt;IF($D$4="Forint",Paraméterek!$M$223,Paraméterek!$M$224),2,3))),0)</f>
        <v>0</v>
      </c>
      <c r="AJ423" s="13">
        <f ca="1">IF(AND($AA423&gt;=5,MOD($AA423,5)=0),IF($AB423=12,VLOOKUP($AA423,Paraméterek!$O$225:$P$240,2),0),IF(OR($AA423=3,$AA423=4),IF($AB423=12,VLOOKUP($AA423,Paraméterek!$O$225:$P$240,2,0),0),0))*$AG423</f>
        <v>0</v>
      </c>
      <c r="AK423" s="13">
        <f t="shared" ca="1" si="141"/>
        <v>0</v>
      </c>
      <c r="AL423" s="13">
        <f t="shared" ca="1" si="149"/>
        <v>0</v>
      </c>
      <c r="AM423" s="13">
        <f t="shared" ca="1" si="150"/>
        <v>0</v>
      </c>
      <c r="AO423" s="32">
        <v>404</v>
      </c>
      <c r="AP423" s="32">
        <v>34</v>
      </c>
      <c r="AQ423" s="32">
        <v>8</v>
      </c>
      <c r="AR423" s="13"/>
      <c r="AS423" s="32"/>
      <c r="AT423" s="13">
        <f t="shared" ca="1" si="151"/>
        <v>0</v>
      </c>
      <c r="AU423" s="33"/>
      <c r="AV423" s="13">
        <f t="shared" ca="1" si="142"/>
        <v>0</v>
      </c>
      <c r="AW423" s="13">
        <f ca="1">ROUNDUP(($AT423+$AV423)*VLOOKUP($AP423,Paraméterek!$P$38:$Q$38,2)/12*IF($D424="Nem",IF($M$13=0,1,$M$13),1),IF($D$4="Forint",0,2))</f>
        <v>0</v>
      </c>
      <c r="AX423" s="13"/>
      <c r="AY423" s="13"/>
      <c r="AZ423" s="13">
        <f>ROUNDUP(IF(SUM($AX423:$AY423)=0,0,IF(IF(ISBLANK($AY423),$AX423,$AY423)*Paraméterek!$J$112&lt;IF($D$4="Forint",Paraméterek!$J$113,Paraméterek!$K$113),IF($D$4="Forint",Paraméterek!$J$113,Paraméterek!$K$113),IF(IF(ISBLANK($AY423),$AX423,$AY423)*Paraméterek!$J$112&gt;IF($D$4="Forint",Paraméterek!$J$114,Paraméterek!$K$114),IF($D$4="Forint",Paraméterek!$J$114,Paraméterek!$K$114),IF(ISBLANK($AY423),$AX423,$AY423)*Paraméterek!$J$112))),IF($D$4="Forint",0,2))</f>
        <v>0</v>
      </c>
      <c r="BA423" s="13">
        <f ca="1">$AT423+$AV423-$AW423-IF(ROUNDDOWN(IF(ISBLANK($AY423),$AX423,$AY423),IF($D$4="Forint",0,2))&gt;$AT423+$AV423-$AW423-IF($D$4="Forint",Paraméterek!$J$114,Paraméterek!$K$114),0,ROUNDDOWN(IF(ISBLANK($AY423),$AX423,$AY423),IF($D$4="Forint",0,2))-$AZ423)</f>
        <v>0</v>
      </c>
      <c r="BB423" s="13">
        <f t="shared" ca="1" si="143"/>
        <v>0</v>
      </c>
      <c r="BD423" s="32">
        <v>404</v>
      </c>
      <c r="BE423" s="32">
        <v>34</v>
      </c>
      <c r="BF423" s="32">
        <v>8</v>
      </c>
      <c r="BG423" s="34">
        <f t="shared" ca="1" si="152"/>
        <v>2053</v>
      </c>
      <c r="BH423" s="32" t="str">
        <f ca="1">IF(MOD(MONTH($D$14)+$BD423-1,12)=Paraméterek!$C$288,"Igen","")</f>
        <v/>
      </c>
      <c r="BI423" s="13">
        <f ca="1">IF($BH423="Igen",MIN(ROUNDDOWN((SUMIF($BG$20:$BG$1027,$BG423-1,$K$20:$K$1027)-SUMIF($BG$20:$BG$1027,$BG423-1,$I$20:$I$1027))*Paraméterek!$C$289,IF($D$4="Forint",0,2)),IF($D$4="Forint",Paraméterek!$C$285,Paraméterek!$D$285)),0)</f>
        <v>0</v>
      </c>
      <c r="BJ423" s="13">
        <f t="shared" ca="1" si="144"/>
        <v>0</v>
      </c>
      <c r="BK423" s="13">
        <f t="shared" ca="1" si="153"/>
        <v>0</v>
      </c>
      <c r="BL423" s="33"/>
      <c r="BM423" s="13">
        <f t="shared" ca="1" si="145"/>
        <v>0</v>
      </c>
      <c r="BN423" s="13">
        <f ca="1">ROUNDUP(($BK423+$BM423)*VLOOKUP($BE423,Paraméterek!$P$38:$Q$38,2)/12*IF($D424="Nem",IF($M$13=0,1,$M$13),1),IF($D$4="Forint",0,2))</f>
        <v>0</v>
      </c>
      <c r="BO423" s="13">
        <f t="shared" ca="1" si="146"/>
        <v>0</v>
      </c>
      <c r="BP423" s="13">
        <f ca="1">IF($D424="Nem",$BO423,$BO423-ROUNDUP(SUM($BI$20:$BI423)*120%,IF($D$4="Forint",0,2)))</f>
        <v>0</v>
      </c>
    </row>
    <row r="424" spans="1:68" x14ac:dyDescent="0.2">
      <c r="A424" s="32">
        <v>405</v>
      </c>
      <c r="B424" s="32">
        <v>34</v>
      </c>
      <c r="C424" s="32">
        <v>9</v>
      </c>
      <c r="D424" s="32" t="str">
        <f t="shared" ca="1" si="132"/>
        <v>Nem</v>
      </c>
      <c r="E424" s="13">
        <f t="shared" ca="1" si="133"/>
        <v>0</v>
      </c>
      <c r="F424" s="13"/>
      <c r="G424" s="13"/>
      <c r="H424" s="13"/>
      <c r="I424" s="13">
        <f t="shared" ca="1" si="134"/>
        <v>0</v>
      </c>
      <c r="J424" s="13">
        <f t="shared" ca="1" si="135"/>
        <v>0</v>
      </c>
      <c r="K424" s="13">
        <f t="shared" ca="1" si="136"/>
        <v>0</v>
      </c>
      <c r="L424" s="13" t="e">
        <f ca="1">ROUNDUP(IF($D$2="Egyszeri",$E424,IF($D$2="Havi",SUM($E$20:$E$31),IF(MOD($C424,$M$1)-1=0,SUM($E$20:$E$31),0))/12*$M$1)*VLOOKUP($B424,Paraméterek!$I$28:$P$31,IF($D$2="Egyszeri",8,HLOOKUP(ROUNDUP($M$11+$M$13,0),Paraméterek!$J$26:$O$27,2))),IF($D$4="Forint",0,2))</f>
        <v>#N/A</v>
      </c>
      <c r="M424" s="13">
        <f t="shared" ca="1" si="137"/>
        <v>0</v>
      </c>
      <c r="N424" s="13">
        <f t="shared" ca="1" si="147"/>
        <v>0</v>
      </c>
      <c r="O424" s="13">
        <f ca="1">IF($D424="Igen",IF($W423&gt;=IF($D$4="Forint",Paraméterek!$J$121,Paraméterek!$K$121),0,IF($D$4="Forint",Paraméterek!$J$121,Paraméterek!$K$121)-$W423),0)</f>
        <v>0</v>
      </c>
      <c r="P424" s="13" t="e">
        <f ca="1">ROUNDUP($O424*VLOOKUP($M$4+$B424-1,Paraméterek!$H$58:$I$105,2,0)/Paraméterek!$I$56,IF($D$4="Forint",0,2))</f>
        <v>#N/A</v>
      </c>
      <c r="Q424" s="13">
        <f t="shared" ca="1" si="138"/>
        <v>0</v>
      </c>
      <c r="R424" s="33"/>
      <c r="S424" s="13" t="e">
        <f t="shared" ca="1" si="139"/>
        <v>#N/A</v>
      </c>
      <c r="T424" s="13" t="e">
        <f ca="1">ROUNDUP(($N424-$P424-$Q424+$S424)*VLOOKUP($B424,Paraméterek!$I$38:$K$39,IF($D$2="Egyszeri",3,2))/12*IF($D425="Nem",IF($M$13=0,1,$M$13),1),IF($D$4="Forint",0,2))</f>
        <v>#N/A</v>
      </c>
      <c r="U424" s="13"/>
      <c r="V424" s="13"/>
      <c r="W424" s="13" t="e">
        <f ca="1">$N424-$P424-$Q424+$S424-$T424-IF(ROUNDUP(IF(ISBLANK($V424),$U424*0,$V424)/IF($D$2="Egyszeri",VLOOKUP($B424+IF($C424=12,1,0),Paraméterek!$V$257:$W$262,2),IF($B424=1,1,VLOOKUP($B424+IF($C424=12,1,0),Paraméterek!$I$258:$T$278,HLOOKUP($M$11+1,Paraméterek!$J$256:$T$257,2)))),IF($D$4="Forint",0,2))&gt;$N424-$P424-$Q424+$S424-$T424-IF($D$4="Forint",Paraméterek!$C$216,Paraméterek!$D$216),0,ROUNDUP(IF(ISBLANK($V424),$U424*0,$V424)/IF($D$2="Egyszeri",VLOOKUP($B424+IF($C424=12,1,0),Paraméterek!$V$257:$W$262,2),IF($B424=1,1,VLOOKUP($B424+IF($C424=12,1,0),Paraméterek!$I$258:$T$278,HLOOKUP($M$11+1,Paraméterek!$J$256:$T$257,2)))),IF($D$4="Forint",0,2)))</f>
        <v>#N/A</v>
      </c>
      <c r="X424" s="13" t="e">
        <f ca="1">ROUNDDOWN($W424*IF($D$2="Egyszeri",VLOOKUP($B424+IF($C424=12,1,0),Paraméterek!$V$257:$W$262,2),VLOOKUP($B424+IF($C424=12,1,0),Paraméterek!$I$258:$T$278,HLOOKUP($M$11+1,Paraméterek!$I$256:$T$257,2))),IF($D$4="Forint",0,2))</f>
        <v>#N/A</v>
      </c>
      <c r="Z424" s="32">
        <v>405</v>
      </c>
      <c r="AA424" s="32">
        <v>34</v>
      </c>
      <c r="AB424" s="32">
        <v>9</v>
      </c>
      <c r="AC424" s="13">
        <f t="shared" ca="1" si="148"/>
        <v>0</v>
      </c>
      <c r="AD424" s="33"/>
      <c r="AE424" s="13">
        <f t="shared" ca="1" si="140"/>
        <v>0</v>
      </c>
      <c r="AF424" s="13">
        <f ca="1">ROUNDUP(($AC424+$AE424)*VLOOKUP($AA424,Paraméterek!$P$38:$Q$38,2)/12*IF($D425="Nem",IF($M$13=0,1,$M$13),1),IF($D$4="Forint",0,2))</f>
        <v>0</v>
      </c>
      <c r="AG424" s="13">
        <f ca="1">IF($D$2="Egyszeri",IF($D$7&gt;=IF($D$4="Forint",Paraméterek!$P$223,Paraméterek!$P$224),$D$7-IF($D$4="Forint",Paraméterek!$P$223,Paraméterek!$P$224),0),MIN(IF($AB424=12,AVERAGEIF($E$20:$E424,"&gt;0",$E$20:$E424)*12,0),SUM($E$20:$E$31)))</f>
        <v>0</v>
      </c>
      <c r="AH424" s="13">
        <f>IF($AA424=10,$AG424*IF($AB424=12,IF($AG424&lt;IF($D$4="Forint",Paraméterek!$L$223,Paraméterek!$L$224),0,VLOOKUP($AA424,Paraméterek!$K$226:$M$228,IF($AG424&lt;IF($D$4="Forint",Paraméterek!$M$223,Paraméterek!$M$224),2,3))),0),0)</f>
        <v>0</v>
      </c>
      <c r="AI424" s="13">
        <f ca="1">IF(AND($AA424=$M$11+1,$AB424=$M$12+1),SUMIF($AA$20:$AA$1027,$AA424,$AG$20:$AG$1027)*IF(SUMIF($AA$20:$AA$1027,$AA424,$AG$20:$AG$1027)&lt;IF($D$4="Forint",Paraméterek!$L$223,Paraméterek!$L$224),0,VLOOKUP($AA424,Paraméterek!$K$230:$M$250,IF(SUMIF($AA$20:$AA$1027,$AA424,$AG$20:$AG$1027)&lt;IF($D$4="Forint",Paraméterek!$M$223,Paraméterek!$M$224),2,3))),0)</f>
        <v>0</v>
      </c>
      <c r="AJ424" s="13">
        <f ca="1">IF(AND($AA424&gt;=5,MOD($AA424,5)=0),IF($AB424=12,VLOOKUP($AA424,Paraméterek!$O$225:$P$240,2),0),IF(OR($AA424=3,$AA424=4),IF($AB424=12,VLOOKUP($AA424,Paraméterek!$O$225:$P$240,2,0),0),0))*$AG424</f>
        <v>0</v>
      </c>
      <c r="AK424" s="13">
        <f t="shared" ca="1" si="141"/>
        <v>0</v>
      </c>
      <c r="AL424" s="13">
        <f t="shared" ca="1" si="149"/>
        <v>0</v>
      </c>
      <c r="AM424" s="13">
        <f t="shared" ca="1" si="150"/>
        <v>0</v>
      </c>
      <c r="AO424" s="32">
        <v>405</v>
      </c>
      <c r="AP424" s="32">
        <v>34</v>
      </c>
      <c r="AQ424" s="32">
        <v>9</v>
      </c>
      <c r="AR424" s="13"/>
      <c r="AS424" s="32"/>
      <c r="AT424" s="13">
        <f t="shared" ca="1" si="151"/>
        <v>0</v>
      </c>
      <c r="AU424" s="33"/>
      <c r="AV424" s="13">
        <f t="shared" ca="1" si="142"/>
        <v>0</v>
      </c>
      <c r="AW424" s="13">
        <f ca="1">ROUNDUP(($AT424+$AV424)*VLOOKUP($AP424,Paraméterek!$P$38:$Q$38,2)/12*IF($D425="Nem",IF($M$13=0,1,$M$13),1),IF($D$4="Forint",0,2))</f>
        <v>0</v>
      </c>
      <c r="AX424" s="13"/>
      <c r="AY424" s="13"/>
      <c r="AZ424" s="13">
        <f>ROUNDUP(IF(SUM($AX424:$AY424)=0,0,IF(IF(ISBLANK($AY424),$AX424,$AY424)*Paraméterek!$J$112&lt;IF($D$4="Forint",Paraméterek!$J$113,Paraméterek!$K$113),IF($D$4="Forint",Paraméterek!$J$113,Paraméterek!$K$113),IF(IF(ISBLANK($AY424),$AX424,$AY424)*Paraméterek!$J$112&gt;IF($D$4="Forint",Paraméterek!$J$114,Paraméterek!$K$114),IF($D$4="Forint",Paraméterek!$J$114,Paraméterek!$K$114),IF(ISBLANK($AY424),$AX424,$AY424)*Paraméterek!$J$112))),IF($D$4="Forint",0,2))</f>
        <v>0</v>
      </c>
      <c r="BA424" s="13">
        <f ca="1">$AT424+$AV424-$AW424-IF(ROUNDDOWN(IF(ISBLANK($AY424),$AX424,$AY424),IF($D$4="Forint",0,2))&gt;$AT424+$AV424-$AW424-IF($D$4="Forint",Paraméterek!$J$114,Paraméterek!$K$114),0,ROUNDDOWN(IF(ISBLANK($AY424),$AX424,$AY424),IF($D$4="Forint",0,2))-$AZ424)</f>
        <v>0</v>
      </c>
      <c r="BB424" s="13">
        <f t="shared" ca="1" si="143"/>
        <v>0</v>
      </c>
      <c r="BD424" s="32">
        <v>405</v>
      </c>
      <c r="BE424" s="32">
        <v>34</v>
      </c>
      <c r="BF424" s="32">
        <v>9</v>
      </c>
      <c r="BG424" s="34">
        <f t="shared" ca="1" si="152"/>
        <v>2053</v>
      </c>
      <c r="BH424" s="32" t="str">
        <f ca="1">IF(MOD(MONTH($D$14)+$BD424-1,12)=Paraméterek!$C$288,"Igen","")</f>
        <v/>
      </c>
      <c r="BI424" s="13">
        <f ca="1">IF($BH424="Igen",MIN(ROUNDDOWN((SUMIF($BG$20:$BG$1027,$BG424-1,$K$20:$K$1027)-SUMIF($BG$20:$BG$1027,$BG424-1,$I$20:$I$1027))*Paraméterek!$C$289,IF($D$4="Forint",0,2)),IF($D$4="Forint",Paraméterek!$C$285,Paraméterek!$D$285)),0)</f>
        <v>0</v>
      </c>
      <c r="BJ424" s="13">
        <f t="shared" ca="1" si="144"/>
        <v>0</v>
      </c>
      <c r="BK424" s="13">
        <f t="shared" ca="1" si="153"/>
        <v>0</v>
      </c>
      <c r="BL424" s="33"/>
      <c r="BM424" s="13">
        <f t="shared" ca="1" si="145"/>
        <v>0</v>
      </c>
      <c r="BN424" s="13">
        <f ca="1">ROUNDUP(($BK424+$BM424)*VLOOKUP($BE424,Paraméterek!$P$38:$Q$38,2)/12*IF($D425="Nem",IF($M$13=0,1,$M$13),1),IF($D$4="Forint",0,2))</f>
        <v>0</v>
      </c>
      <c r="BO424" s="13">
        <f t="shared" ca="1" si="146"/>
        <v>0</v>
      </c>
      <c r="BP424" s="13">
        <f ca="1">IF($D425="Nem",$BO424,$BO424-ROUNDUP(SUM($BI$20:$BI424)*120%,IF($D$4="Forint",0,2)))</f>
        <v>0</v>
      </c>
    </row>
    <row r="425" spans="1:68" x14ac:dyDescent="0.2">
      <c r="A425" s="32">
        <v>406</v>
      </c>
      <c r="B425" s="32">
        <v>34</v>
      </c>
      <c r="C425" s="32">
        <v>10</v>
      </c>
      <c r="D425" s="32" t="str">
        <f t="shared" ca="1" si="132"/>
        <v>Nem</v>
      </c>
      <c r="E425" s="13">
        <f t="shared" ca="1" si="133"/>
        <v>0</v>
      </c>
      <c r="F425" s="13"/>
      <c r="G425" s="13"/>
      <c r="H425" s="13"/>
      <c r="I425" s="13">
        <f t="shared" ca="1" si="134"/>
        <v>0</v>
      </c>
      <c r="J425" s="13">
        <f t="shared" ca="1" si="135"/>
        <v>0</v>
      </c>
      <c r="K425" s="13">
        <f t="shared" ca="1" si="136"/>
        <v>0</v>
      </c>
      <c r="L425" s="13" t="e">
        <f ca="1">ROUNDUP(IF($D$2="Egyszeri",$E425,IF($D$2="Havi",SUM($E$20:$E$31),IF(MOD($C425,$M$1)-1=0,SUM($E$20:$E$31),0))/12*$M$1)*VLOOKUP($B425,Paraméterek!$I$28:$P$31,IF($D$2="Egyszeri",8,HLOOKUP(ROUNDUP($M$11+$M$13,0),Paraméterek!$J$26:$O$27,2))),IF($D$4="Forint",0,2))</f>
        <v>#N/A</v>
      </c>
      <c r="M425" s="13">
        <f t="shared" ca="1" si="137"/>
        <v>0</v>
      </c>
      <c r="N425" s="13">
        <f t="shared" ca="1" si="147"/>
        <v>0</v>
      </c>
      <c r="O425" s="13">
        <f ca="1">IF($D425="Igen",IF($W424&gt;=IF($D$4="Forint",Paraméterek!$J$121,Paraméterek!$K$121),0,IF($D$4="Forint",Paraméterek!$J$121,Paraméterek!$K$121)-$W424),0)</f>
        <v>0</v>
      </c>
      <c r="P425" s="13" t="e">
        <f ca="1">ROUNDUP($O425*VLOOKUP($M$4+$B425-1,Paraméterek!$H$58:$I$105,2,0)/Paraméterek!$I$56,IF($D$4="Forint",0,2))</f>
        <v>#N/A</v>
      </c>
      <c r="Q425" s="13">
        <f t="shared" ca="1" si="138"/>
        <v>0</v>
      </c>
      <c r="R425" s="33"/>
      <c r="S425" s="13" t="e">
        <f t="shared" ca="1" si="139"/>
        <v>#N/A</v>
      </c>
      <c r="T425" s="13" t="e">
        <f ca="1">ROUNDUP(($N425-$P425-$Q425+$S425)*VLOOKUP($B425,Paraméterek!$I$38:$K$39,IF($D$2="Egyszeri",3,2))/12*IF($D426="Nem",IF($M$13=0,1,$M$13),1),IF($D$4="Forint",0,2))</f>
        <v>#N/A</v>
      </c>
      <c r="U425" s="13"/>
      <c r="V425" s="13"/>
      <c r="W425" s="13" t="e">
        <f ca="1">$N425-$P425-$Q425+$S425-$T425-IF(ROUNDUP(IF(ISBLANK($V425),$U425*0,$V425)/IF($D$2="Egyszeri",VLOOKUP($B425+IF($C425=12,1,0),Paraméterek!$V$257:$W$262,2),IF($B425=1,1,VLOOKUP($B425+IF($C425=12,1,0),Paraméterek!$I$258:$T$278,HLOOKUP($M$11+1,Paraméterek!$J$256:$T$257,2)))),IF($D$4="Forint",0,2))&gt;$N425-$P425-$Q425+$S425-$T425-IF($D$4="Forint",Paraméterek!$C$216,Paraméterek!$D$216),0,ROUNDUP(IF(ISBLANK($V425),$U425*0,$V425)/IF($D$2="Egyszeri",VLOOKUP($B425+IF($C425=12,1,0),Paraméterek!$V$257:$W$262,2),IF($B425=1,1,VLOOKUP($B425+IF($C425=12,1,0),Paraméterek!$I$258:$T$278,HLOOKUP($M$11+1,Paraméterek!$J$256:$T$257,2)))),IF($D$4="Forint",0,2)))</f>
        <v>#N/A</v>
      </c>
      <c r="X425" s="13" t="e">
        <f ca="1">ROUNDDOWN($W425*IF($D$2="Egyszeri",VLOOKUP($B425+IF($C425=12,1,0),Paraméterek!$V$257:$W$262,2),VLOOKUP($B425+IF($C425=12,1,0),Paraméterek!$I$258:$T$278,HLOOKUP($M$11+1,Paraméterek!$I$256:$T$257,2))),IF($D$4="Forint",0,2))</f>
        <v>#N/A</v>
      </c>
      <c r="Z425" s="32">
        <v>406</v>
      </c>
      <c r="AA425" s="32">
        <v>34</v>
      </c>
      <c r="AB425" s="32">
        <v>10</v>
      </c>
      <c r="AC425" s="13">
        <f t="shared" ca="1" si="148"/>
        <v>0</v>
      </c>
      <c r="AD425" s="33"/>
      <c r="AE425" s="13">
        <f t="shared" ca="1" si="140"/>
        <v>0</v>
      </c>
      <c r="AF425" s="13">
        <f ca="1">ROUNDUP(($AC425+$AE425)*VLOOKUP($AA425,Paraméterek!$P$38:$Q$38,2)/12*IF($D426="Nem",IF($M$13=0,1,$M$13),1),IF($D$4="Forint",0,2))</f>
        <v>0</v>
      </c>
      <c r="AG425" s="13">
        <f ca="1">IF($D$2="Egyszeri",IF($D$7&gt;=IF($D$4="Forint",Paraméterek!$P$223,Paraméterek!$P$224),$D$7-IF($D$4="Forint",Paraméterek!$P$223,Paraméterek!$P$224),0),MIN(IF($AB425=12,AVERAGEIF($E$20:$E425,"&gt;0",$E$20:$E425)*12,0),SUM($E$20:$E$31)))</f>
        <v>0</v>
      </c>
      <c r="AH425" s="13">
        <f>IF($AA425=10,$AG425*IF($AB425=12,IF($AG425&lt;IF($D$4="Forint",Paraméterek!$L$223,Paraméterek!$L$224),0,VLOOKUP($AA425,Paraméterek!$K$226:$M$228,IF($AG425&lt;IF($D$4="Forint",Paraméterek!$M$223,Paraméterek!$M$224),2,3))),0),0)</f>
        <v>0</v>
      </c>
      <c r="AI425" s="13">
        <f ca="1">IF(AND($AA425=$M$11+1,$AB425=$M$12+1),SUMIF($AA$20:$AA$1027,$AA425,$AG$20:$AG$1027)*IF(SUMIF($AA$20:$AA$1027,$AA425,$AG$20:$AG$1027)&lt;IF($D$4="Forint",Paraméterek!$L$223,Paraméterek!$L$224),0,VLOOKUP($AA425,Paraméterek!$K$230:$M$250,IF(SUMIF($AA$20:$AA$1027,$AA425,$AG$20:$AG$1027)&lt;IF($D$4="Forint",Paraméterek!$M$223,Paraméterek!$M$224),2,3))),0)</f>
        <v>0</v>
      </c>
      <c r="AJ425" s="13">
        <f ca="1">IF(AND($AA425&gt;=5,MOD($AA425,5)=0),IF($AB425=12,VLOOKUP($AA425,Paraméterek!$O$225:$P$240,2),0),IF(OR($AA425=3,$AA425=4),IF($AB425=12,VLOOKUP($AA425,Paraméterek!$O$225:$P$240,2,0),0),0))*$AG425</f>
        <v>0</v>
      </c>
      <c r="AK425" s="13">
        <f t="shared" ca="1" si="141"/>
        <v>0</v>
      </c>
      <c r="AL425" s="13">
        <f t="shared" ca="1" si="149"/>
        <v>0</v>
      </c>
      <c r="AM425" s="13">
        <f t="shared" ca="1" si="150"/>
        <v>0</v>
      </c>
      <c r="AO425" s="32">
        <v>406</v>
      </c>
      <c r="AP425" s="32">
        <v>34</v>
      </c>
      <c r="AQ425" s="32">
        <v>10</v>
      </c>
      <c r="AR425" s="13"/>
      <c r="AS425" s="32"/>
      <c r="AT425" s="13">
        <f t="shared" ca="1" si="151"/>
        <v>0</v>
      </c>
      <c r="AU425" s="33"/>
      <c r="AV425" s="13">
        <f t="shared" ca="1" si="142"/>
        <v>0</v>
      </c>
      <c r="AW425" s="13">
        <f ca="1">ROUNDUP(($AT425+$AV425)*VLOOKUP($AP425,Paraméterek!$P$38:$Q$38,2)/12*IF($D426="Nem",IF($M$13=0,1,$M$13),1),IF($D$4="Forint",0,2))</f>
        <v>0</v>
      </c>
      <c r="AX425" s="13"/>
      <c r="AY425" s="13"/>
      <c r="AZ425" s="13">
        <f>ROUNDUP(IF(SUM($AX425:$AY425)=0,0,IF(IF(ISBLANK($AY425),$AX425,$AY425)*Paraméterek!$J$112&lt;IF($D$4="Forint",Paraméterek!$J$113,Paraméterek!$K$113),IF($D$4="Forint",Paraméterek!$J$113,Paraméterek!$K$113),IF(IF(ISBLANK($AY425),$AX425,$AY425)*Paraméterek!$J$112&gt;IF($D$4="Forint",Paraméterek!$J$114,Paraméterek!$K$114),IF($D$4="Forint",Paraméterek!$J$114,Paraméterek!$K$114),IF(ISBLANK($AY425),$AX425,$AY425)*Paraméterek!$J$112))),IF($D$4="Forint",0,2))</f>
        <v>0</v>
      </c>
      <c r="BA425" s="13">
        <f ca="1">$AT425+$AV425-$AW425-IF(ROUNDDOWN(IF(ISBLANK($AY425),$AX425,$AY425),IF($D$4="Forint",0,2))&gt;$AT425+$AV425-$AW425-IF($D$4="Forint",Paraméterek!$J$114,Paraméterek!$K$114),0,ROUNDDOWN(IF(ISBLANK($AY425),$AX425,$AY425),IF($D$4="Forint",0,2))-$AZ425)</f>
        <v>0</v>
      </c>
      <c r="BB425" s="13">
        <f t="shared" ca="1" si="143"/>
        <v>0</v>
      </c>
      <c r="BD425" s="32">
        <v>406</v>
      </c>
      <c r="BE425" s="32">
        <v>34</v>
      </c>
      <c r="BF425" s="32">
        <v>10</v>
      </c>
      <c r="BG425" s="34">
        <f t="shared" ca="1" si="152"/>
        <v>2053</v>
      </c>
      <c r="BH425" s="32" t="str">
        <f ca="1">IF(MOD(MONTH($D$14)+$BD425-1,12)=Paraméterek!$C$288,"Igen","")</f>
        <v/>
      </c>
      <c r="BI425" s="13">
        <f ca="1">IF($BH425="Igen",MIN(ROUNDDOWN((SUMIF($BG$20:$BG$1027,$BG425-1,$K$20:$K$1027)-SUMIF($BG$20:$BG$1027,$BG425-1,$I$20:$I$1027))*Paraméterek!$C$289,IF($D$4="Forint",0,2)),IF($D$4="Forint",Paraméterek!$C$285,Paraméterek!$D$285)),0)</f>
        <v>0</v>
      </c>
      <c r="BJ425" s="13">
        <f t="shared" ca="1" si="144"/>
        <v>0</v>
      </c>
      <c r="BK425" s="13">
        <f t="shared" ca="1" si="153"/>
        <v>0</v>
      </c>
      <c r="BL425" s="33"/>
      <c r="BM425" s="13">
        <f t="shared" ca="1" si="145"/>
        <v>0</v>
      </c>
      <c r="BN425" s="13">
        <f ca="1">ROUNDUP(($BK425+$BM425)*VLOOKUP($BE425,Paraméterek!$P$38:$Q$38,2)/12*IF($D426="Nem",IF($M$13=0,1,$M$13),1),IF($D$4="Forint",0,2))</f>
        <v>0</v>
      </c>
      <c r="BO425" s="13">
        <f t="shared" ca="1" si="146"/>
        <v>0</v>
      </c>
      <c r="BP425" s="13">
        <f ca="1">IF($D426="Nem",$BO425,$BO425-ROUNDUP(SUM($BI$20:$BI425)*120%,IF($D$4="Forint",0,2)))</f>
        <v>0</v>
      </c>
    </row>
    <row r="426" spans="1:68" x14ac:dyDescent="0.2">
      <c r="A426" s="32">
        <v>407</v>
      </c>
      <c r="B426" s="32">
        <v>34</v>
      </c>
      <c r="C426" s="32">
        <v>11</v>
      </c>
      <c r="D426" s="32" t="str">
        <f t="shared" ca="1" si="132"/>
        <v>Nem</v>
      </c>
      <c r="E426" s="13">
        <f t="shared" ca="1" si="133"/>
        <v>0</v>
      </c>
      <c r="F426" s="13"/>
      <c r="G426" s="13"/>
      <c r="H426" s="13"/>
      <c r="I426" s="13">
        <f t="shared" ca="1" si="134"/>
        <v>0</v>
      </c>
      <c r="J426" s="13">
        <f t="shared" ca="1" si="135"/>
        <v>0</v>
      </c>
      <c r="K426" s="13">
        <f t="shared" ca="1" si="136"/>
        <v>0</v>
      </c>
      <c r="L426" s="13" t="e">
        <f ca="1">ROUNDUP(IF($D$2="Egyszeri",$E426,IF($D$2="Havi",SUM($E$20:$E$31),IF(MOD($C426,$M$1)-1=0,SUM($E$20:$E$31),0))/12*$M$1)*VLOOKUP($B426,Paraméterek!$I$28:$P$31,IF($D$2="Egyszeri",8,HLOOKUP(ROUNDUP($M$11+$M$13,0),Paraméterek!$J$26:$O$27,2))),IF($D$4="Forint",0,2))</f>
        <v>#N/A</v>
      </c>
      <c r="M426" s="13">
        <f t="shared" ca="1" si="137"/>
        <v>0</v>
      </c>
      <c r="N426" s="13">
        <f t="shared" ca="1" si="147"/>
        <v>0</v>
      </c>
      <c r="O426" s="13">
        <f ca="1">IF($D426="Igen",IF($W425&gt;=IF($D$4="Forint",Paraméterek!$J$121,Paraméterek!$K$121),0,IF($D$4="Forint",Paraméterek!$J$121,Paraméterek!$K$121)-$W425),0)</f>
        <v>0</v>
      </c>
      <c r="P426" s="13" t="e">
        <f ca="1">ROUNDUP($O426*VLOOKUP($M$4+$B426-1,Paraméterek!$H$58:$I$105,2,0)/Paraméterek!$I$56,IF($D$4="Forint",0,2))</f>
        <v>#N/A</v>
      </c>
      <c r="Q426" s="13">
        <f t="shared" ca="1" si="138"/>
        <v>0</v>
      </c>
      <c r="R426" s="33"/>
      <c r="S426" s="13" t="e">
        <f t="shared" ca="1" si="139"/>
        <v>#N/A</v>
      </c>
      <c r="T426" s="13" t="e">
        <f ca="1">ROUNDUP(($N426-$P426-$Q426+$S426)*VLOOKUP($B426,Paraméterek!$I$38:$K$39,IF($D$2="Egyszeri",3,2))/12*IF($D427="Nem",IF($M$13=0,1,$M$13),1),IF($D$4="Forint",0,2))</f>
        <v>#N/A</v>
      </c>
      <c r="U426" s="13"/>
      <c r="V426" s="13"/>
      <c r="W426" s="13" t="e">
        <f ca="1">$N426-$P426-$Q426+$S426-$T426-IF(ROUNDUP(IF(ISBLANK($V426),$U426*0,$V426)/IF($D$2="Egyszeri",VLOOKUP($B426+IF($C426=12,1,0),Paraméterek!$V$257:$W$262,2),IF($B426=1,1,VLOOKUP($B426+IF($C426=12,1,0),Paraméterek!$I$258:$T$278,HLOOKUP($M$11+1,Paraméterek!$J$256:$T$257,2)))),IF($D$4="Forint",0,2))&gt;$N426-$P426-$Q426+$S426-$T426-IF($D$4="Forint",Paraméterek!$C$216,Paraméterek!$D$216),0,ROUNDUP(IF(ISBLANK($V426),$U426*0,$V426)/IF($D$2="Egyszeri",VLOOKUP($B426+IF($C426=12,1,0),Paraméterek!$V$257:$W$262,2),IF($B426=1,1,VLOOKUP($B426+IF($C426=12,1,0),Paraméterek!$I$258:$T$278,HLOOKUP($M$11+1,Paraméterek!$J$256:$T$257,2)))),IF($D$4="Forint",0,2)))</f>
        <v>#N/A</v>
      </c>
      <c r="X426" s="13" t="e">
        <f ca="1">ROUNDDOWN($W426*IF($D$2="Egyszeri",VLOOKUP($B426+IF($C426=12,1,0),Paraméterek!$V$257:$W$262,2),VLOOKUP($B426+IF($C426=12,1,0),Paraméterek!$I$258:$T$278,HLOOKUP($M$11+1,Paraméterek!$I$256:$T$257,2))),IF($D$4="Forint",0,2))</f>
        <v>#N/A</v>
      </c>
      <c r="Z426" s="32">
        <v>407</v>
      </c>
      <c r="AA426" s="32">
        <v>34</v>
      </c>
      <c r="AB426" s="32">
        <v>11</v>
      </c>
      <c r="AC426" s="13">
        <f t="shared" ca="1" si="148"/>
        <v>0</v>
      </c>
      <c r="AD426" s="33"/>
      <c r="AE426" s="13">
        <f t="shared" ca="1" si="140"/>
        <v>0</v>
      </c>
      <c r="AF426" s="13">
        <f ca="1">ROUNDUP(($AC426+$AE426)*VLOOKUP($AA426,Paraméterek!$P$38:$Q$38,2)/12*IF($D427="Nem",IF($M$13=0,1,$M$13),1),IF($D$4="Forint",0,2))</f>
        <v>0</v>
      </c>
      <c r="AG426" s="13">
        <f ca="1">IF($D$2="Egyszeri",IF($D$7&gt;=IF($D$4="Forint",Paraméterek!$P$223,Paraméterek!$P$224),$D$7-IF($D$4="Forint",Paraméterek!$P$223,Paraméterek!$P$224),0),MIN(IF($AB426=12,AVERAGEIF($E$20:$E426,"&gt;0",$E$20:$E426)*12,0),SUM($E$20:$E$31)))</f>
        <v>0</v>
      </c>
      <c r="AH426" s="13">
        <f>IF($AA426=10,$AG426*IF($AB426=12,IF($AG426&lt;IF($D$4="Forint",Paraméterek!$L$223,Paraméterek!$L$224),0,VLOOKUP($AA426,Paraméterek!$K$226:$M$228,IF($AG426&lt;IF($D$4="Forint",Paraméterek!$M$223,Paraméterek!$M$224),2,3))),0),0)</f>
        <v>0</v>
      </c>
      <c r="AI426" s="13">
        <f ca="1">IF(AND($AA426=$M$11+1,$AB426=$M$12+1),SUMIF($AA$20:$AA$1027,$AA426,$AG$20:$AG$1027)*IF(SUMIF($AA$20:$AA$1027,$AA426,$AG$20:$AG$1027)&lt;IF($D$4="Forint",Paraméterek!$L$223,Paraméterek!$L$224),0,VLOOKUP($AA426,Paraméterek!$K$230:$M$250,IF(SUMIF($AA$20:$AA$1027,$AA426,$AG$20:$AG$1027)&lt;IF($D$4="Forint",Paraméterek!$M$223,Paraméterek!$M$224),2,3))),0)</f>
        <v>0</v>
      </c>
      <c r="AJ426" s="13">
        <f ca="1">IF(AND($AA426&gt;=5,MOD($AA426,5)=0),IF($AB426=12,VLOOKUP($AA426,Paraméterek!$O$225:$P$240,2),0),IF(OR($AA426=3,$AA426=4),IF($AB426=12,VLOOKUP($AA426,Paraméterek!$O$225:$P$240,2,0),0),0))*$AG426</f>
        <v>0</v>
      </c>
      <c r="AK426" s="13">
        <f t="shared" ca="1" si="141"/>
        <v>0</v>
      </c>
      <c r="AL426" s="13">
        <f t="shared" ca="1" si="149"/>
        <v>0</v>
      </c>
      <c r="AM426" s="13">
        <f t="shared" ca="1" si="150"/>
        <v>0</v>
      </c>
      <c r="AO426" s="32">
        <v>407</v>
      </c>
      <c r="AP426" s="32">
        <v>34</v>
      </c>
      <c r="AQ426" s="32">
        <v>11</v>
      </c>
      <c r="AR426" s="13"/>
      <c r="AS426" s="32"/>
      <c r="AT426" s="13">
        <f t="shared" ca="1" si="151"/>
        <v>0</v>
      </c>
      <c r="AU426" s="33"/>
      <c r="AV426" s="13">
        <f t="shared" ca="1" si="142"/>
        <v>0</v>
      </c>
      <c r="AW426" s="13">
        <f ca="1">ROUNDUP(($AT426+$AV426)*VLOOKUP($AP426,Paraméterek!$P$38:$Q$38,2)/12*IF($D427="Nem",IF($M$13=0,1,$M$13),1),IF($D$4="Forint",0,2))</f>
        <v>0</v>
      </c>
      <c r="AX426" s="13"/>
      <c r="AY426" s="13"/>
      <c r="AZ426" s="13">
        <f>ROUNDUP(IF(SUM($AX426:$AY426)=0,0,IF(IF(ISBLANK($AY426),$AX426,$AY426)*Paraméterek!$J$112&lt;IF($D$4="Forint",Paraméterek!$J$113,Paraméterek!$K$113),IF($D$4="Forint",Paraméterek!$J$113,Paraméterek!$K$113),IF(IF(ISBLANK($AY426),$AX426,$AY426)*Paraméterek!$J$112&gt;IF($D$4="Forint",Paraméterek!$J$114,Paraméterek!$K$114),IF($D$4="Forint",Paraméterek!$J$114,Paraméterek!$K$114),IF(ISBLANK($AY426),$AX426,$AY426)*Paraméterek!$J$112))),IF($D$4="Forint",0,2))</f>
        <v>0</v>
      </c>
      <c r="BA426" s="13">
        <f ca="1">$AT426+$AV426-$AW426-IF(ROUNDDOWN(IF(ISBLANK($AY426),$AX426,$AY426),IF($D$4="Forint",0,2))&gt;$AT426+$AV426-$AW426-IF($D$4="Forint",Paraméterek!$J$114,Paraméterek!$K$114),0,ROUNDDOWN(IF(ISBLANK($AY426),$AX426,$AY426),IF($D$4="Forint",0,2))-$AZ426)</f>
        <v>0</v>
      </c>
      <c r="BB426" s="13">
        <f t="shared" ca="1" si="143"/>
        <v>0</v>
      </c>
      <c r="BD426" s="32">
        <v>407</v>
      </c>
      <c r="BE426" s="32">
        <v>34</v>
      </c>
      <c r="BF426" s="32">
        <v>11</v>
      </c>
      <c r="BG426" s="34">
        <f t="shared" ca="1" si="152"/>
        <v>2053</v>
      </c>
      <c r="BH426" s="32" t="str">
        <f ca="1">IF(MOD(MONTH($D$14)+$BD426-1,12)=Paraméterek!$C$288,"Igen","")</f>
        <v/>
      </c>
      <c r="BI426" s="13">
        <f ca="1">IF($BH426="Igen",MIN(ROUNDDOWN((SUMIF($BG$20:$BG$1027,$BG426-1,$K$20:$K$1027)-SUMIF($BG$20:$BG$1027,$BG426-1,$I$20:$I$1027))*Paraméterek!$C$289,IF($D$4="Forint",0,2)),IF($D$4="Forint",Paraméterek!$C$285,Paraméterek!$D$285)),0)</f>
        <v>0</v>
      </c>
      <c r="BJ426" s="13">
        <f t="shared" ca="1" si="144"/>
        <v>0</v>
      </c>
      <c r="BK426" s="13">
        <f t="shared" ca="1" si="153"/>
        <v>0</v>
      </c>
      <c r="BL426" s="33"/>
      <c r="BM426" s="13">
        <f t="shared" ca="1" si="145"/>
        <v>0</v>
      </c>
      <c r="BN426" s="13">
        <f ca="1">ROUNDUP(($BK426+$BM426)*VLOOKUP($BE426,Paraméterek!$P$38:$Q$38,2)/12*IF($D427="Nem",IF($M$13=0,1,$M$13),1),IF($D$4="Forint",0,2))</f>
        <v>0</v>
      </c>
      <c r="BO426" s="13">
        <f t="shared" ca="1" si="146"/>
        <v>0</v>
      </c>
      <c r="BP426" s="13">
        <f ca="1">IF($D427="Nem",$BO426,$BO426-ROUNDUP(SUM($BI$20:$BI426)*120%,IF($D$4="Forint",0,2)))</f>
        <v>0</v>
      </c>
    </row>
    <row r="427" spans="1:68" x14ac:dyDescent="0.2">
      <c r="A427" s="32">
        <v>408</v>
      </c>
      <c r="B427" s="32">
        <v>34</v>
      </c>
      <c r="C427" s="32">
        <v>12</v>
      </c>
      <c r="D427" s="32" t="str">
        <f t="shared" ca="1" si="132"/>
        <v>Nem</v>
      </c>
      <c r="E427" s="13">
        <f t="shared" ca="1" si="133"/>
        <v>0</v>
      </c>
      <c r="F427" s="13"/>
      <c r="G427" s="13"/>
      <c r="H427" s="13"/>
      <c r="I427" s="13">
        <f t="shared" ca="1" si="134"/>
        <v>0</v>
      </c>
      <c r="J427" s="13">
        <f t="shared" ca="1" si="135"/>
        <v>0</v>
      </c>
      <c r="K427" s="13">
        <f t="shared" ca="1" si="136"/>
        <v>0</v>
      </c>
      <c r="L427" s="13" t="e">
        <f ca="1">ROUNDUP(IF($D$2="Egyszeri",$E427,IF($D$2="Havi",SUM($E$20:$E$31),IF(MOD($C427,$M$1)-1=0,SUM($E$20:$E$31),0))/12*$M$1)*VLOOKUP($B427,Paraméterek!$I$28:$P$31,IF($D$2="Egyszeri",8,HLOOKUP(ROUNDUP($M$11+$M$13,0),Paraméterek!$J$26:$O$27,2))),IF($D$4="Forint",0,2))</f>
        <v>#N/A</v>
      </c>
      <c r="M427" s="13">
        <f t="shared" ca="1" si="137"/>
        <v>0</v>
      </c>
      <c r="N427" s="13">
        <f t="shared" ca="1" si="147"/>
        <v>0</v>
      </c>
      <c r="O427" s="13">
        <f ca="1">IF($D427="Igen",IF($W426&gt;=IF($D$4="Forint",Paraméterek!$J$121,Paraméterek!$K$121),0,IF($D$4="Forint",Paraméterek!$J$121,Paraméterek!$K$121)-$W426),0)</f>
        <v>0</v>
      </c>
      <c r="P427" s="13" t="e">
        <f ca="1">ROUNDUP($O427*VLOOKUP($M$4+$B427-1,Paraméterek!$H$58:$I$105,2,0)/Paraméterek!$I$56,IF($D$4="Forint",0,2))</f>
        <v>#N/A</v>
      </c>
      <c r="Q427" s="13">
        <f t="shared" ca="1" si="138"/>
        <v>0</v>
      </c>
      <c r="R427" s="33"/>
      <c r="S427" s="13" t="e">
        <f t="shared" ca="1" si="139"/>
        <v>#N/A</v>
      </c>
      <c r="T427" s="13" t="e">
        <f ca="1">ROUNDUP(($N427-$P427-$Q427+$S427)*VLOOKUP($B427,Paraméterek!$I$38:$K$39,IF($D$2="Egyszeri",3,2))/12*IF($D428="Nem",IF($M$13=0,1,$M$13),1),IF($D$4="Forint",0,2))</f>
        <v>#N/A</v>
      </c>
      <c r="U427" s="13">
        <f>Tranzakciók!$F$65</f>
        <v>0</v>
      </c>
      <c r="V427" s="13"/>
      <c r="W427" s="13" t="e">
        <f ca="1">$N427-$P427-$Q427+$S427-$T427-IF(ROUNDUP(IF(ISBLANK($V427),$U427*0,$V427)/IF($D$2="Egyszeri",VLOOKUP($B427+IF($C427=12,1,0),Paraméterek!$V$257:$W$262,2),IF($B427=1,1,VLOOKUP($B427+IF($C427=12,1,0),Paraméterek!$I$258:$T$278,HLOOKUP($M$11+1,Paraméterek!$J$256:$T$257,2)))),IF($D$4="Forint",0,2))&gt;$N427-$P427-$Q427+$S427-$T427-IF($D$4="Forint",Paraméterek!$C$216,Paraméterek!$D$216),0,ROUNDUP(IF(ISBLANK($V427),$U427*0,$V427)/IF($D$2="Egyszeri",VLOOKUP($B427+IF($C427=12,1,0),Paraméterek!$V$257:$W$262,2),IF($B427=1,1,VLOOKUP($B427+IF($C427=12,1,0),Paraméterek!$I$258:$T$278,HLOOKUP($M$11+1,Paraméterek!$J$256:$T$257,2)))),IF($D$4="Forint",0,2)))</f>
        <v>#N/A</v>
      </c>
      <c r="X427" s="13" t="e">
        <f ca="1">ROUNDDOWN($W427*IF($D$2="Egyszeri",VLOOKUP($B427+IF($C427=12,1,0),Paraméterek!$V$257:$W$262,2),VLOOKUP($B427+IF($C427=12,1,0),Paraméterek!$I$258:$T$278,HLOOKUP($M$11+1,Paraméterek!$I$256:$T$257,2))),IF($D$4="Forint",0,2))</f>
        <v>#N/A</v>
      </c>
      <c r="Z427" s="32">
        <v>408</v>
      </c>
      <c r="AA427" s="32">
        <v>34</v>
      </c>
      <c r="AB427" s="32">
        <v>12</v>
      </c>
      <c r="AC427" s="13">
        <f t="shared" ca="1" si="148"/>
        <v>0</v>
      </c>
      <c r="AD427" s="33"/>
      <c r="AE427" s="13">
        <f t="shared" ca="1" si="140"/>
        <v>0</v>
      </c>
      <c r="AF427" s="13">
        <f ca="1">ROUNDUP(($AC427+$AE427)*VLOOKUP($AA427,Paraméterek!$P$38:$Q$38,2)/12*IF($D428="Nem",IF($M$13=0,1,$M$13),1),IF($D$4="Forint",0,2))</f>
        <v>0</v>
      </c>
      <c r="AG427" s="13" t="e">
        <f ca="1">IF($D$2="Egyszeri",IF($D$7&gt;=IF($D$4="Forint",Paraméterek!$P$223,Paraméterek!$P$224),$D$7-IF($D$4="Forint",Paraméterek!$P$223,Paraméterek!$P$224),0),MIN(IF($AB427=12,AVERAGEIF($E$20:$E427,"&gt;0",$E$20:$E427)*12,0),SUM($E$20:$E$31)))</f>
        <v>#DIV/0!</v>
      </c>
      <c r="AH427" s="13">
        <f>IF($AA427=10,$AG427*IF($AB427=12,IF($AG427&lt;IF($D$4="Forint",Paraméterek!$L$223,Paraméterek!$L$224),0,VLOOKUP($AA427,Paraméterek!$K$226:$M$228,IF($AG427&lt;IF($D$4="Forint",Paraméterek!$M$223,Paraméterek!$M$224),2,3))),0),0)</f>
        <v>0</v>
      </c>
      <c r="AI427" s="13">
        <f ca="1">IF(AND($AA427=$M$11+1,$AB427=$M$12+1),SUMIF($AA$20:$AA$1027,$AA427,$AG$20:$AG$1027)*IF(SUMIF($AA$20:$AA$1027,$AA427,$AG$20:$AG$1027)&lt;IF($D$4="Forint",Paraméterek!$L$223,Paraméterek!$L$224),0,VLOOKUP($AA427,Paraméterek!$K$230:$M$250,IF(SUMIF($AA$20:$AA$1027,$AA427,$AG$20:$AG$1027)&lt;IF($D$4="Forint",Paraméterek!$M$223,Paraméterek!$M$224),2,3))),0)</f>
        <v>0</v>
      </c>
      <c r="AJ427" s="13" t="e">
        <f ca="1">IF(AND($AA427&gt;=5,MOD($AA427,5)=0),IF($AB427=12,VLOOKUP($AA427,Paraméterek!$O$225:$P$240,2),0),IF(OR($AA427=3,$AA427=4),IF($AB427=12,VLOOKUP($AA427,Paraméterek!$O$225:$P$240,2,0),0),0))*$AG427</f>
        <v>#DIV/0!</v>
      </c>
      <c r="AK427" s="13">
        <f t="shared" ca="1" si="141"/>
        <v>0</v>
      </c>
      <c r="AL427" s="13">
        <f t="shared" ca="1" si="149"/>
        <v>0</v>
      </c>
      <c r="AM427" s="13">
        <f t="shared" ca="1" si="150"/>
        <v>0</v>
      </c>
      <c r="AO427" s="32">
        <v>408</v>
      </c>
      <c r="AP427" s="32">
        <v>34</v>
      </c>
      <c r="AQ427" s="32">
        <v>12</v>
      </c>
      <c r="AR427" s="13"/>
      <c r="AS427" s="32"/>
      <c r="AT427" s="13">
        <f t="shared" ca="1" si="151"/>
        <v>0</v>
      </c>
      <c r="AU427" s="33"/>
      <c r="AV427" s="13">
        <f t="shared" ca="1" si="142"/>
        <v>0</v>
      </c>
      <c r="AW427" s="13">
        <f ca="1">ROUNDUP(($AT427+$AV427)*VLOOKUP($AP427,Paraméterek!$P$38:$Q$38,2)/12*IF($D428="Nem",IF($M$13=0,1,$M$13),1),IF($D$4="Forint",0,2))</f>
        <v>0</v>
      </c>
      <c r="AX427" s="13">
        <f>Tranzakciók!$M$65</f>
        <v>0</v>
      </c>
      <c r="AY427" s="13"/>
      <c r="AZ427" s="13">
        <f>ROUNDUP(IF(SUM($AX427:$AY427)=0,0,IF(IF(ISBLANK($AY427),$AX427,$AY427)*Paraméterek!$J$112&lt;IF($D$4="Forint",Paraméterek!$J$113,Paraméterek!$K$113),IF($D$4="Forint",Paraméterek!$J$113,Paraméterek!$K$113),IF(IF(ISBLANK($AY427),$AX427,$AY427)*Paraméterek!$J$112&gt;IF($D$4="Forint",Paraméterek!$J$114,Paraméterek!$K$114),IF($D$4="Forint",Paraméterek!$J$114,Paraméterek!$K$114),IF(ISBLANK($AY427),$AX427,$AY427)*Paraméterek!$J$112))),IF($D$4="Forint",0,2))</f>
        <v>0</v>
      </c>
      <c r="BA427" s="13">
        <f ca="1">$AT427+$AV427-$AW427-IF(ROUNDDOWN(IF(ISBLANK($AY427),$AX427,$AY427),IF($D$4="Forint",0,2))&gt;$AT427+$AV427-$AW427-IF($D$4="Forint",Paraméterek!$J$114,Paraméterek!$K$114),0,ROUNDDOWN(IF(ISBLANK($AY427),$AX427,$AY427),IF($D$4="Forint",0,2))-$AZ427)</f>
        <v>0</v>
      </c>
      <c r="BB427" s="13">
        <f t="shared" ca="1" si="143"/>
        <v>0</v>
      </c>
      <c r="BD427" s="32">
        <v>408</v>
      </c>
      <c r="BE427" s="32">
        <v>34</v>
      </c>
      <c r="BF427" s="32">
        <v>12</v>
      </c>
      <c r="BG427" s="34">
        <f t="shared" ca="1" si="152"/>
        <v>2053</v>
      </c>
      <c r="BH427" s="32" t="str">
        <f ca="1">IF(MOD(MONTH($D$14)+$BD427-1,12)=Paraméterek!$C$288,"Igen","")</f>
        <v/>
      </c>
      <c r="BI427" s="13">
        <f ca="1">IF($BH427="Igen",MIN(ROUNDDOWN((SUMIF($BG$20:$BG$1027,$BG427-1,$K$20:$K$1027)-SUMIF($BG$20:$BG$1027,$BG427-1,$I$20:$I$1027))*Paraméterek!$C$289,IF($D$4="Forint",0,2)),IF($D$4="Forint",Paraméterek!$C$285,Paraméterek!$D$285)),0)</f>
        <v>0</v>
      </c>
      <c r="BJ427" s="13">
        <f t="shared" ca="1" si="144"/>
        <v>0</v>
      </c>
      <c r="BK427" s="13">
        <f t="shared" ca="1" si="153"/>
        <v>0</v>
      </c>
      <c r="BL427" s="33"/>
      <c r="BM427" s="13">
        <f t="shared" ca="1" si="145"/>
        <v>0</v>
      </c>
      <c r="BN427" s="13">
        <f ca="1">ROUNDUP(($BK427+$BM427)*VLOOKUP($BE427,Paraméterek!$P$38:$Q$38,2)/12*IF($D428="Nem",IF($M$13=0,1,$M$13),1),IF($D$4="Forint",0,2))</f>
        <v>0</v>
      </c>
      <c r="BO427" s="13">
        <f t="shared" ca="1" si="146"/>
        <v>0</v>
      </c>
      <c r="BP427" s="13">
        <f ca="1">IF($D428="Nem",$BO427,$BO427-ROUNDUP(SUM($BI$20:$BI427)*120%,IF($D$4="Forint",0,2)))</f>
        <v>0</v>
      </c>
    </row>
    <row r="428" spans="1:68" x14ac:dyDescent="0.2">
      <c r="A428" s="32">
        <v>409</v>
      </c>
      <c r="B428" s="32">
        <v>35</v>
      </c>
      <c r="C428" s="32">
        <v>1</v>
      </c>
      <c r="D428" s="32" t="str">
        <f t="shared" ca="1" si="132"/>
        <v>Nem</v>
      </c>
      <c r="E428" s="13">
        <f t="shared" ca="1" si="133"/>
        <v>0</v>
      </c>
      <c r="F428" s="13"/>
      <c r="G428" s="13">
        <f>Tranzakciók!$D$66</f>
        <v>0</v>
      </c>
      <c r="H428" s="13"/>
      <c r="I428" s="13">
        <f t="shared" ca="1" si="134"/>
        <v>0</v>
      </c>
      <c r="J428" s="13">
        <f t="shared" ca="1" si="135"/>
        <v>0</v>
      </c>
      <c r="K428" s="13">
        <f t="shared" ca="1" si="136"/>
        <v>0</v>
      </c>
      <c r="L428" s="13" t="e">
        <f ca="1">ROUNDUP(IF($D$2="Egyszeri",$E428,IF($D$2="Havi",SUM($E$20:$E$31),IF(MOD($C428,$M$1)-1=0,SUM($E$20:$E$31),0))/12*$M$1)*VLOOKUP($B428,Paraméterek!$I$28:$P$31,IF($D$2="Egyszeri",8,HLOOKUP(ROUNDUP($M$11+$M$13,0),Paraméterek!$J$26:$O$27,2))),IF($D$4="Forint",0,2))</f>
        <v>#N/A</v>
      </c>
      <c r="M428" s="13">
        <f t="shared" ca="1" si="137"/>
        <v>0</v>
      </c>
      <c r="N428" s="13">
        <f t="shared" ca="1" si="147"/>
        <v>0</v>
      </c>
      <c r="O428" s="13">
        <f ca="1">IF($D428="Igen",IF($W427&gt;=IF($D$4="Forint",Paraméterek!$J$121,Paraméterek!$K$121),0,IF($D$4="Forint",Paraméterek!$J$121,Paraméterek!$K$121)-$W427),0)</f>
        <v>0</v>
      </c>
      <c r="P428" s="13" t="e">
        <f ca="1">ROUNDUP($O428*VLOOKUP($M$4+$B428-1,Paraméterek!$H$58:$I$105,2,0)/Paraméterek!$I$56,IF($D$4="Forint",0,2))</f>
        <v>#N/A</v>
      </c>
      <c r="Q428" s="13">
        <f t="shared" ca="1" si="138"/>
        <v>0</v>
      </c>
      <c r="R428" s="33"/>
      <c r="S428" s="13" t="e">
        <f t="shared" ca="1" si="139"/>
        <v>#N/A</v>
      </c>
      <c r="T428" s="13" t="e">
        <f ca="1">ROUNDUP(($N428-$P428-$Q428+$S428)*VLOOKUP($B428,Paraméterek!$I$38:$K$39,IF($D$2="Egyszeri",3,2))/12*IF($D429="Nem",IF($M$13=0,1,$M$13),1),IF($D$4="Forint",0,2))</f>
        <v>#N/A</v>
      </c>
      <c r="U428" s="13"/>
      <c r="V428" s="13"/>
      <c r="W428" s="13" t="e">
        <f ca="1">$N428-$P428-$Q428+$S428-$T428-IF(ROUNDUP(IF(ISBLANK($V428),$U428*0,$V428)/IF($D$2="Egyszeri",VLOOKUP($B428+IF($C428=12,1,0),Paraméterek!$V$257:$W$262,2),IF($B428=1,1,VLOOKUP($B428+IF($C428=12,1,0),Paraméterek!$I$258:$T$278,HLOOKUP($M$11+1,Paraméterek!$J$256:$T$257,2)))),IF($D$4="Forint",0,2))&gt;$N428-$P428-$Q428+$S428-$T428-IF($D$4="Forint",Paraméterek!$C$216,Paraméterek!$D$216),0,ROUNDUP(IF(ISBLANK($V428),$U428*0,$V428)/IF($D$2="Egyszeri",VLOOKUP($B428+IF($C428=12,1,0),Paraméterek!$V$257:$W$262,2),IF($B428=1,1,VLOOKUP($B428+IF($C428=12,1,0),Paraméterek!$I$258:$T$278,HLOOKUP($M$11+1,Paraméterek!$J$256:$T$257,2)))),IF($D$4="Forint",0,2)))</f>
        <v>#N/A</v>
      </c>
      <c r="X428" s="13" t="e">
        <f ca="1">ROUNDDOWN($W428*IF($D$2="Egyszeri",VLOOKUP($B428+IF($C428=12,1,0),Paraméterek!$V$257:$W$262,2),VLOOKUP($B428+IF($C428=12,1,0),Paraméterek!$I$258:$T$278,HLOOKUP($M$11+1,Paraméterek!$I$256:$T$257,2))),IF($D$4="Forint",0,2))</f>
        <v>#N/A</v>
      </c>
      <c r="Z428" s="32">
        <v>409</v>
      </c>
      <c r="AA428" s="32">
        <v>35</v>
      </c>
      <c r="AB428" s="32">
        <v>1</v>
      </c>
      <c r="AC428" s="13">
        <f t="shared" ca="1" si="148"/>
        <v>0</v>
      </c>
      <c r="AD428" s="33"/>
      <c r="AE428" s="13">
        <f t="shared" ca="1" si="140"/>
        <v>0</v>
      </c>
      <c r="AF428" s="13">
        <f ca="1">ROUNDUP(($AC428+$AE428)*VLOOKUP($AA428,Paraméterek!$P$38:$Q$38,2)/12*IF($D429="Nem",IF($M$13=0,1,$M$13),1),IF($D$4="Forint",0,2))</f>
        <v>0</v>
      </c>
      <c r="AG428" s="13">
        <f ca="1">IF($D$2="Egyszeri",IF($D$7&gt;=IF($D$4="Forint",Paraméterek!$P$223,Paraméterek!$P$224),$D$7-IF($D$4="Forint",Paraméterek!$P$223,Paraméterek!$P$224),0),MIN(IF($AB428=12,AVERAGEIF($E$20:$E428,"&gt;0",$E$20:$E428)*12,0),SUM($E$20:$E$31)))</f>
        <v>0</v>
      </c>
      <c r="AH428" s="13">
        <f>IF($AA428=10,$AG428*IF($AB428=12,IF($AG428&lt;IF($D$4="Forint",Paraméterek!$L$223,Paraméterek!$L$224),0,VLOOKUP($AA428,Paraméterek!$K$226:$M$228,IF($AG428&lt;IF($D$4="Forint",Paraméterek!$M$223,Paraméterek!$M$224),2,3))),0),0)</f>
        <v>0</v>
      </c>
      <c r="AI428" s="13">
        <f ca="1">IF(AND($AA428=$M$11+1,$AB428=$M$12+1),SUMIF($AA$20:$AA$1027,$AA428,$AG$20:$AG$1027)*IF(SUMIF($AA$20:$AA$1027,$AA428,$AG$20:$AG$1027)&lt;IF($D$4="Forint",Paraméterek!$L$223,Paraméterek!$L$224),0,VLOOKUP($AA428,Paraméterek!$K$230:$M$250,IF(SUMIF($AA$20:$AA$1027,$AA428,$AG$20:$AG$1027)&lt;IF($D$4="Forint",Paraméterek!$M$223,Paraméterek!$M$224),2,3))),0)</f>
        <v>0</v>
      </c>
      <c r="AJ428" s="13">
        <f ca="1">IF(AND($AA428&gt;=5,MOD($AA428,5)=0),IF($AB428=12,VLOOKUP($AA428,Paraméterek!$O$225:$P$240,2),0),IF(OR($AA428=3,$AA428=4),IF($AB428=12,VLOOKUP($AA428,Paraméterek!$O$225:$P$240,2,0),0),0))*$AG428</f>
        <v>0</v>
      </c>
      <c r="AK428" s="13">
        <f t="shared" ca="1" si="141"/>
        <v>0</v>
      </c>
      <c r="AL428" s="13">
        <f t="shared" ca="1" si="149"/>
        <v>0</v>
      </c>
      <c r="AM428" s="13">
        <f t="shared" ca="1" si="150"/>
        <v>0</v>
      </c>
      <c r="AO428" s="32">
        <v>409</v>
      </c>
      <c r="AP428" s="32">
        <v>35</v>
      </c>
      <c r="AQ428" s="32">
        <v>1</v>
      </c>
      <c r="AR428" s="13">
        <f>Tranzakciók!$K$66</f>
        <v>0</v>
      </c>
      <c r="AS428" s="32"/>
      <c r="AT428" s="13">
        <f t="shared" ca="1" si="151"/>
        <v>0</v>
      </c>
      <c r="AU428" s="33"/>
      <c r="AV428" s="13">
        <f t="shared" ca="1" si="142"/>
        <v>0</v>
      </c>
      <c r="AW428" s="13">
        <f ca="1">ROUNDUP(($AT428+$AV428)*VLOOKUP($AP428,Paraméterek!$P$38:$Q$38,2)/12*IF($D429="Nem",IF($M$13=0,1,$M$13),1),IF($D$4="Forint",0,2))</f>
        <v>0</v>
      </c>
      <c r="AX428" s="13"/>
      <c r="AY428" s="13"/>
      <c r="AZ428" s="13">
        <f>ROUNDUP(IF(SUM($AX428:$AY428)=0,0,IF(IF(ISBLANK($AY428),$AX428,$AY428)*Paraméterek!$J$112&lt;IF($D$4="Forint",Paraméterek!$J$113,Paraméterek!$K$113),IF($D$4="Forint",Paraméterek!$J$113,Paraméterek!$K$113),IF(IF(ISBLANK($AY428),$AX428,$AY428)*Paraméterek!$J$112&gt;IF($D$4="Forint",Paraméterek!$J$114,Paraméterek!$K$114),IF($D$4="Forint",Paraméterek!$J$114,Paraméterek!$K$114),IF(ISBLANK($AY428),$AX428,$AY428)*Paraméterek!$J$112))),IF($D$4="Forint",0,2))</f>
        <v>0</v>
      </c>
      <c r="BA428" s="13">
        <f ca="1">$AT428+$AV428-$AW428-IF(ROUNDDOWN(IF(ISBLANK($AY428),$AX428,$AY428),IF($D$4="Forint",0,2))&gt;$AT428+$AV428-$AW428-IF($D$4="Forint",Paraméterek!$J$114,Paraméterek!$K$114),0,ROUNDDOWN(IF(ISBLANK($AY428),$AX428,$AY428),IF($D$4="Forint",0,2))-$AZ428)</f>
        <v>0</v>
      </c>
      <c r="BB428" s="13">
        <f t="shared" ca="1" si="143"/>
        <v>0</v>
      </c>
      <c r="BD428" s="32">
        <v>409</v>
      </c>
      <c r="BE428" s="32">
        <v>35</v>
      </c>
      <c r="BF428" s="32">
        <v>1</v>
      </c>
      <c r="BG428" s="34">
        <f t="shared" ca="1" si="152"/>
        <v>2053</v>
      </c>
      <c r="BH428" s="32" t="str">
        <f ca="1">IF(MOD(MONTH($D$14)+$BD428-1,12)=Paraméterek!$C$288,"Igen","")</f>
        <v/>
      </c>
      <c r="BI428" s="13">
        <f ca="1">IF($BH428="Igen",MIN(ROUNDDOWN((SUMIF($BG$20:$BG$1027,$BG428-1,$K$20:$K$1027)-SUMIF($BG$20:$BG$1027,$BG428-1,$I$20:$I$1027))*Paraméterek!$C$289,IF($D$4="Forint",0,2)),IF($D$4="Forint",Paraméterek!$C$285,Paraméterek!$D$285)),0)</f>
        <v>0</v>
      </c>
      <c r="BJ428" s="13">
        <f t="shared" ca="1" si="144"/>
        <v>0</v>
      </c>
      <c r="BK428" s="13">
        <f t="shared" ca="1" si="153"/>
        <v>0</v>
      </c>
      <c r="BL428" s="33"/>
      <c r="BM428" s="13">
        <f t="shared" ca="1" si="145"/>
        <v>0</v>
      </c>
      <c r="BN428" s="13">
        <f ca="1">ROUNDUP(($BK428+$BM428)*VLOOKUP($BE428,Paraméterek!$P$38:$Q$38,2)/12*IF($D429="Nem",IF($M$13=0,1,$M$13),1),IF($D$4="Forint",0,2))</f>
        <v>0</v>
      </c>
      <c r="BO428" s="13">
        <f t="shared" ca="1" si="146"/>
        <v>0</v>
      </c>
      <c r="BP428" s="13">
        <f ca="1">IF($D429="Nem",$BO428,$BO428-ROUNDUP(SUM($BI$20:$BI428)*120%,IF($D$4="Forint",0,2)))</f>
        <v>0</v>
      </c>
    </row>
    <row r="429" spans="1:68" x14ac:dyDescent="0.2">
      <c r="A429" s="32">
        <v>410</v>
      </c>
      <c r="B429" s="32">
        <v>35</v>
      </c>
      <c r="C429" s="32">
        <v>2</v>
      </c>
      <c r="D429" s="32" t="str">
        <f t="shared" ca="1" si="132"/>
        <v>Nem</v>
      </c>
      <c r="E429" s="13">
        <f t="shared" ca="1" si="133"/>
        <v>0</v>
      </c>
      <c r="F429" s="13"/>
      <c r="G429" s="13"/>
      <c r="H429" s="13"/>
      <c r="I429" s="13">
        <f t="shared" ca="1" si="134"/>
        <v>0</v>
      </c>
      <c r="J429" s="13">
        <f t="shared" ca="1" si="135"/>
        <v>0</v>
      </c>
      <c r="K429" s="13">
        <f t="shared" ca="1" si="136"/>
        <v>0</v>
      </c>
      <c r="L429" s="13" t="e">
        <f ca="1">ROUNDUP(IF($D$2="Egyszeri",$E429,IF($D$2="Havi",SUM($E$20:$E$31),IF(MOD($C429,$M$1)-1=0,SUM($E$20:$E$31),0))/12*$M$1)*VLOOKUP($B429,Paraméterek!$I$28:$P$31,IF($D$2="Egyszeri",8,HLOOKUP(ROUNDUP($M$11+$M$13,0),Paraméterek!$J$26:$O$27,2))),IF($D$4="Forint",0,2))</f>
        <v>#N/A</v>
      </c>
      <c r="M429" s="13">
        <f t="shared" ca="1" si="137"/>
        <v>0</v>
      </c>
      <c r="N429" s="13">
        <f t="shared" ca="1" si="147"/>
        <v>0</v>
      </c>
      <c r="O429" s="13">
        <f ca="1">IF($D429="Igen",IF($W428&gt;=IF($D$4="Forint",Paraméterek!$J$121,Paraméterek!$K$121),0,IF($D$4="Forint",Paraméterek!$J$121,Paraméterek!$K$121)-$W428),0)</f>
        <v>0</v>
      </c>
      <c r="P429" s="13" t="e">
        <f ca="1">ROUNDUP($O429*VLOOKUP($M$4+$B429-1,Paraméterek!$H$58:$I$105,2,0)/Paraméterek!$I$56,IF($D$4="Forint",0,2))</f>
        <v>#N/A</v>
      </c>
      <c r="Q429" s="13">
        <f t="shared" ca="1" si="138"/>
        <v>0</v>
      </c>
      <c r="R429" s="33"/>
      <c r="S429" s="13" t="e">
        <f t="shared" ca="1" si="139"/>
        <v>#N/A</v>
      </c>
      <c r="T429" s="13" t="e">
        <f ca="1">ROUNDUP(($N429-$P429-$Q429+$S429)*VLOOKUP($B429,Paraméterek!$I$38:$K$39,IF($D$2="Egyszeri",3,2))/12*IF($D430="Nem",IF($M$13=0,1,$M$13),1),IF($D$4="Forint",0,2))</f>
        <v>#N/A</v>
      </c>
      <c r="U429" s="13"/>
      <c r="V429" s="13"/>
      <c r="W429" s="13" t="e">
        <f ca="1">$N429-$P429-$Q429+$S429-$T429-IF(ROUNDUP(IF(ISBLANK($V429),$U429*0,$V429)/IF($D$2="Egyszeri",VLOOKUP($B429+IF($C429=12,1,0),Paraméterek!$V$257:$W$262,2),IF($B429=1,1,VLOOKUP($B429+IF($C429=12,1,0),Paraméterek!$I$258:$T$278,HLOOKUP($M$11+1,Paraméterek!$J$256:$T$257,2)))),IF($D$4="Forint",0,2))&gt;$N429-$P429-$Q429+$S429-$T429-IF($D$4="Forint",Paraméterek!$C$216,Paraméterek!$D$216),0,ROUNDUP(IF(ISBLANK($V429),$U429*0,$V429)/IF($D$2="Egyszeri",VLOOKUP($B429+IF($C429=12,1,0),Paraméterek!$V$257:$W$262,2),IF($B429=1,1,VLOOKUP($B429+IF($C429=12,1,0),Paraméterek!$I$258:$T$278,HLOOKUP($M$11+1,Paraméterek!$J$256:$T$257,2)))),IF($D$4="Forint",0,2)))</f>
        <v>#N/A</v>
      </c>
      <c r="X429" s="13" t="e">
        <f ca="1">ROUNDDOWN($W429*IF($D$2="Egyszeri",VLOOKUP($B429+IF($C429=12,1,0),Paraméterek!$V$257:$W$262,2),VLOOKUP($B429+IF($C429=12,1,0),Paraméterek!$I$258:$T$278,HLOOKUP($M$11+1,Paraméterek!$I$256:$T$257,2))),IF($D$4="Forint",0,2))</f>
        <v>#N/A</v>
      </c>
      <c r="Z429" s="32">
        <v>410</v>
      </c>
      <c r="AA429" s="32">
        <v>35</v>
      </c>
      <c r="AB429" s="32">
        <v>2</v>
      </c>
      <c r="AC429" s="13">
        <f t="shared" ca="1" si="148"/>
        <v>0</v>
      </c>
      <c r="AD429" s="33"/>
      <c r="AE429" s="13">
        <f t="shared" ca="1" si="140"/>
        <v>0</v>
      </c>
      <c r="AF429" s="13">
        <f ca="1">ROUNDUP(($AC429+$AE429)*VLOOKUP($AA429,Paraméterek!$P$38:$Q$38,2)/12*IF($D430="Nem",IF($M$13=0,1,$M$13),1),IF($D$4="Forint",0,2))</f>
        <v>0</v>
      </c>
      <c r="AG429" s="13">
        <f ca="1">IF($D$2="Egyszeri",IF($D$7&gt;=IF($D$4="Forint",Paraméterek!$P$223,Paraméterek!$P$224),$D$7-IF($D$4="Forint",Paraméterek!$P$223,Paraméterek!$P$224),0),MIN(IF($AB429=12,AVERAGEIF($E$20:$E429,"&gt;0",$E$20:$E429)*12,0),SUM($E$20:$E$31)))</f>
        <v>0</v>
      </c>
      <c r="AH429" s="13">
        <f>IF($AA429=10,$AG429*IF($AB429=12,IF($AG429&lt;IF($D$4="Forint",Paraméterek!$L$223,Paraméterek!$L$224),0,VLOOKUP($AA429,Paraméterek!$K$226:$M$228,IF($AG429&lt;IF($D$4="Forint",Paraméterek!$M$223,Paraméterek!$M$224),2,3))),0),0)</f>
        <v>0</v>
      </c>
      <c r="AI429" s="13">
        <f ca="1">IF(AND($AA429=$M$11+1,$AB429=$M$12+1),SUMIF($AA$20:$AA$1027,$AA429,$AG$20:$AG$1027)*IF(SUMIF($AA$20:$AA$1027,$AA429,$AG$20:$AG$1027)&lt;IF($D$4="Forint",Paraméterek!$L$223,Paraméterek!$L$224),0,VLOOKUP($AA429,Paraméterek!$K$230:$M$250,IF(SUMIF($AA$20:$AA$1027,$AA429,$AG$20:$AG$1027)&lt;IF($D$4="Forint",Paraméterek!$M$223,Paraméterek!$M$224),2,3))),0)</f>
        <v>0</v>
      </c>
      <c r="AJ429" s="13">
        <f ca="1">IF(AND($AA429&gt;=5,MOD($AA429,5)=0),IF($AB429=12,VLOOKUP($AA429,Paraméterek!$O$225:$P$240,2),0),IF(OR($AA429=3,$AA429=4),IF($AB429=12,VLOOKUP($AA429,Paraméterek!$O$225:$P$240,2,0),0),0))*$AG429</f>
        <v>0</v>
      </c>
      <c r="AK429" s="13">
        <f t="shared" ca="1" si="141"/>
        <v>0</v>
      </c>
      <c r="AL429" s="13">
        <f t="shared" ca="1" si="149"/>
        <v>0</v>
      </c>
      <c r="AM429" s="13">
        <f t="shared" ca="1" si="150"/>
        <v>0</v>
      </c>
      <c r="AO429" s="32">
        <v>410</v>
      </c>
      <c r="AP429" s="32">
        <v>35</v>
      </c>
      <c r="AQ429" s="32">
        <v>2</v>
      </c>
      <c r="AR429" s="13"/>
      <c r="AS429" s="32"/>
      <c r="AT429" s="13">
        <f t="shared" ca="1" si="151"/>
        <v>0</v>
      </c>
      <c r="AU429" s="33"/>
      <c r="AV429" s="13">
        <f t="shared" ca="1" si="142"/>
        <v>0</v>
      </c>
      <c r="AW429" s="13">
        <f ca="1">ROUNDUP(($AT429+$AV429)*VLOOKUP($AP429,Paraméterek!$P$38:$Q$38,2)/12*IF($D430="Nem",IF($M$13=0,1,$M$13),1),IF($D$4="Forint",0,2))</f>
        <v>0</v>
      </c>
      <c r="AX429" s="13"/>
      <c r="AY429" s="13"/>
      <c r="AZ429" s="13">
        <f>ROUNDUP(IF(SUM($AX429:$AY429)=0,0,IF(IF(ISBLANK($AY429),$AX429,$AY429)*Paraméterek!$J$112&lt;IF($D$4="Forint",Paraméterek!$J$113,Paraméterek!$K$113),IF($D$4="Forint",Paraméterek!$J$113,Paraméterek!$K$113),IF(IF(ISBLANK($AY429),$AX429,$AY429)*Paraméterek!$J$112&gt;IF($D$4="Forint",Paraméterek!$J$114,Paraméterek!$K$114),IF($D$4="Forint",Paraméterek!$J$114,Paraméterek!$K$114),IF(ISBLANK($AY429),$AX429,$AY429)*Paraméterek!$J$112))),IF($D$4="Forint",0,2))</f>
        <v>0</v>
      </c>
      <c r="BA429" s="13">
        <f ca="1">$AT429+$AV429-$AW429-IF(ROUNDDOWN(IF(ISBLANK($AY429),$AX429,$AY429),IF($D$4="Forint",0,2))&gt;$AT429+$AV429-$AW429-IF($D$4="Forint",Paraméterek!$J$114,Paraméterek!$K$114),0,ROUNDDOWN(IF(ISBLANK($AY429),$AX429,$AY429),IF($D$4="Forint",0,2))-$AZ429)</f>
        <v>0</v>
      </c>
      <c r="BB429" s="13">
        <f t="shared" ca="1" si="143"/>
        <v>0</v>
      </c>
      <c r="BD429" s="32">
        <v>410</v>
      </c>
      <c r="BE429" s="32">
        <v>35</v>
      </c>
      <c r="BF429" s="32">
        <v>2</v>
      </c>
      <c r="BG429" s="34">
        <f t="shared" ca="1" si="152"/>
        <v>2053</v>
      </c>
      <c r="BH429" s="32" t="str">
        <f ca="1">IF(MOD(MONTH($D$14)+$BD429-1,12)=Paraméterek!$C$288,"Igen","")</f>
        <v>Igen</v>
      </c>
      <c r="BI429" s="13">
        <f ca="1">IF($BH429="Igen",MIN(ROUNDDOWN((SUMIF($BG$20:$BG$1027,$BG429-1,$K$20:$K$1027)-SUMIF($BG$20:$BG$1027,$BG429-1,$I$20:$I$1027))*Paraméterek!$C$289,IF($D$4="Forint",0,2)),IF($D$4="Forint",Paraméterek!$C$285,Paraméterek!$D$285)),0)</f>
        <v>0</v>
      </c>
      <c r="BJ429" s="13">
        <f t="shared" ca="1" si="144"/>
        <v>0</v>
      </c>
      <c r="BK429" s="13">
        <f t="shared" ca="1" si="153"/>
        <v>0</v>
      </c>
      <c r="BL429" s="33"/>
      <c r="BM429" s="13">
        <f t="shared" ca="1" si="145"/>
        <v>0</v>
      </c>
      <c r="BN429" s="13">
        <f ca="1">ROUNDUP(($BK429+$BM429)*VLOOKUP($BE429,Paraméterek!$P$38:$Q$38,2)/12*IF($D430="Nem",IF($M$13=0,1,$M$13),1),IF($D$4="Forint",0,2))</f>
        <v>0</v>
      </c>
      <c r="BO429" s="13">
        <f t="shared" ca="1" si="146"/>
        <v>0</v>
      </c>
      <c r="BP429" s="13">
        <f ca="1">IF($D430="Nem",$BO429,$BO429-ROUNDUP(SUM($BI$20:$BI429)*120%,IF($D$4="Forint",0,2)))</f>
        <v>0</v>
      </c>
    </row>
    <row r="430" spans="1:68" x14ac:dyDescent="0.2">
      <c r="A430" s="32">
        <v>411</v>
      </c>
      <c r="B430" s="32">
        <v>35</v>
      </c>
      <c r="C430" s="32">
        <v>3</v>
      </c>
      <c r="D430" s="32" t="str">
        <f t="shared" ca="1" si="132"/>
        <v>Nem</v>
      </c>
      <c r="E430" s="13">
        <f t="shared" ca="1" si="133"/>
        <v>0</v>
      </c>
      <c r="F430" s="13"/>
      <c r="G430" s="13"/>
      <c r="H430" s="13"/>
      <c r="I430" s="13">
        <f t="shared" ca="1" si="134"/>
        <v>0</v>
      </c>
      <c r="J430" s="13">
        <f t="shared" ca="1" si="135"/>
        <v>0</v>
      </c>
      <c r="K430" s="13">
        <f t="shared" ca="1" si="136"/>
        <v>0</v>
      </c>
      <c r="L430" s="13" t="e">
        <f ca="1">ROUNDUP(IF($D$2="Egyszeri",$E430,IF($D$2="Havi",SUM($E$20:$E$31),IF(MOD($C430,$M$1)-1=0,SUM($E$20:$E$31),0))/12*$M$1)*VLOOKUP($B430,Paraméterek!$I$28:$P$31,IF($D$2="Egyszeri",8,HLOOKUP(ROUNDUP($M$11+$M$13,0),Paraméterek!$J$26:$O$27,2))),IF($D$4="Forint",0,2))</f>
        <v>#N/A</v>
      </c>
      <c r="M430" s="13">
        <f t="shared" ca="1" si="137"/>
        <v>0</v>
      </c>
      <c r="N430" s="13">
        <f t="shared" ca="1" si="147"/>
        <v>0</v>
      </c>
      <c r="O430" s="13">
        <f ca="1">IF($D430="Igen",IF($W429&gt;=IF($D$4="Forint",Paraméterek!$J$121,Paraméterek!$K$121),0,IF($D$4="Forint",Paraméterek!$J$121,Paraméterek!$K$121)-$W429),0)</f>
        <v>0</v>
      </c>
      <c r="P430" s="13" t="e">
        <f ca="1">ROUNDUP($O430*VLOOKUP($M$4+$B430-1,Paraméterek!$H$58:$I$105,2,0)/Paraméterek!$I$56,IF($D$4="Forint",0,2))</f>
        <v>#N/A</v>
      </c>
      <c r="Q430" s="13">
        <f t="shared" ca="1" si="138"/>
        <v>0</v>
      </c>
      <c r="R430" s="33"/>
      <c r="S430" s="13" t="e">
        <f t="shared" ca="1" si="139"/>
        <v>#N/A</v>
      </c>
      <c r="T430" s="13" t="e">
        <f ca="1">ROUNDUP(($N430-$P430-$Q430+$S430)*VLOOKUP($B430,Paraméterek!$I$38:$K$39,IF($D$2="Egyszeri",3,2))/12*IF($D431="Nem",IF($M$13=0,1,$M$13),1),IF($D$4="Forint",0,2))</f>
        <v>#N/A</v>
      </c>
      <c r="U430" s="13"/>
      <c r="V430" s="13"/>
      <c r="W430" s="13" t="e">
        <f ca="1">$N430-$P430-$Q430+$S430-$T430-IF(ROUNDUP(IF(ISBLANK($V430),$U430*0,$V430)/IF($D$2="Egyszeri",VLOOKUP($B430+IF($C430=12,1,0),Paraméterek!$V$257:$W$262,2),IF($B430=1,1,VLOOKUP($B430+IF($C430=12,1,0),Paraméterek!$I$258:$T$278,HLOOKUP($M$11+1,Paraméterek!$J$256:$T$257,2)))),IF($D$4="Forint",0,2))&gt;$N430-$P430-$Q430+$S430-$T430-IF($D$4="Forint",Paraméterek!$C$216,Paraméterek!$D$216),0,ROUNDUP(IF(ISBLANK($V430),$U430*0,$V430)/IF($D$2="Egyszeri",VLOOKUP($B430+IF($C430=12,1,0),Paraméterek!$V$257:$W$262,2),IF($B430=1,1,VLOOKUP($B430+IF($C430=12,1,0),Paraméterek!$I$258:$T$278,HLOOKUP($M$11+1,Paraméterek!$J$256:$T$257,2)))),IF($D$4="Forint",0,2)))</f>
        <v>#N/A</v>
      </c>
      <c r="X430" s="13" t="e">
        <f ca="1">ROUNDDOWN($W430*IF($D$2="Egyszeri",VLOOKUP($B430+IF($C430=12,1,0),Paraméterek!$V$257:$W$262,2),VLOOKUP($B430+IF($C430=12,1,0),Paraméterek!$I$258:$T$278,HLOOKUP($M$11+1,Paraméterek!$I$256:$T$257,2))),IF($D$4="Forint",0,2))</f>
        <v>#N/A</v>
      </c>
      <c r="Z430" s="32">
        <v>411</v>
      </c>
      <c r="AA430" s="32">
        <v>35</v>
      </c>
      <c r="AB430" s="32">
        <v>3</v>
      </c>
      <c r="AC430" s="13">
        <f t="shared" ca="1" si="148"/>
        <v>0</v>
      </c>
      <c r="AD430" s="33"/>
      <c r="AE430" s="13">
        <f t="shared" ca="1" si="140"/>
        <v>0</v>
      </c>
      <c r="AF430" s="13">
        <f ca="1">ROUNDUP(($AC430+$AE430)*VLOOKUP($AA430,Paraméterek!$P$38:$Q$38,2)/12*IF($D431="Nem",IF($M$13=0,1,$M$13),1),IF($D$4="Forint",0,2))</f>
        <v>0</v>
      </c>
      <c r="AG430" s="13">
        <f ca="1">IF($D$2="Egyszeri",IF($D$7&gt;=IF($D$4="Forint",Paraméterek!$P$223,Paraméterek!$P$224),$D$7-IF($D$4="Forint",Paraméterek!$P$223,Paraméterek!$P$224),0),MIN(IF($AB430=12,AVERAGEIF($E$20:$E430,"&gt;0",$E$20:$E430)*12,0),SUM($E$20:$E$31)))</f>
        <v>0</v>
      </c>
      <c r="AH430" s="13">
        <f>IF($AA430=10,$AG430*IF($AB430=12,IF($AG430&lt;IF($D$4="Forint",Paraméterek!$L$223,Paraméterek!$L$224),0,VLOOKUP($AA430,Paraméterek!$K$226:$M$228,IF($AG430&lt;IF($D$4="Forint",Paraméterek!$M$223,Paraméterek!$M$224),2,3))),0),0)</f>
        <v>0</v>
      </c>
      <c r="AI430" s="13">
        <f ca="1">IF(AND($AA430=$M$11+1,$AB430=$M$12+1),SUMIF($AA$20:$AA$1027,$AA430,$AG$20:$AG$1027)*IF(SUMIF($AA$20:$AA$1027,$AA430,$AG$20:$AG$1027)&lt;IF($D$4="Forint",Paraméterek!$L$223,Paraméterek!$L$224),0,VLOOKUP($AA430,Paraméterek!$K$230:$M$250,IF(SUMIF($AA$20:$AA$1027,$AA430,$AG$20:$AG$1027)&lt;IF($D$4="Forint",Paraméterek!$M$223,Paraméterek!$M$224),2,3))),0)</f>
        <v>0</v>
      </c>
      <c r="AJ430" s="13">
        <f ca="1">IF(AND($AA430&gt;=5,MOD($AA430,5)=0),IF($AB430=12,VLOOKUP($AA430,Paraméterek!$O$225:$P$240,2),0),IF(OR($AA430=3,$AA430=4),IF($AB430=12,VLOOKUP($AA430,Paraméterek!$O$225:$P$240,2,0),0),0))*$AG430</f>
        <v>0</v>
      </c>
      <c r="AK430" s="13">
        <f t="shared" ca="1" si="141"/>
        <v>0</v>
      </c>
      <c r="AL430" s="13">
        <f t="shared" ca="1" si="149"/>
        <v>0</v>
      </c>
      <c r="AM430" s="13">
        <f t="shared" ca="1" si="150"/>
        <v>0</v>
      </c>
      <c r="AO430" s="32">
        <v>411</v>
      </c>
      <c r="AP430" s="32">
        <v>35</v>
      </c>
      <c r="AQ430" s="32">
        <v>3</v>
      </c>
      <c r="AR430" s="13"/>
      <c r="AS430" s="32"/>
      <c r="AT430" s="13">
        <f t="shared" ca="1" si="151"/>
        <v>0</v>
      </c>
      <c r="AU430" s="33"/>
      <c r="AV430" s="13">
        <f t="shared" ca="1" si="142"/>
        <v>0</v>
      </c>
      <c r="AW430" s="13">
        <f ca="1">ROUNDUP(($AT430+$AV430)*VLOOKUP($AP430,Paraméterek!$P$38:$Q$38,2)/12*IF($D431="Nem",IF($M$13=0,1,$M$13),1),IF($D$4="Forint",0,2))</f>
        <v>0</v>
      </c>
      <c r="AX430" s="13"/>
      <c r="AY430" s="13"/>
      <c r="AZ430" s="13">
        <f>ROUNDUP(IF(SUM($AX430:$AY430)=0,0,IF(IF(ISBLANK($AY430),$AX430,$AY430)*Paraméterek!$J$112&lt;IF($D$4="Forint",Paraméterek!$J$113,Paraméterek!$K$113),IF($D$4="Forint",Paraméterek!$J$113,Paraméterek!$K$113),IF(IF(ISBLANK($AY430),$AX430,$AY430)*Paraméterek!$J$112&gt;IF($D$4="Forint",Paraméterek!$J$114,Paraméterek!$K$114),IF($D$4="Forint",Paraméterek!$J$114,Paraméterek!$K$114),IF(ISBLANK($AY430),$AX430,$AY430)*Paraméterek!$J$112))),IF($D$4="Forint",0,2))</f>
        <v>0</v>
      </c>
      <c r="BA430" s="13">
        <f ca="1">$AT430+$AV430-$AW430-IF(ROUNDDOWN(IF(ISBLANK($AY430),$AX430,$AY430),IF($D$4="Forint",0,2))&gt;$AT430+$AV430-$AW430-IF($D$4="Forint",Paraméterek!$J$114,Paraméterek!$K$114),0,ROUNDDOWN(IF(ISBLANK($AY430),$AX430,$AY430),IF($D$4="Forint",0,2))-$AZ430)</f>
        <v>0</v>
      </c>
      <c r="BB430" s="13">
        <f t="shared" ca="1" si="143"/>
        <v>0</v>
      </c>
      <c r="BD430" s="32">
        <v>411</v>
      </c>
      <c r="BE430" s="32">
        <v>35</v>
      </c>
      <c r="BF430" s="32">
        <v>3</v>
      </c>
      <c r="BG430" s="34">
        <f t="shared" ca="1" si="152"/>
        <v>2053</v>
      </c>
      <c r="BH430" s="32" t="str">
        <f ca="1">IF(MOD(MONTH($D$14)+$BD430-1,12)=Paraméterek!$C$288,"Igen","")</f>
        <v/>
      </c>
      <c r="BI430" s="13">
        <f ca="1">IF($BH430="Igen",MIN(ROUNDDOWN((SUMIF($BG$20:$BG$1027,$BG430-1,$K$20:$K$1027)-SUMIF($BG$20:$BG$1027,$BG430-1,$I$20:$I$1027))*Paraméterek!$C$289,IF($D$4="Forint",0,2)),IF($D$4="Forint",Paraméterek!$C$285,Paraméterek!$D$285)),0)</f>
        <v>0</v>
      </c>
      <c r="BJ430" s="13">
        <f t="shared" ca="1" si="144"/>
        <v>0</v>
      </c>
      <c r="BK430" s="13">
        <f t="shared" ca="1" si="153"/>
        <v>0</v>
      </c>
      <c r="BL430" s="33"/>
      <c r="BM430" s="13">
        <f t="shared" ca="1" si="145"/>
        <v>0</v>
      </c>
      <c r="BN430" s="13">
        <f ca="1">ROUNDUP(($BK430+$BM430)*VLOOKUP($BE430,Paraméterek!$P$38:$Q$38,2)/12*IF($D431="Nem",IF($M$13=0,1,$M$13),1),IF($D$4="Forint",0,2))</f>
        <v>0</v>
      </c>
      <c r="BO430" s="13">
        <f t="shared" ca="1" si="146"/>
        <v>0</v>
      </c>
      <c r="BP430" s="13">
        <f ca="1">IF($D431="Nem",$BO430,$BO430-ROUNDUP(SUM($BI$20:$BI430)*120%,IF($D$4="Forint",0,2)))</f>
        <v>0</v>
      </c>
    </row>
    <row r="431" spans="1:68" x14ac:dyDescent="0.2">
      <c r="A431" s="32">
        <v>412</v>
      </c>
      <c r="B431" s="32">
        <v>35</v>
      </c>
      <c r="C431" s="32">
        <v>4</v>
      </c>
      <c r="D431" s="32" t="str">
        <f t="shared" ca="1" si="132"/>
        <v>Nem</v>
      </c>
      <c r="E431" s="13">
        <f t="shared" ca="1" si="133"/>
        <v>0</v>
      </c>
      <c r="F431" s="13"/>
      <c r="G431" s="13"/>
      <c r="H431" s="13"/>
      <c r="I431" s="13">
        <f t="shared" ca="1" si="134"/>
        <v>0</v>
      </c>
      <c r="J431" s="13">
        <f t="shared" ca="1" si="135"/>
        <v>0</v>
      </c>
      <c r="K431" s="13">
        <f t="shared" ca="1" si="136"/>
        <v>0</v>
      </c>
      <c r="L431" s="13" t="e">
        <f ca="1">ROUNDUP(IF($D$2="Egyszeri",$E431,IF($D$2="Havi",SUM($E$20:$E$31),IF(MOD($C431,$M$1)-1=0,SUM($E$20:$E$31),0))/12*$M$1)*VLOOKUP($B431,Paraméterek!$I$28:$P$31,IF($D$2="Egyszeri",8,HLOOKUP(ROUNDUP($M$11+$M$13,0),Paraméterek!$J$26:$O$27,2))),IF($D$4="Forint",0,2))</f>
        <v>#N/A</v>
      </c>
      <c r="M431" s="13">
        <f t="shared" ca="1" si="137"/>
        <v>0</v>
      </c>
      <c r="N431" s="13">
        <f t="shared" ca="1" si="147"/>
        <v>0</v>
      </c>
      <c r="O431" s="13">
        <f ca="1">IF($D431="Igen",IF($W430&gt;=IF($D$4="Forint",Paraméterek!$J$121,Paraméterek!$K$121),0,IF($D$4="Forint",Paraméterek!$J$121,Paraméterek!$K$121)-$W430),0)</f>
        <v>0</v>
      </c>
      <c r="P431" s="13" t="e">
        <f ca="1">ROUNDUP($O431*VLOOKUP($M$4+$B431-1,Paraméterek!$H$58:$I$105,2,0)/Paraméterek!$I$56,IF($D$4="Forint",0,2))</f>
        <v>#N/A</v>
      </c>
      <c r="Q431" s="13">
        <f t="shared" ca="1" si="138"/>
        <v>0</v>
      </c>
      <c r="R431" s="33"/>
      <c r="S431" s="13" t="e">
        <f t="shared" ca="1" si="139"/>
        <v>#N/A</v>
      </c>
      <c r="T431" s="13" t="e">
        <f ca="1">ROUNDUP(($N431-$P431-$Q431+$S431)*VLOOKUP($B431,Paraméterek!$I$38:$K$39,IF($D$2="Egyszeri",3,2))/12*IF($D432="Nem",IF($M$13=0,1,$M$13),1),IF($D$4="Forint",0,2))</f>
        <v>#N/A</v>
      </c>
      <c r="U431" s="13"/>
      <c r="V431" s="13"/>
      <c r="W431" s="13" t="e">
        <f ca="1">$N431-$P431-$Q431+$S431-$T431-IF(ROUNDUP(IF(ISBLANK($V431),$U431*0,$V431)/IF($D$2="Egyszeri",VLOOKUP($B431+IF($C431=12,1,0),Paraméterek!$V$257:$W$262,2),IF($B431=1,1,VLOOKUP($B431+IF($C431=12,1,0),Paraméterek!$I$258:$T$278,HLOOKUP($M$11+1,Paraméterek!$J$256:$T$257,2)))),IF($D$4="Forint",0,2))&gt;$N431-$P431-$Q431+$S431-$T431-IF($D$4="Forint",Paraméterek!$C$216,Paraméterek!$D$216),0,ROUNDUP(IF(ISBLANK($V431),$U431*0,$V431)/IF($D$2="Egyszeri",VLOOKUP($B431+IF($C431=12,1,0),Paraméterek!$V$257:$W$262,2),IF($B431=1,1,VLOOKUP($B431+IF($C431=12,1,0),Paraméterek!$I$258:$T$278,HLOOKUP($M$11+1,Paraméterek!$J$256:$T$257,2)))),IF($D$4="Forint",0,2)))</f>
        <v>#N/A</v>
      </c>
      <c r="X431" s="13" t="e">
        <f ca="1">ROUNDDOWN($W431*IF($D$2="Egyszeri",VLOOKUP($B431+IF($C431=12,1,0),Paraméterek!$V$257:$W$262,2),VLOOKUP($B431+IF($C431=12,1,0),Paraméterek!$I$258:$T$278,HLOOKUP($M$11+1,Paraméterek!$I$256:$T$257,2))),IF($D$4="Forint",0,2))</f>
        <v>#N/A</v>
      </c>
      <c r="Z431" s="32">
        <v>412</v>
      </c>
      <c r="AA431" s="32">
        <v>35</v>
      </c>
      <c r="AB431" s="32">
        <v>4</v>
      </c>
      <c r="AC431" s="13">
        <f t="shared" ca="1" si="148"/>
        <v>0</v>
      </c>
      <c r="AD431" s="33"/>
      <c r="AE431" s="13">
        <f t="shared" ca="1" si="140"/>
        <v>0</v>
      </c>
      <c r="AF431" s="13">
        <f ca="1">ROUNDUP(($AC431+$AE431)*VLOOKUP($AA431,Paraméterek!$P$38:$Q$38,2)/12*IF($D432="Nem",IF($M$13=0,1,$M$13),1),IF($D$4="Forint",0,2))</f>
        <v>0</v>
      </c>
      <c r="AG431" s="13">
        <f ca="1">IF($D$2="Egyszeri",IF($D$7&gt;=IF($D$4="Forint",Paraméterek!$P$223,Paraméterek!$P$224),$D$7-IF($D$4="Forint",Paraméterek!$P$223,Paraméterek!$P$224),0),MIN(IF($AB431=12,AVERAGEIF($E$20:$E431,"&gt;0",$E$20:$E431)*12,0),SUM($E$20:$E$31)))</f>
        <v>0</v>
      </c>
      <c r="AH431" s="13">
        <f>IF($AA431=10,$AG431*IF($AB431=12,IF($AG431&lt;IF($D$4="Forint",Paraméterek!$L$223,Paraméterek!$L$224),0,VLOOKUP($AA431,Paraméterek!$K$226:$M$228,IF($AG431&lt;IF($D$4="Forint",Paraméterek!$M$223,Paraméterek!$M$224),2,3))),0),0)</f>
        <v>0</v>
      </c>
      <c r="AI431" s="13">
        <f ca="1">IF(AND($AA431=$M$11+1,$AB431=$M$12+1),SUMIF($AA$20:$AA$1027,$AA431,$AG$20:$AG$1027)*IF(SUMIF($AA$20:$AA$1027,$AA431,$AG$20:$AG$1027)&lt;IF($D$4="Forint",Paraméterek!$L$223,Paraméterek!$L$224),0,VLOOKUP($AA431,Paraméterek!$K$230:$M$250,IF(SUMIF($AA$20:$AA$1027,$AA431,$AG$20:$AG$1027)&lt;IF($D$4="Forint",Paraméterek!$M$223,Paraméterek!$M$224),2,3))),0)</f>
        <v>0</v>
      </c>
      <c r="AJ431" s="13">
        <f ca="1">IF(AND($AA431&gt;=5,MOD($AA431,5)=0),IF($AB431=12,VLOOKUP($AA431,Paraméterek!$O$225:$P$240,2),0),IF(OR($AA431=3,$AA431=4),IF($AB431=12,VLOOKUP($AA431,Paraméterek!$O$225:$P$240,2,0),0),0))*$AG431</f>
        <v>0</v>
      </c>
      <c r="AK431" s="13">
        <f t="shared" ca="1" si="141"/>
        <v>0</v>
      </c>
      <c r="AL431" s="13">
        <f t="shared" ca="1" si="149"/>
        <v>0</v>
      </c>
      <c r="AM431" s="13">
        <f t="shared" ca="1" si="150"/>
        <v>0</v>
      </c>
      <c r="AO431" s="32">
        <v>412</v>
      </c>
      <c r="AP431" s="32">
        <v>35</v>
      </c>
      <c r="AQ431" s="32">
        <v>4</v>
      </c>
      <c r="AR431" s="13"/>
      <c r="AS431" s="32"/>
      <c r="AT431" s="13">
        <f t="shared" ca="1" si="151"/>
        <v>0</v>
      </c>
      <c r="AU431" s="33"/>
      <c r="AV431" s="13">
        <f t="shared" ca="1" si="142"/>
        <v>0</v>
      </c>
      <c r="AW431" s="13">
        <f ca="1">ROUNDUP(($AT431+$AV431)*VLOOKUP($AP431,Paraméterek!$P$38:$Q$38,2)/12*IF($D432="Nem",IF($M$13=0,1,$M$13),1),IF($D$4="Forint",0,2))</f>
        <v>0</v>
      </c>
      <c r="AX431" s="13"/>
      <c r="AY431" s="13"/>
      <c r="AZ431" s="13">
        <f>ROUNDUP(IF(SUM($AX431:$AY431)=0,0,IF(IF(ISBLANK($AY431),$AX431,$AY431)*Paraméterek!$J$112&lt;IF($D$4="Forint",Paraméterek!$J$113,Paraméterek!$K$113),IF($D$4="Forint",Paraméterek!$J$113,Paraméterek!$K$113),IF(IF(ISBLANK($AY431),$AX431,$AY431)*Paraméterek!$J$112&gt;IF($D$4="Forint",Paraméterek!$J$114,Paraméterek!$K$114),IF($D$4="Forint",Paraméterek!$J$114,Paraméterek!$K$114),IF(ISBLANK($AY431),$AX431,$AY431)*Paraméterek!$J$112))),IF($D$4="Forint",0,2))</f>
        <v>0</v>
      </c>
      <c r="BA431" s="13">
        <f ca="1">$AT431+$AV431-$AW431-IF(ROUNDDOWN(IF(ISBLANK($AY431),$AX431,$AY431),IF($D$4="Forint",0,2))&gt;$AT431+$AV431-$AW431-IF($D$4="Forint",Paraméterek!$J$114,Paraméterek!$K$114),0,ROUNDDOWN(IF(ISBLANK($AY431),$AX431,$AY431),IF($D$4="Forint",0,2))-$AZ431)</f>
        <v>0</v>
      </c>
      <c r="BB431" s="13">
        <f t="shared" ca="1" si="143"/>
        <v>0</v>
      </c>
      <c r="BD431" s="32">
        <v>412</v>
      </c>
      <c r="BE431" s="32">
        <v>35</v>
      </c>
      <c r="BF431" s="32">
        <v>4</v>
      </c>
      <c r="BG431" s="34">
        <f t="shared" ca="1" si="152"/>
        <v>2053</v>
      </c>
      <c r="BH431" s="32" t="str">
        <f ca="1">IF(MOD(MONTH($D$14)+$BD431-1,12)=Paraméterek!$C$288,"Igen","")</f>
        <v/>
      </c>
      <c r="BI431" s="13">
        <f ca="1">IF($BH431="Igen",MIN(ROUNDDOWN((SUMIF($BG$20:$BG$1027,$BG431-1,$K$20:$K$1027)-SUMIF($BG$20:$BG$1027,$BG431-1,$I$20:$I$1027))*Paraméterek!$C$289,IF($D$4="Forint",0,2)),IF($D$4="Forint",Paraméterek!$C$285,Paraméterek!$D$285)),0)</f>
        <v>0</v>
      </c>
      <c r="BJ431" s="13">
        <f t="shared" ca="1" si="144"/>
        <v>0</v>
      </c>
      <c r="BK431" s="13">
        <f t="shared" ca="1" si="153"/>
        <v>0</v>
      </c>
      <c r="BL431" s="33"/>
      <c r="BM431" s="13">
        <f t="shared" ca="1" si="145"/>
        <v>0</v>
      </c>
      <c r="BN431" s="13">
        <f ca="1">ROUNDUP(($BK431+$BM431)*VLOOKUP($BE431,Paraméterek!$P$38:$Q$38,2)/12*IF($D432="Nem",IF($M$13=0,1,$M$13),1),IF($D$4="Forint",0,2))</f>
        <v>0</v>
      </c>
      <c r="BO431" s="13">
        <f t="shared" ca="1" si="146"/>
        <v>0</v>
      </c>
      <c r="BP431" s="13">
        <f ca="1">IF($D432="Nem",$BO431,$BO431-ROUNDUP(SUM($BI$20:$BI431)*120%,IF($D$4="Forint",0,2)))</f>
        <v>0</v>
      </c>
    </row>
    <row r="432" spans="1:68" x14ac:dyDescent="0.2">
      <c r="A432" s="32">
        <v>413</v>
      </c>
      <c r="B432" s="32">
        <v>35</v>
      </c>
      <c r="C432" s="32">
        <v>5</v>
      </c>
      <c r="D432" s="32" t="str">
        <f t="shared" ca="1" si="132"/>
        <v>Nem</v>
      </c>
      <c r="E432" s="13">
        <f t="shared" ca="1" si="133"/>
        <v>0</v>
      </c>
      <c r="F432" s="13"/>
      <c r="G432" s="13"/>
      <c r="H432" s="13"/>
      <c r="I432" s="13">
        <f t="shared" ca="1" si="134"/>
        <v>0</v>
      </c>
      <c r="J432" s="13">
        <f t="shared" ca="1" si="135"/>
        <v>0</v>
      </c>
      <c r="K432" s="13">
        <f t="shared" ca="1" si="136"/>
        <v>0</v>
      </c>
      <c r="L432" s="13" t="e">
        <f ca="1">ROUNDUP(IF($D$2="Egyszeri",$E432,IF($D$2="Havi",SUM($E$20:$E$31),IF(MOD($C432,$M$1)-1=0,SUM($E$20:$E$31),0))/12*$M$1)*VLOOKUP($B432,Paraméterek!$I$28:$P$31,IF($D$2="Egyszeri",8,HLOOKUP(ROUNDUP($M$11+$M$13,0),Paraméterek!$J$26:$O$27,2))),IF($D$4="Forint",0,2))</f>
        <v>#N/A</v>
      </c>
      <c r="M432" s="13">
        <f t="shared" ca="1" si="137"/>
        <v>0</v>
      </c>
      <c r="N432" s="13">
        <f t="shared" ca="1" si="147"/>
        <v>0</v>
      </c>
      <c r="O432" s="13">
        <f ca="1">IF($D432="Igen",IF($W431&gt;=IF($D$4="Forint",Paraméterek!$J$121,Paraméterek!$K$121),0,IF($D$4="Forint",Paraméterek!$J$121,Paraméterek!$K$121)-$W431),0)</f>
        <v>0</v>
      </c>
      <c r="P432" s="13" t="e">
        <f ca="1">ROUNDUP($O432*VLOOKUP($M$4+$B432-1,Paraméterek!$H$58:$I$105,2,0)/Paraméterek!$I$56,IF($D$4="Forint",0,2))</f>
        <v>#N/A</v>
      </c>
      <c r="Q432" s="13">
        <f t="shared" ca="1" si="138"/>
        <v>0</v>
      </c>
      <c r="R432" s="33"/>
      <c r="S432" s="13" t="e">
        <f t="shared" ca="1" si="139"/>
        <v>#N/A</v>
      </c>
      <c r="T432" s="13" t="e">
        <f ca="1">ROUNDUP(($N432-$P432-$Q432+$S432)*VLOOKUP($B432,Paraméterek!$I$38:$K$39,IF($D$2="Egyszeri",3,2))/12*IF($D433="Nem",IF($M$13=0,1,$M$13),1),IF($D$4="Forint",0,2))</f>
        <v>#N/A</v>
      </c>
      <c r="U432" s="13"/>
      <c r="V432" s="13"/>
      <c r="W432" s="13" t="e">
        <f ca="1">$N432-$P432-$Q432+$S432-$T432-IF(ROUNDUP(IF(ISBLANK($V432),$U432*0,$V432)/IF($D$2="Egyszeri",VLOOKUP($B432+IF($C432=12,1,0),Paraméterek!$V$257:$W$262,2),IF($B432=1,1,VLOOKUP($B432+IF($C432=12,1,0),Paraméterek!$I$258:$T$278,HLOOKUP($M$11+1,Paraméterek!$J$256:$T$257,2)))),IF($D$4="Forint",0,2))&gt;$N432-$P432-$Q432+$S432-$T432-IF($D$4="Forint",Paraméterek!$C$216,Paraméterek!$D$216),0,ROUNDUP(IF(ISBLANK($V432),$U432*0,$V432)/IF($D$2="Egyszeri",VLOOKUP($B432+IF($C432=12,1,0),Paraméterek!$V$257:$W$262,2),IF($B432=1,1,VLOOKUP($B432+IF($C432=12,1,0),Paraméterek!$I$258:$T$278,HLOOKUP($M$11+1,Paraméterek!$J$256:$T$257,2)))),IF($D$4="Forint",0,2)))</f>
        <v>#N/A</v>
      </c>
      <c r="X432" s="13" t="e">
        <f ca="1">ROUNDDOWN($W432*IF($D$2="Egyszeri",VLOOKUP($B432+IF($C432=12,1,0),Paraméterek!$V$257:$W$262,2),VLOOKUP($B432+IF($C432=12,1,0),Paraméterek!$I$258:$T$278,HLOOKUP($M$11+1,Paraméterek!$I$256:$T$257,2))),IF($D$4="Forint",0,2))</f>
        <v>#N/A</v>
      </c>
      <c r="Z432" s="32">
        <v>413</v>
      </c>
      <c r="AA432" s="32">
        <v>35</v>
      </c>
      <c r="AB432" s="32">
        <v>5</v>
      </c>
      <c r="AC432" s="13">
        <f t="shared" ca="1" si="148"/>
        <v>0</v>
      </c>
      <c r="AD432" s="33"/>
      <c r="AE432" s="13">
        <f t="shared" ca="1" si="140"/>
        <v>0</v>
      </c>
      <c r="AF432" s="13">
        <f ca="1">ROUNDUP(($AC432+$AE432)*VLOOKUP($AA432,Paraméterek!$P$38:$Q$38,2)/12*IF($D433="Nem",IF($M$13=0,1,$M$13),1),IF($D$4="Forint",0,2))</f>
        <v>0</v>
      </c>
      <c r="AG432" s="13">
        <f ca="1">IF($D$2="Egyszeri",IF($D$7&gt;=IF($D$4="Forint",Paraméterek!$P$223,Paraméterek!$P$224),$D$7-IF($D$4="Forint",Paraméterek!$P$223,Paraméterek!$P$224),0),MIN(IF($AB432=12,AVERAGEIF($E$20:$E432,"&gt;0",$E$20:$E432)*12,0),SUM($E$20:$E$31)))</f>
        <v>0</v>
      </c>
      <c r="AH432" s="13">
        <f>IF($AA432=10,$AG432*IF($AB432=12,IF($AG432&lt;IF($D$4="Forint",Paraméterek!$L$223,Paraméterek!$L$224),0,VLOOKUP($AA432,Paraméterek!$K$226:$M$228,IF($AG432&lt;IF($D$4="Forint",Paraméterek!$M$223,Paraméterek!$M$224),2,3))),0),0)</f>
        <v>0</v>
      </c>
      <c r="AI432" s="13">
        <f ca="1">IF(AND($AA432=$M$11+1,$AB432=$M$12+1),SUMIF($AA$20:$AA$1027,$AA432,$AG$20:$AG$1027)*IF(SUMIF($AA$20:$AA$1027,$AA432,$AG$20:$AG$1027)&lt;IF($D$4="Forint",Paraméterek!$L$223,Paraméterek!$L$224),0,VLOOKUP($AA432,Paraméterek!$K$230:$M$250,IF(SUMIF($AA$20:$AA$1027,$AA432,$AG$20:$AG$1027)&lt;IF($D$4="Forint",Paraméterek!$M$223,Paraméterek!$M$224),2,3))),0)</f>
        <v>0</v>
      </c>
      <c r="AJ432" s="13">
        <f ca="1">IF(AND($AA432&gt;=5,MOD($AA432,5)=0),IF($AB432=12,VLOOKUP($AA432,Paraméterek!$O$225:$P$240,2),0),IF(OR($AA432=3,$AA432=4),IF($AB432=12,VLOOKUP($AA432,Paraméterek!$O$225:$P$240,2,0),0),0))*$AG432</f>
        <v>0</v>
      </c>
      <c r="AK432" s="13">
        <f t="shared" ca="1" si="141"/>
        <v>0</v>
      </c>
      <c r="AL432" s="13">
        <f t="shared" ca="1" si="149"/>
        <v>0</v>
      </c>
      <c r="AM432" s="13">
        <f t="shared" ca="1" si="150"/>
        <v>0</v>
      </c>
      <c r="AO432" s="32">
        <v>413</v>
      </c>
      <c r="AP432" s="32">
        <v>35</v>
      </c>
      <c r="AQ432" s="32">
        <v>5</v>
      </c>
      <c r="AR432" s="13"/>
      <c r="AS432" s="32"/>
      <c r="AT432" s="13">
        <f t="shared" ca="1" si="151"/>
        <v>0</v>
      </c>
      <c r="AU432" s="33"/>
      <c r="AV432" s="13">
        <f t="shared" ca="1" si="142"/>
        <v>0</v>
      </c>
      <c r="AW432" s="13">
        <f ca="1">ROUNDUP(($AT432+$AV432)*VLOOKUP($AP432,Paraméterek!$P$38:$Q$38,2)/12*IF($D433="Nem",IF($M$13=0,1,$M$13),1),IF($D$4="Forint",0,2))</f>
        <v>0</v>
      </c>
      <c r="AX432" s="13"/>
      <c r="AY432" s="13"/>
      <c r="AZ432" s="13">
        <f>ROUNDUP(IF(SUM($AX432:$AY432)=0,0,IF(IF(ISBLANK($AY432),$AX432,$AY432)*Paraméterek!$J$112&lt;IF($D$4="Forint",Paraméterek!$J$113,Paraméterek!$K$113),IF($D$4="Forint",Paraméterek!$J$113,Paraméterek!$K$113),IF(IF(ISBLANK($AY432),$AX432,$AY432)*Paraméterek!$J$112&gt;IF($D$4="Forint",Paraméterek!$J$114,Paraméterek!$K$114),IF($D$4="Forint",Paraméterek!$J$114,Paraméterek!$K$114),IF(ISBLANK($AY432),$AX432,$AY432)*Paraméterek!$J$112))),IF($D$4="Forint",0,2))</f>
        <v>0</v>
      </c>
      <c r="BA432" s="13">
        <f ca="1">$AT432+$AV432-$AW432-IF(ROUNDDOWN(IF(ISBLANK($AY432),$AX432,$AY432),IF($D$4="Forint",0,2))&gt;$AT432+$AV432-$AW432-IF($D$4="Forint",Paraméterek!$J$114,Paraméterek!$K$114),0,ROUNDDOWN(IF(ISBLANK($AY432),$AX432,$AY432),IF($D$4="Forint",0,2))-$AZ432)</f>
        <v>0</v>
      </c>
      <c r="BB432" s="13">
        <f t="shared" ca="1" si="143"/>
        <v>0</v>
      </c>
      <c r="BD432" s="32">
        <v>413</v>
      </c>
      <c r="BE432" s="32">
        <v>35</v>
      </c>
      <c r="BF432" s="32">
        <v>5</v>
      </c>
      <c r="BG432" s="34">
        <f t="shared" ca="1" si="152"/>
        <v>2053</v>
      </c>
      <c r="BH432" s="32" t="str">
        <f ca="1">IF(MOD(MONTH($D$14)+$BD432-1,12)=Paraméterek!$C$288,"Igen","")</f>
        <v/>
      </c>
      <c r="BI432" s="13">
        <f ca="1">IF($BH432="Igen",MIN(ROUNDDOWN((SUMIF($BG$20:$BG$1027,$BG432-1,$K$20:$K$1027)-SUMIF($BG$20:$BG$1027,$BG432-1,$I$20:$I$1027))*Paraméterek!$C$289,IF($D$4="Forint",0,2)),IF($D$4="Forint",Paraméterek!$C$285,Paraméterek!$D$285)),0)</f>
        <v>0</v>
      </c>
      <c r="BJ432" s="13">
        <f t="shared" ca="1" si="144"/>
        <v>0</v>
      </c>
      <c r="BK432" s="13">
        <f t="shared" ca="1" si="153"/>
        <v>0</v>
      </c>
      <c r="BL432" s="33"/>
      <c r="BM432" s="13">
        <f t="shared" ca="1" si="145"/>
        <v>0</v>
      </c>
      <c r="BN432" s="13">
        <f ca="1">ROUNDUP(($BK432+$BM432)*VLOOKUP($BE432,Paraméterek!$P$38:$Q$38,2)/12*IF($D433="Nem",IF($M$13=0,1,$M$13),1),IF($D$4="Forint",0,2))</f>
        <v>0</v>
      </c>
      <c r="BO432" s="13">
        <f t="shared" ca="1" si="146"/>
        <v>0</v>
      </c>
      <c r="BP432" s="13">
        <f ca="1">IF($D433="Nem",$BO432,$BO432-ROUNDUP(SUM($BI$20:$BI432)*120%,IF($D$4="Forint",0,2)))</f>
        <v>0</v>
      </c>
    </row>
    <row r="433" spans="1:68" x14ac:dyDescent="0.2">
      <c r="A433" s="32">
        <v>414</v>
      </c>
      <c r="B433" s="32">
        <v>35</v>
      </c>
      <c r="C433" s="32">
        <v>6</v>
      </c>
      <c r="D433" s="32" t="str">
        <f t="shared" ca="1" si="132"/>
        <v>Nem</v>
      </c>
      <c r="E433" s="13">
        <f t="shared" ca="1" si="133"/>
        <v>0</v>
      </c>
      <c r="F433" s="13"/>
      <c r="G433" s="13"/>
      <c r="H433" s="13"/>
      <c r="I433" s="13">
        <f t="shared" ca="1" si="134"/>
        <v>0</v>
      </c>
      <c r="J433" s="13">
        <f t="shared" ca="1" si="135"/>
        <v>0</v>
      </c>
      <c r="K433" s="13">
        <f t="shared" ca="1" si="136"/>
        <v>0</v>
      </c>
      <c r="L433" s="13" t="e">
        <f ca="1">ROUNDUP(IF($D$2="Egyszeri",$E433,IF($D$2="Havi",SUM($E$20:$E$31),IF(MOD($C433,$M$1)-1=0,SUM($E$20:$E$31),0))/12*$M$1)*VLOOKUP($B433,Paraméterek!$I$28:$P$31,IF($D$2="Egyszeri",8,HLOOKUP(ROUNDUP($M$11+$M$13,0),Paraméterek!$J$26:$O$27,2))),IF($D$4="Forint",0,2))</f>
        <v>#N/A</v>
      </c>
      <c r="M433" s="13">
        <f t="shared" ca="1" si="137"/>
        <v>0</v>
      </c>
      <c r="N433" s="13">
        <f t="shared" ca="1" si="147"/>
        <v>0</v>
      </c>
      <c r="O433" s="13">
        <f ca="1">IF($D433="Igen",IF($W432&gt;=IF($D$4="Forint",Paraméterek!$J$121,Paraméterek!$K$121),0,IF($D$4="Forint",Paraméterek!$J$121,Paraméterek!$K$121)-$W432),0)</f>
        <v>0</v>
      </c>
      <c r="P433" s="13" t="e">
        <f ca="1">ROUNDUP($O433*VLOOKUP($M$4+$B433-1,Paraméterek!$H$58:$I$105,2,0)/Paraméterek!$I$56,IF($D$4="Forint",0,2))</f>
        <v>#N/A</v>
      </c>
      <c r="Q433" s="13">
        <f t="shared" ca="1" si="138"/>
        <v>0</v>
      </c>
      <c r="R433" s="33"/>
      <c r="S433" s="13" t="e">
        <f t="shared" ca="1" si="139"/>
        <v>#N/A</v>
      </c>
      <c r="T433" s="13" t="e">
        <f ca="1">ROUNDUP(($N433-$P433-$Q433+$S433)*VLOOKUP($B433,Paraméterek!$I$38:$K$39,IF($D$2="Egyszeri",3,2))/12*IF($D434="Nem",IF($M$13=0,1,$M$13),1),IF($D$4="Forint",0,2))</f>
        <v>#N/A</v>
      </c>
      <c r="U433" s="13"/>
      <c r="V433" s="13"/>
      <c r="W433" s="13" t="e">
        <f ca="1">$N433-$P433-$Q433+$S433-$T433-IF(ROUNDUP(IF(ISBLANK($V433),$U433*0,$V433)/IF($D$2="Egyszeri",VLOOKUP($B433+IF($C433=12,1,0),Paraméterek!$V$257:$W$262,2),IF($B433=1,1,VLOOKUP($B433+IF($C433=12,1,0),Paraméterek!$I$258:$T$278,HLOOKUP($M$11+1,Paraméterek!$J$256:$T$257,2)))),IF($D$4="Forint",0,2))&gt;$N433-$P433-$Q433+$S433-$T433-IF($D$4="Forint",Paraméterek!$C$216,Paraméterek!$D$216),0,ROUNDUP(IF(ISBLANK($V433),$U433*0,$V433)/IF($D$2="Egyszeri",VLOOKUP($B433+IF($C433=12,1,0),Paraméterek!$V$257:$W$262,2),IF($B433=1,1,VLOOKUP($B433+IF($C433=12,1,0),Paraméterek!$I$258:$T$278,HLOOKUP($M$11+1,Paraméterek!$J$256:$T$257,2)))),IF($D$4="Forint",0,2)))</f>
        <v>#N/A</v>
      </c>
      <c r="X433" s="13" t="e">
        <f ca="1">ROUNDDOWN($W433*IF($D$2="Egyszeri",VLOOKUP($B433+IF($C433=12,1,0),Paraméterek!$V$257:$W$262,2),VLOOKUP($B433+IF($C433=12,1,0),Paraméterek!$I$258:$T$278,HLOOKUP($M$11+1,Paraméterek!$I$256:$T$257,2))),IF($D$4="Forint",0,2))</f>
        <v>#N/A</v>
      </c>
      <c r="Z433" s="32">
        <v>414</v>
      </c>
      <c r="AA433" s="32">
        <v>35</v>
      </c>
      <c r="AB433" s="32">
        <v>6</v>
      </c>
      <c r="AC433" s="13">
        <f t="shared" ca="1" si="148"/>
        <v>0</v>
      </c>
      <c r="AD433" s="33"/>
      <c r="AE433" s="13">
        <f t="shared" ca="1" si="140"/>
        <v>0</v>
      </c>
      <c r="AF433" s="13">
        <f ca="1">ROUNDUP(($AC433+$AE433)*VLOOKUP($AA433,Paraméterek!$P$38:$Q$38,2)/12*IF($D434="Nem",IF($M$13=0,1,$M$13),1),IF($D$4="Forint",0,2))</f>
        <v>0</v>
      </c>
      <c r="AG433" s="13">
        <f ca="1">IF($D$2="Egyszeri",IF($D$7&gt;=IF($D$4="Forint",Paraméterek!$P$223,Paraméterek!$P$224),$D$7-IF($D$4="Forint",Paraméterek!$P$223,Paraméterek!$P$224),0),MIN(IF($AB433=12,AVERAGEIF($E$20:$E433,"&gt;0",$E$20:$E433)*12,0),SUM($E$20:$E$31)))</f>
        <v>0</v>
      </c>
      <c r="AH433" s="13">
        <f>IF($AA433=10,$AG433*IF($AB433=12,IF($AG433&lt;IF($D$4="Forint",Paraméterek!$L$223,Paraméterek!$L$224),0,VLOOKUP($AA433,Paraméterek!$K$226:$M$228,IF($AG433&lt;IF($D$4="Forint",Paraméterek!$M$223,Paraméterek!$M$224),2,3))),0),0)</f>
        <v>0</v>
      </c>
      <c r="AI433" s="13">
        <f ca="1">IF(AND($AA433=$M$11+1,$AB433=$M$12+1),SUMIF($AA$20:$AA$1027,$AA433,$AG$20:$AG$1027)*IF(SUMIF($AA$20:$AA$1027,$AA433,$AG$20:$AG$1027)&lt;IF($D$4="Forint",Paraméterek!$L$223,Paraméterek!$L$224),0,VLOOKUP($AA433,Paraméterek!$K$230:$M$250,IF(SUMIF($AA$20:$AA$1027,$AA433,$AG$20:$AG$1027)&lt;IF($D$4="Forint",Paraméterek!$M$223,Paraméterek!$M$224),2,3))),0)</f>
        <v>0</v>
      </c>
      <c r="AJ433" s="13">
        <f ca="1">IF(AND($AA433&gt;=5,MOD($AA433,5)=0),IF($AB433=12,VLOOKUP($AA433,Paraméterek!$O$225:$P$240,2),0),IF(OR($AA433=3,$AA433=4),IF($AB433=12,VLOOKUP($AA433,Paraméterek!$O$225:$P$240,2,0),0),0))*$AG433</f>
        <v>0</v>
      </c>
      <c r="AK433" s="13">
        <f t="shared" ca="1" si="141"/>
        <v>0</v>
      </c>
      <c r="AL433" s="13">
        <f t="shared" ca="1" si="149"/>
        <v>0</v>
      </c>
      <c r="AM433" s="13">
        <f t="shared" ca="1" si="150"/>
        <v>0</v>
      </c>
      <c r="AO433" s="32">
        <v>414</v>
      </c>
      <c r="AP433" s="32">
        <v>35</v>
      </c>
      <c r="AQ433" s="32">
        <v>6</v>
      </c>
      <c r="AR433" s="13"/>
      <c r="AS433" s="32"/>
      <c r="AT433" s="13">
        <f t="shared" ca="1" si="151"/>
        <v>0</v>
      </c>
      <c r="AU433" s="33"/>
      <c r="AV433" s="13">
        <f t="shared" ca="1" si="142"/>
        <v>0</v>
      </c>
      <c r="AW433" s="13">
        <f ca="1">ROUNDUP(($AT433+$AV433)*VLOOKUP($AP433,Paraméterek!$P$38:$Q$38,2)/12*IF($D434="Nem",IF($M$13=0,1,$M$13),1),IF($D$4="Forint",0,2))</f>
        <v>0</v>
      </c>
      <c r="AX433" s="13"/>
      <c r="AY433" s="13"/>
      <c r="AZ433" s="13">
        <f>ROUNDUP(IF(SUM($AX433:$AY433)=0,0,IF(IF(ISBLANK($AY433),$AX433,$AY433)*Paraméterek!$J$112&lt;IF($D$4="Forint",Paraméterek!$J$113,Paraméterek!$K$113),IF($D$4="Forint",Paraméterek!$J$113,Paraméterek!$K$113),IF(IF(ISBLANK($AY433),$AX433,$AY433)*Paraméterek!$J$112&gt;IF($D$4="Forint",Paraméterek!$J$114,Paraméterek!$K$114),IF($D$4="Forint",Paraméterek!$J$114,Paraméterek!$K$114),IF(ISBLANK($AY433),$AX433,$AY433)*Paraméterek!$J$112))),IF($D$4="Forint",0,2))</f>
        <v>0</v>
      </c>
      <c r="BA433" s="13">
        <f ca="1">$AT433+$AV433-$AW433-IF(ROUNDDOWN(IF(ISBLANK($AY433),$AX433,$AY433),IF($D$4="Forint",0,2))&gt;$AT433+$AV433-$AW433-IF($D$4="Forint",Paraméterek!$J$114,Paraméterek!$K$114),0,ROUNDDOWN(IF(ISBLANK($AY433),$AX433,$AY433),IF($D$4="Forint",0,2))-$AZ433)</f>
        <v>0</v>
      </c>
      <c r="BB433" s="13">
        <f t="shared" ca="1" si="143"/>
        <v>0</v>
      </c>
      <c r="BD433" s="32">
        <v>414</v>
      </c>
      <c r="BE433" s="32">
        <v>35</v>
      </c>
      <c r="BF433" s="32">
        <v>6</v>
      </c>
      <c r="BG433" s="34">
        <f t="shared" ca="1" si="152"/>
        <v>2053</v>
      </c>
      <c r="BH433" s="32" t="str">
        <f ca="1">IF(MOD(MONTH($D$14)+$BD433-1,12)=Paraméterek!$C$288,"Igen","")</f>
        <v/>
      </c>
      <c r="BI433" s="13">
        <f ca="1">IF($BH433="Igen",MIN(ROUNDDOWN((SUMIF($BG$20:$BG$1027,$BG433-1,$K$20:$K$1027)-SUMIF($BG$20:$BG$1027,$BG433-1,$I$20:$I$1027))*Paraméterek!$C$289,IF($D$4="Forint",0,2)),IF($D$4="Forint",Paraméterek!$C$285,Paraméterek!$D$285)),0)</f>
        <v>0</v>
      </c>
      <c r="BJ433" s="13">
        <f t="shared" ca="1" si="144"/>
        <v>0</v>
      </c>
      <c r="BK433" s="13">
        <f t="shared" ca="1" si="153"/>
        <v>0</v>
      </c>
      <c r="BL433" s="33"/>
      <c r="BM433" s="13">
        <f t="shared" ca="1" si="145"/>
        <v>0</v>
      </c>
      <c r="BN433" s="13">
        <f ca="1">ROUNDUP(($BK433+$BM433)*VLOOKUP($BE433,Paraméterek!$P$38:$Q$38,2)/12*IF($D434="Nem",IF($M$13=0,1,$M$13),1),IF($D$4="Forint",0,2))</f>
        <v>0</v>
      </c>
      <c r="BO433" s="13">
        <f t="shared" ca="1" si="146"/>
        <v>0</v>
      </c>
      <c r="BP433" s="13">
        <f ca="1">IF($D434="Nem",$BO433,$BO433-ROUNDUP(SUM($BI$20:$BI433)*120%,IF($D$4="Forint",0,2)))</f>
        <v>0</v>
      </c>
    </row>
    <row r="434" spans="1:68" x14ac:dyDescent="0.2">
      <c r="A434" s="32">
        <v>415</v>
      </c>
      <c r="B434" s="32">
        <v>35</v>
      </c>
      <c r="C434" s="32">
        <v>7</v>
      </c>
      <c r="D434" s="32" t="str">
        <f t="shared" ca="1" si="132"/>
        <v>Nem</v>
      </c>
      <c r="E434" s="13">
        <f t="shared" ca="1" si="133"/>
        <v>0</v>
      </c>
      <c r="F434" s="13"/>
      <c r="G434" s="13"/>
      <c r="H434" s="13"/>
      <c r="I434" s="13">
        <f t="shared" ca="1" si="134"/>
        <v>0</v>
      </c>
      <c r="J434" s="13">
        <f t="shared" ca="1" si="135"/>
        <v>0</v>
      </c>
      <c r="K434" s="13">
        <f t="shared" ca="1" si="136"/>
        <v>0</v>
      </c>
      <c r="L434" s="13" t="e">
        <f ca="1">ROUNDUP(IF($D$2="Egyszeri",$E434,IF($D$2="Havi",SUM($E$20:$E$31),IF(MOD($C434,$M$1)-1=0,SUM($E$20:$E$31),0))/12*$M$1)*VLOOKUP($B434,Paraméterek!$I$28:$P$31,IF($D$2="Egyszeri",8,HLOOKUP(ROUNDUP($M$11+$M$13,0),Paraméterek!$J$26:$O$27,2))),IF($D$4="Forint",0,2))</f>
        <v>#N/A</v>
      </c>
      <c r="M434" s="13">
        <f t="shared" ca="1" si="137"/>
        <v>0</v>
      </c>
      <c r="N434" s="13">
        <f t="shared" ca="1" si="147"/>
        <v>0</v>
      </c>
      <c r="O434" s="13">
        <f ca="1">IF($D434="Igen",IF($W433&gt;=IF($D$4="Forint",Paraméterek!$J$121,Paraméterek!$K$121),0,IF($D$4="Forint",Paraméterek!$J$121,Paraméterek!$K$121)-$W433),0)</f>
        <v>0</v>
      </c>
      <c r="P434" s="13" t="e">
        <f ca="1">ROUNDUP($O434*VLOOKUP($M$4+$B434-1,Paraméterek!$H$58:$I$105,2,0)/Paraméterek!$I$56,IF($D$4="Forint",0,2))</f>
        <v>#N/A</v>
      </c>
      <c r="Q434" s="13">
        <f t="shared" ca="1" si="138"/>
        <v>0</v>
      </c>
      <c r="R434" s="33"/>
      <c r="S434" s="13" t="e">
        <f t="shared" ca="1" si="139"/>
        <v>#N/A</v>
      </c>
      <c r="T434" s="13" t="e">
        <f ca="1">ROUNDUP(($N434-$P434-$Q434+$S434)*VLOOKUP($B434,Paraméterek!$I$38:$K$39,IF($D$2="Egyszeri",3,2))/12*IF($D435="Nem",IF($M$13=0,1,$M$13),1),IF($D$4="Forint",0,2))</f>
        <v>#N/A</v>
      </c>
      <c r="U434" s="13"/>
      <c r="V434" s="13"/>
      <c r="W434" s="13" t="e">
        <f ca="1">$N434-$P434-$Q434+$S434-$T434-IF(ROUNDUP(IF(ISBLANK($V434),$U434*0,$V434)/IF($D$2="Egyszeri",VLOOKUP($B434+IF($C434=12,1,0),Paraméterek!$V$257:$W$262,2),IF($B434=1,1,VLOOKUP($B434+IF($C434=12,1,0),Paraméterek!$I$258:$T$278,HLOOKUP($M$11+1,Paraméterek!$J$256:$T$257,2)))),IF($D$4="Forint",0,2))&gt;$N434-$P434-$Q434+$S434-$T434-IF($D$4="Forint",Paraméterek!$C$216,Paraméterek!$D$216),0,ROUNDUP(IF(ISBLANK($V434),$U434*0,$V434)/IF($D$2="Egyszeri",VLOOKUP($B434+IF($C434=12,1,0),Paraméterek!$V$257:$W$262,2),IF($B434=1,1,VLOOKUP($B434+IF($C434=12,1,0),Paraméterek!$I$258:$T$278,HLOOKUP($M$11+1,Paraméterek!$J$256:$T$257,2)))),IF($D$4="Forint",0,2)))</f>
        <v>#N/A</v>
      </c>
      <c r="X434" s="13" t="e">
        <f ca="1">ROUNDDOWN($W434*IF($D$2="Egyszeri",VLOOKUP($B434+IF($C434=12,1,0),Paraméterek!$V$257:$W$262,2),VLOOKUP($B434+IF($C434=12,1,0),Paraméterek!$I$258:$T$278,HLOOKUP($M$11+1,Paraméterek!$I$256:$T$257,2))),IF($D$4="Forint",0,2))</f>
        <v>#N/A</v>
      </c>
      <c r="Z434" s="32">
        <v>415</v>
      </c>
      <c r="AA434" s="32">
        <v>35</v>
      </c>
      <c r="AB434" s="32">
        <v>7</v>
      </c>
      <c r="AC434" s="13">
        <f t="shared" ca="1" si="148"/>
        <v>0</v>
      </c>
      <c r="AD434" s="33"/>
      <c r="AE434" s="13">
        <f t="shared" ca="1" si="140"/>
        <v>0</v>
      </c>
      <c r="AF434" s="13">
        <f ca="1">ROUNDUP(($AC434+$AE434)*VLOOKUP($AA434,Paraméterek!$P$38:$Q$38,2)/12*IF($D435="Nem",IF($M$13=0,1,$M$13),1),IF($D$4="Forint",0,2))</f>
        <v>0</v>
      </c>
      <c r="AG434" s="13">
        <f ca="1">IF($D$2="Egyszeri",IF($D$7&gt;=IF($D$4="Forint",Paraméterek!$P$223,Paraméterek!$P$224),$D$7-IF($D$4="Forint",Paraméterek!$P$223,Paraméterek!$P$224),0),MIN(IF($AB434=12,AVERAGEIF($E$20:$E434,"&gt;0",$E$20:$E434)*12,0),SUM($E$20:$E$31)))</f>
        <v>0</v>
      </c>
      <c r="AH434" s="13">
        <f>IF($AA434=10,$AG434*IF($AB434=12,IF($AG434&lt;IF($D$4="Forint",Paraméterek!$L$223,Paraméterek!$L$224),0,VLOOKUP($AA434,Paraméterek!$K$226:$M$228,IF($AG434&lt;IF($D$4="Forint",Paraméterek!$M$223,Paraméterek!$M$224),2,3))),0),0)</f>
        <v>0</v>
      </c>
      <c r="AI434" s="13">
        <f ca="1">IF(AND($AA434=$M$11+1,$AB434=$M$12+1),SUMIF($AA$20:$AA$1027,$AA434,$AG$20:$AG$1027)*IF(SUMIF($AA$20:$AA$1027,$AA434,$AG$20:$AG$1027)&lt;IF($D$4="Forint",Paraméterek!$L$223,Paraméterek!$L$224),0,VLOOKUP($AA434,Paraméterek!$K$230:$M$250,IF(SUMIF($AA$20:$AA$1027,$AA434,$AG$20:$AG$1027)&lt;IF($D$4="Forint",Paraméterek!$M$223,Paraméterek!$M$224),2,3))),0)</f>
        <v>0</v>
      </c>
      <c r="AJ434" s="13">
        <f ca="1">IF(AND($AA434&gt;=5,MOD($AA434,5)=0),IF($AB434=12,VLOOKUP($AA434,Paraméterek!$O$225:$P$240,2),0),IF(OR($AA434=3,$AA434=4),IF($AB434=12,VLOOKUP($AA434,Paraméterek!$O$225:$P$240,2,0),0),0))*$AG434</f>
        <v>0</v>
      </c>
      <c r="AK434" s="13">
        <f t="shared" ca="1" si="141"/>
        <v>0</v>
      </c>
      <c r="AL434" s="13">
        <f t="shared" ca="1" si="149"/>
        <v>0</v>
      </c>
      <c r="AM434" s="13">
        <f t="shared" ca="1" si="150"/>
        <v>0</v>
      </c>
      <c r="AO434" s="32">
        <v>415</v>
      </c>
      <c r="AP434" s="32">
        <v>35</v>
      </c>
      <c r="AQ434" s="32">
        <v>7</v>
      </c>
      <c r="AR434" s="13"/>
      <c r="AS434" s="32"/>
      <c r="AT434" s="13">
        <f t="shared" ca="1" si="151"/>
        <v>0</v>
      </c>
      <c r="AU434" s="33"/>
      <c r="AV434" s="13">
        <f t="shared" ca="1" si="142"/>
        <v>0</v>
      </c>
      <c r="AW434" s="13">
        <f ca="1">ROUNDUP(($AT434+$AV434)*VLOOKUP($AP434,Paraméterek!$P$38:$Q$38,2)/12*IF($D435="Nem",IF($M$13=0,1,$M$13),1),IF($D$4="Forint",0,2))</f>
        <v>0</v>
      </c>
      <c r="AX434" s="13"/>
      <c r="AY434" s="13"/>
      <c r="AZ434" s="13">
        <f>ROUNDUP(IF(SUM($AX434:$AY434)=0,0,IF(IF(ISBLANK($AY434),$AX434,$AY434)*Paraméterek!$J$112&lt;IF($D$4="Forint",Paraméterek!$J$113,Paraméterek!$K$113),IF($D$4="Forint",Paraméterek!$J$113,Paraméterek!$K$113),IF(IF(ISBLANK($AY434),$AX434,$AY434)*Paraméterek!$J$112&gt;IF($D$4="Forint",Paraméterek!$J$114,Paraméterek!$K$114),IF($D$4="Forint",Paraméterek!$J$114,Paraméterek!$K$114),IF(ISBLANK($AY434),$AX434,$AY434)*Paraméterek!$J$112))),IF($D$4="Forint",0,2))</f>
        <v>0</v>
      </c>
      <c r="BA434" s="13">
        <f ca="1">$AT434+$AV434-$AW434-IF(ROUNDDOWN(IF(ISBLANK($AY434),$AX434,$AY434),IF($D$4="Forint",0,2))&gt;$AT434+$AV434-$AW434-IF($D$4="Forint",Paraméterek!$J$114,Paraméterek!$K$114),0,ROUNDDOWN(IF(ISBLANK($AY434),$AX434,$AY434),IF($D$4="Forint",0,2))-$AZ434)</f>
        <v>0</v>
      </c>
      <c r="BB434" s="13">
        <f t="shared" ca="1" si="143"/>
        <v>0</v>
      </c>
      <c r="BD434" s="32">
        <v>415</v>
      </c>
      <c r="BE434" s="32">
        <v>35</v>
      </c>
      <c r="BF434" s="32">
        <v>7</v>
      </c>
      <c r="BG434" s="34">
        <f t="shared" ca="1" si="152"/>
        <v>2053</v>
      </c>
      <c r="BH434" s="32" t="str">
        <f ca="1">IF(MOD(MONTH($D$14)+$BD434-1,12)=Paraméterek!$C$288,"Igen","")</f>
        <v/>
      </c>
      <c r="BI434" s="13">
        <f ca="1">IF($BH434="Igen",MIN(ROUNDDOWN((SUMIF($BG$20:$BG$1027,$BG434-1,$K$20:$K$1027)-SUMIF($BG$20:$BG$1027,$BG434-1,$I$20:$I$1027))*Paraméterek!$C$289,IF($D$4="Forint",0,2)),IF($D$4="Forint",Paraméterek!$C$285,Paraméterek!$D$285)),0)</f>
        <v>0</v>
      </c>
      <c r="BJ434" s="13">
        <f t="shared" ca="1" si="144"/>
        <v>0</v>
      </c>
      <c r="BK434" s="13">
        <f t="shared" ca="1" si="153"/>
        <v>0</v>
      </c>
      <c r="BL434" s="33"/>
      <c r="BM434" s="13">
        <f t="shared" ca="1" si="145"/>
        <v>0</v>
      </c>
      <c r="BN434" s="13">
        <f ca="1">ROUNDUP(($BK434+$BM434)*VLOOKUP($BE434,Paraméterek!$P$38:$Q$38,2)/12*IF($D435="Nem",IF($M$13=0,1,$M$13),1),IF($D$4="Forint",0,2))</f>
        <v>0</v>
      </c>
      <c r="BO434" s="13">
        <f t="shared" ca="1" si="146"/>
        <v>0</v>
      </c>
      <c r="BP434" s="13">
        <f ca="1">IF($D435="Nem",$BO434,$BO434-ROUNDUP(SUM($BI$20:$BI434)*120%,IF($D$4="Forint",0,2)))</f>
        <v>0</v>
      </c>
    </row>
    <row r="435" spans="1:68" x14ac:dyDescent="0.2">
      <c r="A435" s="32">
        <v>416</v>
      </c>
      <c r="B435" s="32">
        <v>35</v>
      </c>
      <c r="C435" s="32">
        <v>8</v>
      </c>
      <c r="D435" s="32" t="str">
        <f t="shared" ca="1" si="132"/>
        <v>Nem</v>
      </c>
      <c r="E435" s="13">
        <f t="shared" ca="1" si="133"/>
        <v>0</v>
      </c>
      <c r="F435" s="13"/>
      <c r="G435" s="13"/>
      <c r="H435" s="13"/>
      <c r="I435" s="13">
        <f t="shared" ca="1" si="134"/>
        <v>0</v>
      </c>
      <c r="J435" s="13">
        <f t="shared" ca="1" si="135"/>
        <v>0</v>
      </c>
      <c r="K435" s="13">
        <f t="shared" ca="1" si="136"/>
        <v>0</v>
      </c>
      <c r="L435" s="13" t="e">
        <f ca="1">ROUNDUP(IF($D$2="Egyszeri",$E435,IF($D$2="Havi",SUM($E$20:$E$31),IF(MOD($C435,$M$1)-1=0,SUM($E$20:$E$31),0))/12*$M$1)*VLOOKUP($B435,Paraméterek!$I$28:$P$31,IF($D$2="Egyszeri",8,HLOOKUP(ROUNDUP($M$11+$M$13,0),Paraméterek!$J$26:$O$27,2))),IF($D$4="Forint",0,2))</f>
        <v>#N/A</v>
      </c>
      <c r="M435" s="13">
        <f t="shared" ca="1" si="137"/>
        <v>0</v>
      </c>
      <c r="N435" s="13">
        <f t="shared" ca="1" si="147"/>
        <v>0</v>
      </c>
      <c r="O435" s="13">
        <f ca="1">IF($D435="Igen",IF($W434&gt;=IF($D$4="Forint",Paraméterek!$J$121,Paraméterek!$K$121),0,IF($D$4="Forint",Paraméterek!$J$121,Paraméterek!$K$121)-$W434),0)</f>
        <v>0</v>
      </c>
      <c r="P435" s="13" t="e">
        <f ca="1">ROUNDUP($O435*VLOOKUP($M$4+$B435-1,Paraméterek!$H$58:$I$105,2,0)/Paraméterek!$I$56,IF($D$4="Forint",0,2))</f>
        <v>#N/A</v>
      </c>
      <c r="Q435" s="13">
        <f t="shared" ca="1" si="138"/>
        <v>0</v>
      </c>
      <c r="R435" s="33"/>
      <c r="S435" s="13" t="e">
        <f t="shared" ca="1" si="139"/>
        <v>#N/A</v>
      </c>
      <c r="T435" s="13" t="e">
        <f ca="1">ROUNDUP(($N435-$P435-$Q435+$S435)*VLOOKUP($B435,Paraméterek!$I$38:$K$39,IF($D$2="Egyszeri",3,2))/12*IF($D436="Nem",IF($M$13=0,1,$M$13),1),IF($D$4="Forint",0,2))</f>
        <v>#N/A</v>
      </c>
      <c r="U435" s="13"/>
      <c r="V435" s="13"/>
      <c r="W435" s="13" t="e">
        <f ca="1">$N435-$P435-$Q435+$S435-$T435-IF(ROUNDUP(IF(ISBLANK($V435),$U435*0,$V435)/IF($D$2="Egyszeri",VLOOKUP($B435+IF($C435=12,1,0),Paraméterek!$V$257:$W$262,2),IF($B435=1,1,VLOOKUP($B435+IF($C435=12,1,0),Paraméterek!$I$258:$T$278,HLOOKUP($M$11+1,Paraméterek!$J$256:$T$257,2)))),IF($D$4="Forint",0,2))&gt;$N435-$P435-$Q435+$S435-$T435-IF($D$4="Forint",Paraméterek!$C$216,Paraméterek!$D$216),0,ROUNDUP(IF(ISBLANK($V435),$U435*0,$V435)/IF($D$2="Egyszeri",VLOOKUP($B435+IF($C435=12,1,0),Paraméterek!$V$257:$W$262,2),IF($B435=1,1,VLOOKUP($B435+IF($C435=12,1,0),Paraméterek!$I$258:$T$278,HLOOKUP($M$11+1,Paraméterek!$J$256:$T$257,2)))),IF($D$4="Forint",0,2)))</f>
        <v>#N/A</v>
      </c>
      <c r="X435" s="13" t="e">
        <f ca="1">ROUNDDOWN($W435*IF($D$2="Egyszeri",VLOOKUP($B435+IF($C435=12,1,0),Paraméterek!$V$257:$W$262,2),VLOOKUP($B435+IF($C435=12,1,0),Paraméterek!$I$258:$T$278,HLOOKUP($M$11+1,Paraméterek!$I$256:$T$257,2))),IF($D$4="Forint",0,2))</f>
        <v>#N/A</v>
      </c>
      <c r="Z435" s="32">
        <v>416</v>
      </c>
      <c r="AA435" s="32">
        <v>35</v>
      </c>
      <c r="AB435" s="32">
        <v>8</v>
      </c>
      <c r="AC435" s="13">
        <f t="shared" ca="1" si="148"/>
        <v>0</v>
      </c>
      <c r="AD435" s="33"/>
      <c r="AE435" s="13">
        <f t="shared" ca="1" si="140"/>
        <v>0</v>
      </c>
      <c r="AF435" s="13">
        <f ca="1">ROUNDUP(($AC435+$AE435)*VLOOKUP($AA435,Paraméterek!$P$38:$Q$38,2)/12*IF($D436="Nem",IF($M$13=0,1,$M$13),1),IF($D$4="Forint",0,2))</f>
        <v>0</v>
      </c>
      <c r="AG435" s="13">
        <f ca="1">IF($D$2="Egyszeri",IF($D$7&gt;=IF($D$4="Forint",Paraméterek!$P$223,Paraméterek!$P$224),$D$7-IF($D$4="Forint",Paraméterek!$P$223,Paraméterek!$P$224),0),MIN(IF($AB435=12,AVERAGEIF($E$20:$E435,"&gt;0",$E$20:$E435)*12,0),SUM($E$20:$E$31)))</f>
        <v>0</v>
      </c>
      <c r="AH435" s="13">
        <f>IF($AA435=10,$AG435*IF($AB435=12,IF($AG435&lt;IF($D$4="Forint",Paraméterek!$L$223,Paraméterek!$L$224),0,VLOOKUP($AA435,Paraméterek!$K$226:$M$228,IF($AG435&lt;IF($D$4="Forint",Paraméterek!$M$223,Paraméterek!$M$224),2,3))),0),0)</f>
        <v>0</v>
      </c>
      <c r="AI435" s="13">
        <f ca="1">IF(AND($AA435=$M$11+1,$AB435=$M$12+1),SUMIF($AA$20:$AA$1027,$AA435,$AG$20:$AG$1027)*IF(SUMIF($AA$20:$AA$1027,$AA435,$AG$20:$AG$1027)&lt;IF($D$4="Forint",Paraméterek!$L$223,Paraméterek!$L$224),0,VLOOKUP($AA435,Paraméterek!$K$230:$M$250,IF(SUMIF($AA$20:$AA$1027,$AA435,$AG$20:$AG$1027)&lt;IF($D$4="Forint",Paraméterek!$M$223,Paraméterek!$M$224),2,3))),0)</f>
        <v>0</v>
      </c>
      <c r="AJ435" s="13">
        <f ca="1">IF(AND($AA435&gt;=5,MOD($AA435,5)=0),IF($AB435=12,VLOOKUP($AA435,Paraméterek!$O$225:$P$240,2),0),IF(OR($AA435=3,$AA435=4),IF($AB435=12,VLOOKUP($AA435,Paraméterek!$O$225:$P$240,2,0),0),0))*$AG435</f>
        <v>0</v>
      </c>
      <c r="AK435" s="13">
        <f t="shared" ca="1" si="141"/>
        <v>0</v>
      </c>
      <c r="AL435" s="13">
        <f t="shared" ca="1" si="149"/>
        <v>0</v>
      </c>
      <c r="AM435" s="13">
        <f t="shared" ca="1" si="150"/>
        <v>0</v>
      </c>
      <c r="AO435" s="32">
        <v>416</v>
      </c>
      <c r="AP435" s="32">
        <v>35</v>
      </c>
      <c r="AQ435" s="32">
        <v>8</v>
      </c>
      <c r="AR435" s="13"/>
      <c r="AS435" s="32"/>
      <c r="AT435" s="13">
        <f t="shared" ca="1" si="151"/>
        <v>0</v>
      </c>
      <c r="AU435" s="33"/>
      <c r="AV435" s="13">
        <f t="shared" ca="1" si="142"/>
        <v>0</v>
      </c>
      <c r="AW435" s="13">
        <f ca="1">ROUNDUP(($AT435+$AV435)*VLOOKUP($AP435,Paraméterek!$P$38:$Q$38,2)/12*IF($D436="Nem",IF($M$13=0,1,$M$13),1),IF($D$4="Forint",0,2))</f>
        <v>0</v>
      </c>
      <c r="AX435" s="13"/>
      <c r="AY435" s="13"/>
      <c r="AZ435" s="13">
        <f>ROUNDUP(IF(SUM($AX435:$AY435)=0,0,IF(IF(ISBLANK($AY435),$AX435,$AY435)*Paraméterek!$J$112&lt;IF($D$4="Forint",Paraméterek!$J$113,Paraméterek!$K$113),IF($D$4="Forint",Paraméterek!$J$113,Paraméterek!$K$113),IF(IF(ISBLANK($AY435),$AX435,$AY435)*Paraméterek!$J$112&gt;IF($D$4="Forint",Paraméterek!$J$114,Paraméterek!$K$114),IF($D$4="Forint",Paraméterek!$J$114,Paraméterek!$K$114),IF(ISBLANK($AY435),$AX435,$AY435)*Paraméterek!$J$112))),IF($D$4="Forint",0,2))</f>
        <v>0</v>
      </c>
      <c r="BA435" s="13">
        <f ca="1">$AT435+$AV435-$AW435-IF(ROUNDDOWN(IF(ISBLANK($AY435),$AX435,$AY435),IF($D$4="Forint",0,2))&gt;$AT435+$AV435-$AW435-IF($D$4="Forint",Paraméterek!$J$114,Paraméterek!$K$114),0,ROUNDDOWN(IF(ISBLANK($AY435),$AX435,$AY435),IF($D$4="Forint",0,2))-$AZ435)</f>
        <v>0</v>
      </c>
      <c r="BB435" s="13">
        <f t="shared" ca="1" si="143"/>
        <v>0</v>
      </c>
      <c r="BD435" s="32">
        <v>416</v>
      </c>
      <c r="BE435" s="32">
        <v>35</v>
      </c>
      <c r="BF435" s="32">
        <v>8</v>
      </c>
      <c r="BG435" s="34">
        <f t="shared" ca="1" si="152"/>
        <v>2054</v>
      </c>
      <c r="BH435" s="32" t="str">
        <f ca="1">IF(MOD(MONTH($D$14)+$BD435-1,12)=Paraméterek!$C$288,"Igen","")</f>
        <v/>
      </c>
      <c r="BI435" s="13">
        <f ca="1">IF($BH435="Igen",MIN(ROUNDDOWN((SUMIF($BG$20:$BG$1027,$BG435-1,$K$20:$K$1027)-SUMIF($BG$20:$BG$1027,$BG435-1,$I$20:$I$1027))*Paraméterek!$C$289,IF($D$4="Forint",0,2)),IF($D$4="Forint",Paraméterek!$C$285,Paraméterek!$D$285)),0)</f>
        <v>0</v>
      </c>
      <c r="BJ435" s="13">
        <f t="shared" ca="1" si="144"/>
        <v>0</v>
      </c>
      <c r="BK435" s="13">
        <f t="shared" ca="1" si="153"/>
        <v>0</v>
      </c>
      <c r="BL435" s="33"/>
      <c r="BM435" s="13">
        <f t="shared" ca="1" si="145"/>
        <v>0</v>
      </c>
      <c r="BN435" s="13">
        <f ca="1">ROUNDUP(($BK435+$BM435)*VLOOKUP($BE435,Paraméterek!$P$38:$Q$38,2)/12*IF($D436="Nem",IF($M$13=0,1,$M$13),1),IF($D$4="Forint",0,2))</f>
        <v>0</v>
      </c>
      <c r="BO435" s="13">
        <f t="shared" ca="1" si="146"/>
        <v>0</v>
      </c>
      <c r="BP435" s="13">
        <f ca="1">IF($D436="Nem",$BO435,$BO435-ROUNDUP(SUM($BI$20:$BI435)*120%,IF($D$4="Forint",0,2)))</f>
        <v>0</v>
      </c>
    </row>
    <row r="436" spans="1:68" x14ac:dyDescent="0.2">
      <c r="A436" s="32">
        <v>417</v>
      </c>
      <c r="B436" s="32">
        <v>35</v>
      </c>
      <c r="C436" s="32">
        <v>9</v>
      </c>
      <c r="D436" s="32" t="str">
        <f t="shared" ca="1" si="132"/>
        <v>Nem</v>
      </c>
      <c r="E436" s="13">
        <f t="shared" ca="1" si="133"/>
        <v>0</v>
      </c>
      <c r="F436" s="13"/>
      <c r="G436" s="13"/>
      <c r="H436" s="13"/>
      <c r="I436" s="13">
        <f t="shared" ca="1" si="134"/>
        <v>0</v>
      </c>
      <c r="J436" s="13">
        <f t="shared" ca="1" si="135"/>
        <v>0</v>
      </c>
      <c r="K436" s="13">
        <f t="shared" ca="1" si="136"/>
        <v>0</v>
      </c>
      <c r="L436" s="13" t="e">
        <f ca="1">ROUNDUP(IF($D$2="Egyszeri",$E436,IF($D$2="Havi",SUM($E$20:$E$31),IF(MOD($C436,$M$1)-1=0,SUM($E$20:$E$31),0))/12*$M$1)*VLOOKUP($B436,Paraméterek!$I$28:$P$31,IF($D$2="Egyszeri",8,HLOOKUP(ROUNDUP($M$11+$M$13,0),Paraméterek!$J$26:$O$27,2))),IF($D$4="Forint",0,2))</f>
        <v>#N/A</v>
      </c>
      <c r="M436" s="13">
        <f t="shared" ca="1" si="137"/>
        <v>0</v>
      </c>
      <c r="N436" s="13">
        <f t="shared" ca="1" si="147"/>
        <v>0</v>
      </c>
      <c r="O436" s="13">
        <f ca="1">IF($D436="Igen",IF($W435&gt;=IF($D$4="Forint",Paraméterek!$J$121,Paraméterek!$K$121),0,IF($D$4="Forint",Paraméterek!$J$121,Paraméterek!$K$121)-$W435),0)</f>
        <v>0</v>
      </c>
      <c r="P436" s="13" t="e">
        <f ca="1">ROUNDUP($O436*VLOOKUP($M$4+$B436-1,Paraméterek!$H$58:$I$105,2,0)/Paraméterek!$I$56,IF($D$4="Forint",0,2))</f>
        <v>#N/A</v>
      </c>
      <c r="Q436" s="13">
        <f t="shared" ca="1" si="138"/>
        <v>0</v>
      </c>
      <c r="R436" s="33"/>
      <c r="S436" s="13" t="e">
        <f t="shared" ca="1" si="139"/>
        <v>#N/A</v>
      </c>
      <c r="T436" s="13" t="e">
        <f ca="1">ROUNDUP(($N436-$P436-$Q436+$S436)*VLOOKUP($B436,Paraméterek!$I$38:$K$39,IF($D$2="Egyszeri",3,2))/12*IF($D437="Nem",IF($M$13=0,1,$M$13),1),IF($D$4="Forint",0,2))</f>
        <v>#N/A</v>
      </c>
      <c r="U436" s="13"/>
      <c r="V436" s="13"/>
      <c r="W436" s="13" t="e">
        <f ca="1">$N436-$P436-$Q436+$S436-$T436-IF(ROUNDUP(IF(ISBLANK($V436),$U436*0,$V436)/IF($D$2="Egyszeri",VLOOKUP($B436+IF($C436=12,1,0),Paraméterek!$V$257:$W$262,2),IF($B436=1,1,VLOOKUP($B436+IF($C436=12,1,0),Paraméterek!$I$258:$T$278,HLOOKUP($M$11+1,Paraméterek!$J$256:$T$257,2)))),IF($D$4="Forint",0,2))&gt;$N436-$P436-$Q436+$S436-$T436-IF($D$4="Forint",Paraméterek!$C$216,Paraméterek!$D$216),0,ROUNDUP(IF(ISBLANK($V436),$U436*0,$V436)/IF($D$2="Egyszeri",VLOOKUP($B436+IF($C436=12,1,0),Paraméterek!$V$257:$W$262,2),IF($B436=1,1,VLOOKUP($B436+IF($C436=12,1,0),Paraméterek!$I$258:$T$278,HLOOKUP($M$11+1,Paraméterek!$J$256:$T$257,2)))),IF($D$4="Forint",0,2)))</f>
        <v>#N/A</v>
      </c>
      <c r="X436" s="13" t="e">
        <f ca="1">ROUNDDOWN($W436*IF($D$2="Egyszeri",VLOOKUP($B436+IF($C436=12,1,0),Paraméterek!$V$257:$W$262,2),VLOOKUP($B436+IF($C436=12,1,0),Paraméterek!$I$258:$T$278,HLOOKUP($M$11+1,Paraméterek!$I$256:$T$257,2))),IF($D$4="Forint",0,2))</f>
        <v>#N/A</v>
      </c>
      <c r="Z436" s="32">
        <v>417</v>
      </c>
      <c r="AA436" s="32">
        <v>35</v>
      </c>
      <c r="AB436" s="32">
        <v>9</v>
      </c>
      <c r="AC436" s="13">
        <f t="shared" ca="1" si="148"/>
        <v>0</v>
      </c>
      <c r="AD436" s="33"/>
      <c r="AE436" s="13">
        <f t="shared" ca="1" si="140"/>
        <v>0</v>
      </c>
      <c r="AF436" s="13">
        <f ca="1">ROUNDUP(($AC436+$AE436)*VLOOKUP($AA436,Paraméterek!$P$38:$Q$38,2)/12*IF($D437="Nem",IF($M$13=0,1,$M$13),1),IF($D$4="Forint",0,2))</f>
        <v>0</v>
      </c>
      <c r="AG436" s="13">
        <f ca="1">IF($D$2="Egyszeri",IF($D$7&gt;=IF($D$4="Forint",Paraméterek!$P$223,Paraméterek!$P$224),$D$7-IF($D$4="Forint",Paraméterek!$P$223,Paraméterek!$P$224),0),MIN(IF($AB436=12,AVERAGEIF($E$20:$E436,"&gt;0",$E$20:$E436)*12,0),SUM($E$20:$E$31)))</f>
        <v>0</v>
      </c>
      <c r="AH436" s="13">
        <f>IF($AA436=10,$AG436*IF($AB436=12,IF($AG436&lt;IF($D$4="Forint",Paraméterek!$L$223,Paraméterek!$L$224),0,VLOOKUP($AA436,Paraméterek!$K$226:$M$228,IF($AG436&lt;IF($D$4="Forint",Paraméterek!$M$223,Paraméterek!$M$224),2,3))),0),0)</f>
        <v>0</v>
      </c>
      <c r="AI436" s="13">
        <f ca="1">IF(AND($AA436=$M$11+1,$AB436=$M$12+1),SUMIF($AA$20:$AA$1027,$AA436,$AG$20:$AG$1027)*IF(SUMIF($AA$20:$AA$1027,$AA436,$AG$20:$AG$1027)&lt;IF($D$4="Forint",Paraméterek!$L$223,Paraméterek!$L$224),0,VLOOKUP($AA436,Paraméterek!$K$230:$M$250,IF(SUMIF($AA$20:$AA$1027,$AA436,$AG$20:$AG$1027)&lt;IF($D$4="Forint",Paraméterek!$M$223,Paraméterek!$M$224),2,3))),0)</f>
        <v>0</v>
      </c>
      <c r="AJ436" s="13">
        <f ca="1">IF(AND($AA436&gt;=5,MOD($AA436,5)=0),IF($AB436=12,VLOOKUP($AA436,Paraméterek!$O$225:$P$240,2),0),IF(OR($AA436=3,$AA436=4),IF($AB436=12,VLOOKUP($AA436,Paraméterek!$O$225:$P$240,2,0),0),0))*$AG436</f>
        <v>0</v>
      </c>
      <c r="AK436" s="13">
        <f t="shared" ca="1" si="141"/>
        <v>0</v>
      </c>
      <c r="AL436" s="13">
        <f t="shared" ca="1" si="149"/>
        <v>0</v>
      </c>
      <c r="AM436" s="13">
        <f t="shared" ca="1" si="150"/>
        <v>0</v>
      </c>
      <c r="AO436" s="32">
        <v>417</v>
      </c>
      <c r="AP436" s="32">
        <v>35</v>
      </c>
      <c r="AQ436" s="32">
        <v>9</v>
      </c>
      <c r="AR436" s="13"/>
      <c r="AS436" s="32"/>
      <c r="AT436" s="13">
        <f t="shared" ca="1" si="151"/>
        <v>0</v>
      </c>
      <c r="AU436" s="33"/>
      <c r="AV436" s="13">
        <f t="shared" ca="1" si="142"/>
        <v>0</v>
      </c>
      <c r="AW436" s="13">
        <f ca="1">ROUNDUP(($AT436+$AV436)*VLOOKUP($AP436,Paraméterek!$P$38:$Q$38,2)/12*IF($D437="Nem",IF($M$13=0,1,$M$13),1),IF($D$4="Forint",0,2))</f>
        <v>0</v>
      </c>
      <c r="AX436" s="13"/>
      <c r="AY436" s="13"/>
      <c r="AZ436" s="13">
        <f>ROUNDUP(IF(SUM($AX436:$AY436)=0,0,IF(IF(ISBLANK($AY436),$AX436,$AY436)*Paraméterek!$J$112&lt;IF($D$4="Forint",Paraméterek!$J$113,Paraméterek!$K$113),IF($D$4="Forint",Paraméterek!$J$113,Paraméterek!$K$113),IF(IF(ISBLANK($AY436),$AX436,$AY436)*Paraméterek!$J$112&gt;IF($D$4="Forint",Paraméterek!$J$114,Paraméterek!$K$114),IF($D$4="Forint",Paraméterek!$J$114,Paraméterek!$K$114),IF(ISBLANK($AY436),$AX436,$AY436)*Paraméterek!$J$112))),IF($D$4="Forint",0,2))</f>
        <v>0</v>
      </c>
      <c r="BA436" s="13">
        <f ca="1">$AT436+$AV436-$AW436-IF(ROUNDDOWN(IF(ISBLANK($AY436),$AX436,$AY436),IF($D$4="Forint",0,2))&gt;$AT436+$AV436-$AW436-IF($D$4="Forint",Paraméterek!$J$114,Paraméterek!$K$114),0,ROUNDDOWN(IF(ISBLANK($AY436),$AX436,$AY436),IF($D$4="Forint",0,2))-$AZ436)</f>
        <v>0</v>
      </c>
      <c r="BB436" s="13">
        <f t="shared" ca="1" si="143"/>
        <v>0</v>
      </c>
      <c r="BD436" s="32">
        <v>417</v>
      </c>
      <c r="BE436" s="32">
        <v>35</v>
      </c>
      <c r="BF436" s="32">
        <v>9</v>
      </c>
      <c r="BG436" s="34">
        <f t="shared" ca="1" si="152"/>
        <v>2054</v>
      </c>
      <c r="BH436" s="32" t="str">
        <f ca="1">IF(MOD(MONTH($D$14)+$BD436-1,12)=Paraméterek!$C$288,"Igen","")</f>
        <v/>
      </c>
      <c r="BI436" s="13">
        <f ca="1">IF($BH436="Igen",MIN(ROUNDDOWN((SUMIF($BG$20:$BG$1027,$BG436-1,$K$20:$K$1027)-SUMIF($BG$20:$BG$1027,$BG436-1,$I$20:$I$1027))*Paraméterek!$C$289,IF($D$4="Forint",0,2)),IF($D$4="Forint",Paraméterek!$C$285,Paraméterek!$D$285)),0)</f>
        <v>0</v>
      </c>
      <c r="BJ436" s="13">
        <f t="shared" ca="1" si="144"/>
        <v>0</v>
      </c>
      <c r="BK436" s="13">
        <f t="shared" ca="1" si="153"/>
        <v>0</v>
      </c>
      <c r="BL436" s="33"/>
      <c r="BM436" s="13">
        <f t="shared" ca="1" si="145"/>
        <v>0</v>
      </c>
      <c r="BN436" s="13">
        <f ca="1">ROUNDUP(($BK436+$BM436)*VLOOKUP($BE436,Paraméterek!$P$38:$Q$38,2)/12*IF($D437="Nem",IF($M$13=0,1,$M$13),1),IF($D$4="Forint",0,2))</f>
        <v>0</v>
      </c>
      <c r="BO436" s="13">
        <f t="shared" ca="1" si="146"/>
        <v>0</v>
      </c>
      <c r="BP436" s="13">
        <f ca="1">IF($D437="Nem",$BO436,$BO436-ROUNDUP(SUM($BI$20:$BI436)*120%,IF($D$4="Forint",0,2)))</f>
        <v>0</v>
      </c>
    </row>
    <row r="437" spans="1:68" x14ac:dyDescent="0.2">
      <c r="A437" s="32">
        <v>418</v>
      </c>
      <c r="B437" s="32">
        <v>35</v>
      </c>
      <c r="C437" s="32">
        <v>10</v>
      </c>
      <c r="D437" s="32" t="str">
        <f t="shared" ca="1" si="132"/>
        <v>Nem</v>
      </c>
      <c r="E437" s="13">
        <f t="shared" ca="1" si="133"/>
        <v>0</v>
      </c>
      <c r="F437" s="13"/>
      <c r="G437" s="13"/>
      <c r="H437" s="13"/>
      <c r="I437" s="13">
        <f t="shared" ca="1" si="134"/>
        <v>0</v>
      </c>
      <c r="J437" s="13">
        <f t="shared" ca="1" si="135"/>
        <v>0</v>
      </c>
      <c r="K437" s="13">
        <f t="shared" ca="1" si="136"/>
        <v>0</v>
      </c>
      <c r="L437" s="13" t="e">
        <f ca="1">ROUNDUP(IF($D$2="Egyszeri",$E437,IF($D$2="Havi",SUM($E$20:$E$31),IF(MOD($C437,$M$1)-1=0,SUM($E$20:$E$31),0))/12*$M$1)*VLOOKUP($B437,Paraméterek!$I$28:$P$31,IF($D$2="Egyszeri",8,HLOOKUP(ROUNDUP($M$11+$M$13,0),Paraméterek!$J$26:$O$27,2))),IF($D$4="Forint",0,2))</f>
        <v>#N/A</v>
      </c>
      <c r="M437" s="13">
        <f t="shared" ca="1" si="137"/>
        <v>0</v>
      </c>
      <c r="N437" s="13">
        <f t="shared" ca="1" si="147"/>
        <v>0</v>
      </c>
      <c r="O437" s="13">
        <f ca="1">IF($D437="Igen",IF($W436&gt;=IF($D$4="Forint",Paraméterek!$J$121,Paraméterek!$K$121),0,IF($D$4="Forint",Paraméterek!$J$121,Paraméterek!$K$121)-$W436),0)</f>
        <v>0</v>
      </c>
      <c r="P437" s="13" t="e">
        <f ca="1">ROUNDUP($O437*VLOOKUP($M$4+$B437-1,Paraméterek!$H$58:$I$105,2,0)/Paraméterek!$I$56,IF($D$4="Forint",0,2))</f>
        <v>#N/A</v>
      </c>
      <c r="Q437" s="13">
        <f t="shared" ca="1" si="138"/>
        <v>0</v>
      </c>
      <c r="R437" s="33"/>
      <c r="S437" s="13" t="e">
        <f t="shared" ca="1" si="139"/>
        <v>#N/A</v>
      </c>
      <c r="T437" s="13" t="e">
        <f ca="1">ROUNDUP(($N437-$P437-$Q437+$S437)*VLOOKUP($B437,Paraméterek!$I$38:$K$39,IF($D$2="Egyszeri",3,2))/12*IF($D438="Nem",IF($M$13=0,1,$M$13),1),IF($D$4="Forint",0,2))</f>
        <v>#N/A</v>
      </c>
      <c r="U437" s="13"/>
      <c r="V437" s="13"/>
      <c r="W437" s="13" t="e">
        <f ca="1">$N437-$P437-$Q437+$S437-$T437-IF(ROUNDUP(IF(ISBLANK($V437),$U437*0,$V437)/IF($D$2="Egyszeri",VLOOKUP($B437+IF($C437=12,1,0),Paraméterek!$V$257:$W$262,2),IF($B437=1,1,VLOOKUP($B437+IF($C437=12,1,0),Paraméterek!$I$258:$T$278,HLOOKUP($M$11+1,Paraméterek!$J$256:$T$257,2)))),IF($D$4="Forint",0,2))&gt;$N437-$P437-$Q437+$S437-$T437-IF($D$4="Forint",Paraméterek!$C$216,Paraméterek!$D$216),0,ROUNDUP(IF(ISBLANK($V437),$U437*0,$V437)/IF($D$2="Egyszeri",VLOOKUP($B437+IF($C437=12,1,0),Paraméterek!$V$257:$W$262,2),IF($B437=1,1,VLOOKUP($B437+IF($C437=12,1,0),Paraméterek!$I$258:$T$278,HLOOKUP($M$11+1,Paraméterek!$J$256:$T$257,2)))),IF($D$4="Forint",0,2)))</f>
        <v>#N/A</v>
      </c>
      <c r="X437" s="13" t="e">
        <f ca="1">ROUNDDOWN($W437*IF($D$2="Egyszeri",VLOOKUP($B437+IF($C437=12,1,0),Paraméterek!$V$257:$W$262,2),VLOOKUP($B437+IF($C437=12,1,0),Paraméterek!$I$258:$T$278,HLOOKUP($M$11+1,Paraméterek!$I$256:$T$257,2))),IF($D$4="Forint",0,2))</f>
        <v>#N/A</v>
      </c>
      <c r="Z437" s="32">
        <v>418</v>
      </c>
      <c r="AA437" s="32">
        <v>35</v>
      </c>
      <c r="AB437" s="32">
        <v>10</v>
      </c>
      <c r="AC437" s="13">
        <f t="shared" ca="1" si="148"/>
        <v>0</v>
      </c>
      <c r="AD437" s="33"/>
      <c r="AE437" s="13">
        <f t="shared" ca="1" si="140"/>
        <v>0</v>
      </c>
      <c r="AF437" s="13">
        <f ca="1">ROUNDUP(($AC437+$AE437)*VLOOKUP($AA437,Paraméterek!$P$38:$Q$38,2)/12*IF($D438="Nem",IF($M$13=0,1,$M$13),1),IF($D$4="Forint",0,2))</f>
        <v>0</v>
      </c>
      <c r="AG437" s="13">
        <f ca="1">IF($D$2="Egyszeri",IF($D$7&gt;=IF($D$4="Forint",Paraméterek!$P$223,Paraméterek!$P$224),$D$7-IF($D$4="Forint",Paraméterek!$P$223,Paraméterek!$P$224),0),MIN(IF($AB437=12,AVERAGEIF($E$20:$E437,"&gt;0",$E$20:$E437)*12,0),SUM($E$20:$E$31)))</f>
        <v>0</v>
      </c>
      <c r="AH437" s="13">
        <f>IF($AA437=10,$AG437*IF($AB437=12,IF($AG437&lt;IF($D$4="Forint",Paraméterek!$L$223,Paraméterek!$L$224),0,VLOOKUP($AA437,Paraméterek!$K$226:$M$228,IF($AG437&lt;IF($D$4="Forint",Paraméterek!$M$223,Paraméterek!$M$224),2,3))),0),0)</f>
        <v>0</v>
      </c>
      <c r="AI437" s="13">
        <f ca="1">IF(AND($AA437=$M$11+1,$AB437=$M$12+1),SUMIF($AA$20:$AA$1027,$AA437,$AG$20:$AG$1027)*IF(SUMIF($AA$20:$AA$1027,$AA437,$AG$20:$AG$1027)&lt;IF($D$4="Forint",Paraméterek!$L$223,Paraméterek!$L$224),0,VLOOKUP($AA437,Paraméterek!$K$230:$M$250,IF(SUMIF($AA$20:$AA$1027,$AA437,$AG$20:$AG$1027)&lt;IF($D$4="Forint",Paraméterek!$M$223,Paraméterek!$M$224),2,3))),0)</f>
        <v>0</v>
      </c>
      <c r="AJ437" s="13">
        <f ca="1">IF(AND($AA437&gt;=5,MOD($AA437,5)=0),IF($AB437=12,VLOOKUP($AA437,Paraméterek!$O$225:$P$240,2),0),IF(OR($AA437=3,$AA437=4),IF($AB437=12,VLOOKUP($AA437,Paraméterek!$O$225:$P$240,2,0),0),0))*$AG437</f>
        <v>0</v>
      </c>
      <c r="AK437" s="13">
        <f t="shared" ca="1" si="141"/>
        <v>0</v>
      </c>
      <c r="AL437" s="13">
        <f t="shared" ca="1" si="149"/>
        <v>0</v>
      </c>
      <c r="AM437" s="13">
        <f t="shared" ca="1" si="150"/>
        <v>0</v>
      </c>
      <c r="AO437" s="32">
        <v>418</v>
      </c>
      <c r="AP437" s="32">
        <v>35</v>
      </c>
      <c r="AQ437" s="32">
        <v>10</v>
      </c>
      <c r="AR437" s="13"/>
      <c r="AS437" s="32"/>
      <c r="AT437" s="13">
        <f t="shared" ca="1" si="151"/>
        <v>0</v>
      </c>
      <c r="AU437" s="33"/>
      <c r="AV437" s="13">
        <f t="shared" ca="1" si="142"/>
        <v>0</v>
      </c>
      <c r="AW437" s="13">
        <f ca="1">ROUNDUP(($AT437+$AV437)*VLOOKUP($AP437,Paraméterek!$P$38:$Q$38,2)/12*IF($D438="Nem",IF($M$13=0,1,$M$13),1),IF($D$4="Forint",0,2))</f>
        <v>0</v>
      </c>
      <c r="AX437" s="13"/>
      <c r="AY437" s="13"/>
      <c r="AZ437" s="13">
        <f>ROUNDUP(IF(SUM($AX437:$AY437)=0,0,IF(IF(ISBLANK($AY437),$AX437,$AY437)*Paraméterek!$J$112&lt;IF($D$4="Forint",Paraméterek!$J$113,Paraméterek!$K$113),IF($D$4="Forint",Paraméterek!$J$113,Paraméterek!$K$113),IF(IF(ISBLANK($AY437),$AX437,$AY437)*Paraméterek!$J$112&gt;IF($D$4="Forint",Paraméterek!$J$114,Paraméterek!$K$114),IF($D$4="Forint",Paraméterek!$J$114,Paraméterek!$K$114),IF(ISBLANK($AY437),$AX437,$AY437)*Paraméterek!$J$112))),IF($D$4="Forint",0,2))</f>
        <v>0</v>
      </c>
      <c r="BA437" s="13">
        <f ca="1">$AT437+$AV437-$AW437-IF(ROUNDDOWN(IF(ISBLANK($AY437),$AX437,$AY437),IF($D$4="Forint",0,2))&gt;$AT437+$AV437-$AW437-IF($D$4="Forint",Paraméterek!$J$114,Paraméterek!$K$114),0,ROUNDDOWN(IF(ISBLANK($AY437),$AX437,$AY437),IF($D$4="Forint",0,2))-$AZ437)</f>
        <v>0</v>
      </c>
      <c r="BB437" s="13">
        <f t="shared" ca="1" si="143"/>
        <v>0</v>
      </c>
      <c r="BD437" s="32">
        <v>418</v>
      </c>
      <c r="BE437" s="32">
        <v>35</v>
      </c>
      <c r="BF437" s="32">
        <v>10</v>
      </c>
      <c r="BG437" s="34">
        <f t="shared" ca="1" si="152"/>
        <v>2054</v>
      </c>
      <c r="BH437" s="32" t="str">
        <f ca="1">IF(MOD(MONTH($D$14)+$BD437-1,12)=Paraméterek!$C$288,"Igen","")</f>
        <v/>
      </c>
      <c r="BI437" s="13">
        <f ca="1">IF($BH437="Igen",MIN(ROUNDDOWN((SUMIF($BG$20:$BG$1027,$BG437-1,$K$20:$K$1027)-SUMIF($BG$20:$BG$1027,$BG437-1,$I$20:$I$1027))*Paraméterek!$C$289,IF($D$4="Forint",0,2)),IF($D$4="Forint",Paraméterek!$C$285,Paraméterek!$D$285)),0)</f>
        <v>0</v>
      </c>
      <c r="BJ437" s="13">
        <f t="shared" ca="1" si="144"/>
        <v>0</v>
      </c>
      <c r="BK437" s="13">
        <f t="shared" ca="1" si="153"/>
        <v>0</v>
      </c>
      <c r="BL437" s="33"/>
      <c r="BM437" s="13">
        <f t="shared" ca="1" si="145"/>
        <v>0</v>
      </c>
      <c r="BN437" s="13">
        <f ca="1">ROUNDUP(($BK437+$BM437)*VLOOKUP($BE437,Paraméterek!$P$38:$Q$38,2)/12*IF($D438="Nem",IF($M$13=0,1,$M$13),1),IF($D$4="Forint",0,2))</f>
        <v>0</v>
      </c>
      <c r="BO437" s="13">
        <f t="shared" ca="1" si="146"/>
        <v>0</v>
      </c>
      <c r="BP437" s="13">
        <f ca="1">IF($D438="Nem",$BO437,$BO437-ROUNDUP(SUM($BI$20:$BI437)*120%,IF($D$4="Forint",0,2)))</f>
        <v>0</v>
      </c>
    </row>
    <row r="438" spans="1:68" x14ac:dyDescent="0.2">
      <c r="A438" s="32">
        <v>419</v>
      </c>
      <c r="B438" s="32">
        <v>35</v>
      </c>
      <c r="C438" s="32">
        <v>11</v>
      </c>
      <c r="D438" s="32" t="str">
        <f t="shared" ca="1" si="132"/>
        <v>Nem</v>
      </c>
      <c r="E438" s="13">
        <f t="shared" ca="1" si="133"/>
        <v>0</v>
      </c>
      <c r="F438" s="13"/>
      <c r="G438" s="13"/>
      <c r="H438" s="13"/>
      <c r="I438" s="13">
        <f t="shared" ca="1" si="134"/>
        <v>0</v>
      </c>
      <c r="J438" s="13">
        <f t="shared" ca="1" si="135"/>
        <v>0</v>
      </c>
      <c r="K438" s="13">
        <f t="shared" ca="1" si="136"/>
        <v>0</v>
      </c>
      <c r="L438" s="13" t="e">
        <f ca="1">ROUNDUP(IF($D$2="Egyszeri",$E438,IF($D$2="Havi",SUM($E$20:$E$31),IF(MOD($C438,$M$1)-1=0,SUM($E$20:$E$31),0))/12*$M$1)*VLOOKUP($B438,Paraméterek!$I$28:$P$31,IF($D$2="Egyszeri",8,HLOOKUP(ROUNDUP($M$11+$M$13,0),Paraméterek!$J$26:$O$27,2))),IF($D$4="Forint",0,2))</f>
        <v>#N/A</v>
      </c>
      <c r="M438" s="13">
        <f t="shared" ca="1" si="137"/>
        <v>0</v>
      </c>
      <c r="N438" s="13">
        <f t="shared" ca="1" si="147"/>
        <v>0</v>
      </c>
      <c r="O438" s="13">
        <f ca="1">IF($D438="Igen",IF($W437&gt;=IF($D$4="Forint",Paraméterek!$J$121,Paraméterek!$K$121),0,IF($D$4="Forint",Paraméterek!$J$121,Paraméterek!$K$121)-$W437),0)</f>
        <v>0</v>
      </c>
      <c r="P438" s="13" t="e">
        <f ca="1">ROUNDUP($O438*VLOOKUP($M$4+$B438-1,Paraméterek!$H$58:$I$105,2,0)/Paraméterek!$I$56,IF($D$4="Forint",0,2))</f>
        <v>#N/A</v>
      </c>
      <c r="Q438" s="13">
        <f t="shared" ca="1" si="138"/>
        <v>0</v>
      </c>
      <c r="R438" s="33"/>
      <c r="S438" s="13" t="e">
        <f t="shared" ca="1" si="139"/>
        <v>#N/A</v>
      </c>
      <c r="T438" s="13" t="e">
        <f ca="1">ROUNDUP(($N438-$P438-$Q438+$S438)*VLOOKUP($B438,Paraméterek!$I$38:$K$39,IF($D$2="Egyszeri",3,2))/12*IF($D439="Nem",IF($M$13=0,1,$M$13),1),IF($D$4="Forint",0,2))</f>
        <v>#N/A</v>
      </c>
      <c r="U438" s="13"/>
      <c r="V438" s="13"/>
      <c r="W438" s="13" t="e">
        <f ca="1">$N438-$P438-$Q438+$S438-$T438-IF(ROUNDUP(IF(ISBLANK($V438),$U438*0,$V438)/IF($D$2="Egyszeri",VLOOKUP($B438+IF($C438=12,1,0),Paraméterek!$V$257:$W$262,2),IF($B438=1,1,VLOOKUP($B438+IF($C438=12,1,0),Paraméterek!$I$258:$T$278,HLOOKUP($M$11+1,Paraméterek!$J$256:$T$257,2)))),IF($D$4="Forint",0,2))&gt;$N438-$P438-$Q438+$S438-$T438-IF($D$4="Forint",Paraméterek!$C$216,Paraméterek!$D$216),0,ROUNDUP(IF(ISBLANK($V438),$U438*0,$V438)/IF($D$2="Egyszeri",VLOOKUP($B438+IF($C438=12,1,0),Paraméterek!$V$257:$W$262,2),IF($B438=1,1,VLOOKUP($B438+IF($C438=12,1,0),Paraméterek!$I$258:$T$278,HLOOKUP($M$11+1,Paraméterek!$J$256:$T$257,2)))),IF($D$4="Forint",0,2)))</f>
        <v>#N/A</v>
      </c>
      <c r="X438" s="13" t="e">
        <f ca="1">ROUNDDOWN($W438*IF($D$2="Egyszeri",VLOOKUP($B438+IF($C438=12,1,0),Paraméterek!$V$257:$W$262,2),VLOOKUP($B438+IF($C438=12,1,0),Paraméterek!$I$258:$T$278,HLOOKUP($M$11+1,Paraméterek!$I$256:$T$257,2))),IF($D$4="Forint",0,2))</f>
        <v>#N/A</v>
      </c>
      <c r="Z438" s="32">
        <v>419</v>
      </c>
      <c r="AA438" s="32">
        <v>35</v>
      </c>
      <c r="AB438" s="32">
        <v>11</v>
      </c>
      <c r="AC438" s="13">
        <f t="shared" ca="1" si="148"/>
        <v>0</v>
      </c>
      <c r="AD438" s="33"/>
      <c r="AE438" s="13">
        <f t="shared" ca="1" si="140"/>
        <v>0</v>
      </c>
      <c r="AF438" s="13">
        <f ca="1">ROUNDUP(($AC438+$AE438)*VLOOKUP($AA438,Paraméterek!$P$38:$Q$38,2)/12*IF($D439="Nem",IF($M$13=0,1,$M$13),1),IF($D$4="Forint",0,2))</f>
        <v>0</v>
      </c>
      <c r="AG438" s="13">
        <f ca="1">IF($D$2="Egyszeri",IF($D$7&gt;=IF($D$4="Forint",Paraméterek!$P$223,Paraméterek!$P$224),$D$7-IF($D$4="Forint",Paraméterek!$P$223,Paraméterek!$P$224),0),MIN(IF($AB438=12,AVERAGEIF($E$20:$E438,"&gt;0",$E$20:$E438)*12,0),SUM($E$20:$E$31)))</f>
        <v>0</v>
      </c>
      <c r="AH438" s="13">
        <f>IF($AA438=10,$AG438*IF($AB438=12,IF($AG438&lt;IF($D$4="Forint",Paraméterek!$L$223,Paraméterek!$L$224),0,VLOOKUP($AA438,Paraméterek!$K$226:$M$228,IF($AG438&lt;IF($D$4="Forint",Paraméterek!$M$223,Paraméterek!$M$224),2,3))),0),0)</f>
        <v>0</v>
      </c>
      <c r="AI438" s="13">
        <f ca="1">IF(AND($AA438=$M$11+1,$AB438=$M$12+1),SUMIF($AA$20:$AA$1027,$AA438,$AG$20:$AG$1027)*IF(SUMIF($AA$20:$AA$1027,$AA438,$AG$20:$AG$1027)&lt;IF($D$4="Forint",Paraméterek!$L$223,Paraméterek!$L$224),0,VLOOKUP($AA438,Paraméterek!$K$230:$M$250,IF(SUMIF($AA$20:$AA$1027,$AA438,$AG$20:$AG$1027)&lt;IF($D$4="Forint",Paraméterek!$M$223,Paraméterek!$M$224),2,3))),0)</f>
        <v>0</v>
      </c>
      <c r="AJ438" s="13">
        <f ca="1">IF(AND($AA438&gt;=5,MOD($AA438,5)=0),IF($AB438=12,VLOOKUP($AA438,Paraméterek!$O$225:$P$240,2),0),IF(OR($AA438=3,$AA438=4),IF($AB438=12,VLOOKUP($AA438,Paraméterek!$O$225:$P$240,2,0),0),0))*$AG438</f>
        <v>0</v>
      </c>
      <c r="AK438" s="13">
        <f t="shared" ca="1" si="141"/>
        <v>0</v>
      </c>
      <c r="AL438" s="13">
        <f t="shared" ca="1" si="149"/>
        <v>0</v>
      </c>
      <c r="AM438" s="13">
        <f t="shared" ca="1" si="150"/>
        <v>0</v>
      </c>
      <c r="AO438" s="32">
        <v>419</v>
      </c>
      <c r="AP438" s="32">
        <v>35</v>
      </c>
      <c r="AQ438" s="32">
        <v>11</v>
      </c>
      <c r="AR438" s="13"/>
      <c r="AS438" s="32"/>
      <c r="AT438" s="13">
        <f t="shared" ca="1" si="151"/>
        <v>0</v>
      </c>
      <c r="AU438" s="33"/>
      <c r="AV438" s="13">
        <f t="shared" ca="1" si="142"/>
        <v>0</v>
      </c>
      <c r="AW438" s="13">
        <f ca="1">ROUNDUP(($AT438+$AV438)*VLOOKUP($AP438,Paraméterek!$P$38:$Q$38,2)/12*IF($D439="Nem",IF($M$13=0,1,$M$13),1),IF($D$4="Forint",0,2))</f>
        <v>0</v>
      </c>
      <c r="AX438" s="13"/>
      <c r="AY438" s="13"/>
      <c r="AZ438" s="13">
        <f>ROUNDUP(IF(SUM($AX438:$AY438)=0,0,IF(IF(ISBLANK($AY438),$AX438,$AY438)*Paraméterek!$J$112&lt;IF($D$4="Forint",Paraméterek!$J$113,Paraméterek!$K$113),IF($D$4="Forint",Paraméterek!$J$113,Paraméterek!$K$113),IF(IF(ISBLANK($AY438),$AX438,$AY438)*Paraméterek!$J$112&gt;IF($D$4="Forint",Paraméterek!$J$114,Paraméterek!$K$114),IF($D$4="Forint",Paraméterek!$J$114,Paraméterek!$K$114),IF(ISBLANK($AY438),$AX438,$AY438)*Paraméterek!$J$112))),IF($D$4="Forint",0,2))</f>
        <v>0</v>
      </c>
      <c r="BA438" s="13">
        <f ca="1">$AT438+$AV438-$AW438-IF(ROUNDDOWN(IF(ISBLANK($AY438),$AX438,$AY438),IF($D$4="Forint",0,2))&gt;$AT438+$AV438-$AW438-IF($D$4="Forint",Paraméterek!$J$114,Paraméterek!$K$114),0,ROUNDDOWN(IF(ISBLANK($AY438),$AX438,$AY438),IF($D$4="Forint",0,2))-$AZ438)</f>
        <v>0</v>
      </c>
      <c r="BB438" s="13">
        <f t="shared" ca="1" si="143"/>
        <v>0</v>
      </c>
      <c r="BD438" s="32">
        <v>419</v>
      </c>
      <c r="BE438" s="32">
        <v>35</v>
      </c>
      <c r="BF438" s="32">
        <v>11</v>
      </c>
      <c r="BG438" s="34">
        <f t="shared" ca="1" si="152"/>
        <v>2054</v>
      </c>
      <c r="BH438" s="32" t="str">
        <f ca="1">IF(MOD(MONTH($D$14)+$BD438-1,12)=Paraméterek!$C$288,"Igen","")</f>
        <v/>
      </c>
      <c r="BI438" s="13">
        <f ca="1">IF($BH438="Igen",MIN(ROUNDDOWN((SUMIF($BG$20:$BG$1027,$BG438-1,$K$20:$K$1027)-SUMIF($BG$20:$BG$1027,$BG438-1,$I$20:$I$1027))*Paraméterek!$C$289,IF($D$4="Forint",0,2)),IF($D$4="Forint",Paraméterek!$C$285,Paraméterek!$D$285)),0)</f>
        <v>0</v>
      </c>
      <c r="BJ438" s="13">
        <f t="shared" ca="1" si="144"/>
        <v>0</v>
      </c>
      <c r="BK438" s="13">
        <f t="shared" ca="1" si="153"/>
        <v>0</v>
      </c>
      <c r="BL438" s="33"/>
      <c r="BM438" s="13">
        <f t="shared" ca="1" si="145"/>
        <v>0</v>
      </c>
      <c r="BN438" s="13">
        <f ca="1">ROUNDUP(($BK438+$BM438)*VLOOKUP($BE438,Paraméterek!$P$38:$Q$38,2)/12*IF($D439="Nem",IF($M$13=0,1,$M$13),1),IF($D$4="Forint",0,2))</f>
        <v>0</v>
      </c>
      <c r="BO438" s="13">
        <f t="shared" ca="1" si="146"/>
        <v>0</v>
      </c>
      <c r="BP438" s="13">
        <f ca="1">IF($D439="Nem",$BO438,$BO438-ROUNDUP(SUM($BI$20:$BI438)*120%,IF($D$4="Forint",0,2)))</f>
        <v>0</v>
      </c>
    </row>
    <row r="439" spans="1:68" x14ac:dyDescent="0.2">
      <c r="A439" s="32">
        <v>420</v>
      </c>
      <c r="B439" s="32">
        <v>35</v>
      </c>
      <c r="C439" s="32">
        <v>12</v>
      </c>
      <c r="D439" s="32" t="str">
        <f t="shared" ca="1" si="132"/>
        <v>Nem</v>
      </c>
      <c r="E439" s="13">
        <f t="shared" ca="1" si="133"/>
        <v>0</v>
      </c>
      <c r="F439" s="13"/>
      <c r="G439" s="13"/>
      <c r="H439" s="13"/>
      <c r="I439" s="13">
        <f t="shared" ca="1" si="134"/>
        <v>0</v>
      </c>
      <c r="J439" s="13">
        <f t="shared" ca="1" si="135"/>
        <v>0</v>
      </c>
      <c r="K439" s="13">
        <f t="shared" ca="1" si="136"/>
        <v>0</v>
      </c>
      <c r="L439" s="13" t="e">
        <f ca="1">ROUNDUP(IF($D$2="Egyszeri",$E439,IF($D$2="Havi",SUM($E$20:$E$31),IF(MOD($C439,$M$1)-1=0,SUM($E$20:$E$31),0))/12*$M$1)*VLOOKUP($B439,Paraméterek!$I$28:$P$31,IF($D$2="Egyszeri",8,HLOOKUP(ROUNDUP($M$11+$M$13,0),Paraméterek!$J$26:$O$27,2))),IF($D$4="Forint",0,2))</f>
        <v>#N/A</v>
      </c>
      <c r="M439" s="13">
        <f t="shared" ca="1" si="137"/>
        <v>0</v>
      </c>
      <c r="N439" s="13">
        <f t="shared" ca="1" si="147"/>
        <v>0</v>
      </c>
      <c r="O439" s="13">
        <f ca="1">IF($D439="Igen",IF($W438&gt;=IF($D$4="Forint",Paraméterek!$J$121,Paraméterek!$K$121),0,IF($D$4="Forint",Paraméterek!$J$121,Paraméterek!$K$121)-$W438),0)</f>
        <v>0</v>
      </c>
      <c r="P439" s="13" t="e">
        <f ca="1">ROUNDUP($O439*VLOOKUP($M$4+$B439-1,Paraméterek!$H$58:$I$105,2,0)/Paraméterek!$I$56,IF($D$4="Forint",0,2))</f>
        <v>#N/A</v>
      </c>
      <c r="Q439" s="13">
        <f t="shared" ca="1" si="138"/>
        <v>0</v>
      </c>
      <c r="R439" s="33"/>
      <c r="S439" s="13" t="e">
        <f t="shared" ca="1" si="139"/>
        <v>#N/A</v>
      </c>
      <c r="T439" s="13" t="e">
        <f ca="1">ROUNDUP(($N439-$P439-$Q439+$S439)*VLOOKUP($B439,Paraméterek!$I$38:$K$39,IF($D$2="Egyszeri",3,2))/12*IF($D440="Nem",IF($M$13=0,1,$M$13),1),IF($D$4="Forint",0,2))</f>
        <v>#N/A</v>
      </c>
      <c r="U439" s="13">
        <f>Tranzakciók!$F$66</f>
        <v>0</v>
      </c>
      <c r="V439" s="13"/>
      <c r="W439" s="13" t="e">
        <f ca="1">$N439-$P439-$Q439+$S439-$T439-IF(ROUNDUP(IF(ISBLANK($V439),$U439*0,$V439)/IF($D$2="Egyszeri",VLOOKUP($B439+IF($C439=12,1,0),Paraméterek!$V$257:$W$262,2),IF($B439=1,1,VLOOKUP($B439+IF($C439=12,1,0),Paraméterek!$I$258:$T$278,HLOOKUP($M$11+1,Paraméterek!$J$256:$T$257,2)))),IF($D$4="Forint",0,2))&gt;$N439-$P439-$Q439+$S439-$T439-IF($D$4="Forint",Paraméterek!$C$216,Paraméterek!$D$216),0,ROUNDUP(IF(ISBLANK($V439),$U439*0,$V439)/IF($D$2="Egyszeri",VLOOKUP($B439+IF($C439=12,1,0),Paraméterek!$V$257:$W$262,2),IF($B439=1,1,VLOOKUP($B439+IF($C439=12,1,0),Paraméterek!$I$258:$T$278,HLOOKUP($M$11+1,Paraméterek!$J$256:$T$257,2)))),IF($D$4="Forint",0,2)))</f>
        <v>#N/A</v>
      </c>
      <c r="X439" s="13" t="e">
        <f ca="1">ROUNDDOWN($W439*IF($D$2="Egyszeri",VLOOKUP($B439+IF($C439=12,1,0),Paraméterek!$V$257:$W$262,2),VLOOKUP($B439+IF($C439=12,1,0),Paraméterek!$I$258:$T$278,HLOOKUP($M$11+1,Paraméterek!$I$256:$T$257,2))),IF($D$4="Forint",0,2))</f>
        <v>#N/A</v>
      </c>
      <c r="Z439" s="32">
        <v>420</v>
      </c>
      <c r="AA439" s="32">
        <v>35</v>
      </c>
      <c r="AB439" s="32">
        <v>12</v>
      </c>
      <c r="AC439" s="13">
        <f t="shared" ca="1" si="148"/>
        <v>0</v>
      </c>
      <c r="AD439" s="33"/>
      <c r="AE439" s="13">
        <f t="shared" ca="1" si="140"/>
        <v>0</v>
      </c>
      <c r="AF439" s="13">
        <f ca="1">ROUNDUP(($AC439+$AE439)*VLOOKUP($AA439,Paraméterek!$P$38:$Q$38,2)/12*IF($D440="Nem",IF($M$13=0,1,$M$13),1),IF($D$4="Forint",0,2))</f>
        <v>0</v>
      </c>
      <c r="AG439" s="13" t="e">
        <f ca="1">IF($D$2="Egyszeri",IF($D$7&gt;=IF($D$4="Forint",Paraméterek!$P$223,Paraméterek!$P$224),$D$7-IF($D$4="Forint",Paraméterek!$P$223,Paraméterek!$P$224),0),MIN(IF($AB439=12,AVERAGEIF($E$20:$E439,"&gt;0",$E$20:$E439)*12,0),SUM($E$20:$E$31)))</f>
        <v>#DIV/0!</v>
      </c>
      <c r="AH439" s="13">
        <f>IF($AA439=10,$AG439*IF($AB439=12,IF($AG439&lt;IF($D$4="Forint",Paraméterek!$L$223,Paraméterek!$L$224),0,VLOOKUP($AA439,Paraméterek!$K$226:$M$228,IF($AG439&lt;IF($D$4="Forint",Paraméterek!$M$223,Paraméterek!$M$224),2,3))),0),0)</f>
        <v>0</v>
      </c>
      <c r="AI439" s="13">
        <f ca="1">IF(AND($AA439=$M$11+1,$AB439=$M$12+1),SUMIF($AA$20:$AA$1027,$AA439,$AG$20:$AG$1027)*IF(SUMIF($AA$20:$AA$1027,$AA439,$AG$20:$AG$1027)&lt;IF($D$4="Forint",Paraméterek!$L$223,Paraméterek!$L$224),0,VLOOKUP($AA439,Paraméterek!$K$230:$M$250,IF(SUMIF($AA$20:$AA$1027,$AA439,$AG$20:$AG$1027)&lt;IF($D$4="Forint",Paraméterek!$M$223,Paraméterek!$M$224),2,3))),0)</f>
        <v>0</v>
      </c>
      <c r="AJ439" s="13" t="e">
        <f ca="1">IF(AND($AA439&gt;=5,MOD($AA439,5)=0),IF($AB439=12,VLOOKUP($AA439,Paraméterek!$O$225:$P$240,2),0),IF(OR($AA439=3,$AA439=4),IF($AB439=12,VLOOKUP($AA439,Paraméterek!$O$225:$P$240,2,0),0),0))*$AG439</f>
        <v>#DIV/0!</v>
      </c>
      <c r="AK439" s="13">
        <f t="shared" ca="1" si="141"/>
        <v>0</v>
      </c>
      <c r="AL439" s="13">
        <f t="shared" ca="1" si="149"/>
        <v>0</v>
      </c>
      <c r="AM439" s="13">
        <f t="shared" ca="1" si="150"/>
        <v>0</v>
      </c>
      <c r="AO439" s="32">
        <v>420</v>
      </c>
      <c r="AP439" s="32">
        <v>35</v>
      </c>
      <c r="AQ439" s="32">
        <v>12</v>
      </c>
      <c r="AR439" s="13"/>
      <c r="AS439" s="32"/>
      <c r="AT439" s="13">
        <f t="shared" ca="1" si="151"/>
        <v>0</v>
      </c>
      <c r="AU439" s="33"/>
      <c r="AV439" s="13">
        <f t="shared" ca="1" si="142"/>
        <v>0</v>
      </c>
      <c r="AW439" s="13">
        <f ca="1">ROUNDUP(($AT439+$AV439)*VLOOKUP($AP439,Paraméterek!$P$38:$Q$38,2)/12*IF($D440="Nem",IF($M$13=0,1,$M$13),1),IF($D$4="Forint",0,2))</f>
        <v>0</v>
      </c>
      <c r="AX439" s="13">
        <f>Tranzakciók!$M$66</f>
        <v>0</v>
      </c>
      <c r="AY439" s="13"/>
      <c r="AZ439" s="13">
        <f>ROUNDUP(IF(SUM($AX439:$AY439)=0,0,IF(IF(ISBLANK($AY439),$AX439,$AY439)*Paraméterek!$J$112&lt;IF($D$4="Forint",Paraméterek!$J$113,Paraméterek!$K$113),IF($D$4="Forint",Paraméterek!$J$113,Paraméterek!$K$113),IF(IF(ISBLANK($AY439),$AX439,$AY439)*Paraméterek!$J$112&gt;IF($D$4="Forint",Paraméterek!$J$114,Paraméterek!$K$114),IF($D$4="Forint",Paraméterek!$J$114,Paraméterek!$K$114),IF(ISBLANK($AY439),$AX439,$AY439)*Paraméterek!$J$112))),IF($D$4="Forint",0,2))</f>
        <v>0</v>
      </c>
      <c r="BA439" s="13">
        <f ca="1">$AT439+$AV439-$AW439-IF(ROUNDDOWN(IF(ISBLANK($AY439),$AX439,$AY439),IF($D$4="Forint",0,2))&gt;$AT439+$AV439-$AW439-IF($D$4="Forint",Paraméterek!$J$114,Paraméterek!$K$114),0,ROUNDDOWN(IF(ISBLANK($AY439),$AX439,$AY439),IF($D$4="Forint",0,2))-$AZ439)</f>
        <v>0</v>
      </c>
      <c r="BB439" s="13">
        <f t="shared" ca="1" si="143"/>
        <v>0</v>
      </c>
      <c r="BD439" s="32">
        <v>420</v>
      </c>
      <c r="BE439" s="32">
        <v>35</v>
      </c>
      <c r="BF439" s="32">
        <v>12</v>
      </c>
      <c r="BG439" s="34">
        <f t="shared" ca="1" si="152"/>
        <v>2054</v>
      </c>
      <c r="BH439" s="32" t="str">
        <f ca="1">IF(MOD(MONTH($D$14)+$BD439-1,12)=Paraméterek!$C$288,"Igen","")</f>
        <v/>
      </c>
      <c r="BI439" s="13">
        <f ca="1">IF($BH439="Igen",MIN(ROUNDDOWN((SUMIF($BG$20:$BG$1027,$BG439-1,$K$20:$K$1027)-SUMIF($BG$20:$BG$1027,$BG439-1,$I$20:$I$1027))*Paraméterek!$C$289,IF($D$4="Forint",0,2)),IF($D$4="Forint",Paraméterek!$C$285,Paraméterek!$D$285)),0)</f>
        <v>0</v>
      </c>
      <c r="BJ439" s="13">
        <f t="shared" ca="1" si="144"/>
        <v>0</v>
      </c>
      <c r="BK439" s="13">
        <f t="shared" ca="1" si="153"/>
        <v>0</v>
      </c>
      <c r="BL439" s="33"/>
      <c r="BM439" s="13">
        <f t="shared" ca="1" si="145"/>
        <v>0</v>
      </c>
      <c r="BN439" s="13">
        <f ca="1">ROUNDUP(($BK439+$BM439)*VLOOKUP($BE439,Paraméterek!$P$38:$Q$38,2)/12*IF($D440="Nem",IF($M$13=0,1,$M$13),1),IF($D$4="Forint",0,2))</f>
        <v>0</v>
      </c>
      <c r="BO439" s="13">
        <f t="shared" ca="1" si="146"/>
        <v>0</v>
      </c>
      <c r="BP439" s="13">
        <f ca="1">IF($D440="Nem",$BO439,$BO439-ROUNDUP(SUM($BI$20:$BI439)*120%,IF($D$4="Forint",0,2)))</f>
        <v>0</v>
      </c>
    </row>
    <row r="440" spans="1:68" x14ac:dyDescent="0.2">
      <c r="A440" s="32">
        <v>421</v>
      </c>
      <c r="B440" s="32">
        <v>36</v>
      </c>
      <c r="C440" s="32">
        <v>1</v>
      </c>
      <c r="D440" s="32" t="str">
        <f t="shared" ca="1" si="132"/>
        <v>Nem</v>
      </c>
      <c r="E440" s="13">
        <f t="shared" ca="1" si="133"/>
        <v>0</v>
      </c>
      <c r="F440" s="13"/>
      <c r="G440" s="13">
        <f>Tranzakciók!$D$67</f>
        <v>0</v>
      </c>
      <c r="H440" s="13"/>
      <c r="I440" s="13">
        <f t="shared" ca="1" si="134"/>
        <v>0</v>
      </c>
      <c r="J440" s="13">
        <f t="shared" ca="1" si="135"/>
        <v>0</v>
      </c>
      <c r="K440" s="13">
        <f t="shared" ca="1" si="136"/>
        <v>0</v>
      </c>
      <c r="L440" s="13" t="e">
        <f ca="1">ROUNDUP(IF($D$2="Egyszeri",$E440,IF($D$2="Havi",SUM($E$20:$E$31),IF(MOD($C440,$M$1)-1=0,SUM($E$20:$E$31),0))/12*$M$1)*VLOOKUP($B440,Paraméterek!$I$28:$P$31,IF($D$2="Egyszeri",8,HLOOKUP(ROUNDUP($M$11+$M$13,0),Paraméterek!$J$26:$O$27,2))),IF($D$4="Forint",0,2))</f>
        <v>#N/A</v>
      </c>
      <c r="M440" s="13">
        <f t="shared" ca="1" si="137"/>
        <v>0</v>
      </c>
      <c r="N440" s="13">
        <f t="shared" ca="1" si="147"/>
        <v>0</v>
      </c>
      <c r="O440" s="13">
        <f ca="1">IF($D440="Igen",IF($W439&gt;=IF($D$4="Forint",Paraméterek!$J$121,Paraméterek!$K$121),0,IF($D$4="Forint",Paraméterek!$J$121,Paraméterek!$K$121)-$W439),0)</f>
        <v>0</v>
      </c>
      <c r="P440" s="13" t="e">
        <f ca="1">ROUNDUP($O440*VLOOKUP($M$4+$B440-1,Paraméterek!$H$58:$I$105,2,0)/Paraméterek!$I$56,IF($D$4="Forint",0,2))</f>
        <v>#N/A</v>
      </c>
      <c r="Q440" s="13">
        <f t="shared" ca="1" si="138"/>
        <v>0</v>
      </c>
      <c r="R440" s="33"/>
      <c r="S440" s="13" t="e">
        <f t="shared" ca="1" si="139"/>
        <v>#N/A</v>
      </c>
      <c r="T440" s="13" t="e">
        <f ca="1">ROUNDUP(($N440-$P440-$Q440+$S440)*VLOOKUP($B440,Paraméterek!$I$38:$K$39,IF($D$2="Egyszeri",3,2))/12*IF($D441="Nem",IF($M$13=0,1,$M$13),1),IF($D$4="Forint",0,2))</f>
        <v>#N/A</v>
      </c>
      <c r="U440" s="13"/>
      <c r="V440" s="13"/>
      <c r="W440" s="13" t="e">
        <f ca="1">$N440-$P440-$Q440+$S440-$T440-IF(ROUNDUP(IF(ISBLANK($V440),$U440*0,$V440)/IF($D$2="Egyszeri",VLOOKUP($B440+IF($C440=12,1,0),Paraméterek!$V$257:$W$262,2),IF($B440=1,1,VLOOKUP($B440+IF($C440=12,1,0),Paraméterek!$I$258:$T$278,HLOOKUP($M$11+1,Paraméterek!$J$256:$T$257,2)))),IF($D$4="Forint",0,2))&gt;$N440-$P440-$Q440+$S440-$T440-IF($D$4="Forint",Paraméterek!$C$216,Paraméterek!$D$216),0,ROUNDUP(IF(ISBLANK($V440),$U440*0,$V440)/IF($D$2="Egyszeri",VLOOKUP($B440+IF($C440=12,1,0),Paraméterek!$V$257:$W$262,2),IF($B440=1,1,VLOOKUP($B440+IF($C440=12,1,0),Paraméterek!$I$258:$T$278,HLOOKUP($M$11+1,Paraméterek!$J$256:$T$257,2)))),IF($D$4="Forint",0,2)))</f>
        <v>#N/A</v>
      </c>
      <c r="X440" s="13" t="e">
        <f ca="1">ROUNDDOWN($W440*IF($D$2="Egyszeri",VLOOKUP($B440+IF($C440=12,1,0),Paraméterek!$V$257:$W$262,2),VLOOKUP($B440+IF($C440=12,1,0),Paraméterek!$I$258:$T$278,HLOOKUP($M$11+1,Paraméterek!$I$256:$T$257,2))),IF($D$4="Forint",0,2))</f>
        <v>#N/A</v>
      </c>
      <c r="Z440" s="32">
        <v>421</v>
      </c>
      <c r="AA440" s="32">
        <v>36</v>
      </c>
      <c r="AB440" s="32">
        <v>1</v>
      </c>
      <c r="AC440" s="13">
        <f t="shared" ca="1" si="148"/>
        <v>0</v>
      </c>
      <c r="AD440" s="33"/>
      <c r="AE440" s="13">
        <f t="shared" ca="1" si="140"/>
        <v>0</v>
      </c>
      <c r="AF440" s="13">
        <f ca="1">ROUNDUP(($AC440+$AE440)*VLOOKUP($AA440,Paraméterek!$P$38:$Q$38,2)/12*IF($D441="Nem",IF($M$13=0,1,$M$13),1),IF($D$4="Forint",0,2))</f>
        <v>0</v>
      </c>
      <c r="AG440" s="13">
        <f ca="1">IF($D$2="Egyszeri",IF($D$7&gt;=IF($D$4="Forint",Paraméterek!$P$223,Paraméterek!$P$224),$D$7-IF($D$4="Forint",Paraméterek!$P$223,Paraméterek!$P$224),0),MIN(IF($AB440=12,AVERAGEIF($E$20:$E440,"&gt;0",$E$20:$E440)*12,0),SUM($E$20:$E$31)))</f>
        <v>0</v>
      </c>
      <c r="AH440" s="13">
        <f>IF($AA440=10,$AG440*IF($AB440=12,IF($AG440&lt;IF($D$4="Forint",Paraméterek!$L$223,Paraméterek!$L$224),0,VLOOKUP($AA440,Paraméterek!$K$226:$M$228,IF($AG440&lt;IF($D$4="Forint",Paraméterek!$M$223,Paraméterek!$M$224),2,3))),0),0)</f>
        <v>0</v>
      </c>
      <c r="AI440" s="13">
        <f ca="1">IF(AND($AA440=$M$11+1,$AB440=$M$12+1),SUMIF($AA$20:$AA$1027,$AA440,$AG$20:$AG$1027)*IF(SUMIF($AA$20:$AA$1027,$AA440,$AG$20:$AG$1027)&lt;IF($D$4="Forint",Paraméterek!$L$223,Paraméterek!$L$224),0,VLOOKUP($AA440,Paraméterek!$K$230:$M$250,IF(SUMIF($AA$20:$AA$1027,$AA440,$AG$20:$AG$1027)&lt;IF($D$4="Forint",Paraméterek!$M$223,Paraméterek!$M$224),2,3))),0)</f>
        <v>0</v>
      </c>
      <c r="AJ440" s="13">
        <f ca="1">IF(AND($AA440&gt;=5,MOD($AA440,5)=0),IF($AB440=12,VLOOKUP($AA440,Paraméterek!$O$225:$P$240,2),0),IF(OR($AA440=3,$AA440=4),IF($AB440=12,VLOOKUP($AA440,Paraméterek!$O$225:$P$240,2,0),0),0))*$AG440</f>
        <v>0</v>
      </c>
      <c r="AK440" s="13">
        <f t="shared" ca="1" si="141"/>
        <v>0</v>
      </c>
      <c r="AL440" s="13">
        <f t="shared" ca="1" si="149"/>
        <v>0</v>
      </c>
      <c r="AM440" s="13">
        <f t="shared" ca="1" si="150"/>
        <v>0</v>
      </c>
      <c r="AO440" s="32">
        <v>421</v>
      </c>
      <c r="AP440" s="32">
        <v>36</v>
      </c>
      <c r="AQ440" s="32">
        <v>1</v>
      </c>
      <c r="AR440" s="13">
        <f>Tranzakciók!$K$67</f>
        <v>0</v>
      </c>
      <c r="AS440" s="32"/>
      <c r="AT440" s="13">
        <f t="shared" ca="1" si="151"/>
        <v>0</v>
      </c>
      <c r="AU440" s="33"/>
      <c r="AV440" s="13">
        <f t="shared" ca="1" si="142"/>
        <v>0</v>
      </c>
      <c r="AW440" s="13">
        <f ca="1">ROUNDUP(($AT440+$AV440)*VLOOKUP($AP440,Paraméterek!$P$38:$Q$38,2)/12*IF($D441="Nem",IF($M$13=0,1,$M$13),1),IF($D$4="Forint",0,2))</f>
        <v>0</v>
      </c>
      <c r="AX440" s="13"/>
      <c r="AY440" s="13"/>
      <c r="AZ440" s="13">
        <f>ROUNDUP(IF(SUM($AX440:$AY440)=0,0,IF(IF(ISBLANK($AY440),$AX440,$AY440)*Paraméterek!$J$112&lt;IF($D$4="Forint",Paraméterek!$J$113,Paraméterek!$K$113),IF($D$4="Forint",Paraméterek!$J$113,Paraméterek!$K$113),IF(IF(ISBLANK($AY440),$AX440,$AY440)*Paraméterek!$J$112&gt;IF($D$4="Forint",Paraméterek!$J$114,Paraméterek!$K$114),IF($D$4="Forint",Paraméterek!$J$114,Paraméterek!$K$114),IF(ISBLANK($AY440),$AX440,$AY440)*Paraméterek!$J$112))),IF($D$4="Forint",0,2))</f>
        <v>0</v>
      </c>
      <c r="BA440" s="13">
        <f ca="1">$AT440+$AV440-$AW440-IF(ROUNDDOWN(IF(ISBLANK($AY440),$AX440,$AY440),IF($D$4="Forint",0,2))&gt;$AT440+$AV440-$AW440-IF($D$4="Forint",Paraméterek!$J$114,Paraméterek!$K$114),0,ROUNDDOWN(IF(ISBLANK($AY440),$AX440,$AY440),IF($D$4="Forint",0,2))-$AZ440)</f>
        <v>0</v>
      </c>
      <c r="BB440" s="13">
        <f t="shared" ca="1" si="143"/>
        <v>0</v>
      </c>
      <c r="BD440" s="32">
        <v>421</v>
      </c>
      <c r="BE440" s="32">
        <v>36</v>
      </c>
      <c r="BF440" s="32">
        <v>1</v>
      </c>
      <c r="BG440" s="34">
        <f t="shared" ca="1" si="152"/>
        <v>2054</v>
      </c>
      <c r="BH440" s="32" t="str">
        <f ca="1">IF(MOD(MONTH($D$14)+$BD440-1,12)=Paraméterek!$C$288,"Igen","")</f>
        <v/>
      </c>
      <c r="BI440" s="13">
        <f ca="1">IF($BH440="Igen",MIN(ROUNDDOWN((SUMIF($BG$20:$BG$1027,$BG440-1,$K$20:$K$1027)-SUMIF($BG$20:$BG$1027,$BG440-1,$I$20:$I$1027))*Paraméterek!$C$289,IF($D$4="Forint",0,2)),IF($D$4="Forint",Paraméterek!$C$285,Paraméterek!$D$285)),0)</f>
        <v>0</v>
      </c>
      <c r="BJ440" s="13">
        <f t="shared" ca="1" si="144"/>
        <v>0</v>
      </c>
      <c r="BK440" s="13">
        <f t="shared" ca="1" si="153"/>
        <v>0</v>
      </c>
      <c r="BL440" s="33"/>
      <c r="BM440" s="13">
        <f t="shared" ca="1" si="145"/>
        <v>0</v>
      </c>
      <c r="BN440" s="13">
        <f ca="1">ROUNDUP(($BK440+$BM440)*VLOOKUP($BE440,Paraméterek!$P$38:$Q$38,2)/12*IF($D441="Nem",IF($M$13=0,1,$M$13),1),IF($D$4="Forint",0,2))</f>
        <v>0</v>
      </c>
      <c r="BO440" s="13">
        <f t="shared" ca="1" si="146"/>
        <v>0</v>
      </c>
      <c r="BP440" s="13">
        <f ca="1">IF($D441="Nem",$BO440,$BO440-ROUNDUP(SUM($BI$20:$BI440)*120%,IF($D$4="Forint",0,2)))</f>
        <v>0</v>
      </c>
    </row>
    <row r="441" spans="1:68" x14ac:dyDescent="0.2">
      <c r="A441" s="32">
        <v>422</v>
      </c>
      <c r="B441" s="32">
        <v>36</v>
      </c>
      <c r="C441" s="32">
        <v>2</v>
      </c>
      <c r="D441" s="32" t="str">
        <f t="shared" ca="1" si="132"/>
        <v>Nem</v>
      </c>
      <c r="E441" s="13">
        <f t="shared" ca="1" si="133"/>
        <v>0</v>
      </c>
      <c r="F441" s="13"/>
      <c r="G441" s="13"/>
      <c r="H441" s="13"/>
      <c r="I441" s="13">
        <f t="shared" ca="1" si="134"/>
        <v>0</v>
      </c>
      <c r="J441" s="13">
        <f t="shared" ca="1" si="135"/>
        <v>0</v>
      </c>
      <c r="K441" s="13">
        <f t="shared" ca="1" si="136"/>
        <v>0</v>
      </c>
      <c r="L441" s="13" t="e">
        <f ca="1">ROUNDUP(IF($D$2="Egyszeri",$E441,IF($D$2="Havi",SUM($E$20:$E$31),IF(MOD($C441,$M$1)-1=0,SUM($E$20:$E$31),0))/12*$M$1)*VLOOKUP($B441,Paraméterek!$I$28:$P$31,IF($D$2="Egyszeri",8,HLOOKUP(ROUNDUP($M$11+$M$13,0),Paraméterek!$J$26:$O$27,2))),IF($D$4="Forint",0,2))</f>
        <v>#N/A</v>
      </c>
      <c r="M441" s="13">
        <f t="shared" ca="1" si="137"/>
        <v>0</v>
      </c>
      <c r="N441" s="13">
        <f t="shared" ca="1" si="147"/>
        <v>0</v>
      </c>
      <c r="O441" s="13">
        <f ca="1">IF($D441="Igen",IF($W440&gt;=IF($D$4="Forint",Paraméterek!$J$121,Paraméterek!$K$121),0,IF($D$4="Forint",Paraméterek!$J$121,Paraméterek!$K$121)-$W440),0)</f>
        <v>0</v>
      </c>
      <c r="P441" s="13" t="e">
        <f ca="1">ROUNDUP($O441*VLOOKUP($M$4+$B441-1,Paraméterek!$H$58:$I$105,2,0)/Paraméterek!$I$56,IF($D$4="Forint",0,2))</f>
        <v>#N/A</v>
      </c>
      <c r="Q441" s="13">
        <f t="shared" ca="1" si="138"/>
        <v>0</v>
      </c>
      <c r="R441" s="33"/>
      <c r="S441" s="13" t="e">
        <f t="shared" ca="1" si="139"/>
        <v>#N/A</v>
      </c>
      <c r="T441" s="13" t="e">
        <f ca="1">ROUNDUP(($N441-$P441-$Q441+$S441)*VLOOKUP($B441,Paraméterek!$I$38:$K$39,IF($D$2="Egyszeri",3,2))/12*IF($D442="Nem",IF($M$13=0,1,$M$13),1),IF($D$4="Forint",0,2))</f>
        <v>#N/A</v>
      </c>
      <c r="U441" s="13"/>
      <c r="V441" s="13"/>
      <c r="W441" s="13" t="e">
        <f ca="1">$N441-$P441-$Q441+$S441-$T441-IF(ROUNDUP(IF(ISBLANK($V441),$U441*0,$V441)/IF($D$2="Egyszeri",VLOOKUP($B441+IF($C441=12,1,0),Paraméterek!$V$257:$W$262,2),IF($B441=1,1,VLOOKUP($B441+IF($C441=12,1,0),Paraméterek!$I$258:$T$278,HLOOKUP($M$11+1,Paraméterek!$J$256:$T$257,2)))),IF($D$4="Forint",0,2))&gt;$N441-$P441-$Q441+$S441-$T441-IF($D$4="Forint",Paraméterek!$C$216,Paraméterek!$D$216),0,ROUNDUP(IF(ISBLANK($V441),$U441*0,$V441)/IF($D$2="Egyszeri",VLOOKUP($B441+IF($C441=12,1,0),Paraméterek!$V$257:$W$262,2),IF($B441=1,1,VLOOKUP($B441+IF($C441=12,1,0),Paraméterek!$I$258:$T$278,HLOOKUP($M$11+1,Paraméterek!$J$256:$T$257,2)))),IF($D$4="Forint",0,2)))</f>
        <v>#N/A</v>
      </c>
      <c r="X441" s="13" t="e">
        <f ca="1">ROUNDDOWN($W441*IF($D$2="Egyszeri",VLOOKUP($B441+IF($C441=12,1,0),Paraméterek!$V$257:$W$262,2),VLOOKUP($B441+IF($C441=12,1,0),Paraméterek!$I$258:$T$278,HLOOKUP($M$11+1,Paraméterek!$I$256:$T$257,2))),IF($D$4="Forint",0,2))</f>
        <v>#N/A</v>
      </c>
      <c r="Z441" s="32">
        <v>422</v>
      </c>
      <c r="AA441" s="32">
        <v>36</v>
      </c>
      <c r="AB441" s="32">
        <v>2</v>
      </c>
      <c r="AC441" s="13">
        <f t="shared" ca="1" si="148"/>
        <v>0</v>
      </c>
      <c r="AD441" s="33"/>
      <c r="AE441" s="13">
        <f t="shared" ca="1" si="140"/>
        <v>0</v>
      </c>
      <c r="AF441" s="13">
        <f ca="1">ROUNDUP(($AC441+$AE441)*VLOOKUP($AA441,Paraméterek!$P$38:$Q$38,2)/12*IF($D442="Nem",IF($M$13=0,1,$M$13),1),IF($D$4="Forint",0,2))</f>
        <v>0</v>
      </c>
      <c r="AG441" s="13">
        <f ca="1">IF($D$2="Egyszeri",IF($D$7&gt;=IF($D$4="Forint",Paraméterek!$P$223,Paraméterek!$P$224),$D$7-IF($D$4="Forint",Paraméterek!$P$223,Paraméterek!$P$224),0),MIN(IF($AB441=12,AVERAGEIF($E$20:$E441,"&gt;0",$E$20:$E441)*12,0),SUM($E$20:$E$31)))</f>
        <v>0</v>
      </c>
      <c r="AH441" s="13">
        <f>IF($AA441=10,$AG441*IF($AB441=12,IF($AG441&lt;IF($D$4="Forint",Paraméterek!$L$223,Paraméterek!$L$224),0,VLOOKUP($AA441,Paraméterek!$K$226:$M$228,IF($AG441&lt;IF($D$4="Forint",Paraméterek!$M$223,Paraméterek!$M$224),2,3))),0),0)</f>
        <v>0</v>
      </c>
      <c r="AI441" s="13">
        <f ca="1">IF(AND($AA441=$M$11+1,$AB441=$M$12+1),SUMIF($AA$20:$AA$1027,$AA441,$AG$20:$AG$1027)*IF(SUMIF($AA$20:$AA$1027,$AA441,$AG$20:$AG$1027)&lt;IF($D$4="Forint",Paraméterek!$L$223,Paraméterek!$L$224),0,VLOOKUP($AA441,Paraméterek!$K$230:$M$250,IF(SUMIF($AA$20:$AA$1027,$AA441,$AG$20:$AG$1027)&lt;IF($D$4="Forint",Paraméterek!$M$223,Paraméterek!$M$224),2,3))),0)</f>
        <v>0</v>
      </c>
      <c r="AJ441" s="13">
        <f ca="1">IF(AND($AA441&gt;=5,MOD($AA441,5)=0),IF($AB441=12,VLOOKUP($AA441,Paraméterek!$O$225:$P$240,2),0),IF(OR($AA441=3,$AA441=4),IF($AB441=12,VLOOKUP($AA441,Paraméterek!$O$225:$P$240,2,0),0),0))*$AG441</f>
        <v>0</v>
      </c>
      <c r="AK441" s="13">
        <f t="shared" ca="1" si="141"/>
        <v>0</v>
      </c>
      <c r="AL441" s="13">
        <f t="shared" ca="1" si="149"/>
        <v>0</v>
      </c>
      <c r="AM441" s="13">
        <f t="shared" ca="1" si="150"/>
        <v>0</v>
      </c>
      <c r="AO441" s="32">
        <v>422</v>
      </c>
      <c r="AP441" s="32">
        <v>36</v>
      </c>
      <c r="AQ441" s="32">
        <v>2</v>
      </c>
      <c r="AR441" s="13"/>
      <c r="AS441" s="32"/>
      <c r="AT441" s="13">
        <f t="shared" ca="1" si="151"/>
        <v>0</v>
      </c>
      <c r="AU441" s="33"/>
      <c r="AV441" s="13">
        <f t="shared" ca="1" si="142"/>
        <v>0</v>
      </c>
      <c r="AW441" s="13">
        <f ca="1">ROUNDUP(($AT441+$AV441)*VLOOKUP($AP441,Paraméterek!$P$38:$Q$38,2)/12*IF($D442="Nem",IF($M$13=0,1,$M$13),1),IF($D$4="Forint",0,2))</f>
        <v>0</v>
      </c>
      <c r="AX441" s="13"/>
      <c r="AY441" s="13"/>
      <c r="AZ441" s="13">
        <f>ROUNDUP(IF(SUM($AX441:$AY441)=0,0,IF(IF(ISBLANK($AY441),$AX441,$AY441)*Paraméterek!$J$112&lt;IF($D$4="Forint",Paraméterek!$J$113,Paraméterek!$K$113),IF($D$4="Forint",Paraméterek!$J$113,Paraméterek!$K$113),IF(IF(ISBLANK($AY441),$AX441,$AY441)*Paraméterek!$J$112&gt;IF($D$4="Forint",Paraméterek!$J$114,Paraméterek!$K$114),IF($D$4="Forint",Paraméterek!$J$114,Paraméterek!$K$114),IF(ISBLANK($AY441),$AX441,$AY441)*Paraméterek!$J$112))),IF($D$4="Forint",0,2))</f>
        <v>0</v>
      </c>
      <c r="BA441" s="13">
        <f ca="1">$AT441+$AV441-$AW441-IF(ROUNDDOWN(IF(ISBLANK($AY441),$AX441,$AY441),IF($D$4="Forint",0,2))&gt;$AT441+$AV441-$AW441-IF($D$4="Forint",Paraméterek!$J$114,Paraméterek!$K$114),0,ROUNDDOWN(IF(ISBLANK($AY441),$AX441,$AY441),IF($D$4="Forint",0,2))-$AZ441)</f>
        <v>0</v>
      </c>
      <c r="BB441" s="13">
        <f t="shared" ca="1" si="143"/>
        <v>0</v>
      </c>
      <c r="BD441" s="32">
        <v>422</v>
      </c>
      <c r="BE441" s="32">
        <v>36</v>
      </c>
      <c r="BF441" s="32">
        <v>2</v>
      </c>
      <c r="BG441" s="34">
        <f t="shared" ca="1" si="152"/>
        <v>2054</v>
      </c>
      <c r="BH441" s="32" t="str">
        <f ca="1">IF(MOD(MONTH($D$14)+$BD441-1,12)=Paraméterek!$C$288,"Igen","")</f>
        <v>Igen</v>
      </c>
      <c r="BI441" s="13">
        <f ca="1">IF($BH441="Igen",MIN(ROUNDDOWN((SUMIF($BG$20:$BG$1027,$BG441-1,$K$20:$K$1027)-SUMIF($BG$20:$BG$1027,$BG441-1,$I$20:$I$1027))*Paraméterek!$C$289,IF($D$4="Forint",0,2)),IF($D$4="Forint",Paraméterek!$C$285,Paraméterek!$D$285)),0)</f>
        <v>0</v>
      </c>
      <c r="BJ441" s="13">
        <f t="shared" ca="1" si="144"/>
        <v>0</v>
      </c>
      <c r="BK441" s="13">
        <f t="shared" ca="1" si="153"/>
        <v>0</v>
      </c>
      <c r="BL441" s="33"/>
      <c r="BM441" s="13">
        <f t="shared" ca="1" si="145"/>
        <v>0</v>
      </c>
      <c r="BN441" s="13">
        <f ca="1">ROUNDUP(($BK441+$BM441)*VLOOKUP($BE441,Paraméterek!$P$38:$Q$38,2)/12*IF($D442="Nem",IF($M$13=0,1,$M$13),1),IF($D$4="Forint",0,2))</f>
        <v>0</v>
      </c>
      <c r="BO441" s="13">
        <f t="shared" ca="1" si="146"/>
        <v>0</v>
      </c>
      <c r="BP441" s="13">
        <f ca="1">IF($D442="Nem",$BO441,$BO441-ROUNDUP(SUM($BI$20:$BI441)*120%,IF($D$4="Forint",0,2)))</f>
        <v>0</v>
      </c>
    </row>
    <row r="442" spans="1:68" x14ac:dyDescent="0.2">
      <c r="A442" s="32">
        <v>423</v>
      </c>
      <c r="B442" s="32">
        <v>36</v>
      </c>
      <c r="C442" s="32">
        <v>3</v>
      </c>
      <c r="D442" s="32" t="str">
        <f t="shared" ca="1" si="132"/>
        <v>Nem</v>
      </c>
      <c r="E442" s="13">
        <f t="shared" ca="1" si="133"/>
        <v>0</v>
      </c>
      <c r="F442" s="13"/>
      <c r="G442" s="13"/>
      <c r="H442" s="13"/>
      <c r="I442" s="13">
        <f t="shared" ca="1" si="134"/>
        <v>0</v>
      </c>
      <c r="J442" s="13">
        <f t="shared" ca="1" si="135"/>
        <v>0</v>
      </c>
      <c r="K442" s="13">
        <f t="shared" ca="1" si="136"/>
        <v>0</v>
      </c>
      <c r="L442" s="13" t="e">
        <f ca="1">ROUNDUP(IF($D$2="Egyszeri",$E442,IF($D$2="Havi",SUM($E$20:$E$31),IF(MOD($C442,$M$1)-1=0,SUM($E$20:$E$31),0))/12*$M$1)*VLOOKUP($B442,Paraméterek!$I$28:$P$31,IF($D$2="Egyszeri",8,HLOOKUP(ROUNDUP($M$11+$M$13,0),Paraméterek!$J$26:$O$27,2))),IF($D$4="Forint",0,2))</f>
        <v>#N/A</v>
      </c>
      <c r="M442" s="13">
        <f t="shared" ca="1" si="137"/>
        <v>0</v>
      </c>
      <c r="N442" s="13">
        <f t="shared" ca="1" si="147"/>
        <v>0</v>
      </c>
      <c r="O442" s="13">
        <f ca="1">IF($D442="Igen",IF($W441&gt;=IF($D$4="Forint",Paraméterek!$J$121,Paraméterek!$K$121),0,IF($D$4="Forint",Paraméterek!$J$121,Paraméterek!$K$121)-$W441),0)</f>
        <v>0</v>
      </c>
      <c r="P442" s="13" t="e">
        <f ca="1">ROUNDUP($O442*VLOOKUP($M$4+$B442-1,Paraméterek!$H$58:$I$105,2,0)/Paraméterek!$I$56,IF($D$4="Forint",0,2))</f>
        <v>#N/A</v>
      </c>
      <c r="Q442" s="13">
        <f t="shared" ca="1" si="138"/>
        <v>0</v>
      </c>
      <c r="R442" s="33"/>
      <c r="S442" s="13" t="e">
        <f t="shared" ca="1" si="139"/>
        <v>#N/A</v>
      </c>
      <c r="T442" s="13" t="e">
        <f ca="1">ROUNDUP(($N442-$P442-$Q442+$S442)*VLOOKUP($B442,Paraméterek!$I$38:$K$39,IF($D$2="Egyszeri",3,2))/12*IF($D443="Nem",IF($M$13=0,1,$M$13),1),IF($D$4="Forint",0,2))</f>
        <v>#N/A</v>
      </c>
      <c r="U442" s="13"/>
      <c r="V442" s="13"/>
      <c r="W442" s="13" t="e">
        <f ca="1">$N442-$P442-$Q442+$S442-$T442-IF(ROUNDUP(IF(ISBLANK($V442),$U442*0,$V442)/IF($D$2="Egyszeri",VLOOKUP($B442+IF($C442=12,1,0),Paraméterek!$V$257:$W$262,2),IF($B442=1,1,VLOOKUP($B442+IF($C442=12,1,0),Paraméterek!$I$258:$T$278,HLOOKUP($M$11+1,Paraméterek!$J$256:$T$257,2)))),IF($D$4="Forint",0,2))&gt;$N442-$P442-$Q442+$S442-$T442-IF($D$4="Forint",Paraméterek!$C$216,Paraméterek!$D$216),0,ROUNDUP(IF(ISBLANK($V442),$U442*0,$V442)/IF($D$2="Egyszeri",VLOOKUP($B442+IF($C442=12,1,0),Paraméterek!$V$257:$W$262,2),IF($B442=1,1,VLOOKUP($B442+IF($C442=12,1,0),Paraméterek!$I$258:$T$278,HLOOKUP($M$11+1,Paraméterek!$J$256:$T$257,2)))),IF($D$4="Forint",0,2)))</f>
        <v>#N/A</v>
      </c>
      <c r="X442" s="13" t="e">
        <f ca="1">ROUNDDOWN($W442*IF($D$2="Egyszeri",VLOOKUP($B442+IF($C442=12,1,0),Paraméterek!$V$257:$W$262,2),VLOOKUP($B442+IF($C442=12,1,0),Paraméterek!$I$258:$T$278,HLOOKUP($M$11+1,Paraméterek!$I$256:$T$257,2))),IF($D$4="Forint",0,2))</f>
        <v>#N/A</v>
      </c>
      <c r="Z442" s="32">
        <v>423</v>
      </c>
      <c r="AA442" s="32">
        <v>36</v>
      </c>
      <c r="AB442" s="32">
        <v>3</v>
      </c>
      <c r="AC442" s="13">
        <f t="shared" ca="1" si="148"/>
        <v>0</v>
      </c>
      <c r="AD442" s="33"/>
      <c r="AE442" s="13">
        <f t="shared" ca="1" si="140"/>
        <v>0</v>
      </c>
      <c r="AF442" s="13">
        <f ca="1">ROUNDUP(($AC442+$AE442)*VLOOKUP($AA442,Paraméterek!$P$38:$Q$38,2)/12*IF($D443="Nem",IF($M$13=0,1,$M$13),1),IF($D$4="Forint",0,2))</f>
        <v>0</v>
      </c>
      <c r="AG442" s="13">
        <f ca="1">IF($D$2="Egyszeri",IF($D$7&gt;=IF($D$4="Forint",Paraméterek!$P$223,Paraméterek!$P$224),$D$7-IF($D$4="Forint",Paraméterek!$P$223,Paraméterek!$P$224),0),MIN(IF($AB442=12,AVERAGEIF($E$20:$E442,"&gt;0",$E$20:$E442)*12,0),SUM($E$20:$E$31)))</f>
        <v>0</v>
      </c>
      <c r="AH442" s="13">
        <f>IF($AA442=10,$AG442*IF($AB442=12,IF($AG442&lt;IF($D$4="Forint",Paraméterek!$L$223,Paraméterek!$L$224),0,VLOOKUP($AA442,Paraméterek!$K$226:$M$228,IF($AG442&lt;IF($D$4="Forint",Paraméterek!$M$223,Paraméterek!$M$224),2,3))),0),0)</f>
        <v>0</v>
      </c>
      <c r="AI442" s="13">
        <f ca="1">IF(AND($AA442=$M$11+1,$AB442=$M$12+1),SUMIF($AA$20:$AA$1027,$AA442,$AG$20:$AG$1027)*IF(SUMIF($AA$20:$AA$1027,$AA442,$AG$20:$AG$1027)&lt;IF($D$4="Forint",Paraméterek!$L$223,Paraméterek!$L$224),0,VLOOKUP($AA442,Paraméterek!$K$230:$M$250,IF(SUMIF($AA$20:$AA$1027,$AA442,$AG$20:$AG$1027)&lt;IF($D$4="Forint",Paraméterek!$M$223,Paraméterek!$M$224),2,3))),0)</f>
        <v>0</v>
      </c>
      <c r="AJ442" s="13">
        <f ca="1">IF(AND($AA442&gt;=5,MOD($AA442,5)=0),IF($AB442=12,VLOOKUP($AA442,Paraméterek!$O$225:$P$240,2),0),IF(OR($AA442=3,$AA442=4),IF($AB442=12,VLOOKUP($AA442,Paraméterek!$O$225:$P$240,2,0),0),0))*$AG442</f>
        <v>0</v>
      </c>
      <c r="AK442" s="13">
        <f t="shared" ca="1" si="141"/>
        <v>0</v>
      </c>
      <c r="AL442" s="13">
        <f t="shared" ca="1" si="149"/>
        <v>0</v>
      </c>
      <c r="AM442" s="13">
        <f t="shared" ca="1" si="150"/>
        <v>0</v>
      </c>
      <c r="AO442" s="32">
        <v>423</v>
      </c>
      <c r="AP442" s="32">
        <v>36</v>
      </c>
      <c r="AQ442" s="32">
        <v>3</v>
      </c>
      <c r="AR442" s="13"/>
      <c r="AS442" s="32"/>
      <c r="AT442" s="13">
        <f t="shared" ca="1" si="151"/>
        <v>0</v>
      </c>
      <c r="AU442" s="33"/>
      <c r="AV442" s="13">
        <f t="shared" ca="1" si="142"/>
        <v>0</v>
      </c>
      <c r="AW442" s="13">
        <f ca="1">ROUNDUP(($AT442+$AV442)*VLOOKUP($AP442,Paraméterek!$P$38:$Q$38,2)/12*IF($D443="Nem",IF($M$13=0,1,$M$13),1),IF($D$4="Forint",0,2))</f>
        <v>0</v>
      </c>
      <c r="AX442" s="13"/>
      <c r="AY442" s="13"/>
      <c r="AZ442" s="13">
        <f>ROUNDUP(IF(SUM($AX442:$AY442)=0,0,IF(IF(ISBLANK($AY442),$AX442,$AY442)*Paraméterek!$J$112&lt;IF($D$4="Forint",Paraméterek!$J$113,Paraméterek!$K$113),IF($D$4="Forint",Paraméterek!$J$113,Paraméterek!$K$113),IF(IF(ISBLANK($AY442),$AX442,$AY442)*Paraméterek!$J$112&gt;IF($D$4="Forint",Paraméterek!$J$114,Paraméterek!$K$114),IF($D$4="Forint",Paraméterek!$J$114,Paraméterek!$K$114),IF(ISBLANK($AY442),$AX442,$AY442)*Paraméterek!$J$112))),IF($D$4="Forint",0,2))</f>
        <v>0</v>
      </c>
      <c r="BA442" s="13">
        <f ca="1">$AT442+$AV442-$AW442-IF(ROUNDDOWN(IF(ISBLANK($AY442),$AX442,$AY442),IF($D$4="Forint",0,2))&gt;$AT442+$AV442-$AW442-IF($D$4="Forint",Paraméterek!$J$114,Paraméterek!$K$114),0,ROUNDDOWN(IF(ISBLANK($AY442),$AX442,$AY442),IF($D$4="Forint",0,2))-$AZ442)</f>
        <v>0</v>
      </c>
      <c r="BB442" s="13">
        <f t="shared" ca="1" si="143"/>
        <v>0</v>
      </c>
      <c r="BD442" s="32">
        <v>423</v>
      </c>
      <c r="BE442" s="32">
        <v>36</v>
      </c>
      <c r="BF442" s="32">
        <v>3</v>
      </c>
      <c r="BG442" s="34">
        <f t="shared" ca="1" si="152"/>
        <v>2054</v>
      </c>
      <c r="BH442" s="32" t="str">
        <f ca="1">IF(MOD(MONTH($D$14)+$BD442-1,12)=Paraméterek!$C$288,"Igen","")</f>
        <v/>
      </c>
      <c r="BI442" s="13">
        <f ca="1">IF($BH442="Igen",MIN(ROUNDDOWN((SUMIF($BG$20:$BG$1027,$BG442-1,$K$20:$K$1027)-SUMIF($BG$20:$BG$1027,$BG442-1,$I$20:$I$1027))*Paraméterek!$C$289,IF($D$4="Forint",0,2)),IF($D$4="Forint",Paraméterek!$C$285,Paraméterek!$D$285)),0)</f>
        <v>0</v>
      </c>
      <c r="BJ442" s="13">
        <f t="shared" ca="1" si="144"/>
        <v>0</v>
      </c>
      <c r="BK442" s="13">
        <f t="shared" ca="1" si="153"/>
        <v>0</v>
      </c>
      <c r="BL442" s="33"/>
      <c r="BM442" s="13">
        <f t="shared" ca="1" si="145"/>
        <v>0</v>
      </c>
      <c r="BN442" s="13">
        <f ca="1">ROUNDUP(($BK442+$BM442)*VLOOKUP($BE442,Paraméterek!$P$38:$Q$38,2)/12*IF($D443="Nem",IF($M$13=0,1,$M$13),1),IF($D$4="Forint",0,2))</f>
        <v>0</v>
      </c>
      <c r="BO442" s="13">
        <f t="shared" ca="1" si="146"/>
        <v>0</v>
      </c>
      <c r="BP442" s="13">
        <f ca="1">IF($D443="Nem",$BO442,$BO442-ROUNDUP(SUM($BI$20:$BI442)*120%,IF($D$4="Forint",0,2)))</f>
        <v>0</v>
      </c>
    </row>
    <row r="443" spans="1:68" x14ac:dyDescent="0.2">
      <c r="A443" s="32">
        <v>424</v>
      </c>
      <c r="B443" s="32">
        <v>36</v>
      </c>
      <c r="C443" s="32">
        <v>4</v>
      </c>
      <c r="D443" s="32" t="str">
        <f t="shared" ca="1" si="132"/>
        <v>Nem</v>
      </c>
      <c r="E443" s="13">
        <f t="shared" ca="1" si="133"/>
        <v>0</v>
      </c>
      <c r="F443" s="13"/>
      <c r="G443" s="13"/>
      <c r="H443" s="13"/>
      <c r="I443" s="13">
        <f t="shared" ca="1" si="134"/>
        <v>0</v>
      </c>
      <c r="J443" s="13">
        <f t="shared" ca="1" si="135"/>
        <v>0</v>
      </c>
      <c r="K443" s="13">
        <f t="shared" ca="1" si="136"/>
        <v>0</v>
      </c>
      <c r="L443" s="13" t="e">
        <f ca="1">ROUNDUP(IF($D$2="Egyszeri",$E443,IF($D$2="Havi",SUM($E$20:$E$31),IF(MOD($C443,$M$1)-1=0,SUM($E$20:$E$31),0))/12*$M$1)*VLOOKUP($B443,Paraméterek!$I$28:$P$31,IF($D$2="Egyszeri",8,HLOOKUP(ROUNDUP($M$11+$M$13,0),Paraméterek!$J$26:$O$27,2))),IF($D$4="Forint",0,2))</f>
        <v>#N/A</v>
      </c>
      <c r="M443" s="13">
        <f t="shared" ca="1" si="137"/>
        <v>0</v>
      </c>
      <c r="N443" s="13">
        <f t="shared" ca="1" si="147"/>
        <v>0</v>
      </c>
      <c r="O443" s="13">
        <f ca="1">IF($D443="Igen",IF($W442&gt;=IF($D$4="Forint",Paraméterek!$J$121,Paraméterek!$K$121),0,IF($D$4="Forint",Paraméterek!$J$121,Paraméterek!$K$121)-$W442),0)</f>
        <v>0</v>
      </c>
      <c r="P443" s="13" t="e">
        <f ca="1">ROUNDUP($O443*VLOOKUP($M$4+$B443-1,Paraméterek!$H$58:$I$105,2,0)/Paraméterek!$I$56,IF($D$4="Forint",0,2))</f>
        <v>#N/A</v>
      </c>
      <c r="Q443" s="13">
        <f t="shared" ca="1" si="138"/>
        <v>0</v>
      </c>
      <c r="R443" s="33"/>
      <c r="S443" s="13" t="e">
        <f t="shared" ca="1" si="139"/>
        <v>#N/A</v>
      </c>
      <c r="T443" s="13" t="e">
        <f ca="1">ROUNDUP(($N443-$P443-$Q443+$S443)*VLOOKUP($B443,Paraméterek!$I$38:$K$39,IF($D$2="Egyszeri",3,2))/12*IF($D444="Nem",IF($M$13=0,1,$M$13),1),IF($D$4="Forint",0,2))</f>
        <v>#N/A</v>
      </c>
      <c r="U443" s="13"/>
      <c r="V443" s="13"/>
      <c r="W443" s="13" t="e">
        <f ca="1">$N443-$P443-$Q443+$S443-$T443-IF(ROUNDUP(IF(ISBLANK($V443),$U443*0,$V443)/IF($D$2="Egyszeri",VLOOKUP($B443+IF($C443=12,1,0),Paraméterek!$V$257:$W$262,2),IF($B443=1,1,VLOOKUP($B443+IF($C443=12,1,0),Paraméterek!$I$258:$T$278,HLOOKUP($M$11+1,Paraméterek!$J$256:$T$257,2)))),IF($D$4="Forint",0,2))&gt;$N443-$P443-$Q443+$S443-$T443-IF($D$4="Forint",Paraméterek!$C$216,Paraméterek!$D$216),0,ROUNDUP(IF(ISBLANK($V443),$U443*0,$V443)/IF($D$2="Egyszeri",VLOOKUP($B443+IF($C443=12,1,0),Paraméterek!$V$257:$W$262,2),IF($B443=1,1,VLOOKUP($B443+IF($C443=12,1,0),Paraméterek!$I$258:$T$278,HLOOKUP($M$11+1,Paraméterek!$J$256:$T$257,2)))),IF($D$4="Forint",0,2)))</f>
        <v>#N/A</v>
      </c>
      <c r="X443" s="13" t="e">
        <f ca="1">ROUNDDOWN($W443*IF($D$2="Egyszeri",VLOOKUP($B443+IF($C443=12,1,0),Paraméterek!$V$257:$W$262,2),VLOOKUP($B443+IF($C443=12,1,0),Paraméterek!$I$258:$T$278,HLOOKUP($M$11+1,Paraméterek!$I$256:$T$257,2))),IF($D$4="Forint",0,2))</f>
        <v>#N/A</v>
      </c>
      <c r="Z443" s="32">
        <v>424</v>
      </c>
      <c r="AA443" s="32">
        <v>36</v>
      </c>
      <c r="AB443" s="32">
        <v>4</v>
      </c>
      <c r="AC443" s="13">
        <f t="shared" ca="1" si="148"/>
        <v>0</v>
      </c>
      <c r="AD443" s="33"/>
      <c r="AE443" s="13">
        <f t="shared" ca="1" si="140"/>
        <v>0</v>
      </c>
      <c r="AF443" s="13">
        <f ca="1">ROUNDUP(($AC443+$AE443)*VLOOKUP($AA443,Paraméterek!$P$38:$Q$38,2)/12*IF($D444="Nem",IF($M$13=0,1,$M$13),1),IF($D$4="Forint",0,2))</f>
        <v>0</v>
      </c>
      <c r="AG443" s="13">
        <f ca="1">IF($D$2="Egyszeri",IF($D$7&gt;=IF($D$4="Forint",Paraméterek!$P$223,Paraméterek!$P$224),$D$7-IF($D$4="Forint",Paraméterek!$P$223,Paraméterek!$P$224),0),MIN(IF($AB443=12,AVERAGEIF($E$20:$E443,"&gt;0",$E$20:$E443)*12,0),SUM($E$20:$E$31)))</f>
        <v>0</v>
      </c>
      <c r="AH443" s="13">
        <f>IF($AA443=10,$AG443*IF($AB443=12,IF($AG443&lt;IF($D$4="Forint",Paraméterek!$L$223,Paraméterek!$L$224),0,VLOOKUP($AA443,Paraméterek!$K$226:$M$228,IF($AG443&lt;IF($D$4="Forint",Paraméterek!$M$223,Paraméterek!$M$224),2,3))),0),0)</f>
        <v>0</v>
      </c>
      <c r="AI443" s="13">
        <f ca="1">IF(AND($AA443=$M$11+1,$AB443=$M$12+1),SUMIF($AA$20:$AA$1027,$AA443,$AG$20:$AG$1027)*IF(SUMIF($AA$20:$AA$1027,$AA443,$AG$20:$AG$1027)&lt;IF($D$4="Forint",Paraméterek!$L$223,Paraméterek!$L$224),0,VLOOKUP($AA443,Paraméterek!$K$230:$M$250,IF(SUMIF($AA$20:$AA$1027,$AA443,$AG$20:$AG$1027)&lt;IF($D$4="Forint",Paraméterek!$M$223,Paraméterek!$M$224),2,3))),0)</f>
        <v>0</v>
      </c>
      <c r="AJ443" s="13">
        <f ca="1">IF(AND($AA443&gt;=5,MOD($AA443,5)=0),IF($AB443=12,VLOOKUP($AA443,Paraméterek!$O$225:$P$240,2),0),IF(OR($AA443=3,$AA443=4),IF($AB443=12,VLOOKUP($AA443,Paraméterek!$O$225:$P$240,2,0),0),0))*$AG443</f>
        <v>0</v>
      </c>
      <c r="AK443" s="13">
        <f t="shared" ca="1" si="141"/>
        <v>0</v>
      </c>
      <c r="AL443" s="13">
        <f t="shared" ca="1" si="149"/>
        <v>0</v>
      </c>
      <c r="AM443" s="13">
        <f t="shared" ca="1" si="150"/>
        <v>0</v>
      </c>
      <c r="AO443" s="32">
        <v>424</v>
      </c>
      <c r="AP443" s="32">
        <v>36</v>
      </c>
      <c r="AQ443" s="32">
        <v>4</v>
      </c>
      <c r="AR443" s="13"/>
      <c r="AS443" s="32"/>
      <c r="AT443" s="13">
        <f t="shared" ca="1" si="151"/>
        <v>0</v>
      </c>
      <c r="AU443" s="33"/>
      <c r="AV443" s="13">
        <f t="shared" ca="1" si="142"/>
        <v>0</v>
      </c>
      <c r="AW443" s="13">
        <f ca="1">ROUNDUP(($AT443+$AV443)*VLOOKUP($AP443,Paraméterek!$P$38:$Q$38,2)/12*IF($D444="Nem",IF($M$13=0,1,$M$13),1),IF($D$4="Forint",0,2))</f>
        <v>0</v>
      </c>
      <c r="AX443" s="13"/>
      <c r="AY443" s="13"/>
      <c r="AZ443" s="13">
        <f>ROUNDUP(IF(SUM($AX443:$AY443)=0,0,IF(IF(ISBLANK($AY443),$AX443,$AY443)*Paraméterek!$J$112&lt;IF($D$4="Forint",Paraméterek!$J$113,Paraméterek!$K$113),IF($D$4="Forint",Paraméterek!$J$113,Paraméterek!$K$113),IF(IF(ISBLANK($AY443),$AX443,$AY443)*Paraméterek!$J$112&gt;IF($D$4="Forint",Paraméterek!$J$114,Paraméterek!$K$114),IF($D$4="Forint",Paraméterek!$J$114,Paraméterek!$K$114),IF(ISBLANK($AY443),$AX443,$AY443)*Paraméterek!$J$112))),IF($D$4="Forint",0,2))</f>
        <v>0</v>
      </c>
      <c r="BA443" s="13">
        <f ca="1">$AT443+$AV443-$AW443-IF(ROUNDDOWN(IF(ISBLANK($AY443),$AX443,$AY443),IF($D$4="Forint",0,2))&gt;$AT443+$AV443-$AW443-IF($D$4="Forint",Paraméterek!$J$114,Paraméterek!$K$114),0,ROUNDDOWN(IF(ISBLANK($AY443),$AX443,$AY443),IF($D$4="Forint",0,2))-$AZ443)</f>
        <v>0</v>
      </c>
      <c r="BB443" s="13">
        <f t="shared" ca="1" si="143"/>
        <v>0</v>
      </c>
      <c r="BD443" s="32">
        <v>424</v>
      </c>
      <c r="BE443" s="32">
        <v>36</v>
      </c>
      <c r="BF443" s="32">
        <v>4</v>
      </c>
      <c r="BG443" s="34">
        <f t="shared" ca="1" si="152"/>
        <v>2054</v>
      </c>
      <c r="BH443" s="32" t="str">
        <f ca="1">IF(MOD(MONTH($D$14)+$BD443-1,12)=Paraméterek!$C$288,"Igen","")</f>
        <v/>
      </c>
      <c r="BI443" s="13">
        <f ca="1">IF($BH443="Igen",MIN(ROUNDDOWN((SUMIF($BG$20:$BG$1027,$BG443-1,$K$20:$K$1027)-SUMIF($BG$20:$BG$1027,$BG443-1,$I$20:$I$1027))*Paraméterek!$C$289,IF($D$4="Forint",0,2)),IF($D$4="Forint",Paraméterek!$C$285,Paraméterek!$D$285)),0)</f>
        <v>0</v>
      </c>
      <c r="BJ443" s="13">
        <f t="shared" ca="1" si="144"/>
        <v>0</v>
      </c>
      <c r="BK443" s="13">
        <f t="shared" ca="1" si="153"/>
        <v>0</v>
      </c>
      <c r="BL443" s="33"/>
      <c r="BM443" s="13">
        <f t="shared" ca="1" si="145"/>
        <v>0</v>
      </c>
      <c r="BN443" s="13">
        <f ca="1">ROUNDUP(($BK443+$BM443)*VLOOKUP($BE443,Paraméterek!$P$38:$Q$38,2)/12*IF($D444="Nem",IF($M$13=0,1,$M$13),1),IF($D$4="Forint",0,2))</f>
        <v>0</v>
      </c>
      <c r="BO443" s="13">
        <f t="shared" ca="1" si="146"/>
        <v>0</v>
      </c>
      <c r="BP443" s="13">
        <f ca="1">IF($D444="Nem",$BO443,$BO443-ROUNDUP(SUM($BI$20:$BI443)*120%,IF($D$4="Forint",0,2)))</f>
        <v>0</v>
      </c>
    </row>
    <row r="444" spans="1:68" x14ac:dyDescent="0.2">
      <c r="A444" s="32">
        <v>425</v>
      </c>
      <c r="B444" s="32">
        <v>36</v>
      </c>
      <c r="C444" s="32">
        <v>5</v>
      </c>
      <c r="D444" s="32" t="str">
        <f t="shared" ca="1" si="132"/>
        <v>Nem</v>
      </c>
      <c r="E444" s="13">
        <f t="shared" ca="1" si="133"/>
        <v>0</v>
      </c>
      <c r="F444" s="13"/>
      <c r="G444" s="13"/>
      <c r="H444" s="13"/>
      <c r="I444" s="13">
        <f t="shared" ca="1" si="134"/>
        <v>0</v>
      </c>
      <c r="J444" s="13">
        <f t="shared" ca="1" si="135"/>
        <v>0</v>
      </c>
      <c r="K444" s="13">
        <f t="shared" ca="1" si="136"/>
        <v>0</v>
      </c>
      <c r="L444" s="13" t="e">
        <f ca="1">ROUNDUP(IF($D$2="Egyszeri",$E444,IF($D$2="Havi",SUM($E$20:$E$31),IF(MOD($C444,$M$1)-1=0,SUM($E$20:$E$31),0))/12*$M$1)*VLOOKUP($B444,Paraméterek!$I$28:$P$31,IF($D$2="Egyszeri",8,HLOOKUP(ROUNDUP($M$11+$M$13,0),Paraméterek!$J$26:$O$27,2))),IF($D$4="Forint",0,2))</f>
        <v>#N/A</v>
      </c>
      <c r="M444" s="13">
        <f t="shared" ca="1" si="137"/>
        <v>0</v>
      </c>
      <c r="N444" s="13">
        <f t="shared" ca="1" si="147"/>
        <v>0</v>
      </c>
      <c r="O444" s="13">
        <f ca="1">IF($D444="Igen",IF($W443&gt;=IF($D$4="Forint",Paraméterek!$J$121,Paraméterek!$K$121),0,IF($D$4="Forint",Paraméterek!$J$121,Paraméterek!$K$121)-$W443),0)</f>
        <v>0</v>
      </c>
      <c r="P444" s="13" t="e">
        <f ca="1">ROUNDUP($O444*VLOOKUP($M$4+$B444-1,Paraméterek!$H$58:$I$105,2,0)/Paraméterek!$I$56,IF($D$4="Forint",0,2))</f>
        <v>#N/A</v>
      </c>
      <c r="Q444" s="13">
        <f t="shared" ca="1" si="138"/>
        <v>0</v>
      </c>
      <c r="R444" s="33"/>
      <c r="S444" s="13" t="e">
        <f t="shared" ca="1" si="139"/>
        <v>#N/A</v>
      </c>
      <c r="T444" s="13" t="e">
        <f ca="1">ROUNDUP(($N444-$P444-$Q444+$S444)*VLOOKUP($B444,Paraméterek!$I$38:$K$39,IF($D$2="Egyszeri",3,2))/12*IF($D445="Nem",IF($M$13=0,1,$M$13),1),IF($D$4="Forint",0,2))</f>
        <v>#N/A</v>
      </c>
      <c r="U444" s="13"/>
      <c r="V444" s="13"/>
      <c r="W444" s="13" t="e">
        <f ca="1">$N444-$P444-$Q444+$S444-$T444-IF(ROUNDUP(IF(ISBLANK($V444),$U444*0,$V444)/IF($D$2="Egyszeri",VLOOKUP($B444+IF($C444=12,1,0),Paraméterek!$V$257:$W$262,2),IF($B444=1,1,VLOOKUP($B444+IF($C444=12,1,0),Paraméterek!$I$258:$T$278,HLOOKUP($M$11+1,Paraméterek!$J$256:$T$257,2)))),IF($D$4="Forint",0,2))&gt;$N444-$P444-$Q444+$S444-$T444-IF($D$4="Forint",Paraméterek!$C$216,Paraméterek!$D$216),0,ROUNDUP(IF(ISBLANK($V444),$U444*0,$V444)/IF($D$2="Egyszeri",VLOOKUP($B444+IF($C444=12,1,0),Paraméterek!$V$257:$W$262,2),IF($B444=1,1,VLOOKUP($B444+IF($C444=12,1,0),Paraméterek!$I$258:$T$278,HLOOKUP($M$11+1,Paraméterek!$J$256:$T$257,2)))),IF($D$4="Forint",0,2)))</f>
        <v>#N/A</v>
      </c>
      <c r="X444" s="13" t="e">
        <f ca="1">ROUNDDOWN($W444*IF($D$2="Egyszeri",VLOOKUP($B444+IF($C444=12,1,0),Paraméterek!$V$257:$W$262,2),VLOOKUP($B444+IF($C444=12,1,0),Paraméterek!$I$258:$T$278,HLOOKUP($M$11+1,Paraméterek!$I$256:$T$257,2))),IF($D$4="Forint",0,2))</f>
        <v>#N/A</v>
      </c>
      <c r="Z444" s="32">
        <v>425</v>
      </c>
      <c r="AA444" s="32">
        <v>36</v>
      </c>
      <c r="AB444" s="32">
        <v>5</v>
      </c>
      <c r="AC444" s="13">
        <f t="shared" ca="1" si="148"/>
        <v>0</v>
      </c>
      <c r="AD444" s="33"/>
      <c r="AE444" s="13">
        <f t="shared" ca="1" si="140"/>
        <v>0</v>
      </c>
      <c r="AF444" s="13">
        <f ca="1">ROUNDUP(($AC444+$AE444)*VLOOKUP($AA444,Paraméterek!$P$38:$Q$38,2)/12*IF($D445="Nem",IF($M$13=0,1,$M$13),1),IF($D$4="Forint",0,2))</f>
        <v>0</v>
      </c>
      <c r="AG444" s="13">
        <f ca="1">IF($D$2="Egyszeri",IF($D$7&gt;=IF($D$4="Forint",Paraméterek!$P$223,Paraméterek!$P$224),$D$7-IF($D$4="Forint",Paraméterek!$P$223,Paraméterek!$P$224),0),MIN(IF($AB444=12,AVERAGEIF($E$20:$E444,"&gt;0",$E$20:$E444)*12,0),SUM($E$20:$E$31)))</f>
        <v>0</v>
      </c>
      <c r="AH444" s="13">
        <f>IF($AA444=10,$AG444*IF($AB444=12,IF($AG444&lt;IF($D$4="Forint",Paraméterek!$L$223,Paraméterek!$L$224),0,VLOOKUP($AA444,Paraméterek!$K$226:$M$228,IF($AG444&lt;IF($D$4="Forint",Paraméterek!$M$223,Paraméterek!$M$224),2,3))),0),0)</f>
        <v>0</v>
      </c>
      <c r="AI444" s="13">
        <f ca="1">IF(AND($AA444=$M$11+1,$AB444=$M$12+1),SUMIF($AA$20:$AA$1027,$AA444,$AG$20:$AG$1027)*IF(SUMIF($AA$20:$AA$1027,$AA444,$AG$20:$AG$1027)&lt;IF($D$4="Forint",Paraméterek!$L$223,Paraméterek!$L$224),0,VLOOKUP($AA444,Paraméterek!$K$230:$M$250,IF(SUMIF($AA$20:$AA$1027,$AA444,$AG$20:$AG$1027)&lt;IF($D$4="Forint",Paraméterek!$M$223,Paraméterek!$M$224),2,3))),0)</f>
        <v>0</v>
      </c>
      <c r="AJ444" s="13">
        <f ca="1">IF(AND($AA444&gt;=5,MOD($AA444,5)=0),IF($AB444=12,VLOOKUP($AA444,Paraméterek!$O$225:$P$240,2),0),IF(OR($AA444=3,$AA444=4),IF($AB444=12,VLOOKUP($AA444,Paraméterek!$O$225:$P$240,2,0),0),0))*$AG444</f>
        <v>0</v>
      </c>
      <c r="AK444" s="13">
        <f t="shared" ca="1" si="141"/>
        <v>0</v>
      </c>
      <c r="AL444" s="13">
        <f t="shared" ca="1" si="149"/>
        <v>0</v>
      </c>
      <c r="AM444" s="13">
        <f t="shared" ca="1" si="150"/>
        <v>0</v>
      </c>
      <c r="AO444" s="32">
        <v>425</v>
      </c>
      <c r="AP444" s="32">
        <v>36</v>
      </c>
      <c r="AQ444" s="32">
        <v>5</v>
      </c>
      <c r="AR444" s="13"/>
      <c r="AS444" s="32"/>
      <c r="AT444" s="13">
        <f t="shared" ca="1" si="151"/>
        <v>0</v>
      </c>
      <c r="AU444" s="33"/>
      <c r="AV444" s="13">
        <f t="shared" ca="1" si="142"/>
        <v>0</v>
      </c>
      <c r="AW444" s="13">
        <f ca="1">ROUNDUP(($AT444+$AV444)*VLOOKUP($AP444,Paraméterek!$P$38:$Q$38,2)/12*IF($D445="Nem",IF($M$13=0,1,$M$13),1),IF($D$4="Forint",0,2))</f>
        <v>0</v>
      </c>
      <c r="AX444" s="13"/>
      <c r="AY444" s="13"/>
      <c r="AZ444" s="13">
        <f>ROUNDUP(IF(SUM($AX444:$AY444)=0,0,IF(IF(ISBLANK($AY444),$AX444,$AY444)*Paraméterek!$J$112&lt;IF($D$4="Forint",Paraméterek!$J$113,Paraméterek!$K$113),IF($D$4="Forint",Paraméterek!$J$113,Paraméterek!$K$113),IF(IF(ISBLANK($AY444),$AX444,$AY444)*Paraméterek!$J$112&gt;IF($D$4="Forint",Paraméterek!$J$114,Paraméterek!$K$114),IF($D$4="Forint",Paraméterek!$J$114,Paraméterek!$K$114),IF(ISBLANK($AY444),$AX444,$AY444)*Paraméterek!$J$112))),IF($D$4="Forint",0,2))</f>
        <v>0</v>
      </c>
      <c r="BA444" s="13">
        <f ca="1">$AT444+$AV444-$AW444-IF(ROUNDDOWN(IF(ISBLANK($AY444),$AX444,$AY444),IF($D$4="Forint",0,2))&gt;$AT444+$AV444-$AW444-IF($D$4="Forint",Paraméterek!$J$114,Paraméterek!$K$114),0,ROUNDDOWN(IF(ISBLANK($AY444),$AX444,$AY444),IF($D$4="Forint",0,2))-$AZ444)</f>
        <v>0</v>
      </c>
      <c r="BB444" s="13">
        <f t="shared" ca="1" si="143"/>
        <v>0</v>
      </c>
      <c r="BD444" s="32">
        <v>425</v>
      </c>
      <c r="BE444" s="32">
        <v>36</v>
      </c>
      <c r="BF444" s="32">
        <v>5</v>
      </c>
      <c r="BG444" s="34">
        <f t="shared" ca="1" si="152"/>
        <v>2054</v>
      </c>
      <c r="BH444" s="32" t="str">
        <f ca="1">IF(MOD(MONTH($D$14)+$BD444-1,12)=Paraméterek!$C$288,"Igen","")</f>
        <v/>
      </c>
      <c r="BI444" s="13">
        <f ca="1">IF($BH444="Igen",MIN(ROUNDDOWN((SUMIF($BG$20:$BG$1027,$BG444-1,$K$20:$K$1027)-SUMIF($BG$20:$BG$1027,$BG444-1,$I$20:$I$1027))*Paraméterek!$C$289,IF($D$4="Forint",0,2)),IF($D$4="Forint",Paraméterek!$C$285,Paraméterek!$D$285)),0)</f>
        <v>0</v>
      </c>
      <c r="BJ444" s="13">
        <f t="shared" ca="1" si="144"/>
        <v>0</v>
      </c>
      <c r="BK444" s="13">
        <f t="shared" ca="1" si="153"/>
        <v>0</v>
      </c>
      <c r="BL444" s="33"/>
      <c r="BM444" s="13">
        <f t="shared" ca="1" si="145"/>
        <v>0</v>
      </c>
      <c r="BN444" s="13">
        <f ca="1">ROUNDUP(($BK444+$BM444)*VLOOKUP($BE444,Paraméterek!$P$38:$Q$38,2)/12*IF($D445="Nem",IF($M$13=0,1,$M$13),1),IF($D$4="Forint",0,2))</f>
        <v>0</v>
      </c>
      <c r="BO444" s="13">
        <f t="shared" ca="1" si="146"/>
        <v>0</v>
      </c>
      <c r="BP444" s="13">
        <f ca="1">IF($D445="Nem",$BO444,$BO444-ROUNDUP(SUM($BI$20:$BI444)*120%,IF($D$4="Forint",0,2)))</f>
        <v>0</v>
      </c>
    </row>
    <row r="445" spans="1:68" x14ac:dyDescent="0.2">
      <c r="A445" s="32">
        <v>426</v>
      </c>
      <c r="B445" s="32">
        <v>36</v>
      </c>
      <c r="C445" s="32">
        <v>6</v>
      </c>
      <c r="D445" s="32" t="str">
        <f t="shared" ca="1" si="132"/>
        <v>Nem</v>
      </c>
      <c r="E445" s="13">
        <f t="shared" ca="1" si="133"/>
        <v>0</v>
      </c>
      <c r="F445" s="13"/>
      <c r="G445" s="13"/>
      <c r="H445" s="13"/>
      <c r="I445" s="13">
        <f t="shared" ca="1" si="134"/>
        <v>0</v>
      </c>
      <c r="J445" s="13">
        <f t="shared" ca="1" si="135"/>
        <v>0</v>
      </c>
      <c r="K445" s="13">
        <f t="shared" ca="1" si="136"/>
        <v>0</v>
      </c>
      <c r="L445" s="13" t="e">
        <f ca="1">ROUNDUP(IF($D$2="Egyszeri",$E445,IF($D$2="Havi",SUM($E$20:$E$31),IF(MOD($C445,$M$1)-1=0,SUM($E$20:$E$31),0))/12*$M$1)*VLOOKUP($B445,Paraméterek!$I$28:$P$31,IF($D$2="Egyszeri",8,HLOOKUP(ROUNDUP($M$11+$M$13,0),Paraméterek!$J$26:$O$27,2))),IF($D$4="Forint",0,2))</f>
        <v>#N/A</v>
      </c>
      <c r="M445" s="13">
        <f t="shared" ca="1" si="137"/>
        <v>0</v>
      </c>
      <c r="N445" s="13">
        <f t="shared" ca="1" si="147"/>
        <v>0</v>
      </c>
      <c r="O445" s="13">
        <f ca="1">IF($D445="Igen",IF($W444&gt;=IF($D$4="Forint",Paraméterek!$J$121,Paraméterek!$K$121),0,IF($D$4="Forint",Paraméterek!$J$121,Paraméterek!$K$121)-$W444),0)</f>
        <v>0</v>
      </c>
      <c r="P445" s="13" t="e">
        <f ca="1">ROUNDUP($O445*VLOOKUP($M$4+$B445-1,Paraméterek!$H$58:$I$105,2,0)/Paraméterek!$I$56,IF($D$4="Forint",0,2))</f>
        <v>#N/A</v>
      </c>
      <c r="Q445" s="13">
        <f t="shared" ca="1" si="138"/>
        <v>0</v>
      </c>
      <c r="R445" s="33"/>
      <c r="S445" s="13" t="e">
        <f t="shared" ca="1" si="139"/>
        <v>#N/A</v>
      </c>
      <c r="T445" s="13" t="e">
        <f ca="1">ROUNDUP(($N445-$P445-$Q445+$S445)*VLOOKUP($B445,Paraméterek!$I$38:$K$39,IF($D$2="Egyszeri",3,2))/12*IF($D446="Nem",IF($M$13=0,1,$M$13),1),IF($D$4="Forint",0,2))</f>
        <v>#N/A</v>
      </c>
      <c r="U445" s="13"/>
      <c r="V445" s="13"/>
      <c r="W445" s="13" t="e">
        <f ca="1">$N445-$P445-$Q445+$S445-$T445-IF(ROUNDUP(IF(ISBLANK($V445),$U445*0,$V445)/IF($D$2="Egyszeri",VLOOKUP($B445+IF($C445=12,1,0),Paraméterek!$V$257:$W$262,2),IF($B445=1,1,VLOOKUP($B445+IF($C445=12,1,0),Paraméterek!$I$258:$T$278,HLOOKUP($M$11+1,Paraméterek!$J$256:$T$257,2)))),IF($D$4="Forint",0,2))&gt;$N445-$P445-$Q445+$S445-$T445-IF($D$4="Forint",Paraméterek!$C$216,Paraméterek!$D$216),0,ROUNDUP(IF(ISBLANK($V445),$U445*0,$V445)/IF($D$2="Egyszeri",VLOOKUP($B445+IF($C445=12,1,0),Paraméterek!$V$257:$W$262,2),IF($B445=1,1,VLOOKUP($B445+IF($C445=12,1,0),Paraméterek!$I$258:$T$278,HLOOKUP($M$11+1,Paraméterek!$J$256:$T$257,2)))),IF($D$4="Forint",0,2)))</f>
        <v>#N/A</v>
      </c>
      <c r="X445" s="13" t="e">
        <f ca="1">ROUNDDOWN($W445*IF($D$2="Egyszeri",VLOOKUP($B445+IF($C445=12,1,0),Paraméterek!$V$257:$W$262,2),VLOOKUP($B445+IF($C445=12,1,0),Paraméterek!$I$258:$T$278,HLOOKUP($M$11+1,Paraméterek!$I$256:$T$257,2))),IF($D$4="Forint",0,2))</f>
        <v>#N/A</v>
      </c>
      <c r="Z445" s="32">
        <v>426</v>
      </c>
      <c r="AA445" s="32">
        <v>36</v>
      </c>
      <c r="AB445" s="32">
        <v>6</v>
      </c>
      <c r="AC445" s="13">
        <f t="shared" ca="1" si="148"/>
        <v>0</v>
      </c>
      <c r="AD445" s="33"/>
      <c r="AE445" s="13">
        <f t="shared" ca="1" si="140"/>
        <v>0</v>
      </c>
      <c r="AF445" s="13">
        <f ca="1">ROUNDUP(($AC445+$AE445)*VLOOKUP($AA445,Paraméterek!$P$38:$Q$38,2)/12*IF($D446="Nem",IF($M$13=0,1,$M$13),1),IF($D$4="Forint",0,2))</f>
        <v>0</v>
      </c>
      <c r="AG445" s="13">
        <f ca="1">IF($D$2="Egyszeri",IF($D$7&gt;=IF($D$4="Forint",Paraméterek!$P$223,Paraméterek!$P$224),$D$7-IF($D$4="Forint",Paraméterek!$P$223,Paraméterek!$P$224),0),MIN(IF($AB445=12,AVERAGEIF($E$20:$E445,"&gt;0",$E$20:$E445)*12,0),SUM($E$20:$E$31)))</f>
        <v>0</v>
      </c>
      <c r="AH445" s="13">
        <f>IF($AA445=10,$AG445*IF($AB445=12,IF($AG445&lt;IF($D$4="Forint",Paraméterek!$L$223,Paraméterek!$L$224),0,VLOOKUP($AA445,Paraméterek!$K$226:$M$228,IF($AG445&lt;IF($D$4="Forint",Paraméterek!$M$223,Paraméterek!$M$224),2,3))),0),0)</f>
        <v>0</v>
      </c>
      <c r="AI445" s="13">
        <f ca="1">IF(AND($AA445=$M$11+1,$AB445=$M$12+1),SUMIF($AA$20:$AA$1027,$AA445,$AG$20:$AG$1027)*IF(SUMIF($AA$20:$AA$1027,$AA445,$AG$20:$AG$1027)&lt;IF($D$4="Forint",Paraméterek!$L$223,Paraméterek!$L$224),0,VLOOKUP($AA445,Paraméterek!$K$230:$M$250,IF(SUMIF($AA$20:$AA$1027,$AA445,$AG$20:$AG$1027)&lt;IF($D$4="Forint",Paraméterek!$M$223,Paraméterek!$M$224),2,3))),0)</f>
        <v>0</v>
      </c>
      <c r="AJ445" s="13">
        <f ca="1">IF(AND($AA445&gt;=5,MOD($AA445,5)=0),IF($AB445=12,VLOOKUP($AA445,Paraméterek!$O$225:$P$240,2),0),IF(OR($AA445=3,$AA445=4),IF($AB445=12,VLOOKUP($AA445,Paraméterek!$O$225:$P$240,2,0),0),0))*$AG445</f>
        <v>0</v>
      </c>
      <c r="AK445" s="13">
        <f t="shared" ca="1" si="141"/>
        <v>0</v>
      </c>
      <c r="AL445" s="13">
        <f t="shared" ca="1" si="149"/>
        <v>0</v>
      </c>
      <c r="AM445" s="13">
        <f t="shared" ca="1" si="150"/>
        <v>0</v>
      </c>
      <c r="AO445" s="32">
        <v>426</v>
      </c>
      <c r="AP445" s="32">
        <v>36</v>
      </c>
      <c r="AQ445" s="32">
        <v>6</v>
      </c>
      <c r="AR445" s="13"/>
      <c r="AS445" s="32"/>
      <c r="AT445" s="13">
        <f t="shared" ca="1" si="151"/>
        <v>0</v>
      </c>
      <c r="AU445" s="33"/>
      <c r="AV445" s="13">
        <f t="shared" ca="1" si="142"/>
        <v>0</v>
      </c>
      <c r="AW445" s="13">
        <f ca="1">ROUNDUP(($AT445+$AV445)*VLOOKUP($AP445,Paraméterek!$P$38:$Q$38,2)/12*IF($D446="Nem",IF($M$13=0,1,$M$13),1),IF($D$4="Forint",0,2))</f>
        <v>0</v>
      </c>
      <c r="AX445" s="13"/>
      <c r="AY445" s="13"/>
      <c r="AZ445" s="13">
        <f>ROUNDUP(IF(SUM($AX445:$AY445)=0,0,IF(IF(ISBLANK($AY445),$AX445,$AY445)*Paraméterek!$J$112&lt;IF($D$4="Forint",Paraméterek!$J$113,Paraméterek!$K$113),IF($D$4="Forint",Paraméterek!$J$113,Paraméterek!$K$113),IF(IF(ISBLANK($AY445),$AX445,$AY445)*Paraméterek!$J$112&gt;IF($D$4="Forint",Paraméterek!$J$114,Paraméterek!$K$114),IF($D$4="Forint",Paraméterek!$J$114,Paraméterek!$K$114),IF(ISBLANK($AY445),$AX445,$AY445)*Paraméterek!$J$112))),IF($D$4="Forint",0,2))</f>
        <v>0</v>
      </c>
      <c r="BA445" s="13">
        <f ca="1">$AT445+$AV445-$AW445-IF(ROUNDDOWN(IF(ISBLANK($AY445),$AX445,$AY445),IF($D$4="Forint",0,2))&gt;$AT445+$AV445-$AW445-IF($D$4="Forint",Paraméterek!$J$114,Paraméterek!$K$114),0,ROUNDDOWN(IF(ISBLANK($AY445),$AX445,$AY445),IF($D$4="Forint",0,2))-$AZ445)</f>
        <v>0</v>
      </c>
      <c r="BB445" s="13">
        <f t="shared" ca="1" si="143"/>
        <v>0</v>
      </c>
      <c r="BD445" s="32">
        <v>426</v>
      </c>
      <c r="BE445" s="32">
        <v>36</v>
      </c>
      <c r="BF445" s="32">
        <v>6</v>
      </c>
      <c r="BG445" s="34">
        <f t="shared" ca="1" si="152"/>
        <v>2054</v>
      </c>
      <c r="BH445" s="32" t="str">
        <f ca="1">IF(MOD(MONTH($D$14)+$BD445-1,12)=Paraméterek!$C$288,"Igen","")</f>
        <v/>
      </c>
      <c r="BI445" s="13">
        <f ca="1">IF($BH445="Igen",MIN(ROUNDDOWN((SUMIF($BG$20:$BG$1027,$BG445-1,$K$20:$K$1027)-SUMIF($BG$20:$BG$1027,$BG445-1,$I$20:$I$1027))*Paraméterek!$C$289,IF($D$4="Forint",0,2)),IF($D$4="Forint",Paraméterek!$C$285,Paraméterek!$D$285)),0)</f>
        <v>0</v>
      </c>
      <c r="BJ445" s="13">
        <f t="shared" ca="1" si="144"/>
        <v>0</v>
      </c>
      <c r="BK445" s="13">
        <f t="shared" ca="1" si="153"/>
        <v>0</v>
      </c>
      <c r="BL445" s="33"/>
      <c r="BM445" s="13">
        <f t="shared" ca="1" si="145"/>
        <v>0</v>
      </c>
      <c r="BN445" s="13">
        <f ca="1">ROUNDUP(($BK445+$BM445)*VLOOKUP($BE445,Paraméterek!$P$38:$Q$38,2)/12*IF($D446="Nem",IF($M$13=0,1,$M$13),1),IF($D$4="Forint",0,2))</f>
        <v>0</v>
      </c>
      <c r="BO445" s="13">
        <f t="shared" ca="1" si="146"/>
        <v>0</v>
      </c>
      <c r="BP445" s="13">
        <f ca="1">IF($D446="Nem",$BO445,$BO445-ROUNDUP(SUM($BI$20:$BI445)*120%,IF($D$4="Forint",0,2)))</f>
        <v>0</v>
      </c>
    </row>
    <row r="446" spans="1:68" x14ac:dyDescent="0.2">
      <c r="A446" s="32">
        <v>427</v>
      </c>
      <c r="B446" s="32">
        <v>36</v>
      </c>
      <c r="C446" s="32">
        <v>7</v>
      </c>
      <c r="D446" s="32" t="str">
        <f t="shared" ca="1" si="132"/>
        <v>Nem</v>
      </c>
      <c r="E446" s="13">
        <f t="shared" ca="1" si="133"/>
        <v>0</v>
      </c>
      <c r="F446" s="13"/>
      <c r="G446" s="13"/>
      <c r="H446" s="13"/>
      <c r="I446" s="13">
        <f t="shared" ca="1" si="134"/>
        <v>0</v>
      </c>
      <c r="J446" s="13">
        <f t="shared" ca="1" si="135"/>
        <v>0</v>
      </c>
      <c r="K446" s="13">
        <f t="shared" ca="1" si="136"/>
        <v>0</v>
      </c>
      <c r="L446" s="13" t="e">
        <f ca="1">ROUNDUP(IF($D$2="Egyszeri",$E446,IF($D$2="Havi",SUM($E$20:$E$31),IF(MOD($C446,$M$1)-1=0,SUM($E$20:$E$31),0))/12*$M$1)*VLOOKUP($B446,Paraméterek!$I$28:$P$31,IF($D$2="Egyszeri",8,HLOOKUP(ROUNDUP($M$11+$M$13,0),Paraméterek!$J$26:$O$27,2))),IF($D$4="Forint",0,2))</f>
        <v>#N/A</v>
      </c>
      <c r="M446" s="13">
        <f t="shared" ca="1" si="137"/>
        <v>0</v>
      </c>
      <c r="N446" s="13">
        <f t="shared" ca="1" si="147"/>
        <v>0</v>
      </c>
      <c r="O446" s="13">
        <f ca="1">IF($D446="Igen",IF($W445&gt;=IF($D$4="Forint",Paraméterek!$J$121,Paraméterek!$K$121),0,IF($D$4="Forint",Paraméterek!$J$121,Paraméterek!$K$121)-$W445),0)</f>
        <v>0</v>
      </c>
      <c r="P446" s="13" t="e">
        <f ca="1">ROUNDUP($O446*VLOOKUP($M$4+$B446-1,Paraméterek!$H$58:$I$105,2,0)/Paraméterek!$I$56,IF($D$4="Forint",0,2))</f>
        <v>#N/A</v>
      </c>
      <c r="Q446" s="13">
        <f t="shared" ca="1" si="138"/>
        <v>0</v>
      </c>
      <c r="R446" s="33"/>
      <c r="S446" s="13" t="e">
        <f t="shared" ca="1" si="139"/>
        <v>#N/A</v>
      </c>
      <c r="T446" s="13" t="e">
        <f ca="1">ROUNDUP(($N446-$P446-$Q446+$S446)*VLOOKUP($B446,Paraméterek!$I$38:$K$39,IF($D$2="Egyszeri",3,2))/12*IF($D447="Nem",IF($M$13=0,1,$M$13),1),IF($D$4="Forint",0,2))</f>
        <v>#N/A</v>
      </c>
      <c r="U446" s="13"/>
      <c r="V446" s="13"/>
      <c r="W446" s="13" t="e">
        <f ca="1">$N446-$P446-$Q446+$S446-$T446-IF(ROUNDUP(IF(ISBLANK($V446),$U446*0,$V446)/IF($D$2="Egyszeri",VLOOKUP($B446+IF($C446=12,1,0),Paraméterek!$V$257:$W$262,2),IF($B446=1,1,VLOOKUP($B446+IF($C446=12,1,0),Paraméterek!$I$258:$T$278,HLOOKUP($M$11+1,Paraméterek!$J$256:$T$257,2)))),IF($D$4="Forint",0,2))&gt;$N446-$P446-$Q446+$S446-$T446-IF($D$4="Forint",Paraméterek!$C$216,Paraméterek!$D$216),0,ROUNDUP(IF(ISBLANK($V446),$U446*0,$V446)/IF($D$2="Egyszeri",VLOOKUP($B446+IF($C446=12,1,0),Paraméterek!$V$257:$W$262,2),IF($B446=1,1,VLOOKUP($B446+IF($C446=12,1,0),Paraméterek!$I$258:$T$278,HLOOKUP($M$11+1,Paraméterek!$J$256:$T$257,2)))),IF($D$4="Forint",0,2)))</f>
        <v>#N/A</v>
      </c>
      <c r="X446" s="13" t="e">
        <f ca="1">ROUNDDOWN($W446*IF($D$2="Egyszeri",VLOOKUP($B446+IF($C446=12,1,0),Paraméterek!$V$257:$W$262,2),VLOOKUP($B446+IF($C446=12,1,0),Paraméterek!$I$258:$T$278,HLOOKUP($M$11+1,Paraméterek!$I$256:$T$257,2))),IF($D$4="Forint",0,2))</f>
        <v>#N/A</v>
      </c>
      <c r="Z446" s="32">
        <v>427</v>
      </c>
      <c r="AA446" s="32">
        <v>36</v>
      </c>
      <c r="AB446" s="32">
        <v>7</v>
      </c>
      <c r="AC446" s="13">
        <f t="shared" ca="1" si="148"/>
        <v>0</v>
      </c>
      <c r="AD446" s="33"/>
      <c r="AE446" s="13">
        <f t="shared" ca="1" si="140"/>
        <v>0</v>
      </c>
      <c r="AF446" s="13">
        <f ca="1">ROUNDUP(($AC446+$AE446)*VLOOKUP($AA446,Paraméterek!$P$38:$Q$38,2)/12*IF($D447="Nem",IF($M$13=0,1,$M$13),1),IF($D$4="Forint",0,2))</f>
        <v>0</v>
      </c>
      <c r="AG446" s="13">
        <f ca="1">IF($D$2="Egyszeri",IF($D$7&gt;=IF($D$4="Forint",Paraméterek!$P$223,Paraméterek!$P$224),$D$7-IF($D$4="Forint",Paraméterek!$P$223,Paraméterek!$P$224),0),MIN(IF($AB446=12,AVERAGEIF($E$20:$E446,"&gt;0",$E$20:$E446)*12,0),SUM($E$20:$E$31)))</f>
        <v>0</v>
      </c>
      <c r="AH446" s="13">
        <f>IF($AA446=10,$AG446*IF($AB446=12,IF($AG446&lt;IF($D$4="Forint",Paraméterek!$L$223,Paraméterek!$L$224),0,VLOOKUP($AA446,Paraméterek!$K$226:$M$228,IF($AG446&lt;IF($D$4="Forint",Paraméterek!$M$223,Paraméterek!$M$224),2,3))),0),0)</f>
        <v>0</v>
      </c>
      <c r="AI446" s="13">
        <f ca="1">IF(AND($AA446=$M$11+1,$AB446=$M$12+1),SUMIF($AA$20:$AA$1027,$AA446,$AG$20:$AG$1027)*IF(SUMIF($AA$20:$AA$1027,$AA446,$AG$20:$AG$1027)&lt;IF($D$4="Forint",Paraméterek!$L$223,Paraméterek!$L$224),0,VLOOKUP($AA446,Paraméterek!$K$230:$M$250,IF(SUMIF($AA$20:$AA$1027,$AA446,$AG$20:$AG$1027)&lt;IF($D$4="Forint",Paraméterek!$M$223,Paraméterek!$M$224),2,3))),0)</f>
        <v>0</v>
      </c>
      <c r="AJ446" s="13">
        <f ca="1">IF(AND($AA446&gt;=5,MOD($AA446,5)=0),IF($AB446=12,VLOOKUP($AA446,Paraméterek!$O$225:$P$240,2),0),IF(OR($AA446=3,$AA446=4),IF($AB446=12,VLOOKUP($AA446,Paraméterek!$O$225:$P$240,2,0),0),0))*$AG446</f>
        <v>0</v>
      </c>
      <c r="AK446" s="13">
        <f t="shared" ca="1" si="141"/>
        <v>0</v>
      </c>
      <c r="AL446" s="13">
        <f t="shared" ca="1" si="149"/>
        <v>0</v>
      </c>
      <c r="AM446" s="13">
        <f t="shared" ca="1" si="150"/>
        <v>0</v>
      </c>
      <c r="AO446" s="32">
        <v>427</v>
      </c>
      <c r="AP446" s="32">
        <v>36</v>
      </c>
      <c r="AQ446" s="32">
        <v>7</v>
      </c>
      <c r="AR446" s="13"/>
      <c r="AS446" s="32"/>
      <c r="AT446" s="13">
        <f t="shared" ca="1" si="151"/>
        <v>0</v>
      </c>
      <c r="AU446" s="33"/>
      <c r="AV446" s="13">
        <f t="shared" ca="1" si="142"/>
        <v>0</v>
      </c>
      <c r="AW446" s="13">
        <f ca="1">ROUNDUP(($AT446+$AV446)*VLOOKUP($AP446,Paraméterek!$P$38:$Q$38,2)/12*IF($D447="Nem",IF($M$13=0,1,$M$13),1),IF($D$4="Forint",0,2))</f>
        <v>0</v>
      </c>
      <c r="AX446" s="13"/>
      <c r="AY446" s="13"/>
      <c r="AZ446" s="13">
        <f>ROUNDUP(IF(SUM($AX446:$AY446)=0,0,IF(IF(ISBLANK($AY446),$AX446,$AY446)*Paraméterek!$J$112&lt;IF($D$4="Forint",Paraméterek!$J$113,Paraméterek!$K$113),IF($D$4="Forint",Paraméterek!$J$113,Paraméterek!$K$113),IF(IF(ISBLANK($AY446),$AX446,$AY446)*Paraméterek!$J$112&gt;IF($D$4="Forint",Paraméterek!$J$114,Paraméterek!$K$114),IF($D$4="Forint",Paraméterek!$J$114,Paraméterek!$K$114),IF(ISBLANK($AY446),$AX446,$AY446)*Paraméterek!$J$112))),IF($D$4="Forint",0,2))</f>
        <v>0</v>
      </c>
      <c r="BA446" s="13">
        <f ca="1">$AT446+$AV446-$AW446-IF(ROUNDDOWN(IF(ISBLANK($AY446),$AX446,$AY446),IF($D$4="Forint",0,2))&gt;$AT446+$AV446-$AW446-IF($D$4="Forint",Paraméterek!$J$114,Paraméterek!$K$114),0,ROUNDDOWN(IF(ISBLANK($AY446),$AX446,$AY446),IF($D$4="Forint",0,2))-$AZ446)</f>
        <v>0</v>
      </c>
      <c r="BB446" s="13">
        <f t="shared" ca="1" si="143"/>
        <v>0</v>
      </c>
      <c r="BD446" s="32">
        <v>427</v>
      </c>
      <c r="BE446" s="32">
        <v>36</v>
      </c>
      <c r="BF446" s="32">
        <v>7</v>
      </c>
      <c r="BG446" s="34">
        <f t="shared" ca="1" si="152"/>
        <v>2054</v>
      </c>
      <c r="BH446" s="32" t="str">
        <f ca="1">IF(MOD(MONTH($D$14)+$BD446-1,12)=Paraméterek!$C$288,"Igen","")</f>
        <v/>
      </c>
      <c r="BI446" s="13">
        <f ca="1">IF($BH446="Igen",MIN(ROUNDDOWN((SUMIF($BG$20:$BG$1027,$BG446-1,$K$20:$K$1027)-SUMIF($BG$20:$BG$1027,$BG446-1,$I$20:$I$1027))*Paraméterek!$C$289,IF($D$4="Forint",0,2)),IF($D$4="Forint",Paraméterek!$C$285,Paraméterek!$D$285)),0)</f>
        <v>0</v>
      </c>
      <c r="BJ446" s="13">
        <f t="shared" ca="1" si="144"/>
        <v>0</v>
      </c>
      <c r="BK446" s="13">
        <f t="shared" ca="1" si="153"/>
        <v>0</v>
      </c>
      <c r="BL446" s="33"/>
      <c r="BM446" s="13">
        <f t="shared" ca="1" si="145"/>
        <v>0</v>
      </c>
      <c r="BN446" s="13">
        <f ca="1">ROUNDUP(($BK446+$BM446)*VLOOKUP($BE446,Paraméterek!$P$38:$Q$38,2)/12*IF($D447="Nem",IF($M$13=0,1,$M$13),1),IF($D$4="Forint",0,2))</f>
        <v>0</v>
      </c>
      <c r="BO446" s="13">
        <f t="shared" ca="1" si="146"/>
        <v>0</v>
      </c>
      <c r="BP446" s="13">
        <f ca="1">IF($D447="Nem",$BO446,$BO446-ROUNDUP(SUM($BI$20:$BI446)*120%,IF($D$4="Forint",0,2)))</f>
        <v>0</v>
      </c>
    </row>
    <row r="447" spans="1:68" x14ac:dyDescent="0.2">
      <c r="A447" s="32">
        <v>428</v>
      </c>
      <c r="B447" s="32">
        <v>36</v>
      </c>
      <c r="C447" s="32">
        <v>8</v>
      </c>
      <c r="D447" s="32" t="str">
        <f t="shared" ca="1" si="132"/>
        <v>Nem</v>
      </c>
      <c r="E447" s="13">
        <f t="shared" ca="1" si="133"/>
        <v>0</v>
      </c>
      <c r="F447" s="13"/>
      <c r="G447" s="13"/>
      <c r="H447" s="13"/>
      <c r="I447" s="13">
        <f t="shared" ca="1" si="134"/>
        <v>0</v>
      </c>
      <c r="J447" s="13">
        <f t="shared" ca="1" si="135"/>
        <v>0</v>
      </c>
      <c r="K447" s="13">
        <f t="shared" ca="1" si="136"/>
        <v>0</v>
      </c>
      <c r="L447" s="13" t="e">
        <f ca="1">ROUNDUP(IF($D$2="Egyszeri",$E447,IF($D$2="Havi",SUM($E$20:$E$31),IF(MOD($C447,$M$1)-1=0,SUM($E$20:$E$31),0))/12*$M$1)*VLOOKUP($B447,Paraméterek!$I$28:$P$31,IF($D$2="Egyszeri",8,HLOOKUP(ROUNDUP($M$11+$M$13,0),Paraméterek!$J$26:$O$27,2))),IF($D$4="Forint",0,2))</f>
        <v>#N/A</v>
      </c>
      <c r="M447" s="13">
        <f t="shared" ca="1" si="137"/>
        <v>0</v>
      </c>
      <c r="N447" s="13">
        <f t="shared" ca="1" si="147"/>
        <v>0</v>
      </c>
      <c r="O447" s="13">
        <f ca="1">IF($D447="Igen",IF($W446&gt;=IF($D$4="Forint",Paraméterek!$J$121,Paraméterek!$K$121),0,IF($D$4="Forint",Paraméterek!$J$121,Paraméterek!$K$121)-$W446),0)</f>
        <v>0</v>
      </c>
      <c r="P447" s="13" t="e">
        <f ca="1">ROUNDUP($O447*VLOOKUP($M$4+$B447-1,Paraméterek!$H$58:$I$105,2,0)/Paraméterek!$I$56,IF($D$4="Forint",0,2))</f>
        <v>#N/A</v>
      </c>
      <c r="Q447" s="13">
        <f t="shared" ca="1" si="138"/>
        <v>0</v>
      </c>
      <c r="R447" s="33"/>
      <c r="S447" s="13" t="e">
        <f t="shared" ca="1" si="139"/>
        <v>#N/A</v>
      </c>
      <c r="T447" s="13" t="e">
        <f ca="1">ROUNDUP(($N447-$P447-$Q447+$S447)*VLOOKUP($B447,Paraméterek!$I$38:$K$39,IF($D$2="Egyszeri",3,2))/12*IF($D448="Nem",IF($M$13=0,1,$M$13),1),IF($D$4="Forint",0,2))</f>
        <v>#N/A</v>
      </c>
      <c r="U447" s="13"/>
      <c r="V447" s="13"/>
      <c r="W447" s="13" t="e">
        <f ca="1">$N447-$P447-$Q447+$S447-$T447-IF(ROUNDUP(IF(ISBLANK($V447),$U447*0,$V447)/IF($D$2="Egyszeri",VLOOKUP($B447+IF($C447=12,1,0),Paraméterek!$V$257:$W$262,2),IF($B447=1,1,VLOOKUP($B447+IF($C447=12,1,0),Paraméterek!$I$258:$T$278,HLOOKUP($M$11+1,Paraméterek!$J$256:$T$257,2)))),IF($D$4="Forint",0,2))&gt;$N447-$P447-$Q447+$S447-$T447-IF($D$4="Forint",Paraméterek!$C$216,Paraméterek!$D$216),0,ROUNDUP(IF(ISBLANK($V447),$U447*0,$V447)/IF($D$2="Egyszeri",VLOOKUP($B447+IF($C447=12,1,0),Paraméterek!$V$257:$W$262,2),IF($B447=1,1,VLOOKUP($B447+IF($C447=12,1,0),Paraméterek!$I$258:$T$278,HLOOKUP($M$11+1,Paraméterek!$J$256:$T$257,2)))),IF($D$4="Forint",0,2)))</f>
        <v>#N/A</v>
      </c>
      <c r="X447" s="13" t="e">
        <f ca="1">ROUNDDOWN($W447*IF($D$2="Egyszeri",VLOOKUP($B447+IF($C447=12,1,0),Paraméterek!$V$257:$W$262,2),VLOOKUP($B447+IF($C447=12,1,0),Paraméterek!$I$258:$T$278,HLOOKUP($M$11+1,Paraméterek!$I$256:$T$257,2))),IF($D$4="Forint",0,2))</f>
        <v>#N/A</v>
      </c>
      <c r="Z447" s="32">
        <v>428</v>
      </c>
      <c r="AA447" s="32">
        <v>36</v>
      </c>
      <c r="AB447" s="32">
        <v>8</v>
      </c>
      <c r="AC447" s="13">
        <f t="shared" ca="1" si="148"/>
        <v>0</v>
      </c>
      <c r="AD447" s="33"/>
      <c r="AE447" s="13">
        <f t="shared" ca="1" si="140"/>
        <v>0</v>
      </c>
      <c r="AF447" s="13">
        <f ca="1">ROUNDUP(($AC447+$AE447)*VLOOKUP($AA447,Paraméterek!$P$38:$Q$38,2)/12*IF($D448="Nem",IF($M$13=0,1,$M$13),1),IF($D$4="Forint",0,2))</f>
        <v>0</v>
      </c>
      <c r="AG447" s="13">
        <f ca="1">IF($D$2="Egyszeri",IF($D$7&gt;=IF($D$4="Forint",Paraméterek!$P$223,Paraméterek!$P$224),$D$7-IF($D$4="Forint",Paraméterek!$P$223,Paraméterek!$P$224),0),MIN(IF($AB447=12,AVERAGEIF($E$20:$E447,"&gt;0",$E$20:$E447)*12,0),SUM($E$20:$E$31)))</f>
        <v>0</v>
      </c>
      <c r="AH447" s="13">
        <f>IF($AA447=10,$AG447*IF($AB447=12,IF($AG447&lt;IF($D$4="Forint",Paraméterek!$L$223,Paraméterek!$L$224),0,VLOOKUP($AA447,Paraméterek!$K$226:$M$228,IF($AG447&lt;IF($D$4="Forint",Paraméterek!$M$223,Paraméterek!$M$224),2,3))),0),0)</f>
        <v>0</v>
      </c>
      <c r="AI447" s="13">
        <f ca="1">IF(AND($AA447=$M$11+1,$AB447=$M$12+1),SUMIF($AA$20:$AA$1027,$AA447,$AG$20:$AG$1027)*IF(SUMIF($AA$20:$AA$1027,$AA447,$AG$20:$AG$1027)&lt;IF($D$4="Forint",Paraméterek!$L$223,Paraméterek!$L$224),0,VLOOKUP($AA447,Paraméterek!$K$230:$M$250,IF(SUMIF($AA$20:$AA$1027,$AA447,$AG$20:$AG$1027)&lt;IF($D$4="Forint",Paraméterek!$M$223,Paraméterek!$M$224),2,3))),0)</f>
        <v>0</v>
      </c>
      <c r="AJ447" s="13">
        <f ca="1">IF(AND($AA447&gt;=5,MOD($AA447,5)=0),IF($AB447=12,VLOOKUP($AA447,Paraméterek!$O$225:$P$240,2),0),IF(OR($AA447=3,$AA447=4),IF($AB447=12,VLOOKUP($AA447,Paraméterek!$O$225:$P$240,2,0),0),0))*$AG447</f>
        <v>0</v>
      </c>
      <c r="AK447" s="13">
        <f t="shared" ca="1" si="141"/>
        <v>0</v>
      </c>
      <c r="AL447" s="13">
        <f t="shared" ca="1" si="149"/>
        <v>0</v>
      </c>
      <c r="AM447" s="13">
        <f t="shared" ca="1" si="150"/>
        <v>0</v>
      </c>
      <c r="AO447" s="32">
        <v>428</v>
      </c>
      <c r="AP447" s="32">
        <v>36</v>
      </c>
      <c r="AQ447" s="32">
        <v>8</v>
      </c>
      <c r="AR447" s="13"/>
      <c r="AS447" s="32"/>
      <c r="AT447" s="13">
        <f t="shared" ca="1" si="151"/>
        <v>0</v>
      </c>
      <c r="AU447" s="33"/>
      <c r="AV447" s="13">
        <f t="shared" ca="1" si="142"/>
        <v>0</v>
      </c>
      <c r="AW447" s="13">
        <f ca="1">ROUNDUP(($AT447+$AV447)*VLOOKUP($AP447,Paraméterek!$P$38:$Q$38,2)/12*IF($D448="Nem",IF($M$13=0,1,$M$13),1),IF($D$4="Forint",0,2))</f>
        <v>0</v>
      </c>
      <c r="AX447" s="13"/>
      <c r="AY447" s="13"/>
      <c r="AZ447" s="13">
        <f>ROUNDUP(IF(SUM($AX447:$AY447)=0,0,IF(IF(ISBLANK($AY447),$AX447,$AY447)*Paraméterek!$J$112&lt;IF($D$4="Forint",Paraméterek!$J$113,Paraméterek!$K$113),IF($D$4="Forint",Paraméterek!$J$113,Paraméterek!$K$113),IF(IF(ISBLANK($AY447),$AX447,$AY447)*Paraméterek!$J$112&gt;IF($D$4="Forint",Paraméterek!$J$114,Paraméterek!$K$114),IF($D$4="Forint",Paraméterek!$J$114,Paraméterek!$K$114),IF(ISBLANK($AY447),$AX447,$AY447)*Paraméterek!$J$112))),IF($D$4="Forint",0,2))</f>
        <v>0</v>
      </c>
      <c r="BA447" s="13">
        <f ca="1">$AT447+$AV447-$AW447-IF(ROUNDDOWN(IF(ISBLANK($AY447),$AX447,$AY447),IF($D$4="Forint",0,2))&gt;$AT447+$AV447-$AW447-IF($D$4="Forint",Paraméterek!$J$114,Paraméterek!$K$114),0,ROUNDDOWN(IF(ISBLANK($AY447),$AX447,$AY447),IF($D$4="Forint",0,2))-$AZ447)</f>
        <v>0</v>
      </c>
      <c r="BB447" s="13">
        <f t="shared" ca="1" si="143"/>
        <v>0</v>
      </c>
      <c r="BD447" s="32">
        <v>428</v>
      </c>
      <c r="BE447" s="32">
        <v>36</v>
      </c>
      <c r="BF447" s="32">
        <v>8</v>
      </c>
      <c r="BG447" s="34">
        <f t="shared" ca="1" si="152"/>
        <v>2055</v>
      </c>
      <c r="BH447" s="32" t="str">
        <f ca="1">IF(MOD(MONTH($D$14)+$BD447-1,12)=Paraméterek!$C$288,"Igen","")</f>
        <v/>
      </c>
      <c r="BI447" s="13">
        <f ca="1">IF($BH447="Igen",MIN(ROUNDDOWN((SUMIF($BG$20:$BG$1027,$BG447-1,$K$20:$K$1027)-SUMIF($BG$20:$BG$1027,$BG447-1,$I$20:$I$1027))*Paraméterek!$C$289,IF($D$4="Forint",0,2)),IF($D$4="Forint",Paraméterek!$C$285,Paraméterek!$D$285)),0)</f>
        <v>0</v>
      </c>
      <c r="BJ447" s="13">
        <f t="shared" ca="1" si="144"/>
        <v>0</v>
      </c>
      <c r="BK447" s="13">
        <f t="shared" ca="1" si="153"/>
        <v>0</v>
      </c>
      <c r="BL447" s="33"/>
      <c r="BM447" s="13">
        <f t="shared" ca="1" si="145"/>
        <v>0</v>
      </c>
      <c r="BN447" s="13">
        <f ca="1">ROUNDUP(($BK447+$BM447)*VLOOKUP($BE447,Paraméterek!$P$38:$Q$38,2)/12*IF($D448="Nem",IF($M$13=0,1,$M$13),1),IF($D$4="Forint",0,2))</f>
        <v>0</v>
      </c>
      <c r="BO447" s="13">
        <f t="shared" ca="1" si="146"/>
        <v>0</v>
      </c>
      <c r="BP447" s="13">
        <f ca="1">IF($D448="Nem",$BO447,$BO447-ROUNDUP(SUM($BI$20:$BI447)*120%,IF($D$4="Forint",0,2)))</f>
        <v>0</v>
      </c>
    </row>
    <row r="448" spans="1:68" x14ac:dyDescent="0.2">
      <c r="A448" s="32">
        <v>429</v>
      </c>
      <c r="B448" s="32">
        <v>36</v>
      </c>
      <c r="C448" s="32">
        <v>9</v>
      </c>
      <c r="D448" s="32" t="str">
        <f t="shared" ca="1" si="132"/>
        <v>Nem</v>
      </c>
      <c r="E448" s="13">
        <f t="shared" ca="1" si="133"/>
        <v>0</v>
      </c>
      <c r="F448" s="13"/>
      <c r="G448" s="13"/>
      <c r="H448" s="13"/>
      <c r="I448" s="13">
        <f t="shared" ca="1" si="134"/>
        <v>0</v>
      </c>
      <c r="J448" s="13">
        <f t="shared" ca="1" si="135"/>
        <v>0</v>
      </c>
      <c r="K448" s="13">
        <f t="shared" ca="1" si="136"/>
        <v>0</v>
      </c>
      <c r="L448" s="13" t="e">
        <f ca="1">ROUNDUP(IF($D$2="Egyszeri",$E448,IF($D$2="Havi",SUM($E$20:$E$31),IF(MOD($C448,$M$1)-1=0,SUM($E$20:$E$31),0))/12*$M$1)*VLOOKUP($B448,Paraméterek!$I$28:$P$31,IF($D$2="Egyszeri",8,HLOOKUP(ROUNDUP($M$11+$M$13,0),Paraméterek!$J$26:$O$27,2))),IF($D$4="Forint",0,2))</f>
        <v>#N/A</v>
      </c>
      <c r="M448" s="13">
        <f t="shared" ca="1" si="137"/>
        <v>0</v>
      </c>
      <c r="N448" s="13">
        <f t="shared" ca="1" si="147"/>
        <v>0</v>
      </c>
      <c r="O448" s="13">
        <f ca="1">IF($D448="Igen",IF($W447&gt;=IF($D$4="Forint",Paraméterek!$J$121,Paraméterek!$K$121),0,IF($D$4="Forint",Paraméterek!$J$121,Paraméterek!$K$121)-$W447),0)</f>
        <v>0</v>
      </c>
      <c r="P448" s="13" t="e">
        <f ca="1">ROUNDUP($O448*VLOOKUP($M$4+$B448-1,Paraméterek!$H$58:$I$105,2,0)/Paraméterek!$I$56,IF($D$4="Forint",0,2))</f>
        <v>#N/A</v>
      </c>
      <c r="Q448" s="13">
        <f t="shared" ca="1" si="138"/>
        <v>0</v>
      </c>
      <c r="R448" s="33"/>
      <c r="S448" s="13" t="e">
        <f t="shared" ca="1" si="139"/>
        <v>#N/A</v>
      </c>
      <c r="T448" s="13" t="e">
        <f ca="1">ROUNDUP(($N448-$P448-$Q448+$S448)*VLOOKUP($B448,Paraméterek!$I$38:$K$39,IF($D$2="Egyszeri",3,2))/12*IF($D449="Nem",IF($M$13=0,1,$M$13),1),IF($D$4="Forint",0,2))</f>
        <v>#N/A</v>
      </c>
      <c r="U448" s="13"/>
      <c r="V448" s="13"/>
      <c r="W448" s="13" t="e">
        <f ca="1">$N448-$P448-$Q448+$S448-$T448-IF(ROUNDUP(IF(ISBLANK($V448),$U448*0,$V448)/IF($D$2="Egyszeri",VLOOKUP($B448+IF($C448=12,1,0),Paraméterek!$V$257:$W$262,2),IF($B448=1,1,VLOOKUP($B448+IF($C448=12,1,0),Paraméterek!$I$258:$T$278,HLOOKUP($M$11+1,Paraméterek!$J$256:$T$257,2)))),IF($D$4="Forint",0,2))&gt;$N448-$P448-$Q448+$S448-$T448-IF($D$4="Forint",Paraméterek!$C$216,Paraméterek!$D$216),0,ROUNDUP(IF(ISBLANK($V448),$U448*0,$V448)/IF($D$2="Egyszeri",VLOOKUP($B448+IF($C448=12,1,0),Paraméterek!$V$257:$W$262,2),IF($B448=1,1,VLOOKUP($B448+IF($C448=12,1,0),Paraméterek!$I$258:$T$278,HLOOKUP($M$11+1,Paraméterek!$J$256:$T$257,2)))),IF($D$4="Forint",0,2)))</f>
        <v>#N/A</v>
      </c>
      <c r="X448" s="13" t="e">
        <f ca="1">ROUNDDOWN($W448*IF($D$2="Egyszeri",VLOOKUP($B448+IF($C448=12,1,0),Paraméterek!$V$257:$W$262,2),VLOOKUP($B448+IF($C448=12,1,0),Paraméterek!$I$258:$T$278,HLOOKUP($M$11+1,Paraméterek!$I$256:$T$257,2))),IF($D$4="Forint",0,2))</f>
        <v>#N/A</v>
      </c>
      <c r="Z448" s="32">
        <v>429</v>
      </c>
      <c r="AA448" s="32">
        <v>36</v>
      </c>
      <c r="AB448" s="32">
        <v>9</v>
      </c>
      <c r="AC448" s="13">
        <f t="shared" ca="1" si="148"/>
        <v>0</v>
      </c>
      <c r="AD448" s="33"/>
      <c r="AE448" s="13">
        <f t="shared" ca="1" si="140"/>
        <v>0</v>
      </c>
      <c r="AF448" s="13">
        <f ca="1">ROUNDUP(($AC448+$AE448)*VLOOKUP($AA448,Paraméterek!$P$38:$Q$38,2)/12*IF($D449="Nem",IF($M$13=0,1,$M$13),1),IF($D$4="Forint",0,2))</f>
        <v>0</v>
      </c>
      <c r="AG448" s="13">
        <f ca="1">IF($D$2="Egyszeri",IF($D$7&gt;=IF($D$4="Forint",Paraméterek!$P$223,Paraméterek!$P$224),$D$7-IF($D$4="Forint",Paraméterek!$P$223,Paraméterek!$P$224),0),MIN(IF($AB448=12,AVERAGEIF($E$20:$E448,"&gt;0",$E$20:$E448)*12,0),SUM($E$20:$E$31)))</f>
        <v>0</v>
      </c>
      <c r="AH448" s="13">
        <f>IF($AA448=10,$AG448*IF($AB448=12,IF($AG448&lt;IF($D$4="Forint",Paraméterek!$L$223,Paraméterek!$L$224),0,VLOOKUP($AA448,Paraméterek!$K$226:$M$228,IF($AG448&lt;IF($D$4="Forint",Paraméterek!$M$223,Paraméterek!$M$224),2,3))),0),0)</f>
        <v>0</v>
      </c>
      <c r="AI448" s="13">
        <f ca="1">IF(AND($AA448=$M$11+1,$AB448=$M$12+1),SUMIF($AA$20:$AA$1027,$AA448,$AG$20:$AG$1027)*IF(SUMIF($AA$20:$AA$1027,$AA448,$AG$20:$AG$1027)&lt;IF($D$4="Forint",Paraméterek!$L$223,Paraméterek!$L$224),0,VLOOKUP($AA448,Paraméterek!$K$230:$M$250,IF(SUMIF($AA$20:$AA$1027,$AA448,$AG$20:$AG$1027)&lt;IF($D$4="Forint",Paraméterek!$M$223,Paraméterek!$M$224),2,3))),0)</f>
        <v>0</v>
      </c>
      <c r="AJ448" s="13">
        <f ca="1">IF(AND($AA448&gt;=5,MOD($AA448,5)=0),IF($AB448=12,VLOOKUP($AA448,Paraméterek!$O$225:$P$240,2),0),IF(OR($AA448=3,$AA448=4),IF($AB448=12,VLOOKUP($AA448,Paraméterek!$O$225:$P$240,2,0),0),0))*$AG448</f>
        <v>0</v>
      </c>
      <c r="AK448" s="13">
        <f t="shared" ca="1" si="141"/>
        <v>0</v>
      </c>
      <c r="AL448" s="13">
        <f t="shared" ca="1" si="149"/>
        <v>0</v>
      </c>
      <c r="AM448" s="13">
        <f t="shared" ca="1" si="150"/>
        <v>0</v>
      </c>
      <c r="AO448" s="32">
        <v>429</v>
      </c>
      <c r="AP448" s="32">
        <v>36</v>
      </c>
      <c r="AQ448" s="32">
        <v>9</v>
      </c>
      <c r="AR448" s="13"/>
      <c r="AS448" s="32"/>
      <c r="AT448" s="13">
        <f t="shared" ca="1" si="151"/>
        <v>0</v>
      </c>
      <c r="AU448" s="33"/>
      <c r="AV448" s="13">
        <f t="shared" ca="1" si="142"/>
        <v>0</v>
      </c>
      <c r="AW448" s="13">
        <f ca="1">ROUNDUP(($AT448+$AV448)*VLOOKUP($AP448,Paraméterek!$P$38:$Q$38,2)/12*IF($D449="Nem",IF($M$13=0,1,$M$13),1),IF($D$4="Forint",0,2))</f>
        <v>0</v>
      </c>
      <c r="AX448" s="13"/>
      <c r="AY448" s="13"/>
      <c r="AZ448" s="13">
        <f>ROUNDUP(IF(SUM($AX448:$AY448)=0,0,IF(IF(ISBLANK($AY448),$AX448,$AY448)*Paraméterek!$J$112&lt;IF($D$4="Forint",Paraméterek!$J$113,Paraméterek!$K$113),IF($D$4="Forint",Paraméterek!$J$113,Paraméterek!$K$113),IF(IF(ISBLANK($AY448),$AX448,$AY448)*Paraméterek!$J$112&gt;IF($D$4="Forint",Paraméterek!$J$114,Paraméterek!$K$114),IF($D$4="Forint",Paraméterek!$J$114,Paraméterek!$K$114),IF(ISBLANK($AY448),$AX448,$AY448)*Paraméterek!$J$112))),IF($D$4="Forint",0,2))</f>
        <v>0</v>
      </c>
      <c r="BA448" s="13">
        <f ca="1">$AT448+$AV448-$AW448-IF(ROUNDDOWN(IF(ISBLANK($AY448),$AX448,$AY448),IF($D$4="Forint",0,2))&gt;$AT448+$AV448-$AW448-IF($D$4="Forint",Paraméterek!$J$114,Paraméterek!$K$114),0,ROUNDDOWN(IF(ISBLANK($AY448),$AX448,$AY448),IF($D$4="Forint",0,2))-$AZ448)</f>
        <v>0</v>
      </c>
      <c r="BB448" s="13">
        <f t="shared" ca="1" si="143"/>
        <v>0</v>
      </c>
      <c r="BD448" s="32">
        <v>429</v>
      </c>
      <c r="BE448" s="32">
        <v>36</v>
      </c>
      <c r="BF448" s="32">
        <v>9</v>
      </c>
      <c r="BG448" s="34">
        <f t="shared" ca="1" si="152"/>
        <v>2055</v>
      </c>
      <c r="BH448" s="32" t="str">
        <f ca="1">IF(MOD(MONTH($D$14)+$BD448-1,12)=Paraméterek!$C$288,"Igen","")</f>
        <v/>
      </c>
      <c r="BI448" s="13">
        <f ca="1">IF($BH448="Igen",MIN(ROUNDDOWN((SUMIF($BG$20:$BG$1027,$BG448-1,$K$20:$K$1027)-SUMIF($BG$20:$BG$1027,$BG448-1,$I$20:$I$1027))*Paraméterek!$C$289,IF($D$4="Forint",0,2)),IF($D$4="Forint",Paraméterek!$C$285,Paraméterek!$D$285)),0)</f>
        <v>0</v>
      </c>
      <c r="BJ448" s="13">
        <f t="shared" ca="1" si="144"/>
        <v>0</v>
      </c>
      <c r="BK448" s="13">
        <f t="shared" ca="1" si="153"/>
        <v>0</v>
      </c>
      <c r="BL448" s="33"/>
      <c r="BM448" s="13">
        <f t="shared" ca="1" si="145"/>
        <v>0</v>
      </c>
      <c r="BN448" s="13">
        <f ca="1">ROUNDUP(($BK448+$BM448)*VLOOKUP($BE448,Paraméterek!$P$38:$Q$38,2)/12*IF($D449="Nem",IF($M$13=0,1,$M$13),1),IF($D$4="Forint",0,2))</f>
        <v>0</v>
      </c>
      <c r="BO448" s="13">
        <f t="shared" ca="1" si="146"/>
        <v>0</v>
      </c>
      <c r="BP448" s="13">
        <f ca="1">IF($D449="Nem",$BO448,$BO448-ROUNDUP(SUM($BI$20:$BI448)*120%,IF($D$4="Forint",0,2)))</f>
        <v>0</v>
      </c>
    </row>
    <row r="449" spans="1:68" x14ac:dyDescent="0.2">
      <c r="A449" s="32">
        <v>430</v>
      </c>
      <c r="B449" s="32">
        <v>36</v>
      </c>
      <c r="C449" s="32">
        <v>10</v>
      </c>
      <c r="D449" s="32" t="str">
        <f t="shared" ca="1" si="132"/>
        <v>Nem</v>
      </c>
      <c r="E449" s="13">
        <f t="shared" ca="1" si="133"/>
        <v>0</v>
      </c>
      <c r="F449" s="13"/>
      <c r="G449" s="13"/>
      <c r="H449" s="13"/>
      <c r="I449" s="13">
        <f t="shared" ca="1" si="134"/>
        <v>0</v>
      </c>
      <c r="J449" s="13">
        <f t="shared" ca="1" si="135"/>
        <v>0</v>
      </c>
      <c r="K449" s="13">
        <f t="shared" ca="1" si="136"/>
        <v>0</v>
      </c>
      <c r="L449" s="13" t="e">
        <f ca="1">ROUNDUP(IF($D$2="Egyszeri",$E449,IF($D$2="Havi",SUM($E$20:$E$31),IF(MOD($C449,$M$1)-1=0,SUM($E$20:$E$31),0))/12*$M$1)*VLOOKUP($B449,Paraméterek!$I$28:$P$31,IF($D$2="Egyszeri",8,HLOOKUP(ROUNDUP($M$11+$M$13,0),Paraméterek!$J$26:$O$27,2))),IF($D$4="Forint",0,2))</f>
        <v>#N/A</v>
      </c>
      <c r="M449" s="13">
        <f t="shared" ca="1" si="137"/>
        <v>0</v>
      </c>
      <c r="N449" s="13">
        <f t="shared" ca="1" si="147"/>
        <v>0</v>
      </c>
      <c r="O449" s="13">
        <f ca="1">IF($D449="Igen",IF($W448&gt;=IF($D$4="Forint",Paraméterek!$J$121,Paraméterek!$K$121),0,IF($D$4="Forint",Paraméterek!$J$121,Paraméterek!$K$121)-$W448),0)</f>
        <v>0</v>
      </c>
      <c r="P449" s="13" t="e">
        <f ca="1">ROUNDUP($O449*VLOOKUP($M$4+$B449-1,Paraméterek!$H$58:$I$105,2,0)/Paraméterek!$I$56,IF($D$4="Forint",0,2))</f>
        <v>#N/A</v>
      </c>
      <c r="Q449" s="13">
        <f t="shared" ca="1" si="138"/>
        <v>0</v>
      </c>
      <c r="R449" s="33"/>
      <c r="S449" s="13" t="e">
        <f t="shared" ca="1" si="139"/>
        <v>#N/A</v>
      </c>
      <c r="T449" s="13" t="e">
        <f ca="1">ROUNDUP(($N449-$P449-$Q449+$S449)*VLOOKUP($B449,Paraméterek!$I$38:$K$39,IF($D$2="Egyszeri",3,2))/12*IF($D450="Nem",IF($M$13=0,1,$M$13),1),IF($D$4="Forint",0,2))</f>
        <v>#N/A</v>
      </c>
      <c r="U449" s="13"/>
      <c r="V449" s="13"/>
      <c r="W449" s="13" t="e">
        <f ca="1">$N449-$P449-$Q449+$S449-$T449-IF(ROUNDUP(IF(ISBLANK($V449),$U449*0,$V449)/IF($D$2="Egyszeri",VLOOKUP($B449+IF($C449=12,1,0),Paraméterek!$V$257:$W$262,2),IF($B449=1,1,VLOOKUP($B449+IF($C449=12,1,0),Paraméterek!$I$258:$T$278,HLOOKUP($M$11+1,Paraméterek!$J$256:$T$257,2)))),IF($D$4="Forint",0,2))&gt;$N449-$P449-$Q449+$S449-$T449-IF($D$4="Forint",Paraméterek!$C$216,Paraméterek!$D$216),0,ROUNDUP(IF(ISBLANK($V449),$U449*0,$V449)/IF($D$2="Egyszeri",VLOOKUP($B449+IF($C449=12,1,0),Paraméterek!$V$257:$W$262,2),IF($B449=1,1,VLOOKUP($B449+IF($C449=12,1,0),Paraméterek!$I$258:$T$278,HLOOKUP($M$11+1,Paraméterek!$J$256:$T$257,2)))),IF($D$4="Forint",0,2)))</f>
        <v>#N/A</v>
      </c>
      <c r="X449" s="13" t="e">
        <f ca="1">ROUNDDOWN($W449*IF($D$2="Egyszeri",VLOOKUP($B449+IF($C449=12,1,0),Paraméterek!$V$257:$W$262,2),VLOOKUP($B449+IF($C449=12,1,0),Paraméterek!$I$258:$T$278,HLOOKUP($M$11+1,Paraméterek!$I$256:$T$257,2))),IF($D$4="Forint",0,2))</f>
        <v>#N/A</v>
      </c>
      <c r="Z449" s="32">
        <v>430</v>
      </c>
      <c r="AA449" s="32">
        <v>36</v>
      </c>
      <c r="AB449" s="32">
        <v>10</v>
      </c>
      <c r="AC449" s="13">
        <f t="shared" ca="1" si="148"/>
        <v>0</v>
      </c>
      <c r="AD449" s="33"/>
      <c r="AE449" s="13">
        <f t="shared" ca="1" si="140"/>
        <v>0</v>
      </c>
      <c r="AF449" s="13">
        <f ca="1">ROUNDUP(($AC449+$AE449)*VLOOKUP($AA449,Paraméterek!$P$38:$Q$38,2)/12*IF($D450="Nem",IF($M$13=0,1,$M$13),1),IF($D$4="Forint",0,2))</f>
        <v>0</v>
      </c>
      <c r="AG449" s="13">
        <f ca="1">IF($D$2="Egyszeri",IF($D$7&gt;=IF($D$4="Forint",Paraméterek!$P$223,Paraméterek!$P$224),$D$7-IF($D$4="Forint",Paraméterek!$P$223,Paraméterek!$P$224),0),MIN(IF($AB449=12,AVERAGEIF($E$20:$E449,"&gt;0",$E$20:$E449)*12,0),SUM($E$20:$E$31)))</f>
        <v>0</v>
      </c>
      <c r="AH449" s="13">
        <f>IF($AA449=10,$AG449*IF($AB449=12,IF($AG449&lt;IF($D$4="Forint",Paraméterek!$L$223,Paraméterek!$L$224),0,VLOOKUP($AA449,Paraméterek!$K$226:$M$228,IF($AG449&lt;IF($D$4="Forint",Paraméterek!$M$223,Paraméterek!$M$224),2,3))),0),0)</f>
        <v>0</v>
      </c>
      <c r="AI449" s="13">
        <f ca="1">IF(AND($AA449=$M$11+1,$AB449=$M$12+1),SUMIF($AA$20:$AA$1027,$AA449,$AG$20:$AG$1027)*IF(SUMIF($AA$20:$AA$1027,$AA449,$AG$20:$AG$1027)&lt;IF($D$4="Forint",Paraméterek!$L$223,Paraméterek!$L$224),0,VLOOKUP($AA449,Paraméterek!$K$230:$M$250,IF(SUMIF($AA$20:$AA$1027,$AA449,$AG$20:$AG$1027)&lt;IF($D$4="Forint",Paraméterek!$M$223,Paraméterek!$M$224),2,3))),0)</f>
        <v>0</v>
      </c>
      <c r="AJ449" s="13">
        <f ca="1">IF(AND($AA449&gt;=5,MOD($AA449,5)=0),IF($AB449=12,VLOOKUP($AA449,Paraméterek!$O$225:$P$240,2),0),IF(OR($AA449=3,$AA449=4),IF($AB449=12,VLOOKUP($AA449,Paraméterek!$O$225:$P$240,2,0),0),0))*$AG449</f>
        <v>0</v>
      </c>
      <c r="AK449" s="13">
        <f t="shared" ca="1" si="141"/>
        <v>0</v>
      </c>
      <c r="AL449" s="13">
        <f t="shared" ca="1" si="149"/>
        <v>0</v>
      </c>
      <c r="AM449" s="13">
        <f t="shared" ca="1" si="150"/>
        <v>0</v>
      </c>
      <c r="AO449" s="32">
        <v>430</v>
      </c>
      <c r="AP449" s="32">
        <v>36</v>
      </c>
      <c r="AQ449" s="32">
        <v>10</v>
      </c>
      <c r="AR449" s="13"/>
      <c r="AS449" s="32"/>
      <c r="AT449" s="13">
        <f t="shared" ca="1" si="151"/>
        <v>0</v>
      </c>
      <c r="AU449" s="33"/>
      <c r="AV449" s="13">
        <f t="shared" ca="1" si="142"/>
        <v>0</v>
      </c>
      <c r="AW449" s="13">
        <f ca="1">ROUNDUP(($AT449+$AV449)*VLOOKUP($AP449,Paraméterek!$P$38:$Q$38,2)/12*IF($D450="Nem",IF($M$13=0,1,$M$13),1),IF($D$4="Forint",0,2))</f>
        <v>0</v>
      </c>
      <c r="AX449" s="13"/>
      <c r="AY449" s="13"/>
      <c r="AZ449" s="13">
        <f>ROUNDUP(IF(SUM($AX449:$AY449)=0,0,IF(IF(ISBLANK($AY449),$AX449,$AY449)*Paraméterek!$J$112&lt;IF($D$4="Forint",Paraméterek!$J$113,Paraméterek!$K$113),IF($D$4="Forint",Paraméterek!$J$113,Paraméterek!$K$113),IF(IF(ISBLANK($AY449),$AX449,$AY449)*Paraméterek!$J$112&gt;IF($D$4="Forint",Paraméterek!$J$114,Paraméterek!$K$114),IF($D$4="Forint",Paraméterek!$J$114,Paraméterek!$K$114),IF(ISBLANK($AY449),$AX449,$AY449)*Paraméterek!$J$112))),IF($D$4="Forint",0,2))</f>
        <v>0</v>
      </c>
      <c r="BA449" s="13">
        <f ca="1">$AT449+$AV449-$AW449-IF(ROUNDDOWN(IF(ISBLANK($AY449),$AX449,$AY449),IF($D$4="Forint",0,2))&gt;$AT449+$AV449-$AW449-IF($D$4="Forint",Paraméterek!$J$114,Paraméterek!$K$114),0,ROUNDDOWN(IF(ISBLANK($AY449),$AX449,$AY449),IF($D$4="Forint",0,2))-$AZ449)</f>
        <v>0</v>
      </c>
      <c r="BB449" s="13">
        <f t="shared" ca="1" si="143"/>
        <v>0</v>
      </c>
      <c r="BD449" s="32">
        <v>430</v>
      </c>
      <c r="BE449" s="32">
        <v>36</v>
      </c>
      <c r="BF449" s="32">
        <v>10</v>
      </c>
      <c r="BG449" s="34">
        <f t="shared" ca="1" si="152"/>
        <v>2055</v>
      </c>
      <c r="BH449" s="32" t="str">
        <f ca="1">IF(MOD(MONTH($D$14)+$BD449-1,12)=Paraméterek!$C$288,"Igen","")</f>
        <v/>
      </c>
      <c r="BI449" s="13">
        <f ca="1">IF($BH449="Igen",MIN(ROUNDDOWN((SUMIF($BG$20:$BG$1027,$BG449-1,$K$20:$K$1027)-SUMIF($BG$20:$BG$1027,$BG449-1,$I$20:$I$1027))*Paraméterek!$C$289,IF($D$4="Forint",0,2)),IF($D$4="Forint",Paraméterek!$C$285,Paraméterek!$D$285)),0)</f>
        <v>0</v>
      </c>
      <c r="BJ449" s="13">
        <f t="shared" ca="1" si="144"/>
        <v>0</v>
      </c>
      <c r="BK449" s="13">
        <f t="shared" ca="1" si="153"/>
        <v>0</v>
      </c>
      <c r="BL449" s="33"/>
      <c r="BM449" s="13">
        <f t="shared" ca="1" si="145"/>
        <v>0</v>
      </c>
      <c r="BN449" s="13">
        <f ca="1">ROUNDUP(($BK449+$BM449)*VLOOKUP($BE449,Paraméterek!$P$38:$Q$38,2)/12*IF($D450="Nem",IF($M$13=0,1,$M$13),1),IF($D$4="Forint",0,2))</f>
        <v>0</v>
      </c>
      <c r="BO449" s="13">
        <f t="shared" ca="1" si="146"/>
        <v>0</v>
      </c>
      <c r="BP449" s="13">
        <f ca="1">IF($D450="Nem",$BO449,$BO449-ROUNDUP(SUM($BI$20:$BI449)*120%,IF($D$4="Forint",0,2)))</f>
        <v>0</v>
      </c>
    </row>
    <row r="450" spans="1:68" x14ac:dyDescent="0.2">
      <c r="A450" s="32">
        <v>431</v>
      </c>
      <c r="B450" s="32">
        <v>36</v>
      </c>
      <c r="C450" s="32">
        <v>11</v>
      </c>
      <c r="D450" s="32" t="str">
        <f t="shared" ca="1" si="132"/>
        <v>Nem</v>
      </c>
      <c r="E450" s="13">
        <f t="shared" ca="1" si="133"/>
        <v>0</v>
      </c>
      <c r="F450" s="13"/>
      <c r="G450" s="13"/>
      <c r="H450" s="13"/>
      <c r="I450" s="13">
        <f t="shared" ca="1" si="134"/>
        <v>0</v>
      </c>
      <c r="J450" s="13">
        <f t="shared" ca="1" si="135"/>
        <v>0</v>
      </c>
      <c r="K450" s="13">
        <f t="shared" ca="1" si="136"/>
        <v>0</v>
      </c>
      <c r="L450" s="13" t="e">
        <f ca="1">ROUNDUP(IF($D$2="Egyszeri",$E450,IF($D$2="Havi",SUM($E$20:$E$31),IF(MOD($C450,$M$1)-1=0,SUM($E$20:$E$31),0))/12*$M$1)*VLOOKUP($B450,Paraméterek!$I$28:$P$31,IF($D$2="Egyszeri",8,HLOOKUP(ROUNDUP($M$11+$M$13,0),Paraméterek!$J$26:$O$27,2))),IF($D$4="Forint",0,2))</f>
        <v>#N/A</v>
      </c>
      <c r="M450" s="13">
        <f t="shared" ca="1" si="137"/>
        <v>0</v>
      </c>
      <c r="N450" s="13">
        <f t="shared" ca="1" si="147"/>
        <v>0</v>
      </c>
      <c r="O450" s="13">
        <f ca="1">IF($D450="Igen",IF($W449&gt;=IF($D$4="Forint",Paraméterek!$J$121,Paraméterek!$K$121),0,IF($D$4="Forint",Paraméterek!$J$121,Paraméterek!$K$121)-$W449),0)</f>
        <v>0</v>
      </c>
      <c r="P450" s="13" t="e">
        <f ca="1">ROUNDUP($O450*VLOOKUP($M$4+$B450-1,Paraméterek!$H$58:$I$105,2,0)/Paraméterek!$I$56,IF($D$4="Forint",0,2))</f>
        <v>#N/A</v>
      </c>
      <c r="Q450" s="13">
        <f t="shared" ca="1" si="138"/>
        <v>0</v>
      </c>
      <c r="R450" s="33"/>
      <c r="S450" s="13" t="e">
        <f t="shared" ca="1" si="139"/>
        <v>#N/A</v>
      </c>
      <c r="T450" s="13" t="e">
        <f ca="1">ROUNDUP(($N450-$P450-$Q450+$S450)*VLOOKUP($B450,Paraméterek!$I$38:$K$39,IF($D$2="Egyszeri",3,2))/12*IF($D451="Nem",IF($M$13=0,1,$M$13),1),IF($D$4="Forint",0,2))</f>
        <v>#N/A</v>
      </c>
      <c r="U450" s="13"/>
      <c r="V450" s="13"/>
      <c r="W450" s="13" t="e">
        <f ca="1">$N450-$P450-$Q450+$S450-$T450-IF(ROUNDUP(IF(ISBLANK($V450),$U450*0,$V450)/IF($D$2="Egyszeri",VLOOKUP($B450+IF($C450=12,1,0),Paraméterek!$V$257:$W$262,2),IF($B450=1,1,VLOOKUP($B450+IF($C450=12,1,0),Paraméterek!$I$258:$T$278,HLOOKUP($M$11+1,Paraméterek!$J$256:$T$257,2)))),IF($D$4="Forint",0,2))&gt;$N450-$P450-$Q450+$S450-$T450-IF($D$4="Forint",Paraméterek!$C$216,Paraméterek!$D$216),0,ROUNDUP(IF(ISBLANK($V450),$U450*0,$V450)/IF($D$2="Egyszeri",VLOOKUP($B450+IF($C450=12,1,0),Paraméterek!$V$257:$W$262,2),IF($B450=1,1,VLOOKUP($B450+IF($C450=12,1,0),Paraméterek!$I$258:$T$278,HLOOKUP($M$11+1,Paraméterek!$J$256:$T$257,2)))),IF($D$4="Forint",0,2)))</f>
        <v>#N/A</v>
      </c>
      <c r="X450" s="13" t="e">
        <f ca="1">ROUNDDOWN($W450*IF($D$2="Egyszeri",VLOOKUP($B450+IF($C450=12,1,0),Paraméterek!$V$257:$W$262,2),VLOOKUP($B450+IF($C450=12,1,0),Paraméterek!$I$258:$T$278,HLOOKUP($M$11+1,Paraméterek!$I$256:$T$257,2))),IF($D$4="Forint",0,2))</f>
        <v>#N/A</v>
      </c>
      <c r="Z450" s="32">
        <v>431</v>
      </c>
      <c r="AA450" s="32">
        <v>36</v>
      </c>
      <c r="AB450" s="32">
        <v>11</v>
      </c>
      <c r="AC450" s="13">
        <f t="shared" ca="1" si="148"/>
        <v>0</v>
      </c>
      <c r="AD450" s="33"/>
      <c r="AE450" s="13">
        <f t="shared" ca="1" si="140"/>
        <v>0</v>
      </c>
      <c r="AF450" s="13">
        <f ca="1">ROUNDUP(($AC450+$AE450)*VLOOKUP($AA450,Paraméterek!$P$38:$Q$38,2)/12*IF($D451="Nem",IF($M$13=0,1,$M$13),1),IF($D$4="Forint",0,2))</f>
        <v>0</v>
      </c>
      <c r="AG450" s="13">
        <f ca="1">IF($D$2="Egyszeri",IF($D$7&gt;=IF($D$4="Forint",Paraméterek!$P$223,Paraméterek!$P$224),$D$7-IF($D$4="Forint",Paraméterek!$P$223,Paraméterek!$P$224),0),MIN(IF($AB450=12,AVERAGEIF($E$20:$E450,"&gt;0",$E$20:$E450)*12,0),SUM($E$20:$E$31)))</f>
        <v>0</v>
      </c>
      <c r="AH450" s="13">
        <f>IF($AA450=10,$AG450*IF($AB450=12,IF($AG450&lt;IF($D$4="Forint",Paraméterek!$L$223,Paraméterek!$L$224),0,VLOOKUP($AA450,Paraméterek!$K$226:$M$228,IF($AG450&lt;IF($D$4="Forint",Paraméterek!$M$223,Paraméterek!$M$224),2,3))),0),0)</f>
        <v>0</v>
      </c>
      <c r="AI450" s="13">
        <f ca="1">IF(AND($AA450=$M$11+1,$AB450=$M$12+1),SUMIF($AA$20:$AA$1027,$AA450,$AG$20:$AG$1027)*IF(SUMIF($AA$20:$AA$1027,$AA450,$AG$20:$AG$1027)&lt;IF($D$4="Forint",Paraméterek!$L$223,Paraméterek!$L$224),0,VLOOKUP($AA450,Paraméterek!$K$230:$M$250,IF(SUMIF($AA$20:$AA$1027,$AA450,$AG$20:$AG$1027)&lt;IF($D$4="Forint",Paraméterek!$M$223,Paraméterek!$M$224),2,3))),0)</f>
        <v>0</v>
      </c>
      <c r="AJ450" s="13">
        <f ca="1">IF(AND($AA450&gt;=5,MOD($AA450,5)=0),IF($AB450=12,VLOOKUP($AA450,Paraméterek!$O$225:$P$240,2),0),IF(OR($AA450=3,$AA450=4),IF($AB450=12,VLOOKUP($AA450,Paraméterek!$O$225:$P$240,2,0),0),0))*$AG450</f>
        <v>0</v>
      </c>
      <c r="AK450" s="13">
        <f t="shared" ca="1" si="141"/>
        <v>0</v>
      </c>
      <c r="AL450" s="13">
        <f t="shared" ca="1" si="149"/>
        <v>0</v>
      </c>
      <c r="AM450" s="13">
        <f t="shared" ca="1" si="150"/>
        <v>0</v>
      </c>
      <c r="AO450" s="32">
        <v>431</v>
      </c>
      <c r="AP450" s="32">
        <v>36</v>
      </c>
      <c r="AQ450" s="32">
        <v>11</v>
      </c>
      <c r="AR450" s="13"/>
      <c r="AS450" s="32"/>
      <c r="AT450" s="13">
        <f t="shared" ca="1" si="151"/>
        <v>0</v>
      </c>
      <c r="AU450" s="33"/>
      <c r="AV450" s="13">
        <f t="shared" ca="1" si="142"/>
        <v>0</v>
      </c>
      <c r="AW450" s="13">
        <f ca="1">ROUNDUP(($AT450+$AV450)*VLOOKUP($AP450,Paraméterek!$P$38:$Q$38,2)/12*IF($D451="Nem",IF($M$13=0,1,$M$13),1),IF($D$4="Forint",0,2))</f>
        <v>0</v>
      </c>
      <c r="AX450" s="13"/>
      <c r="AY450" s="13"/>
      <c r="AZ450" s="13">
        <f>ROUNDUP(IF(SUM($AX450:$AY450)=0,0,IF(IF(ISBLANK($AY450),$AX450,$AY450)*Paraméterek!$J$112&lt;IF($D$4="Forint",Paraméterek!$J$113,Paraméterek!$K$113),IF($D$4="Forint",Paraméterek!$J$113,Paraméterek!$K$113),IF(IF(ISBLANK($AY450),$AX450,$AY450)*Paraméterek!$J$112&gt;IF($D$4="Forint",Paraméterek!$J$114,Paraméterek!$K$114),IF($D$4="Forint",Paraméterek!$J$114,Paraméterek!$K$114),IF(ISBLANK($AY450),$AX450,$AY450)*Paraméterek!$J$112))),IF($D$4="Forint",0,2))</f>
        <v>0</v>
      </c>
      <c r="BA450" s="13">
        <f ca="1">$AT450+$AV450-$AW450-IF(ROUNDDOWN(IF(ISBLANK($AY450),$AX450,$AY450),IF($D$4="Forint",0,2))&gt;$AT450+$AV450-$AW450-IF($D$4="Forint",Paraméterek!$J$114,Paraméterek!$K$114),0,ROUNDDOWN(IF(ISBLANK($AY450),$AX450,$AY450),IF($D$4="Forint",0,2))-$AZ450)</f>
        <v>0</v>
      </c>
      <c r="BB450" s="13">
        <f t="shared" ca="1" si="143"/>
        <v>0</v>
      </c>
      <c r="BD450" s="32">
        <v>431</v>
      </c>
      <c r="BE450" s="32">
        <v>36</v>
      </c>
      <c r="BF450" s="32">
        <v>11</v>
      </c>
      <c r="BG450" s="34">
        <f t="shared" ca="1" si="152"/>
        <v>2055</v>
      </c>
      <c r="BH450" s="32" t="str">
        <f ca="1">IF(MOD(MONTH($D$14)+$BD450-1,12)=Paraméterek!$C$288,"Igen","")</f>
        <v/>
      </c>
      <c r="BI450" s="13">
        <f ca="1">IF($BH450="Igen",MIN(ROUNDDOWN((SUMIF($BG$20:$BG$1027,$BG450-1,$K$20:$K$1027)-SUMIF($BG$20:$BG$1027,$BG450-1,$I$20:$I$1027))*Paraméterek!$C$289,IF($D$4="Forint",0,2)),IF($D$4="Forint",Paraméterek!$C$285,Paraméterek!$D$285)),0)</f>
        <v>0</v>
      </c>
      <c r="BJ450" s="13">
        <f t="shared" ca="1" si="144"/>
        <v>0</v>
      </c>
      <c r="BK450" s="13">
        <f t="shared" ca="1" si="153"/>
        <v>0</v>
      </c>
      <c r="BL450" s="33"/>
      <c r="BM450" s="13">
        <f t="shared" ca="1" si="145"/>
        <v>0</v>
      </c>
      <c r="BN450" s="13">
        <f ca="1">ROUNDUP(($BK450+$BM450)*VLOOKUP($BE450,Paraméterek!$P$38:$Q$38,2)/12*IF($D451="Nem",IF($M$13=0,1,$M$13),1),IF($D$4="Forint",0,2))</f>
        <v>0</v>
      </c>
      <c r="BO450" s="13">
        <f t="shared" ca="1" si="146"/>
        <v>0</v>
      </c>
      <c r="BP450" s="13">
        <f ca="1">IF($D451="Nem",$BO450,$BO450-ROUNDUP(SUM($BI$20:$BI450)*120%,IF($D$4="Forint",0,2)))</f>
        <v>0</v>
      </c>
    </row>
    <row r="451" spans="1:68" x14ac:dyDescent="0.2">
      <c r="A451" s="32">
        <v>432</v>
      </c>
      <c r="B451" s="32">
        <v>36</v>
      </c>
      <c r="C451" s="32">
        <v>12</v>
      </c>
      <c r="D451" s="32" t="str">
        <f t="shared" ca="1" si="132"/>
        <v>Nem</v>
      </c>
      <c r="E451" s="13">
        <f t="shared" ca="1" si="133"/>
        <v>0</v>
      </c>
      <c r="F451" s="13"/>
      <c r="G451" s="13"/>
      <c r="H451" s="13"/>
      <c r="I451" s="13">
        <f t="shared" ca="1" si="134"/>
        <v>0</v>
      </c>
      <c r="J451" s="13">
        <f t="shared" ca="1" si="135"/>
        <v>0</v>
      </c>
      <c r="K451" s="13">
        <f t="shared" ca="1" si="136"/>
        <v>0</v>
      </c>
      <c r="L451" s="13" t="e">
        <f ca="1">ROUNDUP(IF($D$2="Egyszeri",$E451,IF($D$2="Havi",SUM($E$20:$E$31),IF(MOD($C451,$M$1)-1=0,SUM($E$20:$E$31),0))/12*$M$1)*VLOOKUP($B451,Paraméterek!$I$28:$P$31,IF($D$2="Egyszeri",8,HLOOKUP(ROUNDUP($M$11+$M$13,0),Paraméterek!$J$26:$O$27,2))),IF($D$4="Forint",0,2))</f>
        <v>#N/A</v>
      </c>
      <c r="M451" s="13">
        <f t="shared" ca="1" si="137"/>
        <v>0</v>
      </c>
      <c r="N451" s="13">
        <f t="shared" ca="1" si="147"/>
        <v>0</v>
      </c>
      <c r="O451" s="13">
        <f ca="1">IF($D451="Igen",IF($W450&gt;=IF($D$4="Forint",Paraméterek!$J$121,Paraméterek!$K$121),0,IF($D$4="Forint",Paraméterek!$J$121,Paraméterek!$K$121)-$W450),0)</f>
        <v>0</v>
      </c>
      <c r="P451" s="13" t="e">
        <f ca="1">ROUNDUP($O451*VLOOKUP($M$4+$B451-1,Paraméterek!$H$58:$I$105,2,0)/Paraméterek!$I$56,IF($D$4="Forint",0,2))</f>
        <v>#N/A</v>
      </c>
      <c r="Q451" s="13">
        <f t="shared" ca="1" si="138"/>
        <v>0</v>
      </c>
      <c r="R451" s="33"/>
      <c r="S451" s="13" t="e">
        <f t="shared" ca="1" si="139"/>
        <v>#N/A</v>
      </c>
      <c r="T451" s="13" t="e">
        <f ca="1">ROUNDUP(($N451-$P451-$Q451+$S451)*VLOOKUP($B451,Paraméterek!$I$38:$K$39,IF($D$2="Egyszeri",3,2))/12*IF($D452="Nem",IF($M$13=0,1,$M$13),1),IF($D$4="Forint",0,2))</f>
        <v>#N/A</v>
      </c>
      <c r="U451" s="13">
        <f>Tranzakciók!$F$67</f>
        <v>0</v>
      </c>
      <c r="V451" s="13"/>
      <c r="W451" s="13" t="e">
        <f ca="1">$N451-$P451-$Q451+$S451-$T451-IF(ROUNDUP(IF(ISBLANK($V451),$U451*0,$V451)/IF($D$2="Egyszeri",VLOOKUP($B451+IF($C451=12,1,0),Paraméterek!$V$257:$W$262,2),IF($B451=1,1,VLOOKUP($B451+IF($C451=12,1,0),Paraméterek!$I$258:$T$278,HLOOKUP($M$11+1,Paraméterek!$J$256:$T$257,2)))),IF($D$4="Forint",0,2))&gt;$N451-$P451-$Q451+$S451-$T451-IF($D$4="Forint",Paraméterek!$C$216,Paraméterek!$D$216),0,ROUNDUP(IF(ISBLANK($V451),$U451*0,$V451)/IF($D$2="Egyszeri",VLOOKUP($B451+IF($C451=12,1,0),Paraméterek!$V$257:$W$262,2),IF($B451=1,1,VLOOKUP($B451+IF($C451=12,1,0),Paraméterek!$I$258:$T$278,HLOOKUP($M$11+1,Paraméterek!$J$256:$T$257,2)))),IF($D$4="Forint",0,2)))</f>
        <v>#N/A</v>
      </c>
      <c r="X451" s="13" t="e">
        <f ca="1">ROUNDDOWN($W451*IF($D$2="Egyszeri",VLOOKUP($B451+IF($C451=12,1,0),Paraméterek!$V$257:$W$262,2),VLOOKUP($B451+IF($C451=12,1,0),Paraméterek!$I$258:$T$278,HLOOKUP($M$11+1,Paraméterek!$I$256:$T$257,2))),IF($D$4="Forint",0,2))</f>
        <v>#N/A</v>
      </c>
      <c r="Z451" s="32">
        <v>432</v>
      </c>
      <c r="AA451" s="32">
        <v>36</v>
      </c>
      <c r="AB451" s="32">
        <v>12</v>
      </c>
      <c r="AC451" s="13">
        <f t="shared" ca="1" si="148"/>
        <v>0</v>
      </c>
      <c r="AD451" s="33"/>
      <c r="AE451" s="13">
        <f t="shared" ca="1" si="140"/>
        <v>0</v>
      </c>
      <c r="AF451" s="13">
        <f ca="1">ROUNDUP(($AC451+$AE451)*VLOOKUP($AA451,Paraméterek!$P$38:$Q$38,2)/12*IF($D452="Nem",IF($M$13=0,1,$M$13),1),IF($D$4="Forint",0,2))</f>
        <v>0</v>
      </c>
      <c r="AG451" s="13" t="e">
        <f ca="1">IF($D$2="Egyszeri",IF($D$7&gt;=IF($D$4="Forint",Paraméterek!$P$223,Paraméterek!$P$224),$D$7-IF($D$4="Forint",Paraméterek!$P$223,Paraméterek!$P$224),0),MIN(IF($AB451=12,AVERAGEIF($E$20:$E451,"&gt;0",$E$20:$E451)*12,0),SUM($E$20:$E$31)))</f>
        <v>#DIV/0!</v>
      </c>
      <c r="AH451" s="13">
        <f>IF($AA451=10,$AG451*IF($AB451=12,IF($AG451&lt;IF($D$4="Forint",Paraméterek!$L$223,Paraméterek!$L$224),0,VLOOKUP($AA451,Paraméterek!$K$226:$M$228,IF($AG451&lt;IF($D$4="Forint",Paraméterek!$M$223,Paraméterek!$M$224),2,3))),0),0)</f>
        <v>0</v>
      </c>
      <c r="AI451" s="13">
        <f ca="1">IF(AND($AA451=$M$11+1,$AB451=$M$12+1),SUMIF($AA$20:$AA$1027,$AA451,$AG$20:$AG$1027)*IF(SUMIF($AA$20:$AA$1027,$AA451,$AG$20:$AG$1027)&lt;IF($D$4="Forint",Paraméterek!$L$223,Paraméterek!$L$224),0,VLOOKUP($AA451,Paraméterek!$K$230:$M$250,IF(SUMIF($AA$20:$AA$1027,$AA451,$AG$20:$AG$1027)&lt;IF($D$4="Forint",Paraméterek!$M$223,Paraméterek!$M$224),2,3))),0)</f>
        <v>0</v>
      </c>
      <c r="AJ451" s="13" t="e">
        <f ca="1">IF(AND($AA451&gt;=5,MOD($AA451,5)=0),IF($AB451=12,VLOOKUP($AA451,Paraméterek!$O$225:$P$240,2),0),IF(OR($AA451=3,$AA451=4),IF($AB451=12,VLOOKUP($AA451,Paraméterek!$O$225:$P$240,2,0),0),0))*$AG451</f>
        <v>#DIV/0!</v>
      </c>
      <c r="AK451" s="13">
        <f t="shared" ca="1" si="141"/>
        <v>0</v>
      </c>
      <c r="AL451" s="13">
        <f t="shared" ca="1" si="149"/>
        <v>0</v>
      </c>
      <c r="AM451" s="13">
        <f t="shared" ca="1" si="150"/>
        <v>0</v>
      </c>
      <c r="AO451" s="32">
        <v>432</v>
      </c>
      <c r="AP451" s="32">
        <v>36</v>
      </c>
      <c r="AQ451" s="32">
        <v>12</v>
      </c>
      <c r="AR451" s="13"/>
      <c r="AS451" s="32"/>
      <c r="AT451" s="13">
        <f t="shared" ca="1" si="151"/>
        <v>0</v>
      </c>
      <c r="AU451" s="33"/>
      <c r="AV451" s="13">
        <f t="shared" ca="1" si="142"/>
        <v>0</v>
      </c>
      <c r="AW451" s="13">
        <f ca="1">ROUNDUP(($AT451+$AV451)*VLOOKUP($AP451,Paraméterek!$P$38:$Q$38,2)/12*IF($D452="Nem",IF($M$13=0,1,$M$13),1),IF($D$4="Forint",0,2))</f>
        <v>0</v>
      </c>
      <c r="AX451" s="13">
        <f>Tranzakciók!$M$67</f>
        <v>0</v>
      </c>
      <c r="AY451" s="13"/>
      <c r="AZ451" s="13">
        <f>ROUNDUP(IF(SUM($AX451:$AY451)=0,0,IF(IF(ISBLANK($AY451),$AX451,$AY451)*Paraméterek!$J$112&lt;IF($D$4="Forint",Paraméterek!$J$113,Paraméterek!$K$113),IF($D$4="Forint",Paraméterek!$J$113,Paraméterek!$K$113),IF(IF(ISBLANK($AY451),$AX451,$AY451)*Paraméterek!$J$112&gt;IF($D$4="Forint",Paraméterek!$J$114,Paraméterek!$K$114),IF($D$4="Forint",Paraméterek!$J$114,Paraméterek!$K$114),IF(ISBLANK($AY451),$AX451,$AY451)*Paraméterek!$J$112))),IF($D$4="Forint",0,2))</f>
        <v>0</v>
      </c>
      <c r="BA451" s="13">
        <f ca="1">$AT451+$AV451-$AW451-IF(ROUNDDOWN(IF(ISBLANK($AY451),$AX451,$AY451),IF($D$4="Forint",0,2))&gt;$AT451+$AV451-$AW451-IF($D$4="Forint",Paraméterek!$J$114,Paraméterek!$K$114),0,ROUNDDOWN(IF(ISBLANK($AY451),$AX451,$AY451),IF($D$4="Forint",0,2))-$AZ451)</f>
        <v>0</v>
      </c>
      <c r="BB451" s="13">
        <f t="shared" ca="1" si="143"/>
        <v>0</v>
      </c>
      <c r="BD451" s="32">
        <v>432</v>
      </c>
      <c r="BE451" s="32">
        <v>36</v>
      </c>
      <c r="BF451" s="32">
        <v>12</v>
      </c>
      <c r="BG451" s="34">
        <f t="shared" ca="1" si="152"/>
        <v>2055</v>
      </c>
      <c r="BH451" s="32" t="str">
        <f ca="1">IF(MOD(MONTH($D$14)+$BD451-1,12)=Paraméterek!$C$288,"Igen","")</f>
        <v/>
      </c>
      <c r="BI451" s="13">
        <f ca="1">IF($BH451="Igen",MIN(ROUNDDOWN((SUMIF($BG$20:$BG$1027,$BG451-1,$K$20:$K$1027)-SUMIF($BG$20:$BG$1027,$BG451-1,$I$20:$I$1027))*Paraméterek!$C$289,IF($D$4="Forint",0,2)),IF($D$4="Forint",Paraméterek!$C$285,Paraméterek!$D$285)),0)</f>
        <v>0</v>
      </c>
      <c r="BJ451" s="13">
        <f t="shared" ca="1" si="144"/>
        <v>0</v>
      </c>
      <c r="BK451" s="13">
        <f t="shared" ca="1" si="153"/>
        <v>0</v>
      </c>
      <c r="BL451" s="33"/>
      <c r="BM451" s="13">
        <f t="shared" ca="1" si="145"/>
        <v>0</v>
      </c>
      <c r="BN451" s="13">
        <f ca="1">ROUNDUP(($BK451+$BM451)*VLOOKUP($BE451,Paraméterek!$P$38:$Q$38,2)/12*IF($D452="Nem",IF($M$13=0,1,$M$13),1),IF($D$4="Forint",0,2))</f>
        <v>0</v>
      </c>
      <c r="BO451" s="13">
        <f t="shared" ca="1" si="146"/>
        <v>0</v>
      </c>
      <c r="BP451" s="13">
        <f ca="1">IF($D452="Nem",$BO451,$BO451-ROUNDUP(SUM($BI$20:$BI451)*120%,IF($D$4="Forint",0,2)))</f>
        <v>0</v>
      </c>
    </row>
    <row r="452" spans="1:68" x14ac:dyDescent="0.2">
      <c r="A452" s="32">
        <v>433</v>
      </c>
      <c r="B452" s="32">
        <v>37</v>
      </c>
      <c r="C452" s="32">
        <v>1</v>
      </c>
      <c r="D452" s="32" t="str">
        <f t="shared" ca="1" si="132"/>
        <v>Nem</v>
      </c>
      <c r="E452" s="13">
        <f t="shared" ca="1" si="133"/>
        <v>0</v>
      </c>
      <c r="F452" s="13"/>
      <c r="G452" s="13">
        <f>Tranzakciók!$D$68</f>
        <v>0</v>
      </c>
      <c r="H452" s="13"/>
      <c r="I452" s="13">
        <f t="shared" ca="1" si="134"/>
        <v>0</v>
      </c>
      <c r="J452" s="13">
        <f t="shared" ca="1" si="135"/>
        <v>0</v>
      </c>
      <c r="K452" s="13">
        <f t="shared" ca="1" si="136"/>
        <v>0</v>
      </c>
      <c r="L452" s="13" t="e">
        <f ca="1">ROUNDUP(IF($D$2="Egyszeri",$E452,IF($D$2="Havi",SUM($E$20:$E$31),IF(MOD($C452,$M$1)-1=0,SUM($E$20:$E$31),0))/12*$M$1)*VLOOKUP($B452,Paraméterek!$I$28:$P$31,IF($D$2="Egyszeri",8,HLOOKUP(ROUNDUP($M$11+$M$13,0),Paraméterek!$J$26:$O$27,2))),IF($D$4="Forint",0,2))</f>
        <v>#N/A</v>
      </c>
      <c r="M452" s="13">
        <f t="shared" ca="1" si="137"/>
        <v>0</v>
      </c>
      <c r="N452" s="13">
        <f t="shared" ca="1" si="147"/>
        <v>0</v>
      </c>
      <c r="O452" s="13">
        <f ca="1">IF($D452="Igen",IF($W451&gt;=IF($D$4="Forint",Paraméterek!$J$121,Paraméterek!$K$121),0,IF($D$4="Forint",Paraméterek!$J$121,Paraméterek!$K$121)-$W451),0)</f>
        <v>0</v>
      </c>
      <c r="P452" s="13" t="e">
        <f ca="1">ROUNDUP($O452*VLOOKUP($M$4+$B452-1,Paraméterek!$H$58:$I$105,2,0)/Paraméterek!$I$56,IF($D$4="Forint",0,2))</f>
        <v>#N/A</v>
      </c>
      <c r="Q452" s="13">
        <f t="shared" ca="1" si="138"/>
        <v>0</v>
      </c>
      <c r="R452" s="33"/>
      <c r="S452" s="13" t="e">
        <f t="shared" ca="1" si="139"/>
        <v>#N/A</v>
      </c>
      <c r="T452" s="13" t="e">
        <f ca="1">ROUNDUP(($N452-$P452-$Q452+$S452)*VLOOKUP($B452,Paraméterek!$I$38:$K$39,IF($D$2="Egyszeri",3,2))/12*IF($D453="Nem",IF($M$13=0,1,$M$13),1),IF($D$4="Forint",0,2))</f>
        <v>#N/A</v>
      </c>
      <c r="U452" s="13"/>
      <c r="V452" s="13"/>
      <c r="W452" s="13" t="e">
        <f ca="1">$N452-$P452-$Q452+$S452-$T452-IF(ROUNDUP(IF(ISBLANK($V452),$U452*0,$V452)/IF($D$2="Egyszeri",VLOOKUP($B452+IF($C452=12,1,0),Paraméterek!$V$257:$W$262,2),IF($B452=1,1,VLOOKUP($B452+IF($C452=12,1,0),Paraméterek!$I$258:$T$278,HLOOKUP($M$11+1,Paraméterek!$J$256:$T$257,2)))),IF($D$4="Forint",0,2))&gt;$N452-$P452-$Q452+$S452-$T452-IF($D$4="Forint",Paraméterek!$C$216,Paraméterek!$D$216),0,ROUNDUP(IF(ISBLANK($V452),$U452*0,$V452)/IF($D$2="Egyszeri",VLOOKUP($B452+IF($C452=12,1,0),Paraméterek!$V$257:$W$262,2),IF($B452=1,1,VLOOKUP($B452+IF($C452=12,1,0),Paraméterek!$I$258:$T$278,HLOOKUP($M$11+1,Paraméterek!$J$256:$T$257,2)))),IF($D$4="Forint",0,2)))</f>
        <v>#N/A</v>
      </c>
      <c r="X452" s="13" t="e">
        <f ca="1">ROUNDDOWN($W452*IF($D$2="Egyszeri",VLOOKUP($B452+IF($C452=12,1,0),Paraméterek!$V$257:$W$262,2),VLOOKUP($B452+IF($C452=12,1,0),Paraméterek!$I$258:$T$278,HLOOKUP($M$11+1,Paraméterek!$I$256:$T$257,2))),IF($D$4="Forint",0,2))</f>
        <v>#N/A</v>
      </c>
      <c r="Z452" s="32">
        <v>433</v>
      </c>
      <c r="AA452" s="32">
        <v>37</v>
      </c>
      <c r="AB452" s="32">
        <v>1</v>
      </c>
      <c r="AC452" s="13">
        <f t="shared" ca="1" si="148"/>
        <v>0</v>
      </c>
      <c r="AD452" s="33"/>
      <c r="AE452" s="13">
        <f t="shared" ca="1" si="140"/>
        <v>0</v>
      </c>
      <c r="AF452" s="13">
        <f ca="1">ROUNDUP(($AC452+$AE452)*VLOOKUP($AA452,Paraméterek!$P$38:$Q$38,2)/12*IF($D453="Nem",IF($M$13=0,1,$M$13),1),IF($D$4="Forint",0,2))</f>
        <v>0</v>
      </c>
      <c r="AG452" s="13">
        <f ca="1">IF($D$2="Egyszeri",IF($D$7&gt;=IF($D$4="Forint",Paraméterek!$P$223,Paraméterek!$P$224),$D$7-IF($D$4="Forint",Paraméterek!$P$223,Paraméterek!$P$224),0),MIN(IF($AB452=12,AVERAGEIF($E$20:$E452,"&gt;0",$E$20:$E452)*12,0),SUM($E$20:$E$31)))</f>
        <v>0</v>
      </c>
      <c r="AH452" s="13">
        <f>IF($AA452=10,$AG452*IF($AB452=12,IF($AG452&lt;IF($D$4="Forint",Paraméterek!$L$223,Paraméterek!$L$224),0,VLOOKUP($AA452,Paraméterek!$K$226:$M$228,IF($AG452&lt;IF($D$4="Forint",Paraméterek!$M$223,Paraméterek!$M$224),2,3))),0),0)</f>
        <v>0</v>
      </c>
      <c r="AI452" s="13">
        <f ca="1">IF(AND($AA452=$M$11+1,$AB452=$M$12+1),SUMIF($AA$20:$AA$1027,$AA452,$AG$20:$AG$1027)*IF(SUMIF($AA$20:$AA$1027,$AA452,$AG$20:$AG$1027)&lt;IF($D$4="Forint",Paraméterek!$L$223,Paraméterek!$L$224),0,VLOOKUP($AA452,Paraméterek!$K$230:$M$250,IF(SUMIF($AA$20:$AA$1027,$AA452,$AG$20:$AG$1027)&lt;IF($D$4="Forint",Paraméterek!$M$223,Paraméterek!$M$224),2,3))),0)</f>
        <v>0</v>
      </c>
      <c r="AJ452" s="13">
        <f ca="1">IF(AND($AA452&gt;=5,MOD($AA452,5)=0),IF($AB452=12,VLOOKUP($AA452,Paraméterek!$O$225:$P$240,2),0),IF(OR($AA452=3,$AA452=4),IF($AB452=12,VLOOKUP($AA452,Paraméterek!$O$225:$P$240,2,0),0),0))*$AG452</f>
        <v>0</v>
      </c>
      <c r="AK452" s="13">
        <f t="shared" ca="1" si="141"/>
        <v>0</v>
      </c>
      <c r="AL452" s="13">
        <f t="shared" ca="1" si="149"/>
        <v>0</v>
      </c>
      <c r="AM452" s="13">
        <f t="shared" ca="1" si="150"/>
        <v>0</v>
      </c>
      <c r="AO452" s="32">
        <v>433</v>
      </c>
      <c r="AP452" s="32">
        <v>37</v>
      </c>
      <c r="AQ452" s="32">
        <v>1</v>
      </c>
      <c r="AR452" s="13">
        <f>Tranzakciók!$K$68</f>
        <v>0</v>
      </c>
      <c r="AS452" s="32"/>
      <c r="AT452" s="13">
        <f t="shared" ca="1" si="151"/>
        <v>0</v>
      </c>
      <c r="AU452" s="33"/>
      <c r="AV452" s="13">
        <f t="shared" ca="1" si="142"/>
        <v>0</v>
      </c>
      <c r="AW452" s="13">
        <f ca="1">ROUNDUP(($AT452+$AV452)*VLOOKUP($AP452,Paraméterek!$P$38:$Q$38,2)/12*IF($D453="Nem",IF($M$13=0,1,$M$13),1),IF($D$4="Forint",0,2))</f>
        <v>0</v>
      </c>
      <c r="AX452" s="13"/>
      <c r="AY452" s="13"/>
      <c r="AZ452" s="13">
        <f>ROUNDUP(IF(SUM($AX452:$AY452)=0,0,IF(IF(ISBLANK($AY452),$AX452,$AY452)*Paraméterek!$J$112&lt;IF($D$4="Forint",Paraméterek!$J$113,Paraméterek!$K$113),IF($D$4="Forint",Paraméterek!$J$113,Paraméterek!$K$113),IF(IF(ISBLANK($AY452),$AX452,$AY452)*Paraméterek!$J$112&gt;IF($D$4="Forint",Paraméterek!$J$114,Paraméterek!$K$114),IF($D$4="Forint",Paraméterek!$J$114,Paraméterek!$K$114),IF(ISBLANK($AY452),$AX452,$AY452)*Paraméterek!$J$112))),IF($D$4="Forint",0,2))</f>
        <v>0</v>
      </c>
      <c r="BA452" s="13">
        <f ca="1">$AT452+$AV452-$AW452-IF(ROUNDDOWN(IF(ISBLANK($AY452),$AX452,$AY452),IF($D$4="Forint",0,2))&gt;$AT452+$AV452-$AW452-IF($D$4="Forint",Paraméterek!$J$114,Paraméterek!$K$114),0,ROUNDDOWN(IF(ISBLANK($AY452),$AX452,$AY452),IF($D$4="Forint",0,2))-$AZ452)</f>
        <v>0</v>
      </c>
      <c r="BB452" s="13">
        <f t="shared" ca="1" si="143"/>
        <v>0</v>
      </c>
      <c r="BD452" s="32">
        <v>433</v>
      </c>
      <c r="BE452" s="32">
        <v>37</v>
      </c>
      <c r="BF452" s="32">
        <v>1</v>
      </c>
      <c r="BG452" s="34">
        <f t="shared" ca="1" si="152"/>
        <v>2055</v>
      </c>
      <c r="BH452" s="32" t="str">
        <f ca="1">IF(MOD(MONTH($D$14)+$BD452-1,12)=Paraméterek!$C$288,"Igen","")</f>
        <v/>
      </c>
      <c r="BI452" s="13">
        <f ca="1">IF($BH452="Igen",MIN(ROUNDDOWN((SUMIF($BG$20:$BG$1027,$BG452-1,$K$20:$K$1027)-SUMIF($BG$20:$BG$1027,$BG452-1,$I$20:$I$1027))*Paraméterek!$C$289,IF($D$4="Forint",0,2)),IF($D$4="Forint",Paraméterek!$C$285,Paraméterek!$D$285)),0)</f>
        <v>0</v>
      </c>
      <c r="BJ452" s="13">
        <f t="shared" ca="1" si="144"/>
        <v>0</v>
      </c>
      <c r="BK452" s="13">
        <f t="shared" ca="1" si="153"/>
        <v>0</v>
      </c>
      <c r="BL452" s="33"/>
      <c r="BM452" s="13">
        <f t="shared" ca="1" si="145"/>
        <v>0</v>
      </c>
      <c r="BN452" s="13">
        <f ca="1">ROUNDUP(($BK452+$BM452)*VLOOKUP($BE452,Paraméterek!$P$38:$Q$38,2)/12*IF($D453="Nem",IF($M$13=0,1,$M$13),1),IF($D$4="Forint",0,2))</f>
        <v>0</v>
      </c>
      <c r="BO452" s="13">
        <f t="shared" ca="1" si="146"/>
        <v>0</v>
      </c>
      <c r="BP452" s="13">
        <f ca="1">IF($D453="Nem",$BO452,$BO452-ROUNDUP(SUM($BI$20:$BI452)*120%,IF($D$4="Forint",0,2)))</f>
        <v>0</v>
      </c>
    </row>
    <row r="453" spans="1:68" x14ac:dyDescent="0.2">
      <c r="A453" s="32">
        <v>434</v>
      </c>
      <c r="B453" s="32">
        <v>37</v>
      </c>
      <c r="C453" s="32">
        <v>2</v>
      </c>
      <c r="D453" s="32" t="str">
        <f t="shared" ca="1" si="132"/>
        <v>Nem</v>
      </c>
      <c r="E453" s="13">
        <f t="shared" ca="1" si="133"/>
        <v>0</v>
      </c>
      <c r="F453" s="13"/>
      <c r="G453" s="13"/>
      <c r="H453" s="13"/>
      <c r="I453" s="13">
        <f t="shared" ca="1" si="134"/>
        <v>0</v>
      </c>
      <c r="J453" s="13">
        <f t="shared" ca="1" si="135"/>
        <v>0</v>
      </c>
      <c r="K453" s="13">
        <f t="shared" ca="1" si="136"/>
        <v>0</v>
      </c>
      <c r="L453" s="13" t="e">
        <f ca="1">ROUNDUP(IF($D$2="Egyszeri",$E453,IF($D$2="Havi",SUM($E$20:$E$31),IF(MOD($C453,$M$1)-1=0,SUM($E$20:$E$31),0))/12*$M$1)*VLOOKUP($B453,Paraméterek!$I$28:$P$31,IF($D$2="Egyszeri",8,HLOOKUP(ROUNDUP($M$11+$M$13,0),Paraméterek!$J$26:$O$27,2))),IF($D$4="Forint",0,2))</f>
        <v>#N/A</v>
      </c>
      <c r="M453" s="13">
        <f t="shared" ca="1" si="137"/>
        <v>0</v>
      </c>
      <c r="N453" s="13">
        <f t="shared" ca="1" si="147"/>
        <v>0</v>
      </c>
      <c r="O453" s="13">
        <f ca="1">IF($D453="Igen",IF($W452&gt;=IF($D$4="Forint",Paraméterek!$J$121,Paraméterek!$K$121),0,IF($D$4="Forint",Paraméterek!$J$121,Paraméterek!$K$121)-$W452),0)</f>
        <v>0</v>
      </c>
      <c r="P453" s="13" t="e">
        <f ca="1">ROUNDUP($O453*VLOOKUP($M$4+$B453-1,Paraméterek!$H$58:$I$105,2,0)/Paraméterek!$I$56,IF($D$4="Forint",0,2))</f>
        <v>#N/A</v>
      </c>
      <c r="Q453" s="13">
        <f t="shared" ca="1" si="138"/>
        <v>0</v>
      </c>
      <c r="R453" s="33"/>
      <c r="S453" s="13" t="e">
        <f t="shared" ca="1" si="139"/>
        <v>#N/A</v>
      </c>
      <c r="T453" s="13" t="e">
        <f ca="1">ROUNDUP(($N453-$P453-$Q453+$S453)*VLOOKUP($B453,Paraméterek!$I$38:$K$39,IF($D$2="Egyszeri",3,2))/12*IF($D454="Nem",IF($M$13=0,1,$M$13),1),IF($D$4="Forint",0,2))</f>
        <v>#N/A</v>
      </c>
      <c r="U453" s="13"/>
      <c r="V453" s="13"/>
      <c r="W453" s="13" t="e">
        <f ca="1">$N453-$P453-$Q453+$S453-$T453-IF(ROUNDUP(IF(ISBLANK($V453),$U453*0,$V453)/IF($D$2="Egyszeri",VLOOKUP($B453+IF($C453=12,1,0),Paraméterek!$V$257:$W$262,2),IF($B453=1,1,VLOOKUP($B453+IF($C453=12,1,0),Paraméterek!$I$258:$T$278,HLOOKUP($M$11+1,Paraméterek!$J$256:$T$257,2)))),IF($D$4="Forint",0,2))&gt;$N453-$P453-$Q453+$S453-$T453-IF($D$4="Forint",Paraméterek!$C$216,Paraméterek!$D$216),0,ROUNDUP(IF(ISBLANK($V453),$U453*0,$V453)/IF($D$2="Egyszeri",VLOOKUP($B453+IF($C453=12,1,0),Paraméterek!$V$257:$W$262,2),IF($B453=1,1,VLOOKUP($B453+IF($C453=12,1,0),Paraméterek!$I$258:$T$278,HLOOKUP($M$11+1,Paraméterek!$J$256:$T$257,2)))),IF($D$4="Forint",0,2)))</f>
        <v>#N/A</v>
      </c>
      <c r="X453" s="13" t="e">
        <f ca="1">ROUNDDOWN($W453*IF($D$2="Egyszeri",VLOOKUP($B453+IF($C453=12,1,0),Paraméterek!$V$257:$W$262,2),VLOOKUP($B453+IF($C453=12,1,0),Paraméterek!$I$258:$T$278,HLOOKUP($M$11+1,Paraméterek!$I$256:$T$257,2))),IF($D$4="Forint",0,2))</f>
        <v>#N/A</v>
      </c>
      <c r="Z453" s="32">
        <v>434</v>
      </c>
      <c r="AA453" s="32">
        <v>37</v>
      </c>
      <c r="AB453" s="32">
        <v>2</v>
      </c>
      <c r="AC453" s="13">
        <f t="shared" ca="1" si="148"/>
        <v>0</v>
      </c>
      <c r="AD453" s="33"/>
      <c r="AE453" s="13">
        <f t="shared" ca="1" si="140"/>
        <v>0</v>
      </c>
      <c r="AF453" s="13">
        <f ca="1">ROUNDUP(($AC453+$AE453)*VLOOKUP($AA453,Paraméterek!$P$38:$Q$38,2)/12*IF($D454="Nem",IF($M$13=0,1,$M$13),1),IF($D$4="Forint",0,2))</f>
        <v>0</v>
      </c>
      <c r="AG453" s="13">
        <f ca="1">IF($D$2="Egyszeri",IF($D$7&gt;=IF($D$4="Forint",Paraméterek!$P$223,Paraméterek!$P$224),$D$7-IF($D$4="Forint",Paraméterek!$P$223,Paraméterek!$P$224),0),MIN(IF($AB453=12,AVERAGEIF($E$20:$E453,"&gt;0",$E$20:$E453)*12,0),SUM($E$20:$E$31)))</f>
        <v>0</v>
      </c>
      <c r="AH453" s="13">
        <f>IF($AA453=10,$AG453*IF($AB453=12,IF($AG453&lt;IF($D$4="Forint",Paraméterek!$L$223,Paraméterek!$L$224),0,VLOOKUP($AA453,Paraméterek!$K$226:$M$228,IF($AG453&lt;IF($D$4="Forint",Paraméterek!$M$223,Paraméterek!$M$224),2,3))),0),0)</f>
        <v>0</v>
      </c>
      <c r="AI453" s="13">
        <f ca="1">IF(AND($AA453=$M$11+1,$AB453=$M$12+1),SUMIF($AA$20:$AA$1027,$AA453,$AG$20:$AG$1027)*IF(SUMIF($AA$20:$AA$1027,$AA453,$AG$20:$AG$1027)&lt;IF($D$4="Forint",Paraméterek!$L$223,Paraméterek!$L$224),0,VLOOKUP($AA453,Paraméterek!$K$230:$M$250,IF(SUMIF($AA$20:$AA$1027,$AA453,$AG$20:$AG$1027)&lt;IF($D$4="Forint",Paraméterek!$M$223,Paraméterek!$M$224),2,3))),0)</f>
        <v>0</v>
      </c>
      <c r="AJ453" s="13">
        <f ca="1">IF(AND($AA453&gt;=5,MOD($AA453,5)=0),IF($AB453=12,VLOOKUP($AA453,Paraméterek!$O$225:$P$240,2),0),IF(OR($AA453=3,$AA453=4),IF($AB453=12,VLOOKUP($AA453,Paraméterek!$O$225:$P$240,2,0),0),0))*$AG453</f>
        <v>0</v>
      </c>
      <c r="AK453" s="13">
        <f t="shared" ca="1" si="141"/>
        <v>0</v>
      </c>
      <c r="AL453" s="13">
        <f t="shared" ca="1" si="149"/>
        <v>0</v>
      </c>
      <c r="AM453" s="13">
        <f t="shared" ca="1" si="150"/>
        <v>0</v>
      </c>
      <c r="AO453" s="32">
        <v>434</v>
      </c>
      <c r="AP453" s="32">
        <v>37</v>
      </c>
      <c r="AQ453" s="32">
        <v>2</v>
      </c>
      <c r="AR453" s="13"/>
      <c r="AS453" s="32"/>
      <c r="AT453" s="13">
        <f t="shared" ca="1" si="151"/>
        <v>0</v>
      </c>
      <c r="AU453" s="33"/>
      <c r="AV453" s="13">
        <f t="shared" ca="1" si="142"/>
        <v>0</v>
      </c>
      <c r="AW453" s="13">
        <f ca="1">ROUNDUP(($AT453+$AV453)*VLOOKUP($AP453,Paraméterek!$P$38:$Q$38,2)/12*IF($D454="Nem",IF($M$13=0,1,$M$13),1),IF($D$4="Forint",0,2))</f>
        <v>0</v>
      </c>
      <c r="AX453" s="13"/>
      <c r="AY453" s="13"/>
      <c r="AZ453" s="13">
        <f>ROUNDUP(IF(SUM($AX453:$AY453)=0,0,IF(IF(ISBLANK($AY453),$AX453,$AY453)*Paraméterek!$J$112&lt;IF($D$4="Forint",Paraméterek!$J$113,Paraméterek!$K$113),IF($D$4="Forint",Paraméterek!$J$113,Paraméterek!$K$113),IF(IF(ISBLANK($AY453),$AX453,$AY453)*Paraméterek!$J$112&gt;IF($D$4="Forint",Paraméterek!$J$114,Paraméterek!$K$114),IF($D$4="Forint",Paraméterek!$J$114,Paraméterek!$K$114),IF(ISBLANK($AY453),$AX453,$AY453)*Paraméterek!$J$112))),IF($D$4="Forint",0,2))</f>
        <v>0</v>
      </c>
      <c r="BA453" s="13">
        <f ca="1">$AT453+$AV453-$AW453-IF(ROUNDDOWN(IF(ISBLANK($AY453),$AX453,$AY453),IF($D$4="Forint",0,2))&gt;$AT453+$AV453-$AW453-IF($D$4="Forint",Paraméterek!$J$114,Paraméterek!$K$114),0,ROUNDDOWN(IF(ISBLANK($AY453),$AX453,$AY453),IF($D$4="Forint",0,2))-$AZ453)</f>
        <v>0</v>
      </c>
      <c r="BB453" s="13">
        <f t="shared" ca="1" si="143"/>
        <v>0</v>
      </c>
      <c r="BD453" s="32">
        <v>434</v>
      </c>
      <c r="BE453" s="32">
        <v>37</v>
      </c>
      <c r="BF453" s="32">
        <v>2</v>
      </c>
      <c r="BG453" s="34">
        <f t="shared" ca="1" si="152"/>
        <v>2055</v>
      </c>
      <c r="BH453" s="32" t="str">
        <f ca="1">IF(MOD(MONTH($D$14)+$BD453-1,12)=Paraméterek!$C$288,"Igen","")</f>
        <v>Igen</v>
      </c>
      <c r="BI453" s="13">
        <f ca="1">IF($BH453="Igen",MIN(ROUNDDOWN((SUMIF($BG$20:$BG$1027,$BG453-1,$K$20:$K$1027)-SUMIF($BG$20:$BG$1027,$BG453-1,$I$20:$I$1027))*Paraméterek!$C$289,IF($D$4="Forint",0,2)),IF($D$4="Forint",Paraméterek!$C$285,Paraméterek!$D$285)),0)</f>
        <v>0</v>
      </c>
      <c r="BJ453" s="13">
        <f t="shared" ca="1" si="144"/>
        <v>0</v>
      </c>
      <c r="BK453" s="13">
        <f t="shared" ca="1" si="153"/>
        <v>0</v>
      </c>
      <c r="BL453" s="33"/>
      <c r="BM453" s="13">
        <f t="shared" ca="1" si="145"/>
        <v>0</v>
      </c>
      <c r="BN453" s="13">
        <f ca="1">ROUNDUP(($BK453+$BM453)*VLOOKUP($BE453,Paraméterek!$P$38:$Q$38,2)/12*IF($D454="Nem",IF($M$13=0,1,$M$13),1),IF($D$4="Forint",0,2))</f>
        <v>0</v>
      </c>
      <c r="BO453" s="13">
        <f t="shared" ca="1" si="146"/>
        <v>0</v>
      </c>
      <c r="BP453" s="13">
        <f ca="1">IF($D454="Nem",$BO453,$BO453-ROUNDUP(SUM($BI$20:$BI453)*120%,IF($D$4="Forint",0,2)))</f>
        <v>0</v>
      </c>
    </row>
    <row r="454" spans="1:68" x14ac:dyDescent="0.2">
      <c r="A454" s="32">
        <v>435</v>
      </c>
      <c r="B454" s="32">
        <v>37</v>
      </c>
      <c r="C454" s="32">
        <v>3</v>
      </c>
      <c r="D454" s="32" t="str">
        <f t="shared" ca="1" si="132"/>
        <v>Nem</v>
      </c>
      <c r="E454" s="13">
        <f t="shared" ca="1" si="133"/>
        <v>0</v>
      </c>
      <c r="F454" s="13"/>
      <c r="G454" s="13"/>
      <c r="H454" s="13"/>
      <c r="I454" s="13">
        <f t="shared" ca="1" si="134"/>
        <v>0</v>
      </c>
      <c r="J454" s="13">
        <f t="shared" ca="1" si="135"/>
        <v>0</v>
      </c>
      <c r="K454" s="13">
        <f t="shared" ca="1" si="136"/>
        <v>0</v>
      </c>
      <c r="L454" s="13" t="e">
        <f ca="1">ROUNDUP(IF($D$2="Egyszeri",$E454,IF($D$2="Havi",SUM($E$20:$E$31),IF(MOD($C454,$M$1)-1=0,SUM($E$20:$E$31),0))/12*$M$1)*VLOOKUP($B454,Paraméterek!$I$28:$P$31,IF($D$2="Egyszeri",8,HLOOKUP(ROUNDUP($M$11+$M$13,0),Paraméterek!$J$26:$O$27,2))),IF($D$4="Forint",0,2))</f>
        <v>#N/A</v>
      </c>
      <c r="M454" s="13">
        <f t="shared" ca="1" si="137"/>
        <v>0</v>
      </c>
      <c r="N454" s="13">
        <f t="shared" ca="1" si="147"/>
        <v>0</v>
      </c>
      <c r="O454" s="13">
        <f ca="1">IF($D454="Igen",IF($W453&gt;=IF($D$4="Forint",Paraméterek!$J$121,Paraméterek!$K$121),0,IF($D$4="Forint",Paraméterek!$J$121,Paraméterek!$K$121)-$W453),0)</f>
        <v>0</v>
      </c>
      <c r="P454" s="13" t="e">
        <f ca="1">ROUNDUP($O454*VLOOKUP($M$4+$B454-1,Paraméterek!$H$58:$I$105,2,0)/Paraméterek!$I$56,IF($D$4="Forint",0,2))</f>
        <v>#N/A</v>
      </c>
      <c r="Q454" s="13">
        <f t="shared" ca="1" si="138"/>
        <v>0</v>
      </c>
      <c r="R454" s="33"/>
      <c r="S454" s="13" t="e">
        <f t="shared" ca="1" si="139"/>
        <v>#N/A</v>
      </c>
      <c r="T454" s="13" t="e">
        <f ca="1">ROUNDUP(($N454-$P454-$Q454+$S454)*VLOOKUP($B454,Paraméterek!$I$38:$K$39,IF($D$2="Egyszeri",3,2))/12*IF($D455="Nem",IF($M$13=0,1,$M$13),1),IF($D$4="Forint",0,2))</f>
        <v>#N/A</v>
      </c>
      <c r="U454" s="13"/>
      <c r="V454" s="13"/>
      <c r="W454" s="13" t="e">
        <f ca="1">$N454-$P454-$Q454+$S454-$T454-IF(ROUNDUP(IF(ISBLANK($V454),$U454*0,$V454)/IF($D$2="Egyszeri",VLOOKUP($B454+IF($C454=12,1,0),Paraméterek!$V$257:$W$262,2),IF($B454=1,1,VLOOKUP($B454+IF($C454=12,1,0),Paraméterek!$I$258:$T$278,HLOOKUP($M$11+1,Paraméterek!$J$256:$T$257,2)))),IF($D$4="Forint",0,2))&gt;$N454-$P454-$Q454+$S454-$T454-IF($D$4="Forint",Paraméterek!$C$216,Paraméterek!$D$216),0,ROUNDUP(IF(ISBLANK($V454),$U454*0,$V454)/IF($D$2="Egyszeri",VLOOKUP($B454+IF($C454=12,1,0),Paraméterek!$V$257:$W$262,2),IF($B454=1,1,VLOOKUP($B454+IF($C454=12,1,0),Paraméterek!$I$258:$T$278,HLOOKUP($M$11+1,Paraméterek!$J$256:$T$257,2)))),IF($D$4="Forint",0,2)))</f>
        <v>#N/A</v>
      </c>
      <c r="X454" s="13" t="e">
        <f ca="1">ROUNDDOWN($W454*IF($D$2="Egyszeri",VLOOKUP($B454+IF($C454=12,1,0),Paraméterek!$V$257:$W$262,2),VLOOKUP($B454+IF($C454=12,1,0),Paraméterek!$I$258:$T$278,HLOOKUP($M$11+1,Paraméterek!$I$256:$T$257,2))),IF($D$4="Forint",0,2))</f>
        <v>#N/A</v>
      </c>
      <c r="Z454" s="32">
        <v>435</v>
      </c>
      <c r="AA454" s="32">
        <v>37</v>
      </c>
      <c r="AB454" s="32">
        <v>3</v>
      </c>
      <c r="AC454" s="13">
        <f t="shared" ca="1" si="148"/>
        <v>0</v>
      </c>
      <c r="AD454" s="33"/>
      <c r="AE454" s="13">
        <f t="shared" ca="1" si="140"/>
        <v>0</v>
      </c>
      <c r="AF454" s="13">
        <f ca="1">ROUNDUP(($AC454+$AE454)*VLOOKUP($AA454,Paraméterek!$P$38:$Q$38,2)/12*IF($D455="Nem",IF($M$13=0,1,$M$13),1),IF($D$4="Forint",0,2))</f>
        <v>0</v>
      </c>
      <c r="AG454" s="13">
        <f ca="1">IF($D$2="Egyszeri",IF($D$7&gt;=IF($D$4="Forint",Paraméterek!$P$223,Paraméterek!$P$224),$D$7-IF($D$4="Forint",Paraméterek!$P$223,Paraméterek!$P$224),0),MIN(IF($AB454=12,AVERAGEIF($E$20:$E454,"&gt;0",$E$20:$E454)*12,0),SUM($E$20:$E$31)))</f>
        <v>0</v>
      </c>
      <c r="AH454" s="13">
        <f>IF($AA454=10,$AG454*IF($AB454=12,IF($AG454&lt;IF($D$4="Forint",Paraméterek!$L$223,Paraméterek!$L$224),0,VLOOKUP($AA454,Paraméterek!$K$226:$M$228,IF($AG454&lt;IF($D$4="Forint",Paraméterek!$M$223,Paraméterek!$M$224),2,3))),0),0)</f>
        <v>0</v>
      </c>
      <c r="AI454" s="13">
        <f ca="1">IF(AND($AA454=$M$11+1,$AB454=$M$12+1),SUMIF($AA$20:$AA$1027,$AA454,$AG$20:$AG$1027)*IF(SUMIF($AA$20:$AA$1027,$AA454,$AG$20:$AG$1027)&lt;IF($D$4="Forint",Paraméterek!$L$223,Paraméterek!$L$224),0,VLOOKUP($AA454,Paraméterek!$K$230:$M$250,IF(SUMIF($AA$20:$AA$1027,$AA454,$AG$20:$AG$1027)&lt;IF($D$4="Forint",Paraméterek!$M$223,Paraméterek!$M$224),2,3))),0)</f>
        <v>0</v>
      </c>
      <c r="AJ454" s="13">
        <f ca="1">IF(AND($AA454&gt;=5,MOD($AA454,5)=0),IF($AB454=12,VLOOKUP($AA454,Paraméterek!$O$225:$P$240,2),0),IF(OR($AA454=3,$AA454=4),IF($AB454=12,VLOOKUP($AA454,Paraméterek!$O$225:$P$240,2,0),0),0))*$AG454</f>
        <v>0</v>
      </c>
      <c r="AK454" s="13">
        <f t="shared" ca="1" si="141"/>
        <v>0</v>
      </c>
      <c r="AL454" s="13">
        <f t="shared" ca="1" si="149"/>
        <v>0</v>
      </c>
      <c r="AM454" s="13">
        <f t="shared" ca="1" si="150"/>
        <v>0</v>
      </c>
      <c r="AO454" s="32">
        <v>435</v>
      </c>
      <c r="AP454" s="32">
        <v>37</v>
      </c>
      <c r="AQ454" s="32">
        <v>3</v>
      </c>
      <c r="AR454" s="13"/>
      <c r="AS454" s="32"/>
      <c r="AT454" s="13">
        <f t="shared" ca="1" si="151"/>
        <v>0</v>
      </c>
      <c r="AU454" s="33"/>
      <c r="AV454" s="13">
        <f t="shared" ca="1" si="142"/>
        <v>0</v>
      </c>
      <c r="AW454" s="13">
        <f ca="1">ROUNDUP(($AT454+$AV454)*VLOOKUP($AP454,Paraméterek!$P$38:$Q$38,2)/12*IF($D455="Nem",IF($M$13=0,1,$M$13),1),IF($D$4="Forint",0,2))</f>
        <v>0</v>
      </c>
      <c r="AX454" s="13"/>
      <c r="AY454" s="13"/>
      <c r="AZ454" s="13">
        <f>ROUNDUP(IF(SUM($AX454:$AY454)=0,0,IF(IF(ISBLANK($AY454),$AX454,$AY454)*Paraméterek!$J$112&lt;IF($D$4="Forint",Paraméterek!$J$113,Paraméterek!$K$113),IF($D$4="Forint",Paraméterek!$J$113,Paraméterek!$K$113),IF(IF(ISBLANK($AY454),$AX454,$AY454)*Paraméterek!$J$112&gt;IF($D$4="Forint",Paraméterek!$J$114,Paraméterek!$K$114),IF($D$4="Forint",Paraméterek!$J$114,Paraméterek!$K$114),IF(ISBLANK($AY454),$AX454,$AY454)*Paraméterek!$J$112))),IF($D$4="Forint",0,2))</f>
        <v>0</v>
      </c>
      <c r="BA454" s="13">
        <f ca="1">$AT454+$AV454-$AW454-IF(ROUNDDOWN(IF(ISBLANK($AY454),$AX454,$AY454),IF($D$4="Forint",0,2))&gt;$AT454+$AV454-$AW454-IF($D$4="Forint",Paraméterek!$J$114,Paraméterek!$K$114),0,ROUNDDOWN(IF(ISBLANK($AY454),$AX454,$AY454),IF($D$4="Forint",0,2))-$AZ454)</f>
        <v>0</v>
      </c>
      <c r="BB454" s="13">
        <f t="shared" ca="1" si="143"/>
        <v>0</v>
      </c>
      <c r="BD454" s="32">
        <v>435</v>
      </c>
      <c r="BE454" s="32">
        <v>37</v>
      </c>
      <c r="BF454" s="32">
        <v>3</v>
      </c>
      <c r="BG454" s="34">
        <f t="shared" ca="1" si="152"/>
        <v>2055</v>
      </c>
      <c r="BH454" s="32" t="str">
        <f ca="1">IF(MOD(MONTH($D$14)+$BD454-1,12)=Paraméterek!$C$288,"Igen","")</f>
        <v/>
      </c>
      <c r="BI454" s="13">
        <f ca="1">IF($BH454="Igen",MIN(ROUNDDOWN((SUMIF($BG$20:$BG$1027,$BG454-1,$K$20:$K$1027)-SUMIF($BG$20:$BG$1027,$BG454-1,$I$20:$I$1027))*Paraméterek!$C$289,IF($D$4="Forint",0,2)),IF($D$4="Forint",Paraméterek!$C$285,Paraméterek!$D$285)),0)</f>
        <v>0</v>
      </c>
      <c r="BJ454" s="13">
        <f t="shared" ca="1" si="144"/>
        <v>0</v>
      </c>
      <c r="BK454" s="13">
        <f t="shared" ca="1" si="153"/>
        <v>0</v>
      </c>
      <c r="BL454" s="33"/>
      <c r="BM454" s="13">
        <f t="shared" ca="1" si="145"/>
        <v>0</v>
      </c>
      <c r="BN454" s="13">
        <f ca="1">ROUNDUP(($BK454+$BM454)*VLOOKUP($BE454,Paraméterek!$P$38:$Q$38,2)/12*IF($D455="Nem",IF($M$13=0,1,$M$13),1),IF($D$4="Forint",0,2))</f>
        <v>0</v>
      </c>
      <c r="BO454" s="13">
        <f t="shared" ca="1" si="146"/>
        <v>0</v>
      </c>
      <c r="BP454" s="13">
        <f ca="1">IF($D455="Nem",$BO454,$BO454-ROUNDUP(SUM($BI$20:$BI454)*120%,IF($D$4="Forint",0,2)))</f>
        <v>0</v>
      </c>
    </row>
    <row r="455" spans="1:68" x14ac:dyDescent="0.2">
      <c r="A455" s="32">
        <v>436</v>
      </c>
      <c r="B455" s="32">
        <v>37</v>
      </c>
      <c r="C455" s="32">
        <v>4</v>
      </c>
      <c r="D455" s="32" t="str">
        <f t="shared" ca="1" si="132"/>
        <v>Nem</v>
      </c>
      <c r="E455" s="13">
        <f t="shared" ca="1" si="133"/>
        <v>0</v>
      </c>
      <c r="F455" s="13"/>
      <c r="G455" s="13"/>
      <c r="H455" s="13"/>
      <c r="I455" s="13">
        <f t="shared" ca="1" si="134"/>
        <v>0</v>
      </c>
      <c r="J455" s="13">
        <f t="shared" ca="1" si="135"/>
        <v>0</v>
      </c>
      <c r="K455" s="13">
        <f t="shared" ca="1" si="136"/>
        <v>0</v>
      </c>
      <c r="L455" s="13" t="e">
        <f ca="1">ROUNDUP(IF($D$2="Egyszeri",$E455,IF($D$2="Havi",SUM($E$20:$E$31),IF(MOD($C455,$M$1)-1=0,SUM($E$20:$E$31),0))/12*$M$1)*VLOOKUP($B455,Paraméterek!$I$28:$P$31,IF($D$2="Egyszeri",8,HLOOKUP(ROUNDUP($M$11+$M$13,0),Paraméterek!$J$26:$O$27,2))),IF($D$4="Forint",0,2))</f>
        <v>#N/A</v>
      </c>
      <c r="M455" s="13">
        <f t="shared" ca="1" si="137"/>
        <v>0</v>
      </c>
      <c r="N455" s="13">
        <f t="shared" ca="1" si="147"/>
        <v>0</v>
      </c>
      <c r="O455" s="13">
        <f ca="1">IF($D455="Igen",IF($W454&gt;=IF($D$4="Forint",Paraméterek!$J$121,Paraméterek!$K$121),0,IF($D$4="Forint",Paraméterek!$J$121,Paraméterek!$K$121)-$W454),0)</f>
        <v>0</v>
      </c>
      <c r="P455" s="13" t="e">
        <f ca="1">ROUNDUP($O455*VLOOKUP($M$4+$B455-1,Paraméterek!$H$58:$I$105,2,0)/Paraméterek!$I$56,IF($D$4="Forint",0,2))</f>
        <v>#N/A</v>
      </c>
      <c r="Q455" s="13">
        <f t="shared" ca="1" si="138"/>
        <v>0</v>
      </c>
      <c r="R455" s="33"/>
      <c r="S455" s="13" t="e">
        <f t="shared" ca="1" si="139"/>
        <v>#N/A</v>
      </c>
      <c r="T455" s="13" t="e">
        <f ca="1">ROUNDUP(($N455-$P455-$Q455+$S455)*VLOOKUP($B455,Paraméterek!$I$38:$K$39,IF($D$2="Egyszeri",3,2))/12*IF($D456="Nem",IF($M$13=0,1,$M$13),1),IF($D$4="Forint",0,2))</f>
        <v>#N/A</v>
      </c>
      <c r="U455" s="13"/>
      <c r="V455" s="13"/>
      <c r="W455" s="13" t="e">
        <f ca="1">$N455-$P455-$Q455+$S455-$T455-IF(ROUNDUP(IF(ISBLANK($V455),$U455*0,$V455)/IF($D$2="Egyszeri",VLOOKUP($B455+IF($C455=12,1,0),Paraméterek!$V$257:$W$262,2),IF($B455=1,1,VLOOKUP($B455+IF($C455=12,1,0),Paraméterek!$I$258:$T$278,HLOOKUP($M$11+1,Paraméterek!$J$256:$T$257,2)))),IF($D$4="Forint",0,2))&gt;$N455-$P455-$Q455+$S455-$T455-IF($D$4="Forint",Paraméterek!$C$216,Paraméterek!$D$216),0,ROUNDUP(IF(ISBLANK($V455),$U455*0,$V455)/IF($D$2="Egyszeri",VLOOKUP($B455+IF($C455=12,1,0),Paraméterek!$V$257:$W$262,2),IF($B455=1,1,VLOOKUP($B455+IF($C455=12,1,0),Paraméterek!$I$258:$T$278,HLOOKUP($M$11+1,Paraméterek!$J$256:$T$257,2)))),IF($D$4="Forint",0,2)))</f>
        <v>#N/A</v>
      </c>
      <c r="X455" s="13" t="e">
        <f ca="1">ROUNDDOWN($W455*IF($D$2="Egyszeri",VLOOKUP($B455+IF($C455=12,1,0),Paraméterek!$V$257:$W$262,2),VLOOKUP($B455+IF($C455=12,1,0),Paraméterek!$I$258:$T$278,HLOOKUP($M$11+1,Paraméterek!$I$256:$T$257,2))),IF($D$4="Forint",0,2))</f>
        <v>#N/A</v>
      </c>
      <c r="Z455" s="32">
        <v>436</v>
      </c>
      <c r="AA455" s="32">
        <v>37</v>
      </c>
      <c r="AB455" s="32">
        <v>4</v>
      </c>
      <c r="AC455" s="13">
        <f t="shared" ca="1" si="148"/>
        <v>0</v>
      </c>
      <c r="AD455" s="33"/>
      <c r="AE455" s="13">
        <f t="shared" ca="1" si="140"/>
        <v>0</v>
      </c>
      <c r="AF455" s="13">
        <f ca="1">ROUNDUP(($AC455+$AE455)*VLOOKUP($AA455,Paraméterek!$P$38:$Q$38,2)/12*IF($D456="Nem",IF($M$13=0,1,$M$13),1),IF($D$4="Forint",0,2))</f>
        <v>0</v>
      </c>
      <c r="AG455" s="13">
        <f ca="1">IF($D$2="Egyszeri",IF($D$7&gt;=IF($D$4="Forint",Paraméterek!$P$223,Paraméterek!$P$224),$D$7-IF($D$4="Forint",Paraméterek!$P$223,Paraméterek!$P$224),0),MIN(IF($AB455=12,AVERAGEIF($E$20:$E455,"&gt;0",$E$20:$E455)*12,0),SUM($E$20:$E$31)))</f>
        <v>0</v>
      </c>
      <c r="AH455" s="13">
        <f>IF($AA455=10,$AG455*IF($AB455=12,IF($AG455&lt;IF($D$4="Forint",Paraméterek!$L$223,Paraméterek!$L$224),0,VLOOKUP($AA455,Paraméterek!$K$226:$M$228,IF($AG455&lt;IF($D$4="Forint",Paraméterek!$M$223,Paraméterek!$M$224),2,3))),0),0)</f>
        <v>0</v>
      </c>
      <c r="AI455" s="13">
        <f ca="1">IF(AND($AA455=$M$11+1,$AB455=$M$12+1),SUMIF($AA$20:$AA$1027,$AA455,$AG$20:$AG$1027)*IF(SUMIF($AA$20:$AA$1027,$AA455,$AG$20:$AG$1027)&lt;IF($D$4="Forint",Paraméterek!$L$223,Paraméterek!$L$224),0,VLOOKUP($AA455,Paraméterek!$K$230:$M$250,IF(SUMIF($AA$20:$AA$1027,$AA455,$AG$20:$AG$1027)&lt;IF($D$4="Forint",Paraméterek!$M$223,Paraméterek!$M$224),2,3))),0)</f>
        <v>0</v>
      </c>
      <c r="AJ455" s="13">
        <f ca="1">IF(AND($AA455&gt;=5,MOD($AA455,5)=0),IF($AB455=12,VLOOKUP($AA455,Paraméterek!$O$225:$P$240,2),0),IF(OR($AA455=3,$AA455=4),IF($AB455=12,VLOOKUP($AA455,Paraméterek!$O$225:$P$240,2,0),0),0))*$AG455</f>
        <v>0</v>
      </c>
      <c r="AK455" s="13">
        <f t="shared" ca="1" si="141"/>
        <v>0</v>
      </c>
      <c r="AL455" s="13">
        <f t="shared" ca="1" si="149"/>
        <v>0</v>
      </c>
      <c r="AM455" s="13">
        <f t="shared" ca="1" si="150"/>
        <v>0</v>
      </c>
      <c r="AO455" s="32">
        <v>436</v>
      </c>
      <c r="AP455" s="32">
        <v>37</v>
      </c>
      <c r="AQ455" s="32">
        <v>4</v>
      </c>
      <c r="AR455" s="13"/>
      <c r="AS455" s="32"/>
      <c r="AT455" s="13">
        <f t="shared" ca="1" si="151"/>
        <v>0</v>
      </c>
      <c r="AU455" s="33"/>
      <c r="AV455" s="13">
        <f t="shared" ca="1" si="142"/>
        <v>0</v>
      </c>
      <c r="AW455" s="13">
        <f ca="1">ROUNDUP(($AT455+$AV455)*VLOOKUP($AP455,Paraméterek!$P$38:$Q$38,2)/12*IF($D456="Nem",IF($M$13=0,1,$M$13),1),IF($D$4="Forint",0,2))</f>
        <v>0</v>
      </c>
      <c r="AX455" s="13"/>
      <c r="AY455" s="13"/>
      <c r="AZ455" s="13">
        <f>ROUNDUP(IF(SUM($AX455:$AY455)=0,0,IF(IF(ISBLANK($AY455),$AX455,$AY455)*Paraméterek!$J$112&lt;IF($D$4="Forint",Paraméterek!$J$113,Paraméterek!$K$113),IF($D$4="Forint",Paraméterek!$J$113,Paraméterek!$K$113),IF(IF(ISBLANK($AY455),$AX455,$AY455)*Paraméterek!$J$112&gt;IF($D$4="Forint",Paraméterek!$J$114,Paraméterek!$K$114),IF($D$4="Forint",Paraméterek!$J$114,Paraméterek!$K$114),IF(ISBLANK($AY455),$AX455,$AY455)*Paraméterek!$J$112))),IF($D$4="Forint",0,2))</f>
        <v>0</v>
      </c>
      <c r="BA455" s="13">
        <f ca="1">$AT455+$AV455-$AW455-IF(ROUNDDOWN(IF(ISBLANK($AY455),$AX455,$AY455),IF($D$4="Forint",0,2))&gt;$AT455+$AV455-$AW455-IF($D$4="Forint",Paraméterek!$J$114,Paraméterek!$K$114),0,ROUNDDOWN(IF(ISBLANK($AY455),$AX455,$AY455),IF($D$4="Forint",0,2))-$AZ455)</f>
        <v>0</v>
      </c>
      <c r="BB455" s="13">
        <f t="shared" ca="1" si="143"/>
        <v>0</v>
      </c>
      <c r="BD455" s="32">
        <v>436</v>
      </c>
      <c r="BE455" s="32">
        <v>37</v>
      </c>
      <c r="BF455" s="32">
        <v>4</v>
      </c>
      <c r="BG455" s="34">
        <f t="shared" ca="1" si="152"/>
        <v>2055</v>
      </c>
      <c r="BH455" s="32" t="str">
        <f ca="1">IF(MOD(MONTH($D$14)+$BD455-1,12)=Paraméterek!$C$288,"Igen","")</f>
        <v/>
      </c>
      <c r="BI455" s="13">
        <f ca="1">IF($BH455="Igen",MIN(ROUNDDOWN((SUMIF($BG$20:$BG$1027,$BG455-1,$K$20:$K$1027)-SUMIF($BG$20:$BG$1027,$BG455-1,$I$20:$I$1027))*Paraméterek!$C$289,IF($D$4="Forint",0,2)),IF($D$4="Forint",Paraméterek!$C$285,Paraméterek!$D$285)),0)</f>
        <v>0</v>
      </c>
      <c r="BJ455" s="13">
        <f t="shared" ca="1" si="144"/>
        <v>0</v>
      </c>
      <c r="BK455" s="13">
        <f t="shared" ca="1" si="153"/>
        <v>0</v>
      </c>
      <c r="BL455" s="33"/>
      <c r="BM455" s="13">
        <f t="shared" ca="1" si="145"/>
        <v>0</v>
      </c>
      <c r="BN455" s="13">
        <f ca="1">ROUNDUP(($BK455+$BM455)*VLOOKUP($BE455,Paraméterek!$P$38:$Q$38,2)/12*IF($D456="Nem",IF($M$13=0,1,$M$13),1),IF($D$4="Forint",0,2))</f>
        <v>0</v>
      </c>
      <c r="BO455" s="13">
        <f t="shared" ca="1" si="146"/>
        <v>0</v>
      </c>
      <c r="BP455" s="13">
        <f ca="1">IF($D456="Nem",$BO455,$BO455-ROUNDUP(SUM($BI$20:$BI455)*120%,IF($D$4="Forint",0,2)))</f>
        <v>0</v>
      </c>
    </row>
    <row r="456" spans="1:68" x14ac:dyDescent="0.2">
      <c r="A456" s="32">
        <v>437</v>
      </c>
      <c r="B456" s="32">
        <v>37</v>
      </c>
      <c r="C456" s="32">
        <v>5</v>
      </c>
      <c r="D456" s="32" t="str">
        <f t="shared" ca="1" si="132"/>
        <v>Nem</v>
      </c>
      <c r="E456" s="13">
        <f t="shared" ca="1" si="133"/>
        <v>0</v>
      </c>
      <c r="F456" s="13"/>
      <c r="G456" s="13"/>
      <c r="H456" s="13"/>
      <c r="I456" s="13">
        <f t="shared" ca="1" si="134"/>
        <v>0</v>
      </c>
      <c r="J456" s="13">
        <f t="shared" ca="1" si="135"/>
        <v>0</v>
      </c>
      <c r="K456" s="13">
        <f t="shared" ca="1" si="136"/>
        <v>0</v>
      </c>
      <c r="L456" s="13" t="e">
        <f ca="1">ROUNDUP(IF($D$2="Egyszeri",$E456,IF($D$2="Havi",SUM($E$20:$E$31),IF(MOD($C456,$M$1)-1=0,SUM($E$20:$E$31),0))/12*$M$1)*VLOOKUP($B456,Paraméterek!$I$28:$P$31,IF($D$2="Egyszeri",8,HLOOKUP(ROUNDUP($M$11+$M$13,0),Paraméterek!$J$26:$O$27,2))),IF($D$4="Forint",0,2))</f>
        <v>#N/A</v>
      </c>
      <c r="M456" s="13">
        <f t="shared" ca="1" si="137"/>
        <v>0</v>
      </c>
      <c r="N456" s="13">
        <f t="shared" ca="1" si="147"/>
        <v>0</v>
      </c>
      <c r="O456" s="13">
        <f ca="1">IF($D456="Igen",IF($W455&gt;=IF($D$4="Forint",Paraméterek!$J$121,Paraméterek!$K$121),0,IF($D$4="Forint",Paraméterek!$J$121,Paraméterek!$K$121)-$W455),0)</f>
        <v>0</v>
      </c>
      <c r="P456" s="13" t="e">
        <f ca="1">ROUNDUP($O456*VLOOKUP($M$4+$B456-1,Paraméterek!$H$58:$I$105,2,0)/Paraméterek!$I$56,IF($D$4="Forint",0,2))</f>
        <v>#N/A</v>
      </c>
      <c r="Q456" s="13">
        <f t="shared" ca="1" si="138"/>
        <v>0</v>
      </c>
      <c r="R456" s="33"/>
      <c r="S456" s="13" t="e">
        <f t="shared" ca="1" si="139"/>
        <v>#N/A</v>
      </c>
      <c r="T456" s="13" t="e">
        <f ca="1">ROUNDUP(($N456-$P456-$Q456+$S456)*VLOOKUP($B456,Paraméterek!$I$38:$K$39,IF($D$2="Egyszeri",3,2))/12*IF($D457="Nem",IF($M$13=0,1,$M$13),1),IF($D$4="Forint",0,2))</f>
        <v>#N/A</v>
      </c>
      <c r="U456" s="13"/>
      <c r="V456" s="13"/>
      <c r="W456" s="13" t="e">
        <f ca="1">$N456-$P456-$Q456+$S456-$T456-IF(ROUNDUP(IF(ISBLANK($V456),$U456*0,$V456)/IF($D$2="Egyszeri",VLOOKUP($B456+IF($C456=12,1,0),Paraméterek!$V$257:$W$262,2),IF($B456=1,1,VLOOKUP($B456+IF($C456=12,1,0),Paraméterek!$I$258:$T$278,HLOOKUP($M$11+1,Paraméterek!$J$256:$T$257,2)))),IF($D$4="Forint",0,2))&gt;$N456-$P456-$Q456+$S456-$T456-IF($D$4="Forint",Paraméterek!$C$216,Paraméterek!$D$216),0,ROUNDUP(IF(ISBLANK($V456),$U456*0,$V456)/IF($D$2="Egyszeri",VLOOKUP($B456+IF($C456=12,1,0),Paraméterek!$V$257:$W$262,2),IF($B456=1,1,VLOOKUP($B456+IF($C456=12,1,0),Paraméterek!$I$258:$T$278,HLOOKUP($M$11+1,Paraméterek!$J$256:$T$257,2)))),IF($D$4="Forint",0,2)))</f>
        <v>#N/A</v>
      </c>
      <c r="X456" s="13" t="e">
        <f ca="1">ROUNDDOWN($W456*IF($D$2="Egyszeri",VLOOKUP($B456+IF($C456=12,1,0),Paraméterek!$V$257:$W$262,2),VLOOKUP($B456+IF($C456=12,1,0),Paraméterek!$I$258:$T$278,HLOOKUP($M$11+1,Paraméterek!$I$256:$T$257,2))),IF($D$4="Forint",0,2))</f>
        <v>#N/A</v>
      </c>
      <c r="Z456" s="32">
        <v>437</v>
      </c>
      <c r="AA456" s="32">
        <v>37</v>
      </c>
      <c r="AB456" s="32">
        <v>5</v>
      </c>
      <c r="AC456" s="13">
        <f t="shared" ca="1" si="148"/>
        <v>0</v>
      </c>
      <c r="AD456" s="33"/>
      <c r="AE456" s="13">
        <f t="shared" ca="1" si="140"/>
        <v>0</v>
      </c>
      <c r="AF456" s="13">
        <f ca="1">ROUNDUP(($AC456+$AE456)*VLOOKUP($AA456,Paraméterek!$P$38:$Q$38,2)/12*IF($D457="Nem",IF($M$13=0,1,$M$13),1),IF($D$4="Forint",0,2))</f>
        <v>0</v>
      </c>
      <c r="AG456" s="13">
        <f ca="1">IF($D$2="Egyszeri",IF($D$7&gt;=IF($D$4="Forint",Paraméterek!$P$223,Paraméterek!$P$224),$D$7-IF($D$4="Forint",Paraméterek!$P$223,Paraméterek!$P$224),0),MIN(IF($AB456=12,AVERAGEIF($E$20:$E456,"&gt;0",$E$20:$E456)*12,0),SUM($E$20:$E$31)))</f>
        <v>0</v>
      </c>
      <c r="AH456" s="13">
        <f>IF($AA456=10,$AG456*IF($AB456=12,IF($AG456&lt;IF($D$4="Forint",Paraméterek!$L$223,Paraméterek!$L$224),0,VLOOKUP($AA456,Paraméterek!$K$226:$M$228,IF($AG456&lt;IF($D$4="Forint",Paraméterek!$M$223,Paraméterek!$M$224),2,3))),0),0)</f>
        <v>0</v>
      </c>
      <c r="AI456" s="13">
        <f ca="1">IF(AND($AA456=$M$11+1,$AB456=$M$12+1),SUMIF($AA$20:$AA$1027,$AA456,$AG$20:$AG$1027)*IF(SUMIF($AA$20:$AA$1027,$AA456,$AG$20:$AG$1027)&lt;IF($D$4="Forint",Paraméterek!$L$223,Paraméterek!$L$224),0,VLOOKUP($AA456,Paraméterek!$K$230:$M$250,IF(SUMIF($AA$20:$AA$1027,$AA456,$AG$20:$AG$1027)&lt;IF($D$4="Forint",Paraméterek!$M$223,Paraméterek!$M$224),2,3))),0)</f>
        <v>0</v>
      </c>
      <c r="AJ456" s="13">
        <f ca="1">IF(AND($AA456&gt;=5,MOD($AA456,5)=0),IF($AB456=12,VLOOKUP($AA456,Paraméterek!$O$225:$P$240,2),0),IF(OR($AA456=3,$AA456=4),IF($AB456=12,VLOOKUP($AA456,Paraméterek!$O$225:$P$240,2,0),0),0))*$AG456</f>
        <v>0</v>
      </c>
      <c r="AK456" s="13">
        <f t="shared" ca="1" si="141"/>
        <v>0</v>
      </c>
      <c r="AL456" s="13">
        <f t="shared" ca="1" si="149"/>
        <v>0</v>
      </c>
      <c r="AM456" s="13">
        <f t="shared" ca="1" si="150"/>
        <v>0</v>
      </c>
      <c r="AO456" s="32">
        <v>437</v>
      </c>
      <c r="AP456" s="32">
        <v>37</v>
      </c>
      <c r="AQ456" s="32">
        <v>5</v>
      </c>
      <c r="AR456" s="13"/>
      <c r="AS456" s="32"/>
      <c r="AT456" s="13">
        <f t="shared" ca="1" si="151"/>
        <v>0</v>
      </c>
      <c r="AU456" s="33"/>
      <c r="AV456" s="13">
        <f t="shared" ca="1" si="142"/>
        <v>0</v>
      </c>
      <c r="AW456" s="13">
        <f ca="1">ROUNDUP(($AT456+$AV456)*VLOOKUP($AP456,Paraméterek!$P$38:$Q$38,2)/12*IF($D457="Nem",IF($M$13=0,1,$M$13),1),IF($D$4="Forint",0,2))</f>
        <v>0</v>
      </c>
      <c r="AX456" s="13"/>
      <c r="AY456" s="13"/>
      <c r="AZ456" s="13">
        <f>ROUNDUP(IF(SUM($AX456:$AY456)=0,0,IF(IF(ISBLANK($AY456),$AX456,$AY456)*Paraméterek!$J$112&lt;IF($D$4="Forint",Paraméterek!$J$113,Paraméterek!$K$113),IF($D$4="Forint",Paraméterek!$J$113,Paraméterek!$K$113),IF(IF(ISBLANK($AY456),$AX456,$AY456)*Paraméterek!$J$112&gt;IF($D$4="Forint",Paraméterek!$J$114,Paraméterek!$K$114),IF($D$4="Forint",Paraméterek!$J$114,Paraméterek!$K$114),IF(ISBLANK($AY456),$AX456,$AY456)*Paraméterek!$J$112))),IF($D$4="Forint",0,2))</f>
        <v>0</v>
      </c>
      <c r="BA456" s="13">
        <f ca="1">$AT456+$AV456-$AW456-IF(ROUNDDOWN(IF(ISBLANK($AY456),$AX456,$AY456),IF($D$4="Forint",0,2))&gt;$AT456+$AV456-$AW456-IF($D$4="Forint",Paraméterek!$J$114,Paraméterek!$K$114),0,ROUNDDOWN(IF(ISBLANK($AY456),$AX456,$AY456),IF($D$4="Forint",0,2))-$AZ456)</f>
        <v>0</v>
      </c>
      <c r="BB456" s="13">
        <f t="shared" ca="1" si="143"/>
        <v>0</v>
      </c>
      <c r="BD456" s="32">
        <v>437</v>
      </c>
      <c r="BE456" s="32">
        <v>37</v>
      </c>
      <c r="BF456" s="32">
        <v>5</v>
      </c>
      <c r="BG456" s="34">
        <f t="shared" ca="1" si="152"/>
        <v>2055</v>
      </c>
      <c r="BH456" s="32" t="str">
        <f ca="1">IF(MOD(MONTH($D$14)+$BD456-1,12)=Paraméterek!$C$288,"Igen","")</f>
        <v/>
      </c>
      <c r="BI456" s="13">
        <f ca="1">IF($BH456="Igen",MIN(ROUNDDOWN((SUMIF($BG$20:$BG$1027,$BG456-1,$K$20:$K$1027)-SUMIF($BG$20:$BG$1027,$BG456-1,$I$20:$I$1027))*Paraméterek!$C$289,IF($D$4="Forint",0,2)),IF($D$4="Forint",Paraméterek!$C$285,Paraméterek!$D$285)),0)</f>
        <v>0</v>
      </c>
      <c r="BJ456" s="13">
        <f t="shared" ca="1" si="144"/>
        <v>0</v>
      </c>
      <c r="BK456" s="13">
        <f t="shared" ca="1" si="153"/>
        <v>0</v>
      </c>
      <c r="BL456" s="33"/>
      <c r="BM456" s="13">
        <f t="shared" ca="1" si="145"/>
        <v>0</v>
      </c>
      <c r="BN456" s="13">
        <f ca="1">ROUNDUP(($BK456+$BM456)*VLOOKUP($BE456,Paraméterek!$P$38:$Q$38,2)/12*IF($D457="Nem",IF($M$13=0,1,$M$13),1),IF($D$4="Forint",0,2))</f>
        <v>0</v>
      </c>
      <c r="BO456" s="13">
        <f t="shared" ca="1" si="146"/>
        <v>0</v>
      </c>
      <c r="BP456" s="13">
        <f ca="1">IF($D457="Nem",$BO456,$BO456-ROUNDUP(SUM($BI$20:$BI456)*120%,IF($D$4="Forint",0,2)))</f>
        <v>0</v>
      </c>
    </row>
    <row r="457" spans="1:68" x14ac:dyDescent="0.2">
      <c r="A457" s="32">
        <v>438</v>
      </c>
      <c r="B457" s="32">
        <v>37</v>
      </c>
      <c r="C457" s="32">
        <v>6</v>
      </c>
      <c r="D457" s="32" t="str">
        <f t="shared" ca="1" si="132"/>
        <v>Nem</v>
      </c>
      <c r="E457" s="13">
        <f t="shared" ca="1" si="133"/>
        <v>0</v>
      </c>
      <c r="F457" s="13"/>
      <c r="G457" s="13"/>
      <c r="H457" s="13"/>
      <c r="I457" s="13">
        <f t="shared" ca="1" si="134"/>
        <v>0</v>
      </c>
      <c r="J457" s="13">
        <f t="shared" ca="1" si="135"/>
        <v>0</v>
      </c>
      <c r="K457" s="13">
        <f t="shared" ca="1" si="136"/>
        <v>0</v>
      </c>
      <c r="L457" s="13" t="e">
        <f ca="1">ROUNDUP(IF($D$2="Egyszeri",$E457,IF($D$2="Havi",SUM($E$20:$E$31),IF(MOD($C457,$M$1)-1=0,SUM($E$20:$E$31),0))/12*$M$1)*VLOOKUP($B457,Paraméterek!$I$28:$P$31,IF($D$2="Egyszeri",8,HLOOKUP(ROUNDUP($M$11+$M$13,0),Paraméterek!$J$26:$O$27,2))),IF($D$4="Forint",0,2))</f>
        <v>#N/A</v>
      </c>
      <c r="M457" s="13">
        <f t="shared" ca="1" si="137"/>
        <v>0</v>
      </c>
      <c r="N457" s="13">
        <f t="shared" ca="1" si="147"/>
        <v>0</v>
      </c>
      <c r="O457" s="13">
        <f ca="1">IF($D457="Igen",IF($W456&gt;=IF($D$4="Forint",Paraméterek!$J$121,Paraméterek!$K$121),0,IF($D$4="Forint",Paraméterek!$J$121,Paraméterek!$K$121)-$W456),0)</f>
        <v>0</v>
      </c>
      <c r="P457" s="13" t="e">
        <f ca="1">ROUNDUP($O457*VLOOKUP($M$4+$B457-1,Paraméterek!$H$58:$I$105,2,0)/Paraméterek!$I$56,IF($D$4="Forint",0,2))</f>
        <v>#N/A</v>
      </c>
      <c r="Q457" s="13">
        <f t="shared" ca="1" si="138"/>
        <v>0</v>
      </c>
      <c r="R457" s="33"/>
      <c r="S457" s="13" t="e">
        <f t="shared" ca="1" si="139"/>
        <v>#N/A</v>
      </c>
      <c r="T457" s="13" t="e">
        <f ca="1">ROUNDUP(($N457-$P457-$Q457+$S457)*VLOOKUP($B457,Paraméterek!$I$38:$K$39,IF($D$2="Egyszeri",3,2))/12*IF($D458="Nem",IF($M$13=0,1,$M$13),1),IF($D$4="Forint",0,2))</f>
        <v>#N/A</v>
      </c>
      <c r="U457" s="13"/>
      <c r="V457" s="13"/>
      <c r="W457" s="13" t="e">
        <f ca="1">$N457-$P457-$Q457+$S457-$T457-IF(ROUNDUP(IF(ISBLANK($V457),$U457*0,$V457)/IF($D$2="Egyszeri",VLOOKUP($B457+IF($C457=12,1,0),Paraméterek!$V$257:$W$262,2),IF($B457=1,1,VLOOKUP($B457+IF($C457=12,1,0),Paraméterek!$I$258:$T$278,HLOOKUP($M$11+1,Paraméterek!$J$256:$T$257,2)))),IF($D$4="Forint",0,2))&gt;$N457-$P457-$Q457+$S457-$T457-IF($D$4="Forint",Paraméterek!$C$216,Paraméterek!$D$216),0,ROUNDUP(IF(ISBLANK($V457),$U457*0,$V457)/IF($D$2="Egyszeri",VLOOKUP($B457+IF($C457=12,1,0),Paraméterek!$V$257:$W$262,2),IF($B457=1,1,VLOOKUP($B457+IF($C457=12,1,0),Paraméterek!$I$258:$T$278,HLOOKUP($M$11+1,Paraméterek!$J$256:$T$257,2)))),IF($D$4="Forint",0,2)))</f>
        <v>#N/A</v>
      </c>
      <c r="X457" s="13" t="e">
        <f ca="1">ROUNDDOWN($W457*IF($D$2="Egyszeri",VLOOKUP($B457+IF($C457=12,1,0),Paraméterek!$V$257:$W$262,2),VLOOKUP($B457+IF($C457=12,1,0),Paraméterek!$I$258:$T$278,HLOOKUP($M$11+1,Paraméterek!$I$256:$T$257,2))),IF($D$4="Forint",0,2))</f>
        <v>#N/A</v>
      </c>
      <c r="Z457" s="32">
        <v>438</v>
      </c>
      <c r="AA457" s="32">
        <v>37</v>
      </c>
      <c r="AB457" s="32">
        <v>6</v>
      </c>
      <c r="AC457" s="13">
        <f t="shared" ca="1" si="148"/>
        <v>0</v>
      </c>
      <c r="AD457" s="33"/>
      <c r="AE457" s="13">
        <f t="shared" ca="1" si="140"/>
        <v>0</v>
      </c>
      <c r="AF457" s="13">
        <f ca="1">ROUNDUP(($AC457+$AE457)*VLOOKUP($AA457,Paraméterek!$P$38:$Q$38,2)/12*IF($D458="Nem",IF($M$13=0,1,$M$13),1),IF($D$4="Forint",0,2))</f>
        <v>0</v>
      </c>
      <c r="AG457" s="13">
        <f ca="1">IF($D$2="Egyszeri",IF($D$7&gt;=IF($D$4="Forint",Paraméterek!$P$223,Paraméterek!$P$224),$D$7-IF($D$4="Forint",Paraméterek!$P$223,Paraméterek!$P$224),0),MIN(IF($AB457=12,AVERAGEIF($E$20:$E457,"&gt;0",$E$20:$E457)*12,0),SUM($E$20:$E$31)))</f>
        <v>0</v>
      </c>
      <c r="AH457" s="13">
        <f>IF($AA457=10,$AG457*IF($AB457=12,IF($AG457&lt;IF($D$4="Forint",Paraméterek!$L$223,Paraméterek!$L$224),0,VLOOKUP($AA457,Paraméterek!$K$226:$M$228,IF($AG457&lt;IF($D$4="Forint",Paraméterek!$M$223,Paraméterek!$M$224),2,3))),0),0)</f>
        <v>0</v>
      </c>
      <c r="AI457" s="13">
        <f ca="1">IF(AND($AA457=$M$11+1,$AB457=$M$12+1),SUMIF($AA$20:$AA$1027,$AA457,$AG$20:$AG$1027)*IF(SUMIF($AA$20:$AA$1027,$AA457,$AG$20:$AG$1027)&lt;IF($D$4="Forint",Paraméterek!$L$223,Paraméterek!$L$224),0,VLOOKUP($AA457,Paraméterek!$K$230:$M$250,IF(SUMIF($AA$20:$AA$1027,$AA457,$AG$20:$AG$1027)&lt;IF($D$4="Forint",Paraméterek!$M$223,Paraméterek!$M$224),2,3))),0)</f>
        <v>0</v>
      </c>
      <c r="AJ457" s="13">
        <f ca="1">IF(AND($AA457&gt;=5,MOD($AA457,5)=0),IF($AB457=12,VLOOKUP($AA457,Paraméterek!$O$225:$P$240,2),0),IF(OR($AA457=3,$AA457=4),IF($AB457=12,VLOOKUP($AA457,Paraméterek!$O$225:$P$240,2,0),0),0))*$AG457</f>
        <v>0</v>
      </c>
      <c r="AK457" s="13">
        <f t="shared" ca="1" si="141"/>
        <v>0</v>
      </c>
      <c r="AL457" s="13">
        <f t="shared" ca="1" si="149"/>
        <v>0</v>
      </c>
      <c r="AM457" s="13">
        <f t="shared" ca="1" si="150"/>
        <v>0</v>
      </c>
      <c r="AO457" s="32">
        <v>438</v>
      </c>
      <c r="AP457" s="32">
        <v>37</v>
      </c>
      <c r="AQ457" s="32">
        <v>6</v>
      </c>
      <c r="AR457" s="13"/>
      <c r="AS457" s="32"/>
      <c r="AT457" s="13">
        <f t="shared" ca="1" si="151"/>
        <v>0</v>
      </c>
      <c r="AU457" s="33"/>
      <c r="AV457" s="13">
        <f t="shared" ca="1" si="142"/>
        <v>0</v>
      </c>
      <c r="AW457" s="13">
        <f ca="1">ROUNDUP(($AT457+$AV457)*VLOOKUP($AP457,Paraméterek!$P$38:$Q$38,2)/12*IF($D458="Nem",IF($M$13=0,1,$M$13),1),IF($D$4="Forint",0,2))</f>
        <v>0</v>
      </c>
      <c r="AX457" s="13"/>
      <c r="AY457" s="13"/>
      <c r="AZ457" s="13">
        <f>ROUNDUP(IF(SUM($AX457:$AY457)=0,0,IF(IF(ISBLANK($AY457),$AX457,$AY457)*Paraméterek!$J$112&lt;IF($D$4="Forint",Paraméterek!$J$113,Paraméterek!$K$113),IF($D$4="Forint",Paraméterek!$J$113,Paraméterek!$K$113),IF(IF(ISBLANK($AY457),$AX457,$AY457)*Paraméterek!$J$112&gt;IF($D$4="Forint",Paraméterek!$J$114,Paraméterek!$K$114),IF($D$4="Forint",Paraméterek!$J$114,Paraméterek!$K$114),IF(ISBLANK($AY457),$AX457,$AY457)*Paraméterek!$J$112))),IF($D$4="Forint",0,2))</f>
        <v>0</v>
      </c>
      <c r="BA457" s="13">
        <f ca="1">$AT457+$AV457-$AW457-IF(ROUNDDOWN(IF(ISBLANK($AY457),$AX457,$AY457),IF($D$4="Forint",0,2))&gt;$AT457+$AV457-$AW457-IF($D$4="Forint",Paraméterek!$J$114,Paraméterek!$K$114),0,ROUNDDOWN(IF(ISBLANK($AY457),$AX457,$AY457),IF($D$4="Forint",0,2))-$AZ457)</f>
        <v>0</v>
      </c>
      <c r="BB457" s="13">
        <f t="shared" ca="1" si="143"/>
        <v>0</v>
      </c>
      <c r="BD457" s="32">
        <v>438</v>
      </c>
      <c r="BE457" s="32">
        <v>37</v>
      </c>
      <c r="BF457" s="32">
        <v>6</v>
      </c>
      <c r="BG457" s="34">
        <f t="shared" ca="1" si="152"/>
        <v>2055</v>
      </c>
      <c r="BH457" s="32" t="str">
        <f ca="1">IF(MOD(MONTH($D$14)+$BD457-1,12)=Paraméterek!$C$288,"Igen","")</f>
        <v/>
      </c>
      <c r="BI457" s="13">
        <f ca="1">IF($BH457="Igen",MIN(ROUNDDOWN((SUMIF($BG$20:$BG$1027,$BG457-1,$K$20:$K$1027)-SUMIF($BG$20:$BG$1027,$BG457-1,$I$20:$I$1027))*Paraméterek!$C$289,IF($D$4="Forint",0,2)),IF($D$4="Forint",Paraméterek!$C$285,Paraméterek!$D$285)),0)</f>
        <v>0</v>
      </c>
      <c r="BJ457" s="13">
        <f t="shared" ca="1" si="144"/>
        <v>0</v>
      </c>
      <c r="BK457" s="13">
        <f t="shared" ca="1" si="153"/>
        <v>0</v>
      </c>
      <c r="BL457" s="33"/>
      <c r="BM457" s="13">
        <f t="shared" ca="1" si="145"/>
        <v>0</v>
      </c>
      <c r="BN457" s="13">
        <f ca="1">ROUNDUP(($BK457+$BM457)*VLOOKUP($BE457,Paraméterek!$P$38:$Q$38,2)/12*IF($D458="Nem",IF($M$13=0,1,$M$13),1),IF($D$4="Forint",0,2))</f>
        <v>0</v>
      </c>
      <c r="BO457" s="13">
        <f t="shared" ca="1" si="146"/>
        <v>0</v>
      </c>
      <c r="BP457" s="13">
        <f ca="1">IF($D458="Nem",$BO457,$BO457-ROUNDUP(SUM($BI$20:$BI457)*120%,IF($D$4="Forint",0,2)))</f>
        <v>0</v>
      </c>
    </row>
    <row r="458" spans="1:68" x14ac:dyDescent="0.2">
      <c r="A458" s="32">
        <v>439</v>
      </c>
      <c r="B458" s="32">
        <v>37</v>
      </c>
      <c r="C458" s="32">
        <v>7</v>
      </c>
      <c r="D458" s="32" t="str">
        <f t="shared" ca="1" si="132"/>
        <v>Nem</v>
      </c>
      <c r="E458" s="13">
        <f t="shared" ca="1" si="133"/>
        <v>0</v>
      </c>
      <c r="F458" s="13"/>
      <c r="G458" s="13"/>
      <c r="H458" s="13"/>
      <c r="I458" s="13">
        <f t="shared" ca="1" si="134"/>
        <v>0</v>
      </c>
      <c r="J458" s="13">
        <f t="shared" ca="1" si="135"/>
        <v>0</v>
      </c>
      <c r="K458" s="13">
        <f t="shared" ca="1" si="136"/>
        <v>0</v>
      </c>
      <c r="L458" s="13" t="e">
        <f ca="1">ROUNDUP(IF($D$2="Egyszeri",$E458,IF($D$2="Havi",SUM($E$20:$E$31),IF(MOD($C458,$M$1)-1=0,SUM($E$20:$E$31),0))/12*$M$1)*VLOOKUP($B458,Paraméterek!$I$28:$P$31,IF($D$2="Egyszeri",8,HLOOKUP(ROUNDUP($M$11+$M$13,0),Paraméterek!$J$26:$O$27,2))),IF($D$4="Forint",0,2))</f>
        <v>#N/A</v>
      </c>
      <c r="M458" s="13">
        <f t="shared" ca="1" si="137"/>
        <v>0</v>
      </c>
      <c r="N458" s="13">
        <f t="shared" ca="1" si="147"/>
        <v>0</v>
      </c>
      <c r="O458" s="13">
        <f ca="1">IF($D458="Igen",IF($W457&gt;=IF($D$4="Forint",Paraméterek!$J$121,Paraméterek!$K$121),0,IF($D$4="Forint",Paraméterek!$J$121,Paraméterek!$K$121)-$W457),0)</f>
        <v>0</v>
      </c>
      <c r="P458" s="13" t="e">
        <f ca="1">ROUNDUP($O458*VLOOKUP($M$4+$B458-1,Paraméterek!$H$58:$I$105,2,0)/Paraméterek!$I$56,IF($D$4="Forint",0,2))</f>
        <v>#N/A</v>
      </c>
      <c r="Q458" s="13">
        <f t="shared" ca="1" si="138"/>
        <v>0</v>
      </c>
      <c r="R458" s="33"/>
      <c r="S458" s="13" t="e">
        <f t="shared" ca="1" si="139"/>
        <v>#N/A</v>
      </c>
      <c r="T458" s="13" t="e">
        <f ca="1">ROUNDUP(($N458-$P458-$Q458+$S458)*VLOOKUP($B458,Paraméterek!$I$38:$K$39,IF($D$2="Egyszeri",3,2))/12*IF($D459="Nem",IF($M$13=0,1,$M$13),1),IF($D$4="Forint",0,2))</f>
        <v>#N/A</v>
      </c>
      <c r="U458" s="13"/>
      <c r="V458" s="13"/>
      <c r="W458" s="13" t="e">
        <f ca="1">$N458-$P458-$Q458+$S458-$T458-IF(ROUNDUP(IF(ISBLANK($V458),$U458*0,$V458)/IF($D$2="Egyszeri",VLOOKUP($B458+IF($C458=12,1,0),Paraméterek!$V$257:$W$262,2),IF($B458=1,1,VLOOKUP($B458+IF($C458=12,1,0),Paraméterek!$I$258:$T$278,HLOOKUP($M$11+1,Paraméterek!$J$256:$T$257,2)))),IF($D$4="Forint",0,2))&gt;$N458-$P458-$Q458+$S458-$T458-IF($D$4="Forint",Paraméterek!$C$216,Paraméterek!$D$216),0,ROUNDUP(IF(ISBLANK($V458),$U458*0,$V458)/IF($D$2="Egyszeri",VLOOKUP($B458+IF($C458=12,1,0),Paraméterek!$V$257:$W$262,2),IF($B458=1,1,VLOOKUP($B458+IF($C458=12,1,0),Paraméterek!$I$258:$T$278,HLOOKUP($M$11+1,Paraméterek!$J$256:$T$257,2)))),IF($D$4="Forint",0,2)))</f>
        <v>#N/A</v>
      </c>
      <c r="X458" s="13" t="e">
        <f ca="1">ROUNDDOWN($W458*IF($D$2="Egyszeri",VLOOKUP($B458+IF($C458=12,1,0),Paraméterek!$V$257:$W$262,2),VLOOKUP($B458+IF($C458=12,1,0),Paraméterek!$I$258:$T$278,HLOOKUP($M$11+1,Paraméterek!$I$256:$T$257,2))),IF($D$4="Forint",0,2))</f>
        <v>#N/A</v>
      </c>
      <c r="Z458" s="32">
        <v>439</v>
      </c>
      <c r="AA458" s="32">
        <v>37</v>
      </c>
      <c r="AB458" s="32">
        <v>7</v>
      </c>
      <c r="AC458" s="13">
        <f t="shared" ca="1" si="148"/>
        <v>0</v>
      </c>
      <c r="AD458" s="33"/>
      <c r="AE458" s="13">
        <f t="shared" ca="1" si="140"/>
        <v>0</v>
      </c>
      <c r="AF458" s="13">
        <f ca="1">ROUNDUP(($AC458+$AE458)*VLOOKUP($AA458,Paraméterek!$P$38:$Q$38,2)/12*IF($D459="Nem",IF($M$13=0,1,$M$13),1),IF($D$4="Forint",0,2))</f>
        <v>0</v>
      </c>
      <c r="AG458" s="13">
        <f ca="1">IF($D$2="Egyszeri",IF($D$7&gt;=IF($D$4="Forint",Paraméterek!$P$223,Paraméterek!$P$224),$D$7-IF($D$4="Forint",Paraméterek!$P$223,Paraméterek!$P$224),0),MIN(IF($AB458=12,AVERAGEIF($E$20:$E458,"&gt;0",$E$20:$E458)*12,0),SUM($E$20:$E$31)))</f>
        <v>0</v>
      </c>
      <c r="AH458" s="13">
        <f>IF($AA458=10,$AG458*IF($AB458=12,IF($AG458&lt;IF($D$4="Forint",Paraméterek!$L$223,Paraméterek!$L$224),0,VLOOKUP($AA458,Paraméterek!$K$226:$M$228,IF($AG458&lt;IF($D$4="Forint",Paraméterek!$M$223,Paraméterek!$M$224),2,3))),0),0)</f>
        <v>0</v>
      </c>
      <c r="AI458" s="13">
        <f ca="1">IF(AND($AA458=$M$11+1,$AB458=$M$12+1),SUMIF($AA$20:$AA$1027,$AA458,$AG$20:$AG$1027)*IF(SUMIF($AA$20:$AA$1027,$AA458,$AG$20:$AG$1027)&lt;IF($D$4="Forint",Paraméterek!$L$223,Paraméterek!$L$224),0,VLOOKUP($AA458,Paraméterek!$K$230:$M$250,IF(SUMIF($AA$20:$AA$1027,$AA458,$AG$20:$AG$1027)&lt;IF($D$4="Forint",Paraméterek!$M$223,Paraméterek!$M$224),2,3))),0)</f>
        <v>0</v>
      </c>
      <c r="AJ458" s="13">
        <f ca="1">IF(AND($AA458&gt;=5,MOD($AA458,5)=0),IF($AB458=12,VLOOKUP($AA458,Paraméterek!$O$225:$P$240,2),0),IF(OR($AA458=3,$AA458=4),IF($AB458=12,VLOOKUP($AA458,Paraméterek!$O$225:$P$240,2,0),0),0))*$AG458</f>
        <v>0</v>
      </c>
      <c r="AK458" s="13">
        <f t="shared" ca="1" si="141"/>
        <v>0</v>
      </c>
      <c r="AL458" s="13">
        <f t="shared" ca="1" si="149"/>
        <v>0</v>
      </c>
      <c r="AM458" s="13">
        <f t="shared" ca="1" si="150"/>
        <v>0</v>
      </c>
      <c r="AO458" s="32">
        <v>439</v>
      </c>
      <c r="AP458" s="32">
        <v>37</v>
      </c>
      <c r="AQ458" s="32">
        <v>7</v>
      </c>
      <c r="AR458" s="13"/>
      <c r="AS458" s="32"/>
      <c r="AT458" s="13">
        <f t="shared" ca="1" si="151"/>
        <v>0</v>
      </c>
      <c r="AU458" s="33"/>
      <c r="AV458" s="13">
        <f t="shared" ca="1" si="142"/>
        <v>0</v>
      </c>
      <c r="AW458" s="13">
        <f ca="1">ROUNDUP(($AT458+$AV458)*VLOOKUP($AP458,Paraméterek!$P$38:$Q$38,2)/12*IF($D459="Nem",IF($M$13=0,1,$M$13),1),IF($D$4="Forint",0,2))</f>
        <v>0</v>
      </c>
      <c r="AX458" s="13"/>
      <c r="AY458" s="13"/>
      <c r="AZ458" s="13">
        <f>ROUNDUP(IF(SUM($AX458:$AY458)=0,0,IF(IF(ISBLANK($AY458),$AX458,$AY458)*Paraméterek!$J$112&lt;IF($D$4="Forint",Paraméterek!$J$113,Paraméterek!$K$113),IF($D$4="Forint",Paraméterek!$J$113,Paraméterek!$K$113),IF(IF(ISBLANK($AY458),$AX458,$AY458)*Paraméterek!$J$112&gt;IF($D$4="Forint",Paraméterek!$J$114,Paraméterek!$K$114),IF($D$4="Forint",Paraméterek!$J$114,Paraméterek!$K$114),IF(ISBLANK($AY458),$AX458,$AY458)*Paraméterek!$J$112))),IF($D$4="Forint",0,2))</f>
        <v>0</v>
      </c>
      <c r="BA458" s="13">
        <f ca="1">$AT458+$AV458-$AW458-IF(ROUNDDOWN(IF(ISBLANK($AY458),$AX458,$AY458),IF($D$4="Forint",0,2))&gt;$AT458+$AV458-$AW458-IF($D$4="Forint",Paraméterek!$J$114,Paraméterek!$K$114),0,ROUNDDOWN(IF(ISBLANK($AY458),$AX458,$AY458),IF($D$4="Forint",0,2))-$AZ458)</f>
        <v>0</v>
      </c>
      <c r="BB458" s="13">
        <f t="shared" ca="1" si="143"/>
        <v>0</v>
      </c>
      <c r="BD458" s="32">
        <v>439</v>
      </c>
      <c r="BE458" s="32">
        <v>37</v>
      </c>
      <c r="BF458" s="32">
        <v>7</v>
      </c>
      <c r="BG458" s="34">
        <f t="shared" ca="1" si="152"/>
        <v>2055</v>
      </c>
      <c r="BH458" s="32" t="str">
        <f ca="1">IF(MOD(MONTH($D$14)+$BD458-1,12)=Paraméterek!$C$288,"Igen","")</f>
        <v/>
      </c>
      <c r="BI458" s="13">
        <f ca="1">IF($BH458="Igen",MIN(ROUNDDOWN((SUMIF($BG$20:$BG$1027,$BG458-1,$K$20:$K$1027)-SUMIF($BG$20:$BG$1027,$BG458-1,$I$20:$I$1027))*Paraméterek!$C$289,IF($D$4="Forint",0,2)),IF($D$4="Forint",Paraméterek!$C$285,Paraméterek!$D$285)),0)</f>
        <v>0</v>
      </c>
      <c r="BJ458" s="13">
        <f t="shared" ca="1" si="144"/>
        <v>0</v>
      </c>
      <c r="BK458" s="13">
        <f t="shared" ca="1" si="153"/>
        <v>0</v>
      </c>
      <c r="BL458" s="33"/>
      <c r="BM458" s="13">
        <f t="shared" ca="1" si="145"/>
        <v>0</v>
      </c>
      <c r="BN458" s="13">
        <f ca="1">ROUNDUP(($BK458+$BM458)*VLOOKUP($BE458,Paraméterek!$P$38:$Q$38,2)/12*IF($D459="Nem",IF($M$13=0,1,$M$13),1),IF($D$4="Forint",0,2))</f>
        <v>0</v>
      </c>
      <c r="BO458" s="13">
        <f t="shared" ca="1" si="146"/>
        <v>0</v>
      </c>
      <c r="BP458" s="13">
        <f ca="1">IF($D459="Nem",$BO458,$BO458-ROUNDUP(SUM($BI$20:$BI458)*120%,IF($D$4="Forint",0,2)))</f>
        <v>0</v>
      </c>
    </row>
    <row r="459" spans="1:68" x14ac:dyDescent="0.2">
      <c r="A459" s="32">
        <v>440</v>
      </c>
      <c r="B459" s="32">
        <v>37</v>
      </c>
      <c r="C459" s="32">
        <v>8</v>
      </c>
      <c r="D459" s="32" t="str">
        <f t="shared" ca="1" si="132"/>
        <v>Nem</v>
      </c>
      <c r="E459" s="13">
        <f t="shared" ca="1" si="133"/>
        <v>0</v>
      </c>
      <c r="F459" s="13"/>
      <c r="G459" s="13"/>
      <c r="H459" s="13"/>
      <c r="I459" s="13">
        <f t="shared" ca="1" si="134"/>
        <v>0</v>
      </c>
      <c r="J459" s="13">
        <f t="shared" ca="1" si="135"/>
        <v>0</v>
      </c>
      <c r="K459" s="13">
        <f t="shared" ca="1" si="136"/>
        <v>0</v>
      </c>
      <c r="L459" s="13" t="e">
        <f ca="1">ROUNDUP(IF($D$2="Egyszeri",$E459,IF($D$2="Havi",SUM($E$20:$E$31),IF(MOD($C459,$M$1)-1=0,SUM($E$20:$E$31),0))/12*$M$1)*VLOOKUP($B459,Paraméterek!$I$28:$P$31,IF($D$2="Egyszeri",8,HLOOKUP(ROUNDUP($M$11+$M$13,0),Paraméterek!$J$26:$O$27,2))),IF($D$4="Forint",0,2))</f>
        <v>#N/A</v>
      </c>
      <c r="M459" s="13">
        <f t="shared" ca="1" si="137"/>
        <v>0</v>
      </c>
      <c r="N459" s="13">
        <f t="shared" ca="1" si="147"/>
        <v>0</v>
      </c>
      <c r="O459" s="13">
        <f ca="1">IF($D459="Igen",IF($W458&gt;=IF($D$4="Forint",Paraméterek!$J$121,Paraméterek!$K$121),0,IF($D$4="Forint",Paraméterek!$J$121,Paraméterek!$K$121)-$W458),0)</f>
        <v>0</v>
      </c>
      <c r="P459" s="13" t="e">
        <f ca="1">ROUNDUP($O459*VLOOKUP($M$4+$B459-1,Paraméterek!$H$58:$I$105,2,0)/Paraméterek!$I$56,IF($D$4="Forint",0,2))</f>
        <v>#N/A</v>
      </c>
      <c r="Q459" s="13">
        <f t="shared" ca="1" si="138"/>
        <v>0</v>
      </c>
      <c r="R459" s="33"/>
      <c r="S459" s="13" t="e">
        <f t="shared" ca="1" si="139"/>
        <v>#N/A</v>
      </c>
      <c r="T459" s="13" t="e">
        <f ca="1">ROUNDUP(($N459-$P459-$Q459+$S459)*VLOOKUP($B459,Paraméterek!$I$38:$K$39,IF($D$2="Egyszeri",3,2))/12*IF($D460="Nem",IF($M$13=0,1,$M$13),1),IF($D$4="Forint",0,2))</f>
        <v>#N/A</v>
      </c>
      <c r="U459" s="13"/>
      <c r="V459" s="13"/>
      <c r="W459" s="13" t="e">
        <f ca="1">$N459-$P459-$Q459+$S459-$T459-IF(ROUNDUP(IF(ISBLANK($V459),$U459*0,$V459)/IF($D$2="Egyszeri",VLOOKUP($B459+IF($C459=12,1,0),Paraméterek!$V$257:$W$262,2),IF($B459=1,1,VLOOKUP($B459+IF($C459=12,1,0),Paraméterek!$I$258:$T$278,HLOOKUP($M$11+1,Paraméterek!$J$256:$T$257,2)))),IF($D$4="Forint",0,2))&gt;$N459-$P459-$Q459+$S459-$T459-IF($D$4="Forint",Paraméterek!$C$216,Paraméterek!$D$216),0,ROUNDUP(IF(ISBLANK($V459),$U459*0,$V459)/IF($D$2="Egyszeri",VLOOKUP($B459+IF($C459=12,1,0),Paraméterek!$V$257:$W$262,2),IF($B459=1,1,VLOOKUP($B459+IF($C459=12,1,0),Paraméterek!$I$258:$T$278,HLOOKUP($M$11+1,Paraméterek!$J$256:$T$257,2)))),IF($D$4="Forint",0,2)))</f>
        <v>#N/A</v>
      </c>
      <c r="X459" s="13" t="e">
        <f ca="1">ROUNDDOWN($W459*IF($D$2="Egyszeri",VLOOKUP($B459+IF($C459=12,1,0),Paraméterek!$V$257:$W$262,2),VLOOKUP($B459+IF($C459=12,1,0),Paraméterek!$I$258:$T$278,HLOOKUP($M$11+1,Paraméterek!$I$256:$T$257,2))),IF($D$4="Forint",0,2))</f>
        <v>#N/A</v>
      </c>
      <c r="Z459" s="32">
        <v>440</v>
      </c>
      <c r="AA459" s="32">
        <v>37</v>
      </c>
      <c r="AB459" s="32">
        <v>8</v>
      </c>
      <c r="AC459" s="13">
        <f t="shared" ca="1" si="148"/>
        <v>0</v>
      </c>
      <c r="AD459" s="33"/>
      <c r="AE459" s="13">
        <f t="shared" ca="1" si="140"/>
        <v>0</v>
      </c>
      <c r="AF459" s="13">
        <f ca="1">ROUNDUP(($AC459+$AE459)*VLOOKUP($AA459,Paraméterek!$P$38:$Q$38,2)/12*IF($D460="Nem",IF($M$13=0,1,$M$13),1),IF($D$4="Forint",0,2))</f>
        <v>0</v>
      </c>
      <c r="AG459" s="13">
        <f ca="1">IF($D$2="Egyszeri",IF($D$7&gt;=IF($D$4="Forint",Paraméterek!$P$223,Paraméterek!$P$224),$D$7-IF($D$4="Forint",Paraméterek!$P$223,Paraméterek!$P$224),0),MIN(IF($AB459=12,AVERAGEIF($E$20:$E459,"&gt;0",$E$20:$E459)*12,0),SUM($E$20:$E$31)))</f>
        <v>0</v>
      </c>
      <c r="AH459" s="13">
        <f>IF($AA459=10,$AG459*IF($AB459=12,IF($AG459&lt;IF($D$4="Forint",Paraméterek!$L$223,Paraméterek!$L$224),0,VLOOKUP($AA459,Paraméterek!$K$226:$M$228,IF($AG459&lt;IF($D$4="Forint",Paraméterek!$M$223,Paraméterek!$M$224),2,3))),0),0)</f>
        <v>0</v>
      </c>
      <c r="AI459" s="13">
        <f ca="1">IF(AND($AA459=$M$11+1,$AB459=$M$12+1),SUMIF($AA$20:$AA$1027,$AA459,$AG$20:$AG$1027)*IF(SUMIF($AA$20:$AA$1027,$AA459,$AG$20:$AG$1027)&lt;IF($D$4="Forint",Paraméterek!$L$223,Paraméterek!$L$224),0,VLOOKUP($AA459,Paraméterek!$K$230:$M$250,IF(SUMIF($AA$20:$AA$1027,$AA459,$AG$20:$AG$1027)&lt;IF($D$4="Forint",Paraméterek!$M$223,Paraméterek!$M$224),2,3))),0)</f>
        <v>0</v>
      </c>
      <c r="AJ459" s="13">
        <f ca="1">IF(AND($AA459&gt;=5,MOD($AA459,5)=0),IF($AB459=12,VLOOKUP($AA459,Paraméterek!$O$225:$P$240,2),0),IF(OR($AA459=3,$AA459=4),IF($AB459=12,VLOOKUP($AA459,Paraméterek!$O$225:$P$240,2,0),0),0))*$AG459</f>
        <v>0</v>
      </c>
      <c r="AK459" s="13">
        <f t="shared" ca="1" si="141"/>
        <v>0</v>
      </c>
      <c r="AL459" s="13">
        <f t="shared" ca="1" si="149"/>
        <v>0</v>
      </c>
      <c r="AM459" s="13">
        <f t="shared" ca="1" si="150"/>
        <v>0</v>
      </c>
      <c r="AO459" s="32">
        <v>440</v>
      </c>
      <c r="AP459" s="32">
        <v>37</v>
      </c>
      <c r="AQ459" s="32">
        <v>8</v>
      </c>
      <c r="AR459" s="13"/>
      <c r="AS459" s="32"/>
      <c r="AT459" s="13">
        <f t="shared" ca="1" si="151"/>
        <v>0</v>
      </c>
      <c r="AU459" s="33"/>
      <c r="AV459" s="13">
        <f t="shared" ca="1" si="142"/>
        <v>0</v>
      </c>
      <c r="AW459" s="13">
        <f ca="1">ROUNDUP(($AT459+$AV459)*VLOOKUP($AP459,Paraméterek!$P$38:$Q$38,2)/12*IF($D460="Nem",IF($M$13=0,1,$M$13),1),IF($D$4="Forint",0,2))</f>
        <v>0</v>
      </c>
      <c r="AX459" s="13"/>
      <c r="AY459" s="13"/>
      <c r="AZ459" s="13">
        <f>ROUNDUP(IF(SUM($AX459:$AY459)=0,0,IF(IF(ISBLANK($AY459),$AX459,$AY459)*Paraméterek!$J$112&lt;IF($D$4="Forint",Paraméterek!$J$113,Paraméterek!$K$113),IF($D$4="Forint",Paraméterek!$J$113,Paraméterek!$K$113),IF(IF(ISBLANK($AY459),$AX459,$AY459)*Paraméterek!$J$112&gt;IF($D$4="Forint",Paraméterek!$J$114,Paraméterek!$K$114),IF($D$4="Forint",Paraméterek!$J$114,Paraméterek!$K$114),IF(ISBLANK($AY459),$AX459,$AY459)*Paraméterek!$J$112))),IF($D$4="Forint",0,2))</f>
        <v>0</v>
      </c>
      <c r="BA459" s="13">
        <f ca="1">$AT459+$AV459-$AW459-IF(ROUNDDOWN(IF(ISBLANK($AY459),$AX459,$AY459),IF($D$4="Forint",0,2))&gt;$AT459+$AV459-$AW459-IF($D$4="Forint",Paraméterek!$J$114,Paraméterek!$K$114),0,ROUNDDOWN(IF(ISBLANK($AY459),$AX459,$AY459),IF($D$4="Forint",0,2))-$AZ459)</f>
        <v>0</v>
      </c>
      <c r="BB459" s="13">
        <f t="shared" ca="1" si="143"/>
        <v>0</v>
      </c>
      <c r="BD459" s="32">
        <v>440</v>
      </c>
      <c r="BE459" s="32">
        <v>37</v>
      </c>
      <c r="BF459" s="32">
        <v>8</v>
      </c>
      <c r="BG459" s="34">
        <f t="shared" ca="1" si="152"/>
        <v>2056</v>
      </c>
      <c r="BH459" s="32" t="str">
        <f ca="1">IF(MOD(MONTH($D$14)+$BD459-1,12)=Paraméterek!$C$288,"Igen","")</f>
        <v/>
      </c>
      <c r="BI459" s="13">
        <f ca="1">IF($BH459="Igen",MIN(ROUNDDOWN((SUMIF($BG$20:$BG$1027,$BG459-1,$K$20:$K$1027)-SUMIF($BG$20:$BG$1027,$BG459-1,$I$20:$I$1027))*Paraméterek!$C$289,IF($D$4="Forint",0,2)),IF($D$4="Forint",Paraméterek!$C$285,Paraméterek!$D$285)),0)</f>
        <v>0</v>
      </c>
      <c r="BJ459" s="13">
        <f t="shared" ca="1" si="144"/>
        <v>0</v>
      </c>
      <c r="BK459" s="13">
        <f t="shared" ca="1" si="153"/>
        <v>0</v>
      </c>
      <c r="BL459" s="33"/>
      <c r="BM459" s="13">
        <f t="shared" ca="1" si="145"/>
        <v>0</v>
      </c>
      <c r="BN459" s="13">
        <f ca="1">ROUNDUP(($BK459+$BM459)*VLOOKUP($BE459,Paraméterek!$P$38:$Q$38,2)/12*IF($D460="Nem",IF($M$13=0,1,$M$13),1),IF($D$4="Forint",0,2))</f>
        <v>0</v>
      </c>
      <c r="BO459" s="13">
        <f t="shared" ca="1" si="146"/>
        <v>0</v>
      </c>
      <c r="BP459" s="13">
        <f ca="1">IF($D460="Nem",$BO459,$BO459-ROUNDUP(SUM($BI$20:$BI459)*120%,IF($D$4="Forint",0,2)))</f>
        <v>0</v>
      </c>
    </row>
    <row r="460" spans="1:68" x14ac:dyDescent="0.2">
      <c r="A460" s="32">
        <v>441</v>
      </c>
      <c r="B460" s="32">
        <v>37</v>
      </c>
      <c r="C460" s="32">
        <v>9</v>
      </c>
      <c r="D460" s="32" t="str">
        <f t="shared" ca="1" si="132"/>
        <v>Nem</v>
      </c>
      <c r="E460" s="13">
        <f t="shared" ca="1" si="133"/>
        <v>0</v>
      </c>
      <c r="F460" s="13"/>
      <c r="G460" s="13"/>
      <c r="H460" s="13"/>
      <c r="I460" s="13">
        <f t="shared" ca="1" si="134"/>
        <v>0</v>
      </c>
      <c r="J460" s="13">
        <f t="shared" ca="1" si="135"/>
        <v>0</v>
      </c>
      <c r="K460" s="13">
        <f t="shared" ca="1" si="136"/>
        <v>0</v>
      </c>
      <c r="L460" s="13" t="e">
        <f ca="1">ROUNDUP(IF($D$2="Egyszeri",$E460,IF($D$2="Havi",SUM($E$20:$E$31),IF(MOD($C460,$M$1)-1=0,SUM($E$20:$E$31),0))/12*$M$1)*VLOOKUP($B460,Paraméterek!$I$28:$P$31,IF($D$2="Egyszeri",8,HLOOKUP(ROUNDUP($M$11+$M$13,0),Paraméterek!$J$26:$O$27,2))),IF($D$4="Forint",0,2))</f>
        <v>#N/A</v>
      </c>
      <c r="M460" s="13">
        <f t="shared" ca="1" si="137"/>
        <v>0</v>
      </c>
      <c r="N460" s="13">
        <f t="shared" ca="1" si="147"/>
        <v>0</v>
      </c>
      <c r="O460" s="13">
        <f ca="1">IF($D460="Igen",IF($W459&gt;=IF($D$4="Forint",Paraméterek!$J$121,Paraméterek!$K$121),0,IF($D$4="Forint",Paraméterek!$J$121,Paraméterek!$K$121)-$W459),0)</f>
        <v>0</v>
      </c>
      <c r="P460" s="13" t="e">
        <f ca="1">ROUNDUP($O460*VLOOKUP($M$4+$B460-1,Paraméterek!$H$58:$I$105,2,0)/Paraméterek!$I$56,IF($D$4="Forint",0,2))</f>
        <v>#N/A</v>
      </c>
      <c r="Q460" s="13">
        <f t="shared" ca="1" si="138"/>
        <v>0</v>
      </c>
      <c r="R460" s="33"/>
      <c r="S460" s="13" t="e">
        <f t="shared" ca="1" si="139"/>
        <v>#N/A</v>
      </c>
      <c r="T460" s="13" t="e">
        <f ca="1">ROUNDUP(($N460-$P460-$Q460+$S460)*VLOOKUP($B460,Paraméterek!$I$38:$K$39,IF($D$2="Egyszeri",3,2))/12*IF($D461="Nem",IF($M$13=0,1,$M$13),1),IF($D$4="Forint",0,2))</f>
        <v>#N/A</v>
      </c>
      <c r="U460" s="13"/>
      <c r="V460" s="13"/>
      <c r="W460" s="13" t="e">
        <f ca="1">$N460-$P460-$Q460+$S460-$T460-IF(ROUNDUP(IF(ISBLANK($V460),$U460*0,$V460)/IF($D$2="Egyszeri",VLOOKUP($B460+IF($C460=12,1,0),Paraméterek!$V$257:$W$262,2),IF($B460=1,1,VLOOKUP($B460+IF($C460=12,1,0),Paraméterek!$I$258:$T$278,HLOOKUP($M$11+1,Paraméterek!$J$256:$T$257,2)))),IF($D$4="Forint",0,2))&gt;$N460-$P460-$Q460+$S460-$T460-IF($D$4="Forint",Paraméterek!$C$216,Paraméterek!$D$216),0,ROUNDUP(IF(ISBLANK($V460),$U460*0,$V460)/IF($D$2="Egyszeri",VLOOKUP($B460+IF($C460=12,1,0),Paraméterek!$V$257:$W$262,2),IF($B460=1,1,VLOOKUP($B460+IF($C460=12,1,0),Paraméterek!$I$258:$T$278,HLOOKUP($M$11+1,Paraméterek!$J$256:$T$257,2)))),IF($D$4="Forint",0,2)))</f>
        <v>#N/A</v>
      </c>
      <c r="X460" s="13" t="e">
        <f ca="1">ROUNDDOWN($W460*IF($D$2="Egyszeri",VLOOKUP($B460+IF($C460=12,1,0),Paraméterek!$V$257:$W$262,2),VLOOKUP($B460+IF($C460=12,1,0),Paraméterek!$I$258:$T$278,HLOOKUP($M$11+1,Paraméterek!$I$256:$T$257,2))),IF($D$4="Forint",0,2))</f>
        <v>#N/A</v>
      </c>
      <c r="Z460" s="32">
        <v>441</v>
      </c>
      <c r="AA460" s="32">
        <v>37</v>
      </c>
      <c r="AB460" s="32">
        <v>9</v>
      </c>
      <c r="AC460" s="13">
        <f t="shared" ca="1" si="148"/>
        <v>0</v>
      </c>
      <c r="AD460" s="33"/>
      <c r="AE460" s="13">
        <f t="shared" ca="1" si="140"/>
        <v>0</v>
      </c>
      <c r="AF460" s="13">
        <f ca="1">ROUNDUP(($AC460+$AE460)*VLOOKUP($AA460,Paraméterek!$P$38:$Q$38,2)/12*IF($D461="Nem",IF($M$13=0,1,$M$13),1),IF($D$4="Forint",0,2))</f>
        <v>0</v>
      </c>
      <c r="AG460" s="13">
        <f ca="1">IF($D$2="Egyszeri",IF($D$7&gt;=IF($D$4="Forint",Paraméterek!$P$223,Paraméterek!$P$224),$D$7-IF($D$4="Forint",Paraméterek!$P$223,Paraméterek!$P$224),0),MIN(IF($AB460=12,AVERAGEIF($E$20:$E460,"&gt;0",$E$20:$E460)*12,0),SUM($E$20:$E$31)))</f>
        <v>0</v>
      </c>
      <c r="AH460" s="13">
        <f>IF($AA460=10,$AG460*IF($AB460=12,IF($AG460&lt;IF($D$4="Forint",Paraméterek!$L$223,Paraméterek!$L$224),0,VLOOKUP($AA460,Paraméterek!$K$226:$M$228,IF($AG460&lt;IF($D$4="Forint",Paraméterek!$M$223,Paraméterek!$M$224),2,3))),0),0)</f>
        <v>0</v>
      </c>
      <c r="AI460" s="13">
        <f ca="1">IF(AND($AA460=$M$11+1,$AB460=$M$12+1),SUMIF($AA$20:$AA$1027,$AA460,$AG$20:$AG$1027)*IF(SUMIF($AA$20:$AA$1027,$AA460,$AG$20:$AG$1027)&lt;IF($D$4="Forint",Paraméterek!$L$223,Paraméterek!$L$224),0,VLOOKUP($AA460,Paraméterek!$K$230:$M$250,IF(SUMIF($AA$20:$AA$1027,$AA460,$AG$20:$AG$1027)&lt;IF($D$4="Forint",Paraméterek!$M$223,Paraméterek!$M$224),2,3))),0)</f>
        <v>0</v>
      </c>
      <c r="AJ460" s="13">
        <f ca="1">IF(AND($AA460&gt;=5,MOD($AA460,5)=0),IF($AB460=12,VLOOKUP($AA460,Paraméterek!$O$225:$P$240,2),0),IF(OR($AA460=3,$AA460=4),IF($AB460=12,VLOOKUP($AA460,Paraméterek!$O$225:$P$240,2,0),0),0))*$AG460</f>
        <v>0</v>
      </c>
      <c r="AK460" s="13">
        <f t="shared" ca="1" si="141"/>
        <v>0</v>
      </c>
      <c r="AL460" s="13">
        <f t="shared" ca="1" si="149"/>
        <v>0</v>
      </c>
      <c r="AM460" s="13">
        <f t="shared" ca="1" si="150"/>
        <v>0</v>
      </c>
      <c r="AO460" s="32">
        <v>441</v>
      </c>
      <c r="AP460" s="32">
        <v>37</v>
      </c>
      <c r="AQ460" s="32">
        <v>9</v>
      </c>
      <c r="AR460" s="13"/>
      <c r="AS460" s="32"/>
      <c r="AT460" s="13">
        <f t="shared" ca="1" si="151"/>
        <v>0</v>
      </c>
      <c r="AU460" s="33"/>
      <c r="AV460" s="13">
        <f t="shared" ca="1" si="142"/>
        <v>0</v>
      </c>
      <c r="AW460" s="13">
        <f ca="1">ROUNDUP(($AT460+$AV460)*VLOOKUP($AP460,Paraméterek!$P$38:$Q$38,2)/12*IF($D461="Nem",IF($M$13=0,1,$M$13),1),IF($D$4="Forint",0,2))</f>
        <v>0</v>
      </c>
      <c r="AX460" s="13"/>
      <c r="AY460" s="13"/>
      <c r="AZ460" s="13">
        <f>ROUNDUP(IF(SUM($AX460:$AY460)=0,0,IF(IF(ISBLANK($AY460),$AX460,$AY460)*Paraméterek!$J$112&lt;IF($D$4="Forint",Paraméterek!$J$113,Paraméterek!$K$113),IF($D$4="Forint",Paraméterek!$J$113,Paraméterek!$K$113),IF(IF(ISBLANK($AY460),$AX460,$AY460)*Paraméterek!$J$112&gt;IF($D$4="Forint",Paraméterek!$J$114,Paraméterek!$K$114),IF($D$4="Forint",Paraméterek!$J$114,Paraméterek!$K$114),IF(ISBLANK($AY460),$AX460,$AY460)*Paraméterek!$J$112))),IF($D$4="Forint",0,2))</f>
        <v>0</v>
      </c>
      <c r="BA460" s="13">
        <f ca="1">$AT460+$AV460-$AW460-IF(ROUNDDOWN(IF(ISBLANK($AY460),$AX460,$AY460),IF($D$4="Forint",0,2))&gt;$AT460+$AV460-$AW460-IF($D$4="Forint",Paraméterek!$J$114,Paraméterek!$K$114),0,ROUNDDOWN(IF(ISBLANK($AY460),$AX460,$AY460),IF($D$4="Forint",0,2))-$AZ460)</f>
        <v>0</v>
      </c>
      <c r="BB460" s="13">
        <f t="shared" ca="1" si="143"/>
        <v>0</v>
      </c>
      <c r="BD460" s="32">
        <v>441</v>
      </c>
      <c r="BE460" s="32">
        <v>37</v>
      </c>
      <c r="BF460" s="32">
        <v>9</v>
      </c>
      <c r="BG460" s="34">
        <f t="shared" ca="1" si="152"/>
        <v>2056</v>
      </c>
      <c r="BH460" s="32" t="str">
        <f ca="1">IF(MOD(MONTH($D$14)+$BD460-1,12)=Paraméterek!$C$288,"Igen","")</f>
        <v/>
      </c>
      <c r="BI460" s="13">
        <f ca="1">IF($BH460="Igen",MIN(ROUNDDOWN((SUMIF($BG$20:$BG$1027,$BG460-1,$K$20:$K$1027)-SUMIF($BG$20:$BG$1027,$BG460-1,$I$20:$I$1027))*Paraméterek!$C$289,IF($D$4="Forint",0,2)),IF($D$4="Forint",Paraméterek!$C$285,Paraméterek!$D$285)),0)</f>
        <v>0</v>
      </c>
      <c r="BJ460" s="13">
        <f t="shared" ca="1" si="144"/>
        <v>0</v>
      </c>
      <c r="BK460" s="13">
        <f t="shared" ca="1" si="153"/>
        <v>0</v>
      </c>
      <c r="BL460" s="33"/>
      <c r="BM460" s="13">
        <f t="shared" ca="1" si="145"/>
        <v>0</v>
      </c>
      <c r="BN460" s="13">
        <f ca="1">ROUNDUP(($BK460+$BM460)*VLOOKUP($BE460,Paraméterek!$P$38:$Q$38,2)/12*IF($D461="Nem",IF($M$13=0,1,$M$13),1),IF($D$4="Forint",0,2))</f>
        <v>0</v>
      </c>
      <c r="BO460" s="13">
        <f t="shared" ca="1" si="146"/>
        <v>0</v>
      </c>
      <c r="BP460" s="13">
        <f ca="1">IF($D461="Nem",$BO460,$BO460-ROUNDUP(SUM($BI$20:$BI460)*120%,IF($D$4="Forint",0,2)))</f>
        <v>0</v>
      </c>
    </row>
    <row r="461" spans="1:68" x14ac:dyDescent="0.2">
      <c r="A461" s="32">
        <v>442</v>
      </c>
      <c r="B461" s="32">
        <v>37</v>
      </c>
      <c r="C461" s="32">
        <v>10</v>
      </c>
      <c r="D461" s="32" t="str">
        <f t="shared" ca="1" si="132"/>
        <v>Nem</v>
      </c>
      <c r="E461" s="13">
        <f t="shared" ca="1" si="133"/>
        <v>0</v>
      </c>
      <c r="F461" s="13"/>
      <c r="G461" s="13"/>
      <c r="H461" s="13"/>
      <c r="I461" s="13">
        <f t="shared" ca="1" si="134"/>
        <v>0</v>
      </c>
      <c r="J461" s="13">
        <f t="shared" ca="1" si="135"/>
        <v>0</v>
      </c>
      <c r="K461" s="13">
        <f t="shared" ca="1" si="136"/>
        <v>0</v>
      </c>
      <c r="L461" s="13" t="e">
        <f ca="1">ROUNDUP(IF($D$2="Egyszeri",$E461,IF($D$2="Havi",SUM($E$20:$E$31),IF(MOD($C461,$M$1)-1=0,SUM($E$20:$E$31),0))/12*$M$1)*VLOOKUP($B461,Paraméterek!$I$28:$P$31,IF($D$2="Egyszeri",8,HLOOKUP(ROUNDUP($M$11+$M$13,0),Paraméterek!$J$26:$O$27,2))),IF($D$4="Forint",0,2))</f>
        <v>#N/A</v>
      </c>
      <c r="M461" s="13">
        <f t="shared" ca="1" si="137"/>
        <v>0</v>
      </c>
      <c r="N461" s="13">
        <f t="shared" ca="1" si="147"/>
        <v>0</v>
      </c>
      <c r="O461" s="13">
        <f ca="1">IF($D461="Igen",IF($W460&gt;=IF($D$4="Forint",Paraméterek!$J$121,Paraméterek!$K$121),0,IF($D$4="Forint",Paraméterek!$J$121,Paraméterek!$K$121)-$W460),0)</f>
        <v>0</v>
      </c>
      <c r="P461" s="13" t="e">
        <f ca="1">ROUNDUP($O461*VLOOKUP($M$4+$B461-1,Paraméterek!$H$58:$I$105,2,0)/Paraméterek!$I$56,IF($D$4="Forint",0,2))</f>
        <v>#N/A</v>
      </c>
      <c r="Q461" s="13">
        <f t="shared" ca="1" si="138"/>
        <v>0</v>
      </c>
      <c r="R461" s="33"/>
      <c r="S461" s="13" t="e">
        <f t="shared" ca="1" si="139"/>
        <v>#N/A</v>
      </c>
      <c r="T461" s="13" t="e">
        <f ca="1">ROUNDUP(($N461-$P461-$Q461+$S461)*VLOOKUP($B461,Paraméterek!$I$38:$K$39,IF($D$2="Egyszeri",3,2))/12*IF($D462="Nem",IF($M$13=0,1,$M$13),1),IF($D$4="Forint",0,2))</f>
        <v>#N/A</v>
      </c>
      <c r="U461" s="13"/>
      <c r="V461" s="13"/>
      <c r="W461" s="13" t="e">
        <f ca="1">$N461-$P461-$Q461+$S461-$T461-IF(ROUNDUP(IF(ISBLANK($V461),$U461*0,$V461)/IF($D$2="Egyszeri",VLOOKUP($B461+IF($C461=12,1,0),Paraméterek!$V$257:$W$262,2),IF($B461=1,1,VLOOKUP($B461+IF($C461=12,1,0),Paraméterek!$I$258:$T$278,HLOOKUP($M$11+1,Paraméterek!$J$256:$T$257,2)))),IF($D$4="Forint",0,2))&gt;$N461-$P461-$Q461+$S461-$T461-IF($D$4="Forint",Paraméterek!$C$216,Paraméterek!$D$216),0,ROUNDUP(IF(ISBLANK($V461),$U461*0,$V461)/IF($D$2="Egyszeri",VLOOKUP($B461+IF($C461=12,1,0),Paraméterek!$V$257:$W$262,2),IF($B461=1,1,VLOOKUP($B461+IF($C461=12,1,0),Paraméterek!$I$258:$T$278,HLOOKUP($M$11+1,Paraméterek!$J$256:$T$257,2)))),IF($D$4="Forint",0,2)))</f>
        <v>#N/A</v>
      </c>
      <c r="X461" s="13" t="e">
        <f ca="1">ROUNDDOWN($W461*IF($D$2="Egyszeri",VLOOKUP($B461+IF($C461=12,1,0),Paraméterek!$V$257:$W$262,2),VLOOKUP($B461+IF($C461=12,1,0),Paraméterek!$I$258:$T$278,HLOOKUP($M$11+1,Paraméterek!$I$256:$T$257,2))),IF($D$4="Forint",0,2))</f>
        <v>#N/A</v>
      </c>
      <c r="Z461" s="32">
        <v>442</v>
      </c>
      <c r="AA461" s="32">
        <v>37</v>
      </c>
      <c r="AB461" s="32">
        <v>10</v>
      </c>
      <c r="AC461" s="13">
        <f t="shared" ca="1" si="148"/>
        <v>0</v>
      </c>
      <c r="AD461" s="33"/>
      <c r="AE461" s="13">
        <f t="shared" ca="1" si="140"/>
        <v>0</v>
      </c>
      <c r="AF461" s="13">
        <f ca="1">ROUNDUP(($AC461+$AE461)*VLOOKUP($AA461,Paraméterek!$P$38:$Q$38,2)/12*IF($D462="Nem",IF($M$13=0,1,$M$13),1),IF($D$4="Forint",0,2))</f>
        <v>0</v>
      </c>
      <c r="AG461" s="13">
        <f ca="1">IF($D$2="Egyszeri",IF($D$7&gt;=IF($D$4="Forint",Paraméterek!$P$223,Paraméterek!$P$224),$D$7-IF($D$4="Forint",Paraméterek!$P$223,Paraméterek!$P$224),0),MIN(IF($AB461=12,AVERAGEIF($E$20:$E461,"&gt;0",$E$20:$E461)*12,0),SUM($E$20:$E$31)))</f>
        <v>0</v>
      </c>
      <c r="AH461" s="13">
        <f>IF($AA461=10,$AG461*IF($AB461=12,IF($AG461&lt;IF($D$4="Forint",Paraméterek!$L$223,Paraméterek!$L$224),0,VLOOKUP($AA461,Paraméterek!$K$226:$M$228,IF($AG461&lt;IF($D$4="Forint",Paraméterek!$M$223,Paraméterek!$M$224),2,3))),0),0)</f>
        <v>0</v>
      </c>
      <c r="AI461" s="13">
        <f ca="1">IF(AND($AA461=$M$11+1,$AB461=$M$12+1),SUMIF($AA$20:$AA$1027,$AA461,$AG$20:$AG$1027)*IF(SUMIF($AA$20:$AA$1027,$AA461,$AG$20:$AG$1027)&lt;IF($D$4="Forint",Paraméterek!$L$223,Paraméterek!$L$224),0,VLOOKUP($AA461,Paraméterek!$K$230:$M$250,IF(SUMIF($AA$20:$AA$1027,$AA461,$AG$20:$AG$1027)&lt;IF($D$4="Forint",Paraméterek!$M$223,Paraméterek!$M$224),2,3))),0)</f>
        <v>0</v>
      </c>
      <c r="AJ461" s="13">
        <f ca="1">IF(AND($AA461&gt;=5,MOD($AA461,5)=0),IF($AB461=12,VLOOKUP($AA461,Paraméterek!$O$225:$P$240,2),0),IF(OR($AA461=3,$AA461=4),IF($AB461=12,VLOOKUP($AA461,Paraméterek!$O$225:$P$240,2,0),0),0))*$AG461</f>
        <v>0</v>
      </c>
      <c r="AK461" s="13">
        <f t="shared" ca="1" si="141"/>
        <v>0</v>
      </c>
      <c r="AL461" s="13">
        <f t="shared" ca="1" si="149"/>
        <v>0</v>
      </c>
      <c r="AM461" s="13">
        <f t="shared" ca="1" si="150"/>
        <v>0</v>
      </c>
      <c r="AO461" s="32">
        <v>442</v>
      </c>
      <c r="AP461" s="32">
        <v>37</v>
      </c>
      <c r="AQ461" s="32">
        <v>10</v>
      </c>
      <c r="AR461" s="13"/>
      <c r="AS461" s="32"/>
      <c r="AT461" s="13">
        <f t="shared" ca="1" si="151"/>
        <v>0</v>
      </c>
      <c r="AU461" s="33"/>
      <c r="AV461" s="13">
        <f t="shared" ca="1" si="142"/>
        <v>0</v>
      </c>
      <c r="AW461" s="13">
        <f ca="1">ROUNDUP(($AT461+$AV461)*VLOOKUP($AP461,Paraméterek!$P$38:$Q$38,2)/12*IF($D462="Nem",IF($M$13=0,1,$M$13),1),IF($D$4="Forint",0,2))</f>
        <v>0</v>
      </c>
      <c r="AX461" s="13"/>
      <c r="AY461" s="13"/>
      <c r="AZ461" s="13">
        <f>ROUNDUP(IF(SUM($AX461:$AY461)=0,0,IF(IF(ISBLANK($AY461),$AX461,$AY461)*Paraméterek!$J$112&lt;IF($D$4="Forint",Paraméterek!$J$113,Paraméterek!$K$113),IF($D$4="Forint",Paraméterek!$J$113,Paraméterek!$K$113),IF(IF(ISBLANK($AY461),$AX461,$AY461)*Paraméterek!$J$112&gt;IF($D$4="Forint",Paraméterek!$J$114,Paraméterek!$K$114),IF($D$4="Forint",Paraméterek!$J$114,Paraméterek!$K$114),IF(ISBLANK($AY461),$AX461,$AY461)*Paraméterek!$J$112))),IF($D$4="Forint",0,2))</f>
        <v>0</v>
      </c>
      <c r="BA461" s="13">
        <f ca="1">$AT461+$AV461-$AW461-IF(ROUNDDOWN(IF(ISBLANK($AY461),$AX461,$AY461),IF($D$4="Forint",0,2))&gt;$AT461+$AV461-$AW461-IF($D$4="Forint",Paraméterek!$J$114,Paraméterek!$K$114),0,ROUNDDOWN(IF(ISBLANK($AY461),$AX461,$AY461),IF($D$4="Forint",0,2))-$AZ461)</f>
        <v>0</v>
      </c>
      <c r="BB461" s="13">
        <f t="shared" ca="1" si="143"/>
        <v>0</v>
      </c>
      <c r="BD461" s="32">
        <v>442</v>
      </c>
      <c r="BE461" s="32">
        <v>37</v>
      </c>
      <c r="BF461" s="32">
        <v>10</v>
      </c>
      <c r="BG461" s="34">
        <f t="shared" ca="1" si="152"/>
        <v>2056</v>
      </c>
      <c r="BH461" s="32" t="str">
        <f ca="1">IF(MOD(MONTH($D$14)+$BD461-1,12)=Paraméterek!$C$288,"Igen","")</f>
        <v/>
      </c>
      <c r="BI461" s="13">
        <f ca="1">IF($BH461="Igen",MIN(ROUNDDOWN((SUMIF($BG$20:$BG$1027,$BG461-1,$K$20:$K$1027)-SUMIF($BG$20:$BG$1027,$BG461-1,$I$20:$I$1027))*Paraméterek!$C$289,IF($D$4="Forint",0,2)),IF($D$4="Forint",Paraméterek!$C$285,Paraméterek!$D$285)),0)</f>
        <v>0</v>
      </c>
      <c r="BJ461" s="13">
        <f t="shared" ca="1" si="144"/>
        <v>0</v>
      </c>
      <c r="BK461" s="13">
        <f t="shared" ca="1" si="153"/>
        <v>0</v>
      </c>
      <c r="BL461" s="33"/>
      <c r="BM461" s="13">
        <f t="shared" ca="1" si="145"/>
        <v>0</v>
      </c>
      <c r="BN461" s="13">
        <f ca="1">ROUNDUP(($BK461+$BM461)*VLOOKUP($BE461,Paraméterek!$P$38:$Q$38,2)/12*IF($D462="Nem",IF($M$13=0,1,$M$13),1),IF($D$4="Forint",0,2))</f>
        <v>0</v>
      </c>
      <c r="BO461" s="13">
        <f t="shared" ca="1" si="146"/>
        <v>0</v>
      </c>
      <c r="BP461" s="13">
        <f ca="1">IF($D462="Nem",$BO461,$BO461-ROUNDUP(SUM($BI$20:$BI461)*120%,IF($D$4="Forint",0,2)))</f>
        <v>0</v>
      </c>
    </row>
    <row r="462" spans="1:68" x14ac:dyDescent="0.2">
      <c r="A462" s="32">
        <v>443</v>
      </c>
      <c r="B462" s="32">
        <v>37</v>
      </c>
      <c r="C462" s="32">
        <v>11</v>
      </c>
      <c r="D462" s="32" t="str">
        <f t="shared" ca="1" si="132"/>
        <v>Nem</v>
      </c>
      <c r="E462" s="13">
        <f t="shared" ca="1" si="133"/>
        <v>0</v>
      </c>
      <c r="F462" s="13"/>
      <c r="G462" s="13"/>
      <c r="H462" s="13"/>
      <c r="I462" s="13">
        <f t="shared" ca="1" si="134"/>
        <v>0</v>
      </c>
      <c r="J462" s="13">
        <f t="shared" ca="1" si="135"/>
        <v>0</v>
      </c>
      <c r="K462" s="13">
        <f t="shared" ca="1" si="136"/>
        <v>0</v>
      </c>
      <c r="L462" s="13" t="e">
        <f ca="1">ROUNDUP(IF($D$2="Egyszeri",$E462,IF($D$2="Havi",SUM($E$20:$E$31),IF(MOD($C462,$M$1)-1=0,SUM($E$20:$E$31),0))/12*$M$1)*VLOOKUP($B462,Paraméterek!$I$28:$P$31,IF($D$2="Egyszeri",8,HLOOKUP(ROUNDUP($M$11+$M$13,0),Paraméterek!$J$26:$O$27,2))),IF($D$4="Forint",0,2))</f>
        <v>#N/A</v>
      </c>
      <c r="M462" s="13">
        <f t="shared" ca="1" si="137"/>
        <v>0</v>
      </c>
      <c r="N462" s="13">
        <f t="shared" ca="1" si="147"/>
        <v>0</v>
      </c>
      <c r="O462" s="13">
        <f ca="1">IF($D462="Igen",IF($W461&gt;=IF($D$4="Forint",Paraméterek!$J$121,Paraméterek!$K$121),0,IF($D$4="Forint",Paraméterek!$J$121,Paraméterek!$K$121)-$W461),0)</f>
        <v>0</v>
      </c>
      <c r="P462" s="13" t="e">
        <f ca="1">ROUNDUP($O462*VLOOKUP($M$4+$B462-1,Paraméterek!$H$58:$I$105,2,0)/Paraméterek!$I$56,IF($D$4="Forint",0,2))</f>
        <v>#N/A</v>
      </c>
      <c r="Q462" s="13">
        <f t="shared" ca="1" si="138"/>
        <v>0</v>
      </c>
      <c r="R462" s="33"/>
      <c r="S462" s="13" t="e">
        <f t="shared" ca="1" si="139"/>
        <v>#N/A</v>
      </c>
      <c r="T462" s="13" t="e">
        <f ca="1">ROUNDUP(($N462-$P462-$Q462+$S462)*VLOOKUP($B462,Paraméterek!$I$38:$K$39,IF($D$2="Egyszeri",3,2))/12*IF($D463="Nem",IF($M$13=0,1,$M$13),1),IF($D$4="Forint",0,2))</f>
        <v>#N/A</v>
      </c>
      <c r="U462" s="13"/>
      <c r="V462" s="13"/>
      <c r="W462" s="13" t="e">
        <f ca="1">$N462-$P462-$Q462+$S462-$T462-IF(ROUNDUP(IF(ISBLANK($V462),$U462*0,$V462)/IF($D$2="Egyszeri",VLOOKUP($B462+IF($C462=12,1,0),Paraméterek!$V$257:$W$262,2),IF($B462=1,1,VLOOKUP($B462+IF($C462=12,1,0),Paraméterek!$I$258:$T$278,HLOOKUP($M$11+1,Paraméterek!$J$256:$T$257,2)))),IF($D$4="Forint",0,2))&gt;$N462-$P462-$Q462+$S462-$T462-IF($D$4="Forint",Paraméterek!$C$216,Paraméterek!$D$216),0,ROUNDUP(IF(ISBLANK($V462),$U462*0,$V462)/IF($D$2="Egyszeri",VLOOKUP($B462+IF($C462=12,1,0),Paraméterek!$V$257:$W$262,2),IF($B462=1,1,VLOOKUP($B462+IF($C462=12,1,0),Paraméterek!$I$258:$T$278,HLOOKUP($M$11+1,Paraméterek!$J$256:$T$257,2)))),IF($D$4="Forint",0,2)))</f>
        <v>#N/A</v>
      </c>
      <c r="X462" s="13" t="e">
        <f ca="1">ROUNDDOWN($W462*IF($D$2="Egyszeri",VLOOKUP($B462+IF($C462=12,1,0),Paraméterek!$V$257:$W$262,2),VLOOKUP($B462+IF($C462=12,1,0),Paraméterek!$I$258:$T$278,HLOOKUP($M$11+1,Paraméterek!$I$256:$T$257,2))),IF($D$4="Forint",0,2))</f>
        <v>#N/A</v>
      </c>
      <c r="Z462" s="32">
        <v>443</v>
      </c>
      <c r="AA462" s="32">
        <v>37</v>
      </c>
      <c r="AB462" s="32">
        <v>11</v>
      </c>
      <c r="AC462" s="13">
        <f t="shared" ca="1" si="148"/>
        <v>0</v>
      </c>
      <c r="AD462" s="33"/>
      <c r="AE462" s="13">
        <f t="shared" ca="1" si="140"/>
        <v>0</v>
      </c>
      <c r="AF462" s="13">
        <f ca="1">ROUNDUP(($AC462+$AE462)*VLOOKUP($AA462,Paraméterek!$P$38:$Q$38,2)/12*IF($D463="Nem",IF($M$13=0,1,$M$13),1),IF($D$4="Forint",0,2))</f>
        <v>0</v>
      </c>
      <c r="AG462" s="13">
        <f ca="1">IF($D$2="Egyszeri",IF($D$7&gt;=IF($D$4="Forint",Paraméterek!$P$223,Paraméterek!$P$224),$D$7-IF($D$4="Forint",Paraméterek!$P$223,Paraméterek!$P$224),0),MIN(IF($AB462=12,AVERAGEIF($E$20:$E462,"&gt;0",$E$20:$E462)*12,0),SUM($E$20:$E$31)))</f>
        <v>0</v>
      </c>
      <c r="AH462" s="13">
        <f>IF($AA462=10,$AG462*IF($AB462=12,IF($AG462&lt;IF($D$4="Forint",Paraméterek!$L$223,Paraméterek!$L$224),0,VLOOKUP($AA462,Paraméterek!$K$226:$M$228,IF($AG462&lt;IF($D$4="Forint",Paraméterek!$M$223,Paraméterek!$M$224),2,3))),0),0)</f>
        <v>0</v>
      </c>
      <c r="AI462" s="13">
        <f ca="1">IF(AND($AA462=$M$11+1,$AB462=$M$12+1),SUMIF($AA$20:$AA$1027,$AA462,$AG$20:$AG$1027)*IF(SUMIF($AA$20:$AA$1027,$AA462,$AG$20:$AG$1027)&lt;IF($D$4="Forint",Paraméterek!$L$223,Paraméterek!$L$224),0,VLOOKUP($AA462,Paraméterek!$K$230:$M$250,IF(SUMIF($AA$20:$AA$1027,$AA462,$AG$20:$AG$1027)&lt;IF($D$4="Forint",Paraméterek!$M$223,Paraméterek!$M$224),2,3))),0)</f>
        <v>0</v>
      </c>
      <c r="AJ462" s="13">
        <f ca="1">IF(AND($AA462&gt;=5,MOD($AA462,5)=0),IF($AB462=12,VLOOKUP($AA462,Paraméterek!$O$225:$P$240,2),0),IF(OR($AA462=3,$AA462=4),IF($AB462=12,VLOOKUP($AA462,Paraméterek!$O$225:$P$240,2,0),0),0))*$AG462</f>
        <v>0</v>
      </c>
      <c r="AK462" s="13">
        <f t="shared" ca="1" si="141"/>
        <v>0</v>
      </c>
      <c r="AL462" s="13">
        <f t="shared" ca="1" si="149"/>
        <v>0</v>
      </c>
      <c r="AM462" s="13">
        <f t="shared" ca="1" si="150"/>
        <v>0</v>
      </c>
      <c r="AO462" s="32">
        <v>443</v>
      </c>
      <c r="AP462" s="32">
        <v>37</v>
      </c>
      <c r="AQ462" s="32">
        <v>11</v>
      </c>
      <c r="AR462" s="13"/>
      <c r="AS462" s="32"/>
      <c r="AT462" s="13">
        <f t="shared" ca="1" si="151"/>
        <v>0</v>
      </c>
      <c r="AU462" s="33"/>
      <c r="AV462" s="13">
        <f t="shared" ca="1" si="142"/>
        <v>0</v>
      </c>
      <c r="AW462" s="13">
        <f ca="1">ROUNDUP(($AT462+$AV462)*VLOOKUP($AP462,Paraméterek!$P$38:$Q$38,2)/12*IF($D463="Nem",IF($M$13=0,1,$M$13),1),IF($D$4="Forint",0,2))</f>
        <v>0</v>
      </c>
      <c r="AX462" s="13"/>
      <c r="AY462" s="13"/>
      <c r="AZ462" s="13">
        <f>ROUNDUP(IF(SUM($AX462:$AY462)=0,0,IF(IF(ISBLANK($AY462),$AX462,$AY462)*Paraméterek!$J$112&lt;IF($D$4="Forint",Paraméterek!$J$113,Paraméterek!$K$113),IF($D$4="Forint",Paraméterek!$J$113,Paraméterek!$K$113),IF(IF(ISBLANK($AY462),$AX462,$AY462)*Paraméterek!$J$112&gt;IF($D$4="Forint",Paraméterek!$J$114,Paraméterek!$K$114),IF($D$4="Forint",Paraméterek!$J$114,Paraméterek!$K$114),IF(ISBLANK($AY462),$AX462,$AY462)*Paraméterek!$J$112))),IF($D$4="Forint",0,2))</f>
        <v>0</v>
      </c>
      <c r="BA462" s="13">
        <f ca="1">$AT462+$AV462-$AW462-IF(ROUNDDOWN(IF(ISBLANK($AY462),$AX462,$AY462),IF($D$4="Forint",0,2))&gt;$AT462+$AV462-$AW462-IF($D$4="Forint",Paraméterek!$J$114,Paraméterek!$K$114),0,ROUNDDOWN(IF(ISBLANK($AY462),$AX462,$AY462),IF($D$4="Forint",0,2))-$AZ462)</f>
        <v>0</v>
      </c>
      <c r="BB462" s="13">
        <f t="shared" ca="1" si="143"/>
        <v>0</v>
      </c>
      <c r="BD462" s="32">
        <v>443</v>
      </c>
      <c r="BE462" s="32">
        <v>37</v>
      </c>
      <c r="BF462" s="32">
        <v>11</v>
      </c>
      <c r="BG462" s="34">
        <f t="shared" ca="1" si="152"/>
        <v>2056</v>
      </c>
      <c r="BH462" s="32" t="str">
        <f ca="1">IF(MOD(MONTH($D$14)+$BD462-1,12)=Paraméterek!$C$288,"Igen","")</f>
        <v/>
      </c>
      <c r="BI462" s="13">
        <f ca="1">IF($BH462="Igen",MIN(ROUNDDOWN((SUMIF($BG$20:$BG$1027,$BG462-1,$K$20:$K$1027)-SUMIF($BG$20:$BG$1027,$BG462-1,$I$20:$I$1027))*Paraméterek!$C$289,IF($D$4="Forint",0,2)),IF($D$4="Forint",Paraméterek!$C$285,Paraméterek!$D$285)),0)</f>
        <v>0</v>
      </c>
      <c r="BJ462" s="13">
        <f t="shared" ca="1" si="144"/>
        <v>0</v>
      </c>
      <c r="BK462" s="13">
        <f t="shared" ca="1" si="153"/>
        <v>0</v>
      </c>
      <c r="BL462" s="33"/>
      <c r="BM462" s="13">
        <f t="shared" ca="1" si="145"/>
        <v>0</v>
      </c>
      <c r="BN462" s="13">
        <f ca="1">ROUNDUP(($BK462+$BM462)*VLOOKUP($BE462,Paraméterek!$P$38:$Q$38,2)/12*IF($D463="Nem",IF($M$13=0,1,$M$13),1),IF($D$4="Forint",0,2))</f>
        <v>0</v>
      </c>
      <c r="BO462" s="13">
        <f t="shared" ca="1" si="146"/>
        <v>0</v>
      </c>
      <c r="BP462" s="13">
        <f ca="1">IF($D463="Nem",$BO462,$BO462-ROUNDUP(SUM($BI$20:$BI462)*120%,IF($D$4="Forint",0,2)))</f>
        <v>0</v>
      </c>
    </row>
    <row r="463" spans="1:68" x14ac:dyDescent="0.2">
      <c r="A463" s="32">
        <v>444</v>
      </c>
      <c r="B463" s="32">
        <v>37</v>
      </c>
      <c r="C463" s="32">
        <v>12</v>
      </c>
      <c r="D463" s="32" t="str">
        <f t="shared" ca="1" si="132"/>
        <v>Nem</v>
      </c>
      <c r="E463" s="13">
        <f t="shared" ca="1" si="133"/>
        <v>0</v>
      </c>
      <c r="F463" s="13"/>
      <c r="G463" s="13"/>
      <c r="H463" s="13"/>
      <c r="I463" s="13">
        <f t="shared" ca="1" si="134"/>
        <v>0</v>
      </c>
      <c r="J463" s="13">
        <f t="shared" ca="1" si="135"/>
        <v>0</v>
      </c>
      <c r="K463" s="13">
        <f t="shared" ca="1" si="136"/>
        <v>0</v>
      </c>
      <c r="L463" s="13" t="e">
        <f ca="1">ROUNDUP(IF($D$2="Egyszeri",$E463,IF($D$2="Havi",SUM($E$20:$E$31),IF(MOD($C463,$M$1)-1=0,SUM($E$20:$E$31),0))/12*$M$1)*VLOOKUP($B463,Paraméterek!$I$28:$P$31,IF($D$2="Egyszeri",8,HLOOKUP(ROUNDUP($M$11+$M$13,0),Paraméterek!$J$26:$O$27,2))),IF($D$4="Forint",0,2))</f>
        <v>#N/A</v>
      </c>
      <c r="M463" s="13">
        <f t="shared" ca="1" si="137"/>
        <v>0</v>
      </c>
      <c r="N463" s="13">
        <f t="shared" ca="1" si="147"/>
        <v>0</v>
      </c>
      <c r="O463" s="13">
        <f ca="1">IF($D463="Igen",IF($W462&gt;=IF($D$4="Forint",Paraméterek!$J$121,Paraméterek!$K$121),0,IF($D$4="Forint",Paraméterek!$J$121,Paraméterek!$K$121)-$W462),0)</f>
        <v>0</v>
      </c>
      <c r="P463" s="13" t="e">
        <f ca="1">ROUNDUP($O463*VLOOKUP($M$4+$B463-1,Paraméterek!$H$58:$I$105,2,0)/Paraméterek!$I$56,IF($D$4="Forint",0,2))</f>
        <v>#N/A</v>
      </c>
      <c r="Q463" s="13">
        <f t="shared" ca="1" si="138"/>
        <v>0</v>
      </c>
      <c r="R463" s="33"/>
      <c r="S463" s="13" t="e">
        <f t="shared" ca="1" si="139"/>
        <v>#N/A</v>
      </c>
      <c r="T463" s="13" t="e">
        <f ca="1">ROUNDUP(($N463-$P463-$Q463+$S463)*VLOOKUP($B463,Paraméterek!$I$38:$K$39,IF($D$2="Egyszeri",3,2))/12*IF($D464="Nem",IF($M$13=0,1,$M$13),1),IF($D$4="Forint",0,2))</f>
        <v>#N/A</v>
      </c>
      <c r="U463" s="13">
        <f>Tranzakciók!$F$68</f>
        <v>0</v>
      </c>
      <c r="V463" s="13"/>
      <c r="W463" s="13" t="e">
        <f ca="1">$N463-$P463-$Q463+$S463-$T463-IF(ROUNDUP(IF(ISBLANK($V463),$U463*0,$V463)/IF($D$2="Egyszeri",VLOOKUP($B463+IF($C463=12,1,0),Paraméterek!$V$257:$W$262,2),IF($B463=1,1,VLOOKUP($B463+IF($C463=12,1,0),Paraméterek!$I$258:$T$278,HLOOKUP($M$11+1,Paraméterek!$J$256:$T$257,2)))),IF($D$4="Forint",0,2))&gt;$N463-$P463-$Q463+$S463-$T463-IF($D$4="Forint",Paraméterek!$C$216,Paraméterek!$D$216),0,ROUNDUP(IF(ISBLANK($V463),$U463*0,$V463)/IF($D$2="Egyszeri",VLOOKUP($B463+IF($C463=12,1,0),Paraméterek!$V$257:$W$262,2),IF($B463=1,1,VLOOKUP($B463+IF($C463=12,1,0),Paraméterek!$I$258:$T$278,HLOOKUP($M$11+1,Paraméterek!$J$256:$T$257,2)))),IF($D$4="Forint",0,2)))</f>
        <v>#N/A</v>
      </c>
      <c r="X463" s="13" t="e">
        <f ca="1">ROUNDDOWN($W463*IF($D$2="Egyszeri",VLOOKUP($B463+IF($C463=12,1,0),Paraméterek!$V$257:$W$262,2),VLOOKUP($B463+IF($C463=12,1,0),Paraméterek!$I$258:$T$278,HLOOKUP($M$11+1,Paraméterek!$I$256:$T$257,2))),IF($D$4="Forint",0,2))</f>
        <v>#N/A</v>
      </c>
      <c r="Z463" s="32">
        <v>444</v>
      </c>
      <c r="AA463" s="32">
        <v>37</v>
      </c>
      <c r="AB463" s="32">
        <v>12</v>
      </c>
      <c r="AC463" s="13">
        <f t="shared" ca="1" si="148"/>
        <v>0</v>
      </c>
      <c r="AD463" s="33"/>
      <c r="AE463" s="13">
        <f t="shared" ca="1" si="140"/>
        <v>0</v>
      </c>
      <c r="AF463" s="13">
        <f ca="1">ROUNDUP(($AC463+$AE463)*VLOOKUP($AA463,Paraméterek!$P$38:$Q$38,2)/12*IF($D464="Nem",IF($M$13=0,1,$M$13),1),IF($D$4="Forint",0,2))</f>
        <v>0</v>
      </c>
      <c r="AG463" s="13" t="e">
        <f ca="1">IF($D$2="Egyszeri",IF($D$7&gt;=IF($D$4="Forint",Paraméterek!$P$223,Paraméterek!$P$224),$D$7-IF($D$4="Forint",Paraméterek!$P$223,Paraméterek!$P$224),0),MIN(IF($AB463=12,AVERAGEIF($E$20:$E463,"&gt;0",$E$20:$E463)*12,0),SUM($E$20:$E$31)))</f>
        <v>#DIV/0!</v>
      </c>
      <c r="AH463" s="13">
        <f>IF($AA463=10,$AG463*IF($AB463=12,IF($AG463&lt;IF($D$4="Forint",Paraméterek!$L$223,Paraméterek!$L$224),0,VLOOKUP($AA463,Paraméterek!$K$226:$M$228,IF($AG463&lt;IF($D$4="Forint",Paraméterek!$M$223,Paraméterek!$M$224),2,3))),0),0)</f>
        <v>0</v>
      </c>
      <c r="AI463" s="13">
        <f ca="1">IF(AND($AA463=$M$11+1,$AB463=$M$12+1),SUMIF($AA$20:$AA$1027,$AA463,$AG$20:$AG$1027)*IF(SUMIF($AA$20:$AA$1027,$AA463,$AG$20:$AG$1027)&lt;IF($D$4="Forint",Paraméterek!$L$223,Paraméterek!$L$224),0,VLOOKUP($AA463,Paraméterek!$K$230:$M$250,IF(SUMIF($AA$20:$AA$1027,$AA463,$AG$20:$AG$1027)&lt;IF($D$4="Forint",Paraméterek!$M$223,Paraméterek!$M$224),2,3))),0)</f>
        <v>0</v>
      </c>
      <c r="AJ463" s="13" t="e">
        <f ca="1">IF(AND($AA463&gt;=5,MOD($AA463,5)=0),IF($AB463=12,VLOOKUP($AA463,Paraméterek!$O$225:$P$240,2),0),IF(OR($AA463=3,$AA463=4),IF($AB463=12,VLOOKUP($AA463,Paraméterek!$O$225:$P$240,2,0),0),0))*$AG463</f>
        <v>#DIV/0!</v>
      </c>
      <c r="AK463" s="13">
        <f t="shared" ca="1" si="141"/>
        <v>0</v>
      </c>
      <c r="AL463" s="13">
        <f t="shared" ca="1" si="149"/>
        <v>0</v>
      </c>
      <c r="AM463" s="13">
        <f t="shared" ca="1" si="150"/>
        <v>0</v>
      </c>
      <c r="AO463" s="32">
        <v>444</v>
      </c>
      <c r="AP463" s="32">
        <v>37</v>
      </c>
      <c r="AQ463" s="32">
        <v>12</v>
      </c>
      <c r="AR463" s="13"/>
      <c r="AS463" s="32"/>
      <c r="AT463" s="13">
        <f t="shared" ca="1" si="151"/>
        <v>0</v>
      </c>
      <c r="AU463" s="33"/>
      <c r="AV463" s="13">
        <f t="shared" ca="1" si="142"/>
        <v>0</v>
      </c>
      <c r="AW463" s="13">
        <f ca="1">ROUNDUP(($AT463+$AV463)*VLOOKUP($AP463,Paraméterek!$P$38:$Q$38,2)/12*IF($D464="Nem",IF($M$13=0,1,$M$13),1),IF($D$4="Forint",0,2))</f>
        <v>0</v>
      </c>
      <c r="AX463" s="13">
        <f>Tranzakciók!$M$68</f>
        <v>0</v>
      </c>
      <c r="AY463" s="13"/>
      <c r="AZ463" s="13">
        <f>ROUNDUP(IF(SUM($AX463:$AY463)=0,0,IF(IF(ISBLANK($AY463),$AX463,$AY463)*Paraméterek!$J$112&lt;IF($D$4="Forint",Paraméterek!$J$113,Paraméterek!$K$113),IF($D$4="Forint",Paraméterek!$J$113,Paraméterek!$K$113),IF(IF(ISBLANK($AY463),$AX463,$AY463)*Paraméterek!$J$112&gt;IF($D$4="Forint",Paraméterek!$J$114,Paraméterek!$K$114),IF($D$4="Forint",Paraméterek!$J$114,Paraméterek!$K$114),IF(ISBLANK($AY463),$AX463,$AY463)*Paraméterek!$J$112))),IF($D$4="Forint",0,2))</f>
        <v>0</v>
      </c>
      <c r="BA463" s="13">
        <f ca="1">$AT463+$AV463-$AW463-IF(ROUNDDOWN(IF(ISBLANK($AY463),$AX463,$AY463),IF($D$4="Forint",0,2))&gt;$AT463+$AV463-$AW463-IF($D$4="Forint",Paraméterek!$J$114,Paraméterek!$K$114),0,ROUNDDOWN(IF(ISBLANK($AY463),$AX463,$AY463),IF($D$4="Forint",0,2))-$AZ463)</f>
        <v>0</v>
      </c>
      <c r="BB463" s="13">
        <f t="shared" ca="1" si="143"/>
        <v>0</v>
      </c>
      <c r="BD463" s="32">
        <v>444</v>
      </c>
      <c r="BE463" s="32">
        <v>37</v>
      </c>
      <c r="BF463" s="32">
        <v>12</v>
      </c>
      <c r="BG463" s="34">
        <f t="shared" ca="1" si="152"/>
        <v>2056</v>
      </c>
      <c r="BH463" s="32" t="str">
        <f ca="1">IF(MOD(MONTH($D$14)+$BD463-1,12)=Paraméterek!$C$288,"Igen","")</f>
        <v/>
      </c>
      <c r="BI463" s="13">
        <f ca="1">IF($BH463="Igen",MIN(ROUNDDOWN((SUMIF($BG$20:$BG$1027,$BG463-1,$K$20:$K$1027)-SUMIF($BG$20:$BG$1027,$BG463-1,$I$20:$I$1027))*Paraméterek!$C$289,IF($D$4="Forint",0,2)),IF($D$4="Forint",Paraméterek!$C$285,Paraméterek!$D$285)),0)</f>
        <v>0</v>
      </c>
      <c r="BJ463" s="13">
        <f t="shared" ca="1" si="144"/>
        <v>0</v>
      </c>
      <c r="BK463" s="13">
        <f t="shared" ca="1" si="153"/>
        <v>0</v>
      </c>
      <c r="BL463" s="33"/>
      <c r="BM463" s="13">
        <f t="shared" ca="1" si="145"/>
        <v>0</v>
      </c>
      <c r="BN463" s="13">
        <f ca="1">ROUNDUP(($BK463+$BM463)*VLOOKUP($BE463,Paraméterek!$P$38:$Q$38,2)/12*IF($D464="Nem",IF($M$13=0,1,$M$13),1),IF($D$4="Forint",0,2))</f>
        <v>0</v>
      </c>
      <c r="BO463" s="13">
        <f t="shared" ca="1" si="146"/>
        <v>0</v>
      </c>
      <c r="BP463" s="13">
        <f ca="1">IF($D464="Nem",$BO463,$BO463-ROUNDUP(SUM($BI$20:$BI463)*120%,IF($D$4="Forint",0,2)))</f>
        <v>0</v>
      </c>
    </row>
    <row r="464" spans="1:68" x14ac:dyDescent="0.2">
      <c r="A464" s="32">
        <v>445</v>
      </c>
      <c r="B464" s="32">
        <v>38</v>
      </c>
      <c r="C464" s="32">
        <v>1</v>
      </c>
      <c r="D464" s="32" t="str">
        <f t="shared" ca="1" si="132"/>
        <v>Nem</v>
      </c>
      <c r="E464" s="13">
        <f t="shared" ca="1" si="133"/>
        <v>0</v>
      </c>
      <c r="F464" s="13"/>
      <c r="G464" s="13">
        <f>Tranzakciók!$D$69</f>
        <v>0</v>
      </c>
      <c r="H464" s="13"/>
      <c r="I464" s="13">
        <f t="shared" ca="1" si="134"/>
        <v>0</v>
      </c>
      <c r="J464" s="13">
        <f t="shared" ca="1" si="135"/>
        <v>0</v>
      </c>
      <c r="K464" s="13">
        <f t="shared" ca="1" si="136"/>
        <v>0</v>
      </c>
      <c r="L464" s="13" t="e">
        <f ca="1">ROUNDUP(IF($D$2="Egyszeri",$E464,IF($D$2="Havi",SUM($E$20:$E$31),IF(MOD($C464,$M$1)-1=0,SUM($E$20:$E$31),0))/12*$M$1)*VLOOKUP($B464,Paraméterek!$I$28:$P$31,IF($D$2="Egyszeri",8,HLOOKUP(ROUNDUP($M$11+$M$13,0),Paraméterek!$J$26:$O$27,2))),IF($D$4="Forint",0,2))</f>
        <v>#N/A</v>
      </c>
      <c r="M464" s="13">
        <f t="shared" ca="1" si="137"/>
        <v>0</v>
      </c>
      <c r="N464" s="13">
        <f t="shared" ca="1" si="147"/>
        <v>0</v>
      </c>
      <c r="O464" s="13">
        <f ca="1">IF($D464="Igen",IF($W463&gt;=IF($D$4="Forint",Paraméterek!$J$121,Paraméterek!$K$121),0,IF($D$4="Forint",Paraméterek!$J$121,Paraméterek!$K$121)-$W463),0)</f>
        <v>0</v>
      </c>
      <c r="P464" s="13" t="e">
        <f ca="1">ROUNDUP($O464*VLOOKUP($M$4+$B464-1,Paraméterek!$H$58:$I$105,2,0)/Paraméterek!$I$56,IF($D$4="Forint",0,2))</f>
        <v>#N/A</v>
      </c>
      <c r="Q464" s="13">
        <f t="shared" ca="1" si="138"/>
        <v>0</v>
      </c>
      <c r="R464" s="33"/>
      <c r="S464" s="13" t="e">
        <f t="shared" ca="1" si="139"/>
        <v>#N/A</v>
      </c>
      <c r="T464" s="13" t="e">
        <f ca="1">ROUNDUP(($N464-$P464-$Q464+$S464)*VLOOKUP($B464,Paraméterek!$I$38:$K$39,IF($D$2="Egyszeri",3,2))/12*IF($D465="Nem",IF($M$13=0,1,$M$13),1),IF($D$4="Forint",0,2))</f>
        <v>#N/A</v>
      </c>
      <c r="U464" s="13"/>
      <c r="V464" s="13"/>
      <c r="W464" s="13" t="e">
        <f ca="1">$N464-$P464-$Q464+$S464-$T464-IF(ROUNDUP(IF(ISBLANK($V464),$U464*0,$V464)/IF($D$2="Egyszeri",VLOOKUP($B464+IF($C464=12,1,0),Paraméterek!$V$257:$W$262,2),IF($B464=1,1,VLOOKUP($B464+IF($C464=12,1,0),Paraméterek!$I$258:$T$278,HLOOKUP($M$11+1,Paraméterek!$J$256:$T$257,2)))),IF($D$4="Forint",0,2))&gt;$N464-$P464-$Q464+$S464-$T464-IF($D$4="Forint",Paraméterek!$C$216,Paraméterek!$D$216),0,ROUNDUP(IF(ISBLANK($V464),$U464*0,$V464)/IF($D$2="Egyszeri",VLOOKUP($B464+IF($C464=12,1,0),Paraméterek!$V$257:$W$262,2),IF($B464=1,1,VLOOKUP($B464+IF($C464=12,1,0),Paraméterek!$I$258:$T$278,HLOOKUP($M$11+1,Paraméterek!$J$256:$T$257,2)))),IF($D$4="Forint",0,2)))</f>
        <v>#N/A</v>
      </c>
      <c r="X464" s="13" t="e">
        <f ca="1">ROUNDDOWN($W464*IF($D$2="Egyszeri",VLOOKUP($B464+IF($C464=12,1,0),Paraméterek!$V$257:$W$262,2),VLOOKUP($B464+IF($C464=12,1,0),Paraméterek!$I$258:$T$278,HLOOKUP($M$11+1,Paraméterek!$I$256:$T$257,2))),IF($D$4="Forint",0,2))</f>
        <v>#N/A</v>
      </c>
      <c r="Z464" s="32">
        <v>445</v>
      </c>
      <c r="AA464" s="32">
        <v>38</v>
      </c>
      <c r="AB464" s="32">
        <v>1</v>
      </c>
      <c r="AC464" s="13">
        <f t="shared" ca="1" si="148"/>
        <v>0</v>
      </c>
      <c r="AD464" s="33"/>
      <c r="AE464" s="13">
        <f t="shared" ca="1" si="140"/>
        <v>0</v>
      </c>
      <c r="AF464" s="13">
        <f ca="1">ROUNDUP(($AC464+$AE464)*VLOOKUP($AA464,Paraméterek!$P$38:$Q$38,2)/12*IF($D465="Nem",IF($M$13=0,1,$M$13),1),IF($D$4="Forint",0,2))</f>
        <v>0</v>
      </c>
      <c r="AG464" s="13">
        <f ca="1">IF($D$2="Egyszeri",IF($D$7&gt;=IF($D$4="Forint",Paraméterek!$P$223,Paraméterek!$P$224),$D$7-IF($D$4="Forint",Paraméterek!$P$223,Paraméterek!$P$224),0),MIN(IF($AB464=12,AVERAGEIF($E$20:$E464,"&gt;0",$E$20:$E464)*12,0),SUM($E$20:$E$31)))</f>
        <v>0</v>
      </c>
      <c r="AH464" s="13">
        <f>IF($AA464=10,$AG464*IF($AB464=12,IF($AG464&lt;IF($D$4="Forint",Paraméterek!$L$223,Paraméterek!$L$224),0,VLOOKUP($AA464,Paraméterek!$K$226:$M$228,IF($AG464&lt;IF($D$4="Forint",Paraméterek!$M$223,Paraméterek!$M$224),2,3))),0),0)</f>
        <v>0</v>
      </c>
      <c r="AI464" s="13">
        <f ca="1">IF(AND($AA464=$M$11+1,$AB464=$M$12+1),SUMIF($AA$20:$AA$1027,$AA464,$AG$20:$AG$1027)*IF(SUMIF($AA$20:$AA$1027,$AA464,$AG$20:$AG$1027)&lt;IF($D$4="Forint",Paraméterek!$L$223,Paraméterek!$L$224),0,VLOOKUP($AA464,Paraméterek!$K$230:$M$250,IF(SUMIF($AA$20:$AA$1027,$AA464,$AG$20:$AG$1027)&lt;IF($D$4="Forint",Paraméterek!$M$223,Paraméterek!$M$224),2,3))),0)</f>
        <v>0</v>
      </c>
      <c r="AJ464" s="13">
        <f ca="1">IF(AND($AA464&gt;=5,MOD($AA464,5)=0),IF($AB464=12,VLOOKUP($AA464,Paraméterek!$O$225:$P$240,2),0),IF(OR($AA464=3,$AA464=4),IF($AB464=12,VLOOKUP($AA464,Paraméterek!$O$225:$P$240,2,0),0),0))*$AG464</f>
        <v>0</v>
      </c>
      <c r="AK464" s="13">
        <f t="shared" ca="1" si="141"/>
        <v>0</v>
      </c>
      <c r="AL464" s="13">
        <f t="shared" ca="1" si="149"/>
        <v>0</v>
      </c>
      <c r="AM464" s="13">
        <f t="shared" ca="1" si="150"/>
        <v>0</v>
      </c>
      <c r="AO464" s="32">
        <v>445</v>
      </c>
      <c r="AP464" s="32">
        <v>38</v>
      </c>
      <c r="AQ464" s="32">
        <v>1</v>
      </c>
      <c r="AR464" s="13">
        <f>Tranzakciók!$K$69</f>
        <v>0</v>
      </c>
      <c r="AS464" s="32"/>
      <c r="AT464" s="13">
        <f t="shared" ca="1" si="151"/>
        <v>0</v>
      </c>
      <c r="AU464" s="33"/>
      <c r="AV464" s="13">
        <f t="shared" ca="1" si="142"/>
        <v>0</v>
      </c>
      <c r="AW464" s="13">
        <f ca="1">ROUNDUP(($AT464+$AV464)*VLOOKUP($AP464,Paraméterek!$P$38:$Q$38,2)/12*IF($D465="Nem",IF($M$13=0,1,$M$13),1),IF($D$4="Forint",0,2))</f>
        <v>0</v>
      </c>
      <c r="AX464" s="13"/>
      <c r="AY464" s="13"/>
      <c r="AZ464" s="13">
        <f>ROUNDUP(IF(SUM($AX464:$AY464)=0,0,IF(IF(ISBLANK($AY464),$AX464,$AY464)*Paraméterek!$J$112&lt;IF($D$4="Forint",Paraméterek!$J$113,Paraméterek!$K$113),IF($D$4="Forint",Paraméterek!$J$113,Paraméterek!$K$113),IF(IF(ISBLANK($AY464),$AX464,$AY464)*Paraméterek!$J$112&gt;IF($D$4="Forint",Paraméterek!$J$114,Paraméterek!$K$114),IF($D$4="Forint",Paraméterek!$J$114,Paraméterek!$K$114),IF(ISBLANK($AY464),$AX464,$AY464)*Paraméterek!$J$112))),IF($D$4="Forint",0,2))</f>
        <v>0</v>
      </c>
      <c r="BA464" s="13">
        <f ca="1">$AT464+$AV464-$AW464-IF(ROUNDDOWN(IF(ISBLANK($AY464),$AX464,$AY464),IF($D$4="Forint",0,2))&gt;$AT464+$AV464-$AW464-IF($D$4="Forint",Paraméterek!$J$114,Paraméterek!$K$114),0,ROUNDDOWN(IF(ISBLANK($AY464),$AX464,$AY464),IF($D$4="Forint",0,2))-$AZ464)</f>
        <v>0</v>
      </c>
      <c r="BB464" s="13">
        <f t="shared" ca="1" si="143"/>
        <v>0</v>
      </c>
      <c r="BD464" s="32">
        <v>445</v>
      </c>
      <c r="BE464" s="32">
        <v>38</v>
      </c>
      <c r="BF464" s="32">
        <v>1</v>
      </c>
      <c r="BG464" s="34">
        <f t="shared" ca="1" si="152"/>
        <v>2056</v>
      </c>
      <c r="BH464" s="32" t="str">
        <f ca="1">IF(MOD(MONTH($D$14)+$BD464-1,12)=Paraméterek!$C$288,"Igen","")</f>
        <v/>
      </c>
      <c r="BI464" s="13">
        <f ca="1">IF($BH464="Igen",MIN(ROUNDDOWN((SUMIF($BG$20:$BG$1027,$BG464-1,$K$20:$K$1027)-SUMIF($BG$20:$BG$1027,$BG464-1,$I$20:$I$1027))*Paraméterek!$C$289,IF($D$4="Forint",0,2)),IF($D$4="Forint",Paraméterek!$C$285,Paraméterek!$D$285)),0)</f>
        <v>0</v>
      </c>
      <c r="BJ464" s="13">
        <f t="shared" ca="1" si="144"/>
        <v>0</v>
      </c>
      <c r="BK464" s="13">
        <f t="shared" ca="1" si="153"/>
        <v>0</v>
      </c>
      <c r="BL464" s="33"/>
      <c r="BM464" s="13">
        <f t="shared" ca="1" si="145"/>
        <v>0</v>
      </c>
      <c r="BN464" s="13">
        <f ca="1">ROUNDUP(($BK464+$BM464)*VLOOKUP($BE464,Paraméterek!$P$38:$Q$38,2)/12*IF($D465="Nem",IF($M$13=0,1,$M$13),1),IF($D$4="Forint",0,2))</f>
        <v>0</v>
      </c>
      <c r="BO464" s="13">
        <f t="shared" ca="1" si="146"/>
        <v>0</v>
      </c>
      <c r="BP464" s="13">
        <f ca="1">IF($D465="Nem",$BO464,$BO464-ROUNDUP(SUM($BI$20:$BI464)*120%,IF($D$4="Forint",0,2)))</f>
        <v>0</v>
      </c>
    </row>
    <row r="465" spans="1:68" x14ac:dyDescent="0.2">
      <c r="A465" s="32">
        <v>446</v>
      </c>
      <c r="B465" s="32">
        <v>38</v>
      </c>
      <c r="C465" s="32">
        <v>2</v>
      </c>
      <c r="D465" s="32" t="str">
        <f t="shared" ca="1" si="132"/>
        <v>Nem</v>
      </c>
      <c r="E465" s="13">
        <f t="shared" ca="1" si="133"/>
        <v>0</v>
      </c>
      <c r="F465" s="13"/>
      <c r="G465" s="13"/>
      <c r="H465" s="13"/>
      <c r="I465" s="13">
        <f t="shared" ca="1" si="134"/>
        <v>0</v>
      </c>
      <c r="J465" s="13">
        <f t="shared" ca="1" si="135"/>
        <v>0</v>
      </c>
      <c r="K465" s="13">
        <f t="shared" ca="1" si="136"/>
        <v>0</v>
      </c>
      <c r="L465" s="13" t="e">
        <f ca="1">ROUNDUP(IF($D$2="Egyszeri",$E465,IF($D$2="Havi",SUM($E$20:$E$31),IF(MOD($C465,$M$1)-1=0,SUM($E$20:$E$31),0))/12*$M$1)*VLOOKUP($B465,Paraméterek!$I$28:$P$31,IF($D$2="Egyszeri",8,HLOOKUP(ROUNDUP($M$11+$M$13,0),Paraméterek!$J$26:$O$27,2))),IF($D$4="Forint",0,2))</f>
        <v>#N/A</v>
      </c>
      <c r="M465" s="13">
        <f t="shared" ca="1" si="137"/>
        <v>0</v>
      </c>
      <c r="N465" s="13">
        <f t="shared" ca="1" si="147"/>
        <v>0</v>
      </c>
      <c r="O465" s="13">
        <f ca="1">IF($D465="Igen",IF($W464&gt;=IF($D$4="Forint",Paraméterek!$J$121,Paraméterek!$K$121),0,IF($D$4="Forint",Paraméterek!$J$121,Paraméterek!$K$121)-$W464),0)</f>
        <v>0</v>
      </c>
      <c r="P465" s="13" t="e">
        <f ca="1">ROUNDUP($O465*VLOOKUP($M$4+$B465-1,Paraméterek!$H$58:$I$105,2,0)/Paraméterek!$I$56,IF($D$4="Forint",0,2))</f>
        <v>#N/A</v>
      </c>
      <c r="Q465" s="13">
        <f t="shared" ca="1" si="138"/>
        <v>0</v>
      </c>
      <c r="R465" s="33"/>
      <c r="S465" s="13" t="e">
        <f t="shared" ca="1" si="139"/>
        <v>#N/A</v>
      </c>
      <c r="T465" s="13" t="e">
        <f ca="1">ROUNDUP(($N465-$P465-$Q465+$S465)*VLOOKUP($B465,Paraméterek!$I$38:$K$39,IF($D$2="Egyszeri",3,2))/12*IF($D466="Nem",IF($M$13=0,1,$M$13),1),IF($D$4="Forint",0,2))</f>
        <v>#N/A</v>
      </c>
      <c r="U465" s="13"/>
      <c r="V465" s="13"/>
      <c r="W465" s="13" t="e">
        <f ca="1">$N465-$P465-$Q465+$S465-$T465-IF(ROUNDUP(IF(ISBLANK($V465),$U465*0,$V465)/IF($D$2="Egyszeri",VLOOKUP($B465+IF($C465=12,1,0),Paraméterek!$V$257:$W$262,2),IF($B465=1,1,VLOOKUP($B465+IF($C465=12,1,0),Paraméterek!$I$258:$T$278,HLOOKUP($M$11+1,Paraméterek!$J$256:$T$257,2)))),IF($D$4="Forint",0,2))&gt;$N465-$P465-$Q465+$S465-$T465-IF($D$4="Forint",Paraméterek!$C$216,Paraméterek!$D$216),0,ROUNDUP(IF(ISBLANK($V465),$U465*0,$V465)/IF($D$2="Egyszeri",VLOOKUP($B465+IF($C465=12,1,0),Paraméterek!$V$257:$W$262,2),IF($B465=1,1,VLOOKUP($B465+IF($C465=12,1,0),Paraméterek!$I$258:$T$278,HLOOKUP($M$11+1,Paraméterek!$J$256:$T$257,2)))),IF($D$4="Forint",0,2)))</f>
        <v>#N/A</v>
      </c>
      <c r="X465" s="13" t="e">
        <f ca="1">ROUNDDOWN($W465*IF($D$2="Egyszeri",VLOOKUP($B465+IF($C465=12,1,0),Paraméterek!$V$257:$W$262,2),VLOOKUP($B465+IF($C465=12,1,0),Paraméterek!$I$258:$T$278,HLOOKUP($M$11+1,Paraméterek!$I$256:$T$257,2))),IF($D$4="Forint",0,2))</f>
        <v>#N/A</v>
      </c>
      <c r="Z465" s="32">
        <v>446</v>
      </c>
      <c r="AA465" s="32">
        <v>38</v>
      </c>
      <c r="AB465" s="32">
        <v>2</v>
      </c>
      <c r="AC465" s="13">
        <f t="shared" ca="1" si="148"/>
        <v>0</v>
      </c>
      <c r="AD465" s="33"/>
      <c r="AE465" s="13">
        <f t="shared" ca="1" si="140"/>
        <v>0</v>
      </c>
      <c r="AF465" s="13">
        <f ca="1">ROUNDUP(($AC465+$AE465)*VLOOKUP($AA465,Paraméterek!$P$38:$Q$38,2)/12*IF($D466="Nem",IF($M$13=0,1,$M$13),1),IF($D$4="Forint",0,2))</f>
        <v>0</v>
      </c>
      <c r="AG465" s="13">
        <f ca="1">IF($D$2="Egyszeri",IF($D$7&gt;=IF($D$4="Forint",Paraméterek!$P$223,Paraméterek!$P$224),$D$7-IF($D$4="Forint",Paraméterek!$P$223,Paraméterek!$P$224),0),MIN(IF($AB465=12,AVERAGEIF($E$20:$E465,"&gt;0",$E$20:$E465)*12,0),SUM($E$20:$E$31)))</f>
        <v>0</v>
      </c>
      <c r="AH465" s="13">
        <f>IF($AA465=10,$AG465*IF($AB465=12,IF($AG465&lt;IF($D$4="Forint",Paraméterek!$L$223,Paraméterek!$L$224),0,VLOOKUP($AA465,Paraméterek!$K$226:$M$228,IF($AG465&lt;IF($D$4="Forint",Paraméterek!$M$223,Paraméterek!$M$224),2,3))),0),0)</f>
        <v>0</v>
      </c>
      <c r="AI465" s="13">
        <f ca="1">IF(AND($AA465=$M$11+1,$AB465=$M$12+1),SUMIF($AA$20:$AA$1027,$AA465,$AG$20:$AG$1027)*IF(SUMIF($AA$20:$AA$1027,$AA465,$AG$20:$AG$1027)&lt;IF($D$4="Forint",Paraméterek!$L$223,Paraméterek!$L$224),0,VLOOKUP($AA465,Paraméterek!$K$230:$M$250,IF(SUMIF($AA$20:$AA$1027,$AA465,$AG$20:$AG$1027)&lt;IF($D$4="Forint",Paraméterek!$M$223,Paraméterek!$M$224),2,3))),0)</f>
        <v>0</v>
      </c>
      <c r="AJ465" s="13">
        <f ca="1">IF(AND($AA465&gt;=5,MOD($AA465,5)=0),IF($AB465=12,VLOOKUP($AA465,Paraméterek!$O$225:$P$240,2),0),IF(OR($AA465=3,$AA465=4),IF($AB465=12,VLOOKUP($AA465,Paraméterek!$O$225:$P$240,2,0),0),0))*$AG465</f>
        <v>0</v>
      </c>
      <c r="AK465" s="13">
        <f t="shared" ca="1" si="141"/>
        <v>0</v>
      </c>
      <c r="AL465" s="13">
        <f t="shared" ca="1" si="149"/>
        <v>0</v>
      </c>
      <c r="AM465" s="13">
        <f t="shared" ca="1" si="150"/>
        <v>0</v>
      </c>
      <c r="AO465" s="32">
        <v>446</v>
      </c>
      <c r="AP465" s="32">
        <v>38</v>
      </c>
      <c r="AQ465" s="32">
        <v>2</v>
      </c>
      <c r="AR465" s="13"/>
      <c r="AS465" s="32"/>
      <c r="AT465" s="13">
        <f t="shared" ca="1" si="151"/>
        <v>0</v>
      </c>
      <c r="AU465" s="33"/>
      <c r="AV465" s="13">
        <f t="shared" ca="1" si="142"/>
        <v>0</v>
      </c>
      <c r="AW465" s="13">
        <f ca="1">ROUNDUP(($AT465+$AV465)*VLOOKUP($AP465,Paraméterek!$P$38:$Q$38,2)/12*IF($D466="Nem",IF($M$13=0,1,$M$13),1),IF($D$4="Forint",0,2))</f>
        <v>0</v>
      </c>
      <c r="AX465" s="13"/>
      <c r="AY465" s="13"/>
      <c r="AZ465" s="13">
        <f>ROUNDUP(IF(SUM($AX465:$AY465)=0,0,IF(IF(ISBLANK($AY465),$AX465,$AY465)*Paraméterek!$J$112&lt;IF($D$4="Forint",Paraméterek!$J$113,Paraméterek!$K$113),IF($D$4="Forint",Paraméterek!$J$113,Paraméterek!$K$113),IF(IF(ISBLANK($AY465),$AX465,$AY465)*Paraméterek!$J$112&gt;IF($D$4="Forint",Paraméterek!$J$114,Paraméterek!$K$114),IF($D$4="Forint",Paraméterek!$J$114,Paraméterek!$K$114),IF(ISBLANK($AY465),$AX465,$AY465)*Paraméterek!$J$112))),IF($D$4="Forint",0,2))</f>
        <v>0</v>
      </c>
      <c r="BA465" s="13">
        <f ca="1">$AT465+$AV465-$AW465-IF(ROUNDDOWN(IF(ISBLANK($AY465),$AX465,$AY465),IF($D$4="Forint",0,2))&gt;$AT465+$AV465-$AW465-IF($D$4="Forint",Paraméterek!$J$114,Paraméterek!$K$114),0,ROUNDDOWN(IF(ISBLANK($AY465),$AX465,$AY465),IF($D$4="Forint",0,2))-$AZ465)</f>
        <v>0</v>
      </c>
      <c r="BB465" s="13">
        <f t="shared" ca="1" si="143"/>
        <v>0</v>
      </c>
      <c r="BD465" s="32">
        <v>446</v>
      </c>
      <c r="BE465" s="32">
        <v>38</v>
      </c>
      <c r="BF465" s="32">
        <v>2</v>
      </c>
      <c r="BG465" s="34">
        <f t="shared" ca="1" si="152"/>
        <v>2056</v>
      </c>
      <c r="BH465" s="32" t="str">
        <f ca="1">IF(MOD(MONTH($D$14)+$BD465-1,12)=Paraméterek!$C$288,"Igen","")</f>
        <v>Igen</v>
      </c>
      <c r="BI465" s="13">
        <f ca="1">IF($BH465="Igen",MIN(ROUNDDOWN((SUMIF($BG$20:$BG$1027,$BG465-1,$K$20:$K$1027)-SUMIF($BG$20:$BG$1027,$BG465-1,$I$20:$I$1027))*Paraméterek!$C$289,IF($D$4="Forint",0,2)),IF($D$4="Forint",Paraméterek!$C$285,Paraméterek!$D$285)),0)</f>
        <v>0</v>
      </c>
      <c r="BJ465" s="13">
        <f t="shared" ca="1" si="144"/>
        <v>0</v>
      </c>
      <c r="BK465" s="13">
        <f t="shared" ca="1" si="153"/>
        <v>0</v>
      </c>
      <c r="BL465" s="33"/>
      <c r="BM465" s="13">
        <f t="shared" ca="1" si="145"/>
        <v>0</v>
      </c>
      <c r="BN465" s="13">
        <f ca="1">ROUNDUP(($BK465+$BM465)*VLOOKUP($BE465,Paraméterek!$P$38:$Q$38,2)/12*IF($D466="Nem",IF($M$13=0,1,$M$13),1),IF($D$4="Forint",0,2))</f>
        <v>0</v>
      </c>
      <c r="BO465" s="13">
        <f t="shared" ca="1" si="146"/>
        <v>0</v>
      </c>
      <c r="BP465" s="13">
        <f ca="1">IF($D466="Nem",$BO465,$BO465-ROUNDUP(SUM($BI$20:$BI465)*120%,IF($D$4="Forint",0,2)))</f>
        <v>0</v>
      </c>
    </row>
    <row r="466" spans="1:68" x14ac:dyDescent="0.2">
      <c r="A466" s="32">
        <v>447</v>
      </c>
      <c r="B466" s="32">
        <v>38</v>
      </c>
      <c r="C466" s="32">
        <v>3</v>
      </c>
      <c r="D466" s="32" t="str">
        <f t="shared" ca="1" si="132"/>
        <v>Nem</v>
      </c>
      <c r="E466" s="13">
        <f t="shared" ca="1" si="133"/>
        <v>0</v>
      </c>
      <c r="F466" s="13"/>
      <c r="G466" s="13"/>
      <c r="H466" s="13"/>
      <c r="I466" s="13">
        <f t="shared" ca="1" si="134"/>
        <v>0</v>
      </c>
      <c r="J466" s="13">
        <f t="shared" ca="1" si="135"/>
        <v>0</v>
      </c>
      <c r="K466" s="13">
        <f t="shared" ca="1" si="136"/>
        <v>0</v>
      </c>
      <c r="L466" s="13" t="e">
        <f ca="1">ROUNDUP(IF($D$2="Egyszeri",$E466,IF($D$2="Havi",SUM($E$20:$E$31),IF(MOD($C466,$M$1)-1=0,SUM($E$20:$E$31),0))/12*$M$1)*VLOOKUP($B466,Paraméterek!$I$28:$P$31,IF($D$2="Egyszeri",8,HLOOKUP(ROUNDUP($M$11+$M$13,0),Paraméterek!$J$26:$O$27,2))),IF($D$4="Forint",0,2))</f>
        <v>#N/A</v>
      </c>
      <c r="M466" s="13">
        <f t="shared" ca="1" si="137"/>
        <v>0</v>
      </c>
      <c r="N466" s="13">
        <f t="shared" ca="1" si="147"/>
        <v>0</v>
      </c>
      <c r="O466" s="13">
        <f ca="1">IF($D466="Igen",IF($W465&gt;=IF($D$4="Forint",Paraméterek!$J$121,Paraméterek!$K$121),0,IF($D$4="Forint",Paraméterek!$J$121,Paraméterek!$K$121)-$W465),0)</f>
        <v>0</v>
      </c>
      <c r="P466" s="13" t="e">
        <f ca="1">ROUNDUP($O466*VLOOKUP($M$4+$B466-1,Paraméterek!$H$58:$I$105,2,0)/Paraméterek!$I$56,IF($D$4="Forint",0,2))</f>
        <v>#N/A</v>
      </c>
      <c r="Q466" s="13">
        <f t="shared" ca="1" si="138"/>
        <v>0</v>
      </c>
      <c r="R466" s="33"/>
      <c r="S466" s="13" t="e">
        <f t="shared" ca="1" si="139"/>
        <v>#N/A</v>
      </c>
      <c r="T466" s="13" t="e">
        <f ca="1">ROUNDUP(($N466-$P466-$Q466+$S466)*VLOOKUP($B466,Paraméterek!$I$38:$K$39,IF($D$2="Egyszeri",3,2))/12*IF($D467="Nem",IF($M$13=0,1,$M$13),1),IF($D$4="Forint",0,2))</f>
        <v>#N/A</v>
      </c>
      <c r="U466" s="13"/>
      <c r="V466" s="13"/>
      <c r="W466" s="13" t="e">
        <f ca="1">$N466-$P466-$Q466+$S466-$T466-IF(ROUNDUP(IF(ISBLANK($V466),$U466*0,$V466)/IF($D$2="Egyszeri",VLOOKUP($B466+IF($C466=12,1,0),Paraméterek!$V$257:$W$262,2),IF($B466=1,1,VLOOKUP($B466+IF($C466=12,1,0),Paraméterek!$I$258:$T$278,HLOOKUP($M$11+1,Paraméterek!$J$256:$T$257,2)))),IF($D$4="Forint",0,2))&gt;$N466-$P466-$Q466+$S466-$T466-IF($D$4="Forint",Paraméterek!$C$216,Paraméterek!$D$216),0,ROUNDUP(IF(ISBLANK($V466),$U466*0,$V466)/IF($D$2="Egyszeri",VLOOKUP($B466+IF($C466=12,1,0),Paraméterek!$V$257:$W$262,2),IF($B466=1,1,VLOOKUP($B466+IF($C466=12,1,0),Paraméterek!$I$258:$T$278,HLOOKUP($M$11+1,Paraméterek!$J$256:$T$257,2)))),IF($D$4="Forint",0,2)))</f>
        <v>#N/A</v>
      </c>
      <c r="X466" s="13" t="e">
        <f ca="1">ROUNDDOWN($W466*IF($D$2="Egyszeri",VLOOKUP($B466+IF($C466=12,1,0),Paraméterek!$V$257:$W$262,2),VLOOKUP($B466+IF($C466=12,1,0),Paraméterek!$I$258:$T$278,HLOOKUP($M$11+1,Paraméterek!$I$256:$T$257,2))),IF($D$4="Forint",0,2))</f>
        <v>#N/A</v>
      </c>
      <c r="Z466" s="32">
        <v>447</v>
      </c>
      <c r="AA466" s="32">
        <v>38</v>
      </c>
      <c r="AB466" s="32">
        <v>3</v>
      </c>
      <c r="AC466" s="13">
        <f t="shared" ca="1" si="148"/>
        <v>0</v>
      </c>
      <c r="AD466" s="33"/>
      <c r="AE466" s="13">
        <f t="shared" ca="1" si="140"/>
        <v>0</v>
      </c>
      <c r="AF466" s="13">
        <f ca="1">ROUNDUP(($AC466+$AE466)*VLOOKUP($AA466,Paraméterek!$P$38:$Q$38,2)/12*IF($D467="Nem",IF($M$13=0,1,$M$13),1),IF($D$4="Forint",0,2))</f>
        <v>0</v>
      </c>
      <c r="AG466" s="13">
        <f ca="1">IF($D$2="Egyszeri",IF($D$7&gt;=IF($D$4="Forint",Paraméterek!$P$223,Paraméterek!$P$224),$D$7-IF($D$4="Forint",Paraméterek!$P$223,Paraméterek!$P$224),0),MIN(IF($AB466=12,AVERAGEIF($E$20:$E466,"&gt;0",$E$20:$E466)*12,0),SUM($E$20:$E$31)))</f>
        <v>0</v>
      </c>
      <c r="AH466" s="13">
        <f>IF($AA466=10,$AG466*IF($AB466=12,IF($AG466&lt;IF($D$4="Forint",Paraméterek!$L$223,Paraméterek!$L$224),0,VLOOKUP($AA466,Paraméterek!$K$226:$M$228,IF($AG466&lt;IF($D$4="Forint",Paraméterek!$M$223,Paraméterek!$M$224),2,3))),0),0)</f>
        <v>0</v>
      </c>
      <c r="AI466" s="13">
        <f ca="1">IF(AND($AA466=$M$11+1,$AB466=$M$12+1),SUMIF($AA$20:$AA$1027,$AA466,$AG$20:$AG$1027)*IF(SUMIF($AA$20:$AA$1027,$AA466,$AG$20:$AG$1027)&lt;IF($D$4="Forint",Paraméterek!$L$223,Paraméterek!$L$224),0,VLOOKUP($AA466,Paraméterek!$K$230:$M$250,IF(SUMIF($AA$20:$AA$1027,$AA466,$AG$20:$AG$1027)&lt;IF($D$4="Forint",Paraméterek!$M$223,Paraméterek!$M$224),2,3))),0)</f>
        <v>0</v>
      </c>
      <c r="AJ466" s="13">
        <f ca="1">IF(AND($AA466&gt;=5,MOD($AA466,5)=0),IF($AB466=12,VLOOKUP($AA466,Paraméterek!$O$225:$P$240,2),0),IF(OR($AA466=3,$AA466=4),IF($AB466=12,VLOOKUP($AA466,Paraméterek!$O$225:$P$240,2,0),0),0))*$AG466</f>
        <v>0</v>
      </c>
      <c r="AK466" s="13">
        <f t="shared" ca="1" si="141"/>
        <v>0</v>
      </c>
      <c r="AL466" s="13">
        <f t="shared" ca="1" si="149"/>
        <v>0</v>
      </c>
      <c r="AM466" s="13">
        <f t="shared" ca="1" si="150"/>
        <v>0</v>
      </c>
      <c r="AO466" s="32">
        <v>447</v>
      </c>
      <c r="AP466" s="32">
        <v>38</v>
      </c>
      <c r="AQ466" s="32">
        <v>3</v>
      </c>
      <c r="AR466" s="13"/>
      <c r="AS466" s="32"/>
      <c r="AT466" s="13">
        <f t="shared" ca="1" si="151"/>
        <v>0</v>
      </c>
      <c r="AU466" s="33"/>
      <c r="AV466" s="13">
        <f t="shared" ca="1" si="142"/>
        <v>0</v>
      </c>
      <c r="AW466" s="13">
        <f ca="1">ROUNDUP(($AT466+$AV466)*VLOOKUP($AP466,Paraméterek!$P$38:$Q$38,2)/12*IF($D467="Nem",IF($M$13=0,1,$M$13),1),IF($D$4="Forint",0,2))</f>
        <v>0</v>
      </c>
      <c r="AX466" s="13"/>
      <c r="AY466" s="13"/>
      <c r="AZ466" s="13">
        <f>ROUNDUP(IF(SUM($AX466:$AY466)=0,0,IF(IF(ISBLANK($AY466),$AX466,$AY466)*Paraméterek!$J$112&lt;IF($D$4="Forint",Paraméterek!$J$113,Paraméterek!$K$113),IF($D$4="Forint",Paraméterek!$J$113,Paraméterek!$K$113),IF(IF(ISBLANK($AY466),$AX466,$AY466)*Paraméterek!$J$112&gt;IF($D$4="Forint",Paraméterek!$J$114,Paraméterek!$K$114),IF($D$4="Forint",Paraméterek!$J$114,Paraméterek!$K$114),IF(ISBLANK($AY466),$AX466,$AY466)*Paraméterek!$J$112))),IF($D$4="Forint",0,2))</f>
        <v>0</v>
      </c>
      <c r="BA466" s="13">
        <f ca="1">$AT466+$AV466-$AW466-IF(ROUNDDOWN(IF(ISBLANK($AY466),$AX466,$AY466),IF($D$4="Forint",0,2))&gt;$AT466+$AV466-$AW466-IF($D$4="Forint",Paraméterek!$J$114,Paraméterek!$K$114),0,ROUNDDOWN(IF(ISBLANK($AY466),$AX466,$AY466),IF($D$4="Forint",0,2))-$AZ466)</f>
        <v>0</v>
      </c>
      <c r="BB466" s="13">
        <f t="shared" ca="1" si="143"/>
        <v>0</v>
      </c>
      <c r="BD466" s="32">
        <v>447</v>
      </c>
      <c r="BE466" s="32">
        <v>38</v>
      </c>
      <c r="BF466" s="32">
        <v>3</v>
      </c>
      <c r="BG466" s="34">
        <f t="shared" ca="1" si="152"/>
        <v>2056</v>
      </c>
      <c r="BH466" s="32" t="str">
        <f ca="1">IF(MOD(MONTH($D$14)+$BD466-1,12)=Paraméterek!$C$288,"Igen","")</f>
        <v/>
      </c>
      <c r="BI466" s="13">
        <f ca="1">IF($BH466="Igen",MIN(ROUNDDOWN((SUMIF($BG$20:$BG$1027,$BG466-1,$K$20:$K$1027)-SUMIF($BG$20:$BG$1027,$BG466-1,$I$20:$I$1027))*Paraméterek!$C$289,IF($D$4="Forint",0,2)),IF($D$4="Forint",Paraméterek!$C$285,Paraméterek!$D$285)),0)</f>
        <v>0</v>
      </c>
      <c r="BJ466" s="13">
        <f t="shared" ca="1" si="144"/>
        <v>0</v>
      </c>
      <c r="BK466" s="13">
        <f t="shared" ca="1" si="153"/>
        <v>0</v>
      </c>
      <c r="BL466" s="33"/>
      <c r="BM466" s="13">
        <f t="shared" ca="1" si="145"/>
        <v>0</v>
      </c>
      <c r="BN466" s="13">
        <f ca="1">ROUNDUP(($BK466+$BM466)*VLOOKUP($BE466,Paraméterek!$P$38:$Q$38,2)/12*IF($D467="Nem",IF($M$13=0,1,$M$13),1),IF($D$4="Forint",0,2))</f>
        <v>0</v>
      </c>
      <c r="BO466" s="13">
        <f t="shared" ca="1" si="146"/>
        <v>0</v>
      </c>
      <c r="BP466" s="13">
        <f ca="1">IF($D467="Nem",$BO466,$BO466-ROUNDUP(SUM($BI$20:$BI466)*120%,IF($D$4="Forint",0,2)))</f>
        <v>0</v>
      </c>
    </row>
    <row r="467" spans="1:68" x14ac:dyDescent="0.2">
      <c r="A467" s="32">
        <v>448</v>
      </c>
      <c r="B467" s="32">
        <v>38</v>
      </c>
      <c r="C467" s="32">
        <v>4</v>
      </c>
      <c r="D467" s="32" t="str">
        <f t="shared" ca="1" si="132"/>
        <v>Nem</v>
      </c>
      <c r="E467" s="13">
        <f t="shared" ca="1" si="133"/>
        <v>0</v>
      </c>
      <c r="F467" s="13"/>
      <c r="G467" s="13"/>
      <c r="H467" s="13"/>
      <c r="I467" s="13">
        <f t="shared" ca="1" si="134"/>
        <v>0</v>
      </c>
      <c r="J467" s="13">
        <f t="shared" ca="1" si="135"/>
        <v>0</v>
      </c>
      <c r="K467" s="13">
        <f t="shared" ca="1" si="136"/>
        <v>0</v>
      </c>
      <c r="L467" s="13" t="e">
        <f ca="1">ROUNDUP(IF($D$2="Egyszeri",$E467,IF($D$2="Havi",SUM($E$20:$E$31),IF(MOD($C467,$M$1)-1=0,SUM($E$20:$E$31),0))/12*$M$1)*VLOOKUP($B467,Paraméterek!$I$28:$P$31,IF($D$2="Egyszeri",8,HLOOKUP(ROUNDUP($M$11+$M$13,0),Paraméterek!$J$26:$O$27,2))),IF($D$4="Forint",0,2))</f>
        <v>#N/A</v>
      </c>
      <c r="M467" s="13">
        <f t="shared" ca="1" si="137"/>
        <v>0</v>
      </c>
      <c r="N467" s="13">
        <f t="shared" ca="1" si="147"/>
        <v>0</v>
      </c>
      <c r="O467" s="13">
        <f ca="1">IF($D467="Igen",IF($W466&gt;=IF($D$4="Forint",Paraméterek!$J$121,Paraméterek!$K$121),0,IF($D$4="Forint",Paraméterek!$J$121,Paraméterek!$K$121)-$W466),0)</f>
        <v>0</v>
      </c>
      <c r="P467" s="13" t="e">
        <f ca="1">ROUNDUP($O467*VLOOKUP($M$4+$B467-1,Paraméterek!$H$58:$I$105,2,0)/Paraméterek!$I$56,IF($D$4="Forint",0,2))</f>
        <v>#N/A</v>
      </c>
      <c r="Q467" s="13">
        <f t="shared" ca="1" si="138"/>
        <v>0</v>
      </c>
      <c r="R467" s="33"/>
      <c r="S467" s="13" t="e">
        <f t="shared" ca="1" si="139"/>
        <v>#N/A</v>
      </c>
      <c r="T467" s="13" t="e">
        <f ca="1">ROUNDUP(($N467-$P467-$Q467+$S467)*VLOOKUP($B467,Paraméterek!$I$38:$K$39,IF($D$2="Egyszeri",3,2))/12*IF($D468="Nem",IF($M$13=0,1,$M$13),1),IF($D$4="Forint",0,2))</f>
        <v>#N/A</v>
      </c>
      <c r="U467" s="13"/>
      <c r="V467" s="13"/>
      <c r="W467" s="13" t="e">
        <f ca="1">$N467-$P467-$Q467+$S467-$T467-IF(ROUNDUP(IF(ISBLANK($V467),$U467*0,$V467)/IF($D$2="Egyszeri",VLOOKUP($B467+IF($C467=12,1,0),Paraméterek!$V$257:$W$262,2),IF($B467=1,1,VLOOKUP($B467+IF($C467=12,1,0),Paraméterek!$I$258:$T$278,HLOOKUP($M$11+1,Paraméterek!$J$256:$T$257,2)))),IF($D$4="Forint",0,2))&gt;$N467-$P467-$Q467+$S467-$T467-IF($D$4="Forint",Paraméterek!$C$216,Paraméterek!$D$216),0,ROUNDUP(IF(ISBLANK($V467),$U467*0,$V467)/IF($D$2="Egyszeri",VLOOKUP($B467+IF($C467=12,1,0),Paraméterek!$V$257:$W$262,2),IF($B467=1,1,VLOOKUP($B467+IF($C467=12,1,0),Paraméterek!$I$258:$T$278,HLOOKUP($M$11+1,Paraméterek!$J$256:$T$257,2)))),IF($D$4="Forint",0,2)))</f>
        <v>#N/A</v>
      </c>
      <c r="X467" s="13" t="e">
        <f ca="1">ROUNDDOWN($W467*IF($D$2="Egyszeri",VLOOKUP($B467+IF($C467=12,1,0),Paraméterek!$V$257:$W$262,2),VLOOKUP($B467+IF($C467=12,1,0),Paraméterek!$I$258:$T$278,HLOOKUP($M$11+1,Paraméterek!$I$256:$T$257,2))),IF($D$4="Forint",0,2))</f>
        <v>#N/A</v>
      </c>
      <c r="Z467" s="32">
        <v>448</v>
      </c>
      <c r="AA467" s="32">
        <v>38</v>
      </c>
      <c r="AB467" s="32">
        <v>4</v>
      </c>
      <c r="AC467" s="13">
        <f t="shared" ca="1" si="148"/>
        <v>0</v>
      </c>
      <c r="AD467" s="33"/>
      <c r="AE467" s="13">
        <f t="shared" ca="1" si="140"/>
        <v>0</v>
      </c>
      <c r="AF467" s="13">
        <f ca="1">ROUNDUP(($AC467+$AE467)*VLOOKUP($AA467,Paraméterek!$P$38:$Q$38,2)/12*IF($D468="Nem",IF($M$13=0,1,$M$13),1),IF($D$4="Forint",0,2))</f>
        <v>0</v>
      </c>
      <c r="AG467" s="13">
        <f ca="1">IF($D$2="Egyszeri",IF($D$7&gt;=IF($D$4="Forint",Paraméterek!$P$223,Paraméterek!$P$224),$D$7-IF($D$4="Forint",Paraméterek!$P$223,Paraméterek!$P$224),0),MIN(IF($AB467=12,AVERAGEIF($E$20:$E467,"&gt;0",$E$20:$E467)*12,0),SUM($E$20:$E$31)))</f>
        <v>0</v>
      </c>
      <c r="AH467" s="13">
        <f>IF($AA467=10,$AG467*IF($AB467=12,IF($AG467&lt;IF($D$4="Forint",Paraméterek!$L$223,Paraméterek!$L$224),0,VLOOKUP($AA467,Paraméterek!$K$226:$M$228,IF($AG467&lt;IF($D$4="Forint",Paraméterek!$M$223,Paraméterek!$M$224),2,3))),0),0)</f>
        <v>0</v>
      </c>
      <c r="AI467" s="13">
        <f ca="1">IF(AND($AA467=$M$11+1,$AB467=$M$12+1),SUMIF($AA$20:$AA$1027,$AA467,$AG$20:$AG$1027)*IF(SUMIF($AA$20:$AA$1027,$AA467,$AG$20:$AG$1027)&lt;IF($D$4="Forint",Paraméterek!$L$223,Paraméterek!$L$224),0,VLOOKUP($AA467,Paraméterek!$K$230:$M$250,IF(SUMIF($AA$20:$AA$1027,$AA467,$AG$20:$AG$1027)&lt;IF($D$4="Forint",Paraméterek!$M$223,Paraméterek!$M$224),2,3))),0)</f>
        <v>0</v>
      </c>
      <c r="AJ467" s="13">
        <f ca="1">IF(AND($AA467&gt;=5,MOD($AA467,5)=0),IF($AB467=12,VLOOKUP($AA467,Paraméterek!$O$225:$P$240,2),0),IF(OR($AA467=3,$AA467=4),IF($AB467=12,VLOOKUP($AA467,Paraméterek!$O$225:$P$240,2,0),0),0))*$AG467</f>
        <v>0</v>
      </c>
      <c r="AK467" s="13">
        <f t="shared" ca="1" si="141"/>
        <v>0</v>
      </c>
      <c r="AL467" s="13">
        <f t="shared" ca="1" si="149"/>
        <v>0</v>
      </c>
      <c r="AM467" s="13">
        <f t="shared" ca="1" si="150"/>
        <v>0</v>
      </c>
      <c r="AO467" s="32">
        <v>448</v>
      </c>
      <c r="AP467" s="32">
        <v>38</v>
      </c>
      <c r="AQ467" s="32">
        <v>4</v>
      </c>
      <c r="AR467" s="13"/>
      <c r="AS467" s="32"/>
      <c r="AT467" s="13">
        <f t="shared" ca="1" si="151"/>
        <v>0</v>
      </c>
      <c r="AU467" s="33"/>
      <c r="AV467" s="13">
        <f t="shared" ca="1" si="142"/>
        <v>0</v>
      </c>
      <c r="AW467" s="13">
        <f ca="1">ROUNDUP(($AT467+$AV467)*VLOOKUP($AP467,Paraméterek!$P$38:$Q$38,2)/12*IF($D468="Nem",IF($M$13=0,1,$M$13),1),IF($D$4="Forint",0,2))</f>
        <v>0</v>
      </c>
      <c r="AX467" s="13"/>
      <c r="AY467" s="13"/>
      <c r="AZ467" s="13">
        <f>ROUNDUP(IF(SUM($AX467:$AY467)=0,0,IF(IF(ISBLANK($AY467),$AX467,$AY467)*Paraméterek!$J$112&lt;IF($D$4="Forint",Paraméterek!$J$113,Paraméterek!$K$113),IF($D$4="Forint",Paraméterek!$J$113,Paraméterek!$K$113),IF(IF(ISBLANK($AY467),$AX467,$AY467)*Paraméterek!$J$112&gt;IF($D$4="Forint",Paraméterek!$J$114,Paraméterek!$K$114),IF($D$4="Forint",Paraméterek!$J$114,Paraméterek!$K$114),IF(ISBLANK($AY467),$AX467,$AY467)*Paraméterek!$J$112))),IF($D$4="Forint",0,2))</f>
        <v>0</v>
      </c>
      <c r="BA467" s="13">
        <f ca="1">$AT467+$AV467-$AW467-IF(ROUNDDOWN(IF(ISBLANK($AY467),$AX467,$AY467),IF($D$4="Forint",0,2))&gt;$AT467+$AV467-$AW467-IF($D$4="Forint",Paraméterek!$J$114,Paraméterek!$K$114),0,ROUNDDOWN(IF(ISBLANK($AY467),$AX467,$AY467),IF($D$4="Forint",0,2))-$AZ467)</f>
        <v>0</v>
      </c>
      <c r="BB467" s="13">
        <f t="shared" ca="1" si="143"/>
        <v>0</v>
      </c>
      <c r="BD467" s="32">
        <v>448</v>
      </c>
      <c r="BE467" s="32">
        <v>38</v>
      </c>
      <c r="BF467" s="32">
        <v>4</v>
      </c>
      <c r="BG467" s="34">
        <f t="shared" ca="1" si="152"/>
        <v>2056</v>
      </c>
      <c r="BH467" s="32" t="str">
        <f ca="1">IF(MOD(MONTH($D$14)+$BD467-1,12)=Paraméterek!$C$288,"Igen","")</f>
        <v/>
      </c>
      <c r="BI467" s="13">
        <f ca="1">IF($BH467="Igen",MIN(ROUNDDOWN((SUMIF($BG$20:$BG$1027,$BG467-1,$K$20:$K$1027)-SUMIF($BG$20:$BG$1027,$BG467-1,$I$20:$I$1027))*Paraméterek!$C$289,IF($D$4="Forint",0,2)),IF($D$4="Forint",Paraméterek!$C$285,Paraméterek!$D$285)),0)</f>
        <v>0</v>
      </c>
      <c r="BJ467" s="13">
        <f t="shared" ca="1" si="144"/>
        <v>0</v>
      </c>
      <c r="BK467" s="13">
        <f t="shared" ca="1" si="153"/>
        <v>0</v>
      </c>
      <c r="BL467" s="33"/>
      <c r="BM467" s="13">
        <f t="shared" ca="1" si="145"/>
        <v>0</v>
      </c>
      <c r="BN467" s="13">
        <f ca="1">ROUNDUP(($BK467+$BM467)*VLOOKUP($BE467,Paraméterek!$P$38:$Q$38,2)/12*IF($D468="Nem",IF($M$13=0,1,$M$13),1),IF($D$4="Forint",0,2))</f>
        <v>0</v>
      </c>
      <c r="BO467" s="13">
        <f t="shared" ca="1" si="146"/>
        <v>0</v>
      </c>
      <c r="BP467" s="13">
        <f ca="1">IF($D468="Nem",$BO467,$BO467-ROUNDUP(SUM($BI$20:$BI467)*120%,IF($D$4="Forint",0,2)))</f>
        <v>0</v>
      </c>
    </row>
    <row r="468" spans="1:68" x14ac:dyDescent="0.2">
      <c r="A468" s="32">
        <v>449</v>
      </c>
      <c r="B468" s="32">
        <v>38</v>
      </c>
      <c r="C468" s="32">
        <v>5</v>
      </c>
      <c r="D468" s="32" t="str">
        <f t="shared" ca="1" si="132"/>
        <v>Nem</v>
      </c>
      <c r="E468" s="13">
        <f t="shared" ca="1" si="133"/>
        <v>0</v>
      </c>
      <c r="F468" s="13"/>
      <c r="G468" s="13"/>
      <c r="H468" s="13"/>
      <c r="I468" s="13">
        <f t="shared" ca="1" si="134"/>
        <v>0</v>
      </c>
      <c r="J468" s="13">
        <f t="shared" ca="1" si="135"/>
        <v>0</v>
      </c>
      <c r="K468" s="13">
        <f t="shared" ca="1" si="136"/>
        <v>0</v>
      </c>
      <c r="L468" s="13" t="e">
        <f ca="1">ROUNDUP(IF($D$2="Egyszeri",$E468,IF($D$2="Havi",SUM($E$20:$E$31),IF(MOD($C468,$M$1)-1=0,SUM($E$20:$E$31),0))/12*$M$1)*VLOOKUP($B468,Paraméterek!$I$28:$P$31,IF($D$2="Egyszeri",8,HLOOKUP(ROUNDUP($M$11+$M$13,0),Paraméterek!$J$26:$O$27,2))),IF($D$4="Forint",0,2))</f>
        <v>#N/A</v>
      </c>
      <c r="M468" s="13">
        <f t="shared" ca="1" si="137"/>
        <v>0</v>
      </c>
      <c r="N468" s="13">
        <f t="shared" ca="1" si="147"/>
        <v>0</v>
      </c>
      <c r="O468" s="13">
        <f ca="1">IF($D468="Igen",IF($W467&gt;=IF($D$4="Forint",Paraméterek!$J$121,Paraméterek!$K$121),0,IF($D$4="Forint",Paraméterek!$J$121,Paraméterek!$K$121)-$W467),0)</f>
        <v>0</v>
      </c>
      <c r="P468" s="13" t="e">
        <f ca="1">ROUNDUP($O468*VLOOKUP($M$4+$B468-1,Paraméterek!$H$58:$I$105,2,0)/Paraméterek!$I$56,IF($D$4="Forint",0,2))</f>
        <v>#N/A</v>
      </c>
      <c r="Q468" s="13">
        <f t="shared" ca="1" si="138"/>
        <v>0</v>
      </c>
      <c r="R468" s="33"/>
      <c r="S468" s="13" t="e">
        <f t="shared" ca="1" si="139"/>
        <v>#N/A</v>
      </c>
      <c r="T468" s="13" t="e">
        <f ca="1">ROUNDUP(($N468-$P468-$Q468+$S468)*VLOOKUP($B468,Paraméterek!$I$38:$K$39,IF($D$2="Egyszeri",3,2))/12*IF($D469="Nem",IF($M$13=0,1,$M$13),1),IF($D$4="Forint",0,2))</f>
        <v>#N/A</v>
      </c>
      <c r="U468" s="13"/>
      <c r="V468" s="13"/>
      <c r="W468" s="13" t="e">
        <f ca="1">$N468-$P468-$Q468+$S468-$T468-IF(ROUNDUP(IF(ISBLANK($V468),$U468*0,$V468)/IF($D$2="Egyszeri",VLOOKUP($B468+IF($C468=12,1,0),Paraméterek!$V$257:$W$262,2),IF($B468=1,1,VLOOKUP($B468+IF($C468=12,1,0),Paraméterek!$I$258:$T$278,HLOOKUP($M$11+1,Paraméterek!$J$256:$T$257,2)))),IF($D$4="Forint",0,2))&gt;$N468-$P468-$Q468+$S468-$T468-IF($D$4="Forint",Paraméterek!$C$216,Paraméterek!$D$216),0,ROUNDUP(IF(ISBLANK($V468),$U468*0,$V468)/IF($D$2="Egyszeri",VLOOKUP($B468+IF($C468=12,1,0),Paraméterek!$V$257:$W$262,2),IF($B468=1,1,VLOOKUP($B468+IF($C468=12,1,0),Paraméterek!$I$258:$T$278,HLOOKUP($M$11+1,Paraméterek!$J$256:$T$257,2)))),IF($D$4="Forint",0,2)))</f>
        <v>#N/A</v>
      </c>
      <c r="X468" s="13" t="e">
        <f ca="1">ROUNDDOWN($W468*IF($D$2="Egyszeri",VLOOKUP($B468+IF($C468=12,1,0),Paraméterek!$V$257:$W$262,2),VLOOKUP($B468+IF($C468=12,1,0),Paraméterek!$I$258:$T$278,HLOOKUP($M$11+1,Paraméterek!$I$256:$T$257,2))),IF($D$4="Forint",0,2))</f>
        <v>#N/A</v>
      </c>
      <c r="Z468" s="32">
        <v>449</v>
      </c>
      <c r="AA468" s="32">
        <v>38</v>
      </c>
      <c r="AB468" s="32">
        <v>5</v>
      </c>
      <c r="AC468" s="13">
        <f t="shared" ca="1" si="148"/>
        <v>0</v>
      </c>
      <c r="AD468" s="33"/>
      <c r="AE468" s="13">
        <f t="shared" ca="1" si="140"/>
        <v>0</v>
      </c>
      <c r="AF468" s="13">
        <f ca="1">ROUNDUP(($AC468+$AE468)*VLOOKUP($AA468,Paraméterek!$P$38:$Q$38,2)/12*IF($D469="Nem",IF($M$13=0,1,$M$13),1),IF($D$4="Forint",0,2))</f>
        <v>0</v>
      </c>
      <c r="AG468" s="13">
        <f ca="1">IF($D$2="Egyszeri",IF($D$7&gt;=IF($D$4="Forint",Paraméterek!$P$223,Paraméterek!$P$224),$D$7-IF($D$4="Forint",Paraméterek!$P$223,Paraméterek!$P$224),0),MIN(IF($AB468=12,AVERAGEIF($E$20:$E468,"&gt;0",$E$20:$E468)*12,0),SUM($E$20:$E$31)))</f>
        <v>0</v>
      </c>
      <c r="AH468" s="13">
        <f>IF($AA468=10,$AG468*IF($AB468=12,IF($AG468&lt;IF($D$4="Forint",Paraméterek!$L$223,Paraméterek!$L$224),0,VLOOKUP($AA468,Paraméterek!$K$226:$M$228,IF($AG468&lt;IF($D$4="Forint",Paraméterek!$M$223,Paraméterek!$M$224),2,3))),0),0)</f>
        <v>0</v>
      </c>
      <c r="AI468" s="13">
        <f ca="1">IF(AND($AA468=$M$11+1,$AB468=$M$12+1),SUMIF($AA$20:$AA$1027,$AA468,$AG$20:$AG$1027)*IF(SUMIF($AA$20:$AA$1027,$AA468,$AG$20:$AG$1027)&lt;IF($D$4="Forint",Paraméterek!$L$223,Paraméterek!$L$224),0,VLOOKUP($AA468,Paraméterek!$K$230:$M$250,IF(SUMIF($AA$20:$AA$1027,$AA468,$AG$20:$AG$1027)&lt;IF($D$4="Forint",Paraméterek!$M$223,Paraméterek!$M$224),2,3))),0)</f>
        <v>0</v>
      </c>
      <c r="AJ468" s="13">
        <f ca="1">IF(AND($AA468&gt;=5,MOD($AA468,5)=0),IF($AB468=12,VLOOKUP($AA468,Paraméterek!$O$225:$P$240,2),0),IF(OR($AA468=3,$AA468=4),IF($AB468=12,VLOOKUP($AA468,Paraméterek!$O$225:$P$240,2,0),0),0))*$AG468</f>
        <v>0</v>
      </c>
      <c r="AK468" s="13">
        <f t="shared" ca="1" si="141"/>
        <v>0</v>
      </c>
      <c r="AL468" s="13">
        <f t="shared" ca="1" si="149"/>
        <v>0</v>
      </c>
      <c r="AM468" s="13">
        <f t="shared" ca="1" si="150"/>
        <v>0</v>
      </c>
      <c r="AO468" s="32">
        <v>449</v>
      </c>
      <c r="AP468" s="32">
        <v>38</v>
      </c>
      <c r="AQ468" s="32">
        <v>5</v>
      </c>
      <c r="AR468" s="13"/>
      <c r="AS468" s="32"/>
      <c r="AT468" s="13">
        <f t="shared" ca="1" si="151"/>
        <v>0</v>
      </c>
      <c r="AU468" s="33"/>
      <c r="AV468" s="13">
        <f t="shared" ca="1" si="142"/>
        <v>0</v>
      </c>
      <c r="AW468" s="13">
        <f ca="1">ROUNDUP(($AT468+$AV468)*VLOOKUP($AP468,Paraméterek!$P$38:$Q$38,2)/12*IF($D469="Nem",IF($M$13=0,1,$M$13),1),IF($D$4="Forint",0,2))</f>
        <v>0</v>
      </c>
      <c r="AX468" s="13"/>
      <c r="AY468" s="13"/>
      <c r="AZ468" s="13">
        <f>ROUNDUP(IF(SUM($AX468:$AY468)=0,0,IF(IF(ISBLANK($AY468),$AX468,$AY468)*Paraméterek!$J$112&lt;IF($D$4="Forint",Paraméterek!$J$113,Paraméterek!$K$113),IF($D$4="Forint",Paraméterek!$J$113,Paraméterek!$K$113),IF(IF(ISBLANK($AY468),$AX468,$AY468)*Paraméterek!$J$112&gt;IF($D$4="Forint",Paraméterek!$J$114,Paraméterek!$K$114),IF($D$4="Forint",Paraméterek!$J$114,Paraméterek!$K$114),IF(ISBLANK($AY468),$AX468,$AY468)*Paraméterek!$J$112))),IF($D$4="Forint",0,2))</f>
        <v>0</v>
      </c>
      <c r="BA468" s="13">
        <f ca="1">$AT468+$AV468-$AW468-IF(ROUNDDOWN(IF(ISBLANK($AY468),$AX468,$AY468),IF($D$4="Forint",0,2))&gt;$AT468+$AV468-$AW468-IF($D$4="Forint",Paraméterek!$J$114,Paraméterek!$K$114),0,ROUNDDOWN(IF(ISBLANK($AY468),$AX468,$AY468),IF($D$4="Forint",0,2))-$AZ468)</f>
        <v>0</v>
      </c>
      <c r="BB468" s="13">
        <f t="shared" ca="1" si="143"/>
        <v>0</v>
      </c>
      <c r="BD468" s="32">
        <v>449</v>
      </c>
      <c r="BE468" s="32">
        <v>38</v>
      </c>
      <c r="BF468" s="32">
        <v>5</v>
      </c>
      <c r="BG468" s="34">
        <f t="shared" ca="1" si="152"/>
        <v>2056</v>
      </c>
      <c r="BH468" s="32" t="str">
        <f ca="1">IF(MOD(MONTH($D$14)+$BD468-1,12)=Paraméterek!$C$288,"Igen","")</f>
        <v/>
      </c>
      <c r="BI468" s="13">
        <f ca="1">IF($BH468="Igen",MIN(ROUNDDOWN((SUMIF($BG$20:$BG$1027,$BG468-1,$K$20:$K$1027)-SUMIF($BG$20:$BG$1027,$BG468-1,$I$20:$I$1027))*Paraméterek!$C$289,IF($D$4="Forint",0,2)),IF($D$4="Forint",Paraméterek!$C$285,Paraméterek!$D$285)),0)</f>
        <v>0</v>
      </c>
      <c r="BJ468" s="13">
        <f t="shared" ca="1" si="144"/>
        <v>0</v>
      </c>
      <c r="BK468" s="13">
        <f t="shared" ca="1" si="153"/>
        <v>0</v>
      </c>
      <c r="BL468" s="33"/>
      <c r="BM468" s="13">
        <f t="shared" ca="1" si="145"/>
        <v>0</v>
      </c>
      <c r="BN468" s="13">
        <f ca="1">ROUNDUP(($BK468+$BM468)*VLOOKUP($BE468,Paraméterek!$P$38:$Q$38,2)/12*IF($D469="Nem",IF($M$13=0,1,$M$13),1),IF($D$4="Forint",0,2))</f>
        <v>0</v>
      </c>
      <c r="BO468" s="13">
        <f t="shared" ca="1" si="146"/>
        <v>0</v>
      </c>
      <c r="BP468" s="13">
        <f ca="1">IF($D469="Nem",$BO468,$BO468-ROUNDUP(SUM($BI$20:$BI468)*120%,IF($D$4="Forint",0,2)))</f>
        <v>0</v>
      </c>
    </row>
    <row r="469" spans="1:68" x14ac:dyDescent="0.2">
      <c r="A469" s="32">
        <v>450</v>
      </c>
      <c r="B469" s="32">
        <v>38</v>
      </c>
      <c r="C469" s="32">
        <v>6</v>
      </c>
      <c r="D469" s="32" t="str">
        <f t="shared" ref="D469:D532" ca="1" si="154">IF($B469&lt;$M$11+1,"Igen",IF($B469&gt;$M$11+1,"Nem",IF($C469&lt;=$M$12+IF($M$13&gt;0,1,0),"Igen","Nem")))</f>
        <v>Nem</v>
      </c>
      <c r="E469" s="13">
        <f t="shared" ref="E469:E532" ca="1" si="155">IF($D469="Igen",IF($D$2="Egyszeri",IF($A469=1,$D$7,0),ROUNDUP(IF($D$2="Havi",$D$7,IF(MOD($C469,$M$1)-1=0,$D$7,0))*(1+$D$6)^($B469-1),IF($D$4="Forint",0,2))),0)</f>
        <v>0</v>
      </c>
      <c r="F469" s="13"/>
      <c r="G469" s="13"/>
      <c r="H469" s="13"/>
      <c r="I469" s="13">
        <f t="shared" ref="I469:I532" ca="1" si="156">ROUNDUP(IF(AND($D$8="Nincs",$D$2&lt;&gt;"Egyszeri"),$E469*10%,0),IF($D$4="Forint",0,2))</f>
        <v>0</v>
      </c>
      <c r="J469" s="13">
        <f t="shared" ref="J469:J532" ca="1" si="157">IF($D469="Igen",IF($D$2="Egyszeri",IF($A469=1,$M$3,0),ROUNDUP(IF($D$2="Havi",$M$3,IF(MOD($C469,$M$1)-1=0,$M$3,0))*(1+$M$2)^($B469-1),IF($D$4="Forint",0,2))),0)</f>
        <v>0</v>
      </c>
      <c r="K469" s="13">
        <f t="shared" ref="K469:K532" ca="1" si="158">IF($D469="Igen",IF(ISBLANK($F469),$E469,$F469)+IF(ISBLANK($H469),$G469,$H469)+$I469+$J469,0)</f>
        <v>0</v>
      </c>
      <c r="L469" s="13" t="e">
        <f ca="1">ROUNDUP(IF($D$2="Egyszeri",$E469,IF($D$2="Havi",SUM($E$20:$E$31),IF(MOD($C469,$M$1)-1=0,SUM($E$20:$E$31),0))/12*$M$1)*VLOOKUP($B469,Paraméterek!$I$28:$P$31,IF($D$2="Egyszeri",8,HLOOKUP(ROUNDUP($M$11+$M$13,0),Paraméterek!$J$26:$O$27,2))),IF($D$4="Forint",0,2))</f>
        <v>#N/A</v>
      </c>
      <c r="M469" s="13">
        <f t="shared" ref="M469:M532" ca="1" si="159">IF($D469="Igen",$E469-$L469+IF(ISBLANK($H469),$G469,$H469),0)</f>
        <v>0</v>
      </c>
      <c r="N469" s="13">
        <f t="shared" ca="1" si="147"/>
        <v>0</v>
      </c>
      <c r="O469" s="13">
        <f ca="1">IF($D469="Igen",IF($W468&gt;=IF($D$4="Forint",Paraméterek!$J$121,Paraméterek!$K$121),0,IF($D$4="Forint",Paraméterek!$J$121,Paraméterek!$K$121)-$W468),0)</f>
        <v>0</v>
      </c>
      <c r="P469" s="13" t="e">
        <f ca="1">ROUNDUP($O469*VLOOKUP($M$4+$B469-1,Paraméterek!$H$58:$I$105,2,0)/Paraméterek!$I$56,IF($D$4="Forint",0,2))</f>
        <v>#N/A</v>
      </c>
      <c r="Q469" s="13">
        <f t="shared" ref="Q469:Q532" ca="1" si="160">IF($D469="Igen",ROUNDUP($M$5*(1+$M$2)^($B469-1),IF($D$4="Forint",0,2)),0)</f>
        <v>0</v>
      </c>
      <c r="R469" s="33"/>
      <c r="S469" s="13" t="e">
        <f t="shared" ref="S469:S532" ca="1" si="161">ROUNDDOWN(($N469-$P469-$Q469)*IF(ISBLANK($R469),$M$6,$R469)*IF($D470="Nem",IF($M$13=0,1,$M$13),1),IF($D$4="Forint",0,2))</f>
        <v>#N/A</v>
      </c>
      <c r="T469" s="13" t="e">
        <f ca="1">ROUNDUP(($N469-$P469-$Q469+$S469)*VLOOKUP($B469,Paraméterek!$I$38:$K$39,IF($D$2="Egyszeri",3,2))/12*IF($D470="Nem",IF($M$13=0,1,$M$13),1),IF($D$4="Forint",0,2))</f>
        <v>#N/A</v>
      </c>
      <c r="U469" s="13"/>
      <c r="V469" s="13"/>
      <c r="W469" s="13" t="e">
        <f ca="1">$N469-$P469-$Q469+$S469-$T469-IF(ROUNDUP(IF(ISBLANK($V469),$U469*0,$V469)/IF($D$2="Egyszeri",VLOOKUP($B469+IF($C469=12,1,0),Paraméterek!$V$257:$W$262,2),IF($B469=1,1,VLOOKUP($B469+IF($C469=12,1,0),Paraméterek!$I$258:$T$278,HLOOKUP($M$11+1,Paraméterek!$J$256:$T$257,2)))),IF($D$4="Forint",0,2))&gt;$N469-$P469-$Q469+$S469-$T469-IF($D$4="Forint",Paraméterek!$C$216,Paraméterek!$D$216),0,ROUNDUP(IF(ISBLANK($V469),$U469*0,$V469)/IF($D$2="Egyszeri",VLOOKUP($B469+IF($C469=12,1,0),Paraméterek!$V$257:$W$262,2),IF($B469=1,1,VLOOKUP($B469+IF($C469=12,1,0),Paraméterek!$I$258:$T$278,HLOOKUP($M$11+1,Paraméterek!$J$256:$T$257,2)))),IF($D$4="Forint",0,2)))</f>
        <v>#N/A</v>
      </c>
      <c r="X469" s="13" t="e">
        <f ca="1">ROUNDDOWN($W469*IF($D$2="Egyszeri",VLOOKUP($B469+IF($C469=12,1,0),Paraméterek!$V$257:$W$262,2),VLOOKUP($B469+IF($C469=12,1,0),Paraméterek!$I$258:$T$278,HLOOKUP($M$11+1,Paraméterek!$I$256:$T$257,2))),IF($D$4="Forint",0,2))</f>
        <v>#N/A</v>
      </c>
      <c r="Z469" s="32">
        <v>450</v>
      </c>
      <c r="AA469" s="32">
        <v>38</v>
      </c>
      <c r="AB469" s="32">
        <v>6</v>
      </c>
      <c r="AC469" s="13">
        <f t="shared" ca="1" si="148"/>
        <v>0</v>
      </c>
      <c r="AD469" s="33"/>
      <c r="AE469" s="13">
        <f t="shared" ref="AE469:AE532" ca="1" si="162">ROUNDDOWN($AC469*IF(ISBLANK($AD469),$M$8,$AD469)*IF($D470="Nem",IF($M$13=0,1,$M$13),1),IF($D$4="Forint",0,2))</f>
        <v>0</v>
      </c>
      <c r="AF469" s="13">
        <f ca="1">ROUNDUP(($AC469+$AE469)*VLOOKUP($AA469,Paraméterek!$P$38:$Q$38,2)/12*IF($D470="Nem",IF($M$13=0,1,$M$13),1),IF($D$4="Forint",0,2))</f>
        <v>0</v>
      </c>
      <c r="AG469" s="13">
        <f ca="1">IF($D$2="Egyszeri",IF($D$7&gt;=IF($D$4="Forint",Paraméterek!$P$223,Paraméterek!$P$224),$D$7-IF($D$4="Forint",Paraméterek!$P$223,Paraméterek!$P$224),0),MIN(IF($AB469=12,AVERAGEIF($E$20:$E469,"&gt;0",$E$20:$E469)*12,0),SUM($E$20:$E$31)))</f>
        <v>0</v>
      </c>
      <c r="AH469" s="13">
        <f>IF($AA469=10,$AG469*IF($AB469=12,IF($AG469&lt;IF($D$4="Forint",Paraméterek!$L$223,Paraméterek!$L$224),0,VLOOKUP($AA469,Paraméterek!$K$226:$M$228,IF($AG469&lt;IF($D$4="Forint",Paraméterek!$M$223,Paraméterek!$M$224),2,3))),0),0)</f>
        <v>0</v>
      </c>
      <c r="AI469" s="13">
        <f ca="1">IF(AND($AA469=$M$11+1,$AB469=$M$12+1),SUMIF($AA$20:$AA$1027,$AA469,$AG$20:$AG$1027)*IF(SUMIF($AA$20:$AA$1027,$AA469,$AG$20:$AG$1027)&lt;IF($D$4="Forint",Paraméterek!$L$223,Paraméterek!$L$224),0,VLOOKUP($AA469,Paraméterek!$K$230:$M$250,IF(SUMIF($AA$20:$AA$1027,$AA469,$AG$20:$AG$1027)&lt;IF($D$4="Forint",Paraméterek!$M$223,Paraméterek!$M$224),2,3))),0)</f>
        <v>0</v>
      </c>
      <c r="AJ469" s="13">
        <f ca="1">IF(AND($AA469&gt;=5,MOD($AA469,5)=0),IF($AB469=12,VLOOKUP($AA469,Paraméterek!$O$225:$P$240,2),0),IF(OR($AA469=3,$AA469=4),IF($AB469=12,VLOOKUP($AA469,Paraméterek!$O$225:$P$240,2,0),0),0))*$AG469</f>
        <v>0</v>
      </c>
      <c r="AK469" s="13">
        <f t="shared" ref="AK469:AK532" ca="1" si="163">ROUNDDOWN(IF($D$2="Egyszeri",$AJ469,$AH469+$AI469),IF($D$4="Forint",0,2))</f>
        <v>0</v>
      </c>
      <c r="AL469" s="13">
        <f t="shared" ca="1" si="149"/>
        <v>0</v>
      </c>
      <c r="AM469" s="13">
        <f t="shared" ca="1" si="150"/>
        <v>0</v>
      </c>
      <c r="AO469" s="32">
        <v>450</v>
      </c>
      <c r="AP469" s="32">
        <v>38</v>
      </c>
      <c r="AQ469" s="32">
        <v>6</v>
      </c>
      <c r="AR469" s="13"/>
      <c r="AS469" s="32"/>
      <c r="AT469" s="13">
        <f t="shared" ca="1" si="151"/>
        <v>0</v>
      </c>
      <c r="AU469" s="33"/>
      <c r="AV469" s="13">
        <f t="shared" ref="AV469:AV532" ca="1" si="164">ROUNDDOWN($AT469*IF(ISBLANK($AU469),$M$7,$AU469)*IF($D470="Nem",IF($M$13=0,1,$M$13),1),IF($D$4="Forint",0,2))</f>
        <v>0</v>
      </c>
      <c r="AW469" s="13">
        <f ca="1">ROUNDUP(($AT469+$AV469)*VLOOKUP($AP469,Paraméterek!$P$38:$Q$38,2)/12*IF($D470="Nem",IF($M$13=0,1,$M$13),1),IF($D$4="Forint",0,2))</f>
        <v>0</v>
      </c>
      <c r="AX469" s="13"/>
      <c r="AY469" s="13"/>
      <c r="AZ469" s="13">
        <f>ROUNDUP(IF(SUM($AX469:$AY469)=0,0,IF(IF(ISBLANK($AY469),$AX469,$AY469)*Paraméterek!$J$112&lt;IF($D$4="Forint",Paraméterek!$J$113,Paraméterek!$K$113),IF($D$4="Forint",Paraméterek!$J$113,Paraméterek!$K$113),IF(IF(ISBLANK($AY469),$AX469,$AY469)*Paraméterek!$J$112&gt;IF($D$4="Forint",Paraméterek!$J$114,Paraméterek!$K$114),IF($D$4="Forint",Paraméterek!$J$114,Paraméterek!$K$114),IF(ISBLANK($AY469),$AX469,$AY469)*Paraméterek!$J$112))),IF($D$4="Forint",0,2))</f>
        <v>0</v>
      </c>
      <c r="BA469" s="13">
        <f ca="1">$AT469+$AV469-$AW469-IF(ROUNDDOWN(IF(ISBLANK($AY469),$AX469,$AY469),IF($D$4="Forint",0,2))&gt;$AT469+$AV469-$AW469-IF($D$4="Forint",Paraméterek!$J$114,Paraméterek!$K$114),0,ROUNDDOWN(IF(ISBLANK($AY469),$AX469,$AY469),IF($D$4="Forint",0,2))-$AZ469)</f>
        <v>0</v>
      </c>
      <c r="BB469" s="13">
        <f t="shared" ref="BB469:BB532" ca="1" si="165">$BA469</f>
        <v>0</v>
      </c>
      <c r="BD469" s="32">
        <v>450</v>
      </c>
      <c r="BE469" s="32">
        <v>38</v>
      </c>
      <c r="BF469" s="32">
        <v>6</v>
      </c>
      <c r="BG469" s="34">
        <f t="shared" ca="1" si="152"/>
        <v>2056</v>
      </c>
      <c r="BH469" s="32" t="str">
        <f ca="1">IF(MOD(MONTH($D$14)+$BD469-1,12)=Paraméterek!$C$288,"Igen","")</f>
        <v/>
      </c>
      <c r="BI469" s="13">
        <f ca="1">IF($BH469="Igen",MIN(ROUNDDOWN((SUMIF($BG$20:$BG$1027,$BG469-1,$K$20:$K$1027)-SUMIF($BG$20:$BG$1027,$BG469-1,$I$20:$I$1027))*Paraméterek!$C$289,IF($D$4="Forint",0,2)),IF($D$4="Forint",Paraméterek!$C$285,Paraméterek!$D$285)),0)</f>
        <v>0</v>
      </c>
      <c r="BJ469" s="13">
        <f t="shared" ref="BJ469:BJ532" ca="1" si="166">IF(AND($D469="Igen",$BH469="Igen"),$BI469,0)</f>
        <v>0</v>
      </c>
      <c r="BK469" s="13">
        <f t="shared" ca="1" si="153"/>
        <v>0</v>
      </c>
      <c r="BL469" s="33"/>
      <c r="BM469" s="13">
        <f t="shared" ref="BM469:BM532" ca="1" si="167">ROUNDDOWN($BK469*IF(ISBLANK($BL469),$M$9,$BL469)*IF($D470="Nem",IF($M$13=0,1,$M$13),1),IF($D$4="Forint",0,2))</f>
        <v>0</v>
      </c>
      <c r="BN469" s="13">
        <f ca="1">ROUNDUP(($BK469+$BM469)*VLOOKUP($BE469,Paraméterek!$P$38:$Q$38,2)/12*IF($D470="Nem",IF($M$13=0,1,$M$13),1),IF($D$4="Forint",0,2))</f>
        <v>0</v>
      </c>
      <c r="BO469" s="13">
        <f t="shared" ref="BO469:BO532" ca="1" si="168">$BK469+$BM469-$BN469</f>
        <v>0</v>
      </c>
      <c r="BP469" s="13">
        <f ca="1">IF($D470="Nem",$BO469,$BO469-ROUNDUP(SUM($BI$20:$BI469)*120%,IF($D$4="Forint",0,2)))</f>
        <v>0</v>
      </c>
    </row>
    <row r="470" spans="1:68" x14ac:dyDescent="0.2">
      <c r="A470" s="32">
        <v>451</v>
      </c>
      <c r="B470" s="32">
        <v>38</v>
      </c>
      <c r="C470" s="32">
        <v>7</v>
      </c>
      <c r="D470" s="32" t="str">
        <f t="shared" ca="1" si="154"/>
        <v>Nem</v>
      </c>
      <c r="E470" s="13">
        <f t="shared" ca="1" si="155"/>
        <v>0</v>
      </c>
      <c r="F470" s="13"/>
      <c r="G470" s="13"/>
      <c r="H470" s="13"/>
      <c r="I470" s="13">
        <f t="shared" ca="1" si="156"/>
        <v>0</v>
      </c>
      <c r="J470" s="13">
        <f t="shared" ca="1" si="157"/>
        <v>0</v>
      </c>
      <c r="K470" s="13">
        <f t="shared" ca="1" si="158"/>
        <v>0</v>
      </c>
      <c r="L470" s="13" t="e">
        <f ca="1">ROUNDUP(IF($D$2="Egyszeri",$E470,IF($D$2="Havi",SUM($E$20:$E$31),IF(MOD($C470,$M$1)-1=0,SUM($E$20:$E$31),0))/12*$M$1)*VLOOKUP($B470,Paraméterek!$I$28:$P$31,IF($D$2="Egyszeri",8,HLOOKUP(ROUNDUP($M$11+$M$13,0),Paraméterek!$J$26:$O$27,2))),IF($D$4="Forint",0,2))</f>
        <v>#N/A</v>
      </c>
      <c r="M470" s="13">
        <f t="shared" ca="1" si="159"/>
        <v>0</v>
      </c>
      <c r="N470" s="13">
        <f t="shared" ref="N470:N533" ca="1" si="169">IF($D470="Igen",$M470+$W469,0)</f>
        <v>0</v>
      </c>
      <c r="O470" s="13">
        <f ca="1">IF($D470="Igen",IF($W469&gt;=IF($D$4="Forint",Paraméterek!$J$121,Paraméterek!$K$121),0,IF($D$4="Forint",Paraméterek!$J$121,Paraméterek!$K$121)-$W469),0)</f>
        <v>0</v>
      </c>
      <c r="P470" s="13" t="e">
        <f ca="1">ROUNDUP($O470*VLOOKUP($M$4+$B470-1,Paraméterek!$H$58:$I$105,2,0)/Paraméterek!$I$56,IF($D$4="Forint",0,2))</f>
        <v>#N/A</v>
      </c>
      <c r="Q470" s="13">
        <f t="shared" ca="1" si="160"/>
        <v>0</v>
      </c>
      <c r="R470" s="33"/>
      <c r="S470" s="13" t="e">
        <f t="shared" ca="1" si="161"/>
        <v>#N/A</v>
      </c>
      <c r="T470" s="13" t="e">
        <f ca="1">ROUNDUP(($N470-$P470-$Q470+$S470)*VLOOKUP($B470,Paraméterek!$I$38:$K$39,IF($D$2="Egyszeri",3,2))/12*IF($D471="Nem",IF($M$13=0,1,$M$13),1),IF($D$4="Forint",0,2))</f>
        <v>#N/A</v>
      </c>
      <c r="U470" s="13"/>
      <c r="V470" s="13"/>
      <c r="W470" s="13" t="e">
        <f ca="1">$N470-$P470-$Q470+$S470-$T470-IF(ROUNDUP(IF(ISBLANK($V470),$U470*0,$V470)/IF($D$2="Egyszeri",VLOOKUP($B470+IF($C470=12,1,0),Paraméterek!$V$257:$W$262,2),IF($B470=1,1,VLOOKUP($B470+IF($C470=12,1,0),Paraméterek!$I$258:$T$278,HLOOKUP($M$11+1,Paraméterek!$J$256:$T$257,2)))),IF($D$4="Forint",0,2))&gt;$N470-$P470-$Q470+$S470-$T470-IF($D$4="Forint",Paraméterek!$C$216,Paraméterek!$D$216),0,ROUNDUP(IF(ISBLANK($V470),$U470*0,$V470)/IF($D$2="Egyszeri",VLOOKUP($B470+IF($C470=12,1,0),Paraméterek!$V$257:$W$262,2),IF($B470=1,1,VLOOKUP($B470+IF($C470=12,1,0),Paraméterek!$I$258:$T$278,HLOOKUP($M$11+1,Paraméterek!$J$256:$T$257,2)))),IF($D$4="Forint",0,2)))</f>
        <v>#N/A</v>
      </c>
      <c r="X470" s="13" t="e">
        <f ca="1">ROUNDDOWN($W470*IF($D$2="Egyszeri",VLOOKUP($B470+IF($C470=12,1,0),Paraméterek!$V$257:$W$262,2),VLOOKUP($B470+IF($C470=12,1,0),Paraméterek!$I$258:$T$278,HLOOKUP($M$11+1,Paraméterek!$I$256:$T$257,2))),IF($D$4="Forint",0,2))</f>
        <v>#N/A</v>
      </c>
      <c r="Z470" s="32">
        <v>451</v>
      </c>
      <c r="AA470" s="32">
        <v>38</v>
      </c>
      <c r="AB470" s="32">
        <v>7</v>
      </c>
      <c r="AC470" s="13">
        <f t="shared" ref="AC470:AC533" ca="1" si="170">IF($D470="Igen",$AL469,0)</f>
        <v>0</v>
      </c>
      <c r="AD470" s="33"/>
      <c r="AE470" s="13">
        <f t="shared" ca="1" si="162"/>
        <v>0</v>
      </c>
      <c r="AF470" s="13">
        <f ca="1">ROUNDUP(($AC470+$AE470)*VLOOKUP($AA470,Paraméterek!$P$38:$Q$38,2)/12*IF($D471="Nem",IF($M$13=0,1,$M$13),1),IF($D$4="Forint",0,2))</f>
        <v>0</v>
      </c>
      <c r="AG470" s="13">
        <f ca="1">IF($D$2="Egyszeri",IF($D$7&gt;=IF($D$4="Forint",Paraméterek!$P$223,Paraméterek!$P$224),$D$7-IF($D$4="Forint",Paraméterek!$P$223,Paraméterek!$P$224),0),MIN(IF($AB470=12,AVERAGEIF($E$20:$E470,"&gt;0",$E$20:$E470)*12,0),SUM($E$20:$E$31)))</f>
        <v>0</v>
      </c>
      <c r="AH470" s="13">
        <f>IF($AA470=10,$AG470*IF($AB470=12,IF($AG470&lt;IF($D$4="Forint",Paraméterek!$L$223,Paraméterek!$L$224),0,VLOOKUP($AA470,Paraméterek!$K$226:$M$228,IF($AG470&lt;IF($D$4="Forint",Paraméterek!$M$223,Paraméterek!$M$224),2,3))),0),0)</f>
        <v>0</v>
      </c>
      <c r="AI470" s="13">
        <f ca="1">IF(AND($AA470=$M$11+1,$AB470=$M$12+1),SUMIF($AA$20:$AA$1027,$AA470,$AG$20:$AG$1027)*IF(SUMIF($AA$20:$AA$1027,$AA470,$AG$20:$AG$1027)&lt;IF($D$4="Forint",Paraméterek!$L$223,Paraméterek!$L$224),0,VLOOKUP($AA470,Paraméterek!$K$230:$M$250,IF(SUMIF($AA$20:$AA$1027,$AA470,$AG$20:$AG$1027)&lt;IF($D$4="Forint",Paraméterek!$M$223,Paraméterek!$M$224),2,3))),0)</f>
        <v>0</v>
      </c>
      <c r="AJ470" s="13">
        <f ca="1">IF(AND($AA470&gt;=5,MOD($AA470,5)=0),IF($AB470=12,VLOOKUP($AA470,Paraméterek!$O$225:$P$240,2),0),IF(OR($AA470=3,$AA470=4),IF($AB470=12,VLOOKUP($AA470,Paraméterek!$O$225:$P$240,2,0),0),0))*$AG470</f>
        <v>0</v>
      </c>
      <c r="AK470" s="13">
        <f t="shared" ca="1" si="163"/>
        <v>0</v>
      </c>
      <c r="AL470" s="13">
        <f t="shared" ref="AL470:AL533" ca="1" si="171">$AC470+$AE470-$AF470+$AK470</f>
        <v>0</v>
      </c>
      <c r="AM470" s="13">
        <f t="shared" ref="AM470:AM533" ca="1" si="172">$AL470</f>
        <v>0</v>
      </c>
      <c r="AO470" s="32">
        <v>451</v>
      </c>
      <c r="AP470" s="32">
        <v>38</v>
      </c>
      <c r="AQ470" s="32">
        <v>7</v>
      </c>
      <c r="AR470" s="13"/>
      <c r="AS470" s="32"/>
      <c r="AT470" s="13">
        <f t="shared" ref="AT470:AT533" ca="1" si="173">IF($D470="Igen",IF(ISBLANK($AS470),$AR470,$AS470)+$BA469,0)</f>
        <v>0</v>
      </c>
      <c r="AU470" s="33"/>
      <c r="AV470" s="13">
        <f t="shared" ca="1" si="164"/>
        <v>0</v>
      </c>
      <c r="AW470" s="13">
        <f ca="1">ROUNDUP(($AT470+$AV470)*VLOOKUP($AP470,Paraméterek!$P$38:$Q$38,2)/12*IF($D471="Nem",IF($M$13=0,1,$M$13),1),IF($D$4="Forint",0,2))</f>
        <v>0</v>
      </c>
      <c r="AX470" s="13"/>
      <c r="AY470" s="13"/>
      <c r="AZ470" s="13">
        <f>ROUNDUP(IF(SUM($AX470:$AY470)=0,0,IF(IF(ISBLANK($AY470),$AX470,$AY470)*Paraméterek!$J$112&lt;IF($D$4="Forint",Paraméterek!$J$113,Paraméterek!$K$113),IF($D$4="Forint",Paraméterek!$J$113,Paraméterek!$K$113),IF(IF(ISBLANK($AY470),$AX470,$AY470)*Paraméterek!$J$112&gt;IF($D$4="Forint",Paraméterek!$J$114,Paraméterek!$K$114),IF($D$4="Forint",Paraméterek!$J$114,Paraméterek!$K$114),IF(ISBLANK($AY470),$AX470,$AY470)*Paraméterek!$J$112))),IF($D$4="Forint",0,2))</f>
        <v>0</v>
      </c>
      <c r="BA470" s="13">
        <f ca="1">$AT470+$AV470-$AW470-IF(ROUNDDOWN(IF(ISBLANK($AY470),$AX470,$AY470),IF($D$4="Forint",0,2))&gt;$AT470+$AV470-$AW470-IF($D$4="Forint",Paraméterek!$J$114,Paraméterek!$K$114),0,ROUNDDOWN(IF(ISBLANK($AY470),$AX470,$AY470),IF($D$4="Forint",0,2))-$AZ470)</f>
        <v>0</v>
      </c>
      <c r="BB470" s="13">
        <f t="shared" ca="1" si="165"/>
        <v>0</v>
      </c>
      <c r="BD470" s="32">
        <v>451</v>
      </c>
      <c r="BE470" s="32">
        <v>38</v>
      </c>
      <c r="BF470" s="32">
        <v>7</v>
      </c>
      <c r="BG470" s="34">
        <f t="shared" ref="BG470:BG533" ca="1" si="174">$BG469+IF(MOD(MONTH($D$14)+$BD470-1,12)=1,1,0)</f>
        <v>2056</v>
      </c>
      <c r="BH470" s="32" t="str">
        <f ca="1">IF(MOD(MONTH($D$14)+$BD470-1,12)=Paraméterek!$C$288,"Igen","")</f>
        <v/>
      </c>
      <c r="BI470" s="13">
        <f ca="1">IF($BH470="Igen",MIN(ROUNDDOWN((SUMIF($BG$20:$BG$1027,$BG470-1,$K$20:$K$1027)-SUMIF($BG$20:$BG$1027,$BG470-1,$I$20:$I$1027))*Paraméterek!$C$289,IF($D$4="Forint",0,2)),IF($D$4="Forint",Paraméterek!$C$285,Paraméterek!$D$285)),0)</f>
        <v>0</v>
      </c>
      <c r="BJ470" s="13">
        <f t="shared" ca="1" si="166"/>
        <v>0</v>
      </c>
      <c r="BK470" s="13">
        <f t="shared" ref="BK470:BK533" ca="1" si="175">$BJ470+IF($D470="Igen",$BO469,0)</f>
        <v>0</v>
      </c>
      <c r="BL470" s="33"/>
      <c r="BM470" s="13">
        <f t="shared" ca="1" si="167"/>
        <v>0</v>
      </c>
      <c r="BN470" s="13">
        <f ca="1">ROUNDUP(($BK470+$BM470)*VLOOKUP($BE470,Paraméterek!$P$38:$Q$38,2)/12*IF($D471="Nem",IF($M$13=0,1,$M$13),1),IF($D$4="Forint",0,2))</f>
        <v>0</v>
      </c>
      <c r="BO470" s="13">
        <f t="shared" ca="1" si="168"/>
        <v>0</v>
      </c>
      <c r="BP470" s="13">
        <f ca="1">IF($D471="Nem",$BO470,$BO470-ROUNDUP(SUM($BI$20:$BI470)*120%,IF($D$4="Forint",0,2)))</f>
        <v>0</v>
      </c>
    </row>
    <row r="471" spans="1:68" x14ac:dyDescent="0.2">
      <c r="A471" s="32">
        <v>452</v>
      </c>
      <c r="B471" s="32">
        <v>38</v>
      </c>
      <c r="C471" s="32">
        <v>8</v>
      </c>
      <c r="D471" s="32" t="str">
        <f t="shared" ca="1" si="154"/>
        <v>Nem</v>
      </c>
      <c r="E471" s="13">
        <f t="shared" ca="1" si="155"/>
        <v>0</v>
      </c>
      <c r="F471" s="13"/>
      <c r="G471" s="13"/>
      <c r="H471" s="13"/>
      <c r="I471" s="13">
        <f t="shared" ca="1" si="156"/>
        <v>0</v>
      </c>
      <c r="J471" s="13">
        <f t="shared" ca="1" si="157"/>
        <v>0</v>
      </c>
      <c r="K471" s="13">
        <f t="shared" ca="1" si="158"/>
        <v>0</v>
      </c>
      <c r="L471" s="13" t="e">
        <f ca="1">ROUNDUP(IF($D$2="Egyszeri",$E471,IF($D$2="Havi",SUM($E$20:$E$31),IF(MOD($C471,$M$1)-1=0,SUM($E$20:$E$31),0))/12*$M$1)*VLOOKUP($B471,Paraméterek!$I$28:$P$31,IF($D$2="Egyszeri",8,HLOOKUP(ROUNDUP($M$11+$M$13,0),Paraméterek!$J$26:$O$27,2))),IF($D$4="Forint",0,2))</f>
        <v>#N/A</v>
      </c>
      <c r="M471" s="13">
        <f t="shared" ca="1" si="159"/>
        <v>0</v>
      </c>
      <c r="N471" s="13">
        <f t="shared" ca="1" si="169"/>
        <v>0</v>
      </c>
      <c r="O471" s="13">
        <f ca="1">IF($D471="Igen",IF($W470&gt;=IF($D$4="Forint",Paraméterek!$J$121,Paraméterek!$K$121),0,IF($D$4="Forint",Paraméterek!$J$121,Paraméterek!$K$121)-$W470),0)</f>
        <v>0</v>
      </c>
      <c r="P471" s="13" t="e">
        <f ca="1">ROUNDUP($O471*VLOOKUP($M$4+$B471-1,Paraméterek!$H$58:$I$105,2,0)/Paraméterek!$I$56,IF($D$4="Forint",0,2))</f>
        <v>#N/A</v>
      </c>
      <c r="Q471" s="13">
        <f t="shared" ca="1" si="160"/>
        <v>0</v>
      </c>
      <c r="R471" s="33"/>
      <c r="S471" s="13" t="e">
        <f t="shared" ca="1" si="161"/>
        <v>#N/A</v>
      </c>
      <c r="T471" s="13" t="e">
        <f ca="1">ROUNDUP(($N471-$P471-$Q471+$S471)*VLOOKUP($B471,Paraméterek!$I$38:$K$39,IF($D$2="Egyszeri",3,2))/12*IF($D472="Nem",IF($M$13=0,1,$M$13),1),IF($D$4="Forint",0,2))</f>
        <v>#N/A</v>
      </c>
      <c r="U471" s="13"/>
      <c r="V471" s="13"/>
      <c r="W471" s="13" t="e">
        <f ca="1">$N471-$P471-$Q471+$S471-$T471-IF(ROUNDUP(IF(ISBLANK($V471),$U471*0,$V471)/IF($D$2="Egyszeri",VLOOKUP($B471+IF($C471=12,1,0),Paraméterek!$V$257:$W$262,2),IF($B471=1,1,VLOOKUP($B471+IF($C471=12,1,0),Paraméterek!$I$258:$T$278,HLOOKUP($M$11+1,Paraméterek!$J$256:$T$257,2)))),IF($D$4="Forint",0,2))&gt;$N471-$P471-$Q471+$S471-$T471-IF($D$4="Forint",Paraméterek!$C$216,Paraméterek!$D$216),0,ROUNDUP(IF(ISBLANK($V471),$U471*0,$V471)/IF($D$2="Egyszeri",VLOOKUP($B471+IF($C471=12,1,0),Paraméterek!$V$257:$W$262,2),IF($B471=1,1,VLOOKUP($B471+IF($C471=12,1,0),Paraméterek!$I$258:$T$278,HLOOKUP($M$11+1,Paraméterek!$J$256:$T$257,2)))),IF($D$4="Forint",0,2)))</f>
        <v>#N/A</v>
      </c>
      <c r="X471" s="13" t="e">
        <f ca="1">ROUNDDOWN($W471*IF($D$2="Egyszeri",VLOOKUP($B471+IF($C471=12,1,0),Paraméterek!$V$257:$W$262,2),VLOOKUP($B471+IF($C471=12,1,0),Paraméterek!$I$258:$T$278,HLOOKUP($M$11+1,Paraméterek!$I$256:$T$257,2))),IF($D$4="Forint",0,2))</f>
        <v>#N/A</v>
      </c>
      <c r="Z471" s="32">
        <v>452</v>
      </c>
      <c r="AA471" s="32">
        <v>38</v>
      </c>
      <c r="AB471" s="32">
        <v>8</v>
      </c>
      <c r="AC471" s="13">
        <f t="shared" ca="1" si="170"/>
        <v>0</v>
      </c>
      <c r="AD471" s="33"/>
      <c r="AE471" s="13">
        <f t="shared" ca="1" si="162"/>
        <v>0</v>
      </c>
      <c r="AF471" s="13">
        <f ca="1">ROUNDUP(($AC471+$AE471)*VLOOKUP($AA471,Paraméterek!$P$38:$Q$38,2)/12*IF($D472="Nem",IF($M$13=0,1,$M$13),1),IF($D$4="Forint",0,2))</f>
        <v>0</v>
      </c>
      <c r="AG471" s="13">
        <f ca="1">IF($D$2="Egyszeri",IF($D$7&gt;=IF($D$4="Forint",Paraméterek!$P$223,Paraméterek!$P$224),$D$7-IF($D$4="Forint",Paraméterek!$P$223,Paraméterek!$P$224),0),MIN(IF($AB471=12,AVERAGEIF($E$20:$E471,"&gt;0",$E$20:$E471)*12,0),SUM($E$20:$E$31)))</f>
        <v>0</v>
      </c>
      <c r="AH471" s="13">
        <f>IF($AA471=10,$AG471*IF($AB471=12,IF($AG471&lt;IF($D$4="Forint",Paraméterek!$L$223,Paraméterek!$L$224),0,VLOOKUP($AA471,Paraméterek!$K$226:$M$228,IF($AG471&lt;IF($D$4="Forint",Paraméterek!$M$223,Paraméterek!$M$224),2,3))),0),0)</f>
        <v>0</v>
      </c>
      <c r="AI471" s="13">
        <f ca="1">IF(AND($AA471=$M$11+1,$AB471=$M$12+1),SUMIF($AA$20:$AA$1027,$AA471,$AG$20:$AG$1027)*IF(SUMIF($AA$20:$AA$1027,$AA471,$AG$20:$AG$1027)&lt;IF($D$4="Forint",Paraméterek!$L$223,Paraméterek!$L$224),0,VLOOKUP($AA471,Paraméterek!$K$230:$M$250,IF(SUMIF($AA$20:$AA$1027,$AA471,$AG$20:$AG$1027)&lt;IF($D$4="Forint",Paraméterek!$M$223,Paraméterek!$M$224),2,3))),0)</f>
        <v>0</v>
      </c>
      <c r="AJ471" s="13">
        <f ca="1">IF(AND($AA471&gt;=5,MOD($AA471,5)=0),IF($AB471=12,VLOOKUP($AA471,Paraméterek!$O$225:$P$240,2),0),IF(OR($AA471=3,$AA471=4),IF($AB471=12,VLOOKUP($AA471,Paraméterek!$O$225:$P$240,2,0),0),0))*$AG471</f>
        <v>0</v>
      </c>
      <c r="AK471" s="13">
        <f t="shared" ca="1" si="163"/>
        <v>0</v>
      </c>
      <c r="AL471" s="13">
        <f t="shared" ca="1" si="171"/>
        <v>0</v>
      </c>
      <c r="AM471" s="13">
        <f t="shared" ca="1" si="172"/>
        <v>0</v>
      </c>
      <c r="AO471" s="32">
        <v>452</v>
      </c>
      <c r="AP471" s="32">
        <v>38</v>
      </c>
      <c r="AQ471" s="32">
        <v>8</v>
      </c>
      <c r="AR471" s="13"/>
      <c r="AS471" s="32"/>
      <c r="AT471" s="13">
        <f t="shared" ca="1" si="173"/>
        <v>0</v>
      </c>
      <c r="AU471" s="33"/>
      <c r="AV471" s="13">
        <f t="shared" ca="1" si="164"/>
        <v>0</v>
      </c>
      <c r="AW471" s="13">
        <f ca="1">ROUNDUP(($AT471+$AV471)*VLOOKUP($AP471,Paraméterek!$P$38:$Q$38,2)/12*IF($D472="Nem",IF($M$13=0,1,$M$13),1),IF($D$4="Forint",0,2))</f>
        <v>0</v>
      </c>
      <c r="AX471" s="13"/>
      <c r="AY471" s="13"/>
      <c r="AZ471" s="13">
        <f>ROUNDUP(IF(SUM($AX471:$AY471)=0,0,IF(IF(ISBLANK($AY471),$AX471,$AY471)*Paraméterek!$J$112&lt;IF($D$4="Forint",Paraméterek!$J$113,Paraméterek!$K$113),IF($D$4="Forint",Paraméterek!$J$113,Paraméterek!$K$113),IF(IF(ISBLANK($AY471),$AX471,$AY471)*Paraméterek!$J$112&gt;IF($D$4="Forint",Paraméterek!$J$114,Paraméterek!$K$114),IF($D$4="Forint",Paraméterek!$J$114,Paraméterek!$K$114),IF(ISBLANK($AY471),$AX471,$AY471)*Paraméterek!$J$112))),IF($D$4="Forint",0,2))</f>
        <v>0</v>
      </c>
      <c r="BA471" s="13">
        <f ca="1">$AT471+$AV471-$AW471-IF(ROUNDDOWN(IF(ISBLANK($AY471),$AX471,$AY471),IF($D$4="Forint",0,2))&gt;$AT471+$AV471-$AW471-IF($D$4="Forint",Paraméterek!$J$114,Paraméterek!$K$114),0,ROUNDDOWN(IF(ISBLANK($AY471),$AX471,$AY471),IF($D$4="Forint",0,2))-$AZ471)</f>
        <v>0</v>
      </c>
      <c r="BB471" s="13">
        <f t="shared" ca="1" si="165"/>
        <v>0</v>
      </c>
      <c r="BD471" s="32">
        <v>452</v>
      </c>
      <c r="BE471" s="32">
        <v>38</v>
      </c>
      <c r="BF471" s="32">
        <v>8</v>
      </c>
      <c r="BG471" s="34">
        <f t="shared" ca="1" si="174"/>
        <v>2057</v>
      </c>
      <c r="BH471" s="32" t="str">
        <f ca="1">IF(MOD(MONTH($D$14)+$BD471-1,12)=Paraméterek!$C$288,"Igen","")</f>
        <v/>
      </c>
      <c r="BI471" s="13">
        <f ca="1">IF($BH471="Igen",MIN(ROUNDDOWN((SUMIF($BG$20:$BG$1027,$BG471-1,$K$20:$K$1027)-SUMIF($BG$20:$BG$1027,$BG471-1,$I$20:$I$1027))*Paraméterek!$C$289,IF($D$4="Forint",0,2)),IF($D$4="Forint",Paraméterek!$C$285,Paraméterek!$D$285)),0)</f>
        <v>0</v>
      </c>
      <c r="BJ471" s="13">
        <f t="shared" ca="1" si="166"/>
        <v>0</v>
      </c>
      <c r="BK471" s="13">
        <f t="shared" ca="1" si="175"/>
        <v>0</v>
      </c>
      <c r="BL471" s="33"/>
      <c r="BM471" s="13">
        <f t="shared" ca="1" si="167"/>
        <v>0</v>
      </c>
      <c r="BN471" s="13">
        <f ca="1">ROUNDUP(($BK471+$BM471)*VLOOKUP($BE471,Paraméterek!$P$38:$Q$38,2)/12*IF($D472="Nem",IF($M$13=0,1,$M$13),1),IF($D$4="Forint",0,2))</f>
        <v>0</v>
      </c>
      <c r="BO471" s="13">
        <f t="shared" ca="1" si="168"/>
        <v>0</v>
      </c>
      <c r="BP471" s="13">
        <f ca="1">IF($D472="Nem",$BO471,$BO471-ROUNDUP(SUM($BI$20:$BI471)*120%,IF($D$4="Forint",0,2)))</f>
        <v>0</v>
      </c>
    </row>
    <row r="472" spans="1:68" x14ac:dyDescent="0.2">
      <c r="A472" s="32">
        <v>453</v>
      </c>
      <c r="B472" s="32">
        <v>38</v>
      </c>
      <c r="C472" s="32">
        <v>9</v>
      </c>
      <c r="D472" s="32" t="str">
        <f t="shared" ca="1" si="154"/>
        <v>Nem</v>
      </c>
      <c r="E472" s="13">
        <f t="shared" ca="1" si="155"/>
        <v>0</v>
      </c>
      <c r="F472" s="13"/>
      <c r="G472" s="13"/>
      <c r="H472" s="13"/>
      <c r="I472" s="13">
        <f t="shared" ca="1" si="156"/>
        <v>0</v>
      </c>
      <c r="J472" s="13">
        <f t="shared" ca="1" si="157"/>
        <v>0</v>
      </c>
      <c r="K472" s="13">
        <f t="shared" ca="1" si="158"/>
        <v>0</v>
      </c>
      <c r="L472" s="13" t="e">
        <f ca="1">ROUNDUP(IF($D$2="Egyszeri",$E472,IF($D$2="Havi",SUM($E$20:$E$31),IF(MOD($C472,$M$1)-1=0,SUM($E$20:$E$31),0))/12*$M$1)*VLOOKUP($B472,Paraméterek!$I$28:$P$31,IF($D$2="Egyszeri",8,HLOOKUP(ROUNDUP($M$11+$M$13,0),Paraméterek!$J$26:$O$27,2))),IF($D$4="Forint",0,2))</f>
        <v>#N/A</v>
      </c>
      <c r="M472" s="13">
        <f t="shared" ca="1" si="159"/>
        <v>0</v>
      </c>
      <c r="N472" s="13">
        <f t="shared" ca="1" si="169"/>
        <v>0</v>
      </c>
      <c r="O472" s="13">
        <f ca="1">IF($D472="Igen",IF($W471&gt;=IF($D$4="Forint",Paraméterek!$J$121,Paraméterek!$K$121),0,IF($D$4="Forint",Paraméterek!$J$121,Paraméterek!$K$121)-$W471),0)</f>
        <v>0</v>
      </c>
      <c r="P472" s="13" t="e">
        <f ca="1">ROUNDUP($O472*VLOOKUP($M$4+$B472-1,Paraméterek!$H$58:$I$105,2,0)/Paraméterek!$I$56,IF($D$4="Forint",0,2))</f>
        <v>#N/A</v>
      </c>
      <c r="Q472" s="13">
        <f t="shared" ca="1" si="160"/>
        <v>0</v>
      </c>
      <c r="R472" s="33"/>
      <c r="S472" s="13" t="e">
        <f t="shared" ca="1" si="161"/>
        <v>#N/A</v>
      </c>
      <c r="T472" s="13" t="e">
        <f ca="1">ROUNDUP(($N472-$P472-$Q472+$S472)*VLOOKUP($B472,Paraméterek!$I$38:$K$39,IF($D$2="Egyszeri",3,2))/12*IF($D473="Nem",IF($M$13=0,1,$M$13),1),IF($D$4="Forint",0,2))</f>
        <v>#N/A</v>
      </c>
      <c r="U472" s="13"/>
      <c r="V472" s="13"/>
      <c r="W472" s="13" t="e">
        <f ca="1">$N472-$P472-$Q472+$S472-$T472-IF(ROUNDUP(IF(ISBLANK($V472),$U472*0,$V472)/IF($D$2="Egyszeri",VLOOKUP($B472+IF($C472=12,1,0),Paraméterek!$V$257:$W$262,2),IF($B472=1,1,VLOOKUP($B472+IF($C472=12,1,0),Paraméterek!$I$258:$T$278,HLOOKUP($M$11+1,Paraméterek!$J$256:$T$257,2)))),IF($D$4="Forint",0,2))&gt;$N472-$P472-$Q472+$S472-$T472-IF($D$4="Forint",Paraméterek!$C$216,Paraméterek!$D$216),0,ROUNDUP(IF(ISBLANK($V472),$U472*0,$V472)/IF($D$2="Egyszeri",VLOOKUP($B472+IF($C472=12,1,0),Paraméterek!$V$257:$W$262,2),IF($B472=1,1,VLOOKUP($B472+IF($C472=12,1,0),Paraméterek!$I$258:$T$278,HLOOKUP($M$11+1,Paraméterek!$J$256:$T$257,2)))),IF($D$4="Forint",0,2)))</f>
        <v>#N/A</v>
      </c>
      <c r="X472" s="13" t="e">
        <f ca="1">ROUNDDOWN($W472*IF($D$2="Egyszeri",VLOOKUP($B472+IF($C472=12,1,0),Paraméterek!$V$257:$W$262,2),VLOOKUP($B472+IF($C472=12,1,0),Paraméterek!$I$258:$T$278,HLOOKUP($M$11+1,Paraméterek!$I$256:$T$257,2))),IF($D$4="Forint",0,2))</f>
        <v>#N/A</v>
      </c>
      <c r="Z472" s="32">
        <v>453</v>
      </c>
      <c r="AA472" s="32">
        <v>38</v>
      </c>
      <c r="AB472" s="32">
        <v>9</v>
      </c>
      <c r="AC472" s="13">
        <f t="shared" ca="1" si="170"/>
        <v>0</v>
      </c>
      <c r="AD472" s="33"/>
      <c r="AE472" s="13">
        <f t="shared" ca="1" si="162"/>
        <v>0</v>
      </c>
      <c r="AF472" s="13">
        <f ca="1">ROUNDUP(($AC472+$AE472)*VLOOKUP($AA472,Paraméterek!$P$38:$Q$38,2)/12*IF($D473="Nem",IF($M$13=0,1,$M$13),1),IF($D$4="Forint",0,2))</f>
        <v>0</v>
      </c>
      <c r="AG472" s="13">
        <f ca="1">IF($D$2="Egyszeri",IF($D$7&gt;=IF($D$4="Forint",Paraméterek!$P$223,Paraméterek!$P$224),$D$7-IF($D$4="Forint",Paraméterek!$P$223,Paraméterek!$P$224),0),MIN(IF($AB472=12,AVERAGEIF($E$20:$E472,"&gt;0",$E$20:$E472)*12,0),SUM($E$20:$E$31)))</f>
        <v>0</v>
      </c>
      <c r="AH472" s="13">
        <f>IF($AA472=10,$AG472*IF($AB472=12,IF($AG472&lt;IF($D$4="Forint",Paraméterek!$L$223,Paraméterek!$L$224),0,VLOOKUP($AA472,Paraméterek!$K$226:$M$228,IF($AG472&lt;IF($D$4="Forint",Paraméterek!$M$223,Paraméterek!$M$224),2,3))),0),0)</f>
        <v>0</v>
      </c>
      <c r="AI472" s="13">
        <f ca="1">IF(AND($AA472=$M$11+1,$AB472=$M$12+1),SUMIF($AA$20:$AA$1027,$AA472,$AG$20:$AG$1027)*IF(SUMIF($AA$20:$AA$1027,$AA472,$AG$20:$AG$1027)&lt;IF($D$4="Forint",Paraméterek!$L$223,Paraméterek!$L$224),0,VLOOKUP($AA472,Paraméterek!$K$230:$M$250,IF(SUMIF($AA$20:$AA$1027,$AA472,$AG$20:$AG$1027)&lt;IF($D$4="Forint",Paraméterek!$M$223,Paraméterek!$M$224),2,3))),0)</f>
        <v>0</v>
      </c>
      <c r="AJ472" s="13">
        <f ca="1">IF(AND($AA472&gt;=5,MOD($AA472,5)=0),IF($AB472=12,VLOOKUP($AA472,Paraméterek!$O$225:$P$240,2),0),IF(OR($AA472=3,$AA472=4),IF($AB472=12,VLOOKUP($AA472,Paraméterek!$O$225:$P$240,2,0),0),0))*$AG472</f>
        <v>0</v>
      </c>
      <c r="AK472" s="13">
        <f t="shared" ca="1" si="163"/>
        <v>0</v>
      </c>
      <c r="AL472" s="13">
        <f t="shared" ca="1" si="171"/>
        <v>0</v>
      </c>
      <c r="AM472" s="13">
        <f t="shared" ca="1" si="172"/>
        <v>0</v>
      </c>
      <c r="AO472" s="32">
        <v>453</v>
      </c>
      <c r="AP472" s="32">
        <v>38</v>
      </c>
      <c r="AQ472" s="32">
        <v>9</v>
      </c>
      <c r="AR472" s="13"/>
      <c r="AS472" s="32"/>
      <c r="AT472" s="13">
        <f t="shared" ca="1" si="173"/>
        <v>0</v>
      </c>
      <c r="AU472" s="33"/>
      <c r="AV472" s="13">
        <f t="shared" ca="1" si="164"/>
        <v>0</v>
      </c>
      <c r="AW472" s="13">
        <f ca="1">ROUNDUP(($AT472+$AV472)*VLOOKUP($AP472,Paraméterek!$P$38:$Q$38,2)/12*IF($D473="Nem",IF($M$13=0,1,$M$13),1),IF($D$4="Forint",0,2))</f>
        <v>0</v>
      </c>
      <c r="AX472" s="13"/>
      <c r="AY472" s="13"/>
      <c r="AZ472" s="13">
        <f>ROUNDUP(IF(SUM($AX472:$AY472)=0,0,IF(IF(ISBLANK($AY472),$AX472,$AY472)*Paraméterek!$J$112&lt;IF($D$4="Forint",Paraméterek!$J$113,Paraméterek!$K$113),IF($D$4="Forint",Paraméterek!$J$113,Paraméterek!$K$113),IF(IF(ISBLANK($AY472),$AX472,$AY472)*Paraméterek!$J$112&gt;IF($D$4="Forint",Paraméterek!$J$114,Paraméterek!$K$114),IF($D$4="Forint",Paraméterek!$J$114,Paraméterek!$K$114),IF(ISBLANK($AY472),$AX472,$AY472)*Paraméterek!$J$112))),IF($D$4="Forint",0,2))</f>
        <v>0</v>
      </c>
      <c r="BA472" s="13">
        <f ca="1">$AT472+$AV472-$AW472-IF(ROUNDDOWN(IF(ISBLANK($AY472),$AX472,$AY472),IF($D$4="Forint",0,2))&gt;$AT472+$AV472-$AW472-IF($D$4="Forint",Paraméterek!$J$114,Paraméterek!$K$114),0,ROUNDDOWN(IF(ISBLANK($AY472),$AX472,$AY472),IF($D$4="Forint",0,2))-$AZ472)</f>
        <v>0</v>
      </c>
      <c r="BB472" s="13">
        <f t="shared" ca="1" si="165"/>
        <v>0</v>
      </c>
      <c r="BD472" s="32">
        <v>453</v>
      </c>
      <c r="BE472" s="32">
        <v>38</v>
      </c>
      <c r="BF472" s="32">
        <v>9</v>
      </c>
      <c r="BG472" s="34">
        <f t="shared" ca="1" si="174"/>
        <v>2057</v>
      </c>
      <c r="BH472" s="32" t="str">
        <f ca="1">IF(MOD(MONTH($D$14)+$BD472-1,12)=Paraméterek!$C$288,"Igen","")</f>
        <v/>
      </c>
      <c r="BI472" s="13">
        <f ca="1">IF($BH472="Igen",MIN(ROUNDDOWN((SUMIF($BG$20:$BG$1027,$BG472-1,$K$20:$K$1027)-SUMIF($BG$20:$BG$1027,$BG472-1,$I$20:$I$1027))*Paraméterek!$C$289,IF($D$4="Forint",0,2)),IF($D$4="Forint",Paraméterek!$C$285,Paraméterek!$D$285)),0)</f>
        <v>0</v>
      </c>
      <c r="BJ472" s="13">
        <f t="shared" ca="1" si="166"/>
        <v>0</v>
      </c>
      <c r="BK472" s="13">
        <f t="shared" ca="1" si="175"/>
        <v>0</v>
      </c>
      <c r="BL472" s="33"/>
      <c r="BM472" s="13">
        <f t="shared" ca="1" si="167"/>
        <v>0</v>
      </c>
      <c r="BN472" s="13">
        <f ca="1">ROUNDUP(($BK472+$BM472)*VLOOKUP($BE472,Paraméterek!$P$38:$Q$38,2)/12*IF($D473="Nem",IF($M$13=0,1,$M$13),1),IF($D$4="Forint",0,2))</f>
        <v>0</v>
      </c>
      <c r="BO472" s="13">
        <f t="shared" ca="1" si="168"/>
        <v>0</v>
      </c>
      <c r="BP472" s="13">
        <f ca="1">IF($D473="Nem",$BO472,$BO472-ROUNDUP(SUM($BI$20:$BI472)*120%,IF($D$4="Forint",0,2)))</f>
        <v>0</v>
      </c>
    </row>
    <row r="473" spans="1:68" x14ac:dyDescent="0.2">
      <c r="A473" s="32">
        <v>454</v>
      </c>
      <c r="B473" s="32">
        <v>38</v>
      </c>
      <c r="C473" s="32">
        <v>10</v>
      </c>
      <c r="D473" s="32" t="str">
        <f t="shared" ca="1" si="154"/>
        <v>Nem</v>
      </c>
      <c r="E473" s="13">
        <f t="shared" ca="1" si="155"/>
        <v>0</v>
      </c>
      <c r="F473" s="13"/>
      <c r="G473" s="13"/>
      <c r="H473" s="13"/>
      <c r="I473" s="13">
        <f t="shared" ca="1" si="156"/>
        <v>0</v>
      </c>
      <c r="J473" s="13">
        <f t="shared" ca="1" si="157"/>
        <v>0</v>
      </c>
      <c r="K473" s="13">
        <f t="shared" ca="1" si="158"/>
        <v>0</v>
      </c>
      <c r="L473" s="13" t="e">
        <f ca="1">ROUNDUP(IF($D$2="Egyszeri",$E473,IF($D$2="Havi",SUM($E$20:$E$31),IF(MOD($C473,$M$1)-1=0,SUM($E$20:$E$31),0))/12*$M$1)*VLOOKUP($B473,Paraméterek!$I$28:$P$31,IF($D$2="Egyszeri",8,HLOOKUP(ROUNDUP($M$11+$M$13,0),Paraméterek!$J$26:$O$27,2))),IF($D$4="Forint",0,2))</f>
        <v>#N/A</v>
      </c>
      <c r="M473" s="13">
        <f t="shared" ca="1" si="159"/>
        <v>0</v>
      </c>
      <c r="N473" s="13">
        <f t="shared" ca="1" si="169"/>
        <v>0</v>
      </c>
      <c r="O473" s="13">
        <f ca="1">IF($D473="Igen",IF($W472&gt;=IF($D$4="Forint",Paraméterek!$J$121,Paraméterek!$K$121),0,IF($D$4="Forint",Paraméterek!$J$121,Paraméterek!$K$121)-$W472),0)</f>
        <v>0</v>
      </c>
      <c r="P473" s="13" t="e">
        <f ca="1">ROUNDUP($O473*VLOOKUP($M$4+$B473-1,Paraméterek!$H$58:$I$105,2,0)/Paraméterek!$I$56,IF($D$4="Forint",0,2))</f>
        <v>#N/A</v>
      </c>
      <c r="Q473" s="13">
        <f t="shared" ca="1" si="160"/>
        <v>0</v>
      </c>
      <c r="R473" s="33"/>
      <c r="S473" s="13" t="e">
        <f t="shared" ca="1" si="161"/>
        <v>#N/A</v>
      </c>
      <c r="T473" s="13" t="e">
        <f ca="1">ROUNDUP(($N473-$P473-$Q473+$S473)*VLOOKUP($B473,Paraméterek!$I$38:$K$39,IF($D$2="Egyszeri",3,2))/12*IF($D474="Nem",IF($M$13=0,1,$M$13),1),IF($D$4="Forint",0,2))</f>
        <v>#N/A</v>
      </c>
      <c r="U473" s="13"/>
      <c r="V473" s="13"/>
      <c r="W473" s="13" t="e">
        <f ca="1">$N473-$P473-$Q473+$S473-$T473-IF(ROUNDUP(IF(ISBLANK($V473),$U473*0,$V473)/IF($D$2="Egyszeri",VLOOKUP($B473+IF($C473=12,1,0),Paraméterek!$V$257:$W$262,2),IF($B473=1,1,VLOOKUP($B473+IF($C473=12,1,0),Paraméterek!$I$258:$T$278,HLOOKUP($M$11+1,Paraméterek!$J$256:$T$257,2)))),IF($D$4="Forint",0,2))&gt;$N473-$P473-$Q473+$S473-$T473-IF($D$4="Forint",Paraméterek!$C$216,Paraméterek!$D$216),0,ROUNDUP(IF(ISBLANK($V473),$U473*0,$V473)/IF($D$2="Egyszeri",VLOOKUP($B473+IF($C473=12,1,0),Paraméterek!$V$257:$W$262,2),IF($B473=1,1,VLOOKUP($B473+IF($C473=12,1,0),Paraméterek!$I$258:$T$278,HLOOKUP($M$11+1,Paraméterek!$J$256:$T$257,2)))),IF($D$4="Forint",0,2)))</f>
        <v>#N/A</v>
      </c>
      <c r="X473" s="13" t="e">
        <f ca="1">ROUNDDOWN($W473*IF($D$2="Egyszeri",VLOOKUP($B473+IF($C473=12,1,0),Paraméterek!$V$257:$W$262,2),VLOOKUP($B473+IF($C473=12,1,0),Paraméterek!$I$258:$T$278,HLOOKUP($M$11+1,Paraméterek!$I$256:$T$257,2))),IF($D$4="Forint",0,2))</f>
        <v>#N/A</v>
      </c>
      <c r="Z473" s="32">
        <v>454</v>
      </c>
      <c r="AA473" s="32">
        <v>38</v>
      </c>
      <c r="AB473" s="32">
        <v>10</v>
      </c>
      <c r="AC473" s="13">
        <f t="shared" ca="1" si="170"/>
        <v>0</v>
      </c>
      <c r="AD473" s="33"/>
      <c r="AE473" s="13">
        <f t="shared" ca="1" si="162"/>
        <v>0</v>
      </c>
      <c r="AF473" s="13">
        <f ca="1">ROUNDUP(($AC473+$AE473)*VLOOKUP($AA473,Paraméterek!$P$38:$Q$38,2)/12*IF($D474="Nem",IF($M$13=0,1,$M$13),1),IF($D$4="Forint",0,2))</f>
        <v>0</v>
      </c>
      <c r="AG473" s="13">
        <f ca="1">IF($D$2="Egyszeri",IF($D$7&gt;=IF($D$4="Forint",Paraméterek!$P$223,Paraméterek!$P$224),$D$7-IF($D$4="Forint",Paraméterek!$P$223,Paraméterek!$P$224),0),MIN(IF($AB473=12,AVERAGEIF($E$20:$E473,"&gt;0",$E$20:$E473)*12,0),SUM($E$20:$E$31)))</f>
        <v>0</v>
      </c>
      <c r="AH473" s="13">
        <f>IF($AA473=10,$AG473*IF($AB473=12,IF($AG473&lt;IF($D$4="Forint",Paraméterek!$L$223,Paraméterek!$L$224),0,VLOOKUP($AA473,Paraméterek!$K$226:$M$228,IF($AG473&lt;IF($D$4="Forint",Paraméterek!$M$223,Paraméterek!$M$224),2,3))),0),0)</f>
        <v>0</v>
      </c>
      <c r="AI473" s="13">
        <f ca="1">IF(AND($AA473=$M$11+1,$AB473=$M$12+1),SUMIF($AA$20:$AA$1027,$AA473,$AG$20:$AG$1027)*IF(SUMIF($AA$20:$AA$1027,$AA473,$AG$20:$AG$1027)&lt;IF($D$4="Forint",Paraméterek!$L$223,Paraméterek!$L$224),0,VLOOKUP($AA473,Paraméterek!$K$230:$M$250,IF(SUMIF($AA$20:$AA$1027,$AA473,$AG$20:$AG$1027)&lt;IF($D$4="Forint",Paraméterek!$M$223,Paraméterek!$M$224),2,3))),0)</f>
        <v>0</v>
      </c>
      <c r="AJ473" s="13">
        <f ca="1">IF(AND($AA473&gt;=5,MOD($AA473,5)=0),IF($AB473=12,VLOOKUP($AA473,Paraméterek!$O$225:$P$240,2),0),IF(OR($AA473=3,$AA473=4),IF($AB473=12,VLOOKUP($AA473,Paraméterek!$O$225:$P$240,2,0),0),0))*$AG473</f>
        <v>0</v>
      </c>
      <c r="AK473" s="13">
        <f t="shared" ca="1" si="163"/>
        <v>0</v>
      </c>
      <c r="AL473" s="13">
        <f t="shared" ca="1" si="171"/>
        <v>0</v>
      </c>
      <c r="AM473" s="13">
        <f t="shared" ca="1" si="172"/>
        <v>0</v>
      </c>
      <c r="AO473" s="32">
        <v>454</v>
      </c>
      <c r="AP473" s="32">
        <v>38</v>
      </c>
      <c r="AQ473" s="32">
        <v>10</v>
      </c>
      <c r="AR473" s="13"/>
      <c r="AS473" s="32"/>
      <c r="AT473" s="13">
        <f t="shared" ca="1" si="173"/>
        <v>0</v>
      </c>
      <c r="AU473" s="33"/>
      <c r="AV473" s="13">
        <f t="shared" ca="1" si="164"/>
        <v>0</v>
      </c>
      <c r="AW473" s="13">
        <f ca="1">ROUNDUP(($AT473+$AV473)*VLOOKUP($AP473,Paraméterek!$P$38:$Q$38,2)/12*IF($D474="Nem",IF($M$13=0,1,$M$13),1),IF($D$4="Forint",0,2))</f>
        <v>0</v>
      </c>
      <c r="AX473" s="13"/>
      <c r="AY473" s="13"/>
      <c r="AZ473" s="13">
        <f>ROUNDUP(IF(SUM($AX473:$AY473)=0,0,IF(IF(ISBLANK($AY473),$AX473,$AY473)*Paraméterek!$J$112&lt;IF($D$4="Forint",Paraméterek!$J$113,Paraméterek!$K$113),IF($D$4="Forint",Paraméterek!$J$113,Paraméterek!$K$113),IF(IF(ISBLANK($AY473),$AX473,$AY473)*Paraméterek!$J$112&gt;IF($D$4="Forint",Paraméterek!$J$114,Paraméterek!$K$114),IF($D$4="Forint",Paraméterek!$J$114,Paraméterek!$K$114),IF(ISBLANK($AY473),$AX473,$AY473)*Paraméterek!$J$112))),IF($D$4="Forint",0,2))</f>
        <v>0</v>
      </c>
      <c r="BA473" s="13">
        <f ca="1">$AT473+$AV473-$AW473-IF(ROUNDDOWN(IF(ISBLANK($AY473),$AX473,$AY473),IF($D$4="Forint",0,2))&gt;$AT473+$AV473-$AW473-IF($D$4="Forint",Paraméterek!$J$114,Paraméterek!$K$114),0,ROUNDDOWN(IF(ISBLANK($AY473),$AX473,$AY473),IF($D$4="Forint",0,2))-$AZ473)</f>
        <v>0</v>
      </c>
      <c r="BB473" s="13">
        <f t="shared" ca="1" si="165"/>
        <v>0</v>
      </c>
      <c r="BD473" s="32">
        <v>454</v>
      </c>
      <c r="BE473" s="32">
        <v>38</v>
      </c>
      <c r="BF473" s="32">
        <v>10</v>
      </c>
      <c r="BG473" s="34">
        <f t="shared" ca="1" si="174"/>
        <v>2057</v>
      </c>
      <c r="BH473" s="32" t="str">
        <f ca="1">IF(MOD(MONTH($D$14)+$BD473-1,12)=Paraméterek!$C$288,"Igen","")</f>
        <v/>
      </c>
      <c r="BI473" s="13">
        <f ca="1">IF($BH473="Igen",MIN(ROUNDDOWN((SUMIF($BG$20:$BG$1027,$BG473-1,$K$20:$K$1027)-SUMIF($BG$20:$BG$1027,$BG473-1,$I$20:$I$1027))*Paraméterek!$C$289,IF($D$4="Forint",0,2)),IF($D$4="Forint",Paraméterek!$C$285,Paraméterek!$D$285)),0)</f>
        <v>0</v>
      </c>
      <c r="BJ473" s="13">
        <f t="shared" ca="1" si="166"/>
        <v>0</v>
      </c>
      <c r="BK473" s="13">
        <f t="shared" ca="1" si="175"/>
        <v>0</v>
      </c>
      <c r="BL473" s="33"/>
      <c r="BM473" s="13">
        <f t="shared" ca="1" si="167"/>
        <v>0</v>
      </c>
      <c r="BN473" s="13">
        <f ca="1">ROUNDUP(($BK473+$BM473)*VLOOKUP($BE473,Paraméterek!$P$38:$Q$38,2)/12*IF($D474="Nem",IF($M$13=0,1,$M$13),1),IF($D$4="Forint",0,2))</f>
        <v>0</v>
      </c>
      <c r="BO473" s="13">
        <f t="shared" ca="1" si="168"/>
        <v>0</v>
      </c>
      <c r="BP473" s="13">
        <f ca="1">IF($D474="Nem",$BO473,$BO473-ROUNDUP(SUM($BI$20:$BI473)*120%,IF($D$4="Forint",0,2)))</f>
        <v>0</v>
      </c>
    </row>
    <row r="474" spans="1:68" x14ac:dyDescent="0.2">
      <c r="A474" s="32">
        <v>455</v>
      </c>
      <c r="B474" s="32">
        <v>38</v>
      </c>
      <c r="C474" s="32">
        <v>11</v>
      </c>
      <c r="D474" s="32" t="str">
        <f t="shared" ca="1" si="154"/>
        <v>Nem</v>
      </c>
      <c r="E474" s="13">
        <f t="shared" ca="1" si="155"/>
        <v>0</v>
      </c>
      <c r="F474" s="13"/>
      <c r="G474" s="13"/>
      <c r="H474" s="13"/>
      <c r="I474" s="13">
        <f t="shared" ca="1" si="156"/>
        <v>0</v>
      </c>
      <c r="J474" s="13">
        <f t="shared" ca="1" si="157"/>
        <v>0</v>
      </c>
      <c r="K474" s="13">
        <f t="shared" ca="1" si="158"/>
        <v>0</v>
      </c>
      <c r="L474" s="13" t="e">
        <f ca="1">ROUNDUP(IF($D$2="Egyszeri",$E474,IF($D$2="Havi",SUM($E$20:$E$31),IF(MOD($C474,$M$1)-1=0,SUM($E$20:$E$31),0))/12*$M$1)*VLOOKUP($B474,Paraméterek!$I$28:$P$31,IF($D$2="Egyszeri",8,HLOOKUP(ROUNDUP($M$11+$M$13,0),Paraméterek!$J$26:$O$27,2))),IF($D$4="Forint",0,2))</f>
        <v>#N/A</v>
      </c>
      <c r="M474" s="13">
        <f t="shared" ca="1" si="159"/>
        <v>0</v>
      </c>
      <c r="N474" s="13">
        <f t="shared" ca="1" si="169"/>
        <v>0</v>
      </c>
      <c r="O474" s="13">
        <f ca="1">IF($D474="Igen",IF($W473&gt;=IF($D$4="Forint",Paraméterek!$J$121,Paraméterek!$K$121),0,IF($D$4="Forint",Paraméterek!$J$121,Paraméterek!$K$121)-$W473),0)</f>
        <v>0</v>
      </c>
      <c r="P474" s="13" t="e">
        <f ca="1">ROUNDUP($O474*VLOOKUP($M$4+$B474-1,Paraméterek!$H$58:$I$105,2,0)/Paraméterek!$I$56,IF($D$4="Forint",0,2))</f>
        <v>#N/A</v>
      </c>
      <c r="Q474" s="13">
        <f t="shared" ca="1" si="160"/>
        <v>0</v>
      </c>
      <c r="R474" s="33"/>
      <c r="S474" s="13" t="e">
        <f t="shared" ca="1" si="161"/>
        <v>#N/A</v>
      </c>
      <c r="T474" s="13" t="e">
        <f ca="1">ROUNDUP(($N474-$P474-$Q474+$S474)*VLOOKUP($B474,Paraméterek!$I$38:$K$39,IF($D$2="Egyszeri",3,2))/12*IF($D475="Nem",IF($M$13=0,1,$M$13),1),IF($D$4="Forint",0,2))</f>
        <v>#N/A</v>
      </c>
      <c r="U474" s="13"/>
      <c r="V474" s="13"/>
      <c r="W474" s="13" t="e">
        <f ca="1">$N474-$P474-$Q474+$S474-$T474-IF(ROUNDUP(IF(ISBLANK($V474),$U474*0,$V474)/IF($D$2="Egyszeri",VLOOKUP($B474+IF($C474=12,1,0),Paraméterek!$V$257:$W$262,2),IF($B474=1,1,VLOOKUP($B474+IF($C474=12,1,0),Paraméterek!$I$258:$T$278,HLOOKUP($M$11+1,Paraméterek!$J$256:$T$257,2)))),IF($D$4="Forint",0,2))&gt;$N474-$P474-$Q474+$S474-$T474-IF($D$4="Forint",Paraméterek!$C$216,Paraméterek!$D$216),0,ROUNDUP(IF(ISBLANK($V474),$U474*0,$V474)/IF($D$2="Egyszeri",VLOOKUP($B474+IF($C474=12,1,0),Paraméterek!$V$257:$W$262,2),IF($B474=1,1,VLOOKUP($B474+IF($C474=12,1,0),Paraméterek!$I$258:$T$278,HLOOKUP($M$11+1,Paraméterek!$J$256:$T$257,2)))),IF($D$4="Forint",0,2)))</f>
        <v>#N/A</v>
      </c>
      <c r="X474" s="13" t="e">
        <f ca="1">ROUNDDOWN($W474*IF($D$2="Egyszeri",VLOOKUP($B474+IF($C474=12,1,0),Paraméterek!$V$257:$W$262,2),VLOOKUP($B474+IF($C474=12,1,0),Paraméterek!$I$258:$T$278,HLOOKUP($M$11+1,Paraméterek!$I$256:$T$257,2))),IF($D$4="Forint",0,2))</f>
        <v>#N/A</v>
      </c>
      <c r="Z474" s="32">
        <v>455</v>
      </c>
      <c r="AA474" s="32">
        <v>38</v>
      </c>
      <c r="AB474" s="32">
        <v>11</v>
      </c>
      <c r="AC474" s="13">
        <f t="shared" ca="1" si="170"/>
        <v>0</v>
      </c>
      <c r="AD474" s="33"/>
      <c r="AE474" s="13">
        <f t="shared" ca="1" si="162"/>
        <v>0</v>
      </c>
      <c r="AF474" s="13">
        <f ca="1">ROUNDUP(($AC474+$AE474)*VLOOKUP($AA474,Paraméterek!$P$38:$Q$38,2)/12*IF($D475="Nem",IF($M$13=0,1,$M$13),1),IF($D$4="Forint",0,2))</f>
        <v>0</v>
      </c>
      <c r="AG474" s="13">
        <f ca="1">IF($D$2="Egyszeri",IF($D$7&gt;=IF($D$4="Forint",Paraméterek!$P$223,Paraméterek!$P$224),$D$7-IF($D$4="Forint",Paraméterek!$P$223,Paraméterek!$P$224),0),MIN(IF($AB474=12,AVERAGEIF($E$20:$E474,"&gt;0",$E$20:$E474)*12,0),SUM($E$20:$E$31)))</f>
        <v>0</v>
      </c>
      <c r="AH474" s="13">
        <f>IF($AA474=10,$AG474*IF($AB474=12,IF($AG474&lt;IF($D$4="Forint",Paraméterek!$L$223,Paraméterek!$L$224),0,VLOOKUP($AA474,Paraméterek!$K$226:$M$228,IF($AG474&lt;IF($D$4="Forint",Paraméterek!$M$223,Paraméterek!$M$224),2,3))),0),0)</f>
        <v>0</v>
      </c>
      <c r="AI474" s="13">
        <f ca="1">IF(AND($AA474=$M$11+1,$AB474=$M$12+1),SUMIF($AA$20:$AA$1027,$AA474,$AG$20:$AG$1027)*IF(SUMIF($AA$20:$AA$1027,$AA474,$AG$20:$AG$1027)&lt;IF($D$4="Forint",Paraméterek!$L$223,Paraméterek!$L$224),0,VLOOKUP($AA474,Paraméterek!$K$230:$M$250,IF(SUMIF($AA$20:$AA$1027,$AA474,$AG$20:$AG$1027)&lt;IF($D$4="Forint",Paraméterek!$M$223,Paraméterek!$M$224),2,3))),0)</f>
        <v>0</v>
      </c>
      <c r="AJ474" s="13">
        <f ca="1">IF(AND($AA474&gt;=5,MOD($AA474,5)=0),IF($AB474=12,VLOOKUP($AA474,Paraméterek!$O$225:$P$240,2),0),IF(OR($AA474=3,$AA474=4),IF($AB474=12,VLOOKUP($AA474,Paraméterek!$O$225:$P$240,2,0),0),0))*$AG474</f>
        <v>0</v>
      </c>
      <c r="AK474" s="13">
        <f t="shared" ca="1" si="163"/>
        <v>0</v>
      </c>
      <c r="AL474" s="13">
        <f t="shared" ca="1" si="171"/>
        <v>0</v>
      </c>
      <c r="AM474" s="13">
        <f t="shared" ca="1" si="172"/>
        <v>0</v>
      </c>
      <c r="AO474" s="32">
        <v>455</v>
      </c>
      <c r="AP474" s="32">
        <v>38</v>
      </c>
      <c r="AQ474" s="32">
        <v>11</v>
      </c>
      <c r="AR474" s="13"/>
      <c r="AS474" s="32"/>
      <c r="AT474" s="13">
        <f t="shared" ca="1" si="173"/>
        <v>0</v>
      </c>
      <c r="AU474" s="33"/>
      <c r="AV474" s="13">
        <f t="shared" ca="1" si="164"/>
        <v>0</v>
      </c>
      <c r="AW474" s="13">
        <f ca="1">ROUNDUP(($AT474+$AV474)*VLOOKUP($AP474,Paraméterek!$P$38:$Q$38,2)/12*IF($D475="Nem",IF($M$13=0,1,$M$13),1),IF($D$4="Forint",0,2))</f>
        <v>0</v>
      </c>
      <c r="AX474" s="13"/>
      <c r="AY474" s="13"/>
      <c r="AZ474" s="13">
        <f>ROUNDUP(IF(SUM($AX474:$AY474)=0,0,IF(IF(ISBLANK($AY474),$AX474,$AY474)*Paraméterek!$J$112&lt;IF($D$4="Forint",Paraméterek!$J$113,Paraméterek!$K$113),IF($D$4="Forint",Paraméterek!$J$113,Paraméterek!$K$113),IF(IF(ISBLANK($AY474),$AX474,$AY474)*Paraméterek!$J$112&gt;IF($D$4="Forint",Paraméterek!$J$114,Paraméterek!$K$114),IF($D$4="Forint",Paraméterek!$J$114,Paraméterek!$K$114),IF(ISBLANK($AY474),$AX474,$AY474)*Paraméterek!$J$112))),IF($D$4="Forint",0,2))</f>
        <v>0</v>
      </c>
      <c r="BA474" s="13">
        <f ca="1">$AT474+$AV474-$AW474-IF(ROUNDDOWN(IF(ISBLANK($AY474),$AX474,$AY474),IF($D$4="Forint",0,2))&gt;$AT474+$AV474-$AW474-IF($D$4="Forint",Paraméterek!$J$114,Paraméterek!$K$114),0,ROUNDDOWN(IF(ISBLANK($AY474),$AX474,$AY474),IF($D$4="Forint",0,2))-$AZ474)</f>
        <v>0</v>
      </c>
      <c r="BB474" s="13">
        <f t="shared" ca="1" si="165"/>
        <v>0</v>
      </c>
      <c r="BD474" s="32">
        <v>455</v>
      </c>
      <c r="BE474" s="32">
        <v>38</v>
      </c>
      <c r="BF474" s="32">
        <v>11</v>
      </c>
      <c r="BG474" s="34">
        <f t="shared" ca="1" si="174"/>
        <v>2057</v>
      </c>
      <c r="BH474" s="32" t="str">
        <f ca="1">IF(MOD(MONTH($D$14)+$BD474-1,12)=Paraméterek!$C$288,"Igen","")</f>
        <v/>
      </c>
      <c r="BI474" s="13">
        <f ca="1">IF($BH474="Igen",MIN(ROUNDDOWN((SUMIF($BG$20:$BG$1027,$BG474-1,$K$20:$K$1027)-SUMIF($BG$20:$BG$1027,$BG474-1,$I$20:$I$1027))*Paraméterek!$C$289,IF($D$4="Forint",0,2)),IF($D$4="Forint",Paraméterek!$C$285,Paraméterek!$D$285)),0)</f>
        <v>0</v>
      </c>
      <c r="BJ474" s="13">
        <f t="shared" ca="1" si="166"/>
        <v>0</v>
      </c>
      <c r="BK474" s="13">
        <f t="shared" ca="1" si="175"/>
        <v>0</v>
      </c>
      <c r="BL474" s="33"/>
      <c r="BM474" s="13">
        <f t="shared" ca="1" si="167"/>
        <v>0</v>
      </c>
      <c r="BN474" s="13">
        <f ca="1">ROUNDUP(($BK474+$BM474)*VLOOKUP($BE474,Paraméterek!$P$38:$Q$38,2)/12*IF($D475="Nem",IF($M$13=0,1,$M$13),1),IF($D$4="Forint",0,2))</f>
        <v>0</v>
      </c>
      <c r="BO474" s="13">
        <f t="shared" ca="1" si="168"/>
        <v>0</v>
      </c>
      <c r="BP474" s="13">
        <f ca="1">IF($D475="Nem",$BO474,$BO474-ROUNDUP(SUM($BI$20:$BI474)*120%,IF($D$4="Forint",0,2)))</f>
        <v>0</v>
      </c>
    </row>
    <row r="475" spans="1:68" x14ac:dyDescent="0.2">
      <c r="A475" s="32">
        <v>456</v>
      </c>
      <c r="B475" s="32">
        <v>38</v>
      </c>
      <c r="C475" s="32">
        <v>12</v>
      </c>
      <c r="D475" s="32" t="str">
        <f t="shared" ca="1" si="154"/>
        <v>Nem</v>
      </c>
      <c r="E475" s="13">
        <f t="shared" ca="1" si="155"/>
        <v>0</v>
      </c>
      <c r="F475" s="13"/>
      <c r="G475" s="13"/>
      <c r="H475" s="13"/>
      <c r="I475" s="13">
        <f t="shared" ca="1" si="156"/>
        <v>0</v>
      </c>
      <c r="J475" s="13">
        <f t="shared" ca="1" si="157"/>
        <v>0</v>
      </c>
      <c r="K475" s="13">
        <f t="shared" ca="1" si="158"/>
        <v>0</v>
      </c>
      <c r="L475" s="13" t="e">
        <f ca="1">ROUNDUP(IF($D$2="Egyszeri",$E475,IF($D$2="Havi",SUM($E$20:$E$31),IF(MOD($C475,$M$1)-1=0,SUM($E$20:$E$31),0))/12*$M$1)*VLOOKUP($B475,Paraméterek!$I$28:$P$31,IF($D$2="Egyszeri",8,HLOOKUP(ROUNDUP($M$11+$M$13,0),Paraméterek!$J$26:$O$27,2))),IF($D$4="Forint",0,2))</f>
        <v>#N/A</v>
      </c>
      <c r="M475" s="13">
        <f t="shared" ca="1" si="159"/>
        <v>0</v>
      </c>
      <c r="N475" s="13">
        <f t="shared" ca="1" si="169"/>
        <v>0</v>
      </c>
      <c r="O475" s="13">
        <f ca="1">IF($D475="Igen",IF($W474&gt;=IF($D$4="Forint",Paraméterek!$J$121,Paraméterek!$K$121),0,IF($D$4="Forint",Paraméterek!$J$121,Paraméterek!$K$121)-$W474),0)</f>
        <v>0</v>
      </c>
      <c r="P475" s="13" t="e">
        <f ca="1">ROUNDUP($O475*VLOOKUP($M$4+$B475-1,Paraméterek!$H$58:$I$105,2,0)/Paraméterek!$I$56,IF($D$4="Forint",0,2))</f>
        <v>#N/A</v>
      </c>
      <c r="Q475" s="13">
        <f t="shared" ca="1" si="160"/>
        <v>0</v>
      </c>
      <c r="R475" s="33"/>
      <c r="S475" s="13" t="e">
        <f t="shared" ca="1" si="161"/>
        <v>#N/A</v>
      </c>
      <c r="T475" s="13" t="e">
        <f ca="1">ROUNDUP(($N475-$P475-$Q475+$S475)*VLOOKUP($B475,Paraméterek!$I$38:$K$39,IF($D$2="Egyszeri",3,2))/12*IF($D476="Nem",IF($M$13=0,1,$M$13),1),IF($D$4="Forint",0,2))</f>
        <v>#N/A</v>
      </c>
      <c r="U475" s="13">
        <f>Tranzakciók!$F$69</f>
        <v>0</v>
      </c>
      <c r="V475" s="13"/>
      <c r="W475" s="13" t="e">
        <f ca="1">$N475-$P475-$Q475+$S475-$T475-IF(ROUNDUP(IF(ISBLANK($V475),$U475*0,$V475)/IF($D$2="Egyszeri",VLOOKUP($B475+IF($C475=12,1,0),Paraméterek!$V$257:$W$262,2),IF($B475=1,1,VLOOKUP($B475+IF($C475=12,1,0),Paraméterek!$I$258:$T$278,HLOOKUP($M$11+1,Paraméterek!$J$256:$T$257,2)))),IF($D$4="Forint",0,2))&gt;$N475-$P475-$Q475+$S475-$T475-IF($D$4="Forint",Paraméterek!$C$216,Paraméterek!$D$216),0,ROUNDUP(IF(ISBLANK($V475),$U475*0,$V475)/IF($D$2="Egyszeri",VLOOKUP($B475+IF($C475=12,1,0),Paraméterek!$V$257:$W$262,2),IF($B475=1,1,VLOOKUP($B475+IF($C475=12,1,0),Paraméterek!$I$258:$T$278,HLOOKUP($M$11+1,Paraméterek!$J$256:$T$257,2)))),IF($D$4="Forint",0,2)))</f>
        <v>#N/A</v>
      </c>
      <c r="X475" s="13" t="e">
        <f ca="1">ROUNDDOWN($W475*IF($D$2="Egyszeri",VLOOKUP($B475+IF($C475=12,1,0),Paraméterek!$V$257:$W$262,2),VLOOKUP($B475+IF($C475=12,1,0),Paraméterek!$I$258:$T$278,HLOOKUP($M$11+1,Paraméterek!$I$256:$T$257,2))),IF($D$4="Forint",0,2))</f>
        <v>#N/A</v>
      </c>
      <c r="Z475" s="32">
        <v>456</v>
      </c>
      <c r="AA475" s="32">
        <v>38</v>
      </c>
      <c r="AB475" s="32">
        <v>12</v>
      </c>
      <c r="AC475" s="13">
        <f t="shared" ca="1" si="170"/>
        <v>0</v>
      </c>
      <c r="AD475" s="33"/>
      <c r="AE475" s="13">
        <f t="shared" ca="1" si="162"/>
        <v>0</v>
      </c>
      <c r="AF475" s="13">
        <f ca="1">ROUNDUP(($AC475+$AE475)*VLOOKUP($AA475,Paraméterek!$P$38:$Q$38,2)/12*IF($D476="Nem",IF($M$13=0,1,$M$13),1),IF($D$4="Forint",0,2))</f>
        <v>0</v>
      </c>
      <c r="AG475" s="13" t="e">
        <f ca="1">IF($D$2="Egyszeri",IF($D$7&gt;=IF($D$4="Forint",Paraméterek!$P$223,Paraméterek!$P$224),$D$7-IF($D$4="Forint",Paraméterek!$P$223,Paraméterek!$P$224),0),MIN(IF($AB475=12,AVERAGEIF($E$20:$E475,"&gt;0",$E$20:$E475)*12,0),SUM($E$20:$E$31)))</f>
        <v>#DIV/0!</v>
      </c>
      <c r="AH475" s="13">
        <f>IF($AA475=10,$AG475*IF($AB475=12,IF($AG475&lt;IF($D$4="Forint",Paraméterek!$L$223,Paraméterek!$L$224),0,VLOOKUP($AA475,Paraméterek!$K$226:$M$228,IF($AG475&lt;IF($D$4="Forint",Paraméterek!$M$223,Paraméterek!$M$224),2,3))),0),0)</f>
        <v>0</v>
      </c>
      <c r="AI475" s="13">
        <f ca="1">IF(AND($AA475=$M$11+1,$AB475=$M$12+1),SUMIF($AA$20:$AA$1027,$AA475,$AG$20:$AG$1027)*IF(SUMIF($AA$20:$AA$1027,$AA475,$AG$20:$AG$1027)&lt;IF($D$4="Forint",Paraméterek!$L$223,Paraméterek!$L$224),0,VLOOKUP($AA475,Paraméterek!$K$230:$M$250,IF(SUMIF($AA$20:$AA$1027,$AA475,$AG$20:$AG$1027)&lt;IF($D$4="Forint",Paraméterek!$M$223,Paraméterek!$M$224),2,3))),0)</f>
        <v>0</v>
      </c>
      <c r="AJ475" s="13" t="e">
        <f ca="1">IF(AND($AA475&gt;=5,MOD($AA475,5)=0),IF($AB475=12,VLOOKUP($AA475,Paraméterek!$O$225:$P$240,2),0),IF(OR($AA475=3,$AA475=4),IF($AB475=12,VLOOKUP($AA475,Paraméterek!$O$225:$P$240,2,0),0),0))*$AG475</f>
        <v>#DIV/0!</v>
      </c>
      <c r="AK475" s="13">
        <f t="shared" ca="1" si="163"/>
        <v>0</v>
      </c>
      <c r="AL475" s="13">
        <f t="shared" ca="1" si="171"/>
        <v>0</v>
      </c>
      <c r="AM475" s="13">
        <f t="shared" ca="1" si="172"/>
        <v>0</v>
      </c>
      <c r="AO475" s="32">
        <v>456</v>
      </c>
      <c r="AP475" s="32">
        <v>38</v>
      </c>
      <c r="AQ475" s="32">
        <v>12</v>
      </c>
      <c r="AR475" s="13"/>
      <c r="AS475" s="32"/>
      <c r="AT475" s="13">
        <f t="shared" ca="1" si="173"/>
        <v>0</v>
      </c>
      <c r="AU475" s="33"/>
      <c r="AV475" s="13">
        <f t="shared" ca="1" si="164"/>
        <v>0</v>
      </c>
      <c r="AW475" s="13">
        <f ca="1">ROUNDUP(($AT475+$AV475)*VLOOKUP($AP475,Paraméterek!$P$38:$Q$38,2)/12*IF($D476="Nem",IF($M$13=0,1,$M$13),1),IF($D$4="Forint",0,2))</f>
        <v>0</v>
      </c>
      <c r="AX475" s="13">
        <f>Tranzakciók!$M$69</f>
        <v>0</v>
      </c>
      <c r="AY475" s="13"/>
      <c r="AZ475" s="13">
        <f>ROUNDUP(IF(SUM($AX475:$AY475)=0,0,IF(IF(ISBLANK($AY475),$AX475,$AY475)*Paraméterek!$J$112&lt;IF($D$4="Forint",Paraméterek!$J$113,Paraméterek!$K$113),IF($D$4="Forint",Paraméterek!$J$113,Paraméterek!$K$113),IF(IF(ISBLANK($AY475),$AX475,$AY475)*Paraméterek!$J$112&gt;IF($D$4="Forint",Paraméterek!$J$114,Paraméterek!$K$114),IF($D$4="Forint",Paraméterek!$J$114,Paraméterek!$K$114),IF(ISBLANK($AY475),$AX475,$AY475)*Paraméterek!$J$112))),IF($D$4="Forint",0,2))</f>
        <v>0</v>
      </c>
      <c r="BA475" s="13">
        <f ca="1">$AT475+$AV475-$AW475-IF(ROUNDDOWN(IF(ISBLANK($AY475),$AX475,$AY475),IF($D$4="Forint",0,2))&gt;$AT475+$AV475-$AW475-IF($D$4="Forint",Paraméterek!$J$114,Paraméterek!$K$114),0,ROUNDDOWN(IF(ISBLANK($AY475),$AX475,$AY475),IF($D$4="Forint",0,2))-$AZ475)</f>
        <v>0</v>
      </c>
      <c r="BB475" s="13">
        <f t="shared" ca="1" si="165"/>
        <v>0</v>
      </c>
      <c r="BD475" s="32">
        <v>456</v>
      </c>
      <c r="BE475" s="32">
        <v>38</v>
      </c>
      <c r="BF475" s="32">
        <v>12</v>
      </c>
      <c r="BG475" s="34">
        <f t="shared" ca="1" si="174"/>
        <v>2057</v>
      </c>
      <c r="BH475" s="32" t="str">
        <f ca="1">IF(MOD(MONTH($D$14)+$BD475-1,12)=Paraméterek!$C$288,"Igen","")</f>
        <v/>
      </c>
      <c r="BI475" s="13">
        <f ca="1">IF($BH475="Igen",MIN(ROUNDDOWN((SUMIF($BG$20:$BG$1027,$BG475-1,$K$20:$K$1027)-SUMIF($BG$20:$BG$1027,$BG475-1,$I$20:$I$1027))*Paraméterek!$C$289,IF($D$4="Forint",0,2)),IF($D$4="Forint",Paraméterek!$C$285,Paraméterek!$D$285)),0)</f>
        <v>0</v>
      </c>
      <c r="BJ475" s="13">
        <f t="shared" ca="1" si="166"/>
        <v>0</v>
      </c>
      <c r="BK475" s="13">
        <f t="shared" ca="1" si="175"/>
        <v>0</v>
      </c>
      <c r="BL475" s="33"/>
      <c r="BM475" s="13">
        <f t="shared" ca="1" si="167"/>
        <v>0</v>
      </c>
      <c r="BN475" s="13">
        <f ca="1">ROUNDUP(($BK475+$BM475)*VLOOKUP($BE475,Paraméterek!$P$38:$Q$38,2)/12*IF($D476="Nem",IF($M$13=0,1,$M$13),1),IF($D$4="Forint",0,2))</f>
        <v>0</v>
      </c>
      <c r="BO475" s="13">
        <f t="shared" ca="1" si="168"/>
        <v>0</v>
      </c>
      <c r="BP475" s="13">
        <f ca="1">IF($D476="Nem",$BO475,$BO475-ROUNDUP(SUM($BI$20:$BI475)*120%,IF($D$4="Forint",0,2)))</f>
        <v>0</v>
      </c>
    </row>
    <row r="476" spans="1:68" x14ac:dyDescent="0.2">
      <c r="A476" s="32">
        <v>457</v>
      </c>
      <c r="B476" s="32">
        <v>39</v>
      </c>
      <c r="C476" s="32">
        <v>1</v>
      </c>
      <c r="D476" s="32" t="str">
        <f t="shared" ca="1" si="154"/>
        <v>Nem</v>
      </c>
      <c r="E476" s="13">
        <f t="shared" ca="1" si="155"/>
        <v>0</v>
      </c>
      <c r="F476" s="13"/>
      <c r="G476" s="13">
        <f>Tranzakciók!$D$70</f>
        <v>0</v>
      </c>
      <c r="H476" s="13"/>
      <c r="I476" s="13">
        <f t="shared" ca="1" si="156"/>
        <v>0</v>
      </c>
      <c r="J476" s="13">
        <f t="shared" ca="1" si="157"/>
        <v>0</v>
      </c>
      <c r="K476" s="13">
        <f t="shared" ca="1" si="158"/>
        <v>0</v>
      </c>
      <c r="L476" s="13" t="e">
        <f ca="1">ROUNDUP(IF($D$2="Egyszeri",$E476,IF($D$2="Havi",SUM($E$20:$E$31),IF(MOD($C476,$M$1)-1=0,SUM($E$20:$E$31),0))/12*$M$1)*VLOOKUP($B476,Paraméterek!$I$28:$P$31,IF($D$2="Egyszeri",8,HLOOKUP(ROUNDUP($M$11+$M$13,0),Paraméterek!$J$26:$O$27,2))),IF($D$4="Forint",0,2))</f>
        <v>#N/A</v>
      </c>
      <c r="M476" s="13">
        <f t="shared" ca="1" si="159"/>
        <v>0</v>
      </c>
      <c r="N476" s="13">
        <f t="shared" ca="1" si="169"/>
        <v>0</v>
      </c>
      <c r="O476" s="13">
        <f ca="1">IF($D476="Igen",IF($W475&gt;=IF($D$4="Forint",Paraméterek!$J$121,Paraméterek!$K$121),0,IF($D$4="Forint",Paraméterek!$J$121,Paraméterek!$K$121)-$W475),0)</f>
        <v>0</v>
      </c>
      <c r="P476" s="13" t="e">
        <f ca="1">ROUNDUP($O476*VLOOKUP($M$4+$B476-1,Paraméterek!$H$58:$I$105,2,0)/Paraméterek!$I$56,IF($D$4="Forint",0,2))</f>
        <v>#N/A</v>
      </c>
      <c r="Q476" s="13">
        <f t="shared" ca="1" si="160"/>
        <v>0</v>
      </c>
      <c r="R476" s="33"/>
      <c r="S476" s="13" t="e">
        <f t="shared" ca="1" si="161"/>
        <v>#N/A</v>
      </c>
      <c r="T476" s="13" t="e">
        <f ca="1">ROUNDUP(($N476-$P476-$Q476+$S476)*VLOOKUP($B476,Paraméterek!$I$38:$K$39,IF($D$2="Egyszeri",3,2))/12*IF($D477="Nem",IF($M$13=0,1,$M$13),1),IF($D$4="Forint",0,2))</f>
        <v>#N/A</v>
      </c>
      <c r="U476" s="13"/>
      <c r="V476" s="13"/>
      <c r="W476" s="13" t="e">
        <f ca="1">$N476-$P476-$Q476+$S476-$T476-IF(ROUNDUP(IF(ISBLANK($V476),$U476*0,$V476)/IF($D$2="Egyszeri",VLOOKUP($B476+IF($C476=12,1,0),Paraméterek!$V$257:$W$262,2),IF($B476=1,1,VLOOKUP($B476+IF($C476=12,1,0),Paraméterek!$I$258:$T$278,HLOOKUP($M$11+1,Paraméterek!$J$256:$T$257,2)))),IF($D$4="Forint",0,2))&gt;$N476-$P476-$Q476+$S476-$T476-IF($D$4="Forint",Paraméterek!$C$216,Paraméterek!$D$216),0,ROUNDUP(IF(ISBLANK($V476),$U476*0,$V476)/IF($D$2="Egyszeri",VLOOKUP($B476+IF($C476=12,1,0),Paraméterek!$V$257:$W$262,2),IF($B476=1,1,VLOOKUP($B476+IF($C476=12,1,0),Paraméterek!$I$258:$T$278,HLOOKUP($M$11+1,Paraméterek!$J$256:$T$257,2)))),IF($D$4="Forint",0,2)))</f>
        <v>#N/A</v>
      </c>
      <c r="X476" s="13" t="e">
        <f ca="1">ROUNDDOWN($W476*IF($D$2="Egyszeri",VLOOKUP($B476+IF($C476=12,1,0),Paraméterek!$V$257:$W$262,2),VLOOKUP($B476+IF($C476=12,1,0),Paraméterek!$I$258:$T$278,HLOOKUP($M$11+1,Paraméterek!$I$256:$T$257,2))),IF($D$4="Forint",0,2))</f>
        <v>#N/A</v>
      </c>
      <c r="Z476" s="32">
        <v>457</v>
      </c>
      <c r="AA476" s="32">
        <v>39</v>
      </c>
      <c r="AB476" s="32">
        <v>1</v>
      </c>
      <c r="AC476" s="13">
        <f t="shared" ca="1" si="170"/>
        <v>0</v>
      </c>
      <c r="AD476" s="33"/>
      <c r="AE476" s="13">
        <f t="shared" ca="1" si="162"/>
        <v>0</v>
      </c>
      <c r="AF476" s="13">
        <f ca="1">ROUNDUP(($AC476+$AE476)*VLOOKUP($AA476,Paraméterek!$P$38:$Q$38,2)/12*IF($D477="Nem",IF($M$13=0,1,$M$13),1),IF($D$4="Forint",0,2))</f>
        <v>0</v>
      </c>
      <c r="AG476" s="13">
        <f ca="1">IF($D$2="Egyszeri",IF($D$7&gt;=IF($D$4="Forint",Paraméterek!$P$223,Paraméterek!$P$224),$D$7-IF($D$4="Forint",Paraméterek!$P$223,Paraméterek!$P$224),0),MIN(IF($AB476=12,AVERAGEIF($E$20:$E476,"&gt;0",$E$20:$E476)*12,0),SUM($E$20:$E$31)))</f>
        <v>0</v>
      </c>
      <c r="AH476" s="13">
        <f>IF($AA476=10,$AG476*IF($AB476=12,IF($AG476&lt;IF($D$4="Forint",Paraméterek!$L$223,Paraméterek!$L$224),0,VLOOKUP($AA476,Paraméterek!$K$226:$M$228,IF($AG476&lt;IF($D$4="Forint",Paraméterek!$M$223,Paraméterek!$M$224),2,3))),0),0)</f>
        <v>0</v>
      </c>
      <c r="AI476" s="13">
        <f ca="1">IF(AND($AA476=$M$11+1,$AB476=$M$12+1),SUMIF($AA$20:$AA$1027,$AA476,$AG$20:$AG$1027)*IF(SUMIF($AA$20:$AA$1027,$AA476,$AG$20:$AG$1027)&lt;IF($D$4="Forint",Paraméterek!$L$223,Paraméterek!$L$224),0,VLOOKUP($AA476,Paraméterek!$K$230:$M$250,IF(SUMIF($AA$20:$AA$1027,$AA476,$AG$20:$AG$1027)&lt;IF($D$4="Forint",Paraméterek!$M$223,Paraméterek!$M$224),2,3))),0)</f>
        <v>0</v>
      </c>
      <c r="AJ476" s="13">
        <f ca="1">IF(AND($AA476&gt;=5,MOD($AA476,5)=0),IF($AB476=12,VLOOKUP($AA476,Paraméterek!$O$225:$P$240,2),0),IF(OR($AA476=3,$AA476=4),IF($AB476=12,VLOOKUP($AA476,Paraméterek!$O$225:$P$240,2,0),0),0))*$AG476</f>
        <v>0</v>
      </c>
      <c r="AK476" s="13">
        <f t="shared" ca="1" si="163"/>
        <v>0</v>
      </c>
      <c r="AL476" s="13">
        <f t="shared" ca="1" si="171"/>
        <v>0</v>
      </c>
      <c r="AM476" s="13">
        <f t="shared" ca="1" si="172"/>
        <v>0</v>
      </c>
      <c r="AO476" s="32">
        <v>457</v>
      </c>
      <c r="AP476" s="32">
        <v>39</v>
      </c>
      <c r="AQ476" s="32">
        <v>1</v>
      </c>
      <c r="AR476" s="13">
        <f>Tranzakciók!$K$70</f>
        <v>0</v>
      </c>
      <c r="AS476" s="32"/>
      <c r="AT476" s="13">
        <f t="shared" ca="1" si="173"/>
        <v>0</v>
      </c>
      <c r="AU476" s="33"/>
      <c r="AV476" s="13">
        <f t="shared" ca="1" si="164"/>
        <v>0</v>
      </c>
      <c r="AW476" s="13">
        <f ca="1">ROUNDUP(($AT476+$AV476)*VLOOKUP($AP476,Paraméterek!$P$38:$Q$38,2)/12*IF($D477="Nem",IF($M$13=0,1,$M$13),1),IF($D$4="Forint",0,2))</f>
        <v>0</v>
      </c>
      <c r="AX476" s="13"/>
      <c r="AY476" s="13"/>
      <c r="AZ476" s="13">
        <f>ROUNDUP(IF(SUM($AX476:$AY476)=0,0,IF(IF(ISBLANK($AY476),$AX476,$AY476)*Paraméterek!$J$112&lt;IF($D$4="Forint",Paraméterek!$J$113,Paraméterek!$K$113),IF($D$4="Forint",Paraméterek!$J$113,Paraméterek!$K$113),IF(IF(ISBLANK($AY476),$AX476,$AY476)*Paraméterek!$J$112&gt;IF($D$4="Forint",Paraméterek!$J$114,Paraméterek!$K$114),IF($D$4="Forint",Paraméterek!$J$114,Paraméterek!$K$114),IF(ISBLANK($AY476),$AX476,$AY476)*Paraméterek!$J$112))),IF($D$4="Forint",0,2))</f>
        <v>0</v>
      </c>
      <c r="BA476" s="13">
        <f ca="1">$AT476+$AV476-$AW476-IF(ROUNDDOWN(IF(ISBLANK($AY476),$AX476,$AY476),IF($D$4="Forint",0,2))&gt;$AT476+$AV476-$AW476-IF($D$4="Forint",Paraméterek!$J$114,Paraméterek!$K$114),0,ROUNDDOWN(IF(ISBLANK($AY476),$AX476,$AY476),IF($D$4="Forint",0,2))-$AZ476)</f>
        <v>0</v>
      </c>
      <c r="BB476" s="13">
        <f t="shared" ca="1" si="165"/>
        <v>0</v>
      </c>
      <c r="BD476" s="32">
        <v>457</v>
      </c>
      <c r="BE476" s="32">
        <v>39</v>
      </c>
      <c r="BF476" s="32">
        <v>1</v>
      </c>
      <c r="BG476" s="34">
        <f t="shared" ca="1" si="174"/>
        <v>2057</v>
      </c>
      <c r="BH476" s="32" t="str">
        <f ca="1">IF(MOD(MONTH($D$14)+$BD476-1,12)=Paraméterek!$C$288,"Igen","")</f>
        <v/>
      </c>
      <c r="BI476" s="13">
        <f ca="1">IF($BH476="Igen",MIN(ROUNDDOWN((SUMIF($BG$20:$BG$1027,$BG476-1,$K$20:$K$1027)-SUMIF($BG$20:$BG$1027,$BG476-1,$I$20:$I$1027))*Paraméterek!$C$289,IF($D$4="Forint",0,2)),IF($D$4="Forint",Paraméterek!$C$285,Paraméterek!$D$285)),0)</f>
        <v>0</v>
      </c>
      <c r="BJ476" s="13">
        <f t="shared" ca="1" si="166"/>
        <v>0</v>
      </c>
      <c r="BK476" s="13">
        <f t="shared" ca="1" si="175"/>
        <v>0</v>
      </c>
      <c r="BL476" s="33"/>
      <c r="BM476" s="13">
        <f t="shared" ca="1" si="167"/>
        <v>0</v>
      </c>
      <c r="BN476" s="13">
        <f ca="1">ROUNDUP(($BK476+$BM476)*VLOOKUP($BE476,Paraméterek!$P$38:$Q$38,2)/12*IF($D477="Nem",IF($M$13=0,1,$M$13),1),IF($D$4="Forint",0,2))</f>
        <v>0</v>
      </c>
      <c r="BO476" s="13">
        <f t="shared" ca="1" si="168"/>
        <v>0</v>
      </c>
      <c r="BP476" s="13">
        <f ca="1">IF($D477="Nem",$BO476,$BO476-ROUNDUP(SUM($BI$20:$BI476)*120%,IF($D$4="Forint",0,2)))</f>
        <v>0</v>
      </c>
    </row>
    <row r="477" spans="1:68" x14ac:dyDescent="0.2">
      <c r="A477" s="32">
        <v>458</v>
      </c>
      <c r="B477" s="32">
        <v>39</v>
      </c>
      <c r="C477" s="32">
        <v>2</v>
      </c>
      <c r="D477" s="32" t="str">
        <f t="shared" ca="1" si="154"/>
        <v>Nem</v>
      </c>
      <c r="E477" s="13">
        <f t="shared" ca="1" si="155"/>
        <v>0</v>
      </c>
      <c r="F477" s="13"/>
      <c r="G477" s="13"/>
      <c r="H477" s="13"/>
      <c r="I477" s="13">
        <f t="shared" ca="1" si="156"/>
        <v>0</v>
      </c>
      <c r="J477" s="13">
        <f t="shared" ca="1" si="157"/>
        <v>0</v>
      </c>
      <c r="K477" s="13">
        <f t="shared" ca="1" si="158"/>
        <v>0</v>
      </c>
      <c r="L477" s="13" t="e">
        <f ca="1">ROUNDUP(IF($D$2="Egyszeri",$E477,IF($D$2="Havi",SUM($E$20:$E$31),IF(MOD($C477,$M$1)-1=0,SUM($E$20:$E$31),0))/12*$M$1)*VLOOKUP($B477,Paraméterek!$I$28:$P$31,IF($D$2="Egyszeri",8,HLOOKUP(ROUNDUP($M$11+$M$13,0),Paraméterek!$J$26:$O$27,2))),IF($D$4="Forint",0,2))</f>
        <v>#N/A</v>
      </c>
      <c r="M477" s="13">
        <f t="shared" ca="1" si="159"/>
        <v>0</v>
      </c>
      <c r="N477" s="13">
        <f t="shared" ca="1" si="169"/>
        <v>0</v>
      </c>
      <c r="O477" s="13">
        <f ca="1">IF($D477="Igen",IF($W476&gt;=IF($D$4="Forint",Paraméterek!$J$121,Paraméterek!$K$121),0,IF($D$4="Forint",Paraméterek!$J$121,Paraméterek!$K$121)-$W476),0)</f>
        <v>0</v>
      </c>
      <c r="P477" s="13" t="e">
        <f ca="1">ROUNDUP($O477*VLOOKUP($M$4+$B477-1,Paraméterek!$H$58:$I$105,2,0)/Paraméterek!$I$56,IF($D$4="Forint",0,2))</f>
        <v>#N/A</v>
      </c>
      <c r="Q477" s="13">
        <f t="shared" ca="1" si="160"/>
        <v>0</v>
      </c>
      <c r="R477" s="33"/>
      <c r="S477" s="13" t="e">
        <f t="shared" ca="1" si="161"/>
        <v>#N/A</v>
      </c>
      <c r="T477" s="13" t="e">
        <f ca="1">ROUNDUP(($N477-$P477-$Q477+$S477)*VLOOKUP($B477,Paraméterek!$I$38:$K$39,IF($D$2="Egyszeri",3,2))/12*IF($D478="Nem",IF($M$13=0,1,$M$13),1),IF($D$4="Forint",0,2))</f>
        <v>#N/A</v>
      </c>
      <c r="U477" s="13"/>
      <c r="V477" s="13"/>
      <c r="W477" s="13" t="e">
        <f ca="1">$N477-$P477-$Q477+$S477-$T477-IF(ROUNDUP(IF(ISBLANK($V477),$U477*0,$V477)/IF($D$2="Egyszeri",VLOOKUP($B477+IF($C477=12,1,0),Paraméterek!$V$257:$W$262,2),IF($B477=1,1,VLOOKUP($B477+IF($C477=12,1,0),Paraméterek!$I$258:$T$278,HLOOKUP($M$11+1,Paraméterek!$J$256:$T$257,2)))),IF($D$4="Forint",0,2))&gt;$N477-$P477-$Q477+$S477-$T477-IF($D$4="Forint",Paraméterek!$C$216,Paraméterek!$D$216),0,ROUNDUP(IF(ISBLANK($V477),$U477*0,$V477)/IF($D$2="Egyszeri",VLOOKUP($B477+IF($C477=12,1,0),Paraméterek!$V$257:$W$262,2),IF($B477=1,1,VLOOKUP($B477+IF($C477=12,1,0),Paraméterek!$I$258:$T$278,HLOOKUP($M$11+1,Paraméterek!$J$256:$T$257,2)))),IF($D$4="Forint",0,2)))</f>
        <v>#N/A</v>
      </c>
      <c r="X477" s="13" t="e">
        <f ca="1">ROUNDDOWN($W477*IF($D$2="Egyszeri",VLOOKUP($B477+IF($C477=12,1,0),Paraméterek!$V$257:$W$262,2),VLOOKUP($B477+IF($C477=12,1,0),Paraméterek!$I$258:$T$278,HLOOKUP($M$11+1,Paraméterek!$I$256:$T$257,2))),IF($D$4="Forint",0,2))</f>
        <v>#N/A</v>
      </c>
      <c r="Z477" s="32">
        <v>458</v>
      </c>
      <c r="AA477" s="32">
        <v>39</v>
      </c>
      <c r="AB477" s="32">
        <v>2</v>
      </c>
      <c r="AC477" s="13">
        <f t="shared" ca="1" si="170"/>
        <v>0</v>
      </c>
      <c r="AD477" s="33"/>
      <c r="AE477" s="13">
        <f t="shared" ca="1" si="162"/>
        <v>0</v>
      </c>
      <c r="AF477" s="13">
        <f ca="1">ROUNDUP(($AC477+$AE477)*VLOOKUP($AA477,Paraméterek!$P$38:$Q$38,2)/12*IF($D478="Nem",IF($M$13=0,1,$M$13),1),IF($D$4="Forint",0,2))</f>
        <v>0</v>
      </c>
      <c r="AG477" s="13">
        <f ca="1">IF($D$2="Egyszeri",IF($D$7&gt;=IF($D$4="Forint",Paraméterek!$P$223,Paraméterek!$P$224),$D$7-IF($D$4="Forint",Paraméterek!$P$223,Paraméterek!$P$224),0),MIN(IF($AB477=12,AVERAGEIF($E$20:$E477,"&gt;0",$E$20:$E477)*12,0),SUM($E$20:$E$31)))</f>
        <v>0</v>
      </c>
      <c r="AH477" s="13">
        <f>IF($AA477=10,$AG477*IF($AB477=12,IF($AG477&lt;IF($D$4="Forint",Paraméterek!$L$223,Paraméterek!$L$224),0,VLOOKUP($AA477,Paraméterek!$K$226:$M$228,IF($AG477&lt;IF($D$4="Forint",Paraméterek!$M$223,Paraméterek!$M$224),2,3))),0),0)</f>
        <v>0</v>
      </c>
      <c r="AI477" s="13">
        <f ca="1">IF(AND($AA477=$M$11+1,$AB477=$M$12+1),SUMIF($AA$20:$AA$1027,$AA477,$AG$20:$AG$1027)*IF(SUMIF($AA$20:$AA$1027,$AA477,$AG$20:$AG$1027)&lt;IF($D$4="Forint",Paraméterek!$L$223,Paraméterek!$L$224),0,VLOOKUP($AA477,Paraméterek!$K$230:$M$250,IF(SUMIF($AA$20:$AA$1027,$AA477,$AG$20:$AG$1027)&lt;IF($D$4="Forint",Paraméterek!$M$223,Paraméterek!$M$224),2,3))),0)</f>
        <v>0</v>
      </c>
      <c r="AJ477" s="13">
        <f ca="1">IF(AND($AA477&gt;=5,MOD($AA477,5)=0),IF($AB477=12,VLOOKUP($AA477,Paraméterek!$O$225:$P$240,2),0),IF(OR($AA477=3,$AA477=4),IF($AB477=12,VLOOKUP($AA477,Paraméterek!$O$225:$P$240,2,0),0),0))*$AG477</f>
        <v>0</v>
      </c>
      <c r="AK477" s="13">
        <f t="shared" ca="1" si="163"/>
        <v>0</v>
      </c>
      <c r="AL477" s="13">
        <f t="shared" ca="1" si="171"/>
        <v>0</v>
      </c>
      <c r="AM477" s="13">
        <f t="shared" ca="1" si="172"/>
        <v>0</v>
      </c>
      <c r="AO477" s="32">
        <v>458</v>
      </c>
      <c r="AP477" s="32">
        <v>39</v>
      </c>
      <c r="AQ477" s="32">
        <v>2</v>
      </c>
      <c r="AR477" s="13"/>
      <c r="AS477" s="32"/>
      <c r="AT477" s="13">
        <f t="shared" ca="1" si="173"/>
        <v>0</v>
      </c>
      <c r="AU477" s="33"/>
      <c r="AV477" s="13">
        <f t="shared" ca="1" si="164"/>
        <v>0</v>
      </c>
      <c r="AW477" s="13">
        <f ca="1">ROUNDUP(($AT477+$AV477)*VLOOKUP($AP477,Paraméterek!$P$38:$Q$38,2)/12*IF($D478="Nem",IF($M$13=0,1,$M$13),1),IF($D$4="Forint",0,2))</f>
        <v>0</v>
      </c>
      <c r="AX477" s="13"/>
      <c r="AY477" s="13"/>
      <c r="AZ477" s="13">
        <f>ROUNDUP(IF(SUM($AX477:$AY477)=0,0,IF(IF(ISBLANK($AY477),$AX477,$AY477)*Paraméterek!$J$112&lt;IF($D$4="Forint",Paraméterek!$J$113,Paraméterek!$K$113),IF($D$4="Forint",Paraméterek!$J$113,Paraméterek!$K$113),IF(IF(ISBLANK($AY477),$AX477,$AY477)*Paraméterek!$J$112&gt;IF($D$4="Forint",Paraméterek!$J$114,Paraméterek!$K$114),IF($D$4="Forint",Paraméterek!$J$114,Paraméterek!$K$114),IF(ISBLANK($AY477),$AX477,$AY477)*Paraméterek!$J$112))),IF($D$4="Forint",0,2))</f>
        <v>0</v>
      </c>
      <c r="BA477" s="13">
        <f ca="1">$AT477+$AV477-$AW477-IF(ROUNDDOWN(IF(ISBLANK($AY477),$AX477,$AY477),IF($D$4="Forint",0,2))&gt;$AT477+$AV477-$AW477-IF($D$4="Forint",Paraméterek!$J$114,Paraméterek!$K$114),0,ROUNDDOWN(IF(ISBLANK($AY477),$AX477,$AY477),IF($D$4="Forint",0,2))-$AZ477)</f>
        <v>0</v>
      </c>
      <c r="BB477" s="13">
        <f t="shared" ca="1" si="165"/>
        <v>0</v>
      </c>
      <c r="BD477" s="32">
        <v>458</v>
      </c>
      <c r="BE477" s="32">
        <v>39</v>
      </c>
      <c r="BF477" s="32">
        <v>2</v>
      </c>
      <c r="BG477" s="34">
        <f t="shared" ca="1" si="174"/>
        <v>2057</v>
      </c>
      <c r="BH477" s="32" t="str">
        <f ca="1">IF(MOD(MONTH($D$14)+$BD477-1,12)=Paraméterek!$C$288,"Igen","")</f>
        <v>Igen</v>
      </c>
      <c r="BI477" s="13">
        <f ca="1">IF($BH477="Igen",MIN(ROUNDDOWN((SUMIF($BG$20:$BG$1027,$BG477-1,$K$20:$K$1027)-SUMIF($BG$20:$BG$1027,$BG477-1,$I$20:$I$1027))*Paraméterek!$C$289,IF($D$4="Forint",0,2)),IF($D$4="Forint",Paraméterek!$C$285,Paraméterek!$D$285)),0)</f>
        <v>0</v>
      </c>
      <c r="BJ477" s="13">
        <f t="shared" ca="1" si="166"/>
        <v>0</v>
      </c>
      <c r="BK477" s="13">
        <f t="shared" ca="1" si="175"/>
        <v>0</v>
      </c>
      <c r="BL477" s="33"/>
      <c r="BM477" s="13">
        <f t="shared" ca="1" si="167"/>
        <v>0</v>
      </c>
      <c r="BN477" s="13">
        <f ca="1">ROUNDUP(($BK477+$BM477)*VLOOKUP($BE477,Paraméterek!$P$38:$Q$38,2)/12*IF($D478="Nem",IF($M$13=0,1,$M$13),1),IF($D$4="Forint",0,2))</f>
        <v>0</v>
      </c>
      <c r="BO477" s="13">
        <f t="shared" ca="1" si="168"/>
        <v>0</v>
      </c>
      <c r="BP477" s="13">
        <f ca="1">IF($D478="Nem",$BO477,$BO477-ROUNDUP(SUM($BI$20:$BI477)*120%,IF($D$4="Forint",0,2)))</f>
        <v>0</v>
      </c>
    </row>
    <row r="478" spans="1:68" x14ac:dyDescent="0.2">
      <c r="A478" s="32">
        <v>459</v>
      </c>
      <c r="B478" s="32">
        <v>39</v>
      </c>
      <c r="C478" s="32">
        <v>3</v>
      </c>
      <c r="D478" s="32" t="str">
        <f t="shared" ca="1" si="154"/>
        <v>Nem</v>
      </c>
      <c r="E478" s="13">
        <f t="shared" ca="1" si="155"/>
        <v>0</v>
      </c>
      <c r="F478" s="13"/>
      <c r="G478" s="13"/>
      <c r="H478" s="13"/>
      <c r="I478" s="13">
        <f t="shared" ca="1" si="156"/>
        <v>0</v>
      </c>
      <c r="J478" s="13">
        <f t="shared" ca="1" si="157"/>
        <v>0</v>
      </c>
      <c r="K478" s="13">
        <f t="shared" ca="1" si="158"/>
        <v>0</v>
      </c>
      <c r="L478" s="13" t="e">
        <f ca="1">ROUNDUP(IF($D$2="Egyszeri",$E478,IF($D$2="Havi",SUM($E$20:$E$31),IF(MOD($C478,$M$1)-1=0,SUM($E$20:$E$31),0))/12*$M$1)*VLOOKUP($B478,Paraméterek!$I$28:$P$31,IF($D$2="Egyszeri",8,HLOOKUP(ROUNDUP($M$11+$M$13,0),Paraméterek!$J$26:$O$27,2))),IF($D$4="Forint",0,2))</f>
        <v>#N/A</v>
      </c>
      <c r="M478" s="13">
        <f t="shared" ca="1" si="159"/>
        <v>0</v>
      </c>
      <c r="N478" s="13">
        <f t="shared" ca="1" si="169"/>
        <v>0</v>
      </c>
      <c r="O478" s="13">
        <f ca="1">IF($D478="Igen",IF($W477&gt;=IF($D$4="Forint",Paraméterek!$J$121,Paraméterek!$K$121),0,IF($D$4="Forint",Paraméterek!$J$121,Paraméterek!$K$121)-$W477),0)</f>
        <v>0</v>
      </c>
      <c r="P478" s="13" t="e">
        <f ca="1">ROUNDUP($O478*VLOOKUP($M$4+$B478-1,Paraméterek!$H$58:$I$105,2,0)/Paraméterek!$I$56,IF($D$4="Forint",0,2))</f>
        <v>#N/A</v>
      </c>
      <c r="Q478" s="13">
        <f t="shared" ca="1" si="160"/>
        <v>0</v>
      </c>
      <c r="R478" s="33"/>
      <c r="S478" s="13" t="e">
        <f t="shared" ca="1" si="161"/>
        <v>#N/A</v>
      </c>
      <c r="T478" s="13" t="e">
        <f ca="1">ROUNDUP(($N478-$P478-$Q478+$S478)*VLOOKUP($B478,Paraméterek!$I$38:$K$39,IF($D$2="Egyszeri",3,2))/12*IF($D479="Nem",IF($M$13=0,1,$M$13),1),IF($D$4="Forint",0,2))</f>
        <v>#N/A</v>
      </c>
      <c r="U478" s="13"/>
      <c r="V478" s="13"/>
      <c r="W478" s="13" t="e">
        <f ca="1">$N478-$P478-$Q478+$S478-$T478-IF(ROUNDUP(IF(ISBLANK($V478),$U478*0,$V478)/IF($D$2="Egyszeri",VLOOKUP($B478+IF($C478=12,1,0),Paraméterek!$V$257:$W$262,2),IF($B478=1,1,VLOOKUP($B478+IF($C478=12,1,0),Paraméterek!$I$258:$T$278,HLOOKUP($M$11+1,Paraméterek!$J$256:$T$257,2)))),IF($D$4="Forint",0,2))&gt;$N478-$P478-$Q478+$S478-$T478-IF($D$4="Forint",Paraméterek!$C$216,Paraméterek!$D$216),0,ROUNDUP(IF(ISBLANK($V478),$U478*0,$V478)/IF($D$2="Egyszeri",VLOOKUP($B478+IF($C478=12,1,0),Paraméterek!$V$257:$W$262,2),IF($B478=1,1,VLOOKUP($B478+IF($C478=12,1,0),Paraméterek!$I$258:$T$278,HLOOKUP($M$11+1,Paraméterek!$J$256:$T$257,2)))),IF($D$4="Forint",0,2)))</f>
        <v>#N/A</v>
      </c>
      <c r="X478" s="13" t="e">
        <f ca="1">ROUNDDOWN($W478*IF($D$2="Egyszeri",VLOOKUP($B478+IF($C478=12,1,0),Paraméterek!$V$257:$W$262,2),VLOOKUP($B478+IF($C478=12,1,0),Paraméterek!$I$258:$T$278,HLOOKUP($M$11+1,Paraméterek!$I$256:$T$257,2))),IF($D$4="Forint",0,2))</f>
        <v>#N/A</v>
      </c>
      <c r="Z478" s="32">
        <v>459</v>
      </c>
      <c r="AA478" s="32">
        <v>39</v>
      </c>
      <c r="AB478" s="32">
        <v>3</v>
      </c>
      <c r="AC478" s="13">
        <f t="shared" ca="1" si="170"/>
        <v>0</v>
      </c>
      <c r="AD478" s="33"/>
      <c r="AE478" s="13">
        <f t="shared" ca="1" si="162"/>
        <v>0</v>
      </c>
      <c r="AF478" s="13">
        <f ca="1">ROUNDUP(($AC478+$AE478)*VLOOKUP($AA478,Paraméterek!$P$38:$Q$38,2)/12*IF($D479="Nem",IF($M$13=0,1,$M$13),1),IF($D$4="Forint",0,2))</f>
        <v>0</v>
      </c>
      <c r="AG478" s="13">
        <f ca="1">IF($D$2="Egyszeri",IF($D$7&gt;=IF($D$4="Forint",Paraméterek!$P$223,Paraméterek!$P$224),$D$7-IF($D$4="Forint",Paraméterek!$P$223,Paraméterek!$P$224),0),MIN(IF($AB478=12,AVERAGEIF($E$20:$E478,"&gt;0",$E$20:$E478)*12,0),SUM($E$20:$E$31)))</f>
        <v>0</v>
      </c>
      <c r="AH478" s="13">
        <f>IF($AA478=10,$AG478*IF($AB478=12,IF($AG478&lt;IF($D$4="Forint",Paraméterek!$L$223,Paraméterek!$L$224),0,VLOOKUP($AA478,Paraméterek!$K$226:$M$228,IF($AG478&lt;IF($D$4="Forint",Paraméterek!$M$223,Paraméterek!$M$224),2,3))),0),0)</f>
        <v>0</v>
      </c>
      <c r="AI478" s="13">
        <f ca="1">IF(AND($AA478=$M$11+1,$AB478=$M$12+1),SUMIF($AA$20:$AA$1027,$AA478,$AG$20:$AG$1027)*IF(SUMIF($AA$20:$AA$1027,$AA478,$AG$20:$AG$1027)&lt;IF($D$4="Forint",Paraméterek!$L$223,Paraméterek!$L$224),0,VLOOKUP($AA478,Paraméterek!$K$230:$M$250,IF(SUMIF($AA$20:$AA$1027,$AA478,$AG$20:$AG$1027)&lt;IF($D$4="Forint",Paraméterek!$M$223,Paraméterek!$M$224),2,3))),0)</f>
        <v>0</v>
      </c>
      <c r="AJ478" s="13">
        <f ca="1">IF(AND($AA478&gt;=5,MOD($AA478,5)=0),IF($AB478=12,VLOOKUP($AA478,Paraméterek!$O$225:$P$240,2),0),IF(OR($AA478=3,$AA478=4),IF($AB478=12,VLOOKUP($AA478,Paraméterek!$O$225:$P$240,2,0),0),0))*$AG478</f>
        <v>0</v>
      </c>
      <c r="AK478" s="13">
        <f t="shared" ca="1" si="163"/>
        <v>0</v>
      </c>
      <c r="AL478" s="13">
        <f t="shared" ca="1" si="171"/>
        <v>0</v>
      </c>
      <c r="AM478" s="13">
        <f t="shared" ca="1" si="172"/>
        <v>0</v>
      </c>
      <c r="AO478" s="32">
        <v>459</v>
      </c>
      <c r="AP478" s="32">
        <v>39</v>
      </c>
      <c r="AQ478" s="32">
        <v>3</v>
      </c>
      <c r="AR478" s="13"/>
      <c r="AS478" s="32"/>
      <c r="AT478" s="13">
        <f t="shared" ca="1" si="173"/>
        <v>0</v>
      </c>
      <c r="AU478" s="33"/>
      <c r="AV478" s="13">
        <f t="shared" ca="1" si="164"/>
        <v>0</v>
      </c>
      <c r="AW478" s="13">
        <f ca="1">ROUNDUP(($AT478+$AV478)*VLOOKUP($AP478,Paraméterek!$P$38:$Q$38,2)/12*IF($D479="Nem",IF($M$13=0,1,$M$13),1),IF($D$4="Forint",0,2))</f>
        <v>0</v>
      </c>
      <c r="AX478" s="13"/>
      <c r="AY478" s="13"/>
      <c r="AZ478" s="13">
        <f>ROUNDUP(IF(SUM($AX478:$AY478)=0,0,IF(IF(ISBLANK($AY478),$AX478,$AY478)*Paraméterek!$J$112&lt;IF($D$4="Forint",Paraméterek!$J$113,Paraméterek!$K$113),IF($D$4="Forint",Paraméterek!$J$113,Paraméterek!$K$113),IF(IF(ISBLANK($AY478),$AX478,$AY478)*Paraméterek!$J$112&gt;IF($D$4="Forint",Paraméterek!$J$114,Paraméterek!$K$114),IF($D$4="Forint",Paraméterek!$J$114,Paraméterek!$K$114),IF(ISBLANK($AY478),$AX478,$AY478)*Paraméterek!$J$112))),IF($D$4="Forint",0,2))</f>
        <v>0</v>
      </c>
      <c r="BA478" s="13">
        <f ca="1">$AT478+$AV478-$AW478-IF(ROUNDDOWN(IF(ISBLANK($AY478),$AX478,$AY478),IF($D$4="Forint",0,2))&gt;$AT478+$AV478-$AW478-IF($D$4="Forint",Paraméterek!$J$114,Paraméterek!$K$114),0,ROUNDDOWN(IF(ISBLANK($AY478),$AX478,$AY478),IF($D$4="Forint",0,2))-$AZ478)</f>
        <v>0</v>
      </c>
      <c r="BB478" s="13">
        <f t="shared" ca="1" si="165"/>
        <v>0</v>
      </c>
      <c r="BD478" s="32">
        <v>459</v>
      </c>
      <c r="BE478" s="32">
        <v>39</v>
      </c>
      <c r="BF478" s="32">
        <v>3</v>
      </c>
      <c r="BG478" s="34">
        <f t="shared" ca="1" si="174"/>
        <v>2057</v>
      </c>
      <c r="BH478" s="32" t="str">
        <f ca="1">IF(MOD(MONTH($D$14)+$BD478-1,12)=Paraméterek!$C$288,"Igen","")</f>
        <v/>
      </c>
      <c r="BI478" s="13">
        <f ca="1">IF($BH478="Igen",MIN(ROUNDDOWN((SUMIF($BG$20:$BG$1027,$BG478-1,$K$20:$K$1027)-SUMIF($BG$20:$BG$1027,$BG478-1,$I$20:$I$1027))*Paraméterek!$C$289,IF($D$4="Forint",0,2)),IF($D$4="Forint",Paraméterek!$C$285,Paraméterek!$D$285)),0)</f>
        <v>0</v>
      </c>
      <c r="BJ478" s="13">
        <f t="shared" ca="1" si="166"/>
        <v>0</v>
      </c>
      <c r="BK478" s="13">
        <f t="shared" ca="1" si="175"/>
        <v>0</v>
      </c>
      <c r="BL478" s="33"/>
      <c r="BM478" s="13">
        <f t="shared" ca="1" si="167"/>
        <v>0</v>
      </c>
      <c r="BN478" s="13">
        <f ca="1">ROUNDUP(($BK478+$BM478)*VLOOKUP($BE478,Paraméterek!$P$38:$Q$38,2)/12*IF($D479="Nem",IF($M$13=0,1,$M$13),1),IF($D$4="Forint",0,2))</f>
        <v>0</v>
      </c>
      <c r="BO478" s="13">
        <f t="shared" ca="1" si="168"/>
        <v>0</v>
      </c>
      <c r="BP478" s="13">
        <f ca="1">IF($D479="Nem",$BO478,$BO478-ROUNDUP(SUM($BI$20:$BI478)*120%,IF($D$4="Forint",0,2)))</f>
        <v>0</v>
      </c>
    </row>
    <row r="479" spans="1:68" x14ac:dyDescent="0.2">
      <c r="A479" s="32">
        <v>460</v>
      </c>
      <c r="B479" s="32">
        <v>39</v>
      </c>
      <c r="C479" s="32">
        <v>4</v>
      </c>
      <c r="D479" s="32" t="str">
        <f t="shared" ca="1" si="154"/>
        <v>Nem</v>
      </c>
      <c r="E479" s="13">
        <f t="shared" ca="1" si="155"/>
        <v>0</v>
      </c>
      <c r="F479" s="13"/>
      <c r="G479" s="13"/>
      <c r="H479" s="13"/>
      <c r="I479" s="13">
        <f t="shared" ca="1" si="156"/>
        <v>0</v>
      </c>
      <c r="J479" s="13">
        <f t="shared" ca="1" si="157"/>
        <v>0</v>
      </c>
      <c r="K479" s="13">
        <f t="shared" ca="1" si="158"/>
        <v>0</v>
      </c>
      <c r="L479" s="13" t="e">
        <f ca="1">ROUNDUP(IF($D$2="Egyszeri",$E479,IF($D$2="Havi",SUM($E$20:$E$31),IF(MOD($C479,$M$1)-1=0,SUM($E$20:$E$31),0))/12*$M$1)*VLOOKUP($B479,Paraméterek!$I$28:$P$31,IF($D$2="Egyszeri",8,HLOOKUP(ROUNDUP($M$11+$M$13,0),Paraméterek!$J$26:$O$27,2))),IF($D$4="Forint",0,2))</f>
        <v>#N/A</v>
      </c>
      <c r="M479" s="13">
        <f t="shared" ca="1" si="159"/>
        <v>0</v>
      </c>
      <c r="N479" s="13">
        <f t="shared" ca="1" si="169"/>
        <v>0</v>
      </c>
      <c r="O479" s="13">
        <f ca="1">IF($D479="Igen",IF($W478&gt;=IF($D$4="Forint",Paraméterek!$J$121,Paraméterek!$K$121),0,IF($D$4="Forint",Paraméterek!$J$121,Paraméterek!$K$121)-$W478),0)</f>
        <v>0</v>
      </c>
      <c r="P479" s="13" t="e">
        <f ca="1">ROUNDUP($O479*VLOOKUP($M$4+$B479-1,Paraméterek!$H$58:$I$105,2,0)/Paraméterek!$I$56,IF($D$4="Forint",0,2))</f>
        <v>#N/A</v>
      </c>
      <c r="Q479" s="13">
        <f t="shared" ca="1" si="160"/>
        <v>0</v>
      </c>
      <c r="R479" s="33"/>
      <c r="S479" s="13" t="e">
        <f t="shared" ca="1" si="161"/>
        <v>#N/A</v>
      </c>
      <c r="T479" s="13" t="e">
        <f ca="1">ROUNDUP(($N479-$P479-$Q479+$S479)*VLOOKUP($B479,Paraméterek!$I$38:$K$39,IF($D$2="Egyszeri",3,2))/12*IF($D480="Nem",IF($M$13=0,1,$M$13),1),IF($D$4="Forint",0,2))</f>
        <v>#N/A</v>
      </c>
      <c r="U479" s="13"/>
      <c r="V479" s="13"/>
      <c r="W479" s="13" t="e">
        <f ca="1">$N479-$P479-$Q479+$S479-$T479-IF(ROUNDUP(IF(ISBLANK($V479),$U479*0,$V479)/IF($D$2="Egyszeri",VLOOKUP($B479+IF($C479=12,1,0),Paraméterek!$V$257:$W$262,2),IF($B479=1,1,VLOOKUP($B479+IF($C479=12,1,0),Paraméterek!$I$258:$T$278,HLOOKUP($M$11+1,Paraméterek!$J$256:$T$257,2)))),IF($D$4="Forint",0,2))&gt;$N479-$P479-$Q479+$S479-$T479-IF($D$4="Forint",Paraméterek!$C$216,Paraméterek!$D$216),0,ROUNDUP(IF(ISBLANK($V479),$U479*0,$V479)/IF($D$2="Egyszeri",VLOOKUP($B479+IF($C479=12,1,0),Paraméterek!$V$257:$W$262,2),IF($B479=1,1,VLOOKUP($B479+IF($C479=12,1,0),Paraméterek!$I$258:$T$278,HLOOKUP($M$11+1,Paraméterek!$J$256:$T$257,2)))),IF($D$4="Forint",0,2)))</f>
        <v>#N/A</v>
      </c>
      <c r="X479" s="13" t="e">
        <f ca="1">ROUNDDOWN($W479*IF($D$2="Egyszeri",VLOOKUP($B479+IF($C479=12,1,0),Paraméterek!$V$257:$W$262,2),VLOOKUP($B479+IF($C479=12,1,0),Paraméterek!$I$258:$T$278,HLOOKUP($M$11+1,Paraméterek!$I$256:$T$257,2))),IF($D$4="Forint",0,2))</f>
        <v>#N/A</v>
      </c>
      <c r="Z479" s="32">
        <v>460</v>
      </c>
      <c r="AA479" s="32">
        <v>39</v>
      </c>
      <c r="AB479" s="32">
        <v>4</v>
      </c>
      <c r="AC479" s="13">
        <f t="shared" ca="1" si="170"/>
        <v>0</v>
      </c>
      <c r="AD479" s="33"/>
      <c r="AE479" s="13">
        <f t="shared" ca="1" si="162"/>
        <v>0</v>
      </c>
      <c r="AF479" s="13">
        <f ca="1">ROUNDUP(($AC479+$AE479)*VLOOKUP($AA479,Paraméterek!$P$38:$Q$38,2)/12*IF($D480="Nem",IF($M$13=0,1,$M$13),1),IF($D$4="Forint",0,2))</f>
        <v>0</v>
      </c>
      <c r="AG479" s="13">
        <f ca="1">IF($D$2="Egyszeri",IF($D$7&gt;=IF($D$4="Forint",Paraméterek!$P$223,Paraméterek!$P$224),$D$7-IF($D$4="Forint",Paraméterek!$P$223,Paraméterek!$P$224),0),MIN(IF($AB479=12,AVERAGEIF($E$20:$E479,"&gt;0",$E$20:$E479)*12,0),SUM($E$20:$E$31)))</f>
        <v>0</v>
      </c>
      <c r="AH479" s="13">
        <f>IF($AA479=10,$AG479*IF($AB479=12,IF($AG479&lt;IF($D$4="Forint",Paraméterek!$L$223,Paraméterek!$L$224),0,VLOOKUP($AA479,Paraméterek!$K$226:$M$228,IF($AG479&lt;IF($D$4="Forint",Paraméterek!$M$223,Paraméterek!$M$224),2,3))),0),0)</f>
        <v>0</v>
      </c>
      <c r="AI479" s="13">
        <f ca="1">IF(AND($AA479=$M$11+1,$AB479=$M$12+1),SUMIF($AA$20:$AA$1027,$AA479,$AG$20:$AG$1027)*IF(SUMIF($AA$20:$AA$1027,$AA479,$AG$20:$AG$1027)&lt;IF($D$4="Forint",Paraméterek!$L$223,Paraméterek!$L$224),0,VLOOKUP($AA479,Paraméterek!$K$230:$M$250,IF(SUMIF($AA$20:$AA$1027,$AA479,$AG$20:$AG$1027)&lt;IF($D$4="Forint",Paraméterek!$M$223,Paraméterek!$M$224),2,3))),0)</f>
        <v>0</v>
      </c>
      <c r="AJ479" s="13">
        <f ca="1">IF(AND($AA479&gt;=5,MOD($AA479,5)=0),IF($AB479=12,VLOOKUP($AA479,Paraméterek!$O$225:$P$240,2),0),IF(OR($AA479=3,$AA479=4),IF($AB479=12,VLOOKUP($AA479,Paraméterek!$O$225:$P$240,2,0),0),0))*$AG479</f>
        <v>0</v>
      </c>
      <c r="AK479" s="13">
        <f t="shared" ca="1" si="163"/>
        <v>0</v>
      </c>
      <c r="AL479" s="13">
        <f t="shared" ca="1" si="171"/>
        <v>0</v>
      </c>
      <c r="AM479" s="13">
        <f t="shared" ca="1" si="172"/>
        <v>0</v>
      </c>
      <c r="AO479" s="32">
        <v>460</v>
      </c>
      <c r="AP479" s="32">
        <v>39</v>
      </c>
      <c r="AQ479" s="32">
        <v>4</v>
      </c>
      <c r="AR479" s="13"/>
      <c r="AS479" s="32"/>
      <c r="AT479" s="13">
        <f t="shared" ca="1" si="173"/>
        <v>0</v>
      </c>
      <c r="AU479" s="33"/>
      <c r="AV479" s="13">
        <f t="shared" ca="1" si="164"/>
        <v>0</v>
      </c>
      <c r="AW479" s="13">
        <f ca="1">ROUNDUP(($AT479+$AV479)*VLOOKUP($AP479,Paraméterek!$P$38:$Q$38,2)/12*IF($D480="Nem",IF($M$13=0,1,$M$13),1),IF($D$4="Forint",0,2))</f>
        <v>0</v>
      </c>
      <c r="AX479" s="13"/>
      <c r="AY479" s="13"/>
      <c r="AZ479" s="13">
        <f>ROUNDUP(IF(SUM($AX479:$AY479)=0,0,IF(IF(ISBLANK($AY479),$AX479,$AY479)*Paraméterek!$J$112&lt;IF($D$4="Forint",Paraméterek!$J$113,Paraméterek!$K$113),IF($D$4="Forint",Paraméterek!$J$113,Paraméterek!$K$113),IF(IF(ISBLANK($AY479),$AX479,$AY479)*Paraméterek!$J$112&gt;IF($D$4="Forint",Paraméterek!$J$114,Paraméterek!$K$114),IF($D$4="Forint",Paraméterek!$J$114,Paraméterek!$K$114),IF(ISBLANK($AY479),$AX479,$AY479)*Paraméterek!$J$112))),IF($D$4="Forint",0,2))</f>
        <v>0</v>
      </c>
      <c r="BA479" s="13">
        <f ca="1">$AT479+$AV479-$AW479-IF(ROUNDDOWN(IF(ISBLANK($AY479),$AX479,$AY479),IF($D$4="Forint",0,2))&gt;$AT479+$AV479-$AW479-IF($D$4="Forint",Paraméterek!$J$114,Paraméterek!$K$114),0,ROUNDDOWN(IF(ISBLANK($AY479),$AX479,$AY479),IF($D$4="Forint",0,2))-$AZ479)</f>
        <v>0</v>
      </c>
      <c r="BB479" s="13">
        <f t="shared" ca="1" si="165"/>
        <v>0</v>
      </c>
      <c r="BD479" s="32">
        <v>460</v>
      </c>
      <c r="BE479" s="32">
        <v>39</v>
      </c>
      <c r="BF479" s="32">
        <v>4</v>
      </c>
      <c r="BG479" s="34">
        <f t="shared" ca="1" si="174"/>
        <v>2057</v>
      </c>
      <c r="BH479" s="32" t="str">
        <f ca="1">IF(MOD(MONTH($D$14)+$BD479-1,12)=Paraméterek!$C$288,"Igen","")</f>
        <v/>
      </c>
      <c r="BI479" s="13">
        <f ca="1">IF($BH479="Igen",MIN(ROUNDDOWN((SUMIF($BG$20:$BG$1027,$BG479-1,$K$20:$K$1027)-SUMIF($BG$20:$BG$1027,$BG479-1,$I$20:$I$1027))*Paraméterek!$C$289,IF($D$4="Forint",0,2)),IF($D$4="Forint",Paraméterek!$C$285,Paraméterek!$D$285)),0)</f>
        <v>0</v>
      </c>
      <c r="BJ479" s="13">
        <f t="shared" ca="1" si="166"/>
        <v>0</v>
      </c>
      <c r="BK479" s="13">
        <f t="shared" ca="1" si="175"/>
        <v>0</v>
      </c>
      <c r="BL479" s="33"/>
      <c r="BM479" s="13">
        <f t="shared" ca="1" si="167"/>
        <v>0</v>
      </c>
      <c r="BN479" s="13">
        <f ca="1">ROUNDUP(($BK479+$BM479)*VLOOKUP($BE479,Paraméterek!$P$38:$Q$38,2)/12*IF($D480="Nem",IF($M$13=0,1,$M$13),1),IF($D$4="Forint",0,2))</f>
        <v>0</v>
      </c>
      <c r="BO479" s="13">
        <f t="shared" ca="1" si="168"/>
        <v>0</v>
      </c>
      <c r="BP479" s="13">
        <f ca="1">IF($D480="Nem",$BO479,$BO479-ROUNDUP(SUM($BI$20:$BI479)*120%,IF($D$4="Forint",0,2)))</f>
        <v>0</v>
      </c>
    </row>
    <row r="480" spans="1:68" x14ac:dyDescent="0.2">
      <c r="A480" s="32">
        <v>461</v>
      </c>
      <c r="B480" s="32">
        <v>39</v>
      </c>
      <c r="C480" s="32">
        <v>5</v>
      </c>
      <c r="D480" s="32" t="str">
        <f t="shared" ca="1" si="154"/>
        <v>Nem</v>
      </c>
      <c r="E480" s="13">
        <f t="shared" ca="1" si="155"/>
        <v>0</v>
      </c>
      <c r="F480" s="13"/>
      <c r="G480" s="13"/>
      <c r="H480" s="13"/>
      <c r="I480" s="13">
        <f t="shared" ca="1" si="156"/>
        <v>0</v>
      </c>
      <c r="J480" s="13">
        <f t="shared" ca="1" si="157"/>
        <v>0</v>
      </c>
      <c r="K480" s="13">
        <f t="shared" ca="1" si="158"/>
        <v>0</v>
      </c>
      <c r="L480" s="13" t="e">
        <f ca="1">ROUNDUP(IF($D$2="Egyszeri",$E480,IF($D$2="Havi",SUM($E$20:$E$31),IF(MOD($C480,$M$1)-1=0,SUM($E$20:$E$31),0))/12*$M$1)*VLOOKUP($B480,Paraméterek!$I$28:$P$31,IF($D$2="Egyszeri",8,HLOOKUP(ROUNDUP($M$11+$M$13,0),Paraméterek!$J$26:$O$27,2))),IF($D$4="Forint",0,2))</f>
        <v>#N/A</v>
      </c>
      <c r="M480" s="13">
        <f t="shared" ca="1" si="159"/>
        <v>0</v>
      </c>
      <c r="N480" s="13">
        <f t="shared" ca="1" si="169"/>
        <v>0</v>
      </c>
      <c r="O480" s="13">
        <f ca="1">IF($D480="Igen",IF($W479&gt;=IF($D$4="Forint",Paraméterek!$J$121,Paraméterek!$K$121),0,IF($D$4="Forint",Paraméterek!$J$121,Paraméterek!$K$121)-$W479),0)</f>
        <v>0</v>
      </c>
      <c r="P480" s="13" t="e">
        <f ca="1">ROUNDUP($O480*VLOOKUP($M$4+$B480-1,Paraméterek!$H$58:$I$105,2,0)/Paraméterek!$I$56,IF($D$4="Forint",0,2))</f>
        <v>#N/A</v>
      </c>
      <c r="Q480" s="13">
        <f t="shared" ca="1" si="160"/>
        <v>0</v>
      </c>
      <c r="R480" s="33"/>
      <c r="S480" s="13" t="e">
        <f t="shared" ca="1" si="161"/>
        <v>#N/A</v>
      </c>
      <c r="T480" s="13" t="e">
        <f ca="1">ROUNDUP(($N480-$P480-$Q480+$S480)*VLOOKUP($B480,Paraméterek!$I$38:$K$39,IF($D$2="Egyszeri",3,2))/12*IF($D481="Nem",IF($M$13=0,1,$M$13),1),IF($D$4="Forint",0,2))</f>
        <v>#N/A</v>
      </c>
      <c r="U480" s="13"/>
      <c r="V480" s="13"/>
      <c r="W480" s="13" t="e">
        <f ca="1">$N480-$P480-$Q480+$S480-$T480-IF(ROUNDUP(IF(ISBLANK($V480),$U480*0,$V480)/IF($D$2="Egyszeri",VLOOKUP($B480+IF($C480=12,1,0),Paraméterek!$V$257:$W$262,2),IF($B480=1,1,VLOOKUP($B480+IF($C480=12,1,0),Paraméterek!$I$258:$T$278,HLOOKUP($M$11+1,Paraméterek!$J$256:$T$257,2)))),IF($D$4="Forint",0,2))&gt;$N480-$P480-$Q480+$S480-$T480-IF($D$4="Forint",Paraméterek!$C$216,Paraméterek!$D$216),0,ROUNDUP(IF(ISBLANK($V480),$U480*0,$V480)/IF($D$2="Egyszeri",VLOOKUP($B480+IF($C480=12,1,0),Paraméterek!$V$257:$W$262,2),IF($B480=1,1,VLOOKUP($B480+IF($C480=12,1,0),Paraméterek!$I$258:$T$278,HLOOKUP($M$11+1,Paraméterek!$J$256:$T$257,2)))),IF($D$4="Forint",0,2)))</f>
        <v>#N/A</v>
      </c>
      <c r="X480" s="13" t="e">
        <f ca="1">ROUNDDOWN($W480*IF($D$2="Egyszeri",VLOOKUP($B480+IF($C480=12,1,0),Paraméterek!$V$257:$W$262,2),VLOOKUP($B480+IF($C480=12,1,0),Paraméterek!$I$258:$T$278,HLOOKUP($M$11+1,Paraméterek!$I$256:$T$257,2))),IF($D$4="Forint",0,2))</f>
        <v>#N/A</v>
      </c>
      <c r="Z480" s="32">
        <v>461</v>
      </c>
      <c r="AA480" s="32">
        <v>39</v>
      </c>
      <c r="AB480" s="32">
        <v>5</v>
      </c>
      <c r="AC480" s="13">
        <f t="shared" ca="1" si="170"/>
        <v>0</v>
      </c>
      <c r="AD480" s="33"/>
      <c r="AE480" s="13">
        <f t="shared" ca="1" si="162"/>
        <v>0</v>
      </c>
      <c r="AF480" s="13">
        <f ca="1">ROUNDUP(($AC480+$AE480)*VLOOKUP($AA480,Paraméterek!$P$38:$Q$38,2)/12*IF($D481="Nem",IF($M$13=0,1,$M$13),1),IF($D$4="Forint",0,2))</f>
        <v>0</v>
      </c>
      <c r="AG480" s="13">
        <f ca="1">IF($D$2="Egyszeri",IF($D$7&gt;=IF($D$4="Forint",Paraméterek!$P$223,Paraméterek!$P$224),$D$7-IF($D$4="Forint",Paraméterek!$P$223,Paraméterek!$P$224),0),MIN(IF($AB480=12,AVERAGEIF($E$20:$E480,"&gt;0",$E$20:$E480)*12,0),SUM($E$20:$E$31)))</f>
        <v>0</v>
      </c>
      <c r="AH480" s="13">
        <f>IF($AA480=10,$AG480*IF($AB480=12,IF($AG480&lt;IF($D$4="Forint",Paraméterek!$L$223,Paraméterek!$L$224),0,VLOOKUP($AA480,Paraméterek!$K$226:$M$228,IF($AG480&lt;IF($D$4="Forint",Paraméterek!$M$223,Paraméterek!$M$224),2,3))),0),0)</f>
        <v>0</v>
      </c>
      <c r="AI480" s="13">
        <f ca="1">IF(AND($AA480=$M$11+1,$AB480=$M$12+1),SUMIF($AA$20:$AA$1027,$AA480,$AG$20:$AG$1027)*IF(SUMIF($AA$20:$AA$1027,$AA480,$AG$20:$AG$1027)&lt;IF($D$4="Forint",Paraméterek!$L$223,Paraméterek!$L$224),0,VLOOKUP($AA480,Paraméterek!$K$230:$M$250,IF(SUMIF($AA$20:$AA$1027,$AA480,$AG$20:$AG$1027)&lt;IF($D$4="Forint",Paraméterek!$M$223,Paraméterek!$M$224),2,3))),0)</f>
        <v>0</v>
      </c>
      <c r="AJ480" s="13">
        <f ca="1">IF(AND($AA480&gt;=5,MOD($AA480,5)=0),IF($AB480=12,VLOOKUP($AA480,Paraméterek!$O$225:$P$240,2),0),IF(OR($AA480=3,$AA480=4),IF($AB480=12,VLOOKUP($AA480,Paraméterek!$O$225:$P$240,2,0),0),0))*$AG480</f>
        <v>0</v>
      </c>
      <c r="AK480" s="13">
        <f t="shared" ca="1" si="163"/>
        <v>0</v>
      </c>
      <c r="AL480" s="13">
        <f t="shared" ca="1" si="171"/>
        <v>0</v>
      </c>
      <c r="AM480" s="13">
        <f t="shared" ca="1" si="172"/>
        <v>0</v>
      </c>
      <c r="AO480" s="32">
        <v>461</v>
      </c>
      <c r="AP480" s="32">
        <v>39</v>
      </c>
      <c r="AQ480" s="32">
        <v>5</v>
      </c>
      <c r="AR480" s="13"/>
      <c r="AS480" s="32"/>
      <c r="AT480" s="13">
        <f t="shared" ca="1" si="173"/>
        <v>0</v>
      </c>
      <c r="AU480" s="33"/>
      <c r="AV480" s="13">
        <f t="shared" ca="1" si="164"/>
        <v>0</v>
      </c>
      <c r="AW480" s="13">
        <f ca="1">ROUNDUP(($AT480+$AV480)*VLOOKUP($AP480,Paraméterek!$P$38:$Q$38,2)/12*IF($D481="Nem",IF($M$13=0,1,$M$13),1),IF($D$4="Forint",0,2))</f>
        <v>0</v>
      </c>
      <c r="AX480" s="13"/>
      <c r="AY480" s="13"/>
      <c r="AZ480" s="13">
        <f>ROUNDUP(IF(SUM($AX480:$AY480)=0,0,IF(IF(ISBLANK($AY480),$AX480,$AY480)*Paraméterek!$J$112&lt;IF($D$4="Forint",Paraméterek!$J$113,Paraméterek!$K$113),IF($D$4="Forint",Paraméterek!$J$113,Paraméterek!$K$113),IF(IF(ISBLANK($AY480),$AX480,$AY480)*Paraméterek!$J$112&gt;IF($D$4="Forint",Paraméterek!$J$114,Paraméterek!$K$114),IF($D$4="Forint",Paraméterek!$J$114,Paraméterek!$K$114),IF(ISBLANK($AY480),$AX480,$AY480)*Paraméterek!$J$112))),IF($D$4="Forint",0,2))</f>
        <v>0</v>
      </c>
      <c r="BA480" s="13">
        <f ca="1">$AT480+$AV480-$AW480-IF(ROUNDDOWN(IF(ISBLANK($AY480),$AX480,$AY480),IF($D$4="Forint",0,2))&gt;$AT480+$AV480-$AW480-IF($D$4="Forint",Paraméterek!$J$114,Paraméterek!$K$114),0,ROUNDDOWN(IF(ISBLANK($AY480),$AX480,$AY480),IF($D$4="Forint",0,2))-$AZ480)</f>
        <v>0</v>
      </c>
      <c r="BB480" s="13">
        <f t="shared" ca="1" si="165"/>
        <v>0</v>
      </c>
      <c r="BD480" s="32">
        <v>461</v>
      </c>
      <c r="BE480" s="32">
        <v>39</v>
      </c>
      <c r="BF480" s="32">
        <v>5</v>
      </c>
      <c r="BG480" s="34">
        <f t="shared" ca="1" si="174"/>
        <v>2057</v>
      </c>
      <c r="BH480" s="32" t="str">
        <f ca="1">IF(MOD(MONTH($D$14)+$BD480-1,12)=Paraméterek!$C$288,"Igen","")</f>
        <v/>
      </c>
      <c r="BI480" s="13">
        <f ca="1">IF($BH480="Igen",MIN(ROUNDDOWN((SUMIF($BG$20:$BG$1027,$BG480-1,$K$20:$K$1027)-SUMIF($BG$20:$BG$1027,$BG480-1,$I$20:$I$1027))*Paraméterek!$C$289,IF($D$4="Forint",0,2)),IF($D$4="Forint",Paraméterek!$C$285,Paraméterek!$D$285)),0)</f>
        <v>0</v>
      </c>
      <c r="BJ480" s="13">
        <f t="shared" ca="1" si="166"/>
        <v>0</v>
      </c>
      <c r="BK480" s="13">
        <f t="shared" ca="1" si="175"/>
        <v>0</v>
      </c>
      <c r="BL480" s="33"/>
      <c r="BM480" s="13">
        <f t="shared" ca="1" si="167"/>
        <v>0</v>
      </c>
      <c r="BN480" s="13">
        <f ca="1">ROUNDUP(($BK480+$BM480)*VLOOKUP($BE480,Paraméterek!$P$38:$Q$38,2)/12*IF($D481="Nem",IF($M$13=0,1,$M$13),1),IF($D$4="Forint",0,2))</f>
        <v>0</v>
      </c>
      <c r="BO480" s="13">
        <f t="shared" ca="1" si="168"/>
        <v>0</v>
      </c>
      <c r="BP480" s="13">
        <f ca="1">IF($D481="Nem",$BO480,$BO480-ROUNDUP(SUM($BI$20:$BI480)*120%,IF($D$4="Forint",0,2)))</f>
        <v>0</v>
      </c>
    </row>
    <row r="481" spans="1:68" x14ac:dyDescent="0.2">
      <c r="A481" s="32">
        <v>462</v>
      </c>
      <c r="B481" s="32">
        <v>39</v>
      </c>
      <c r="C481" s="32">
        <v>6</v>
      </c>
      <c r="D481" s="32" t="str">
        <f t="shared" ca="1" si="154"/>
        <v>Nem</v>
      </c>
      <c r="E481" s="13">
        <f t="shared" ca="1" si="155"/>
        <v>0</v>
      </c>
      <c r="F481" s="13"/>
      <c r="G481" s="13"/>
      <c r="H481" s="13"/>
      <c r="I481" s="13">
        <f t="shared" ca="1" si="156"/>
        <v>0</v>
      </c>
      <c r="J481" s="13">
        <f t="shared" ca="1" si="157"/>
        <v>0</v>
      </c>
      <c r="K481" s="13">
        <f t="shared" ca="1" si="158"/>
        <v>0</v>
      </c>
      <c r="L481" s="13" t="e">
        <f ca="1">ROUNDUP(IF($D$2="Egyszeri",$E481,IF($D$2="Havi",SUM($E$20:$E$31),IF(MOD($C481,$M$1)-1=0,SUM($E$20:$E$31),0))/12*$M$1)*VLOOKUP($B481,Paraméterek!$I$28:$P$31,IF($D$2="Egyszeri",8,HLOOKUP(ROUNDUP($M$11+$M$13,0),Paraméterek!$J$26:$O$27,2))),IF($D$4="Forint",0,2))</f>
        <v>#N/A</v>
      </c>
      <c r="M481" s="13">
        <f t="shared" ca="1" si="159"/>
        <v>0</v>
      </c>
      <c r="N481" s="13">
        <f t="shared" ca="1" si="169"/>
        <v>0</v>
      </c>
      <c r="O481" s="13">
        <f ca="1">IF($D481="Igen",IF($W480&gt;=IF($D$4="Forint",Paraméterek!$J$121,Paraméterek!$K$121),0,IF($D$4="Forint",Paraméterek!$J$121,Paraméterek!$K$121)-$W480),0)</f>
        <v>0</v>
      </c>
      <c r="P481" s="13" t="e">
        <f ca="1">ROUNDUP($O481*VLOOKUP($M$4+$B481-1,Paraméterek!$H$58:$I$105,2,0)/Paraméterek!$I$56,IF($D$4="Forint",0,2))</f>
        <v>#N/A</v>
      </c>
      <c r="Q481" s="13">
        <f t="shared" ca="1" si="160"/>
        <v>0</v>
      </c>
      <c r="R481" s="33"/>
      <c r="S481" s="13" t="e">
        <f t="shared" ca="1" si="161"/>
        <v>#N/A</v>
      </c>
      <c r="T481" s="13" t="e">
        <f ca="1">ROUNDUP(($N481-$P481-$Q481+$S481)*VLOOKUP($B481,Paraméterek!$I$38:$K$39,IF($D$2="Egyszeri",3,2))/12*IF($D482="Nem",IF($M$13=0,1,$M$13),1),IF($D$4="Forint",0,2))</f>
        <v>#N/A</v>
      </c>
      <c r="U481" s="13"/>
      <c r="V481" s="13"/>
      <c r="W481" s="13" t="e">
        <f ca="1">$N481-$P481-$Q481+$S481-$T481-IF(ROUNDUP(IF(ISBLANK($V481),$U481*0,$V481)/IF($D$2="Egyszeri",VLOOKUP($B481+IF($C481=12,1,0),Paraméterek!$V$257:$W$262,2),IF($B481=1,1,VLOOKUP($B481+IF($C481=12,1,0),Paraméterek!$I$258:$T$278,HLOOKUP($M$11+1,Paraméterek!$J$256:$T$257,2)))),IF($D$4="Forint",0,2))&gt;$N481-$P481-$Q481+$S481-$T481-IF($D$4="Forint",Paraméterek!$C$216,Paraméterek!$D$216),0,ROUNDUP(IF(ISBLANK($V481),$U481*0,$V481)/IF($D$2="Egyszeri",VLOOKUP($B481+IF($C481=12,1,0),Paraméterek!$V$257:$W$262,2),IF($B481=1,1,VLOOKUP($B481+IF($C481=12,1,0),Paraméterek!$I$258:$T$278,HLOOKUP($M$11+1,Paraméterek!$J$256:$T$257,2)))),IF($D$4="Forint",0,2)))</f>
        <v>#N/A</v>
      </c>
      <c r="X481" s="13" t="e">
        <f ca="1">ROUNDDOWN($W481*IF($D$2="Egyszeri",VLOOKUP($B481+IF($C481=12,1,0),Paraméterek!$V$257:$W$262,2),VLOOKUP($B481+IF($C481=12,1,0),Paraméterek!$I$258:$T$278,HLOOKUP($M$11+1,Paraméterek!$I$256:$T$257,2))),IF($D$4="Forint",0,2))</f>
        <v>#N/A</v>
      </c>
      <c r="Z481" s="32">
        <v>462</v>
      </c>
      <c r="AA481" s="32">
        <v>39</v>
      </c>
      <c r="AB481" s="32">
        <v>6</v>
      </c>
      <c r="AC481" s="13">
        <f t="shared" ca="1" si="170"/>
        <v>0</v>
      </c>
      <c r="AD481" s="33"/>
      <c r="AE481" s="13">
        <f t="shared" ca="1" si="162"/>
        <v>0</v>
      </c>
      <c r="AF481" s="13">
        <f ca="1">ROUNDUP(($AC481+$AE481)*VLOOKUP($AA481,Paraméterek!$P$38:$Q$38,2)/12*IF($D482="Nem",IF($M$13=0,1,$M$13),1),IF($D$4="Forint",0,2))</f>
        <v>0</v>
      </c>
      <c r="AG481" s="13">
        <f ca="1">IF($D$2="Egyszeri",IF($D$7&gt;=IF($D$4="Forint",Paraméterek!$P$223,Paraméterek!$P$224),$D$7-IF($D$4="Forint",Paraméterek!$P$223,Paraméterek!$P$224),0),MIN(IF($AB481=12,AVERAGEIF($E$20:$E481,"&gt;0",$E$20:$E481)*12,0),SUM($E$20:$E$31)))</f>
        <v>0</v>
      </c>
      <c r="AH481" s="13">
        <f>IF($AA481=10,$AG481*IF($AB481=12,IF($AG481&lt;IF($D$4="Forint",Paraméterek!$L$223,Paraméterek!$L$224),0,VLOOKUP($AA481,Paraméterek!$K$226:$M$228,IF($AG481&lt;IF($D$4="Forint",Paraméterek!$M$223,Paraméterek!$M$224),2,3))),0),0)</f>
        <v>0</v>
      </c>
      <c r="AI481" s="13">
        <f ca="1">IF(AND($AA481=$M$11+1,$AB481=$M$12+1),SUMIF($AA$20:$AA$1027,$AA481,$AG$20:$AG$1027)*IF(SUMIF($AA$20:$AA$1027,$AA481,$AG$20:$AG$1027)&lt;IF($D$4="Forint",Paraméterek!$L$223,Paraméterek!$L$224),0,VLOOKUP($AA481,Paraméterek!$K$230:$M$250,IF(SUMIF($AA$20:$AA$1027,$AA481,$AG$20:$AG$1027)&lt;IF($D$4="Forint",Paraméterek!$M$223,Paraméterek!$M$224),2,3))),0)</f>
        <v>0</v>
      </c>
      <c r="AJ481" s="13">
        <f ca="1">IF(AND($AA481&gt;=5,MOD($AA481,5)=0),IF($AB481=12,VLOOKUP($AA481,Paraméterek!$O$225:$P$240,2),0),IF(OR($AA481=3,$AA481=4),IF($AB481=12,VLOOKUP($AA481,Paraméterek!$O$225:$P$240,2,0),0),0))*$AG481</f>
        <v>0</v>
      </c>
      <c r="AK481" s="13">
        <f t="shared" ca="1" si="163"/>
        <v>0</v>
      </c>
      <c r="AL481" s="13">
        <f t="shared" ca="1" si="171"/>
        <v>0</v>
      </c>
      <c r="AM481" s="13">
        <f t="shared" ca="1" si="172"/>
        <v>0</v>
      </c>
      <c r="AO481" s="32">
        <v>462</v>
      </c>
      <c r="AP481" s="32">
        <v>39</v>
      </c>
      <c r="AQ481" s="32">
        <v>6</v>
      </c>
      <c r="AR481" s="13"/>
      <c r="AS481" s="32"/>
      <c r="AT481" s="13">
        <f t="shared" ca="1" si="173"/>
        <v>0</v>
      </c>
      <c r="AU481" s="33"/>
      <c r="AV481" s="13">
        <f t="shared" ca="1" si="164"/>
        <v>0</v>
      </c>
      <c r="AW481" s="13">
        <f ca="1">ROUNDUP(($AT481+$AV481)*VLOOKUP($AP481,Paraméterek!$P$38:$Q$38,2)/12*IF($D482="Nem",IF($M$13=0,1,$M$13),1),IF($D$4="Forint",0,2))</f>
        <v>0</v>
      </c>
      <c r="AX481" s="13"/>
      <c r="AY481" s="13"/>
      <c r="AZ481" s="13">
        <f>ROUNDUP(IF(SUM($AX481:$AY481)=0,0,IF(IF(ISBLANK($AY481),$AX481,$AY481)*Paraméterek!$J$112&lt;IF($D$4="Forint",Paraméterek!$J$113,Paraméterek!$K$113),IF($D$4="Forint",Paraméterek!$J$113,Paraméterek!$K$113),IF(IF(ISBLANK($AY481),$AX481,$AY481)*Paraméterek!$J$112&gt;IF($D$4="Forint",Paraméterek!$J$114,Paraméterek!$K$114),IF($D$4="Forint",Paraméterek!$J$114,Paraméterek!$K$114),IF(ISBLANK($AY481),$AX481,$AY481)*Paraméterek!$J$112))),IF($D$4="Forint",0,2))</f>
        <v>0</v>
      </c>
      <c r="BA481" s="13">
        <f ca="1">$AT481+$AV481-$AW481-IF(ROUNDDOWN(IF(ISBLANK($AY481),$AX481,$AY481),IF($D$4="Forint",0,2))&gt;$AT481+$AV481-$AW481-IF($D$4="Forint",Paraméterek!$J$114,Paraméterek!$K$114),0,ROUNDDOWN(IF(ISBLANK($AY481),$AX481,$AY481),IF($D$4="Forint",0,2))-$AZ481)</f>
        <v>0</v>
      </c>
      <c r="BB481" s="13">
        <f t="shared" ca="1" si="165"/>
        <v>0</v>
      </c>
      <c r="BD481" s="32">
        <v>462</v>
      </c>
      <c r="BE481" s="32">
        <v>39</v>
      </c>
      <c r="BF481" s="32">
        <v>6</v>
      </c>
      <c r="BG481" s="34">
        <f t="shared" ca="1" si="174"/>
        <v>2057</v>
      </c>
      <c r="BH481" s="32" t="str">
        <f ca="1">IF(MOD(MONTH($D$14)+$BD481-1,12)=Paraméterek!$C$288,"Igen","")</f>
        <v/>
      </c>
      <c r="BI481" s="13">
        <f ca="1">IF($BH481="Igen",MIN(ROUNDDOWN((SUMIF($BG$20:$BG$1027,$BG481-1,$K$20:$K$1027)-SUMIF($BG$20:$BG$1027,$BG481-1,$I$20:$I$1027))*Paraméterek!$C$289,IF($D$4="Forint",0,2)),IF($D$4="Forint",Paraméterek!$C$285,Paraméterek!$D$285)),0)</f>
        <v>0</v>
      </c>
      <c r="BJ481" s="13">
        <f t="shared" ca="1" si="166"/>
        <v>0</v>
      </c>
      <c r="BK481" s="13">
        <f t="shared" ca="1" si="175"/>
        <v>0</v>
      </c>
      <c r="BL481" s="33"/>
      <c r="BM481" s="13">
        <f t="shared" ca="1" si="167"/>
        <v>0</v>
      </c>
      <c r="BN481" s="13">
        <f ca="1">ROUNDUP(($BK481+$BM481)*VLOOKUP($BE481,Paraméterek!$P$38:$Q$38,2)/12*IF($D482="Nem",IF($M$13=0,1,$M$13),1),IF($D$4="Forint",0,2))</f>
        <v>0</v>
      </c>
      <c r="BO481" s="13">
        <f t="shared" ca="1" si="168"/>
        <v>0</v>
      </c>
      <c r="BP481" s="13">
        <f ca="1">IF($D482="Nem",$BO481,$BO481-ROUNDUP(SUM($BI$20:$BI481)*120%,IF($D$4="Forint",0,2)))</f>
        <v>0</v>
      </c>
    </row>
    <row r="482" spans="1:68" x14ac:dyDescent="0.2">
      <c r="A482" s="32">
        <v>463</v>
      </c>
      <c r="B482" s="32">
        <v>39</v>
      </c>
      <c r="C482" s="32">
        <v>7</v>
      </c>
      <c r="D482" s="32" t="str">
        <f t="shared" ca="1" si="154"/>
        <v>Nem</v>
      </c>
      <c r="E482" s="13">
        <f t="shared" ca="1" si="155"/>
        <v>0</v>
      </c>
      <c r="F482" s="13"/>
      <c r="G482" s="13"/>
      <c r="H482" s="13"/>
      <c r="I482" s="13">
        <f t="shared" ca="1" si="156"/>
        <v>0</v>
      </c>
      <c r="J482" s="13">
        <f t="shared" ca="1" si="157"/>
        <v>0</v>
      </c>
      <c r="K482" s="13">
        <f t="shared" ca="1" si="158"/>
        <v>0</v>
      </c>
      <c r="L482" s="13" t="e">
        <f ca="1">ROUNDUP(IF($D$2="Egyszeri",$E482,IF($D$2="Havi",SUM($E$20:$E$31),IF(MOD($C482,$M$1)-1=0,SUM($E$20:$E$31),0))/12*$M$1)*VLOOKUP($B482,Paraméterek!$I$28:$P$31,IF($D$2="Egyszeri",8,HLOOKUP(ROUNDUP($M$11+$M$13,0),Paraméterek!$J$26:$O$27,2))),IF($D$4="Forint",0,2))</f>
        <v>#N/A</v>
      </c>
      <c r="M482" s="13">
        <f t="shared" ca="1" si="159"/>
        <v>0</v>
      </c>
      <c r="N482" s="13">
        <f t="shared" ca="1" si="169"/>
        <v>0</v>
      </c>
      <c r="O482" s="13">
        <f ca="1">IF($D482="Igen",IF($W481&gt;=IF($D$4="Forint",Paraméterek!$J$121,Paraméterek!$K$121),0,IF($D$4="Forint",Paraméterek!$J$121,Paraméterek!$K$121)-$W481),0)</f>
        <v>0</v>
      </c>
      <c r="P482" s="13" t="e">
        <f ca="1">ROUNDUP($O482*VLOOKUP($M$4+$B482-1,Paraméterek!$H$58:$I$105,2,0)/Paraméterek!$I$56,IF($D$4="Forint",0,2))</f>
        <v>#N/A</v>
      </c>
      <c r="Q482" s="13">
        <f t="shared" ca="1" si="160"/>
        <v>0</v>
      </c>
      <c r="R482" s="33"/>
      <c r="S482" s="13" t="e">
        <f t="shared" ca="1" si="161"/>
        <v>#N/A</v>
      </c>
      <c r="T482" s="13" t="e">
        <f ca="1">ROUNDUP(($N482-$P482-$Q482+$S482)*VLOOKUP($B482,Paraméterek!$I$38:$K$39,IF($D$2="Egyszeri",3,2))/12*IF($D483="Nem",IF($M$13=0,1,$M$13),1),IF($D$4="Forint",0,2))</f>
        <v>#N/A</v>
      </c>
      <c r="U482" s="13"/>
      <c r="V482" s="13"/>
      <c r="W482" s="13" t="e">
        <f ca="1">$N482-$P482-$Q482+$S482-$T482-IF(ROUNDUP(IF(ISBLANK($V482),$U482*0,$V482)/IF($D$2="Egyszeri",VLOOKUP($B482+IF($C482=12,1,0),Paraméterek!$V$257:$W$262,2),IF($B482=1,1,VLOOKUP($B482+IF($C482=12,1,0),Paraméterek!$I$258:$T$278,HLOOKUP($M$11+1,Paraméterek!$J$256:$T$257,2)))),IF($D$4="Forint",0,2))&gt;$N482-$P482-$Q482+$S482-$T482-IF($D$4="Forint",Paraméterek!$C$216,Paraméterek!$D$216),0,ROUNDUP(IF(ISBLANK($V482),$U482*0,$V482)/IF($D$2="Egyszeri",VLOOKUP($B482+IF($C482=12,1,0),Paraméterek!$V$257:$W$262,2),IF($B482=1,1,VLOOKUP($B482+IF($C482=12,1,0),Paraméterek!$I$258:$T$278,HLOOKUP($M$11+1,Paraméterek!$J$256:$T$257,2)))),IF($D$4="Forint",0,2)))</f>
        <v>#N/A</v>
      </c>
      <c r="X482" s="13" t="e">
        <f ca="1">ROUNDDOWN($W482*IF($D$2="Egyszeri",VLOOKUP($B482+IF($C482=12,1,0),Paraméterek!$V$257:$W$262,2),VLOOKUP($B482+IF($C482=12,1,0),Paraméterek!$I$258:$T$278,HLOOKUP($M$11+1,Paraméterek!$I$256:$T$257,2))),IF($D$4="Forint",0,2))</f>
        <v>#N/A</v>
      </c>
      <c r="Z482" s="32">
        <v>463</v>
      </c>
      <c r="AA482" s="32">
        <v>39</v>
      </c>
      <c r="AB482" s="32">
        <v>7</v>
      </c>
      <c r="AC482" s="13">
        <f t="shared" ca="1" si="170"/>
        <v>0</v>
      </c>
      <c r="AD482" s="33"/>
      <c r="AE482" s="13">
        <f t="shared" ca="1" si="162"/>
        <v>0</v>
      </c>
      <c r="AF482" s="13">
        <f ca="1">ROUNDUP(($AC482+$AE482)*VLOOKUP($AA482,Paraméterek!$P$38:$Q$38,2)/12*IF($D483="Nem",IF($M$13=0,1,$M$13),1),IF($D$4="Forint",0,2))</f>
        <v>0</v>
      </c>
      <c r="AG482" s="13">
        <f ca="1">IF($D$2="Egyszeri",IF($D$7&gt;=IF($D$4="Forint",Paraméterek!$P$223,Paraméterek!$P$224),$D$7-IF($D$4="Forint",Paraméterek!$P$223,Paraméterek!$P$224),0),MIN(IF($AB482=12,AVERAGEIF($E$20:$E482,"&gt;0",$E$20:$E482)*12,0),SUM($E$20:$E$31)))</f>
        <v>0</v>
      </c>
      <c r="AH482" s="13">
        <f>IF($AA482=10,$AG482*IF($AB482=12,IF($AG482&lt;IF($D$4="Forint",Paraméterek!$L$223,Paraméterek!$L$224),0,VLOOKUP($AA482,Paraméterek!$K$226:$M$228,IF($AG482&lt;IF($D$4="Forint",Paraméterek!$M$223,Paraméterek!$M$224),2,3))),0),0)</f>
        <v>0</v>
      </c>
      <c r="AI482" s="13">
        <f ca="1">IF(AND($AA482=$M$11+1,$AB482=$M$12+1),SUMIF($AA$20:$AA$1027,$AA482,$AG$20:$AG$1027)*IF(SUMIF($AA$20:$AA$1027,$AA482,$AG$20:$AG$1027)&lt;IF($D$4="Forint",Paraméterek!$L$223,Paraméterek!$L$224),0,VLOOKUP($AA482,Paraméterek!$K$230:$M$250,IF(SUMIF($AA$20:$AA$1027,$AA482,$AG$20:$AG$1027)&lt;IF($D$4="Forint",Paraméterek!$M$223,Paraméterek!$M$224),2,3))),0)</f>
        <v>0</v>
      </c>
      <c r="AJ482" s="13">
        <f ca="1">IF(AND($AA482&gt;=5,MOD($AA482,5)=0),IF($AB482=12,VLOOKUP($AA482,Paraméterek!$O$225:$P$240,2),0),IF(OR($AA482=3,$AA482=4),IF($AB482=12,VLOOKUP($AA482,Paraméterek!$O$225:$P$240,2,0),0),0))*$AG482</f>
        <v>0</v>
      </c>
      <c r="AK482" s="13">
        <f t="shared" ca="1" si="163"/>
        <v>0</v>
      </c>
      <c r="AL482" s="13">
        <f t="shared" ca="1" si="171"/>
        <v>0</v>
      </c>
      <c r="AM482" s="13">
        <f t="shared" ca="1" si="172"/>
        <v>0</v>
      </c>
      <c r="AO482" s="32">
        <v>463</v>
      </c>
      <c r="AP482" s="32">
        <v>39</v>
      </c>
      <c r="AQ482" s="32">
        <v>7</v>
      </c>
      <c r="AR482" s="13"/>
      <c r="AS482" s="32"/>
      <c r="AT482" s="13">
        <f t="shared" ca="1" si="173"/>
        <v>0</v>
      </c>
      <c r="AU482" s="33"/>
      <c r="AV482" s="13">
        <f t="shared" ca="1" si="164"/>
        <v>0</v>
      </c>
      <c r="AW482" s="13">
        <f ca="1">ROUNDUP(($AT482+$AV482)*VLOOKUP($AP482,Paraméterek!$P$38:$Q$38,2)/12*IF($D483="Nem",IF($M$13=0,1,$M$13),1),IF($D$4="Forint",0,2))</f>
        <v>0</v>
      </c>
      <c r="AX482" s="13"/>
      <c r="AY482" s="13"/>
      <c r="AZ482" s="13">
        <f>ROUNDUP(IF(SUM($AX482:$AY482)=0,0,IF(IF(ISBLANK($AY482),$AX482,$AY482)*Paraméterek!$J$112&lt;IF($D$4="Forint",Paraméterek!$J$113,Paraméterek!$K$113),IF($D$4="Forint",Paraméterek!$J$113,Paraméterek!$K$113),IF(IF(ISBLANK($AY482),$AX482,$AY482)*Paraméterek!$J$112&gt;IF($D$4="Forint",Paraméterek!$J$114,Paraméterek!$K$114),IF($D$4="Forint",Paraméterek!$J$114,Paraméterek!$K$114),IF(ISBLANK($AY482),$AX482,$AY482)*Paraméterek!$J$112))),IF($D$4="Forint",0,2))</f>
        <v>0</v>
      </c>
      <c r="BA482" s="13">
        <f ca="1">$AT482+$AV482-$AW482-IF(ROUNDDOWN(IF(ISBLANK($AY482),$AX482,$AY482),IF($D$4="Forint",0,2))&gt;$AT482+$AV482-$AW482-IF($D$4="Forint",Paraméterek!$J$114,Paraméterek!$K$114),0,ROUNDDOWN(IF(ISBLANK($AY482),$AX482,$AY482),IF($D$4="Forint",0,2))-$AZ482)</f>
        <v>0</v>
      </c>
      <c r="BB482" s="13">
        <f t="shared" ca="1" si="165"/>
        <v>0</v>
      </c>
      <c r="BD482" s="32">
        <v>463</v>
      </c>
      <c r="BE482" s="32">
        <v>39</v>
      </c>
      <c r="BF482" s="32">
        <v>7</v>
      </c>
      <c r="BG482" s="34">
        <f t="shared" ca="1" si="174"/>
        <v>2057</v>
      </c>
      <c r="BH482" s="32" t="str">
        <f ca="1">IF(MOD(MONTH($D$14)+$BD482-1,12)=Paraméterek!$C$288,"Igen","")</f>
        <v/>
      </c>
      <c r="BI482" s="13">
        <f ca="1">IF($BH482="Igen",MIN(ROUNDDOWN((SUMIF($BG$20:$BG$1027,$BG482-1,$K$20:$K$1027)-SUMIF($BG$20:$BG$1027,$BG482-1,$I$20:$I$1027))*Paraméterek!$C$289,IF($D$4="Forint",0,2)),IF($D$4="Forint",Paraméterek!$C$285,Paraméterek!$D$285)),0)</f>
        <v>0</v>
      </c>
      <c r="BJ482" s="13">
        <f t="shared" ca="1" si="166"/>
        <v>0</v>
      </c>
      <c r="BK482" s="13">
        <f t="shared" ca="1" si="175"/>
        <v>0</v>
      </c>
      <c r="BL482" s="33"/>
      <c r="BM482" s="13">
        <f t="shared" ca="1" si="167"/>
        <v>0</v>
      </c>
      <c r="BN482" s="13">
        <f ca="1">ROUNDUP(($BK482+$BM482)*VLOOKUP($BE482,Paraméterek!$P$38:$Q$38,2)/12*IF($D483="Nem",IF($M$13=0,1,$M$13),1),IF($D$4="Forint",0,2))</f>
        <v>0</v>
      </c>
      <c r="BO482" s="13">
        <f t="shared" ca="1" si="168"/>
        <v>0</v>
      </c>
      <c r="BP482" s="13">
        <f ca="1">IF($D483="Nem",$BO482,$BO482-ROUNDUP(SUM($BI$20:$BI482)*120%,IF($D$4="Forint",0,2)))</f>
        <v>0</v>
      </c>
    </row>
    <row r="483" spans="1:68" x14ac:dyDescent="0.2">
      <c r="A483" s="32">
        <v>464</v>
      </c>
      <c r="B483" s="32">
        <v>39</v>
      </c>
      <c r="C483" s="32">
        <v>8</v>
      </c>
      <c r="D483" s="32" t="str">
        <f t="shared" ca="1" si="154"/>
        <v>Nem</v>
      </c>
      <c r="E483" s="13">
        <f t="shared" ca="1" si="155"/>
        <v>0</v>
      </c>
      <c r="F483" s="13"/>
      <c r="G483" s="13"/>
      <c r="H483" s="13"/>
      <c r="I483" s="13">
        <f t="shared" ca="1" si="156"/>
        <v>0</v>
      </c>
      <c r="J483" s="13">
        <f t="shared" ca="1" si="157"/>
        <v>0</v>
      </c>
      <c r="K483" s="13">
        <f t="shared" ca="1" si="158"/>
        <v>0</v>
      </c>
      <c r="L483" s="13" t="e">
        <f ca="1">ROUNDUP(IF($D$2="Egyszeri",$E483,IF($D$2="Havi",SUM($E$20:$E$31),IF(MOD($C483,$M$1)-1=0,SUM($E$20:$E$31),0))/12*$M$1)*VLOOKUP($B483,Paraméterek!$I$28:$P$31,IF($D$2="Egyszeri",8,HLOOKUP(ROUNDUP($M$11+$M$13,0),Paraméterek!$J$26:$O$27,2))),IF($D$4="Forint",0,2))</f>
        <v>#N/A</v>
      </c>
      <c r="M483" s="13">
        <f t="shared" ca="1" si="159"/>
        <v>0</v>
      </c>
      <c r="N483" s="13">
        <f t="shared" ca="1" si="169"/>
        <v>0</v>
      </c>
      <c r="O483" s="13">
        <f ca="1">IF($D483="Igen",IF($W482&gt;=IF($D$4="Forint",Paraméterek!$J$121,Paraméterek!$K$121),0,IF($D$4="Forint",Paraméterek!$J$121,Paraméterek!$K$121)-$W482),0)</f>
        <v>0</v>
      </c>
      <c r="P483" s="13" t="e">
        <f ca="1">ROUNDUP($O483*VLOOKUP($M$4+$B483-1,Paraméterek!$H$58:$I$105,2,0)/Paraméterek!$I$56,IF($D$4="Forint",0,2))</f>
        <v>#N/A</v>
      </c>
      <c r="Q483" s="13">
        <f t="shared" ca="1" si="160"/>
        <v>0</v>
      </c>
      <c r="R483" s="33"/>
      <c r="S483" s="13" t="e">
        <f t="shared" ca="1" si="161"/>
        <v>#N/A</v>
      </c>
      <c r="T483" s="13" t="e">
        <f ca="1">ROUNDUP(($N483-$P483-$Q483+$S483)*VLOOKUP($B483,Paraméterek!$I$38:$K$39,IF($D$2="Egyszeri",3,2))/12*IF($D484="Nem",IF($M$13=0,1,$M$13),1),IF($D$4="Forint",0,2))</f>
        <v>#N/A</v>
      </c>
      <c r="U483" s="13"/>
      <c r="V483" s="13"/>
      <c r="W483" s="13" t="e">
        <f ca="1">$N483-$P483-$Q483+$S483-$T483-IF(ROUNDUP(IF(ISBLANK($V483),$U483*0,$V483)/IF($D$2="Egyszeri",VLOOKUP($B483+IF($C483=12,1,0),Paraméterek!$V$257:$W$262,2),IF($B483=1,1,VLOOKUP($B483+IF($C483=12,1,0),Paraméterek!$I$258:$T$278,HLOOKUP($M$11+1,Paraméterek!$J$256:$T$257,2)))),IF($D$4="Forint",0,2))&gt;$N483-$P483-$Q483+$S483-$T483-IF($D$4="Forint",Paraméterek!$C$216,Paraméterek!$D$216),0,ROUNDUP(IF(ISBLANK($V483),$U483*0,$V483)/IF($D$2="Egyszeri",VLOOKUP($B483+IF($C483=12,1,0),Paraméterek!$V$257:$W$262,2),IF($B483=1,1,VLOOKUP($B483+IF($C483=12,1,0),Paraméterek!$I$258:$T$278,HLOOKUP($M$11+1,Paraméterek!$J$256:$T$257,2)))),IF($D$4="Forint",0,2)))</f>
        <v>#N/A</v>
      </c>
      <c r="X483" s="13" t="e">
        <f ca="1">ROUNDDOWN($W483*IF($D$2="Egyszeri",VLOOKUP($B483+IF($C483=12,1,0),Paraméterek!$V$257:$W$262,2),VLOOKUP($B483+IF($C483=12,1,0),Paraméterek!$I$258:$T$278,HLOOKUP($M$11+1,Paraméterek!$I$256:$T$257,2))),IF($D$4="Forint",0,2))</f>
        <v>#N/A</v>
      </c>
      <c r="Z483" s="32">
        <v>464</v>
      </c>
      <c r="AA483" s="32">
        <v>39</v>
      </c>
      <c r="AB483" s="32">
        <v>8</v>
      </c>
      <c r="AC483" s="13">
        <f t="shared" ca="1" si="170"/>
        <v>0</v>
      </c>
      <c r="AD483" s="33"/>
      <c r="AE483" s="13">
        <f t="shared" ca="1" si="162"/>
        <v>0</v>
      </c>
      <c r="AF483" s="13">
        <f ca="1">ROUNDUP(($AC483+$AE483)*VLOOKUP($AA483,Paraméterek!$P$38:$Q$38,2)/12*IF($D484="Nem",IF($M$13=0,1,$M$13),1),IF($D$4="Forint",0,2))</f>
        <v>0</v>
      </c>
      <c r="AG483" s="13">
        <f ca="1">IF($D$2="Egyszeri",IF($D$7&gt;=IF($D$4="Forint",Paraméterek!$P$223,Paraméterek!$P$224),$D$7-IF($D$4="Forint",Paraméterek!$P$223,Paraméterek!$P$224),0),MIN(IF($AB483=12,AVERAGEIF($E$20:$E483,"&gt;0",$E$20:$E483)*12,0),SUM($E$20:$E$31)))</f>
        <v>0</v>
      </c>
      <c r="AH483" s="13">
        <f>IF($AA483=10,$AG483*IF($AB483=12,IF($AG483&lt;IF($D$4="Forint",Paraméterek!$L$223,Paraméterek!$L$224),0,VLOOKUP($AA483,Paraméterek!$K$226:$M$228,IF($AG483&lt;IF($D$4="Forint",Paraméterek!$M$223,Paraméterek!$M$224),2,3))),0),0)</f>
        <v>0</v>
      </c>
      <c r="AI483" s="13">
        <f ca="1">IF(AND($AA483=$M$11+1,$AB483=$M$12+1),SUMIF($AA$20:$AA$1027,$AA483,$AG$20:$AG$1027)*IF(SUMIF($AA$20:$AA$1027,$AA483,$AG$20:$AG$1027)&lt;IF($D$4="Forint",Paraméterek!$L$223,Paraméterek!$L$224),0,VLOOKUP($AA483,Paraméterek!$K$230:$M$250,IF(SUMIF($AA$20:$AA$1027,$AA483,$AG$20:$AG$1027)&lt;IF($D$4="Forint",Paraméterek!$M$223,Paraméterek!$M$224),2,3))),0)</f>
        <v>0</v>
      </c>
      <c r="AJ483" s="13">
        <f ca="1">IF(AND($AA483&gt;=5,MOD($AA483,5)=0),IF($AB483=12,VLOOKUP($AA483,Paraméterek!$O$225:$P$240,2),0),IF(OR($AA483=3,$AA483=4),IF($AB483=12,VLOOKUP($AA483,Paraméterek!$O$225:$P$240,2,0),0),0))*$AG483</f>
        <v>0</v>
      </c>
      <c r="AK483" s="13">
        <f t="shared" ca="1" si="163"/>
        <v>0</v>
      </c>
      <c r="AL483" s="13">
        <f t="shared" ca="1" si="171"/>
        <v>0</v>
      </c>
      <c r="AM483" s="13">
        <f t="shared" ca="1" si="172"/>
        <v>0</v>
      </c>
      <c r="AO483" s="32">
        <v>464</v>
      </c>
      <c r="AP483" s="32">
        <v>39</v>
      </c>
      <c r="AQ483" s="32">
        <v>8</v>
      </c>
      <c r="AR483" s="13"/>
      <c r="AS483" s="32"/>
      <c r="AT483" s="13">
        <f t="shared" ca="1" si="173"/>
        <v>0</v>
      </c>
      <c r="AU483" s="33"/>
      <c r="AV483" s="13">
        <f t="shared" ca="1" si="164"/>
        <v>0</v>
      </c>
      <c r="AW483" s="13">
        <f ca="1">ROUNDUP(($AT483+$AV483)*VLOOKUP($AP483,Paraméterek!$P$38:$Q$38,2)/12*IF($D484="Nem",IF($M$13=0,1,$M$13),1),IF($D$4="Forint",0,2))</f>
        <v>0</v>
      </c>
      <c r="AX483" s="13"/>
      <c r="AY483" s="13"/>
      <c r="AZ483" s="13">
        <f>ROUNDUP(IF(SUM($AX483:$AY483)=0,0,IF(IF(ISBLANK($AY483),$AX483,$AY483)*Paraméterek!$J$112&lt;IF($D$4="Forint",Paraméterek!$J$113,Paraméterek!$K$113),IF($D$4="Forint",Paraméterek!$J$113,Paraméterek!$K$113),IF(IF(ISBLANK($AY483),$AX483,$AY483)*Paraméterek!$J$112&gt;IF($D$4="Forint",Paraméterek!$J$114,Paraméterek!$K$114),IF($D$4="Forint",Paraméterek!$J$114,Paraméterek!$K$114),IF(ISBLANK($AY483),$AX483,$AY483)*Paraméterek!$J$112))),IF($D$4="Forint",0,2))</f>
        <v>0</v>
      </c>
      <c r="BA483" s="13">
        <f ca="1">$AT483+$AV483-$AW483-IF(ROUNDDOWN(IF(ISBLANK($AY483),$AX483,$AY483),IF($D$4="Forint",0,2))&gt;$AT483+$AV483-$AW483-IF($D$4="Forint",Paraméterek!$J$114,Paraméterek!$K$114),0,ROUNDDOWN(IF(ISBLANK($AY483),$AX483,$AY483),IF($D$4="Forint",0,2))-$AZ483)</f>
        <v>0</v>
      </c>
      <c r="BB483" s="13">
        <f t="shared" ca="1" si="165"/>
        <v>0</v>
      </c>
      <c r="BD483" s="32">
        <v>464</v>
      </c>
      <c r="BE483" s="32">
        <v>39</v>
      </c>
      <c r="BF483" s="32">
        <v>8</v>
      </c>
      <c r="BG483" s="34">
        <f t="shared" ca="1" si="174"/>
        <v>2058</v>
      </c>
      <c r="BH483" s="32" t="str">
        <f ca="1">IF(MOD(MONTH($D$14)+$BD483-1,12)=Paraméterek!$C$288,"Igen","")</f>
        <v/>
      </c>
      <c r="BI483" s="13">
        <f ca="1">IF($BH483="Igen",MIN(ROUNDDOWN((SUMIF($BG$20:$BG$1027,$BG483-1,$K$20:$K$1027)-SUMIF($BG$20:$BG$1027,$BG483-1,$I$20:$I$1027))*Paraméterek!$C$289,IF($D$4="Forint",0,2)),IF($D$4="Forint",Paraméterek!$C$285,Paraméterek!$D$285)),0)</f>
        <v>0</v>
      </c>
      <c r="BJ483" s="13">
        <f t="shared" ca="1" si="166"/>
        <v>0</v>
      </c>
      <c r="BK483" s="13">
        <f t="shared" ca="1" si="175"/>
        <v>0</v>
      </c>
      <c r="BL483" s="33"/>
      <c r="BM483" s="13">
        <f t="shared" ca="1" si="167"/>
        <v>0</v>
      </c>
      <c r="BN483" s="13">
        <f ca="1">ROUNDUP(($BK483+$BM483)*VLOOKUP($BE483,Paraméterek!$P$38:$Q$38,2)/12*IF($D484="Nem",IF($M$13=0,1,$M$13),1),IF($D$4="Forint",0,2))</f>
        <v>0</v>
      </c>
      <c r="BO483" s="13">
        <f t="shared" ca="1" si="168"/>
        <v>0</v>
      </c>
      <c r="BP483" s="13">
        <f ca="1">IF($D484="Nem",$BO483,$BO483-ROUNDUP(SUM($BI$20:$BI483)*120%,IF($D$4="Forint",0,2)))</f>
        <v>0</v>
      </c>
    </row>
    <row r="484" spans="1:68" x14ac:dyDescent="0.2">
      <c r="A484" s="32">
        <v>465</v>
      </c>
      <c r="B484" s="32">
        <v>39</v>
      </c>
      <c r="C484" s="32">
        <v>9</v>
      </c>
      <c r="D484" s="32" t="str">
        <f t="shared" ca="1" si="154"/>
        <v>Nem</v>
      </c>
      <c r="E484" s="13">
        <f t="shared" ca="1" si="155"/>
        <v>0</v>
      </c>
      <c r="F484" s="13"/>
      <c r="G484" s="13"/>
      <c r="H484" s="13"/>
      <c r="I484" s="13">
        <f t="shared" ca="1" si="156"/>
        <v>0</v>
      </c>
      <c r="J484" s="13">
        <f t="shared" ca="1" si="157"/>
        <v>0</v>
      </c>
      <c r="K484" s="13">
        <f t="shared" ca="1" si="158"/>
        <v>0</v>
      </c>
      <c r="L484" s="13" t="e">
        <f ca="1">ROUNDUP(IF($D$2="Egyszeri",$E484,IF($D$2="Havi",SUM($E$20:$E$31),IF(MOD($C484,$M$1)-1=0,SUM($E$20:$E$31),0))/12*$M$1)*VLOOKUP($B484,Paraméterek!$I$28:$P$31,IF($D$2="Egyszeri",8,HLOOKUP(ROUNDUP($M$11+$M$13,0),Paraméterek!$J$26:$O$27,2))),IF($D$4="Forint",0,2))</f>
        <v>#N/A</v>
      </c>
      <c r="M484" s="13">
        <f t="shared" ca="1" si="159"/>
        <v>0</v>
      </c>
      <c r="N484" s="13">
        <f t="shared" ca="1" si="169"/>
        <v>0</v>
      </c>
      <c r="O484" s="13">
        <f ca="1">IF($D484="Igen",IF($W483&gt;=IF($D$4="Forint",Paraméterek!$J$121,Paraméterek!$K$121),0,IF($D$4="Forint",Paraméterek!$J$121,Paraméterek!$K$121)-$W483),0)</f>
        <v>0</v>
      </c>
      <c r="P484" s="13" t="e">
        <f ca="1">ROUNDUP($O484*VLOOKUP($M$4+$B484-1,Paraméterek!$H$58:$I$105,2,0)/Paraméterek!$I$56,IF($D$4="Forint",0,2))</f>
        <v>#N/A</v>
      </c>
      <c r="Q484" s="13">
        <f t="shared" ca="1" si="160"/>
        <v>0</v>
      </c>
      <c r="R484" s="33"/>
      <c r="S484" s="13" t="e">
        <f t="shared" ca="1" si="161"/>
        <v>#N/A</v>
      </c>
      <c r="T484" s="13" t="e">
        <f ca="1">ROUNDUP(($N484-$P484-$Q484+$S484)*VLOOKUP($B484,Paraméterek!$I$38:$K$39,IF($D$2="Egyszeri",3,2))/12*IF($D485="Nem",IF($M$13=0,1,$M$13),1),IF($D$4="Forint",0,2))</f>
        <v>#N/A</v>
      </c>
      <c r="U484" s="13"/>
      <c r="V484" s="13"/>
      <c r="W484" s="13" t="e">
        <f ca="1">$N484-$P484-$Q484+$S484-$T484-IF(ROUNDUP(IF(ISBLANK($V484),$U484*0,$V484)/IF($D$2="Egyszeri",VLOOKUP($B484+IF($C484=12,1,0),Paraméterek!$V$257:$W$262,2),IF($B484=1,1,VLOOKUP($B484+IF($C484=12,1,0),Paraméterek!$I$258:$T$278,HLOOKUP($M$11+1,Paraméterek!$J$256:$T$257,2)))),IF($D$4="Forint",0,2))&gt;$N484-$P484-$Q484+$S484-$T484-IF($D$4="Forint",Paraméterek!$C$216,Paraméterek!$D$216),0,ROUNDUP(IF(ISBLANK($V484),$U484*0,$V484)/IF($D$2="Egyszeri",VLOOKUP($B484+IF($C484=12,1,0),Paraméterek!$V$257:$W$262,2),IF($B484=1,1,VLOOKUP($B484+IF($C484=12,1,0),Paraméterek!$I$258:$T$278,HLOOKUP($M$11+1,Paraméterek!$J$256:$T$257,2)))),IF($D$4="Forint",0,2)))</f>
        <v>#N/A</v>
      </c>
      <c r="X484" s="13" t="e">
        <f ca="1">ROUNDDOWN($W484*IF($D$2="Egyszeri",VLOOKUP($B484+IF($C484=12,1,0),Paraméterek!$V$257:$W$262,2),VLOOKUP($B484+IF($C484=12,1,0),Paraméterek!$I$258:$T$278,HLOOKUP($M$11+1,Paraméterek!$I$256:$T$257,2))),IF($D$4="Forint",0,2))</f>
        <v>#N/A</v>
      </c>
      <c r="Z484" s="32">
        <v>465</v>
      </c>
      <c r="AA484" s="32">
        <v>39</v>
      </c>
      <c r="AB484" s="32">
        <v>9</v>
      </c>
      <c r="AC484" s="13">
        <f t="shared" ca="1" si="170"/>
        <v>0</v>
      </c>
      <c r="AD484" s="33"/>
      <c r="AE484" s="13">
        <f t="shared" ca="1" si="162"/>
        <v>0</v>
      </c>
      <c r="AF484" s="13">
        <f ca="1">ROUNDUP(($AC484+$AE484)*VLOOKUP($AA484,Paraméterek!$P$38:$Q$38,2)/12*IF($D485="Nem",IF($M$13=0,1,$M$13),1),IF($D$4="Forint",0,2))</f>
        <v>0</v>
      </c>
      <c r="AG484" s="13">
        <f ca="1">IF($D$2="Egyszeri",IF($D$7&gt;=IF($D$4="Forint",Paraméterek!$P$223,Paraméterek!$P$224),$D$7-IF($D$4="Forint",Paraméterek!$P$223,Paraméterek!$P$224),0),MIN(IF($AB484=12,AVERAGEIF($E$20:$E484,"&gt;0",$E$20:$E484)*12,0),SUM($E$20:$E$31)))</f>
        <v>0</v>
      </c>
      <c r="AH484" s="13">
        <f>IF($AA484=10,$AG484*IF($AB484=12,IF($AG484&lt;IF($D$4="Forint",Paraméterek!$L$223,Paraméterek!$L$224),0,VLOOKUP($AA484,Paraméterek!$K$226:$M$228,IF($AG484&lt;IF($D$4="Forint",Paraméterek!$M$223,Paraméterek!$M$224),2,3))),0),0)</f>
        <v>0</v>
      </c>
      <c r="AI484" s="13">
        <f ca="1">IF(AND($AA484=$M$11+1,$AB484=$M$12+1),SUMIF($AA$20:$AA$1027,$AA484,$AG$20:$AG$1027)*IF(SUMIF($AA$20:$AA$1027,$AA484,$AG$20:$AG$1027)&lt;IF($D$4="Forint",Paraméterek!$L$223,Paraméterek!$L$224),0,VLOOKUP($AA484,Paraméterek!$K$230:$M$250,IF(SUMIF($AA$20:$AA$1027,$AA484,$AG$20:$AG$1027)&lt;IF($D$4="Forint",Paraméterek!$M$223,Paraméterek!$M$224),2,3))),0)</f>
        <v>0</v>
      </c>
      <c r="AJ484" s="13">
        <f ca="1">IF(AND($AA484&gt;=5,MOD($AA484,5)=0),IF($AB484=12,VLOOKUP($AA484,Paraméterek!$O$225:$P$240,2),0),IF(OR($AA484=3,$AA484=4),IF($AB484=12,VLOOKUP($AA484,Paraméterek!$O$225:$P$240,2,0),0),0))*$AG484</f>
        <v>0</v>
      </c>
      <c r="AK484" s="13">
        <f t="shared" ca="1" si="163"/>
        <v>0</v>
      </c>
      <c r="AL484" s="13">
        <f t="shared" ca="1" si="171"/>
        <v>0</v>
      </c>
      <c r="AM484" s="13">
        <f t="shared" ca="1" si="172"/>
        <v>0</v>
      </c>
      <c r="AO484" s="32">
        <v>465</v>
      </c>
      <c r="AP484" s="32">
        <v>39</v>
      </c>
      <c r="AQ484" s="32">
        <v>9</v>
      </c>
      <c r="AR484" s="13"/>
      <c r="AS484" s="32"/>
      <c r="AT484" s="13">
        <f t="shared" ca="1" si="173"/>
        <v>0</v>
      </c>
      <c r="AU484" s="33"/>
      <c r="AV484" s="13">
        <f t="shared" ca="1" si="164"/>
        <v>0</v>
      </c>
      <c r="AW484" s="13">
        <f ca="1">ROUNDUP(($AT484+$AV484)*VLOOKUP($AP484,Paraméterek!$P$38:$Q$38,2)/12*IF($D485="Nem",IF($M$13=0,1,$M$13),1),IF($D$4="Forint",0,2))</f>
        <v>0</v>
      </c>
      <c r="AX484" s="13"/>
      <c r="AY484" s="13"/>
      <c r="AZ484" s="13">
        <f>ROUNDUP(IF(SUM($AX484:$AY484)=0,0,IF(IF(ISBLANK($AY484),$AX484,$AY484)*Paraméterek!$J$112&lt;IF($D$4="Forint",Paraméterek!$J$113,Paraméterek!$K$113),IF($D$4="Forint",Paraméterek!$J$113,Paraméterek!$K$113),IF(IF(ISBLANK($AY484),$AX484,$AY484)*Paraméterek!$J$112&gt;IF($D$4="Forint",Paraméterek!$J$114,Paraméterek!$K$114),IF($D$4="Forint",Paraméterek!$J$114,Paraméterek!$K$114),IF(ISBLANK($AY484),$AX484,$AY484)*Paraméterek!$J$112))),IF($D$4="Forint",0,2))</f>
        <v>0</v>
      </c>
      <c r="BA484" s="13">
        <f ca="1">$AT484+$AV484-$AW484-IF(ROUNDDOWN(IF(ISBLANK($AY484),$AX484,$AY484),IF($D$4="Forint",0,2))&gt;$AT484+$AV484-$AW484-IF($D$4="Forint",Paraméterek!$J$114,Paraméterek!$K$114),0,ROUNDDOWN(IF(ISBLANK($AY484),$AX484,$AY484),IF($D$4="Forint",0,2))-$AZ484)</f>
        <v>0</v>
      </c>
      <c r="BB484" s="13">
        <f t="shared" ca="1" si="165"/>
        <v>0</v>
      </c>
      <c r="BD484" s="32">
        <v>465</v>
      </c>
      <c r="BE484" s="32">
        <v>39</v>
      </c>
      <c r="BF484" s="32">
        <v>9</v>
      </c>
      <c r="BG484" s="34">
        <f t="shared" ca="1" si="174"/>
        <v>2058</v>
      </c>
      <c r="BH484" s="32" t="str">
        <f ca="1">IF(MOD(MONTH($D$14)+$BD484-1,12)=Paraméterek!$C$288,"Igen","")</f>
        <v/>
      </c>
      <c r="BI484" s="13">
        <f ca="1">IF($BH484="Igen",MIN(ROUNDDOWN((SUMIF($BG$20:$BG$1027,$BG484-1,$K$20:$K$1027)-SUMIF($BG$20:$BG$1027,$BG484-1,$I$20:$I$1027))*Paraméterek!$C$289,IF($D$4="Forint",0,2)),IF($D$4="Forint",Paraméterek!$C$285,Paraméterek!$D$285)),0)</f>
        <v>0</v>
      </c>
      <c r="BJ484" s="13">
        <f t="shared" ca="1" si="166"/>
        <v>0</v>
      </c>
      <c r="BK484" s="13">
        <f t="shared" ca="1" si="175"/>
        <v>0</v>
      </c>
      <c r="BL484" s="33"/>
      <c r="BM484" s="13">
        <f t="shared" ca="1" si="167"/>
        <v>0</v>
      </c>
      <c r="BN484" s="13">
        <f ca="1">ROUNDUP(($BK484+$BM484)*VLOOKUP($BE484,Paraméterek!$P$38:$Q$38,2)/12*IF($D485="Nem",IF($M$13=0,1,$M$13),1),IF($D$4="Forint",0,2))</f>
        <v>0</v>
      </c>
      <c r="BO484" s="13">
        <f t="shared" ca="1" si="168"/>
        <v>0</v>
      </c>
      <c r="BP484" s="13">
        <f ca="1">IF($D485="Nem",$BO484,$BO484-ROUNDUP(SUM($BI$20:$BI484)*120%,IF($D$4="Forint",0,2)))</f>
        <v>0</v>
      </c>
    </row>
    <row r="485" spans="1:68" x14ac:dyDescent="0.2">
      <c r="A485" s="32">
        <v>466</v>
      </c>
      <c r="B485" s="32">
        <v>39</v>
      </c>
      <c r="C485" s="32">
        <v>10</v>
      </c>
      <c r="D485" s="32" t="str">
        <f t="shared" ca="1" si="154"/>
        <v>Nem</v>
      </c>
      <c r="E485" s="13">
        <f t="shared" ca="1" si="155"/>
        <v>0</v>
      </c>
      <c r="F485" s="13"/>
      <c r="G485" s="13"/>
      <c r="H485" s="13"/>
      <c r="I485" s="13">
        <f t="shared" ca="1" si="156"/>
        <v>0</v>
      </c>
      <c r="J485" s="13">
        <f t="shared" ca="1" si="157"/>
        <v>0</v>
      </c>
      <c r="K485" s="13">
        <f t="shared" ca="1" si="158"/>
        <v>0</v>
      </c>
      <c r="L485" s="13" t="e">
        <f ca="1">ROUNDUP(IF($D$2="Egyszeri",$E485,IF($D$2="Havi",SUM($E$20:$E$31),IF(MOD($C485,$M$1)-1=0,SUM($E$20:$E$31),0))/12*$M$1)*VLOOKUP($B485,Paraméterek!$I$28:$P$31,IF($D$2="Egyszeri",8,HLOOKUP(ROUNDUP($M$11+$M$13,0),Paraméterek!$J$26:$O$27,2))),IF($D$4="Forint",0,2))</f>
        <v>#N/A</v>
      </c>
      <c r="M485" s="13">
        <f t="shared" ca="1" si="159"/>
        <v>0</v>
      </c>
      <c r="N485" s="13">
        <f t="shared" ca="1" si="169"/>
        <v>0</v>
      </c>
      <c r="O485" s="13">
        <f ca="1">IF($D485="Igen",IF($W484&gt;=IF($D$4="Forint",Paraméterek!$J$121,Paraméterek!$K$121),0,IF($D$4="Forint",Paraméterek!$J$121,Paraméterek!$K$121)-$W484),0)</f>
        <v>0</v>
      </c>
      <c r="P485" s="13" t="e">
        <f ca="1">ROUNDUP($O485*VLOOKUP($M$4+$B485-1,Paraméterek!$H$58:$I$105,2,0)/Paraméterek!$I$56,IF($D$4="Forint",0,2))</f>
        <v>#N/A</v>
      </c>
      <c r="Q485" s="13">
        <f t="shared" ca="1" si="160"/>
        <v>0</v>
      </c>
      <c r="R485" s="33"/>
      <c r="S485" s="13" t="e">
        <f t="shared" ca="1" si="161"/>
        <v>#N/A</v>
      </c>
      <c r="T485" s="13" t="e">
        <f ca="1">ROUNDUP(($N485-$P485-$Q485+$S485)*VLOOKUP($B485,Paraméterek!$I$38:$K$39,IF($D$2="Egyszeri",3,2))/12*IF($D486="Nem",IF($M$13=0,1,$M$13),1),IF($D$4="Forint",0,2))</f>
        <v>#N/A</v>
      </c>
      <c r="U485" s="13"/>
      <c r="V485" s="13"/>
      <c r="W485" s="13" t="e">
        <f ca="1">$N485-$P485-$Q485+$S485-$T485-IF(ROUNDUP(IF(ISBLANK($V485),$U485*0,$V485)/IF($D$2="Egyszeri",VLOOKUP($B485+IF($C485=12,1,0),Paraméterek!$V$257:$W$262,2),IF($B485=1,1,VLOOKUP($B485+IF($C485=12,1,0),Paraméterek!$I$258:$T$278,HLOOKUP($M$11+1,Paraméterek!$J$256:$T$257,2)))),IF($D$4="Forint",0,2))&gt;$N485-$P485-$Q485+$S485-$T485-IF($D$4="Forint",Paraméterek!$C$216,Paraméterek!$D$216),0,ROUNDUP(IF(ISBLANK($V485),$U485*0,$V485)/IF($D$2="Egyszeri",VLOOKUP($B485+IF($C485=12,1,0),Paraméterek!$V$257:$W$262,2),IF($B485=1,1,VLOOKUP($B485+IF($C485=12,1,0),Paraméterek!$I$258:$T$278,HLOOKUP($M$11+1,Paraméterek!$J$256:$T$257,2)))),IF($D$4="Forint",0,2)))</f>
        <v>#N/A</v>
      </c>
      <c r="X485" s="13" t="e">
        <f ca="1">ROUNDDOWN($W485*IF($D$2="Egyszeri",VLOOKUP($B485+IF($C485=12,1,0),Paraméterek!$V$257:$W$262,2),VLOOKUP($B485+IF($C485=12,1,0),Paraméterek!$I$258:$T$278,HLOOKUP($M$11+1,Paraméterek!$I$256:$T$257,2))),IF($D$4="Forint",0,2))</f>
        <v>#N/A</v>
      </c>
      <c r="Z485" s="32">
        <v>466</v>
      </c>
      <c r="AA485" s="32">
        <v>39</v>
      </c>
      <c r="AB485" s="32">
        <v>10</v>
      </c>
      <c r="AC485" s="13">
        <f t="shared" ca="1" si="170"/>
        <v>0</v>
      </c>
      <c r="AD485" s="33"/>
      <c r="AE485" s="13">
        <f t="shared" ca="1" si="162"/>
        <v>0</v>
      </c>
      <c r="AF485" s="13">
        <f ca="1">ROUNDUP(($AC485+$AE485)*VLOOKUP($AA485,Paraméterek!$P$38:$Q$38,2)/12*IF($D486="Nem",IF($M$13=0,1,$M$13),1),IF($D$4="Forint",0,2))</f>
        <v>0</v>
      </c>
      <c r="AG485" s="13">
        <f ca="1">IF($D$2="Egyszeri",IF($D$7&gt;=IF($D$4="Forint",Paraméterek!$P$223,Paraméterek!$P$224),$D$7-IF($D$4="Forint",Paraméterek!$P$223,Paraméterek!$P$224),0),MIN(IF($AB485=12,AVERAGEIF($E$20:$E485,"&gt;0",$E$20:$E485)*12,0),SUM($E$20:$E$31)))</f>
        <v>0</v>
      </c>
      <c r="AH485" s="13">
        <f>IF($AA485=10,$AG485*IF($AB485=12,IF($AG485&lt;IF($D$4="Forint",Paraméterek!$L$223,Paraméterek!$L$224),0,VLOOKUP($AA485,Paraméterek!$K$226:$M$228,IF($AG485&lt;IF($D$4="Forint",Paraméterek!$M$223,Paraméterek!$M$224),2,3))),0),0)</f>
        <v>0</v>
      </c>
      <c r="AI485" s="13">
        <f ca="1">IF(AND($AA485=$M$11+1,$AB485=$M$12+1),SUMIF($AA$20:$AA$1027,$AA485,$AG$20:$AG$1027)*IF(SUMIF($AA$20:$AA$1027,$AA485,$AG$20:$AG$1027)&lt;IF($D$4="Forint",Paraméterek!$L$223,Paraméterek!$L$224),0,VLOOKUP($AA485,Paraméterek!$K$230:$M$250,IF(SUMIF($AA$20:$AA$1027,$AA485,$AG$20:$AG$1027)&lt;IF($D$4="Forint",Paraméterek!$M$223,Paraméterek!$M$224),2,3))),0)</f>
        <v>0</v>
      </c>
      <c r="AJ485" s="13">
        <f ca="1">IF(AND($AA485&gt;=5,MOD($AA485,5)=0),IF($AB485=12,VLOOKUP($AA485,Paraméterek!$O$225:$P$240,2),0),IF(OR($AA485=3,$AA485=4),IF($AB485=12,VLOOKUP($AA485,Paraméterek!$O$225:$P$240,2,0),0),0))*$AG485</f>
        <v>0</v>
      </c>
      <c r="AK485" s="13">
        <f t="shared" ca="1" si="163"/>
        <v>0</v>
      </c>
      <c r="AL485" s="13">
        <f t="shared" ca="1" si="171"/>
        <v>0</v>
      </c>
      <c r="AM485" s="13">
        <f t="shared" ca="1" si="172"/>
        <v>0</v>
      </c>
      <c r="AO485" s="32">
        <v>466</v>
      </c>
      <c r="AP485" s="32">
        <v>39</v>
      </c>
      <c r="AQ485" s="32">
        <v>10</v>
      </c>
      <c r="AR485" s="13"/>
      <c r="AS485" s="32"/>
      <c r="AT485" s="13">
        <f t="shared" ca="1" si="173"/>
        <v>0</v>
      </c>
      <c r="AU485" s="33"/>
      <c r="AV485" s="13">
        <f t="shared" ca="1" si="164"/>
        <v>0</v>
      </c>
      <c r="AW485" s="13">
        <f ca="1">ROUNDUP(($AT485+$AV485)*VLOOKUP($AP485,Paraméterek!$P$38:$Q$38,2)/12*IF($D486="Nem",IF($M$13=0,1,$M$13),1),IF($D$4="Forint",0,2))</f>
        <v>0</v>
      </c>
      <c r="AX485" s="13"/>
      <c r="AY485" s="13"/>
      <c r="AZ485" s="13">
        <f>ROUNDUP(IF(SUM($AX485:$AY485)=0,0,IF(IF(ISBLANK($AY485),$AX485,$AY485)*Paraméterek!$J$112&lt;IF($D$4="Forint",Paraméterek!$J$113,Paraméterek!$K$113),IF($D$4="Forint",Paraméterek!$J$113,Paraméterek!$K$113),IF(IF(ISBLANK($AY485),$AX485,$AY485)*Paraméterek!$J$112&gt;IF($D$4="Forint",Paraméterek!$J$114,Paraméterek!$K$114),IF($D$4="Forint",Paraméterek!$J$114,Paraméterek!$K$114),IF(ISBLANK($AY485),$AX485,$AY485)*Paraméterek!$J$112))),IF($D$4="Forint",0,2))</f>
        <v>0</v>
      </c>
      <c r="BA485" s="13">
        <f ca="1">$AT485+$AV485-$AW485-IF(ROUNDDOWN(IF(ISBLANK($AY485),$AX485,$AY485),IF($D$4="Forint",0,2))&gt;$AT485+$AV485-$AW485-IF($D$4="Forint",Paraméterek!$J$114,Paraméterek!$K$114),0,ROUNDDOWN(IF(ISBLANK($AY485),$AX485,$AY485),IF($D$4="Forint",0,2))-$AZ485)</f>
        <v>0</v>
      </c>
      <c r="BB485" s="13">
        <f t="shared" ca="1" si="165"/>
        <v>0</v>
      </c>
      <c r="BD485" s="32">
        <v>466</v>
      </c>
      <c r="BE485" s="32">
        <v>39</v>
      </c>
      <c r="BF485" s="32">
        <v>10</v>
      </c>
      <c r="BG485" s="34">
        <f t="shared" ca="1" si="174"/>
        <v>2058</v>
      </c>
      <c r="BH485" s="32" t="str">
        <f ca="1">IF(MOD(MONTH($D$14)+$BD485-1,12)=Paraméterek!$C$288,"Igen","")</f>
        <v/>
      </c>
      <c r="BI485" s="13">
        <f ca="1">IF($BH485="Igen",MIN(ROUNDDOWN((SUMIF($BG$20:$BG$1027,$BG485-1,$K$20:$K$1027)-SUMIF($BG$20:$BG$1027,$BG485-1,$I$20:$I$1027))*Paraméterek!$C$289,IF($D$4="Forint",0,2)),IF($D$4="Forint",Paraméterek!$C$285,Paraméterek!$D$285)),0)</f>
        <v>0</v>
      </c>
      <c r="BJ485" s="13">
        <f t="shared" ca="1" si="166"/>
        <v>0</v>
      </c>
      <c r="BK485" s="13">
        <f t="shared" ca="1" si="175"/>
        <v>0</v>
      </c>
      <c r="BL485" s="33"/>
      <c r="BM485" s="13">
        <f t="shared" ca="1" si="167"/>
        <v>0</v>
      </c>
      <c r="BN485" s="13">
        <f ca="1">ROUNDUP(($BK485+$BM485)*VLOOKUP($BE485,Paraméterek!$P$38:$Q$38,2)/12*IF($D486="Nem",IF($M$13=0,1,$M$13),1),IF($D$4="Forint",0,2))</f>
        <v>0</v>
      </c>
      <c r="BO485" s="13">
        <f t="shared" ca="1" si="168"/>
        <v>0</v>
      </c>
      <c r="BP485" s="13">
        <f ca="1">IF($D486="Nem",$BO485,$BO485-ROUNDUP(SUM($BI$20:$BI485)*120%,IF($D$4="Forint",0,2)))</f>
        <v>0</v>
      </c>
    </row>
    <row r="486" spans="1:68" x14ac:dyDescent="0.2">
      <c r="A486" s="32">
        <v>467</v>
      </c>
      <c r="B486" s="32">
        <v>39</v>
      </c>
      <c r="C486" s="32">
        <v>11</v>
      </c>
      <c r="D486" s="32" t="str">
        <f t="shared" ca="1" si="154"/>
        <v>Nem</v>
      </c>
      <c r="E486" s="13">
        <f t="shared" ca="1" si="155"/>
        <v>0</v>
      </c>
      <c r="F486" s="13"/>
      <c r="G486" s="13"/>
      <c r="H486" s="13"/>
      <c r="I486" s="13">
        <f t="shared" ca="1" si="156"/>
        <v>0</v>
      </c>
      <c r="J486" s="13">
        <f t="shared" ca="1" si="157"/>
        <v>0</v>
      </c>
      <c r="K486" s="13">
        <f t="shared" ca="1" si="158"/>
        <v>0</v>
      </c>
      <c r="L486" s="13" t="e">
        <f ca="1">ROUNDUP(IF($D$2="Egyszeri",$E486,IF($D$2="Havi",SUM($E$20:$E$31),IF(MOD($C486,$M$1)-1=0,SUM($E$20:$E$31),0))/12*$M$1)*VLOOKUP($B486,Paraméterek!$I$28:$P$31,IF($D$2="Egyszeri",8,HLOOKUP(ROUNDUP($M$11+$M$13,0),Paraméterek!$J$26:$O$27,2))),IF($D$4="Forint",0,2))</f>
        <v>#N/A</v>
      </c>
      <c r="M486" s="13">
        <f t="shared" ca="1" si="159"/>
        <v>0</v>
      </c>
      <c r="N486" s="13">
        <f t="shared" ca="1" si="169"/>
        <v>0</v>
      </c>
      <c r="O486" s="13">
        <f ca="1">IF($D486="Igen",IF($W485&gt;=IF($D$4="Forint",Paraméterek!$J$121,Paraméterek!$K$121),0,IF($D$4="Forint",Paraméterek!$J$121,Paraméterek!$K$121)-$W485),0)</f>
        <v>0</v>
      </c>
      <c r="P486" s="13" t="e">
        <f ca="1">ROUNDUP($O486*VLOOKUP($M$4+$B486-1,Paraméterek!$H$58:$I$105,2,0)/Paraméterek!$I$56,IF($D$4="Forint",0,2))</f>
        <v>#N/A</v>
      </c>
      <c r="Q486" s="13">
        <f t="shared" ca="1" si="160"/>
        <v>0</v>
      </c>
      <c r="R486" s="33"/>
      <c r="S486" s="13" t="e">
        <f t="shared" ca="1" si="161"/>
        <v>#N/A</v>
      </c>
      <c r="T486" s="13" t="e">
        <f ca="1">ROUNDUP(($N486-$P486-$Q486+$S486)*VLOOKUP($B486,Paraméterek!$I$38:$K$39,IF($D$2="Egyszeri",3,2))/12*IF($D487="Nem",IF($M$13=0,1,$M$13),1),IF($D$4="Forint",0,2))</f>
        <v>#N/A</v>
      </c>
      <c r="U486" s="13"/>
      <c r="V486" s="13"/>
      <c r="W486" s="13" t="e">
        <f ca="1">$N486-$P486-$Q486+$S486-$T486-IF(ROUNDUP(IF(ISBLANK($V486),$U486*0,$V486)/IF($D$2="Egyszeri",VLOOKUP($B486+IF($C486=12,1,0),Paraméterek!$V$257:$W$262,2),IF($B486=1,1,VLOOKUP($B486+IF($C486=12,1,0),Paraméterek!$I$258:$T$278,HLOOKUP($M$11+1,Paraméterek!$J$256:$T$257,2)))),IF($D$4="Forint",0,2))&gt;$N486-$P486-$Q486+$S486-$T486-IF($D$4="Forint",Paraméterek!$C$216,Paraméterek!$D$216),0,ROUNDUP(IF(ISBLANK($V486),$U486*0,$V486)/IF($D$2="Egyszeri",VLOOKUP($B486+IF($C486=12,1,0),Paraméterek!$V$257:$W$262,2),IF($B486=1,1,VLOOKUP($B486+IF($C486=12,1,0),Paraméterek!$I$258:$T$278,HLOOKUP($M$11+1,Paraméterek!$J$256:$T$257,2)))),IF($D$4="Forint",0,2)))</f>
        <v>#N/A</v>
      </c>
      <c r="X486" s="13" t="e">
        <f ca="1">ROUNDDOWN($W486*IF($D$2="Egyszeri",VLOOKUP($B486+IF($C486=12,1,0),Paraméterek!$V$257:$W$262,2),VLOOKUP($B486+IF($C486=12,1,0),Paraméterek!$I$258:$T$278,HLOOKUP($M$11+1,Paraméterek!$I$256:$T$257,2))),IF($D$4="Forint",0,2))</f>
        <v>#N/A</v>
      </c>
      <c r="Z486" s="32">
        <v>467</v>
      </c>
      <c r="AA486" s="32">
        <v>39</v>
      </c>
      <c r="AB486" s="32">
        <v>11</v>
      </c>
      <c r="AC486" s="13">
        <f t="shared" ca="1" si="170"/>
        <v>0</v>
      </c>
      <c r="AD486" s="33"/>
      <c r="AE486" s="13">
        <f t="shared" ca="1" si="162"/>
        <v>0</v>
      </c>
      <c r="AF486" s="13">
        <f ca="1">ROUNDUP(($AC486+$AE486)*VLOOKUP($AA486,Paraméterek!$P$38:$Q$38,2)/12*IF($D487="Nem",IF($M$13=0,1,$M$13),1),IF($D$4="Forint",0,2))</f>
        <v>0</v>
      </c>
      <c r="AG486" s="13">
        <f ca="1">IF($D$2="Egyszeri",IF($D$7&gt;=IF($D$4="Forint",Paraméterek!$P$223,Paraméterek!$P$224),$D$7-IF($D$4="Forint",Paraméterek!$P$223,Paraméterek!$P$224),0),MIN(IF($AB486=12,AVERAGEIF($E$20:$E486,"&gt;0",$E$20:$E486)*12,0),SUM($E$20:$E$31)))</f>
        <v>0</v>
      </c>
      <c r="AH486" s="13">
        <f>IF($AA486=10,$AG486*IF($AB486=12,IF($AG486&lt;IF($D$4="Forint",Paraméterek!$L$223,Paraméterek!$L$224),0,VLOOKUP($AA486,Paraméterek!$K$226:$M$228,IF($AG486&lt;IF($D$4="Forint",Paraméterek!$M$223,Paraméterek!$M$224),2,3))),0),0)</f>
        <v>0</v>
      </c>
      <c r="AI486" s="13">
        <f ca="1">IF(AND($AA486=$M$11+1,$AB486=$M$12+1),SUMIF($AA$20:$AA$1027,$AA486,$AG$20:$AG$1027)*IF(SUMIF($AA$20:$AA$1027,$AA486,$AG$20:$AG$1027)&lt;IF($D$4="Forint",Paraméterek!$L$223,Paraméterek!$L$224),0,VLOOKUP($AA486,Paraméterek!$K$230:$M$250,IF(SUMIF($AA$20:$AA$1027,$AA486,$AG$20:$AG$1027)&lt;IF($D$4="Forint",Paraméterek!$M$223,Paraméterek!$M$224),2,3))),0)</f>
        <v>0</v>
      </c>
      <c r="AJ486" s="13">
        <f ca="1">IF(AND($AA486&gt;=5,MOD($AA486,5)=0),IF($AB486=12,VLOOKUP($AA486,Paraméterek!$O$225:$P$240,2),0),IF(OR($AA486=3,$AA486=4),IF($AB486=12,VLOOKUP($AA486,Paraméterek!$O$225:$P$240,2,0),0),0))*$AG486</f>
        <v>0</v>
      </c>
      <c r="AK486" s="13">
        <f t="shared" ca="1" si="163"/>
        <v>0</v>
      </c>
      <c r="AL486" s="13">
        <f t="shared" ca="1" si="171"/>
        <v>0</v>
      </c>
      <c r="AM486" s="13">
        <f t="shared" ca="1" si="172"/>
        <v>0</v>
      </c>
      <c r="AO486" s="32">
        <v>467</v>
      </c>
      <c r="AP486" s="32">
        <v>39</v>
      </c>
      <c r="AQ486" s="32">
        <v>11</v>
      </c>
      <c r="AR486" s="13"/>
      <c r="AS486" s="32"/>
      <c r="AT486" s="13">
        <f t="shared" ca="1" si="173"/>
        <v>0</v>
      </c>
      <c r="AU486" s="33"/>
      <c r="AV486" s="13">
        <f t="shared" ca="1" si="164"/>
        <v>0</v>
      </c>
      <c r="AW486" s="13">
        <f ca="1">ROUNDUP(($AT486+$AV486)*VLOOKUP($AP486,Paraméterek!$P$38:$Q$38,2)/12*IF($D487="Nem",IF($M$13=0,1,$M$13),1),IF($D$4="Forint",0,2))</f>
        <v>0</v>
      </c>
      <c r="AX486" s="13"/>
      <c r="AY486" s="13"/>
      <c r="AZ486" s="13">
        <f>ROUNDUP(IF(SUM($AX486:$AY486)=0,0,IF(IF(ISBLANK($AY486),$AX486,$AY486)*Paraméterek!$J$112&lt;IF($D$4="Forint",Paraméterek!$J$113,Paraméterek!$K$113),IF($D$4="Forint",Paraméterek!$J$113,Paraméterek!$K$113),IF(IF(ISBLANK($AY486),$AX486,$AY486)*Paraméterek!$J$112&gt;IF($D$4="Forint",Paraméterek!$J$114,Paraméterek!$K$114),IF($D$4="Forint",Paraméterek!$J$114,Paraméterek!$K$114),IF(ISBLANK($AY486),$AX486,$AY486)*Paraméterek!$J$112))),IF($D$4="Forint",0,2))</f>
        <v>0</v>
      </c>
      <c r="BA486" s="13">
        <f ca="1">$AT486+$AV486-$AW486-IF(ROUNDDOWN(IF(ISBLANK($AY486),$AX486,$AY486),IF($D$4="Forint",0,2))&gt;$AT486+$AV486-$AW486-IF($D$4="Forint",Paraméterek!$J$114,Paraméterek!$K$114),0,ROUNDDOWN(IF(ISBLANK($AY486),$AX486,$AY486),IF($D$4="Forint",0,2))-$AZ486)</f>
        <v>0</v>
      </c>
      <c r="BB486" s="13">
        <f t="shared" ca="1" si="165"/>
        <v>0</v>
      </c>
      <c r="BD486" s="32">
        <v>467</v>
      </c>
      <c r="BE486" s="32">
        <v>39</v>
      </c>
      <c r="BF486" s="32">
        <v>11</v>
      </c>
      <c r="BG486" s="34">
        <f t="shared" ca="1" si="174"/>
        <v>2058</v>
      </c>
      <c r="BH486" s="32" t="str">
        <f ca="1">IF(MOD(MONTH($D$14)+$BD486-1,12)=Paraméterek!$C$288,"Igen","")</f>
        <v/>
      </c>
      <c r="BI486" s="13">
        <f ca="1">IF($BH486="Igen",MIN(ROUNDDOWN((SUMIF($BG$20:$BG$1027,$BG486-1,$K$20:$K$1027)-SUMIF($BG$20:$BG$1027,$BG486-1,$I$20:$I$1027))*Paraméterek!$C$289,IF($D$4="Forint",0,2)),IF($D$4="Forint",Paraméterek!$C$285,Paraméterek!$D$285)),0)</f>
        <v>0</v>
      </c>
      <c r="BJ486" s="13">
        <f t="shared" ca="1" si="166"/>
        <v>0</v>
      </c>
      <c r="BK486" s="13">
        <f t="shared" ca="1" si="175"/>
        <v>0</v>
      </c>
      <c r="BL486" s="33"/>
      <c r="BM486" s="13">
        <f t="shared" ca="1" si="167"/>
        <v>0</v>
      </c>
      <c r="BN486" s="13">
        <f ca="1">ROUNDUP(($BK486+$BM486)*VLOOKUP($BE486,Paraméterek!$P$38:$Q$38,2)/12*IF($D487="Nem",IF($M$13=0,1,$M$13),1),IF($D$4="Forint",0,2))</f>
        <v>0</v>
      </c>
      <c r="BO486" s="13">
        <f t="shared" ca="1" si="168"/>
        <v>0</v>
      </c>
      <c r="BP486" s="13">
        <f ca="1">IF($D487="Nem",$BO486,$BO486-ROUNDUP(SUM($BI$20:$BI486)*120%,IF($D$4="Forint",0,2)))</f>
        <v>0</v>
      </c>
    </row>
    <row r="487" spans="1:68" x14ac:dyDescent="0.2">
      <c r="A487" s="32">
        <v>468</v>
      </c>
      <c r="B487" s="32">
        <v>39</v>
      </c>
      <c r="C487" s="32">
        <v>12</v>
      </c>
      <c r="D487" s="32" t="str">
        <f t="shared" ca="1" si="154"/>
        <v>Nem</v>
      </c>
      <c r="E487" s="13">
        <f t="shared" ca="1" si="155"/>
        <v>0</v>
      </c>
      <c r="F487" s="13"/>
      <c r="G487" s="13"/>
      <c r="H487" s="13"/>
      <c r="I487" s="13">
        <f t="shared" ca="1" si="156"/>
        <v>0</v>
      </c>
      <c r="J487" s="13">
        <f t="shared" ca="1" si="157"/>
        <v>0</v>
      </c>
      <c r="K487" s="13">
        <f t="shared" ca="1" si="158"/>
        <v>0</v>
      </c>
      <c r="L487" s="13" t="e">
        <f ca="1">ROUNDUP(IF($D$2="Egyszeri",$E487,IF($D$2="Havi",SUM($E$20:$E$31),IF(MOD($C487,$M$1)-1=0,SUM($E$20:$E$31),0))/12*$M$1)*VLOOKUP($B487,Paraméterek!$I$28:$P$31,IF($D$2="Egyszeri",8,HLOOKUP(ROUNDUP($M$11+$M$13,0),Paraméterek!$J$26:$O$27,2))),IF($D$4="Forint",0,2))</f>
        <v>#N/A</v>
      </c>
      <c r="M487" s="13">
        <f t="shared" ca="1" si="159"/>
        <v>0</v>
      </c>
      <c r="N487" s="13">
        <f t="shared" ca="1" si="169"/>
        <v>0</v>
      </c>
      <c r="O487" s="13">
        <f ca="1">IF($D487="Igen",IF($W486&gt;=IF($D$4="Forint",Paraméterek!$J$121,Paraméterek!$K$121),0,IF($D$4="Forint",Paraméterek!$J$121,Paraméterek!$K$121)-$W486),0)</f>
        <v>0</v>
      </c>
      <c r="P487" s="13" t="e">
        <f ca="1">ROUNDUP($O487*VLOOKUP($M$4+$B487-1,Paraméterek!$H$58:$I$105,2,0)/Paraméterek!$I$56,IF($D$4="Forint",0,2))</f>
        <v>#N/A</v>
      </c>
      <c r="Q487" s="13">
        <f t="shared" ca="1" si="160"/>
        <v>0</v>
      </c>
      <c r="R487" s="33"/>
      <c r="S487" s="13" t="e">
        <f t="shared" ca="1" si="161"/>
        <v>#N/A</v>
      </c>
      <c r="T487" s="13" t="e">
        <f ca="1">ROUNDUP(($N487-$P487-$Q487+$S487)*VLOOKUP($B487,Paraméterek!$I$38:$K$39,IF($D$2="Egyszeri",3,2))/12*IF($D488="Nem",IF($M$13=0,1,$M$13),1),IF($D$4="Forint",0,2))</f>
        <v>#N/A</v>
      </c>
      <c r="U487" s="13">
        <f>Tranzakciók!$F$70</f>
        <v>0</v>
      </c>
      <c r="V487" s="13"/>
      <c r="W487" s="13" t="e">
        <f ca="1">$N487-$P487-$Q487+$S487-$T487-IF(ROUNDUP(IF(ISBLANK($V487),$U487*0,$V487)/IF($D$2="Egyszeri",VLOOKUP($B487+IF($C487=12,1,0),Paraméterek!$V$257:$W$262,2),IF($B487=1,1,VLOOKUP($B487+IF($C487=12,1,0),Paraméterek!$I$258:$T$278,HLOOKUP($M$11+1,Paraméterek!$J$256:$T$257,2)))),IF($D$4="Forint",0,2))&gt;$N487-$P487-$Q487+$S487-$T487-IF($D$4="Forint",Paraméterek!$C$216,Paraméterek!$D$216),0,ROUNDUP(IF(ISBLANK($V487),$U487*0,$V487)/IF($D$2="Egyszeri",VLOOKUP($B487+IF($C487=12,1,0),Paraméterek!$V$257:$W$262,2),IF($B487=1,1,VLOOKUP($B487+IF($C487=12,1,0),Paraméterek!$I$258:$T$278,HLOOKUP($M$11+1,Paraméterek!$J$256:$T$257,2)))),IF($D$4="Forint",0,2)))</f>
        <v>#N/A</v>
      </c>
      <c r="X487" s="13" t="e">
        <f ca="1">ROUNDDOWN($W487*IF($D$2="Egyszeri",VLOOKUP($B487+IF($C487=12,1,0),Paraméterek!$V$257:$W$262,2),VLOOKUP($B487+IF($C487=12,1,0),Paraméterek!$I$258:$T$278,HLOOKUP($M$11+1,Paraméterek!$I$256:$T$257,2))),IF($D$4="Forint",0,2))</f>
        <v>#N/A</v>
      </c>
      <c r="Z487" s="32">
        <v>468</v>
      </c>
      <c r="AA487" s="32">
        <v>39</v>
      </c>
      <c r="AB487" s="32">
        <v>12</v>
      </c>
      <c r="AC487" s="13">
        <f t="shared" ca="1" si="170"/>
        <v>0</v>
      </c>
      <c r="AD487" s="33"/>
      <c r="AE487" s="13">
        <f t="shared" ca="1" si="162"/>
        <v>0</v>
      </c>
      <c r="AF487" s="13">
        <f ca="1">ROUNDUP(($AC487+$AE487)*VLOOKUP($AA487,Paraméterek!$P$38:$Q$38,2)/12*IF($D488="Nem",IF($M$13=0,1,$M$13),1),IF($D$4="Forint",0,2))</f>
        <v>0</v>
      </c>
      <c r="AG487" s="13" t="e">
        <f ca="1">IF($D$2="Egyszeri",IF($D$7&gt;=IF($D$4="Forint",Paraméterek!$P$223,Paraméterek!$P$224),$D$7-IF($D$4="Forint",Paraméterek!$P$223,Paraméterek!$P$224),0),MIN(IF($AB487=12,AVERAGEIF($E$20:$E487,"&gt;0",$E$20:$E487)*12,0),SUM($E$20:$E$31)))</f>
        <v>#DIV/0!</v>
      </c>
      <c r="AH487" s="13">
        <f>IF($AA487=10,$AG487*IF($AB487=12,IF($AG487&lt;IF($D$4="Forint",Paraméterek!$L$223,Paraméterek!$L$224),0,VLOOKUP($AA487,Paraméterek!$K$226:$M$228,IF($AG487&lt;IF($D$4="Forint",Paraméterek!$M$223,Paraméterek!$M$224),2,3))),0),0)</f>
        <v>0</v>
      </c>
      <c r="AI487" s="13">
        <f ca="1">IF(AND($AA487=$M$11+1,$AB487=$M$12+1),SUMIF($AA$20:$AA$1027,$AA487,$AG$20:$AG$1027)*IF(SUMIF($AA$20:$AA$1027,$AA487,$AG$20:$AG$1027)&lt;IF($D$4="Forint",Paraméterek!$L$223,Paraméterek!$L$224),0,VLOOKUP($AA487,Paraméterek!$K$230:$M$250,IF(SUMIF($AA$20:$AA$1027,$AA487,$AG$20:$AG$1027)&lt;IF($D$4="Forint",Paraméterek!$M$223,Paraméterek!$M$224),2,3))),0)</f>
        <v>0</v>
      </c>
      <c r="AJ487" s="13" t="e">
        <f ca="1">IF(AND($AA487&gt;=5,MOD($AA487,5)=0),IF($AB487=12,VLOOKUP($AA487,Paraméterek!$O$225:$P$240,2),0),IF(OR($AA487=3,$AA487=4),IF($AB487=12,VLOOKUP($AA487,Paraméterek!$O$225:$P$240,2,0),0),0))*$AG487</f>
        <v>#DIV/0!</v>
      </c>
      <c r="AK487" s="13">
        <f t="shared" ca="1" si="163"/>
        <v>0</v>
      </c>
      <c r="AL487" s="13">
        <f t="shared" ca="1" si="171"/>
        <v>0</v>
      </c>
      <c r="AM487" s="13">
        <f t="shared" ca="1" si="172"/>
        <v>0</v>
      </c>
      <c r="AO487" s="32">
        <v>468</v>
      </c>
      <c r="AP487" s="32">
        <v>39</v>
      </c>
      <c r="AQ487" s="32">
        <v>12</v>
      </c>
      <c r="AR487" s="13"/>
      <c r="AS487" s="32"/>
      <c r="AT487" s="13">
        <f t="shared" ca="1" si="173"/>
        <v>0</v>
      </c>
      <c r="AU487" s="33"/>
      <c r="AV487" s="13">
        <f t="shared" ca="1" si="164"/>
        <v>0</v>
      </c>
      <c r="AW487" s="13">
        <f ca="1">ROUNDUP(($AT487+$AV487)*VLOOKUP($AP487,Paraméterek!$P$38:$Q$38,2)/12*IF($D488="Nem",IF($M$13=0,1,$M$13),1),IF($D$4="Forint",0,2))</f>
        <v>0</v>
      </c>
      <c r="AX487" s="13">
        <f>Tranzakciók!$M$70</f>
        <v>0</v>
      </c>
      <c r="AY487" s="13"/>
      <c r="AZ487" s="13">
        <f>ROUNDUP(IF(SUM($AX487:$AY487)=0,0,IF(IF(ISBLANK($AY487),$AX487,$AY487)*Paraméterek!$J$112&lt;IF($D$4="Forint",Paraméterek!$J$113,Paraméterek!$K$113),IF($D$4="Forint",Paraméterek!$J$113,Paraméterek!$K$113),IF(IF(ISBLANK($AY487),$AX487,$AY487)*Paraméterek!$J$112&gt;IF($D$4="Forint",Paraméterek!$J$114,Paraméterek!$K$114),IF($D$4="Forint",Paraméterek!$J$114,Paraméterek!$K$114),IF(ISBLANK($AY487),$AX487,$AY487)*Paraméterek!$J$112))),IF($D$4="Forint",0,2))</f>
        <v>0</v>
      </c>
      <c r="BA487" s="13">
        <f ca="1">$AT487+$AV487-$AW487-IF(ROUNDDOWN(IF(ISBLANK($AY487),$AX487,$AY487),IF($D$4="Forint",0,2))&gt;$AT487+$AV487-$AW487-IF($D$4="Forint",Paraméterek!$J$114,Paraméterek!$K$114),0,ROUNDDOWN(IF(ISBLANK($AY487),$AX487,$AY487),IF($D$4="Forint",0,2))-$AZ487)</f>
        <v>0</v>
      </c>
      <c r="BB487" s="13">
        <f t="shared" ca="1" si="165"/>
        <v>0</v>
      </c>
      <c r="BD487" s="32">
        <v>468</v>
      </c>
      <c r="BE487" s="32">
        <v>39</v>
      </c>
      <c r="BF487" s="32">
        <v>12</v>
      </c>
      <c r="BG487" s="34">
        <f t="shared" ca="1" si="174"/>
        <v>2058</v>
      </c>
      <c r="BH487" s="32" t="str">
        <f ca="1">IF(MOD(MONTH($D$14)+$BD487-1,12)=Paraméterek!$C$288,"Igen","")</f>
        <v/>
      </c>
      <c r="BI487" s="13">
        <f ca="1">IF($BH487="Igen",MIN(ROUNDDOWN((SUMIF($BG$20:$BG$1027,$BG487-1,$K$20:$K$1027)-SUMIF($BG$20:$BG$1027,$BG487-1,$I$20:$I$1027))*Paraméterek!$C$289,IF($D$4="Forint",0,2)),IF($D$4="Forint",Paraméterek!$C$285,Paraméterek!$D$285)),0)</f>
        <v>0</v>
      </c>
      <c r="BJ487" s="13">
        <f t="shared" ca="1" si="166"/>
        <v>0</v>
      </c>
      <c r="BK487" s="13">
        <f t="shared" ca="1" si="175"/>
        <v>0</v>
      </c>
      <c r="BL487" s="33"/>
      <c r="BM487" s="13">
        <f t="shared" ca="1" si="167"/>
        <v>0</v>
      </c>
      <c r="BN487" s="13">
        <f ca="1">ROUNDUP(($BK487+$BM487)*VLOOKUP($BE487,Paraméterek!$P$38:$Q$38,2)/12*IF($D488="Nem",IF($M$13=0,1,$M$13),1),IF($D$4="Forint",0,2))</f>
        <v>0</v>
      </c>
      <c r="BO487" s="13">
        <f t="shared" ca="1" si="168"/>
        <v>0</v>
      </c>
      <c r="BP487" s="13">
        <f ca="1">IF($D488="Nem",$BO487,$BO487-ROUNDUP(SUM($BI$20:$BI487)*120%,IF($D$4="Forint",0,2)))</f>
        <v>0</v>
      </c>
    </row>
    <row r="488" spans="1:68" x14ac:dyDescent="0.2">
      <c r="A488" s="32">
        <v>469</v>
      </c>
      <c r="B488" s="32">
        <v>40</v>
      </c>
      <c r="C488" s="32">
        <v>1</v>
      </c>
      <c r="D488" s="32" t="str">
        <f t="shared" ca="1" si="154"/>
        <v>Nem</v>
      </c>
      <c r="E488" s="13">
        <f t="shared" ca="1" si="155"/>
        <v>0</v>
      </c>
      <c r="F488" s="13"/>
      <c r="G488" s="13">
        <f>Tranzakciók!$D$71</f>
        <v>0</v>
      </c>
      <c r="H488" s="13"/>
      <c r="I488" s="13">
        <f t="shared" ca="1" si="156"/>
        <v>0</v>
      </c>
      <c r="J488" s="13">
        <f t="shared" ca="1" si="157"/>
        <v>0</v>
      </c>
      <c r="K488" s="13">
        <f t="shared" ca="1" si="158"/>
        <v>0</v>
      </c>
      <c r="L488" s="13" t="e">
        <f ca="1">ROUNDUP(IF($D$2="Egyszeri",$E488,IF($D$2="Havi",SUM($E$20:$E$31),IF(MOD($C488,$M$1)-1=0,SUM($E$20:$E$31),0))/12*$M$1)*VLOOKUP($B488,Paraméterek!$I$28:$P$31,IF($D$2="Egyszeri",8,HLOOKUP(ROUNDUP($M$11+$M$13,0),Paraméterek!$J$26:$O$27,2))),IF($D$4="Forint",0,2))</f>
        <v>#N/A</v>
      </c>
      <c r="M488" s="13">
        <f t="shared" ca="1" si="159"/>
        <v>0</v>
      </c>
      <c r="N488" s="13">
        <f t="shared" ca="1" si="169"/>
        <v>0</v>
      </c>
      <c r="O488" s="13">
        <f ca="1">IF($D488="Igen",IF($W487&gt;=IF($D$4="Forint",Paraméterek!$J$121,Paraméterek!$K$121),0,IF($D$4="Forint",Paraméterek!$J$121,Paraméterek!$K$121)-$W487),0)</f>
        <v>0</v>
      </c>
      <c r="P488" s="13" t="e">
        <f ca="1">ROUNDUP($O488*VLOOKUP($M$4+$B488-1,Paraméterek!$H$58:$I$105,2,0)/Paraméterek!$I$56,IF($D$4="Forint",0,2))</f>
        <v>#N/A</v>
      </c>
      <c r="Q488" s="13">
        <f t="shared" ca="1" si="160"/>
        <v>0</v>
      </c>
      <c r="R488" s="33"/>
      <c r="S488" s="13" t="e">
        <f t="shared" ca="1" si="161"/>
        <v>#N/A</v>
      </c>
      <c r="T488" s="13" t="e">
        <f ca="1">ROUNDUP(($N488-$P488-$Q488+$S488)*VLOOKUP($B488,Paraméterek!$I$38:$K$39,IF($D$2="Egyszeri",3,2))/12*IF($D489="Nem",IF($M$13=0,1,$M$13),1),IF($D$4="Forint",0,2))</f>
        <v>#N/A</v>
      </c>
      <c r="U488" s="13"/>
      <c r="V488" s="13"/>
      <c r="W488" s="13" t="e">
        <f ca="1">$N488-$P488-$Q488+$S488-$T488-IF(ROUNDUP(IF(ISBLANK($V488),$U488*0,$V488)/IF($D$2="Egyszeri",VLOOKUP($B488+IF($C488=12,1,0),Paraméterek!$V$257:$W$262,2),IF($B488=1,1,VLOOKUP($B488+IF($C488=12,1,0),Paraméterek!$I$258:$T$278,HLOOKUP($M$11+1,Paraméterek!$J$256:$T$257,2)))),IF($D$4="Forint",0,2))&gt;$N488-$P488-$Q488+$S488-$T488-IF($D$4="Forint",Paraméterek!$C$216,Paraméterek!$D$216),0,ROUNDUP(IF(ISBLANK($V488),$U488*0,$V488)/IF($D$2="Egyszeri",VLOOKUP($B488+IF($C488=12,1,0),Paraméterek!$V$257:$W$262,2),IF($B488=1,1,VLOOKUP($B488+IF($C488=12,1,0),Paraméterek!$I$258:$T$278,HLOOKUP($M$11+1,Paraméterek!$J$256:$T$257,2)))),IF($D$4="Forint",0,2)))</f>
        <v>#N/A</v>
      </c>
      <c r="X488" s="13" t="e">
        <f ca="1">ROUNDDOWN($W488*IF($D$2="Egyszeri",VLOOKUP($B488+IF($C488=12,1,0),Paraméterek!$V$257:$W$262,2),VLOOKUP($B488+IF($C488=12,1,0),Paraméterek!$I$258:$T$278,HLOOKUP($M$11+1,Paraméterek!$I$256:$T$257,2))),IF($D$4="Forint",0,2))</f>
        <v>#N/A</v>
      </c>
      <c r="Z488" s="32">
        <v>469</v>
      </c>
      <c r="AA488" s="32">
        <v>40</v>
      </c>
      <c r="AB488" s="32">
        <v>1</v>
      </c>
      <c r="AC488" s="13">
        <f t="shared" ca="1" si="170"/>
        <v>0</v>
      </c>
      <c r="AD488" s="33"/>
      <c r="AE488" s="13">
        <f t="shared" ca="1" si="162"/>
        <v>0</v>
      </c>
      <c r="AF488" s="13">
        <f ca="1">ROUNDUP(($AC488+$AE488)*VLOOKUP($AA488,Paraméterek!$P$38:$Q$38,2)/12*IF($D489="Nem",IF($M$13=0,1,$M$13),1),IF($D$4="Forint",0,2))</f>
        <v>0</v>
      </c>
      <c r="AG488" s="13">
        <f ca="1">IF($D$2="Egyszeri",IF($D$7&gt;=IF($D$4="Forint",Paraméterek!$P$223,Paraméterek!$P$224),$D$7-IF($D$4="Forint",Paraméterek!$P$223,Paraméterek!$P$224),0),MIN(IF($AB488=12,AVERAGEIF($E$20:$E488,"&gt;0",$E$20:$E488)*12,0),SUM($E$20:$E$31)))</f>
        <v>0</v>
      </c>
      <c r="AH488" s="13">
        <f>IF($AA488=10,$AG488*IF($AB488=12,IF($AG488&lt;IF($D$4="Forint",Paraméterek!$L$223,Paraméterek!$L$224),0,VLOOKUP($AA488,Paraméterek!$K$226:$M$228,IF($AG488&lt;IF($D$4="Forint",Paraméterek!$M$223,Paraméterek!$M$224),2,3))),0),0)</f>
        <v>0</v>
      </c>
      <c r="AI488" s="13">
        <f ca="1">IF(AND($AA488=$M$11+1,$AB488=$M$12+1),SUMIF($AA$20:$AA$1027,$AA488,$AG$20:$AG$1027)*IF(SUMIF($AA$20:$AA$1027,$AA488,$AG$20:$AG$1027)&lt;IF($D$4="Forint",Paraméterek!$L$223,Paraméterek!$L$224),0,VLOOKUP($AA488,Paraméterek!$K$230:$M$250,IF(SUMIF($AA$20:$AA$1027,$AA488,$AG$20:$AG$1027)&lt;IF($D$4="Forint",Paraméterek!$M$223,Paraméterek!$M$224),2,3))),0)</f>
        <v>0</v>
      </c>
      <c r="AJ488" s="13">
        <f ca="1">IF(AND($AA488&gt;=5,MOD($AA488,5)=0),IF($AB488=12,VLOOKUP($AA488,Paraméterek!$O$225:$P$240,2),0),IF(OR($AA488=3,$AA488=4),IF($AB488=12,VLOOKUP($AA488,Paraméterek!$O$225:$P$240,2,0),0),0))*$AG488</f>
        <v>0</v>
      </c>
      <c r="AK488" s="13">
        <f t="shared" ca="1" si="163"/>
        <v>0</v>
      </c>
      <c r="AL488" s="13">
        <f t="shared" ca="1" si="171"/>
        <v>0</v>
      </c>
      <c r="AM488" s="13">
        <f t="shared" ca="1" si="172"/>
        <v>0</v>
      </c>
      <c r="AO488" s="32">
        <v>469</v>
      </c>
      <c r="AP488" s="32">
        <v>40</v>
      </c>
      <c r="AQ488" s="32">
        <v>1</v>
      </c>
      <c r="AR488" s="13">
        <f>Tranzakciók!$K$71</f>
        <v>0</v>
      </c>
      <c r="AS488" s="32"/>
      <c r="AT488" s="13">
        <f t="shared" ca="1" si="173"/>
        <v>0</v>
      </c>
      <c r="AU488" s="33"/>
      <c r="AV488" s="13">
        <f t="shared" ca="1" si="164"/>
        <v>0</v>
      </c>
      <c r="AW488" s="13">
        <f ca="1">ROUNDUP(($AT488+$AV488)*VLOOKUP($AP488,Paraméterek!$P$38:$Q$38,2)/12*IF($D489="Nem",IF($M$13=0,1,$M$13),1),IF($D$4="Forint",0,2))</f>
        <v>0</v>
      </c>
      <c r="AX488" s="13"/>
      <c r="AY488" s="13"/>
      <c r="AZ488" s="13">
        <f>ROUNDUP(IF(SUM($AX488:$AY488)=0,0,IF(IF(ISBLANK($AY488),$AX488,$AY488)*Paraméterek!$J$112&lt;IF($D$4="Forint",Paraméterek!$J$113,Paraméterek!$K$113),IF($D$4="Forint",Paraméterek!$J$113,Paraméterek!$K$113),IF(IF(ISBLANK($AY488),$AX488,$AY488)*Paraméterek!$J$112&gt;IF($D$4="Forint",Paraméterek!$J$114,Paraméterek!$K$114),IF($D$4="Forint",Paraméterek!$J$114,Paraméterek!$K$114),IF(ISBLANK($AY488),$AX488,$AY488)*Paraméterek!$J$112))),IF($D$4="Forint",0,2))</f>
        <v>0</v>
      </c>
      <c r="BA488" s="13">
        <f ca="1">$AT488+$AV488-$AW488-IF(ROUNDDOWN(IF(ISBLANK($AY488),$AX488,$AY488),IF($D$4="Forint",0,2))&gt;$AT488+$AV488-$AW488-IF($D$4="Forint",Paraméterek!$J$114,Paraméterek!$K$114),0,ROUNDDOWN(IF(ISBLANK($AY488),$AX488,$AY488),IF($D$4="Forint",0,2))-$AZ488)</f>
        <v>0</v>
      </c>
      <c r="BB488" s="13">
        <f t="shared" ca="1" si="165"/>
        <v>0</v>
      </c>
      <c r="BD488" s="32">
        <v>469</v>
      </c>
      <c r="BE488" s="32">
        <v>40</v>
      </c>
      <c r="BF488" s="32">
        <v>1</v>
      </c>
      <c r="BG488" s="34">
        <f t="shared" ca="1" si="174"/>
        <v>2058</v>
      </c>
      <c r="BH488" s="32" t="str">
        <f ca="1">IF(MOD(MONTH($D$14)+$BD488-1,12)=Paraméterek!$C$288,"Igen","")</f>
        <v/>
      </c>
      <c r="BI488" s="13">
        <f ca="1">IF($BH488="Igen",MIN(ROUNDDOWN((SUMIF($BG$20:$BG$1027,$BG488-1,$K$20:$K$1027)-SUMIF($BG$20:$BG$1027,$BG488-1,$I$20:$I$1027))*Paraméterek!$C$289,IF($D$4="Forint",0,2)),IF($D$4="Forint",Paraméterek!$C$285,Paraméterek!$D$285)),0)</f>
        <v>0</v>
      </c>
      <c r="BJ488" s="13">
        <f t="shared" ca="1" si="166"/>
        <v>0</v>
      </c>
      <c r="BK488" s="13">
        <f t="shared" ca="1" si="175"/>
        <v>0</v>
      </c>
      <c r="BL488" s="33"/>
      <c r="BM488" s="13">
        <f t="shared" ca="1" si="167"/>
        <v>0</v>
      </c>
      <c r="BN488" s="13">
        <f ca="1">ROUNDUP(($BK488+$BM488)*VLOOKUP($BE488,Paraméterek!$P$38:$Q$38,2)/12*IF($D489="Nem",IF($M$13=0,1,$M$13),1),IF($D$4="Forint",0,2))</f>
        <v>0</v>
      </c>
      <c r="BO488" s="13">
        <f t="shared" ca="1" si="168"/>
        <v>0</v>
      </c>
      <c r="BP488" s="13">
        <f ca="1">IF($D489="Nem",$BO488,$BO488-ROUNDUP(SUM($BI$20:$BI488)*120%,IF($D$4="Forint",0,2)))</f>
        <v>0</v>
      </c>
    </row>
    <row r="489" spans="1:68" x14ac:dyDescent="0.2">
      <c r="A489" s="32">
        <v>470</v>
      </c>
      <c r="B489" s="32">
        <v>40</v>
      </c>
      <c r="C489" s="32">
        <v>2</v>
      </c>
      <c r="D489" s="32" t="str">
        <f t="shared" ca="1" si="154"/>
        <v>Nem</v>
      </c>
      <c r="E489" s="13">
        <f t="shared" ca="1" si="155"/>
        <v>0</v>
      </c>
      <c r="F489" s="13"/>
      <c r="G489" s="13"/>
      <c r="H489" s="13"/>
      <c r="I489" s="13">
        <f t="shared" ca="1" si="156"/>
        <v>0</v>
      </c>
      <c r="J489" s="13">
        <f t="shared" ca="1" si="157"/>
        <v>0</v>
      </c>
      <c r="K489" s="13">
        <f t="shared" ca="1" si="158"/>
        <v>0</v>
      </c>
      <c r="L489" s="13" t="e">
        <f ca="1">ROUNDUP(IF($D$2="Egyszeri",$E489,IF($D$2="Havi",SUM($E$20:$E$31),IF(MOD($C489,$M$1)-1=0,SUM($E$20:$E$31),0))/12*$M$1)*VLOOKUP($B489,Paraméterek!$I$28:$P$31,IF($D$2="Egyszeri",8,HLOOKUP(ROUNDUP($M$11+$M$13,0),Paraméterek!$J$26:$O$27,2))),IF($D$4="Forint",0,2))</f>
        <v>#N/A</v>
      </c>
      <c r="M489" s="13">
        <f t="shared" ca="1" si="159"/>
        <v>0</v>
      </c>
      <c r="N489" s="13">
        <f t="shared" ca="1" si="169"/>
        <v>0</v>
      </c>
      <c r="O489" s="13">
        <f ca="1">IF($D489="Igen",IF($W488&gt;=IF($D$4="Forint",Paraméterek!$J$121,Paraméterek!$K$121),0,IF($D$4="Forint",Paraméterek!$J$121,Paraméterek!$K$121)-$W488),0)</f>
        <v>0</v>
      </c>
      <c r="P489" s="13" t="e">
        <f ca="1">ROUNDUP($O489*VLOOKUP($M$4+$B489-1,Paraméterek!$H$58:$I$105,2,0)/Paraméterek!$I$56,IF($D$4="Forint",0,2))</f>
        <v>#N/A</v>
      </c>
      <c r="Q489" s="13">
        <f t="shared" ca="1" si="160"/>
        <v>0</v>
      </c>
      <c r="R489" s="33"/>
      <c r="S489" s="13" t="e">
        <f t="shared" ca="1" si="161"/>
        <v>#N/A</v>
      </c>
      <c r="T489" s="13" t="e">
        <f ca="1">ROUNDUP(($N489-$P489-$Q489+$S489)*VLOOKUP($B489,Paraméterek!$I$38:$K$39,IF($D$2="Egyszeri",3,2))/12*IF($D490="Nem",IF($M$13=0,1,$M$13),1),IF($D$4="Forint",0,2))</f>
        <v>#N/A</v>
      </c>
      <c r="U489" s="13"/>
      <c r="V489" s="13"/>
      <c r="W489" s="13" t="e">
        <f ca="1">$N489-$P489-$Q489+$S489-$T489-IF(ROUNDUP(IF(ISBLANK($V489),$U489*0,$V489)/IF($D$2="Egyszeri",VLOOKUP($B489+IF($C489=12,1,0),Paraméterek!$V$257:$W$262,2),IF($B489=1,1,VLOOKUP($B489+IF($C489=12,1,0),Paraméterek!$I$258:$T$278,HLOOKUP($M$11+1,Paraméterek!$J$256:$T$257,2)))),IF($D$4="Forint",0,2))&gt;$N489-$P489-$Q489+$S489-$T489-IF($D$4="Forint",Paraméterek!$C$216,Paraméterek!$D$216),0,ROUNDUP(IF(ISBLANK($V489),$U489*0,$V489)/IF($D$2="Egyszeri",VLOOKUP($B489+IF($C489=12,1,0),Paraméterek!$V$257:$W$262,2),IF($B489=1,1,VLOOKUP($B489+IF($C489=12,1,0),Paraméterek!$I$258:$T$278,HLOOKUP($M$11+1,Paraméterek!$J$256:$T$257,2)))),IF($D$4="Forint",0,2)))</f>
        <v>#N/A</v>
      </c>
      <c r="X489" s="13" t="e">
        <f ca="1">ROUNDDOWN($W489*IF($D$2="Egyszeri",VLOOKUP($B489+IF($C489=12,1,0),Paraméterek!$V$257:$W$262,2),VLOOKUP($B489+IF($C489=12,1,0),Paraméterek!$I$258:$T$278,HLOOKUP($M$11+1,Paraméterek!$I$256:$T$257,2))),IF($D$4="Forint",0,2))</f>
        <v>#N/A</v>
      </c>
      <c r="Z489" s="32">
        <v>470</v>
      </c>
      <c r="AA489" s="32">
        <v>40</v>
      </c>
      <c r="AB489" s="32">
        <v>2</v>
      </c>
      <c r="AC489" s="13">
        <f t="shared" ca="1" si="170"/>
        <v>0</v>
      </c>
      <c r="AD489" s="33"/>
      <c r="AE489" s="13">
        <f t="shared" ca="1" si="162"/>
        <v>0</v>
      </c>
      <c r="AF489" s="13">
        <f ca="1">ROUNDUP(($AC489+$AE489)*VLOOKUP($AA489,Paraméterek!$P$38:$Q$38,2)/12*IF($D490="Nem",IF($M$13=0,1,$M$13),1),IF($D$4="Forint",0,2))</f>
        <v>0</v>
      </c>
      <c r="AG489" s="13">
        <f ca="1">IF($D$2="Egyszeri",IF($D$7&gt;=IF($D$4="Forint",Paraméterek!$P$223,Paraméterek!$P$224),$D$7-IF($D$4="Forint",Paraméterek!$P$223,Paraméterek!$P$224),0),MIN(IF($AB489=12,AVERAGEIF($E$20:$E489,"&gt;0",$E$20:$E489)*12,0),SUM($E$20:$E$31)))</f>
        <v>0</v>
      </c>
      <c r="AH489" s="13">
        <f>IF($AA489=10,$AG489*IF($AB489=12,IF($AG489&lt;IF($D$4="Forint",Paraméterek!$L$223,Paraméterek!$L$224),0,VLOOKUP($AA489,Paraméterek!$K$226:$M$228,IF($AG489&lt;IF($D$4="Forint",Paraméterek!$M$223,Paraméterek!$M$224),2,3))),0),0)</f>
        <v>0</v>
      </c>
      <c r="AI489" s="13">
        <f ca="1">IF(AND($AA489=$M$11+1,$AB489=$M$12+1),SUMIF($AA$20:$AA$1027,$AA489,$AG$20:$AG$1027)*IF(SUMIF($AA$20:$AA$1027,$AA489,$AG$20:$AG$1027)&lt;IF($D$4="Forint",Paraméterek!$L$223,Paraméterek!$L$224),0,VLOOKUP($AA489,Paraméterek!$K$230:$M$250,IF(SUMIF($AA$20:$AA$1027,$AA489,$AG$20:$AG$1027)&lt;IF($D$4="Forint",Paraméterek!$M$223,Paraméterek!$M$224),2,3))),0)</f>
        <v>0</v>
      </c>
      <c r="AJ489" s="13">
        <f ca="1">IF(AND($AA489&gt;=5,MOD($AA489,5)=0),IF($AB489=12,VLOOKUP($AA489,Paraméterek!$O$225:$P$240,2),0),IF(OR($AA489=3,$AA489=4),IF($AB489=12,VLOOKUP($AA489,Paraméterek!$O$225:$P$240,2,0),0),0))*$AG489</f>
        <v>0</v>
      </c>
      <c r="AK489" s="13">
        <f t="shared" ca="1" si="163"/>
        <v>0</v>
      </c>
      <c r="AL489" s="13">
        <f t="shared" ca="1" si="171"/>
        <v>0</v>
      </c>
      <c r="AM489" s="13">
        <f t="shared" ca="1" si="172"/>
        <v>0</v>
      </c>
      <c r="AO489" s="32">
        <v>470</v>
      </c>
      <c r="AP489" s="32">
        <v>40</v>
      </c>
      <c r="AQ489" s="32">
        <v>2</v>
      </c>
      <c r="AR489" s="13"/>
      <c r="AS489" s="32"/>
      <c r="AT489" s="13">
        <f t="shared" ca="1" si="173"/>
        <v>0</v>
      </c>
      <c r="AU489" s="33"/>
      <c r="AV489" s="13">
        <f t="shared" ca="1" si="164"/>
        <v>0</v>
      </c>
      <c r="AW489" s="13">
        <f ca="1">ROUNDUP(($AT489+$AV489)*VLOOKUP($AP489,Paraméterek!$P$38:$Q$38,2)/12*IF($D490="Nem",IF($M$13=0,1,$M$13),1),IF($D$4="Forint",0,2))</f>
        <v>0</v>
      </c>
      <c r="AX489" s="13"/>
      <c r="AY489" s="13"/>
      <c r="AZ489" s="13">
        <f>ROUNDUP(IF(SUM($AX489:$AY489)=0,0,IF(IF(ISBLANK($AY489),$AX489,$AY489)*Paraméterek!$J$112&lt;IF($D$4="Forint",Paraméterek!$J$113,Paraméterek!$K$113),IF($D$4="Forint",Paraméterek!$J$113,Paraméterek!$K$113),IF(IF(ISBLANK($AY489),$AX489,$AY489)*Paraméterek!$J$112&gt;IF($D$4="Forint",Paraméterek!$J$114,Paraméterek!$K$114),IF($D$4="Forint",Paraméterek!$J$114,Paraméterek!$K$114),IF(ISBLANK($AY489),$AX489,$AY489)*Paraméterek!$J$112))),IF($D$4="Forint",0,2))</f>
        <v>0</v>
      </c>
      <c r="BA489" s="13">
        <f ca="1">$AT489+$AV489-$AW489-IF(ROUNDDOWN(IF(ISBLANK($AY489),$AX489,$AY489),IF($D$4="Forint",0,2))&gt;$AT489+$AV489-$AW489-IF($D$4="Forint",Paraméterek!$J$114,Paraméterek!$K$114),0,ROUNDDOWN(IF(ISBLANK($AY489),$AX489,$AY489),IF($D$4="Forint",0,2))-$AZ489)</f>
        <v>0</v>
      </c>
      <c r="BB489" s="13">
        <f t="shared" ca="1" si="165"/>
        <v>0</v>
      </c>
      <c r="BD489" s="32">
        <v>470</v>
      </c>
      <c r="BE489" s="32">
        <v>40</v>
      </c>
      <c r="BF489" s="32">
        <v>2</v>
      </c>
      <c r="BG489" s="34">
        <f t="shared" ca="1" si="174"/>
        <v>2058</v>
      </c>
      <c r="BH489" s="32" t="str">
        <f ca="1">IF(MOD(MONTH($D$14)+$BD489-1,12)=Paraméterek!$C$288,"Igen","")</f>
        <v>Igen</v>
      </c>
      <c r="BI489" s="13">
        <f ca="1">IF($BH489="Igen",MIN(ROUNDDOWN((SUMIF($BG$20:$BG$1027,$BG489-1,$K$20:$K$1027)-SUMIF($BG$20:$BG$1027,$BG489-1,$I$20:$I$1027))*Paraméterek!$C$289,IF($D$4="Forint",0,2)),IF($D$4="Forint",Paraméterek!$C$285,Paraméterek!$D$285)),0)</f>
        <v>0</v>
      </c>
      <c r="BJ489" s="13">
        <f t="shared" ca="1" si="166"/>
        <v>0</v>
      </c>
      <c r="BK489" s="13">
        <f t="shared" ca="1" si="175"/>
        <v>0</v>
      </c>
      <c r="BL489" s="33"/>
      <c r="BM489" s="13">
        <f t="shared" ca="1" si="167"/>
        <v>0</v>
      </c>
      <c r="BN489" s="13">
        <f ca="1">ROUNDUP(($BK489+$BM489)*VLOOKUP($BE489,Paraméterek!$P$38:$Q$38,2)/12*IF($D490="Nem",IF($M$13=0,1,$M$13),1),IF($D$4="Forint",0,2))</f>
        <v>0</v>
      </c>
      <c r="BO489" s="13">
        <f t="shared" ca="1" si="168"/>
        <v>0</v>
      </c>
      <c r="BP489" s="13">
        <f ca="1">IF($D490="Nem",$BO489,$BO489-ROUNDUP(SUM($BI$20:$BI489)*120%,IF($D$4="Forint",0,2)))</f>
        <v>0</v>
      </c>
    </row>
    <row r="490" spans="1:68" x14ac:dyDescent="0.2">
      <c r="A490" s="32">
        <v>471</v>
      </c>
      <c r="B490" s="32">
        <v>40</v>
      </c>
      <c r="C490" s="32">
        <v>3</v>
      </c>
      <c r="D490" s="32" t="str">
        <f t="shared" ca="1" si="154"/>
        <v>Nem</v>
      </c>
      <c r="E490" s="13">
        <f t="shared" ca="1" si="155"/>
        <v>0</v>
      </c>
      <c r="F490" s="13"/>
      <c r="G490" s="13"/>
      <c r="H490" s="13"/>
      <c r="I490" s="13">
        <f t="shared" ca="1" si="156"/>
        <v>0</v>
      </c>
      <c r="J490" s="13">
        <f t="shared" ca="1" si="157"/>
        <v>0</v>
      </c>
      <c r="K490" s="13">
        <f t="shared" ca="1" si="158"/>
        <v>0</v>
      </c>
      <c r="L490" s="13" t="e">
        <f ca="1">ROUNDUP(IF($D$2="Egyszeri",$E490,IF($D$2="Havi",SUM($E$20:$E$31),IF(MOD($C490,$M$1)-1=0,SUM($E$20:$E$31),0))/12*$M$1)*VLOOKUP($B490,Paraméterek!$I$28:$P$31,IF($D$2="Egyszeri",8,HLOOKUP(ROUNDUP($M$11+$M$13,0),Paraméterek!$J$26:$O$27,2))),IF($D$4="Forint",0,2))</f>
        <v>#N/A</v>
      </c>
      <c r="M490" s="13">
        <f t="shared" ca="1" si="159"/>
        <v>0</v>
      </c>
      <c r="N490" s="13">
        <f t="shared" ca="1" si="169"/>
        <v>0</v>
      </c>
      <c r="O490" s="13">
        <f ca="1">IF($D490="Igen",IF($W489&gt;=IF($D$4="Forint",Paraméterek!$J$121,Paraméterek!$K$121),0,IF($D$4="Forint",Paraméterek!$J$121,Paraméterek!$K$121)-$W489),0)</f>
        <v>0</v>
      </c>
      <c r="P490" s="13" t="e">
        <f ca="1">ROUNDUP($O490*VLOOKUP($M$4+$B490-1,Paraméterek!$H$58:$I$105,2,0)/Paraméterek!$I$56,IF($D$4="Forint",0,2))</f>
        <v>#N/A</v>
      </c>
      <c r="Q490" s="13">
        <f t="shared" ca="1" si="160"/>
        <v>0</v>
      </c>
      <c r="R490" s="33"/>
      <c r="S490" s="13" t="e">
        <f t="shared" ca="1" si="161"/>
        <v>#N/A</v>
      </c>
      <c r="T490" s="13" t="e">
        <f ca="1">ROUNDUP(($N490-$P490-$Q490+$S490)*VLOOKUP($B490,Paraméterek!$I$38:$K$39,IF($D$2="Egyszeri",3,2))/12*IF($D491="Nem",IF($M$13=0,1,$M$13),1),IF($D$4="Forint",0,2))</f>
        <v>#N/A</v>
      </c>
      <c r="U490" s="13"/>
      <c r="V490" s="13"/>
      <c r="W490" s="13" t="e">
        <f ca="1">$N490-$P490-$Q490+$S490-$T490-IF(ROUNDUP(IF(ISBLANK($V490),$U490*0,$V490)/IF($D$2="Egyszeri",VLOOKUP($B490+IF($C490=12,1,0),Paraméterek!$V$257:$W$262,2),IF($B490=1,1,VLOOKUP($B490+IF($C490=12,1,0),Paraméterek!$I$258:$T$278,HLOOKUP($M$11+1,Paraméterek!$J$256:$T$257,2)))),IF($D$4="Forint",0,2))&gt;$N490-$P490-$Q490+$S490-$T490-IF($D$4="Forint",Paraméterek!$C$216,Paraméterek!$D$216),0,ROUNDUP(IF(ISBLANK($V490),$U490*0,$V490)/IF($D$2="Egyszeri",VLOOKUP($B490+IF($C490=12,1,0),Paraméterek!$V$257:$W$262,2),IF($B490=1,1,VLOOKUP($B490+IF($C490=12,1,0),Paraméterek!$I$258:$T$278,HLOOKUP($M$11+1,Paraméterek!$J$256:$T$257,2)))),IF($D$4="Forint",0,2)))</f>
        <v>#N/A</v>
      </c>
      <c r="X490" s="13" t="e">
        <f ca="1">ROUNDDOWN($W490*IF($D$2="Egyszeri",VLOOKUP($B490+IF($C490=12,1,0),Paraméterek!$V$257:$W$262,2),VLOOKUP($B490+IF($C490=12,1,0),Paraméterek!$I$258:$T$278,HLOOKUP($M$11+1,Paraméterek!$I$256:$T$257,2))),IF($D$4="Forint",0,2))</f>
        <v>#N/A</v>
      </c>
      <c r="Z490" s="32">
        <v>471</v>
      </c>
      <c r="AA490" s="32">
        <v>40</v>
      </c>
      <c r="AB490" s="32">
        <v>3</v>
      </c>
      <c r="AC490" s="13">
        <f t="shared" ca="1" si="170"/>
        <v>0</v>
      </c>
      <c r="AD490" s="33"/>
      <c r="AE490" s="13">
        <f t="shared" ca="1" si="162"/>
        <v>0</v>
      </c>
      <c r="AF490" s="13">
        <f ca="1">ROUNDUP(($AC490+$AE490)*VLOOKUP($AA490,Paraméterek!$P$38:$Q$38,2)/12*IF($D491="Nem",IF($M$13=0,1,$M$13),1),IF($D$4="Forint",0,2))</f>
        <v>0</v>
      </c>
      <c r="AG490" s="13">
        <f ca="1">IF($D$2="Egyszeri",IF($D$7&gt;=IF($D$4="Forint",Paraméterek!$P$223,Paraméterek!$P$224),$D$7-IF($D$4="Forint",Paraméterek!$P$223,Paraméterek!$P$224),0),MIN(IF($AB490=12,AVERAGEIF($E$20:$E490,"&gt;0",$E$20:$E490)*12,0),SUM($E$20:$E$31)))</f>
        <v>0</v>
      </c>
      <c r="AH490" s="13">
        <f>IF($AA490=10,$AG490*IF($AB490=12,IF($AG490&lt;IF($D$4="Forint",Paraméterek!$L$223,Paraméterek!$L$224),0,VLOOKUP($AA490,Paraméterek!$K$226:$M$228,IF($AG490&lt;IF($D$4="Forint",Paraméterek!$M$223,Paraméterek!$M$224),2,3))),0),0)</f>
        <v>0</v>
      </c>
      <c r="AI490" s="13">
        <f ca="1">IF(AND($AA490=$M$11+1,$AB490=$M$12+1),SUMIF($AA$20:$AA$1027,$AA490,$AG$20:$AG$1027)*IF(SUMIF($AA$20:$AA$1027,$AA490,$AG$20:$AG$1027)&lt;IF($D$4="Forint",Paraméterek!$L$223,Paraméterek!$L$224),0,VLOOKUP($AA490,Paraméterek!$K$230:$M$250,IF(SUMIF($AA$20:$AA$1027,$AA490,$AG$20:$AG$1027)&lt;IF($D$4="Forint",Paraméterek!$M$223,Paraméterek!$M$224),2,3))),0)</f>
        <v>0</v>
      </c>
      <c r="AJ490" s="13">
        <f ca="1">IF(AND($AA490&gt;=5,MOD($AA490,5)=0),IF($AB490=12,VLOOKUP($AA490,Paraméterek!$O$225:$P$240,2),0),IF(OR($AA490=3,$AA490=4),IF($AB490=12,VLOOKUP($AA490,Paraméterek!$O$225:$P$240,2,0),0),0))*$AG490</f>
        <v>0</v>
      </c>
      <c r="AK490" s="13">
        <f t="shared" ca="1" si="163"/>
        <v>0</v>
      </c>
      <c r="AL490" s="13">
        <f t="shared" ca="1" si="171"/>
        <v>0</v>
      </c>
      <c r="AM490" s="13">
        <f t="shared" ca="1" si="172"/>
        <v>0</v>
      </c>
      <c r="AO490" s="32">
        <v>471</v>
      </c>
      <c r="AP490" s="32">
        <v>40</v>
      </c>
      <c r="AQ490" s="32">
        <v>3</v>
      </c>
      <c r="AR490" s="13"/>
      <c r="AS490" s="32"/>
      <c r="AT490" s="13">
        <f t="shared" ca="1" si="173"/>
        <v>0</v>
      </c>
      <c r="AU490" s="33"/>
      <c r="AV490" s="13">
        <f t="shared" ca="1" si="164"/>
        <v>0</v>
      </c>
      <c r="AW490" s="13">
        <f ca="1">ROUNDUP(($AT490+$AV490)*VLOOKUP($AP490,Paraméterek!$P$38:$Q$38,2)/12*IF($D491="Nem",IF($M$13=0,1,$M$13),1),IF($D$4="Forint",0,2))</f>
        <v>0</v>
      </c>
      <c r="AX490" s="13"/>
      <c r="AY490" s="13"/>
      <c r="AZ490" s="13">
        <f>ROUNDUP(IF(SUM($AX490:$AY490)=0,0,IF(IF(ISBLANK($AY490),$AX490,$AY490)*Paraméterek!$J$112&lt;IF($D$4="Forint",Paraméterek!$J$113,Paraméterek!$K$113),IF($D$4="Forint",Paraméterek!$J$113,Paraméterek!$K$113),IF(IF(ISBLANK($AY490),$AX490,$AY490)*Paraméterek!$J$112&gt;IF($D$4="Forint",Paraméterek!$J$114,Paraméterek!$K$114),IF($D$4="Forint",Paraméterek!$J$114,Paraméterek!$K$114),IF(ISBLANK($AY490),$AX490,$AY490)*Paraméterek!$J$112))),IF($D$4="Forint",0,2))</f>
        <v>0</v>
      </c>
      <c r="BA490" s="13">
        <f ca="1">$AT490+$AV490-$AW490-IF(ROUNDDOWN(IF(ISBLANK($AY490),$AX490,$AY490),IF($D$4="Forint",0,2))&gt;$AT490+$AV490-$AW490-IF($D$4="Forint",Paraméterek!$J$114,Paraméterek!$K$114),0,ROUNDDOWN(IF(ISBLANK($AY490),$AX490,$AY490),IF($D$4="Forint",0,2))-$AZ490)</f>
        <v>0</v>
      </c>
      <c r="BB490" s="13">
        <f t="shared" ca="1" si="165"/>
        <v>0</v>
      </c>
      <c r="BD490" s="32">
        <v>471</v>
      </c>
      <c r="BE490" s="32">
        <v>40</v>
      </c>
      <c r="BF490" s="32">
        <v>3</v>
      </c>
      <c r="BG490" s="34">
        <f t="shared" ca="1" si="174"/>
        <v>2058</v>
      </c>
      <c r="BH490" s="32" t="str">
        <f ca="1">IF(MOD(MONTH($D$14)+$BD490-1,12)=Paraméterek!$C$288,"Igen","")</f>
        <v/>
      </c>
      <c r="BI490" s="13">
        <f ca="1">IF($BH490="Igen",MIN(ROUNDDOWN((SUMIF($BG$20:$BG$1027,$BG490-1,$K$20:$K$1027)-SUMIF($BG$20:$BG$1027,$BG490-1,$I$20:$I$1027))*Paraméterek!$C$289,IF($D$4="Forint",0,2)),IF($D$4="Forint",Paraméterek!$C$285,Paraméterek!$D$285)),0)</f>
        <v>0</v>
      </c>
      <c r="BJ490" s="13">
        <f t="shared" ca="1" si="166"/>
        <v>0</v>
      </c>
      <c r="BK490" s="13">
        <f t="shared" ca="1" si="175"/>
        <v>0</v>
      </c>
      <c r="BL490" s="33"/>
      <c r="BM490" s="13">
        <f t="shared" ca="1" si="167"/>
        <v>0</v>
      </c>
      <c r="BN490" s="13">
        <f ca="1">ROUNDUP(($BK490+$BM490)*VLOOKUP($BE490,Paraméterek!$P$38:$Q$38,2)/12*IF($D491="Nem",IF($M$13=0,1,$M$13),1),IF($D$4="Forint",0,2))</f>
        <v>0</v>
      </c>
      <c r="BO490" s="13">
        <f t="shared" ca="1" si="168"/>
        <v>0</v>
      </c>
      <c r="BP490" s="13">
        <f ca="1">IF($D491="Nem",$BO490,$BO490-ROUNDUP(SUM($BI$20:$BI490)*120%,IF($D$4="Forint",0,2)))</f>
        <v>0</v>
      </c>
    </row>
    <row r="491" spans="1:68" x14ac:dyDescent="0.2">
      <c r="A491" s="32">
        <v>472</v>
      </c>
      <c r="B491" s="32">
        <v>40</v>
      </c>
      <c r="C491" s="32">
        <v>4</v>
      </c>
      <c r="D491" s="32" t="str">
        <f t="shared" ca="1" si="154"/>
        <v>Nem</v>
      </c>
      <c r="E491" s="13">
        <f t="shared" ca="1" si="155"/>
        <v>0</v>
      </c>
      <c r="F491" s="13"/>
      <c r="G491" s="13"/>
      <c r="H491" s="13"/>
      <c r="I491" s="13">
        <f t="shared" ca="1" si="156"/>
        <v>0</v>
      </c>
      <c r="J491" s="13">
        <f t="shared" ca="1" si="157"/>
        <v>0</v>
      </c>
      <c r="K491" s="13">
        <f t="shared" ca="1" si="158"/>
        <v>0</v>
      </c>
      <c r="L491" s="13" t="e">
        <f ca="1">ROUNDUP(IF($D$2="Egyszeri",$E491,IF($D$2="Havi",SUM($E$20:$E$31),IF(MOD($C491,$M$1)-1=0,SUM($E$20:$E$31),0))/12*$M$1)*VLOOKUP($B491,Paraméterek!$I$28:$P$31,IF($D$2="Egyszeri",8,HLOOKUP(ROUNDUP($M$11+$M$13,0),Paraméterek!$J$26:$O$27,2))),IF($D$4="Forint",0,2))</f>
        <v>#N/A</v>
      </c>
      <c r="M491" s="13">
        <f t="shared" ca="1" si="159"/>
        <v>0</v>
      </c>
      <c r="N491" s="13">
        <f t="shared" ca="1" si="169"/>
        <v>0</v>
      </c>
      <c r="O491" s="13">
        <f ca="1">IF($D491="Igen",IF($W490&gt;=IF($D$4="Forint",Paraméterek!$J$121,Paraméterek!$K$121),0,IF($D$4="Forint",Paraméterek!$J$121,Paraméterek!$K$121)-$W490),0)</f>
        <v>0</v>
      </c>
      <c r="P491" s="13" t="e">
        <f ca="1">ROUNDUP($O491*VLOOKUP($M$4+$B491-1,Paraméterek!$H$58:$I$105,2,0)/Paraméterek!$I$56,IF($D$4="Forint",0,2))</f>
        <v>#N/A</v>
      </c>
      <c r="Q491" s="13">
        <f t="shared" ca="1" si="160"/>
        <v>0</v>
      </c>
      <c r="R491" s="33"/>
      <c r="S491" s="13" t="e">
        <f t="shared" ca="1" si="161"/>
        <v>#N/A</v>
      </c>
      <c r="T491" s="13" t="e">
        <f ca="1">ROUNDUP(($N491-$P491-$Q491+$S491)*VLOOKUP($B491,Paraméterek!$I$38:$K$39,IF($D$2="Egyszeri",3,2))/12*IF($D492="Nem",IF($M$13=0,1,$M$13),1),IF($D$4="Forint",0,2))</f>
        <v>#N/A</v>
      </c>
      <c r="U491" s="13"/>
      <c r="V491" s="13"/>
      <c r="W491" s="13" t="e">
        <f ca="1">$N491-$P491-$Q491+$S491-$T491-IF(ROUNDUP(IF(ISBLANK($V491),$U491*0,$V491)/IF($D$2="Egyszeri",VLOOKUP($B491+IF($C491=12,1,0),Paraméterek!$V$257:$W$262,2),IF($B491=1,1,VLOOKUP($B491+IF($C491=12,1,0),Paraméterek!$I$258:$T$278,HLOOKUP($M$11+1,Paraméterek!$J$256:$T$257,2)))),IF($D$4="Forint",0,2))&gt;$N491-$P491-$Q491+$S491-$T491-IF($D$4="Forint",Paraméterek!$C$216,Paraméterek!$D$216),0,ROUNDUP(IF(ISBLANK($V491),$U491*0,$V491)/IF($D$2="Egyszeri",VLOOKUP($B491+IF($C491=12,1,0),Paraméterek!$V$257:$W$262,2),IF($B491=1,1,VLOOKUP($B491+IF($C491=12,1,0),Paraméterek!$I$258:$T$278,HLOOKUP($M$11+1,Paraméterek!$J$256:$T$257,2)))),IF($D$4="Forint",0,2)))</f>
        <v>#N/A</v>
      </c>
      <c r="X491" s="13" t="e">
        <f ca="1">ROUNDDOWN($W491*IF($D$2="Egyszeri",VLOOKUP($B491+IF($C491=12,1,0),Paraméterek!$V$257:$W$262,2),VLOOKUP($B491+IF($C491=12,1,0),Paraméterek!$I$258:$T$278,HLOOKUP($M$11+1,Paraméterek!$I$256:$T$257,2))),IF($D$4="Forint",0,2))</f>
        <v>#N/A</v>
      </c>
      <c r="Z491" s="32">
        <v>472</v>
      </c>
      <c r="AA491" s="32">
        <v>40</v>
      </c>
      <c r="AB491" s="32">
        <v>4</v>
      </c>
      <c r="AC491" s="13">
        <f t="shared" ca="1" si="170"/>
        <v>0</v>
      </c>
      <c r="AD491" s="33"/>
      <c r="AE491" s="13">
        <f t="shared" ca="1" si="162"/>
        <v>0</v>
      </c>
      <c r="AF491" s="13">
        <f ca="1">ROUNDUP(($AC491+$AE491)*VLOOKUP($AA491,Paraméterek!$P$38:$Q$38,2)/12*IF($D492="Nem",IF($M$13=0,1,$M$13),1),IF($D$4="Forint",0,2))</f>
        <v>0</v>
      </c>
      <c r="AG491" s="13">
        <f ca="1">IF($D$2="Egyszeri",IF($D$7&gt;=IF($D$4="Forint",Paraméterek!$P$223,Paraméterek!$P$224),$D$7-IF($D$4="Forint",Paraméterek!$P$223,Paraméterek!$P$224),0),MIN(IF($AB491=12,AVERAGEIF($E$20:$E491,"&gt;0",$E$20:$E491)*12,0),SUM($E$20:$E$31)))</f>
        <v>0</v>
      </c>
      <c r="AH491" s="13">
        <f>IF($AA491=10,$AG491*IF($AB491=12,IF($AG491&lt;IF($D$4="Forint",Paraméterek!$L$223,Paraméterek!$L$224),0,VLOOKUP($AA491,Paraméterek!$K$226:$M$228,IF($AG491&lt;IF($D$4="Forint",Paraméterek!$M$223,Paraméterek!$M$224),2,3))),0),0)</f>
        <v>0</v>
      </c>
      <c r="AI491" s="13">
        <f ca="1">IF(AND($AA491=$M$11+1,$AB491=$M$12+1),SUMIF($AA$20:$AA$1027,$AA491,$AG$20:$AG$1027)*IF(SUMIF($AA$20:$AA$1027,$AA491,$AG$20:$AG$1027)&lt;IF($D$4="Forint",Paraméterek!$L$223,Paraméterek!$L$224),0,VLOOKUP($AA491,Paraméterek!$K$230:$M$250,IF(SUMIF($AA$20:$AA$1027,$AA491,$AG$20:$AG$1027)&lt;IF($D$4="Forint",Paraméterek!$M$223,Paraméterek!$M$224),2,3))),0)</f>
        <v>0</v>
      </c>
      <c r="AJ491" s="13">
        <f ca="1">IF(AND($AA491&gt;=5,MOD($AA491,5)=0),IF($AB491=12,VLOOKUP($AA491,Paraméterek!$O$225:$P$240,2),0),IF(OR($AA491=3,$AA491=4),IF($AB491=12,VLOOKUP($AA491,Paraméterek!$O$225:$P$240,2,0),0),0))*$AG491</f>
        <v>0</v>
      </c>
      <c r="AK491" s="13">
        <f t="shared" ca="1" si="163"/>
        <v>0</v>
      </c>
      <c r="AL491" s="13">
        <f t="shared" ca="1" si="171"/>
        <v>0</v>
      </c>
      <c r="AM491" s="13">
        <f t="shared" ca="1" si="172"/>
        <v>0</v>
      </c>
      <c r="AO491" s="32">
        <v>472</v>
      </c>
      <c r="AP491" s="32">
        <v>40</v>
      </c>
      <c r="AQ491" s="32">
        <v>4</v>
      </c>
      <c r="AR491" s="13"/>
      <c r="AS491" s="32"/>
      <c r="AT491" s="13">
        <f t="shared" ca="1" si="173"/>
        <v>0</v>
      </c>
      <c r="AU491" s="33"/>
      <c r="AV491" s="13">
        <f t="shared" ca="1" si="164"/>
        <v>0</v>
      </c>
      <c r="AW491" s="13">
        <f ca="1">ROUNDUP(($AT491+$AV491)*VLOOKUP($AP491,Paraméterek!$P$38:$Q$38,2)/12*IF($D492="Nem",IF($M$13=0,1,$M$13),1),IF($D$4="Forint",0,2))</f>
        <v>0</v>
      </c>
      <c r="AX491" s="13"/>
      <c r="AY491" s="13"/>
      <c r="AZ491" s="13">
        <f>ROUNDUP(IF(SUM($AX491:$AY491)=0,0,IF(IF(ISBLANK($AY491),$AX491,$AY491)*Paraméterek!$J$112&lt;IF($D$4="Forint",Paraméterek!$J$113,Paraméterek!$K$113),IF($D$4="Forint",Paraméterek!$J$113,Paraméterek!$K$113),IF(IF(ISBLANK($AY491),$AX491,$AY491)*Paraméterek!$J$112&gt;IF($D$4="Forint",Paraméterek!$J$114,Paraméterek!$K$114),IF($D$4="Forint",Paraméterek!$J$114,Paraméterek!$K$114),IF(ISBLANK($AY491),$AX491,$AY491)*Paraméterek!$J$112))),IF($D$4="Forint",0,2))</f>
        <v>0</v>
      </c>
      <c r="BA491" s="13">
        <f ca="1">$AT491+$AV491-$AW491-IF(ROUNDDOWN(IF(ISBLANK($AY491),$AX491,$AY491),IF($D$4="Forint",0,2))&gt;$AT491+$AV491-$AW491-IF($D$4="Forint",Paraméterek!$J$114,Paraméterek!$K$114),0,ROUNDDOWN(IF(ISBLANK($AY491),$AX491,$AY491),IF($D$4="Forint",0,2))-$AZ491)</f>
        <v>0</v>
      </c>
      <c r="BB491" s="13">
        <f t="shared" ca="1" si="165"/>
        <v>0</v>
      </c>
      <c r="BD491" s="32">
        <v>472</v>
      </c>
      <c r="BE491" s="32">
        <v>40</v>
      </c>
      <c r="BF491" s="32">
        <v>4</v>
      </c>
      <c r="BG491" s="34">
        <f t="shared" ca="1" si="174"/>
        <v>2058</v>
      </c>
      <c r="BH491" s="32" t="str">
        <f ca="1">IF(MOD(MONTH($D$14)+$BD491-1,12)=Paraméterek!$C$288,"Igen","")</f>
        <v/>
      </c>
      <c r="BI491" s="13">
        <f ca="1">IF($BH491="Igen",MIN(ROUNDDOWN((SUMIF($BG$20:$BG$1027,$BG491-1,$K$20:$K$1027)-SUMIF($BG$20:$BG$1027,$BG491-1,$I$20:$I$1027))*Paraméterek!$C$289,IF($D$4="Forint",0,2)),IF($D$4="Forint",Paraméterek!$C$285,Paraméterek!$D$285)),0)</f>
        <v>0</v>
      </c>
      <c r="BJ491" s="13">
        <f t="shared" ca="1" si="166"/>
        <v>0</v>
      </c>
      <c r="BK491" s="13">
        <f t="shared" ca="1" si="175"/>
        <v>0</v>
      </c>
      <c r="BL491" s="33"/>
      <c r="BM491" s="13">
        <f t="shared" ca="1" si="167"/>
        <v>0</v>
      </c>
      <c r="BN491" s="13">
        <f ca="1">ROUNDUP(($BK491+$BM491)*VLOOKUP($BE491,Paraméterek!$P$38:$Q$38,2)/12*IF($D492="Nem",IF($M$13=0,1,$M$13),1),IF($D$4="Forint",0,2))</f>
        <v>0</v>
      </c>
      <c r="BO491" s="13">
        <f t="shared" ca="1" si="168"/>
        <v>0</v>
      </c>
      <c r="BP491" s="13">
        <f ca="1">IF($D492="Nem",$BO491,$BO491-ROUNDUP(SUM($BI$20:$BI491)*120%,IF($D$4="Forint",0,2)))</f>
        <v>0</v>
      </c>
    </row>
    <row r="492" spans="1:68" x14ac:dyDescent="0.2">
      <c r="A492" s="32">
        <v>473</v>
      </c>
      <c r="B492" s="32">
        <v>40</v>
      </c>
      <c r="C492" s="32">
        <v>5</v>
      </c>
      <c r="D492" s="32" t="str">
        <f t="shared" ca="1" si="154"/>
        <v>Nem</v>
      </c>
      <c r="E492" s="13">
        <f t="shared" ca="1" si="155"/>
        <v>0</v>
      </c>
      <c r="F492" s="13"/>
      <c r="G492" s="13"/>
      <c r="H492" s="13"/>
      <c r="I492" s="13">
        <f t="shared" ca="1" si="156"/>
        <v>0</v>
      </c>
      <c r="J492" s="13">
        <f t="shared" ca="1" si="157"/>
        <v>0</v>
      </c>
      <c r="K492" s="13">
        <f t="shared" ca="1" si="158"/>
        <v>0</v>
      </c>
      <c r="L492" s="13" t="e">
        <f ca="1">ROUNDUP(IF($D$2="Egyszeri",$E492,IF($D$2="Havi",SUM($E$20:$E$31),IF(MOD($C492,$M$1)-1=0,SUM($E$20:$E$31),0))/12*$M$1)*VLOOKUP($B492,Paraméterek!$I$28:$P$31,IF($D$2="Egyszeri",8,HLOOKUP(ROUNDUP($M$11+$M$13,0),Paraméterek!$J$26:$O$27,2))),IF($D$4="Forint",0,2))</f>
        <v>#N/A</v>
      </c>
      <c r="M492" s="13">
        <f t="shared" ca="1" si="159"/>
        <v>0</v>
      </c>
      <c r="N492" s="13">
        <f t="shared" ca="1" si="169"/>
        <v>0</v>
      </c>
      <c r="O492" s="13">
        <f ca="1">IF($D492="Igen",IF($W491&gt;=IF($D$4="Forint",Paraméterek!$J$121,Paraméterek!$K$121),0,IF($D$4="Forint",Paraméterek!$J$121,Paraméterek!$K$121)-$W491),0)</f>
        <v>0</v>
      </c>
      <c r="P492" s="13" t="e">
        <f ca="1">ROUNDUP($O492*VLOOKUP($M$4+$B492-1,Paraméterek!$H$58:$I$105,2,0)/Paraméterek!$I$56,IF($D$4="Forint",0,2))</f>
        <v>#N/A</v>
      </c>
      <c r="Q492" s="13">
        <f t="shared" ca="1" si="160"/>
        <v>0</v>
      </c>
      <c r="R492" s="33"/>
      <c r="S492" s="13" t="e">
        <f t="shared" ca="1" si="161"/>
        <v>#N/A</v>
      </c>
      <c r="T492" s="13" t="e">
        <f ca="1">ROUNDUP(($N492-$P492-$Q492+$S492)*VLOOKUP($B492,Paraméterek!$I$38:$K$39,IF($D$2="Egyszeri",3,2))/12*IF($D493="Nem",IF($M$13=0,1,$M$13),1),IF($D$4="Forint",0,2))</f>
        <v>#N/A</v>
      </c>
      <c r="U492" s="13"/>
      <c r="V492" s="13"/>
      <c r="W492" s="13" t="e">
        <f ca="1">$N492-$P492-$Q492+$S492-$T492-IF(ROUNDUP(IF(ISBLANK($V492),$U492*0,$V492)/IF($D$2="Egyszeri",VLOOKUP($B492+IF($C492=12,1,0),Paraméterek!$V$257:$W$262,2),IF($B492=1,1,VLOOKUP($B492+IF($C492=12,1,0),Paraméterek!$I$258:$T$278,HLOOKUP($M$11+1,Paraméterek!$J$256:$T$257,2)))),IF($D$4="Forint",0,2))&gt;$N492-$P492-$Q492+$S492-$T492-IF($D$4="Forint",Paraméterek!$C$216,Paraméterek!$D$216),0,ROUNDUP(IF(ISBLANK($V492),$U492*0,$V492)/IF($D$2="Egyszeri",VLOOKUP($B492+IF($C492=12,1,0),Paraméterek!$V$257:$W$262,2),IF($B492=1,1,VLOOKUP($B492+IF($C492=12,1,0),Paraméterek!$I$258:$T$278,HLOOKUP($M$11+1,Paraméterek!$J$256:$T$257,2)))),IF($D$4="Forint",0,2)))</f>
        <v>#N/A</v>
      </c>
      <c r="X492" s="13" t="e">
        <f ca="1">ROUNDDOWN($W492*IF($D$2="Egyszeri",VLOOKUP($B492+IF($C492=12,1,0),Paraméterek!$V$257:$W$262,2),VLOOKUP($B492+IF($C492=12,1,0),Paraméterek!$I$258:$T$278,HLOOKUP($M$11+1,Paraméterek!$I$256:$T$257,2))),IF($D$4="Forint",0,2))</f>
        <v>#N/A</v>
      </c>
      <c r="Z492" s="32">
        <v>473</v>
      </c>
      <c r="AA492" s="32">
        <v>40</v>
      </c>
      <c r="AB492" s="32">
        <v>5</v>
      </c>
      <c r="AC492" s="13">
        <f t="shared" ca="1" si="170"/>
        <v>0</v>
      </c>
      <c r="AD492" s="33"/>
      <c r="AE492" s="13">
        <f t="shared" ca="1" si="162"/>
        <v>0</v>
      </c>
      <c r="AF492" s="13">
        <f ca="1">ROUNDUP(($AC492+$AE492)*VLOOKUP($AA492,Paraméterek!$P$38:$Q$38,2)/12*IF($D493="Nem",IF($M$13=0,1,$M$13),1),IF($D$4="Forint",0,2))</f>
        <v>0</v>
      </c>
      <c r="AG492" s="13">
        <f ca="1">IF($D$2="Egyszeri",IF($D$7&gt;=IF($D$4="Forint",Paraméterek!$P$223,Paraméterek!$P$224),$D$7-IF($D$4="Forint",Paraméterek!$P$223,Paraméterek!$P$224),0),MIN(IF($AB492=12,AVERAGEIF($E$20:$E492,"&gt;0",$E$20:$E492)*12,0),SUM($E$20:$E$31)))</f>
        <v>0</v>
      </c>
      <c r="AH492" s="13">
        <f>IF($AA492=10,$AG492*IF($AB492=12,IF($AG492&lt;IF($D$4="Forint",Paraméterek!$L$223,Paraméterek!$L$224),0,VLOOKUP($AA492,Paraméterek!$K$226:$M$228,IF($AG492&lt;IF($D$4="Forint",Paraméterek!$M$223,Paraméterek!$M$224),2,3))),0),0)</f>
        <v>0</v>
      </c>
      <c r="AI492" s="13">
        <f ca="1">IF(AND($AA492=$M$11+1,$AB492=$M$12+1),SUMIF($AA$20:$AA$1027,$AA492,$AG$20:$AG$1027)*IF(SUMIF($AA$20:$AA$1027,$AA492,$AG$20:$AG$1027)&lt;IF($D$4="Forint",Paraméterek!$L$223,Paraméterek!$L$224),0,VLOOKUP($AA492,Paraméterek!$K$230:$M$250,IF(SUMIF($AA$20:$AA$1027,$AA492,$AG$20:$AG$1027)&lt;IF($D$4="Forint",Paraméterek!$M$223,Paraméterek!$M$224),2,3))),0)</f>
        <v>0</v>
      </c>
      <c r="AJ492" s="13">
        <f ca="1">IF(AND($AA492&gt;=5,MOD($AA492,5)=0),IF($AB492=12,VLOOKUP($AA492,Paraméterek!$O$225:$P$240,2),0),IF(OR($AA492=3,$AA492=4),IF($AB492=12,VLOOKUP($AA492,Paraméterek!$O$225:$P$240,2,0),0),0))*$AG492</f>
        <v>0</v>
      </c>
      <c r="AK492" s="13">
        <f t="shared" ca="1" si="163"/>
        <v>0</v>
      </c>
      <c r="AL492" s="13">
        <f t="shared" ca="1" si="171"/>
        <v>0</v>
      </c>
      <c r="AM492" s="13">
        <f t="shared" ca="1" si="172"/>
        <v>0</v>
      </c>
      <c r="AO492" s="32">
        <v>473</v>
      </c>
      <c r="AP492" s="32">
        <v>40</v>
      </c>
      <c r="AQ492" s="32">
        <v>5</v>
      </c>
      <c r="AR492" s="13"/>
      <c r="AS492" s="32"/>
      <c r="AT492" s="13">
        <f t="shared" ca="1" si="173"/>
        <v>0</v>
      </c>
      <c r="AU492" s="33"/>
      <c r="AV492" s="13">
        <f t="shared" ca="1" si="164"/>
        <v>0</v>
      </c>
      <c r="AW492" s="13">
        <f ca="1">ROUNDUP(($AT492+$AV492)*VLOOKUP($AP492,Paraméterek!$P$38:$Q$38,2)/12*IF($D493="Nem",IF($M$13=0,1,$M$13),1),IF($D$4="Forint",0,2))</f>
        <v>0</v>
      </c>
      <c r="AX492" s="13"/>
      <c r="AY492" s="13"/>
      <c r="AZ492" s="13">
        <f>ROUNDUP(IF(SUM($AX492:$AY492)=0,0,IF(IF(ISBLANK($AY492),$AX492,$AY492)*Paraméterek!$J$112&lt;IF($D$4="Forint",Paraméterek!$J$113,Paraméterek!$K$113),IF($D$4="Forint",Paraméterek!$J$113,Paraméterek!$K$113),IF(IF(ISBLANK($AY492),$AX492,$AY492)*Paraméterek!$J$112&gt;IF($D$4="Forint",Paraméterek!$J$114,Paraméterek!$K$114),IF($D$4="Forint",Paraméterek!$J$114,Paraméterek!$K$114),IF(ISBLANK($AY492),$AX492,$AY492)*Paraméterek!$J$112))),IF($D$4="Forint",0,2))</f>
        <v>0</v>
      </c>
      <c r="BA492" s="13">
        <f ca="1">$AT492+$AV492-$AW492-IF(ROUNDDOWN(IF(ISBLANK($AY492),$AX492,$AY492),IF($D$4="Forint",0,2))&gt;$AT492+$AV492-$AW492-IF($D$4="Forint",Paraméterek!$J$114,Paraméterek!$K$114),0,ROUNDDOWN(IF(ISBLANK($AY492),$AX492,$AY492),IF($D$4="Forint",0,2))-$AZ492)</f>
        <v>0</v>
      </c>
      <c r="BB492" s="13">
        <f t="shared" ca="1" si="165"/>
        <v>0</v>
      </c>
      <c r="BD492" s="32">
        <v>473</v>
      </c>
      <c r="BE492" s="32">
        <v>40</v>
      </c>
      <c r="BF492" s="32">
        <v>5</v>
      </c>
      <c r="BG492" s="34">
        <f t="shared" ca="1" si="174"/>
        <v>2058</v>
      </c>
      <c r="BH492" s="32" t="str">
        <f ca="1">IF(MOD(MONTH($D$14)+$BD492-1,12)=Paraméterek!$C$288,"Igen","")</f>
        <v/>
      </c>
      <c r="BI492" s="13">
        <f ca="1">IF($BH492="Igen",MIN(ROUNDDOWN((SUMIF($BG$20:$BG$1027,$BG492-1,$K$20:$K$1027)-SUMIF($BG$20:$BG$1027,$BG492-1,$I$20:$I$1027))*Paraméterek!$C$289,IF($D$4="Forint",0,2)),IF($D$4="Forint",Paraméterek!$C$285,Paraméterek!$D$285)),0)</f>
        <v>0</v>
      </c>
      <c r="BJ492" s="13">
        <f t="shared" ca="1" si="166"/>
        <v>0</v>
      </c>
      <c r="BK492" s="13">
        <f t="shared" ca="1" si="175"/>
        <v>0</v>
      </c>
      <c r="BL492" s="33"/>
      <c r="BM492" s="13">
        <f t="shared" ca="1" si="167"/>
        <v>0</v>
      </c>
      <c r="BN492" s="13">
        <f ca="1">ROUNDUP(($BK492+$BM492)*VLOOKUP($BE492,Paraméterek!$P$38:$Q$38,2)/12*IF($D493="Nem",IF($M$13=0,1,$M$13),1),IF($D$4="Forint",0,2))</f>
        <v>0</v>
      </c>
      <c r="BO492" s="13">
        <f t="shared" ca="1" si="168"/>
        <v>0</v>
      </c>
      <c r="BP492" s="13">
        <f ca="1">IF($D493="Nem",$BO492,$BO492-ROUNDUP(SUM($BI$20:$BI492)*120%,IF($D$4="Forint",0,2)))</f>
        <v>0</v>
      </c>
    </row>
    <row r="493" spans="1:68" x14ac:dyDescent="0.2">
      <c r="A493" s="32">
        <v>474</v>
      </c>
      <c r="B493" s="32">
        <v>40</v>
      </c>
      <c r="C493" s="32">
        <v>6</v>
      </c>
      <c r="D493" s="32" t="str">
        <f t="shared" ca="1" si="154"/>
        <v>Nem</v>
      </c>
      <c r="E493" s="13">
        <f t="shared" ca="1" si="155"/>
        <v>0</v>
      </c>
      <c r="F493" s="13"/>
      <c r="G493" s="13"/>
      <c r="H493" s="13"/>
      <c r="I493" s="13">
        <f t="shared" ca="1" si="156"/>
        <v>0</v>
      </c>
      <c r="J493" s="13">
        <f t="shared" ca="1" si="157"/>
        <v>0</v>
      </c>
      <c r="K493" s="13">
        <f t="shared" ca="1" si="158"/>
        <v>0</v>
      </c>
      <c r="L493" s="13" t="e">
        <f ca="1">ROUNDUP(IF($D$2="Egyszeri",$E493,IF($D$2="Havi",SUM($E$20:$E$31),IF(MOD($C493,$M$1)-1=0,SUM($E$20:$E$31),0))/12*$M$1)*VLOOKUP($B493,Paraméterek!$I$28:$P$31,IF($D$2="Egyszeri",8,HLOOKUP(ROUNDUP($M$11+$M$13,0),Paraméterek!$J$26:$O$27,2))),IF($D$4="Forint",0,2))</f>
        <v>#N/A</v>
      </c>
      <c r="M493" s="13">
        <f t="shared" ca="1" si="159"/>
        <v>0</v>
      </c>
      <c r="N493" s="13">
        <f t="shared" ca="1" si="169"/>
        <v>0</v>
      </c>
      <c r="O493" s="13">
        <f ca="1">IF($D493="Igen",IF($W492&gt;=IF($D$4="Forint",Paraméterek!$J$121,Paraméterek!$K$121),0,IF($D$4="Forint",Paraméterek!$J$121,Paraméterek!$K$121)-$W492),0)</f>
        <v>0</v>
      </c>
      <c r="P493" s="13" t="e">
        <f ca="1">ROUNDUP($O493*VLOOKUP($M$4+$B493-1,Paraméterek!$H$58:$I$105,2,0)/Paraméterek!$I$56,IF($D$4="Forint",0,2))</f>
        <v>#N/A</v>
      </c>
      <c r="Q493" s="13">
        <f t="shared" ca="1" si="160"/>
        <v>0</v>
      </c>
      <c r="R493" s="33"/>
      <c r="S493" s="13" t="e">
        <f t="shared" ca="1" si="161"/>
        <v>#N/A</v>
      </c>
      <c r="T493" s="13" t="e">
        <f ca="1">ROUNDUP(($N493-$P493-$Q493+$S493)*VLOOKUP($B493,Paraméterek!$I$38:$K$39,IF($D$2="Egyszeri",3,2))/12*IF($D494="Nem",IF($M$13=0,1,$M$13),1),IF($D$4="Forint",0,2))</f>
        <v>#N/A</v>
      </c>
      <c r="U493" s="13"/>
      <c r="V493" s="13"/>
      <c r="W493" s="13" t="e">
        <f ca="1">$N493-$P493-$Q493+$S493-$T493-IF(ROUNDUP(IF(ISBLANK($V493),$U493*0,$V493)/IF($D$2="Egyszeri",VLOOKUP($B493+IF($C493=12,1,0),Paraméterek!$V$257:$W$262,2),IF($B493=1,1,VLOOKUP($B493+IF($C493=12,1,0),Paraméterek!$I$258:$T$278,HLOOKUP($M$11+1,Paraméterek!$J$256:$T$257,2)))),IF($D$4="Forint",0,2))&gt;$N493-$P493-$Q493+$S493-$T493-IF($D$4="Forint",Paraméterek!$C$216,Paraméterek!$D$216),0,ROUNDUP(IF(ISBLANK($V493),$U493*0,$V493)/IF($D$2="Egyszeri",VLOOKUP($B493+IF($C493=12,1,0),Paraméterek!$V$257:$W$262,2),IF($B493=1,1,VLOOKUP($B493+IF($C493=12,1,0),Paraméterek!$I$258:$T$278,HLOOKUP($M$11+1,Paraméterek!$J$256:$T$257,2)))),IF($D$4="Forint",0,2)))</f>
        <v>#N/A</v>
      </c>
      <c r="X493" s="13" t="e">
        <f ca="1">ROUNDDOWN($W493*IF($D$2="Egyszeri",VLOOKUP($B493+IF($C493=12,1,0),Paraméterek!$V$257:$W$262,2),VLOOKUP($B493+IF($C493=12,1,0),Paraméterek!$I$258:$T$278,HLOOKUP($M$11+1,Paraméterek!$I$256:$T$257,2))),IF($D$4="Forint",0,2))</f>
        <v>#N/A</v>
      </c>
      <c r="Z493" s="32">
        <v>474</v>
      </c>
      <c r="AA493" s="32">
        <v>40</v>
      </c>
      <c r="AB493" s="32">
        <v>6</v>
      </c>
      <c r="AC493" s="13">
        <f t="shared" ca="1" si="170"/>
        <v>0</v>
      </c>
      <c r="AD493" s="33"/>
      <c r="AE493" s="13">
        <f t="shared" ca="1" si="162"/>
        <v>0</v>
      </c>
      <c r="AF493" s="13">
        <f ca="1">ROUNDUP(($AC493+$AE493)*VLOOKUP($AA493,Paraméterek!$P$38:$Q$38,2)/12*IF($D494="Nem",IF($M$13=0,1,$M$13),1),IF($D$4="Forint",0,2))</f>
        <v>0</v>
      </c>
      <c r="AG493" s="13">
        <f ca="1">IF($D$2="Egyszeri",IF($D$7&gt;=IF($D$4="Forint",Paraméterek!$P$223,Paraméterek!$P$224),$D$7-IF($D$4="Forint",Paraméterek!$P$223,Paraméterek!$P$224),0),MIN(IF($AB493=12,AVERAGEIF($E$20:$E493,"&gt;0",$E$20:$E493)*12,0),SUM($E$20:$E$31)))</f>
        <v>0</v>
      </c>
      <c r="AH493" s="13">
        <f>IF($AA493=10,$AG493*IF($AB493=12,IF($AG493&lt;IF($D$4="Forint",Paraméterek!$L$223,Paraméterek!$L$224),0,VLOOKUP($AA493,Paraméterek!$K$226:$M$228,IF($AG493&lt;IF($D$4="Forint",Paraméterek!$M$223,Paraméterek!$M$224),2,3))),0),0)</f>
        <v>0</v>
      </c>
      <c r="AI493" s="13">
        <f ca="1">IF(AND($AA493=$M$11+1,$AB493=$M$12+1),SUMIF($AA$20:$AA$1027,$AA493,$AG$20:$AG$1027)*IF(SUMIF($AA$20:$AA$1027,$AA493,$AG$20:$AG$1027)&lt;IF($D$4="Forint",Paraméterek!$L$223,Paraméterek!$L$224),0,VLOOKUP($AA493,Paraméterek!$K$230:$M$250,IF(SUMIF($AA$20:$AA$1027,$AA493,$AG$20:$AG$1027)&lt;IF($D$4="Forint",Paraméterek!$M$223,Paraméterek!$M$224),2,3))),0)</f>
        <v>0</v>
      </c>
      <c r="AJ493" s="13">
        <f ca="1">IF(AND($AA493&gt;=5,MOD($AA493,5)=0),IF($AB493=12,VLOOKUP($AA493,Paraméterek!$O$225:$P$240,2),0),IF(OR($AA493=3,$AA493=4),IF($AB493=12,VLOOKUP($AA493,Paraméterek!$O$225:$P$240,2,0),0),0))*$AG493</f>
        <v>0</v>
      </c>
      <c r="AK493" s="13">
        <f t="shared" ca="1" si="163"/>
        <v>0</v>
      </c>
      <c r="AL493" s="13">
        <f t="shared" ca="1" si="171"/>
        <v>0</v>
      </c>
      <c r="AM493" s="13">
        <f t="shared" ca="1" si="172"/>
        <v>0</v>
      </c>
      <c r="AO493" s="32">
        <v>474</v>
      </c>
      <c r="AP493" s="32">
        <v>40</v>
      </c>
      <c r="AQ493" s="32">
        <v>6</v>
      </c>
      <c r="AR493" s="13"/>
      <c r="AS493" s="32"/>
      <c r="AT493" s="13">
        <f t="shared" ca="1" si="173"/>
        <v>0</v>
      </c>
      <c r="AU493" s="33"/>
      <c r="AV493" s="13">
        <f t="shared" ca="1" si="164"/>
        <v>0</v>
      </c>
      <c r="AW493" s="13">
        <f ca="1">ROUNDUP(($AT493+$AV493)*VLOOKUP($AP493,Paraméterek!$P$38:$Q$38,2)/12*IF($D494="Nem",IF($M$13=0,1,$M$13),1),IF($D$4="Forint",0,2))</f>
        <v>0</v>
      </c>
      <c r="AX493" s="13"/>
      <c r="AY493" s="13"/>
      <c r="AZ493" s="13">
        <f>ROUNDUP(IF(SUM($AX493:$AY493)=0,0,IF(IF(ISBLANK($AY493),$AX493,$AY493)*Paraméterek!$J$112&lt;IF($D$4="Forint",Paraméterek!$J$113,Paraméterek!$K$113),IF($D$4="Forint",Paraméterek!$J$113,Paraméterek!$K$113),IF(IF(ISBLANK($AY493),$AX493,$AY493)*Paraméterek!$J$112&gt;IF($D$4="Forint",Paraméterek!$J$114,Paraméterek!$K$114),IF($D$4="Forint",Paraméterek!$J$114,Paraméterek!$K$114),IF(ISBLANK($AY493),$AX493,$AY493)*Paraméterek!$J$112))),IF($D$4="Forint",0,2))</f>
        <v>0</v>
      </c>
      <c r="BA493" s="13">
        <f ca="1">$AT493+$AV493-$AW493-IF(ROUNDDOWN(IF(ISBLANK($AY493),$AX493,$AY493),IF($D$4="Forint",0,2))&gt;$AT493+$AV493-$AW493-IF($D$4="Forint",Paraméterek!$J$114,Paraméterek!$K$114),0,ROUNDDOWN(IF(ISBLANK($AY493),$AX493,$AY493),IF($D$4="Forint",0,2))-$AZ493)</f>
        <v>0</v>
      </c>
      <c r="BB493" s="13">
        <f t="shared" ca="1" si="165"/>
        <v>0</v>
      </c>
      <c r="BD493" s="32">
        <v>474</v>
      </c>
      <c r="BE493" s="32">
        <v>40</v>
      </c>
      <c r="BF493" s="32">
        <v>6</v>
      </c>
      <c r="BG493" s="34">
        <f t="shared" ca="1" si="174"/>
        <v>2058</v>
      </c>
      <c r="BH493" s="32" t="str">
        <f ca="1">IF(MOD(MONTH($D$14)+$BD493-1,12)=Paraméterek!$C$288,"Igen","")</f>
        <v/>
      </c>
      <c r="BI493" s="13">
        <f ca="1">IF($BH493="Igen",MIN(ROUNDDOWN((SUMIF($BG$20:$BG$1027,$BG493-1,$K$20:$K$1027)-SUMIF($BG$20:$BG$1027,$BG493-1,$I$20:$I$1027))*Paraméterek!$C$289,IF($D$4="Forint",0,2)),IF($D$4="Forint",Paraméterek!$C$285,Paraméterek!$D$285)),0)</f>
        <v>0</v>
      </c>
      <c r="BJ493" s="13">
        <f t="shared" ca="1" si="166"/>
        <v>0</v>
      </c>
      <c r="BK493" s="13">
        <f t="shared" ca="1" si="175"/>
        <v>0</v>
      </c>
      <c r="BL493" s="33"/>
      <c r="BM493" s="13">
        <f t="shared" ca="1" si="167"/>
        <v>0</v>
      </c>
      <c r="BN493" s="13">
        <f ca="1">ROUNDUP(($BK493+$BM493)*VLOOKUP($BE493,Paraméterek!$P$38:$Q$38,2)/12*IF($D494="Nem",IF($M$13=0,1,$M$13),1),IF($D$4="Forint",0,2))</f>
        <v>0</v>
      </c>
      <c r="BO493" s="13">
        <f t="shared" ca="1" si="168"/>
        <v>0</v>
      </c>
      <c r="BP493" s="13">
        <f ca="1">IF($D494="Nem",$BO493,$BO493-ROUNDUP(SUM($BI$20:$BI493)*120%,IF($D$4="Forint",0,2)))</f>
        <v>0</v>
      </c>
    </row>
    <row r="494" spans="1:68" x14ac:dyDescent="0.2">
      <c r="A494" s="32">
        <v>475</v>
      </c>
      <c r="B494" s="32">
        <v>40</v>
      </c>
      <c r="C494" s="32">
        <v>7</v>
      </c>
      <c r="D494" s="32" t="str">
        <f t="shared" ca="1" si="154"/>
        <v>Nem</v>
      </c>
      <c r="E494" s="13">
        <f t="shared" ca="1" si="155"/>
        <v>0</v>
      </c>
      <c r="F494" s="13"/>
      <c r="G494" s="13"/>
      <c r="H494" s="13"/>
      <c r="I494" s="13">
        <f t="shared" ca="1" si="156"/>
        <v>0</v>
      </c>
      <c r="J494" s="13">
        <f t="shared" ca="1" si="157"/>
        <v>0</v>
      </c>
      <c r="K494" s="13">
        <f t="shared" ca="1" si="158"/>
        <v>0</v>
      </c>
      <c r="L494" s="13" t="e">
        <f ca="1">ROUNDUP(IF($D$2="Egyszeri",$E494,IF($D$2="Havi",SUM($E$20:$E$31),IF(MOD($C494,$M$1)-1=0,SUM($E$20:$E$31),0))/12*$M$1)*VLOOKUP($B494,Paraméterek!$I$28:$P$31,IF($D$2="Egyszeri",8,HLOOKUP(ROUNDUP($M$11+$M$13,0),Paraméterek!$J$26:$O$27,2))),IF($D$4="Forint",0,2))</f>
        <v>#N/A</v>
      </c>
      <c r="M494" s="13">
        <f t="shared" ca="1" si="159"/>
        <v>0</v>
      </c>
      <c r="N494" s="13">
        <f t="shared" ca="1" si="169"/>
        <v>0</v>
      </c>
      <c r="O494" s="13">
        <f ca="1">IF($D494="Igen",IF($W493&gt;=IF($D$4="Forint",Paraméterek!$J$121,Paraméterek!$K$121),0,IF($D$4="Forint",Paraméterek!$J$121,Paraméterek!$K$121)-$W493),0)</f>
        <v>0</v>
      </c>
      <c r="P494" s="13" t="e">
        <f ca="1">ROUNDUP($O494*VLOOKUP($M$4+$B494-1,Paraméterek!$H$58:$I$105,2,0)/Paraméterek!$I$56,IF($D$4="Forint",0,2))</f>
        <v>#N/A</v>
      </c>
      <c r="Q494" s="13">
        <f t="shared" ca="1" si="160"/>
        <v>0</v>
      </c>
      <c r="R494" s="33"/>
      <c r="S494" s="13" t="e">
        <f t="shared" ca="1" si="161"/>
        <v>#N/A</v>
      </c>
      <c r="T494" s="13" t="e">
        <f ca="1">ROUNDUP(($N494-$P494-$Q494+$S494)*VLOOKUP($B494,Paraméterek!$I$38:$K$39,IF($D$2="Egyszeri",3,2))/12*IF($D495="Nem",IF($M$13=0,1,$M$13),1),IF($D$4="Forint",0,2))</f>
        <v>#N/A</v>
      </c>
      <c r="U494" s="13"/>
      <c r="V494" s="13"/>
      <c r="W494" s="13" t="e">
        <f ca="1">$N494-$P494-$Q494+$S494-$T494-IF(ROUNDUP(IF(ISBLANK($V494),$U494*0,$V494)/IF($D$2="Egyszeri",VLOOKUP($B494+IF($C494=12,1,0),Paraméterek!$V$257:$W$262,2),IF($B494=1,1,VLOOKUP($B494+IF($C494=12,1,0),Paraméterek!$I$258:$T$278,HLOOKUP($M$11+1,Paraméterek!$J$256:$T$257,2)))),IF($D$4="Forint",0,2))&gt;$N494-$P494-$Q494+$S494-$T494-IF($D$4="Forint",Paraméterek!$C$216,Paraméterek!$D$216),0,ROUNDUP(IF(ISBLANK($V494),$U494*0,$V494)/IF($D$2="Egyszeri",VLOOKUP($B494+IF($C494=12,1,0),Paraméterek!$V$257:$W$262,2),IF($B494=1,1,VLOOKUP($B494+IF($C494=12,1,0),Paraméterek!$I$258:$T$278,HLOOKUP($M$11+1,Paraméterek!$J$256:$T$257,2)))),IF($D$4="Forint",0,2)))</f>
        <v>#N/A</v>
      </c>
      <c r="X494" s="13" t="e">
        <f ca="1">ROUNDDOWN($W494*IF($D$2="Egyszeri",VLOOKUP($B494+IF($C494=12,1,0),Paraméterek!$V$257:$W$262,2),VLOOKUP($B494+IF($C494=12,1,0),Paraméterek!$I$258:$T$278,HLOOKUP($M$11+1,Paraméterek!$I$256:$T$257,2))),IF($D$4="Forint",0,2))</f>
        <v>#N/A</v>
      </c>
      <c r="Z494" s="32">
        <v>475</v>
      </c>
      <c r="AA494" s="32">
        <v>40</v>
      </c>
      <c r="AB494" s="32">
        <v>7</v>
      </c>
      <c r="AC494" s="13">
        <f t="shared" ca="1" si="170"/>
        <v>0</v>
      </c>
      <c r="AD494" s="33"/>
      <c r="AE494" s="13">
        <f t="shared" ca="1" si="162"/>
        <v>0</v>
      </c>
      <c r="AF494" s="13">
        <f ca="1">ROUNDUP(($AC494+$AE494)*VLOOKUP($AA494,Paraméterek!$P$38:$Q$38,2)/12*IF($D495="Nem",IF($M$13=0,1,$M$13),1),IF($D$4="Forint",0,2))</f>
        <v>0</v>
      </c>
      <c r="AG494" s="13">
        <f ca="1">IF($D$2="Egyszeri",IF($D$7&gt;=IF($D$4="Forint",Paraméterek!$P$223,Paraméterek!$P$224),$D$7-IF($D$4="Forint",Paraméterek!$P$223,Paraméterek!$P$224),0),MIN(IF($AB494=12,AVERAGEIF($E$20:$E494,"&gt;0",$E$20:$E494)*12,0),SUM($E$20:$E$31)))</f>
        <v>0</v>
      </c>
      <c r="AH494" s="13">
        <f>IF($AA494=10,$AG494*IF($AB494=12,IF($AG494&lt;IF($D$4="Forint",Paraméterek!$L$223,Paraméterek!$L$224),0,VLOOKUP($AA494,Paraméterek!$K$226:$M$228,IF($AG494&lt;IF($D$4="Forint",Paraméterek!$M$223,Paraméterek!$M$224),2,3))),0),0)</f>
        <v>0</v>
      </c>
      <c r="AI494" s="13">
        <f ca="1">IF(AND($AA494=$M$11+1,$AB494=$M$12+1),SUMIF($AA$20:$AA$1027,$AA494,$AG$20:$AG$1027)*IF(SUMIF($AA$20:$AA$1027,$AA494,$AG$20:$AG$1027)&lt;IF($D$4="Forint",Paraméterek!$L$223,Paraméterek!$L$224),0,VLOOKUP($AA494,Paraméterek!$K$230:$M$250,IF(SUMIF($AA$20:$AA$1027,$AA494,$AG$20:$AG$1027)&lt;IF($D$4="Forint",Paraméterek!$M$223,Paraméterek!$M$224),2,3))),0)</f>
        <v>0</v>
      </c>
      <c r="AJ494" s="13">
        <f ca="1">IF(AND($AA494&gt;=5,MOD($AA494,5)=0),IF($AB494=12,VLOOKUP($AA494,Paraméterek!$O$225:$P$240,2),0),IF(OR($AA494=3,$AA494=4),IF($AB494=12,VLOOKUP($AA494,Paraméterek!$O$225:$P$240,2,0),0),0))*$AG494</f>
        <v>0</v>
      </c>
      <c r="AK494" s="13">
        <f t="shared" ca="1" si="163"/>
        <v>0</v>
      </c>
      <c r="AL494" s="13">
        <f t="shared" ca="1" si="171"/>
        <v>0</v>
      </c>
      <c r="AM494" s="13">
        <f t="shared" ca="1" si="172"/>
        <v>0</v>
      </c>
      <c r="AO494" s="32">
        <v>475</v>
      </c>
      <c r="AP494" s="32">
        <v>40</v>
      </c>
      <c r="AQ494" s="32">
        <v>7</v>
      </c>
      <c r="AR494" s="13"/>
      <c r="AS494" s="32"/>
      <c r="AT494" s="13">
        <f t="shared" ca="1" si="173"/>
        <v>0</v>
      </c>
      <c r="AU494" s="33"/>
      <c r="AV494" s="13">
        <f t="shared" ca="1" si="164"/>
        <v>0</v>
      </c>
      <c r="AW494" s="13">
        <f ca="1">ROUNDUP(($AT494+$AV494)*VLOOKUP($AP494,Paraméterek!$P$38:$Q$38,2)/12*IF($D495="Nem",IF($M$13=0,1,$M$13),1),IF($D$4="Forint",0,2))</f>
        <v>0</v>
      </c>
      <c r="AX494" s="13"/>
      <c r="AY494" s="13"/>
      <c r="AZ494" s="13">
        <f>ROUNDUP(IF(SUM($AX494:$AY494)=0,0,IF(IF(ISBLANK($AY494),$AX494,$AY494)*Paraméterek!$J$112&lt;IF($D$4="Forint",Paraméterek!$J$113,Paraméterek!$K$113),IF($D$4="Forint",Paraméterek!$J$113,Paraméterek!$K$113),IF(IF(ISBLANK($AY494),$AX494,$AY494)*Paraméterek!$J$112&gt;IF($D$4="Forint",Paraméterek!$J$114,Paraméterek!$K$114),IF($D$4="Forint",Paraméterek!$J$114,Paraméterek!$K$114),IF(ISBLANK($AY494),$AX494,$AY494)*Paraméterek!$J$112))),IF($D$4="Forint",0,2))</f>
        <v>0</v>
      </c>
      <c r="BA494" s="13">
        <f ca="1">$AT494+$AV494-$AW494-IF(ROUNDDOWN(IF(ISBLANK($AY494),$AX494,$AY494),IF($D$4="Forint",0,2))&gt;$AT494+$AV494-$AW494-IF($D$4="Forint",Paraméterek!$J$114,Paraméterek!$K$114),0,ROUNDDOWN(IF(ISBLANK($AY494),$AX494,$AY494),IF($D$4="Forint",0,2))-$AZ494)</f>
        <v>0</v>
      </c>
      <c r="BB494" s="13">
        <f t="shared" ca="1" si="165"/>
        <v>0</v>
      </c>
      <c r="BD494" s="32">
        <v>475</v>
      </c>
      <c r="BE494" s="32">
        <v>40</v>
      </c>
      <c r="BF494" s="32">
        <v>7</v>
      </c>
      <c r="BG494" s="34">
        <f t="shared" ca="1" si="174"/>
        <v>2058</v>
      </c>
      <c r="BH494" s="32" t="str">
        <f ca="1">IF(MOD(MONTH($D$14)+$BD494-1,12)=Paraméterek!$C$288,"Igen","")</f>
        <v/>
      </c>
      <c r="BI494" s="13">
        <f ca="1">IF($BH494="Igen",MIN(ROUNDDOWN((SUMIF($BG$20:$BG$1027,$BG494-1,$K$20:$K$1027)-SUMIF($BG$20:$BG$1027,$BG494-1,$I$20:$I$1027))*Paraméterek!$C$289,IF($D$4="Forint",0,2)),IF($D$4="Forint",Paraméterek!$C$285,Paraméterek!$D$285)),0)</f>
        <v>0</v>
      </c>
      <c r="BJ494" s="13">
        <f t="shared" ca="1" si="166"/>
        <v>0</v>
      </c>
      <c r="BK494" s="13">
        <f t="shared" ca="1" si="175"/>
        <v>0</v>
      </c>
      <c r="BL494" s="33"/>
      <c r="BM494" s="13">
        <f t="shared" ca="1" si="167"/>
        <v>0</v>
      </c>
      <c r="BN494" s="13">
        <f ca="1">ROUNDUP(($BK494+$BM494)*VLOOKUP($BE494,Paraméterek!$P$38:$Q$38,2)/12*IF($D495="Nem",IF($M$13=0,1,$M$13),1),IF($D$4="Forint",0,2))</f>
        <v>0</v>
      </c>
      <c r="BO494" s="13">
        <f t="shared" ca="1" si="168"/>
        <v>0</v>
      </c>
      <c r="BP494" s="13">
        <f ca="1">IF($D495="Nem",$BO494,$BO494-ROUNDUP(SUM($BI$20:$BI494)*120%,IF($D$4="Forint",0,2)))</f>
        <v>0</v>
      </c>
    </row>
    <row r="495" spans="1:68" x14ac:dyDescent="0.2">
      <c r="A495" s="32">
        <v>476</v>
      </c>
      <c r="B495" s="32">
        <v>40</v>
      </c>
      <c r="C495" s="32">
        <v>8</v>
      </c>
      <c r="D495" s="32" t="str">
        <f t="shared" ca="1" si="154"/>
        <v>Nem</v>
      </c>
      <c r="E495" s="13">
        <f t="shared" ca="1" si="155"/>
        <v>0</v>
      </c>
      <c r="F495" s="13"/>
      <c r="G495" s="13"/>
      <c r="H495" s="13"/>
      <c r="I495" s="13">
        <f t="shared" ca="1" si="156"/>
        <v>0</v>
      </c>
      <c r="J495" s="13">
        <f t="shared" ca="1" si="157"/>
        <v>0</v>
      </c>
      <c r="K495" s="13">
        <f t="shared" ca="1" si="158"/>
        <v>0</v>
      </c>
      <c r="L495" s="13" t="e">
        <f ca="1">ROUNDUP(IF($D$2="Egyszeri",$E495,IF($D$2="Havi",SUM($E$20:$E$31),IF(MOD($C495,$M$1)-1=0,SUM($E$20:$E$31),0))/12*$M$1)*VLOOKUP($B495,Paraméterek!$I$28:$P$31,IF($D$2="Egyszeri",8,HLOOKUP(ROUNDUP($M$11+$M$13,0),Paraméterek!$J$26:$O$27,2))),IF($D$4="Forint",0,2))</f>
        <v>#N/A</v>
      </c>
      <c r="M495" s="13">
        <f t="shared" ca="1" si="159"/>
        <v>0</v>
      </c>
      <c r="N495" s="13">
        <f t="shared" ca="1" si="169"/>
        <v>0</v>
      </c>
      <c r="O495" s="13">
        <f ca="1">IF($D495="Igen",IF($W494&gt;=IF($D$4="Forint",Paraméterek!$J$121,Paraméterek!$K$121),0,IF($D$4="Forint",Paraméterek!$J$121,Paraméterek!$K$121)-$W494),0)</f>
        <v>0</v>
      </c>
      <c r="P495" s="13" t="e">
        <f ca="1">ROUNDUP($O495*VLOOKUP($M$4+$B495-1,Paraméterek!$H$58:$I$105,2,0)/Paraméterek!$I$56,IF($D$4="Forint",0,2))</f>
        <v>#N/A</v>
      </c>
      <c r="Q495" s="13">
        <f t="shared" ca="1" si="160"/>
        <v>0</v>
      </c>
      <c r="R495" s="33"/>
      <c r="S495" s="13" t="e">
        <f t="shared" ca="1" si="161"/>
        <v>#N/A</v>
      </c>
      <c r="T495" s="13" t="e">
        <f ca="1">ROUNDUP(($N495-$P495-$Q495+$S495)*VLOOKUP($B495,Paraméterek!$I$38:$K$39,IF($D$2="Egyszeri",3,2))/12*IF($D496="Nem",IF($M$13=0,1,$M$13),1),IF($D$4="Forint",0,2))</f>
        <v>#N/A</v>
      </c>
      <c r="U495" s="13"/>
      <c r="V495" s="13"/>
      <c r="W495" s="13" t="e">
        <f ca="1">$N495-$P495-$Q495+$S495-$T495-IF(ROUNDUP(IF(ISBLANK($V495),$U495*0,$V495)/IF($D$2="Egyszeri",VLOOKUP($B495+IF($C495=12,1,0),Paraméterek!$V$257:$W$262,2),IF($B495=1,1,VLOOKUP($B495+IF($C495=12,1,0),Paraméterek!$I$258:$T$278,HLOOKUP($M$11+1,Paraméterek!$J$256:$T$257,2)))),IF($D$4="Forint",0,2))&gt;$N495-$P495-$Q495+$S495-$T495-IF($D$4="Forint",Paraméterek!$C$216,Paraméterek!$D$216),0,ROUNDUP(IF(ISBLANK($V495),$U495*0,$V495)/IF($D$2="Egyszeri",VLOOKUP($B495+IF($C495=12,1,0),Paraméterek!$V$257:$W$262,2),IF($B495=1,1,VLOOKUP($B495+IF($C495=12,1,0),Paraméterek!$I$258:$T$278,HLOOKUP($M$11+1,Paraméterek!$J$256:$T$257,2)))),IF($D$4="Forint",0,2)))</f>
        <v>#N/A</v>
      </c>
      <c r="X495" s="13" t="e">
        <f ca="1">ROUNDDOWN($W495*IF($D$2="Egyszeri",VLOOKUP($B495+IF($C495=12,1,0),Paraméterek!$V$257:$W$262,2),VLOOKUP($B495+IF($C495=12,1,0),Paraméterek!$I$258:$T$278,HLOOKUP($M$11+1,Paraméterek!$I$256:$T$257,2))),IF($D$4="Forint",0,2))</f>
        <v>#N/A</v>
      </c>
      <c r="Z495" s="32">
        <v>476</v>
      </c>
      <c r="AA495" s="32">
        <v>40</v>
      </c>
      <c r="AB495" s="32">
        <v>8</v>
      </c>
      <c r="AC495" s="13">
        <f t="shared" ca="1" si="170"/>
        <v>0</v>
      </c>
      <c r="AD495" s="33"/>
      <c r="AE495" s="13">
        <f t="shared" ca="1" si="162"/>
        <v>0</v>
      </c>
      <c r="AF495" s="13">
        <f ca="1">ROUNDUP(($AC495+$AE495)*VLOOKUP($AA495,Paraméterek!$P$38:$Q$38,2)/12*IF($D496="Nem",IF($M$13=0,1,$M$13),1),IF($D$4="Forint",0,2))</f>
        <v>0</v>
      </c>
      <c r="AG495" s="13">
        <f ca="1">IF($D$2="Egyszeri",IF($D$7&gt;=IF($D$4="Forint",Paraméterek!$P$223,Paraméterek!$P$224),$D$7-IF($D$4="Forint",Paraméterek!$P$223,Paraméterek!$P$224),0),MIN(IF($AB495=12,AVERAGEIF($E$20:$E495,"&gt;0",$E$20:$E495)*12,0),SUM($E$20:$E$31)))</f>
        <v>0</v>
      </c>
      <c r="AH495" s="13">
        <f>IF($AA495=10,$AG495*IF($AB495=12,IF($AG495&lt;IF($D$4="Forint",Paraméterek!$L$223,Paraméterek!$L$224),0,VLOOKUP($AA495,Paraméterek!$K$226:$M$228,IF($AG495&lt;IF($D$4="Forint",Paraméterek!$M$223,Paraméterek!$M$224),2,3))),0),0)</f>
        <v>0</v>
      </c>
      <c r="AI495" s="13">
        <f ca="1">IF(AND($AA495=$M$11+1,$AB495=$M$12+1),SUMIF($AA$20:$AA$1027,$AA495,$AG$20:$AG$1027)*IF(SUMIF($AA$20:$AA$1027,$AA495,$AG$20:$AG$1027)&lt;IF($D$4="Forint",Paraméterek!$L$223,Paraméterek!$L$224),0,VLOOKUP($AA495,Paraméterek!$K$230:$M$250,IF(SUMIF($AA$20:$AA$1027,$AA495,$AG$20:$AG$1027)&lt;IF($D$4="Forint",Paraméterek!$M$223,Paraméterek!$M$224),2,3))),0)</f>
        <v>0</v>
      </c>
      <c r="AJ495" s="13">
        <f ca="1">IF(AND($AA495&gt;=5,MOD($AA495,5)=0),IF($AB495=12,VLOOKUP($AA495,Paraméterek!$O$225:$P$240,2),0),IF(OR($AA495=3,$AA495=4),IF($AB495=12,VLOOKUP($AA495,Paraméterek!$O$225:$P$240,2,0),0),0))*$AG495</f>
        <v>0</v>
      </c>
      <c r="AK495" s="13">
        <f t="shared" ca="1" si="163"/>
        <v>0</v>
      </c>
      <c r="AL495" s="13">
        <f t="shared" ca="1" si="171"/>
        <v>0</v>
      </c>
      <c r="AM495" s="13">
        <f t="shared" ca="1" si="172"/>
        <v>0</v>
      </c>
      <c r="AO495" s="32">
        <v>476</v>
      </c>
      <c r="AP495" s="32">
        <v>40</v>
      </c>
      <c r="AQ495" s="32">
        <v>8</v>
      </c>
      <c r="AR495" s="13"/>
      <c r="AS495" s="32"/>
      <c r="AT495" s="13">
        <f t="shared" ca="1" si="173"/>
        <v>0</v>
      </c>
      <c r="AU495" s="33"/>
      <c r="AV495" s="13">
        <f t="shared" ca="1" si="164"/>
        <v>0</v>
      </c>
      <c r="AW495" s="13">
        <f ca="1">ROUNDUP(($AT495+$AV495)*VLOOKUP($AP495,Paraméterek!$P$38:$Q$38,2)/12*IF($D496="Nem",IF($M$13=0,1,$M$13),1),IF($D$4="Forint",0,2))</f>
        <v>0</v>
      </c>
      <c r="AX495" s="13"/>
      <c r="AY495" s="13"/>
      <c r="AZ495" s="13">
        <f>ROUNDUP(IF(SUM($AX495:$AY495)=0,0,IF(IF(ISBLANK($AY495),$AX495,$AY495)*Paraméterek!$J$112&lt;IF($D$4="Forint",Paraméterek!$J$113,Paraméterek!$K$113),IF($D$4="Forint",Paraméterek!$J$113,Paraméterek!$K$113),IF(IF(ISBLANK($AY495),$AX495,$AY495)*Paraméterek!$J$112&gt;IF($D$4="Forint",Paraméterek!$J$114,Paraméterek!$K$114),IF($D$4="Forint",Paraméterek!$J$114,Paraméterek!$K$114),IF(ISBLANK($AY495),$AX495,$AY495)*Paraméterek!$J$112))),IF($D$4="Forint",0,2))</f>
        <v>0</v>
      </c>
      <c r="BA495" s="13">
        <f ca="1">$AT495+$AV495-$AW495-IF(ROUNDDOWN(IF(ISBLANK($AY495),$AX495,$AY495),IF($D$4="Forint",0,2))&gt;$AT495+$AV495-$AW495-IF($D$4="Forint",Paraméterek!$J$114,Paraméterek!$K$114),0,ROUNDDOWN(IF(ISBLANK($AY495),$AX495,$AY495),IF($D$4="Forint",0,2))-$AZ495)</f>
        <v>0</v>
      </c>
      <c r="BB495" s="13">
        <f t="shared" ca="1" si="165"/>
        <v>0</v>
      </c>
      <c r="BD495" s="32">
        <v>476</v>
      </c>
      <c r="BE495" s="32">
        <v>40</v>
      </c>
      <c r="BF495" s="32">
        <v>8</v>
      </c>
      <c r="BG495" s="34">
        <f t="shared" ca="1" si="174"/>
        <v>2059</v>
      </c>
      <c r="BH495" s="32" t="str">
        <f ca="1">IF(MOD(MONTH($D$14)+$BD495-1,12)=Paraméterek!$C$288,"Igen","")</f>
        <v/>
      </c>
      <c r="BI495" s="13">
        <f ca="1">IF($BH495="Igen",MIN(ROUNDDOWN((SUMIF($BG$20:$BG$1027,$BG495-1,$K$20:$K$1027)-SUMIF($BG$20:$BG$1027,$BG495-1,$I$20:$I$1027))*Paraméterek!$C$289,IF($D$4="Forint",0,2)),IF($D$4="Forint",Paraméterek!$C$285,Paraméterek!$D$285)),0)</f>
        <v>0</v>
      </c>
      <c r="BJ495" s="13">
        <f t="shared" ca="1" si="166"/>
        <v>0</v>
      </c>
      <c r="BK495" s="13">
        <f t="shared" ca="1" si="175"/>
        <v>0</v>
      </c>
      <c r="BL495" s="33"/>
      <c r="BM495" s="13">
        <f t="shared" ca="1" si="167"/>
        <v>0</v>
      </c>
      <c r="BN495" s="13">
        <f ca="1">ROUNDUP(($BK495+$BM495)*VLOOKUP($BE495,Paraméterek!$P$38:$Q$38,2)/12*IF($D496="Nem",IF($M$13=0,1,$M$13),1),IF($D$4="Forint",0,2))</f>
        <v>0</v>
      </c>
      <c r="BO495" s="13">
        <f t="shared" ca="1" si="168"/>
        <v>0</v>
      </c>
      <c r="BP495" s="13">
        <f ca="1">IF($D496="Nem",$BO495,$BO495-ROUNDUP(SUM($BI$20:$BI495)*120%,IF($D$4="Forint",0,2)))</f>
        <v>0</v>
      </c>
    </row>
    <row r="496" spans="1:68" x14ac:dyDescent="0.2">
      <c r="A496" s="32">
        <v>477</v>
      </c>
      <c r="B496" s="32">
        <v>40</v>
      </c>
      <c r="C496" s="32">
        <v>9</v>
      </c>
      <c r="D496" s="32" t="str">
        <f t="shared" ca="1" si="154"/>
        <v>Nem</v>
      </c>
      <c r="E496" s="13">
        <f t="shared" ca="1" si="155"/>
        <v>0</v>
      </c>
      <c r="F496" s="13"/>
      <c r="G496" s="13"/>
      <c r="H496" s="13"/>
      <c r="I496" s="13">
        <f t="shared" ca="1" si="156"/>
        <v>0</v>
      </c>
      <c r="J496" s="13">
        <f t="shared" ca="1" si="157"/>
        <v>0</v>
      </c>
      <c r="K496" s="13">
        <f t="shared" ca="1" si="158"/>
        <v>0</v>
      </c>
      <c r="L496" s="13" t="e">
        <f ca="1">ROUNDUP(IF($D$2="Egyszeri",$E496,IF($D$2="Havi",SUM($E$20:$E$31),IF(MOD($C496,$M$1)-1=0,SUM($E$20:$E$31),0))/12*$M$1)*VLOOKUP($B496,Paraméterek!$I$28:$P$31,IF($D$2="Egyszeri",8,HLOOKUP(ROUNDUP($M$11+$M$13,0),Paraméterek!$J$26:$O$27,2))),IF($D$4="Forint",0,2))</f>
        <v>#N/A</v>
      </c>
      <c r="M496" s="13">
        <f t="shared" ca="1" si="159"/>
        <v>0</v>
      </c>
      <c r="N496" s="13">
        <f t="shared" ca="1" si="169"/>
        <v>0</v>
      </c>
      <c r="O496" s="13">
        <f ca="1">IF($D496="Igen",IF($W495&gt;=IF($D$4="Forint",Paraméterek!$J$121,Paraméterek!$K$121),0,IF($D$4="Forint",Paraméterek!$J$121,Paraméterek!$K$121)-$W495),0)</f>
        <v>0</v>
      </c>
      <c r="P496" s="13" t="e">
        <f ca="1">ROUNDUP($O496*VLOOKUP($M$4+$B496-1,Paraméterek!$H$58:$I$105,2,0)/Paraméterek!$I$56,IF($D$4="Forint",0,2))</f>
        <v>#N/A</v>
      </c>
      <c r="Q496" s="13">
        <f t="shared" ca="1" si="160"/>
        <v>0</v>
      </c>
      <c r="R496" s="33"/>
      <c r="S496" s="13" t="e">
        <f t="shared" ca="1" si="161"/>
        <v>#N/A</v>
      </c>
      <c r="T496" s="13" t="e">
        <f ca="1">ROUNDUP(($N496-$P496-$Q496+$S496)*VLOOKUP($B496,Paraméterek!$I$38:$K$39,IF($D$2="Egyszeri",3,2))/12*IF($D497="Nem",IF($M$13=0,1,$M$13),1),IF($D$4="Forint",0,2))</f>
        <v>#N/A</v>
      </c>
      <c r="U496" s="13"/>
      <c r="V496" s="13"/>
      <c r="W496" s="13" t="e">
        <f ca="1">$N496-$P496-$Q496+$S496-$T496-IF(ROUNDUP(IF(ISBLANK($V496),$U496*0,$V496)/IF($D$2="Egyszeri",VLOOKUP($B496+IF($C496=12,1,0),Paraméterek!$V$257:$W$262,2),IF($B496=1,1,VLOOKUP($B496+IF($C496=12,1,0),Paraméterek!$I$258:$T$278,HLOOKUP($M$11+1,Paraméterek!$J$256:$T$257,2)))),IF($D$4="Forint",0,2))&gt;$N496-$P496-$Q496+$S496-$T496-IF($D$4="Forint",Paraméterek!$C$216,Paraméterek!$D$216),0,ROUNDUP(IF(ISBLANK($V496),$U496*0,$V496)/IF($D$2="Egyszeri",VLOOKUP($B496+IF($C496=12,1,0),Paraméterek!$V$257:$W$262,2),IF($B496=1,1,VLOOKUP($B496+IF($C496=12,1,0),Paraméterek!$I$258:$T$278,HLOOKUP($M$11+1,Paraméterek!$J$256:$T$257,2)))),IF($D$4="Forint",0,2)))</f>
        <v>#N/A</v>
      </c>
      <c r="X496" s="13" t="e">
        <f ca="1">ROUNDDOWN($W496*IF($D$2="Egyszeri",VLOOKUP($B496+IF($C496=12,1,0),Paraméterek!$V$257:$W$262,2),VLOOKUP($B496+IF($C496=12,1,0),Paraméterek!$I$258:$T$278,HLOOKUP($M$11+1,Paraméterek!$I$256:$T$257,2))),IF($D$4="Forint",0,2))</f>
        <v>#N/A</v>
      </c>
      <c r="Z496" s="32">
        <v>477</v>
      </c>
      <c r="AA496" s="32">
        <v>40</v>
      </c>
      <c r="AB496" s="32">
        <v>9</v>
      </c>
      <c r="AC496" s="13">
        <f t="shared" ca="1" si="170"/>
        <v>0</v>
      </c>
      <c r="AD496" s="33"/>
      <c r="AE496" s="13">
        <f t="shared" ca="1" si="162"/>
        <v>0</v>
      </c>
      <c r="AF496" s="13">
        <f ca="1">ROUNDUP(($AC496+$AE496)*VLOOKUP($AA496,Paraméterek!$P$38:$Q$38,2)/12*IF($D497="Nem",IF($M$13=0,1,$M$13),1),IF($D$4="Forint",0,2))</f>
        <v>0</v>
      </c>
      <c r="AG496" s="13">
        <f ca="1">IF($D$2="Egyszeri",IF($D$7&gt;=IF($D$4="Forint",Paraméterek!$P$223,Paraméterek!$P$224),$D$7-IF($D$4="Forint",Paraméterek!$P$223,Paraméterek!$P$224),0),MIN(IF($AB496=12,AVERAGEIF($E$20:$E496,"&gt;0",$E$20:$E496)*12,0),SUM($E$20:$E$31)))</f>
        <v>0</v>
      </c>
      <c r="AH496" s="13">
        <f>IF($AA496=10,$AG496*IF($AB496=12,IF($AG496&lt;IF($D$4="Forint",Paraméterek!$L$223,Paraméterek!$L$224),0,VLOOKUP($AA496,Paraméterek!$K$226:$M$228,IF($AG496&lt;IF($D$4="Forint",Paraméterek!$M$223,Paraméterek!$M$224),2,3))),0),0)</f>
        <v>0</v>
      </c>
      <c r="AI496" s="13">
        <f ca="1">IF(AND($AA496=$M$11+1,$AB496=$M$12+1),SUMIF($AA$20:$AA$1027,$AA496,$AG$20:$AG$1027)*IF(SUMIF($AA$20:$AA$1027,$AA496,$AG$20:$AG$1027)&lt;IF($D$4="Forint",Paraméterek!$L$223,Paraméterek!$L$224),0,VLOOKUP($AA496,Paraméterek!$K$230:$M$250,IF(SUMIF($AA$20:$AA$1027,$AA496,$AG$20:$AG$1027)&lt;IF($D$4="Forint",Paraméterek!$M$223,Paraméterek!$M$224),2,3))),0)</f>
        <v>0</v>
      </c>
      <c r="AJ496" s="13">
        <f ca="1">IF(AND($AA496&gt;=5,MOD($AA496,5)=0),IF($AB496=12,VLOOKUP($AA496,Paraméterek!$O$225:$P$240,2),0),IF(OR($AA496=3,$AA496=4),IF($AB496=12,VLOOKUP($AA496,Paraméterek!$O$225:$P$240,2,0),0),0))*$AG496</f>
        <v>0</v>
      </c>
      <c r="AK496" s="13">
        <f t="shared" ca="1" si="163"/>
        <v>0</v>
      </c>
      <c r="AL496" s="13">
        <f t="shared" ca="1" si="171"/>
        <v>0</v>
      </c>
      <c r="AM496" s="13">
        <f t="shared" ca="1" si="172"/>
        <v>0</v>
      </c>
      <c r="AO496" s="32">
        <v>477</v>
      </c>
      <c r="AP496" s="32">
        <v>40</v>
      </c>
      <c r="AQ496" s="32">
        <v>9</v>
      </c>
      <c r="AR496" s="13"/>
      <c r="AS496" s="32"/>
      <c r="AT496" s="13">
        <f t="shared" ca="1" si="173"/>
        <v>0</v>
      </c>
      <c r="AU496" s="33"/>
      <c r="AV496" s="13">
        <f t="shared" ca="1" si="164"/>
        <v>0</v>
      </c>
      <c r="AW496" s="13">
        <f ca="1">ROUNDUP(($AT496+$AV496)*VLOOKUP($AP496,Paraméterek!$P$38:$Q$38,2)/12*IF($D497="Nem",IF($M$13=0,1,$M$13),1),IF($D$4="Forint",0,2))</f>
        <v>0</v>
      </c>
      <c r="AX496" s="13"/>
      <c r="AY496" s="13"/>
      <c r="AZ496" s="13">
        <f>ROUNDUP(IF(SUM($AX496:$AY496)=0,0,IF(IF(ISBLANK($AY496),$AX496,$AY496)*Paraméterek!$J$112&lt;IF($D$4="Forint",Paraméterek!$J$113,Paraméterek!$K$113),IF($D$4="Forint",Paraméterek!$J$113,Paraméterek!$K$113),IF(IF(ISBLANK($AY496),$AX496,$AY496)*Paraméterek!$J$112&gt;IF($D$4="Forint",Paraméterek!$J$114,Paraméterek!$K$114),IF($D$4="Forint",Paraméterek!$J$114,Paraméterek!$K$114),IF(ISBLANK($AY496),$AX496,$AY496)*Paraméterek!$J$112))),IF($D$4="Forint",0,2))</f>
        <v>0</v>
      </c>
      <c r="BA496" s="13">
        <f ca="1">$AT496+$AV496-$AW496-IF(ROUNDDOWN(IF(ISBLANK($AY496),$AX496,$AY496),IF($D$4="Forint",0,2))&gt;$AT496+$AV496-$AW496-IF($D$4="Forint",Paraméterek!$J$114,Paraméterek!$K$114),0,ROUNDDOWN(IF(ISBLANK($AY496),$AX496,$AY496),IF($D$4="Forint",0,2))-$AZ496)</f>
        <v>0</v>
      </c>
      <c r="BB496" s="13">
        <f t="shared" ca="1" si="165"/>
        <v>0</v>
      </c>
      <c r="BD496" s="32">
        <v>477</v>
      </c>
      <c r="BE496" s="32">
        <v>40</v>
      </c>
      <c r="BF496" s="32">
        <v>9</v>
      </c>
      <c r="BG496" s="34">
        <f t="shared" ca="1" si="174"/>
        <v>2059</v>
      </c>
      <c r="BH496" s="32" t="str">
        <f ca="1">IF(MOD(MONTH($D$14)+$BD496-1,12)=Paraméterek!$C$288,"Igen","")</f>
        <v/>
      </c>
      <c r="BI496" s="13">
        <f ca="1">IF($BH496="Igen",MIN(ROUNDDOWN((SUMIF($BG$20:$BG$1027,$BG496-1,$K$20:$K$1027)-SUMIF($BG$20:$BG$1027,$BG496-1,$I$20:$I$1027))*Paraméterek!$C$289,IF($D$4="Forint",0,2)),IF($D$4="Forint",Paraméterek!$C$285,Paraméterek!$D$285)),0)</f>
        <v>0</v>
      </c>
      <c r="BJ496" s="13">
        <f t="shared" ca="1" si="166"/>
        <v>0</v>
      </c>
      <c r="BK496" s="13">
        <f t="shared" ca="1" si="175"/>
        <v>0</v>
      </c>
      <c r="BL496" s="33"/>
      <c r="BM496" s="13">
        <f t="shared" ca="1" si="167"/>
        <v>0</v>
      </c>
      <c r="BN496" s="13">
        <f ca="1">ROUNDUP(($BK496+$BM496)*VLOOKUP($BE496,Paraméterek!$P$38:$Q$38,2)/12*IF($D497="Nem",IF($M$13=0,1,$M$13),1),IF($D$4="Forint",0,2))</f>
        <v>0</v>
      </c>
      <c r="BO496" s="13">
        <f t="shared" ca="1" si="168"/>
        <v>0</v>
      </c>
      <c r="BP496" s="13">
        <f ca="1">IF($D497="Nem",$BO496,$BO496-ROUNDUP(SUM($BI$20:$BI496)*120%,IF($D$4="Forint",0,2)))</f>
        <v>0</v>
      </c>
    </row>
    <row r="497" spans="1:68" x14ac:dyDescent="0.2">
      <c r="A497" s="32">
        <v>478</v>
      </c>
      <c r="B497" s="32">
        <v>40</v>
      </c>
      <c r="C497" s="32">
        <v>10</v>
      </c>
      <c r="D497" s="32" t="str">
        <f t="shared" ca="1" si="154"/>
        <v>Nem</v>
      </c>
      <c r="E497" s="13">
        <f t="shared" ca="1" si="155"/>
        <v>0</v>
      </c>
      <c r="F497" s="13"/>
      <c r="G497" s="13"/>
      <c r="H497" s="13"/>
      <c r="I497" s="13">
        <f t="shared" ca="1" si="156"/>
        <v>0</v>
      </c>
      <c r="J497" s="13">
        <f t="shared" ca="1" si="157"/>
        <v>0</v>
      </c>
      <c r="K497" s="13">
        <f t="shared" ca="1" si="158"/>
        <v>0</v>
      </c>
      <c r="L497" s="13" t="e">
        <f ca="1">ROUNDUP(IF($D$2="Egyszeri",$E497,IF($D$2="Havi",SUM($E$20:$E$31),IF(MOD($C497,$M$1)-1=0,SUM($E$20:$E$31),0))/12*$M$1)*VLOOKUP($B497,Paraméterek!$I$28:$P$31,IF($D$2="Egyszeri",8,HLOOKUP(ROUNDUP($M$11+$M$13,0),Paraméterek!$J$26:$O$27,2))),IF($D$4="Forint",0,2))</f>
        <v>#N/A</v>
      </c>
      <c r="M497" s="13">
        <f t="shared" ca="1" si="159"/>
        <v>0</v>
      </c>
      <c r="N497" s="13">
        <f t="shared" ca="1" si="169"/>
        <v>0</v>
      </c>
      <c r="O497" s="13">
        <f ca="1">IF($D497="Igen",IF($W496&gt;=IF($D$4="Forint",Paraméterek!$J$121,Paraméterek!$K$121),0,IF($D$4="Forint",Paraméterek!$J$121,Paraméterek!$K$121)-$W496),0)</f>
        <v>0</v>
      </c>
      <c r="P497" s="13" t="e">
        <f ca="1">ROUNDUP($O497*VLOOKUP($M$4+$B497-1,Paraméterek!$H$58:$I$105,2,0)/Paraméterek!$I$56,IF($D$4="Forint",0,2))</f>
        <v>#N/A</v>
      </c>
      <c r="Q497" s="13">
        <f t="shared" ca="1" si="160"/>
        <v>0</v>
      </c>
      <c r="R497" s="33"/>
      <c r="S497" s="13" t="e">
        <f t="shared" ca="1" si="161"/>
        <v>#N/A</v>
      </c>
      <c r="T497" s="13" t="e">
        <f ca="1">ROUNDUP(($N497-$P497-$Q497+$S497)*VLOOKUP($B497,Paraméterek!$I$38:$K$39,IF($D$2="Egyszeri",3,2))/12*IF($D498="Nem",IF($M$13=0,1,$M$13),1),IF($D$4="Forint",0,2))</f>
        <v>#N/A</v>
      </c>
      <c r="U497" s="13"/>
      <c r="V497" s="13"/>
      <c r="W497" s="13" t="e">
        <f ca="1">$N497-$P497-$Q497+$S497-$T497-IF(ROUNDUP(IF(ISBLANK($V497),$U497*0,$V497)/IF($D$2="Egyszeri",VLOOKUP($B497+IF($C497=12,1,0),Paraméterek!$V$257:$W$262,2),IF($B497=1,1,VLOOKUP($B497+IF($C497=12,1,0),Paraméterek!$I$258:$T$278,HLOOKUP($M$11+1,Paraméterek!$J$256:$T$257,2)))),IF($D$4="Forint",0,2))&gt;$N497-$P497-$Q497+$S497-$T497-IF($D$4="Forint",Paraméterek!$C$216,Paraméterek!$D$216),0,ROUNDUP(IF(ISBLANK($V497),$U497*0,$V497)/IF($D$2="Egyszeri",VLOOKUP($B497+IF($C497=12,1,0),Paraméterek!$V$257:$W$262,2),IF($B497=1,1,VLOOKUP($B497+IF($C497=12,1,0),Paraméterek!$I$258:$T$278,HLOOKUP($M$11+1,Paraméterek!$J$256:$T$257,2)))),IF($D$4="Forint",0,2)))</f>
        <v>#N/A</v>
      </c>
      <c r="X497" s="13" t="e">
        <f ca="1">ROUNDDOWN($W497*IF($D$2="Egyszeri",VLOOKUP($B497+IF($C497=12,1,0),Paraméterek!$V$257:$W$262,2),VLOOKUP($B497+IF($C497=12,1,0),Paraméterek!$I$258:$T$278,HLOOKUP($M$11+1,Paraméterek!$I$256:$T$257,2))),IF($D$4="Forint",0,2))</f>
        <v>#N/A</v>
      </c>
      <c r="Z497" s="32">
        <v>478</v>
      </c>
      <c r="AA497" s="32">
        <v>40</v>
      </c>
      <c r="AB497" s="32">
        <v>10</v>
      </c>
      <c r="AC497" s="13">
        <f t="shared" ca="1" si="170"/>
        <v>0</v>
      </c>
      <c r="AD497" s="33"/>
      <c r="AE497" s="13">
        <f t="shared" ca="1" si="162"/>
        <v>0</v>
      </c>
      <c r="AF497" s="13">
        <f ca="1">ROUNDUP(($AC497+$AE497)*VLOOKUP($AA497,Paraméterek!$P$38:$Q$38,2)/12*IF($D498="Nem",IF($M$13=0,1,$M$13),1),IF($D$4="Forint",0,2))</f>
        <v>0</v>
      </c>
      <c r="AG497" s="13">
        <f ca="1">IF($D$2="Egyszeri",IF($D$7&gt;=IF($D$4="Forint",Paraméterek!$P$223,Paraméterek!$P$224),$D$7-IF($D$4="Forint",Paraméterek!$P$223,Paraméterek!$P$224),0),MIN(IF($AB497=12,AVERAGEIF($E$20:$E497,"&gt;0",$E$20:$E497)*12,0),SUM($E$20:$E$31)))</f>
        <v>0</v>
      </c>
      <c r="AH497" s="13">
        <f>IF($AA497=10,$AG497*IF($AB497=12,IF($AG497&lt;IF($D$4="Forint",Paraméterek!$L$223,Paraméterek!$L$224),0,VLOOKUP($AA497,Paraméterek!$K$226:$M$228,IF($AG497&lt;IF($D$4="Forint",Paraméterek!$M$223,Paraméterek!$M$224),2,3))),0),0)</f>
        <v>0</v>
      </c>
      <c r="AI497" s="13">
        <f ca="1">IF(AND($AA497=$M$11+1,$AB497=$M$12+1),SUMIF($AA$20:$AA$1027,$AA497,$AG$20:$AG$1027)*IF(SUMIF($AA$20:$AA$1027,$AA497,$AG$20:$AG$1027)&lt;IF($D$4="Forint",Paraméterek!$L$223,Paraméterek!$L$224),0,VLOOKUP($AA497,Paraméterek!$K$230:$M$250,IF(SUMIF($AA$20:$AA$1027,$AA497,$AG$20:$AG$1027)&lt;IF($D$4="Forint",Paraméterek!$M$223,Paraméterek!$M$224),2,3))),0)</f>
        <v>0</v>
      </c>
      <c r="AJ497" s="13">
        <f ca="1">IF(AND($AA497&gt;=5,MOD($AA497,5)=0),IF($AB497=12,VLOOKUP($AA497,Paraméterek!$O$225:$P$240,2),0),IF(OR($AA497=3,$AA497=4),IF($AB497=12,VLOOKUP($AA497,Paraméterek!$O$225:$P$240,2,0),0),0))*$AG497</f>
        <v>0</v>
      </c>
      <c r="AK497" s="13">
        <f t="shared" ca="1" si="163"/>
        <v>0</v>
      </c>
      <c r="AL497" s="13">
        <f t="shared" ca="1" si="171"/>
        <v>0</v>
      </c>
      <c r="AM497" s="13">
        <f t="shared" ca="1" si="172"/>
        <v>0</v>
      </c>
      <c r="AO497" s="32">
        <v>478</v>
      </c>
      <c r="AP497" s="32">
        <v>40</v>
      </c>
      <c r="AQ497" s="32">
        <v>10</v>
      </c>
      <c r="AR497" s="13"/>
      <c r="AS497" s="32"/>
      <c r="AT497" s="13">
        <f t="shared" ca="1" si="173"/>
        <v>0</v>
      </c>
      <c r="AU497" s="33"/>
      <c r="AV497" s="13">
        <f t="shared" ca="1" si="164"/>
        <v>0</v>
      </c>
      <c r="AW497" s="13">
        <f ca="1">ROUNDUP(($AT497+$AV497)*VLOOKUP($AP497,Paraméterek!$P$38:$Q$38,2)/12*IF($D498="Nem",IF($M$13=0,1,$M$13),1),IF($D$4="Forint",0,2))</f>
        <v>0</v>
      </c>
      <c r="AX497" s="13"/>
      <c r="AY497" s="13"/>
      <c r="AZ497" s="13">
        <f>ROUNDUP(IF(SUM($AX497:$AY497)=0,0,IF(IF(ISBLANK($AY497),$AX497,$AY497)*Paraméterek!$J$112&lt;IF($D$4="Forint",Paraméterek!$J$113,Paraméterek!$K$113),IF($D$4="Forint",Paraméterek!$J$113,Paraméterek!$K$113),IF(IF(ISBLANK($AY497),$AX497,$AY497)*Paraméterek!$J$112&gt;IF($D$4="Forint",Paraméterek!$J$114,Paraméterek!$K$114),IF($D$4="Forint",Paraméterek!$J$114,Paraméterek!$K$114),IF(ISBLANK($AY497),$AX497,$AY497)*Paraméterek!$J$112))),IF($D$4="Forint",0,2))</f>
        <v>0</v>
      </c>
      <c r="BA497" s="13">
        <f ca="1">$AT497+$AV497-$AW497-IF(ROUNDDOWN(IF(ISBLANK($AY497),$AX497,$AY497),IF($D$4="Forint",0,2))&gt;$AT497+$AV497-$AW497-IF($D$4="Forint",Paraméterek!$J$114,Paraméterek!$K$114),0,ROUNDDOWN(IF(ISBLANK($AY497),$AX497,$AY497),IF($D$4="Forint",0,2))-$AZ497)</f>
        <v>0</v>
      </c>
      <c r="BB497" s="13">
        <f t="shared" ca="1" si="165"/>
        <v>0</v>
      </c>
      <c r="BD497" s="32">
        <v>478</v>
      </c>
      <c r="BE497" s="32">
        <v>40</v>
      </c>
      <c r="BF497" s="32">
        <v>10</v>
      </c>
      <c r="BG497" s="34">
        <f t="shared" ca="1" si="174"/>
        <v>2059</v>
      </c>
      <c r="BH497" s="32" t="str">
        <f ca="1">IF(MOD(MONTH($D$14)+$BD497-1,12)=Paraméterek!$C$288,"Igen","")</f>
        <v/>
      </c>
      <c r="BI497" s="13">
        <f ca="1">IF($BH497="Igen",MIN(ROUNDDOWN((SUMIF($BG$20:$BG$1027,$BG497-1,$K$20:$K$1027)-SUMIF($BG$20:$BG$1027,$BG497-1,$I$20:$I$1027))*Paraméterek!$C$289,IF($D$4="Forint",0,2)),IF($D$4="Forint",Paraméterek!$C$285,Paraméterek!$D$285)),0)</f>
        <v>0</v>
      </c>
      <c r="BJ497" s="13">
        <f t="shared" ca="1" si="166"/>
        <v>0</v>
      </c>
      <c r="BK497" s="13">
        <f t="shared" ca="1" si="175"/>
        <v>0</v>
      </c>
      <c r="BL497" s="33"/>
      <c r="BM497" s="13">
        <f t="shared" ca="1" si="167"/>
        <v>0</v>
      </c>
      <c r="BN497" s="13">
        <f ca="1">ROUNDUP(($BK497+$BM497)*VLOOKUP($BE497,Paraméterek!$P$38:$Q$38,2)/12*IF($D498="Nem",IF($M$13=0,1,$M$13),1),IF($D$4="Forint",0,2))</f>
        <v>0</v>
      </c>
      <c r="BO497" s="13">
        <f t="shared" ca="1" si="168"/>
        <v>0</v>
      </c>
      <c r="BP497" s="13">
        <f ca="1">IF($D498="Nem",$BO497,$BO497-ROUNDUP(SUM($BI$20:$BI497)*120%,IF($D$4="Forint",0,2)))</f>
        <v>0</v>
      </c>
    </row>
    <row r="498" spans="1:68" x14ac:dyDescent="0.2">
      <c r="A498" s="32">
        <v>479</v>
      </c>
      <c r="B498" s="32">
        <v>40</v>
      </c>
      <c r="C498" s="32">
        <v>11</v>
      </c>
      <c r="D498" s="32" t="str">
        <f t="shared" ca="1" si="154"/>
        <v>Nem</v>
      </c>
      <c r="E498" s="13">
        <f t="shared" ca="1" si="155"/>
        <v>0</v>
      </c>
      <c r="F498" s="13"/>
      <c r="G498" s="13"/>
      <c r="H498" s="13"/>
      <c r="I498" s="13">
        <f t="shared" ca="1" si="156"/>
        <v>0</v>
      </c>
      <c r="J498" s="13">
        <f t="shared" ca="1" si="157"/>
        <v>0</v>
      </c>
      <c r="K498" s="13">
        <f t="shared" ca="1" si="158"/>
        <v>0</v>
      </c>
      <c r="L498" s="13" t="e">
        <f ca="1">ROUNDUP(IF($D$2="Egyszeri",$E498,IF($D$2="Havi",SUM($E$20:$E$31),IF(MOD($C498,$M$1)-1=0,SUM($E$20:$E$31),0))/12*$M$1)*VLOOKUP($B498,Paraméterek!$I$28:$P$31,IF($D$2="Egyszeri",8,HLOOKUP(ROUNDUP($M$11+$M$13,0),Paraméterek!$J$26:$O$27,2))),IF($D$4="Forint",0,2))</f>
        <v>#N/A</v>
      </c>
      <c r="M498" s="13">
        <f t="shared" ca="1" si="159"/>
        <v>0</v>
      </c>
      <c r="N498" s="13">
        <f t="shared" ca="1" si="169"/>
        <v>0</v>
      </c>
      <c r="O498" s="13">
        <f ca="1">IF($D498="Igen",IF($W497&gt;=IF($D$4="Forint",Paraméterek!$J$121,Paraméterek!$K$121),0,IF($D$4="Forint",Paraméterek!$J$121,Paraméterek!$K$121)-$W497),0)</f>
        <v>0</v>
      </c>
      <c r="P498" s="13" t="e">
        <f ca="1">ROUNDUP($O498*VLOOKUP($M$4+$B498-1,Paraméterek!$H$58:$I$105,2,0)/Paraméterek!$I$56,IF($D$4="Forint",0,2))</f>
        <v>#N/A</v>
      </c>
      <c r="Q498" s="13">
        <f t="shared" ca="1" si="160"/>
        <v>0</v>
      </c>
      <c r="R498" s="33"/>
      <c r="S498" s="13" t="e">
        <f t="shared" ca="1" si="161"/>
        <v>#N/A</v>
      </c>
      <c r="T498" s="13" t="e">
        <f ca="1">ROUNDUP(($N498-$P498-$Q498+$S498)*VLOOKUP($B498,Paraméterek!$I$38:$K$39,IF($D$2="Egyszeri",3,2))/12*IF($D499="Nem",IF($M$13=0,1,$M$13),1),IF($D$4="Forint",0,2))</f>
        <v>#N/A</v>
      </c>
      <c r="U498" s="13"/>
      <c r="V498" s="13"/>
      <c r="W498" s="13" t="e">
        <f ca="1">$N498-$P498-$Q498+$S498-$T498-IF(ROUNDUP(IF(ISBLANK($V498),$U498*0,$V498)/IF($D$2="Egyszeri",VLOOKUP($B498+IF($C498=12,1,0),Paraméterek!$V$257:$W$262,2),IF($B498=1,1,VLOOKUP($B498+IF($C498=12,1,0),Paraméterek!$I$258:$T$278,HLOOKUP($M$11+1,Paraméterek!$J$256:$T$257,2)))),IF($D$4="Forint",0,2))&gt;$N498-$P498-$Q498+$S498-$T498-IF($D$4="Forint",Paraméterek!$C$216,Paraméterek!$D$216),0,ROUNDUP(IF(ISBLANK($V498),$U498*0,$V498)/IF($D$2="Egyszeri",VLOOKUP($B498+IF($C498=12,1,0),Paraméterek!$V$257:$W$262,2),IF($B498=1,1,VLOOKUP($B498+IF($C498=12,1,0),Paraméterek!$I$258:$T$278,HLOOKUP($M$11+1,Paraméterek!$J$256:$T$257,2)))),IF($D$4="Forint",0,2)))</f>
        <v>#N/A</v>
      </c>
      <c r="X498" s="13" t="e">
        <f ca="1">ROUNDDOWN($W498*IF($D$2="Egyszeri",VLOOKUP($B498+IF($C498=12,1,0),Paraméterek!$V$257:$W$262,2),VLOOKUP($B498+IF($C498=12,1,0),Paraméterek!$I$258:$T$278,HLOOKUP($M$11+1,Paraméterek!$I$256:$T$257,2))),IF($D$4="Forint",0,2))</f>
        <v>#N/A</v>
      </c>
      <c r="Z498" s="32">
        <v>479</v>
      </c>
      <c r="AA498" s="32">
        <v>40</v>
      </c>
      <c r="AB498" s="32">
        <v>11</v>
      </c>
      <c r="AC498" s="13">
        <f t="shared" ca="1" si="170"/>
        <v>0</v>
      </c>
      <c r="AD498" s="33"/>
      <c r="AE498" s="13">
        <f t="shared" ca="1" si="162"/>
        <v>0</v>
      </c>
      <c r="AF498" s="13">
        <f ca="1">ROUNDUP(($AC498+$AE498)*VLOOKUP($AA498,Paraméterek!$P$38:$Q$38,2)/12*IF($D499="Nem",IF($M$13=0,1,$M$13),1),IF($D$4="Forint",0,2))</f>
        <v>0</v>
      </c>
      <c r="AG498" s="13">
        <f ca="1">IF($D$2="Egyszeri",IF($D$7&gt;=IF($D$4="Forint",Paraméterek!$P$223,Paraméterek!$P$224),$D$7-IF($D$4="Forint",Paraméterek!$P$223,Paraméterek!$P$224),0),MIN(IF($AB498=12,AVERAGEIF($E$20:$E498,"&gt;0",$E$20:$E498)*12,0),SUM($E$20:$E$31)))</f>
        <v>0</v>
      </c>
      <c r="AH498" s="13">
        <f>IF($AA498=10,$AG498*IF($AB498=12,IF($AG498&lt;IF($D$4="Forint",Paraméterek!$L$223,Paraméterek!$L$224),0,VLOOKUP($AA498,Paraméterek!$K$226:$M$228,IF($AG498&lt;IF($D$4="Forint",Paraméterek!$M$223,Paraméterek!$M$224),2,3))),0),0)</f>
        <v>0</v>
      </c>
      <c r="AI498" s="13">
        <f ca="1">IF(AND($AA498=$M$11+1,$AB498=$M$12+1),SUMIF($AA$20:$AA$1027,$AA498,$AG$20:$AG$1027)*IF(SUMIF($AA$20:$AA$1027,$AA498,$AG$20:$AG$1027)&lt;IF($D$4="Forint",Paraméterek!$L$223,Paraméterek!$L$224),0,VLOOKUP($AA498,Paraméterek!$K$230:$M$250,IF(SUMIF($AA$20:$AA$1027,$AA498,$AG$20:$AG$1027)&lt;IF($D$4="Forint",Paraméterek!$M$223,Paraméterek!$M$224),2,3))),0)</f>
        <v>0</v>
      </c>
      <c r="AJ498" s="13">
        <f ca="1">IF(AND($AA498&gt;=5,MOD($AA498,5)=0),IF($AB498=12,VLOOKUP($AA498,Paraméterek!$O$225:$P$240,2),0),IF(OR($AA498=3,$AA498=4),IF($AB498=12,VLOOKUP($AA498,Paraméterek!$O$225:$P$240,2,0),0),0))*$AG498</f>
        <v>0</v>
      </c>
      <c r="AK498" s="13">
        <f t="shared" ca="1" si="163"/>
        <v>0</v>
      </c>
      <c r="AL498" s="13">
        <f t="shared" ca="1" si="171"/>
        <v>0</v>
      </c>
      <c r="AM498" s="13">
        <f t="shared" ca="1" si="172"/>
        <v>0</v>
      </c>
      <c r="AO498" s="32">
        <v>479</v>
      </c>
      <c r="AP498" s="32">
        <v>40</v>
      </c>
      <c r="AQ498" s="32">
        <v>11</v>
      </c>
      <c r="AR498" s="13"/>
      <c r="AS498" s="32"/>
      <c r="AT498" s="13">
        <f t="shared" ca="1" si="173"/>
        <v>0</v>
      </c>
      <c r="AU498" s="33"/>
      <c r="AV498" s="13">
        <f t="shared" ca="1" si="164"/>
        <v>0</v>
      </c>
      <c r="AW498" s="13">
        <f ca="1">ROUNDUP(($AT498+$AV498)*VLOOKUP($AP498,Paraméterek!$P$38:$Q$38,2)/12*IF($D499="Nem",IF($M$13=0,1,$M$13),1),IF($D$4="Forint",0,2))</f>
        <v>0</v>
      </c>
      <c r="AX498" s="13"/>
      <c r="AY498" s="13"/>
      <c r="AZ498" s="13">
        <f>ROUNDUP(IF(SUM($AX498:$AY498)=0,0,IF(IF(ISBLANK($AY498),$AX498,$AY498)*Paraméterek!$J$112&lt;IF($D$4="Forint",Paraméterek!$J$113,Paraméterek!$K$113),IF($D$4="Forint",Paraméterek!$J$113,Paraméterek!$K$113),IF(IF(ISBLANK($AY498),$AX498,$AY498)*Paraméterek!$J$112&gt;IF($D$4="Forint",Paraméterek!$J$114,Paraméterek!$K$114),IF($D$4="Forint",Paraméterek!$J$114,Paraméterek!$K$114),IF(ISBLANK($AY498),$AX498,$AY498)*Paraméterek!$J$112))),IF($D$4="Forint",0,2))</f>
        <v>0</v>
      </c>
      <c r="BA498" s="13">
        <f ca="1">$AT498+$AV498-$AW498-IF(ROUNDDOWN(IF(ISBLANK($AY498),$AX498,$AY498),IF($D$4="Forint",0,2))&gt;$AT498+$AV498-$AW498-IF($D$4="Forint",Paraméterek!$J$114,Paraméterek!$K$114),0,ROUNDDOWN(IF(ISBLANK($AY498),$AX498,$AY498),IF($D$4="Forint",0,2))-$AZ498)</f>
        <v>0</v>
      </c>
      <c r="BB498" s="13">
        <f t="shared" ca="1" si="165"/>
        <v>0</v>
      </c>
      <c r="BD498" s="32">
        <v>479</v>
      </c>
      <c r="BE498" s="32">
        <v>40</v>
      </c>
      <c r="BF498" s="32">
        <v>11</v>
      </c>
      <c r="BG498" s="34">
        <f t="shared" ca="1" si="174"/>
        <v>2059</v>
      </c>
      <c r="BH498" s="32" t="str">
        <f ca="1">IF(MOD(MONTH($D$14)+$BD498-1,12)=Paraméterek!$C$288,"Igen","")</f>
        <v/>
      </c>
      <c r="BI498" s="13">
        <f ca="1">IF($BH498="Igen",MIN(ROUNDDOWN((SUMIF($BG$20:$BG$1027,$BG498-1,$K$20:$K$1027)-SUMIF($BG$20:$BG$1027,$BG498-1,$I$20:$I$1027))*Paraméterek!$C$289,IF($D$4="Forint",0,2)),IF($D$4="Forint",Paraméterek!$C$285,Paraméterek!$D$285)),0)</f>
        <v>0</v>
      </c>
      <c r="BJ498" s="13">
        <f t="shared" ca="1" si="166"/>
        <v>0</v>
      </c>
      <c r="BK498" s="13">
        <f t="shared" ca="1" si="175"/>
        <v>0</v>
      </c>
      <c r="BL498" s="33"/>
      <c r="BM498" s="13">
        <f t="shared" ca="1" si="167"/>
        <v>0</v>
      </c>
      <c r="BN498" s="13">
        <f ca="1">ROUNDUP(($BK498+$BM498)*VLOOKUP($BE498,Paraméterek!$P$38:$Q$38,2)/12*IF($D499="Nem",IF($M$13=0,1,$M$13),1),IF($D$4="Forint",0,2))</f>
        <v>0</v>
      </c>
      <c r="BO498" s="13">
        <f t="shared" ca="1" si="168"/>
        <v>0</v>
      </c>
      <c r="BP498" s="13">
        <f ca="1">IF($D499="Nem",$BO498,$BO498-ROUNDUP(SUM($BI$20:$BI498)*120%,IF($D$4="Forint",0,2)))</f>
        <v>0</v>
      </c>
    </row>
    <row r="499" spans="1:68" x14ac:dyDescent="0.2">
      <c r="A499" s="32">
        <v>480</v>
      </c>
      <c r="B499" s="32">
        <v>40</v>
      </c>
      <c r="C499" s="32">
        <v>12</v>
      </c>
      <c r="D499" s="32" t="str">
        <f t="shared" ca="1" si="154"/>
        <v>Nem</v>
      </c>
      <c r="E499" s="13">
        <f t="shared" ca="1" si="155"/>
        <v>0</v>
      </c>
      <c r="F499" s="13"/>
      <c r="G499" s="13"/>
      <c r="H499" s="13"/>
      <c r="I499" s="13">
        <f t="shared" ca="1" si="156"/>
        <v>0</v>
      </c>
      <c r="J499" s="13">
        <f t="shared" ca="1" si="157"/>
        <v>0</v>
      </c>
      <c r="K499" s="13">
        <f t="shared" ca="1" si="158"/>
        <v>0</v>
      </c>
      <c r="L499" s="13" t="e">
        <f ca="1">ROUNDUP(IF($D$2="Egyszeri",$E499,IF($D$2="Havi",SUM($E$20:$E$31),IF(MOD($C499,$M$1)-1=0,SUM($E$20:$E$31),0))/12*$M$1)*VLOOKUP($B499,Paraméterek!$I$28:$P$31,IF($D$2="Egyszeri",8,HLOOKUP(ROUNDUP($M$11+$M$13,0),Paraméterek!$J$26:$O$27,2))),IF($D$4="Forint",0,2))</f>
        <v>#N/A</v>
      </c>
      <c r="M499" s="13">
        <f t="shared" ca="1" si="159"/>
        <v>0</v>
      </c>
      <c r="N499" s="13">
        <f t="shared" ca="1" si="169"/>
        <v>0</v>
      </c>
      <c r="O499" s="13">
        <f ca="1">IF($D499="Igen",IF($W498&gt;=IF($D$4="Forint",Paraméterek!$J$121,Paraméterek!$K$121),0,IF($D$4="Forint",Paraméterek!$J$121,Paraméterek!$K$121)-$W498),0)</f>
        <v>0</v>
      </c>
      <c r="P499" s="13" t="e">
        <f ca="1">ROUNDUP($O499*VLOOKUP($M$4+$B499-1,Paraméterek!$H$58:$I$105,2,0)/Paraméterek!$I$56,IF($D$4="Forint",0,2))</f>
        <v>#N/A</v>
      </c>
      <c r="Q499" s="13">
        <f t="shared" ca="1" si="160"/>
        <v>0</v>
      </c>
      <c r="R499" s="33"/>
      <c r="S499" s="13" t="e">
        <f t="shared" ca="1" si="161"/>
        <v>#N/A</v>
      </c>
      <c r="T499" s="13" t="e">
        <f ca="1">ROUNDUP(($N499-$P499-$Q499+$S499)*VLOOKUP($B499,Paraméterek!$I$38:$K$39,IF($D$2="Egyszeri",3,2))/12*IF($D500="Nem",IF($M$13=0,1,$M$13),1),IF($D$4="Forint",0,2))</f>
        <v>#N/A</v>
      </c>
      <c r="U499" s="13">
        <f>Tranzakciók!$F$71</f>
        <v>0</v>
      </c>
      <c r="V499" s="13"/>
      <c r="W499" s="13" t="e">
        <f ca="1">$N499-$P499-$Q499+$S499-$T499-IF(ROUNDUP(IF(ISBLANK($V499),$U499*0,$V499)/IF($D$2="Egyszeri",VLOOKUP($B499+IF($C499=12,1,0),Paraméterek!$V$257:$W$262,2),IF($B499=1,1,VLOOKUP($B499+IF($C499=12,1,0),Paraméterek!$I$258:$T$278,HLOOKUP($M$11+1,Paraméterek!$J$256:$T$257,2)))),IF($D$4="Forint",0,2))&gt;$N499-$P499-$Q499+$S499-$T499-IF($D$4="Forint",Paraméterek!$C$216,Paraméterek!$D$216),0,ROUNDUP(IF(ISBLANK($V499),$U499*0,$V499)/IF($D$2="Egyszeri",VLOOKUP($B499+IF($C499=12,1,0),Paraméterek!$V$257:$W$262,2),IF($B499=1,1,VLOOKUP($B499+IF($C499=12,1,0),Paraméterek!$I$258:$T$278,HLOOKUP($M$11+1,Paraméterek!$J$256:$T$257,2)))),IF($D$4="Forint",0,2)))</f>
        <v>#N/A</v>
      </c>
      <c r="X499" s="13" t="e">
        <f ca="1">ROUNDDOWN($W499*IF($D$2="Egyszeri",VLOOKUP($B499+IF($C499=12,1,0),Paraméterek!$V$257:$W$262,2),VLOOKUP($B499+IF($C499=12,1,0),Paraméterek!$I$258:$T$278,HLOOKUP($M$11+1,Paraméterek!$I$256:$T$257,2))),IF($D$4="Forint",0,2))</f>
        <v>#N/A</v>
      </c>
      <c r="Z499" s="32">
        <v>480</v>
      </c>
      <c r="AA499" s="32">
        <v>40</v>
      </c>
      <c r="AB499" s="32">
        <v>12</v>
      </c>
      <c r="AC499" s="13">
        <f t="shared" ca="1" si="170"/>
        <v>0</v>
      </c>
      <c r="AD499" s="33"/>
      <c r="AE499" s="13">
        <f t="shared" ca="1" si="162"/>
        <v>0</v>
      </c>
      <c r="AF499" s="13">
        <f ca="1">ROUNDUP(($AC499+$AE499)*VLOOKUP($AA499,Paraméterek!$P$38:$Q$38,2)/12*IF($D500="Nem",IF($M$13=0,1,$M$13),1),IF($D$4="Forint",0,2))</f>
        <v>0</v>
      </c>
      <c r="AG499" s="13" t="e">
        <f ca="1">IF($D$2="Egyszeri",IF($D$7&gt;=IF($D$4="Forint",Paraméterek!$P$223,Paraméterek!$P$224),$D$7-IF($D$4="Forint",Paraméterek!$P$223,Paraméterek!$P$224),0),MIN(IF($AB499=12,AVERAGEIF($E$20:$E499,"&gt;0",$E$20:$E499)*12,0),SUM($E$20:$E$31)))</f>
        <v>#DIV/0!</v>
      </c>
      <c r="AH499" s="13">
        <f>IF($AA499=10,$AG499*IF($AB499=12,IF($AG499&lt;IF($D$4="Forint",Paraméterek!$L$223,Paraméterek!$L$224),0,VLOOKUP($AA499,Paraméterek!$K$226:$M$228,IF($AG499&lt;IF($D$4="Forint",Paraméterek!$M$223,Paraméterek!$M$224),2,3))),0),0)</f>
        <v>0</v>
      </c>
      <c r="AI499" s="13">
        <f ca="1">IF(AND($AA499=$M$11+1,$AB499=$M$12+1),SUMIF($AA$20:$AA$1027,$AA499,$AG$20:$AG$1027)*IF(SUMIF($AA$20:$AA$1027,$AA499,$AG$20:$AG$1027)&lt;IF($D$4="Forint",Paraméterek!$L$223,Paraméterek!$L$224),0,VLOOKUP($AA499,Paraméterek!$K$230:$M$250,IF(SUMIF($AA$20:$AA$1027,$AA499,$AG$20:$AG$1027)&lt;IF($D$4="Forint",Paraméterek!$M$223,Paraméterek!$M$224),2,3))),0)</f>
        <v>0</v>
      </c>
      <c r="AJ499" s="13" t="e">
        <f ca="1">IF(AND($AA499&gt;=5,MOD($AA499,5)=0),IF($AB499=12,VLOOKUP($AA499,Paraméterek!$O$225:$P$240,2),0),IF(OR($AA499=3,$AA499=4),IF($AB499=12,VLOOKUP($AA499,Paraméterek!$O$225:$P$240,2,0),0),0))*$AG499</f>
        <v>#DIV/0!</v>
      </c>
      <c r="AK499" s="13">
        <f t="shared" ca="1" si="163"/>
        <v>0</v>
      </c>
      <c r="AL499" s="13">
        <f t="shared" ca="1" si="171"/>
        <v>0</v>
      </c>
      <c r="AM499" s="13">
        <f t="shared" ca="1" si="172"/>
        <v>0</v>
      </c>
      <c r="AO499" s="32">
        <v>480</v>
      </c>
      <c r="AP499" s="32">
        <v>40</v>
      </c>
      <c r="AQ499" s="32">
        <v>12</v>
      </c>
      <c r="AR499" s="13"/>
      <c r="AS499" s="32"/>
      <c r="AT499" s="13">
        <f t="shared" ca="1" si="173"/>
        <v>0</v>
      </c>
      <c r="AU499" s="33"/>
      <c r="AV499" s="13">
        <f t="shared" ca="1" si="164"/>
        <v>0</v>
      </c>
      <c r="AW499" s="13">
        <f ca="1">ROUNDUP(($AT499+$AV499)*VLOOKUP($AP499,Paraméterek!$P$38:$Q$38,2)/12*IF($D500="Nem",IF($M$13=0,1,$M$13),1),IF($D$4="Forint",0,2))</f>
        <v>0</v>
      </c>
      <c r="AX499" s="13">
        <f>Tranzakciók!$M$71</f>
        <v>0</v>
      </c>
      <c r="AY499" s="13"/>
      <c r="AZ499" s="13">
        <f>ROUNDUP(IF(SUM($AX499:$AY499)=0,0,IF(IF(ISBLANK($AY499),$AX499,$AY499)*Paraméterek!$J$112&lt;IF($D$4="Forint",Paraméterek!$J$113,Paraméterek!$K$113),IF($D$4="Forint",Paraméterek!$J$113,Paraméterek!$K$113),IF(IF(ISBLANK($AY499),$AX499,$AY499)*Paraméterek!$J$112&gt;IF($D$4="Forint",Paraméterek!$J$114,Paraméterek!$K$114),IF($D$4="Forint",Paraméterek!$J$114,Paraméterek!$K$114),IF(ISBLANK($AY499),$AX499,$AY499)*Paraméterek!$J$112))),IF($D$4="Forint",0,2))</f>
        <v>0</v>
      </c>
      <c r="BA499" s="13">
        <f ca="1">$AT499+$AV499-$AW499-IF(ROUNDDOWN(IF(ISBLANK($AY499),$AX499,$AY499),IF($D$4="Forint",0,2))&gt;$AT499+$AV499-$AW499-IF($D$4="Forint",Paraméterek!$J$114,Paraméterek!$K$114),0,ROUNDDOWN(IF(ISBLANK($AY499),$AX499,$AY499),IF($D$4="Forint",0,2))-$AZ499)</f>
        <v>0</v>
      </c>
      <c r="BB499" s="13">
        <f t="shared" ca="1" si="165"/>
        <v>0</v>
      </c>
      <c r="BD499" s="32">
        <v>480</v>
      </c>
      <c r="BE499" s="32">
        <v>40</v>
      </c>
      <c r="BF499" s="32">
        <v>12</v>
      </c>
      <c r="BG499" s="34">
        <f t="shared" ca="1" si="174"/>
        <v>2059</v>
      </c>
      <c r="BH499" s="32" t="str">
        <f ca="1">IF(MOD(MONTH($D$14)+$BD499-1,12)=Paraméterek!$C$288,"Igen","")</f>
        <v/>
      </c>
      <c r="BI499" s="13">
        <f ca="1">IF($BH499="Igen",MIN(ROUNDDOWN((SUMIF($BG$20:$BG$1027,$BG499-1,$K$20:$K$1027)-SUMIF($BG$20:$BG$1027,$BG499-1,$I$20:$I$1027))*Paraméterek!$C$289,IF($D$4="Forint",0,2)),IF($D$4="Forint",Paraméterek!$C$285,Paraméterek!$D$285)),0)</f>
        <v>0</v>
      </c>
      <c r="BJ499" s="13">
        <f t="shared" ca="1" si="166"/>
        <v>0</v>
      </c>
      <c r="BK499" s="13">
        <f t="shared" ca="1" si="175"/>
        <v>0</v>
      </c>
      <c r="BL499" s="33"/>
      <c r="BM499" s="13">
        <f t="shared" ca="1" si="167"/>
        <v>0</v>
      </c>
      <c r="BN499" s="13">
        <f ca="1">ROUNDUP(($BK499+$BM499)*VLOOKUP($BE499,Paraméterek!$P$38:$Q$38,2)/12*IF($D500="Nem",IF($M$13=0,1,$M$13),1),IF($D$4="Forint",0,2))</f>
        <v>0</v>
      </c>
      <c r="BO499" s="13">
        <f t="shared" ca="1" si="168"/>
        <v>0</v>
      </c>
      <c r="BP499" s="13">
        <f ca="1">IF($D500="Nem",$BO499,$BO499-ROUNDUP(SUM($BI$20:$BI499)*120%,IF($D$4="Forint",0,2)))</f>
        <v>0</v>
      </c>
    </row>
    <row r="500" spans="1:68" x14ac:dyDescent="0.2">
      <c r="A500" s="32">
        <v>481</v>
      </c>
      <c r="B500" s="32">
        <v>41</v>
      </c>
      <c r="C500" s="32">
        <v>1</v>
      </c>
      <c r="D500" s="32" t="str">
        <f t="shared" ca="1" si="154"/>
        <v>Nem</v>
      </c>
      <c r="E500" s="13">
        <f t="shared" ca="1" si="155"/>
        <v>0</v>
      </c>
      <c r="F500" s="13"/>
      <c r="G500" s="13">
        <f>Tranzakciók!$D$72</f>
        <v>0</v>
      </c>
      <c r="H500" s="13"/>
      <c r="I500" s="13">
        <f t="shared" ca="1" si="156"/>
        <v>0</v>
      </c>
      <c r="J500" s="13">
        <f t="shared" ca="1" si="157"/>
        <v>0</v>
      </c>
      <c r="K500" s="13">
        <f t="shared" ca="1" si="158"/>
        <v>0</v>
      </c>
      <c r="L500" s="13" t="e">
        <f ca="1">ROUNDUP(IF($D$2="Egyszeri",$E500,IF($D$2="Havi",SUM($E$20:$E$31),IF(MOD($C500,$M$1)-1=0,SUM($E$20:$E$31),0))/12*$M$1)*VLOOKUP($B500,Paraméterek!$I$28:$P$31,IF($D$2="Egyszeri",8,HLOOKUP(ROUNDUP($M$11+$M$13,0),Paraméterek!$J$26:$O$27,2))),IF($D$4="Forint",0,2))</f>
        <v>#N/A</v>
      </c>
      <c r="M500" s="13">
        <f t="shared" ca="1" si="159"/>
        <v>0</v>
      </c>
      <c r="N500" s="13">
        <f t="shared" ca="1" si="169"/>
        <v>0</v>
      </c>
      <c r="O500" s="13">
        <f ca="1">IF($D500="Igen",IF($W499&gt;=IF($D$4="Forint",Paraméterek!$J$121,Paraméterek!$K$121),0,IF($D$4="Forint",Paraméterek!$J$121,Paraméterek!$K$121)-$W499),0)</f>
        <v>0</v>
      </c>
      <c r="P500" s="13" t="e">
        <f ca="1">ROUNDUP($O500*VLOOKUP($M$4+$B500-1,Paraméterek!$H$58:$I$105,2,0)/Paraméterek!$I$56,IF($D$4="Forint",0,2))</f>
        <v>#N/A</v>
      </c>
      <c r="Q500" s="13">
        <f t="shared" ca="1" si="160"/>
        <v>0</v>
      </c>
      <c r="R500" s="33"/>
      <c r="S500" s="13" t="e">
        <f t="shared" ca="1" si="161"/>
        <v>#N/A</v>
      </c>
      <c r="T500" s="13" t="e">
        <f ca="1">ROUNDUP(($N500-$P500-$Q500+$S500)*VLOOKUP($B500,Paraméterek!$I$38:$K$39,IF($D$2="Egyszeri",3,2))/12*IF($D501="Nem",IF($M$13=0,1,$M$13),1),IF($D$4="Forint",0,2))</f>
        <v>#N/A</v>
      </c>
      <c r="U500" s="13"/>
      <c r="V500" s="13"/>
      <c r="W500" s="13" t="e">
        <f ca="1">$N500-$P500-$Q500+$S500-$T500-IF(ROUNDUP(IF(ISBLANK($V500),$U500*0,$V500)/IF($D$2="Egyszeri",VLOOKUP($B500+IF($C500=12,1,0),Paraméterek!$V$257:$W$262,2),IF($B500=1,1,VLOOKUP($B500+IF($C500=12,1,0),Paraméterek!$I$258:$T$278,HLOOKUP($M$11+1,Paraméterek!$J$256:$T$257,2)))),IF($D$4="Forint",0,2))&gt;$N500-$P500-$Q500+$S500-$T500-IF($D$4="Forint",Paraméterek!$C$216,Paraméterek!$D$216),0,ROUNDUP(IF(ISBLANK($V500),$U500*0,$V500)/IF($D$2="Egyszeri",VLOOKUP($B500+IF($C500=12,1,0),Paraméterek!$V$257:$W$262,2),IF($B500=1,1,VLOOKUP($B500+IF($C500=12,1,0),Paraméterek!$I$258:$T$278,HLOOKUP($M$11+1,Paraméterek!$J$256:$T$257,2)))),IF($D$4="Forint",0,2)))</f>
        <v>#N/A</v>
      </c>
      <c r="X500" s="13" t="e">
        <f ca="1">ROUNDDOWN($W500*IF($D$2="Egyszeri",VLOOKUP($B500+IF($C500=12,1,0),Paraméterek!$V$257:$W$262,2),VLOOKUP($B500+IF($C500=12,1,0),Paraméterek!$I$258:$T$278,HLOOKUP($M$11+1,Paraméterek!$I$256:$T$257,2))),IF($D$4="Forint",0,2))</f>
        <v>#N/A</v>
      </c>
      <c r="Z500" s="32">
        <v>481</v>
      </c>
      <c r="AA500" s="32">
        <v>41</v>
      </c>
      <c r="AB500" s="32">
        <v>1</v>
      </c>
      <c r="AC500" s="13">
        <f t="shared" ca="1" si="170"/>
        <v>0</v>
      </c>
      <c r="AD500" s="33"/>
      <c r="AE500" s="13">
        <f t="shared" ca="1" si="162"/>
        <v>0</v>
      </c>
      <c r="AF500" s="13">
        <f ca="1">ROUNDUP(($AC500+$AE500)*VLOOKUP($AA500,Paraméterek!$P$38:$Q$38,2)/12*IF($D501="Nem",IF($M$13=0,1,$M$13),1),IF($D$4="Forint",0,2))</f>
        <v>0</v>
      </c>
      <c r="AG500" s="13">
        <f ca="1">IF($D$2="Egyszeri",IF($D$7&gt;=IF($D$4="Forint",Paraméterek!$P$223,Paraméterek!$P$224),$D$7-IF($D$4="Forint",Paraméterek!$P$223,Paraméterek!$P$224),0),MIN(IF($AB500=12,AVERAGEIF($E$20:$E500,"&gt;0",$E$20:$E500)*12,0),SUM($E$20:$E$31)))</f>
        <v>0</v>
      </c>
      <c r="AH500" s="13">
        <f>IF($AA500=10,$AG500*IF($AB500=12,IF($AG500&lt;IF($D$4="Forint",Paraméterek!$L$223,Paraméterek!$L$224),0,VLOOKUP($AA500,Paraméterek!$K$226:$M$228,IF($AG500&lt;IF($D$4="Forint",Paraméterek!$M$223,Paraméterek!$M$224),2,3))),0),0)</f>
        <v>0</v>
      </c>
      <c r="AI500" s="13">
        <f ca="1">IF(AND($AA500=$M$11+1,$AB500=$M$12+1),SUMIF($AA$20:$AA$1027,$AA500,$AG$20:$AG$1027)*IF(SUMIF($AA$20:$AA$1027,$AA500,$AG$20:$AG$1027)&lt;IF($D$4="Forint",Paraméterek!$L$223,Paraméterek!$L$224),0,VLOOKUP($AA500,Paraméterek!$K$230:$M$250,IF(SUMIF($AA$20:$AA$1027,$AA500,$AG$20:$AG$1027)&lt;IF($D$4="Forint",Paraméterek!$M$223,Paraméterek!$M$224),2,3))),0)</f>
        <v>0</v>
      </c>
      <c r="AJ500" s="13">
        <f ca="1">IF(AND($AA500&gt;=5,MOD($AA500,5)=0),IF($AB500=12,VLOOKUP($AA500,Paraméterek!$O$225:$P$240,2),0),IF(OR($AA500=3,$AA500=4),IF($AB500=12,VLOOKUP($AA500,Paraméterek!$O$225:$P$240,2,0),0),0))*$AG500</f>
        <v>0</v>
      </c>
      <c r="AK500" s="13">
        <f t="shared" ca="1" si="163"/>
        <v>0</v>
      </c>
      <c r="AL500" s="13">
        <f t="shared" ca="1" si="171"/>
        <v>0</v>
      </c>
      <c r="AM500" s="13">
        <f t="shared" ca="1" si="172"/>
        <v>0</v>
      </c>
      <c r="AO500" s="32">
        <v>481</v>
      </c>
      <c r="AP500" s="32">
        <v>41</v>
      </c>
      <c r="AQ500" s="32">
        <v>1</v>
      </c>
      <c r="AR500" s="13">
        <f>Tranzakciók!$K$72</f>
        <v>0</v>
      </c>
      <c r="AS500" s="32"/>
      <c r="AT500" s="13">
        <f t="shared" ca="1" si="173"/>
        <v>0</v>
      </c>
      <c r="AU500" s="33"/>
      <c r="AV500" s="13">
        <f t="shared" ca="1" si="164"/>
        <v>0</v>
      </c>
      <c r="AW500" s="13">
        <f ca="1">ROUNDUP(($AT500+$AV500)*VLOOKUP($AP500,Paraméterek!$P$38:$Q$38,2)/12*IF($D501="Nem",IF($M$13=0,1,$M$13),1),IF($D$4="Forint",0,2))</f>
        <v>0</v>
      </c>
      <c r="AX500" s="13"/>
      <c r="AY500" s="13"/>
      <c r="AZ500" s="13">
        <f>ROUNDUP(IF(SUM($AX500:$AY500)=0,0,IF(IF(ISBLANK($AY500),$AX500,$AY500)*Paraméterek!$J$112&lt;IF($D$4="Forint",Paraméterek!$J$113,Paraméterek!$K$113),IF($D$4="Forint",Paraméterek!$J$113,Paraméterek!$K$113),IF(IF(ISBLANK($AY500),$AX500,$AY500)*Paraméterek!$J$112&gt;IF($D$4="Forint",Paraméterek!$J$114,Paraméterek!$K$114),IF($D$4="Forint",Paraméterek!$J$114,Paraméterek!$K$114),IF(ISBLANK($AY500),$AX500,$AY500)*Paraméterek!$J$112))),IF($D$4="Forint",0,2))</f>
        <v>0</v>
      </c>
      <c r="BA500" s="13">
        <f ca="1">$AT500+$AV500-$AW500-IF(ROUNDDOWN(IF(ISBLANK($AY500),$AX500,$AY500),IF($D$4="Forint",0,2))&gt;$AT500+$AV500-$AW500-IF($D$4="Forint",Paraméterek!$J$114,Paraméterek!$K$114),0,ROUNDDOWN(IF(ISBLANK($AY500),$AX500,$AY500),IF($D$4="Forint",0,2))-$AZ500)</f>
        <v>0</v>
      </c>
      <c r="BB500" s="13">
        <f t="shared" ca="1" si="165"/>
        <v>0</v>
      </c>
      <c r="BD500" s="32">
        <v>481</v>
      </c>
      <c r="BE500" s="32">
        <v>41</v>
      </c>
      <c r="BF500" s="32">
        <v>1</v>
      </c>
      <c r="BG500" s="34">
        <f t="shared" ca="1" si="174"/>
        <v>2059</v>
      </c>
      <c r="BH500" s="32" t="str">
        <f ca="1">IF(MOD(MONTH($D$14)+$BD500-1,12)=Paraméterek!$C$288,"Igen","")</f>
        <v/>
      </c>
      <c r="BI500" s="13">
        <f ca="1">IF($BH500="Igen",MIN(ROUNDDOWN((SUMIF($BG$20:$BG$1027,$BG500-1,$K$20:$K$1027)-SUMIF($BG$20:$BG$1027,$BG500-1,$I$20:$I$1027))*Paraméterek!$C$289,IF($D$4="Forint",0,2)),IF($D$4="Forint",Paraméterek!$C$285,Paraméterek!$D$285)),0)</f>
        <v>0</v>
      </c>
      <c r="BJ500" s="13">
        <f t="shared" ca="1" si="166"/>
        <v>0</v>
      </c>
      <c r="BK500" s="13">
        <f t="shared" ca="1" si="175"/>
        <v>0</v>
      </c>
      <c r="BL500" s="33"/>
      <c r="BM500" s="13">
        <f t="shared" ca="1" si="167"/>
        <v>0</v>
      </c>
      <c r="BN500" s="13">
        <f ca="1">ROUNDUP(($BK500+$BM500)*VLOOKUP($BE500,Paraméterek!$P$38:$Q$38,2)/12*IF($D501="Nem",IF($M$13=0,1,$M$13),1),IF($D$4="Forint",0,2))</f>
        <v>0</v>
      </c>
      <c r="BO500" s="13">
        <f t="shared" ca="1" si="168"/>
        <v>0</v>
      </c>
      <c r="BP500" s="13">
        <f ca="1">IF($D501="Nem",$BO500,$BO500-ROUNDUP(SUM($BI$20:$BI500)*120%,IF($D$4="Forint",0,2)))</f>
        <v>0</v>
      </c>
    </row>
    <row r="501" spans="1:68" x14ac:dyDescent="0.2">
      <c r="A501" s="32">
        <v>482</v>
      </c>
      <c r="B501" s="32">
        <v>41</v>
      </c>
      <c r="C501" s="32">
        <v>2</v>
      </c>
      <c r="D501" s="32" t="str">
        <f t="shared" ca="1" si="154"/>
        <v>Nem</v>
      </c>
      <c r="E501" s="13">
        <f t="shared" ca="1" si="155"/>
        <v>0</v>
      </c>
      <c r="F501" s="13"/>
      <c r="G501" s="13"/>
      <c r="H501" s="13"/>
      <c r="I501" s="13">
        <f t="shared" ca="1" si="156"/>
        <v>0</v>
      </c>
      <c r="J501" s="13">
        <f t="shared" ca="1" si="157"/>
        <v>0</v>
      </c>
      <c r="K501" s="13">
        <f t="shared" ca="1" si="158"/>
        <v>0</v>
      </c>
      <c r="L501" s="13" t="e">
        <f ca="1">ROUNDUP(IF($D$2="Egyszeri",$E501,IF($D$2="Havi",SUM($E$20:$E$31),IF(MOD($C501,$M$1)-1=0,SUM($E$20:$E$31),0))/12*$M$1)*VLOOKUP($B501,Paraméterek!$I$28:$P$31,IF($D$2="Egyszeri",8,HLOOKUP(ROUNDUP($M$11+$M$13,0),Paraméterek!$J$26:$O$27,2))),IF($D$4="Forint",0,2))</f>
        <v>#N/A</v>
      </c>
      <c r="M501" s="13">
        <f t="shared" ca="1" si="159"/>
        <v>0</v>
      </c>
      <c r="N501" s="13">
        <f t="shared" ca="1" si="169"/>
        <v>0</v>
      </c>
      <c r="O501" s="13">
        <f ca="1">IF($D501="Igen",IF($W500&gt;=IF($D$4="Forint",Paraméterek!$J$121,Paraméterek!$K$121),0,IF($D$4="Forint",Paraméterek!$J$121,Paraméterek!$K$121)-$W500),0)</f>
        <v>0</v>
      </c>
      <c r="P501" s="13" t="e">
        <f ca="1">ROUNDUP($O501*VLOOKUP($M$4+$B501-1,Paraméterek!$H$58:$I$105,2,0)/Paraméterek!$I$56,IF($D$4="Forint",0,2))</f>
        <v>#N/A</v>
      </c>
      <c r="Q501" s="13">
        <f t="shared" ca="1" si="160"/>
        <v>0</v>
      </c>
      <c r="R501" s="33"/>
      <c r="S501" s="13" t="e">
        <f t="shared" ca="1" si="161"/>
        <v>#N/A</v>
      </c>
      <c r="T501" s="13" t="e">
        <f ca="1">ROUNDUP(($N501-$P501-$Q501+$S501)*VLOOKUP($B501,Paraméterek!$I$38:$K$39,IF($D$2="Egyszeri",3,2))/12*IF($D502="Nem",IF($M$13=0,1,$M$13),1),IF($D$4="Forint",0,2))</f>
        <v>#N/A</v>
      </c>
      <c r="U501" s="13"/>
      <c r="V501" s="13"/>
      <c r="W501" s="13" t="e">
        <f ca="1">$N501-$P501-$Q501+$S501-$T501-IF(ROUNDUP(IF(ISBLANK($V501),$U501*0,$V501)/IF($D$2="Egyszeri",VLOOKUP($B501+IF($C501=12,1,0),Paraméterek!$V$257:$W$262,2),IF($B501=1,1,VLOOKUP($B501+IF($C501=12,1,0),Paraméterek!$I$258:$T$278,HLOOKUP($M$11+1,Paraméterek!$J$256:$T$257,2)))),IF($D$4="Forint",0,2))&gt;$N501-$P501-$Q501+$S501-$T501-IF($D$4="Forint",Paraméterek!$C$216,Paraméterek!$D$216),0,ROUNDUP(IF(ISBLANK($V501),$U501*0,$V501)/IF($D$2="Egyszeri",VLOOKUP($B501+IF($C501=12,1,0),Paraméterek!$V$257:$W$262,2),IF($B501=1,1,VLOOKUP($B501+IF($C501=12,1,0),Paraméterek!$I$258:$T$278,HLOOKUP($M$11+1,Paraméterek!$J$256:$T$257,2)))),IF($D$4="Forint",0,2)))</f>
        <v>#N/A</v>
      </c>
      <c r="X501" s="13" t="e">
        <f ca="1">ROUNDDOWN($W501*IF($D$2="Egyszeri",VLOOKUP($B501+IF($C501=12,1,0),Paraméterek!$V$257:$W$262,2),VLOOKUP($B501+IF($C501=12,1,0),Paraméterek!$I$258:$T$278,HLOOKUP($M$11+1,Paraméterek!$I$256:$T$257,2))),IF($D$4="Forint",0,2))</f>
        <v>#N/A</v>
      </c>
      <c r="Z501" s="32">
        <v>482</v>
      </c>
      <c r="AA501" s="32">
        <v>41</v>
      </c>
      <c r="AB501" s="32">
        <v>2</v>
      </c>
      <c r="AC501" s="13">
        <f t="shared" ca="1" si="170"/>
        <v>0</v>
      </c>
      <c r="AD501" s="33"/>
      <c r="AE501" s="13">
        <f t="shared" ca="1" si="162"/>
        <v>0</v>
      </c>
      <c r="AF501" s="13">
        <f ca="1">ROUNDUP(($AC501+$AE501)*VLOOKUP($AA501,Paraméterek!$P$38:$Q$38,2)/12*IF($D502="Nem",IF($M$13=0,1,$M$13),1),IF($D$4="Forint",0,2))</f>
        <v>0</v>
      </c>
      <c r="AG501" s="13">
        <f ca="1">IF($D$2="Egyszeri",IF($D$7&gt;=IF($D$4="Forint",Paraméterek!$P$223,Paraméterek!$P$224),$D$7-IF($D$4="Forint",Paraméterek!$P$223,Paraméterek!$P$224),0),MIN(IF($AB501=12,AVERAGEIF($E$20:$E501,"&gt;0",$E$20:$E501)*12,0),SUM($E$20:$E$31)))</f>
        <v>0</v>
      </c>
      <c r="AH501" s="13">
        <f>IF($AA501=10,$AG501*IF($AB501=12,IF($AG501&lt;IF($D$4="Forint",Paraméterek!$L$223,Paraméterek!$L$224),0,VLOOKUP($AA501,Paraméterek!$K$226:$M$228,IF($AG501&lt;IF($D$4="Forint",Paraméterek!$M$223,Paraméterek!$M$224),2,3))),0),0)</f>
        <v>0</v>
      </c>
      <c r="AI501" s="13">
        <f ca="1">IF(AND($AA501=$M$11+1,$AB501=$M$12+1),SUMIF($AA$20:$AA$1027,$AA501,$AG$20:$AG$1027)*IF(SUMIF($AA$20:$AA$1027,$AA501,$AG$20:$AG$1027)&lt;IF($D$4="Forint",Paraméterek!$L$223,Paraméterek!$L$224),0,VLOOKUP($AA501,Paraméterek!$K$230:$M$250,IF(SUMIF($AA$20:$AA$1027,$AA501,$AG$20:$AG$1027)&lt;IF($D$4="Forint",Paraméterek!$M$223,Paraméterek!$M$224),2,3))),0)</f>
        <v>0</v>
      </c>
      <c r="AJ501" s="13">
        <f ca="1">IF(AND($AA501&gt;=5,MOD($AA501,5)=0),IF($AB501=12,VLOOKUP($AA501,Paraméterek!$O$225:$P$240,2),0),IF(OR($AA501=3,$AA501=4),IF($AB501=12,VLOOKUP($AA501,Paraméterek!$O$225:$P$240,2,0),0),0))*$AG501</f>
        <v>0</v>
      </c>
      <c r="AK501" s="13">
        <f t="shared" ca="1" si="163"/>
        <v>0</v>
      </c>
      <c r="AL501" s="13">
        <f t="shared" ca="1" si="171"/>
        <v>0</v>
      </c>
      <c r="AM501" s="13">
        <f t="shared" ca="1" si="172"/>
        <v>0</v>
      </c>
      <c r="AO501" s="32">
        <v>482</v>
      </c>
      <c r="AP501" s="32">
        <v>41</v>
      </c>
      <c r="AQ501" s="32">
        <v>2</v>
      </c>
      <c r="AR501" s="13"/>
      <c r="AS501" s="32"/>
      <c r="AT501" s="13">
        <f t="shared" ca="1" si="173"/>
        <v>0</v>
      </c>
      <c r="AU501" s="33"/>
      <c r="AV501" s="13">
        <f t="shared" ca="1" si="164"/>
        <v>0</v>
      </c>
      <c r="AW501" s="13">
        <f ca="1">ROUNDUP(($AT501+$AV501)*VLOOKUP($AP501,Paraméterek!$P$38:$Q$38,2)/12*IF($D502="Nem",IF($M$13=0,1,$M$13),1),IF($D$4="Forint",0,2))</f>
        <v>0</v>
      </c>
      <c r="AX501" s="13"/>
      <c r="AY501" s="13"/>
      <c r="AZ501" s="13">
        <f>ROUNDUP(IF(SUM($AX501:$AY501)=0,0,IF(IF(ISBLANK($AY501),$AX501,$AY501)*Paraméterek!$J$112&lt;IF($D$4="Forint",Paraméterek!$J$113,Paraméterek!$K$113),IF($D$4="Forint",Paraméterek!$J$113,Paraméterek!$K$113),IF(IF(ISBLANK($AY501),$AX501,$AY501)*Paraméterek!$J$112&gt;IF($D$4="Forint",Paraméterek!$J$114,Paraméterek!$K$114),IF($D$4="Forint",Paraméterek!$J$114,Paraméterek!$K$114),IF(ISBLANK($AY501),$AX501,$AY501)*Paraméterek!$J$112))),IF($D$4="Forint",0,2))</f>
        <v>0</v>
      </c>
      <c r="BA501" s="13">
        <f ca="1">$AT501+$AV501-$AW501-IF(ROUNDDOWN(IF(ISBLANK($AY501),$AX501,$AY501),IF($D$4="Forint",0,2))&gt;$AT501+$AV501-$AW501-IF($D$4="Forint",Paraméterek!$J$114,Paraméterek!$K$114),0,ROUNDDOWN(IF(ISBLANK($AY501),$AX501,$AY501),IF($D$4="Forint",0,2))-$AZ501)</f>
        <v>0</v>
      </c>
      <c r="BB501" s="13">
        <f t="shared" ca="1" si="165"/>
        <v>0</v>
      </c>
      <c r="BD501" s="32">
        <v>482</v>
      </c>
      <c r="BE501" s="32">
        <v>41</v>
      </c>
      <c r="BF501" s="32">
        <v>2</v>
      </c>
      <c r="BG501" s="34">
        <f t="shared" ca="1" si="174"/>
        <v>2059</v>
      </c>
      <c r="BH501" s="32" t="str">
        <f ca="1">IF(MOD(MONTH($D$14)+$BD501-1,12)=Paraméterek!$C$288,"Igen","")</f>
        <v>Igen</v>
      </c>
      <c r="BI501" s="13">
        <f ca="1">IF($BH501="Igen",MIN(ROUNDDOWN((SUMIF($BG$20:$BG$1027,$BG501-1,$K$20:$K$1027)-SUMIF($BG$20:$BG$1027,$BG501-1,$I$20:$I$1027))*Paraméterek!$C$289,IF($D$4="Forint",0,2)),IF($D$4="Forint",Paraméterek!$C$285,Paraméterek!$D$285)),0)</f>
        <v>0</v>
      </c>
      <c r="BJ501" s="13">
        <f t="shared" ca="1" si="166"/>
        <v>0</v>
      </c>
      <c r="BK501" s="13">
        <f t="shared" ca="1" si="175"/>
        <v>0</v>
      </c>
      <c r="BL501" s="33"/>
      <c r="BM501" s="13">
        <f t="shared" ca="1" si="167"/>
        <v>0</v>
      </c>
      <c r="BN501" s="13">
        <f ca="1">ROUNDUP(($BK501+$BM501)*VLOOKUP($BE501,Paraméterek!$P$38:$Q$38,2)/12*IF($D502="Nem",IF($M$13=0,1,$M$13),1),IF($D$4="Forint",0,2))</f>
        <v>0</v>
      </c>
      <c r="BO501" s="13">
        <f t="shared" ca="1" si="168"/>
        <v>0</v>
      </c>
      <c r="BP501" s="13">
        <f ca="1">IF($D502="Nem",$BO501,$BO501-ROUNDUP(SUM($BI$20:$BI501)*120%,IF($D$4="Forint",0,2)))</f>
        <v>0</v>
      </c>
    </row>
    <row r="502" spans="1:68" x14ac:dyDescent="0.2">
      <c r="A502" s="32">
        <v>483</v>
      </c>
      <c r="B502" s="32">
        <v>41</v>
      </c>
      <c r="C502" s="32">
        <v>3</v>
      </c>
      <c r="D502" s="32" t="str">
        <f t="shared" ca="1" si="154"/>
        <v>Nem</v>
      </c>
      <c r="E502" s="13">
        <f t="shared" ca="1" si="155"/>
        <v>0</v>
      </c>
      <c r="F502" s="13"/>
      <c r="G502" s="13"/>
      <c r="H502" s="13"/>
      <c r="I502" s="13">
        <f t="shared" ca="1" si="156"/>
        <v>0</v>
      </c>
      <c r="J502" s="13">
        <f t="shared" ca="1" si="157"/>
        <v>0</v>
      </c>
      <c r="K502" s="13">
        <f t="shared" ca="1" si="158"/>
        <v>0</v>
      </c>
      <c r="L502" s="13" t="e">
        <f ca="1">ROUNDUP(IF($D$2="Egyszeri",$E502,IF($D$2="Havi",SUM($E$20:$E$31),IF(MOD($C502,$M$1)-1=0,SUM($E$20:$E$31),0))/12*$M$1)*VLOOKUP($B502,Paraméterek!$I$28:$P$31,IF($D$2="Egyszeri",8,HLOOKUP(ROUNDUP($M$11+$M$13,0),Paraméterek!$J$26:$O$27,2))),IF($D$4="Forint",0,2))</f>
        <v>#N/A</v>
      </c>
      <c r="M502" s="13">
        <f t="shared" ca="1" si="159"/>
        <v>0</v>
      </c>
      <c r="N502" s="13">
        <f t="shared" ca="1" si="169"/>
        <v>0</v>
      </c>
      <c r="O502" s="13">
        <f ca="1">IF($D502="Igen",IF($W501&gt;=IF($D$4="Forint",Paraméterek!$J$121,Paraméterek!$K$121),0,IF($D$4="Forint",Paraméterek!$J$121,Paraméterek!$K$121)-$W501),0)</f>
        <v>0</v>
      </c>
      <c r="P502" s="13" t="e">
        <f ca="1">ROUNDUP($O502*VLOOKUP($M$4+$B502-1,Paraméterek!$H$58:$I$105,2,0)/Paraméterek!$I$56,IF($D$4="Forint",0,2))</f>
        <v>#N/A</v>
      </c>
      <c r="Q502" s="13">
        <f t="shared" ca="1" si="160"/>
        <v>0</v>
      </c>
      <c r="R502" s="33"/>
      <c r="S502" s="13" t="e">
        <f t="shared" ca="1" si="161"/>
        <v>#N/A</v>
      </c>
      <c r="T502" s="13" t="e">
        <f ca="1">ROUNDUP(($N502-$P502-$Q502+$S502)*VLOOKUP($B502,Paraméterek!$I$38:$K$39,IF($D$2="Egyszeri",3,2))/12*IF($D503="Nem",IF($M$13=0,1,$M$13),1),IF($D$4="Forint",0,2))</f>
        <v>#N/A</v>
      </c>
      <c r="U502" s="13"/>
      <c r="V502" s="13"/>
      <c r="W502" s="13" t="e">
        <f ca="1">$N502-$P502-$Q502+$S502-$T502-IF(ROUNDUP(IF(ISBLANK($V502),$U502*0,$V502)/IF($D$2="Egyszeri",VLOOKUP($B502+IF($C502=12,1,0),Paraméterek!$V$257:$W$262,2),IF($B502=1,1,VLOOKUP($B502+IF($C502=12,1,0),Paraméterek!$I$258:$T$278,HLOOKUP($M$11+1,Paraméterek!$J$256:$T$257,2)))),IF($D$4="Forint",0,2))&gt;$N502-$P502-$Q502+$S502-$T502-IF($D$4="Forint",Paraméterek!$C$216,Paraméterek!$D$216),0,ROUNDUP(IF(ISBLANK($V502),$U502*0,$V502)/IF($D$2="Egyszeri",VLOOKUP($B502+IF($C502=12,1,0),Paraméterek!$V$257:$W$262,2),IF($B502=1,1,VLOOKUP($B502+IF($C502=12,1,0),Paraméterek!$I$258:$T$278,HLOOKUP($M$11+1,Paraméterek!$J$256:$T$257,2)))),IF($D$4="Forint",0,2)))</f>
        <v>#N/A</v>
      </c>
      <c r="X502" s="13" t="e">
        <f ca="1">ROUNDDOWN($W502*IF($D$2="Egyszeri",VLOOKUP($B502+IF($C502=12,1,0),Paraméterek!$V$257:$W$262,2),VLOOKUP($B502+IF($C502=12,1,0),Paraméterek!$I$258:$T$278,HLOOKUP($M$11+1,Paraméterek!$I$256:$T$257,2))),IF($D$4="Forint",0,2))</f>
        <v>#N/A</v>
      </c>
      <c r="Z502" s="32">
        <v>483</v>
      </c>
      <c r="AA502" s="32">
        <v>41</v>
      </c>
      <c r="AB502" s="32">
        <v>3</v>
      </c>
      <c r="AC502" s="13">
        <f t="shared" ca="1" si="170"/>
        <v>0</v>
      </c>
      <c r="AD502" s="33"/>
      <c r="AE502" s="13">
        <f t="shared" ca="1" si="162"/>
        <v>0</v>
      </c>
      <c r="AF502" s="13">
        <f ca="1">ROUNDUP(($AC502+$AE502)*VLOOKUP($AA502,Paraméterek!$P$38:$Q$38,2)/12*IF($D503="Nem",IF($M$13=0,1,$M$13),1),IF($D$4="Forint",0,2))</f>
        <v>0</v>
      </c>
      <c r="AG502" s="13">
        <f ca="1">IF($D$2="Egyszeri",IF($D$7&gt;=IF($D$4="Forint",Paraméterek!$P$223,Paraméterek!$P$224),$D$7-IF($D$4="Forint",Paraméterek!$P$223,Paraméterek!$P$224),0),MIN(IF($AB502=12,AVERAGEIF($E$20:$E502,"&gt;0",$E$20:$E502)*12,0),SUM($E$20:$E$31)))</f>
        <v>0</v>
      </c>
      <c r="AH502" s="13">
        <f>IF($AA502=10,$AG502*IF($AB502=12,IF($AG502&lt;IF($D$4="Forint",Paraméterek!$L$223,Paraméterek!$L$224),0,VLOOKUP($AA502,Paraméterek!$K$226:$M$228,IF($AG502&lt;IF($D$4="Forint",Paraméterek!$M$223,Paraméterek!$M$224),2,3))),0),0)</f>
        <v>0</v>
      </c>
      <c r="AI502" s="13">
        <f ca="1">IF(AND($AA502=$M$11+1,$AB502=$M$12+1),SUMIF($AA$20:$AA$1027,$AA502,$AG$20:$AG$1027)*IF(SUMIF($AA$20:$AA$1027,$AA502,$AG$20:$AG$1027)&lt;IF($D$4="Forint",Paraméterek!$L$223,Paraméterek!$L$224),0,VLOOKUP($AA502,Paraméterek!$K$230:$M$250,IF(SUMIF($AA$20:$AA$1027,$AA502,$AG$20:$AG$1027)&lt;IF($D$4="Forint",Paraméterek!$M$223,Paraméterek!$M$224),2,3))),0)</f>
        <v>0</v>
      </c>
      <c r="AJ502" s="13">
        <f ca="1">IF(AND($AA502&gt;=5,MOD($AA502,5)=0),IF($AB502=12,VLOOKUP($AA502,Paraméterek!$O$225:$P$240,2),0),IF(OR($AA502=3,$AA502=4),IF($AB502=12,VLOOKUP($AA502,Paraméterek!$O$225:$P$240,2,0),0),0))*$AG502</f>
        <v>0</v>
      </c>
      <c r="AK502" s="13">
        <f t="shared" ca="1" si="163"/>
        <v>0</v>
      </c>
      <c r="AL502" s="13">
        <f t="shared" ca="1" si="171"/>
        <v>0</v>
      </c>
      <c r="AM502" s="13">
        <f t="shared" ca="1" si="172"/>
        <v>0</v>
      </c>
      <c r="AO502" s="32">
        <v>483</v>
      </c>
      <c r="AP502" s="32">
        <v>41</v>
      </c>
      <c r="AQ502" s="32">
        <v>3</v>
      </c>
      <c r="AR502" s="13"/>
      <c r="AS502" s="32"/>
      <c r="AT502" s="13">
        <f t="shared" ca="1" si="173"/>
        <v>0</v>
      </c>
      <c r="AU502" s="33"/>
      <c r="AV502" s="13">
        <f t="shared" ca="1" si="164"/>
        <v>0</v>
      </c>
      <c r="AW502" s="13">
        <f ca="1">ROUNDUP(($AT502+$AV502)*VLOOKUP($AP502,Paraméterek!$P$38:$Q$38,2)/12*IF($D503="Nem",IF($M$13=0,1,$M$13),1),IF($D$4="Forint",0,2))</f>
        <v>0</v>
      </c>
      <c r="AX502" s="13"/>
      <c r="AY502" s="13"/>
      <c r="AZ502" s="13">
        <f>ROUNDUP(IF(SUM($AX502:$AY502)=0,0,IF(IF(ISBLANK($AY502),$AX502,$AY502)*Paraméterek!$J$112&lt;IF($D$4="Forint",Paraméterek!$J$113,Paraméterek!$K$113),IF($D$4="Forint",Paraméterek!$J$113,Paraméterek!$K$113),IF(IF(ISBLANK($AY502),$AX502,$AY502)*Paraméterek!$J$112&gt;IF($D$4="Forint",Paraméterek!$J$114,Paraméterek!$K$114),IF($D$4="Forint",Paraméterek!$J$114,Paraméterek!$K$114),IF(ISBLANK($AY502),$AX502,$AY502)*Paraméterek!$J$112))),IF($D$4="Forint",0,2))</f>
        <v>0</v>
      </c>
      <c r="BA502" s="13">
        <f ca="1">$AT502+$AV502-$AW502-IF(ROUNDDOWN(IF(ISBLANK($AY502),$AX502,$AY502),IF($D$4="Forint",0,2))&gt;$AT502+$AV502-$AW502-IF($D$4="Forint",Paraméterek!$J$114,Paraméterek!$K$114),0,ROUNDDOWN(IF(ISBLANK($AY502),$AX502,$AY502),IF($D$4="Forint",0,2))-$AZ502)</f>
        <v>0</v>
      </c>
      <c r="BB502" s="13">
        <f t="shared" ca="1" si="165"/>
        <v>0</v>
      </c>
      <c r="BD502" s="32">
        <v>483</v>
      </c>
      <c r="BE502" s="32">
        <v>41</v>
      </c>
      <c r="BF502" s="32">
        <v>3</v>
      </c>
      <c r="BG502" s="34">
        <f t="shared" ca="1" si="174"/>
        <v>2059</v>
      </c>
      <c r="BH502" s="32" t="str">
        <f ca="1">IF(MOD(MONTH($D$14)+$BD502-1,12)=Paraméterek!$C$288,"Igen","")</f>
        <v/>
      </c>
      <c r="BI502" s="13">
        <f ca="1">IF($BH502="Igen",MIN(ROUNDDOWN((SUMIF($BG$20:$BG$1027,$BG502-1,$K$20:$K$1027)-SUMIF($BG$20:$BG$1027,$BG502-1,$I$20:$I$1027))*Paraméterek!$C$289,IF($D$4="Forint",0,2)),IF($D$4="Forint",Paraméterek!$C$285,Paraméterek!$D$285)),0)</f>
        <v>0</v>
      </c>
      <c r="BJ502" s="13">
        <f t="shared" ca="1" si="166"/>
        <v>0</v>
      </c>
      <c r="BK502" s="13">
        <f t="shared" ca="1" si="175"/>
        <v>0</v>
      </c>
      <c r="BL502" s="33"/>
      <c r="BM502" s="13">
        <f t="shared" ca="1" si="167"/>
        <v>0</v>
      </c>
      <c r="BN502" s="13">
        <f ca="1">ROUNDUP(($BK502+$BM502)*VLOOKUP($BE502,Paraméterek!$P$38:$Q$38,2)/12*IF($D503="Nem",IF($M$13=0,1,$M$13),1),IF($D$4="Forint",0,2))</f>
        <v>0</v>
      </c>
      <c r="BO502" s="13">
        <f t="shared" ca="1" si="168"/>
        <v>0</v>
      </c>
      <c r="BP502" s="13">
        <f ca="1">IF($D503="Nem",$BO502,$BO502-ROUNDUP(SUM($BI$20:$BI502)*120%,IF($D$4="Forint",0,2)))</f>
        <v>0</v>
      </c>
    </row>
    <row r="503" spans="1:68" x14ac:dyDescent="0.2">
      <c r="A503" s="32">
        <v>484</v>
      </c>
      <c r="B503" s="32">
        <v>41</v>
      </c>
      <c r="C503" s="32">
        <v>4</v>
      </c>
      <c r="D503" s="32" t="str">
        <f t="shared" ca="1" si="154"/>
        <v>Nem</v>
      </c>
      <c r="E503" s="13">
        <f t="shared" ca="1" si="155"/>
        <v>0</v>
      </c>
      <c r="F503" s="13"/>
      <c r="G503" s="13"/>
      <c r="H503" s="13"/>
      <c r="I503" s="13">
        <f t="shared" ca="1" si="156"/>
        <v>0</v>
      </c>
      <c r="J503" s="13">
        <f t="shared" ca="1" si="157"/>
        <v>0</v>
      </c>
      <c r="K503" s="13">
        <f t="shared" ca="1" si="158"/>
        <v>0</v>
      </c>
      <c r="L503" s="13" t="e">
        <f ca="1">ROUNDUP(IF($D$2="Egyszeri",$E503,IF($D$2="Havi",SUM($E$20:$E$31),IF(MOD($C503,$M$1)-1=0,SUM($E$20:$E$31),0))/12*$M$1)*VLOOKUP($B503,Paraméterek!$I$28:$P$31,IF($D$2="Egyszeri",8,HLOOKUP(ROUNDUP($M$11+$M$13,0),Paraméterek!$J$26:$O$27,2))),IF($D$4="Forint",0,2))</f>
        <v>#N/A</v>
      </c>
      <c r="M503" s="13">
        <f t="shared" ca="1" si="159"/>
        <v>0</v>
      </c>
      <c r="N503" s="13">
        <f t="shared" ca="1" si="169"/>
        <v>0</v>
      </c>
      <c r="O503" s="13">
        <f ca="1">IF($D503="Igen",IF($W502&gt;=IF($D$4="Forint",Paraméterek!$J$121,Paraméterek!$K$121),0,IF($D$4="Forint",Paraméterek!$J$121,Paraméterek!$K$121)-$W502),0)</f>
        <v>0</v>
      </c>
      <c r="P503" s="13" t="e">
        <f ca="1">ROUNDUP($O503*VLOOKUP($M$4+$B503-1,Paraméterek!$H$58:$I$105,2,0)/Paraméterek!$I$56,IF($D$4="Forint",0,2))</f>
        <v>#N/A</v>
      </c>
      <c r="Q503" s="13">
        <f t="shared" ca="1" si="160"/>
        <v>0</v>
      </c>
      <c r="R503" s="33"/>
      <c r="S503" s="13" t="e">
        <f t="shared" ca="1" si="161"/>
        <v>#N/A</v>
      </c>
      <c r="T503" s="13" t="e">
        <f ca="1">ROUNDUP(($N503-$P503-$Q503+$S503)*VLOOKUP($B503,Paraméterek!$I$38:$K$39,IF($D$2="Egyszeri",3,2))/12*IF($D504="Nem",IF($M$13=0,1,$M$13),1),IF($D$4="Forint",0,2))</f>
        <v>#N/A</v>
      </c>
      <c r="U503" s="13"/>
      <c r="V503" s="13"/>
      <c r="W503" s="13" t="e">
        <f ca="1">$N503-$P503-$Q503+$S503-$T503-IF(ROUNDUP(IF(ISBLANK($V503),$U503*0,$V503)/IF($D$2="Egyszeri",VLOOKUP($B503+IF($C503=12,1,0),Paraméterek!$V$257:$W$262,2),IF($B503=1,1,VLOOKUP($B503+IF($C503=12,1,0),Paraméterek!$I$258:$T$278,HLOOKUP($M$11+1,Paraméterek!$J$256:$T$257,2)))),IF($D$4="Forint",0,2))&gt;$N503-$P503-$Q503+$S503-$T503-IF($D$4="Forint",Paraméterek!$C$216,Paraméterek!$D$216),0,ROUNDUP(IF(ISBLANK($V503),$U503*0,$V503)/IF($D$2="Egyszeri",VLOOKUP($B503+IF($C503=12,1,0),Paraméterek!$V$257:$W$262,2),IF($B503=1,1,VLOOKUP($B503+IF($C503=12,1,0),Paraméterek!$I$258:$T$278,HLOOKUP($M$11+1,Paraméterek!$J$256:$T$257,2)))),IF($D$4="Forint",0,2)))</f>
        <v>#N/A</v>
      </c>
      <c r="X503" s="13" t="e">
        <f ca="1">ROUNDDOWN($W503*IF($D$2="Egyszeri",VLOOKUP($B503+IF($C503=12,1,0),Paraméterek!$V$257:$W$262,2),VLOOKUP($B503+IF($C503=12,1,0),Paraméterek!$I$258:$T$278,HLOOKUP($M$11+1,Paraméterek!$I$256:$T$257,2))),IF($D$4="Forint",0,2))</f>
        <v>#N/A</v>
      </c>
      <c r="Z503" s="32">
        <v>484</v>
      </c>
      <c r="AA503" s="32">
        <v>41</v>
      </c>
      <c r="AB503" s="32">
        <v>4</v>
      </c>
      <c r="AC503" s="13">
        <f t="shared" ca="1" si="170"/>
        <v>0</v>
      </c>
      <c r="AD503" s="33"/>
      <c r="AE503" s="13">
        <f t="shared" ca="1" si="162"/>
        <v>0</v>
      </c>
      <c r="AF503" s="13">
        <f ca="1">ROUNDUP(($AC503+$AE503)*VLOOKUP($AA503,Paraméterek!$P$38:$Q$38,2)/12*IF($D504="Nem",IF($M$13=0,1,$M$13),1),IF($D$4="Forint",0,2))</f>
        <v>0</v>
      </c>
      <c r="AG503" s="13">
        <f ca="1">IF($D$2="Egyszeri",IF($D$7&gt;=IF($D$4="Forint",Paraméterek!$P$223,Paraméterek!$P$224),$D$7-IF($D$4="Forint",Paraméterek!$P$223,Paraméterek!$P$224),0),MIN(IF($AB503=12,AVERAGEIF($E$20:$E503,"&gt;0",$E$20:$E503)*12,0),SUM($E$20:$E$31)))</f>
        <v>0</v>
      </c>
      <c r="AH503" s="13">
        <f>IF($AA503=10,$AG503*IF($AB503=12,IF($AG503&lt;IF($D$4="Forint",Paraméterek!$L$223,Paraméterek!$L$224),0,VLOOKUP($AA503,Paraméterek!$K$226:$M$228,IF($AG503&lt;IF($D$4="Forint",Paraméterek!$M$223,Paraméterek!$M$224),2,3))),0),0)</f>
        <v>0</v>
      </c>
      <c r="AI503" s="13">
        <f ca="1">IF(AND($AA503=$M$11+1,$AB503=$M$12+1),SUMIF($AA$20:$AA$1027,$AA503,$AG$20:$AG$1027)*IF(SUMIF($AA$20:$AA$1027,$AA503,$AG$20:$AG$1027)&lt;IF($D$4="Forint",Paraméterek!$L$223,Paraméterek!$L$224),0,VLOOKUP($AA503,Paraméterek!$K$230:$M$250,IF(SUMIF($AA$20:$AA$1027,$AA503,$AG$20:$AG$1027)&lt;IF($D$4="Forint",Paraméterek!$M$223,Paraméterek!$M$224),2,3))),0)</f>
        <v>0</v>
      </c>
      <c r="AJ503" s="13">
        <f ca="1">IF(AND($AA503&gt;=5,MOD($AA503,5)=0),IF($AB503=12,VLOOKUP($AA503,Paraméterek!$O$225:$P$240,2),0),IF(OR($AA503=3,$AA503=4),IF($AB503=12,VLOOKUP($AA503,Paraméterek!$O$225:$P$240,2,0),0),0))*$AG503</f>
        <v>0</v>
      </c>
      <c r="AK503" s="13">
        <f t="shared" ca="1" si="163"/>
        <v>0</v>
      </c>
      <c r="AL503" s="13">
        <f t="shared" ca="1" si="171"/>
        <v>0</v>
      </c>
      <c r="AM503" s="13">
        <f t="shared" ca="1" si="172"/>
        <v>0</v>
      </c>
      <c r="AO503" s="32">
        <v>484</v>
      </c>
      <c r="AP503" s="32">
        <v>41</v>
      </c>
      <c r="AQ503" s="32">
        <v>4</v>
      </c>
      <c r="AR503" s="13"/>
      <c r="AS503" s="32"/>
      <c r="AT503" s="13">
        <f t="shared" ca="1" si="173"/>
        <v>0</v>
      </c>
      <c r="AU503" s="33"/>
      <c r="AV503" s="13">
        <f t="shared" ca="1" si="164"/>
        <v>0</v>
      </c>
      <c r="AW503" s="13">
        <f ca="1">ROUNDUP(($AT503+$AV503)*VLOOKUP($AP503,Paraméterek!$P$38:$Q$38,2)/12*IF($D504="Nem",IF($M$13=0,1,$M$13),1),IF($D$4="Forint",0,2))</f>
        <v>0</v>
      </c>
      <c r="AX503" s="13"/>
      <c r="AY503" s="13"/>
      <c r="AZ503" s="13">
        <f>ROUNDUP(IF(SUM($AX503:$AY503)=0,0,IF(IF(ISBLANK($AY503),$AX503,$AY503)*Paraméterek!$J$112&lt;IF($D$4="Forint",Paraméterek!$J$113,Paraméterek!$K$113),IF($D$4="Forint",Paraméterek!$J$113,Paraméterek!$K$113),IF(IF(ISBLANK($AY503),$AX503,$AY503)*Paraméterek!$J$112&gt;IF($D$4="Forint",Paraméterek!$J$114,Paraméterek!$K$114),IF($D$4="Forint",Paraméterek!$J$114,Paraméterek!$K$114),IF(ISBLANK($AY503),$AX503,$AY503)*Paraméterek!$J$112))),IF($D$4="Forint",0,2))</f>
        <v>0</v>
      </c>
      <c r="BA503" s="13">
        <f ca="1">$AT503+$AV503-$AW503-IF(ROUNDDOWN(IF(ISBLANK($AY503),$AX503,$AY503),IF($D$4="Forint",0,2))&gt;$AT503+$AV503-$AW503-IF($D$4="Forint",Paraméterek!$J$114,Paraméterek!$K$114),0,ROUNDDOWN(IF(ISBLANK($AY503),$AX503,$AY503),IF($D$4="Forint",0,2))-$AZ503)</f>
        <v>0</v>
      </c>
      <c r="BB503" s="13">
        <f t="shared" ca="1" si="165"/>
        <v>0</v>
      </c>
      <c r="BD503" s="32">
        <v>484</v>
      </c>
      <c r="BE503" s="32">
        <v>41</v>
      </c>
      <c r="BF503" s="32">
        <v>4</v>
      </c>
      <c r="BG503" s="34">
        <f t="shared" ca="1" si="174"/>
        <v>2059</v>
      </c>
      <c r="BH503" s="32" t="str">
        <f ca="1">IF(MOD(MONTH($D$14)+$BD503-1,12)=Paraméterek!$C$288,"Igen","")</f>
        <v/>
      </c>
      <c r="BI503" s="13">
        <f ca="1">IF($BH503="Igen",MIN(ROUNDDOWN((SUMIF($BG$20:$BG$1027,$BG503-1,$K$20:$K$1027)-SUMIF($BG$20:$BG$1027,$BG503-1,$I$20:$I$1027))*Paraméterek!$C$289,IF($D$4="Forint",0,2)),IF($D$4="Forint",Paraméterek!$C$285,Paraméterek!$D$285)),0)</f>
        <v>0</v>
      </c>
      <c r="BJ503" s="13">
        <f t="shared" ca="1" si="166"/>
        <v>0</v>
      </c>
      <c r="BK503" s="13">
        <f t="shared" ca="1" si="175"/>
        <v>0</v>
      </c>
      <c r="BL503" s="33"/>
      <c r="BM503" s="13">
        <f t="shared" ca="1" si="167"/>
        <v>0</v>
      </c>
      <c r="BN503" s="13">
        <f ca="1">ROUNDUP(($BK503+$BM503)*VLOOKUP($BE503,Paraméterek!$P$38:$Q$38,2)/12*IF($D504="Nem",IF($M$13=0,1,$M$13),1),IF($D$4="Forint",0,2))</f>
        <v>0</v>
      </c>
      <c r="BO503" s="13">
        <f t="shared" ca="1" si="168"/>
        <v>0</v>
      </c>
      <c r="BP503" s="13">
        <f ca="1">IF($D504="Nem",$BO503,$BO503-ROUNDUP(SUM($BI$20:$BI503)*120%,IF($D$4="Forint",0,2)))</f>
        <v>0</v>
      </c>
    </row>
    <row r="504" spans="1:68" x14ac:dyDescent="0.2">
      <c r="A504" s="32">
        <v>485</v>
      </c>
      <c r="B504" s="32">
        <v>41</v>
      </c>
      <c r="C504" s="32">
        <v>5</v>
      </c>
      <c r="D504" s="32" t="str">
        <f t="shared" ca="1" si="154"/>
        <v>Nem</v>
      </c>
      <c r="E504" s="13">
        <f t="shared" ca="1" si="155"/>
        <v>0</v>
      </c>
      <c r="F504" s="13"/>
      <c r="G504" s="13"/>
      <c r="H504" s="13"/>
      <c r="I504" s="13">
        <f t="shared" ca="1" si="156"/>
        <v>0</v>
      </c>
      <c r="J504" s="13">
        <f t="shared" ca="1" si="157"/>
        <v>0</v>
      </c>
      <c r="K504" s="13">
        <f t="shared" ca="1" si="158"/>
        <v>0</v>
      </c>
      <c r="L504" s="13" t="e">
        <f ca="1">ROUNDUP(IF($D$2="Egyszeri",$E504,IF($D$2="Havi",SUM($E$20:$E$31),IF(MOD($C504,$M$1)-1=0,SUM($E$20:$E$31),0))/12*$M$1)*VLOOKUP($B504,Paraméterek!$I$28:$P$31,IF($D$2="Egyszeri",8,HLOOKUP(ROUNDUP($M$11+$M$13,0),Paraméterek!$J$26:$O$27,2))),IF($D$4="Forint",0,2))</f>
        <v>#N/A</v>
      </c>
      <c r="M504" s="13">
        <f t="shared" ca="1" si="159"/>
        <v>0</v>
      </c>
      <c r="N504" s="13">
        <f t="shared" ca="1" si="169"/>
        <v>0</v>
      </c>
      <c r="O504" s="13">
        <f ca="1">IF($D504="Igen",IF($W503&gt;=IF($D$4="Forint",Paraméterek!$J$121,Paraméterek!$K$121),0,IF($D$4="Forint",Paraméterek!$J$121,Paraméterek!$K$121)-$W503),0)</f>
        <v>0</v>
      </c>
      <c r="P504" s="13" t="e">
        <f ca="1">ROUNDUP($O504*VLOOKUP($M$4+$B504-1,Paraméterek!$H$58:$I$105,2,0)/Paraméterek!$I$56,IF($D$4="Forint",0,2))</f>
        <v>#N/A</v>
      </c>
      <c r="Q504" s="13">
        <f t="shared" ca="1" si="160"/>
        <v>0</v>
      </c>
      <c r="R504" s="33"/>
      <c r="S504" s="13" t="e">
        <f t="shared" ca="1" si="161"/>
        <v>#N/A</v>
      </c>
      <c r="T504" s="13" t="e">
        <f ca="1">ROUNDUP(($N504-$P504-$Q504+$S504)*VLOOKUP($B504,Paraméterek!$I$38:$K$39,IF($D$2="Egyszeri",3,2))/12*IF($D505="Nem",IF($M$13=0,1,$M$13),1),IF($D$4="Forint",0,2))</f>
        <v>#N/A</v>
      </c>
      <c r="U504" s="13"/>
      <c r="V504" s="13"/>
      <c r="W504" s="13" t="e">
        <f ca="1">$N504-$P504-$Q504+$S504-$T504-IF(ROUNDUP(IF(ISBLANK($V504),$U504*0,$V504)/IF($D$2="Egyszeri",VLOOKUP($B504+IF($C504=12,1,0),Paraméterek!$V$257:$W$262,2),IF($B504=1,1,VLOOKUP($B504+IF($C504=12,1,0),Paraméterek!$I$258:$T$278,HLOOKUP($M$11+1,Paraméterek!$J$256:$T$257,2)))),IF($D$4="Forint",0,2))&gt;$N504-$P504-$Q504+$S504-$T504-IF($D$4="Forint",Paraméterek!$C$216,Paraméterek!$D$216),0,ROUNDUP(IF(ISBLANK($V504),$U504*0,$V504)/IF($D$2="Egyszeri",VLOOKUP($B504+IF($C504=12,1,0),Paraméterek!$V$257:$W$262,2),IF($B504=1,1,VLOOKUP($B504+IF($C504=12,1,0),Paraméterek!$I$258:$T$278,HLOOKUP($M$11+1,Paraméterek!$J$256:$T$257,2)))),IF($D$4="Forint",0,2)))</f>
        <v>#N/A</v>
      </c>
      <c r="X504" s="13" t="e">
        <f ca="1">ROUNDDOWN($W504*IF($D$2="Egyszeri",VLOOKUP($B504+IF($C504=12,1,0),Paraméterek!$V$257:$W$262,2),VLOOKUP($B504+IF($C504=12,1,0),Paraméterek!$I$258:$T$278,HLOOKUP($M$11+1,Paraméterek!$I$256:$T$257,2))),IF($D$4="Forint",0,2))</f>
        <v>#N/A</v>
      </c>
      <c r="Z504" s="32">
        <v>485</v>
      </c>
      <c r="AA504" s="32">
        <v>41</v>
      </c>
      <c r="AB504" s="32">
        <v>5</v>
      </c>
      <c r="AC504" s="13">
        <f t="shared" ca="1" si="170"/>
        <v>0</v>
      </c>
      <c r="AD504" s="33"/>
      <c r="AE504" s="13">
        <f t="shared" ca="1" si="162"/>
        <v>0</v>
      </c>
      <c r="AF504" s="13">
        <f ca="1">ROUNDUP(($AC504+$AE504)*VLOOKUP($AA504,Paraméterek!$P$38:$Q$38,2)/12*IF($D505="Nem",IF($M$13=0,1,$M$13),1),IF($D$4="Forint",0,2))</f>
        <v>0</v>
      </c>
      <c r="AG504" s="13">
        <f ca="1">IF($D$2="Egyszeri",IF($D$7&gt;=IF($D$4="Forint",Paraméterek!$P$223,Paraméterek!$P$224),$D$7-IF($D$4="Forint",Paraméterek!$P$223,Paraméterek!$P$224),0),MIN(IF($AB504=12,AVERAGEIF($E$20:$E504,"&gt;0",$E$20:$E504)*12,0),SUM($E$20:$E$31)))</f>
        <v>0</v>
      </c>
      <c r="AH504" s="13">
        <f>IF($AA504=10,$AG504*IF($AB504=12,IF($AG504&lt;IF($D$4="Forint",Paraméterek!$L$223,Paraméterek!$L$224),0,VLOOKUP($AA504,Paraméterek!$K$226:$M$228,IF($AG504&lt;IF($D$4="Forint",Paraméterek!$M$223,Paraméterek!$M$224),2,3))),0),0)</f>
        <v>0</v>
      </c>
      <c r="AI504" s="13">
        <f ca="1">IF(AND($AA504=$M$11+1,$AB504=$M$12+1),SUMIF($AA$20:$AA$1027,$AA504,$AG$20:$AG$1027)*IF(SUMIF($AA$20:$AA$1027,$AA504,$AG$20:$AG$1027)&lt;IF($D$4="Forint",Paraméterek!$L$223,Paraméterek!$L$224),0,VLOOKUP($AA504,Paraméterek!$K$230:$M$250,IF(SUMIF($AA$20:$AA$1027,$AA504,$AG$20:$AG$1027)&lt;IF($D$4="Forint",Paraméterek!$M$223,Paraméterek!$M$224),2,3))),0)</f>
        <v>0</v>
      </c>
      <c r="AJ504" s="13">
        <f ca="1">IF(AND($AA504&gt;=5,MOD($AA504,5)=0),IF($AB504=12,VLOOKUP($AA504,Paraméterek!$O$225:$P$240,2),0),IF(OR($AA504=3,$AA504=4),IF($AB504=12,VLOOKUP($AA504,Paraméterek!$O$225:$P$240,2,0),0),0))*$AG504</f>
        <v>0</v>
      </c>
      <c r="AK504" s="13">
        <f t="shared" ca="1" si="163"/>
        <v>0</v>
      </c>
      <c r="AL504" s="13">
        <f t="shared" ca="1" si="171"/>
        <v>0</v>
      </c>
      <c r="AM504" s="13">
        <f t="shared" ca="1" si="172"/>
        <v>0</v>
      </c>
      <c r="AO504" s="32">
        <v>485</v>
      </c>
      <c r="AP504" s="32">
        <v>41</v>
      </c>
      <c r="AQ504" s="32">
        <v>5</v>
      </c>
      <c r="AR504" s="13"/>
      <c r="AS504" s="32"/>
      <c r="AT504" s="13">
        <f t="shared" ca="1" si="173"/>
        <v>0</v>
      </c>
      <c r="AU504" s="33"/>
      <c r="AV504" s="13">
        <f t="shared" ca="1" si="164"/>
        <v>0</v>
      </c>
      <c r="AW504" s="13">
        <f ca="1">ROUNDUP(($AT504+$AV504)*VLOOKUP($AP504,Paraméterek!$P$38:$Q$38,2)/12*IF($D505="Nem",IF($M$13=0,1,$M$13),1),IF($D$4="Forint",0,2))</f>
        <v>0</v>
      </c>
      <c r="AX504" s="13"/>
      <c r="AY504" s="13"/>
      <c r="AZ504" s="13">
        <f>ROUNDUP(IF(SUM($AX504:$AY504)=0,0,IF(IF(ISBLANK($AY504),$AX504,$AY504)*Paraméterek!$J$112&lt;IF($D$4="Forint",Paraméterek!$J$113,Paraméterek!$K$113),IF($D$4="Forint",Paraméterek!$J$113,Paraméterek!$K$113),IF(IF(ISBLANK($AY504),$AX504,$AY504)*Paraméterek!$J$112&gt;IF($D$4="Forint",Paraméterek!$J$114,Paraméterek!$K$114),IF($D$4="Forint",Paraméterek!$J$114,Paraméterek!$K$114),IF(ISBLANK($AY504),$AX504,$AY504)*Paraméterek!$J$112))),IF($D$4="Forint",0,2))</f>
        <v>0</v>
      </c>
      <c r="BA504" s="13">
        <f ca="1">$AT504+$AV504-$AW504-IF(ROUNDDOWN(IF(ISBLANK($AY504),$AX504,$AY504),IF($D$4="Forint",0,2))&gt;$AT504+$AV504-$AW504-IF($D$4="Forint",Paraméterek!$J$114,Paraméterek!$K$114),0,ROUNDDOWN(IF(ISBLANK($AY504),$AX504,$AY504),IF($D$4="Forint",0,2))-$AZ504)</f>
        <v>0</v>
      </c>
      <c r="BB504" s="13">
        <f t="shared" ca="1" si="165"/>
        <v>0</v>
      </c>
      <c r="BD504" s="32">
        <v>485</v>
      </c>
      <c r="BE504" s="32">
        <v>41</v>
      </c>
      <c r="BF504" s="32">
        <v>5</v>
      </c>
      <c r="BG504" s="34">
        <f t="shared" ca="1" si="174"/>
        <v>2059</v>
      </c>
      <c r="BH504" s="32" t="str">
        <f ca="1">IF(MOD(MONTH($D$14)+$BD504-1,12)=Paraméterek!$C$288,"Igen","")</f>
        <v/>
      </c>
      <c r="BI504" s="13">
        <f ca="1">IF($BH504="Igen",MIN(ROUNDDOWN((SUMIF($BG$20:$BG$1027,$BG504-1,$K$20:$K$1027)-SUMIF($BG$20:$BG$1027,$BG504-1,$I$20:$I$1027))*Paraméterek!$C$289,IF($D$4="Forint",0,2)),IF($D$4="Forint",Paraméterek!$C$285,Paraméterek!$D$285)),0)</f>
        <v>0</v>
      </c>
      <c r="BJ504" s="13">
        <f t="shared" ca="1" si="166"/>
        <v>0</v>
      </c>
      <c r="BK504" s="13">
        <f t="shared" ca="1" si="175"/>
        <v>0</v>
      </c>
      <c r="BL504" s="33"/>
      <c r="BM504" s="13">
        <f t="shared" ca="1" si="167"/>
        <v>0</v>
      </c>
      <c r="BN504" s="13">
        <f ca="1">ROUNDUP(($BK504+$BM504)*VLOOKUP($BE504,Paraméterek!$P$38:$Q$38,2)/12*IF($D505="Nem",IF($M$13=0,1,$M$13),1),IF($D$4="Forint",0,2))</f>
        <v>0</v>
      </c>
      <c r="BO504" s="13">
        <f t="shared" ca="1" si="168"/>
        <v>0</v>
      </c>
      <c r="BP504" s="13">
        <f ca="1">IF($D505="Nem",$BO504,$BO504-ROUNDUP(SUM($BI$20:$BI504)*120%,IF($D$4="Forint",0,2)))</f>
        <v>0</v>
      </c>
    </row>
    <row r="505" spans="1:68" x14ac:dyDescent="0.2">
      <c r="A505" s="32">
        <v>486</v>
      </c>
      <c r="B505" s="32">
        <v>41</v>
      </c>
      <c r="C505" s="32">
        <v>6</v>
      </c>
      <c r="D505" s="32" t="str">
        <f t="shared" ca="1" si="154"/>
        <v>Nem</v>
      </c>
      <c r="E505" s="13">
        <f t="shared" ca="1" si="155"/>
        <v>0</v>
      </c>
      <c r="F505" s="13"/>
      <c r="G505" s="13"/>
      <c r="H505" s="13"/>
      <c r="I505" s="13">
        <f t="shared" ca="1" si="156"/>
        <v>0</v>
      </c>
      <c r="J505" s="13">
        <f t="shared" ca="1" si="157"/>
        <v>0</v>
      </c>
      <c r="K505" s="13">
        <f t="shared" ca="1" si="158"/>
        <v>0</v>
      </c>
      <c r="L505" s="13" t="e">
        <f ca="1">ROUNDUP(IF($D$2="Egyszeri",$E505,IF($D$2="Havi",SUM($E$20:$E$31),IF(MOD($C505,$M$1)-1=0,SUM($E$20:$E$31),0))/12*$M$1)*VLOOKUP($B505,Paraméterek!$I$28:$P$31,IF($D$2="Egyszeri",8,HLOOKUP(ROUNDUP($M$11+$M$13,0),Paraméterek!$J$26:$O$27,2))),IF($D$4="Forint",0,2))</f>
        <v>#N/A</v>
      </c>
      <c r="M505" s="13">
        <f t="shared" ca="1" si="159"/>
        <v>0</v>
      </c>
      <c r="N505" s="13">
        <f t="shared" ca="1" si="169"/>
        <v>0</v>
      </c>
      <c r="O505" s="13">
        <f ca="1">IF($D505="Igen",IF($W504&gt;=IF($D$4="Forint",Paraméterek!$J$121,Paraméterek!$K$121),0,IF($D$4="Forint",Paraméterek!$J$121,Paraméterek!$K$121)-$W504),0)</f>
        <v>0</v>
      </c>
      <c r="P505" s="13" t="e">
        <f ca="1">ROUNDUP($O505*VLOOKUP($M$4+$B505-1,Paraméterek!$H$58:$I$105,2,0)/Paraméterek!$I$56,IF($D$4="Forint",0,2))</f>
        <v>#N/A</v>
      </c>
      <c r="Q505" s="13">
        <f t="shared" ca="1" si="160"/>
        <v>0</v>
      </c>
      <c r="R505" s="33"/>
      <c r="S505" s="13" t="e">
        <f t="shared" ca="1" si="161"/>
        <v>#N/A</v>
      </c>
      <c r="T505" s="13" t="e">
        <f ca="1">ROUNDUP(($N505-$P505-$Q505+$S505)*VLOOKUP($B505,Paraméterek!$I$38:$K$39,IF($D$2="Egyszeri",3,2))/12*IF($D506="Nem",IF($M$13=0,1,$M$13),1),IF($D$4="Forint",0,2))</f>
        <v>#N/A</v>
      </c>
      <c r="U505" s="13"/>
      <c r="V505" s="13"/>
      <c r="W505" s="13" t="e">
        <f ca="1">$N505-$P505-$Q505+$S505-$T505-IF(ROUNDUP(IF(ISBLANK($V505),$U505*0,$V505)/IF($D$2="Egyszeri",VLOOKUP($B505+IF($C505=12,1,0),Paraméterek!$V$257:$W$262,2),IF($B505=1,1,VLOOKUP($B505+IF($C505=12,1,0),Paraméterek!$I$258:$T$278,HLOOKUP($M$11+1,Paraméterek!$J$256:$T$257,2)))),IF($D$4="Forint",0,2))&gt;$N505-$P505-$Q505+$S505-$T505-IF($D$4="Forint",Paraméterek!$C$216,Paraméterek!$D$216),0,ROUNDUP(IF(ISBLANK($V505),$U505*0,$V505)/IF($D$2="Egyszeri",VLOOKUP($B505+IF($C505=12,1,0),Paraméterek!$V$257:$W$262,2),IF($B505=1,1,VLOOKUP($B505+IF($C505=12,1,0),Paraméterek!$I$258:$T$278,HLOOKUP($M$11+1,Paraméterek!$J$256:$T$257,2)))),IF($D$4="Forint",0,2)))</f>
        <v>#N/A</v>
      </c>
      <c r="X505" s="13" t="e">
        <f ca="1">ROUNDDOWN($W505*IF($D$2="Egyszeri",VLOOKUP($B505+IF($C505=12,1,0),Paraméterek!$V$257:$W$262,2),VLOOKUP($B505+IF($C505=12,1,0),Paraméterek!$I$258:$T$278,HLOOKUP($M$11+1,Paraméterek!$I$256:$T$257,2))),IF($D$4="Forint",0,2))</f>
        <v>#N/A</v>
      </c>
      <c r="Z505" s="32">
        <v>486</v>
      </c>
      <c r="AA505" s="32">
        <v>41</v>
      </c>
      <c r="AB505" s="32">
        <v>6</v>
      </c>
      <c r="AC505" s="13">
        <f t="shared" ca="1" si="170"/>
        <v>0</v>
      </c>
      <c r="AD505" s="33"/>
      <c r="AE505" s="13">
        <f t="shared" ca="1" si="162"/>
        <v>0</v>
      </c>
      <c r="AF505" s="13">
        <f ca="1">ROUNDUP(($AC505+$AE505)*VLOOKUP($AA505,Paraméterek!$P$38:$Q$38,2)/12*IF($D506="Nem",IF($M$13=0,1,$M$13),1),IF($D$4="Forint",0,2))</f>
        <v>0</v>
      </c>
      <c r="AG505" s="13">
        <f ca="1">IF($D$2="Egyszeri",IF($D$7&gt;=IF($D$4="Forint",Paraméterek!$P$223,Paraméterek!$P$224),$D$7-IF($D$4="Forint",Paraméterek!$P$223,Paraméterek!$P$224),0),MIN(IF($AB505=12,AVERAGEIF($E$20:$E505,"&gt;0",$E$20:$E505)*12,0),SUM($E$20:$E$31)))</f>
        <v>0</v>
      </c>
      <c r="AH505" s="13">
        <f>IF($AA505=10,$AG505*IF($AB505=12,IF($AG505&lt;IF($D$4="Forint",Paraméterek!$L$223,Paraméterek!$L$224),0,VLOOKUP($AA505,Paraméterek!$K$226:$M$228,IF($AG505&lt;IF($D$4="Forint",Paraméterek!$M$223,Paraméterek!$M$224),2,3))),0),0)</f>
        <v>0</v>
      </c>
      <c r="AI505" s="13">
        <f ca="1">IF(AND($AA505=$M$11+1,$AB505=$M$12+1),SUMIF($AA$20:$AA$1027,$AA505,$AG$20:$AG$1027)*IF(SUMIF($AA$20:$AA$1027,$AA505,$AG$20:$AG$1027)&lt;IF($D$4="Forint",Paraméterek!$L$223,Paraméterek!$L$224),0,VLOOKUP($AA505,Paraméterek!$K$230:$M$250,IF(SUMIF($AA$20:$AA$1027,$AA505,$AG$20:$AG$1027)&lt;IF($D$4="Forint",Paraméterek!$M$223,Paraméterek!$M$224),2,3))),0)</f>
        <v>0</v>
      </c>
      <c r="AJ505" s="13">
        <f ca="1">IF(AND($AA505&gt;=5,MOD($AA505,5)=0),IF($AB505=12,VLOOKUP($AA505,Paraméterek!$O$225:$P$240,2),0),IF(OR($AA505=3,$AA505=4),IF($AB505=12,VLOOKUP($AA505,Paraméterek!$O$225:$P$240,2,0),0),0))*$AG505</f>
        <v>0</v>
      </c>
      <c r="AK505" s="13">
        <f t="shared" ca="1" si="163"/>
        <v>0</v>
      </c>
      <c r="AL505" s="13">
        <f t="shared" ca="1" si="171"/>
        <v>0</v>
      </c>
      <c r="AM505" s="13">
        <f t="shared" ca="1" si="172"/>
        <v>0</v>
      </c>
      <c r="AO505" s="32">
        <v>486</v>
      </c>
      <c r="AP505" s="32">
        <v>41</v>
      </c>
      <c r="AQ505" s="32">
        <v>6</v>
      </c>
      <c r="AR505" s="13"/>
      <c r="AS505" s="32"/>
      <c r="AT505" s="13">
        <f t="shared" ca="1" si="173"/>
        <v>0</v>
      </c>
      <c r="AU505" s="33"/>
      <c r="AV505" s="13">
        <f t="shared" ca="1" si="164"/>
        <v>0</v>
      </c>
      <c r="AW505" s="13">
        <f ca="1">ROUNDUP(($AT505+$AV505)*VLOOKUP($AP505,Paraméterek!$P$38:$Q$38,2)/12*IF($D506="Nem",IF($M$13=0,1,$M$13),1),IF($D$4="Forint",0,2))</f>
        <v>0</v>
      </c>
      <c r="AX505" s="13"/>
      <c r="AY505" s="13"/>
      <c r="AZ505" s="13">
        <f>ROUNDUP(IF(SUM($AX505:$AY505)=0,0,IF(IF(ISBLANK($AY505),$AX505,$AY505)*Paraméterek!$J$112&lt;IF($D$4="Forint",Paraméterek!$J$113,Paraméterek!$K$113),IF($D$4="Forint",Paraméterek!$J$113,Paraméterek!$K$113),IF(IF(ISBLANK($AY505),$AX505,$AY505)*Paraméterek!$J$112&gt;IF($D$4="Forint",Paraméterek!$J$114,Paraméterek!$K$114),IF($D$4="Forint",Paraméterek!$J$114,Paraméterek!$K$114),IF(ISBLANK($AY505),$AX505,$AY505)*Paraméterek!$J$112))),IF($D$4="Forint",0,2))</f>
        <v>0</v>
      </c>
      <c r="BA505" s="13">
        <f ca="1">$AT505+$AV505-$AW505-IF(ROUNDDOWN(IF(ISBLANK($AY505),$AX505,$AY505),IF($D$4="Forint",0,2))&gt;$AT505+$AV505-$AW505-IF($D$4="Forint",Paraméterek!$J$114,Paraméterek!$K$114),0,ROUNDDOWN(IF(ISBLANK($AY505),$AX505,$AY505),IF($D$4="Forint",0,2))-$AZ505)</f>
        <v>0</v>
      </c>
      <c r="BB505" s="13">
        <f t="shared" ca="1" si="165"/>
        <v>0</v>
      </c>
      <c r="BD505" s="32">
        <v>486</v>
      </c>
      <c r="BE505" s="32">
        <v>41</v>
      </c>
      <c r="BF505" s="32">
        <v>6</v>
      </c>
      <c r="BG505" s="34">
        <f t="shared" ca="1" si="174"/>
        <v>2059</v>
      </c>
      <c r="BH505" s="32" t="str">
        <f ca="1">IF(MOD(MONTH($D$14)+$BD505-1,12)=Paraméterek!$C$288,"Igen","")</f>
        <v/>
      </c>
      <c r="BI505" s="13">
        <f ca="1">IF($BH505="Igen",MIN(ROUNDDOWN((SUMIF($BG$20:$BG$1027,$BG505-1,$K$20:$K$1027)-SUMIF($BG$20:$BG$1027,$BG505-1,$I$20:$I$1027))*Paraméterek!$C$289,IF($D$4="Forint",0,2)),IF($D$4="Forint",Paraméterek!$C$285,Paraméterek!$D$285)),0)</f>
        <v>0</v>
      </c>
      <c r="BJ505" s="13">
        <f t="shared" ca="1" si="166"/>
        <v>0</v>
      </c>
      <c r="BK505" s="13">
        <f t="shared" ca="1" si="175"/>
        <v>0</v>
      </c>
      <c r="BL505" s="33"/>
      <c r="BM505" s="13">
        <f t="shared" ca="1" si="167"/>
        <v>0</v>
      </c>
      <c r="BN505" s="13">
        <f ca="1">ROUNDUP(($BK505+$BM505)*VLOOKUP($BE505,Paraméterek!$P$38:$Q$38,2)/12*IF($D506="Nem",IF($M$13=0,1,$M$13),1),IF($D$4="Forint",0,2))</f>
        <v>0</v>
      </c>
      <c r="BO505" s="13">
        <f t="shared" ca="1" si="168"/>
        <v>0</v>
      </c>
      <c r="BP505" s="13">
        <f ca="1">IF($D506="Nem",$BO505,$BO505-ROUNDUP(SUM($BI$20:$BI505)*120%,IF($D$4="Forint",0,2)))</f>
        <v>0</v>
      </c>
    </row>
    <row r="506" spans="1:68" x14ac:dyDescent="0.2">
      <c r="A506" s="32">
        <v>487</v>
      </c>
      <c r="B506" s="32">
        <v>41</v>
      </c>
      <c r="C506" s="32">
        <v>7</v>
      </c>
      <c r="D506" s="32" t="str">
        <f t="shared" ca="1" si="154"/>
        <v>Nem</v>
      </c>
      <c r="E506" s="13">
        <f t="shared" ca="1" si="155"/>
        <v>0</v>
      </c>
      <c r="F506" s="13"/>
      <c r="G506" s="13"/>
      <c r="H506" s="13"/>
      <c r="I506" s="13">
        <f t="shared" ca="1" si="156"/>
        <v>0</v>
      </c>
      <c r="J506" s="13">
        <f t="shared" ca="1" si="157"/>
        <v>0</v>
      </c>
      <c r="K506" s="13">
        <f t="shared" ca="1" si="158"/>
        <v>0</v>
      </c>
      <c r="L506" s="13" t="e">
        <f ca="1">ROUNDUP(IF($D$2="Egyszeri",$E506,IF($D$2="Havi",SUM($E$20:$E$31),IF(MOD($C506,$M$1)-1=0,SUM($E$20:$E$31),0))/12*$M$1)*VLOOKUP($B506,Paraméterek!$I$28:$P$31,IF($D$2="Egyszeri",8,HLOOKUP(ROUNDUP($M$11+$M$13,0),Paraméterek!$J$26:$O$27,2))),IF($D$4="Forint",0,2))</f>
        <v>#N/A</v>
      </c>
      <c r="M506" s="13">
        <f t="shared" ca="1" si="159"/>
        <v>0</v>
      </c>
      <c r="N506" s="13">
        <f t="shared" ca="1" si="169"/>
        <v>0</v>
      </c>
      <c r="O506" s="13">
        <f ca="1">IF($D506="Igen",IF($W505&gt;=IF($D$4="Forint",Paraméterek!$J$121,Paraméterek!$K$121),0,IF($D$4="Forint",Paraméterek!$J$121,Paraméterek!$K$121)-$W505),0)</f>
        <v>0</v>
      </c>
      <c r="P506" s="13" t="e">
        <f ca="1">ROUNDUP($O506*VLOOKUP($M$4+$B506-1,Paraméterek!$H$58:$I$105,2,0)/Paraméterek!$I$56,IF($D$4="Forint",0,2))</f>
        <v>#N/A</v>
      </c>
      <c r="Q506" s="13">
        <f t="shared" ca="1" si="160"/>
        <v>0</v>
      </c>
      <c r="R506" s="33"/>
      <c r="S506" s="13" t="e">
        <f t="shared" ca="1" si="161"/>
        <v>#N/A</v>
      </c>
      <c r="T506" s="13" t="e">
        <f ca="1">ROUNDUP(($N506-$P506-$Q506+$S506)*VLOOKUP($B506,Paraméterek!$I$38:$K$39,IF($D$2="Egyszeri",3,2))/12*IF($D507="Nem",IF($M$13=0,1,$M$13),1),IF($D$4="Forint",0,2))</f>
        <v>#N/A</v>
      </c>
      <c r="U506" s="13"/>
      <c r="V506" s="13"/>
      <c r="W506" s="13" t="e">
        <f ca="1">$N506-$P506-$Q506+$S506-$T506-IF(ROUNDUP(IF(ISBLANK($V506),$U506*0,$V506)/IF($D$2="Egyszeri",VLOOKUP($B506+IF($C506=12,1,0),Paraméterek!$V$257:$W$262,2),IF($B506=1,1,VLOOKUP($B506+IF($C506=12,1,0),Paraméterek!$I$258:$T$278,HLOOKUP($M$11+1,Paraméterek!$J$256:$T$257,2)))),IF($D$4="Forint",0,2))&gt;$N506-$P506-$Q506+$S506-$T506-IF($D$4="Forint",Paraméterek!$C$216,Paraméterek!$D$216),0,ROUNDUP(IF(ISBLANK($V506),$U506*0,$V506)/IF($D$2="Egyszeri",VLOOKUP($B506+IF($C506=12,1,0),Paraméterek!$V$257:$W$262,2),IF($B506=1,1,VLOOKUP($B506+IF($C506=12,1,0),Paraméterek!$I$258:$T$278,HLOOKUP($M$11+1,Paraméterek!$J$256:$T$257,2)))),IF($D$4="Forint",0,2)))</f>
        <v>#N/A</v>
      </c>
      <c r="X506" s="13" t="e">
        <f ca="1">ROUNDDOWN($W506*IF($D$2="Egyszeri",VLOOKUP($B506+IF($C506=12,1,0),Paraméterek!$V$257:$W$262,2),VLOOKUP($B506+IF($C506=12,1,0),Paraméterek!$I$258:$T$278,HLOOKUP($M$11+1,Paraméterek!$I$256:$T$257,2))),IF($D$4="Forint",0,2))</f>
        <v>#N/A</v>
      </c>
      <c r="Z506" s="32">
        <v>487</v>
      </c>
      <c r="AA506" s="32">
        <v>41</v>
      </c>
      <c r="AB506" s="32">
        <v>7</v>
      </c>
      <c r="AC506" s="13">
        <f t="shared" ca="1" si="170"/>
        <v>0</v>
      </c>
      <c r="AD506" s="33"/>
      <c r="AE506" s="13">
        <f t="shared" ca="1" si="162"/>
        <v>0</v>
      </c>
      <c r="AF506" s="13">
        <f ca="1">ROUNDUP(($AC506+$AE506)*VLOOKUP($AA506,Paraméterek!$P$38:$Q$38,2)/12*IF($D507="Nem",IF($M$13=0,1,$M$13),1),IF($D$4="Forint",0,2))</f>
        <v>0</v>
      </c>
      <c r="AG506" s="13">
        <f ca="1">IF($D$2="Egyszeri",IF($D$7&gt;=IF($D$4="Forint",Paraméterek!$P$223,Paraméterek!$P$224),$D$7-IF($D$4="Forint",Paraméterek!$P$223,Paraméterek!$P$224),0),MIN(IF($AB506=12,AVERAGEIF($E$20:$E506,"&gt;0",$E$20:$E506)*12,0),SUM($E$20:$E$31)))</f>
        <v>0</v>
      </c>
      <c r="AH506" s="13">
        <f>IF($AA506=10,$AG506*IF($AB506=12,IF($AG506&lt;IF($D$4="Forint",Paraméterek!$L$223,Paraméterek!$L$224),0,VLOOKUP($AA506,Paraméterek!$K$226:$M$228,IF($AG506&lt;IF($D$4="Forint",Paraméterek!$M$223,Paraméterek!$M$224),2,3))),0),0)</f>
        <v>0</v>
      </c>
      <c r="AI506" s="13">
        <f ca="1">IF(AND($AA506=$M$11+1,$AB506=$M$12+1),SUMIF($AA$20:$AA$1027,$AA506,$AG$20:$AG$1027)*IF(SUMIF($AA$20:$AA$1027,$AA506,$AG$20:$AG$1027)&lt;IF($D$4="Forint",Paraméterek!$L$223,Paraméterek!$L$224),0,VLOOKUP($AA506,Paraméterek!$K$230:$M$250,IF(SUMIF($AA$20:$AA$1027,$AA506,$AG$20:$AG$1027)&lt;IF($D$4="Forint",Paraméterek!$M$223,Paraméterek!$M$224),2,3))),0)</f>
        <v>0</v>
      </c>
      <c r="AJ506" s="13">
        <f ca="1">IF(AND($AA506&gt;=5,MOD($AA506,5)=0),IF($AB506=12,VLOOKUP($AA506,Paraméterek!$O$225:$P$240,2),0),IF(OR($AA506=3,$AA506=4),IF($AB506=12,VLOOKUP($AA506,Paraméterek!$O$225:$P$240,2,0),0),0))*$AG506</f>
        <v>0</v>
      </c>
      <c r="AK506" s="13">
        <f t="shared" ca="1" si="163"/>
        <v>0</v>
      </c>
      <c r="AL506" s="13">
        <f t="shared" ca="1" si="171"/>
        <v>0</v>
      </c>
      <c r="AM506" s="13">
        <f t="shared" ca="1" si="172"/>
        <v>0</v>
      </c>
      <c r="AO506" s="32">
        <v>487</v>
      </c>
      <c r="AP506" s="32">
        <v>41</v>
      </c>
      <c r="AQ506" s="32">
        <v>7</v>
      </c>
      <c r="AR506" s="13"/>
      <c r="AS506" s="32"/>
      <c r="AT506" s="13">
        <f t="shared" ca="1" si="173"/>
        <v>0</v>
      </c>
      <c r="AU506" s="33"/>
      <c r="AV506" s="13">
        <f t="shared" ca="1" si="164"/>
        <v>0</v>
      </c>
      <c r="AW506" s="13">
        <f ca="1">ROUNDUP(($AT506+$AV506)*VLOOKUP($AP506,Paraméterek!$P$38:$Q$38,2)/12*IF($D507="Nem",IF($M$13=0,1,$M$13),1),IF($D$4="Forint",0,2))</f>
        <v>0</v>
      </c>
      <c r="AX506" s="13"/>
      <c r="AY506" s="13"/>
      <c r="AZ506" s="13">
        <f>ROUNDUP(IF(SUM($AX506:$AY506)=0,0,IF(IF(ISBLANK($AY506),$AX506,$AY506)*Paraméterek!$J$112&lt;IF($D$4="Forint",Paraméterek!$J$113,Paraméterek!$K$113),IF($D$4="Forint",Paraméterek!$J$113,Paraméterek!$K$113),IF(IF(ISBLANK($AY506),$AX506,$AY506)*Paraméterek!$J$112&gt;IF($D$4="Forint",Paraméterek!$J$114,Paraméterek!$K$114),IF($D$4="Forint",Paraméterek!$J$114,Paraméterek!$K$114),IF(ISBLANK($AY506),$AX506,$AY506)*Paraméterek!$J$112))),IF($D$4="Forint",0,2))</f>
        <v>0</v>
      </c>
      <c r="BA506" s="13">
        <f ca="1">$AT506+$AV506-$AW506-IF(ROUNDDOWN(IF(ISBLANK($AY506),$AX506,$AY506),IF($D$4="Forint",0,2))&gt;$AT506+$AV506-$AW506-IF($D$4="Forint",Paraméterek!$J$114,Paraméterek!$K$114),0,ROUNDDOWN(IF(ISBLANK($AY506),$AX506,$AY506),IF($D$4="Forint",0,2))-$AZ506)</f>
        <v>0</v>
      </c>
      <c r="BB506" s="13">
        <f t="shared" ca="1" si="165"/>
        <v>0</v>
      </c>
      <c r="BD506" s="32">
        <v>487</v>
      </c>
      <c r="BE506" s="32">
        <v>41</v>
      </c>
      <c r="BF506" s="32">
        <v>7</v>
      </c>
      <c r="BG506" s="34">
        <f t="shared" ca="1" si="174"/>
        <v>2059</v>
      </c>
      <c r="BH506" s="32" t="str">
        <f ca="1">IF(MOD(MONTH($D$14)+$BD506-1,12)=Paraméterek!$C$288,"Igen","")</f>
        <v/>
      </c>
      <c r="BI506" s="13">
        <f ca="1">IF($BH506="Igen",MIN(ROUNDDOWN((SUMIF($BG$20:$BG$1027,$BG506-1,$K$20:$K$1027)-SUMIF($BG$20:$BG$1027,$BG506-1,$I$20:$I$1027))*Paraméterek!$C$289,IF($D$4="Forint",0,2)),IF($D$4="Forint",Paraméterek!$C$285,Paraméterek!$D$285)),0)</f>
        <v>0</v>
      </c>
      <c r="BJ506" s="13">
        <f t="shared" ca="1" si="166"/>
        <v>0</v>
      </c>
      <c r="BK506" s="13">
        <f t="shared" ca="1" si="175"/>
        <v>0</v>
      </c>
      <c r="BL506" s="33"/>
      <c r="BM506" s="13">
        <f t="shared" ca="1" si="167"/>
        <v>0</v>
      </c>
      <c r="BN506" s="13">
        <f ca="1">ROUNDUP(($BK506+$BM506)*VLOOKUP($BE506,Paraméterek!$P$38:$Q$38,2)/12*IF($D507="Nem",IF($M$13=0,1,$M$13),1),IF($D$4="Forint",0,2))</f>
        <v>0</v>
      </c>
      <c r="BO506" s="13">
        <f t="shared" ca="1" si="168"/>
        <v>0</v>
      </c>
      <c r="BP506" s="13">
        <f ca="1">IF($D507="Nem",$BO506,$BO506-ROUNDUP(SUM($BI$20:$BI506)*120%,IF($D$4="Forint",0,2)))</f>
        <v>0</v>
      </c>
    </row>
    <row r="507" spans="1:68" x14ac:dyDescent="0.2">
      <c r="A507" s="32">
        <v>488</v>
      </c>
      <c r="B507" s="32">
        <v>41</v>
      </c>
      <c r="C507" s="32">
        <v>8</v>
      </c>
      <c r="D507" s="32" t="str">
        <f t="shared" ca="1" si="154"/>
        <v>Nem</v>
      </c>
      <c r="E507" s="13">
        <f t="shared" ca="1" si="155"/>
        <v>0</v>
      </c>
      <c r="F507" s="13"/>
      <c r="G507" s="13"/>
      <c r="H507" s="13"/>
      <c r="I507" s="13">
        <f t="shared" ca="1" si="156"/>
        <v>0</v>
      </c>
      <c r="J507" s="13">
        <f t="shared" ca="1" si="157"/>
        <v>0</v>
      </c>
      <c r="K507" s="13">
        <f t="shared" ca="1" si="158"/>
        <v>0</v>
      </c>
      <c r="L507" s="13" t="e">
        <f ca="1">ROUNDUP(IF($D$2="Egyszeri",$E507,IF($D$2="Havi",SUM($E$20:$E$31),IF(MOD($C507,$M$1)-1=0,SUM($E$20:$E$31),0))/12*$M$1)*VLOOKUP($B507,Paraméterek!$I$28:$P$31,IF($D$2="Egyszeri",8,HLOOKUP(ROUNDUP($M$11+$M$13,0),Paraméterek!$J$26:$O$27,2))),IF($D$4="Forint",0,2))</f>
        <v>#N/A</v>
      </c>
      <c r="M507" s="13">
        <f t="shared" ca="1" si="159"/>
        <v>0</v>
      </c>
      <c r="N507" s="13">
        <f t="shared" ca="1" si="169"/>
        <v>0</v>
      </c>
      <c r="O507" s="13">
        <f ca="1">IF($D507="Igen",IF($W506&gt;=IF($D$4="Forint",Paraméterek!$J$121,Paraméterek!$K$121),0,IF($D$4="Forint",Paraméterek!$J$121,Paraméterek!$K$121)-$W506),0)</f>
        <v>0</v>
      </c>
      <c r="P507" s="13" t="e">
        <f ca="1">ROUNDUP($O507*VLOOKUP($M$4+$B507-1,Paraméterek!$H$58:$I$105,2,0)/Paraméterek!$I$56,IF($D$4="Forint",0,2))</f>
        <v>#N/A</v>
      </c>
      <c r="Q507" s="13">
        <f t="shared" ca="1" si="160"/>
        <v>0</v>
      </c>
      <c r="R507" s="33"/>
      <c r="S507" s="13" t="e">
        <f t="shared" ca="1" si="161"/>
        <v>#N/A</v>
      </c>
      <c r="T507" s="13" t="e">
        <f ca="1">ROUNDUP(($N507-$P507-$Q507+$S507)*VLOOKUP($B507,Paraméterek!$I$38:$K$39,IF($D$2="Egyszeri",3,2))/12*IF($D508="Nem",IF($M$13=0,1,$M$13),1),IF($D$4="Forint",0,2))</f>
        <v>#N/A</v>
      </c>
      <c r="U507" s="13"/>
      <c r="V507" s="13"/>
      <c r="W507" s="13" t="e">
        <f ca="1">$N507-$P507-$Q507+$S507-$T507-IF(ROUNDUP(IF(ISBLANK($V507),$U507*0,$V507)/IF($D$2="Egyszeri",VLOOKUP($B507+IF($C507=12,1,0),Paraméterek!$V$257:$W$262,2),IF($B507=1,1,VLOOKUP($B507+IF($C507=12,1,0),Paraméterek!$I$258:$T$278,HLOOKUP($M$11+1,Paraméterek!$J$256:$T$257,2)))),IF($D$4="Forint",0,2))&gt;$N507-$P507-$Q507+$S507-$T507-IF($D$4="Forint",Paraméterek!$C$216,Paraméterek!$D$216),0,ROUNDUP(IF(ISBLANK($V507),$U507*0,$V507)/IF($D$2="Egyszeri",VLOOKUP($B507+IF($C507=12,1,0),Paraméterek!$V$257:$W$262,2),IF($B507=1,1,VLOOKUP($B507+IF($C507=12,1,0),Paraméterek!$I$258:$T$278,HLOOKUP($M$11+1,Paraméterek!$J$256:$T$257,2)))),IF($D$4="Forint",0,2)))</f>
        <v>#N/A</v>
      </c>
      <c r="X507" s="13" t="e">
        <f ca="1">ROUNDDOWN($W507*IF($D$2="Egyszeri",VLOOKUP($B507+IF($C507=12,1,0),Paraméterek!$V$257:$W$262,2),VLOOKUP($B507+IF($C507=12,1,0),Paraméterek!$I$258:$T$278,HLOOKUP($M$11+1,Paraméterek!$I$256:$T$257,2))),IF($D$4="Forint",0,2))</f>
        <v>#N/A</v>
      </c>
      <c r="Z507" s="32">
        <v>488</v>
      </c>
      <c r="AA507" s="32">
        <v>41</v>
      </c>
      <c r="AB507" s="32">
        <v>8</v>
      </c>
      <c r="AC507" s="13">
        <f t="shared" ca="1" si="170"/>
        <v>0</v>
      </c>
      <c r="AD507" s="33"/>
      <c r="AE507" s="13">
        <f t="shared" ca="1" si="162"/>
        <v>0</v>
      </c>
      <c r="AF507" s="13">
        <f ca="1">ROUNDUP(($AC507+$AE507)*VLOOKUP($AA507,Paraméterek!$P$38:$Q$38,2)/12*IF($D508="Nem",IF($M$13=0,1,$M$13),1),IF($D$4="Forint",0,2))</f>
        <v>0</v>
      </c>
      <c r="AG507" s="13">
        <f ca="1">IF($D$2="Egyszeri",IF($D$7&gt;=IF($D$4="Forint",Paraméterek!$P$223,Paraméterek!$P$224),$D$7-IF($D$4="Forint",Paraméterek!$P$223,Paraméterek!$P$224),0),MIN(IF($AB507=12,AVERAGEIF($E$20:$E507,"&gt;0",$E$20:$E507)*12,0),SUM($E$20:$E$31)))</f>
        <v>0</v>
      </c>
      <c r="AH507" s="13">
        <f>IF($AA507=10,$AG507*IF($AB507=12,IF($AG507&lt;IF($D$4="Forint",Paraméterek!$L$223,Paraméterek!$L$224),0,VLOOKUP($AA507,Paraméterek!$K$226:$M$228,IF($AG507&lt;IF($D$4="Forint",Paraméterek!$M$223,Paraméterek!$M$224),2,3))),0),0)</f>
        <v>0</v>
      </c>
      <c r="AI507" s="13">
        <f ca="1">IF(AND($AA507=$M$11+1,$AB507=$M$12+1),SUMIF($AA$20:$AA$1027,$AA507,$AG$20:$AG$1027)*IF(SUMIF($AA$20:$AA$1027,$AA507,$AG$20:$AG$1027)&lt;IF($D$4="Forint",Paraméterek!$L$223,Paraméterek!$L$224),0,VLOOKUP($AA507,Paraméterek!$K$230:$M$250,IF(SUMIF($AA$20:$AA$1027,$AA507,$AG$20:$AG$1027)&lt;IF($D$4="Forint",Paraméterek!$M$223,Paraméterek!$M$224),2,3))),0)</f>
        <v>0</v>
      </c>
      <c r="AJ507" s="13">
        <f ca="1">IF(AND($AA507&gt;=5,MOD($AA507,5)=0),IF($AB507=12,VLOOKUP($AA507,Paraméterek!$O$225:$P$240,2),0),IF(OR($AA507=3,$AA507=4),IF($AB507=12,VLOOKUP($AA507,Paraméterek!$O$225:$P$240,2,0),0),0))*$AG507</f>
        <v>0</v>
      </c>
      <c r="AK507" s="13">
        <f t="shared" ca="1" si="163"/>
        <v>0</v>
      </c>
      <c r="AL507" s="13">
        <f t="shared" ca="1" si="171"/>
        <v>0</v>
      </c>
      <c r="AM507" s="13">
        <f t="shared" ca="1" si="172"/>
        <v>0</v>
      </c>
      <c r="AO507" s="32">
        <v>488</v>
      </c>
      <c r="AP507" s="32">
        <v>41</v>
      </c>
      <c r="AQ507" s="32">
        <v>8</v>
      </c>
      <c r="AR507" s="13"/>
      <c r="AS507" s="32"/>
      <c r="AT507" s="13">
        <f t="shared" ca="1" si="173"/>
        <v>0</v>
      </c>
      <c r="AU507" s="33"/>
      <c r="AV507" s="13">
        <f t="shared" ca="1" si="164"/>
        <v>0</v>
      </c>
      <c r="AW507" s="13">
        <f ca="1">ROUNDUP(($AT507+$AV507)*VLOOKUP($AP507,Paraméterek!$P$38:$Q$38,2)/12*IF($D508="Nem",IF($M$13=0,1,$M$13),1),IF($D$4="Forint",0,2))</f>
        <v>0</v>
      </c>
      <c r="AX507" s="13"/>
      <c r="AY507" s="13"/>
      <c r="AZ507" s="13">
        <f>ROUNDUP(IF(SUM($AX507:$AY507)=0,0,IF(IF(ISBLANK($AY507),$AX507,$AY507)*Paraméterek!$J$112&lt;IF($D$4="Forint",Paraméterek!$J$113,Paraméterek!$K$113),IF($D$4="Forint",Paraméterek!$J$113,Paraméterek!$K$113),IF(IF(ISBLANK($AY507),$AX507,$AY507)*Paraméterek!$J$112&gt;IF($D$4="Forint",Paraméterek!$J$114,Paraméterek!$K$114),IF($D$4="Forint",Paraméterek!$J$114,Paraméterek!$K$114),IF(ISBLANK($AY507),$AX507,$AY507)*Paraméterek!$J$112))),IF($D$4="Forint",0,2))</f>
        <v>0</v>
      </c>
      <c r="BA507" s="13">
        <f ca="1">$AT507+$AV507-$AW507-IF(ROUNDDOWN(IF(ISBLANK($AY507),$AX507,$AY507),IF($D$4="Forint",0,2))&gt;$AT507+$AV507-$AW507-IF($D$4="Forint",Paraméterek!$J$114,Paraméterek!$K$114),0,ROUNDDOWN(IF(ISBLANK($AY507),$AX507,$AY507),IF($D$4="Forint",0,2))-$AZ507)</f>
        <v>0</v>
      </c>
      <c r="BB507" s="13">
        <f t="shared" ca="1" si="165"/>
        <v>0</v>
      </c>
      <c r="BD507" s="32">
        <v>488</v>
      </c>
      <c r="BE507" s="32">
        <v>41</v>
      </c>
      <c r="BF507" s="32">
        <v>8</v>
      </c>
      <c r="BG507" s="34">
        <f t="shared" ca="1" si="174"/>
        <v>2060</v>
      </c>
      <c r="BH507" s="32" t="str">
        <f ca="1">IF(MOD(MONTH($D$14)+$BD507-1,12)=Paraméterek!$C$288,"Igen","")</f>
        <v/>
      </c>
      <c r="BI507" s="13">
        <f ca="1">IF($BH507="Igen",MIN(ROUNDDOWN((SUMIF($BG$20:$BG$1027,$BG507-1,$K$20:$K$1027)-SUMIF($BG$20:$BG$1027,$BG507-1,$I$20:$I$1027))*Paraméterek!$C$289,IF($D$4="Forint",0,2)),IF($D$4="Forint",Paraméterek!$C$285,Paraméterek!$D$285)),0)</f>
        <v>0</v>
      </c>
      <c r="BJ507" s="13">
        <f t="shared" ca="1" si="166"/>
        <v>0</v>
      </c>
      <c r="BK507" s="13">
        <f t="shared" ca="1" si="175"/>
        <v>0</v>
      </c>
      <c r="BL507" s="33"/>
      <c r="BM507" s="13">
        <f t="shared" ca="1" si="167"/>
        <v>0</v>
      </c>
      <c r="BN507" s="13">
        <f ca="1">ROUNDUP(($BK507+$BM507)*VLOOKUP($BE507,Paraméterek!$P$38:$Q$38,2)/12*IF($D508="Nem",IF($M$13=0,1,$M$13),1),IF($D$4="Forint",0,2))</f>
        <v>0</v>
      </c>
      <c r="BO507" s="13">
        <f t="shared" ca="1" si="168"/>
        <v>0</v>
      </c>
      <c r="BP507" s="13">
        <f ca="1">IF($D508="Nem",$BO507,$BO507-ROUNDUP(SUM($BI$20:$BI507)*120%,IF($D$4="Forint",0,2)))</f>
        <v>0</v>
      </c>
    </row>
    <row r="508" spans="1:68" x14ac:dyDescent="0.2">
      <c r="A508" s="32">
        <v>489</v>
      </c>
      <c r="B508" s="32">
        <v>41</v>
      </c>
      <c r="C508" s="32">
        <v>9</v>
      </c>
      <c r="D508" s="32" t="str">
        <f t="shared" ca="1" si="154"/>
        <v>Nem</v>
      </c>
      <c r="E508" s="13">
        <f t="shared" ca="1" si="155"/>
        <v>0</v>
      </c>
      <c r="F508" s="13"/>
      <c r="G508" s="13"/>
      <c r="H508" s="13"/>
      <c r="I508" s="13">
        <f t="shared" ca="1" si="156"/>
        <v>0</v>
      </c>
      <c r="J508" s="13">
        <f t="shared" ca="1" si="157"/>
        <v>0</v>
      </c>
      <c r="K508" s="13">
        <f t="shared" ca="1" si="158"/>
        <v>0</v>
      </c>
      <c r="L508" s="13" t="e">
        <f ca="1">ROUNDUP(IF($D$2="Egyszeri",$E508,IF($D$2="Havi",SUM($E$20:$E$31),IF(MOD($C508,$M$1)-1=0,SUM($E$20:$E$31),0))/12*$M$1)*VLOOKUP($B508,Paraméterek!$I$28:$P$31,IF($D$2="Egyszeri",8,HLOOKUP(ROUNDUP($M$11+$M$13,0),Paraméterek!$J$26:$O$27,2))),IF($D$4="Forint",0,2))</f>
        <v>#N/A</v>
      </c>
      <c r="M508" s="13">
        <f t="shared" ca="1" si="159"/>
        <v>0</v>
      </c>
      <c r="N508" s="13">
        <f t="shared" ca="1" si="169"/>
        <v>0</v>
      </c>
      <c r="O508" s="13">
        <f ca="1">IF($D508="Igen",IF($W507&gt;=IF($D$4="Forint",Paraméterek!$J$121,Paraméterek!$K$121),0,IF($D$4="Forint",Paraméterek!$J$121,Paraméterek!$K$121)-$W507),0)</f>
        <v>0</v>
      </c>
      <c r="P508" s="13" t="e">
        <f ca="1">ROUNDUP($O508*VLOOKUP($M$4+$B508-1,Paraméterek!$H$58:$I$105,2,0)/Paraméterek!$I$56,IF($D$4="Forint",0,2))</f>
        <v>#N/A</v>
      </c>
      <c r="Q508" s="13">
        <f t="shared" ca="1" si="160"/>
        <v>0</v>
      </c>
      <c r="R508" s="33"/>
      <c r="S508" s="13" t="e">
        <f t="shared" ca="1" si="161"/>
        <v>#N/A</v>
      </c>
      <c r="T508" s="13" t="e">
        <f ca="1">ROUNDUP(($N508-$P508-$Q508+$S508)*VLOOKUP($B508,Paraméterek!$I$38:$K$39,IF($D$2="Egyszeri",3,2))/12*IF($D509="Nem",IF($M$13=0,1,$M$13),1),IF($D$4="Forint",0,2))</f>
        <v>#N/A</v>
      </c>
      <c r="U508" s="13"/>
      <c r="V508" s="13"/>
      <c r="W508" s="13" t="e">
        <f ca="1">$N508-$P508-$Q508+$S508-$T508-IF(ROUNDUP(IF(ISBLANK($V508),$U508*0,$V508)/IF($D$2="Egyszeri",VLOOKUP($B508+IF($C508=12,1,0),Paraméterek!$V$257:$W$262,2),IF($B508=1,1,VLOOKUP($B508+IF($C508=12,1,0),Paraméterek!$I$258:$T$278,HLOOKUP($M$11+1,Paraméterek!$J$256:$T$257,2)))),IF($D$4="Forint",0,2))&gt;$N508-$P508-$Q508+$S508-$T508-IF($D$4="Forint",Paraméterek!$C$216,Paraméterek!$D$216),0,ROUNDUP(IF(ISBLANK($V508),$U508*0,$V508)/IF($D$2="Egyszeri",VLOOKUP($B508+IF($C508=12,1,0),Paraméterek!$V$257:$W$262,2),IF($B508=1,1,VLOOKUP($B508+IF($C508=12,1,0),Paraméterek!$I$258:$T$278,HLOOKUP($M$11+1,Paraméterek!$J$256:$T$257,2)))),IF($D$4="Forint",0,2)))</f>
        <v>#N/A</v>
      </c>
      <c r="X508" s="13" t="e">
        <f ca="1">ROUNDDOWN($W508*IF($D$2="Egyszeri",VLOOKUP($B508+IF($C508=12,1,0),Paraméterek!$V$257:$W$262,2),VLOOKUP($B508+IF($C508=12,1,0),Paraméterek!$I$258:$T$278,HLOOKUP($M$11+1,Paraméterek!$I$256:$T$257,2))),IF($D$4="Forint",0,2))</f>
        <v>#N/A</v>
      </c>
      <c r="Z508" s="32">
        <v>489</v>
      </c>
      <c r="AA508" s="32">
        <v>41</v>
      </c>
      <c r="AB508" s="32">
        <v>9</v>
      </c>
      <c r="AC508" s="13">
        <f t="shared" ca="1" si="170"/>
        <v>0</v>
      </c>
      <c r="AD508" s="33"/>
      <c r="AE508" s="13">
        <f t="shared" ca="1" si="162"/>
        <v>0</v>
      </c>
      <c r="AF508" s="13">
        <f ca="1">ROUNDUP(($AC508+$AE508)*VLOOKUP($AA508,Paraméterek!$P$38:$Q$38,2)/12*IF($D509="Nem",IF($M$13=0,1,$M$13),1),IF($D$4="Forint",0,2))</f>
        <v>0</v>
      </c>
      <c r="AG508" s="13">
        <f ca="1">IF($D$2="Egyszeri",IF($D$7&gt;=IF($D$4="Forint",Paraméterek!$P$223,Paraméterek!$P$224),$D$7-IF($D$4="Forint",Paraméterek!$P$223,Paraméterek!$P$224),0),MIN(IF($AB508=12,AVERAGEIF($E$20:$E508,"&gt;0",$E$20:$E508)*12,0),SUM($E$20:$E$31)))</f>
        <v>0</v>
      </c>
      <c r="AH508" s="13">
        <f>IF($AA508=10,$AG508*IF($AB508=12,IF($AG508&lt;IF($D$4="Forint",Paraméterek!$L$223,Paraméterek!$L$224),0,VLOOKUP($AA508,Paraméterek!$K$226:$M$228,IF($AG508&lt;IF($D$4="Forint",Paraméterek!$M$223,Paraméterek!$M$224),2,3))),0),0)</f>
        <v>0</v>
      </c>
      <c r="AI508" s="13">
        <f ca="1">IF(AND($AA508=$M$11+1,$AB508=$M$12+1),SUMIF($AA$20:$AA$1027,$AA508,$AG$20:$AG$1027)*IF(SUMIF($AA$20:$AA$1027,$AA508,$AG$20:$AG$1027)&lt;IF($D$4="Forint",Paraméterek!$L$223,Paraméterek!$L$224),0,VLOOKUP($AA508,Paraméterek!$K$230:$M$250,IF(SUMIF($AA$20:$AA$1027,$AA508,$AG$20:$AG$1027)&lt;IF($D$4="Forint",Paraméterek!$M$223,Paraméterek!$M$224),2,3))),0)</f>
        <v>0</v>
      </c>
      <c r="AJ508" s="13">
        <f ca="1">IF(AND($AA508&gt;=5,MOD($AA508,5)=0),IF($AB508=12,VLOOKUP($AA508,Paraméterek!$O$225:$P$240,2),0),IF(OR($AA508=3,$AA508=4),IF($AB508=12,VLOOKUP($AA508,Paraméterek!$O$225:$P$240,2,0),0),0))*$AG508</f>
        <v>0</v>
      </c>
      <c r="AK508" s="13">
        <f t="shared" ca="1" si="163"/>
        <v>0</v>
      </c>
      <c r="AL508" s="13">
        <f t="shared" ca="1" si="171"/>
        <v>0</v>
      </c>
      <c r="AM508" s="13">
        <f t="shared" ca="1" si="172"/>
        <v>0</v>
      </c>
      <c r="AO508" s="32">
        <v>489</v>
      </c>
      <c r="AP508" s="32">
        <v>41</v>
      </c>
      <c r="AQ508" s="32">
        <v>9</v>
      </c>
      <c r="AR508" s="13"/>
      <c r="AS508" s="32"/>
      <c r="AT508" s="13">
        <f t="shared" ca="1" si="173"/>
        <v>0</v>
      </c>
      <c r="AU508" s="33"/>
      <c r="AV508" s="13">
        <f t="shared" ca="1" si="164"/>
        <v>0</v>
      </c>
      <c r="AW508" s="13">
        <f ca="1">ROUNDUP(($AT508+$AV508)*VLOOKUP($AP508,Paraméterek!$P$38:$Q$38,2)/12*IF($D509="Nem",IF($M$13=0,1,$M$13),1),IF($D$4="Forint",0,2))</f>
        <v>0</v>
      </c>
      <c r="AX508" s="13"/>
      <c r="AY508" s="13"/>
      <c r="AZ508" s="13">
        <f>ROUNDUP(IF(SUM($AX508:$AY508)=0,0,IF(IF(ISBLANK($AY508),$AX508,$AY508)*Paraméterek!$J$112&lt;IF($D$4="Forint",Paraméterek!$J$113,Paraméterek!$K$113),IF($D$4="Forint",Paraméterek!$J$113,Paraméterek!$K$113),IF(IF(ISBLANK($AY508),$AX508,$AY508)*Paraméterek!$J$112&gt;IF($D$4="Forint",Paraméterek!$J$114,Paraméterek!$K$114),IF($D$4="Forint",Paraméterek!$J$114,Paraméterek!$K$114),IF(ISBLANK($AY508),$AX508,$AY508)*Paraméterek!$J$112))),IF($D$4="Forint",0,2))</f>
        <v>0</v>
      </c>
      <c r="BA508" s="13">
        <f ca="1">$AT508+$AV508-$AW508-IF(ROUNDDOWN(IF(ISBLANK($AY508),$AX508,$AY508),IF($D$4="Forint",0,2))&gt;$AT508+$AV508-$AW508-IF($D$4="Forint",Paraméterek!$J$114,Paraméterek!$K$114),0,ROUNDDOWN(IF(ISBLANK($AY508),$AX508,$AY508),IF($D$4="Forint",0,2))-$AZ508)</f>
        <v>0</v>
      </c>
      <c r="BB508" s="13">
        <f t="shared" ca="1" si="165"/>
        <v>0</v>
      </c>
      <c r="BD508" s="32">
        <v>489</v>
      </c>
      <c r="BE508" s="32">
        <v>41</v>
      </c>
      <c r="BF508" s="32">
        <v>9</v>
      </c>
      <c r="BG508" s="34">
        <f t="shared" ca="1" si="174"/>
        <v>2060</v>
      </c>
      <c r="BH508" s="32" t="str">
        <f ca="1">IF(MOD(MONTH($D$14)+$BD508-1,12)=Paraméterek!$C$288,"Igen","")</f>
        <v/>
      </c>
      <c r="BI508" s="13">
        <f ca="1">IF($BH508="Igen",MIN(ROUNDDOWN((SUMIF($BG$20:$BG$1027,$BG508-1,$K$20:$K$1027)-SUMIF($BG$20:$BG$1027,$BG508-1,$I$20:$I$1027))*Paraméterek!$C$289,IF($D$4="Forint",0,2)),IF($D$4="Forint",Paraméterek!$C$285,Paraméterek!$D$285)),0)</f>
        <v>0</v>
      </c>
      <c r="BJ508" s="13">
        <f t="shared" ca="1" si="166"/>
        <v>0</v>
      </c>
      <c r="BK508" s="13">
        <f t="shared" ca="1" si="175"/>
        <v>0</v>
      </c>
      <c r="BL508" s="33"/>
      <c r="BM508" s="13">
        <f t="shared" ca="1" si="167"/>
        <v>0</v>
      </c>
      <c r="BN508" s="13">
        <f ca="1">ROUNDUP(($BK508+$BM508)*VLOOKUP($BE508,Paraméterek!$P$38:$Q$38,2)/12*IF($D509="Nem",IF($M$13=0,1,$M$13),1),IF($D$4="Forint",0,2))</f>
        <v>0</v>
      </c>
      <c r="BO508" s="13">
        <f t="shared" ca="1" si="168"/>
        <v>0</v>
      </c>
      <c r="BP508" s="13">
        <f ca="1">IF($D509="Nem",$BO508,$BO508-ROUNDUP(SUM($BI$20:$BI508)*120%,IF($D$4="Forint",0,2)))</f>
        <v>0</v>
      </c>
    </row>
    <row r="509" spans="1:68" x14ac:dyDescent="0.2">
      <c r="A509" s="32">
        <v>490</v>
      </c>
      <c r="B509" s="32">
        <v>41</v>
      </c>
      <c r="C509" s="32">
        <v>10</v>
      </c>
      <c r="D509" s="32" t="str">
        <f t="shared" ca="1" si="154"/>
        <v>Nem</v>
      </c>
      <c r="E509" s="13">
        <f t="shared" ca="1" si="155"/>
        <v>0</v>
      </c>
      <c r="F509" s="13"/>
      <c r="G509" s="13"/>
      <c r="H509" s="13"/>
      <c r="I509" s="13">
        <f t="shared" ca="1" si="156"/>
        <v>0</v>
      </c>
      <c r="J509" s="13">
        <f t="shared" ca="1" si="157"/>
        <v>0</v>
      </c>
      <c r="K509" s="13">
        <f t="shared" ca="1" si="158"/>
        <v>0</v>
      </c>
      <c r="L509" s="13" t="e">
        <f ca="1">ROUNDUP(IF($D$2="Egyszeri",$E509,IF($D$2="Havi",SUM($E$20:$E$31),IF(MOD($C509,$M$1)-1=0,SUM($E$20:$E$31),0))/12*$M$1)*VLOOKUP($B509,Paraméterek!$I$28:$P$31,IF($D$2="Egyszeri",8,HLOOKUP(ROUNDUP($M$11+$M$13,0),Paraméterek!$J$26:$O$27,2))),IF($D$4="Forint",0,2))</f>
        <v>#N/A</v>
      </c>
      <c r="M509" s="13">
        <f t="shared" ca="1" si="159"/>
        <v>0</v>
      </c>
      <c r="N509" s="13">
        <f t="shared" ca="1" si="169"/>
        <v>0</v>
      </c>
      <c r="O509" s="13">
        <f ca="1">IF($D509="Igen",IF($W508&gt;=IF($D$4="Forint",Paraméterek!$J$121,Paraméterek!$K$121),0,IF($D$4="Forint",Paraméterek!$J$121,Paraméterek!$K$121)-$W508),0)</f>
        <v>0</v>
      </c>
      <c r="P509" s="13" t="e">
        <f ca="1">ROUNDUP($O509*VLOOKUP($M$4+$B509-1,Paraméterek!$H$58:$I$105,2,0)/Paraméterek!$I$56,IF($D$4="Forint",0,2))</f>
        <v>#N/A</v>
      </c>
      <c r="Q509" s="13">
        <f t="shared" ca="1" si="160"/>
        <v>0</v>
      </c>
      <c r="R509" s="33"/>
      <c r="S509" s="13" t="e">
        <f t="shared" ca="1" si="161"/>
        <v>#N/A</v>
      </c>
      <c r="T509" s="13" t="e">
        <f ca="1">ROUNDUP(($N509-$P509-$Q509+$S509)*VLOOKUP($B509,Paraméterek!$I$38:$K$39,IF($D$2="Egyszeri",3,2))/12*IF($D510="Nem",IF($M$13=0,1,$M$13),1),IF($D$4="Forint",0,2))</f>
        <v>#N/A</v>
      </c>
      <c r="U509" s="13"/>
      <c r="V509" s="13"/>
      <c r="W509" s="13" t="e">
        <f ca="1">$N509-$P509-$Q509+$S509-$T509-IF(ROUNDUP(IF(ISBLANK($V509),$U509*0,$V509)/IF($D$2="Egyszeri",VLOOKUP($B509+IF($C509=12,1,0),Paraméterek!$V$257:$W$262,2),IF($B509=1,1,VLOOKUP($B509+IF($C509=12,1,0),Paraméterek!$I$258:$T$278,HLOOKUP($M$11+1,Paraméterek!$J$256:$T$257,2)))),IF($D$4="Forint",0,2))&gt;$N509-$P509-$Q509+$S509-$T509-IF($D$4="Forint",Paraméterek!$C$216,Paraméterek!$D$216),0,ROUNDUP(IF(ISBLANK($V509),$U509*0,$V509)/IF($D$2="Egyszeri",VLOOKUP($B509+IF($C509=12,1,0),Paraméterek!$V$257:$W$262,2),IF($B509=1,1,VLOOKUP($B509+IF($C509=12,1,0),Paraméterek!$I$258:$T$278,HLOOKUP($M$11+1,Paraméterek!$J$256:$T$257,2)))),IF($D$4="Forint",0,2)))</f>
        <v>#N/A</v>
      </c>
      <c r="X509" s="13" t="e">
        <f ca="1">ROUNDDOWN($W509*IF($D$2="Egyszeri",VLOOKUP($B509+IF($C509=12,1,0),Paraméterek!$V$257:$W$262,2),VLOOKUP($B509+IF($C509=12,1,0),Paraméterek!$I$258:$T$278,HLOOKUP($M$11+1,Paraméterek!$I$256:$T$257,2))),IF($D$4="Forint",0,2))</f>
        <v>#N/A</v>
      </c>
      <c r="Z509" s="32">
        <v>490</v>
      </c>
      <c r="AA509" s="32">
        <v>41</v>
      </c>
      <c r="AB509" s="32">
        <v>10</v>
      </c>
      <c r="AC509" s="13">
        <f t="shared" ca="1" si="170"/>
        <v>0</v>
      </c>
      <c r="AD509" s="33"/>
      <c r="AE509" s="13">
        <f t="shared" ca="1" si="162"/>
        <v>0</v>
      </c>
      <c r="AF509" s="13">
        <f ca="1">ROUNDUP(($AC509+$AE509)*VLOOKUP($AA509,Paraméterek!$P$38:$Q$38,2)/12*IF($D510="Nem",IF($M$13=0,1,$M$13),1),IF($D$4="Forint",0,2))</f>
        <v>0</v>
      </c>
      <c r="AG509" s="13">
        <f ca="1">IF($D$2="Egyszeri",IF($D$7&gt;=IF($D$4="Forint",Paraméterek!$P$223,Paraméterek!$P$224),$D$7-IF($D$4="Forint",Paraméterek!$P$223,Paraméterek!$P$224),0),MIN(IF($AB509=12,AVERAGEIF($E$20:$E509,"&gt;0",$E$20:$E509)*12,0),SUM($E$20:$E$31)))</f>
        <v>0</v>
      </c>
      <c r="AH509" s="13">
        <f>IF($AA509=10,$AG509*IF($AB509=12,IF($AG509&lt;IF($D$4="Forint",Paraméterek!$L$223,Paraméterek!$L$224),0,VLOOKUP($AA509,Paraméterek!$K$226:$M$228,IF($AG509&lt;IF($D$4="Forint",Paraméterek!$M$223,Paraméterek!$M$224),2,3))),0),0)</f>
        <v>0</v>
      </c>
      <c r="AI509" s="13">
        <f ca="1">IF(AND($AA509=$M$11+1,$AB509=$M$12+1),SUMIF($AA$20:$AA$1027,$AA509,$AG$20:$AG$1027)*IF(SUMIF($AA$20:$AA$1027,$AA509,$AG$20:$AG$1027)&lt;IF($D$4="Forint",Paraméterek!$L$223,Paraméterek!$L$224),0,VLOOKUP($AA509,Paraméterek!$K$230:$M$250,IF(SUMIF($AA$20:$AA$1027,$AA509,$AG$20:$AG$1027)&lt;IF($D$4="Forint",Paraméterek!$M$223,Paraméterek!$M$224),2,3))),0)</f>
        <v>0</v>
      </c>
      <c r="AJ509" s="13">
        <f ca="1">IF(AND($AA509&gt;=5,MOD($AA509,5)=0),IF($AB509=12,VLOOKUP($AA509,Paraméterek!$O$225:$P$240,2),0),IF(OR($AA509=3,$AA509=4),IF($AB509=12,VLOOKUP($AA509,Paraméterek!$O$225:$P$240,2,0),0),0))*$AG509</f>
        <v>0</v>
      </c>
      <c r="AK509" s="13">
        <f t="shared" ca="1" si="163"/>
        <v>0</v>
      </c>
      <c r="AL509" s="13">
        <f t="shared" ca="1" si="171"/>
        <v>0</v>
      </c>
      <c r="AM509" s="13">
        <f t="shared" ca="1" si="172"/>
        <v>0</v>
      </c>
      <c r="AO509" s="32">
        <v>490</v>
      </c>
      <c r="AP509" s="32">
        <v>41</v>
      </c>
      <c r="AQ509" s="32">
        <v>10</v>
      </c>
      <c r="AR509" s="13"/>
      <c r="AS509" s="32"/>
      <c r="AT509" s="13">
        <f t="shared" ca="1" si="173"/>
        <v>0</v>
      </c>
      <c r="AU509" s="33"/>
      <c r="AV509" s="13">
        <f t="shared" ca="1" si="164"/>
        <v>0</v>
      </c>
      <c r="AW509" s="13">
        <f ca="1">ROUNDUP(($AT509+$AV509)*VLOOKUP($AP509,Paraméterek!$P$38:$Q$38,2)/12*IF($D510="Nem",IF($M$13=0,1,$M$13),1),IF($D$4="Forint",0,2))</f>
        <v>0</v>
      </c>
      <c r="AX509" s="13"/>
      <c r="AY509" s="13"/>
      <c r="AZ509" s="13">
        <f>ROUNDUP(IF(SUM($AX509:$AY509)=0,0,IF(IF(ISBLANK($AY509),$AX509,$AY509)*Paraméterek!$J$112&lt;IF($D$4="Forint",Paraméterek!$J$113,Paraméterek!$K$113),IF($D$4="Forint",Paraméterek!$J$113,Paraméterek!$K$113),IF(IF(ISBLANK($AY509),$AX509,$AY509)*Paraméterek!$J$112&gt;IF($D$4="Forint",Paraméterek!$J$114,Paraméterek!$K$114),IF($D$4="Forint",Paraméterek!$J$114,Paraméterek!$K$114),IF(ISBLANK($AY509),$AX509,$AY509)*Paraméterek!$J$112))),IF($D$4="Forint",0,2))</f>
        <v>0</v>
      </c>
      <c r="BA509" s="13">
        <f ca="1">$AT509+$AV509-$AW509-IF(ROUNDDOWN(IF(ISBLANK($AY509),$AX509,$AY509),IF($D$4="Forint",0,2))&gt;$AT509+$AV509-$AW509-IF($D$4="Forint",Paraméterek!$J$114,Paraméterek!$K$114),0,ROUNDDOWN(IF(ISBLANK($AY509),$AX509,$AY509),IF($D$4="Forint",0,2))-$AZ509)</f>
        <v>0</v>
      </c>
      <c r="BB509" s="13">
        <f t="shared" ca="1" si="165"/>
        <v>0</v>
      </c>
      <c r="BD509" s="32">
        <v>490</v>
      </c>
      <c r="BE509" s="32">
        <v>41</v>
      </c>
      <c r="BF509" s="32">
        <v>10</v>
      </c>
      <c r="BG509" s="34">
        <f t="shared" ca="1" si="174"/>
        <v>2060</v>
      </c>
      <c r="BH509" s="32" t="str">
        <f ca="1">IF(MOD(MONTH($D$14)+$BD509-1,12)=Paraméterek!$C$288,"Igen","")</f>
        <v/>
      </c>
      <c r="BI509" s="13">
        <f ca="1">IF($BH509="Igen",MIN(ROUNDDOWN((SUMIF($BG$20:$BG$1027,$BG509-1,$K$20:$K$1027)-SUMIF($BG$20:$BG$1027,$BG509-1,$I$20:$I$1027))*Paraméterek!$C$289,IF($D$4="Forint",0,2)),IF($D$4="Forint",Paraméterek!$C$285,Paraméterek!$D$285)),0)</f>
        <v>0</v>
      </c>
      <c r="BJ509" s="13">
        <f t="shared" ca="1" si="166"/>
        <v>0</v>
      </c>
      <c r="BK509" s="13">
        <f t="shared" ca="1" si="175"/>
        <v>0</v>
      </c>
      <c r="BL509" s="33"/>
      <c r="BM509" s="13">
        <f t="shared" ca="1" si="167"/>
        <v>0</v>
      </c>
      <c r="BN509" s="13">
        <f ca="1">ROUNDUP(($BK509+$BM509)*VLOOKUP($BE509,Paraméterek!$P$38:$Q$38,2)/12*IF($D510="Nem",IF($M$13=0,1,$M$13),1),IF($D$4="Forint",0,2))</f>
        <v>0</v>
      </c>
      <c r="BO509" s="13">
        <f t="shared" ca="1" si="168"/>
        <v>0</v>
      </c>
      <c r="BP509" s="13">
        <f ca="1">IF($D510="Nem",$BO509,$BO509-ROUNDUP(SUM($BI$20:$BI509)*120%,IF($D$4="Forint",0,2)))</f>
        <v>0</v>
      </c>
    </row>
    <row r="510" spans="1:68" x14ac:dyDescent="0.2">
      <c r="A510" s="32">
        <v>491</v>
      </c>
      <c r="B510" s="32">
        <v>41</v>
      </c>
      <c r="C510" s="32">
        <v>11</v>
      </c>
      <c r="D510" s="32" t="str">
        <f t="shared" ca="1" si="154"/>
        <v>Nem</v>
      </c>
      <c r="E510" s="13">
        <f t="shared" ca="1" si="155"/>
        <v>0</v>
      </c>
      <c r="F510" s="13"/>
      <c r="G510" s="13"/>
      <c r="H510" s="13"/>
      <c r="I510" s="13">
        <f t="shared" ca="1" si="156"/>
        <v>0</v>
      </c>
      <c r="J510" s="13">
        <f t="shared" ca="1" si="157"/>
        <v>0</v>
      </c>
      <c r="K510" s="13">
        <f t="shared" ca="1" si="158"/>
        <v>0</v>
      </c>
      <c r="L510" s="13" t="e">
        <f ca="1">ROUNDUP(IF($D$2="Egyszeri",$E510,IF($D$2="Havi",SUM($E$20:$E$31),IF(MOD($C510,$M$1)-1=0,SUM($E$20:$E$31),0))/12*$M$1)*VLOOKUP($B510,Paraméterek!$I$28:$P$31,IF($D$2="Egyszeri",8,HLOOKUP(ROUNDUP($M$11+$M$13,0),Paraméterek!$J$26:$O$27,2))),IF($D$4="Forint",0,2))</f>
        <v>#N/A</v>
      </c>
      <c r="M510" s="13">
        <f t="shared" ca="1" si="159"/>
        <v>0</v>
      </c>
      <c r="N510" s="13">
        <f t="shared" ca="1" si="169"/>
        <v>0</v>
      </c>
      <c r="O510" s="13">
        <f ca="1">IF($D510="Igen",IF($W509&gt;=IF($D$4="Forint",Paraméterek!$J$121,Paraméterek!$K$121),0,IF($D$4="Forint",Paraméterek!$J$121,Paraméterek!$K$121)-$W509),0)</f>
        <v>0</v>
      </c>
      <c r="P510" s="13" t="e">
        <f ca="1">ROUNDUP($O510*VLOOKUP($M$4+$B510-1,Paraméterek!$H$58:$I$105,2,0)/Paraméterek!$I$56,IF($D$4="Forint",0,2))</f>
        <v>#N/A</v>
      </c>
      <c r="Q510" s="13">
        <f t="shared" ca="1" si="160"/>
        <v>0</v>
      </c>
      <c r="R510" s="33"/>
      <c r="S510" s="13" t="e">
        <f t="shared" ca="1" si="161"/>
        <v>#N/A</v>
      </c>
      <c r="T510" s="13" t="e">
        <f ca="1">ROUNDUP(($N510-$P510-$Q510+$S510)*VLOOKUP($B510,Paraméterek!$I$38:$K$39,IF($D$2="Egyszeri",3,2))/12*IF($D511="Nem",IF($M$13=0,1,$M$13),1),IF($D$4="Forint",0,2))</f>
        <v>#N/A</v>
      </c>
      <c r="U510" s="13"/>
      <c r="V510" s="13"/>
      <c r="W510" s="13" t="e">
        <f ca="1">$N510-$P510-$Q510+$S510-$T510-IF(ROUNDUP(IF(ISBLANK($V510),$U510*0,$V510)/IF($D$2="Egyszeri",VLOOKUP($B510+IF($C510=12,1,0),Paraméterek!$V$257:$W$262,2),IF($B510=1,1,VLOOKUP($B510+IF($C510=12,1,0),Paraméterek!$I$258:$T$278,HLOOKUP($M$11+1,Paraméterek!$J$256:$T$257,2)))),IF($D$4="Forint",0,2))&gt;$N510-$P510-$Q510+$S510-$T510-IF($D$4="Forint",Paraméterek!$C$216,Paraméterek!$D$216),0,ROUNDUP(IF(ISBLANK($V510),$U510*0,$V510)/IF($D$2="Egyszeri",VLOOKUP($B510+IF($C510=12,1,0),Paraméterek!$V$257:$W$262,2),IF($B510=1,1,VLOOKUP($B510+IF($C510=12,1,0),Paraméterek!$I$258:$T$278,HLOOKUP($M$11+1,Paraméterek!$J$256:$T$257,2)))),IF($D$4="Forint",0,2)))</f>
        <v>#N/A</v>
      </c>
      <c r="X510" s="13" t="e">
        <f ca="1">ROUNDDOWN($W510*IF($D$2="Egyszeri",VLOOKUP($B510+IF($C510=12,1,0),Paraméterek!$V$257:$W$262,2),VLOOKUP($B510+IF($C510=12,1,0),Paraméterek!$I$258:$T$278,HLOOKUP($M$11+1,Paraméterek!$I$256:$T$257,2))),IF($D$4="Forint",0,2))</f>
        <v>#N/A</v>
      </c>
      <c r="Z510" s="32">
        <v>491</v>
      </c>
      <c r="AA510" s="32">
        <v>41</v>
      </c>
      <c r="AB510" s="32">
        <v>11</v>
      </c>
      <c r="AC510" s="13">
        <f t="shared" ca="1" si="170"/>
        <v>0</v>
      </c>
      <c r="AD510" s="33"/>
      <c r="AE510" s="13">
        <f t="shared" ca="1" si="162"/>
        <v>0</v>
      </c>
      <c r="AF510" s="13">
        <f ca="1">ROUNDUP(($AC510+$AE510)*VLOOKUP($AA510,Paraméterek!$P$38:$Q$38,2)/12*IF($D511="Nem",IF($M$13=0,1,$M$13),1),IF($D$4="Forint",0,2))</f>
        <v>0</v>
      </c>
      <c r="AG510" s="13">
        <f ca="1">IF($D$2="Egyszeri",IF($D$7&gt;=IF($D$4="Forint",Paraméterek!$P$223,Paraméterek!$P$224),$D$7-IF($D$4="Forint",Paraméterek!$P$223,Paraméterek!$P$224),0),MIN(IF($AB510=12,AVERAGEIF($E$20:$E510,"&gt;0",$E$20:$E510)*12,0),SUM($E$20:$E$31)))</f>
        <v>0</v>
      </c>
      <c r="AH510" s="13">
        <f>IF($AA510=10,$AG510*IF($AB510=12,IF($AG510&lt;IF($D$4="Forint",Paraméterek!$L$223,Paraméterek!$L$224),0,VLOOKUP($AA510,Paraméterek!$K$226:$M$228,IF($AG510&lt;IF($D$4="Forint",Paraméterek!$M$223,Paraméterek!$M$224),2,3))),0),0)</f>
        <v>0</v>
      </c>
      <c r="AI510" s="13">
        <f ca="1">IF(AND($AA510=$M$11+1,$AB510=$M$12+1),SUMIF($AA$20:$AA$1027,$AA510,$AG$20:$AG$1027)*IF(SUMIF($AA$20:$AA$1027,$AA510,$AG$20:$AG$1027)&lt;IF($D$4="Forint",Paraméterek!$L$223,Paraméterek!$L$224),0,VLOOKUP($AA510,Paraméterek!$K$230:$M$250,IF(SUMIF($AA$20:$AA$1027,$AA510,$AG$20:$AG$1027)&lt;IF($D$4="Forint",Paraméterek!$M$223,Paraméterek!$M$224),2,3))),0)</f>
        <v>0</v>
      </c>
      <c r="AJ510" s="13">
        <f ca="1">IF(AND($AA510&gt;=5,MOD($AA510,5)=0),IF($AB510=12,VLOOKUP($AA510,Paraméterek!$O$225:$P$240,2),0),IF(OR($AA510=3,$AA510=4),IF($AB510=12,VLOOKUP($AA510,Paraméterek!$O$225:$P$240,2,0),0),0))*$AG510</f>
        <v>0</v>
      </c>
      <c r="AK510" s="13">
        <f t="shared" ca="1" si="163"/>
        <v>0</v>
      </c>
      <c r="AL510" s="13">
        <f t="shared" ca="1" si="171"/>
        <v>0</v>
      </c>
      <c r="AM510" s="13">
        <f t="shared" ca="1" si="172"/>
        <v>0</v>
      </c>
      <c r="AO510" s="32">
        <v>491</v>
      </c>
      <c r="AP510" s="32">
        <v>41</v>
      </c>
      <c r="AQ510" s="32">
        <v>11</v>
      </c>
      <c r="AR510" s="13"/>
      <c r="AS510" s="32"/>
      <c r="AT510" s="13">
        <f t="shared" ca="1" si="173"/>
        <v>0</v>
      </c>
      <c r="AU510" s="33"/>
      <c r="AV510" s="13">
        <f t="shared" ca="1" si="164"/>
        <v>0</v>
      </c>
      <c r="AW510" s="13">
        <f ca="1">ROUNDUP(($AT510+$AV510)*VLOOKUP($AP510,Paraméterek!$P$38:$Q$38,2)/12*IF($D511="Nem",IF($M$13=0,1,$M$13),1),IF($D$4="Forint",0,2))</f>
        <v>0</v>
      </c>
      <c r="AX510" s="13"/>
      <c r="AY510" s="13"/>
      <c r="AZ510" s="13">
        <f>ROUNDUP(IF(SUM($AX510:$AY510)=0,0,IF(IF(ISBLANK($AY510),$AX510,$AY510)*Paraméterek!$J$112&lt;IF($D$4="Forint",Paraméterek!$J$113,Paraméterek!$K$113),IF($D$4="Forint",Paraméterek!$J$113,Paraméterek!$K$113),IF(IF(ISBLANK($AY510),$AX510,$AY510)*Paraméterek!$J$112&gt;IF($D$4="Forint",Paraméterek!$J$114,Paraméterek!$K$114),IF($D$4="Forint",Paraméterek!$J$114,Paraméterek!$K$114),IF(ISBLANK($AY510),$AX510,$AY510)*Paraméterek!$J$112))),IF($D$4="Forint",0,2))</f>
        <v>0</v>
      </c>
      <c r="BA510" s="13">
        <f ca="1">$AT510+$AV510-$AW510-IF(ROUNDDOWN(IF(ISBLANK($AY510),$AX510,$AY510),IF($D$4="Forint",0,2))&gt;$AT510+$AV510-$AW510-IF($D$4="Forint",Paraméterek!$J$114,Paraméterek!$K$114),0,ROUNDDOWN(IF(ISBLANK($AY510),$AX510,$AY510),IF($D$4="Forint",0,2))-$AZ510)</f>
        <v>0</v>
      </c>
      <c r="BB510" s="13">
        <f t="shared" ca="1" si="165"/>
        <v>0</v>
      </c>
      <c r="BD510" s="32">
        <v>491</v>
      </c>
      <c r="BE510" s="32">
        <v>41</v>
      </c>
      <c r="BF510" s="32">
        <v>11</v>
      </c>
      <c r="BG510" s="34">
        <f t="shared" ca="1" si="174"/>
        <v>2060</v>
      </c>
      <c r="BH510" s="32" t="str">
        <f ca="1">IF(MOD(MONTH($D$14)+$BD510-1,12)=Paraméterek!$C$288,"Igen","")</f>
        <v/>
      </c>
      <c r="BI510" s="13">
        <f ca="1">IF($BH510="Igen",MIN(ROUNDDOWN((SUMIF($BG$20:$BG$1027,$BG510-1,$K$20:$K$1027)-SUMIF($BG$20:$BG$1027,$BG510-1,$I$20:$I$1027))*Paraméterek!$C$289,IF($D$4="Forint",0,2)),IF($D$4="Forint",Paraméterek!$C$285,Paraméterek!$D$285)),0)</f>
        <v>0</v>
      </c>
      <c r="BJ510" s="13">
        <f t="shared" ca="1" si="166"/>
        <v>0</v>
      </c>
      <c r="BK510" s="13">
        <f t="shared" ca="1" si="175"/>
        <v>0</v>
      </c>
      <c r="BL510" s="33"/>
      <c r="BM510" s="13">
        <f t="shared" ca="1" si="167"/>
        <v>0</v>
      </c>
      <c r="BN510" s="13">
        <f ca="1">ROUNDUP(($BK510+$BM510)*VLOOKUP($BE510,Paraméterek!$P$38:$Q$38,2)/12*IF($D511="Nem",IF($M$13=0,1,$M$13),1),IF($D$4="Forint",0,2))</f>
        <v>0</v>
      </c>
      <c r="BO510" s="13">
        <f t="shared" ca="1" si="168"/>
        <v>0</v>
      </c>
      <c r="BP510" s="13">
        <f ca="1">IF($D511="Nem",$BO510,$BO510-ROUNDUP(SUM($BI$20:$BI510)*120%,IF($D$4="Forint",0,2)))</f>
        <v>0</v>
      </c>
    </row>
    <row r="511" spans="1:68" x14ac:dyDescent="0.2">
      <c r="A511" s="32">
        <v>492</v>
      </c>
      <c r="B511" s="32">
        <v>41</v>
      </c>
      <c r="C511" s="32">
        <v>12</v>
      </c>
      <c r="D511" s="32" t="str">
        <f t="shared" ca="1" si="154"/>
        <v>Nem</v>
      </c>
      <c r="E511" s="13">
        <f t="shared" ca="1" si="155"/>
        <v>0</v>
      </c>
      <c r="F511" s="13"/>
      <c r="G511" s="13"/>
      <c r="H511" s="13"/>
      <c r="I511" s="13">
        <f t="shared" ca="1" si="156"/>
        <v>0</v>
      </c>
      <c r="J511" s="13">
        <f t="shared" ca="1" si="157"/>
        <v>0</v>
      </c>
      <c r="K511" s="13">
        <f t="shared" ca="1" si="158"/>
        <v>0</v>
      </c>
      <c r="L511" s="13" t="e">
        <f ca="1">ROUNDUP(IF($D$2="Egyszeri",$E511,IF($D$2="Havi",SUM($E$20:$E$31),IF(MOD($C511,$M$1)-1=0,SUM($E$20:$E$31),0))/12*$M$1)*VLOOKUP($B511,Paraméterek!$I$28:$P$31,IF($D$2="Egyszeri",8,HLOOKUP(ROUNDUP($M$11+$M$13,0),Paraméterek!$J$26:$O$27,2))),IF($D$4="Forint",0,2))</f>
        <v>#N/A</v>
      </c>
      <c r="M511" s="13">
        <f t="shared" ca="1" si="159"/>
        <v>0</v>
      </c>
      <c r="N511" s="13">
        <f t="shared" ca="1" si="169"/>
        <v>0</v>
      </c>
      <c r="O511" s="13">
        <f ca="1">IF($D511="Igen",IF($W510&gt;=IF($D$4="Forint",Paraméterek!$J$121,Paraméterek!$K$121),0,IF($D$4="Forint",Paraméterek!$J$121,Paraméterek!$K$121)-$W510),0)</f>
        <v>0</v>
      </c>
      <c r="P511" s="13" t="e">
        <f ca="1">ROUNDUP($O511*VLOOKUP($M$4+$B511-1,Paraméterek!$H$58:$I$105,2,0)/Paraméterek!$I$56,IF($D$4="Forint",0,2))</f>
        <v>#N/A</v>
      </c>
      <c r="Q511" s="13">
        <f t="shared" ca="1" si="160"/>
        <v>0</v>
      </c>
      <c r="R511" s="33"/>
      <c r="S511" s="13" t="e">
        <f t="shared" ca="1" si="161"/>
        <v>#N/A</v>
      </c>
      <c r="T511" s="13" t="e">
        <f ca="1">ROUNDUP(($N511-$P511-$Q511+$S511)*VLOOKUP($B511,Paraméterek!$I$38:$K$39,IF($D$2="Egyszeri",3,2))/12*IF($D512="Nem",IF($M$13=0,1,$M$13),1),IF($D$4="Forint",0,2))</f>
        <v>#N/A</v>
      </c>
      <c r="U511" s="13">
        <f>Tranzakciók!$F$72</f>
        <v>0</v>
      </c>
      <c r="V511" s="13"/>
      <c r="W511" s="13" t="e">
        <f ca="1">$N511-$P511-$Q511+$S511-$T511-IF(ROUNDUP(IF(ISBLANK($V511),$U511*0,$V511)/IF($D$2="Egyszeri",VLOOKUP($B511+IF($C511=12,1,0),Paraméterek!$V$257:$W$262,2),IF($B511=1,1,VLOOKUP($B511+IF($C511=12,1,0),Paraméterek!$I$258:$T$278,HLOOKUP($M$11+1,Paraméterek!$J$256:$T$257,2)))),IF($D$4="Forint",0,2))&gt;$N511-$P511-$Q511+$S511-$T511-IF($D$4="Forint",Paraméterek!$C$216,Paraméterek!$D$216),0,ROUNDUP(IF(ISBLANK($V511),$U511*0,$V511)/IF($D$2="Egyszeri",VLOOKUP($B511+IF($C511=12,1,0),Paraméterek!$V$257:$W$262,2),IF($B511=1,1,VLOOKUP($B511+IF($C511=12,1,0),Paraméterek!$I$258:$T$278,HLOOKUP($M$11+1,Paraméterek!$J$256:$T$257,2)))),IF($D$4="Forint",0,2)))</f>
        <v>#N/A</v>
      </c>
      <c r="X511" s="13" t="e">
        <f ca="1">ROUNDDOWN($W511*IF($D$2="Egyszeri",VLOOKUP($B511+IF($C511=12,1,0),Paraméterek!$V$257:$W$262,2),VLOOKUP($B511+IF($C511=12,1,0),Paraméterek!$I$258:$T$278,HLOOKUP($M$11+1,Paraméterek!$I$256:$T$257,2))),IF($D$4="Forint",0,2))</f>
        <v>#N/A</v>
      </c>
      <c r="Z511" s="32">
        <v>492</v>
      </c>
      <c r="AA511" s="32">
        <v>41</v>
      </c>
      <c r="AB511" s="32">
        <v>12</v>
      </c>
      <c r="AC511" s="13">
        <f t="shared" ca="1" si="170"/>
        <v>0</v>
      </c>
      <c r="AD511" s="33"/>
      <c r="AE511" s="13">
        <f t="shared" ca="1" si="162"/>
        <v>0</v>
      </c>
      <c r="AF511" s="13">
        <f ca="1">ROUNDUP(($AC511+$AE511)*VLOOKUP($AA511,Paraméterek!$P$38:$Q$38,2)/12*IF($D512="Nem",IF($M$13=0,1,$M$13),1),IF($D$4="Forint",0,2))</f>
        <v>0</v>
      </c>
      <c r="AG511" s="13" t="e">
        <f ca="1">IF($D$2="Egyszeri",IF($D$7&gt;=IF($D$4="Forint",Paraméterek!$P$223,Paraméterek!$P$224),$D$7-IF($D$4="Forint",Paraméterek!$P$223,Paraméterek!$P$224),0),MIN(IF($AB511=12,AVERAGEIF($E$20:$E511,"&gt;0",$E$20:$E511)*12,0),SUM($E$20:$E$31)))</f>
        <v>#DIV/0!</v>
      </c>
      <c r="AH511" s="13">
        <f>IF($AA511=10,$AG511*IF($AB511=12,IF($AG511&lt;IF($D$4="Forint",Paraméterek!$L$223,Paraméterek!$L$224),0,VLOOKUP($AA511,Paraméterek!$K$226:$M$228,IF($AG511&lt;IF($D$4="Forint",Paraméterek!$M$223,Paraméterek!$M$224),2,3))),0),0)</f>
        <v>0</v>
      </c>
      <c r="AI511" s="13">
        <f ca="1">IF(AND($AA511=$M$11+1,$AB511=$M$12+1),SUMIF($AA$20:$AA$1027,$AA511,$AG$20:$AG$1027)*IF(SUMIF($AA$20:$AA$1027,$AA511,$AG$20:$AG$1027)&lt;IF($D$4="Forint",Paraméterek!$L$223,Paraméterek!$L$224),0,VLOOKUP($AA511,Paraméterek!$K$230:$M$250,IF(SUMIF($AA$20:$AA$1027,$AA511,$AG$20:$AG$1027)&lt;IF($D$4="Forint",Paraméterek!$M$223,Paraméterek!$M$224),2,3))),0)</f>
        <v>0</v>
      </c>
      <c r="AJ511" s="13" t="e">
        <f ca="1">IF(AND($AA511&gt;=5,MOD($AA511,5)=0),IF($AB511=12,VLOOKUP($AA511,Paraméterek!$O$225:$P$240,2),0),IF(OR($AA511=3,$AA511=4),IF($AB511=12,VLOOKUP($AA511,Paraméterek!$O$225:$P$240,2,0),0),0))*$AG511</f>
        <v>#DIV/0!</v>
      </c>
      <c r="AK511" s="13">
        <f t="shared" ca="1" si="163"/>
        <v>0</v>
      </c>
      <c r="AL511" s="13">
        <f t="shared" ca="1" si="171"/>
        <v>0</v>
      </c>
      <c r="AM511" s="13">
        <f t="shared" ca="1" si="172"/>
        <v>0</v>
      </c>
      <c r="AO511" s="32">
        <v>492</v>
      </c>
      <c r="AP511" s="32">
        <v>41</v>
      </c>
      <c r="AQ511" s="32">
        <v>12</v>
      </c>
      <c r="AR511" s="13"/>
      <c r="AS511" s="32"/>
      <c r="AT511" s="13">
        <f t="shared" ca="1" si="173"/>
        <v>0</v>
      </c>
      <c r="AU511" s="33"/>
      <c r="AV511" s="13">
        <f t="shared" ca="1" si="164"/>
        <v>0</v>
      </c>
      <c r="AW511" s="13">
        <f ca="1">ROUNDUP(($AT511+$AV511)*VLOOKUP($AP511,Paraméterek!$P$38:$Q$38,2)/12*IF($D512="Nem",IF($M$13=0,1,$M$13),1),IF($D$4="Forint",0,2))</f>
        <v>0</v>
      </c>
      <c r="AX511" s="13">
        <f>Tranzakciók!$M$72</f>
        <v>0</v>
      </c>
      <c r="AY511" s="13"/>
      <c r="AZ511" s="13">
        <f>ROUNDUP(IF(SUM($AX511:$AY511)=0,0,IF(IF(ISBLANK($AY511),$AX511,$AY511)*Paraméterek!$J$112&lt;IF($D$4="Forint",Paraméterek!$J$113,Paraméterek!$K$113),IF($D$4="Forint",Paraméterek!$J$113,Paraméterek!$K$113),IF(IF(ISBLANK($AY511),$AX511,$AY511)*Paraméterek!$J$112&gt;IF($D$4="Forint",Paraméterek!$J$114,Paraméterek!$K$114),IF($D$4="Forint",Paraméterek!$J$114,Paraméterek!$K$114),IF(ISBLANK($AY511),$AX511,$AY511)*Paraméterek!$J$112))),IF($D$4="Forint",0,2))</f>
        <v>0</v>
      </c>
      <c r="BA511" s="13">
        <f ca="1">$AT511+$AV511-$AW511-IF(ROUNDDOWN(IF(ISBLANK($AY511),$AX511,$AY511),IF($D$4="Forint",0,2))&gt;$AT511+$AV511-$AW511-IF($D$4="Forint",Paraméterek!$J$114,Paraméterek!$K$114),0,ROUNDDOWN(IF(ISBLANK($AY511),$AX511,$AY511),IF($D$4="Forint",0,2))-$AZ511)</f>
        <v>0</v>
      </c>
      <c r="BB511" s="13">
        <f t="shared" ca="1" si="165"/>
        <v>0</v>
      </c>
      <c r="BD511" s="32">
        <v>492</v>
      </c>
      <c r="BE511" s="32">
        <v>41</v>
      </c>
      <c r="BF511" s="32">
        <v>12</v>
      </c>
      <c r="BG511" s="34">
        <f t="shared" ca="1" si="174"/>
        <v>2060</v>
      </c>
      <c r="BH511" s="32" t="str">
        <f ca="1">IF(MOD(MONTH($D$14)+$BD511-1,12)=Paraméterek!$C$288,"Igen","")</f>
        <v/>
      </c>
      <c r="BI511" s="13">
        <f ca="1">IF($BH511="Igen",MIN(ROUNDDOWN((SUMIF($BG$20:$BG$1027,$BG511-1,$K$20:$K$1027)-SUMIF($BG$20:$BG$1027,$BG511-1,$I$20:$I$1027))*Paraméterek!$C$289,IF($D$4="Forint",0,2)),IF($D$4="Forint",Paraméterek!$C$285,Paraméterek!$D$285)),0)</f>
        <v>0</v>
      </c>
      <c r="BJ511" s="13">
        <f t="shared" ca="1" si="166"/>
        <v>0</v>
      </c>
      <c r="BK511" s="13">
        <f t="shared" ca="1" si="175"/>
        <v>0</v>
      </c>
      <c r="BL511" s="33"/>
      <c r="BM511" s="13">
        <f t="shared" ca="1" si="167"/>
        <v>0</v>
      </c>
      <c r="BN511" s="13">
        <f ca="1">ROUNDUP(($BK511+$BM511)*VLOOKUP($BE511,Paraméterek!$P$38:$Q$38,2)/12*IF($D512="Nem",IF($M$13=0,1,$M$13),1),IF($D$4="Forint",0,2))</f>
        <v>0</v>
      </c>
      <c r="BO511" s="13">
        <f t="shared" ca="1" si="168"/>
        <v>0</v>
      </c>
      <c r="BP511" s="13">
        <f ca="1">IF($D512="Nem",$BO511,$BO511-ROUNDUP(SUM($BI$20:$BI511)*120%,IF($D$4="Forint",0,2)))</f>
        <v>0</v>
      </c>
    </row>
    <row r="512" spans="1:68" x14ac:dyDescent="0.2">
      <c r="A512" s="32">
        <v>493</v>
      </c>
      <c r="B512" s="32">
        <v>42</v>
      </c>
      <c r="C512" s="32">
        <v>1</v>
      </c>
      <c r="D512" s="32" t="str">
        <f t="shared" ca="1" si="154"/>
        <v>Nem</v>
      </c>
      <c r="E512" s="13">
        <f t="shared" ca="1" si="155"/>
        <v>0</v>
      </c>
      <c r="F512" s="13"/>
      <c r="G512" s="13">
        <f>Tranzakciók!$D$73</f>
        <v>0</v>
      </c>
      <c r="H512" s="13"/>
      <c r="I512" s="13">
        <f t="shared" ca="1" si="156"/>
        <v>0</v>
      </c>
      <c r="J512" s="13">
        <f t="shared" ca="1" si="157"/>
        <v>0</v>
      </c>
      <c r="K512" s="13">
        <f t="shared" ca="1" si="158"/>
        <v>0</v>
      </c>
      <c r="L512" s="13" t="e">
        <f ca="1">ROUNDUP(IF($D$2="Egyszeri",$E512,IF($D$2="Havi",SUM($E$20:$E$31),IF(MOD($C512,$M$1)-1=0,SUM($E$20:$E$31),0))/12*$M$1)*VLOOKUP($B512,Paraméterek!$I$28:$P$31,IF($D$2="Egyszeri",8,HLOOKUP(ROUNDUP($M$11+$M$13,0),Paraméterek!$J$26:$O$27,2))),IF($D$4="Forint",0,2))</f>
        <v>#N/A</v>
      </c>
      <c r="M512" s="13">
        <f t="shared" ca="1" si="159"/>
        <v>0</v>
      </c>
      <c r="N512" s="13">
        <f t="shared" ca="1" si="169"/>
        <v>0</v>
      </c>
      <c r="O512" s="13">
        <f ca="1">IF($D512="Igen",IF($W511&gt;=IF($D$4="Forint",Paraméterek!$J$121,Paraméterek!$K$121),0,IF($D$4="Forint",Paraméterek!$J$121,Paraméterek!$K$121)-$W511),0)</f>
        <v>0</v>
      </c>
      <c r="P512" s="13" t="e">
        <f ca="1">ROUNDUP($O512*VLOOKUP($M$4+$B512-1,Paraméterek!$H$58:$I$105,2,0)/Paraméterek!$I$56,IF($D$4="Forint",0,2))</f>
        <v>#N/A</v>
      </c>
      <c r="Q512" s="13">
        <f t="shared" ca="1" si="160"/>
        <v>0</v>
      </c>
      <c r="R512" s="33"/>
      <c r="S512" s="13" t="e">
        <f t="shared" ca="1" si="161"/>
        <v>#N/A</v>
      </c>
      <c r="T512" s="13" t="e">
        <f ca="1">ROUNDUP(($N512-$P512-$Q512+$S512)*VLOOKUP($B512,Paraméterek!$I$38:$K$39,IF($D$2="Egyszeri",3,2))/12*IF($D513="Nem",IF($M$13=0,1,$M$13),1),IF($D$4="Forint",0,2))</f>
        <v>#N/A</v>
      </c>
      <c r="U512" s="13"/>
      <c r="V512" s="13"/>
      <c r="W512" s="13" t="e">
        <f ca="1">$N512-$P512-$Q512+$S512-$T512-IF(ROUNDUP(IF(ISBLANK($V512),$U512*0,$V512)/IF($D$2="Egyszeri",VLOOKUP($B512+IF($C512=12,1,0),Paraméterek!$V$257:$W$262,2),IF($B512=1,1,VLOOKUP($B512+IF($C512=12,1,0),Paraméterek!$I$258:$T$278,HLOOKUP($M$11+1,Paraméterek!$J$256:$T$257,2)))),IF($D$4="Forint",0,2))&gt;$N512-$P512-$Q512+$S512-$T512-IF($D$4="Forint",Paraméterek!$C$216,Paraméterek!$D$216),0,ROUNDUP(IF(ISBLANK($V512),$U512*0,$V512)/IF($D$2="Egyszeri",VLOOKUP($B512+IF($C512=12,1,0),Paraméterek!$V$257:$W$262,2),IF($B512=1,1,VLOOKUP($B512+IF($C512=12,1,0),Paraméterek!$I$258:$T$278,HLOOKUP($M$11+1,Paraméterek!$J$256:$T$257,2)))),IF($D$4="Forint",0,2)))</f>
        <v>#N/A</v>
      </c>
      <c r="X512" s="13" t="e">
        <f ca="1">ROUNDDOWN($W512*IF($D$2="Egyszeri",VLOOKUP($B512+IF($C512=12,1,0),Paraméterek!$V$257:$W$262,2),VLOOKUP($B512+IF($C512=12,1,0),Paraméterek!$I$258:$T$278,HLOOKUP($M$11+1,Paraméterek!$I$256:$T$257,2))),IF($D$4="Forint",0,2))</f>
        <v>#N/A</v>
      </c>
      <c r="Z512" s="32">
        <v>493</v>
      </c>
      <c r="AA512" s="32">
        <v>42</v>
      </c>
      <c r="AB512" s="32">
        <v>1</v>
      </c>
      <c r="AC512" s="13">
        <f t="shared" ca="1" si="170"/>
        <v>0</v>
      </c>
      <c r="AD512" s="33"/>
      <c r="AE512" s="13">
        <f t="shared" ca="1" si="162"/>
        <v>0</v>
      </c>
      <c r="AF512" s="13">
        <f ca="1">ROUNDUP(($AC512+$AE512)*VLOOKUP($AA512,Paraméterek!$P$38:$Q$38,2)/12*IF($D513="Nem",IF($M$13=0,1,$M$13),1),IF($D$4="Forint",0,2))</f>
        <v>0</v>
      </c>
      <c r="AG512" s="13">
        <f ca="1">IF($D$2="Egyszeri",IF($D$7&gt;=IF($D$4="Forint",Paraméterek!$P$223,Paraméterek!$P$224),$D$7-IF($D$4="Forint",Paraméterek!$P$223,Paraméterek!$P$224),0),MIN(IF($AB512=12,AVERAGEIF($E$20:$E512,"&gt;0",$E$20:$E512)*12,0),SUM($E$20:$E$31)))</f>
        <v>0</v>
      </c>
      <c r="AH512" s="13">
        <f>IF($AA512=10,$AG512*IF($AB512=12,IF($AG512&lt;IF($D$4="Forint",Paraméterek!$L$223,Paraméterek!$L$224),0,VLOOKUP($AA512,Paraméterek!$K$226:$M$228,IF($AG512&lt;IF($D$4="Forint",Paraméterek!$M$223,Paraméterek!$M$224),2,3))),0),0)</f>
        <v>0</v>
      </c>
      <c r="AI512" s="13">
        <f ca="1">IF(AND($AA512=$M$11+1,$AB512=$M$12+1),SUMIF($AA$20:$AA$1027,$AA512,$AG$20:$AG$1027)*IF(SUMIF($AA$20:$AA$1027,$AA512,$AG$20:$AG$1027)&lt;IF($D$4="Forint",Paraméterek!$L$223,Paraméterek!$L$224),0,VLOOKUP($AA512,Paraméterek!$K$230:$M$250,IF(SUMIF($AA$20:$AA$1027,$AA512,$AG$20:$AG$1027)&lt;IF($D$4="Forint",Paraméterek!$M$223,Paraméterek!$M$224),2,3))),0)</f>
        <v>0</v>
      </c>
      <c r="AJ512" s="13">
        <f ca="1">IF(AND($AA512&gt;=5,MOD($AA512,5)=0),IF($AB512=12,VLOOKUP($AA512,Paraméterek!$O$225:$P$240,2),0),IF(OR($AA512=3,$AA512=4),IF($AB512=12,VLOOKUP($AA512,Paraméterek!$O$225:$P$240,2,0),0),0))*$AG512</f>
        <v>0</v>
      </c>
      <c r="AK512" s="13">
        <f t="shared" ca="1" si="163"/>
        <v>0</v>
      </c>
      <c r="AL512" s="13">
        <f t="shared" ca="1" si="171"/>
        <v>0</v>
      </c>
      <c r="AM512" s="13">
        <f t="shared" ca="1" si="172"/>
        <v>0</v>
      </c>
      <c r="AO512" s="32">
        <v>493</v>
      </c>
      <c r="AP512" s="32">
        <v>42</v>
      </c>
      <c r="AQ512" s="32">
        <v>1</v>
      </c>
      <c r="AR512" s="13">
        <f>Tranzakciók!$K$73</f>
        <v>0</v>
      </c>
      <c r="AS512" s="32"/>
      <c r="AT512" s="13">
        <f t="shared" ca="1" si="173"/>
        <v>0</v>
      </c>
      <c r="AU512" s="33"/>
      <c r="AV512" s="13">
        <f t="shared" ca="1" si="164"/>
        <v>0</v>
      </c>
      <c r="AW512" s="13">
        <f ca="1">ROUNDUP(($AT512+$AV512)*VLOOKUP($AP512,Paraméterek!$P$38:$Q$38,2)/12*IF($D513="Nem",IF($M$13=0,1,$M$13),1),IF($D$4="Forint",0,2))</f>
        <v>0</v>
      </c>
      <c r="AX512" s="13"/>
      <c r="AY512" s="13"/>
      <c r="AZ512" s="13">
        <f>ROUNDUP(IF(SUM($AX512:$AY512)=0,0,IF(IF(ISBLANK($AY512),$AX512,$AY512)*Paraméterek!$J$112&lt;IF($D$4="Forint",Paraméterek!$J$113,Paraméterek!$K$113),IF($D$4="Forint",Paraméterek!$J$113,Paraméterek!$K$113),IF(IF(ISBLANK($AY512),$AX512,$AY512)*Paraméterek!$J$112&gt;IF($D$4="Forint",Paraméterek!$J$114,Paraméterek!$K$114),IF($D$4="Forint",Paraméterek!$J$114,Paraméterek!$K$114),IF(ISBLANK($AY512),$AX512,$AY512)*Paraméterek!$J$112))),IF($D$4="Forint",0,2))</f>
        <v>0</v>
      </c>
      <c r="BA512" s="13">
        <f ca="1">$AT512+$AV512-$AW512-IF(ROUNDDOWN(IF(ISBLANK($AY512),$AX512,$AY512),IF($D$4="Forint",0,2))&gt;$AT512+$AV512-$AW512-IF($D$4="Forint",Paraméterek!$J$114,Paraméterek!$K$114),0,ROUNDDOWN(IF(ISBLANK($AY512),$AX512,$AY512),IF($D$4="Forint",0,2))-$AZ512)</f>
        <v>0</v>
      </c>
      <c r="BB512" s="13">
        <f t="shared" ca="1" si="165"/>
        <v>0</v>
      </c>
      <c r="BD512" s="32">
        <v>493</v>
      </c>
      <c r="BE512" s="32">
        <v>42</v>
      </c>
      <c r="BF512" s="32">
        <v>1</v>
      </c>
      <c r="BG512" s="34">
        <f t="shared" ca="1" si="174"/>
        <v>2060</v>
      </c>
      <c r="BH512" s="32" t="str">
        <f ca="1">IF(MOD(MONTH($D$14)+$BD512-1,12)=Paraméterek!$C$288,"Igen","")</f>
        <v/>
      </c>
      <c r="BI512" s="13">
        <f ca="1">IF($BH512="Igen",MIN(ROUNDDOWN((SUMIF($BG$20:$BG$1027,$BG512-1,$K$20:$K$1027)-SUMIF($BG$20:$BG$1027,$BG512-1,$I$20:$I$1027))*Paraméterek!$C$289,IF($D$4="Forint",0,2)),IF($D$4="Forint",Paraméterek!$C$285,Paraméterek!$D$285)),0)</f>
        <v>0</v>
      </c>
      <c r="BJ512" s="13">
        <f t="shared" ca="1" si="166"/>
        <v>0</v>
      </c>
      <c r="BK512" s="13">
        <f t="shared" ca="1" si="175"/>
        <v>0</v>
      </c>
      <c r="BL512" s="33"/>
      <c r="BM512" s="13">
        <f t="shared" ca="1" si="167"/>
        <v>0</v>
      </c>
      <c r="BN512" s="13">
        <f ca="1">ROUNDUP(($BK512+$BM512)*VLOOKUP($BE512,Paraméterek!$P$38:$Q$38,2)/12*IF($D513="Nem",IF($M$13=0,1,$M$13),1),IF($D$4="Forint",0,2))</f>
        <v>0</v>
      </c>
      <c r="BO512" s="13">
        <f t="shared" ca="1" si="168"/>
        <v>0</v>
      </c>
      <c r="BP512" s="13">
        <f ca="1">IF($D513="Nem",$BO512,$BO512-ROUNDUP(SUM($BI$20:$BI512)*120%,IF($D$4="Forint",0,2)))</f>
        <v>0</v>
      </c>
    </row>
    <row r="513" spans="1:68" x14ac:dyDescent="0.2">
      <c r="A513" s="32">
        <v>494</v>
      </c>
      <c r="B513" s="32">
        <v>42</v>
      </c>
      <c r="C513" s="32">
        <v>2</v>
      </c>
      <c r="D513" s="32" t="str">
        <f t="shared" ca="1" si="154"/>
        <v>Nem</v>
      </c>
      <c r="E513" s="13">
        <f t="shared" ca="1" si="155"/>
        <v>0</v>
      </c>
      <c r="F513" s="13"/>
      <c r="G513" s="13"/>
      <c r="H513" s="13"/>
      <c r="I513" s="13">
        <f t="shared" ca="1" si="156"/>
        <v>0</v>
      </c>
      <c r="J513" s="13">
        <f t="shared" ca="1" si="157"/>
        <v>0</v>
      </c>
      <c r="K513" s="13">
        <f t="shared" ca="1" si="158"/>
        <v>0</v>
      </c>
      <c r="L513" s="13" t="e">
        <f ca="1">ROUNDUP(IF($D$2="Egyszeri",$E513,IF($D$2="Havi",SUM($E$20:$E$31),IF(MOD($C513,$M$1)-1=0,SUM($E$20:$E$31),0))/12*$M$1)*VLOOKUP($B513,Paraméterek!$I$28:$P$31,IF($D$2="Egyszeri",8,HLOOKUP(ROUNDUP($M$11+$M$13,0),Paraméterek!$J$26:$O$27,2))),IF($D$4="Forint",0,2))</f>
        <v>#N/A</v>
      </c>
      <c r="M513" s="13">
        <f t="shared" ca="1" si="159"/>
        <v>0</v>
      </c>
      <c r="N513" s="13">
        <f t="shared" ca="1" si="169"/>
        <v>0</v>
      </c>
      <c r="O513" s="13">
        <f ca="1">IF($D513="Igen",IF($W512&gt;=IF($D$4="Forint",Paraméterek!$J$121,Paraméterek!$K$121),0,IF($D$4="Forint",Paraméterek!$J$121,Paraméterek!$K$121)-$W512),0)</f>
        <v>0</v>
      </c>
      <c r="P513" s="13" t="e">
        <f ca="1">ROUNDUP($O513*VLOOKUP($M$4+$B513-1,Paraméterek!$H$58:$I$105,2,0)/Paraméterek!$I$56,IF($D$4="Forint",0,2))</f>
        <v>#N/A</v>
      </c>
      <c r="Q513" s="13">
        <f t="shared" ca="1" si="160"/>
        <v>0</v>
      </c>
      <c r="R513" s="33"/>
      <c r="S513" s="13" t="e">
        <f t="shared" ca="1" si="161"/>
        <v>#N/A</v>
      </c>
      <c r="T513" s="13" t="e">
        <f ca="1">ROUNDUP(($N513-$P513-$Q513+$S513)*VLOOKUP($B513,Paraméterek!$I$38:$K$39,IF($D$2="Egyszeri",3,2))/12*IF($D514="Nem",IF($M$13=0,1,$M$13),1),IF($D$4="Forint",0,2))</f>
        <v>#N/A</v>
      </c>
      <c r="U513" s="13"/>
      <c r="V513" s="13"/>
      <c r="W513" s="13" t="e">
        <f ca="1">$N513-$P513-$Q513+$S513-$T513-IF(ROUNDUP(IF(ISBLANK($V513),$U513*0,$V513)/IF($D$2="Egyszeri",VLOOKUP($B513+IF($C513=12,1,0),Paraméterek!$V$257:$W$262,2),IF($B513=1,1,VLOOKUP($B513+IF($C513=12,1,0),Paraméterek!$I$258:$T$278,HLOOKUP($M$11+1,Paraméterek!$J$256:$T$257,2)))),IF($D$4="Forint",0,2))&gt;$N513-$P513-$Q513+$S513-$T513-IF($D$4="Forint",Paraméterek!$C$216,Paraméterek!$D$216),0,ROUNDUP(IF(ISBLANK($V513),$U513*0,$V513)/IF($D$2="Egyszeri",VLOOKUP($B513+IF($C513=12,1,0),Paraméterek!$V$257:$W$262,2),IF($B513=1,1,VLOOKUP($B513+IF($C513=12,1,0),Paraméterek!$I$258:$T$278,HLOOKUP($M$11+1,Paraméterek!$J$256:$T$257,2)))),IF($D$4="Forint",0,2)))</f>
        <v>#N/A</v>
      </c>
      <c r="X513" s="13" t="e">
        <f ca="1">ROUNDDOWN($W513*IF($D$2="Egyszeri",VLOOKUP($B513+IF($C513=12,1,0),Paraméterek!$V$257:$W$262,2),VLOOKUP($B513+IF($C513=12,1,0),Paraméterek!$I$258:$T$278,HLOOKUP($M$11+1,Paraméterek!$I$256:$T$257,2))),IF($D$4="Forint",0,2))</f>
        <v>#N/A</v>
      </c>
      <c r="Z513" s="32">
        <v>494</v>
      </c>
      <c r="AA513" s="32">
        <v>42</v>
      </c>
      <c r="AB513" s="32">
        <v>2</v>
      </c>
      <c r="AC513" s="13">
        <f t="shared" ca="1" si="170"/>
        <v>0</v>
      </c>
      <c r="AD513" s="33"/>
      <c r="AE513" s="13">
        <f t="shared" ca="1" si="162"/>
        <v>0</v>
      </c>
      <c r="AF513" s="13">
        <f ca="1">ROUNDUP(($AC513+$AE513)*VLOOKUP($AA513,Paraméterek!$P$38:$Q$38,2)/12*IF($D514="Nem",IF($M$13=0,1,$M$13),1),IF($D$4="Forint",0,2))</f>
        <v>0</v>
      </c>
      <c r="AG513" s="13">
        <f ca="1">IF($D$2="Egyszeri",IF($D$7&gt;=IF($D$4="Forint",Paraméterek!$P$223,Paraméterek!$P$224),$D$7-IF($D$4="Forint",Paraméterek!$P$223,Paraméterek!$P$224),0),MIN(IF($AB513=12,AVERAGEIF($E$20:$E513,"&gt;0",$E$20:$E513)*12,0),SUM($E$20:$E$31)))</f>
        <v>0</v>
      </c>
      <c r="AH513" s="13">
        <f>IF($AA513=10,$AG513*IF($AB513=12,IF($AG513&lt;IF($D$4="Forint",Paraméterek!$L$223,Paraméterek!$L$224),0,VLOOKUP($AA513,Paraméterek!$K$226:$M$228,IF($AG513&lt;IF($D$4="Forint",Paraméterek!$M$223,Paraméterek!$M$224),2,3))),0),0)</f>
        <v>0</v>
      </c>
      <c r="AI513" s="13">
        <f ca="1">IF(AND($AA513=$M$11+1,$AB513=$M$12+1),SUMIF($AA$20:$AA$1027,$AA513,$AG$20:$AG$1027)*IF(SUMIF($AA$20:$AA$1027,$AA513,$AG$20:$AG$1027)&lt;IF($D$4="Forint",Paraméterek!$L$223,Paraméterek!$L$224),0,VLOOKUP($AA513,Paraméterek!$K$230:$M$250,IF(SUMIF($AA$20:$AA$1027,$AA513,$AG$20:$AG$1027)&lt;IF($D$4="Forint",Paraméterek!$M$223,Paraméterek!$M$224),2,3))),0)</f>
        <v>0</v>
      </c>
      <c r="AJ513" s="13">
        <f ca="1">IF(AND($AA513&gt;=5,MOD($AA513,5)=0),IF($AB513=12,VLOOKUP($AA513,Paraméterek!$O$225:$P$240,2),0),IF(OR($AA513=3,$AA513=4),IF($AB513=12,VLOOKUP($AA513,Paraméterek!$O$225:$P$240,2,0),0),0))*$AG513</f>
        <v>0</v>
      </c>
      <c r="AK513" s="13">
        <f t="shared" ca="1" si="163"/>
        <v>0</v>
      </c>
      <c r="AL513" s="13">
        <f t="shared" ca="1" si="171"/>
        <v>0</v>
      </c>
      <c r="AM513" s="13">
        <f t="shared" ca="1" si="172"/>
        <v>0</v>
      </c>
      <c r="AO513" s="32">
        <v>494</v>
      </c>
      <c r="AP513" s="32">
        <v>42</v>
      </c>
      <c r="AQ513" s="32">
        <v>2</v>
      </c>
      <c r="AR513" s="13"/>
      <c r="AS513" s="32"/>
      <c r="AT513" s="13">
        <f t="shared" ca="1" si="173"/>
        <v>0</v>
      </c>
      <c r="AU513" s="33"/>
      <c r="AV513" s="13">
        <f t="shared" ca="1" si="164"/>
        <v>0</v>
      </c>
      <c r="AW513" s="13">
        <f ca="1">ROUNDUP(($AT513+$AV513)*VLOOKUP($AP513,Paraméterek!$P$38:$Q$38,2)/12*IF($D514="Nem",IF($M$13=0,1,$M$13),1),IF($D$4="Forint",0,2))</f>
        <v>0</v>
      </c>
      <c r="AX513" s="13"/>
      <c r="AY513" s="13"/>
      <c r="AZ513" s="13">
        <f>ROUNDUP(IF(SUM($AX513:$AY513)=0,0,IF(IF(ISBLANK($AY513),$AX513,$AY513)*Paraméterek!$J$112&lt;IF($D$4="Forint",Paraméterek!$J$113,Paraméterek!$K$113),IF($D$4="Forint",Paraméterek!$J$113,Paraméterek!$K$113),IF(IF(ISBLANK($AY513),$AX513,$AY513)*Paraméterek!$J$112&gt;IF($D$4="Forint",Paraméterek!$J$114,Paraméterek!$K$114),IF($D$4="Forint",Paraméterek!$J$114,Paraméterek!$K$114),IF(ISBLANK($AY513),$AX513,$AY513)*Paraméterek!$J$112))),IF($D$4="Forint",0,2))</f>
        <v>0</v>
      </c>
      <c r="BA513" s="13">
        <f ca="1">$AT513+$AV513-$AW513-IF(ROUNDDOWN(IF(ISBLANK($AY513),$AX513,$AY513),IF($D$4="Forint",0,2))&gt;$AT513+$AV513-$AW513-IF($D$4="Forint",Paraméterek!$J$114,Paraméterek!$K$114),0,ROUNDDOWN(IF(ISBLANK($AY513),$AX513,$AY513),IF($D$4="Forint",0,2))-$AZ513)</f>
        <v>0</v>
      </c>
      <c r="BB513" s="13">
        <f t="shared" ca="1" si="165"/>
        <v>0</v>
      </c>
      <c r="BD513" s="32">
        <v>494</v>
      </c>
      <c r="BE513" s="32">
        <v>42</v>
      </c>
      <c r="BF513" s="32">
        <v>2</v>
      </c>
      <c r="BG513" s="34">
        <f t="shared" ca="1" si="174"/>
        <v>2060</v>
      </c>
      <c r="BH513" s="32" t="str">
        <f ca="1">IF(MOD(MONTH($D$14)+$BD513-1,12)=Paraméterek!$C$288,"Igen","")</f>
        <v>Igen</v>
      </c>
      <c r="BI513" s="13">
        <f ca="1">IF($BH513="Igen",MIN(ROUNDDOWN((SUMIF($BG$20:$BG$1027,$BG513-1,$K$20:$K$1027)-SUMIF($BG$20:$BG$1027,$BG513-1,$I$20:$I$1027))*Paraméterek!$C$289,IF($D$4="Forint",0,2)),IF($D$4="Forint",Paraméterek!$C$285,Paraméterek!$D$285)),0)</f>
        <v>0</v>
      </c>
      <c r="BJ513" s="13">
        <f t="shared" ca="1" si="166"/>
        <v>0</v>
      </c>
      <c r="BK513" s="13">
        <f t="shared" ca="1" si="175"/>
        <v>0</v>
      </c>
      <c r="BL513" s="33"/>
      <c r="BM513" s="13">
        <f t="shared" ca="1" si="167"/>
        <v>0</v>
      </c>
      <c r="BN513" s="13">
        <f ca="1">ROUNDUP(($BK513+$BM513)*VLOOKUP($BE513,Paraméterek!$P$38:$Q$38,2)/12*IF($D514="Nem",IF($M$13=0,1,$M$13),1),IF($D$4="Forint",0,2))</f>
        <v>0</v>
      </c>
      <c r="BO513" s="13">
        <f t="shared" ca="1" si="168"/>
        <v>0</v>
      </c>
      <c r="BP513" s="13">
        <f ca="1">IF($D514="Nem",$BO513,$BO513-ROUNDUP(SUM($BI$20:$BI513)*120%,IF($D$4="Forint",0,2)))</f>
        <v>0</v>
      </c>
    </row>
    <row r="514" spans="1:68" x14ac:dyDescent="0.2">
      <c r="A514" s="32">
        <v>495</v>
      </c>
      <c r="B514" s="32">
        <v>42</v>
      </c>
      <c r="C514" s="32">
        <v>3</v>
      </c>
      <c r="D514" s="32" t="str">
        <f t="shared" ca="1" si="154"/>
        <v>Nem</v>
      </c>
      <c r="E514" s="13">
        <f t="shared" ca="1" si="155"/>
        <v>0</v>
      </c>
      <c r="F514" s="13"/>
      <c r="G514" s="13"/>
      <c r="H514" s="13"/>
      <c r="I514" s="13">
        <f t="shared" ca="1" si="156"/>
        <v>0</v>
      </c>
      <c r="J514" s="13">
        <f t="shared" ca="1" si="157"/>
        <v>0</v>
      </c>
      <c r="K514" s="13">
        <f t="shared" ca="1" si="158"/>
        <v>0</v>
      </c>
      <c r="L514" s="13" t="e">
        <f ca="1">ROUNDUP(IF($D$2="Egyszeri",$E514,IF($D$2="Havi",SUM($E$20:$E$31),IF(MOD($C514,$M$1)-1=0,SUM($E$20:$E$31),0))/12*$M$1)*VLOOKUP($B514,Paraméterek!$I$28:$P$31,IF($D$2="Egyszeri",8,HLOOKUP(ROUNDUP($M$11+$M$13,0),Paraméterek!$J$26:$O$27,2))),IF($D$4="Forint",0,2))</f>
        <v>#N/A</v>
      </c>
      <c r="M514" s="13">
        <f t="shared" ca="1" si="159"/>
        <v>0</v>
      </c>
      <c r="N514" s="13">
        <f t="shared" ca="1" si="169"/>
        <v>0</v>
      </c>
      <c r="O514" s="13">
        <f ca="1">IF($D514="Igen",IF($W513&gt;=IF($D$4="Forint",Paraméterek!$J$121,Paraméterek!$K$121),0,IF($D$4="Forint",Paraméterek!$J$121,Paraméterek!$K$121)-$W513),0)</f>
        <v>0</v>
      </c>
      <c r="P514" s="13" t="e">
        <f ca="1">ROUNDUP($O514*VLOOKUP($M$4+$B514-1,Paraméterek!$H$58:$I$105,2,0)/Paraméterek!$I$56,IF($D$4="Forint",0,2))</f>
        <v>#N/A</v>
      </c>
      <c r="Q514" s="13">
        <f t="shared" ca="1" si="160"/>
        <v>0</v>
      </c>
      <c r="R514" s="33"/>
      <c r="S514" s="13" t="e">
        <f t="shared" ca="1" si="161"/>
        <v>#N/A</v>
      </c>
      <c r="T514" s="13" t="e">
        <f ca="1">ROUNDUP(($N514-$P514-$Q514+$S514)*VLOOKUP($B514,Paraméterek!$I$38:$K$39,IF($D$2="Egyszeri",3,2))/12*IF($D515="Nem",IF($M$13=0,1,$M$13),1),IF($D$4="Forint",0,2))</f>
        <v>#N/A</v>
      </c>
      <c r="U514" s="13"/>
      <c r="V514" s="13"/>
      <c r="W514" s="13" t="e">
        <f ca="1">$N514-$P514-$Q514+$S514-$T514-IF(ROUNDUP(IF(ISBLANK($V514),$U514*0,$V514)/IF($D$2="Egyszeri",VLOOKUP($B514+IF($C514=12,1,0),Paraméterek!$V$257:$W$262,2),IF($B514=1,1,VLOOKUP($B514+IF($C514=12,1,0),Paraméterek!$I$258:$T$278,HLOOKUP($M$11+1,Paraméterek!$J$256:$T$257,2)))),IF($D$4="Forint",0,2))&gt;$N514-$P514-$Q514+$S514-$T514-IF($D$4="Forint",Paraméterek!$C$216,Paraméterek!$D$216),0,ROUNDUP(IF(ISBLANK($V514),$U514*0,$V514)/IF($D$2="Egyszeri",VLOOKUP($B514+IF($C514=12,1,0),Paraméterek!$V$257:$W$262,2),IF($B514=1,1,VLOOKUP($B514+IF($C514=12,1,0),Paraméterek!$I$258:$T$278,HLOOKUP($M$11+1,Paraméterek!$J$256:$T$257,2)))),IF($D$4="Forint",0,2)))</f>
        <v>#N/A</v>
      </c>
      <c r="X514" s="13" t="e">
        <f ca="1">ROUNDDOWN($W514*IF($D$2="Egyszeri",VLOOKUP($B514+IF($C514=12,1,0),Paraméterek!$V$257:$W$262,2),VLOOKUP($B514+IF($C514=12,1,0),Paraméterek!$I$258:$T$278,HLOOKUP($M$11+1,Paraméterek!$I$256:$T$257,2))),IF($D$4="Forint",0,2))</f>
        <v>#N/A</v>
      </c>
      <c r="Z514" s="32">
        <v>495</v>
      </c>
      <c r="AA514" s="32">
        <v>42</v>
      </c>
      <c r="AB514" s="32">
        <v>3</v>
      </c>
      <c r="AC514" s="13">
        <f t="shared" ca="1" si="170"/>
        <v>0</v>
      </c>
      <c r="AD514" s="33"/>
      <c r="AE514" s="13">
        <f t="shared" ca="1" si="162"/>
        <v>0</v>
      </c>
      <c r="AF514" s="13">
        <f ca="1">ROUNDUP(($AC514+$AE514)*VLOOKUP($AA514,Paraméterek!$P$38:$Q$38,2)/12*IF($D515="Nem",IF($M$13=0,1,$M$13),1),IF($D$4="Forint",0,2))</f>
        <v>0</v>
      </c>
      <c r="AG514" s="13">
        <f ca="1">IF($D$2="Egyszeri",IF($D$7&gt;=IF($D$4="Forint",Paraméterek!$P$223,Paraméterek!$P$224),$D$7-IF($D$4="Forint",Paraméterek!$P$223,Paraméterek!$P$224),0),MIN(IF($AB514=12,AVERAGEIF($E$20:$E514,"&gt;0",$E$20:$E514)*12,0),SUM($E$20:$E$31)))</f>
        <v>0</v>
      </c>
      <c r="AH514" s="13">
        <f>IF($AA514=10,$AG514*IF($AB514=12,IF($AG514&lt;IF($D$4="Forint",Paraméterek!$L$223,Paraméterek!$L$224),0,VLOOKUP($AA514,Paraméterek!$K$226:$M$228,IF($AG514&lt;IF($D$4="Forint",Paraméterek!$M$223,Paraméterek!$M$224),2,3))),0),0)</f>
        <v>0</v>
      </c>
      <c r="AI514" s="13">
        <f ca="1">IF(AND($AA514=$M$11+1,$AB514=$M$12+1),SUMIF($AA$20:$AA$1027,$AA514,$AG$20:$AG$1027)*IF(SUMIF($AA$20:$AA$1027,$AA514,$AG$20:$AG$1027)&lt;IF($D$4="Forint",Paraméterek!$L$223,Paraméterek!$L$224),0,VLOOKUP($AA514,Paraméterek!$K$230:$M$250,IF(SUMIF($AA$20:$AA$1027,$AA514,$AG$20:$AG$1027)&lt;IF($D$4="Forint",Paraméterek!$M$223,Paraméterek!$M$224),2,3))),0)</f>
        <v>0</v>
      </c>
      <c r="AJ514" s="13">
        <f ca="1">IF(AND($AA514&gt;=5,MOD($AA514,5)=0),IF($AB514=12,VLOOKUP($AA514,Paraméterek!$O$225:$P$240,2),0),IF(OR($AA514=3,$AA514=4),IF($AB514=12,VLOOKUP($AA514,Paraméterek!$O$225:$P$240,2,0),0),0))*$AG514</f>
        <v>0</v>
      </c>
      <c r="AK514" s="13">
        <f t="shared" ca="1" si="163"/>
        <v>0</v>
      </c>
      <c r="AL514" s="13">
        <f t="shared" ca="1" si="171"/>
        <v>0</v>
      </c>
      <c r="AM514" s="13">
        <f t="shared" ca="1" si="172"/>
        <v>0</v>
      </c>
      <c r="AO514" s="32">
        <v>495</v>
      </c>
      <c r="AP514" s="32">
        <v>42</v>
      </c>
      <c r="AQ514" s="32">
        <v>3</v>
      </c>
      <c r="AR514" s="13"/>
      <c r="AS514" s="32"/>
      <c r="AT514" s="13">
        <f t="shared" ca="1" si="173"/>
        <v>0</v>
      </c>
      <c r="AU514" s="33"/>
      <c r="AV514" s="13">
        <f t="shared" ca="1" si="164"/>
        <v>0</v>
      </c>
      <c r="AW514" s="13">
        <f ca="1">ROUNDUP(($AT514+$AV514)*VLOOKUP($AP514,Paraméterek!$P$38:$Q$38,2)/12*IF($D515="Nem",IF($M$13=0,1,$M$13),1),IF($D$4="Forint",0,2))</f>
        <v>0</v>
      </c>
      <c r="AX514" s="13"/>
      <c r="AY514" s="13"/>
      <c r="AZ514" s="13">
        <f>ROUNDUP(IF(SUM($AX514:$AY514)=0,0,IF(IF(ISBLANK($AY514),$AX514,$AY514)*Paraméterek!$J$112&lt;IF($D$4="Forint",Paraméterek!$J$113,Paraméterek!$K$113),IF($D$4="Forint",Paraméterek!$J$113,Paraméterek!$K$113),IF(IF(ISBLANK($AY514),$AX514,$AY514)*Paraméterek!$J$112&gt;IF($D$4="Forint",Paraméterek!$J$114,Paraméterek!$K$114),IF($D$4="Forint",Paraméterek!$J$114,Paraméterek!$K$114),IF(ISBLANK($AY514),$AX514,$AY514)*Paraméterek!$J$112))),IF($D$4="Forint",0,2))</f>
        <v>0</v>
      </c>
      <c r="BA514" s="13">
        <f ca="1">$AT514+$AV514-$AW514-IF(ROUNDDOWN(IF(ISBLANK($AY514),$AX514,$AY514),IF($D$4="Forint",0,2))&gt;$AT514+$AV514-$AW514-IF($D$4="Forint",Paraméterek!$J$114,Paraméterek!$K$114),0,ROUNDDOWN(IF(ISBLANK($AY514),$AX514,$AY514),IF($D$4="Forint",0,2))-$AZ514)</f>
        <v>0</v>
      </c>
      <c r="BB514" s="13">
        <f t="shared" ca="1" si="165"/>
        <v>0</v>
      </c>
      <c r="BD514" s="32">
        <v>495</v>
      </c>
      <c r="BE514" s="32">
        <v>42</v>
      </c>
      <c r="BF514" s="32">
        <v>3</v>
      </c>
      <c r="BG514" s="34">
        <f t="shared" ca="1" si="174"/>
        <v>2060</v>
      </c>
      <c r="BH514" s="32" t="str">
        <f ca="1">IF(MOD(MONTH($D$14)+$BD514-1,12)=Paraméterek!$C$288,"Igen","")</f>
        <v/>
      </c>
      <c r="BI514" s="13">
        <f ca="1">IF($BH514="Igen",MIN(ROUNDDOWN((SUMIF($BG$20:$BG$1027,$BG514-1,$K$20:$K$1027)-SUMIF($BG$20:$BG$1027,$BG514-1,$I$20:$I$1027))*Paraméterek!$C$289,IF($D$4="Forint",0,2)),IF($D$4="Forint",Paraméterek!$C$285,Paraméterek!$D$285)),0)</f>
        <v>0</v>
      </c>
      <c r="BJ514" s="13">
        <f t="shared" ca="1" si="166"/>
        <v>0</v>
      </c>
      <c r="BK514" s="13">
        <f t="shared" ca="1" si="175"/>
        <v>0</v>
      </c>
      <c r="BL514" s="33"/>
      <c r="BM514" s="13">
        <f t="shared" ca="1" si="167"/>
        <v>0</v>
      </c>
      <c r="BN514" s="13">
        <f ca="1">ROUNDUP(($BK514+$BM514)*VLOOKUP($BE514,Paraméterek!$P$38:$Q$38,2)/12*IF($D515="Nem",IF($M$13=0,1,$M$13),1),IF($D$4="Forint",0,2))</f>
        <v>0</v>
      </c>
      <c r="BO514" s="13">
        <f t="shared" ca="1" si="168"/>
        <v>0</v>
      </c>
      <c r="BP514" s="13">
        <f ca="1">IF($D515="Nem",$BO514,$BO514-ROUNDUP(SUM($BI$20:$BI514)*120%,IF($D$4="Forint",0,2)))</f>
        <v>0</v>
      </c>
    </row>
    <row r="515" spans="1:68" x14ac:dyDescent="0.2">
      <c r="A515" s="32">
        <v>496</v>
      </c>
      <c r="B515" s="32">
        <v>42</v>
      </c>
      <c r="C515" s="32">
        <v>4</v>
      </c>
      <c r="D515" s="32" t="str">
        <f t="shared" ca="1" si="154"/>
        <v>Nem</v>
      </c>
      <c r="E515" s="13">
        <f t="shared" ca="1" si="155"/>
        <v>0</v>
      </c>
      <c r="F515" s="13"/>
      <c r="G515" s="13"/>
      <c r="H515" s="13"/>
      <c r="I515" s="13">
        <f t="shared" ca="1" si="156"/>
        <v>0</v>
      </c>
      <c r="J515" s="13">
        <f t="shared" ca="1" si="157"/>
        <v>0</v>
      </c>
      <c r="K515" s="13">
        <f t="shared" ca="1" si="158"/>
        <v>0</v>
      </c>
      <c r="L515" s="13" t="e">
        <f ca="1">ROUNDUP(IF($D$2="Egyszeri",$E515,IF($D$2="Havi",SUM($E$20:$E$31),IF(MOD($C515,$M$1)-1=0,SUM($E$20:$E$31),0))/12*$M$1)*VLOOKUP($B515,Paraméterek!$I$28:$P$31,IF($D$2="Egyszeri",8,HLOOKUP(ROUNDUP($M$11+$M$13,0),Paraméterek!$J$26:$O$27,2))),IF($D$4="Forint",0,2))</f>
        <v>#N/A</v>
      </c>
      <c r="M515" s="13">
        <f t="shared" ca="1" si="159"/>
        <v>0</v>
      </c>
      <c r="N515" s="13">
        <f t="shared" ca="1" si="169"/>
        <v>0</v>
      </c>
      <c r="O515" s="13">
        <f ca="1">IF($D515="Igen",IF($W514&gt;=IF($D$4="Forint",Paraméterek!$J$121,Paraméterek!$K$121),0,IF($D$4="Forint",Paraméterek!$J$121,Paraméterek!$K$121)-$W514),0)</f>
        <v>0</v>
      </c>
      <c r="P515" s="13" t="e">
        <f ca="1">ROUNDUP($O515*VLOOKUP($M$4+$B515-1,Paraméterek!$H$58:$I$105,2,0)/Paraméterek!$I$56,IF($D$4="Forint",0,2))</f>
        <v>#N/A</v>
      </c>
      <c r="Q515" s="13">
        <f t="shared" ca="1" si="160"/>
        <v>0</v>
      </c>
      <c r="R515" s="33"/>
      <c r="S515" s="13" t="e">
        <f t="shared" ca="1" si="161"/>
        <v>#N/A</v>
      </c>
      <c r="T515" s="13" t="e">
        <f ca="1">ROUNDUP(($N515-$P515-$Q515+$S515)*VLOOKUP($B515,Paraméterek!$I$38:$K$39,IF($D$2="Egyszeri",3,2))/12*IF($D516="Nem",IF($M$13=0,1,$M$13),1),IF($D$4="Forint",0,2))</f>
        <v>#N/A</v>
      </c>
      <c r="U515" s="13"/>
      <c r="V515" s="13"/>
      <c r="W515" s="13" t="e">
        <f ca="1">$N515-$P515-$Q515+$S515-$T515-IF(ROUNDUP(IF(ISBLANK($V515),$U515*0,$V515)/IF($D$2="Egyszeri",VLOOKUP($B515+IF($C515=12,1,0),Paraméterek!$V$257:$W$262,2),IF($B515=1,1,VLOOKUP($B515+IF($C515=12,1,0),Paraméterek!$I$258:$T$278,HLOOKUP($M$11+1,Paraméterek!$J$256:$T$257,2)))),IF($D$4="Forint",0,2))&gt;$N515-$P515-$Q515+$S515-$T515-IF($D$4="Forint",Paraméterek!$C$216,Paraméterek!$D$216),0,ROUNDUP(IF(ISBLANK($V515),$U515*0,$V515)/IF($D$2="Egyszeri",VLOOKUP($B515+IF($C515=12,1,0),Paraméterek!$V$257:$W$262,2),IF($B515=1,1,VLOOKUP($B515+IF($C515=12,1,0),Paraméterek!$I$258:$T$278,HLOOKUP($M$11+1,Paraméterek!$J$256:$T$257,2)))),IF($D$4="Forint",0,2)))</f>
        <v>#N/A</v>
      </c>
      <c r="X515" s="13" t="e">
        <f ca="1">ROUNDDOWN($W515*IF($D$2="Egyszeri",VLOOKUP($B515+IF($C515=12,1,0),Paraméterek!$V$257:$W$262,2),VLOOKUP($B515+IF($C515=12,1,0),Paraméterek!$I$258:$T$278,HLOOKUP($M$11+1,Paraméterek!$I$256:$T$257,2))),IF($D$4="Forint",0,2))</f>
        <v>#N/A</v>
      </c>
      <c r="Z515" s="32">
        <v>496</v>
      </c>
      <c r="AA515" s="32">
        <v>42</v>
      </c>
      <c r="AB515" s="32">
        <v>4</v>
      </c>
      <c r="AC515" s="13">
        <f t="shared" ca="1" si="170"/>
        <v>0</v>
      </c>
      <c r="AD515" s="33"/>
      <c r="AE515" s="13">
        <f t="shared" ca="1" si="162"/>
        <v>0</v>
      </c>
      <c r="AF515" s="13">
        <f ca="1">ROUNDUP(($AC515+$AE515)*VLOOKUP($AA515,Paraméterek!$P$38:$Q$38,2)/12*IF($D516="Nem",IF($M$13=0,1,$M$13),1),IF($D$4="Forint",0,2))</f>
        <v>0</v>
      </c>
      <c r="AG515" s="13">
        <f ca="1">IF($D$2="Egyszeri",IF($D$7&gt;=IF($D$4="Forint",Paraméterek!$P$223,Paraméterek!$P$224),$D$7-IF($D$4="Forint",Paraméterek!$P$223,Paraméterek!$P$224),0),MIN(IF($AB515=12,AVERAGEIF($E$20:$E515,"&gt;0",$E$20:$E515)*12,0),SUM($E$20:$E$31)))</f>
        <v>0</v>
      </c>
      <c r="AH515" s="13">
        <f>IF($AA515=10,$AG515*IF($AB515=12,IF($AG515&lt;IF($D$4="Forint",Paraméterek!$L$223,Paraméterek!$L$224),0,VLOOKUP($AA515,Paraméterek!$K$226:$M$228,IF($AG515&lt;IF($D$4="Forint",Paraméterek!$M$223,Paraméterek!$M$224),2,3))),0),0)</f>
        <v>0</v>
      </c>
      <c r="AI515" s="13">
        <f ca="1">IF(AND($AA515=$M$11+1,$AB515=$M$12+1),SUMIF($AA$20:$AA$1027,$AA515,$AG$20:$AG$1027)*IF(SUMIF($AA$20:$AA$1027,$AA515,$AG$20:$AG$1027)&lt;IF($D$4="Forint",Paraméterek!$L$223,Paraméterek!$L$224),0,VLOOKUP($AA515,Paraméterek!$K$230:$M$250,IF(SUMIF($AA$20:$AA$1027,$AA515,$AG$20:$AG$1027)&lt;IF($D$4="Forint",Paraméterek!$M$223,Paraméterek!$M$224),2,3))),0)</f>
        <v>0</v>
      </c>
      <c r="AJ515" s="13">
        <f ca="1">IF(AND($AA515&gt;=5,MOD($AA515,5)=0),IF($AB515=12,VLOOKUP($AA515,Paraméterek!$O$225:$P$240,2),0),IF(OR($AA515=3,$AA515=4),IF($AB515=12,VLOOKUP($AA515,Paraméterek!$O$225:$P$240,2,0),0),0))*$AG515</f>
        <v>0</v>
      </c>
      <c r="AK515" s="13">
        <f t="shared" ca="1" si="163"/>
        <v>0</v>
      </c>
      <c r="AL515" s="13">
        <f t="shared" ca="1" si="171"/>
        <v>0</v>
      </c>
      <c r="AM515" s="13">
        <f t="shared" ca="1" si="172"/>
        <v>0</v>
      </c>
      <c r="AO515" s="32">
        <v>496</v>
      </c>
      <c r="AP515" s="32">
        <v>42</v>
      </c>
      <c r="AQ515" s="32">
        <v>4</v>
      </c>
      <c r="AR515" s="13"/>
      <c r="AS515" s="32"/>
      <c r="AT515" s="13">
        <f t="shared" ca="1" si="173"/>
        <v>0</v>
      </c>
      <c r="AU515" s="33"/>
      <c r="AV515" s="13">
        <f t="shared" ca="1" si="164"/>
        <v>0</v>
      </c>
      <c r="AW515" s="13">
        <f ca="1">ROUNDUP(($AT515+$AV515)*VLOOKUP($AP515,Paraméterek!$P$38:$Q$38,2)/12*IF($D516="Nem",IF($M$13=0,1,$M$13),1),IF($D$4="Forint",0,2))</f>
        <v>0</v>
      </c>
      <c r="AX515" s="13"/>
      <c r="AY515" s="13"/>
      <c r="AZ515" s="13">
        <f>ROUNDUP(IF(SUM($AX515:$AY515)=0,0,IF(IF(ISBLANK($AY515),$AX515,$AY515)*Paraméterek!$J$112&lt;IF($D$4="Forint",Paraméterek!$J$113,Paraméterek!$K$113),IF($D$4="Forint",Paraméterek!$J$113,Paraméterek!$K$113),IF(IF(ISBLANK($AY515),$AX515,$AY515)*Paraméterek!$J$112&gt;IF($D$4="Forint",Paraméterek!$J$114,Paraméterek!$K$114),IF($D$4="Forint",Paraméterek!$J$114,Paraméterek!$K$114),IF(ISBLANK($AY515),$AX515,$AY515)*Paraméterek!$J$112))),IF($D$4="Forint",0,2))</f>
        <v>0</v>
      </c>
      <c r="BA515" s="13">
        <f ca="1">$AT515+$AV515-$AW515-IF(ROUNDDOWN(IF(ISBLANK($AY515),$AX515,$AY515),IF($D$4="Forint",0,2))&gt;$AT515+$AV515-$AW515-IF($D$4="Forint",Paraméterek!$J$114,Paraméterek!$K$114),0,ROUNDDOWN(IF(ISBLANK($AY515),$AX515,$AY515),IF($D$4="Forint",0,2))-$AZ515)</f>
        <v>0</v>
      </c>
      <c r="BB515" s="13">
        <f t="shared" ca="1" si="165"/>
        <v>0</v>
      </c>
      <c r="BD515" s="32">
        <v>496</v>
      </c>
      <c r="BE515" s="32">
        <v>42</v>
      </c>
      <c r="BF515" s="32">
        <v>4</v>
      </c>
      <c r="BG515" s="34">
        <f t="shared" ca="1" si="174"/>
        <v>2060</v>
      </c>
      <c r="BH515" s="32" t="str">
        <f ca="1">IF(MOD(MONTH($D$14)+$BD515-1,12)=Paraméterek!$C$288,"Igen","")</f>
        <v/>
      </c>
      <c r="BI515" s="13">
        <f ca="1">IF($BH515="Igen",MIN(ROUNDDOWN((SUMIF($BG$20:$BG$1027,$BG515-1,$K$20:$K$1027)-SUMIF($BG$20:$BG$1027,$BG515-1,$I$20:$I$1027))*Paraméterek!$C$289,IF($D$4="Forint",0,2)),IF($D$4="Forint",Paraméterek!$C$285,Paraméterek!$D$285)),0)</f>
        <v>0</v>
      </c>
      <c r="BJ515" s="13">
        <f t="shared" ca="1" si="166"/>
        <v>0</v>
      </c>
      <c r="BK515" s="13">
        <f t="shared" ca="1" si="175"/>
        <v>0</v>
      </c>
      <c r="BL515" s="33"/>
      <c r="BM515" s="13">
        <f t="shared" ca="1" si="167"/>
        <v>0</v>
      </c>
      <c r="BN515" s="13">
        <f ca="1">ROUNDUP(($BK515+$BM515)*VLOOKUP($BE515,Paraméterek!$P$38:$Q$38,2)/12*IF($D516="Nem",IF($M$13=0,1,$M$13),1),IF($D$4="Forint",0,2))</f>
        <v>0</v>
      </c>
      <c r="BO515" s="13">
        <f t="shared" ca="1" si="168"/>
        <v>0</v>
      </c>
      <c r="BP515" s="13">
        <f ca="1">IF($D516="Nem",$BO515,$BO515-ROUNDUP(SUM($BI$20:$BI515)*120%,IF($D$4="Forint",0,2)))</f>
        <v>0</v>
      </c>
    </row>
    <row r="516" spans="1:68" x14ac:dyDescent="0.2">
      <c r="A516" s="32">
        <v>497</v>
      </c>
      <c r="B516" s="32">
        <v>42</v>
      </c>
      <c r="C516" s="32">
        <v>5</v>
      </c>
      <c r="D516" s="32" t="str">
        <f t="shared" ca="1" si="154"/>
        <v>Nem</v>
      </c>
      <c r="E516" s="13">
        <f t="shared" ca="1" si="155"/>
        <v>0</v>
      </c>
      <c r="F516" s="13"/>
      <c r="G516" s="13"/>
      <c r="H516" s="13"/>
      <c r="I516" s="13">
        <f t="shared" ca="1" si="156"/>
        <v>0</v>
      </c>
      <c r="J516" s="13">
        <f t="shared" ca="1" si="157"/>
        <v>0</v>
      </c>
      <c r="K516" s="13">
        <f t="shared" ca="1" si="158"/>
        <v>0</v>
      </c>
      <c r="L516" s="13" t="e">
        <f ca="1">ROUNDUP(IF($D$2="Egyszeri",$E516,IF($D$2="Havi",SUM($E$20:$E$31),IF(MOD($C516,$M$1)-1=0,SUM($E$20:$E$31),0))/12*$M$1)*VLOOKUP($B516,Paraméterek!$I$28:$P$31,IF($D$2="Egyszeri",8,HLOOKUP(ROUNDUP($M$11+$M$13,0),Paraméterek!$J$26:$O$27,2))),IF($D$4="Forint",0,2))</f>
        <v>#N/A</v>
      </c>
      <c r="M516" s="13">
        <f t="shared" ca="1" si="159"/>
        <v>0</v>
      </c>
      <c r="N516" s="13">
        <f t="shared" ca="1" si="169"/>
        <v>0</v>
      </c>
      <c r="O516" s="13">
        <f ca="1">IF($D516="Igen",IF($W515&gt;=IF($D$4="Forint",Paraméterek!$J$121,Paraméterek!$K$121),0,IF($D$4="Forint",Paraméterek!$J$121,Paraméterek!$K$121)-$W515),0)</f>
        <v>0</v>
      </c>
      <c r="P516" s="13" t="e">
        <f ca="1">ROUNDUP($O516*VLOOKUP($M$4+$B516-1,Paraméterek!$H$58:$I$105,2,0)/Paraméterek!$I$56,IF($D$4="Forint",0,2))</f>
        <v>#N/A</v>
      </c>
      <c r="Q516" s="13">
        <f t="shared" ca="1" si="160"/>
        <v>0</v>
      </c>
      <c r="R516" s="33"/>
      <c r="S516" s="13" t="e">
        <f t="shared" ca="1" si="161"/>
        <v>#N/A</v>
      </c>
      <c r="T516" s="13" t="e">
        <f ca="1">ROUNDUP(($N516-$P516-$Q516+$S516)*VLOOKUP($B516,Paraméterek!$I$38:$K$39,IF($D$2="Egyszeri",3,2))/12*IF($D517="Nem",IF($M$13=0,1,$M$13),1),IF($D$4="Forint",0,2))</f>
        <v>#N/A</v>
      </c>
      <c r="U516" s="13"/>
      <c r="V516" s="13"/>
      <c r="W516" s="13" t="e">
        <f ca="1">$N516-$P516-$Q516+$S516-$T516-IF(ROUNDUP(IF(ISBLANK($V516),$U516*0,$V516)/IF($D$2="Egyszeri",VLOOKUP($B516+IF($C516=12,1,0),Paraméterek!$V$257:$W$262,2),IF($B516=1,1,VLOOKUP($B516+IF($C516=12,1,0),Paraméterek!$I$258:$T$278,HLOOKUP($M$11+1,Paraméterek!$J$256:$T$257,2)))),IF($D$4="Forint",0,2))&gt;$N516-$P516-$Q516+$S516-$T516-IF($D$4="Forint",Paraméterek!$C$216,Paraméterek!$D$216),0,ROUNDUP(IF(ISBLANK($V516),$U516*0,$V516)/IF($D$2="Egyszeri",VLOOKUP($B516+IF($C516=12,1,0),Paraméterek!$V$257:$W$262,2),IF($B516=1,1,VLOOKUP($B516+IF($C516=12,1,0),Paraméterek!$I$258:$T$278,HLOOKUP($M$11+1,Paraméterek!$J$256:$T$257,2)))),IF($D$4="Forint",0,2)))</f>
        <v>#N/A</v>
      </c>
      <c r="X516" s="13" t="e">
        <f ca="1">ROUNDDOWN($W516*IF($D$2="Egyszeri",VLOOKUP($B516+IF($C516=12,1,0),Paraméterek!$V$257:$W$262,2),VLOOKUP($B516+IF($C516=12,1,0),Paraméterek!$I$258:$T$278,HLOOKUP($M$11+1,Paraméterek!$I$256:$T$257,2))),IF($D$4="Forint",0,2))</f>
        <v>#N/A</v>
      </c>
      <c r="Z516" s="32">
        <v>497</v>
      </c>
      <c r="AA516" s="32">
        <v>42</v>
      </c>
      <c r="AB516" s="32">
        <v>5</v>
      </c>
      <c r="AC516" s="13">
        <f t="shared" ca="1" si="170"/>
        <v>0</v>
      </c>
      <c r="AD516" s="33"/>
      <c r="AE516" s="13">
        <f t="shared" ca="1" si="162"/>
        <v>0</v>
      </c>
      <c r="AF516" s="13">
        <f ca="1">ROUNDUP(($AC516+$AE516)*VLOOKUP($AA516,Paraméterek!$P$38:$Q$38,2)/12*IF($D517="Nem",IF($M$13=0,1,$M$13),1),IF($D$4="Forint",0,2))</f>
        <v>0</v>
      </c>
      <c r="AG516" s="13">
        <f ca="1">IF($D$2="Egyszeri",IF($D$7&gt;=IF($D$4="Forint",Paraméterek!$P$223,Paraméterek!$P$224),$D$7-IF($D$4="Forint",Paraméterek!$P$223,Paraméterek!$P$224),0),MIN(IF($AB516=12,AVERAGEIF($E$20:$E516,"&gt;0",$E$20:$E516)*12,0),SUM($E$20:$E$31)))</f>
        <v>0</v>
      </c>
      <c r="AH516" s="13">
        <f>IF($AA516=10,$AG516*IF($AB516=12,IF($AG516&lt;IF($D$4="Forint",Paraméterek!$L$223,Paraméterek!$L$224),0,VLOOKUP($AA516,Paraméterek!$K$226:$M$228,IF($AG516&lt;IF($D$4="Forint",Paraméterek!$M$223,Paraméterek!$M$224),2,3))),0),0)</f>
        <v>0</v>
      </c>
      <c r="AI516" s="13">
        <f ca="1">IF(AND($AA516=$M$11+1,$AB516=$M$12+1),SUMIF($AA$20:$AA$1027,$AA516,$AG$20:$AG$1027)*IF(SUMIF($AA$20:$AA$1027,$AA516,$AG$20:$AG$1027)&lt;IF($D$4="Forint",Paraméterek!$L$223,Paraméterek!$L$224),0,VLOOKUP($AA516,Paraméterek!$K$230:$M$250,IF(SUMIF($AA$20:$AA$1027,$AA516,$AG$20:$AG$1027)&lt;IF($D$4="Forint",Paraméterek!$M$223,Paraméterek!$M$224),2,3))),0)</f>
        <v>0</v>
      </c>
      <c r="AJ516" s="13">
        <f ca="1">IF(AND($AA516&gt;=5,MOD($AA516,5)=0),IF($AB516=12,VLOOKUP($AA516,Paraméterek!$O$225:$P$240,2),0),IF(OR($AA516=3,$AA516=4),IF($AB516=12,VLOOKUP($AA516,Paraméterek!$O$225:$P$240,2,0),0),0))*$AG516</f>
        <v>0</v>
      </c>
      <c r="AK516" s="13">
        <f t="shared" ca="1" si="163"/>
        <v>0</v>
      </c>
      <c r="AL516" s="13">
        <f t="shared" ca="1" si="171"/>
        <v>0</v>
      </c>
      <c r="AM516" s="13">
        <f t="shared" ca="1" si="172"/>
        <v>0</v>
      </c>
      <c r="AO516" s="32">
        <v>497</v>
      </c>
      <c r="AP516" s="32">
        <v>42</v>
      </c>
      <c r="AQ516" s="32">
        <v>5</v>
      </c>
      <c r="AR516" s="13"/>
      <c r="AS516" s="32"/>
      <c r="AT516" s="13">
        <f t="shared" ca="1" si="173"/>
        <v>0</v>
      </c>
      <c r="AU516" s="33"/>
      <c r="AV516" s="13">
        <f t="shared" ca="1" si="164"/>
        <v>0</v>
      </c>
      <c r="AW516" s="13">
        <f ca="1">ROUNDUP(($AT516+$AV516)*VLOOKUP($AP516,Paraméterek!$P$38:$Q$38,2)/12*IF($D517="Nem",IF($M$13=0,1,$M$13),1),IF($D$4="Forint",0,2))</f>
        <v>0</v>
      </c>
      <c r="AX516" s="13"/>
      <c r="AY516" s="13"/>
      <c r="AZ516" s="13">
        <f>ROUNDUP(IF(SUM($AX516:$AY516)=0,0,IF(IF(ISBLANK($AY516),$AX516,$AY516)*Paraméterek!$J$112&lt;IF($D$4="Forint",Paraméterek!$J$113,Paraméterek!$K$113),IF($D$4="Forint",Paraméterek!$J$113,Paraméterek!$K$113),IF(IF(ISBLANK($AY516),$AX516,$AY516)*Paraméterek!$J$112&gt;IF($D$4="Forint",Paraméterek!$J$114,Paraméterek!$K$114),IF($D$4="Forint",Paraméterek!$J$114,Paraméterek!$K$114),IF(ISBLANK($AY516),$AX516,$AY516)*Paraméterek!$J$112))),IF($D$4="Forint",0,2))</f>
        <v>0</v>
      </c>
      <c r="BA516" s="13">
        <f ca="1">$AT516+$AV516-$AW516-IF(ROUNDDOWN(IF(ISBLANK($AY516),$AX516,$AY516),IF($D$4="Forint",0,2))&gt;$AT516+$AV516-$AW516-IF($D$4="Forint",Paraméterek!$J$114,Paraméterek!$K$114),0,ROUNDDOWN(IF(ISBLANK($AY516),$AX516,$AY516),IF($D$4="Forint",0,2))-$AZ516)</f>
        <v>0</v>
      </c>
      <c r="BB516" s="13">
        <f t="shared" ca="1" si="165"/>
        <v>0</v>
      </c>
      <c r="BD516" s="32">
        <v>497</v>
      </c>
      <c r="BE516" s="32">
        <v>42</v>
      </c>
      <c r="BF516" s="32">
        <v>5</v>
      </c>
      <c r="BG516" s="34">
        <f t="shared" ca="1" si="174"/>
        <v>2060</v>
      </c>
      <c r="BH516" s="32" t="str">
        <f ca="1">IF(MOD(MONTH($D$14)+$BD516-1,12)=Paraméterek!$C$288,"Igen","")</f>
        <v/>
      </c>
      <c r="BI516" s="13">
        <f ca="1">IF($BH516="Igen",MIN(ROUNDDOWN((SUMIF($BG$20:$BG$1027,$BG516-1,$K$20:$K$1027)-SUMIF($BG$20:$BG$1027,$BG516-1,$I$20:$I$1027))*Paraméterek!$C$289,IF($D$4="Forint",0,2)),IF($D$4="Forint",Paraméterek!$C$285,Paraméterek!$D$285)),0)</f>
        <v>0</v>
      </c>
      <c r="BJ516" s="13">
        <f t="shared" ca="1" si="166"/>
        <v>0</v>
      </c>
      <c r="BK516" s="13">
        <f t="shared" ca="1" si="175"/>
        <v>0</v>
      </c>
      <c r="BL516" s="33"/>
      <c r="BM516" s="13">
        <f t="shared" ca="1" si="167"/>
        <v>0</v>
      </c>
      <c r="BN516" s="13">
        <f ca="1">ROUNDUP(($BK516+$BM516)*VLOOKUP($BE516,Paraméterek!$P$38:$Q$38,2)/12*IF($D517="Nem",IF($M$13=0,1,$M$13),1),IF($D$4="Forint",0,2))</f>
        <v>0</v>
      </c>
      <c r="BO516" s="13">
        <f t="shared" ca="1" si="168"/>
        <v>0</v>
      </c>
      <c r="BP516" s="13">
        <f ca="1">IF($D517="Nem",$BO516,$BO516-ROUNDUP(SUM($BI$20:$BI516)*120%,IF($D$4="Forint",0,2)))</f>
        <v>0</v>
      </c>
    </row>
    <row r="517" spans="1:68" x14ac:dyDescent="0.2">
      <c r="A517" s="32">
        <v>498</v>
      </c>
      <c r="B517" s="32">
        <v>42</v>
      </c>
      <c r="C517" s="32">
        <v>6</v>
      </c>
      <c r="D517" s="32" t="str">
        <f t="shared" ca="1" si="154"/>
        <v>Nem</v>
      </c>
      <c r="E517" s="13">
        <f t="shared" ca="1" si="155"/>
        <v>0</v>
      </c>
      <c r="F517" s="13"/>
      <c r="G517" s="13"/>
      <c r="H517" s="13"/>
      <c r="I517" s="13">
        <f t="shared" ca="1" si="156"/>
        <v>0</v>
      </c>
      <c r="J517" s="13">
        <f t="shared" ca="1" si="157"/>
        <v>0</v>
      </c>
      <c r="K517" s="13">
        <f t="shared" ca="1" si="158"/>
        <v>0</v>
      </c>
      <c r="L517" s="13" t="e">
        <f ca="1">ROUNDUP(IF($D$2="Egyszeri",$E517,IF($D$2="Havi",SUM($E$20:$E$31),IF(MOD($C517,$M$1)-1=0,SUM($E$20:$E$31),0))/12*$M$1)*VLOOKUP($B517,Paraméterek!$I$28:$P$31,IF($D$2="Egyszeri",8,HLOOKUP(ROUNDUP($M$11+$M$13,0),Paraméterek!$J$26:$O$27,2))),IF($D$4="Forint",0,2))</f>
        <v>#N/A</v>
      </c>
      <c r="M517" s="13">
        <f t="shared" ca="1" si="159"/>
        <v>0</v>
      </c>
      <c r="N517" s="13">
        <f t="shared" ca="1" si="169"/>
        <v>0</v>
      </c>
      <c r="O517" s="13">
        <f ca="1">IF($D517="Igen",IF($W516&gt;=IF($D$4="Forint",Paraméterek!$J$121,Paraméterek!$K$121),0,IF($D$4="Forint",Paraméterek!$J$121,Paraméterek!$K$121)-$W516),0)</f>
        <v>0</v>
      </c>
      <c r="P517" s="13" t="e">
        <f ca="1">ROUNDUP($O517*VLOOKUP($M$4+$B517-1,Paraméterek!$H$58:$I$105,2,0)/Paraméterek!$I$56,IF($D$4="Forint",0,2))</f>
        <v>#N/A</v>
      </c>
      <c r="Q517" s="13">
        <f t="shared" ca="1" si="160"/>
        <v>0</v>
      </c>
      <c r="R517" s="33"/>
      <c r="S517" s="13" t="e">
        <f t="shared" ca="1" si="161"/>
        <v>#N/A</v>
      </c>
      <c r="T517" s="13" t="e">
        <f ca="1">ROUNDUP(($N517-$P517-$Q517+$S517)*VLOOKUP($B517,Paraméterek!$I$38:$K$39,IF($D$2="Egyszeri",3,2))/12*IF($D518="Nem",IF($M$13=0,1,$M$13),1),IF($D$4="Forint",0,2))</f>
        <v>#N/A</v>
      </c>
      <c r="U517" s="13"/>
      <c r="V517" s="13"/>
      <c r="W517" s="13" t="e">
        <f ca="1">$N517-$P517-$Q517+$S517-$T517-IF(ROUNDUP(IF(ISBLANK($V517),$U517*0,$V517)/IF($D$2="Egyszeri",VLOOKUP($B517+IF($C517=12,1,0),Paraméterek!$V$257:$W$262,2),IF($B517=1,1,VLOOKUP($B517+IF($C517=12,1,0),Paraméterek!$I$258:$T$278,HLOOKUP($M$11+1,Paraméterek!$J$256:$T$257,2)))),IF($D$4="Forint",0,2))&gt;$N517-$P517-$Q517+$S517-$T517-IF($D$4="Forint",Paraméterek!$C$216,Paraméterek!$D$216),0,ROUNDUP(IF(ISBLANK($V517),$U517*0,$V517)/IF($D$2="Egyszeri",VLOOKUP($B517+IF($C517=12,1,0),Paraméterek!$V$257:$W$262,2),IF($B517=1,1,VLOOKUP($B517+IF($C517=12,1,0),Paraméterek!$I$258:$T$278,HLOOKUP($M$11+1,Paraméterek!$J$256:$T$257,2)))),IF($D$4="Forint",0,2)))</f>
        <v>#N/A</v>
      </c>
      <c r="X517" s="13" t="e">
        <f ca="1">ROUNDDOWN($W517*IF($D$2="Egyszeri",VLOOKUP($B517+IF($C517=12,1,0),Paraméterek!$V$257:$W$262,2),VLOOKUP($B517+IF($C517=12,1,0),Paraméterek!$I$258:$T$278,HLOOKUP($M$11+1,Paraméterek!$I$256:$T$257,2))),IF($D$4="Forint",0,2))</f>
        <v>#N/A</v>
      </c>
      <c r="Z517" s="32">
        <v>498</v>
      </c>
      <c r="AA517" s="32">
        <v>42</v>
      </c>
      <c r="AB517" s="32">
        <v>6</v>
      </c>
      <c r="AC517" s="13">
        <f t="shared" ca="1" si="170"/>
        <v>0</v>
      </c>
      <c r="AD517" s="33"/>
      <c r="AE517" s="13">
        <f t="shared" ca="1" si="162"/>
        <v>0</v>
      </c>
      <c r="AF517" s="13">
        <f ca="1">ROUNDUP(($AC517+$AE517)*VLOOKUP($AA517,Paraméterek!$P$38:$Q$38,2)/12*IF($D518="Nem",IF($M$13=0,1,$M$13),1),IF($D$4="Forint",0,2))</f>
        <v>0</v>
      </c>
      <c r="AG517" s="13">
        <f ca="1">IF($D$2="Egyszeri",IF($D$7&gt;=IF($D$4="Forint",Paraméterek!$P$223,Paraméterek!$P$224),$D$7-IF($D$4="Forint",Paraméterek!$P$223,Paraméterek!$P$224),0),MIN(IF($AB517=12,AVERAGEIF($E$20:$E517,"&gt;0",$E$20:$E517)*12,0),SUM($E$20:$E$31)))</f>
        <v>0</v>
      </c>
      <c r="AH517" s="13">
        <f>IF($AA517=10,$AG517*IF($AB517=12,IF($AG517&lt;IF($D$4="Forint",Paraméterek!$L$223,Paraméterek!$L$224),0,VLOOKUP($AA517,Paraméterek!$K$226:$M$228,IF($AG517&lt;IF($D$4="Forint",Paraméterek!$M$223,Paraméterek!$M$224),2,3))),0),0)</f>
        <v>0</v>
      </c>
      <c r="AI517" s="13">
        <f ca="1">IF(AND($AA517=$M$11+1,$AB517=$M$12+1),SUMIF($AA$20:$AA$1027,$AA517,$AG$20:$AG$1027)*IF(SUMIF($AA$20:$AA$1027,$AA517,$AG$20:$AG$1027)&lt;IF($D$4="Forint",Paraméterek!$L$223,Paraméterek!$L$224),0,VLOOKUP($AA517,Paraméterek!$K$230:$M$250,IF(SUMIF($AA$20:$AA$1027,$AA517,$AG$20:$AG$1027)&lt;IF($D$4="Forint",Paraméterek!$M$223,Paraméterek!$M$224),2,3))),0)</f>
        <v>0</v>
      </c>
      <c r="AJ517" s="13">
        <f ca="1">IF(AND($AA517&gt;=5,MOD($AA517,5)=0),IF($AB517=12,VLOOKUP($AA517,Paraméterek!$O$225:$P$240,2),0),IF(OR($AA517=3,$AA517=4),IF($AB517=12,VLOOKUP($AA517,Paraméterek!$O$225:$P$240,2,0),0),0))*$AG517</f>
        <v>0</v>
      </c>
      <c r="AK517" s="13">
        <f t="shared" ca="1" si="163"/>
        <v>0</v>
      </c>
      <c r="AL517" s="13">
        <f t="shared" ca="1" si="171"/>
        <v>0</v>
      </c>
      <c r="AM517" s="13">
        <f t="shared" ca="1" si="172"/>
        <v>0</v>
      </c>
      <c r="AO517" s="32">
        <v>498</v>
      </c>
      <c r="AP517" s="32">
        <v>42</v>
      </c>
      <c r="AQ517" s="32">
        <v>6</v>
      </c>
      <c r="AR517" s="13"/>
      <c r="AS517" s="32"/>
      <c r="AT517" s="13">
        <f t="shared" ca="1" si="173"/>
        <v>0</v>
      </c>
      <c r="AU517" s="33"/>
      <c r="AV517" s="13">
        <f t="shared" ca="1" si="164"/>
        <v>0</v>
      </c>
      <c r="AW517" s="13">
        <f ca="1">ROUNDUP(($AT517+$AV517)*VLOOKUP($AP517,Paraméterek!$P$38:$Q$38,2)/12*IF($D518="Nem",IF($M$13=0,1,$M$13),1),IF($D$4="Forint",0,2))</f>
        <v>0</v>
      </c>
      <c r="AX517" s="13"/>
      <c r="AY517" s="13"/>
      <c r="AZ517" s="13">
        <f>ROUNDUP(IF(SUM($AX517:$AY517)=0,0,IF(IF(ISBLANK($AY517),$AX517,$AY517)*Paraméterek!$J$112&lt;IF($D$4="Forint",Paraméterek!$J$113,Paraméterek!$K$113),IF($D$4="Forint",Paraméterek!$J$113,Paraméterek!$K$113),IF(IF(ISBLANK($AY517),$AX517,$AY517)*Paraméterek!$J$112&gt;IF($D$4="Forint",Paraméterek!$J$114,Paraméterek!$K$114),IF($D$4="Forint",Paraméterek!$J$114,Paraméterek!$K$114),IF(ISBLANK($AY517),$AX517,$AY517)*Paraméterek!$J$112))),IF($D$4="Forint",0,2))</f>
        <v>0</v>
      </c>
      <c r="BA517" s="13">
        <f ca="1">$AT517+$AV517-$AW517-IF(ROUNDDOWN(IF(ISBLANK($AY517),$AX517,$AY517),IF($D$4="Forint",0,2))&gt;$AT517+$AV517-$AW517-IF($D$4="Forint",Paraméterek!$J$114,Paraméterek!$K$114),0,ROUNDDOWN(IF(ISBLANK($AY517),$AX517,$AY517),IF($D$4="Forint",0,2))-$AZ517)</f>
        <v>0</v>
      </c>
      <c r="BB517" s="13">
        <f t="shared" ca="1" si="165"/>
        <v>0</v>
      </c>
      <c r="BD517" s="32">
        <v>498</v>
      </c>
      <c r="BE517" s="32">
        <v>42</v>
      </c>
      <c r="BF517" s="32">
        <v>6</v>
      </c>
      <c r="BG517" s="34">
        <f t="shared" ca="1" si="174"/>
        <v>2060</v>
      </c>
      <c r="BH517" s="32" t="str">
        <f ca="1">IF(MOD(MONTH($D$14)+$BD517-1,12)=Paraméterek!$C$288,"Igen","")</f>
        <v/>
      </c>
      <c r="BI517" s="13">
        <f ca="1">IF($BH517="Igen",MIN(ROUNDDOWN((SUMIF($BG$20:$BG$1027,$BG517-1,$K$20:$K$1027)-SUMIF($BG$20:$BG$1027,$BG517-1,$I$20:$I$1027))*Paraméterek!$C$289,IF($D$4="Forint",0,2)),IF($D$4="Forint",Paraméterek!$C$285,Paraméterek!$D$285)),0)</f>
        <v>0</v>
      </c>
      <c r="BJ517" s="13">
        <f t="shared" ca="1" si="166"/>
        <v>0</v>
      </c>
      <c r="BK517" s="13">
        <f t="shared" ca="1" si="175"/>
        <v>0</v>
      </c>
      <c r="BL517" s="33"/>
      <c r="BM517" s="13">
        <f t="shared" ca="1" si="167"/>
        <v>0</v>
      </c>
      <c r="BN517" s="13">
        <f ca="1">ROUNDUP(($BK517+$BM517)*VLOOKUP($BE517,Paraméterek!$P$38:$Q$38,2)/12*IF($D518="Nem",IF($M$13=0,1,$M$13),1),IF($D$4="Forint",0,2))</f>
        <v>0</v>
      </c>
      <c r="BO517" s="13">
        <f t="shared" ca="1" si="168"/>
        <v>0</v>
      </c>
      <c r="BP517" s="13">
        <f ca="1">IF($D518="Nem",$BO517,$BO517-ROUNDUP(SUM($BI$20:$BI517)*120%,IF($D$4="Forint",0,2)))</f>
        <v>0</v>
      </c>
    </row>
    <row r="518" spans="1:68" x14ac:dyDescent="0.2">
      <c r="A518" s="32">
        <v>499</v>
      </c>
      <c r="B518" s="32">
        <v>42</v>
      </c>
      <c r="C518" s="32">
        <v>7</v>
      </c>
      <c r="D518" s="32" t="str">
        <f t="shared" ca="1" si="154"/>
        <v>Nem</v>
      </c>
      <c r="E518" s="13">
        <f t="shared" ca="1" si="155"/>
        <v>0</v>
      </c>
      <c r="F518" s="13"/>
      <c r="G518" s="13"/>
      <c r="H518" s="13"/>
      <c r="I518" s="13">
        <f t="shared" ca="1" si="156"/>
        <v>0</v>
      </c>
      <c r="J518" s="13">
        <f t="shared" ca="1" si="157"/>
        <v>0</v>
      </c>
      <c r="K518" s="13">
        <f t="shared" ca="1" si="158"/>
        <v>0</v>
      </c>
      <c r="L518" s="13" t="e">
        <f ca="1">ROUNDUP(IF($D$2="Egyszeri",$E518,IF($D$2="Havi",SUM($E$20:$E$31),IF(MOD($C518,$M$1)-1=0,SUM($E$20:$E$31),0))/12*$M$1)*VLOOKUP($B518,Paraméterek!$I$28:$P$31,IF($D$2="Egyszeri",8,HLOOKUP(ROUNDUP($M$11+$M$13,0),Paraméterek!$J$26:$O$27,2))),IF($D$4="Forint",0,2))</f>
        <v>#N/A</v>
      </c>
      <c r="M518" s="13">
        <f t="shared" ca="1" si="159"/>
        <v>0</v>
      </c>
      <c r="N518" s="13">
        <f t="shared" ca="1" si="169"/>
        <v>0</v>
      </c>
      <c r="O518" s="13">
        <f ca="1">IF($D518="Igen",IF($W517&gt;=IF($D$4="Forint",Paraméterek!$J$121,Paraméterek!$K$121),0,IF($D$4="Forint",Paraméterek!$J$121,Paraméterek!$K$121)-$W517),0)</f>
        <v>0</v>
      </c>
      <c r="P518" s="13" t="e">
        <f ca="1">ROUNDUP($O518*VLOOKUP($M$4+$B518-1,Paraméterek!$H$58:$I$105,2,0)/Paraméterek!$I$56,IF($D$4="Forint",0,2))</f>
        <v>#N/A</v>
      </c>
      <c r="Q518" s="13">
        <f t="shared" ca="1" si="160"/>
        <v>0</v>
      </c>
      <c r="R518" s="33"/>
      <c r="S518" s="13" t="e">
        <f t="shared" ca="1" si="161"/>
        <v>#N/A</v>
      </c>
      <c r="T518" s="13" t="e">
        <f ca="1">ROUNDUP(($N518-$P518-$Q518+$S518)*VLOOKUP($B518,Paraméterek!$I$38:$K$39,IF($D$2="Egyszeri",3,2))/12*IF($D519="Nem",IF($M$13=0,1,$M$13),1),IF($D$4="Forint",0,2))</f>
        <v>#N/A</v>
      </c>
      <c r="U518" s="13"/>
      <c r="V518" s="13"/>
      <c r="W518" s="13" t="e">
        <f ca="1">$N518-$P518-$Q518+$S518-$T518-IF(ROUNDUP(IF(ISBLANK($V518),$U518*0,$V518)/IF($D$2="Egyszeri",VLOOKUP($B518+IF($C518=12,1,0),Paraméterek!$V$257:$W$262,2),IF($B518=1,1,VLOOKUP($B518+IF($C518=12,1,0),Paraméterek!$I$258:$T$278,HLOOKUP($M$11+1,Paraméterek!$J$256:$T$257,2)))),IF($D$4="Forint",0,2))&gt;$N518-$P518-$Q518+$S518-$T518-IF($D$4="Forint",Paraméterek!$C$216,Paraméterek!$D$216),0,ROUNDUP(IF(ISBLANK($V518),$U518*0,$V518)/IF($D$2="Egyszeri",VLOOKUP($B518+IF($C518=12,1,0),Paraméterek!$V$257:$W$262,2),IF($B518=1,1,VLOOKUP($B518+IF($C518=12,1,0),Paraméterek!$I$258:$T$278,HLOOKUP($M$11+1,Paraméterek!$J$256:$T$257,2)))),IF($D$4="Forint",0,2)))</f>
        <v>#N/A</v>
      </c>
      <c r="X518" s="13" t="e">
        <f ca="1">ROUNDDOWN($W518*IF($D$2="Egyszeri",VLOOKUP($B518+IF($C518=12,1,0),Paraméterek!$V$257:$W$262,2),VLOOKUP($B518+IF($C518=12,1,0),Paraméterek!$I$258:$T$278,HLOOKUP($M$11+1,Paraméterek!$I$256:$T$257,2))),IF($D$4="Forint",0,2))</f>
        <v>#N/A</v>
      </c>
      <c r="Z518" s="32">
        <v>499</v>
      </c>
      <c r="AA518" s="32">
        <v>42</v>
      </c>
      <c r="AB518" s="32">
        <v>7</v>
      </c>
      <c r="AC518" s="13">
        <f t="shared" ca="1" si="170"/>
        <v>0</v>
      </c>
      <c r="AD518" s="33"/>
      <c r="AE518" s="13">
        <f t="shared" ca="1" si="162"/>
        <v>0</v>
      </c>
      <c r="AF518" s="13">
        <f ca="1">ROUNDUP(($AC518+$AE518)*VLOOKUP($AA518,Paraméterek!$P$38:$Q$38,2)/12*IF($D519="Nem",IF($M$13=0,1,$M$13),1),IF($D$4="Forint",0,2))</f>
        <v>0</v>
      </c>
      <c r="AG518" s="13">
        <f ca="1">IF($D$2="Egyszeri",IF($D$7&gt;=IF($D$4="Forint",Paraméterek!$P$223,Paraméterek!$P$224),$D$7-IF($D$4="Forint",Paraméterek!$P$223,Paraméterek!$P$224),0),MIN(IF($AB518=12,AVERAGEIF($E$20:$E518,"&gt;0",$E$20:$E518)*12,0),SUM($E$20:$E$31)))</f>
        <v>0</v>
      </c>
      <c r="AH518" s="13">
        <f>IF($AA518=10,$AG518*IF($AB518=12,IF($AG518&lt;IF($D$4="Forint",Paraméterek!$L$223,Paraméterek!$L$224),0,VLOOKUP($AA518,Paraméterek!$K$226:$M$228,IF($AG518&lt;IF($D$4="Forint",Paraméterek!$M$223,Paraméterek!$M$224),2,3))),0),0)</f>
        <v>0</v>
      </c>
      <c r="AI518" s="13">
        <f ca="1">IF(AND($AA518=$M$11+1,$AB518=$M$12+1),SUMIF($AA$20:$AA$1027,$AA518,$AG$20:$AG$1027)*IF(SUMIF($AA$20:$AA$1027,$AA518,$AG$20:$AG$1027)&lt;IF($D$4="Forint",Paraméterek!$L$223,Paraméterek!$L$224),0,VLOOKUP($AA518,Paraméterek!$K$230:$M$250,IF(SUMIF($AA$20:$AA$1027,$AA518,$AG$20:$AG$1027)&lt;IF($D$4="Forint",Paraméterek!$M$223,Paraméterek!$M$224),2,3))),0)</f>
        <v>0</v>
      </c>
      <c r="AJ518" s="13">
        <f ca="1">IF(AND($AA518&gt;=5,MOD($AA518,5)=0),IF($AB518=12,VLOOKUP($AA518,Paraméterek!$O$225:$P$240,2),0),IF(OR($AA518=3,$AA518=4),IF($AB518=12,VLOOKUP($AA518,Paraméterek!$O$225:$P$240,2,0),0),0))*$AG518</f>
        <v>0</v>
      </c>
      <c r="AK518" s="13">
        <f t="shared" ca="1" si="163"/>
        <v>0</v>
      </c>
      <c r="AL518" s="13">
        <f t="shared" ca="1" si="171"/>
        <v>0</v>
      </c>
      <c r="AM518" s="13">
        <f t="shared" ca="1" si="172"/>
        <v>0</v>
      </c>
      <c r="AO518" s="32">
        <v>499</v>
      </c>
      <c r="AP518" s="32">
        <v>42</v>
      </c>
      <c r="AQ518" s="32">
        <v>7</v>
      </c>
      <c r="AR518" s="13"/>
      <c r="AS518" s="32"/>
      <c r="AT518" s="13">
        <f t="shared" ca="1" si="173"/>
        <v>0</v>
      </c>
      <c r="AU518" s="33"/>
      <c r="AV518" s="13">
        <f t="shared" ca="1" si="164"/>
        <v>0</v>
      </c>
      <c r="AW518" s="13">
        <f ca="1">ROUNDUP(($AT518+$AV518)*VLOOKUP($AP518,Paraméterek!$P$38:$Q$38,2)/12*IF($D519="Nem",IF($M$13=0,1,$M$13),1),IF($D$4="Forint",0,2))</f>
        <v>0</v>
      </c>
      <c r="AX518" s="13"/>
      <c r="AY518" s="13"/>
      <c r="AZ518" s="13">
        <f>ROUNDUP(IF(SUM($AX518:$AY518)=0,0,IF(IF(ISBLANK($AY518),$AX518,$AY518)*Paraméterek!$J$112&lt;IF($D$4="Forint",Paraméterek!$J$113,Paraméterek!$K$113),IF($D$4="Forint",Paraméterek!$J$113,Paraméterek!$K$113),IF(IF(ISBLANK($AY518),$AX518,$AY518)*Paraméterek!$J$112&gt;IF($D$4="Forint",Paraméterek!$J$114,Paraméterek!$K$114),IF($D$4="Forint",Paraméterek!$J$114,Paraméterek!$K$114),IF(ISBLANK($AY518),$AX518,$AY518)*Paraméterek!$J$112))),IF($D$4="Forint",0,2))</f>
        <v>0</v>
      </c>
      <c r="BA518" s="13">
        <f ca="1">$AT518+$AV518-$AW518-IF(ROUNDDOWN(IF(ISBLANK($AY518),$AX518,$AY518),IF($D$4="Forint",0,2))&gt;$AT518+$AV518-$AW518-IF($D$4="Forint",Paraméterek!$J$114,Paraméterek!$K$114),0,ROUNDDOWN(IF(ISBLANK($AY518),$AX518,$AY518),IF($D$4="Forint",0,2))-$AZ518)</f>
        <v>0</v>
      </c>
      <c r="BB518" s="13">
        <f t="shared" ca="1" si="165"/>
        <v>0</v>
      </c>
      <c r="BD518" s="32">
        <v>499</v>
      </c>
      <c r="BE518" s="32">
        <v>42</v>
      </c>
      <c r="BF518" s="32">
        <v>7</v>
      </c>
      <c r="BG518" s="34">
        <f t="shared" ca="1" si="174"/>
        <v>2060</v>
      </c>
      <c r="BH518" s="32" t="str">
        <f ca="1">IF(MOD(MONTH($D$14)+$BD518-1,12)=Paraméterek!$C$288,"Igen","")</f>
        <v/>
      </c>
      <c r="BI518" s="13">
        <f ca="1">IF($BH518="Igen",MIN(ROUNDDOWN((SUMIF($BG$20:$BG$1027,$BG518-1,$K$20:$K$1027)-SUMIF($BG$20:$BG$1027,$BG518-1,$I$20:$I$1027))*Paraméterek!$C$289,IF($D$4="Forint",0,2)),IF($D$4="Forint",Paraméterek!$C$285,Paraméterek!$D$285)),0)</f>
        <v>0</v>
      </c>
      <c r="BJ518" s="13">
        <f t="shared" ca="1" si="166"/>
        <v>0</v>
      </c>
      <c r="BK518" s="13">
        <f t="shared" ca="1" si="175"/>
        <v>0</v>
      </c>
      <c r="BL518" s="33"/>
      <c r="BM518" s="13">
        <f t="shared" ca="1" si="167"/>
        <v>0</v>
      </c>
      <c r="BN518" s="13">
        <f ca="1">ROUNDUP(($BK518+$BM518)*VLOOKUP($BE518,Paraméterek!$P$38:$Q$38,2)/12*IF($D519="Nem",IF($M$13=0,1,$M$13),1),IF($D$4="Forint",0,2))</f>
        <v>0</v>
      </c>
      <c r="BO518" s="13">
        <f t="shared" ca="1" si="168"/>
        <v>0</v>
      </c>
      <c r="BP518" s="13">
        <f ca="1">IF($D519="Nem",$BO518,$BO518-ROUNDUP(SUM($BI$20:$BI518)*120%,IF($D$4="Forint",0,2)))</f>
        <v>0</v>
      </c>
    </row>
    <row r="519" spans="1:68" x14ac:dyDescent="0.2">
      <c r="A519" s="32">
        <v>500</v>
      </c>
      <c r="B519" s="32">
        <v>42</v>
      </c>
      <c r="C519" s="32">
        <v>8</v>
      </c>
      <c r="D519" s="32" t="str">
        <f t="shared" ca="1" si="154"/>
        <v>Nem</v>
      </c>
      <c r="E519" s="13">
        <f t="shared" ca="1" si="155"/>
        <v>0</v>
      </c>
      <c r="F519" s="13"/>
      <c r="G519" s="13"/>
      <c r="H519" s="13"/>
      <c r="I519" s="13">
        <f t="shared" ca="1" si="156"/>
        <v>0</v>
      </c>
      <c r="J519" s="13">
        <f t="shared" ca="1" si="157"/>
        <v>0</v>
      </c>
      <c r="K519" s="13">
        <f t="shared" ca="1" si="158"/>
        <v>0</v>
      </c>
      <c r="L519" s="13" t="e">
        <f ca="1">ROUNDUP(IF($D$2="Egyszeri",$E519,IF($D$2="Havi",SUM($E$20:$E$31),IF(MOD($C519,$M$1)-1=0,SUM($E$20:$E$31),0))/12*$M$1)*VLOOKUP($B519,Paraméterek!$I$28:$P$31,IF($D$2="Egyszeri",8,HLOOKUP(ROUNDUP($M$11+$M$13,0),Paraméterek!$J$26:$O$27,2))),IF($D$4="Forint",0,2))</f>
        <v>#N/A</v>
      </c>
      <c r="M519" s="13">
        <f t="shared" ca="1" si="159"/>
        <v>0</v>
      </c>
      <c r="N519" s="13">
        <f t="shared" ca="1" si="169"/>
        <v>0</v>
      </c>
      <c r="O519" s="13">
        <f ca="1">IF($D519="Igen",IF($W518&gt;=IF($D$4="Forint",Paraméterek!$J$121,Paraméterek!$K$121),0,IF($D$4="Forint",Paraméterek!$J$121,Paraméterek!$K$121)-$W518),0)</f>
        <v>0</v>
      </c>
      <c r="P519" s="13" t="e">
        <f ca="1">ROUNDUP($O519*VLOOKUP($M$4+$B519-1,Paraméterek!$H$58:$I$105,2,0)/Paraméterek!$I$56,IF($D$4="Forint",0,2))</f>
        <v>#N/A</v>
      </c>
      <c r="Q519" s="13">
        <f t="shared" ca="1" si="160"/>
        <v>0</v>
      </c>
      <c r="R519" s="33"/>
      <c r="S519" s="13" t="e">
        <f t="shared" ca="1" si="161"/>
        <v>#N/A</v>
      </c>
      <c r="T519" s="13" t="e">
        <f ca="1">ROUNDUP(($N519-$P519-$Q519+$S519)*VLOOKUP($B519,Paraméterek!$I$38:$K$39,IF($D$2="Egyszeri",3,2))/12*IF($D520="Nem",IF($M$13=0,1,$M$13),1),IF($D$4="Forint",0,2))</f>
        <v>#N/A</v>
      </c>
      <c r="U519" s="13"/>
      <c r="V519" s="13"/>
      <c r="W519" s="13" t="e">
        <f ca="1">$N519-$P519-$Q519+$S519-$T519-IF(ROUNDUP(IF(ISBLANK($V519),$U519*0,$V519)/IF($D$2="Egyszeri",VLOOKUP($B519+IF($C519=12,1,0),Paraméterek!$V$257:$W$262,2),IF($B519=1,1,VLOOKUP($B519+IF($C519=12,1,0),Paraméterek!$I$258:$T$278,HLOOKUP($M$11+1,Paraméterek!$J$256:$T$257,2)))),IF($D$4="Forint",0,2))&gt;$N519-$P519-$Q519+$S519-$T519-IF($D$4="Forint",Paraméterek!$C$216,Paraméterek!$D$216),0,ROUNDUP(IF(ISBLANK($V519),$U519*0,$V519)/IF($D$2="Egyszeri",VLOOKUP($B519+IF($C519=12,1,0),Paraméterek!$V$257:$W$262,2),IF($B519=1,1,VLOOKUP($B519+IF($C519=12,1,0),Paraméterek!$I$258:$T$278,HLOOKUP($M$11+1,Paraméterek!$J$256:$T$257,2)))),IF($D$4="Forint",0,2)))</f>
        <v>#N/A</v>
      </c>
      <c r="X519" s="13" t="e">
        <f ca="1">ROUNDDOWN($W519*IF($D$2="Egyszeri",VLOOKUP($B519+IF($C519=12,1,0),Paraméterek!$V$257:$W$262,2),VLOOKUP($B519+IF($C519=12,1,0),Paraméterek!$I$258:$T$278,HLOOKUP($M$11+1,Paraméterek!$I$256:$T$257,2))),IF($D$4="Forint",0,2))</f>
        <v>#N/A</v>
      </c>
      <c r="Z519" s="32">
        <v>500</v>
      </c>
      <c r="AA519" s="32">
        <v>42</v>
      </c>
      <c r="AB519" s="32">
        <v>8</v>
      </c>
      <c r="AC519" s="13">
        <f t="shared" ca="1" si="170"/>
        <v>0</v>
      </c>
      <c r="AD519" s="33"/>
      <c r="AE519" s="13">
        <f t="shared" ca="1" si="162"/>
        <v>0</v>
      </c>
      <c r="AF519" s="13">
        <f ca="1">ROUNDUP(($AC519+$AE519)*VLOOKUP($AA519,Paraméterek!$P$38:$Q$38,2)/12*IF($D520="Nem",IF($M$13=0,1,$M$13),1),IF($D$4="Forint",0,2))</f>
        <v>0</v>
      </c>
      <c r="AG519" s="13">
        <f ca="1">IF($D$2="Egyszeri",IF($D$7&gt;=IF($D$4="Forint",Paraméterek!$P$223,Paraméterek!$P$224),$D$7-IF($D$4="Forint",Paraméterek!$P$223,Paraméterek!$P$224),0),MIN(IF($AB519=12,AVERAGEIF($E$20:$E519,"&gt;0",$E$20:$E519)*12,0),SUM($E$20:$E$31)))</f>
        <v>0</v>
      </c>
      <c r="AH519" s="13">
        <f>IF($AA519=10,$AG519*IF($AB519=12,IF($AG519&lt;IF($D$4="Forint",Paraméterek!$L$223,Paraméterek!$L$224),0,VLOOKUP($AA519,Paraméterek!$K$226:$M$228,IF($AG519&lt;IF($D$4="Forint",Paraméterek!$M$223,Paraméterek!$M$224),2,3))),0),0)</f>
        <v>0</v>
      </c>
      <c r="AI519" s="13">
        <f ca="1">IF(AND($AA519=$M$11+1,$AB519=$M$12+1),SUMIF($AA$20:$AA$1027,$AA519,$AG$20:$AG$1027)*IF(SUMIF($AA$20:$AA$1027,$AA519,$AG$20:$AG$1027)&lt;IF($D$4="Forint",Paraméterek!$L$223,Paraméterek!$L$224),0,VLOOKUP($AA519,Paraméterek!$K$230:$M$250,IF(SUMIF($AA$20:$AA$1027,$AA519,$AG$20:$AG$1027)&lt;IF($D$4="Forint",Paraméterek!$M$223,Paraméterek!$M$224),2,3))),0)</f>
        <v>0</v>
      </c>
      <c r="AJ519" s="13">
        <f ca="1">IF(AND($AA519&gt;=5,MOD($AA519,5)=0),IF($AB519=12,VLOOKUP($AA519,Paraméterek!$O$225:$P$240,2),0),IF(OR($AA519=3,$AA519=4),IF($AB519=12,VLOOKUP($AA519,Paraméterek!$O$225:$P$240,2,0),0),0))*$AG519</f>
        <v>0</v>
      </c>
      <c r="AK519" s="13">
        <f t="shared" ca="1" si="163"/>
        <v>0</v>
      </c>
      <c r="AL519" s="13">
        <f t="shared" ca="1" si="171"/>
        <v>0</v>
      </c>
      <c r="AM519" s="13">
        <f t="shared" ca="1" si="172"/>
        <v>0</v>
      </c>
      <c r="AO519" s="32">
        <v>500</v>
      </c>
      <c r="AP519" s="32">
        <v>42</v>
      </c>
      <c r="AQ519" s="32">
        <v>8</v>
      </c>
      <c r="AR519" s="13"/>
      <c r="AS519" s="32"/>
      <c r="AT519" s="13">
        <f t="shared" ca="1" si="173"/>
        <v>0</v>
      </c>
      <c r="AU519" s="33"/>
      <c r="AV519" s="13">
        <f t="shared" ca="1" si="164"/>
        <v>0</v>
      </c>
      <c r="AW519" s="13">
        <f ca="1">ROUNDUP(($AT519+$AV519)*VLOOKUP($AP519,Paraméterek!$P$38:$Q$38,2)/12*IF($D520="Nem",IF($M$13=0,1,$M$13),1),IF($D$4="Forint",0,2))</f>
        <v>0</v>
      </c>
      <c r="AX519" s="13"/>
      <c r="AY519" s="13"/>
      <c r="AZ519" s="13">
        <f>ROUNDUP(IF(SUM($AX519:$AY519)=0,0,IF(IF(ISBLANK($AY519),$AX519,$AY519)*Paraméterek!$J$112&lt;IF($D$4="Forint",Paraméterek!$J$113,Paraméterek!$K$113),IF($D$4="Forint",Paraméterek!$J$113,Paraméterek!$K$113),IF(IF(ISBLANK($AY519),$AX519,$AY519)*Paraméterek!$J$112&gt;IF($D$4="Forint",Paraméterek!$J$114,Paraméterek!$K$114),IF($D$4="Forint",Paraméterek!$J$114,Paraméterek!$K$114),IF(ISBLANK($AY519),$AX519,$AY519)*Paraméterek!$J$112))),IF($D$4="Forint",0,2))</f>
        <v>0</v>
      </c>
      <c r="BA519" s="13">
        <f ca="1">$AT519+$AV519-$AW519-IF(ROUNDDOWN(IF(ISBLANK($AY519),$AX519,$AY519),IF($D$4="Forint",0,2))&gt;$AT519+$AV519-$AW519-IF($D$4="Forint",Paraméterek!$J$114,Paraméterek!$K$114),0,ROUNDDOWN(IF(ISBLANK($AY519),$AX519,$AY519),IF($D$4="Forint",0,2))-$AZ519)</f>
        <v>0</v>
      </c>
      <c r="BB519" s="13">
        <f t="shared" ca="1" si="165"/>
        <v>0</v>
      </c>
      <c r="BD519" s="32">
        <v>500</v>
      </c>
      <c r="BE519" s="32">
        <v>42</v>
      </c>
      <c r="BF519" s="32">
        <v>8</v>
      </c>
      <c r="BG519" s="34">
        <f t="shared" ca="1" si="174"/>
        <v>2061</v>
      </c>
      <c r="BH519" s="32" t="str">
        <f ca="1">IF(MOD(MONTH($D$14)+$BD519-1,12)=Paraméterek!$C$288,"Igen","")</f>
        <v/>
      </c>
      <c r="BI519" s="13">
        <f ca="1">IF($BH519="Igen",MIN(ROUNDDOWN((SUMIF($BG$20:$BG$1027,$BG519-1,$K$20:$K$1027)-SUMIF($BG$20:$BG$1027,$BG519-1,$I$20:$I$1027))*Paraméterek!$C$289,IF($D$4="Forint",0,2)),IF($D$4="Forint",Paraméterek!$C$285,Paraméterek!$D$285)),0)</f>
        <v>0</v>
      </c>
      <c r="BJ519" s="13">
        <f t="shared" ca="1" si="166"/>
        <v>0</v>
      </c>
      <c r="BK519" s="13">
        <f t="shared" ca="1" si="175"/>
        <v>0</v>
      </c>
      <c r="BL519" s="33"/>
      <c r="BM519" s="13">
        <f t="shared" ca="1" si="167"/>
        <v>0</v>
      </c>
      <c r="BN519" s="13">
        <f ca="1">ROUNDUP(($BK519+$BM519)*VLOOKUP($BE519,Paraméterek!$P$38:$Q$38,2)/12*IF($D520="Nem",IF($M$13=0,1,$M$13),1),IF($D$4="Forint",0,2))</f>
        <v>0</v>
      </c>
      <c r="BO519" s="13">
        <f t="shared" ca="1" si="168"/>
        <v>0</v>
      </c>
      <c r="BP519" s="13">
        <f ca="1">IF($D520="Nem",$BO519,$BO519-ROUNDUP(SUM($BI$20:$BI519)*120%,IF($D$4="Forint",0,2)))</f>
        <v>0</v>
      </c>
    </row>
    <row r="520" spans="1:68" x14ac:dyDescent="0.2">
      <c r="A520" s="32">
        <v>501</v>
      </c>
      <c r="B520" s="32">
        <v>42</v>
      </c>
      <c r="C520" s="32">
        <v>9</v>
      </c>
      <c r="D520" s="32" t="str">
        <f t="shared" ca="1" si="154"/>
        <v>Nem</v>
      </c>
      <c r="E520" s="13">
        <f t="shared" ca="1" si="155"/>
        <v>0</v>
      </c>
      <c r="F520" s="13"/>
      <c r="G520" s="13"/>
      <c r="H520" s="13"/>
      <c r="I520" s="13">
        <f t="shared" ca="1" si="156"/>
        <v>0</v>
      </c>
      <c r="J520" s="13">
        <f t="shared" ca="1" si="157"/>
        <v>0</v>
      </c>
      <c r="K520" s="13">
        <f t="shared" ca="1" si="158"/>
        <v>0</v>
      </c>
      <c r="L520" s="13" t="e">
        <f ca="1">ROUNDUP(IF($D$2="Egyszeri",$E520,IF($D$2="Havi",SUM($E$20:$E$31),IF(MOD($C520,$M$1)-1=0,SUM($E$20:$E$31),0))/12*$M$1)*VLOOKUP($B520,Paraméterek!$I$28:$P$31,IF($D$2="Egyszeri",8,HLOOKUP(ROUNDUP($M$11+$M$13,0),Paraméterek!$J$26:$O$27,2))),IF($D$4="Forint",0,2))</f>
        <v>#N/A</v>
      </c>
      <c r="M520" s="13">
        <f t="shared" ca="1" si="159"/>
        <v>0</v>
      </c>
      <c r="N520" s="13">
        <f t="shared" ca="1" si="169"/>
        <v>0</v>
      </c>
      <c r="O520" s="13">
        <f ca="1">IF($D520="Igen",IF($W519&gt;=IF($D$4="Forint",Paraméterek!$J$121,Paraméterek!$K$121),0,IF($D$4="Forint",Paraméterek!$J$121,Paraméterek!$K$121)-$W519),0)</f>
        <v>0</v>
      </c>
      <c r="P520" s="13" t="e">
        <f ca="1">ROUNDUP($O520*VLOOKUP($M$4+$B520-1,Paraméterek!$H$58:$I$105,2,0)/Paraméterek!$I$56,IF($D$4="Forint",0,2))</f>
        <v>#N/A</v>
      </c>
      <c r="Q520" s="13">
        <f t="shared" ca="1" si="160"/>
        <v>0</v>
      </c>
      <c r="R520" s="33"/>
      <c r="S520" s="13" t="e">
        <f t="shared" ca="1" si="161"/>
        <v>#N/A</v>
      </c>
      <c r="T520" s="13" t="e">
        <f ca="1">ROUNDUP(($N520-$P520-$Q520+$S520)*VLOOKUP($B520,Paraméterek!$I$38:$K$39,IF($D$2="Egyszeri",3,2))/12*IF($D521="Nem",IF($M$13=0,1,$M$13),1),IF($D$4="Forint",0,2))</f>
        <v>#N/A</v>
      </c>
      <c r="U520" s="13"/>
      <c r="V520" s="13"/>
      <c r="W520" s="13" t="e">
        <f ca="1">$N520-$P520-$Q520+$S520-$T520-IF(ROUNDUP(IF(ISBLANK($V520),$U520*0,$V520)/IF($D$2="Egyszeri",VLOOKUP($B520+IF($C520=12,1,0),Paraméterek!$V$257:$W$262,2),IF($B520=1,1,VLOOKUP($B520+IF($C520=12,1,0),Paraméterek!$I$258:$T$278,HLOOKUP($M$11+1,Paraméterek!$J$256:$T$257,2)))),IF($D$4="Forint",0,2))&gt;$N520-$P520-$Q520+$S520-$T520-IF($D$4="Forint",Paraméterek!$C$216,Paraméterek!$D$216),0,ROUNDUP(IF(ISBLANK($V520),$U520*0,$V520)/IF($D$2="Egyszeri",VLOOKUP($B520+IF($C520=12,1,0),Paraméterek!$V$257:$W$262,2),IF($B520=1,1,VLOOKUP($B520+IF($C520=12,1,0),Paraméterek!$I$258:$T$278,HLOOKUP($M$11+1,Paraméterek!$J$256:$T$257,2)))),IF($D$4="Forint",0,2)))</f>
        <v>#N/A</v>
      </c>
      <c r="X520" s="13" t="e">
        <f ca="1">ROUNDDOWN($W520*IF($D$2="Egyszeri",VLOOKUP($B520+IF($C520=12,1,0),Paraméterek!$V$257:$W$262,2),VLOOKUP($B520+IF($C520=12,1,0),Paraméterek!$I$258:$T$278,HLOOKUP($M$11+1,Paraméterek!$I$256:$T$257,2))),IF($D$4="Forint",0,2))</f>
        <v>#N/A</v>
      </c>
      <c r="Z520" s="32">
        <v>501</v>
      </c>
      <c r="AA520" s="32">
        <v>42</v>
      </c>
      <c r="AB520" s="32">
        <v>9</v>
      </c>
      <c r="AC520" s="13">
        <f t="shared" ca="1" si="170"/>
        <v>0</v>
      </c>
      <c r="AD520" s="33"/>
      <c r="AE520" s="13">
        <f t="shared" ca="1" si="162"/>
        <v>0</v>
      </c>
      <c r="AF520" s="13">
        <f ca="1">ROUNDUP(($AC520+$AE520)*VLOOKUP($AA520,Paraméterek!$P$38:$Q$38,2)/12*IF($D521="Nem",IF($M$13=0,1,$M$13),1),IF($D$4="Forint",0,2))</f>
        <v>0</v>
      </c>
      <c r="AG520" s="13">
        <f ca="1">IF($D$2="Egyszeri",IF($D$7&gt;=IF($D$4="Forint",Paraméterek!$P$223,Paraméterek!$P$224),$D$7-IF($D$4="Forint",Paraméterek!$P$223,Paraméterek!$P$224),0),MIN(IF($AB520=12,AVERAGEIF($E$20:$E520,"&gt;0",$E$20:$E520)*12,0),SUM($E$20:$E$31)))</f>
        <v>0</v>
      </c>
      <c r="AH520" s="13">
        <f>IF($AA520=10,$AG520*IF($AB520=12,IF($AG520&lt;IF($D$4="Forint",Paraméterek!$L$223,Paraméterek!$L$224),0,VLOOKUP($AA520,Paraméterek!$K$226:$M$228,IF($AG520&lt;IF($D$4="Forint",Paraméterek!$M$223,Paraméterek!$M$224),2,3))),0),0)</f>
        <v>0</v>
      </c>
      <c r="AI520" s="13">
        <f ca="1">IF(AND($AA520=$M$11+1,$AB520=$M$12+1),SUMIF($AA$20:$AA$1027,$AA520,$AG$20:$AG$1027)*IF(SUMIF($AA$20:$AA$1027,$AA520,$AG$20:$AG$1027)&lt;IF($D$4="Forint",Paraméterek!$L$223,Paraméterek!$L$224),0,VLOOKUP($AA520,Paraméterek!$K$230:$M$250,IF(SUMIF($AA$20:$AA$1027,$AA520,$AG$20:$AG$1027)&lt;IF($D$4="Forint",Paraméterek!$M$223,Paraméterek!$M$224),2,3))),0)</f>
        <v>0</v>
      </c>
      <c r="AJ520" s="13">
        <f ca="1">IF(AND($AA520&gt;=5,MOD($AA520,5)=0),IF($AB520=12,VLOOKUP($AA520,Paraméterek!$O$225:$P$240,2),0),IF(OR($AA520=3,$AA520=4),IF($AB520=12,VLOOKUP($AA520,Paraméterek!$O$225:$P$240,2,0),0),0))*$AG520</f>
        <v>0</v>
      </c>
      <c r="AK520" s="13">
        <f t="shared" ca="1" si="163"/>
        <v>0</v>
      </c>
      <c r="AL520" s="13">
        <f t="shared" ca="1" si="171"/>
        <v>0</v>
      </c>
      <c r="AM520" s="13">
        <f t="shared" ca="1" si="172"/>
        <v>0</v>
      </c>
      <c r="AO520" s="32">
        <v>501</v>
      </c>
      <c r="AP520" s="32">
        <v>42</v>
      </c>
      <c r="AQ520" s="32">
        <v>9</v>
      </c>
      <c r="AR520" s="13"/>
      <c r="AS520" s="32"/>
      <c r="AT520" s="13">
        <f t="shared" ca="1" si="173"/>
        <v>0</v>
      </c>
      <c r="AU520" s="33"/>
      <c r="AV520" s="13">
        <f t="shared" ca="1" si="164"/>
        <v>0</v>
      </c>
      <c r="AW520" s="13">
        <f ca="1">ROUNDUP(($AT520+$AV520)*VLOOKUP($AP520,Paraméterek!$P$38:$Q$38,2)/12*IF($D521="Nem",IF($M$13=0,1,$M$13),1),IF($D$4="Forint",0,2))</f>
        <v>0</v>
      </c>
      <c r="AX520" s="13"/>
      <c r="AY520" s="13"/>
      <c r="AZ520" s="13">
        <f>ROUNDUP(IF(SUM($AX520:$AY520)=0,0,IF(IF(ISBLANK($AY520),$AX520,$AY520)*Paraméterek!$J$112&lt;IF($D$4="Forint",Paraméterek!$J$113,Paraméterek!$K$113),IF($D$4="Forint",Paraméterek!$J$113,Paraméterek!$K$113),IF(IF(ISBLANK($AY520),$AX520,$AY520)*Paraméterek!$J$112&gt;IF($D$4="Forint",Paraméterek!$J$114,Paraméterek!$K$114),IF($D$4="Forint",Paraméterek!$J$114,Paraméterek!$K$114),IF(ISBLANK($AY520),$AX520,$AY520)*Paraméterek!$J$112))),IF($D$4="Forint",0,2))</f>
        <v>0</v>
      </c>
      <c r="BA520" s="13">
        <f ca="1">$AT520+$AV520-$AW520-IF(ROUNDDOWN(IF(ISBLANK($AY520),$AX520,$AY520),IF($D$4="Forint",0,2))&gt;$AT520+$AV520-$AW520-IF($D$4="Forint",Paraméterek!$J$114,Paraméterek!$K$114),0,ROUNDDOWN(IF(ISBLANK($AY520),$AX520,$AY520),IF($D$4="Forint",0,2))-$AZ520)</f>
        <v>0</v>
      </c>
      <c r="BB520" s="13">
        <f t="shared" ca="1" si="165"/>
        <v>0</v>
      </c>
      <c r="BD520" s="32">
        <v>501</v>
      </c>
      <c r="BE520" s="32">
        <v>42</v>
      </c>
      <c r="BF520" s="32">
        <v>9</v>
      </c>
      <c r="BG520" s="34">
        <f t="shared" ca="1" si="174"/>
        <v>2061</v>
      </c>
      <c r="BH520" s="32" t="str">
        <f ca="1">IF(MOD(MONTH($D$14)+$BD520-1,12)=Paraméterek!$C$288,"Igen","")</f>
        <v/>
      </c>
      <c r="BI520" s="13">
        <f ca="1">IF($BH520="Igen",MIN(ROUNDDOWN((SUMIF($BG$20:$BG$1027,$BG520-1,$K$20:$K$1027)-SUMIF($BG$20:$BG$1027,$BG520-1,$I$20:$I$1027))*Paraméterek!$C$289,IF($D$4="Forint",0,2)),IF($D$4="Forint",Paraméterek!$C$285,Paraméterek!$D$285)),0)</f>
        <v>0</v>
      </c>
      <c r="BJ520" s="13">
        <f t="shared" ca="1" si="166"/>
        <v>0</v>
      </c>
      <c r="BK520" s="13">
        <f t="shared" ca="1" si="175"/>
        <v>0</v>
      </c>
      <c r="BL520" s="33"/>
      <c r="BM520" s="13">
        <f t="shared" ca="1" si="167"/>
        <v>0</v>
      </c>
      <c r="BN520" s="13">
        <f ca="1">ROUNDUP(($BK520+$BM520)*VLOOKUP($BE520,Paraméterek!$P$38:$Q$38,2)/12*IF($D521="Nem",IF($M$13=0,1,$M$13),1),IF($D$4="Forint",0,2))</f>
        <v>0</v>
      </c>
      <c r="BO520" s="13">
        <f t="shared" ca="1" si="168"/>
        <v>0</v>
      </c>
      <c r="BP520" s="13">
        <f ca="1">IF($D521="Nem",$BO520,$BO520-ROUNDUP(SUM($BI$20:$BI520)*120%,IF($D$4="Forint",0,2)))</f>
        <v>0</v>
      </c>
    </row>
    <row r="521" spans="1:68" x14ac:dyDescent="0.2">
      <c r="A521" s="32">
        <v>502</v>
      </c>
      <c r="B521" s="32">
        <v>42</v>
      </c>
      <c r="C521" s="32">
        <v>10</v>
      </c>
      <c r="D521" s="32" t="str">
        <f t="shared" ca="1" si="154"/>
        <v>Nem</v>
      </c>
      <c r="E521" s="13">
        <f t="shared" ca="1" si="155"/>
        <v>0</v>
      </c>
      <c r="F521" s="13"/>
      <c r="G521" s="13"/>
      <c r="H521" s="13"/>
      <c r="I521" s="13">
        <f t="shared" ca="1" si="156"/>
        <v>0</v>
      </c>
      <c r="J521" s="13">
        <f t="shared" ca="1" si="157"/>
        <v>0</v>
      </c>
      <c r="K521" s="13">
        <f t="shared" ca="1" si="158"/>
        <v>0</v>
      </c>
      <c r="L521" s="13" t="e">
        <f ca="1">ROUNDUP(IF($D$2="Egyszeri",$E521,IF($D$2="Havi",SUM($E$20:$E$31),IF(MOD($C521,$M$1)-1=0,SUM($E$20:$E$31),0))/12*$M$1)*VLOOKUP($B521,Paraméterek!$I$28:$P$31,IF($D$2="Egyszeri",8,HLOOKUP(ROUNDUP($M$11+$M$13,0),Paraméterek!$J$26:$O$27,2))),IF($D$4="Forint",0,2))</f>
        <v>#N/A</v>
      </c>
      <c r="M521" s="13">
        <f t="shared" ca="1" si="159"/>
        <v>0</v>
      </c>
      <c r="N521" s="13">
        <f t="shared" ca="1" si="169"/>
        <v>0</v>
      </c>
      <c r="O521" s="13">
        <f ca="1">IF($D521="Igen",IF($W520&gt;=IF($D$4="Forint",Paraméterek!$J$121,Paraméterek!$K$121),0,IF($D$4="Forint",Paraméterek!$J$121,Paraméterek!$K$121)-$W520),0)</f>
        <v>0</v>
      </c>
      <c r="P521" s="13" t="e">
        <f ca="1">ROUNDUP($O521*VLOOKUP($M$4+$B521-1,Paraméterek!$H$58:$I$105,2,0)/Paraméterek!$I$56,IF($D$4="Forint",0,2))</f>
        <v>#N/A</v>
      </c>
      <c r="Q521" s="13">
        <f t="shared" ca="1" si="160"/>
        <v>0</v>
      </c>
      <c r="R521" s="33"/>
      <c r="S521" s="13" t="e">
        <f t="shared" ca="1" si="161"/>
        <v>#N/A</v>
      </c>
      <c r="T521" s="13" t="e">
        <f ca="1">ROUNDUP(($N521-$P521-$Q521+$S521)*VLOOKUP($B521,Paraméterek!$I$38:$K$39,IF($D$2="Egyszeri",3,2))/12*IF($D522="Nem",IF($M$13=0,1,$M$13),1),IF($D$4="Forint",0,2))</f>
        <v>#N/A</v>
      </c>
      <c r="U521" s="13"/>
      <c r="V521" s="13"/>
      <c r="W521" s="13" t="e">
        <f ca="1">$N521-$P521-$Q521+$S521-$T521-IF(ROUNDUP(IF(ISBLANK($V521),$U521*0,$V521)/IF($D$2="Egyszeri",VLOOKUP($B521+IF($C521=12,1,0),Paraméterek!$V$257:$W$262,2),IF($B521=1,1,VLOOKUP($B521+IF($C521=12,1,0),Paraméterek!$I$258:$T$278,HLOOKUP($M$11+1,Paraméterek!$J$256:$T$257,2)))),IF($D$4="Forint",0,2))&gt;$N521-$P521-$Q521+$S521-$T521-IF($D$4="Forint",Paraméterek!$C$216,Paraméterek!$D$216),0,ROUNDUP(IF(ISBLANK($V521),$U521*0,$V521)/IF($D$2="Egyszeri",VLOOKUP($B521+IF($C521=12,1,0),Paraméterek!$V$257:$W$262,2),IF($B521=1,1,VLOOKUP($B521+IF($C521=12,1,0),Paraméterek!$I$258:$T$278,HLOOKUP($M$11+1,Paraméterek!$J$256:$T$257,2)))),IF($D$4="Forint",0,2)))</f>
        <v>#N/A</v>
      </c>
      <c r="X521" s="13" t="e">
        <f ca="1">ROUNDDOWN($W521*IF($D$2="Egyszeri",VLOOKUP($B521+IF($C521=12,1,0),Paraméterek!$V$257:$W$262,2),VLOOKUP($B521+IF($C521=12,1,0),Paraméterek!$I$258:$T$278,HLOOKUP($M$11+1,Paraméterek!$I$256:$T$257,2))),IF($D$4="Forint",0,2))</f>
        <v>#N/A</v>
      </c>
      <c r="Z521" s="32">
        <v>502</v>
      </c>
      <c r="AA521" s="32">
        <v>42</v>
      </c>
      <c r="AB521" s="32">
        <v>10</v>
      </c>
      <c r="AC521" s="13">
        <f t="shared" ca="1" si="170"/>
        <v>0</v>
      </c>
      <c r="AD521" s="33"/>
      <c r="AE521" s="13">
        <f t="shared" ca="1" si="162"/>
        <v>0</v>
      </c>
      <c r="AF521" s="13">
        <f ca="1">ROUNDUP(($AC521+$AE521)*VLOOKUP($AA521,Paraméterek!$P$38:$Q$38,2)/12*IF($D522="Nem",IF($M$13=0,1,$M$13),1),IF($D$4="Forint",0,2))</f>
        <v>0</v>
      </c>
      <c r="AG521" s="13">
        <f ca="1">IF($D$2="Egyszeri",IF($D$7&gt;=IF($D$4="Forint",Paraméterek!$P$223,Paraméterek!$P$224),$D$7-IF($D$4="Forint",Paraméterek!$P$223,Paraméterek!$P$224),0),MIN(IF($AB521=12,AVERAGEIF($E$20:$E521,"&gt;0",$E$20:$E521)*12,0),SUM($E$20:$E$31)))</f>
        <v>0</v>
      </c>
      <c r="AH521" s="13">
        <f>IF($AA521=10,$AG521*IF($AB521=12,IF($AG521&lt;IF($D$4="Forint",Paraméterek!$L$223,Paraméterek!$L$224),0,VLOOKUP($AA521,Paraméterek!$K$226:$M$228,IF($AG521&lt;IF($D$4="Forint",Paraméterek!$M$223,Paraméterek!$M$224),2,3))),0),0)</f>
        <v>0</v>
      </c>
      <c r="AI521" s="13">
        <f ca="1">IF(AND($AA521=$M$11+1,$AB521=$M$12+1),SUMIF($AA$20:$AA$1027,$AA521,$AG$20:$AG$1027)*IF(SUMIF($AA$20:$AA$1027,$AA521,$AG$20:$AG$1027)&lt;IF($D$4="Forint",Paraméterek!$L$223,Paraméterek!$L$224),0,VLOOKUP($AA521,Paraméterek!$K$230:$M$250,IF(SUMIF($AA$20:$AA$1027,$AA521,$AG$20:$AG$1027)&lt;IF($D$4="Forint",Paraméterek!$M$223,Paraméterek!$M$224),2,3))),0)</f>
        <v>0</v>
      </c>
      <c r="AJ521" s="13">
        <f ca="1">IF(AND($AA521&gt;=5,MOD($AA521,5)=0),IF($AB521=12,VLOOKUP($AA521,Paraméterek!$O$225:$P$240,2),0),IF(OR($AA521=3,$AA521=4),IF($AB521=12,VLOOKUP($AA521,Paraméterek!$O$225:$P$240,2,0),0),0))*$AG521</f>
        <v>0</v>
      </c>
      <c r="AK521" s="13">
        <f t="shared" ca="1" si="163"/>
        <v>0</v>
      </c>
      <c r="AL521" s="13">
        <f t="shared" ca="1" si="171"/>
        <v>0</v>
      </c>
      <c r="AM521" s="13">
        <f t="shared" ca="1" si="172"/>
        <v>0</v>
      </c>
      <c r="AO521" s="32">
        <v>502</v>
      </c>
      <c r="AP521" s="32">
        <v>42</v>
      </c>
      <c r="AQ521" s="32">
        <v>10</v>
      </c>
      <c r="AR521" s="13"/>
      <c r="AS521" s="32"/>
      <c r="AT521" s="13">
        <f t="shared" ca="1" si="173"/>
        <v>0</v>
      </c>
      <c r="AU521" s="33"/>
      <c r="AV521" s="13">
        <f t="shared" ca="1" si="164"/>
        <v>0</v>
      </c>
      <c r="AW521" s="13">
        <f ca="1">ROUNDUP(($AT521+$AV521)*VLOOKUP($AP521,Paraméterek!$P$38:$Q$38,2)/12*IF($D522="Nem",IF($M$13=0,1,$M$13),1),IF($D$4="Forint",0,2))</f>
        <v>0</v>
      </c>
      <c r="AX521" s="13"/>
      <c r="AY521" s="13"/>
      <c r="AZ521" s="13">
        <f>ROUNDUP(IF(SUM($AX521:$AY521)=0,0,IF(IF(ISBLANK($AY521),$AX521,$AY521)*Paraméterek!$J$112&lt;IF($D$4="Forint",Paraméterek!$J$113,Paraméterek!$K$113),IF($D$4="Forint",Paraméterek!$J$113,Paraméterek!$K$113),IF(IF(ISBLANK($AY521),$AX521,$AY521)*Paraméterek!$J$112&gt;IF($D$4="Forint",Paraméterek!$J$114,Paraméterek!$K$114),IF($D$4="Forint",Paraméterek!$J$114,Paraméterek!$K$114),IF(ISBLANK($AY521),$AX521,$AY521)*Paraméterek!$J$112))),IF($D$4="Forint",0,2))</f>
        <v>0</v>
      </c>
      <c r="BA521" s="13">
        <f ca="1">$AT521+$AV521-$AW521-IF(ROUNDDOWN(IF(ISBLANK($AY521),$AX521,$AY521),IF($D$4="Forint",0,2))&gt;$AT521+$AV521-$AW521-IF($D$4="Forint",Paraméterek!$J$114,Paraméterek!$K$114),0,ROUNDDOWN(IF(ISBLANK($AY521),$AX521,$AY521),IF($D$4="Forint",0,2))-$AZ521)</f>
        <v>0</v>
      </c>
      <c r="BB521" s="13">
        <f t="shared" ca="1" si="165"/>
        <v>0</v>
      </c>
      <c r="BD521" s="32">
        <v>502</v>
      </c>
      <c r="BE521" s="32">
        <v>42</v>
      </c>
      <c r="BF521" s="32">
        <v>10</v>
      </c>
      <c r="BG521" s="34">
        <f t="shared" ca="1" si="174"/>
        <v>2061</v>
      </c>
      <c r="BH521" s="32" t="str">
        <f ca="1">IF(MOD(MONTH($D$14)+$BD521-1,12)=Paraméterek!$C$288,"Igen","")</f>
        <v/>
      </c>
      <c r="BI521" s="13">
        <f ca="1">IF($BH521="Igen",MIN(ROUNDDOWN((SUMIF($BG$20:$BG$1027,$BG521-1,$K$20:$K$1027)-SUMIF($BG$20:$BG$1027,$BG521-1,$I$20:$I$1027))*Paraméterek!$C$289,IF($D$4="Forint",0,2)),IF($D$4="Forint",Paraméterek!$C$285,Paraméterek!$D$285)),0)</f>
        <v>0</v>
      </c>
      <c r="BJ521" s="13">
        <f t="shared" ca="1" si="166"/>
        <v>0</v>
      </c>
      <c r="BK521" s="13">
        <f t="shared" ca="1" si="175"/>
        <v>0</v>
      </c>
      <c r="BL521" s="33"/>
      <c r="BM521" s="13">
        <f t="shared" ca="1" si="167"/>
        <v>0</v>
      </c>
      <c r="BN521" s="13">
        <f ca="1">ROUNDUP(($BK521+$BM521)*VLOOKUP($BE521,Paraméterek!$P$38:$Q$38,2)/12*IF($D522="Nem",IF($M$13=0,1,$M$13),1),IF($D$4="Forint",0,2))</f>
        <v>0</v>
      </c>
      <c r="BO521" s="13">
        <f t="shared" ca="1" si="168"/>
        <v>0</v>
      </c>
      <c r="BP521" s="13">
        <f ca="1">IF($D522="Nem",$BO521,$BO521-ROUNDUP(SUM($BI$20:$BI521)*120%,IF($D$4="Forint",0,2)))</f>
        <v>0</v>
      </c>
    </row>
    <row r="522" spans="1:68" x14ac:dyDescent="0.2">
      <c r="A522" s="32">
        <v>503</v>
      </c>
      <c r="B522" s="32">
        <v>42</v>
      </c>
      <c r="C522" s="32">
        <v>11</v>
      </c>
      <c r="D522" s="32" t="str">
        <f t="shared" ca="1" si="154"/>
        <v>Nem</v>
      </c>
      <c r="E522" s="13">
        <f t="shared" ca="1" si="155"/>
        <v>0</v>
      </c>
      <c r="F522" s="13"/>
      <c r="G522" s="13"/>
      <c r="H522" s="13"/>
      <c r="I522" s="13">
        <f t="shared" ca="1" si="156"/>
        <v>0</v>
      </c>
      <c r="J522" s="13">
        <f t="shared" ca="1" si="157"/>
        <v>0</v>
      </c>
      <c r="K522" s="13">
        <f t="shared" ca="1" si="158"/>
        <v>0</v>
      </c>
      <c r="L522" s="13" t="e">
        <f ca="1">ROUNDUP(IF($D$2="Egyszeri",$E522,IF($D$2="Havi",SUM($E$20:$E$31),IF(MOD($C522,$M$1)-1=0,SUM($E$20:$E$31),0))/12*$M$1)*VLOOKUP($B522,Paraméterek!$I$28:$P$31,IF($D$2="Egyszeri",8,HLOOKUP(ROUNDUP($M$11+$M$13,0),Paraméterek!$J$26:$O$27,2))),IF($D$4="Forint",0,2))</f>
        <v>#N/A</v>
      </c>
      <c r="M522" s="13">
        <f t="shared" ca="1" si="159"/>
        <v>0</v>
      </c>
      <c r="N522" s="13">
        <f t="shared" ca="1" si="169"/>
        <v>0</v>
      </c>
      <c r="O522" s="13">
        <f ca="1">IF($D522="Igen",IF($W521&gt;=IF($D$4="Forint",Paraméterek!$J$121,Paraméterek!$K$121),0,IF($D$4="Forint",Paraméterek!$J$121,Paraméterek!$K$121)-$W521),0)</f>
        <v>0</v>
      </c>
      <c r="P522" s="13" t="e">
        <f ca="1">ROUNDUP($O522*VLOOKUP($M$4+$B522-1,Paraméterek!$H$58:$I$105,2,0)/Paraméterek!$I$56,IF($D$4="Forint",0,2))</f>
        <v>#N/A</v>
      </c>
      <c r="Q522" s="13">
        <f t="shared" ca="1" si="160"/>
        <v>0</v>
      </c>
      <c r="R522" s="33"/>
      <c r="S522" s="13" t="e">
        <f t="shared" ca="1" si="161"/>
        <v>#N/A</v>
      </c>
      <c r="T522" s="13" t="e">
        <f ca="1">ROUNDUP(($N522-$P522-$Q522+$S522)*VLOOKUP($B522,Paraméterek!$I$38:$K$39,IF($D$2="Egyszeri",3,2))/12*IF($D523="Nem",IF($M$13=0,1,$M$13),1),IF($D$4="Forint",0,2))</f>
        <v>#N/A</v>
      </c>
      <c r="U522" s="13"/>
      <c r="V522" s="13"/>
      <c r="W522" s="13" t="e">
        <f ca="1">$N522-$P522-$Q522+$S522-$T522-IF(ROUNDUP(IF(ISBLANK($V522),$U522*0,$V522)/IF($D$2="Egyszeri",VLOOKUP($B522+IF($C522=12,1,0),Paraméterek!$V$257:$W$262,2),IF($B522=1,1,VLOOKUP($B522+IF($C522=12,1,0),Paraméterek!$I$258:$T$278,HLOOKUP($M$11+1,Paraméterek!$J$256:$T$257,2)))),IF($D$4="Forint",0,2))&gt;$N522-$P522-$Q522+$S522-$T522-IF($D$4="Forint",Paraméterek!$C$216,Paraméterek!$D$216),0,ROUNDUP(IF(ISBLANK($V522),$U522*0,$V522)/IF($D$2="Egyszeri",VLOOKUP($B522+IF($C522=12,1,0),Paraméterek!$V$257:$W$262,2),IF($B522=1,1,VLOOKUP($B522+IF($C522=12,1,0),Paraméterek!$I$258:$T$278,HLOOKUP($M$11+1,Paraméterek!$J$256:$T$257,2)))),IF($D$4="Forint",0,2)))</f>
        <v>#N/A</v>
      </c>
      <c r="X522" s="13" t="e">
        <f ca="1">ROUNDDOWN($W522*IF($D$2="Egyszeri",VLOOKUP($B522+IF($C522=12,1,0),Paraméterek!$V$257:$W$262,2),VLOOKUP($B522+IF($C522=12,1,0),Paraméterek!$I$258:$T$278,HLOOKUP($M$11+1,Paraméterek!$I$256:$T$257,2))),IF($D$4="Forint",0,2))</f>
        <v>#N/A</v>
      </c>
      <c r="Z522" s="32">
        <v>503</v>
      </c>
      <c r="AA522" s="32">
        <v>42</v>
      </c>
      <c r="AB522" s="32">
        <v>11</v>
      </c>
      <c r="AC522" s="13">
        <f t="shared" ca="1" si="170"/>
        <v>0</v>
      </c>
      <c r="AD522" s="33"/>
      <c r="AE522" s="13">
        <f t="shared" ca="1" si="162"/>
        <v>0</v>
      </c>
      <c r="AF522" s="13">
        <f ca="1">ROUNDUP(($AC522+$AE522)*VLOOKUP($AA522,Paraméterek!$P$38:$Q$38,2)/12*IF($D523="Nem",IF($M$13=0,1,$M$13),1),IF($D$4="Forint",0,2))</f>
        <v>0</v>
      </c>
      <c r="AG522" s="13">
        <f ca="1">IF($D$2="Egyszeri",IF($D$7&gt;=IF($D$4="Forint",Paraméterek!$P$223,Paraméterek!$P$224),$D$7-IF($D$4="Forint",Paraméterek!$P$223,Paraméterek!$P$224),0),MIN(IF($AB522=12,AVERAGEIF($E$20:$E522,"&gt;0",$E$20:$E522)*12,0),SUM($E$20:$E$31)))</f>
        <v>0</v>
      </c>
      <c r="AH522" s="13">
        <f>IF($AA522=10,$AG522*IF($AB522=12,IF($AG522&lt;IF($D$4="Forint",Paraméterek!$L$223,Paraméterek!$L$224),0,VLOOKUP($AA522,Paraméterek!$K$226:$M$228,IF($AG522&lt;IF($D$4="Forint",Paraméterek!$M$223,Paraméterek!$M$224),2,3))),0),0)</f>
        <v>0</v>
      </c>
      <c r="AI522" s="13">
        <f ca="1">IF(AND($AA522=$M$11+1,$AB522=$M$12+1),SUMIF($AA$20:$AA$1027,$AA522,$AG$20:$AG$1027)*IF(SUMIF($AA$20:$AA$1027,$AA522,$AG$20:$AG$1027)&lt;IF($D$4="Forint",Paraméterek!$L$223,Paraméterek!$L$224),0,VLOOKUP($AA522,Paraméterek!$K$230:$M$250,IF(SUMIF($AA$20:$AA$1027,$AA522,$AG$20:$AG$1027)&lt;IF($D$4="Forint",Paraméterek!$M$223,Paraméterek!$M$224),2,3))),0)</f>
        <v>0</v>
      </c>
      <c r="AJ522" s="13">
        <f ca="1">IF(AND($AA522&gt;=5,MOD($AA522,5)=0),IF($AB522=12,VLOOKUP($AA522,Paraméterek!$O$225:$P$240,2),0),IF(OR($AA522=3,$AA522=4),IF($AB522=12,VLOOKUP($AA522,Paraméterek!$O$225:$P$240,2,0),0),0))*$AG522</f>
        <v>0</v>
      </c>
      <c r="AK522" s="13">
        <f t="shared" ca="1" si="163"/>
        <v>0</v>
      </c>
      <c r="AL522" s="13">
        <f t="shared" ca="1" si="171"/>
        <v>0</v>
      </c>
      <c r="AM522" s="13">
        <f t="shared" ca="1" si="172"/>
        <v>0</v>
      </c>
      <c r="AO522" s="32">
        <v>503</v>
      </c>
      <c r="AP522" s="32">
        <v>42</v>
      </c>
      <c r="AQ522" s="32">
        <v>11</v>
      </c>
      <c r="AR522" s="13"/>
      <c r="AS522" s="32"/>
      <c r="AT522" s="13">
        <f t="shared" ca="1" si="173"/>
        <v>0</v>
      </c>
      <c r="AU522" s="33"/>
      <c r="AV522" s="13">
        <f t="shared" ca="1" si="164"/>
        <v>0</v>
      </c>
      <c r="AW522" s="13">
        <f ca="1">ROUNDUP(($AT522+$AV522)*VLOOKUP($AP522,Paraméterek!$P$38:$Q$38,2)/12*IF($D523="Nem",IF($M$13=0,1,$M$13),1),IF($D$4="Forint",0,2))</f>
        <v>0</v>
      </c>
      <c r="AX522" s="13"/>
      <c r="AY522" s="13"/>
      <c r="AZ522" s="13">
        <f>ROUNDUP(IF(SUM($AX522:$AY522)=0,0,IF(IF(ISBLANK($AY522),$AX522,$AY522)*Paraméterek!$J$112&lt;IF($D$4="Forint",Paraméterek!$J$113,Paraméterek!$K$113),IF($D$4="Forint",Paraméterek!$J$113,Paraméterek!$K$113),IF(IF(ISBLANK($AY522),$AX522,$AY522)*Paraméterek!$J$112&gt;IF($D$4="Forint",Paraméterek!$J$114,Paraméterek!$K$114),IF($D$4="Forint",Paraméterek!$J$114,Paraméterek!$K$114),IF(ISBLANK($AY522),$AX522,$AY522)*Paraméterek!$J$112))),IF($D$4="Forint",0,2))</f>
        <v>0</v>
      </c>
      <c r="BA522" s="13">
        <f ca="1">$AT522+$AV522-$AW522-IF(ROUNDDOWN(IF(ISBLANK($AY522),$AX522,$AY522),IF($D$4="Forint",0,2))&gt;$AT522+$AV522-$AW522-IF($D$4="Forint",Paraméterek!$J$114,Paraméterek!$K$114),0,ROUNDDOWN(IF(ISBLANK($AY522),$AX522,$AY522),IF($D$4="Forint",0,2))-$AZ522)</f>
        <v>0</v>
      </c>
      <c r="BB522" s="13">
        <f t="shared" ca="1" si="165"/>
        <v>0</v>
      </c>
      <c r="BD522" s="32">
        <v>503</v>
      </c>
      <c r="BE522" s="32">
        <v>42</v>
      </c>
      <c r="BF522" s="32">
        <v>11</v>
      </c>
      <c r="BG522" s="34">
        <f t="shared" ca="1" si="174"/>
        <v>2061</v>
      </c>
      <c r="BH522" s="32" t="str">
        <f ca="1">IF(MOD(MONTH($D$14)+$BD522-1,12)=Paraméterek!$C$288,"Igen","")</f>
        <v/>
      </c>
      <c r="BI522" s="13">
        <f ca="1">IF($BH522="Igen",MIN(ROUNDDOWN((SUMIF($BG$20:$BG$1027,$BG522-1,$K$20:$K$1027)-SUMIF($BG$20:$BG$1027,$BG522-1,$I$20:$I$1027))*Paraméterek!$C$289,IF($D$4="Forint",0,2)),IF($D$4="Forint",Paraméterek!$C$285,Paraméterek!$D$285)),0)</f>
        <v>0</v>
      </c>
      <c r="BJ522" s="13">
        <f t="shared" ca="1" si="166"/>
        <v>0</v>
      </c>
      <c r="BK522" s="13">
        <f t="shared" ca="1" si="175"/>
        <v>0</v>
      </c>
      <c r="BL522" s="33"/>
      <c r="BM522" s="13">
        <f t="shared" ca="1" si="167"/>
        <v>0</v>
      </c>
      <c r="BN522" s="13">
        <f ca="1">ROUNDUP(($BK522+$BM522)*VLOOKUP($BE522,Paraméterek!$P$38:$Q$38,2)/12*IF($D523="Nem",IF($M$13=0,1,$M$13),1),IF($D$4="Forint",0,2))</f>
        <v>0</v>
      </c>
      <c r="BO522" s="13">
        <f t="shared" ca="1" si="168"/>
        <v>0</v>
      </c>
      <c r="BP522" s="13">
        <f ca="1">IF($D523="Nem",$BO522,$BO522-ROUNDUP(SUM($BI$20:$BI522)*120%,IF($D$4="Forint",0,2)))</f>
        <v>0</v>
      </c>
    </row>
    <row r="523" spans="1:68" x14ac:dyDescent="0.2">
      <c r="A523" s="32">
        <v>504</v>
      </c>
      <c r="B523" s="32">
        <v>42</v>
      </c>
      <c r="C523" s="32">
        <v>12</v>
      </c>
      <c r="D523" s="32" t="str">
        <f t="shared" ca="1" si="154"/>
        <v>Nem</v>
      </c>
      <c r="E523" s="13">
        <f t="shared" ca="1" si="155"/>
        <v>0</v>
      </c>
      <c r="F523" s="13"/>
      <c r="G523" s="13"/>
      <c r="H523" s="13"/>
      <c r="I523" s="13">
        <f t="shared" ca="1" si="156"/>
        <v>0</v>
      </c>
      <c r="J523" s="13">
        <f t="shared" ca="1" si="157"/>
        <v>0</v>
      </c>
      <c r="K523" s="13">
        <f t="shared" ca="1" si="158"/>
        <v>0</v>
      </c>
      <c r="L523" s="13" t="e">
        <f ca="1">ROUNDUP(IF($D$2="Egyszeri",$E523,IF($D$2="Havi",SUM($E$20:$E$31),IF(MOD($C523,$M$1)-1=0,SUM($E$20:$E$31),0))/12*$M$1)*VLOOKUP($B523,Paraméterek!$I$28:$P$31,IF($D$2="Egyszeri",8,HLOOKUP(ROUNDUP($M$11+$M$13,0),Paraméterek!$J$26:$O$27,2))),IF($D$4="Forint",0,2))</f>
        <v>#N/A</v>
      </c>
      <c r="M523" s="13">
        <f t="shared" ca="1" si="159"/>
        <v>0</v>
      </c>
      <c r="N523" s="13">
        <f t="shared" ca="1" si="169"/>
        <v>0</v>
      </c>
      <c r="O523" s="13">
        <f ca="1">IF($D523="Igen",IF($W522&gt;=IF($D$4="Forint",Paraméterek!$J$121,Paraméterek!$K$121),0,IF($D$4="Forint",Paraméterek!$J$121,Paraméterek!$K$121)-$W522),0)</f>
        <v>0</v>
      </c>
      <c r="P523" s="13" t="e">
        <f ca="1">ROUNDUP($O523*VLOOKUP($M$4+$B523-1,Paraméterek!$H$58:$I$105,2,0)/Paraméterek!$I$56,IF($D$4="Forint",0,2))</f>
        <v>#N/A</v>
      </c>
      <c r="Q523" s="13">
        <f t="shared" ca="1" si="160"/>
        <v>0</v>
      </c>
      <c r="R523" s="33"/>
      <c r="S523" s="13" t="e">
        <f t="shared" ca="1" si="161"/>
        <v>#N/A</v>
      </c>
      <c r="T523" s="13" t="e">
        <f ca="1">ROUNDUP(($N523-$P523-$Q523+$S523)*VLOOKUP($B523,Paraméterek!$I$38:$K$39,IF($D$2="Egyszeri",3,2))/12*IF($D524="Nem",IF($M$13=0,1,$M$13),1),IF($D$4="Forint",0,2))</f>
        <v>#N/A</v>
      </c>
      <c r="U523" s="13">
        <f>Tranzakciók!$F$73</f>
        <v>0</v>
      </c>
      <c r="V523" s="13"/>
      <c r="W523" s="13" t="e">
        <f ca="1">$N523-$P523-$Q523+$S523-$T523-IF(ROUNDUP(IF(ISBLANK($V523),$U523*0,$V523)/IF($D$2="Egyszeri",VLOOKUP($B523+IF($C523=12,1,0),Paraméterek!$V$257:$W$262,2),IF($B523=1,1,VLOOKUP($B523+IF($C523=12,1,0),Paraméterek!$I$258:$T$278,HLOOKUP($M$11+1,Paraméterek!$J$256:$T$257,2)))),IF($D$4="Forint",0,2))&gt;$N523-$P523-$Q523+$S523-$T523-IF($D$4="Forint",Paraméterek!$C$216,Paraméterek!$D$216),0,ROUNDUP(IF(ISBLANK($V523),$U523*0,$V523)/IF($D$2="Egyszeri",VLOOKUP($B523+IF($C523=12,1,0),Paraméterek!$V$257:$W$262,2),IF($B523=1,1,VLOOKUP($B523+IF($C523=12,1,0),Paraméterek!$I$258:$T$278,HLOOKUP($M$11+1,Paraméterek!$J$256:$T$257,2)))),IF($D$4="Forint",0,2)))</f>
        <v>#N/A</v>
      </c>
      <c r="X523" s="13" t="e">
        <f ca="1">ROUNDDOWN($W523*IF($D$2="Egyszeri",VLOOKUP($B523+IF($C523=12,1,0),Paraméterek!$V$257:$W$262,2),VLOOKUP($B523+IF($C523=12,1,0),Paraméterek!$I$258:$T$278,HLOOKUP($M$11+1,Paraméterek!$I$256:$T$257,2))),IF($D$4="Forint",0,2))</f>
        <v>#N/A</v>
      </c>
      <c r="Z523" s="32">
        <v>504</v>
      </c>
      <c r="AA523" s="32">
        <v>42</v>
      </c>
      <c r="AB523" s="32">
        <v>12</v>
      </c>
      <c r="AC523" s="13">
        <f t="shared" ca="1" si="170"/>
        <v>0</v>
      </c>
      <c r="AD523" s="33"/>
      <c r="AE523" s="13">
        <f t="shared" ca="1" si="162"/>
        <v>0</v>
      </c>
      <c r="AF523" s="13">
        <f ca="1">ROUNDUP(($AC523+$AE523)*VLOOKUP($AA523,Paraméterek!$P$38:$Q$38,2)/12*IF($D524="Nem",IF($M$13=0,1,$M$13),1),IF($D$4="Forint",0,2))</f>
        <v>0</v>
      </c>
      <c r="AG523" s="13" t="e">
        <f ca="1">IF($D$2="Egyszeri",IF($D$7&gt;=IF($D$4="Forint",Paraméterek!$P$223,Paraméterek!$P$224),$D$7-IF($D$4="Forint",Paraméterek!$P$223,Paraméterek!$P$224),0),MIN(IF($AB523=12,AVERAGEIF($E$20:$E523,"&gt;0",$E$20:$E523)*12,0),SUM($E$20:$E$31)))</f>
        <v>#DIV/0!</v>
      </c>
      <c r="AH523" s="13">
        <f>IF($AA523=10,$AG523*IF($AB523=12,IF($AG523&lt;IF($D$4="Forint",Paraméterek!$L$223,Paraméterek!$L$224),0,VLOOKUP($AA523,Paraméterek!$K$226:$M$228,IF($AG523&lt;IF($D$4="Forint",Paraméterek!$M$223,Paraméterek!$M$224),2,3))),0),0)</f>
        <v>0</v>
      </c>
      <c r="AI523" s="13">
        <f ca="1">IF(AND($AA523=$M$11+1,$AB523=$M$12+1),SUMIF($AA$20:$AA$1027,$AA523,$AG$20:$AG$1027)*IF(SUMIF($AA$20:$AA$1027,$AA523,$AG$20:$AG$1027)&lt;IF($D$4="Forint",Paraméterek!$L$223,Paraméterek!$L$224),0,VLOOKUP($AA523,Paraméterek!$K$230:$M$250,IF(SUMIF($AA$20:$AA$1027,$AA523,$AG$20:$AG$1027)&lt;IF($D$4="Forint",Paraméterek!$M$223,Paraméterek!$M$224),2,3))),0)</f>
        <v>0</v>
      </c>
      <c r="AJ523" s="13" t="e">
        <f ca="1">IF(AND($AA523&gt;=5,MOD($AA523,5)=0),IF($AB523=12,VLOOKUP($AA523,Paraméterek!$O$225:$P$240,2),0),IF(OR($AA523=3,$AA523=4),IF($AB523=12,VLOOKUP($AA523,Paraméterek!$O$225:$P$240,2,0),0),0))*$AG523</f>
        <v>#DIV/0!</v>
      </c>
      <c r="AK523" s="13">
        <f t="shared" ca="1" si="163"/>
        <v>0</v>
      </c>
      <c r="AL523" s="13">
        <f t="shared" ca="1" si="171"/>
        <v>0</v>
      </c>
      <c r="AM523" s="13">
        <f t="shared" ca="1" si="172"/>
        <v>0</v>
      </c>
      <c r="AO523" s="32">
        <v>504</v>
      </c>
      <c r="AP523" s="32">
        <v>42</v>
      </c>
      <c r="AQ523" s="32">
        <v>12</v>
      </c>
      <c r="AR523" s="13"/>
      <c r="AS523" s="32"/>
      <c r="AT523" s="13">
        <f t="shared" ca="1" si="173"/>
        <v>0</v>
      </c>
      <c r="AU523" s="33"/>
      <c r="AV523" s="13">
        <f t="shared" ca="1" si="164"/>
        <v>0</v>
      </c>
      <c r="AW523" s="13">
        <f ca="1">ROUNDUP(($AT523+$AV523)*VLOOKUP($AP523,Paraméterek!$P$38:$Q$38,2)/12*IF($D524="Nem",IF($M$13=0,1,$M$13),1),IF($D$4="Forint",0,2))</f>
        <v>0</v>
      </c>
      <c r="AX523" s="13">
        <f>Tranzakciók!$M$73</f>
        <v>0</v>
      </c>
      <c r="AY523" s="13"/>
      <c r="AZ523" s="13">
        <f>ROUNDUP(IF(SUM($AX523:$AY523)=0,0,IF(IF(ISBLANK($AY523),$AX523,$AY523)*Paraméterek!$J$112&lt;IF($D$4="Forint",Paraméterek!$J$113,Paraméterek!$K$113),IF($D$4="Forint",Paraméterek!$J$113,Paraméterek!$K$113),IF(IF(ISBLANK($AY523),$AX523,$AY523)*Paraméterek!$J$112&gt;IF($D$4="Forint",Paraméterek!$J$114,Paraméterek!$K$114),IF($D$4="Forint",Paraméterek!$J$114,Paraméterek!$K$114),IF(ISBLANK($AY523),$AX523,$AY523)*Paraméterek!$J$112))),IF($D$4="Forint",0,2))</f>
        <v>0</v>
      </c>
      <c r="BA523" s="13">
        <f ca="1">$AT523+$AV523-$AW523-IF(ROUNDDOWN(IF(ISBLANK($AY523),$AX523,$AY523),IF($D$4="Forint",0,2))&gt;$AT523+$AV523-$AW523-IF($D$4="Forint",Paraméterek!$J$114,Paraméterek!$K$114),0,ROUNDDOWN(IF(ISBLANK($AY523),$AX523,$AY523),IF($D$4="Forint",0,2))-$AZ523)</f>
        <v>0</v>
      </c>
      <c r="BB523" s="13">
        <f t="shared" ca="1" si="165"/>
        <v>0</v>
      </c>
      <c r="BD523" s="32">
        <v>504</v>
      </c>
      <c r="BE523" s="32">
        <v>42</v>
      </c>
      <c r="BF523" s="32">
        <v>12</v>
      </c>
      <c r="BG523" s="34">
        <f t="shared" ca="1" si="174"/>
        <v>2061</v>
      </c>
      <c r="BH523" s="32" t="str">
        <f ca="1">IF(MOD(MONTH($D$14)+$BD523-1,12)=Paraméterek!$C$288,"Igen","")</f>
        <v/>
      </c>
      <c r="BI523" s="13">
        <f ca="1">IF($BH523="Igen",MIN(ROUNDDOWN((SUMIF($BG$20:$BG$1027,$BG523-1,$K$20:$K$1027)-SUMIF($BG$20:$BG$1027,$BG523-1,$I$20:$I$1027))*Paraméterek!$C$289,IF($D$4="Forint",0,2)),IF($D$4="Forint",Paraméterek!$C$285,Paraméterek!$D$285)),0)</f>
        <v>0</v>
      </c>
      <c r="BJ523" s="13">
        <f t="shared" ca="1" si="166"/>
        <v>0</v>
      </c>
      <c r="BK523" s="13">
        <f t="shared" ca="1" si="175"/>
        <v>0</v>
      </c>
      <c r="BL523" s="33"/>
      <c r="BM523" s="13">
        <f t="shared" ca="1" si="167"/>
        <v>0</v>
      </c>
      <c r="BN523" s="13">
        <f ca="1">ROUNDUP(($BK523+$BM523)*VLOOKUP($BE523,Paraméterek!$P$38:$Q$38,2)/12*IF($D524="Nem",IF($M$13=0,1,$M$13),1),IF($D$4="Forint",0,2))</f>
        <v>0</v>
      </c>
      <c r="BO523" s="13">
        <f t="shared" ca="1" si="168"/>
        <v>0</v>
      </c>
      <c r="BP523" s="13">
        <f ca="1">IF($D524="Nem",$BO523,$BO523-ROUNDUP(SUM($BI$20:$BI523)*120%,IF($D$4="Forint",0,2)))</f>
        <v>0</v>
      </c>
    </row>
    <row r="524" spans="1:68" x14ac:dyDescent="0.2">
      <c r="A524" s="32">
        <v>505</v>
      </c>
      <c r="B524" s="32">
        <v>43</v>
      </c>
      <c r="C524" s="32">
        <v>1</v>
      </c>
      <c r="D524" s="32" t="str">
        <f t="shared" ca="1" si="154"/>
        <v>Nem</v>
      </c>
      <c r="E524" s="13">
        <f t="shared" ca="1" si="155"/>
        <v>0</v>
      </c>
      <c r="F524" s="13"/>
      <c r="G524" s="13">
        <f>Tranzakciók!$D$74</f>
        <v>0</v>
      </c>
      <c r="H524" s="13"/>
      <c r="I524" s="13">
        <f t="shared" ca="1" si="156"/>
        <v>0</v>
      </c>
      <c r="J524" s="13">
        <f t="shared" ca="1" si="157"/>
        <v>0</v>
      </c>
      <c r="K524" s="13">
        <f t="shared" ca="1" si="158"/>
        <v>0</v>
      </c>
      <c r="L524" s="13" t="e">
        <f ca="1">ROUNDUP(IF($D$2="Egyszeri",$E524,IF($D$2="Havi",SUM($E$20:$E$31),IF(MOD($C524,$M$1)-1=0,SUM($E$20:$E$31),0))/12*$M$1)*VLOOKUP($B524,Paraméterek!$I$28:$P$31,IF($D$2="Egyszeri",8,HLOOKUP(ROUNDUP($M$11+$M$13,0),Paraméterek!$J$26:$O$27,2))),IF($D$4="Forint",0,2))</f>
        <v>#N/A</v>
      </c>
      <c r="M524" s="13">
        <f t="shared" ca="1" si="159"/>
        <v>0</v>
      </c>
      <c r="N524" s="13">
        <f t="shared" ca="1" si="169"/>
        <v>0</v>
      </c>
      <c r="O524" s="13">
        <f ca="1">IF($D524="Igen",IF($W523&gt;=IF($D$4="Forint",Paraméterek!$J$121,Paraméterek!$K$121),0,IF($D$4="Forint",Paraméterek!$J$121,Paraméterek!$K$121)-$W523),0)</f>
        <v>0</v>
      </c>
      <c r="P524" s="13" t="e">
        <f ca="1">ROUNDUP($O524*VLOOKUP($M$4+$B524-1,Paraméterek!$H$58:$I$105,2,0)/Paraméterek!$I$56,IF($D$4="Forint",0,2))</f>
        <v>#N/A</v>
      </c>
      <c r="Q524" s="13">
        <f t="shared" ca="1" si="160"/>
        <v>0</v>
      </c>
      <c r="R524" s="33"/>
      <c r="S524" s="13" t="e">
        <f t="shared" ca="1" si="161"/>
        <v>#N/A</v>
      </c>
      <c r="T524" s="13" t="e">
        <f ca="1">ROUNDUP(($N524-$P524-$Q524+$S524)*VLOOKUP($B524,Paraméterek!$I$38:$K$39,IF($D$2="Egyszeri",3,2))/12*IF($D525="Nem",IF($M$13=0,1,$M$13),1),IF($D$4="Forint",0,2))</f>
        <v>#N/A</v>
      </c>
      <c r="U524" s="13"/>
      <c r="V524" s="13"/>
      <c r="W524" s="13" t="e">
        <f ca="1">$N524-$P524-$Q524+$S524-$T524-IF(ROUNDUP(IF(ISBLANK($V524),$U524*0,$V524)/IF($D$2="Egyszeri",VLOOKUP($B524+IF($C524=12,1,0),Paraméterek!$V$257:$W$262,2),IF($B524=1,1,VLOOKUP($B524+IF($C524=12,1,0),Paraméterek!$I$258:$T$278,HLOOKUP($M$11+1,Paraméterek!$J$256:$T$257,2)))),IF($D$4="Forint",0,2))&gt;$N524-$P524-$Q524+$S524-$T524-IF($D$4="Forint",Paraméterek!$C$216,Paraméterek!$D$216),0,ROUNDUP(IF(ISBLANK($V524),$U524*0,$V524)/IF($D$2="Egyszeri",VLOOKUP($B524+IF($C524=12,1,0),Paraméterek!$V$257:$W$262,2),IF($B524=1,1,VLOOKUP($B524+IF($C524=12,1,0),Paraméterek!$I$258:$T$278,HLOOKUP($M$11+1,Paraméterek!$J$256:$T$257,2)))),IF($D$4="Forint",0,2)))</f>
        <v>#N/A</v>
      </c>
      <c r="X524" s="13" t="e">
        <f ca="1">ROUNDDOWN($W524*IF($D$2="Egyszeri",VLOOKUP($B524+IF($C524=12,1,0),Paraméterek!$V$257:$W$262,2),VLOOKUP($B524+IF($C524=12,1,0),Paraméterek!$I$258:$T$278,HLOOKUP($M$11+1,Paraméterek!$I$256:$T$257,2))),IF($D$4="Forint",0,2))</f>
        <v>#N/A</v>
      </c>
      <c r="Z524" s="32">
        <v>505</v>
      </c>
      <c r="AA524" s="32">
        <v>43</v>
      </c>
      <c r="AB524" s="32">
        <v>1</v>
      </c>
      <c r="AC524" s="13">
        <f t="shared" ca="1" si="170"/>
        <v>0</v>
      </c>
      <c r="AD524" s="33"/>
      <c r="AE524" s="13">
        <f t="shared" ca="1" si="162"/>
        <v>0</v>
      </c>
      <c r="AF524" s="13">
        <f ca="1">ROUNDUP(($AC524+$AE524)*VLOOKUP($AA524,Paraméterek!$P$38:$Q$38,2)/12*IF($D525="Nem",IF($M$13=0,1,$M$13),1),IF($D$4="Forint",0,2))</f>
        <v>0</v>
      </c>
      <c r="AG524" s="13">
        <f ca="1">IF($D$2="Egyszeri",IF($D$7&gt;=IF($D$4="Forint",Paraméterek!$P$223,Paraméterek!$P$224),$D$7-IF($D$4="Forint",Paraméterek!$P$223,Paraméterek!$P$224),0),MIN(IF($AB524=12,AVERAGEIF($E$20:$E524,"&gt;0",$E$20:$E524)*12,0),SUM($E$20:$E$31)))</f>
        <v>0</v>
      </c>
      <c r="AH524" s="13">
        <f>IF($AA524=10,$AG524*IF($AB524=12,IF($AG524&lt;IF($D$4="Forint",Paraméterek!$L$223,Paraméterek!$L$224),0,VLOOKUP($AA524,Paraméterek!$K$226:$M$228,IF($AG524&lt;IF($D$4="Forint",Paraméterek!$M$223,Paraméterek!$M$224),2,3))),0),0)</f>
        <v>0</v>
      </c>
      <c r="AI524" s="13">
        <f ca="1">IF(AND($AA524=$M$11+1,$AB524=$M$12+1),SUMIF($AA$20:$AA$1027,$AA524,$AG$20:$AG$1027)*IF(SUMIF($AA$20:$AA$1027,$AA524,$AG$20:$AG$1027)&lt;IF($D$4="Forint",Paraméterek!$L$223,Paraméterek!$L$224),0,VLOOKUP($AA524,Paraméterek!$K$230:$M$250,IF(SUMIF($AA$20:$AA$1027,$AA524,$AG$20:$AG$1027)&lt;IF($D$4="Forint",Paraméterek!$M$223,Paraméterek!$M$224),2,3))),0)</f>
        <v>0</v>
      </c>
      <c r="AJ524" s="13">
        <f ca="1">IF(AND($AA524&gt;=5,MOD($AA524,5)=0),IF($AB524=12,VLOOKUP($AA524,Paraméterek!$O$225:$P$240,2),0),IF(OR($AA524=3,$AA524=4),IF($AB524=12,VLOOKUP($AA524,Paraméterek!$O$225:$P$240,2,0),0),0))*$AG524</f>
        <v>0</v>
      </c>
      <c r="AK524" s="13">
        <f t="shared" ca="1" si="163"/>
        <v>0</v>
      </c>
      <c r="AL524" s="13">
        <f t="shared" ca="1" si="171"/>
        <v>0</v>
      </c>
      <c r="AM524" s="13">
        <f t="shared" ca="1" si="172"/>
        <v>0</v>
      </c>
      <c r="AO524" s="32">
        <v>505</v>
      </c>
      <c r="AP524" s="32">
        <v>43</v>
      </c>
      <c r="AQ524" s="32">
        <v>1</v>
      </c>
      <c r="AR524" s="13">
        <f>Tranzakciók!$K$74</f>
        <v>0</v>
      </c>
      <c r="AS524" s="32"/>
      <c r="AT524" s="13">
        <f t="shared" ca="1" si="173"/>
        <v>0</v>
      </c>
      <c r="AU524" s="33"/>
      <c r="AV524" s="13">
        <f t="shared" ca="1" si="164"/>
        <v>0</v>
      </c>
      <c r="AW524" s="13">
        <f ca="1">ROUNDUP(($AT524+$AV524)*VLOOKUP($AP524,Paraméterek!$P$38:$Q$38,2)/12*IF($D525="Nem",IF($M$13=0,1,$M$13),1),IF($D$4="Forint",0,2))</f>
        <v>0</v>
      </c>
      <c r="AX524" s="13"/>
      <c r="AY524" s="13"/>
      <c r="AZ524" s="13">
        <f>ROUNDUP(IF(SUM($AX524:$AY524)=0,0,IF(IF(ISBLANK($AY524),$AX524,$AY524)*Paraméterek!$J$112&lt;IF($D$4="Forint",Paraméterek!$J$113,Paraméterek!$K$113),IF($D$4="Forint",Paraméterek!$J$113,Paraméterek!$K$113),IF(IF(ISBLANK($AY524),$AX524,$AY524)*Paraméterek!$J$112&gt;IF($D$4="Forint",Paraméterek!$J$114,Paraméterek!$K$114),IF($D$4="Forint",Paraméterek!$J$114,Paraméterek!$K$114),IF(ISBLANK($AY524),$AX524,$AY524)*Paraméterek!$J$112))),IF($D$4="Forint",0,2))</f>
        <v>0</v>
      </c>
      <c r="BA524" s="13">
        <f ca="1">$AT524+$AV524-$AW524-IF(ROUNDDOWN(IF(ISBLANK($AY524),$AX524,$AY524),IF($D$4="Forint",0,2))&gt;$AT524+$AV524-$AW524-IF($D$4="Forint",Paraméterek!$J$114,Paraméterek!$K$114),0,ROUNDDOWN(IF(ISBLANK($AY524),$AX524,$AY524),IF($D$4="Forint",0,2))-$AZ524)</f>
        <v>0</v>
      </c>
      <c r="BB524" s="13">
        <f t="shared" ca="1" si="165"/>
        <v>0</v>
      </c>
      <c r="BD524" s="32">
        <v>505</v>
      </c>
      <c r="BE524" s="32">
        <v>43</v>
      </c>
      <c r="BF524" s="32">
        <v>1</v>
      </c>
      <c r="BG524" s="34">
        <f t="shared" ca="1" si="174"/>
        <v>2061</v>
      </c>
      <c r="BH524" s="32" t="str">
        <f ca="1">IF(MOD(MONTH($D$14)+$BD524-1,12)=Paraméterek!$C$288,"Igen","")</f>
        <v/>
      </c>
      <c r="BI524" s="13">
        <f ca="1">IF($BH524="Igen",MIN(ROUNDDOWN((SUMIF($BG$20:$BG$1027,$BG524-1,$K$20:$K$1027)-SUMIF($BG$20:$BG$1027,$BG524-1,$I$20:$I$1027))*Paraméterek!$C$289,IF($D$4="Forint",0,2)),IF($D$4="Forint",Paraméterek!$C$285,Paraméterek!$D$285)),0)</f>
        <v>0</v>
      </c>
      <c r="BJ524" s="13">
        <f t="shared" ca="1" si="166"/>
        <v>0</v>
      </c>
      <c r="BK524" s="13">
        <f t="shared" ca="1" si="175"/>
        <v>0</v>
      </c>
      <c r="BL524" s="33"/>
      <c r="BM524" s="13">
        <f t="shared" ca="1" si="167"/>
        <v>0</v>
      </c>
      <c r="BN524" s="13">
        <f ca="1">ROUNDUP(($BK524+$BM524)*VLOOKUP($BE524,Paraméterek!$P$38:$Q$38,2)/12*IF($D525="Nem",IF($M$13=0,1,$M$13),1),IF($D$4="Forint",0,2))</f>
        <v>0</v>
      </c>
      <c r="BO524" s="13">
        <f t="shared" ca="1" si="168"/>
        <v>0</v>
      </c>
      <c r="BP524" s="13">
        <f ca="1">IF($D525="Nem",$BO524,$BO524-ROUNDUP(SUM($BI$20:$BI524)*120%,IF($D$4="Forint",0,2)))</f>
        <v>0</v>
      </c>
    </row>
    <row r="525" spans="1:68" x14ac:dyDescent="0.2">
      <c r="A525" s="32">
        <v>506</v>
      </c>
      <c r="B525" s="32">
        <v>43</v>
      </c>
      <c r="C525" s="32">
        <v>2</v>
      </c>
      <c r="D525" s="32" t="str">
        <f t="shared" ca="1" si="154"/>
        <v>Nem</v>
      </c>
      <c r="E525" s="13">
        <f t="shared" ca="1" si="155"/>
        <v>0</v>
      </c>
      <c r="F525" s="13"/>
      <c r="G525" s="13"/>
      <c r="H525" s="13"/>
      <c r="I525" s="13">
        <f t="shared" ca="1" si="156"/>
        <v>0</v>
      </c>
      <c r="J525" s="13">
        <f t="shared" ca="1" si="157"/>
        <v>0</v>
      </c>
      <c r="K525" s="13">
        <f t="shared" ca="1" si="158"/>
        <v>0</v>
      </c>
      <c r="L525" s="13" t="e">
        <f ca="1">ROUNDUP(IF($D$2="Egyszeri",$E525,IF($D$2="Havi",SUM($E$20:$E$31),IF(MOD($C525,$M$1)-1=0,SUM($E$20:$E$31),0))/12*$M$1)*VLOOKUP($B525,Paraméterek!$I$28:$P$31,IF($D$2="Egyszeri",8,HLOOKUP(ROUNDUP($M$11+$M$13,0),Paraméterek!$J$26:$O$27,2))),IF($D$4="Forint",0,2))</f>
        <v>#N/A</v>
      </c>
      <c r="M525" s="13">
        <f t="shared" ca="1" si="159"/>
        <v>0</v>
      </c>
      <c r="N525" s="13">
        <f t="shared" ca="1" si="169"/>
        <v>0</v>
      </c>
      <c r="O525" s="13">
        <f ca="1">IF($D525="Igen",IF($W524&gt;=IF($D$4="Forint",Paraméterek!$J$121,Paraméterek!$K$121),0,IF($D$4="Forint",Paraméterek!$J$121,Paraméterek!$K$121)-$W524),0)</f>
        <v>0</v>
      </c>
      <c r="P525" s="13" t="e">
        <f ca="1">ROUNDUP($O525*VLOOKUP($M$4+$B525-1,Paraméterek!$H$58:$I$105,2,0)/Paraméterek!$I$56,IF($D$4="Forint",0,2))</f>
        <v>#N/A</v>
      </c>
      <c r="Q525" s="13">
        <f t="shared" ca="1" si="160"/>
        <v>0</v>
      </c>
      <c r="R525" s="33"/>
      <c r="S525" s="13" t="e">
        <f t="shared" ca="1" si="161"/>
        <v>#N/A</v>
      </c>
      <c r="T525" s="13" t="e">
        <f ca="1">ROUNDUP(($N525-$P525-$Q525+$S525)*VLOOKUP($B525,Paraméterek!$I$38:$K$39,IF($D$2="Egyszeri",3,2))/12*IF($D526="Nem",IF($M$13=0,1,$M$13),1),IF($D$4="Forint",0,2))</f>
        <v>#N/A</v>
      </c>
      <c r="U525" s="13"/>
      <c r="V525" s="13"/>
      <c r="W525" s="13" t="e">
        <f ca="1">$N525-$P525-$Q525+$S525-$T525-IF(ROUNDUP(IF(ISBLANK($V525),$U525*0,$V525)/IF($D$2="Egyszeri",VLOOKUP($B525+IF($C525=12,1,0),Paraméterek!$V$257:$W$262,2),IF($B525=1,1,VLOOKUP($B525+IF($C525=12,1,0),Paraméterek!$I$258:$T$278,HLOOKUP($M$11+1,Paraméterek!$J$256:$T$257,2)))),IF($D$4="Forint",0,2))&gt;$N525-$P525-$Q525+$S525-$T525-IF($D$4="Forint",Paraméterek!$C$216,Paraméterek!$D$216),0,ROUNDUP(IF(ISBLANK($V525),$U525*0,$V525)/IF($D$2="Egyszeri",VLOOKUP($B525+IF($C525=12,1,0),Paraméterek!$V$257:$W$262,2),IF($B525=1,1,VLOOKUP($B525+IF($C525=12,1,0),Paraméterek!$I$258:$T$278,HLOOKUP($M$11+1,Paraméterek!$J$256:$T$257,2)))),IF($D$4="Forint",0,2)))</f>
        <v>#N/A</v>
      </c>
      <c r="X525" s="13" t="e">
        <f ca="1">ROUNDDOWN($W525*IF($D$2="Egyszeri",VLOOKUP($B525+IF($C525=12,1,0),Paraméterek!$V$257:$W$262,2),VLOOKUP($B525+IF($C525=12,1,0),Paraméterek!$I$258:$T$278,HLOOKUP($M$11+1,Paraméterek!$I$256:$T$257,2))),IF($D$4="Forint",0,2))</f>
        <v>#N/A</v>
      </c>
      <c r="Z525" s="32">
        <v>506</v>
      </c>
      <c r="AA525" s="32">
        <v>43</v>
      </c>
      <c r="AB525" s="32">
        <v>2</v>
      </c>
      <c r="AC525" s="13">
        <f t="shared" ca="1" si="170"/>
        <v>0</v>
      </c>
      <c r="AD525" s="33"/>
      <c r="AE525" s="13">
        <f t="shared" ca="1" si="162"/>
        <v>0</v>
      </c>
      <c r="AF525" s="13">
        <f ca="1">ROUNDUP(($AC525+$AE525)*VLOOKUP($AA525,Paraméterek!$P$38:$Q$38,2)/12*IF($D526="Nem",IF($M$13=0,1,$M$13),1),IF($D$4="Forint",0,2))</f>
        <v>0</v>
      </c>
      <c r="AG525" s="13">
        <f ca="1">IF($D$2="Egyszeri",IF($D$7&gt;=IF($D$4="Forint",Paraméterek!$P$223,Paraméterek!$P$224),$D$7-IF($D$4="Forint",Paraméterek!$P$223,Paraméterek!$P$224),0),MIN(IF($AB525=12,AVERAGEIF($E$20:$E525,"&gt;0",$E$20:$E525)*12,0),SUM($E$20:$E$31)))</f>
        <v>0</v>
      </c>
      <c r="AH525" s="13">
        <f>IF($AA525=10,$AG525*IF($AB525=12,IF($AG525&lt;IF($D$4="Forint",Paraméterek!$L$223,Paraméterek!$L$224),0,VLOOKUP($AA525,Paraméterek!$K$226:$M$228,IF($AG525&lt;IF($D$4="Forint",Paraméterek!$M$223,Paraméterek!$M$224),2,3))),0),0)</f>
        <v>0</v>
      </c>
      <c r="AI525" s="13">
        <f ca="1">IF(AND($AA525=$M$11+1,$AB525=$M$12+1),SUMIF($AA$20:$AA$1027,$AA525,$AG$20:$AG$1027)*IF(SUMIF($AA$20:$AA$1027,$AA525,$AG$20:$AG$1027)&lt;IF($D$4="Forint",Paraméterek!$L$223,Paraméterek!$L$224),0,VLOOKUP($AA525,Paraméterek!$K$230:$M$250,IF(SUMIF($AA$20:$AA$1027,$AA525,$AG$20:$AG$1027)&lt;IF($D$4="Forint",Paraméterek!$M$223,Paraméterek!$M$224),2,3))),0)</f>
        <v>0</v>
      </c>
      <c r="AJ525" s="13">
        <f ca="1">IF(AND($AA525&gt;=5,MOD($AA525,5)=0),IF($AB525=12,VLOOKUP($AA525,Paraméterek!$O$225:$P$240,2),0),IF(OR($AA525=3,$AA525=4),IF($AB525=12,VLOOKUP($AA525,Paraméterek!$O$225:$P$240,2,0),0),0))*$AG525</f>
        <v>0</v>
      </c>
      <c r="AK525" s="13">
        <f t="shared" ca="1" si="163"/>
        <v>0</v>
      </c>
      <c r="AL525" s="13">
        <f t="shared" ca="1" si="171"/>
        <v>0</v>
      </c>
      <c r="AM525" s="13">
        <f t="shared" ca="1" si="172"/>
        <v>0</v>
      </c>
      <c r="AO525" s="32">
        <v>506</v>
      </c>
      <c r="AP525" s="32">
        <v>43</v>
      </c>
      <c r="AQ525" s="32">
        <v>2</v>
      </c>
      <c r="AR525" s="13"/>
      <c r="AS525" s="32"/>
      <c r="AT525" s="13">
        <f t="shared" ca="1" si="173"/>
        <v>0</v>
      </c>
      <c r="AU525" s="33"/>
      <c r="AV525" s="13">
        <f t="shared" ca="1" si="164"/>
        <v>0</v>
      </c>
      <c r="AW525" s="13">
        <f ca="1">ROUNDUP(($AT525+$AV525)*VLOOKUP($AP525,Paraméterek!$P$38:$Q$38,2)/12*IF($D526="Nem",IF($M$13=0,1,$M$13),1),IF($D$4="Forint",0,2))</f>
        <v>0</v>
      </c>
      <c r="AX525" s="13"/>
      <c r="AY525" s="13"/>
      <c r="AZ525" s="13">
        <f>ROUNDUP(IF(SUM($AX525:$AY525)=0,0,IF(IF(ISBLANK($AY525),$AX525,$AY525)*Paraméterek!$J$112&lt;IF($D$4="Forint",Paraméterek!$J$113,Paraméterek!$K$113),IF($D$4="Forint",Paraméterek!$J$113,Paraméterek!$K$113),IF(IF(ISBLANK($AY525),$AX525,$AY525)*Paraméterek!$J$112&gt;IF($D$4="Forint",Paraméterek!$J$114,Paraméterek!$K$114),IF($D$4="Forint",Paraméterek!$J$114,Paraméterek!$K$114),IF(ISBLANK($AY525),$AX525,$AY525)*Paraméterek!$J$112))),IF($D$4="Forint",0,2))</f>
        <v>0</v>
      </c>
      <c r="BA525" s="13">
        <f ca="1">$AT525+$AV525-$AW525-IF(ROUNDDOWN(IF(ISBLANK($AY525),$AX525,$AY525),IF($D$4="Forint",0,2))&gt;$AT525+$AV525-$AW525-IF($D$4="Forint",Paraméterek!$J$114,Paraméterek!$K$114),0,ROUNDDOWN(IF(ISBLANK($AY525),$AX525,$AY525),IF($D$4="Forint",0,2))-$AZ525)</f>
        <v>0</v>
      </c>
      <c r="BB525" s="13">
        <f t="shared" ca="1" si="165"/>
        <v>0</v>
      </c>
      <c r="BD525" s="32">
        <v>506</v>
      </c>
      <c r="BE525" s="32">
        <v>43</v>
      </c>
      <c r="BF525" s="32">
        <v>2</v>
      </c>
      <c r="BG525" s="34">
        <f t="shared" ca="1" si="174"/>
        <v>2061</v>
      </c>
      <c r="BH525" s="32" t="str">
        <f ca="1">IF(MOD(MONTH($D$14)+$BD525-1,12)=Paraméterek!$C$288,"Igen","")</f>
        <v>Igen</v>
      </c>
      <c r="BI525" s="13">
        <f ca="1">IF($BH525="Igen",MIN(ROUNDDOWN((SUMIF($BG$20:$BG$1027,$BG525-1,$K$20:$K$1027)-SUMIF($BG$20:$BG$1027,$BG525-1,$I$20:$I$1027))*Paraméterek!$C$289,IF($D$4="Forint",0,2)),IF($D$4="Forint",Paraméterek!$C$285,Paraméterek!$D$285)),0)</f>
        <v>0</v>
      </c>
      <c r="BJ525" s="13">
        <f t="shared" ca="1" si="166"/>
        <v>0</v>
      </c>
      <c r="BK525" s="13">
        <f t="shared" ca="1" si="175"/>
        <v>0</v>
      </c>
      <c r="BL525" s="33"/>
      <c r="BM525" s="13">
        <f t="shared" ca="1" si="167"/>
        <v>0</v>
      </c>
      <c r="BN525" s="13">
        <f ca="1">ROUNDUP(($BK525+$BM525)*VLOOKUP($BE525,Paraméterek!$P$38:$Q$38,2)/12*IF($D526="Nem",IF($M$13=0,1,$M$13),1),IF($D$4="Forint",0,2))</f>
        <v>0</v>
      </c>
      <c r="BO525" s="13">
        <f t="shared" ca="1" si="168"/>
        <v>0</v>
      </c>
      <c r="BP525" s="13">
        <f ca="1">IF($D526="Nem",$BO525,$BO525-ROUNDUP(SUM($BI$20:$BI525)*120%,IF($D$4="Forint",0,2)))</f>
        <v>0</v>
      </c>
    </row>
    <row r="526" spans="1:68" x14ac:dyDescent="0.2">
      <c r="A526" s="32">
        <v>507</v>
      </c>
      <c r="B526" s="32">
        <v>43</v>
      </c>
      <c r="C526" s="32">
        <v>3</v>
      </c>
      <c r="D526" s="32" t="str">
        <f t="shared" ca="1" si="154"/>
        <v>Nem</v>
      </c>
      <c r="E526" s="13">
        <f t="shared" ca="1" si="155"/>
        <v>0</v>
      </c>
      <c r="F526" s="13"/>
      <c r="G526" s="13"/>
      <c r="H526" s="13"/>
      <c r="I526" s="13">
        <f t="shared" ca="1" si="156"/>
        <v>0</v>
      </c>
      <c r="J526" s="13">
        <f t="shared" ca="1" si="157"/>
        <v>0</v>
      </c>
      <c r="K526" s="13">
        <f t="shared" ca="1" si="158"/>
        <v>0</v>
      </c>
      <c r="L526" s="13" t="e">
        <f ca="1">ROUNDUP(IF($D$2="Egyszeri",$E526,IF($D$2="Havi",SUM($E$20:$E$31),IF(MOD($C526,$M$1)-1=0,SUM($E$20:$E$31),0))/12*$M$1)*VLOOKUP($B526,Paraméterek!$I$28:$P$31,IF($D$2="Egyszeri",8,HLOOKUP(ROUNDUP($M$11+$M$13,0),Paraméterek!$J$26:$O$27,2))),IF($D$4="Forint",0,2))</f>
        <v>#N/A</v>
      </c>
      <c r="M526" s="13">
        <f t="shared" ca="1" si="159"/>
        <v>0</v>
      </c>
      <c r="N526" s="13">
        <f t="shared" ca="1" si="169"/>
        <v>0</v>
      </c>
      <c r="O526" s="13">
        <f ca="1">IF($D526="Igen",IF($W525&gt;=IF($D$4="Forint",Paraméterek!$J$121,Paraméterek!$K$121),0,IF($D$4="Forint",Paraméterek!$J$121,Paraméterek!$K$121)-$W525),0)</f>
        <v>0</v>
      </c>
      <c r="P526" s="13" t="e">
        <f ca="1">ROUNDUP($O526*VLOOKUP($M$4+$B526-1,Paraméterek!$H$58:$I$105,2,0)/Paraméterek!$I$56,IF($D$4="Forint",0,2))</f>
        <v>#N/A</v>
      </c>
      <c r="Q526" s="13">
        <f t="shared" ca="1" si="160"/>
        <v>0</v>
      </c>
      <c r="R526" s="33"/>
      <c r="S526" s="13" t="e">
        <f t="shared" ca="1" si="161"/>
        <v>#N/A</v>
      </c>
      <c r="T526" s="13" t="e">
        <f ca="1">ROUNDUP(($N526-$P526-$Q526+$S526)*VLOOKUP($B526,Paraméterek!$I$38:$K$39,IF($D$2="Egyszeri",3,2))/12*IF($D527="Nem",IF($M$13=0,1,$M$13),1),IF($D$4="Forint",0,2))</f>
        <v>#N/A</v>
      </c>
      <c r="U526" s="13"/>
      <c r="V526" s="13"/>
      <c r="W526" s="13" t="e">
        <f ca="1">$N526-$P526-$Q526+$S526-$T526-IF(ROUNDUP(IF(ISBLANK($V526),$U526*0,$V526)/IF($D$2="Egyszeri",VLOOKUP($B526+IF($C526=12,1,0),Paraméterek!$V$257:$W$262,2),IF($B526=1,1,VLOOKUP($B526+IF($C526=12,1,0),Paraméterek!$I$258:$T$278,HLOOKUP($M$11+1,Paraméterek!$J$256:$T$257,2)))),IF($D$4="Forint",0,2))&gt;$N526-$P526-$Q526+$S526-$T526-IF($D$4="Forint",Paraméterek!$C$216,Paraméterek!$D$216),0,ROUNDUP(IF(ISBLANK($V526),$U526*0,$V526)/IF($D$2="Egyszeri",VLOOKUP($B526+IF($C526=12,1,0),Paraméterek!$V$257:$W$262,2),IF($B526=1,1,VLOOKUP($B526+IF($C526=12,1,0),Paraméterek!$I$258:$T$278,HLOOKUP($M$11+1,Paraméterek!$J$256:$T$257,2)))),IF($D$4="Forint",0,2)))</f>
        <v>#N/A</v>
      </c>
      <c r="X526" s="13" t="e">
        <f ca="1">ROUNDDOWN($W526*IF($D$2="Egyszeri",VLOOKUP($B526+IF($C526=12,1,0),Paraméterek!$V$257:$W$262,2),VLOOKUP($B526+IF($C526=12,1,0),Paraméterek!$I$258:$T$278,HLOOKUP($M$11+1,Paraméterek!$I$256:$T$257,2))),IF($D$4="Forint",0,2))</f>
        <v>#N/A</v>
      </c>
      <c r="Z526" s="32">
        <v>507</v>
      </c>
      <c r="AA526" s="32">
        <v>43</v>
      </c>
      <c r="AB526" s="32">
        <v>3</v>
      </c>
      <c r="AC526" s="13">
        <f t="shared" ca="1" si="170"/>
        <v>0</v>
      </c>
      <c r="AD526" s="33"/>
      <c r="AE526" s="13">
        <f t="shared" ca="1" si="162"/>
        <v>0</v>
      </c>
      <c r="AF526" s="13">
        <f ca="1">ROUNDUP(($AC526+$AE526)*VLOOKUP($AA526,Paraméterek!$P$38:$Q$38,2)/12*IF($D527="Nem",IF($M$13=0,1,$M$13),1),IF($D$4="Forint",0,2))</f>
        <v>0</v>
      </c>
      <c r="AG526" s="13">
        <f ca="1">IF($D$2="Egyszeri",IF($D$7&gt;=IF($D$4="Forint",Paraméterek!$P$223,Paraméterek!$P$224),$D$7-IF($D$4="Forint",Paraméterek!$P$223,Paraméterek!$P$224),0),MIN(IF($AB526=12,AVERAGEIF($E$20:$E526,"&gt;0",$E$20:$E526)*12,0),SUM($E$20:$E$31)))</f>
        <v>0</v>
      </c>
      <c r="AH526" s="13">
        <f>IF($AA526=10,$AG526*IF($AB526=12,IF($AG526&lt;IF($D$4="Forint",Paraméterek!$L$223,Paraméterek!$L$224),0,VLOOKUP($AA526,Paraméterek!$K$226:$M$228,IF($AG526&lt;IF($D$4="Forint",Paraméterek!$M$223,Paraméterek!$M$224),2,3))),0),0)</f>
        <v>0</v>
      </c>
      <c r="AI526" s="13">
        <f ca="1">IF(AND($AA526=$M$11+1,$AB526=$M$12+1),SUMIF($AA$20:$AA$1027,$AA526,$AG$20:$AG$1027)*IF(SUMIF($AA$20:$AA$1027,$AA526,$AG$20:$AG$1027)&lt;IF($D$4="Forint",Paraméterek!$L$223,Paraméterek!$L$224),0,VLOOKUP($AA526,Paraméterek!$K$230:$M$250,IF(SUMIF($AA$20:$AA$1027,$AA526,$AG$20:$AG$1027)&lt;IF($D$4="Forint",Paraméterek!$M$223,Paraméterek!$M$224),2,3))),0)</f>
        <v>0</v>
      </c>
      <c r="AJ526" s="13">
        <f ca="1">IF(AND($AA526&gt;=5,MOD($AA526,5)=0),IF($AB526=12,VLOOKUP($AA526,Paraméterek!$O$225:$P$240,2),0),IF(OR($AA526=3,$AA526=4),IF($AB526=12,VLOOKUP($AA526,Paraméterek!$O$225:$P$240,2,0),0),0))*$AG526</f>
        <v>0</v>
      </c>
      <c r="AK526" s="13">
        <f t="shared" ca="1" si="163"/>
        <v>0</v>
      </c>
      <c r="AL526" s="13">
        <f t="shared" ca="1" si="171"/>
        <v>0</v>
      </c>
      <c r="AM526" s="13">
        <f t="shared" ca="1" si="172"/>
        <v>0</v>
      </c>
      <c r="AO526" s="32">
        <v>507</v>
      </c>
      <c r="AP526" s="32">
        <v>43</v>
      </c>
      <c r="AQ526" s="32">
        <v>3</v>
      </c>
      <c r="AR526" s="13"/>
      <c r="AS526" s="32"/>
      <c r="AT526" s="13">
        <f t="shared" ca="1" si="173"/>
        <v>0</v>
      </c>
      <c r="AU526" s="33"/>
      <c r="AV526" s="13">
        <f t="shared" ca="1" si="164"/>
        <v>0</v>
      </c>
      <c r="AW526" s="13">
        <f ca="1">ROUNDUP(($AT526+$AV526)*VLOOKUP($AP526,Paraméterek!$P$38:$Q$38,2)/12*IF($D527="Nem",IF($M$13=0,1,$M$13),1),IF($D$4="Forint",0,2))</f>
        <v>0</v>
      </c>
      <c r="AX526" s="13"/>
      <c r="AY526" s="13"/>
      <c r="AZ526" s="13">
        <f>ROUNDUP(IF(SUM($AX526:$AY526)=0,0,IF(IF(ISBLANK($AY526),$AX526,$AY526)*Paraméterek!$J$112&lt;IF($D$4="Forint",Paraméterek!$J$113,Paraméterek!$K$113),IF($D$4="Forint",Paraméterek!$J$113,Paraméterek!$K$113),IF(IF(ISBLANK($AY526),$AX526,$AY526)*Paraméterek!$J$112&gt;IF($D$4="Forint",Paraméterek!$J$114,Paraméterek!$K$114),IF($D$4="Forint",Paraméterek!$J$114,Paraméterek!$K$114),IF(ISBLANK($AY526),$AX526,$AY526)*Paraméterek!$J$112))),IF($D$4="Forint",0,2))</f>
        <v>0</v>
      </c>
      <c r="BA526" s="13">
        <f ca="1">$AT526+$AV526-$AW526-IF(ROUNDDOWN(IF(ISBLANK($AY526),$AX526,$AY526),IF($D$4="Forint",0,2))&gt;$AT526+$AV526-$AW526-IF($D$4="Forint",Paraméterek!$J$114,Paraméterek!$K$114),0,ROUNDDOWN(IF(ISBLANK($AY526),$AX526,$AY526),IF($D$4="Forint",0,2))-$AZ526)</f>
        <v>0</v>
      </c>
      <c r="BB526" s="13">
        <f t="shared" ca="1" si="165"/>
        <v>0</v>
      </c>
      <c r="BD526" s="32">
        <v>507</v>
      </c>
      <c r="BE526" s="32">
        <v>43</v>
      </c>
      <c r="BF526" s="32">
        <v>3</v>
      </c>
      <c r="BG526" s="34">
        <f t="shared" ca="1" si="174"/>
        <v>2061</v>
      </c>
      <c r="BH526" s="32" t="str">
        <f ca="1">IF(MOD(MONTH($D$14)+$BD526-1,12)=Paraméterek!$C$288,"Igen","")</f>
        <v/>
      </c>
      <c r="BI526" s="13">
        <f ca="1">IF($BH526="Igen",MIN(ROUNDDOWN((SUMIF($BG$20:$BG$1027,$BG526-1,$K$20:$K$1027)-SUMIF($BG$20:$BG$1027,$BG526-1,$I$20:$I$1027))*Paraméterek!$C$289,IF($D$4="Forint",0,2)),IF($D$4="Forint",Paraméterek!$C$285,Paraméterek!$D$285)),0)</f>
        <v>0</v>
      </c>
      <c r="BJ526" s="13">
        <f t="shared" ca="1" si="166"/>
        <v>0</v>
      </c>
      <c r="BK526" s="13">
        <f t="shared" ca="1" si="175"/>
        <v>0</v>
      </c>
      <c r="BL526" s="33"/>
      <c r="BM526" s="13">
        <f t="shared" ca="1" si="167"/>
        <v>0</v>
      </c>
      <c r="BN526" s="13">
        <f ca="1">ROUNDUP(($BK526+$BM526)*VLOOKUP($BE526,Paraméterek!$P$38:$Q$38,2)/12*IF($D527="Nem",IF($M$13=0,1,$M$13),1),IF($D$4="Forint",0,2))</f>
        <v>0</v>
      </c>
      <c r="BO526" s="13">
        <f t="shared" ca="1" si="168"/>
        <v>0</v>
      </c>
      <c r="BP526" s="13">
        <f ca="1">IF($D527="Nem",$BO526,$BO526-ROUNDUP(SUM($BI$20:$BI526)*120%,IF($D$4="Forint",0,2)))</f>
        <v>0</v>
      </c>
    </row>
    <row r="527" spans="1:68" x14ac:dyDescent="0.2">
      <c r="A527" s="32">
        <v>508</v>
      </c>
      <c r="B527" s="32">
        <v>43</v>
      </c>
      <c r="C527" s="32">
        <v>4</v>
      </c>
      <c r="D527" s="32" t="str">
        <f t="shared" ca="1" si="154"/>
        <v>Nem</v>
      </c>
      <c r="E527" s="13">
        <f t="shared" ca="1" si="155"/>
        <v>0</v>
      </c>
      <c r="F527" s="13"/>
      <c r="G527" s="13"/>
      <c r="H527" s="13"/>
      <c r="I527" s="13">
        <f t="shared" ca="1" si="156"/>
        <v>0</v>
      </c>
      <c r="J527" s="13">
        <f t="shared" ca="1" si="157"/>
        <v>0</v>
      </c>
      <c r="K527" s="13">
        <f t="shared" ca="1" si="158"/>
        <v>0</v>
      </c>
      <c r="L527" s="13" t="e">
        <f ca="1">ROUNDUP(IF($D$2="Egyszeri",$E527,IF($D$2="Havi",SUM($E$20:$E$31),IF(MOD($C527,$M$1)-1=0,SUM($E$20:$E$31),0))/12*$M$1)*VLOOKUP($B527,Paraméterek!$I$28:$P$31,IF($D$2="Egyszeri",8,HLOOKUP(ROUNDUP($M$11+$M$13,0),Paraméterek!$J$26:$O$27,2))),IF($D$4="Forint",0,2))</f>
        <v>#N/A</v>
      </c>
      <c r="M527" s="13">
        <f t="shared" ca="1" si="159"/>
        <v>0</v>
      </c>
      <c r="N527" s="13">
        <f t="shared" ca="1" si="169"/>
        <v>0</v>
      </c>
      <c r="O527" s="13">
        <f ca="1">IF($D527="Igen",IF($W526&gt;=IF($D$4="Forint",Paraméterek!$J$121,Paraméterek!$K$121),0,IF($D$4="Forint",Paraméterek!$J$121,Paraméterek!$K$121)-$W526),0)</f>
        <v>0</v>
      </c>
      <c r="P527" s="13" t="e">
        <f ca="1">ROUNDUP($O527*VLOOKUP($M$4+$B527-1,Paraméterek!$H$58:$I$105,2,0)/Paraméterek!$I$56,IF($D$4="Forint",0,2))</f>
        <v>#N/A</v>
      </c>
      <c r="Q527" s="13">
        <f t="shared" ca="1" si="160"/>
        <v>0</v>
      </c>
      <c r="R527" s="33"/>
      <c r="S527" s="13" t="e">
        <f t="shared" ca="1" si="161"/>
        <v>#N/A</v>
      </c>
      <c r="T527" s="13" t="e">
        <f ca="1">ROUNDUP(($N527-$P527-$Q527+$S527)*VLOOKUP($B527,Paraméterek!$I$38:$K$39,IF($D$2="Egyszeri",3,2))/12*IF($D528="Nem",IF($M$13=0,1,$M$13),1),IF($D$4="Forint",0,2))</f>
        <v>#N/A</v>
      </c>
      <c r="U527" s="13"/>
      <c r="V527" s="13"/>
      <c r="W527" s="13" t="e">
        <f ca="1">$N527-$P527-$Q527+$S527-$T527-IF(ROUNDUP(IF(ISBLANK($V527),$U527*0,$V527)/IF($D$2="Egyszeri",VLOOKUP($B527+IF($C527=12,1,0),Paraméterek!$V$257:$W$262,2),IF($B527=1,1,VLOOKUP($B527+IF($C527=12,1,0),Paraméterek!$I$258:$T$278,HLOOKUP($M$11+1,Paraméterek!$J$256:$T$257,2)))),IF($D$4="Forint",0,2))&gt;$N527-$P527-$Q527+$S527-$T527-IF($D$4="Forint",Paraméterek!$C$216,Paraméterek!$D$216),0,ROUNDUP(IF(ISBLANK($V527),$U527*0,$V527)/IF($D$2="Egyszeri",VLOOKUP($B527+IF($C527=12,1,0),Paraméterek!$V$257:$W$262,2),IF($B527=1,1,VLOOKUP($B527+IF($C527=12,1,0),Paraméterek!$I$258:$T$278,HLOOKUP($M$11+1,Paraméterek!$J$256:$T$257,2)))),IF($D$4="Forint",0,2)))</f>
        <v>#N/A</v>
      </c>
      <c r="X527" s="13" t="e">
        <f ca="1">ROUNDDOWN($W527*IF($D$2="Egyszeri",VLOOKUP($B527+IF($C527=12,1,0),Paraméterek!$V$257:$W$262,2),VLOOKUP($B527+IF($C527=12,1,0),Paraméterek!$I$258:$T$278,HLOOKUP($M$11+1,Paraméterek!$I$256:$T$257,2))),IF($D$4="Forint",0,2))</f>
        <v>#N/A</v>
      </c>
      <c r="Z527" s="32">
        <v>508</v>
      </c>
      <c r="AA527" s="32">
        <v>43</v>
      </c>
      <c r="AB527" s="32">
        <v>4</v>
      </c>
      <c r="AC527" s="13">
        <f t="shared" ca="1" si="170"/>
        <v>0</v>
      </c>
      <c r="AD527" s="33"/>
      <c r="AE527" s="13">
        <f t="shared" ca="1" si="162"/>
        <v>0</v>
      </c>
      <c r="AF527" s="13">
        <f ca="1">ROUNDUP(($AC527+$AE527)*VLOOKUP($AA527,Paraméterek!$P$38:$Q$38,2)/12*IF($D528="Nem",IF($M$13=0,1,$M$13),1),IF($D$4="Forint",0,2))</f>
        <v>0</v>
      </c>
      <c r="AG527" s="13">
        <f ca="1">IF($D$2="Egyszeri",IF($D$7&gt;=IF($D$4="Forint",Paraméterek!$P$223,Paraméterek!$P$224),$D$7-IF($D$4="Forint",Paraméterek!$P$223,Paraméterek!$P$224),0),MIN(IF($AB527=12,AVERAGEIF($E$20:$E527,"&gt;0",$E$20:$E527)*12,0),SUM($E$20:$E$31)))</f>
        <v>0</v>
      </c>
      <c r="AH527" s="13">
        <f>IF($AA527=10,$AG527*IF($AB527=12,IF($AG527&lt;IF($D$4="Forint",Paraméterek!$L$223,Paraméterek!$L$224),0,VLOOKUP($AA527,Paraméterek!$K$226:$M$228,IF($AG527&lt;IF($D$4="Forint",Paraméterek!$M$223,Paraméterek!$M$224),2,3))),0),0)</f>
        <v>0</v>
      </c>
      <c r="AI527" s="13">
        <f ca="1">IF(AND($AA527=$M$11+1,$AB527=$M$12+1),SUMIF($AA$20:$AA$1027,$AA527,$AG$20:$AG$1027)*IF(SUMIF($AA$20:$AA$1027,$AA527,$AG$20:$AG$1027)&lt;IF($D$4="Forint",Paraméterek!$L$223,Paraméterek!$L$224),0,VLOOKUP($AA527,Paraméterek!$K$230:$M$250,IF(SUMIF($AA$20:$AA$1027,$AA527,$AG$20:$AG$1027)&lt;IF($D$4="Forint",Paraméterek!$M$223,Paraméterek!$M$224),2,3))),0)</f>
        <v>0</v>
      </c>
      <c r="AJ527" s="13">
        <f ca="1">IF(AND($AA527&gt;=5,MOD($AA527,5)=0),IF($AB527=12,VLOOKUP($AA527,Paraméterek!$O$225:$P$240,2),0),IF(OR($AA527=3,$AA527=4),IF($AB527=12,VLOOKUP($AA527,Paraméterek!$O$225:$P$240,2,0),0),0))*$AG527</f>
        <v>0</v>
      </c>
      <c r="AK527" s="13">
        <f t="shared" ca="1" si="163"/>
        <v>0</v>
      </c>
      <c r="AL527" s="13">
        <f t="shared" ca="1" si="171"/>
        <v>0</v>
      </c>
      <c r="AM527" s="13">
        <f t="shared" ca="1" si="172"/>
        <v>0</v>
      </c>
      <c r="AO527" s="32">
        <v>508</v>
      </c>
      <c r="AP527" s="32">
        <v>43</v>
      </c>
      <c r="AQ527" s="32">
        <v>4</v>
      </c>
      <c r="AR527" s="13"/>
      <c r="AS527" s="32"/>
      <c r="AT527" s="13">
        <f t="shared" ca="1" si="173"/>
        <v>0</v>
      </c>
      <c r="AU527" s="33"/>
      <c r="AV527" s="13">
        <f t="shared" ca="1" si="164"/>
        <v>0</v>
      </c>
      <c r="AW527" s="13">
        <f ca="1">ROUNDUP(($AT527+$AV527)*VLOOKUP($AP527,Paraméterek!$P$38:$Q$38,2)/12*IF($D528="Nem",IF($M$13=0,1,$M$13),1),IF($D$4="Forint",0,2))</f>
        <v>0</v>
      </c>
      <c r="AX527" s="13"/>
      <c r="AY527" s="13"/>
      <c r="AZ527" s="13">
        <f>ROUNDUP(IF(SUM($AX527:$AY527)=0,0,IF(IF(ISBLANK($AY527),$AX527,$AY527)*Paraméterek!$J$112&lt;IF($D$4="Forint",Paraméterek!$J$113,Paraméterek!$K$113),IF($D$4="Forint",Paraméterek!$J$113,Paraméterek!$K$113),IF(IF(ISBLANK($AY527),$AX527,$AY527)*Paraméterek!$J$112&gt;IF($D$4="Forint",Paraméterek!$J$114,Paraméterek!$K$114),IF($D$4="Forint",Paraméterek!$J$114,Paraméterek!$K$114),IF(ISBLANK($AY527),$AX527,$AY527)*Paraméterek!$J$112))),IF($D$4="Forint",0,2))</f>
        <v>0</v>
      </c>
      <c r="BA527" s="13">
        <f ca="1">$AT527+$AV527-$AW527-IF(ROUNDDOWN(IF(ISBLANK($AY527),$AX527,$AY527),IF($D$4="Forint",0,2))&gt;$AT527+$AV527-$AW527-IF($D$4="Forint",Paraméterek!$J$114,Paraméterek!$K$114),0,ROUNDDOWN(IF(ISBLANK($AY527),$AX527,$AY527),IF($D$4="Forint",0,2))-$AZ527)</f>
        <v>0</v>
      </c>
      <c r="BB527" s="13">
        <f t="shared" ca="1" si="165"/>
        <v>0</v>
      </c>
      <c r="BD527" s="32">
        <v>508</v>
      </c>
      <c r="BE527" s="32">
        <v>43</v>
      </c>
      <c r="BF527" s="32">
        <v>4</v>
      </c>
      <c r="BG527" s="34">
        <f t="shared" ca="1" si="174"/>
        <v>2061</v>
      </c>
      <c r="BH527" s="32" t="str">
        <f ca="1">IF(MOD(MONTH($D$14)+$BD527-1,12)=Paraméterek!$C$288,"Igen","")</f>
        <v/>
      </c>
      <c r="BI527" s="13">
        <f ca="1">IF($BH527="Igen",MIN(ROUNDDOWN((SUMIF($BG$20:$BG$1027,$BG527-1,$K$20:$K$1027)-SUMIF($BG$20:$BG$1027,$BG527-1,$I$20:$I$1027))*Paraméterek!$C$289,IF($D$4="Forint",0,2)),IF($D$4="Forint",Paraméterek!$C$285,Paraméterek!$D$285)),0)</f>
        <v>0</v>
      </c>
      <c r="BJ527" s="13">
        <f t="shared" ca="1" si="166"/>
        <v>0</v>
      </c>
      <c r="BK527" s="13">
        <f t="shared" ca="1" si="175"/>
        <v>0</v>
      </c>
      <c r="BL527" s="33"/>
      <c r="BM527" s="13">
        <f t="shared" ca="1" si="167"/>
        <v>0</v>
      </c>
      <c r="BN527" s="13">
        <f ca="1">ROUNDUP(($BK527+$BM527)*VLOOKUP($BE527,Paraméterek!$P$38:$Q$38,2)/12*IF($D528="Nem",IF($M$13=0,1,$M$13),1),IF($D$4="Forint",0,2))</f>
        <v>0</v>
      </c>
      <c r="BO527" s="13">
        <f t="shared" ca="1" si="168"/>
        <v>0</v>
      </c>
      <c r="BP527" s="13">
        <f ca="1">IF($D528="Nem",$BO527,$BO527-ROUNDUP(SUM($BI$20:$BI527)*120%,IF($D$4="Forint",0,2)))</f>
        <v>0</v>
      </c>
    </row>
    <row r="528" spans="1:68" x14ac:dyDescent="0.2">
      <c r="A528" s="32">
        <v>509</v>
      </c>
      <c r="B528" s="32">
        <v>43</v>
      </c>
      <c r="C528" s="32">
        <v>5</v>
      </c>
      <c r="D528" s="32" t="str">
        <f t="shared" ca="1" si="154"/>
        <v>Nem</v>
      </c>
      <c r="E528" s="13">
        <f t="shared" ca="1" si="155"/>
        <v>0</v>
      </c>
      <c r="F528" s="13"/>
      <c r="G528" s="13"/>
      <c r="H528" s="13"/>
      <c r="I528" s="13">
        <f t="shared" ca="1" si="156"/>
        <v>0</v>
      </c>
      <c r="J528" s="13">
        <f t="shared" ca="1" si="157"/>
        <v>0</v>
      </c>
      <c r="K528" s="13">
        <f t="shared" ca="1" si="158"/>
        <v>0</v>
      </c>
      <c r="L528" s="13" t="e">
        <f ca="1">ROUNDUP(IF($D$2="Egyszeri",$E528,IF($D$2="Havi",SUM($E$20:$E$31),IF(MOD($C528,$M$1)-1=0,SUM($E$20:$E$31),0))/12*$M$1)*VLOOKUP($B528,Paraméterek!$I$28:$P$31,IF($D$2="Egyszeri",8,HLOOKUP(ROUNDUP($M$11+$M$13,0),Paraméterek!$J$26:$O$27,2))),IF($D$4="Forint",0,2))</f>
        <v>#N/A</v>
      </c>
      <c r="M528" s="13">
        <f t="shared" ca="1" si="159"/>
        <v>0</v>
      </c>
      <c r="N528" s="13">
        <f t="shared" ca="1" si="169"/>
        <v>0</v>
      </c>
      <c r="O528" s="13">
        <f ca="1">IF($D528="Igen",IF($W527&gt;=IF($D$4="Forint",Paraméterek!$J$121,Paraméterek!$K$121),0,IF($D$4="Forint",Paraméterek!$J$121,Paraméterek!$K$121)-$W527),0)</f>
        <v>0</v>
      </c>
      <c r="P528" s="13" t="e">
        <f ca="1">ROUNDUP($O528*VLOOKUP($M$4+$B528-1,Paraméterek!$H$58:$I$105,2,0)/Paraméterek!$I$56,IF($D$4="Forint",0,2))</f>
        <v>#N/A</v>
      </c>
      <c r="Q528" s="13">
        <f t="shared" ca="1" si="160"/>
        <v>0</v>
      </c>
      <c r="R528" s="33"/>
      <c r="S528" s="13" t="e">
        <f t="shared" ca="1" si="161"/>
        <v>#N/A</v>
      </c>
      <c r="T528" s="13" t="e">
        <f ca="1">ROUNDUP(($N528-$P528-$Q528+$S528)*VLOOKUP($B528,Paraméterek!$I$38:$K$39,IF($D$2="Egyszeri",3,2))/12*IF($D529="Nem",IF($M$13=0,1,$M$13),1),IF($D$4="Forint",0,2))</f>
        <v>#N/A</v>
      </c>
      <c r="U528" s="13"/>
      <c r="V528" s="13"/>
      <c r="W528" s="13" t="e">
        <f ca="1">$N528-$P528-$Q528+$S528-$T528-IF(ROUNDUP(IF(ISBLANK($V528),$U528*0,$V528)/IF($D$2="Egyszeri",VLOOKUP($B528+IF($C528=12,1,0),Paraméterek!$V$257:$W$262,2),IF($B528=1,1,VLOOKUP($B528+IF($C528=12,1,0),Paraméterek!$I$258:$T$278,HLOOKUP($M$11+1,Paraméterek!$J$256:$T$257,2)))),IF($D$4="Forint",0,2))&gt;$N528-$P528-$Q528+$S528-$T528-IF($D$4="Forint",Paraméterek!$C$216,Paraméterek!$D$216),0,ROUNDUP(IF(ISBLANK($V528),$U528*0,$V528)/IF($D$2="Egyszeri",VLOOKUP($B528+IF($C528=12,1,0),Paraméterek!$V$257:$W$262,2),IF($B528=1,1,VLOOKUP($B528+IF($C528=12,1,0),Paraméterek!$I$258:$T$278,HLOOKUP($M$11+1,Paraméterek!$J$256:$T$257,2)))),IF($D$4="Forint",0,2)))</f>
        <v>#N/A</v>
      </c>
      <c r="X528" s="13" t="e">
        <f ca="1">ROUNDDOWN($W528*IF($D$2="Egyszeri",VLOOKUP($B528+IF($C528=12,1,0),Paraméterek!$V$257:$W$262,2),VLOOKUP($B528+IF($C528=12,1,0),Paraméterek!$I$258:$T$278,HLOOKUP($M$11+1,Paraméterek!$I$256:$T$257,2))),IF($D$4="Forint",0,2))</f>
        <v>#N/A</v>
      </c>
      <c r="Z528" s="32">
        <v>509</v>
      </c>
      <c r="AA528" s="32">
        <v>43</v>
      </c>
      <c r="AB528" s="32">
        <v>5</v>
      </c>
      <c r="AC528" s="13">
        <f t="shared" ca="1" si="170"/>
        <v>0</v>
      </c>
      <c r="AD528" s="33"/>
      <c r="AE528" s="13">
        <f t="shared" ca="1" si="162"/>
        <v>0</v>
      </c>
      <c r="AF528" s="13">
        <f ca="1">ROUNDUP(($AC528+$AE528)*VLOOKUP($AA528,Paraméterek!$P$38:$Q$38,2)/12*IF($D529="Nem",IF($M$13=0,1,$M$13),1),IF($D$4="Forint",0,2))</f>
        <v>0</v>
      </c>
      <c r="AG528" s="13">
        <f ca="1">IF($D$2="Egyszeri",IF($D$7&gt;=IF($D$4="Forint",Paraméterek!$P$223,Paraméterek!$P$224),$D$7-IF($D$4="Forint",Paraméterek!$P$223,Paraméterek!$P$224),0),MIN(IF($AB528=12,AVERAGEIF($E$20:$E528,"&gt;0",$E$20:$E528)*12,0),SUM($E$20:$E$31)))</f>
        <v>0</v>
      </c>
      <c r="AH528" s="13">
        <f>IF($AA528=10,$AG528*IF($AB528=12,IF($AG528&lt;IF($D$4="Forint",Paraméterek!$L$223,Paraméterek!$L$224),0,VLOOKUP($AA528,Paraméterek!$K$226:$M$228,IF($AG528&lt;IF($D$4="Forint",Paraméterek!$M$223,Paraméterek!$M$224),2,3))),0),0)</f>
        <v>0</v>
      </c>
      <c r="AI528" s="13">
        <f ca="1">IF(AND($AA528=$M$11+1,$AB528=$M$12+1),SUMIF($AA$20:$AA$1027,$AA528,$AG$20:$AG$1027)*IF(SUMIF($AA$20:$AA$1027,$AA528,$AG$20:$AG$1027)&lt;IF($D$4="Forint",Paraméterek!$L$223,Paraméterek!$L$224),0,VLOOKUP($AA528,Paraméterek!$K$230:$M$250,IF(SUMIF($AA$20:$AA$1027,$AA528,$AG$20:$AG$1027)&lt;IF($D$4="Forint",Paraméterek!$M$223,Paraméterek!$M$224),2,3))),0)</f>
        <v>0</v>
      </c>
      <c r="AJ528" s="13">
        <f ca="1">IF(AND($AA528&gt;=5,MOD($AA528,5)=0),IF($AB528=12,VLOOKUP($AA528,Paraméterek!$O$225:$P$240,2),0),IF(OR($AA528=3,$AA528=4),IF($AB528=12,VLOOKUP($AA528,Paraméterek!$O$225:$P$240,2,0),0),0))*$AG528</f>
        <v>0</v>
      </c>
      <c r="AK528" s="13">
        <f t="shared" ca="1" si="163"/>
        <v>0</v>
      </c>
      <c r="AL528" s="13">
        <f t="shared" ca="1" si="171"/>
        <v>0</v>
      </c>
      <c r="AM528" s="13">
        <f t="shared" ca="1" si="172"/>
        <v>0</v>
      </c>
      <c r="AO528" s="32">
        <v>509</v>
      </c>
      <c r="AP528" s="32">
        <v>43</v>
      </c>
      <c r="AQ528" s="32">
        <v>5</v>
      </c>
      <c r="AR528" s="13"/>
      <c r="AS528" s="32"/>
      <c r="AT528" s="13">
        <f t="shared" ca="1" si="173"/>
        <v>0</v>
      </c>
      <c r="AU528" s="33"/>
      <c r="AV528" s="13">
        <f t="shared" ca="1" si="164"/>
        <v>0</v>
      </c>
      <c r="AW528" s="13">
        <f ca="1">ROUNDUP(($AT528+$AV528)*VLOOKUP($AP528,Paraméterek!$P$38:$Q$38,2)/12*IF($D529="Nem",IF($M$13=0,1,$M$13),1),IF($D$4="Forint",0,2))</f>
        <v>0</v>
      </c>
      <c r="AX528" s="13"/>
      <c r="AY528" s="13"/>
      <c r="AZ528" s="13">
        <f>ROUNDUP(IF(SUM($AX528:$AY528)=0,0,IF(IF(ISBLANK($AY528),$AX528,$AY528)*Paraméterek!$J$112&lt;IF($D$4="Forint",Paraméterek!$J$113,Paraméterek!$K$113),IF($D$4="Forint",Paraméterek!$J$113,Paraméterek!$K$113),IF(IF(ISBLANK($AY528),$AX528,$AY528)*Paraméterek!$J$112&gt;IF($D$4="Forint",Paraméterek!$J$114,Paraméterek!$K$114),IF($D$4="Forint",Paraméterek!$J$114,Paraméterek!$K$114),IF(ISBLANK($AY528),$AX528,$AY528)*Paraméterek!$J$112))),IF($D$4="Forint",0,2))</f>
        <v>0</v>
      </c>
      <c r="BA528" s="13">
        <f ca="1">$AT528+$AV528-$AW528-IF(ROUNDDOWN(IF(ISBLANK($AY528),$AX528,$AY528),IF($D$4="Forint",0,2))&gt;$AT528+$AV528-$AW528-IF($D$4="Forint",Paraméterek!$J$114,Paraméterek!$K$114),0,ROUNDDOWN(IF(ISBLANK($AY528),$AX528,$AY528),IF($D$4="Forint",0,2))-$AZ528)</f>
        <v>0</v>
      </c>
      <c r="BB528" s="13">
        <f t="shared" ca="1" si="165"/>
        <v>0</v>
      </c>
      <c r="BD528" s="32">
        <v>509</v>
      </c>
      <c r="BE528" s="32">
        <v>43</v>
      </c>
      <c r="BF528" s="32">
        <v>5</v>
      </c>
      <c r="BG528" s="34">
        <f t="shared" ca="1" si="174"/>
        <v>2061</v>
      </c>
      <c r="BH528" s="32" t="str">
        <f ca="1">IF(MOD(MONTH($D$14)+$BD528-1,12)=Paraméterek!$C$288,"Igen","")</f>
        <v/>
      </c>
      <c r="BI528" s="13">
        <f ca="1">IF($BH528="Igen",MIN(ROUNDDOWN((SUMIF($BG$20:$BG$1027,$BG528-1,$K$20:$K$1027)-SUMIF($BG$20:$BG$1027,$BG528-1,$I$20:$I$1027))*Paraméterek!$C$289,IF($D$4="Forint",0,2)),IF($D$4="Forint",Paraméterek!$C$285,Paraméterek!$D$285)),0)</f>
        <v>0</v>
      </c>
      <c r="BJ528" s="13">
        <f t="shared" ca="1" si="166"/>
        <v>0</v>
      </c>
      <c r="BK528" s="13">
        <f t="shared" ca="1" si="175"/>
        <v>0</v>
      </c>
      <c r="BL528" s="33"/>
      <c r="BM528" s="13">
        <f t="shared" ca="1" si="167"/>
        <v>0</v>
      </c>
      <c r="BN528" s="13">
        <f ca="1">ROUNDUP(($BK528+$BM528)*VLOOKUP($BE528,Paraméterek!$P$38:$Q$38,2)/12*IF($D529="Nem",IF($M$13=0,1,$M$13),1),IF($D$4="Forint",0,2))</f>
        <v>0</v>
      </c>
      <c r="BO528" s="13">
        <f t="shared" ca="1" si="168"/>
        <v>0</v>
      </c>
      <c r="BP528" s="13">
        <f ca="1">IF($D529="Nem",$BO528,$BO528-ROUNDUP(SUM($BI$20:$BI528)*120%,IF($D$4="Forint",0,2)))</f>
        <v>0</v>
      </c>
    </row>
    <row r="529" spans="1:68" x14ac:dyDescent="0.2">
      <c r="A529" s="32">
        <v>510</v>
      </c>
      <c r="B529" s="32">
        <v>43</v>
      </c>
      <c r="C529" s="32">
        <v>6</v>
      </c>
      <c r="D529" s="32" t="str">
        <f t="shared" ca="1" si="154"/>
        <v>Nem</v>
      </c>
      <c r="E529" s="13">
        <f t="shared" ca="1" si="155"/>
        <v>0</v>
      </c>
      <c r="F529" s="13"/>
      <c r="G529" s="13"/>
      <c r="H529" s="13"/>
      <c r="I529" s="13">
        <f t="shared" ca="1" si="156"/>
        <v>0</v>
      </c>
      <c r="J529" s="13">
        <f t="shared" ca="1" si="157"/>
        <v>0</v>
      </c>
      <c r="K529" s="13">
        <f t="shared" ca="1" si="158"/>
        <v>0</v>
      </c>
      <c r="L529" s="13" t="e">
        <f ca="1">ROUNDUP(IF($D$2="Egyszeri",$E529,IF($D$2="Havi",SUM($E$20:$E$31),IF(MOD($C529,$M$1)-1=0,SUM($E$20:$E$31),0))/12*$M$1)*VLOOKUP($B529,Paraméterek!$I$28:$P$31,IF($D$2="Egyszeri",8,HLOOKUP(ROUNDUP($M$11+$M$13,0),Paraméterek!$J$26:$O$27,2))),IF($D$4="Forint",0,2))</f>
        <v>#N/A</v>
      </c>
      <c r="M529" s="13">
        <f t="shared" ca="1" si="159"/>
        <v>0</v>
      </c>
      <c r="N529" s="13">
        <f t="shared" ca="1" si="169"/>
        <v>0</v>
      </c>
      <c r="O529" s="13">
        <f ca="1">IF($D529="Igen",IF($W528&gt;=IF($D$4="Forint",Paraméterek!$J$121,Paraméterek!$K$121),0,IF($D$4="Forint",Paraméterek!$J$121,Paraméterek!$K$121)-$W528),0)</f>
        <v>0</v>
      </c>
      <c r="P529" s="13" t="e">
        <f ca="1">ROUNDUP($O529*VLOOKUP($M$4+$B529-1,Paraméterek!$H$58:$I$105,2,0)/Paraméterek!$I$56,IF($D$4="Forint",0,2))</f>
        <v>#N/A</v>
      </c>
      <c r="Q529" s="13">
        <f t="shared" ca="1" si="160"/>
        <v>0</v>
      </c>
      <c r="R529" s="33"/>
      <c r="S529" s="13" t="e">
        <f t="shared" ca="1" si="161"/>
        <v>#N/A</v>
      </c>
      <c r="T529" s="13" t="e">
        <f ca="1">ROUNDUP(($N529-$P529-$Q529+$S529)*VLOOKUP($B529,Paraméterek!$I$38:$K$39,IF($D$2="Egyszeri",3,2))/12*IF($D530="Nem",IF($M$13=0,1,$M$13),1),IF($D$4="Forint",0,2))</f>
        <v>#N/A</v>
      </c>
      <c r="U529" s="13"/>
      <c r="V529" s="13"/>
      <c r="W529" s="13" t="e">
        <f ca="1">$N529-$P529-$Q529+$S529-$T529-IF(ROUNDUP(IF(ISBLANK($V529),$U529*0,$V529)/IF($D$2="Egyszeri",VLOOKUP($B529+IF($C529=12,1,0),Paraméterek!$V$257:$W$262,2),IF($B529=1,1,VLOOKUP($B529+IF($C529=12,1,0),Paraméterek!$I$258:$T$278,HLOOKUP($M$11+1,Paraméterek!$J$256:$T$257,2)))),IF($D$4="Forint",0,2))&gt;$N529-$P529-$Q529+$S529-$T529-IF($D$4="Forint",Paraméterek!$C$216,Paraméterek!$D$216),0,ROUNDUP(IF(ISBLANK($V529),$U529*0,$V529)/IF($D$2="Egyszeri",VLOOKUP($B529+IF($C529=12,1,0),Paraméterek!$V$257:$W$262,2),IF($B529=1,1,VLOOKUP($B529+IF($C529=12,1,0),Paraméterek!$I$258:$T$278,HLOOKUP($M$11+1,Paraméterek!$J$256:$T$257,2)))),IF($D$4="Forint",0,2)))</f>
        <v>#N/A</v>
      </c>
      <c r="X529" s="13" t="e">
        <f ca="1">ROUNDDOWN($W529*IF($D$2="Egyszeri",VLOOKUP($B529+IF($C529=12,1,0),Paraméterek!$V$257:$W$262,2),VLOOKUP($B529+IF($C529=12,1,0),Paraméterek!$I$258:$T$278,HLOOKUP($M$11+1,Paraméterek!$I$256:$T$257,2))),IF($D$4="Forint",0,2))</f>
        <v>#N/A</v>
      </c>
      <c r="Z529" s="32">
        <v>510</v>
      </c>
      <c r="AA529" s="32">
        <v>43</v>
      </c>
      <c r="AB529" s="32">
        <v>6</v>
      </c>
      <c r="AC529" s="13">
        <f t="shared" ca="1" si="170"/>
        <v>0</v>
      </c>
      <c r="AD529" s="33"/>
      <c r="AE529" s="13">
        <f t="shared" ca="1" si="162"/>
        <v>0</v>
      </c>
      <c r="AF529" s="13">
        <f ca="1">ROUNDUP(($AC529+$AE529)*VLOOKUP($AA529,Paraméterek!$P$38:$Q$38,2)/12*IF($D530="Nem",IF($M$13=0,1,$M$13),1),IF($D$4="Forint",0,2))</f>
        <v>0</v>
      </c>
      <c r="AG529" s="13">
        <f ca="1">IF($D$2="Egyszeri",IF($D$7&gt;=IF($D$4="Forint",Paraméterek!$P$223,Paraméterek!$P$224),$D$7-IF($D$4="Forint",Paraméterek!$P$223,Paraméterek!$P$224),0),MIN(IF($AB529=12,AVERAGEIF($E$20:$E529,"&gt;0",$E$20:$E529)*12,0),SUM($E$20:$E$31)))</f>
        <v>0</v>
      </c>
      <c r="AH529" s="13">
        <f>IF($AA529=10,$AG529*IF($AB529=12,IF($AG529&lt;IF($D$4="Forint",Paraméterek!$L$223,Paraméterek!$L$224),0,VLOOKUP($AA529,Paraméterek!$K$226:$M$228,IF($AG529&lt;IF($D$4="Forint",Paraméterek!$M$223,Paraméterek!$M$224),2,3))),0),0)</f>
        <v>0</v>
      </c>
      <c r="AI529" s="13">
        <f ca="1">IF(AND($AA529=$M$11+1,$AB529=$M$12+1),SUMIF($AA$20:$AA$1027,$AA529,$AG$20:$AG$1027)*IF(SUMIF($AA$20:$AA$1027,$AA529,$AG$20:$AG$1027)&lt;IF($D$4="Forint",Paraméterek!$L$223,Paraméterek!$L$224),0,VLOOKUP($AA529,Paraméterek!$K$230:$M$250,IF(SUMIF($AA$20:$AA$1027,$AA529,$AG$20:$AG$1027)&lt;IF($D$4="Forint",Paraméterek!$M$223,Paraméterek!$M$224),2,3))),0)</f>
        <v>0</v>
      </c>
      <c r="AJ529" s="13">
        <f ca="1">IF(AND($AA529&gt;=5,MOD($AA529,5)=0),IF($AB529=12,VLOOKUP($AA529,Paraméterek!$O$225:$P$240,2),0),IF(OR($AA529=3,$AA529=4),IF($AB529=12,VLOOKUP($AA529,Paraméterek!$O$225:$P$240,2,0),0),0))*$AG529</f>
        <v>0</v>
      </c>
      <c r="AK529" s="13">
        <f t="shared" ca="1" si="163"/>
        <v>0</v>
      </c>
      <c r="AL529" s="13">
        <f t="shared" ca="1" si="171"/>
        <v>0</v>
      </c>
      <c r="AM529" s="13">
        <f t="shared" ca="1" si="172"/>
        <v>0</v>
      </c>
      <c r="AO529" s="32">
        <v>510</v>
      </c>
      <c r="AP529" s="32">
        <v>43</v>
      </c>
      <c r="AQ529" s="32">
        <v>6</v>
      </c>
      <c r="AR529" s="13"/>
      <c r="AS529" s="32"/>
      <c r="AT529" s="13">
        <f t="shared" ca="1" si="173"/>
        <v>0</v>
      </c>
      <c r="AU529" s="33"/>
      <c r="AV529" s="13">
        <f t="shared" ca="1" si="164"/>
        <v>0</v>
      </c>
      <c r="AW529" s="13">
        <f ca="1">ROUNDUP(($AT529+$AV529)*VLOOKUP($AP529,Paraméterek!$P$38:$Q$38,2)/12*IF($D530="Nem",IF($M$13=0,1,$M$13),1),IF($D$4="Forint",0,2))</f>
        <v>0</v>
      </c>
      <c r="AX529" s="13"/>
      <c r="AY529" s="13"/>
      <c r="AZ529" s="13">
        <f>ROUNDUP(IF(SUM($AX529:$AY529)=0,0,IF(IF(ISBLANK($AY529),$AX529,$AY529)*Paraméterek!$J$112&lt;IF($D$4="Forint",Paraméterek!$J$113,Paraméterek!$K$113),IF($D$4="Forint",Paraméterek!$J$113,Paraméterek!$K$113),IF(IF(ISBLANK($AY529),$AX529,$AY529)*Paraméterek!$J$112&gt;IF($D$4="Forint",Paraméterek!$J$114,Paraméterek!$K$114),IF($D$4="Forint",Paraméterek!$J$114,Paraméterek!$K$114),IF(ISBLANK($AY529),$AX529,$AY529)*Paraméterek!$J$112))),IF($D$4="Forint",0,2))</f>
        <v>0</v>
      </c>
      <c r="BA529" s="13">
        <f ca="1">$AT529+$AV529-$AW529-IF(ROUNDDOWN(IF(ISBLANK($AY529),$AX529,$AY529),IF($D$4="Forint",0,2))&gt;$AT529+$AV529-$AW529-IF($D$4="Forint",Paraméterek!$J$114,Paraméterek!$K$114),0,ROUNDDOWN(IF(ISBLANK($AY529),$AX529,$AY529),IF($D$4="Forint",0,2))-$AZ529)</f>
        <v>0</v>
      </c>
      <c r="BB529" s="13">
        <f t="shared" ca="1" si="165"/>
        <v>0</v>
      </c>
      <c r="BD529" s="32">
        <v>510</v>
      </c>
      <c r="BE529" s="32">
        <v>43</v>
      </c>
      <c r="BF529" s="32">
        <v>6</v>
      </c>
      <c r="BG529" s="34">
        <f t="shared" ca="1" si="174"/>
        <v>2061</v>
      </c>
      <c r="BH529" s="32" t="str">
        <f ca="1">IF(MOD(MONTH($D$14)+$BD529-1,12)=Paraméterek!$C$288,"Igen","")</f>
        <v/>
      </c>
      <c r="BI529" s="13">
        <f ca="1">IF($BH529="Igen",MIN(ROUNDDOWN((SUMIF($BG$20:$BG$1027,$BG529-1,$K$20:$K$1027)-SUMIF($BG$20:$BG$1027,$BG529-1,$I$20:$I$1027))*Paraméterek!$C$289,IF($D$4="Forint",0,2)),IF($D$4="Forint",Paraméterek!$C$285,Paraméterek!$D$285)),0)</f>
        <v>0</v>
      </c>
      <c r="BJ529" s="13">
        <f t="shared" ca="1" si="166"/>
        <v>0</v>
      </c>
      <c r="BK529" s="13">
        <f t="shared" ca="1" si="175"/>
        <v>0</v>
      </c>
      <c r="BL529" s="33"/>
      <c r="BM529" s="13">
        <f t="shared" ca="1" si="167"/>
        <v>0</v>
      </c>
      <c r="BN529" s="13">
        <f ca="1">ROUNDUP(($BK529+$BM529)*VLOOKUP($BE529,Paraméterek!$P$38:$Q$38,2)/12*IF($D530="Nem",IF($M$13=0,1,$M$13),1),IF($D$4="Forint",0,2))</f>
        <v>0</v>
      </c>
      <c r="BO529" s="13">
        <f t="shared" ca="1" si="168"/>
        <v>0</v>
      </c>
      <c r="BP529" s="13">
        <f ca="1">IF($D530="Nem",$BO529,$BO529-ROUNDUP(SUM($BI$20:$BI529)*120%,IF($D$4="Forint",0,2)))</f>
        <v>0</v>
      </c>
    </row>
    <row r="530" spans="1:68" x14ac:dyDescent="0.2">
      <c r="A530" s="32">
        <v>511</v>
      </c>
      <c r="B530" s="32">
        <v>43</v>
      </c>
      <c r="C530" s="32">
        <v>7</v>
      </c>
      <c r="D530" s="32" t="str">
        <f t="shared" ca="1" si="154"/>
        <v>Nem</v>
      </c>
      <c r="E530" s="13">
        <f t="shared" ca="1" si="155"/>
        <v>0</v>
      </c>
      <c r="F530" s="13"/>
      <c r="G530" s="13"/>
      <c r="H530" s="13"/>
      <c r="I530" s="13">
        <f t="shared" ca="1" si="156"/>
        <v>0</v>
      </c>
      <c r="J530" s="13">
        <f t="shared" ca="1" si="157"/>
        <v>0</v>
      </c>
      <c r="K530" s="13">
        <f t="shared" ca="1" si="158"/>
        <v>0</v>
      </c>
      <c r="L530" s="13" t="e">
        <f ca="1">ROUNDUP(IF($D$2="Egyszeri",$E530,IF($D$2="Havi",SUM($E$20:$E$31),IF(MOD($C530,$M$1)-1=0,SUM($E$20:$E$31),0))/12*$M$1)*VLOOKUP($B530,Paraméterek!$I$28:$P$31,IF($D$2="Egyszeri",8,HLOOKUP(ROUNDUP($M$11+$M$13,0),Paraméterek!$J$26:$O$27,2))),IF($D$4="Forint",0,2))</f>
        <v>#N/A</v>
      </c>
      <c r="M530" s="13">
        <f t="shared" ca="1" si="159"/>
        <v>0</v>
      </c>
      <c r="N530" s="13">
        <f t="shared" ca="1" si="169"/>
        <v>0</v>
      </c>
      <c r="O530" s="13">
        <f ca="1">IF($D530="Igen",IF($W529&gt;=IF($D$4="Forint",Paraméterek!$J$121,Paraméterek!$K$121),0,IF($D$4="Forint",Paraméterek!$J$121,Paraméterek!$K$121)-$W529),0)</f>
        <v>0</v>
      </c>
      <c r="P530" s="13" t="e">
        <f ca="1">ROUNDUP($O530*VLOOKUP($M$4+$B530-1,Paraméterek!$H$58:$I$105,2,0)/Paraméterek!$I$56,IF($D$4="Forint",0,2))</f>
        <v>#N/A</v>
      </c>
      <c r="Q530" s="13">
        <f t="shared" ca="1" si="160"/>
        <v>0</v>
      </c>
      <c r="R530" s="33"/>
      <c r="S530" s="13" t="e">
        <f t="shared" ca="1" si="161"/>
        <v>#N/A</v>
      </c>
      <c r="T530" s="13" t="e">
        <f ca="1">ROUNDUP(($N530-$P530-$Q530+$S530)*VLOOKUP($B530,Paraméterek!$I$38:$K$39,IF($D$2="Egyszeri",3,2))/12*IF($D531="Nem",IF($M$13=0,1,$M$13),1),IF($D$4="Forint",0,2))</f>
        <v>#N/A</v>
      </c>
      <c r="U530" s="13"/>
      <c r="V530" s="13"/>
      <c r="W530" s="13" t="e">
        <f ca="1">$N530-$P530-$Q530+$S530-$T530-IF(ROUNDUP(IF(ISBLANK($V530),$U530*0,$V530)/IF($D$2="Egyszeri",VLOOKUP($B530+IF($C530=12,1,0),Paraméterek!$V$257:$W$262,2),IF($B530=1,1,VLOOKUP($B530+IF($C530=12,1,0),Paraméterek!$I$258:$T$278,HLOOKUP($M$11+1,Paraméterek!$J$256:$T$257,2)))),IF($D$4="Forint",0,2))&gt;$N530-$P530-$Q530+$S530-$T530-IF($D$4="Forint",Paraméterek!$C$216,Paraméterek!$D$216),0,ROUNDUP(IF(ISBLANK($V530),$U530*0,$V530)/IF($D$2="Egyszeri",VLOOKUP($B530+IF($C530=12,1,0),Paraméterek!$V$257:$W$262,2),IF($B530=1,1,VLOOKUP($B530+IF($C530=12,1,0),Paraméterek!$I$258:$T$278,HLOOKUP($M$11+1,Paraméterek!$J$256:$T$257,2)))),IF($D$4="Forint",0,2)))</f>
        <v>#N/A</v>
      </c>
      <c r="X530" s="13" t="e">
        <f ca="1">ROUNDDOWN($W530*IF($D$2="Egyszeri",VLOOKUP($B530+IF($C530=12,1,0),Paraméterek!$V$257:$W$262,2),VLOOKUP($B530+IF($C530=12,1,0),Paraméterek!$I$258:$T$278,HLOOKUP($M$11+1,Paraméterek!$I$256:$T$257,2))),IF($D$4="Forint",0,2))</f>
        <v>#N/A</v>
      </c>
      <c r="Z530" s="32">
        <v>511</v>
      </c>
      <c r="AA530" s="32">
        <v>43</v>
      </c>
      <c r="AB530" s="32">
        <v>7</v>
      </c>
      <c r="AC530" s="13">
        <f t="shared" ca="1" si="170"/>
        <v>0</v>
      </c>
      <c r="AD530" s="33"/>
      <c r="AE530" s="13">
        <f t="shared" ca="1" si="162"/>
        <v>0</v>
      </c>
      <c r="AF530" s="13">
        <f ca="1">ROUNDUP(($AC530+$AE530)*VLOOKUP($AA530,Paraméterek!$P$38:$Q$38,2)/12*IF($D531="Nem",IF($M$13=0,1,$M$13),1),IF($D$4="Forint",0,2))</f>
        <v>0</v>
      </c>
      <c r="AG530" s="13">
        <f ca="1">IF($D$2="Egyszeri",IF($D$7&gt;=IF($D$4="Forint",Paraméterek!$P$223,Paraméterek!$P$224),$D$7-IF($D$4="Forint",Paraméterek!$P$223,Paraméterek!$P$224),0),MIN(IF($AB530=12,AVERAGEIF($E$20:$E530,"&gt;0",$E$20:$E530)*12,0),SUM($E$20:$E$31)))</f>
        <v>0</v>
      </c>
      <c r="AH530" s="13">
        <f>IF($AA530=10,$AG530*IF($AB530=12,IF($AG530&lt;IF($D$4="Forint",Paraméterek!$L$223,Paraméterek!$L$224),0,VLOOKUP($AA530,Paraméterek!$K$226:$M$228,IF($AG530&lt;IF($D$4="Forint",Paraméterek!$M$223,Paraméterek!$M$224),2,3))),0),0)</f>
        <v>0</v>
      </c>
      <c r="AI530" s="13">
        <f ca="1">IF(AND($AA530=$M$11+1,$AB530=$M$12+1),SUMIF($AA$20:$AA$1027,$AA530,$AG$20:$AG$1027)*IF(SUMIF($AA$20:$AA$1027,$AA530,$AG$20:$AG$1027)&lt;IF($D$4="Forint",Paraméterek!$L$223,Paraméterek!$L$224),0,VLOOKUP($AA530,Paraméterek!$K$230:$M$250,IF(SUMIF($AA$20:$AA$1027,$AA530,$AG$20:$AG$1027)&lt;IF($D$4="Forint",Paraméterek!$M$223,Paraméterek!$M$224),2,3))),0)</f>
        <v>0</v>
      </c>
      <c r="AJ530" s="13">
        <f ca="1">IF(AND($AA530&gt;=5,MOD($AA530,5)=0),IF($AB530=12,VLOOKUP($AA530,Paraméterek!$O$225:$P$240,2),0),IF(OR($AA530=3,$AA530=4),IF($AB530=12,VLOOKUP($AA530,Paraméterek!$O$225:$P$240,2,0),0),0))*$AG530</f>
        <v>0</v>
      </c>
      <c r="AK530" s="13">
        <f t="shared" ca="1" si="163"/>
        <v>0</v>
      </c>
      <c r="AL530" s="13">
        <f t="shared" ca="1" si="171"/>
        <v>0</v>
      </c>
      <c r="AM530" s="13">
        <f t="shared" ca="1" si="172"/>
        <v>0</v>
      </c>
      <c r="AO530" s="32">
        <v>511</v>
      </c>
      <c r="AP530" s="32">
        <v>43</v>
      </c>
      <c r="AQ530" s="32">
        <v>7</v>
      </c>
      <c r="AR530" s="13"/>
      <c r="AS530" s="32"/>
      <c r="AT530" s="13">
        <f t="shared" ca="1" si="173"/>
        <v>0</v>
      </c>
      <c r="AU530" s="33"/>
      <c r="AV530" s="13">
        <f t="shared" ca="1" si="164"/>
        <v>0</v>
      </c>
      <c r="AW530" s="13">
        <f ca="1">ROUNDUP(($AT530+$AV530)*VLOOKUP($AP530,Paraméterek!$P$38:$Q$38,2)/12*IF($D531="Nem",IF($M$13=0,1,$M$13),1),IF($D$4="Forint",0,2))</f>
        <v>0</v>
      </c>
      <c r="AX530" s="13"/>
      <c r="AY530" s="13"/>
      <c r="AZ530" s="13">
        <f>ROUNDUP(IF(SUM($AX530:$AY530)=0,0,IF(IF(ISBLANK($AY530),$AX530,$AY530)*Paraméterek!$J$112&lt;IF($D$4="Forint",Paraméterek!$J$113,Paraméterek!$K$113),IF($D$4="Forint",Paraméterek!$J$113,Paraméterek!$K$113),IF(IF(ISBLANK($AY530),$AX530,$AY530)*Paraméterek!$J$112&gt;IF($D$4="Forint",Paraméterek!$J$114,Paraméterek!$K$114),IF($D$4="Forint",Paraméterek!$J$114,Paraméterek!$K$114),IF(ISBLANK($AY530),$AX530,$AY530)*Paraméterek!$J$112))),IF($D$4="Forint",0,2))</f>
        <v>0</v>
      </c>
      <c r="BA530" s="13">
        <f ca="1">$AT530+$AV530-$AW530-IF(ROUNDDOWN(IF(ISBLANK($AY530),$AX530,$AY530),IF($D$4="Forint",0,2))&gt;$AT530+$AV530-$AW530-IF($D$4="Forint",Paraméterek!$J$114,Paraméterek!$K$114),0,ROUNDDOWN(IF(ISBLANK($AY530),$AX530,$AY530),IF($D$4="Forint",0,2))-$AZ530)</f>
        <v>0</v>
      </c>
      <c r="BB530" s="13">
        <f t="shared" ca="1" si="165"/>
        <v>0</v>
      </c>
      <c r="BD530" s="32">
        <v>511</v>
      </c>
      <c r="BE530" s="32">
        <v>43</v>
      </c>
      <c r="BF530" s="32">
        <v>7</v>
      </c>
      <c r="BG530" s="34">
        <f t="shared" ca="1" si="174"/>
        <v>2061</v>
      </c>
      <c r="BH530" s="32" t="str">
        <f ca="1">IF(MOD(MONTH($D$14)+$BD530-1,12)=Paraméterek!$C$288,"Igen","")</f>
        <v/>
      </c>
      <c r="BI530" s="13">
        <f ca="1">IF($BH530="Igen",MIN(ROUNDDOWN((SUMIF($BG$20:$BG$1027,$BG530-1,$K$20:$K$1027)-SUMIF($BG$20:$BG$1027,$BG530-1,$I$20:$I$1027))*Paraméterek!$C$289,IF($D$4="Forint",0,2)),IF($D$4="Forint",Paraméterek!$C$285,Paraméterek!$D$285)),0)</f>
        <v>0</v>
      </c>
      <c r="BJ530" s="13">
        <f t="shared" ca="1" si="166"/>
        <v>0</v>
      </c>
      <c r="BK530" s="13">
        <f t="shared" ca="1" si="175"/>
        <v>0</v>
      </c>
      <c r="BL530" s="33"/>
      <c r="BM530" s="13">
        <f t="shared" ca="1" si="167"/>
        <v>0</v>
      </c>
      <c r="BN530" s="13">
        <f ca="1">ROUNDUP(($BK530+$BM530)*VLOOKUP($BE530,Paraméterek!$P$38:$Q$38,2)/12*IF($D531="Nem",IF($M$13=0,1,$M$13),1),IF($D$4="Forint",0,2))</f>
        <v>0</v>
      </c>
      <c r="BO530" s="13">
        <f t="shared" ca="1" si="168"/>
        <v>0</v>
      </c>
      <c r="BP530" s="13">
        <f ca="1">IF($D531="Nem",$BO530,$BO530-ROUNDUP(SUM($BI$20:$BI530)*120%,IF($D$4="Forint",0,2)))</f>
        <v>0</v>
      </c>
    </row>
    <row r="531" spans="1:68" x14ac:dyDescent="0.2">
      <c r="A531" s="32">
        <v>512</v>
      </c>
      <c r="B531" s="32">
        <v>43</v>
      </c>
      <c r="C531" s="32">
        <v>8</v>
      </c>
      <c r="D531" s="32" t="str">
        <f t="shared" ca="1" si="154"/>
        <v>Nem</v>
      </c>
      <c r="E531" s="13">
        <f t="shared" ca="1" si="155"/>
        <v>0</v>
      </c>
      <c r="F531" s="13"/>
      <c r="G531" s="13"/>
      <c r="H531" s="13"/>
      <c r="I531" s="13">
        <f t="shared" ca="1" si="156"/>
        <v>0</v>
      </c>
      <c r="J531" s="13">
        <f t="shared" ca="1" si="157"/>
        <v>0</v>
      </c>
      <c r="K531" s="13">
        <f t="shared" ca="1" si="158"/>
        <v>0</v>
      </c>
      <c r="L531" s="13" t="e">
        <f ca="1">ROUNDUP(IF($D$2="Egyszeri",$E531,IF($D$2="Havi",SUM($E$20:$E$31),IF(MOD($C531,$M$1)-1=0,SUM($E$20:$E$31),0))/12*$M$1)*VLOOKUP($B531,Paraméterek!$I$28:$P$31,IF($D$2="Egyszeri",8,HLOOKUP(ROUNDUP($M$11+$M$13,0),Paraméterek!$J$26:$O$27,2))),IF($D$4="Forint",0,2))</f>
        <v>#N/A</v>
      </c>
      <c r="M531" s="13">
        <f t="shared" ca="1" si="159"/>
        <v>0</v>
      </c>
      <c r="N531" s="13">
        <f t="shared" ca="1" si="169"/>
        <v>0</v>
      </c>
      <c r="O531" s="13">
        <f ca="1">IF($D531="Igen",IF($W530&gt;=IF($D$4="Forint",Paraméterek!$J$121,Paraméterek!$K$121),0,IF($D$4="Forint",Paraméterek!$J$121,Paraméterek!$K$121)-$W530),0)</f>
        <v>0</v>
      </c>
      <c r="P531" s="13" t="e">
        <f ca="1">ROUNDUP($O531*VLOOKUP($M$4+$B531-1,Paraméterek!$H$58:$I$105,2,0)/Paraméterek!$I$56,IF($D$4="Forint",0,2))</f>
        <v>#N/A</v>
      </c>
      <c r="Q531" s="13">
        <f t="shared" ca="1" si="160"/>
        <v>0</v>
      </c>
      <c r="R531" s="33"/>
      <c r="S531" s="13" t="e">
        <f t="shared" ca="1" si="161"/>
        <v>#N/A</v>
      </c>
      <c r="T531" s="13" t="e">
        <f ca="1">ROUNDUP(($N531-$P531-$Q531+$S531)*VLOOKUP($B531,Paraméterek!$I$38:$K$39,IF($D$2="Egyszeri",3,2))/12*IF($D532="Nem",IF($M$13=0,1,$M$13),1),IF($D$4="Forint",0,2))</f>
        <v>#N/A</v>
      </c>
      <c r="U531" s="13"/>
      <c r="V531" s="13"/>
      <c r="W531" s="13" t="e">
        <f ca="1">$N531-$P531-$Q531+$S531-$T531-IF(ROUNDUP(IF(ISBLANK($V531),$U531*0,$V531)/IF($D$2="Egyszeri",VLOOKUP($B531+IF($C531=12,1,0),Paraméterek!$V$257:$W$262,2),IF($B531=1,1,VLOOKUP($B531+IF($C531=12,1,0),Paraméterek!$I$258:$T$278,HLOOKUP($M$11+1,Paraméterek!$J$256:$T$257,2)))),IF($D$4="Forint",0,2))&gt;$N531-$P531-$Q531+$S531-$T531-IF($D$4="Forint",Paraméterek!$C$216,Paraméterek!$D$216),0,ROUNDUP(IF(ISBLANK($V531),$U531*0,$V531)/IF($D$2="Egyszeri",VLOOKUP($B531+IF($C531=12,1,0),Paraméterek!$V$257:$W$262,2),IF($B531=1,1,VLOOKUP($B531+IF($C531=12,1,0),Paraméterek!$I$258:$T$278,HLOOKUP($M$11+1,Paraméterek!$J$256:$T$257,2)))),IF($D$4="Forint",0,2)))</f>
        <v>#N/A</v>
      </c>
      <c r="X531" s="13" t="e">
        <f ca="1">ROUNDDOWN($W531*IF($D$2="Egyszeri",VLOOKUP($B531+IF($C531=12,1,0),Paraméterek!$V$257:$W$262,2),VLOOKUP($B531+IF($C531=12,1,0),Paraméterek!$I$258:$T$278,HLOOKUP($M$11+1,Paraméterek!$I$256:$T$257,2))),IF($D$4="Forint",0,2))</f>
        <v>#N/A</v>
      </c>
      <c r="Z531" s="32">
        <v>512</v>
      </c>
      <c r="AA531" s="32">
        <v>43</v>
      </c>
      <c r="AB531" s="32">
        <v>8</v>
      </c>
      <c r="AC531" s="13">
        <f t="shared" ca="1" si="170"/>
        <v>0</v>
      </c>
      <c r="AD531" s="33"/>
      <c r="AE531" s="13">
        <f t="shared" ca="1" si="162"/>
        <v>0</v>
      </c>
      <c r="AF531" s="13">
        <f ca="1">ROUNDUP(($AC531+$AE531)*VLOOKUP($AA531,Paraméterek!$P$38:$Q$38,2)/12*IF($D532="Nem",IF($M$13=0,1,$M$13),1),IF($D$4="Forint",0,2))</f>
        <v>0</v>
      </c>
      <c r="AG531" s="13">
        <f ca="1">IF($D$2="Egyszeri",IF($D$7&gt;=IF($D$4="Forint",Paraméterek!$P$223,Paraméterek!$P$224),$D$7-IF($D$4="Forint",Paraméterek!$P$223,Paraméterek!$P$224),0),MIN(IF($AB531=12,AVERAGEIF($E$20:$E531,"&gt;0",$E$20:$E531)*12,0),SUM($E$20:$E$31)))</f>
        <v>0</v>
      </c>
      <c r="AH531" s="13">
        <f>IF($AA531=10,$AG531*IF($AB531=12,IF($AG531&lt;IF($D$4="Forint",Paraméterek!$L$223,Paraméterek!$L$224),0,VLOOKUP($AA531,Paraméterek!$K$226:$M$228,IF($AG531&lt;IF($D$4="Forint",Paraméterek!$M$223,Paraméterek!$M$224),2,3))),0),0)</f>
        <v>0</v>
      </c>
      <c r="AI531" s="13">
        <f ca="1">IF(AND($AA531=$M$11+1,$AB531=$M$12+1),SUMIF($AA$20:$AA$1027,$AA531,$AG$20:$AG$1027)*IF(SUMIF($AA$20:$AA$1027,$AA531,$AG$20:$AG$1027)&lt;IF($D$4="Forint",Paraméterek!$L$223,Paraméterek!$L$224),0,VLOOKUP($AA531,Paraméterek!$K$230:$M$250,IF(SUMIF($AA$20:$AA$1027,$AA531,$AG$20:$AG$1027)&lt;IF($D$4="Forint",Paraméterek!$M$223,Paraméterek!$M$224),2,3))),0)</f>
        <v>0</v>
      </c>
      <c r="AJ531" s="13">
        <f ca="1">IF(AND($AA531&gt;=5,MOD($AA531,5)=0),IF($AB531=12,VLOOKUP($AA531,Paraméterek!$O$225:$P$240,2),0),IF(OR($AA531=3,$AA531=4),IF($AB531=12,VLOOKUP($AA531,Paraméterek!$O$225:$P$240,2,0),0),0))*$AG531</f>
        <v>0</v>
      </c>
      <c r="AK531" s="13">
        <f t="shared" ca="1" si="163"/>
        <v>0</v>
      </c>
      <c r="AL531" s="13">
        <f t="shared" ca="1" si="171"/>
        <v>0</v>
      </c>
      <c r="AM531" s="13">
        <f t="shared" ca="1" si="172"/>
        <v>0</v>
      </c>
      <c r="AO531" s="32">
        <v>512</v>
      </c>
      <c r="AP531" s="32">
        <v>43</v>
      </c>
      <c r="AQ531" s="32">
        <v>8</v>
      </c>
      <c r="AR531" s="13"/>
      <c r="AS531" s="32"/>
      <c r="AT531" s="13">
        <f t="shared" ca="1" si="173"/>
        <v>0</v>
      </c>
      <c r="AU531" s="33"/>
      <c r="AV531" s="13">
        <f t="shared" ca="1" si="164"/>
        <v>0</v>
      </c>
      <c r="AW531" s="13">
        <f ca="1">ROUNDUP(($AT531+$AV531)*VLOOKUP($AP531,Paraméterek!$P$38:$Q$38,2)/12*IF($D532="Nem",IF($M$13=0,1,$M$13),1),IF($D$4="Forint",0,2))</f>
        <v>0</v>
      </c>
      <c r="AX531" s="13"/>
      <c r="AY531" s="13"/>
      <c r="AZ531" s="13">
        <f>ROUNDUP(IF(SUM($AX531:$AY531)=0,0,IF(IF(ISBLANK($AY531),$AX531,$AY531)*Paraméterek!$J$112&lt;IF($D$4="Forint",Paraméterek!$J$113,Paraméterek!$K$113),IF($D$4="Forint",Paraméterek!$J$113,Paraméterek!$K$113),IF(IF(ISBLANK($AY531),$AX531,$AY531)*Paraméterek!$J$112&gt;IF($D$4="Forint",Paraméterek!$J$114,Paraméterek!$K$114),IF($D$4="Forint",Paraméterek!$J$114,Paraméterek!$K$114),IF(ISBLANK($AY531),$AX531,$AY531)*Paraméterek!$J$112))),IF($D$4="Forint",0,2))</f>
        <v>0</v>
      </c>
      <c r="BA531" s="13">
        <f ca="1">$AT531+$AV531-$AW531-IF(ROUNDDOWN(IF(ISBLANK($AY531),$AX531,$AY531),IF($D$4="Forint",0,2))&gt;$AT531+$AV531-$AW531-IF($D$4="Forint",Paraméterek!$J$114,Paraméterek!$K$114),0,ROUNDDOWN(IF(ISBLANK($AY531),$AX531,$AY531),IF($D$4="Forint",0,2))-$AZ531)</f>
        <v>0</v>
      </c>
      <c r="BB531" s="13">
        <f t="shared" ca="1" si="165"/>
        <v>0</v>
      </c>
      <c r="BD531" s="32">
        <v>512</v>
      </c>
      <c r="BE531" s="32">
        <v>43</v>
      </c>
      <c r="BF531" s="32">
        <v>8</v>
      </c>
      <c r="BG531" s="34">
        <f t="shared" ca="1" si="174"/>
        <v>2062</v>
      </c>
      <c r="BH531" s="32" t="str">
        <f ca="1">IF(MOD(MONTH($D$14)+$BD531-1,12)=Paraméterek!$C$288,"Igen","")</f>
        <v/>
      </c>
      <c r="BI531" s="13">
        <f ca="1">IF($BH531="Igen",MIN(ROUNDDOWN((SUMIF($BG$20:$BG$1027,$BG531-1,$K$20:$K$1027)-SUMIF($BG$20:$BG$1027,$BG531-1,$I$20:$I$1027))*Paraméterek!$C$289,IF($D$4="Forint",0,2)),IF($D$4="Forint",Paraméterek!$C$285,Paraméterek!$D$285)),0)</f>
        <v>0</v>
      </c>
      <c r="BJ531" s="13">
        <f t="shared" ca="1" si="166"/>
        <v>0</v>
      </c>
      <c r="BK531" s="13">
        <f t="shared" ca="1" si="175"/>
        <v>0</v>
      </c>
      <c r="BL531" s="33"/>
      <c r="BM531" s="13">
        <f t="shared" ca="1" si="167"/>
        <v>0</v>
      </c>
      <c r="BN531" s="13">
        <f ca="1">ROUNDUP(($BK531+$BM531)*VLOOKUP($BE531,Paraméterek!$P$38:$Q$38,2)/12*IF($D532="Nem",IF($M$13=0,1,$M$13),1),IF($D$4="Forint",0,2))</f>
        <v>0</v>
      </c>
      <c r="BO531" s="13">
        <f t="shared" ca="1" si="168"/>
        <v>0</v>
      </c>
      <c r="BP531" s="13">
        <f ca="1">IF($D532="Nem",$BO531,$BO531-ROUNDUP(SUM($BI$20:$BI531)*120%,IF($D$4="Forint",0,2)))</f>
        <v>0</v>
      </c>
    </row>
    <row r="532" spans="1:68" x14ac:dyDescent="0.2">
      <c r="A532" s="32">
        <v>513</v>
      </c>
      <c r="B532" s="32">
        <v>43</v>
      </c>
      <c r="C532" s="32">
        <v>9</v>
      </c>
      <c r="D532" s="32" t="str">
        <f t="shared" ca="1" si="154"/>
        <v>Nem</v>
      </c>
      <c r="E532" s="13">
        <f t="shared" ca="1" si="155"/>
        <v>0</v>
      </c>
      <c r="F532" s="13"/>
      <c r="G532" s="13"/>
      <c r="H532" s="13"/>
      <c r="I532" s="13">
        <f t="shared" ca="1" si="156"/>
        <v>0</v>
      </c>
      <c r="J532" s="13">
        <f t="shared" ca="1" si="157"/>
        <v>0</v>
      </c>
      <c r="K532" s="13">
        <f t="shared" ca="1" si="158"/>
        <v>0</v>
      </c>
      <c r="L532" s="13" t="e">
        <f ca="1">ROUNDUP(IF($D$2="Egyszeri",$E532,IF($D$2="Havi",SUM($E$20:$E$31),IF(MOD($C532,$M$1)-1=0,SUM($E$20:$E$31),0))/12*$M$1)*VLOOKUP($B532,Paraméterek!$I$28:$P$31,IF($D$2="Egyszeri",8,HLOOKUP(ROUNDUP($M$11+$M$13,0),Paraméterek!$J$26:$O$27,2))),IF($D$4="Forint",0,2))</f>
        <v>#N/A</v>
      </c>
      <c r="M532" s="13">
        <f t="shared" ca="1" si="159"/>
        <v>0</v>
      </c>
      <c r="N532" s="13">
        <f t="shared" ca="1" si="169"/>
        <v>0</v>
      </c>
      <c r="O532" s="13">
        <f ca="1">IF($D532="Igen",IF($W531&gt;=IF($D$4="Forint",Paraméterek!$J$121,Paraméterek!$K$121),0,IF($D$4="Forint",Paraméterek!$J$121,Paraméterek!$K$121)-$W531),0)</f>
        <v>0</v>
      </c>
      <c r="P532" s="13" t="e">
        <f ca="1">ROUNDUP($O532*VLOOKUP($M$4+$B532-1,Paraméterek!$H$58:$I$105,2,0)/Paraméterek!$I$56,IF($D$4="Forint",0,2))</f>
        <v>#N/A</v>
      </c>
      <c r="Q532" s="13">
        <f t="shared" ca="1" si="160"/>
        <v>0</v>
      </c>
      <c r="R532" s="33"/>
      <c r="S532" s="13" t="e">
        <f t="shared" ca="1" si="161"/>
        <v>#N/A</v>
      </c>
      <c r="T532" s="13" t="e">
        <f ca="1">ROUNDUP(($N532-$P532-$Q532+$S532)*VLOOKUP($B532,Paraméterek!$I$38:$K$39,IF($D$2="Egyszeri",3,2))/12*IF($D533="Nem",IF($M$13=0,1,$M$13),1),IF($D$4="Forint",0,2))</f>
        <v>#N/A</v>
      </c>
      <c r="U532" s="13"/>
      <c r="V532" s="13"/>
      <c r="W532" s="13" t="e">
        <f ca="1">$N532-$P532-$Q532+$S532-$T532-IF(ROUNDUP(IF(ISBLANK($V532),$U532*0,$V532)/IF($D$2="Egyszeri",VLOOKUP($B532+IF($C532=12,1,0),Paraméterek!$V$257:$W$262,2),IF($B532=1,1,VLOOKUP($B532+IF($C532=12,1,0),Paraméterek!$I$258:$T$278,HLOOKUP($M$11+1,Paraméterek!$J$256:$T$257,2)))),IF($D$4="Forint",0,2))&gt;$N532-$P532-$Q532+$S532-$T532-IF($D$4="Forint",Paraméterek!$C$216,Paraméterek!$D$216),0,ROUNDUP(IF(ISBLANK($V532),$U532*0,$V532)/IF($D$2="Egyszeri",VLOOKUP($B532+IF($C532=12,1,0),Paraméterek!$V$257:$W$262,2),IF($B532=1,1,VLOOKUP($B532+IF($C532=12,1,0),Paraméterek!$I$258:$T$278,HLOOKUP($M$11+1,Paraméterek!$J$256:$T$257,2)))),IF($D$4="Forint",0,2)))</f>
        <v>#N/A</v>
      </c>
      <c r="X532" s="13" t="e">
        <f ca="1">ROUNDDOWN($W532*IF($D$2="Egyszeri",VLOOKUP($B532+IF($C532=12,1,0),Paraméterek!$V$257:$W$262,2),VLOOKUP($B532+IF($C532=12,1,0),Paraméterek!$I$258:$T$278,HLOOKUP($M$11+1,Paraméterek!$I$256:$T$257,2))),IF($D$4="Forint",0,2))</f>
        <v>#N/A</v>
      </c>
      <c r="Z532" s="32">
        <v>513</v>
      </c>
      <c r="AA532" s="32">
        <v>43</v>
      </c>
      <c r="AB532" s="32">
        <v>9</v>
      </c>
      <c r="AC532" s="13">
        <f t="shared" ca="1" si="170"/>
        <v>0</v>
      </c>
      <c r="AD532" s="33"/>
      <c r="AE532" s="13">
        <f t="shared" ca="1" si="162"/>
        <v>0</v>
      </c>
      <c r="AF532" s="13">
        <f ca="1">ROUNDUP(($AC532+$AE532)*VLOOKUP($AA532,Paraméterek!$P$38:$Q$38,2)/12*IF($D533="Nem",IF($M$13=0,1,$M$13),1),IF($D$4="Forint",0,2))</f>
        <v>0</v>
      </c>
      <c r="AG532" s="13">
        <f ca="1">IF($D$2="Egyszeri",IF($D$7&gt;=IF($D$4="Forint",Paraméterek!$P$223,Paraméterek!$P$224),$D$7-IF($D$4="Forint",Paraméterek!$P$223,Paraméterek!$P$224),0),MIN(IF($AB532=12,AVERAGEIF($E$20:$E532,"&gt;0",$E$20:$E532)*12,0),SUM($E$20:$E$31)))</f>
        <v>0</v>
      </c>
      <c r="AH532" s="13">
        <f>IF($AA532=10,$AG532*IF($AB532=12,IF($AG532&lt;IF($D$4="Forint",Paraméterek!$L$223,Paraméterek!$L$224),0,VLOOKUP($AA532,Paraméterek!$K$226:$M$228,IF($AG532&lt;IF($D$4="Forint",Paraméterek!$M$223,Paraméterek!$M$224),2,3))),0),0)</f>
        <v>0</v>
      </c>
      <c r="AI532" s="13">
        <f ca="1">IF(AND($AA532=$M$11+1,$AB532=$M$12+1),SUMIF($AA$20:$AA$1027,$AA532,$AG$20:$AG$1027)*IF(SUMIF($AA$20:$AA$1027,$AA532,$AG$20:$AG$1027)&lt;IF($D$4="Forint",Paraméterek!$L$223,Paraméterek!$L$224),0,VLOOKUP($AA532,Paraméterek!$K$230:$M$250,IF(SUMIF($AA$20:$AA$1027,$AA532,$AG$20:$AG$1027)&lt;IF($D$4="Forint",Paraméterek!$M$223,Paraméterek!$M$224),2,3))),0)</f>
        <v>0</v>
      </c>
      <c r="AJ532" s="13">
        <f ca="1">IF(AND($AA532&gt;=5,MOD($AA532,5)=0),IF($AB532=12,VLOOKUP($AA532,Paraméterek!$O$225:$P$240,2),0),IF(OR($AA532=3,$AA532=4),IF($AB532=12,VLOOKUP($AA532,Paraméterek!$O$225:$P$240,2,0),0),0))*$AG532</f>
        <v>0</v>
      </c>
      <c r="AK532" s="13">
        <f t="shared" ca="1" si="163"/>
        <v>0</v>
      </c>
      <c r="AL532" s="13">
        <f t="shared" ca="1" si="171"/>
        <v>0</v>
      </c>
      <c r="AM532" s="13">
        <f t="shared" ca="1" si="172"/>
        <v>0</v>
      </c>
      <c r="AO532" s="32">
        <v>513</v>
      </c>
      <c r="AP532" s="32">
        <v>43</v>
      </c>
      <c r="AQ532" s="32">
        <v>9</v>
      </c>
      <c r="AR532" s="13"/>
      <c r="AS532" s="32"/>
      <c r="AT532" s="13">
        <f t="shared" ca="1" si="173"/>
        <v>0</v>
      </c>
      <c r="AU532" s="33"/>
      <c r="AV532" s="13">
        <f t="shared" ca="1" si="164"/>
        <v>0</v>
      </c>
      <c r="AW532" s="13">
        <f ca="1">ROUNDUP(($AT532+$AV532)*VLOOKUP($AP532,Paraméterek!$P$38:$Q$38,2)/12*IF($D533="Nem",IF($M$13=0,1,$M$13),1),IF($D$4="Forint",0,2))</f>
        <v>0</v>
      </c>
      <c r="AX532" s="13"/>
      <c r="AY532" s="13"/>
      <c r="AZ532" s="13">
        <f>ROUNDUP(IF(SUM($AX532:$AY532)=0,0,IF(IF(ISBLANK($AY532),$AX532,$AY532)*Paraméterek!$J$112&lt;IF($D$4="Forint",Paraméterek!$J$113,Paraméterek!$K$113),IF($D$4="Forint",Paraméterek!$J$113,Paraméterek!$K$113),IF(IF(ISBLANK($AY532),$AX532,$AY532)*Paraméterek!$J$112&gt;IF($D$4="Forint",Paraméterek!$J$114,Paraméterek!$K$114),IF($D$4="Forint",Paraméterek!$J$114,Paraméterek!$K$114),IF(ISBLANK($AY532),$AX532,$AY532)*Paraméterek!$J$112))),IF($D$4="Forint",0,2))</f>
        <v>0</v>
      </c>
      <c r="BA532" s="13">
        <f ca="1">$AT532+$AV532-$AW532-IF(ROUNDDOWN(IF(ISBLANK($AY532),$AX532,$AY532),IF($D$4="Forint",0,2))&gt;$AT532+$AV532-$AW532-IF($D$4="Forint",Paraméterek!$J$114,Paraméterek!$K$114),0,ROUNDDOWN(IF(ISBLANK($AY532),$AX532,$AY532),IF($D$4="Forint",0,2))-$AZ532)</f>
        <v>0</v>
      </c>
      <c r="BB532" s="13">
        <f t="shared" ca="1" si="165"/>
        <v>0</v>
      </c>
      <c r="BD532" s="32">
        <v>513</v>
      </c>
      <c r="BE532" s="32">
        <v>43</v>
      </c>
      <c r="BF532" s="32">
        <v>9</v>
      </c>
      <c r="BG532" s="34">
        <f t="shared" ca="1" si="174"/>
        <v>2062</v>
      </c>
      <c r="BH532" s="32" t="str">
        <f ca="1">IF(MOD(MONTH($D$14)+$BD532-1,12)=Paraméterek!$C$288,"Igen","")</f>
        <v/>
      </c>
      <c r="BI532" s="13">
        <f ca="1">IF($BH532="Igen",MIN(ROUNDDOWN((SUMIF($BG$20:$BG$1027,$BG532-1,$K$20:$K$1027)-SUMIF($BG$20:$BG$1027,$BG532-1,$I$20:$I$1027))*Paraméterek!$C$289,IF($D$4="Forint",0,2)),IF($D$4="Forint",Paraméterek!$C$285,Paraméterek!$D$285)),0)</f>
        <v>0</v>
      </c>
      <c r="BJ532" s="13">
        <f t="shared" ca="1" si="166"/>
        <v>0</v>
      </c>
      <c r="BK532" s="13">
        <f t="shared" ca="1" si="175"/>
        <v>0</v>
      </c>
      <c r="BL532" s="33"/>
      <c r="BM532" s="13">
        <f t="shared" ca="1" si="167"/>
        <v>0</v>
      </c>
      <c r="BN532" s="13">
        <f ca="1">ROUNDUP(($BK532+$BM532)*VLOOKUP($BE532,Paraméterek!$P$38:$Q$38,2)/12*IF($D533="Nem",IF($M$13=0,1,$M$13),1),IF($D$4="Forint",0,2))</f>
        <v>0</v>
      </c>
      <c r="BO532" s="13">
        <f t="shared" ca="1" si="168"/>
        <v>0</v>
      </c>
      <c r="BP532" s="13">
        <f ca="1">IF($D533="Nem",$BO532,$BO532-ROUNDUP(SUM($BI$20:$BI532)*120%,IF($D$4="Forint",0,2)))</f>
        <v>0</v>
      </c>
    </row>
    <row r="533" spans="1:68" x14ac:dyDescent="0.2">
      <c r="A533" s="32">
        <v>514</v>
      </c>
      <c r="B533" s="32">
        <v>43</v>
      </c>
      <c r="C533" s="32">
        <v>10</v>
      </c>
      <c r="D533" s="32" t="str">
        <f t="shared" ref="D533:D596" ca="1" si="176">IF($B533&lt;$M$11+1,"Igen",IF($B533&gt;$M$11+1,"Nem",IF($C533&lt;=$M$12+IF($M$13&gt;0,1,0),"Igen","Nem")))</f>
        <v>Nem</v>
      </c>
      <c r="E533" s="13">
        <f t="shared" ref="E533:E596" ca="1" si="177">IF($D533="Igen",IF($D$2="Egyszeri",IF($A533=1,$D$7,0),ROUNDUP(IF($D$2="Havi",$D$7,IF(MOD($C533,$M$1)-1=0,$D$7,0))*(1+$D$6)^($B533-1),IF($D$4="Forint",0,2))),0)</f>
        <v>0</v>
      </c>
      <c r="F533" s="13"/>
      <c r="G533" s="13"/>
      <c r="H533" s="13"/>
      <c r="I533" s="13">
        <f t="shared" ref="I533:I596" ca="1" si="178">ROUNDUP(IF(AND($D$8="Nincs",$D$2&lt;&gt;"Egyszeri"),$E533*10%,0),IF($D$4="Forint",0,2))</f>
        <v>0</v>
      </c>
      <c r="J533" s="13">
        <f t="shared" ref="J533:J596" ca="1" si="179">IF($D533="Igen",IF($D$2="Egyszeri",IF($A533=1,$M$3,0),ROUNDUP(IF($D$2="Havi",$M$3,IF(MOD($C533,$M$1)-1=0,$M$3,0))*(1+$M$2)^($B533-1),IF($D$4="Forint",0,2))),0)</f>
        <v>0</v>
      </c>
      <c r="K533" s="13">
        <f t="shared" ref="K533:K596" ca="1" si="180">IF($D533="Igen",IF(ISBLANK($F533),$E533,$F533)+IF(ISBLANK($H533),$G533,$H533)+$I533+$J533,0)</f>
        <v>0</v>
      </c>
      <c r="L533" s="13" t="e">
        <f ca="1">ROUNDUP(IF($D$2="Egyszeri",$E533,IF($D$2="Havi",SUM($E$20:$E$31),IF(MOD($C533,$M$1)-1=0,SUM($E$20:$E$31),0))/12*$M$1)*VLOOKUP($B533,Paraméterek!$I$28:$P$31,IF($D$2="Egyszeri",8,HLOOKUP(ROUNDUP($M$11+$M$13,0),Paraméterek!$J$26:$O$27,2))),IF($D$4="Forint",0,2))</f>
        <v>#N/A</v>
      </c>
      <c r="M533" s="13">
        <f t="shared" ref="M533:M596" ca="1" si="181">IF($D533="Igen",$E533-$L533+IF(ISBLANK($H533),$G533,$H533),0)</f>
        <v>0</v>
      </c>
      <c r="N533" s="13">
        <f t="shared" ca="1" si="169"/>
        <v>0</v>
      </c>
      <c r="O533" s="13">
        <f ca="1">IF($D533="Igen",IF($W532&gt;=IF($D$4="Forint",Paraméterek!$J$121,Paraméterek!$K$121),0,IF($D$4="Forint",Paraméterek!$J$121,Paraméterek!$K$121)-$W532),0)</f>
        <v>0</v>
      </c>
      <c r="P533" s="13" t="e">
        <f ca="1">ROUNDUP($O533*VLOOKUP($M$4+$B533-1,Paraméterek!$H$58:$I$105,2,0)/Paraméterek!$I$56,IF($D$4="Forint",0,2))</f>
        <v>#N/A</v>
      </c>
      <c r="Q533" s="13">
        <f t="shared" ref="Q533:Q596" ca="1" si="182">IF($D533="Igen",ROUNDUP($M$5*(1+$M$2)^($B533-1),IF($D$4="Forint",0,2)),0)</f>
        <v>0</v>
      </c>
      <c r="R533" s="33"/>
      <c r="S533" s="13" t="e">
        <f t="shared" ref="S533:S596" ca="1" si="183">ROUNDDOWN(($N533-$P533-$Q533)*IF(ISBLANK($R533),$M$6,$R533)*IF($D534="Nem",IF($M$13=0,1,$M$13),1),IF($D$4="Forint",0,2))</f>
        <v>#N/A</v>
      </c>
      <c r="T533" s="13" t="e">
        <f ca="1">ROUNDUP(($N533-$P533-$Q533+$S533)*VLOOKUP($B533,Paraméterek!$I$38:$K$39,IF($D$2="Egyszeri",3,2))/12*IF($D534="Nem",IF($M$13=0,1,$M$13),1),IF($D$4="Forint",0,2))</f>
        <v>#N/A</v>
      </c>
      <c r="U533" s="13"/>
      <c r="V533" s="13"/>
      <c r="W533" s="13" t="e">
        <f ca="1">$N533-$P533-$Q533+$S533-$T533-IF(ROUNDUP(IF(ISBLANK($V533),$U533*0,$V533)/IF($D$2="Egyszeri",VLOOKUP($B533+IF($C533=12,1,0),Paraméterek!$V$257:$W$262,2),IF($B533=1,1,VLOOKUP($B533+IF($C533=12,1,0),Paraméterek!$I$258:$T$278,HLOOKUP($M$11+1,Paraméterek!$J$256:$T$257,2)))),IF($D$4="Forint",0,2))&gt;$N533-$P533-$Q533+$S533-$T533-IF($D$4="Forint",Paraméterek!$C$216,Paraméterek!$D$216),0,ROUNDUP(IF(ISBLANK($V533),$U533*0,$V533)/IF($D$2="Egyszeri",VLOOKUP($B533+IF($C533=12,1,0),Paraméterek!$V$257:$W$262,2),IF($B533=1,1,VLOOKUP($B533+IF($C533=12,1,0),Paraméterek!$I$258:$T$278,HLOOKUP($M$11+1,Paraméterek!$J$256:$T$257,2)))),IF($D$4="Forint",0,2)))</f>
        <v>#N/A</v>
      </c>
      <c r="X533" s="13" t="e">
        <f ca="1">ROUNDDOWN($W533*IF($D$2="Egyszeri",VLOOKUP($B533+IF($C533=12,1,0),Paraméterek!$V$257:$W$262,2),VLOOKUP($B533+IF($C533=12,1,0),Paraméterek!$I$258:$T$278,HLOOKUP($M$11+1,Paraméterek!$I$256:$T$257,2))),IF($D$4="Forint",0,2))</f>
        <v>#N/A</v>
      </c>
      <c r="Z533" s="32">
        <v>514</v>
      </c>
      <c r="AA533" s="32">
        <v>43</v>
      </c>
      <c r="AB533" s="32">
        <v>10</v>
      </c>
      <c r="AC533" s="13">
        <f t="shared" ca="1" si="170"/>
        <v>0</v>
      </c>
      <c r="AD533" s="33"/>
      <c r="AE533" s="13">
        <f t="shared" ref="AE533:AE596" ca="1" si="184">ROUNDDOWN($AC533*IF(ISBLANK($AD533),$M$8,$AD533)*IF($D534="Nem",IF($M$13=0,1,$M$13),1),IF($D$4="Forint",0,2))</f>
        <v>0</v>
      </c>
      <c r="AF533" s="13">
        <f ca="1">ROUNDUP(($AC533+$AE533)*VLOOKUP($AA533,Paraméterek!$P$38:$Q$38,2)/12*IF($D534="Nem",IF($M$13=0,1,$M$13),1),IF($D$4="Forint",0,2))</f>
        <v>0</v>
      </c>
      <c r="AG533" s="13">
        <f ca="1">IF($D$2="Egyszeri",IF($D$7&gt;=IF($D$4="Forint",Paraméterek!$P$223,Paraméterek!$P$224),$D$7-IF($D$4="Forint",Paraméterek!$P$223,Paraméterek!$P$224),0),MIN(IF($AB533=12,AVERAGEIF($E$20:$E533,"&gt;0",$E$20:$E533)*12,0),SUM($E$20:$E$31)))</f>
        <v>0</v>
      </c>
      <c r="AH533" s="13">
        <f>IF($AA533=10,$AG533*IF($AB533=12,IF($AG533&lt;IF($D$4="Forint",Paraméterek!$L$223,Paraméterek!$L$224),0,VLOOKUP($AA533,Paraméterek!$K$226:$M$228,IF($AG533&lt;IF($D$4="Forint",Paraméterek!$M$223,Paraméterek!$M$224),2,3))),0),0)</f>
        <v>0</v>
      </c>
      <c r="AI533" s="13">
        <f ca="1">IF(AND($AA533=$M$11+1,$AB533=$M$12+1),SUMIF($AA$20:$AA$1027,$AA533,$AG$20:$AG$1027)*IF(SUMIF($AA$20:$AA$1027,$AA533,$AG$20:$AG$1027)&lt;IF($D$4="Forint",Paraméterek!$L$223,Paraméterek!$L$224),0,VLOOKUP($AA533,Paraméterek!$K$230:$M$250,IF(SUMIF($AA$20:$AA$1027,$AA533,$AG$20:$AG$1027)&lt;IF($D$4="Forint",Paraméterek!$M$223,Paraméterek!$M$224),2,3))),0)</f>
        <v>0</v>
      </c>
      <c r="AJ533" s="13">
        <f ca="1">IF(AND($AA533&gt;=5,MOD($AA533,5)=0),IF($AB533=12,VLOOKUP($AA533,Paraméterek!$O$225:$P$240,2),0),IF(OR($AA533=3,$AA533=4),IF($AB533=12,VLOOKUP($AA533,Paraméterek!$O$225:$P$240,2,0),0),0))*$AG533</f>
        <v>0</v>
      </c>
      <c r="AK533" s="13">
        <f t="shared" ref="AK533:AK596" ca="1" si="185">ROUNDDOWN(IF($D$2="Egyszeri",$AJ533,$AH533+$AI533),IF($D$4="Forint",0,2))</f>
        <v>0</v>
      </c>
      <c r="AL533" s="13">
        <f t="shared" ca="1" si="171"/>
        <v>0</v>
      </c>
      <c r="AM533" s="13">
        <f t="shared" ca="1" si="172"/>
        <v>0</v>
      </c>
      <c r="AO533" s="32">
        <v>514</v>
      </c>
      <c r="AP533" s="32">
        <v>43</v>
      </c>
      <c r="AQ533" s="32">
        <v>10</v>
      </c>
      <c r="AR533" s="13"/>
      <c r="AS533" s="32"/>
      <c r="AT533" s="13">
        <f t="shared" ca="1" si="173"/>
        <v>0</v>
      </c>
      <c r="AU533" s="33"/>
      <c r="AV533" s="13">
        <f t="shared" ref="AV533:AV596" ca="1" si="186">ROUNDDOWN($AT533*IF(ISBLANK($AU533),$M$7,$AU533)*IF($D534="Nem",IF($M$13=0,1,$M$13),1),IF($D$4="Forint",0,2))</f>
        <v>0</v>
      </c>
      <c r="AW533" s="13">
        <f ca="1">ROUNDUP(($AT533+$AV533)*VLOOKUP($AP533,Paraméterek!$P$38:$Q$38,2)/12*IF($D534="Nem",IF($M$13=0,1,$M$13),1),IF($D$4="Forint",0,2))</f>
        <v>0</v>
      </c>
      <c r="AX533" s="13"/>
      <c r="AY533" s="13"/>
      <c r="AZ533" s="13">
        <f>ROUNDUP(IF(SUM($AX533:$AY533)=0,0,IF(IF(ISBLANK($AY533),$AX533,$AY533)*Paraméterek!$J$112&lt;IF($D$4="Forint",Paraméterek!$J$113,Paraméterek!$K$113),IF($D$4="Forint",Paraméterek!$J$113,Paraméterek!$K$113),IF(IF(ISBLANK($AY533),$AX533,$AY533)*Paraméterek!$J$112&gt;IF($D$4="Forint",Paraméterek!$J$114,Paraméterek!$K$114),IF($D$4="Forint",Paraméterek!$J$114,Paraméterek!$K$114),IF(ISBLANK($AY533),$AX533,$AY533)*Paraméterek!$J$112))),IF($D$4="Forint",0,2))</f>
        <v>0</v>
      </c>
      <c r="BA533" s="13">
        <f ca="1">$AT533+$AV533-$AW533-IF(ROUNDDOWN(IF(ISBLANK($AY533),$AX533,$AY533),IF($D$4="Forint",0,2))&gt;$AT533+$AV533-$AW533-IF($D$4="Forint",Paraméterek!$J$114,Paraméterek!$K$114),0,ROUNDDOWN(IF(ISBLANK($AY533),$AX533,$AY533),IF($D$4="Forint",0,2))-$AZ533)</f>
        <v>0</v>
      </c>
      <c r="BB533" s="13">
        <f t="shared" ref="BB533:BB596" ca="1" si="187">$BA533</f>
        <v>0</v>
      </c>
      <c r="BD533" s="32">
        <v>514</v>
      </c>
      <c r="BE533" s="32">
        <v>43</v>
      </c>
      <c r="BF533" s="32">
        <v>10</v>
      </c>
      <c r="BG533" s="34">
        <f t="shared" ca="1" si="174"/>
        <v>2062</v>
      </c>
      <c r="BH533" s="32" t="str">
        <f ca="1">IF(MOD(MONTH($D$14)+$BD533-1,12)=Paraméterek!$C$288,"Igen","")</f>
        <v/>
      </c>
      <c r="BI533" s="13">
        <f ca="1">IF($BH533="Igen",MIN(ROUNDDOWN((SUMIF($BG$20:$BG$1027,$BG533-1,$K$20:$K$1027)-SUMIF($BG$20:$BG$1027,$BG533-1,$I$20:$I$1027))*Paraméterek!$C$289,IF($D$4="Forint",0,2)),IF($D$4="Forint",Paraméterek!$C$285,Paraméterek!$D$285)),0)</f>
        <v>0</v>
      </c>
      <c r="BJ533" s="13">
        <f t="shared" ref="BJ533:BJ596" ca="1" si="188">IF(AND($D533="Igen",$BH533="Igen"),$BI533,0)</f>
        <v>0</v>
      </c>
      <c r="BK533" s="13">
        <f t="shared" ca="1" si="175"/>
        <v>0</v>
      </c>
      <c r="BL533" s="33"/>
      <c r="BM533" s="13">
        <f t="shared" ref="BM533:BM596" ca="1" si="189">ROUNDDOWN($BK533*IF(ISBLANK($BL533),$M$9,$BL533)*IF($D534="Nem",IF($M$13=0,1,$M$13),1),IF($D$4="Forint",0,2))</f>
        <v>0</v>
      </c>
      <c r="BN533" s="13">
        <f ca="1">ROUNDUP(($BK533+$BM533)*VLOOKUP($BE533,Paraméterek!$P$38:$Q$38,2)/12*IF($D534="Nem",IF($M$13=0,1,$M$13),1),IF($D$4="Forint",0,2))</f>
        <v>0</v>
      </c>
      <c r="BO533" s="13">
        <f t="shared" ref="BO533:BO596" ca="1" si="190">$BK533+$BM533-$BN533</f>
        <v>0</v>
      </c>
      <c r="BP533" s="13">
        <f ca="1">IF($D534="Nem",$BO533,$BO533-ROUNDUP(SUM($BI$20:$BI533)*120%,IF($D$4="Forint",0,2)))</f>
        <v>0</v>
      </c>
    </row>
    <row r="534" spans="1:68" x14ac:dyDescent="0.2">
      <c r="A534" s="32">
        <v>515</v>
      </c>
      <c r="B534" s="32">
        <v>43</v>
      </c>
      <c r="C534" s="32">
        <v>11</v>
      </c>
      <c r="D534" s="32" t="str">
        <f t="shared" ca="1" si="176"/>
        <v>Nem</v>
      </c>
      <c r="E534" s="13">
        <f t="shared" ca="1" si="177"/>
        <v>0</v>
      </c>
      <c r="F534" s="13"/>
      <c r="G534" s="13"/>
      <c r="H534" s="13"/>
      <c r="I534" s="13">
        <f t="shared" ca="1" si="178"/>
        <v>0</v>
      </c>
      <c r="J534" s="13">
        <f t="shared" ca="1" si="179"/>
        <v>0</v>
      </c>
      <c r="K534" s="13">
        <f t="shared" ca="1" si="180"/>
        <v>0</v>
      </c>
      <c r="L534" s="13" t="e">
        <f ca="1">ROUNDUP(IF($D$2="Egyszeri",$E534,IF($D$2="Havi",SUM($E$20:$E$31),IF(MOD($C534,$M$1)-1=0,SUM($E$20:$E$31),0))/12*$M$1)*VLOOKUP($B534,Paraméterek!$I$28:$P$31,IF($D$2="Egyszeri",8,HLOOKUP(ROUNDUP($M$11+$M$13,0),Paraméterek!$J$26:$O$27,2))),IF($D$4="Forint",0,2))</f>
        <v>#N/A</v>
      </c>
      <c r="M534" s="13">
        <f t="shared" ca="1" si="181"/>
        <v>0</v>
      </c>
      <c r="N534" s="13">
        <f t="shared" ref="N534:N597" ca="1" si="191">IF($D534="Igen",$M534+$W533,0)</f>
        <v>0</v>
      </c>
      <c r="O534" s="13">
        <f ca="1">IF($D534="Igen",IF($W533&gt;=IF($D$4="Forint",Paraméterek!$J$121,Paraméterek!$K$121),0,IF($D$4="Forint",Paraméterek!$J$121,Paraméterek!$K$121)-$W533),0)</f>
        <v>0</v>
      </c>
      <c r="P534" s="13" t="e">
        <f ca="1">ROUNDUP($O534*VLOOKUP($M$4+$B534-1,Paraméterek!$H$58:$I$105,2,0)/Paraméterek!$I$56,IF($D$4="Forint",0,2))</f>
        <v>#N/A</v>
      </c>
      <c r="Q534" s="13">
        <f t="shared" ca="1" si="182"/>
        <v>0</v>
      </c>
      <c r="R534" s="33"/>
      <c r="S534" s="13" t="e">
        <f t="shared" ca="1" si="183"/>
        <v>#N/A</v>
      </c>
      <c r="T534" s="13" t="e">
        <f ca="1">ROUNDUP(($N534-$P534-$Q534+$S534)*VLOOKUP($B534,Paraméterek!$I$38:$K$39,IF($D$2="Egyszeri",3,2))/12*IF($D535="Nem",IF($M$13=0,1,$M$13),1),IF($D$4="Forint",0,2))</f>
        <v>#N/A</v>
      </c>
      <c r="U534" s="13"/>
      <c r="V534" s="13"/>
      <c r="W534" s="13" t="e">
        <f ca="1">$N534-$P534-$Q534+$S534-$T534-IF(ROUNDUP(IF(ISBLANK($V534),$U534*0,$V534)/IF($D$2="Egyszeri",VLOOKUP($B534+IF($C534=12,1,0),Paraméterek!$V$257:$W$262,2),IF($B534=1,1,VLOOKUP($B534+IF($C534=12,1,0),Paraméterek!$I$258:$T$278,HLOOKUP($M$11+1,Paraméterek!$J$256:$T$257,2)))),IF($D$4="Forint",0,2))&gt;$N534-$P534-$Q534+$S534-$T534-IF($D$4="Forint",Paraméterek!$C$216,Paraméterek!$D$216),0,ROUNDUP(IF(ISBLANK($V534),$U534*0,$V534)/IF($D$2="Egyszeri",VLOOKUP($B534+IF($C534=12,1,0),Paraméterek!$V$257:$W$262,2),IF($B534=1,1,VLOOKUP($B534+IF($C534=12,1,0),Paraméterek!$I$258:$T$278,HLOOKUP($M$11+1,Paraméterek!$J$256:$T$257,2)))),IF($D$4="Forint",0,2)))</f>
        <v>#N/A</v>
      </c>
      <c r="X534" s="13" t="e">
        <f ca="1">ROUNDDOWN($W534*IF($D$2="Egyszeri",VLOOKUP($B534+IF($C534=12,1,0),Paraméterek!$V$257:$W$262,2),VLOOKUP($B534+IF($C534=12,1,0),Paraméterek!$I$258:$T$278,HLOOKUP($M$11+1,Paraméterek!$I$256:$T$257,2))),IF($D$4="Forint",0,2))</f>
        <v>#N/A</v>
      </c>
      <c r="Z534" s="32">
        <v>515</v>
      </c>
      <c r="AA534" s="32">
        <v>43</v>
      </c>
      <c r="AB534" s="32">
        <v>11</v>
      </c>
      <c r="AC534" s="13">
        <f t="shared" ref="AC534:AC597" ca="1" si="192">IF($D534="Igen",$AL533,0)</f>
        <v>0</v>
      </c>
      <c r="AD534" s="33"/>
      <c r="AE534" s="13">
        <f t="shared" ca="1" si="184"/>
        <v>0</v>
      </c>
      <c r="AF534" s="13">
        <f ca="1">ROUNDUP(($AC534+$AE534)*VLOOKUP($AA534,Paraméterek!$P$38:$Q$38,2)/12*IF($D535="Nem",IF($M$13=0,1,$M$13),1),IF($D$4="Forint",0,2))</f>
        <v>0</v>
      </c>
      <c r="AG534" s="13">
        <f ca="1">IF($D$2="Egyszeri",IF($D$7&gt;=IF($D$4="Forint",Paraméterek!$P$223,Paraméterek!$P$224),$D$7-IF($D$4="Forint",Paraméterek!$P$223,Paraméterek!$P$224),0),MIN(IF($AB534=12,AVERAGEIF($E$20:$E534,"&gt;0",$E$20:$E534)*12,0),SUM($E$20:$E$31)))</f>
        <v>0</v>
      </c>
      <c r="AH534" s="13">
        <f>IF($AA534=10,$AG534*IF($AB534=12,IF($AG534&lt;IF($D$4="Forint",Paraméterek!$L$223,Paraméterek!$L$224),0,VLOOKUP($AA534,Paraméterek!$K$226:$M$228,IF($AG534&lt;IF($D$4="Forint",Paraméterek!$M$223,Paraméterek!$M$224),2,3))),0),0)</f>
        <v>0</v>
      </c>
      <c r="AI534" s="13">
        <f ca="1">IF(AND($AA534=$M$11+1,$AB534=$M$12+1),SUMIF($AA$20:$AA$1027,$AA534,$AG$20:$AG$1027)*IF(SUMIF($AA$20:$AA$1027,$AA534,$AG$20:$AG$1027)&lt;IF($D$4="Forint",Paraméterek!$L$223,Paraméterek!$L$224),0,VLOOKUP($AA534,Paraméterek!$K$230:$M$250,IF(SUMIF($AA$20:$AA$1027,$AA534,$AG$20:$AG$1027)&lt;IF($D$4="Forint",Paraméterek!$M$223,Paraméterek!$M$224),2,3))),0)</f>
        <v>0</v>
      </c>
      <c r="AJ534" s="13">
        <f ca="1">IF(AND($AA534&gt;=5,MOD($AA534,5)=0),IF($AB534=12,VLOOKUP($AA534,Paraméterek!$O$225:$P$240,2),0),IF(OR($AA534=3,$AA534=4),IF($AB534=12,VLOOKUP($AA534,Paraméterek!$O$225:$P$240,2,0),0),0))*$AG534</f>
        <v>0</v>
      </c>
      <c r="AK534" s="13">
        <f t="shared" ca="1" si="185"/>
        <v>0</v>
      </c>
      <c r="AL534" s="13">
        <f t="shared" ref="AL534:AL597" ca="1" si="193">$AC534+$AE534-$AF534+$AK534</f>
        <v>0</v>
      </c>
      <c r="AM534" s="13">
        <f t="shared" ref="AM534:AM597" ca="1" si="194">$AL534</f>
        <v>0</v>
      </c>
      <c r="AO534" s="32">
        <v>515</v>
      </c>
      <c r="AP534" s="32">
        <v>43</v>
      </c>
      <c r="AQ534" s="32">
        <v>11</v>
      </c>
      <c r="AR534" s="13"/>
      <c r="AS534" s="32"/>
      <c r="AT534" s="13">
        <f t="shared" ref="AT534:AT597" ca="1" si="195">IF($D534="Igen",IF(ISBLANK($AS534),$AR534,$AS534)+$BA533,0)</f>
        <v>0</v>
      </c>
      <c r="AU534" s="33"/>
      <c r="AV534" s="13">
        <f t="shared" ca="1" si="186"/>
        <v>0</v>
      </c>
      <c r="AW534" s="13">
        <f ca="1">ROUNDUP(($AT534+$AV534)*VLOOKUP($AP534,Paraméterek!$P$38:$Q$38,2)/12*IF($D535="Nem",IF($M$13=0,1,$M$13),1),IF($D$4="Forint",0,2))</f>
        <v>0</v>
      </c>
      <c r="AX534" s="13"/>
      <c r="AY534" s="13"/>
      <c r="AZ534" s="13">
        <f>ROUNDUP(IF(SUM($AX534:$AY534)=0,0,IF(IF(ISBLANK($AY534),$AX534,$AY534)*Paraméterek!$J$112&lt;IF($D$4="Forint",Paraméterek!$J$113,Paraméterek!$K$113),IF($D$4="Forint",Paraméterek!$J$113,Paraméterek!$K$113),IF(IF(ISBLANK($AY534),$AX534,$AY534)*Paraméterek!$J$112&gt;IF($D$4="Forint",Paraméterek!$J$114,Paraméterek!$K$114),IF($D$4="Forint",Paraméterek!$J$114,Paraméterek!$K$114),IF(ISBLANK($AY534),$AX534,$AY534)*Paraméterek!$J$112))),IF($D$4="Forint",0,2))</f>
        <v>0</v>
      </c>
      <c r="BA534" s="13">
        <f ca="1">$AT534+$AV534-$AW534-IF(ROUNDDOWN(IF(ISBLANK($AY534),$AX534,$AY534),IF($D$4="Forint",0,2))&gt;$AT534+$AV534-$AW534-IF($D$4="Forint",Paraméterek!$J$114,Paraméterek!$K$114),0,ROUNDDOWN(IF(ISBLANK($AY534),$AX534,$AY534),IF($D$4="Forint",0,2))-$AZ534)</f>
        <v>0</v>
      </c>
      <c r="BB534" s="13">
        <f t="shared" ca="1" si="187"/>
        <v>0</v>
      </c>
      <c r="BD534" s="32">
        <v>515</v>
      </c>
      <c r="BE534" s="32">
        <v>43</v>
      </c>
      <c r="BF534" s="32">
        <v>11</v>
      </c>
      <c r="BG534" s="34">
        <f t="shared" ref="BG534:BG597" ca="1" si="196">$BG533+IF(MOD(MONTH($D$14)+$BD534-1,12)=1,1,0)</f>
        <v>2062</v>
      </c>
      <c r="BH534" s="32" t="str">
        <f ca="1">IF(MOD(MONTH($D$14)+$BD534-1,12)=Paraméterek!$C$288,"Igen","")</f>
        <v/>
      </c>
      <c r="BI534" s="13">
        <f ca="1">IF($BH534="Igen",MIN(ROUNDDOWN((SUMIF($BG$20:$BG$1027,$BG534-1,$K$20:$K$1027)-SUMIF($BG$20:$BG$1027,$BG534-1,$I$20:$I$1027))*Paraméterek!$C$289,IF($D$4="Forint",0,2)),IF($D$4="Forint",Paraméterek!$C$285,Paraméterek!$D$285)),0)</f>
        <v>0</v>
      </c>
      <c r="BJ534" s="13">
        <f t="shared" ca="1" si="188"/>
        <v>0</v>
      </c>
      <c r="BK534" s="13">
        <f t="shared" ref="BK534:BK597" ca="1" si="197">$BJ534+IF($D534="Igen",$BO533,0)</f>
        <v>0</v>
      </c>
      <c r="BL534" s="33"/>
      <c r="BM534" s="13">
        <f t="shared" ca="1" si="189"/>
        <v>0</v>
      </c>
      <c r="BN534" s="13">
        <f ca="1">ROUNDUP(($BK534+$BM534)*VLOOKUP($BE534,Paraméterek!$P$38:$Q$38,2)/12*IF($D535="Nem",IF($M$13=0,1,$M$13),1),IF($D$4="Forint",0,2))</f>
        <v>0</v>
      </c>
      <c r="BO534" s="13">
        <f t="shared" ca="1" si="190"/>
        <v>0</v>
      </c>
      <c r="BP534" s="13">
        <f ca="1">IF($D535="Nem",$BO534,$BO534-ROUNDUP(SUM($BI$20:$BI534)*120%,IF($D$4="Forint",0,2)))</f>
        <v>0</v>
      </c>
    </row>
    <row r="535" spans="1:68" x14ac:dyDescent="0.2">
      <c r="A535" s="32">
        <v>516</v>
      </c>
      <c r="B535" s="32">
        <v>43</v>
      </c>
      <c r="C535" s="32">
        <v>12</v>
      </c>
      <c r="D535" s="32" t="str">
        <f t="shared" ca="1" si="176"/>
        <v>Nem</v>
      </c>
      <c r="E535" s="13">
        <f t="shared" ca="1" si="177"/>
        <v>0</v>
      </c>
      <c r="F535" s="13"/>
      <c r="G535" s="13"/>
      <c r="H535" s="13"/>
      <c r="I535" s="13">
        <f t="shared" ca="1" si="178"/>
        <v>0</v>
      </c>
      <c r="J535" s="13">
        <f t="shared" ca="1" si="179"/>
        <v>0</v>
      </c>
      <c r="K535" s="13">
        <f t="shared" ca="1" si="180"/>
        <v>0</v>
      </c>
      <c r="L535" s="13" t="e">
        <f ca="1">ROUNDUP(IF($D$2="Egyszeri",$E535,IF($D$2="Havi",SUM($E$20:$E$31),IF(MOD($C535,$M$1)-1=0,SUM($E$20:$E$31),0))/12*$M$1)*VLOOKUP($B535,Paraméterek!$I$28:$P$31,IF($D$2="Egyszeri",8,HLOOKUP(ROUNDUP($M$11+$M$13,0),Paraméterek!$J$26:$O$27,2))),IF($D$4="Forint",0,2))</f>
        <v>#N/A</v>
      </c>
      <c r="M535" s="13">
        <f t="shared" ca="1" si="181"/>
        <v>0</v>
      </c>
      <c r="N535" s="13">
        <f t="shared" ca="1" si="191"/>
        <v>0</v>
      </c>
      <c r="O535" s="13">
        <f ca="1">IF($D535="Igen",IF($W534&gt;=IF($D$4="Forint",Paraméterek!$J$121,Paraméterek!$K$121),0,IF($D$4="Forint",Paraméterek!$J$121,Paraméterek!$K$121)-$W534),0)</f>
        <v>0</v>
      </c>
      <c r="P535" s="13" t="e">
        <f ca="1">ROUNDUP($O535*VLOOKUP($M$4+$B535-1,Paraméterek!$H$58:$I$105,2,0)/Paraméterek!$I$56,IF($D$4="Forint",0,2))</f>
        <v>#N/A</v>
      </c>
      <c r="Q535" s="13">
        <f t="shared" ca="1" si="182"/>
        <v>0</v>
      </c>
      <c r="R535" s="33"/>
      <c r="S535" s="13" t="e">
        <f t="shared" ca="1" si="183"/>
        <v>#N/A</v>
      </c>
      <c r="T535" s="13" t="e">
        <f ca="1">ROUNDUP(($N535-$P535-$Q535+$S535)*VLOOKUP($B535,Paraméterek!$I$38:$K$39,IF($D$2="Egyszeri",3,2))/12*IF($D536="Nem",IF($M$13=0,1,$M$13),1),IF($D$4="Forint",0,2))</f>
        <v>#N/A</v>
      </c>
      <c r="U535" s="13">
        <f>Tranzakciók!$F$74</f>
        <v>0</v>
      </c>
      <c r="V535" s="13"/>
      <c r="W535" s="13" t="e">
        <f ca="1">$N535-$P535-$Q535+$S535-$T535-IF(ROUNDUP(IF(ISBLANK($V535),$U535*0,$V535)/IF($D$2="Egyszeri",VLOOKUP($B535+IF($C535=12,1,0),Paraméterek!$V$257:$W$262,2),IF($B535=1,1,VLOOKUP($B535+IF($C535=12,1,0),Paraméterek!$I$258:$T$278,HLOOKUP($M$11+1,Paraméterek!$J$256:$T$257,2)))),IF($D$4="Forint",0,2))&gt;$N535-$P535-$Q535+$S535-$T535-IF($D$4="Forint",Paraméterek!$C$216,Paraméterek!$D$216),0,ROUNDUP(IF(ISBLANK($V535),$U535*0,$V535)/IF($D$2="Egyszeri",VLOOKUP($B535+IF($C535=12,1,0),Paraméterek!$V$257:$W$262,2),IF($B535=1,1,VLOOKUP($B535+IF($C535=12,1,0),Paraméterek!$I$258:$T$278,HLOOKUP($M$11+1,Paraméterek!$J$256:$T$257,2)))),IF($D$4="Forint",0,2)))</f>
        <v>#N/A</v>
      </c>
      <c r="X535" s="13" t="e">
        <f ca="1">ROUNDDOWN($W535*IF($D$2="Egyszeri",VLOOKUP($B535+IF($C535=12,1,0),Paraméterek!$V$257:$W$262,2),VLOOKUP($B535+IF($C535=12,1,0),Paraméterek!$I$258:$T$278,HLOOKUP($M$11+1,Paraméterek!$I$256:$T$257,2))),IF($D$4="Forint",0,2))</f>
        <v>#N/A</v>
      </c>
      <c r="Z535" s="32">
        <v>516</v>
      </c>
      <c r="AA535" s="32">
        <v>43</v>
      </c>
      <c r="AB535" s="32">
        <v>12</v>
      </c>
      <c r="AC535" s="13">
        <f t="shared" ca="1" si="192"/>
        <v>0</v>
      </c>
      <c r="AD535" s="33"/>
      <c r="AE535" s="13">
        <f t="shared" ca="1" si="184"/>
        <v>0</v>
      </c>
      <c r="AF535" s="13">
        <f ca="1">ROUNDUP(($AC535+$AE535)*VLOOKUP($AA535,Paraméterek!$P$38:$Q$38,2)/12*IF($D536="Nem",IF($M$13=0,1,$M$13),1),IF($D$4="Forint",0,2))</f>
        <v>0</v>
      </c>
      <c r="AG535" s="13" t="e">
        <f ca="1">IF($D$2="Egyszeri",IF($D$7&gt;=IF($D$4="Forint",Paraméterek!$P$223,Paraméterek!$P$224),$D$7-IF($D$4="Forint",Paraméterek!$P$223,Paraméterek!$P$224),0),MIN(IF($AB535=12,AVERAGEIF($E$20:$E535,"&gt;0",$E$20:$E535)*12,0),SUM($E$20:$E$31)))</f>
        <v>#DIV/0!</v>
      </c>
      <c r="AH535" s="13">
        <f>IF($AA535=10,$AG535*IF($AB535=12,IF($AG535&lt;IF($D$4="Forint",Paraméterek!$L$223,Paraméterek!$L$224),0,VLOOKUP($AA535,Paraméterek!$K$226:$M$228,IF($AG535&lt;IF($D$4="Forint",Paraméterek!$M$223,Paraméterek!$M$224),2,3))),0),0)</f>
        <v>0</v>
      </c>
      <c r="AI535" s="13">
        <f ca="1">IF(AND($AA535=$M$11+1,$AB535=$M$12+1),SUMIF($AA$20:$AA$1027,$AA535,$AG$20:$AG$1027)*IF(SUMIF($AA$20:$AA$1027,$AA535,$AG$20:$AG$1027)&lt;IF($D$4="Forint",Paraméterek!$L$223,Paraméterek!$L$224),0,VLOOKUP($AA535,Paraméterek!$K$230:$M$250,IF(SUMIF($AA$20:$AA$1027,$AA535,$AG$20:$AG$1027)&lt;IF($D$4="Forint",Paraméterek!$M$223,Paraméterek!$M$224),2,3))),0)</f>
        <v>0</v>
      </c>
      <c r="AJ535" s="13" t="e">
        <f ca="1">IF(AND($AA535&gt;=5,MOD($AA535,5)=0),IF($AB535=12,VLOOKUP($AA535,Paraméterek!$O$225:$P$240,2),0),IF(OR($AA535=3,$AA535=4),IF($AB535=12,VLOOKUP($AA535,Paraméterek!$O$225:$P$240,2,0),0),0))*$AG535</f>
        <v>#DIV/0!</v>
      </c>
      <c r="AK535" s="13">
        <f t="shared" ca="1" si="185"/>
        <v>0</v>
      </c>
      <c r="AL535" s="13">
        <f t="shared" ca="1" si="193"/>
        <v>0</v>
      </c>
      <c r="AM535" s="13">
        <f t="shared" ca="1" si="194"/>
        <v>0</v>
      </c>
      <c r="AO535" s="32">
        <v>516</v>
      </c>
      <c r="AP535" s="32">
        <v>43</v>
      </c>
      <c r="AQ535" s="32">
        <v>12</v>
      </c>
      <c r="AR535" s="13"/>
      <c r="AS535" s="32"/>
      <c r="AT535" s="13">
        <f t="shared" ca="1" si="195"/>
        <v>0</v>
      </c>
      <c r="AU535" s="33"/>
      <c r="AV535" s="13">
        <f t="shared" ca="1" si="186"/>
        <v>0</v>
      </c>
      <c r="AW535" s="13">
        <f ca="1">ROUNDUP(($AT535+$AV535)*VLOOKUP($AP535,Paraméterek!$P$38:$Q$38,2)/12*IF($D536="Nem",IF($M$13=0,1,$M$13),1),IF($D$4="Forint",0,2))</f>
        <v>0</v>
      </c>
      <c r="AX535" s="13">
        <f>Tranzakciók!$M$74</f>
        <v>0</v>
      </c>
      <c r="AY535" s="13"/>
      <c r="AZ535" s="13">
        <f>ROUNDUP(IF(SUM($AX535:$AY535)=0,0,IF(IF(ISBLANK($AY535),$AX535,$AY535)*Paraméterek!$J$112&lt;IF($D$4="Forint",Paraméterek!$J$113,Paraméterek!$K$113),IF($D$4="Forint",Paraméterek!$J$113,Paraméterek!$K$113),IF(IF(ISBLANK($AY535),$AX535,$AY535)*Paraméterek!$J$112&gt;IF($D$4="Forint",Paraméterek!$J$114,Paraméterek!$K$114),IF($D$4="Forint",Paraméterek!$J$114,Paraméterek!$K$114),IF(ISBLANK($AY535),$AX535,$AY535)*Paraméterek!$J$112))),IF($D$4="Forint",0,2))</f>
        <v>0</v>
      </c>
      <c r="BA535" s="13">
        <f ca="1">$AT535+$AV535-$AW535-IF(ROUNDDOWN(IF(ISBLANK($AY535),$AX535,$AY535),IF($D$4="Forint",0,2))&gt;$AT535+$AV535-$AW535-IF($D$4="Forint",Paraméterek!$J$114,Paraméterek!$K$114),0,ROUNDDOWN(IF(ISBLANK($AY535),$AX535,$AY535),IF($D$4="Forint",0,2))-$AZ535)</f>
        <v>0</v>
      </c>
      <c r="BB535" s="13">
        <f t="shared" ca="1" si="187"/>
        <v>0</v>
      </c>
      <c r="BD535" s="32">
        <v>516</v>
      </c>
      <c r="BE535" s="32">
        <v>43</v>
      </c>
      <c r="BF535" s="32">
        <v>12</v>
      </c>
      <c r="BG535" s="34">
        <f t="shared" ca="1" si="196"/>
        <v>2062</v>
      </c>
      <c r="BH535" s="32" t="str">
        <f ca="1">IF(MOD(MONTH($D$14)+$BD535-1,12)=Paraméterek!$C$288,"Igen","")</f>
        <v/>
      </c>
      <c r="BI535" s="13">
        <f ca="1">IF($BH535="Igen",MIN(ROUNDDOWN((SUMIF($BG$20:$BG$1027,$BG535-1,$K$20:$K$1027)-SUMIF($BG$20:$BG$1027,$BG535-1,$I$20:$I$1027))*Paraméterek!$C$289,IF($D$4="Forint",0,2)),IF($D$4="Forint",Paraméterek!$C$285,Paraméterek!$D$285)),0)</f>
        <v>0</v>
      </c>
      <c r="BJ535" s="13">
        <f t="shared" ca="1" si="188"/>
        <v>0</v>
      </c>
      <c r="BK535" s="13">
        <f t="shared" ca="1" si="197"/>
        <v>0</v>
      </c>
      <c r="BL535" s="33"/>
      <c r="BM535" s="13">
        <f t="shared" ca="1" si="189"/>
        <v>0</v>
      </c>
      <c r="BN535" s="13">
        <f ca="1">ROUNDUP(($BK535+$BM535)*VLOOKUP($BE535,Paraméterek!$P$38:$Q$38,2)/12*IF($D536="Nem",IF($M$13=0,1,$M$13),1),IF($D$4="Forint",0,2))</f>
        <v>0</v>
      </c>
      <c r="BO535" s="13">
        <f t="shared" ca="1" si="190"/>
        <v>0</v>
      </c>
      <c r="BP535" s="13">
        <f ca="1">IF($D536="Nem",$BO535,$BO535-ROUNDUP(SUM($BI$20:$BI535)*120%,IF($D$4="Forint",0,2)))</f>
        <v>0</v>
      </c>
    </row>
    <row r="536" spans="1:68" x14ac:dyDescent="0.2">
      <c r="A536" s="32">
        <v>517</v>
      </c>
      <c r="B536" s="32">
        <v>44</v>
      </c>
      <c r="C536" s="32">
        <v>1</v>
      </c>
      <c r="D536" s="32" t="str">
        <f t="shared" ca="1" si="176"/>
        <v>Nem</v>
      </c>
      <c r="E536" s="13">
        <f t="shared" ca="1" si="177"/>
        <v>0</v>
      </c>
      <c r="F536" s="13"/>
      <c r="G536" s="13">
        <f>Tranzakciók!$D$75</f>
        <v>0</v>
      </c>
      <c r="H536" s="13"/>
      <c r="I536" s="13">
        <f t="shared" ca="1" si="178"/>
        <v>0</v>
      </c>
      <c r="J536" s="13">
        <f t="shared" ca="1" si="179"/>
        <v>0</v>
      </c>
      <c r="K536" s="13">
        <f t="shared" ca="1" si="180"/>
        <v>0</v>
      </c>
      <c r="L536" s="13" t="e">
        <f ca="1">ROUNDUP(IF($D$2="Egyszeri",$E536,IF($D$2="Havi",SUM($E$20:$E$31),IF(MOD($C536,$M$1)-1=0,SUM($E$20:$E$31),0))/12*$M$1)*VLOOKUP($B536,Paraméterek!$I$28:$P$31,IF($D$2="Egyszeri",8,HLOOKUP(ROUNDUP($M$11+$M$13,0),Paraméterek!$J$26:$O$27,2))),IF($D$4="Forint",0,2))</f>
        <v>#N/A</v>
      </c>
      <c r="M536" s="13">
        <f t="shared" ca="1" si="181"/>
        <v>0</v>
      </c>
      <c r="N536" s="13">
        <f t="shared" ca="1" si="191"/>
        <v>0</v>
      </c>
      <c r="O536" s="13">
        <f ca="1">IF($D536="Igen",IF($W535&gt;=IF($D$4="Forint",Paraméterek!$J$121,Paraméterek!$K$121),0,IF($D$4="Forint",Paraméterek!$J$121,Paraméterek!$K$121)-$W535),0)</f>
        <v>0</v>
      </c>
      <c r="P536" s="13" t="e">
        <f ca="1">ROUNDUP($O536*VLOOKUP($M$4+$B536-1,Paraméterek!$H$58:$I$105,2,0)/Paraméterek!$I$56,IF($D$4="Forint",0,2))</f>
        <v>#N/A</v>
      </c>
      <c r="Q536" s="13">
        <f t="shared" ca="1" si="182"/>
        <v>0</v>
      </c>
      <c r="R536" s="33"/>
      <c r="S536" s="13" t="e">
        <f t="shared" ca="1" si="183"/>
        <v>#N/A</v>
      </c>
      <c r="T536" s="13" t="e">
        <f ca="1">ROUNDUP(($N536-$P536-$Q536+$S536)*VLOOKUP($B536,Paraméterek!$I$38:$K$39,IF($D$2="Egyszeri",3,2))/12*IF($D537="Nem",IF($M$13=0,1,$M$13),1),IF($D$4="Forint",0,2))</f>
        <v>#N/A</v>
      </c>
      <c r="U536" s="13"/>
      <c r="V536" s="13"/>
      <c r="W536" s="13" t="e">
        <f ca="1">$N536-$P536-$Q536+$S536-$T536-IF(ROUNDUP(IF(ISBLANK($V536),$U536*0,$V536)/IF($D$2="Egyszeri",VLOOKUP($B536+IF($C536=12,1,0),Paraméterek!$V$257:$W$262,2),IF($B536=1,1,VLOOKUP($B536+IF($C536=12,1,0),Paraméterek!$I$258:$T$278,HLOOKUP($M$11+1,Paraméterek!$J$256:$T$257,2)))),IF($D$4="Forint",0,2))&gt;$N536-$P536-$Q536+$S536-$T536-IF($D$4="Forint",Paraméterek!$C$216,Paraméterek!$D$216),0,ROUNDUP(IF(ISBLANK($V536),$U536*0,$V536)/IF($D$2="Egyszeri",VLOOKUP($B536+IF($C536=12,1,0),Paraméterek!$V$257:$W$262,2),IF($B536=1,1,VLOOKUP($B536+IF($C536=12,1,0),Paraméterek!$I$258:$T$278,HLOOKUP($M$11+1,Paraméterek!$J$256:$T$257,2)))),IF($D$4="Forint",0,2)))</f>
        <v>#N/A</v>
      </c>
      <c r="X536" s="13" t="e">
        <f ca="1">ROUNDDOWN($W536*IF($D$2="Egyszeri",VLOOKUP($B536+IF($C536=12,1,0),Paraméterek!$V$257:$W$262,2),VLOOKUP($B536+IF($C536=12,1,0),Paraméterek!$I$258:$T$278,HLOOKUP($M$11+1,Paraméterek!$I$256:$T$257,2))),IF($D$4="Forint",0,2))</f>
        <v>#N/A</v>
      </c>
      <c r="Z536" s="32">
        <v>517</v>
      </c>
      <c r="AA536" s="32">
        <v>44</v>
      </c>
      <c r="AB536" s="32">
        <v>1</v>
      </c>
      <c r="AC536" s="13">
        <f t="shared" ca="1" si="192"/>
        <v>0</v>
      </c>
      <c r="AD536" s="33"/>
      <c r="AE536" s="13">
        <f t="shared" ca="1" si="184"/>
        <v>0</v>
      </c>
      <c r="AF536" s="13">
        <f ca="1">ROUNDUP(($AC536+$AE536)*VLOOKUP($AA536,Paraméterek!$P$38:$Q$38,2)/12*IF($D537="Nem",IF($M$13=0,1,$M$13),1),IF($D$4="Forint",0,2))</f>
        <v>0</v>
      </c>
      <c r="AG536" s="13">
        <f ca="1">IF($D$2="Egyszeri",IF($D$7&gt;=IF($D$4="Forint",Paraméterek!$P$223,Paraméterek!$P$224),$D$7-IF($D$4="Forint",Paraméterek!$P$223,Paraméterek!$P$224),0),MIN(IF($AB536=12,AVERAGEIF($E$20:$E536,"&gt;0",$E$20:$E536)*12,0),SUM($E$20:$E$31)))</f>
        <v>0</v>
      </c>
      <c r="AH536" s="13">
        <f>IF($AA536=10,$AG536*IF($AB536=12,IF($AG536&lt;IF($D$4="Forint",Paraméterek!$L$223,Paraméterek!$L$224),0,VLOOKUP($AA536,Paraméterek!$K$226:$M$228,IF($AG536&lt;IF($D$4="Forint",Paraméterek!$M$223,Paraméterek!$M$224),2,3))),0),0)</f>
        <v>0</v>
      </c>
      <c r="AI536" s="13">
        <f ca="1">IF(AND($AA536=$M$11+1,$AB536=$M$12+1),SUMIF($AA$20:$AA$1027,$AA536,$AG$20:$AG$1027)*IF(SUMIF($AA$20:$AA$1027,$AA536,$AG$20:$AG$1027)&lt;IF($D$4="Forint",Paraméterek!$L$223,Paraméterek!$L$224),0,VLOOKUP($AA536,Paraméterek!$K$230:$M$250,IF(SUMIF($AA$20:$AA$1027,$AA536,$AG$20:$AG$1027)&lt;IF($D$4="Forint",Paraméterek!$M$223,Paraméterek!$M$224),2,3))),0)</f>
        <v>0</v>
      </c>
      <c r="AJ536" s="13">
        <f ca="1">IF(AND($AA536&gt;=5,MOD($AA536,5)=0),IF($AB536=12,VLOOKUP($AA536,Paraméterek!$O$225:$P$240,2),0),IF(OR($AA536=3,$AA536=4),IF($AB536=12,VLOOKUP($AA536,Paraméterek!$O$225:$P$240,2,0),0),0))*$AG536</f>
        <v>0</v>
      </c>
      <c r="AK536" s="13">
        <f t="shared" ca="1" si="185"/>
        <v>0</v>
      </c>
      <c r="AL536" s="13">
        <f t="shared" ca="1" si="193"/>
        <v>0</v>
      </c>
      <c r="AM536" s="13">
        <f t="shared" ca="1" si="194"/>
        <v>0</v>
      </c>
      <c r="AO536" s="32">
        <v>517</v>
      </c>
      <c r="AP536" s="32">
        <v>44</v>
      </c>
      <c r="AQ536" s="32">
        <v>1</v>
      </c>
      <c r="AR536" s="13">
        <f>Tranzakciók!$K$75</f>
        <v>0</v>
      </c>
      <c r="AS536" s="32"/>
      <c r="AT536" s="13">
        <f t="shared" ca="1" si="195"/>
        <v>0</v>
      </c>
      <c r="AU536" s="33"/>
      <c r="AV536" s="13">
        <f t="shared" ca="1" si="186"/>
        <v>0</v>
      </c>
      <c r="AW536" s="13">
        <f ca="1">ROUNDUP(($AT536+$AV536)*VLOOKUP($AP536,Paraméterek!$P$38:$Q$38,2)/12*IF($D537="Nem",IF($M$13=0,1,$M$13),1),IF($D$4="Forint",0,2))</f>
        <v>0</v>
      </c>
      <c r="AX536" s="13"/>
      <c r="AY536" s="13"/>
      <c r="AZ536" s="13">
        <f>ROUNDUP(IF(SUM($AX536:$AY536)=0,0,IF(IF(ISBLANK($AY536),$AX536,$AY536)*Paraméterek!$J$112&lt;IF($D$4="Forint",Paraméterek!$J$113,Paraméterek!$K$113),IF($D$4="Forint",Paraméterek!$J$113,Paraméterek!$K$113),IF(IF(ISBLANK($AY536),$AX536,$AY536)*Paraméterek!$J$112&gt;IF($D$4="Forint",Paraméterek!$J$114,Paraméterek!$K$114),IF($D$4="Forint",Paraméterek!$J$114,Paraméterek!$K$114),IF(ISBLANK($AY536),$AX536,$AY536)*Paraméterek!$J$112))),IF($D$4="Forint",0,2))</f>
        <v>0</v>
      </c>
      <c r="BA536" s="13">
        <f ca="1">$AT536+$AV536-$AW536-IF(ROUNDDOWN(IF(ISBLANK($AY536),$AX536,$AY536),IF($D$4="Forint",0,2))&gt;$AT536+$AV536-$AW536-IF($D$4="Forint",Paraméterek!$J$114,Paraméterek!$K$114),0,ROUNDDOWN(IF(ISBLANK($AY536),$AX536,$AY536),IF($D$4="Forint",0,2))-$AZ536)</f>
        <v>0</v>
      </c>
      <c r="BB536" s="13">
        <f t="shared" ca="1" si="187"/>
        <v>0</v>
      </c>
      <c r="BD536" s="32">
        <v>517</v>
      </c>
      <c r="BE536" s="32">
        <v>44</v>
      </c>
      <c r="BF536" s="32">
        <v>1</v>
      </c>
      <c r="BG536" s="34">
        <f t="shared" ca="1" si="196"/>
        <v>2062</v>
      </c>
      <c r="BH536" s="32" t="str">
        <f ca="1">IF(MOD(MONTH($D$14)+$BD536-1,12)=Paraméterek!$C$288,"Igen","")</f>
        <v/>
      </c>
      <c r="BI536" s="13">
        <f ca="1">IF($BH536="Igen",MIN(ROUNDDOWN((SUMIF($BG$20:$BG$1027,$BG536-1,$K$20:$K$1027)-SUMIF($BG$20:$BG$1027,$BG536-1,$I$20:$I$1027))*Paraméterek!$C$289,IF($D$4="Forint",0,2)),IF($D$4="Forint",Paraméterek!$C$285,Paraméterek!$D$285)),0)</f>
        <v>0</v>
      </c>
      <c r="BJ536" s="13">
        <f t="shared" ca="1" si="188"/>
        <v>0</v>
      </c>
      <c r="BK536" s="13">
        <f t="shared" ca="1" si="197"/>
        <v>0</v>
      </c>
      <c r="BL536" s="33"/>
      <c r="BM536" s="13">
        <f t="shared" ca="1" si="189"/>
        <v>0</v>
      </c>
      <c r="BN536" s="13">
        <f ca="1">ROUNDUP(($BK536+$BM536)*VLOOKUP($BE536,Paraméterek!$P$38:$Q$38,2)/12*IF($D537="Nem",IF($M$13=0,1,$M$13),1),IF($D$4="Forint",0,2))</f>
        <v>0</v>
      </c>
      <c r="BO536" s="13">
        <f t="shared" ca="1" si="190"/>
        <v>0</v>
      </c>
      <c r="BP536" s="13">
        <f ca="1">IF($D537="Nem",$BO536,$BO536-ROUNDUP(SUM($BI$20:$BI536)*120%,IF($D$4="Forint",0,2)))</f>
        <v>0</v>
      </c>
    </row>
    <row r="537" spans="1:68" x14ac:dyDescent="0.2">
      <c r="A537" s="32">
        <v>518</v>
      </c>
      <c r="B537" s="32">
        <v>44</v>
      </c>
      <c r="C537" s="32">
        <v>2</v>
      </c>
      <c r="D537" s="32" t="str">
        <f t="shared" ca="1" si="176"/>
        <v>Nem</v>
      </c>
      <c r="E537" s="13">
        <f t="shared" ca="1" si="177"/>
        <v>0</v>
      </c>
      <c r="F537" s="13"/>
      <c r="G537" s="13"/>
      <c r="H537" s="13"/>
      <c r="I537" s="13">
        <f t="shared" ca="1" si="178"/>
        <v>0</v>
      </c>
      <c r="J537" s="13">
        <f t="shared" ca="1" si="179"/>
        <v>0</v>
      </c>
      <c r="K537" s="13">
        <f t="shared" ca="1" si="180"/>
        <v>0</v>
      </c>
      <c r="L537" s="13" t="e">
        <f ca="1">ROUNDUP(IF($D$2="Egyszeri",$E537,IF($D$2="Havi",SUM($E$20:$E$31),IF(MOD($C537,$M$1)-1=0,SUM($E$20:$E$31),0))/12*$M$1)*VLOOKUP($B537,Paraméterek!$I$28:$P$31,IF($D$2="Egyszeri",8,HLOOKUP(ROUNDUP($M$11+$M$13,0),Paraméterek!$J$26:$O$27,2))),IF($D$4="Forint",0,2))</f>
        <v>#N/A</v>
      </c>
      <c r="M537" s="13">
        <f t="shared" ca="1" si="181"/>
        <v>0</v>
      </c>
      <c r="N537" s="13">
        <f t="shared" ca="1" si="191"/>
        <v>0</v>
      </c>
      <c r="O537" s="13">
        <f ca="1">IF($D537="Igen",IF($W536&gt;=IF($D$4="Forint",Paraméterek!$J$121,Paraméterek!$K$121),0,IF($D$4="Forint",Paraméterek!$J$121,Paraméterek!$K$121)-$W536),0)</f>
        <v>0</v>
      </c>
      <c r="P537" s="13" t="e">
        <f ca="1">ROUNDUP($O537*VLOOKUP($M$4+$B537-1,Paraméterek!$H$58:$I$105,2,0)/Paraméterek!$I$56,IF($D$4="Forint",0,2))</f>
        <v>#N/A</v>
      </c>
      <c r="Q537" s="13">
        <f t="shared" ca="1" si="182"/>
        <v>0</v>
      </c>
      <c r="R537" s="33"/>
      <c r="S537" s="13" t="e">
        <f t="shared" ca="1" si="183"/>
        <v>#N/A</v>
      </c>
      <c r="T537" s="13" t="e">
        <f ca="1">ROUNDUP(($N537-$P537-$Q537+$S537)*VLOOKUP($B537,Paraméterek!$I$38:$K$39,IF($D$2="Egyszeri",3,2))/12*IF($D538="Nem",IF($M$13=0,1,$M$13),1),IF($D$4="Forint",0,2))</f>
        <v>#N/A</v>
      </c>
      <c r="U537" s="13"/>
      <c r="V537" s="13"/>
      <c r="W537" s="13" t="e">
        <f ca="1">$N537-$P537-$Q537+$S537-$T537-IF(ROUNDUP(IF(ISBLANK($V537),$U537*0,$V537)/IF($D$2="Egyszeri",VLOOKUP($B537+IF($C537=12,1,0),Paraméterek!$V$257:$W$262,2),IF($B537=1,1,VLOOKUP($B537+IF($C537=12,1,0),Paraméterek!$I$258:$T$278,HLOOKUP($M$11+1,Paraméterek!$J$256:$T$257,2)))),IF($D$4="Forint",0,2))&gt;$N537-$P537-$Q537+$S537-$T537-IF($D$4="Forint",Paraméterek!$C$216,Paraméterek!$D$216),0,ROUNDUP(IF(ISBLANK($V537),$U537*0,$V537)/IF($D$2="Egyszeri",VLOOKUP($B537+IF($C537=12,1,0),Paraméterek!$V$257:$W$262,2),IF($B537=1,1,VLOOKUP($B537+IF($C537=12,1,0),Paraméterek!$I$258:$T$278,HLOOKUP($M$11+1,Paraméterek!$J$256:$T$257,2)))),IF($D$4="Forint",0,2)))</f>
        <v>#N/A</v>
      </c>
      <c r="X537" s="13" t="e">
        <f ca="1">ROUNDDOWN($W537*IF($D$2="Egyszeri",VLOOKUP($B537+IF($C537=12,1,0),Paraméterek!$V$257:$W$262,2),VLOOKUP($B537+IF($C537=12,1,0),Paraméterek!$I$258:$T$278,HLOOKUP($M$11+1,Paraméterek!$I$256:$T$257,2))),IF($D$4="Forint",0,2))</f>
        <v>#N/A</v>
      </c>
      <c r="Z537" s="32">
        <v>518</v>
      </c>
      <c r="AA537" s="32">
        <v>44</v>
      </c>
      <c r="AB537" s="32">
        <v>2</v>
      </c>
      <c r="AC537" s="13">
        <f t="shared" ca="1" si="192"/>
        <v>0</v>
      </c>
      <c r="AD537" s="33"/>
      <c r="AE537" s="13">
        <f t="shared" ca="1" si="184"/>
        <v>0</v>
      </c>
      <c r="AF537" s="13">
        <f ca="1">ROUNDUP(($AC537+$AE537)*VLOOKUP($AA537,Paraméterek!$P$38:$Q$38,2)/12*IF($D538="Nem",IF($M$13=0,1,$M$13),1),IF($D$4="Forint",0,2))</f>
        <v>0</v>
      </c>
      <c r="AG537" s="13">
        <f ca="1">IF($D$2="Egyszeri",IF($D$7&gt;=IF($D$4="Forint",Paraméterek!$P$223,Paraméterek!$P$224),$D$7-IF($D$4="Forint",Paraméterek!$P$223,Paraméterek!$P$224),0),MIN(IF($AB537=12,AVERAGEIF($E$20:$E537,"&gt;0",$E$20:$E537)*12,0),SUM($E$20:$E$31)))</f>
        <v>0</v>
      </c>
      <c r="AH537" s="13">
        <f>IF($AA537=10,$AG537*IF($AB537=12,IF($AG537&lt;IF($D$4="Forint",Paraméterek!$L$223,Paraméterek!$L$224),0,VLOOKUP($AA537,Paraméterek!$K$226:$M$228,IF($AG537&lt;IF($D$4="Forint",Paraméterek!$M$223,Paraméterek!$M$224),2,3))),0),0)</f>
        <v>0</v>
      </c>
      <c r="AI537" s="13">
        <f ca="1">IF(AND($AA537=$M$11+1,$AB537=$M$12+1),SUMIF($AA$20:$AA$1027,$AA537,$AG$20:$AG$1027)*IF(SUMIF($AA$20:$AA$1027,$AA537,$AG$20:$AG$1027)&lt;IF($D$4="Forint",Paraméterek!$L$223,Paraméterek!$L$224),0,VLOOKUP($AA537,Paraméterek!$K$230:$M$250,IF(SUMIF($AA$20:$AA$1027,$AA537,$AG$20:$AG$1027)&lt;IF($D$4="Forint",Paraméterek!$M$223,Paraméterek!$M$224),2,3))),0)</f>
        <v>0</v>
      </c>
      <c r="AJ537" s="13">
        <f ca="1">IF(AND($AA537&gt;=5,MOD($AA537,5)=0),IF($AB537=12,VLOOKUP($AA537,Paraméterek!$O$225:$P$240,2),0),IF(OR($AA537=3,$AA537=4),IF($AB537=12,VLOOKUP($AA537,Paraméterek!$O$225:$P$240,2,0),0),0))*$AG537</f>
        <v>0</v>
      </c>
      <c r="AK537" s="13">
        <f t="shared" ca="1" si="185"/>
        <v>0</v>
      </c>
      <c r="AL537" s="13">
        <f t="shared" ca="1" si="193"/>
        <v>0</v>
      </c>
      <c r="AM537" s="13">
        <f t="shared" ca="1" si="194"/>
        <v>0</v>
      </c>
      <c r="AO537" s="32">
        <v>518</v>
      </c>
      <c r="AP537" s="32">
        <v>44</v>
      </c>
      <c r="AQ537" s="32">
        <v>2</v>
      </c>
      <c r="AR537" s="13"/>
      <c r="AS537" s="32"/>
      <c r="AT537" s="13">
        <f t="shared" ca="1" si="195"/>
        <v>0</v>
      </c>
      <c r="AU537" s="33"/>
      <c r="AV537" s="13">
        <f t="shared" ca="1" si="186"/>
        <v>0</v>
      </c>
      <c r="AW537" s="13">
        <f ca="1">ROUNDUP(($AT537+$AV537)*VLOOKUP($AP537,Paraméterek!$P$38:$Q$38,2)/12*IF($D538="Nem",IF($M$13=0,1,$M$13),1),IF($D$4="Forint",0,2))</f>
        <v>0</v>
      </c>
      <c r="AX537" s="13"/>
      <c r="AY537" s="13"/>
      <c r="AZ537" s="13">
        <f>ROUNDUP(IF(SUM($AX537:$AY537)=0,0,IF(IF(ISBLANK($AY537),$AX537,$AY537)*Paraméterek!$J$112&lt;IF($D$4="Forint",Paraméterek!$J$113,Paraméterek!$K$113),IF($D$4="Forint",Paraméterek!$J$113,Paraméterek!$K$113),IF(IF(ISBLANK($AY537),$AX537,$AY537)*Paraméterek!$J$112&gt;IF($D$4="Forint",Paraméterek!$J$114,Paraméterek!$K$114),IF($D$4="Forint",Paraméterek!$J$114,Paraméterek!$K$114),IF(ISBLANK($AY537),$AX537,$AY537)*Paraméterek!$J$112))),IF($D$4="Forint",0,2))</f>
        <v>0</v>
      </c>
      <c r="BA537" s="13">
        <f ca="1">$AT537+$AV537-$AW537-IF(ROUNDDOWN(IF(ISBLANK($AY537),$AX537,$AY537),IF($D$4="Forint",0,2))&gt;$AT537+$AV537-$AW537-IF($D$4="Forint",Paraméterek!$J$114,Paraméterek!$K$114),0,ROUNDDOWN(IF(ISBLANK($AY537),$AX537,$AY537),IF($D$4="Forint",0,2))-$AZ537)</f>
        <v>0</v>
      </c>
      <c r="BB537" s="13">
        <f t="shared" ca="1" si="187"/>
        <v>0</v>
      </c>
      <c r="BD537" s="32">
        <v>518</v>
      </c>
      <c r="BE537" s="32">
        <v>44</v>
      </c>
      <c r="BF537" s="32">
        <v>2</v>
      </c>
      <c r="BG537" s="34">
        <f t="shared" ca="1" si="196"/>
        <v>2062</v>
      </c>
      <c r="BH537" s="32" t="str">
        <f ca="1">IF(MOD(MONTH($D$14)+$BD537-1,12)=Paraméterek!$C$288,"Igen","")</f>
        <v>Igen</v>
      </c>
      <c r="BI537" s="13">
        <f ca="1">IF($BH537="Igen",MIN(ROUNDDOWN((SUMIF($BG$20:$BG$1027,$BG537-1,$K$20:$K$1027)-SUMIF($BG$20:$BG$1027,$BG537-1,$I$20:$I$1027))*Paraméterek!$C$289,IF($D$4="Forint",0,2)),IF($D$4="Forint",Paraméterek!$C$285,Paraméterek!$D$285)),0)</f>
        <v>0</v>
      </c>
      <c r="BJ537" s="13">
        <f t="shared" ca="1" si="188"/>
        <v>0</v>
      </c>
      <c r="BK537" s="13">
        <f t="shared" ca="1" si="197"/>
        <v>0</v>
      </c>
      <c r="BL537" s="33"/>
      <c r="BM537" s="13">
        <f t="shared" ca="1" si="189"/>
        <v>0</v>
      </c>
      <c r="BN537" s="13">
        <f ca="1">ROUNDUP(($BK537+$BM537)*VLOOKUP($BE537,Paraméterek!$P$38:$Q$38,2)/12*IF($D538="Nem",IF($M$13=0,1,$M$13),1),IF($D$4="Forint",0,2))</f>
        <v>0</v>
      </c>
      <c r="BO537" s="13">
        <f t="shared" ca="1" si="190"/>
        <v>0</v>
      </c>
      <c r="BP537" s="13">
        <f ca="1">IF($D538="Nem",$BO537,$BO537-ROUNDUP(SUM($BI$20:$BI537)*120%,IF($D$4="Forint",0,2)))</f>
        <v>0</v>
      </c>
    </row>
    <row r="538" spans="1:68" x14ac:dyDescent="0.2">
      <c r="A538" s="32">
        <v>519</v>
      </c>
      <c r="B538" s="32">
        <v>44</v>
      </c>
      <c r="C538" s="32">
        <v>3</v>
      </c>
      <c r="D538" s="32" t="str">
        <f t="shared" ca="1" si="176"/>
        <v>Nem</v>
      </c>
      <c r="E538" s="13">
        <f t="shared" ca="1" si="177"/>
        <v>0</v>
      </c>
      <c r="F538" s="13"/>
      <c r="G538" s="13"/>
      <c r="H538" s="13"/>
      <c r="I538" s="13">
        <f t="shared" ca="1" si="178"/>
        <v>0</v>
      </c>
      <c r="J538" s="13">
        <f t="shared" ca="1" si="179"/>
        <v>0</v>
      </c>
      <c r="K538" s="13">
        <f t="shared" ca="1" si="180"/>
        <v>0</v>
      </c>
      <c r="L538" s="13" t="e">
        <f ca="1">ROUNDUP(IF($D$2="Egyszeri",$E538,IF($D$2="Havi",SUM($E$20:$E$31),IF(MOD($C538,$M$1)-1=0,SUM($E$20:$E$31),0))/12*$M$1)*VLOOKUP($B538,Paraméterek!$I$28:$P$31,IF($D$2="Egyszeri",8,HLOOKUP(ROUNDUP($M$11+$M$13,0),Paraméterek!$J$26:$O$27,2))),IF($D$4="Forint",0,2))</f>
        <v>#N/A</v>
      </c>
      <c r="M538" s="13">
        <f t="shared" ca="1" si="181"/>
        <v>0</v>
      </c>
      <c r="N538" s="13">
        <f t="shared" ca="1" si="191"/>
        <v>0</v>
      </c>
      <c r="O538" s="13">
        <f ca="1">IF($D538="Igen",IF($W537&gt;=IF($D$4="Forint",Paraméterek!$J$121,Paraméterek!$K$121),0,IF($D$4="Forint",Paraméterek!$J$121,Paraméterek!$K$121)-$W537),0)</f>
        <v>0</v>
      </c>
      <c r="P538" s="13" t="e">
        <f ca="1">ROUNDUP($O538*VLOOKUP($M$4+$B538-1,Paraméterek!$H$58:$I$105,2,0)/Paraméterek!$I$56,IF($D$4="Forint",0,2))</f>
        <v>#N/A</v>
      </c>
      <c r="Q538" s="13">
        <f t="shared" ca="1" si="182"/>
        <v>0</v>
      </c>
      <c r="R538" s="33"/>
      <c r="S538" s="13" t="e">
        <f t="shared" ca="1" si="183"/>
        <v>#N/A</v>
      </c>
      <c r="T538" s="13" t="e">
        <f ca="1">ROUNDUP(($N538-$P538-$Q538+$S538)*VLOOKUP($B538,Paraméterek!$I$38:$K$39,IF($D$2="Egyszeri",3,2))/12*IF($D539="Nem",IF($M$13=0,1,$M$13),1),IF($D$4="Forint",0,2))</f>
        <v>#N/A</v>
      </c>
      <c r="U538" s="13"/>
      <c r="V538" s="13"/>
      <c r="W538" s="13" t="e">
        <f ca="1">$N538-$P538-$Q538+$S538-$T538-IF(ROUNDUP(IF(ISBLANK($V538),$U538*0,$V538)/IF($D$2="Egyszeri",VLOOKUP($B538+IF($C538=12,1,0),Paraméterek!$V$257:$W$262,2),IF($B538=1,1,VLOOKUP($B538+IF($C538=12,1,0),Paraméterek!$I$258:$T$278,HLOOKUP($M$11+1,Paraméterek!$J$256:$T$257,2)))),IF($D$4="Forint",0,2))&gt;$N538-$P538-$Q538+$S538-$T538-IF($D$4="Forint",Paraméterek!$C$216,Paraméterek!$D$216),0,ROUNDUP(IF(ISBLANK($V538),$U538*0,$V538)/IF($D$2="Egyszeri",VLOOKUP($B538+IF($C538=12,1,0),Paraméterek!$V$257:$W$262,2),IF($B538=1,1,VLOOKUP($B538+IF($C538=12,1,0),Paraméterek!$I$258:$T$278,HLOOKUP($M$11+1,Paraméterek!$J$256:$T$257,2)))),IF($D$4="Forint",0,2)))</f>
        <v>#N/A</v>
      </c>
      <c r="X538" s="13" t="e">
        <f ca="1">ROUNDDOWN($W538*IF($D$2="Egyszeri",VLOOKUP($B538+IF($C538=12,1,0),Paraméterek!$V$257:$W$262,2),VLOOKUP($B538+IF($C538=12,1,0),Paraméterek!$I$258:$T$278,HLOOKUP($M$11+1,Paraméterek!$I$256:$T$257,2))),IF($D$4="Forint",0,2))</f>
        <v>#N/A</v>
      </c>
      <c r="Z538" s="32">
        <v>519</v>
      </c>
      <c r="AA538" s="32">
        <v>44</v>
      </c>
      <c r="AB538" s="32">
        <v>3</v>
      </c>
      <c r="AC538" s="13">
        <f t="shared" ca="1" si="192"/>
        <v>0</v>
      </c>
      <c r="AD538" s="33"/>
      <c r="AE538" s="13">
        <f t="shared" ca="1" si="184"/>
        <v>0</v>
      </c>
      <c r="AF538" s="13">
        <f ca="1">ROUNDUP(($AC538+$AE538)*VLOOKUP($AA538,Paraméterek!$P$38:$Q$38,2)/12*IF($D539="Nem",IF($M$13=0,1,$M$13),1),IF($D$4="Forint",0,2))</f>
        <v>0</v>
      </c>
      <c r="AG538" s="13">
        <f ca="1">IF($D$2="Egyszeri",IF($D$7&gt;=IF($D$4="Forint",Paraméterek!$P$223,Paraméterek!$P$224),$D$7-IF($D$4="Forint",Paraméterek!$P$223,Paraméterek!$P$224),0),MIN(IF($AB538=12,AVERAGEIF($E$20:$E538,"&gt;0",$E$20:$E538)*12,0),SUM($E$20:$E$31)))</f>
        <v>0</v>
      </c>
      <c r="AH538" s="13">
        <f>IF($AA538=10,$AG538*IF($AB538=12,IF($AG538&lt;IF($D$4="Forint",Paraméterek!$L$223,Paraméterek!$L$224),0,VLOOKUP($AA538,Paraméterek!$K$226:$M$228,IF($AG538&lt;IF($D$4="Forint",Paraméterek!$M$223,Paraméterek!$M$224),2,3))),0),0)</f>
        <v>0</v>
      </c>
      <c r="AI538" s="13">
        <f ca="1">IF(AND($AA538=$M$11+1,$AB538=$M$12+1),SUMIF($AA$20:$AA$1027,$AA538,$AG$20:$AG$1027)*IF(SUMIF($AA$20:$AA$1027,$AA538,$AG$20:$AG$1027)&lt;IF($D$4="Forint",Paraméterek!$L$223,Paraméterek!$L$224),0,VLOOKUP($AA538,Paraméterek!$K$230:$M$250,IF(SUMIF($AA$20:$AA$1027,$AA538,$AG$20:$AG$1027)&lt;IF($D$4="Forint",Paraméterek!$M$223,Paraméterek!$M$224),2,3))),0)</f>
        <v>0</v>
      </c>
      <c r="AJ538" s="13">
        <f ca="1">IF(AND($AA538&gt;=5,MOD($AA538,5)=0),IF($AB538=12,VLOOKUP($AA538,Paraméterek!$O$225:$P$240,2),0),IF(OR($AA538=3,$AA538=4),IF($AB538=12,VLOOKUP($AA538,Paraméterek!$O$225:$P$240,2,0),0),0))*$AG538</f>
        <v>0</v>
      </c>
      <c r="AK538" s="13">
        <f t="shared" ca="1" si="185"/>
        <v>0</v>
      </c>
      <c r="AL538" s="13">
        <f t="shared" ca="1" si="193"/>
        <v>0</v>
      </c>
      <c r="AM538" s="13">
        <f t="shared" ca="1" si="194"/>
        <v>0</v>
      </c>
      <c r="AO538" s="32">
        <v>519</v>
      </c>
      <c r="AP538" s="32">
        <v>44</v>
      </c>
      <c r="AQ538" s="32">
        <v>3</v>
      </c>
      <c r="AR538" s="13"/>
      <c r="AS538" s="32"/>
      <c r="AT538" s="13">
        <f t="shared" ca="1" si="195"/>
        <v>0</v>
      </c>
      <c r="AU538" s="33"/>
      <c r="AV538" s="13">
        <f t="shared" ca="1" si="186"/>
        <v>0</v>
      </c>
      <c r="AW538" s="13">
        <f ca="1">ROUNDUP(($AT538+$AV538)*VLOOKUP($AP538,Paraméterek!$P$38:$Q$38,2)/12*IF($D539="Nem",IF($M$13=0,1,$M$13),1),IF($D$4="Forint",0,2))</f>
        <v>0</v>
      </c>
      <c r="AX538" s="13"/>
      <c r="AY538" s="13"/>
      <c r="AZ538" s="13">
        <f>ROUNDUP(IF(SUM($AX538:$AY538)=0,0,IF(IF(ISBLANK($AY538),$AX538,$AY538)*Paraméterek!$J$112&lt;IF($D$4="Forint",Paraméterek!$J$113,Paraméterek!$K$113),IF($D$4="Forint",Paraméterek!$J$113,Paraméterek!$K$113),IF(IF(ISBLANK($AY538),$AX538,$AY538)*Paraméterek!$J$112&gt;IF($D$4="Forint",Paraméterek!$J$114,Paraméterek!$K$114),IF($D$4="Forint",Paraméterek!$J$114,Paraméterek!$K$114),IF(ISBLANK($AY538),$AX538,$AY538)*Paraméterek!$J$112))),IF($D$4="Forint",0,2))</f>
        <v>0</v>
      </c>
      <c r="BA538" s="13">
        <f ca="1">$AT538+$AV538-$AW538-IF(ROUNDDOWN(IF(ISBLANK($AY538),$AX538,$AY538),IF($D$4="Forint",0,2))&gt;$AT538+$AV538-$AW538-IF($D$4="Forint",Paraméterek!$J$114,Paraméterek!$K$114),0,ROUNDDOWN(IF(ISBLANK($AY538),$AX538,$AY538),IF($D$4="Forint",0,2))-$AZ538)</f>
        <v>0</v>
      </c>
      <c r="BB538" s="13">
        <f t="shared" ca="1" si="187"/>
        <v>0</v>
      </c>
      <c r="BD538" s="32">
        <v>519</v>
      </c>
      <c r="BE538" s="32">
        <v>44</v>
      </c>
      <c r="BF538" s="32">
        <v>3</v>
      </c>
      <c r="BG538" s="34">
        <f t="shared" ca="1" si="196"/>
        <v>2062</v>
      </c>
      <c r="BH538" s="32" t="str">
        <f ca="1">IF(MOD(MONTH($D$14)+$BD538-1,12)=Paraméterek!$C$288,"Igen","")</f>
        <v/>
      </c>
      <c r="BI538" s="13">
        <f ca="1">IF($BH538="Igen",MIN(ROUNDDOWN((SUMIF($BG$20:$BG$1027,$BG538-1,$K$20:$K$1027)-SUMIF($BG$20:$BG$1027,$BG538-1,$I$20:$I$1027))*Paraméterek!$C$289,IF($D$4="Forint",0,2)),IF($D$4="Forint",Paraméterek!$C$285,Paraméterek!$D$285)),0)</f>
        <v>0</v>
      </c>
      <c r="BJ538" s="13">
        <f t="shared" ca="1" si="188"/>
        <v>0</v>
      </c>
      <c r="BK538" s="13">
        <f t="shared" ca="1" si="197"/>
        <v>0</v>
      </c>
      <c r="BL538" s="33"/>
      <c r="BM538" s="13">
        <f t="shared" ca="1" si="189"/>
        <v>0</v>
      </c>
      <c r="BN538" s="13">
        <f ca="1">ROUNDUP(($BK538+$BM538)*VLOOKUP($BE538,Paraméterek!$P$38:$Q$38,2)/12*IF($D539="Nem",IF($M$13=0,1,$M$13),1),IF($D$4="Forint",0,2))</f>
        <v>0</v>
      </c>
      <c r="BO538" s="13">
        <f t="shared" ca="1" si="190"/>
        <v>0</v>
      </c>
      <c r="BP538" s="13">
        <f ca="1">IF($D539="Nem",$BO538,$BO538-ROUNDUP(SUM($BI$20:$BI538)*120%,IF($D$4="Forint",0,2)))</f>
        <v>0</v>
      </c>
    </row>
    <row r="539" spans="1:68" x14ac:dyDescent="0.2">
      <c r="A539" s="32">
        <v>520</v>
      </c>
      <c r="B539" s="32">
        <v>44</v>
      </c>
      <c r="C539" s="32">
        <v>4</v>
      </c>
      <c r="D539" s="32" t="str">
        <f t="shared" ca="1" si="176"/>
        <v>Nem</v>
      </c>
      <c r="E539" s="13">
        <f t="shared" ca="1" si="177"/>
        <v>0</v>
      </c>
      <c r="F539" s="13"/>
      <c r="G539" s="13"/>
      <c r="H539" s="13"/>
      <c r="I539" s="13">
        <f t="shared" ca="1" si="178"/>
        <v>0</v>
      </c>
      <c r="J539" s="13">
        <f t="shared" ca="1" si="179"/>
        <v>0</v>
      </c>
      <c r="K539" s="13">
        <f t="shared" ca="1" si="180"/>
        <v>0</v>
      </c>
      <c r="L539" s="13" t="e">
        <f ca="1">ROUNDUP(IF($D$2="Egyszeri",$E539,IF($D$2="Havi",SUM($E$20:$E$31),IF(MOD($C539,$M$1)-1=0,SUM($E$20:$E$31),0))/12*$M$1)*VLOOKUP($B539,Paraméterek!$I$28:$P$31,IF($D$2="Egyszeri",8,HLOOKUP(ROUNDUP($M$11+$M$13,0),Paraméterek!$J$26:$O$27,2))),IF($D$4="Forint",0,2))</f>
        <v>#N/A</v>
      </c>
      <c r="M539" s="13">
        <f t="shared" ca="1" si="181"/>
        <v>0</v>
      </c>
      <c r="N539" s="13">
        <f t="shared" ca="1" si="191"/>
        <v>0</v>
      </c>
      <c r="O539" s="13">
        <f ca="1">IF($D539="Igen",IF($W538&gt;=IF($D$4="Forint",Paraméterek!$J$121,Paraméterek!$K$121),0,IF($D$4="Forint",Paraméterek!$J$121,Paraméterek!$K$121)-$W538),0)</f>
        <v>0</v>
      </c>
      <c r="P539" s="13" t="e">
        <f ca="1">ROUNDUP($O539*VLOOKUP($M$4+$B539-1,Paraméterek!$H$58:$I$105,2,0)/Paraméterek!$I$56,IF($D$4="Forint",0,2))</f>
        <v>#N/A</v>
      </c>
      <c r="Q539" s="13">
        <f t="shared" ca="1" si="182"/>
        <v>0</v>
      </c>
      <c r="R539" s="33"/>
      <c r="S539" s="13" t="e">
        <f t="shared" ca="1" si="183"/>
        <v>#N/A</v>
      </c>
      <c r="T539" s="13" t="e">
        <f ca="1">ROUNDUP(($N539-$P539-$Q539+$S539)*VLOOKUP($B539,Paraméterek!$I$38:$K$39,IF($D$2="Egyszeri",3,2))/12*IF($D540="Nem",IF($M$13=0,1,$M$13),1),IF($D$4="Forint",0,2))</f>
        <v>#N/A</v>
      </c>
      <c r="U539" s="13"/>
      <c r="V539" s="13"/>
      <c r="W539" s="13" t="e">
        <f ca="1">$N539-$P539-$Q539+$S539-$T539-IF(ROUNDUP(IF(ISBLANK($V539),$U539*0,$V539)/IF($D$2="Egyszeri",VLOOKUP($B539+IF($C539=12,1,0),Paraméterek!$V$257:$W$262,2),IF($B539=1,1,VLOOKUP($B539+IF($C539=12,1,0),Paraméterek!$I$258:$T$278,HLOOKUP($M$11+1,Paraméterek!$J$256:$T$257,2)))),IF($D$4="Forint",0,2))&gt;$N539-$P539-$Q539+$S539-$T539-IF($D$4="Forint",Paraméterek!$C$216,Paraméterek!$D$216),0,ROUNDUP(IF(ISBLANK($V539),$U539*0,$V539)/IF($D$2="Egyszeri",VLOOKUP($B539+IF($C539=12,1,0),Paraméterek!$V$257:$W$262,2),IF($B539=1,1,VLOOKUP($B539+IF($C539=12,1,0),Paraméterek!$I$258:$T$278,HLOOKUP($M$11+1,Paraméterek!$J$256:$T$257,2)))),IF($D$4="Forint",0,2)))</f>
        <v>#N/A</v>
      </c>
      <c r="X539" s="13" t="e">
        <f ca="1">ROUNDDOWN($W539*IF($D$2="Egyszeri",VLOOKUP($B539+IF($C539=12,1,0),Paraméterek!$V$257:$W$262,2),VLOOKUP($B539+IF($C539=12,1,0),Paraméterek!$I$258:$T$278,HLOOKUP($M$11+1,Paraméterek!$I$256:$T$257,2))),IF($D$4="Forint",0,2))</f>
        <v>#N/A</v>
      </c>
      <c r="Z539" s="32">
        <v>520</v>
      </c>
      <c r="AA539" s="32">
        <v>44</v>
      </c>
      <c r="AB539" s="32">
        <v>4</v>
      </c>
      <c r="AC539" s="13">
        <f t="shared" ca="1" si="192"/>
        <v>0</v>
      </c>
      <c r="AD539" s="33"/>
      <c r="AE539" s="13">
        <f t="shared" ca="1" si="184"/>
        <v>0</v>
      </c>
      <c r="AF539" s="13">
        <f ca="1">ROUNDUP(($AC539+$AE539)*VLOOKUP($AA539,Paraméterek!$P$38:$Q$38,2)/12*IF($D540="Nem",IF($M$13=0,1,$M$13),1),IF($D$4="Forint",0,2))</f>
        <v>0</v>
      </c>
      <c r="AG539" s="13">
        <f ca="1">IF($D$2="Egyszeri",IF($D$7&gt;=IF($D$4="Forint",Paraméterek!$P$223,Paraméterek!$P$224),$D$7-IF($D$4="Forint",Paraméterek!$P$223,Paraméterek!$P$224),0),MIN(IF($AB539=12,AVERAGEIF($E$20:$E539,"&gt;0",$E$20:$E539)*12,0),SUM($E$20:$E$31)))</f>
        <v>0</v>
      </c>
      <c r="AH539" s="13">
        <f>IF($AA539=10,$AG539*IF($AB539=12,IF($AG539&lt;IF($D$4="Forint",Paraméterek!$L$223,Paraméterek!$L$224),0,VLOOKUP($AA539,Paraméterek!$K$226:$M$228,IF($AG539&lt;IF($D$4="Forint",Paraméterek!$M$223,Paraméterek!$M$224),2,3))),0),0)</f>
        <v>0</v>
      </c>
      <c r="AI539" s="13">
        <f ca="1">IF(AND($AA539=$M$11+1,$AB539=$M$12+1),SUMIF($AA$20:$AA$1027,$AA539,$AG$20:$AG$1027)*IF(SUMIF($AA$20:$AA$1027,$AA539,$AG$20:$AG$1027)&lt;IF($D$4="Forint",Paraméterek!$L$223,Paraméterek!$L$224),0,VLOOKUP($AA539,Paraméterek!$K$230:$M$250,IF(SUMIF($AA$20:$AA$1027,$AA539,$AG$20:$AG$1027)&lt;IF($D$4="Forint",Paraméterek!$M$223,Paraméterek!$M$224),2,3))),0)</f>
        <v>0</v>
      </c>
      <c r="AJ539" s="13">
        <f ca="1">IF(AND($AA539&gt;=5,MOD($AA539,5)=0),IF($AB539=12,VLOOKUP($AA539,Paraméterek!$O$225:$P$240,2),0),IF(OR($AA539=3,$AA539=4),IF($AB539=12,VLOOKUP($AA539,Paraméterek!$O$225:$P$240,2,0),0),0))*$AG539</f>
        <v>0</v>
      </c>
      <c r="AK539" s="13">
        <f t="shared" ca="1" si="185"/>
        <v>0</v>
      </c>
      <c r="AL539" s="13">
        <f t="shared" ca="1" si="193"/>
        <v>0</v>
      </c>
      <c r="AM539" s="13">
        <f t="shared" ca="1" si="194"/>
        <v>0</v>
      </c>
      <c r="AO539" s="32">
        <v>520</v>
      </c>
      <c r="AP539" s="32">
        <v>44</v>
      </c>
      <c r="AQ539" s="32">
        <v>4</v>
      </c>
      <c r="AR539" s="13"/>
      <c r="AS539" s="32"/>
      <c r="AT539" s="13">
        <f t="shared" ca="1" si="195"/>
        <v>0</v>
      </c>
      <c r="AU539" s="33"/>
      <c r="AV539" s="13">
        <f t="shared" ca="1" si="186"/>
        <v>0</v>
      </c>
      <c r="AW539" s="13">
        <f ca="1">ROUNDUP(($AT539+$AV539)*VLOOKUP($AP539,Paraméterek!$P$38:$Q$38,2)/12*IF($D540="Nem",IF($M$13=0,1,$M$13),1),IF($D$4="Forint",0,2))</f>
        <v>0</v>
      </c>
      <c r="AX539" s="13"/>
      <c r="AY539" s="13"/>
      <c r="AZ539" s="13">
        <f>ROUNDUP(IF(SUM($AX539:$AY539)=0,0,IF(IF(ISBLANK($AY539),$AX539,$AY539)*Paraméterek!$J$112&lt;IF($D$4="Forint",Paraméterek!$J$113,Paraméterek!$K$113),IF($D$4="Forint",Paraméterek!$J$113,Paraméterek!$K$113),IF(IF(ISBLANK($AY539),$AX539,$AY539)*Paraméterek!$J$112&gt;IF($D$4="Forint",Paraméterek!$J$114,Paraméterek!$K$114),IF($D$4="Forint",Paraméterek!$J$114,Paraméterek!$K$114),IF(ISBLANK($AY539),$AX539,$AY539)*Paraméterek!$J$112))),IF($D$4="Forint",0,2))</f>
        <v>0</v>
      </c>
      <c r="BA539" s="13">
        <f ca="1">$AT539+$AV539-$AW539-IF(ROUNDDOWN(IF(ISBLANK($AY539),$AX539,$AY539),IF($D$4="Forint",0,2))&gt;$AT539+$AV539-$AW539-IF($D$4="Forint",Paraméterek!$J$114,Paraméterek!$K$114),0,ROUNDDOWN(IF(ISBLANK($AY539),$AX539,$AY539),IF($D$4="Forint",0,2))-$AZ539)</f>
        <v>0</v>
      </c>
      <c r="BB539" s="13">
        <f t="shared" ca="1" si="187"/>
        <v>0</v>
      </c>
      <c r="BD539" s="32">
        <v>520</v>
      </c>
      <c r="BE539" s="32">
        <v>44</v>
      </c>
      <c r="BF539" s="32">
        <v>4</v>
      </c>
      <c r="BG539" s="34">
        <f t="shared" ca="1" si="196"/>
        <v>2062</v>
      </c>
      <c r="BH539" s="32" t="str">
        <f ca="1">IF(MOD(MONTH($D$14)+$BD539-1,12)=Paraméterek!$C$288,"Igen","")</f>
        <v/>
      </c>
      <c r="BI539" s="13">
        <f ca="1">IF($BH539="Igen",MIN(ROUNDDOWN((SUMIF($BG$20:$BG$1027,$BG539-1,$K$20:$K$1027)-SUMIF($BG$20:$BG$1027,$BG539-1,$I$20:$I$1027))*Paraméterek!$C$289,IF($D$4="Forint",0,2)),IF($D$4="Forint",Paraméterek!$C$285,Paraméterek!$D$285)),0)</f>
        <v>0</v>
      </c>
      <c r="BJ539" s="13">
        <f t="shared" ca="1" si="188"/>
        <v>0</v>
      </c>
      <c r="BK539" s="13">
        <f t="shared" ca="1" si="197"/>
        <v>0</v>
      </c>
      <c r="BL539" s="33"/>
      <c r="BM539" s="13">
        <f t="shared" ca="1" si="189"/>
        <v>0</v>
      </c>
      <c r="BN539" s="13">
        <f ca="1">ROUNDUP(($BK539+$BM539)*VLOOKUP($BE539,Paraméterek!$P$38:$Q$38,2)/12*IF($D540="Nem",IF($M$13=0,1,$M$13),1),IF($D$4="Forint",0,2))</f>
        <v>0</v>
      </c>
      <c r="BO539" s="13">
        <f t="shared" ca="1" si="190"/>
        <v>0</v>
      </c>
      <c r="BP539" s="13">
        <f ca="1">IF($D540="Nem",$BO539,$BO539-ROUNDUP(SUM($BI$20:$BI539)*120%,IF($D$4="Forint",0,2)))</f>
        <v>0</v>
      </c>
    </row>
    <row r="540" spans="1:68" x14ac:dyDescent="0.2">
      <c r="A540" s="32">
        <v>521</v>
      </c>
      <c r="B540" s="32">
        <v>44</v>
      </c>
      <c r="C540" s="32">
        <v>5</v>
      </c>
      <c r="D540" s="32" t="str">
        <f t="shared" ca="1" si="176"/>
        <v>Nem</v>
      </c>
      <c r="E540" s="13">
        <f t="shared" ca="1" si="177"/>
        <v>0</v>
      </c>
      <c r="F540" s="13"/>
      <c r="G540" s="13"/>
      <c r="H540" s="13"/>
      <c r="I540" s="13">
        <f t="shared" ca="1" si="178"/>
        <v>0</v>
      </c>
      <c r="J540" s="13">
        <f t="shared" ca="1" si="179"/>
        <v>0</v>
      </c>
      <c r="K540" s="13">
        <f t="shared" ca="1" si="180"/>
        <v>0</v>
      </c>
      <c r="L540" s="13" t="e">
        <f ca="1">ROUNDUP(IF($D$2="Egyszeri",$E540,IF($D$2="Havi",SUM($E$20:$E$31),IF(MOD($C540,$M$1)-1=0,SUM($E$20:$E$31),0))/12*$M$1)*VLOOKUP($B540,Paraméterek!$I$28:$P$31,IF($D$2="Egyszeri",8,HLOOKUP(ROUNDUP($M$11+$M$13,0),Paraméterek!$J$26:$O$27,2))),IF($D$4="Forint",0,2))</f>
        <v>#N/A</v>
      </c>
      <c r="M540" s="13">
        <f t="shared" ca="1" si="181"/>
        <v>0</v>
      </c>
      <c r="N540" s="13">
        <f t="shared" ca="1" si="191"/>
        <v>0</v>
      </c>
      <c r="O540" s="13">
        <f ca="1">IF($D540="Igen",IF($W539&gt;=IF($D$4="Forint",Paraméterek!$J$121,Paraméterek!$K$121),0,IF($D$4="Forint",Paraméterek!$J$121,Paraméterek!$K$121)-$W539),0)</f>
        <v>0</v>
      </c>
      <c r="P540" s="13" t="e">
        <f ca="1">ROUNDUP($O540*VLOOKUP($M$4+$B540-1,Paraméterek!$H$58:$I$105,2,0)/Paraméterek!$I$56,IF($D$4="Forint",0,2))</f>
        <v>#N/A</v>
      </c>
      <c r="Q540" s="13">
        <f t="shared" ca="1" si="182"/>
        <v>0</v>
      </c>
      <c r="R540" s="33"/>
      <c r="S540" s="13" t="e">
        <f t="shared" ca="1" si="183"/>
        <v>#N/A</v>
      </c>
      <c r="T540" s="13" t="e">
        <f ca="1">ROUNDUP(($N540-$P540-$Q540+$S540)*VLOOKUP($B540,Paraméterek!$I$38:$K$39,IF($D$2="Egyszeri",3,2))/12*IF($D541="Nem",IF($M$13=0,1,$M$13),1),IF($D$4="Forint",0,2))</f>
        <v>#N/A</v>
      </c>
      <c r="U540" s="13"/>
      <c r="V540" s="13"/>
      <c r="W540" s="13" t="e">
        <f ca="1">$N540-$P540-$Q540+$S540-$T540-IF(ROUNDUP(IF(ISBLANK($V540),$U540*0,$V540)/IF($D$2="Egyszeri",VLOOKUP($B540+IF($C540=12,1,0),Paraméterek!$V$257:$W$262,2),IF($B540=1,1,VLOOKUP($B540+IF($C540=12,1,0),Paraméterek!$I$258:$T$278,HLOOKUP($M$11+1,Paraméterek!$J$256:$T$257,2)))),IF($D$4="Forint",0,2))&gt;$N540-$P540-$Q540+$S540-$T540-IF($D$4="Forint",Paraméterek!$C$216,Paraméterek!$D$216),0,ROUNDUP(IF(ISBLANK($V540),$U540*0,$V540)/IF($D$2="Egyszeri",VLOOKUP($B540+IF($C540=12,1,0),Paraméterek!$V$257:$W$262,2),IF($B540=1,1,VLOOKUP($B540+IF($C540=12,1,0),Paraméterek!$I$258:$T$278,HLOOKUP($M$11+1,Paraméterek!$J$256:$T$257,2)))),IF($D$4="Forint",0,2)))</f>
        <v>#N/A</v>
      </c>
      <c r="X540" s="13" t="e">
        <f ca="1">ROUNDDOWN($W540*IF($D$2="Egyszeri",VLOOKUP($B540+IF($C540=12,1,0),Paraméterek!$V$257:$W$262,2),VLOOKUP($B540+IF($C540=12,1,0),Paraméterek!$I$258:$T$278,HLOOKUP($M$11+1,Paraméterek!$I$256:$T$257,2))),IF($D$4="Forint",0,2))</f>
        <v>#N/A</v>
      </c>
      <c r="Z540" s="32">
        <v>521</v>
      </c>
      <c r="AA540" s="32">
        <v>44</v>
      </c>
      <c r="AB540" s="32">
        <v>5</v>
      </c>
      <c r="AC540" s="13">
        <f t="shared" ca="1" si="192"/>
        <v>0</v>
      </c>
      <c r="AD540" s="33"/>
      <c r="AE540" s="13">
        <f t="shared" ca="1" si="184"/>
        <v>0</v>
      </c>
      <c r="AF540" s="13">
        <f ca="1">ROUNDUP(($AC540+$AE540)*VLOOKUP($AA540,Paraméterek!$P$38:$Q$38,2)/12*IF($D541="Nem",IF($M$13=0,1,$M$13),1),IF($D$4="Forint",0,2))</f>
        <v>0</v>
      </c>
      <c r="AG540" s="13">
        <f ca="1">IF($D$2="Egyszeri",IF($D$7&gt;=IF($D$4="Forint",Paraméterek!$P$223,Paraméterek!$P$224),$D$7-IF($D$4="Forint",Paraméterek!$P$223,Paraméterek!$P$224),0),MIN(IF($AB540=12,AVERAGEIF($E$20:$E540,"&gt;0",$E$20:$E540)*12,0),SUM($E$20:$E$31)))</f>
        <v>0</v>
      </c>
      <c r="AH540" s="13">
        <f>IF($AA540=10,$AG540*IF($AB540=12,IF($AG540&lt;IF($D$4="Forint",Paraméterek!$L$223,Paraméterek!$L$224),0,VLOOKUP($AA540,Paraméterek!$K$226:$M$228,IF($AG540&lt;IF($D$4="Forint",Paraméterek!$M$223,Paraméterek!$M$224),2,3))),0),0)</f>
        <v>0</v>
      </c>
      <c r="AI540" s="13">
        <f ca="1">IF(AND($AA540=$M$11+1,$AB540=$M$12+1),SUMIF($AA$20:$AA$1027,$AA540,$AG$20:$AG$1027)*IF(SUMIF($AA$20:$AA$1027,$AA540,$AG$20:$AG$1027)&lt;IF($D$4="Forint",Paraméterek!$L$223,Paraméterek!$L$224),0,VLOOKUP($AA540,Paraméterek!$K$230:$M$250,IF(SUMIF($AA$20:$AA$1027,$AA540,$AG$20:$AG$1027)&lt;IF($D$4="Forint",Paraméterek!$M$223,Paraméterek!$M$224),2,3))),0)</f>
        <v>0</v>
      </c>
      <c r="AJ540" s="13">
        <f ca="1">IF(AND($AA540&gt;=5,MOD($AA540,5)=0),IF($AB540=12,VLOOKUP($AA540,Paraméterek!$O$225:$P$240,2),0),IF(OR($AA540=3,$AA540=4),IF($AB540=12,VLOOKUP($AA540,Paraméterek!$O$225:$P$240,2,0),0),0))*$AG540</f>
        <v>0</v>
      </c>
      <c r="AK540" s="13">
        <f t="shared" ca="1" si="185"/>
        <v>0</v>
      </c>
      <c r="AL540" s="13">
        <f t="shared" ca="1" si="193"/>
        <v>0</v>
      </c>
      <c r="AM540" s="13">
        <f t="shared" ca="1" si="194"/>
        <v>0</v>
      </c>
      <c r="AO540" s="32">
        <v>521</v>
      </c>
      <c r="AP540" s="32">
        <v>44</v>
      </c>
      <c r="AQ540" s="32">
        <v>5</v>
      </c>
      <c r="AR540" s="13"/>
      <c r="AS540" s="32"/>
      <c r="AT540" s="13">
        <f t="shared" ca="1" si="195"/>
        <v>0</v>
      </c>
      <c r="AU540" s="33"/>
      <c r="AV540" s="13">
        <f t="shared" ca="1" si="186"/>
        <v>0</v>
      </c>
      <c r="AW540" s="13">
        <f ca="1">ROUNDUP(($AT540+$AV540)*VLOOKUP($AP540,Paraméterek!$P$38:$Q$38,2)/12*IF($D541="Nem",IF($M$13=0,1,$M$13),1),IF($D$4="Forint",0,2))</f>
        <v>0</v>
      </c>
      <c r="AX540" s="13"/>
      <c r="AY540" s="13"/>
      <c r="AZ540" s="13">
        <f>ROUNDUP(IF(SUM($AX540:$AY540)=0,0,IF(IF(ISBLANK($AY540),$AX540,$AY540)*Paraméterek!$J$112&lt;IF($D$4="Forint",Paraméterek!$J$113,Paraméterek!$K$113),IF($D$4="Forint",Paraméterek!$J$113,Paraméterek!$K$113),IF(IF(ISBLANK($AY540),$AX540,$AY540)*Paraméterek!$J$112&gt;IF($D$4="Forint",Paraméterek!$J$114,Paraméterek!$K$114),IF($D$4="Forint",Paraméterek!$J$114,Paraméterek!$K$114),IF(ISBLANK($AY540),$AX540,$AY540)*Paraméterek!$J$112))),IF($D$4="Forint",0,2))</f>
        <v>0</v>
      </c>
      <c r="BA540" s="13">
        <f ca="1">$AT540+$AV540-$AW540-IF(ROUNDDOWN(IF(ISBLANK($AY540),$AX540,$AY540),IF($D$4="Forint",0,2))&gt;$AT540+$AV540-$AW540-IF($D$4="Forint",Paraméterek!$J$114,Paraméterek!$K$114),0,ROUNDDOWN(IF(ISBLANK($AY540),$AX540,$AY540),IF($D$4="Forint",0,2))-$AZ540)</f>
        <v>0</v>
      </c>
      <c r="BB540" s="13">
        <f t="shared" ca="1" si="187"/>
        <v>0</v>
      </c>
      <c r="BD540" s="32">
        <v>521</v>
      </c>
      <c r="BE540" s="32">
        <v>44</v>
      </c>
      <c r="BF540" s="32">
        <v>5</v>
      </c>
      <c r="BG540" s="34">
        <f t="shared" ca="1" si="196"/>
        <v>2062</v>
      </c>
      <c r="BH540" s="32" t="str">
        <f ca="1">IF(MOD(MONTH($D$14)+$BD540-1,12)=Paraméterek!$C$288,"Igen","")</f>
        <v/>
      </c>
      <c r="BI540" s="13">
        <f ca="1">IF($BH540="Igen",MIN(ROUNDDOWN((SUMIF($BG$20:$BG$1027,$BG540-1,$K$20:$K$1027)-SUMIF($BG$20:$BG$1027,$BG540-1,$I$20:$I$1027))*Paraméterek!$C$289,IF($D$4="Forint",0,2)),IF($D$4="Forint",Paraméterek!$C$285,Paraméterek!$D$285)),0)</f>
        <v>0</v>
      </c>
      <c r="BJ540" s="13">
        <f t="shared" ca="1" si="188"/>
        <v>0</v>
      </c>
      <c r="BK540" s="13">
        <f t="shared" ca="1" si="197"/>
        <v>0</v>
      </c>
      <c r="BL540" s="33"/>
      <c r="BM540" s="13">
        <f t="shared" ca="1" si="189"/>
        <v>0</v>
      </c>
      <c r="BN540" s="13">
        <f ca="1">ROUNDUP(($BK540+$BM540)*VLOOKUP($BE540,Paraméterek!$P$38:$Q$38,2)/12*IF($D541="Nem",IF($M$13=0,1,$M$13),1),IF($D$4="Forint",0,2))</f>
        <v>0</v>
      </c>
      <c r="BO540" s="13">
        <f t="shared" ca="1" si="190"/>
        <v>0</v>
      </c>
      <c r="BP540" s="13">
        <f ca="1">IF($D541="Nem",$BO540,$BO540-ROUNDUP(SUM($BI$20:$BI540)*120%,IF($D$4="Forint",0,2)))</f>
        <v>0</v>
      </c>
    </row>
    <row r="541" spans="1:68" x14ac:dyDescent="0.2">
      <c r="A541" s="32">
        <v>522</v>
      </c>
      <c r="B541" s="32">
        <v>44</v>
      </c>
      <c r="C541" s="32">
        <v>6</v>
      </c>
      <c r="D541" s="32" t="str">
        <f t="shared" ca="1" si="176"/>
        <v>Nem</v>
      </c>
      <c r="E541" s="13">
        <f t="shared" ca="1" si="177"/>
        <v>0</v>
      </c>
      <c r="F541" s="13"/>
      <c r="G541" s="13"/>
      <c r="H541" s="13"/>
      <c r="I541" s="13">
        <f t="shared" ca="1" si="178"/>
        <v>0</v>
      </c>
      <c r="J541" s="13">
        <f t="shared" ca="1" si="179"/>
        <v>0</v>
      </c>
      <c r="K541" s="13">
        <f t="shared" ca="1" si="180"/>
        <v>0</v>
      </c>
      <c r="L541" s="13" t="e">
        <f ca="1">ROUNDUP(IF($D$2="Egyszeri",$E541,IF($D$2="Havi",SUM($E$20:$E$31),IF(MOD($C541,$M$1)-1=0,SUM($E$20:$E$31),0))/12*$M$1)*VLOOKUP($B541,Paraméterek!$I$28:$P$31,IF($D$2="Egyszeri",8,HLOOKUP(ROUNDUP($M$11+$M$13,0),Paraméterek!$J$26:$O$27,2))),IF($D$4="Forint",0,2))</f>
        <v>#N/A</v>
      </c>
      <c r="M541" s="13">
        <f t="shared" ca="1" si="181"/>
        <v>0</v>
      </c>
      <c r="N541" s="13">
        <f t="shared" ca="1" si="191"/>
        <v>0</v>
      </c>
      <c r="O541" s="13">
        <f ca="1">IF($D541="Igen",IF($W540&gt;=IF($D$4="Forint",Paraméterek!$J$121,Paraméterek!$K$121),0,IF($D$4="Forint",Paraméterek!$J$121,Paraméterek!$K$121)-$W540),0)</f>
        <v>0</v>
      </c>
      <c r="P541" s="13" t="e">
        <f ca="1">ROUNDUP($O541*VLOOKUP($M$4+$B541-1,Paraméterek!$H$58:$I$105,2,0)/Paraméterek!$I$56,IF($D$4="Forint",0,2))</f>
        <v>#N/A</v>
      </c>
      <c r="Q541" s="13">
        <f t="shared" ca="1" si="182"/>
        <v>0</v>
      </c>
      <c r="R541" s="33"/>
      <c r="S541" s="13" t="e">
        <f t="shared" ca="1" si="183"/>
        <v>#N/A</v>
      </c>
      <c r="T541" s="13" t="e">
        <f ca="1">ROUNDUP(($N541-$P541-$Q541+$S541)*VLOOKUP($B541,Paraméterek!$I$38:$K$39,IF($D$2="Egyszeri",3,2))/12*IF($D542="Nem",IF($M$13=0,1,$M$13),1),IF($D$4="Forint",0,2))</f>
        <v>#N/A</v>
      </c>
      <c r="U541" s="13"/>
      <c r="V541" s="13"/>
      <c r="W541" s="13" t="e">
        <f ca="1">$N541-$P541-$Q541+$S541-$T541-IF(ROUNDUP(IF(ISBLANK($V541),$U541*0,$V541)/IF($D$2="Egyszeri",VLOOKUP($B541+IF($C541=12,1,0),Paraméterek!$V$257:$W$262,2),IF($B541=1,1,VLOOKUP($B541+IF($C541=12,1,0),Paraméterek!$I$258:$T$278,HLOOKUP($M$11+1,Paraméterek!$J$256:$T$257,2)))),IF($D$4="Forint",0,2))&gt;$N541-$P541-$Q541+$S541-$T541-IF($D$4="Forint",Paraméterek!$C$216,Paraméterek!$D$216),0,ROUNDUP(IF(ISBLANK($V541),$U541*0,$V541)/IF($D$2="Egyszeri",VLOOKUP($B541+IF($C541=12,1,0),Paraméterek!$V$257:$W$262,2),IF($B541=1,1,VLOOKUP($B541+IF($C541=12,1,0),Paraméterek!$I$258:$T$278,HLOOKUP($M$11+1,Paraméterek!$J$256:$T$257,2)))),IF($D$4="Forint",0,2)))</f>
        <v>#N/A</v>
      </c>
      <c r="X541" s="13" t="e">
        <f ca="1">ROUNDDOWN($W541*IF($D$2="Egyszeri",VLOOKUP($B541+IF($C541=12,1,0),Paraméterek!$V$257:$W$262,2),VLOOKUP($B541+IF($C541=12,1,0),Paraméterek!$I$258:$T$278,HLOOKUP($M$11+1,Paraméterek!$I$256:$T$257,2))),IF($D$4="Forint",0,2))</f>
        <v>#N/A</v>
      </c>
      <c r="Z541" s="32">
        <v>522</v>
      </c>
      <c r="AA541" s="32">
        <v>44</v>
      </c>
      <c r="AB541" s="32">
        <v>6</v>
      </c>
      <c r="AC541" s="13">
        <f t="shared" ca="1" si="192"/>
        <v>0</v>
      </c>
      <c r="AD541" s="33"/>
      <c r="AE541" s="13">
        <f t="shared" ca="1" si="184"/>
        <v>0</v>
      </c>
      <c r="AF541" s="13">
        <f ca="1">ROUNDUP(($AC541+$AE541)*VLOOKUP($AA541,Paraméterek!$P$38:$Q$38,2)/12*IF($D542="Nem",IF($M$13=0,1,$M$13),1),IF($D$4="Forint",0,2))</f>
        <v>0</v>
      </c>
      <c r="AG541" s="13">
        <f ca="1">IF($D$2="Egyszeri",IF($D$7&gt;=IF($D$4="Forint",Paraméterek!$P$223,Paraméterek!$P$224),$D$7-IF($D$4="Forint",Paraméterek!$P$223,Paraméterek!$P$224),0),MIN(IF($AB541=12,AVERAGEIF($E$20:$E541,"&gt;0",$E$20:$E541)*12,0),SUM($E$20:$E$31)))</f>
        <v>0</v>
      </c>
      <c r="AH541" s="13">
        <f>IF($AA541=10,$AG541*IF($AB541=12,IF($AG541&lt;IF($D$4="Forint",Paraméterek!$L$223,Paraméterek!$L$224),0,VLOOKUP($AA541,Paraméterek!$K$226:$M$228,IF($AG541&lt;IF($D$4="Forint",Paraméterek!$M$223,Paraméterek!$M$224),2,3))),0),0)</f>
        <v>0</v>
      </c>
      <c r="AI541" s="13">
        <f ca="1">IF(AND($AA541=$M$11+1,$AB541=$M$12+1),SUMIF($AA$20:$AA$1027,$AA541,$AG$20:$AG$1027)*IF(SUMIF($AA$20:$AA$1027,$AA541,$AG$20:$AG$1027)&lt;IF($D$4="Forint",Paraméterek!$L$223,Paraméterek!$L$224),0,VLOOKUP($AA541,Paraméterek!$K$230:$M$250,IF(SUMIF($AA$20:$AA$1027,$AA541,$AG$20:$AG$1027)&lt;IF($D$4="Forint",Paraméterek!$M$223,Paraméterek!$M$224),2,3))),0)</f>
        <v>0</v>
      </c>
      <c r="AJ541" s="13">
        <f ca="1">IF(AND($AA541&gt;=5,MOD($AA541,5)=0),IF($AB541=12,VLOOKUP($AA541,Paraméterek!$O$225:$P$240,2),0),IF(OR($AA541=3,$AA541=4),IF($AB541=12,VLOOKUP($AA541,Paraméterek!$O$225:$P$240,2,0),0),0))*$AG541</f>
        <v>0</v>
      </c>
      <c r="AK541" s="13">
        <f t="shared" ca="1" si="185"/>
        <v>0</v>
      </c>
      <c r="AL541" s="13">
        <f t="shared" ca="1" si="193"/>
        <v>0</v>
      </c>
      <c r="AM541" s="13">
        <f t="shared" ca="1" si="194"/>
        <v>0</v>
      </c>
      <c r="AO541" s="32">
        <v>522</v>
      </c>
      <c r="AP541" s="32">
        <v>44</v>
      </c>
      <c r="AQ541" s="32">
        <v>6</v>
      </c>
      <c r="AR541" s="13"/>
      <c r="AS541" s="32"/>
      <c r="AT541" s="13">
        <f t="shared" ca="1" si="195"/>
        <v>0</v>
      </c>
      <c r="AU541" s="33"/>
      <c r="AV541" s="13">
        <f t="shared" ca="1" si="186"/>
        <v>0</v>
      </c>
      <c r="AW541" s="13">
        <f ca="1">ROUNDUP(($AT541+$AV541)*VLOOKUP($AP541,Paraméterek!$P$38:$Q$38,2)/12*IF($D542="Nem",IF($M$13=0,1,$M$13),1),IF($D$4="Forint",0,2))</f>
        <v>0</v>
      </c>
      <c r="AX541" s="13"/>
      <c r="AY541" s="13"/>
      <c r="AZ541" s="13">
        <f>ROUNDUP(IF(SUM($AX541:$AY541)=0,0,IF(IF(ISBLANK($AY541),$AX541,$AY541)*Paraméterek!$J$112&lt;IF($D$4="Forint",Paraméterek!$J$113,Paraméterek!$K$113),IF($D$4="Forint",Paraméterek!$J$113,Paraméterek!$K$113),IF(IF(ISBLANK($AY541),$AX541,$AY541)*Paraméterek!$J$112&gt;IF($D$4="Forint",Paraméterek!$J$114,Paraméterek!$K$114),IF($D$4="Forint",Paraméterek!$J$114,Paraméterek!$K$114),IF(ISBLANK($AY541),$AX541,$AY541)*Paraméterek!$J$112))),IF($D$4="Forint",0,2))</f>
        <v>0</v>
      </c>
      <c r="BA541" s="13">
        <f ca="1">$AT541+$AV541-$AW541-IF(ROUNDDOWN(IF(ISBLANK($AY541),$AX541,$AY541),IF($D$4="Forint",0,2))&gt;$AT541+$AV541-$AW541-IF($D$4="Forint",Paraméterek!$J$114,Paraméterek!$K$114),0,ROUNDDOWN(IF(ISBLANK($AY541),$AX541,$AY541),IF($D$4="Forint",0,2))-$AZ541)</f>
        <v>0</v>
      </c>
      <c r="BB541" s="13">
        <f t="shared" ca="1" si="187"/>
        <v>0</v>
      </c>
      <c r="BD541" s="32">
        <v>522</v>
      </c>
      <c r="BE541" s="32">
        <v>44</v>
      </c>
      <c r="BF541" s="32">
        <v>6</v>
      </c>
      <c r="BG541" s="34">
        <f t="shared" ca="1" si="196"/>
        <v>2062</v>
      </c>
      <c r="BH541" s="32" t="str">
        <f ca="1">IF(MOD(MONTH($D$14)+$BD541-1,12)=Paraméterek!$C$288,"Igen","")</f>
        <v/>
      </c>
      <c r="BI541" s="13">
        <f ca="1">IF($BH541="Igen",MIN(ROUNDDOWN((SUMIF($BG$20:$BG$1027,$BG541-1,$K$20:$K$1027)-SUMIF($BG$20:$BG$1027,$BG541-1,$I$20:$I$1027))*Paraméterek!$C$289,IF($D$4="Forint",0,2)),IF($D$4="Forint",Paraméterek!$C$285,Paraméterek!$D$285)),0)</f>
        <v>0</v>
      </c>
      <c r="BJ541" s="13">
        <f t="shared" ca="1" si="188"/>
        <v>0</v>
      </c>
      <c r="BK541" s="13">
        <f t="shared" ca="1" si="197"/>
        <v>0</v>
      </c>
      <c r="BL541" s="33"/>
      <c r="BM541" s="13">
        <f t="shared" ca="1" si="189"/>
        <v>0</v>
      </c>
      <c r="BN541" s="13">
        <f ca="1">ROUNDUP(($BK541+$BM541)*VLOOKUP($BE541,Paraméterek!$P$38:$Q$38,2)/12*IF($D542="Nem",IF($M$13=0,1,$M$13),1),IF($D$4="Forint",0,2))</f>
        <v>0</v>
      </c>
      <c r="BO541" s="13">
        <f t="shared" ca="1" si="190"/>
        <v>0</v>
      </c>
      <c r="BP541" s="13">
        <f ca="1">IF($D542="Nem",$BO541,$BO541-ROUNDUP(SUM($BI$20:$BI541)*120%,IF($D$4="Forint",0,2)))</f>
        <v>0</v>
      </c>
    </row>
    <row r="542" spans="1:68" x14ac:dyDescent="0.2">
      <c r="A542" s="32">
        <v>523</v>
      </c>
      <c r="B542" s="32">
        <v>44</v>
      </c>
      <c r="C542" s="32">
        <v>7</v>
      </c>
      <c r="D542" s="32" t="str">
        <f t="shared" ca="1" si="176"/>
        <v>Nem</v>
      </c>
      <c r="E542" s="13">
        <f t="shared" ca="1" si="177"/>
        <v>0</v>
      </c>
      <c r="F542" s="13"/>
      <c r="G542" s="13"/>
      <c r="H542" s="13"/>
      <c r="I542" s="13">
        <f t="shared" ca="1" si="178"/>
        <v>0</v>
      </c>
      <c r="J542" s="13">
        <f t="shared" ca="1" si="179"/>
        <v>0</v>
      </c>
      <c r="K542" s="13">
        <f t="shared" ca="1" si="180"/>
        <v>0</v>
      </c>
      <c r="L542" s="13" t="e">
        <f ca="1">ROUNDUP(IF($D$2="Egyszeri",$E542,IF($D$2="Havi",SUM($E$20:$E$31),IF(MOD($C542,$M$1)-1=0,SUM($E$20:$E$31),0))/12*$M$1)*VLOOKUP($B542,Paraméterek!$I$28:$P$31,IF($D$2="Egyszeri",8,HLOOKUP(ROUNDUP($M$11+$M$13,0),Paraméterek!$J$26:$O$27,2))),IF($D$4="Forint",0,2))</f>
        <v>#N/A</v>
      </c>
      <c r="M542" s="13">
        <f t="shared" ca="1" si="181"/>
        <v>0</v>
      </c>
      <c r="N542" s="13">
        <f t="shared" ca="1" si="191"/>
        <v>0</v>
      </c>
      <c r="O542" s="13">
        <f ca="1">IF($D542="Igen",IF($W541&gt;=IF($D$4="Forint",Paraméterek!$J$121,Paraméterek!$K$121),0,IF($D$4="Forint",Paraméterek!$J$121,Paraméterek!$K$121)-$W541),0)</f>
        <v>0</v>
      </c>
      <c r="P542" s="13" t="e">
        <f ca="1">ROUNDUP($O542*VLOOKUP($M$4+$B542-1,Paraméterek!$H$58:$I$105,2,0)/Paraméterek!$I$56,IF($D$4="Forint",0,2))</f>
        <v>#N/A</v>
      </c>
      <c r="Q542" s="13">
        <f t="shared" ca="1" si="182"/>
        <v>0</v>
      </c>
      <c r="R542" s="33"/>
      <c r="S542" s="13" t="e">
        <f t="shared" ca="1" si="183"/>
        <v>#N/A</v>
      </c>
      <c r="T542" s="13" t="e">
        <f ca="1">ROUNDUP(($N542-$P542-$Q542+$S542)*VLOOKUP($B542,Paraméterek!$I$38:$K$39,IF($D$2="Egyszeri",3,2))/12*IF($D543="Nem",IF($M$13=0,1,$M$13),1),IF($D$4="Forint",0,2))</f>
        <v>#N/A</v>
      </c>
      <c r="U542" s="13"/>
      <c r="V542" s="13"/>
      <c r="W542" s="13" t="e">
        <f ca="1">$N542-$P542-$Q542+$S542-$T542-IF(ROUNDUP(IF(ISBLANK($V542),$U542*0,$V542)/IF($D$2="Egyszeri",VLOOKUP($B542+IF($C542=12,1,0),Paraméterek!$V$257:$W$262,2),IF($B542=1,1,VLOOKUP($B542+IF($C542=12,1,0),Paraméterek!$I$258:$T$278,HLOOKUP($M$11+1,Paraméterek!$J$256:$T$257,2)))),IF($D$4="Forint",0,2))&gt;$N542-$P542-$Q542+$S542-$T542-IF($D$4="Forint",Paraméterek!$C$216,Paraméterek!$D$216),0,ROUNDUP(IF(ISBLANK($V542),$U542*0,$V542)/IF($D$2="Egyszeri",VLOOKUP($B542+IF($C542=12,1,0),Paraméterek!$V$257:$W$262,2),IF($B542=1,1,VLOOKUP($B542+IF($C542=12,1,0),Paraméterek!$I$258:$T$278,HLOOKUP($M$11+1,Paraméterek!$J$256:$T$257,2)))),IF($D$4="Forint",0,2)))</f>
        <v>#N/A</v>
      </c>
      <c r="X542" s="13" t="e">
        <f ca="1">ROUNDDOWN($W542*IF($D$2="Egyszeri",VLOOKUP($B542+IF($C542=12,1,0),Paraméterek!$V$257:$W$262,2),VLOOKUP($B542+IF($C542=12,1,0),Paraméterek!$I$258:$T$278,HLOOKUP($M$11+1,Paraméterek!$I$256:$T$257,2))),IF($D$4="Forint",0,2))</f>
        <v>#N/A</v>
      </c>
      <c r="Z542" s="32">
        <v>523</v>
      </c>
      <c r="AA542" s="32">
        <v>44</v>
      </c>
      <c r="AB542" s="32">
        <v>7</v>
      </c>
      <c r="AC542" s="13">
        <f t="shared" ca="1" si="192"/>
        <v>0</v>
      </c>
      <c r="AD542" s="33"/>
      <c r="AE542" s="13">
        <f t="shared" ca="1" si="184"/>
        <v>0</v>
      </c>
      <c r="AF542" s="13">
        <f ca="1">ROUNDUP(($AC542+$AE542)*VLOOKUP($AA542,Paraméterek!$P$38:$Q$38,2)/12*IF($D543="Nem",IF($M$13=0,1,$M$13),1),IF($D$4="Forint",0,2))</f>
        <v>0</v>
      </c>
      <c r="AG542" s="13">
        <f ca="1">IF($D$2="Egyszeri",IF($D$7&gt;=IF($D$4="Forint",Paraméterek!$P$223,Paraméterek!$P$224),$D$7-IF($D$4="Forint",Paraméterek!$P$223,Paraméterek!$P$224),0),MIN(IF($AB542=12,AVERAGEIF($E$20:$E542,"&gt;0",$E$20:$E542)*12,0),SUM($E$20:$E$31)))</f>
        <v>0</v>
      </c>
      <c r="AH542" s="13">
        <f>IF($AA542=10,$AG542*IF($AB542=12,IF($AG542&lt;IF($D$4="Forint",Paraméterek!$L$223,Paraméterek!$L$224),0,VLOOKUP($AA542,Paraméterek!$K$226:$M$228,IF($AG542&lt;IF($D$4="Forint",Paraméterek!$M$223,Paraméterek!$M$224),2,3))),0),0)</f>
        <v>0</v>
      </c>
      <c r="AI542" s="13">
        <f ca="1">IF(AND($AA542=$M$11+1,$AB542=$M$12+1),SUMIF($AA$20:$AA$1027,$AA542,$AG$20:$AG$1027)*IF(SUMIF($AA$20:$AA$1027,$AA542,$AG$20:$AG$1027)&lt;IF($D$4="Forint",Paraméterek!$L$223,Paraméterek!$L$224),0,VLOOKUP($AA542,Paraméterek!$K$230:$M$250,IF(SUMIF($AA$20:$AA$1027,$AA542,$AG$20:$AG$1027)&lt;IF($D$4="Forint",Paraméterek!$M$223,Paraméterek!$M$224),2,3))),0)</f>
        <v>0</v>
      </c>
      <c r="AJ542" s="13">
        <f ca="1">IF(AND($AA542&gt;=5,MOD($AA542,5)=0),IF($AB542=12,VLOOKUP($AA542,Paraméterek!$O$225:$P$240,2),0),IF(OR($AA542=3,$AA542=4),IF($AB542=12,VLOOKUP($AA542,Paraméterek!$O$225:$P$240,2,0),0),0))*$AG542</f>
        <v>0</v>
      </c>
      <c r="AK542" s="13">
        <f t="shared" ca="1" si="185"/>
        <v>0</v>
      </c>
      <c r="AL542" s="13">
        <f t="shared" ca="1" si="193"/>
        <v>0</v>
      </c>
      <c r="AM542" s="13">
        <f t="shared" ca="1" si="194"/>
        <v>0</v>
      </c>
      <c r="AO542" s="32">
        <v>523</v>
      </c>
      <c r="AP542" s="32">
        <v>44</v>
      </c>
      <c r="AQ542" s="32">
        <v>7</v>
      </c>
      <c r="AR542" s="13"/>
      <c r="AS542" s="32"/>
      <c r="AT542" s="13">
        <f t="shared" ca="1" si="195"/>
        <v>0</v>
      </c>
      <c r="AU542" s="33"/>
      <c r="AV542" s="13">
        <f t="shared" ca="1" si="186"/>
        <v>0</v>
      </c>
      <c r="AW542" s="13">
        <f ca="1">ROUNDUP(($AT542+$AV542)*VLOOKUP($AP542,Paraméterek!$P$38:$Q$38,2)/12*IF($D543="Nem",IF($M$13=0,1,$M$13),1),IF($D$4="Forint",0,2))</f>
        <v>0</v>
      </c>
      <c r="AX542" s="13"/>
      <c r="AY542" s="13"/>
      <c r="AZ542" s="13">
        <f>ROUNDUP(IF(SUM($AX542:$AY542)=0,0,IF(IF(ISBLANK($AY542),$AX542,$AY542)*Paraméterek!$J$112&lt;IF($D$4="Forint",Paraméterek!$J$113,Paraméterek!$K$113),IF($D$4="Forint",Paraméterek!$J$113,Paraméterek!$K$113),IF(IF(ISBLANK($AY542),$AX542,$AY542)*Paraméterek!$J$112&gt;IF($D$4="Forint",Paraméterek!$J$114,Paraméterek!$K$114),IF($D$4="Forint",Paraméterek!$J$114,Paraméterek!$K$114),IF(ISBLANK($AY542),$AX542,$AY542)*Paraméterek!$J$112))),IF($D$4="Forint",0,2))</f>
        <v>0</v>
      </c>
      <c r="BA542" s="13">
        <f ca="1">$AT542+$AV542-$AW542-IF(ROUNDDOWN(IF(ISBLANK($AY542),$AX542,$AY542),IF($D$4="Forint",0,2))&gt;$AT542+$AV542-$AW542-IF($D$4="Forint",Paraméterek!$J$114,Paraméterek!$K$114),0,ROUNDDOWN(IF(ISBLANK($AY542),$AX542,$AY542),IF($D$4="Forint",0,2))-$AZ542)</f>
        <v>0</v>
      </c>
      <c r="BB542" s="13">
        <f t="shared" ca="1" si="187"/>
        <v>0</v>
      </c>
      <c r="BD542" s="32">
        <v>523</v>
      </c>
      <c r="BE542" s="32">
        <v>44</v>
      </c>
      <c r="BF542" s="32">
        <v>7</v>
      </c>
      <c r="BG542" s="34">
        <f t="shared" ca="1" si="196"/>
        <v>2062</v>
      </c>
      <c r="BH542" s="32" t="str">
        <f ca="1">IF(MOD(MONTH($D$14)+$BD542-1,12)=Paraméterek!$C$288,"Igen","")</f>
        <v/>
      </c>
      <c r="BI542" s="13">
        <f ca="1">IF($BH542="Igen",MIN(ROUNDDOWN((SUMIF($BG$20:$BG$1027,$BG542-1,$K$20:$K$1027)-SUMIF($BG$20:$BG$1027,$BG542-1,$I$20:$I$1027))*Paraméterek!$C$289,IF($D$4="Forint",0,2)),IF($D$4="Forint",Paraméterek!$C$285,Paraméterek!$D$285)),0)</f>
        <v>0</v>
      </c>
      <c r="BJ542" s="13">
        <f t="shared" ca="1" si="188"/>
        <v>0</v>
      </c>
      <c r="BK542" s="13">
        <f t="shared" ca="1" si="197"/>
        <v>0</v>
      </c>
      <c r="BL542" s="33"/>
      <c r="BM542" s="13">
        <f t="shared" ca="1" si="189"/>
        <v>0</v>
      </c>
      <c r="BN542" s="13">
        <f ca="1">ROUNDUP(($BK542+$BM542)*VLOOKUP($BE542,Paraméterek!$P$38:$Q$38,2)/12*IF($D543="Nem",IF($M$13=0,1,$M$13),1),IF($D$4="Forint",0,2))</f>
        <v>0</v>
      </c>
      <c r="BO542" s="13">
        <f t="shared" ca="1" si="190"/>
        <v>0</v>
      </c>
      <c r="BP542" s="13">
        <f ca="1">IF($D543="Nem",$BO542,$BO542-ROUNDUP(SUM($BI$20:$BI542)*120%,IF($D$4="Forint",0,2)))</f>
        <v>0</v>
      </c>
    </row>
    <row r="543" spans="1:68" x14ac:dyDescent="0.2">
      <c r="A543" s="32">
        <v>524</v>
      </c>
      <c r="B543" s="32">
        <v>44</v>
      </c>
      <c r="C543" s="32">
        <v>8</v>
      </c>
      <c r="D543" s="32" t="str">
        <f t="shared" ca="1" si="176"/>
        <v>Nem</v>
      </c>
      <c r="E543" s="13">
        <f t="shared" ca="1" si="177"/>
        <v>0</v>
      </c>
      <c r="F543" s="13"/>
      <c r="G543" s="13"/>
      <c r="H543" s="13"/>
      <c r="I543" s="13">
        <f t="shared" ca="1" si="178"/>
        <v>0</v>
      </c>
      <c r="J543" s="13">
        <f t="shared" ca="1" si="179"/>
        <v>0</v>
      </c>
      <c r="K543" s="13">
        <f t="shared" ca="1" si="180"/>
        <v>0</v>
      </c>
      <c r="L543" s="13" t="e">
        <f ca="1">ROUNDUP(IF($D$2="Egyszeri",$E543,IF($D$2="Havi",SUM($E$20:$E$31),IF(MOD($C543,$M$1)-1=0,SUM($E$20:$E$31),0))/12*$M$1)*VLOOKUP($B543,Paraméterek!$I$28:$P$31,IF($D$2="Egyszeri",8,HLOOKUP(ROUNDUP($M$11+$M$13,0),Paraméterek!$J$26:$O$27,2))),IF($D$4="Forint",0,2))</f>
        <v>#N/A</v>
      </c>
      <c r="M543" s="13">
        <f t="shared" ca="1" si="181"/>
        <v>0</v>
      </c>
      <c r="N543" s="13">
        <f t="shared" ca="1" si="191"/>
        <v>0</v>
      </c>
      <c r="O543" s="13">
        <f ca="1">IF($D543="Igen",IF($W542&gt;=IF($D$4="Forint",Paraméterek!$J$121,Paraméterek!$K$121),0,IF($D$4="Forint",Paraméterek!$J$121,Paraméterek!$K$121)-$W542),0)</f>
        <v>0</v>
      </c>
      <c r="P543" s="13" t="e">
        <f ca="1">ROUNDUP($O543*VLOOKUP($M$4+$B543-1,Paraméterek!$H$58:$I$105,2,0)/Paraméterek!$I$56,IF($D$4="Forint",0,2))</f>
        <v>#N/A</v>
      </c>
      <c r="Q543" s="13">
        <f t="shared" ca="1" si="182"/>
        <v>0</v>
      </c>
      <c r="R543" s="33"/>
      <c r="S543" s="13" t="e">
        <f t="shared" ca="1" si="183"/>
        <v>#N/A</v>
      </c>
      <c r="T543" s="13" t="e">
        <f ca="1">ROUNDUP(($N543-$P543-$Q543+$S543)*VLOOKUP($B543,Paraméterek!$I$38:$K$39,IF($D$2="Egyszeri",3,2))/12*IF($D544="Nem",IF($M$13=0,1,$M$13),1),IF($D$4="Forint",0,2))</f>
        <v>#N/A</v>
      </c>
      <c r="U543" s="13"/>
      <c r="V543" s="13"/>
      <c r="W543" s="13" t="e">
        <f ca="1">$N543-$P543-$Q543+$S543-$T543-IF(ROUNDUP(IF(ISBLANK($V543),$U543*0,$V543)/IF($D$2="Egyszeri",VLOOKUP($B543+IF($C543=12,1,0),Paraméterek!$V$257:$W$262,2),IF($B543=1,1,VLOOKUP($B543+IF($C543=12,1,0),Paraméterek!$I$258:$T$278,HLOOKUP($M$11+1,Paraméterek!$J$256:$T$257,2)))),IF($D$4="Forint",0,2))&gt;$N543-$P543-$Q543+$S543-$T543-IF($D$4="Forint",Paraméterek!$C$216,Paraméterek!$D$216),0,ROUNDUP(IF(ISBLANK($V543),$U543*0,$V543)/IF($D$2="Egyszeri",VLOOKUP($B543+IF($C543=12,1,0),Paraméterek!$V$257:$W$262,2),IF($B543=1,1,VLOOKUP($B543+IF($C543=12,1,0),Paraméterek!$I$258:$T$278,HLOOKUP($M$11+1,Paraméterek!$J$256:$T$257,2)))),IF($D$4="Forint",0,2)))</f>
        <v>#N/A</v>
      </c>
      <c r="X543" s="13" t="e">
        <f ca="1">ROUNDDOWN($W543*IF($D$2="Egyszeri",VLOOKUP($B543+IF($C543=12,1,0),Paraméterek!$V$257:$W$262,2),VLOOKUP($B543+IF($C543=12,1,0),Paraméterek!$I$258:$T$278,HLOOKUP($M$11+1,Paraméterek!$I$256:$T$257,2))),IF($D$4="Forint",0,2))</f>
        <v>#N/A</v>
      </c>
      <c r="Z543" s="32">
        <v>524</v>
      </c>
      <c r="AA543" s="32">
        <v>44</v>
      </c>
      <c r="AB543" s="32">
        <v>8</v>
      </c>
      <c r="AC543" s="13">
        <f t="shared" ca="1" si="192"/>
        <v>0</v>
      </c>
      <c r="AD543" s="33"/>
      <c r="AE543" s="13">
        <f t="shared" ca="1" si="184"/>
        <v>0</v>
      </c>
      <c r="AF543" s="13">
        <f ca="1">ROUNDUP(($AC543+$AE543)*VLOOKUP($AA543,Paraméterek!$P$38:$Q$38,2)/12*IF($D544="Nem",IF($M$13=0,1,$M$13),1),IF($D$4="Forint",0,2))</f>
        <v>0</v>
      </c>
      <c r="AG543" s="13">
        <f ca="1">IF($D$2="Egyszeri",IF($D$7&gt;=IF($D$4="Forint",Paraméterek!$P$223,Paraméterek!$P$224),$D$7-IF($D$4="Forint",Paraméterek!$P$223,Paraméterek!$P$224),0),MIN(IF($AB543=12,AVERAGEIF($E$20:$E543,"&gt;0",$E$20:$E543)*12,0),SUM($E$20:$E$31)))</f>
        <v>0</v>
      </c>
      <c r="AH543" s="13">
        <f>IF($AA543=10,$AG543*IF($AB543=12,IF($AG543&lt;IF($D$4="Forint",Paraméterek!$L$223,Paraméterek!$L$224),0,VLOOKUP($AA543,Paraméterek!$K$226:$M$228,IF($AG543&lt;IF($D$4="Forint",Paraméterek!$M$223,Paraméterek!$M$224),2,3))),0),0)</f>
        <v>0</v>
      </c>
      <c r="AI543" s="13">
        <f ca="1">IF(AND($AA543=$M$11+1,$AB543=$M$12+1),SUMIF($AA$20:$AA$1027,$AA543,$AG$20:$AG$1027)*IF(SUMIF($AA$20:$AA$1027,$AA543,$AG$20:$AG$1027)&lt;IF($D$4="Forint",Paraméterek!$L$223,Paraméterek!$L$224),0,VLOOKUP($AA543,Paraméterek!$K$230:$M$250,IF(SUMIF($AA$20:$AA$1027,$AA543,$AG$20:$AG$1027)&lt;IF($D$4="Forint",Paraméterek!$M$223,Paraméterek!$M$224),2,3))),0)</f>
        <v>0</v>
      </c>
      <c r="AJ543" s="13">
        <f ca="1">IF(AND($AA543&gt;=5,MOD($AA543,5)=0),IF($AB543=12,VLOOKUP($AA543,Paraméterek!$O$225:$P$240,2),0),IF(OR($AA543=3,$AA543=4),IF($AB543=12,VLOOKUP($AA543,Paraméterek!$O$225:$P$240,2,0),0),0))*$AG543</f>
        <v>0</v>
      </c>
      <c r="AK543" s="13">
        <f t="shared" ca="1" si="185"/>
        <v>0</v>
      </c>
      <c r="AL543" s="13">
        <f t="shared" ca="1" si="193"/>
        <v>0</v>
      </c>
      <c r="AM543" s="13">
        <f t="shared" ca="1" si="194"/>
        <v>0</v>
      </c>
      <c r="AO543" s="32">
        <v>524</v>
      </c>
      <c r="AP543" s="32">
        <v>44</v>
      </c>
      <c r="AQ543" s="32">
        <v>8</v>
      </c>
      <c r="AR543" s="13"/>
      <c r="AS543" s="32"/>
      <c r="AT543" s="13">
        <f t="shared" ca="1" si="195"/>
        <v>0</v>
      </c>
      <c r="AU543" s="33"/>
      <c r="AV543" s="13">
        <f t="shared" ca="1" si="186"/>
        <v>0</v>
      </c>
      <c r="AW543" s="13">
        <f ca="1">ROUNDUP(($AT543+$AV543)*VLOOKUP($AP543,Paraméterek!$P$38:$Q$38,2)/12*IF($D544="Nem",IF($M$13=0,1,$M$13),1),IF($D$4="Forint",0,2))</f>
        <v>0</v>
      </c>
      <c r="AX543" s="13"/>
      <c r="AY543" s="13"/>
      <c r="AZ543" s="13">
        <f>ROUNDUP(IF(SUM($AX543:$AY543)=0,0,IF(IF(ISBLANK($AY543),$AX543,$AY543)*Paraméterek!$J$112&lt;IF($D$4="Forint",Paraméterek!$J$113,Paraméterek!$K$113),IF($D$4="Forint",Paraméterek!$J$113,Paraméterek!$K$113),IF(IF(ISBLANK($AY543),$AX543,$AY543)*Paraméterek!$J$112&gt;IF($D$4="Forint",Paraméterek!$J$114,Paraméterek!$K$114),IF($D$4="Forint",Paraméterek!$J$114,Paraméterek!$K$114),IF(ISBLANK($AY543),$AX543,$AY543)*Paraméterek!$J$112))),IF($D$4="Forint",0,2))</f>
        <v>0</v>
      </c>
      <c r="BA543" s="13">
        <f ca="1">$AT543+$AV543-$AW543-IF(ROUNDDOWN(IF(ISBLANK($AY543),$AX543,$AY543),IF($D$4="Forint",0,2))&gt;$AT543+$AV543-$AW543-IF($D$4="Forint",Paraméterek!$J$114,Paraméterek!$K$114),0,ROUNDDOWN(IF(ISBLANK($AY543),$AX543,$AY543),IF($D$4="Forint",0,2))-$AZ543)</f>
        <v>0</v>
      </c>
      <c r="BB543" s="13">
        <f t="shared" ca="1" si="187"/>
        <v>0</v>
      </c>
      <c r="BD543" s="32">
        <v>524</v>
      </c>
      <c r="BE543" s="32">
        <v>44</v>
      </c>
      <c r="BF543" s="32">
        <v>8</v>
      </c>
      <c r="BG543" s="34">
        <f t="shared" ca="1" si="196"/>
        <v>2063</v>
      </c>
      <c r="BH543" s="32" t="str">
        <f ca="1">IF(MOD(MONTH($D$14)+$BD543-1,12)=Paraméterek!$C$288,"Igen","")</f>
        <v/>
      </c>
      <c r="BI543" s="13">
        <f ca="1">IF($BH543="Igen",MIN(ROUNDDOWN((SUMIF($BG$20:$BG$1027,$BG543-1,$K$20:$K$1027)-SUMIF($BG$20:$BG$1027,$BG543-1,$I$20:$I$1027))*Paraméterek!$C$289,IF($D$4="Forint",0,2)),IF($D$4="Forint",Paraméterek!$C$285,Paraméterek!$D$285)),0)</f>
        <v>0</v>
      </c>
      <c r="BJ543" s="13">
        <f t="shared" ca="1" si="188"/>
        <v>0</v>
      </c>
      <c r="BK543" s="13">
        <f t="shared" ca="1" si="197"/>
        <v>0</v>
      </c>
      <c r="BL543" s="33"/>
      <c r="BM543" s="13">
        <f t="shared" ca="1" si="189"/>
        <v>0</v>
      </c>
      <c r="BN543" s="13">
        <f ca="1">ROUNDUP(($BK543+$BM543)*VLOOKUP($BE543,Paraméterek!$P$38:$Q$38,2)/12*IF($D544="Nem",IF($M$13=0,1,$M$13),1),IF($D$4="Forint",0,2))</f>
        <v>0</v>
      </c>
      <c r="BO543" s="13">
        <f t="shared" ca="1" si="190"/>
        <v>0</v>
      </c>
      <c r="BP543" s="13">
        <f ca="1">IF($D544="Nem",$BO543,$BO543-ROUNDUP(SUM($BI$20:$BI543)*120%,IF($D$4="Forint",0,2)))</f>
        <v>0</v>
      </c>
    </row>
    <row r="544" spans="1:68" x14ac:dyDescent="0.2">
      <c r="A544" s="32">
        <v>525</v>
      </c>
      <c r="B544" s="32">
        <v>44</v>
      </c>
      <c r="C544" s="32">
        <v>9</v>
      </c>
      <c r="D544" s="32" t="str">
        <f t="shared" ca="1" si="176"/>
        <v>Nem</v>
      </c>
      <c r="E544" s="13">
        <f t="shared" ca="1" si="177"/>
        <v>0</v>
      </c>
      <c r="F544" s="13"/>
      <c r="G544" s="13"/>
      <c r="H544" s="13"/>
      <c r="I544" s="13">
        <f t="shared" ca="1" si="178"/>
        <v>0</v>
      </c>
      <c r="J544" s="13">
        <f t="shared" ca="1" si="179"/>
        <v>0</v>
      </c>
      <c r="K544" s="13">
        <f t="shared" ca="1" si="180"/>
        <v>0</v>
      </c>
      <c r="L544" s="13" t="e">
        <f ca="1">ROUNDUP(IF($D$2="Egyszeri",$E544,IF($D$2="Havi",SUM($E$20:$E$31),IF(MOD($C544,$M$1)-1=0,SUM($E$20:$E$31),0))/12*$M$1)*VLOOKUP($B544,Paraméterek!$I$28:$P$31,IF($D$2="Egyszeri",8,HLOOKUP(ROUNDUP($M$11+$M$13,0),Paraméterek!$J$26:$O$27,2))),IF($D$4="Forint",0,2))</f>
        <v>#N/A</v>
      </c>
      <c r="M544" s="13">
        <f t="shared" ca="1" si="181"/>
        <v>0</v>
      </c>
      <c r="N544" s="13">
        <f t="shared" ca="1" si="191"/>
        <v>0</v>
      </c>
      <c r="O544" s="13">
        <f ca="1">IF($D544="Igen",IF($W543&gt;=IF($D$4="Forint",Paraméterek!$J$121,Paraméterek!$K$121),0,IF($D$4="Forint",Paraméterek!$J$121,Paraméterek!$K$121)-$W543),0)</f>
        <v>0</v>
      </c>
      <c r="P544" s="13" t="e">
        <f ca="1">ROUNDUP($O544*VLOOKUP($M$4+$B544-1,Paraméterek!$H$58:$I$105,2,0)/Paraméterek!$I$56,IF($D$4="Forint",0,2))</f>
        <v>#N/A</v>
      </c>
      <c r="Q544" s="13">
        <f t="shared" ca="1" si="182"/>
        <v>0</v>
      </c>
      <c r="R544" s="33"/>
      <c r="S544" s="13" t="e">
        <f t="shared" ca="1" si="183"/>
        <v>#N/A</v>
      </c>
      <c r="T544" s="13" t="e">
        <f ca="1">ROUNDUP(($N544-$P544-$Q544+$S544)*VLOOKUP($B544,Paraméterek!$I$38:$K$39,IF($D$2="Egyszeri",3,2))/12*IF($D545="Nem",IF($M$13=0,1,$M$13),1),IF($D$4="Forint",0,2))</f>
        <v>#N/A</v>
      </c>
      <c r="U544" s="13"/>
      <c r="V544" s="13"/>
      <c r="W544" s="13" t="e">
        <f ca="1">$N544-$P544-$Q544+$S544-$T544-IF(ROUNDUP(IF(ISBLANK($V544),$U544*0,$V544)/IF($D$2="Egyszeri",VLOOKUP($B544+IF($C544=12,1,0),Paraméterek!$V$257:$W$262,2),IF($B544=1,1,VLOOKUP($B544+IF($C544=12,1,0),Paraméterek!$I$258:$T$278,HLOOKUP($M$11+1,Paraméterek!$J$256:$T$257,2)))),IF($D$4="Forint",0,2))&gt;$N544-$P544-$Q544+$S544-$T544-IF($D$4="Forint",Paraméterek!$C$216,Paraméterek!$D$216),0,ROUNDUP(IF(ISBLANK($V544),$U544*0,$V544)/IF($D$2="Egyszeri",VLOOKUP($B544+IF($C544=12,1,0),Paraméterek!$V$257:$W$262,2),IF($B544=1,1,VLOOKUP($B544+IF($C544=12,1,0),Paraméterek!$I$258:$T$278,HLOOKUP($M$11+1,Paraméterek!$J$256:$T$257,2)))),IF($D$4="Forint",0,2)))</f>
        <v>#N/A</v>
      </c>
      <c r="X544" s="13" t="e">
        <f ca="1">ROUNDDOWN($W544*IF($D$2="Egyszeri",VLOOKUP($B544+IF($C544=12,1,0),Paraméterek!$V$257:$W$262,2),VLOOKUP($B544+IF($C544=12,1,0),Paraméterek!$I$258:$T$278,HLOOKUP($M$11+1,Paraméterek!$I$256:$T$257,2))),IF($D$4="Forint",0,2))</f>
        <v>#N/A</v>
      </c>
      <c r="Z544" s="32">
        <v>525</v>
      </c>
      <c r="AA544" s="32">
        <v>44</v>
      </c>
      <c r="AB544" s="32">
        <v>9</v>
      </c>
      <c r="AC544" s="13">
        <f t="shared" ca="1" si="192"/>
        <v>0</v>
      </c>
      <c r="AD544" s="33"/>
      <c r="AE544" s="13">
        <f t="shared" ca="1" si="184"/>
        <v>0</v>
      </c>
      <c r="AF544" s="13">
        <f ca="1">ROUNDUP(($AC544+$AE544)*VLOOKUP($AA544,Paraméterek!$P$38:$Q$38,2)/12*IF($D545="Nem",IF($M$13=0,1,$M$13),1),IF($D$4="Forint",0,2))</f>
        <v>0</v>
      </c>
      <c r="AG544" s="13">
        <f ca="1">IF($D$2="Egyszeri",IF($D$7&gt;=IF($D$4="Forint",Paraméterek!$P$223,Paraméterek!$P$224),$D$7-IF($D$4="Forint",Paraméterek!$P$223,Paraméterek!$P$224),0),MIN(IF($AB544=12,AVERAGEIF($E$20:$E544,"&gt;0",$E$20:$E544)*12,0),SUM($E$20:$E$31)))</f>
        <v>0</v>
      </c>
      <c r="AH544" s="13">
        <f>IF($AA544=10,$AG544*IF($AB544=12,IF($AG544&lt;IF($D$4="Forint",Paraméterek!$L$223,Paraméterek!$L$224),0,VLOOKUP($AA544,Paraméterek!$K$226:$M$228,IF($AG544&lt;IF($D$4="Forint",Paraméterek!$M$223,Paraméterek!$M$224),2,3))),0),0)</f>
        <v>0</v>
      </c>
      <c r="AI544" s="13">
        <f ca="1">IF(AND($AA544=$M$11+1,$AB544=$M$12+1),SUMIF($AA$20:$AA$1027,$AA544,$AG$20:$AG$1027)*IF(SUMIF($AA$20:$AA$1027,$AA544,$AG$20:$AG$1027)&lt;IF($D$4="Forint",Paraméterek!$L$223,Paraméterek!$L$224),0,VLOOKUP($AA544,Paraméterek!$K$230:$M$250,IF(SUMIF($AA$20:$AA$1027,$AA544,$AG$20:$AG$1027)&lt;IF($D$4="Forint",Paraméterek!$M$223,Paraméterek!$M$224),2,3))),0)</f>
        <v>0</v>
      </c>
      <c r="AJ544" s="13">
        <f ca="1">IF(AND($AA544&gt;=5,MOD($AA544,5)=0),IF($AB544=12,VLOOKUP($AA544,Paraméterek!$O$225:$P$240,2),0),IF(OR($AA544=3,$AA544=4),IF($AB544=12,VLOOKUP($AA544,Paraméterek!$O$225:$P$240,2,0),0),0))*$AG544</f>
        <v>0</v>
      </c>
      <c r="AK544" s="13">
        <f t="shared" ca="1" si="185"/>
        <v>0</v>
      </c>
      <c r="AL544" s="13">
        <f t="shared" ca="1" si="193"/>
        <v>0</v>
      </c>
      <c r="AM544" s="13">
        <f t="shared" ca="1" si="194"/>
        <v>0</v>
      </c>
      <c r="AO544" s="32">
        <v>525</v>
      </c>
      <c r="AP544" s="32">
        <v>44</v>
      </c>
      <c r="AQ544" s="32">
        <v>9</v>
      </c>
      <c r="AR544" s="13"/>
      <c r="AS544" s="32"/>
      <c r="AT544" s="13">
        <f t="shared" ca="1" si="195"/>
        <v>0</v>
      </c>
      <c r="AU544" s="33"/>
      <c r="AV544" s="13">
        <f t="shared" ca="1" si="186"/>
        <v>0</v>
      </c>
      <c r="AW544" s="13">
        <f ca="1">ROUNDUP(($AT544+$AV544)*VLOOKUP($AP544,Paraméterek!$P$38:$Q$38,2)/12*IF($D545="Nem",IF($M$13=0,1,$M$13),1),IF($D$4="Forint",0,2))</f>
        <v>0</v>
      </c>
      <c r="AX544" s="13"/>
      <c r="AY544" s="13"/>
      <c r="AZ544" s="13">
        <f>ROUNDUP(IF(SUM($AX544:$AY544)=0,0,IF(IF(ISBLANK($AY544),$AX544,$AY544)*Paraméterek!$J$112&lt;IF($D$4="Forint",Paraméterek!$J$113,Paraméterek!$K$113),IF($D$4="Forint",Paraméterek!$J$113,Paraméterek!$K$113),IF(IF(ISBLANK($AY544),$AX544,$AY544)*Paraméterek!$J$112&gt;IF($D$4="Forint",Paraméterek!$J$114,Paraméterek!$K$114),IF($D$4="Forint",Paraméterek!$J$114,Paraméterek!$K$114),IF(ISBLANK($AY544),$AX544,$AY544)*Paraméterek!$J$112))),IF($D$4="Forint",0,2))</f>
        <v>0</v>
      </c>
      <c r="BA544" s="13">
        <f ca="1">$AT544+$AV544-$AW544-IF(ROUNDDOWN(IF(ISBLANK($AY544),$AX544,$AY544),IF($D$4="Forint",0,2))&gt;$AT544+$AV544-$AW544-IF($D$4="Forint",Paraméterek!$J$114,Paraméterek!$K$114),0,ROUNDDOWN(IF(ISBLANK($AY544),$AX544,$AY544),IF($D$4="Forint",0,2))-$AZ544)</f>
        <v>0</v>
      </c>
      <c r="BB544" s="13">
        <f t="shared" ca="1" si="187"/>
        <v>0</v>
      </c>
      <c r="BD544" s="32">
        <v>525</v>
      </c>
      <c r="BE544" s="32">
        <v>44</v>
      </c>
      <c r="BF544" s="32">
        <v>9</v>
      </c>
      <c r="BG544" s="34">
        <f t="shared" ca="1" si="196"/>
        <v>2063</v>
      </c>
      <c r="BH544" s="32" t="str">
        <f ca="1">IF(MOD(MONTH($D$14)+$BD544-1,12)=Paraméterek!$C$288,"Igen","")</f>
        <v/>
      </c>
      <c r="BI544" s="13">
        <f ca="1">IF($BH544="Igen",MIN(ROUNDDOWN((SUMIF($BG$20:$BG$1027,$BG544-1,$K$20:$K$1027)-SUMIF($BG$20:$BG$1027,$BG544-1,$I$20:$I$1027))*Paraméterek!$C$289,IF($D$4="Forint",0,2)),IF($D$4="Forint",Paraméterek!$C$285,Paraméterek!$D$285)),0)</f>
        <v>0</v>
      </c>
      <c r="BJ544" s="13">
        <f t="shared" ca="1" si="188"/>
        <v>0</v>
      </c>
      <c r="BK544" s="13">
        <f t="shared" ca="1" si="197"/>
        <v>0</v>
      </c>
      <c r="BL544" s="33"/>
      <c r="BM544" s="13">
        <f t="shared" ca="1" si="189"/>
        <v>0</v>
      </c>
      <c r="BN544" s="13">
        <f ca="1">ROUNDUP(($BK544+$BM544)*VLOOKUP($BE544,Paraméterek!$P$38:$Q$38,2)/12*IF($D545="Nem",IF($M$13=0,1,$M$13),1),IF($D$4="Forint",0,2))</f>
        <v>0</v>
      </c>
      <c r="BO544" s="13">
        <f t="shared" ca="1" si="190"/>
        <v>0</v>
      </c>
      <c r="BP544" s="13">
        <f ca="1">IF($D545="Nem",$BO544,$BO544-ROUNDUP(SUM($BI$20:$BI544)*120%,IF($D$4="Forint",0,2)))</f>
        <v>0</v>
      </c>
    </row>
    <row r="545" spans="1:68" x14ac:dyDescent="0.2">
      <c r="A545" s="32">
        <v>526</v>
      </c>
      <c r="B545" s="32">
        <v>44</v>
      </c>
      <c r="C545" s="32">
        <v>10</v>
      </c>
      <c r="D545" s="32" t="str">
        <f t="shared" ca="1" si="176"/>
        <v>Nem</v>
      </c>
      <c r="E545" s="13">
        <f t="shared" ca="1" si="177"/>
        <v>0</v>
      </c>
      <c r="F545" s="13"/>
      <c r="G545" s="13"/>
      <c r="H545" s="13"/>
      <c r="I545" s="13">
        <f t="shared" ca="1" si="178"/>
        <v>0</v>
      </c>
      <c r="J545" s="13">
        <f t="shared" ca="1" si="179"/>
        <v>0</v>
      </c>
      <c r="K545" s="13">
        <f t="shared" ca="1" si="180"/>
        <v>0</v>
      </c>
      <c r="L545" s="13" t="e">
        <f ca="1">ROUNDUP(IF($D$2="Egyszeri",$E545,IF($D$2="Havi",SUM($E$20:$E$31),IF(MOD($C545,$M$1)-1=0,SUM($E$20:$E$31),0))/12*$M$1)*VLOOKUP($B545,Paraméterek!$I$28:$P$31,IF($D$2="Egyszeri",8,HLOOKUP(ROUNDUP($M$11+$M$13,0),Paraméterek!$J$26:$O$27,2))),IF($D$4="Forint",0,2))</f>
        <v>#N/A</v>
      </c>
      <c r="M545" s="13">
        <f t="shared" ca="1" si="181"/>
        <v>0</v>
      </c>
      <c r="N545" s="13">
        <f t="shared" ca="1" si="191"/>
        <v>0</v>
      </c>
      <c r="O545" s="13">
        <f ca="1">IF($D545="Igen",IF($W544&gt;=IF($D$4="Forint",Paraméterek!$J$121,Paraméterek!$K$121),0,IF($D$4="Forint",Paraméterek!$J$121,Paraméterek!$K$121)-$W544),0)</f>
        <v>0</v>
      </c>
      <c r="P545" s="13" t="e">
        <f ca="1">ROUNDUP($O545*VLOOKUP($M$4+$B545-1,Paraméterek!$H$58:$I$105,2,0)/Paraméterek!$I$56,IF($D$4="Forint",0,2))</f>
        <v>#N/A</v>
      </c>
      <c r="Q545" s="13">
        <f t="shared" ca="1" si="182"/>
        <v>0</v>
      </c>
      <c r="R545" s="33"/>
      <c r="S545" s="13" t="e">
        <f t="shared" ca="1" si="183"/>
        <v>#N/A</v>
      </c>
      <c r="T545" s="13" t="e">
        <f ca="1">ROUNDUP(($N545-$P545-$Q545+$S545)*VLOOKUP($B545,Paraméterek!$I$38:$K$39,IF($D$2="Egyszeri",3,2))/12*IF($D546="Nem",IF($M$13=0,1,$M$13),1),IF($D$4="Forint",0,2))</f>
        <v>#N/A</v>
      </c>
      <c r="U545" s="13"/>
      <c r="V545" s="13"/>
      <c r="W545" s="13" t="e">
        <f ca="1">$N545-$P545-$Q545+$S545-$T545-IF(ROUNDUP(IF(ISBLANK($V545),$U545*0,$V545)/IF($D$2="Egyszeri",VLOOKUP($B545+IF($C545=12,1,0),Paraméterek!$V$257:$W$262,2),IF($B545=1,1,VLOOKUP($B545+IF($C545=12,1,0),Paraméterek!$I$258:$T$278,HLOOKUP($M$11+1,Paraméterek!$J$256:$T$257,2)))),IF($D$4="Forint",0,2))&gt;$N545-$P545-$Q545+$S545-$T545-IF($D$4="Forint",Paraméterek!$C$216,Paraméterek!$D$216),0,ROUNDUP(IF(ISBLANK($V545),$U545*0,$V545)/IF($D$2="Egyszeri",VLOOKUP($B545+IF($C545=12,1,0),Paraméterek!$V$257:$W$262,2),IF($B545=1,1,VLOOKUP($B545+IF($C545=12,1,0),Paraméterek!$I$258:$T$278,HLOOKUP($M$11+1,Paraméterek!$J$256:$T$257,2)))),IF($D$4="Forint",0,2)))</f>
        <v>#N/A</v>
      </c>
      <c r="X545" s="13" t="e">
        <f ca="1">ROUNDDOWN($W545*IF($D$2="Egyszeri",VLOOKUP($B545+IF($C545=12,1,0),Paraméterek!$V$257:$W$262,2),VLOOKUP($B545+IF($C545=12,1,0),Paraméterek!$I$258:$T$278,HLOOKUP($M$11+1,Paraméterek!$I$256:$T$257,2))),IF($D$4="Forint",0,2))</f>
        <v>#N/A</v>
      </c>
      <c r="Z545" s="32">
        <v>526</v>
      </c>
      <c r="AA545" s="32">
        <v>44</v>
      </c>
      <c r="AB545" s="32">
        <v>10</v>
      </c>
      <c r="AC545" s="13">
        <f t="shared" ca="1" si="192"/>
        <v>0</v>
      </c>
      <c r="AD545" s="33"/>
      <c r="AE545" s="13">
        <f t="shared" ca="1" si="184"/>
        <v>0</v>
      </c>
      <c r="AF545" s="13">
        <f ca="1">ROUNDUP(($AC545+$AE545)*VLOOKUP($AA545,Paraméterek!$P$38:$Q$38,2)/12*IF($D546="Nem",IF($M$13=0,1,$M$13),1),IF($D$4="Forint",0,2))</f>
        <v>0</v>
      </c>
      <c r="AG545" s="13">
        <f ca="1">IF($D$2="Egyszeri",IF($D$7&gt;=IF($D$4="Forint",Paraméterek!$P$223,Paraméterek!$P$224),$D$7-IF($D$4="Forint",Paraméterek!$P$223,Paraméterek!$P$224),0),MIN(IF($AB545=12,AVERAGEIF($E$20:$E545,"&gt;0",$E$20:$E545)*12,0),SUM($E$20:$E$31)))</f>
        <v>0</v>
      </c>
      <c r="AH545" s="13">
        <f>IF($AA545=10,$AG545*IF($AB545=12,IF($AG545&lt;IF($D$4="Forint",Paraméterek!$L$223,Paraméterek!$L$224),0,VLOOKUP($AA545,Paraméterek!$K$226:$M$228,IF($AG545&lt;IF($D$4="Forint",Paraméterek!$M$223,Paraméterek!$M$224),2,3))),0),0)</f>
        <v>0</v>
      </c>
      <c r="AI545" s="13">
        <f ca="1">IF(AND($AA545=$M$11+1,$AB545=$M$12+1),SUMIF($AA$20:$AA$1027,$AA545,$AG$20:$AG$1027)*IF(SUMIF($AA$20:$AA$1027,$AA545,$AG$20:$AG$1027)&lt;IF($D$4="Forint",Paraméterek!$L$223,Paraméterek!$L$224),0,VLOOKUP($AA545,Paraméterek!$K$230:$M$250,IF(SUMIF($AA$20:$AA$1027,$AA545,$AG$20:$AG$1027)&lt;IF($D$4="Forint",Paraméterek!$M$223,Paraméterek!$M$224),2,3))),0)</f>
        <v>0</v>
      </c>
      <c r="AJ545" s="13">
        <f ca="1">IF(AND($AA545&gt;=5,MOD($AA545,5)=0),IF($AB545=12,VLOOKUP($AA545,Paraméterek!$O$225:$P$240,2),0),IF(OR($AA545=3,$AA545=4),IF($AB545=12,VLOOKUP($AA545,Paraméterek!$O$225:$P$240,2,0),0),0))*$AG545</f>
        <v>0</v>
      </c>
      <c r="AK545" s="13">
        <f t="shared" ca="1" si="185"/>
        <v>0</v>
      </c>
      <c r="AL545" s="13">
        <f t="shared" ca="1" si="193"/>
        <v>0</v>
      </c>
      <c r="AM545" s="13">
        <f t="shared" ca="1" si="194"/>
        <v>0</v>
      </c>
      <c r="AO545" s="32">
        <v>526</v>
      </c>
      <c r="AP545" s="32">
        <v>44</v>
      </c>
      <c r="AQ545" s="32">
        <v>10</v>
      </c>
      <c r="AR545" s="13"/>
      <c r="AS545" s="32"/>
      <c r="AT545" s="13">
        <f t="shared" ca="1" si="195"/>
        <v>0</v>
      </c>
      <c r="AU545" s="33"/>
      <c r="AV545" s="13">
        <f t="shared" ca="1" si="186"/>
        <v>0</v>
      </c>
      <c r="AW545" s="13">
        <f ca="1">ROUNDUP(($AT545+$AV545)*VLOOKUP($AP545,Paraméterek!$P$38:$Q$38,2)/12*IF($D546="Nem",IF($M$13=0,1,$M$13),1),IF($D$4="Forint",0,2))</f>
        <v>0</v>
      </c>
      <c r="AX545" s="13"/>
      <c r="AY545" s="13"/>
      <c r="AZ545" s="13">
        <f>ROUNDUP(IF(SUM($AX545:$AY545)=0,0,IF(IF(ISBLANK($AY545),$AX545,$AY545)*Paraméterek!$J$112&lt;IF($D$4="Forint",Paraméterek!$J$113,Paraméterek!$K$113),IF($D$4="Forint",Paraméterek!$J$113,Paraméterek!$K$113),IF(IF(ISBLANK($AY545),$AX545,$AY545)*Paraméterek!$J$112&gt;IF($D$4="Forint",Paraméterek!$J$114,Paraméterek!$K$114),IF($D$4="Forint",Paraméterek!$J$114,Paraméterek!$K$114),IF(ISBLANK($AY545),$AX545,$AY545)*Paraméterek!$J$112))),IF($D$4="Forint",0,2))</f>
        <v>0</v>
      </c>
      <c r="BA545" s="13">
        <f ca="1">$AT545+$AV545-$AW545-IF(ROUNDDOWN(IF(ISBLANK($AY545),$AX545,$AY545),IF($D$4="Forint",0,2))&gt;$AT545+$AV545-$AW545-IF($D$4="Forint",Paraméterek!$J$114,Paraméterek!$K$114),0,ROUNDDOWN(IF(ISBLANK($AY545),$AX545,$AY545),IF($D$4="Forint",0,2))-$AZ545)</f>
        <v>0</v>
      </c>
      <c r="BB545" s="13">
        <f t="shared" ca="1" si="187"/>
        <v>0</v>
      </c>
      <c r="BD545" s="32">
        <v>526</v>
      </c>
      <c r="BE545" s="32">
        <v>44</v>
      </c>
      <c r="BF545" s="32">
        <v>10</v>
      </c>
      <c r="BG545" s="34">
        <f t="shared" ca="1" si="196"/>
        <v>2063</v>
      </c>
      <c r="BH545" s="32" t="str">
        <f ca="1">IF(MOD(MONTH($D$14)+$BD545-1,12)=Paraméterek!$C$288,"Igen","")</f>
        <v/>
      </c>
      <c r="BI545" s="13">
        <f ca="1">IF($BH545="Igen",MIN(ROUNDDOWN((SUMIF($BG$20:$BG$1027,$BG545-1,$K$20:$K$1027)-SUMIF($BG$20:$BG$1027,$BG545-1,$I$20:$I$1027))*Paraméterek!$C$289,IF($D$4="Forint",0,2)),IF($D$4="Forint",Paraméterek!$C$285,Paraméterek!$D$285)),0)</f>
        <v>0</v>
      </c>
      <c r="BJ545" s="13">
        <f t="shared" ca="1" si="188"/>
        <v>0</v>
      </c>
      <c r="BK545" s="13">
        <f t="shared" ca="1" si="197"/>
        <v>0</v>
      </c>
      <c r="BL545" s="33"/>
      <c r="BM545" s="13">
        <f t="shared" ca="1" si="189"/>
        <v>0</v>
      </c>
      <c r="BN545" s="13">
        <f ca="1">ROUNDUP(($BK545+$BM545)*VLOOKUP($BE545,Paraméterek!$P$38:$Q$38,2)/12*IF($D546="Nem",IF($M$13=0,1,$M$13),1),IF($D$4="Forint",0,2))</f>
        <v>0</v>
      </c>
      <c r="BO545" s="13">
        <f t="shared" ca="1" si="190"/>
        <v>0</v>
      </c>
      <c r="BP545" s="13">
        <f ca="1">IF($D546="Nem",$BO545,$BO545-ROUNDUP(SUM($BI$20:$BI545)*120%,IF($D$4="Forint",0,2)))</f>
        <v>0</v>
      </c>
    </row>
    <row r="546" spans="1:68" x14ac:dyDescent="0.2">
      <c r="A546" s="32">
        <v>527</v>
      </c>
      <c r="B546" s="32">
        <v>44</v>
      </c>
      <c r="C546" s="32">
        <v>11</v>
      </c>
      <c r="D546" s="32" t="str">
        <f t="shared" ca="1" si="176"/>
        <v>Nem</v>
      </c>
      <c r="E546" s="13">
        <f t="shared" ca="1" si="177"/>
        <v>0</v>
      </c>
      <c r="F546" s="13"/>
      <c r="G546" s="13"/>
      <c r="H546" s="13"/>
      <c r="I546" s="13">
        <f t="shared" ca="1" si="178"/>
        <v>0</v>
      </c>
      <c r="J546" s="13">
        <f t="shared" ca="1" si="179"/>
        <v>0</v>
      </c>
      <c r="K546" s="13">
        <f t="shared" ca="1" si="180"/>
        <v>0</v>
      </c>
      <c r="L546" s="13" t="e">
        <f ca="1">ROUNDUP(IF($D$2="Egyszeri",$E546,IF($D$2="Havi",SUM($E$20:$E$31),IF(MOD($C546,$M$1)-1=0,SUM($E$20:$E$31),0))/12*$M$1)*VLOOKUP($B546,Paraméterek!$I$28:$P$31,IF($D$2="Egyszeri",8,HLOOKUP(ROUNDUP($M$11+$M$13,0),Paraméterek!$J$26:$O$27,2))),IF($D$4="Forint",0,2))</f>
        <v>#N/A</v>
      </c>
      <c r="M546" s="13">
        <f t="shared" ca="1" si="181"/>
        <v>0</v>
      </c>
      <c r="N546" s="13">
        <f t="shared" ca="1" si="191"/>
        <v>0</v>
      </c>
      <c r="O546" s="13">
        <f ca="1">IF($D546="Igen",IF($W545&gt;=IF($D$4="Forint",Paraméterek!$J$121,Paraméterek!$K$121),0,IF($D$4="Forint",Paraméterek!$J$121,Paraméterek!$K$121)-$W545),0)</f>
        <v>0</v>
      </c>
      <c r="P546" s="13" t="e">
        <f ca="1">ROUNDUP($O546*VLOOKUP($M$4+$B546-1,Paraméterek!$H$58:$I$105,2,0)/Paraméterek!$I$56,IF($D$4="Forint",0,2))</f>
        <v>#N/A</v>
      </c>
      <c r="Q546" s="13">
        <f t="shared" ca="1" si="182"/>
        <v>0</v>
      </c>
      <c r="R546" s="33"/>
      <c r="S546" s="13" t="e">
        <f t="shared" ca="1" si="183"/>
        <v>#N/A</v>
      </c>
      <c r="T546" s="13" t="e">
        <f ca="1">ROUNDUP(($N546-$P546-$Q546+$S546)*VLOOKUP($B546,Paraméterek!$I$38:$K$39,IF($D$2="Egyszeri",3,2))/12*IF($D547="Nem",IF($M$13=0,1,$M$13),1),IF($D$4="Forint",0,2))</f>
        <v>#N/A</v>
      </c>
      <c r="U546" s="13"/>
      <c r="V546" s="13"/>
      <c r="W546" s="13" t="e">
        <f ca="1">$N546-$P546-$Q546+$S546-$T546-IF(ROUNDUP(IF(ISBLANK($V546),$U546*0,$V546)/IF($D$2="Egyszeri",VLOOKUP($B546+IF($C546=12,1,0),Paraméterek!$V$257:$W$262,2),IF($B546=1,1,VLOOKUP($B546+IF($C546=12,1,0),Paraméterek!$I$258:$T$278,HLOOKUP($M$11+1,Paraméterek!$J$256:$T$257,2)))),IF($D$4="Forint",0,2))&gt;$N546-$P546-$Q546+$S546-$T546-IF($D$4="Forint",Paraméterek!$C$216,Paraméterek!$D$216),0,ROUNDUP(IF(ISBLANK($V546),$U546*0,$V546)/IF($D$2="Egyszeri",VLOOKUP($B546+IF($C546=12,1,0),Paraméterek!$V$257:$W$262,2),IF($B546=1,1,VLOOKUP($B546+IF($C546=12,1,0),Paraméterek!$I$258:$T$278,HLOOKUP($M$11+1,Paraméterek!$J$256:$T$257,2)))),IF($D$4="Forint",0,2)))</f>
        <v>#N/A</v>
      </c>
      <c r="X546" s="13" t="e">
        <f ca="1">ROUNDDOWN($W546*IF($D$2="Egyszeri",VLOOKUP($B546+IF($C546=12,1,0),Paraméterek!$V$257:$W$262,2),VLOOKUP($B546+IF($C546=12,1,0),Paraméterek!$I$258:$T$278,HLOOKUP($M$11+1,Paraméterek!$I$256:$T$257,2))),IF($D$4="Forint",0,2))</f>
        <v>#N/A</v>
      </c>
      <c r="Z546" s="32">
        <v>527</v>
      </c>
      <c r="AA546" s="32">
        <v>44</v>
      </c>
      <c r="AB546" s="32">
        <v>11</v>
      </c>
      <c r="AC546" s="13">
        <f t="shared" ca="1" si="192"/>
        <v>0</v>
      </c>
      <c r="AD546" s="33"/>
      <c r="AE546" s="13">
        <f t="shared" ca="1" si="184"/>
        <v>0</v>
      </c>
      <c r="AF546" s="13">
        <f ca="1">ROUNDUP(($AC546+$AE546)*VLOOKUP($AA546,Paraméterek!$P$38:$Q$38,2)/12*IF($D547="Nem",IF($M$13=0,1,$M$13),1),IF($D$4="Forint",0,2))</f>
        <v>0</v>
      </c>
      <c r="AG546" s="13">
        <f ca="1">IF($D$2="Egyszeri",IF($D$7&gt;=IF($D$4="Forint",Paraméterek!$P$223,Paraméterek!$P$224),$D$7-IF($D$4="Forint",Paraméterek!$P$223,Paraméterek!$P$224),0),MIN(IF($AB546=12,AVERAGEIF($E$20:$E546,"&gt;0",$E$20:$E546)*12,0),SUM($E$20:$E$31)))</f>
        <v>0</v>
      </c>
      <c r="AH546" s="13">
        <f>IF($AA546=10,$AG546*IF($AB546=12,IF($AG546&lt;IF($D$4="Forint",Paraméterek!$L$223,Paraméterek!$L$224),0,VLOOKUP($AA546,Paraméterek!$K$226:$M$228,IF($AG546&lt;IF($D$4="Forint",Paraméterek!$M$223,Paraméterek!$M$224),2,3))),0),0)</f>
        <v>0</v>
      </c>
      <c r="AI546" s="13">
        <f ca="1">IF(AND($AA546=$M$11+1,$AB546=$M$12+1),SUMIF($AA$20:$AA$1027,$AA546,$AG$20:$AG$1027)*IF(SUMIF($AA$20:$AA$1027,$AA546,$AG$20:$AG$1027)&lt;IF($D$4="Forint",Paraméterek!$L$223,Paraméterek!$L$224),0,VLOOKUP($AA546,Paraméterek!$K$230:$M$250,IF(SUMIF($AA$20:$AA$1027,$AA546,$AG$20:$AG$1027)&lt;IF($D$4="Forint",Paraméterek!$M$223,Paraméterek!$M$224),2,3))),0)</f>
        <v>0</v>
      </c>
      <c r="AJ546" s="13">
        <f ca="1">IF(AND($AA546&gt;=5,MOD($AA546,5)=0),IF($AB546=12,VLOOKUP($AA546,Paraméterek!$O$225:$P$240,2),0),IF(OR($AA546=3,$AA546=4),IF($AB546=12,VLOOKUP($AA546,Paraméterek!$O$225:$P$240,2,0),0),0))*$AG546</f>
        <v>0</v>
      </c>
      <c r="AK546" s="13">
        <f t="shared" ca="1" si="185"/>
        <v>0</v>
      </c>
      <c r="AL546" s="13">
        <f t="shared" ca="1" si="193"/>
        <v>0</v>
      </c>
      <c r="AM546" s="13">
        <f t="shared" ca="1" si="194"/>
        <v>0</v>
      </c>
      <c r="AO546" s="32">
        <v>527</v>
      </c>
      <c r="AP546" s="32">
        <v>44</v>
      </c>
      <c r="AQ546" s="32">
        <v>11</v>
      </c>
      <c r="AR546" s="13"/>
      <c r="AS546" s="32"/>
      <c r="AT546" s="13">
        <f t="shared" ca="1" si="195"/>
        <v>0</v>
      </c>
      <c r="AU546" s="33"/>
      <c r="AV546" s="13">
        <f t="shared" ca="1" si="186"/>
        <v>0</v>
      </c>
      <c r="AW546" s="13">
        <f ca="1">ROUNDUP(($AT546+$AV546)*VLOOKUP($AP546,Paraméterek!$P$38:$Q$38,2)/12*IF($D547="Nem",IF($M$13=0,1,$M$13),1),IF($D$4="Forint",0,2))</f>
        <v>0</v>
      </c>
      <c r="AX546" s="13"/>
      <c r="AY546" s="13"/>
      <c r="AZ546" s="13">
        <f>ROUNDUP(IF(SUM($AX546:$AY546)=0,0,IF(IF(ISBLANK($AY546),$AX546,$AY546)*Paraméterek!$J$112&lt;IF($D$4="Forint",Paraméterek!$J$113,Paraméterek!$K$113),IF($D$4="Forint",Paraméterek!$J$113,Paraméterek!$K$113),IF(IF(ISBLANK($AY546),$AX546,$AY546)*Paraméterek!$J$112&gt;IF($D$4="Forint",Paraméterek!$J$114,Paraméterek!$K$114),IF($D$4="Forint",Paraméterek!$J$114,Paraméterek!$K$114),IF(ISBLANK($AY546),$AX546,$AY546)*Paraméterek!$J$112))),IF($D$4="Forint",0,2))</f>
        <v>0</v>
      </c>
      <c r="BA546" s="13">
        <f ca="1">$AT546+$AV546-$AW546-IF(ROUNDDOWN(IF(ISBLANK($AY546),$AX546,$AY546),IF($D$4="Forint",0,2))&gt;$AT546+$AV546-$AW546-IF($D$4="Forint",Paraméterek!$J$114,Paraméterek!$K$114),0,ROUNDDOWN(IF(ISBLANK($AY546),$AX546,$AY546),IF($D$4="Forint",0,2))-$AZ546)</f>
        <v>0</v>
      </c>
      <c r="BB546" s="13">
        <f t="shared" ca="1" si="187"/>
        <v>0</v>
      </c>
      <c r="BD546" s="32">
        <v>527</v>
      </c>
      <c r="BE546" s="32">
        <v>44</v>
      </c>
      <c r="BF546" s="32">
        <v>11</v>
      </c>
      <c r="BG546" s="34">
        <f t="shared" ca="1" si="196"/>
        <v>2063</v>
      </c>
      <c r="BH546" s="32" t="str">
        <f ca="1">IF(MOD(MONTH($D$14)+$BD546-1,12)=Paraméterek!$C$288,"Igen","")</f>
        <v/>
      </c>
      <c r="BI546" s="13">
        <f ca="1">IF($BH546="Igen",MIN(ROUNDDOWN((SUMIF($BG$20:$BG$1027,$BG546-1,$K$20:$K$1027)-SUMIF($BG$20:$BG$1027,$BG546-1,$I$20:$I$1027))*Paraméterek!$C$289,IF($D$4="Forint",0,2)),IF($D$4="Forint",Paraméterek!$C$285,Paraméterek!$D$285)),0)</f>
        <v>0</v>
      </c>
      <c r="BJ546" s="13">
        <f t="shared" ca="1" si="188"/>
        <v>0</v>
      </c>
      <c r="BK546" s="13">
        <f t="shared" ca="1" si="197"/>
        <v>0</v>
      </c>
      <c r="BL546" s="33"/>
      <c r="BM546" s="13">
        <f t="shared" ca="1" si="189"/>
        <v>0</v>
      </c>
      <c r="BN546" s="13">
        <f ca="1">ROUNDUP(($BK546+$BM546)*VLOOKUP($BE546,Paraméterek!$P$38:$Q$38,2)/12*IF($D547="Nem",IF($M$13=0,1,$M$13),1),IF($D$4="Forint",0,2))</f>
        <v>0</v>
      </c>
      <c r="BO546" s="13">
        <f t="shared" ca="1" si="190"/>
        <v>0</v>
      </c>
      <c r="BP546" s="13">
        <f ca="1">IF($D547="Nem",$BO546,$BO546-ROUNDUP(SUM($BI$20:$BI546)*120%,IF($D$4="Forint",0,2)))</f>
        <v>0</v>
      </c>
    </row>
    <row r="547" spans="1:68" x14ac:dyDescent="0.2">
      <c r="A547" s="32">
        <v>528</v>
      </c>
      <c r="B547" s="32">
        <v>44</v>
      </c>
      <c r="C547" s="32">
        <v>12</v>
      </c>
      <c r="D547" s="32" t="str">
        <f t="shared" ca="1" si="176"/>
        <v>Nem</v>
      </c>
      <c r="E547" s="13">
        <f t="shared" ca="1" si="177"/>
        <v>0</v>
      </c>
      <c r="F547" s="13"/>
      <c r="G547" s="13"/>
      <c r="H547" s="13"/>
      <c r="I547" s="13">
        <f t="shared" ca="1" si="178"/>
        <v>0</v>
      </c>
      <c r="J547" s="13">
        <f t="shared" ca="1" si="179"/>
        <v>0</v>
      </c>
      <c r="K547" s="13">
        <f t="shared" ca="1" si="180"/>
        <v>0</v>
      </c>
      <c r="L547" s="13" t="e">
        <f ca="1">ROUNDUP(IF($D$2="Egyszeri",$E547,IF($D$2="Havi",SUM($E$20:$E$31),IF(MOD($C547,$M$1)-1=0,SUM($E$20:$E$31),0))/12*$M$1)*VLOOKUP($B547,Paraméterek!$I$28:$P$31,IF($D$2="Egyszeri",8,HLOOKUP(ROUNDUP($M$11+$M$13,0),Paraméterek!$J$26:$O$27,2))),IF($D$4="Forint",0,2))</f>
        <v>#N/A</v>
      </c>
      <c r="M547" s="13">
        <f t="shared" ca="1" si="181"/>
        <v>0</v>
      </c>
      <c r="N547" s="13">
        <f t="shared" ca="1" si="191"/>
        <v>0</v>
      </c>
      <c r="O547" s="13">
        <f ca="1">IF($D547="Igen",IF($W546&gt;=IF($D$4="Forint",Paraméterek!$J$121,Paraméterek!$K$121),0,IF($D$4="Forint",Paraméterek!$J$121,Paraméterek!$K$121)-$W546),0)</f>
        <v>0</v>
      </c>
      <c r="P547" s="13" t="e">
        <f ca="1">ROUNDUP($O547*VLOOKUP($M$4+$B547-1,Paraméterek!$H$58:$I$105,2,0)/Paraméterek!$I$56,IF($D$4="Forint",0,2))</f>
        <v>#N/A</v>
      </c>
      <c r="Q547" s="13">
        <f t="shared" ca="1" si="182"/>
        <v>0</v>
      </c>
      <c r="R547" s="33"/>
      <c r="S547" s="13" t="e">
        <f t="shared" ca="1" si="183"/>
        <v>#N/A</v>
      </c>
      <c r="T547" s="13" t="e">
        <f ca="1">ROUNDUP(($N547-$P547-$Q547+$S547)*VLOOKUP($B547,Paraméterek!$I$38:$K$39,IF($D$2="Egyszeri",3,2))/12*IF($D548="Nem",IF($M$13=0,1,$M$13),1),IF($D$4="Forint",0,2))</f>
        <v>#N/A</v>
      </c>
      <c r="U547" s="13">
        <f>Tranzakciók!$F$75</f>
        <v>0</v>
      </c>
      <c r="V547" s="13"/>
      <c r="W547" s="13" t="e">
        <f ca="1">$N547-$P547-$Q547+$S547-$T547-IF(ROUNDUP(IF(ISBLANK($V547),$U547*0,$V547)/IF($D$2="Egyszeri",VLOOKUP($B547+IF($C547=12,1,0),Paraméterek!$V$257:$W$262,2),IF($B547=1,1,VLOOKUP($B547+IF($C547=12,1,0),Paraméterek!$I$258:$T$278,HLOOKUP($M$11+1,Paraméterek!$J$256:$T$257,2)))),IF($D$4="Forint",0,2))&gt;$N547-$P547-$Q547+$S547-$T547-IF($D$4="Forint",Paraméterek!$C$216,Paraméterek!$D$216),0,ROUNDUP(IF(ISBLANK($V547),$U547*0,$V547)/IF($D$2="Egyszeri",VLOOKUP($B547+IF($C547=12,1,0),Paraméterek!$V$257:$W$262,2),IF($B547=1,1,VLOOKUP($B547+IF($C547=12,1,0),Paraméterek!$I$258:$T$278,HLOOKUP($M$11+1,Paraméterek!$J$256:$T$257,2)))),IF($D$4="Forint",0,2)))</f>
        <v>#N/A</v>
      </c>
      <c r="X547" s="13" t="e">
        <f ca="1">ROUNDDOWN($W547*IF($D$2="Egyszeri",VLOOKUP($B547+IF($C547=12,1,0),Paraméterek!$V$257:$W$262,2),VLOOKUP($B547+IF($C547=12,1,0),Paraméterek!$I$258:$T$278,HLOOKUP($M$11+1,Paraméterek!$I$256:$T$257,2))),IF($D$4="Forint",0,2))</f>
        <v>#N/A</v>
      </c>
      <c r="Z547" s="32">
        <v>528</v>
      </c>
      <c r="AA547" s="32">
        <v>44</v>
      </c>
      <c r="AB547" s="32">
        <v>12</v>
      </c>
      <c r="AC547" s="13">
        <f t="shared" ca="1" si="192"/>
        <v>0</v>
      </c>
      <c r="AD547" s="33"/>
      <c r="AE547" s="13">
        <f t="shared" ca="1" si="184"/>
        <v>0</v>
      </c>
      <c r="AF547" s="13">
        <f ca="1">ROUNDUP(($AC547+$AE547)*VLOOKUP($AA547,Paraméterek!$P$38:$Q$38,2)/12*IF($D548="Nem",IF($M$13=0,1,$M$13),1),IF($D$4="Forint",0,2))</f>
        <v>0</v>
      </c>
      <c r="AG547" s="13" t="e">
        <f ca="1">IF($D$2="Egyszeri",IF($D$7&gt;=IF($D$4="Forint",Paraméterek!$P$223,Paraméterek!$P$224),$D$7-IF($D$4="Forint",Paraméterek!$P$223,Paraméterek!$P$224),0),MIN(IF($AB547=12,AVERAGEIF($E$20:$E547,"&gt;0",$E$20:$E547)*12,0),SUM($E$20:$E$31)))</f>
        <v>#DIV/0!</v>
      </c>
      <c r="AH547" s="13">
        <f>IF($AA547=10,$AG547*IF($AB547=12,IF($AG547&lt;IF($D$4="Forint",Paraméterek!$L$223,Paraméterek!$L$224),0,VLOOKUP($AA547,Paraméterek!$K$226:$M$228,IF($AG547&lt;IF($D$4="Forint",Paraméterek!$M$223,Paraméterek!$M$224),2,3))),0),0)</f>
        <v>0</v>
      </c>
      <c r="AI547" s="13">
        <f ca="1">IF(AND($AA547=$M$11+1,$AB547=$M$12+1),SUMIF($AA$20:$AA$1027,$AA547,$AG$20:$AG$1027)*IF(SUMIF($AA$20:$AA$1027,$AA547,$AG$20:$AG$1027)&lt;IF($D$4="Forint",Paraméterek!$L$223,Paraméterek!$L$224),0,VLOOKUP($AA547,Paraméterek!$K$230:$M$250,IF(SUMIF($AA$20:$AA$1027,$AA547,$AG$20:$AG$1027)&lt;IF($D$4="Forint",Paraméterek!$M$223,Paraméterek!$M$224),2,3))),0)</f>
        <v>0</v>
      </c>
      <c r="AJ547" s="13" t="e">
        <f ca="1">IF(AND($AA547&gt;=5,MOD($AA547,5)=0),IF($AB547=12,VLOOKUP($AA547,Paraméterek!$O$225:$P$240,2),0),IF(OR($AA547=3,$AA547=4),IF($AB547=12,VLOOKUP($AA547,Paraméterek!$O$225:$P$240,2,0),0),0))*$AG547</f>
        <v>#DIV/0!</v>
      </c>
      <c r="AK547" s="13">
        <f t="shared" ca="1" si="185"/>
        <v>0</v>
      </c>
      <c r="AL547" s="13">
        <f t="shared" ca="1" si="193"/>
        <v>0</v>
      </c>
      <c r="AM547" s="13">
        <f t="shared" ca="1" si="194"/>
        <v>0</v>
      </c>
      <c r="AO547" s="32">
        <v>528</v>
      </c>
      <c r="AP547" s="32">
        <v>44</v>
      </c>
      <c r="AQ547" s="32">
        <v>12</v>
      </c>
      <c r="AR547" s="13"/>
      <c r="AS547" s="32"/>
      <c r="AT547" s="13">
        <f t="shared" ca="1" si="195"/>
        <v>0</v>
      </c>
      <c r="AU547" s="33"/>
      <c r="AV547" s="13">
        <f t="shared" ca="1" si="186"/>
        <v>0</v>
      </c>
      <c r="AW547" s="13">
        <f ca="1">ROUNDUP(($AT547+$AV547)*VLOOKUP($AP547,Paraméterek!$P$38:$Q$38,2)/12*IF($D548="Nem",IF($M$13=0,1,$M$13),1),IF($D$4="Forint",0,2))</f>
        <v>0</v>
      </c>
      <c r="AX547" s="13">
        <f>Tranzakciók!$M$75</f>
        <v>0</v>
      </c>
      <c r="AY547" s="13"/>
      <c r="AZ547" s="13">
        <f>ROUNDUP(IF(SUM($AX547:$AY547)=0,0,IF(IF(ISBLANK($AY547),$AX547,$AY547)*Paraméterek!$J$112&lt;IF($D$4="Forint",Paraméterek!$J$113,Paraméterek!$K$113),IF($D$4="Forint",Paraméterek!$J$113,Paraméterek!$K$113),IF(IF(ISBLANK($AY547),$AX547,$AY547)*Paraméterek!$J$112&gt;IF($D$4="Forint",Paraméterek!$J$114,Paraméterek!$K$114),IF($D$4="Forint",Paraméterek!$J$114,Paraméterek!$K$114),IF(ISBLANK($AY547),$AX547,$AY547)*Paraméterek!$J$112))),IF($D$4="Forint",0,2))</f>
        <v>0</v>
      </c>
      <c r="BA547" s="13">
        <f ca="1">$AT547+$AV547-$AW547-IF(ROUNDDOWN(IF(ISBLANK($AY547),$AX547,$AY547),IF($D$4="Forint",0,2))&gt;$AT547+$AV547-$AW547-IF($D$4="Forint",Paraméterek!$J$114,Paraméterek!$K$114),0,ROUNDDOWN(IF(ISBLANK($AY547),$AX547,$AY547),IF($D$4="Forint",0,2))-$AZ547)</f>
        <v>0</v>
      </c>
      <c r="BB547" s="13">
        <f t="shared" ca="1" si="187"/>
        <v>0</v>
      </c>
      <c r="BD547" s="32">
        <v>528</v>
      </c>
      <c r="BE547" s="32">
        <v>44</v>
      </c>
      <c r="BF547" s="32">
        <v>12</v>
      </c>
      <c r="BG547" s="34">
        <f t="shared" ca="1" si="196"/>
        <v>2063</v>
      </c>
      <c r="BH547" s="32" t="str">
        <f ca="1">IF(MOD(MONTH($D$14)+$BD547-1,12)=Paraméterek!$C$288,"Igen","")</f>
        <v/>
      </c>
      <c r="BI547" s="13">
        <f ca="1">IF($BH547="Igen",MIN(ROUNDDOWN((SUMIF($BG$20:$BG$1027,$BG547-1,$K$20:$K$1027)-SUMIF($BG$20:$BG$1027,$BG547-1,$I$20:$I$1027))*Paraméterek!$C$289,IF($D$4="Forint",0,2)),IF($D$4="Forint",Paraméterek!$C$285,Paraméterek!$D$285)),0)</f>
        <v>0</v>
      </c>
      <c r="BJ547" s="13">
        <f t="shared" ca="1" si="188"/>
        <v>0</v>
      </c>
      <c r="BK547" s="13">
        <f t="shared" ca="1" si="197"/>
        <v>0</v>
      </c>
      <c r="BL547" s="33"/>
      <c r="BM547" s="13">
        <f t="shared" ca="1" si="189"/>
        <v>0</v>
      </c>
      <c r="BN547" s="13">
        <f ca="1">ROUNDUP(($BK547+$BM547)*VLOOKUP($BE547,Paraméterek!$P$38:$Q$38,2)/12*IF($D548="Nem",IF($M$13=0,1,$M$13),1),IF($D$4="Forint",0,2))</f>
        <v>0</v>
      </c>
      <c r="BO547" s="13">
        <f t="shared" ca="1" si="190"/>
        <v>0</v>
      </c>
      <c r="BP547" s="13">
        <f ca="1">IF($D548="Nem",$BO547,$BO547-ROUNDUP(SUM($BI$20:$BI547)*120%,IF($D$4="Forint",0,2)))</f>
        <v>0</v>
      </c>
    </row>
    <row r="548" spans="1:68" x14ac:dyDescent="0.2">
      <c r="A548" s="32">
        <v>529</v>
      </c>
      <c r="B548" s="32">
        <v>45</v>
      </c>
      <c r="C548" s="32">
        <v>1</v>
      </c>
      <c r="D548" s="32" t="str">
        <f t="shared" ca="1" si="176"/>
        <v>Nem</v>
      </c>
      <c r="E548" s="13">
        <f t="shared" ca="1" si="177"/>
        <v>0</v>
      </c>
      <c r="F548" s="13"/>
      <c r="G548" s="13">
        <f>Tranzakciók!$D$76</f>
        <v>0</v>
      </c>
      <c r="H548" s="13"/>
      <c r="I548" s="13">
        <f t="shared" ca="1" si="178"/>
        <v>0</v>
      </c>
      <c r="J548" s="13">
        <f t="shared" ca="1" si="179"/>
        <v>0</v>
      </c>
      <c r="K548" s="13">
        <f t="shared" ca="1" si="180"/>
        <v>0</v>
      </c>
      <c r="L548" s="13" t="e">
        <f ca="1">ROUNDUP(IF($D$2="Egyszeri",$E548,IF($D$2="Havi",SUM($E$20:$E$31),IF(MOD($C548,$M$1)-1=0,SUM($E$20:$E$31),0))/12*$M$1)*VLOOKUP($B548,Paraméterek!$I$28:$P$31,IF($D$2="Egyszeri",8,HLOOKUP(ROUNDUP($M$11+$M$13,0),Paraméterek!$J$26:$O$27,2))),IF($D$4="Forint",0,2))</f>
        <v>#N/A</v>
      </c>
      <c r="M548" s="13">
        <f t="shared" ca="1" si="181"/>
        <v>0</v>
      </c>
      <c r="N548" s="13">
        <f t="shared" ca="1" si="191"/>
        <v>0</v>
      </c>
      <c r="O548" s="13">
        <f ca="1">IF($D548="Igen",IF($W547&gt;=IF($D$4="Forint",Paraméterek!$J$121,Paraméterek!$K$121),0,IF($D$4="Forint",Paraméterek!$J$121,Paraméterek!$K$121)-$W547),0)</f>
        <v>0</v>
      </c>
      <c r="P548" s="13" t="e">
        <f ca="1">ROUNDUP($O548*VLOOKUP($M$4+$B548-1,Paraméterek!$H$58:$I$105,2,0)/Paraméterek!$I$56,IF($D$4="Forint",0,2))</f>
        <v>#N/A</v>
      </c>
      <c r="Q548" s="13">
        <f t="shared" ca="1" si="182"/>
        <v>0</v>
      </c>
      <c r="R548" s="33"/>
      <c r="S548" s="13" t="e">
        <f t="shared" ca="1" si="183"/>
        <v>#N/A</v>
      </c>
      <c r="T548" s="13" t="e">
        <f ca="1">ROUNDUP(($N548-$P548-$Q548+$S548)*VLOOKUP($B548,Paraméterek!$I$38:$K$39,IF($D$2="Egyszeri",3,2))/12*IF($D549="Nem",IF($M$13=0,1,$M$13),1),IF($D$4="Forint",0,2))</f>
        <v>#N/A</v>
      </c>
      <c r="U548" s="13"/>
      <c r="V548" s="13"/>
      <c r="W548" s="13" t="e">
        <f ca="1">$N548-$P548-$Q548+$S548-$T548-IF(ROUNDUP(IF(ISBLANK($V548),$U548*0,$V548)/IF($D$2="Egyszeri",VLOOKUP($B548+IF($C548=12,1,0),Paraméterek!$V$257:$W$262,2),IF($B548=1,1,VLOOKUP($B548+IF($C548=12,1,0),Paraméterek!$I$258:$T$278,HLOOKUP($M$11+1,Paraméterek!$J$256:$T$257,2)))),IF($D$4="Forint",0,2))&gt;$N548-$P548-$Q548+$S548-$T548-IF($D$4="Forint",Paraméterek!$C$216,Paraméterek!$D$216),0,ROUNDUP(IF(ISBLANK($V548),$U548*0,$V548)/IF($D$2="Egyszeri",VLOOKUP($B548+IF($C548=12,1,0),Paraméterek!$V$257:$W$262,2),IF($B548=1,1,VLOOKUP($B548+IF($C548=12,1,0),Paraméterek!$I$258:$T$278,HLOOKUP($M$11+1,Paraméterek!$J$256:$T$257,2)))),IF($D$4="Forint",0,2)))</f>
        <v>#N/A</v>
      </c>
      <c r="X548" s="13" t="e">
        <f ca="1">ROUNDDOWN($W548*IF($D$2="Egyszeri",VLOOKUP($B548+IF($C548=12,1,0),Paraméterek!$V$257:$W$262,2),VLOOKUP($B548+IF($C548=12,1,0),Paraméterek!$I$258:$T$278,HLOOKUP($M$11+1,Paraméterek!$I$256:$T$257,2))),IF($D$4="Forint",0,2))</f>
        <v>#N/A</v>
      </c>
      <c r="Z548" s="32">
        <v>529</v>
      </c>
      <c r="AA548" s="32">
        <v>45</v>
      </c>
      <c r="AB548" s="32">
        <v>1</v>
      </c>
      <c r="AC548" s="13">
        <f t="shared" ca="1" si="192"/>
        <v>0</v>
      </c>
      <c r="AD548" s="33"/>
      <c r="AE548" s="13">
        <f t="shared" ca="1" si="184"/>
        <v>0</v>
      </c>
      <c r="AF548" s="13">
        <f ca="1">ROUNDUP(($AC548+$AE548)*VLOOKUP($AA548,Paraméterek!$P$38:$Q$38,2)/12*IF($D549="Nem",IF($M$13=0,1,$M$13),1),IF($D$4="Forint",0,2))</f>
        <v>0</v>
      </c>
      <c r="AG548" s="13">
        <f ca="1">IF($D$2="Egyszeri",IF($D$7&gt;=IF($D$4="Forint",Paraméterek!$P$223,Paraméterek!$P$224),$D$7-IF($D$4="Forint",Paraméterek!$P$223,Paraméterek!$P$224),0),MIN(IF($AB548=12,AVERAGEIF($E$20:$E548,"&gt;0",$E$20:$E548)*12,0),SUM($E$20:$E$31)))</f>
        <v>0</v>
      </c>
      <c r="AH548" s="13">
        <f>IF($AA548=10,$AG548*IF($AB548=12,IF($AG548&lt;IF($D$4="Forint",Paraméterek!$L$223,Paraméterek!$L$224),0,VLOOKUP($AA548,Paraméterek!$K$226:$M$228,IF($AG548&lt;IF($D$4="Forint",Paraméterek!$M$223,Paraméterek!$M$224),2,3))),0),0)</f>
        <v>0</v>
      </c>
      <c r="AI548" s="13">
        <f ca="1">IF(AND($AA548=$M$11+1,$AB548=$M$12+1),SUMIF($AA$20:$AA$1027,$AA548,$AG$20:$AG$1027)*IF(SUMIF($AA$20:$AA$1027,$AA548,$AG$20:$AG$1027)&lt;IF($D$4="Forint",Paraméterek!$L$223,Paraméterek!$L$224),0,VLOOKUP($AA548,Paraméterek!$K$230:$M$250,IF(SUMIF($AA$20:$AA$1027,$AA548,$AG$20:$AG$1027)&lt;IF($D$4="Forint",Paraméterek!$M$223,Paraméterek!$M$224),2,3))),0)</f>
        <v>0</v>
      </c>
      <c r="AJ548" s="13">
        <f ca="1">IF(AND($AA548&gt;=5,MOD($AA548,5)=0),IF($AB548=12,VLOOKUP($AA548,Paraméterek!$O$225:$P$240,2),0),IF(OR($AA548=3,$AA548=4),IF($AB548=12,VLOOKUP($AA548,Paraméterek!$O$225:$P$240,2,0),0),0))*$AG548</f>
        <v>0</v>
      </c>
      <c r="AK548" s="13">
        <f t="shared" ca="1" si="185"/>
        <v>0</v>
      </c>
      <c r="AL548" s="13">
        <f t="shared" ca="1" si="193"/>
        <v>0</v>
      </c>
      <c r="AM548" s="13">
        <f t="shared" ca="1" si="194"/>
        <v>0</v>
      </c>
      <c r="AO548" s="32">
        <v>529</v>
      </c>
      <c r="AP548" s="32">
        <v>45</v>
      </c>
      <c r="AQ548" s="32">
        <v>1</v>
      </c>
      <c r="AR548" s="13">
        <f>Tranzakciók!$K$76</f>
        <v>0</v>
      </c>
      <c r="AS548" s="32"/>
      <c r="AT548" s="13">
        <f t="shared" ca="1" si="195"/>
        <v>0</v>
      </c>
      <c r="AU548" s="33"/>
      <c r="AV548" s="13">
        <f t="shared" ca="1" si="186"/>
        <v>0</v>
      </c>
      <c r="AW548" s="13">
        <f ca="1">ROUNDUP(($AT548+$AV548)*VLOOKUP($AP548,Paraméterek!$P$38:$Q$38,2)/12*IF($D549="Nem",IF($M$13=0,1,$M$13),1),IF($D$4="Forint",0,2))</f>
        <v>0</v>
      </c>
      <c r="AX548" s="13"/>
      <c r="AY548" s="13"/>
      <c r="AZ548" s="13">
        <f>ROUNDUP(IF(SUM($AX548:$AY548)=0,0,IF(IF(ISBLANK($AY548),$AX548,$AY548)*Paraméterek!$J$112&lt;IF($D$4="Forint",Paraméterek!$J$113,Paraméterek!$K$113),IF($D$4="Forint",Paraméterek!$J$113,Paraméterek!$K$113),IF(IF(ISBLANK($AY548),$AX548,$AY548)*Paraméterek!$J$112&gt;IF($D$4="Forint",Paraméterek!$J$114,Paraméterek!$K$114),IF($D$4="Forint",Paraméterek!$J$114,Paraméterek!$K$114),IF(ISBLANK($AY548),$AX548,$AY548)*Paraméterek!$J$112))),IF($D$4="Forint",0,2))</f>
        <v>0</v>
      </c>
      <c r="BA548" s="13">
        <f ca="1">$AT548+$AV548-$AW548-IF(ROUNDDOWN(IF(ISBLANK($AY548),$AX548,$AY548),IF($D$4="Forint",0,2))&gt;$AT548+$AV548-$AW548-IF($D$4="Forint",Paraméterek!$J$114,Paraméterek!$K$114),0,ROUNDDOWN(IF(ISBLANK($AY548),$AX548,$AY548),IF($D$4="Forint",0,2))-$AZ548)</f>
        <v>0</v>
      </c>
      <c r="BB548" s="13">
        <f t="shared" ca="1" si="187"/>
        <v>0</v>
      </c>
      <c r="BD548" s="32">
        <v>529</v>
      </c>
      <c r="BE548" s="32">
        <v>45</v>
      </c>
      <c r="BF548" s="32">
        <v>1</v>
      </c>
      <c r="BG548" s="34">
        <f t="shared" ca="1" si="196"/>
        <v>2063</v>
      </c>
      <c r="BH548" s="32" t="str">
        <f ca="1">IF(MOD(MONTH($D$14)+$BD548-1,12)=Paraméterek!$C$288,"Igen","")</f>
        <v/>
      </c>
      <c r="BI548" s="13">
        <f ca="1">IF($BH548="Igen",MIN(ROUNDDOWN((SUMIF($BG$20:$BG$1027,$BG548-1,$K$20:$K$1027)-SUMIF($BG$20:$BG$1027,$BG548-1,$I$20:$I$1027))*Paraméterek!$C$289,IF($D$4="Forint",0,2)),IF($D$4="Forint",Paraméterek!$C$285,Paraméterek!$D$285)),0)</f>
        <v>0</v>
      </c>
      <c r="BJ548" s="13">
        <f t="shared" ca="1" si="188"/>
        <v>0</v>
      </c>
      <c r="BK548" s="13">
        <f t="shared" ca="1" si="197"/>
        <v>0</v>
      </c>
      <c r="BL548" s="33"/>
      <c r="BM548" s="13">
        <f t="shared" ca="1" si="189"/>
        <v>0</v>
      </c>
      <c r="BN548" s="13">
        <f ca="1">ROUNDUP(($BK548+$BM548)*VLOOKUP($BE548,Paraméterek!$P$38:$Q$38,2)/12*IF($D549="Nem",IF($M$13=0,1,$M$13),1),IF($D$4="Forint",0,2))</f>
        <v>0</v>
      </c>
      <c r="BO548" s="13">
        <f t="shared" ca="1" si="190"/>
        <v>0</v>
      </c>
      <c r="BP548" s="13">
        <f ca="1">IF($D549="Nem",$BO548,$BO548-ROUNDUP(SUM($BI$20:$BI548)*120%,IF($D$4="Forint",0,2)))</f>
        <v>0</v>
      </c>
    </row>
    <row r="549" spans="1:68" x14ac:dyDescent="0.2">
      <c r="A549" s="32">
        <v>530</v>
      </c>
      <c r="B549" s="32">
        <v>45</v>
      </c>
      <c r="C549" s="32">
        <v>2</v>
      </c>
      <c r="D549" s="32" t="str">
        <f t="shared" ca="1" si="176"/>
        <v>Nem</v>
      </c>
      <c r="E549" s="13">
        <f t="shared" ca="1" si="177"/>
        <v>0</v>
      </c>
      <c r="F549" s="13"/>
      <c r="G549" s="13"/>
      <c r="H549" s="13"/>
      <c r="I549" s="13">
        <f t="shared" ca="1" si="178"/>
        <v>0</v>
      </c>
      <c r="J549" s="13">
        <f t="shared" ca="1" si="179"/>
        <v>0</v>
      </c>
      <c r="K549" s="13">
        <f t="shared" ca="1" si="180"/>
        <v>0</v>
      </c>
      <c r="L549" s="13" t="e">
        <f ca="1">ROUNDUP(IF($D$2="Egyszeri",$E549,IF($D$2="Havi",SUM($E$20:$E$31),IF(MOD($C549,$M$1)-1=0,SUM($E$20:$E$31),0))/12*$M$1)*VLOOKUP($B549,Paraméterek!$I$28:$P$31,IF($D$2="Egyszeri",8,HLOOKUP(ROUNDUP($M$11+$M$13,0),Paraméterek!$J$26:$O$27,2))),IF($D$4="Forint",0,2))</f>
        <v>#N/A</v>
      </c>
      <c r="M549" s="13">
        <f t="shared" ca="1" si="181"/>
        <v>0</v>
      </c>
      <c r="N549" s="13">
        <f t="shared" ca="1" si="191"/>
        <v>0</v>
      </c>
      <c r="O549" s="13">
        <f ca="1">IF($D549="Igen",IF($W548&gt;=IF($D$4="Forint",Paraméterek!$J$121,Paraméterek!$K$121),0,IF($D$4="Forint",Paraméterek!$J$121,Paraméterek!$K$121)-$W548),0)</f>
        <v>0</v>
      </c>
      <c r="P549" s="13" t="e">
        <f ca="1">ROUNDUP($O549*VLOOKUP($M$4+$B549-1,Paraméterek!$H$58:$I$105,2,0)/Paraméterek!$I$56,IF($D$4="Forint",0,2))</f>
        <v>#N/A</v>
      </c>
      <c r="Q549" s="13">
        <f t="shared" ca="1" si="182"/>
        <v>0</v>
      </c>
      <c r="R549" s="33"/>
      <c r="S549" s="13" t="e">
        <f t="shared" ca="1" si="183"/>
        <v>#N/A</v>
      </c>
      <c r="T549" s="13" t="e">
        <f ca="1">ROUNDUP(($N549-$P549-$Q549+$S549)*VLOOKUP($B549,Paraméterek!$I$38:$K$39,IF($D$2="Egyszeri",3,2))/12*IF($D550="Nem",IF($M$13=0,1,$M$13),1),IF($D$4="Forint",0,2))</f>
        <v>#N/A</v>
      </c>
      <c r="U549" s="13"/>
      <c r="V549" s="13"/>
      <c r="W549" s="13" t="e">
        <f ca="1">$N549-$P549-$Q549+$S549-$T549-IF(ROUNDUP(IF(ISBLANK($V549),$U549*0,$V549)/IF($D$2="Egyszeri",VLOOKUP($B549+IF($C549=12,1,0),Paraméterek!$V$257:$W$262,2),IF($B549=1,1,VLOOKUP($B549+IF($C549=12,1,0),Paraméterek!$I$258:$T$278,HLOOKUP($M$11+1,Paraméterek!$J$256:$T$257,2)))),IF($D$4="Forint",0,2))&gt;$N549-$P549-$Q549+$S549-$T549-IF($D$4="Forint",Paraméterek!$C$216,Paraméterek!$D$216),0,ROUNDUP(IF(ISBLANK($V549),$U549*0,$V549)/IF($D$2="Egyszeri",VLOOKUP($B549+IF($C549=12,1,0),Paraméterek!$V$257:$W$262,2),IF($B549=1,1,VLOOKUP($B549+IF($C549=12,1,0),Paraméterek!$I$258:$T$278,HLOOKUP($M$11+1,Paraméterek!$J$256:$T$257,2)))),IF($D$4="Forint",0,2)))</f>
        <v>#N/A</v>
      </c>
      <c r="X549" s="13" t="e">
        <f ca="1">ROUNDDOWN($W549*IF($D$2="Egyszeri",VLOOKUP($B549+IF($C549=12,1,0),Paraméterek!$V$257:$W$262,2),VLOOKUP($B549+IF($C549=12,1,0),Paraméterek!$I$258:$T$278,HLOOKUP($M$11+1,Paraméterek!$I$256:$T$257,2))),IF($D$4="Forint",0,2))</f>
        <v>#N/A</v>
      </c>
      <c r="Z549" s="32">
        <v>530</v>
      </c>
      <c r="AA549" s="32">
        <v>45</v>
      </c>
      <c r="AB549" s="32">
        <v>2</v>
      </c>
      <c r="AC549" s="13">
        <f t="shared" ca="1" si="192"/>
        <v>0</v>
      </c>
      <c r="AD549" s="33"/>
      <c r="AE549" s="13">
        <f t="shared" ca="1" si="184"/>
        <v>0</v>
      </c>
      <c r="AF549" s="13">
        <f ca="1">ROUNDUP(($AC549+$AE549)*VLOOKUP($AA549,Paraméterek!$P$38:$Q$38,2)/12*IF($D550="Nem",IF($M$13=0,1,$M$13),1),IF($D$4="Forint",0,2))</f>
        <v>0</v>
      </c>
      <c r="AG549" s="13">
        <f ca="1">IF($D$2="Egyszeri",IF($D$7&gt;=IF($D$4="Forint",Paraméterek!$P$223,Paraméterek!$P$224),$D$7-IF($D$4="Forint",Paraméterek!$P$223,Paraméterek!$P$224),0),MIN(IF($AB549=12,AVERAGEIF($E$20:$E549,"&gt;0",$E$20:$E549)*12,0),SUM($E$20:$E$31)))</f>
        <v>0</v>
      </c>
      <c r="AH549" s="13">
        <f>IF($AA549=10,$AG549*IF($AB549=12,IF($AG549&lt;IF($D$4="Forint",Paraméterek!$L$223,Paraméterek!$L$224),0,VLOOKUP($AA549,Paraméterek!$K$226:$M$228,IF($AG549&lt;IF($D$4="Forint",Paraméterek!$M$223,Paraméterek!$M$224),2,3))),0),0)</f>
        <v>0</v>
      </c>
      <c r="AI549" s="13">
        <f ca="1">IF(AND($AA549=$M$11+1,$AB549=$M$12+1),SUMIF($AA$20:$AA$1027,$AA549,$AG$20:$AG$1027)*IF(SUMIF($AA$20:$AA$1027,$AA549,$AG$20:$AG$1027)&lt;IF($D$4="Forint",Paraméterek!$L$223,Paraméterek!$L$224),0,VLOOKUP($AA549,Paraméterek!$K$230:$M$250,IF(SUMIF($AA$20:$AA$1027,$AA549,$AG$20:$AG$1027)&lt;IF($D$4="Forint",Paraméterek!$M$223,Paraméterek!$M$224),2,3))),0)</f>
        <v>0</v>
      </c>
      <c r="AJ549" s="13">
        <f ca="1">IF(AND($AA549&gt;=5,MOD($AA549,5)=0),IF($AB549=12,VLOOKUP($AA549,Paraméterek!$O$225:$P$240,2),0),IF(OR($AA549=3,$AA549=4),IF($AB549=12,VLOOKUP($AA549,Paraméterek!$O$225:$P$240,2,0),0),0))*$AG549</f>
        <v>0</v>
      </c>
      <c r="AK549" s="13">
        <f t="shared" ca="1" si="185"/>
        <v>0</v>
      </c>
      <c r="AL549" s="13">
        <f t="shared" ca="1" si="193"/>
        <v>0</v>
      </c>
      <c r="AM549" s="13">
        <f t="shared" ca="1" si="194"/>
        <v>0</v>
      </c>
      <c r="AO549" s="32">
        <v>530</v>
      </c>
      <c r="AP549" s="32">
        <v>45</v>
      </c>
      <c r="AQ549" s="32">
        <v>2</v>
      </c>
      <c r="AR549" s="13"/>
      <c r="AS549" s="32"/>
      <c r="AT549" s="13">
        <f t="shared" ca="1" si="195"/>
        <v>0</v>
      </c>
      <c r="AU549" s="33"/>
      <c r="AV549" s="13">
        <f t="shared" ca="1" si="186"/>
        <v>0</v>
      </c>
      <c r="AW549" s="13">
        <f ca="1">ROUNDUP(($AT549+$AV549)*VLOOKUP($AP549,Paraméterek!$P$38:$Q$38,2)/12*IF($D550="Nem",IF($M$13=0,1,$M$13),1),IF($D$4="Forint",0,2))</f>
        <v>0</v>
      </c>
      <c r="AX549" s="13"/>
      <c r="AY549" s="13"/>
      <c r="AZ549" s="13">
        <f>ROUNDUP(IF(SUM($AX549:$AY549)=0,0,IF(IF(ISBLANK($AY549),$AX549,$AY549)*Paraméterek!$J$112&lt;IF($D$4="Forint",Paraméterek!$J$113,Paraméterek!$K$113),IF($D$4="Forint",Paraméterek!$J$113,Paraméterek!$K$113),IF(IF(ISBLANK($AY549),$AX549,$AY549)*Paraméterek!$J$112&gt;IF($D$4="Forint",Paraméterek!$J$114,Paraméterek!$K$114),IF($D$4="Forint",Paraméterek!$J$114,Paraméterek!$K$114),IF(ISBLANK($AY549),$AX549,$AY549)*Paraméterek!$J$112))),IF($D$4="Forint",0,2))</f>
        <v>0</v>
      </c>
      <c r="BA549" s="13">
        <f ca="1">$AT549+$AV549-$AW549-IF(ROUNDDOWN(IF(ISBLANK($AY549),$AX549,$AY549),IF($D$4="Forint",0,2))&gt;$AT549+$AV549-$AW549-IF($D$4="Forint",Paraméterek!$J$114,Paraméterek!$K$114),0,ROUNDDOWN(IF(ISBLANK($AY549),$AX549,$AY549),IF($D$4="Forint",0,2))-$AZ549)</f>
        <v>0</v>
      </c>
      <c r="BB549" s="13">
        <f t="shared" ca="1" si="187"/>
        <v>0</v>
      </c>
      <c r="BD549" s="32">
        <v>530</v>
      </c>
      <c r="BE549" s="32">
        <v>45</v>
      </c>
      <c r="BF549" s="32">
        <v>2</v>
      </c>
      <c r="BG549" s="34">
        <f t="shared" ca="1" si="196"/>
        <v>2063</v>
      </c>
      <c r="BH549" s="32" t="str">
        <f ca="1">IF(MOD(MONTH($D$14)+$BD549-1,12)=Paraméterek!$C$288,"Igen","")</f>
        <v>Igen</v>
      </c>
      <c r="BI549" s="13">
        <f ca="1">IF($BH549="Igen",MIN(ROUNDDOWN((SUMIF($BG$20:$BG$1027,$BG549-1,$K$20:$K$1027)-SUMIF($BG$20:$BG$1027,$BG549-1,$I$20:$I$1027))*Paraméterek!$C$289,IF($D$4="Forint",0,2)),IF($D$4="Forint",Paraméterek!$C$285,Paraméterek!$D$285)),0)</f>
        <v>0</v>
      </c>
      <c r="BJ549" s="13">
        <f t="shared" ca="1" si="188"/>
        <v>0</v>
      </c>
      <c r="BK549" s="13">
        <f t="shared" ca="1" si="197"/>
        <v>0</v>
      </c>
      <c r="BL549" s="33"/>
      <c r="BM549" s="13">
        <f t="shared" ca="1" si="189"/>
        <v>0</v>
      </c>
      <c r="BN549" s="13">
        <f ca="1">ROUNDUP(($BK549+$BM549)*VLOOKUP($BE549,Paraméterek!$P$38:$Q$38,2)/12*IF($D550="Nem",IF($M$13=0,1,$M$13),1),IF($D$4="Forint",0,2))</f>
        <v>0</v>
      </c>
      <c r="BO549" s="13">
        <f t="shared" ca="1" si="190"/>
        <v>0</v>
      </c>
      <c r="BP549" s="13">
        <f ca="1">IF($D550="Nem",$BO549,$BO549-ROUNDUP(SUM($BI$20:$BI549)*120%,IF($D$4="Forint",0,2)))</f>
        <v>0</v>
      </c>
    </row>
    <row r="550" spans="1:68" x14ac:dyDescent="0.2">
      <c r="A550" s="32">
        <v>531</v>
      </c>
      <c r="B550" s="32">
        <v>45</v>
      </c>
      <c r="C550" s="32">
        <v>3</v>
      </c>
      <c r="D550" s="32" t="str">
        <f t="shared" ca="1" si="176"/>
        <v>Nem</v>
      </c>
      <c r="E550" s="13">
        <f t="shared" ca="1" si="177"/>
        <v>0</v>
      </c>
      <c r="F550" s="13"/>
      <c r="G550" s="13"/>
      <c r="H550" s="13"/>
      <c r="I550" s="13">
        <f t="shared" ca="1" si="178"/>
        <v>0</v>
      </c>
      <c r="J550" s="13">
        <f t="shared" ca="1" si="179"/>
        <v>0</v>
      </c>
      <c r="K550" s="13">
        <f t="shared" ca="1" si="180"/>
        <v>0</v>
      </c>
      <c r="L550" s="13" t="e">
        <f ca="1">ROUNDUP(IF($D$2="Egyszeri",$E550,IF($D$2="Havi",SUM($E$20:$E$31),IF(MOD($C550,$M$1)-1=0,SUM($E$20:$E$31),0))/12*$M$1)*VLOOKUP($B550,Paraméterek!$I$28:$P$31,IF($D$2="Egyszeri",8,HLOOKUP(ROUNDUP($M$11+$M$13,0),Paraméterek!$J$26:$O$27,2))),IF($D$4="Forint",0,2))</f>
        <v>#N/A</v>
      </c>
      <c r="M550" s="13">
        <f t="shared" ca="1" si="181"/>
        <v>0</v>
      </c>
      <c r="N550" s="13">
        <f t="shared" ca="1" si="191"/>
        <v>0</v>
      </c>
      <c r="O550" s="13">
        <f ca="1">IF($D550="Igen",IF($W549&gt;=IF($D$4="Forint",Paraméterek!$J$121,Paraméterek!$K$121),0,IF($D$4="Forint",Paraméterek!$J$121,Paraméterek!$K$121)-$W549),0)</f>
        <v>0</v>
      </c>
      <c r="P550" s="13" t="e">
        <f ca="1">ROUNDUP($O550*VLOOKUP($M$4+$B550-1,Paraméterek!$H$58:$I$105,2,0)/Paraméterek!$I$56,IF($D$4="Forint",0,2))</f>
        <v>#N/A</v>
      </c>
      <c r="Q550" s="13">
        <f t="shared" ca="1" si="182"/>
        <v>0</v>
      </c>
      <c r="R550" s="33"/>
      <c r="S550" s="13" t="e">
        <f t="shared" ca="1" si="183"/>
        <v>#N/A</v>
      </c>
      <c r="T550" s="13" t="e">
        <f ca="1">ROUNDUP(($N550-$P550-$Q550+$S550)*VLOOKUP($B550,Paraméterek!$I$38:$K$39,IF($D$2="Egyszeri",3,2))/12*IF($D551="Nem",IF($M$13=0,1,$M$13),1),IF($D$4="Forint",0,2))</f>
        <v>#N/A</v>
      </c>
      <c r="U550" s="13"/>
      <c r="V550" s="13"/>
      <c r="W550" s="13" t="e">
        <f ca="1">$N550-$P550-$Q550+$S550-$T550-IF(ROUNDUP(IF(ISBLANK($V550),$U550*0,$V550)/IF($D$2="Egyszeri",VLOOKUP($B550+IF($C550=12,1,0),Paraméterek!$V$257:$W$262,2),IF($B550=1,1,VLOOKUP($B550+IF($C550=12,1,0),Paraméterek!$I$258:$T$278,HLOOKUP($M$11+1,Paraméterek!$J$256:$T$257,2)))),IF($D$4="Forint",0,2))&gt;$N550-$P550-$Q550+$S550-$T550-IF($D$4="Forint",Paraméterek!$C$216,Paraméterek!$D$216),0,ROUNDUP(IF(ISBLANK($V550),$U550*0,$V550)/IF($D$2="Egyszeri",VLOOKUP($B550+IF($C550=12,1,0),Paraméterek!$V$257:$W$262,2),IF($B550=1,1,VLOOKUP($B550+IF($C550=12,1,0),Paraméterek!$I$258:$T$278,HLOOKUP($M$11+1,Paraméterek!$J$256:$T$257,2)))),IF($D$4="Forint",0,2)))</f>
        <v>#N/A</v>
      </c>
      <c r="X550" s="13" t="e">
        <f ca="1">ROUNDDOWN($W550*IF($D$2="Egyszeri",VLOOKUP($B550+IF($C550=12,1,0),Paraméterek!$V$257:$W$262,2),VLOOKUP($B550+IF($C550=12,1,0),Paraméterek!$I$258:$T$278,HLOOKUP($M$11+1,Paraméterek!$I$256:$T$257,2))),IF($D$4="Forint",0,2))</f>
        <v>#N/A</v>
      </c>
      <c r="Z550" s="32">
        <v>531</v>
      </c>
      <c r="AA550" s="32">
        <v>45</v>
      </c>
      <c r="AB550" s="32">
        <v>3</v>
      </c>
      <c r="AC550" s="13">
        <f t="shared" ca="1" si="192"/>
        <v>0</v>
      </c>
      <c r="AD550" s="33"/>
      <c r="AE550" s="13">
        <f t="shared" ca="1" si="184"/>
        <v>0</v>
      </c>
      <c r="AF550" s="13">
        <f ca="1">ROUNDUP(($AC550+$AE550)*VLOOKUP($AA550,Paraméterek!$P$38:$Q$38,2)/12*IF($D551="Nem",IF($M$13=0,1,$M$13),1),IF($D$4="Forint",0,2))</f>
        <v>0</v>
      </c>
      <c r="AG550" s="13">
        <f ca="1">IF($D$2="Egyszeri",IF($D$7&gt;=IF($D$4="Forint",Paraméterek!$P$223,Paraméterek!$P$224),$D$7-IF($D$4="Forint",Paraméterek!$P$223,Paraméterek!$P$224),0),MIN(IF($AB550=12,AVERAGEIF($E$20:$E550,"&gt;0",$E$20:$E550)*12,0),SUM($E$20:$E$31)))</f>
        <v>0</v>
      </c>
      <c r="AH550" s="13">
        <f>IF($AA550=10,$AG550*IF($AB550=12,IF($AG550&lt;IF($D$4="Forint",Paraméterek!$L$223,Paraméterek!$L$224),0,VLOOKUP($AA550,Paraméterek!$K$226:$M$228,IF($AG550&lt;IF($D$4="Forint",Paraméterek!$M$223,Paraméterek!$M$224),2,3))),0),0)</f>
        <v>0</v>
      </c>
      <c r="AI550" s="13">
        <f ca="1">IF(AND($AA550=$M$11+1,$AB550=$M$12+1),SUMIF($AA$20:$AA$1027,$AA550,$AG$20:$AG$1027)*IF(SUMIF($AA$20:$AA$1027,$AA550,$AG$20:$AG$1027)&lt;IF($D$4="Forint",Paraméterek!$L$223,Paraméterek!$L$224),0,VLOOKUP($AA550,Paraméterek!$K$230:$M$250,IF(SUMIF($AA$20:$AA$1027,$AA550,$AG$20:$AG$1027)&lt;IF($D$4="Forint",Paraméterek!$M$223,Paraméterek!$M$224),2,3))),0)</f>
        <v>0</v>
      </c>
      <c r="AJ550" s="13">
        <f ca="1">IF(AND($AA550&gt;=5,MOD($AA550,5)=0),IF($AB550=12,VLOOKUP($AA550,Paraméterek!$O$225:$P$240,2),0),IF(OR($AA550=3,$AA550=4),IF($AB550=12,VLOOKUP($AA550,Paraméterek!$O$225:$P$240,2,0),0),0))*$AG550</f>
        <v>0</v>
      </c>
      <c r="AK550" s="13">
        <f t="shared" ca="1" si="185"/>
        <v>0</v>
      </c>
      <c r="AL550" s="13">
        <f t="shared" ca="1" si="193"/>
        <v>0</v>
      </c>
      <c r="AM550" s="13">
        <f t="shared" ca="1" si="194"/>
        <v>0</v>
      </c>
      <c r="AO550" s="32">
        <v>531</v>
      </c>
      <c r="AP550" s="32">
        <v>45</v>
      </c>
      <c r="AQ550" s="32">
        <v>3</v>
      </c>
      <c r="AR550" s="13"/>
      <c r="AS550" s="32"/>
      <c r="AT550" s="13">
        <f t="shared" ca="1" si="195"/>
        <v>0</v>
      </c>
      <c r="AU550" s="33"/>
      <c r="AV550" s="13">
        <f t="shared" ca="1" si="186"/>
        <v>0</v>
      </c>
      <c r="AW550" s="13">
        <f ca="1">ROUNDUP(($AT550+$AV550)*VLOOKUP($AP550,Paraméterek!$P$38:$Q$38,2)/12*IF($D551="Nem",IF($M$13=0,1,$M$13),1),IF($D$4="Forint",0,2))</f>
        <v>0</v>
      </c>
      <c r="AX550" s="13"/>
      <c r="AY550" s="13"/>
      <c r="AZ550" s="13">
        <f>ROUNDUP(IF(SUM($AX550:$AY550)=0,0,IF(IF(ISBLANK($AY550),$AX550,$AY550)*Paraméterek!$J$112&lt;IF($D$4="Forint",Paraméterek!$J$113,Paraméterek!$K$113),IF($D$4="Forint",Paraméterek!$J$113,Paraméterek!$K$113),IF(IF(ISBLANK($AY550),$AX550,$AY550)*Paraméterek!$J$112&gt;IF($D$4="Forint",Paraméterek!$J$114,Paraméterek!$K$114),IF($D$4="Forint",Paraméterek!$J$114,Paraméterek!$K$114),IF(ISBLANK($AY550),$AX550,$AY550)*Paraméterek!$J$112))),IF($D$4="Forint",0,2))</f>
        <v>0</v>
      </c>
      <c r="BA550" s="13">
        <f ca="1">$AT550+$AV550-$AW550-IF(ROUNDDOWN(IF(ISBLANK($AY550),$AX550,$AY550),IF($D$4="Forint",0,2))&gt;$AT550+$AV550-$AW550-IF($D$4="Forint",Paraméterek!$J$114,Paraméterek!$K$114),0,ROUNDDOWN(IF(ISBLANK($AY550),$AX550,$AY550),IF($D$4="Forint",0,2))-$AZ550)</f>
        <v>0</v>
      </c>
      <c r="BB550" s="13">
        <f t="shared" ca="1" si="187"/>
        <v>0</v>
      </c>
      <c r="BD550" s="32">
        <v>531</v>
      </c>
      <c r="BE550" s="32">
        <v>45</v>
      </c>
      <c r="BF550" s="32">
        <v>3</v>
      </c>
      <c r="BG550" s="34">
        <f t="shared" ca="1" si="196"/>
        <v>2063</v>
      </c>
      <c r="BH550" s="32" t="str">
        <f ca="1">IF(MOD(MONTH($D$14)+$BD550-1,12)=Paraméterek!$C$288,"Igen","")</f>
        <v/>
      </c>
      <c r="BI550" s="13">
        <f ca="1">IF($BH550="Igen",MIN(ROUNDDOWN((SUMIF($BG$20:$BG$1027,$BG550-1,$K$20:$K$1027)-SUMIF($BG$20:$BG$1027,$BG550-1,$I$20:$I$1027))*Paraméterek!$C$289,IF($D$4="Forint",0,2)),IF($D$4="Forint",Paraméterek!$C$285,Paraméterek!$D$285)),0)</f>
        <v>0</v>
      </c>
      <c r="BJ550" s="13">
        <f t="shared" ca="1" si="188"/>
        <v>0</v>
      </c>
      <c r="BK550" s="13">
        <f t="shared" ca="1" si="197"/>
        <v>0</v>
      </c>
      <c r="BL550" s="33"/>
      <c r="BM550" s="13">
        <f t="shared" ca="1" si="189"/>
        <v>0</v>
      </c>
      <c r="BN550" s="13">
        <f ca="1">ROUNDUP(($BK550+$BM550)*VLOOKUP($BE550,Paraméterek!$P$38:$Q$38,2)/12*IF($D551="Nem",IF($M$13=0,1,$M$13),1),IF($D$4="Forint",0,2))</f>
        <v>0</v>
      </c>
      <c r="BO550" s="13">
        <f t="shared" ca="1" si="190"/>
        <v>0</v>
      </c>
      <c r="BP550" s="13">
        <f ca="1">IF($D551="Nem",$BO550,$BO550-ROUNDUP(SUM($BI$20:$BI550)*120%,IF($D$4="Forint",0,2)))</f>
        <v>0</v>
      </c>
    </row>
    <row r="551" spans="1:68" x14ac:dyDescent="0.2">
      <c r="A551" s="32">
        <v>532</v>
      </c>
      <c r="B551" s="32">
        <v>45</v>
      </c>
      <c r="C551" s="32">
        <v>4</v>
      </c>
      <c r="D551" s="32" t="str">
        <f t="shared" ca="1" si="176"/>
        <v>Nem</v>
      </c>
      <c r="E551" s="13">
        <f t="shared" ca="1" si="177"/>
        <v>0</v>
      </c>
      <c r="F551" s="13"/>
      <c r="G551" s="13"/>
      <c r="H551" s="13"/>
      <c r="I551" s="13">
        <f t="shared" ca="1" si="178"/>
        <v>0</v>
      </c>
      <c r="J551" s="13">
        <f t="shared" ca="1" si="179"/>
        <v>0</v>
      </c>
      <c r="K551" s="13">
        <f t="shared" ca="1" si="180"/>
        <v>0</v>
      </c>
      <c r="L551" s="13" t="e">
        <f ca="1">ROUNDUP(IF($D$2="Egyszeri",$E551,IF($D$2="Havi",SUM($E$20:$E$31),IF(MOD($C551,$M$1)-1=0,SUM($E$20:$E$31),0))/12*$M$1)*VLOOKUP($B551,Paraméterek!$I$28:$P$31,IF($D$2="Egyszeri",8,HLOOKUP(ROUNDUP($M$11+$M$13,0),Paraméterek!$J$26:$O$27,2))),IF($D$4="Forint",0,2))</f>
        <v>#N/A</v>
      </c>
      <c r="M551" s="13">
        <f t="shared" ca="1" si="181"/>
        <v>0</v>
      </c>
      <c r="N551" s="13">
        <f t="shared" ca="1" si="191"/>
        <v>0</v>
      </c>
      <c r="O551" s="13">
        <f ca="1">IF($D551="Igen",IF($W550&gt;=IF($D$4="Forint",Paraméterek!$J$121,Paraméterek!$K$121),0,IF($D$4="Forint",Paraméterek!$J$121,Paraméterek!$K$121)-$W550),0)</f>
        <v>0</v>
      </c>
      <c r="P551" s="13" t="e">
        <f ca="1">ROUNDUP($O551*VLOOKUP($M$4+$B551-1,Paraméterek!$H$58:$I$105,2,0)/Paraméterek!$I$56,IF($D$4="Forint",0,2))</f>
        <v>#N/A</v>
      </c>
      <c r="Q551" s="13">
        <f t="shared" ca="1" si="182"/>
        <v>0</v>
      </c>
      <c r="R551" s="33"/>
      <c r="S551" s="13" t="e">
        <f t="shared" ca="1" si="183"/>
        <v>#N/A</v>
      </c>
      <c r="T551" s="13" t="e">
        <f ca="1">ROUNDUP(($N551-$P551-$Q551+$S551)*VLOOKUP($B551,Paraméterek!$I$38:$K$39,IF($D$2="Egyszeri",3,2))/12*IF($D552="Nem",IF($M$13=0,1,$M$13),1),IF($D$4="Forint",0,2))</f>
        <v>#N/A</v>
      </c>
      <c r="U551" s="13"/>
      <c r="V551" s="13"/>
      <c r="W551" s="13" t="e">
        <f ca="1">$N551-$P551-$Q551+$S551-$T551-IF(ROUNDUP(IF(ISBLANK($V551),$U551*0,$V551)/IF($D$2="Egyszeri",VLOOKUP($B551+IF($C551=12,1,0),Paraméterek!$V$257:$W$262,2),IF($B551=1,1,VLOOKUP($B551+IF($C551=12,1,0),Paraméterek!$I$258:$T$278,HLOOKUP($M$11+1,Paraméterek!$J$256:$T$257,2)))),IF($D$4="Forint",0,2))&gt;$N551-$P551-$Q551+$S551-$T551-IF($D$4="Forint",Paraméterek!$C$216,Paraméterek!$D$216),0,ROUNDUP(IF(ISBLANK($V551),$U551*0,$V551)/IF($D$2="Egyszeri",VLOOKUP($B551+IF($C551=12,1,0),Paraméterek!$V$257:$W$262,2),IF($B551=1,1,VLOOKUP($B551+IF($C551=12,1,0),Paraméterek!$I$258:$T$278,HLOOKUP($M$11+1,Paraméterek!$J$256:$T$257,2)))),IF($D$4="Forint",0,2)))</f>
        <v>#N/A</v>
      </c>
      <c r="X551" s="13" t="e">
        <f ca="1">ROUNDDOWN($W551*IF($D$2="Egyszeri",VLOOKUP($B551+IF($C551=12,1,0),Paraméterek!$V$257:$W$262,2),VLOOKUP($B551+IF($C551=12,1,0),Paraméterek!$I$258:$T$278,HLOOKUP($M$11+1,Paraméterek!$I$256:$T$257,2))),IF($D$4="Forint",0,2))</f>
        <v>#N/A</v>
      </c>
      <c r="Z551" s="32">
        <v>532</v>
      </c>
      <c r="AA551" s="32">
        <v>45</v>
      </c>
      <c r="AB551" s="32">
        <v>4</v>
      </c>
      <c r="AC551" s="13">
        <f t="shared" ca="1" si="192"/>
        <v>0</v>
      </c>
      <c r="AD551" s="33"/>
      <c r="AE551" s="13">
        <f t="shared" ca="1" si="184"/>
        <v>0</v>
      </c>
      <c r="AF551" s="13">
        <f ca="1">ROUNDUP(($AC551+$AE551)*VLOOKUP($AA551,Paraméterek!$P$38:$Q$38,2)/12*IF($D552="Nem",IF($M$13=0,1,$M$13),1),IF($D$4="Forint",0,2))</f>
        <v>0</v>
      </c>
      <c r="AG551" s="13">
        <f ca="1">IF($D$2="Egyszeri",IF($D$7&gt;=IF($D$4="Forint",Paraméterek!$P$223,Paraméterek!$P$224),$D$7-IF($D$4="Forint",Paraméterek!$P$223,Paraméterek!$P$224),0),MIN(IF($AB551=12,AVERAGEIF($E$20:$E551,"&gt;0",$E$20:$E551)*12,0),SUM($E$20:$E$31)))</f>
        <v>0</v>
      </c>
      <c r="AH551" s="13">
        <f>IF($AA551=10,$AG551*IF($AB551=12,IF($AG551&lt;IF($D$4="Forint",Paraméterek!$L$223,Paraméterek!$L$224),0,VLOOKUP($AA551,Paraméterek!$K$226:$M$228,IF($AG551&lt;IF($D$4="Forint",Paraméterek!$M$223,Paraméterek!$M$224),2,3))),0),0)</f>
        <v>0</v>
      </c>
      <c r="AI551" s="13">
        <f ca="1">IF(AND($AA551=$M$11+1,$AB551=$M$12+1),SUMIF($AA$20:$AA$1027,$AA551,$AG$20:$AG$1027)*IF(SUMIF($AA$20:$AA$1027,$AA551,$AG$20:$AG$1027)&lt;IF($D$4="Forint",Paraméterek!$L$223,Paraméterek!$L$224),0,VLOOKUP($AA551,Paraméterek!$K$230:$M$250,IF(SUMIF($AA$20:$AA$1027,$AA551,$AG$20:$AG$1027)&lt;IF($D$4="Forint",Paraméterek!$M$223,Paraméterek!$M$224),2,3))),0)</f>
        <v>0</v>
      </c>
      <c r="AJ551" s="13">
        <f ca="1">IF(AND($AA551&gt;=5,MOD($AA551,5)=0),IF($AB551=12,VLOOKUP($AA551,Paraméterek!$O$225:$P$240,2),0),IF(OR($AA551=3,$AA551=4),IF($AB551=12,VLOOKUP($AA551,Paraméterek!$O$225:$P$240,2,0),0),0))*$AG551</f>
        <v>0</v>
      </c>
      <c r="AK551" s="13">
        <f t="shared" ca="1" si="185"/>
        <v>0</v>
      </c>
      <c r="AL551" s="13">
        <f t="shared" ca="1" si="193"/>
        <v>0</v>
      </c>
      <c r="AM551" s="13">
        <f t="shared" ca="1" si="194"/>
        <v>0</v>
      </c>
      <c r="AO551" s="32">
        <v>532</v>
      </c>
      <c r="AP551" s="32">
        <v>45</v>
      </c>
      <c r="AQ551" s="32">
        <v>4</v>
      </c>
      <c r="AR551" s="13"/>
      <c r="AS551" s="32"/>
      <c r="AT551" s="13">
        <f t="shared" ca="1" si="195"/>
        <v>0</v>
      </c>
      <c r="AU551" s="33"/>
      <c r="AV551" s="13">
        <f t="shared" ca="1" si="186"/>
        <v>0</v>
      </c>
      <c r="AW551" s="13">
        <f ca="1">ROUNDUP(($AT551+$AV551)*VLOOKUP($AP551,Paraméterek!$P$38:$Q$38,2)/12*IF($D552="Nem",IF($M$13=0,1,$M$13),1),IF($D$4="Forint",0,2))</f>
        <v>0</v>
      </c>
      <c r="AX551" s="13"/>
      <c r="AY551" s="13"/>
      <c r="AZ551" s="13">
        <f>ROUNDUP(IF(SUM($AX551:$AY551)=0,0,IF(IF(ISBLANK($AY551),$AX551,$AY551)*Paraméterek!$J$112&lt;IF($D$4="Forint",Paraméterek!$J$113,Paraméterek!$K$113),IF($D$4="Forint",Paraméterek!$J$113,Paraméterek!$K$113),IF(IF(ISBLANK($AY551),$AX551,$AY551)*Paraméterek!$J$112&gt;IF($D$4="Forint",Paraméterek!$J$114,Paraméterek!$K$114),IF($D$4="Forint",Paraméterek!$J$114,Paraméterek!$K$114),IF(ISBLANK($AY551),$AX551,$AY551)*Paraméterek!$J$112))),IF($D$4="Forint",0,2))</f>
        <v>0</v>
      </c>
      <c r="BA551" s="13">
        <f ca="1">$AT551+$AV551-$AW551-IF(ROUNDDOWN(IF(ISBLANK($AY551),$AX551,$AY551),IF($D$4="Forint",0,2))&gt;$AT551+$AV551-$AW551-IF($D$4="Forint",Paraméterek!$J$114,Paraméterek!$K$114),0,ROUNDDOWN(IF(ISBLANK($AY551),$AX551,$AY551),IF($D$4="Forint",0,2))-$AZ551)</f>
        <v>0</v>
      </c>
      <c r="BB551" s="13">
        <f t="shared" ca="1" si="187"/>
        <v>0</v>
      </c>
      <c r="BD551" s="32">
        <v>532</v>
      </c>
      <c r="BE551" s="32">
        <v>45</v>
      </c>
      <c r="BF551" s="32">
        <v>4</v>
      </c>
      <c r="BG551" s="34">
        <f t="shared" ca="1" si="196"/>
        <v>2063</v>
      </c>
      <c r="BH551" s="32" t="str">
        <f ca="1">IF(MOD(MONTH($D$14)+$BD551-1,12)=Paraméterek!$C$288,"Igen","")</f>
        <v/>
      </c>
      <c r="BI551" s="13">
        <f ca="1">IF($BH551="Igen",MIN(ROUNDDOWN((SUMIF($BG$20:$BG$1027,$BG551-1,$K$20:$K$1027)-SUMIF($BG$20:$BG$1027,$BG551-1,$I$20:$I$1027))*Paraméterek!$C$289,IF($D$4="Forint",0,2)),IF($D$4="Forint",Paraméterek!$C$285,Paraméterek!$D$285)),0)</f>
        <v>0</v>
      </c>
      <c r="BJ551" s="13">
        <f t="shared" ca="1" si="188"/>
        <v>0</v>
      </c>
      <c r="BK551" s="13">
        <f t="shared" ca="1" si="197"/>
        <v>0</v>
      </c>
      <c r="BL551" s="33"/>
      <c r="BM551" s="13">
        <f t="shared" ca="1" si="189"/>
        <v>0</v>
      </c>
      <c r="BN551" s="13">
        <f ca="1">ROUNDUP(($BK551+$BM551)*VLOOKUP($BE551,Paraméterek!$P$38:$Q$38,2)/12*IF($D552="Nem",IF($M$13=0,1,$M$13),1),IF($D$4="Forint",0,2))</f>
        <v>0</v>
      </c>
      <c r="BO551" s="13">
        <f t="shared" ca="1" si="190"/>
        <v>0</v>
      </c>
      <c r="BP551" s="13">
        <f ca="1">IF($D552="Nem",$BO551,$BO551-ROUNDUP(SUM($BI$20:$BI551)*120%,IF($D$4="Forint",0,2)))</f>
        <v>0</v>
      </c>
    </row>
    <row r="552" spans="1:68" x14ac:dyDescent="0.2">
      <c r="A552" s="32">
        <v>533</v>
      </c>
      <c r="B552" s="32">
        <v>45</v>
      </c>
      <c r="C552" s="32">
        <v>5</v>
      </c>
      <c r="D552" s="32" t="str">
        <f t="shared" ca="1" si="176"/>
        <v>Nem</v>
      </c>
      <c r="E552" s="13">
        <f t="shared" ca="1" si="177"/>
        <v>0</v>
      </c>
      <c r="F552" s="13"/>
      <c r="G552" s="13"/>
      <c r="H552" s="13"/>
      <c r="I552" s="13">
        <f t="shared" ca="1" si="178"/>
        <v>0</v>
      </c>
      <c r="J552" s="13">
        <f t="shared" ca="1" si="179"/>
        <v>0</v>
      </c>
      <c r="K552" s="13">
        <f t="shared" ca="1" si="180"/>
        <v>0</v>
      </c>
      <c r="L552" s="13" t="e">
        <f ca="1">ROUNDUP(IF($D$2="Egyszeri",$E552,IF($D$2="Havi",SUM($E$20:$E$31),IF(MOD($C552,$M$1)-1=0,SUM($E$20:$E$31),0))/12*$M$1)*VLOOKUP($B552,Paraméterek!$I$28:$P$31,IF($D$2="Egyszeri",8,HLOOKUP(ROUNDUP($M$11+$M$13,0),Paraméterek!$J$26:$O$27,2))),IF($D$4="Forint",0,2))</f>
        <v>#N/A</v>
      </c>
      <c r="M552" s="13">
        <f t="shared" ca="1" si="181"/>
        <v>0</v>
      </c>
      <c r="N552" s="13">
        <f t="shared" ca="1" si="191"/>
        <v>0</v>
      </c>
      <c r="O552" s="13">
        <f ca="1">IF($D552="Igen",IF($W551&gt;=IF($D$4="Forint",Paraméterek!$J$121,Paraméterek!$K$121),0,IF($D$4="Forint",Paraméterek!$J$121,Paraméterek!$K$121)-$W551),0)</f>
        <v>0</v>
      </c>
      <c r="P552" s="13" t="e">
        <f ca="1">ROUNDUP($O552*VLOOKUP($M$4+$B552-1,Paraméterek!$H$58:$I$105,2,0)/Paraméterek!$I$56,IF($D$4="Forint",0,2))</f>
        <v>#N/A</v>
      </c>
      <c r="Q552" s="13">
        <f t="shared" ca="1" si="182"/>
        <v>0</v>
      </c>
      <c r="R552" s="33"/>
      <c r="S552" s="13" t="e">
        <f t="shared" ca="1" si="183"/>
        <v>#N/A</v>
      </c>
      <c r="T552" s="13" t="e">
        <f ca="1">ROUNDUP(($N552-$P552-$Q552+$S552)*VLOOKUP($B552,Paraméterek!$I$38:$K$39,IF($D$2="Egyszeri",3,2))/12*IF($D553="Nem",IF($M$13=0,1,$M$13),1),IF($D$4="Forint",0,2))</f>
        <v>#N/A</v>
      </c>
      <c r="U552" s="13"/>
      <c r="V552" s="13"/>
      <c r="W552" s="13" t="e">
        <f ca="1">$N552-$P552-$Q552+$S552-$T552-IF(ROUNDUP(IF(ISBLANK($V552),$U552*0,$V552)/IF($D$2="Egyszeri",VLOOKUP($B552+IF($C552=12,1,0),Paraméterek!$V$257:$W$262,2),IF($B552=1,1,VLOOKUP($B552+IF($C552=12,1,0),Paraméterek!$I$258:$T$278,HLOOKUP($M$11+1,Paraméterek!$J$256:$T$257,2)))),IF($D$4="Forint",0,2))&gt;$N552-$P552-$Q552+$S552-$T552-IF($D$4="Forint",Paraméterek!$C$216,Paraméterek!$D$216),0,ROUNDUP(IF(ISBLANK($V552),$U552*0,$V552)/IF($D$2="Egyszeri",VLOOKUP($B552+IF($C552=12,1,0),Paraméterek!$V$257:$W$262,2),IF($B552=1,1,VLOOKUP($B552+IF($C552=12,1,0),Paraméterek!$I$258:$T$278,HLOOKUP($M$11+1,Paraméterek!$J$256:$T$257,2)))),IF($D$4="Forint",0,2)))</f>
        <v>#N/A</v>
      </c>
      <c r="X552" s="13" t="e">
        <f ca="1">ROUNDDOWN($W552*IF($D$2="Egyszeri",VLOOKUP($B552+IF($C552=12,1,0),Paraméterek!$V$257:$W$262,2),VLOOKUP($B552+IF($C552=12,1,0),Paraméterek!$I$258:$T$278,HLOOKUP($M$11+1,Paraméterek!$I$256:$T$257,2))),IF($D$4="Forint",0,2))</f>
        <v>#N/A</v>
      </c>
      <c r="Z552" s="32">
        <v>533</v>
      </c>
      <c r="AA552" s="32">
        <v>45</v>
      </c>
      <c r="AB552" s="32">
        <v>5</v>
      </c>
      <c r="AC552" s="13">
        <f t="shared" ca="1" si="192"/>
        <v>0</v>
      </c>
      <c r="AD552" s="33"/>
      <c r="AE552" s="13">
        <f t="shared" ca="1" si="184"/>
        <v>0</v>
      </c>
      <c r="AF552" s="13">
        <f ca="1">ROUNDUP(($AC552+$AE552)*VLOOKUP($AA552,Paraméterek!$P$38:$Q$38,2)/12*IF($D553="Nem",IF($M$13=0,1,$M$13),1),IF($D$4="Forint",0,2))</f>
        <v>0</v>
      </c>
      <c r="AG552" s="13">
        <f ca="1">IF($D$2="Egyszeri",IF($D$7&gt;=IF($D$4="Forint",Paraméterek!$P$223,Paraméterek!$P$224),$D$7-IF($D$4="Forint",Paraméterek!$P$223,Paraméterek!$P$224),0),MIN(IF($AB552=12,AVERAGEIF($E$20:$E552,"&gt;0",$E$20:$E552)*12,0),SUM($E$20:$E$31)))</f>
        <v>0</v>
      </c>
      <c r="AH552" s="13">
        <f>IF($AA552=10,$AG552*IF($AB552=12,IF($AG552&lt;IF($D$4="Forint",Paraméterek!$L$223,Paraméterek!$L$224),0,VLOOKUP($AA552,Paraméterek!$K$226:$M$228,IF($AG552&lt;IF($D$4="Forint",Paraméterek!$M$223,Paraméterek!$M$224),2,3))),0),0)</f>
        <v>0</v>
      </c>
      <c r="AI552" s="13">
        <f ca="1">IF(AND($AA552=$M$11+1,$AB552=$M$12+1),SUMIF($AA$20:$AA$1027,$AA552,$AG$20:$AG$1027)*IF(SUMIF($AA$20:$AA$1027,$AA552,$AG$20:$AG$1027)&lt;IF($D$4="Forint",Paraméterek!$L$223,Paraméterek!$L$224),0,VLOOKUP($AA552,Paraméterek!$K$230:$M$250,IF(SUMIF($AA$20:$AA$1027,$AA552,$AG$20:$AG$1027)&lt;IF($D$4="Forint",Paraméterek!$M$223,Paraméterek!$M$224),2,3))),0)</f>
        <v>0</v>
      </c>
      <c r="AJ552" s="13">
        <f ca="1">IF(AND($AA552&gt;=5,MOD($AA552,5)=0),IF($AB552=12,VLOOKUP($AA552,Paraméterek!$O$225:$P$240,2),0),IF(OR($AA552=3,$AA552=4),IF($AB552=12,VLOOKUP($AA552,Paraméterek!$O$225:$P$240,2,0),0),0))*$AG552</f>
        <v>0</v>
      </c>
      <c r="AK552" s="13">
        <f t="shared" ca="1" si="185"/>
        <v>0</v>
      </c>
      <c r="AL552" s="13">
        <f t="shared" ca="1" si="193"/>
        <v>0</v>
      </c>
      <c r="AM552" s="13">
        <f t="shared" ca="1" si="194"/>
        <v>0</v>
      </c>
      <c r="AO552" s="32">
        <v>533</v>
      </c>
      <c r="AP552" s="32">
        <v>45</v>
      </c>
      <c r="AQ552" s="32">
        <v>5</v>
      </c>
      <c r="AR552" s="13"/>
      <c r="AS552" s="32"/>
      <c r="AT552" s="13">
        <f t="shared" ca="1" si="195"/>
        <v>0</v>
      </c>
      <c r="AU552" s="33"/>
      <c r="AV552" s="13">
        <f t="shared" ca="1" si="186"/>
        <v>0</v>
      </c>
      <c r="AW552" s="13">
        <f ca="1">ROUNDUP(($AT552+$AV552)*VLOOKUP($AP552,Paraméterek!$P$38:$Q$38,2)/12*IF($D553="Nem",IF($M$13=0,1,$M$13),1),IF($D$4="Forint",0,2))</f>
        <v>0</v>
      </c>
      <c r="AX552" s="13"/>
      <c r="AY552" s="13"/>
      <c r="AZ552" s="13">
        <f>ROUNDUP(IF(SUM($AX552:$AY552)=0,0,IF(IF(ISBLANK($AY552),$AX552,$AY552)*Paraméterek!$J$112&lt;IF($D$4="Forint",Paraméterek!$J$113,Paraméterek!$K$113),IF($D$4="Forint",Paraméterek!$J$113,Paraméterek!$K$113),IF(IF(ISBLANK($AY552),$AX552,$AY552)*Paraméterek!$J$112&gt;IF($D$4="Forint",Paraméterek!$J$114,Paraméterek!$K$114),IF($D$4="Forint",Paraméterek!$J$114,Paraméterek!$K$114),IF(ISBLANK($AY552),$AX552,$AY552)*Paraméterek!$J$112))),IF($D$4="Forint",0,2))</f>
        <v>0</v>
      </c>
      <c r="BA552" s="13">
        <f ca="1">$AT552+$AV552-$AW552-IF(ROUNDDOWN(IF(ISBLANK($AY552),$AX552,$AY552),IF($D$4="Forint",0,2))&gt;$AT552+$AV552-$AW552-IF($D$4="Forint",Paraméterek!$J$114,Paraméterek!$K$114),0,ROUNDDOWN(IF(ISBLANK($AY552),$AX552,$AY552),IF($D$4="Forint",0,2))-$AZ552)</f>
        <v>0</v>
      </c>
      <c r="BB552" s="13">
        <f t="shared" ca="1" si="187"/>
        <v>0</v>
      </c>
      <c r="BD552" s="32">
        <v>533</v>
      </c>
      <c r="BE552" s="32">
        <v>45</v>
      </c>
      <c r="BF552" s="32">
        <v>5</v>
      </c>
      <c r="BG552" s="34">
        <f t="shared" ca="1" si="196"/>
        <v>2063</v>
      </c>
      <c r="BH552" s="32" t="str">
        <f ca="1">IF(MOD(MONTH($D$14)+$BD552-1,12)=Paraméterek!$C$288,"Igen","")</f>
        <v/>
      </c>
      <c r="BI552" s="13">
        <f ca="1">IF($BH552="Igen",MIN(ROUNDDOWN((SUMIF($BG$20:$BG$1027,$BG552-1,$K$20:$K$1027)-SUMIF($BG$20:$BG$1027,$BG552-1,$I$20:$I$1027))*Paraméterek!$C$289,IF($D$4="Forint",0,2)),IF($D$4="Forint",Paraméterek!$C$285,Paraméterek!$D$285)),0)</f>
        <v>0</v>
      </c>
      <c r="BJ552" s="13">
        <f t="shared" ca="1" si="188"/>
        <v>0</v>
      </c>
      <c r="BK552" s="13">
        <f t="shared" ca="1" si="197"/>
        <v>0</v>
      </c>
      <c r="BL552" s="33"/>
      <c r="BM552" s="13">
        <f t="shared" ca="1" si="189"/>
        <v>0</v>
      </c>
      <c r="BN552" s="13">
        <f ca="1">ROUNDUP(($BK552+$BM552)*VLOOKUP($BE552,Paraméterek!$P$38:$Q$38,2)/12*IF($D553="Nem",IF($M$13=0,1,$M$13),1),IF($D$4="Forint",0,2))</f>
        <v>0</v>
      </c>
      <c r="BO552" s="13">
        <f t="shared" ca="1" si="190"/>
        <v>0</v>
      </c>
      <c r="BP552" s="13">
        <f ca="1">IF($D553="Nem",$BO552,$BO552-ROUNDUP(SUM($BI$20:$BI552)*120%,IF($D$4="Forint",0,2)))</f>
        <v>0</v>
      </c>
    </row>
    <row r="553" spans="1:68" x14ac:dyDescent="0.2">
      <c r="A553" s="32">
        <v>534</v>
      </c>
      <c r="B553" s="32">
        <v>45</v>
      </c>
      <c r="C553" s="32">
        <v>6</v>
      </c>
      <c r="D553" s="32" t="str">
        <f t="shared" ca="1" si="176"/>
        <v>Nem</v>
      </c>
      <c r="E553" s="13">
        <f t="shared" ca="1" si="177"/>
        <v>0</v>
      </c>
      <c r="F553" s="13"/>
      <c r="G553" s="13"/>
      <c r="H553" s="13"/>
      <c r="I553" s="13">
        <f t="shared" ca="1" si="178"/>
        <v>0</v>
      </c>
      <c r="J553" s="13">
        <f t="shared" ca="1" si="179"/>
        <v>0</v>
      </c>
      <c r="K553" s="13">
        <f t="shared" ca="1" si="180"/>
        <v>0</v>
      </c>
      <c r="L553" s="13" t="e">
        <f ca="1">ROUNDUP(IF($D$2="Egyszeri",$E553,IF($D$2="Havi",SUM($E$20:$E$31),IF(MOD($C553,$M$1)-1=0,SUM($E$20:$E$31),0))/12*$M$1)*VLOOKUP($B553,Paraméterek!$I$28:$P$31,IF($D$2="Egyszeri",8,HLOOKUP(ROUNDUP($M$11+$M$13,0),Paraméterek!$J$26:$O$27,2))),IF($D$4="Forint",0,2))</f>
        <v>#N/A</v>
      </c>
      <c r="M553" s="13">
        <f t="shared" ca="1" si="181"/>
        <v>0</v>
      </c>
      <c r="N553" s="13">
        <f t="shared" ca="1" si="191"/>
        <v>0</v>
      </c>
      <c r="O553" s="13">
        <f ca="1">IF($D553="Igen",IF($W552&gt;=IF($D$4="Forint",Paraméterek!$J$121,Paraméterek!$K$121),0,IF($D$4="Forint",Paraméterek!$J$121,Paraméterek!$K$121)-$W552),0)</f>
        <v>0</v>
      </c>
      <c r="P553" s="13" t="e">
        <f ca="1">ROUNDUP($O553*VLOOKUP($M$4+$B553-1,Paraméterek!$H$58:$I$105,2,0)/Paraméterek!$I$56,IF($D$4="Forint",0,2))</f>
        <v>#N/A</v>
      </c>
      <c r="Q553" s="13">
        <f t="shared" ca="1" si="182"/>
        <v>0</v>
      </c>
      <c r="R553" s="33"/>
      <c r="S553" s="13" t="e">
        <f t="shared" ca="1" si="183"/>
        <v>#N/A</v>
      </c>
      <c r="T553" s="13" t="e">
        <f ca="1">ROUNDUP(($N553-$P553-$Q553+$S553)*VLOOKUP($B553,Paraméterek!$I$38:$K$39,IF($D$2="Egyszeri",3,2))/12*IF($D554="Nem",IF($M$13=0,1,$M$13),1),IF($D$4="Forint",0,2))</f>
        <v>#N/A</v>
      </c>
      <c r="U553" s="13"/>
      <c r="V553" s="13"/>
      <c r="W553" s="13" t="e">
        <f ca="1">$N553-$P553-$Q553+$S553-$T553-IF(ROUNDUP(IF(ISBLANK($V553),$U553*0,$V553)/IF($D$2="Egyszeri",VLOOKUP($B553+IF($C553=12,1,0),Paraméterek!$V$257:$W$262,2),IF($B553=1,1,VLOOKUP($B553+IF($C553=12,1,0),Paraméterek!$I$258:$T$278,HLOOKUP($M$11+1,Paraméterek!$J$256:$T$257,2)))),IF($D$4="Forint",0,2))&gt;$N553-$P553-$Q553+$S553-$T553-IF($D$4="Forint",Paraméterek!$C$216,Paraméterek!$D$216),0,ROUNDUP(IF(ISBLANK($V553),$U553*0,$V553)/IF($D$2="Egyszeri",VLOOKUP($B553+IF($C553=12,1,0),Paraméterek!$V$257:$W$262,2),IF($B553=1,1,VLOOKUP($B553+IF($C553=12,1,0),Paraméterek!$I$258:$T$278,HLOOKUP($M$11+1,Paraméterek!$J$256:$T$257,2)))),IF($D$4="Forint",0,2)))</f>
        <v>#N/A</v>
      </c>
      <c r="X553" s="13" t="e">
        <f ca="1">ROUNDDOWN($W553*IF($D$2="Egyszeri",VLOOKUP($B553+IF($C553=12,1,0),Paraméterek!$V$257:$W$262,2),VLOOKUP($B553+IF($C553=12,1,0),Paraméterek!$I$258:$T$278,HLOOKUP($M$11+1,Paraméterek!$I$256:$T$257,2))),IF($D$4="Forint",0,2))</f>
        <v>#N/A</v>
      </c>
      <c r="Z553" s="32">
        <v>534</v>
      </c>
      <c r="AA553" s="32">
        <v>45</v>
      </c>
      <c r="AB553" s="32">
        <v>6</v>
      </c>
      <c r="AC553" s="13">
        <f t="shared" ca="1" si="192"/>
        <v>0</v>
      </c>
      <c r="AD553" s="33"/>
      <c r="AE553" s="13">
        <f t="shared" ca="1" si="184"/>
        <v>0</v>
      </c>
      <c r="AF553" s="13">
        <f ca="1">ROUNDUP(($AC553+$AE553)*VLOOKUP($AA553,Paraméterek!$P$38:$Q$38,2)/12*IF($D554="Nem",IF($M$13=0,1,$M$13),1),IF($D$4="Forint",0,2))</f>
        <v>0</v>
      </c>
      <c r="AG553" s="13">
        <f ca="1">IF($D$2="Egyszeri",IF($D$7&gt;=IF($D$4="Forint",Paraméterek!$P$223,Paraméterek!$P$224),$D$7-IF($D$4="Forint",Paraméterek!$P$223,Paraméterek!$P$224),0),MIN(IF($AB553=12,AVERAGEIF($E$20:$E553,"&gt;0",$E$20:$E553)*12,0),SUM($E$20:$E$31)))</f>
        <v>0</v>
      </c>
      <c r="AH553" s="13">
        <f>IF($AA553=10,$AG553*IF($AB553=12,IF($AG553&lt;IF($D$4="Forint",Paraméterek!$L$223,Paraméterek!$L$224),0,VLOOKUP($AA553,Paraméterek!$K$226:$M$228,IF($AG553&lt;IF($D$4="Forint",Paraméterek!$M$223,Paraméterek!$M$224),2,3))),0),0)</f>
        <v>0</v>
      </c>
      <c r="AI553" s="13">
        <f ca="1">IF(AND($AA553=$M$11+1,$AB553=$M$12+1),SUMIF($AA$20:$AA$1027,$AA553,$AG$20:$AG$1027)*IF(SUMIF($AA$20:$AA$1027,$AA553,$AG$20:$AG$1027)&lt;IF($D$4="Forint",Paraméterek!$L$223,Paraméterek!$L$224),0,VLOOKUP($AA553,Paraméterek!$K$230:$M$250,IF(SUMIF($AA$20:$AA$1027,$AA553,$AG$20:$AG$1027)&lt;IF($D$4="Forint",Paraméterek!$M$223,Paraméterek!$M$224),2,3))),0)</f>
        <v>0</v>
      </c>
      <c r="AJ553" s="13">
        <f ca="1">IF(AND($AA553&gt;=5,MOD($AA553,5)=0),IF($AB553=12,VLOOKUP($AA553,Paraméterek!$O$225:$P$240,2),0),IF(OR($AA553=3,$AA553=4),IF($AB553=12,VLOOKUP($AA553,Paraméterek!$O$225:$P$240,2,0),0),0))*$AG553</f>
        <v>0</v>
      </c>
      <c r="AK553" s="13">
        <f t="shared" ca="1" si="185"/>
        <v>0</v>
      </c>
      <c r="AL553" s="13">
        <f t="shared" ca="1" si="193"/>
        <v>0</v>
      </c>
      <c r="AM553" s="13">
        <f t="shared" ca="1" si="194"/>
        <v>0</v>
      </c>
      <c r="AO553" s="32">
        <v>534</v>
      </c>
      <c r="AP553" s="32">
        <v>45</v>
      </c>
      <c r="AQ553" s="32">
        <v>6</v>
      </c>
      <c r="AR553" s="13"/>
      <c r="AS553" s="32"/>
      <c r="AT553" s="13">
        <f t="shared" ca="1" si="195"/>
        <v>0</v>
      </c>
      <c r="AU553" s="33"/>
      <c r="AV553" s="13">
        <f t="shared" ca="1" si="186"/>
        <v>0</v>
      </c>
      <c r="AW553" s="13">
        <f ca="1">ROUNDUP(($AT553+$AV553)*VLOOKUP($AP553,Paraméterek!$P$38:$Q$38,2)/12*IF($D554="Nem",IF($M$13=0,1,$M$13),1),IF($D$4="Forint",0,2))</f>
        <v>0</v>
      </c>
      <c r="AX553" s="13"/>
      <c r="AY553" s="13"/>
      <c r="AZ553" s="13">
        <f>ROUNDUP(IF(SUM($AX553:$AY553)=0,0,IF(IF(ISBLANK($AY553),$AX553,$AY553)*Paraméterek!$J$112&lt;IF($D$4="Forint",Paraméterek!$J$113,Paraméterek!$K$113),IF($D$4="Forint",Paraméterek!$J$113,Paraméterek!$K$113),IF(IF(ISBLANK($AY553),$AX553,$AY553)*Paraméterek!$J$112&gt;IF($D$4="Forint",Paraméterek!$J$114,Paraméterek!$K$114),IF($D$4="Forint",Paraméterek!$J$114,Paraméterek!$K$114),IF(ISBLANK($AY553),$AX553,$AY553)*Paraméterek!$J$112))),IF($D$4="Forint",0,2))</f>
        <v>0</v>
      </c>
      <c r="BA553" s="13">
        <f ca="1">$AT553+$AV553-$AW553-IF(ROUNDDOWN(IF(ISBLANK($AY553),$AX553,$AY553),IF($D$4="Forint",0,2))&gt;$AT553+$AV553-$AW553-IF($D$4="Forint",Paraméterek!$J$114,Paraméterek!$K$114),0,ROUNDDOWN(IF(ISBLANK($AY553),$AX553,$AY553),IF($D$4="Forint",0,2))-$AZ553)</f>
        <v>0</v>
      </c>
      <c r="BB553" s="13">
        <f t="shared" ca="1" si="187"/>
        <v>0</v>
      </c>
      <c r="BD553" s="32">
        <v>534</v>
      </c>
      <c r="BE553" s="32">
        <v>45</v>
      </c>
      <c r="BF553" s="32">
        <v>6</v>
      </c>
      <c r="BG553" s="34">
        <f t="shared" ca="1" si="196"/>
        <v>2063</v>
      </c>
      <c r="BH553" s="32" t="str">
        <f ca="1">IF(MOD(MONTH($D$14)+$BD553-1,12)=Paraméterek!$C$288,"Igen","")</f>
        <v/>
      </c>
      <c r="BI553" s="13">
        <f ca="1">IF($BH553="Igen",MIN(ROUNDDOWN((SUMIF($BG$20:$BG$1027,$BG553-1,$K$20:$K$1027)-SUMIF($BG$20:$BG$1027,$BG553-1,$I$20:$I$1027))*Paraméterek!$C$289,IF($D$4="Forint",0,2)),IF($D$4="Forint",Paraméterek!$C$285,Paraméterek!$D$285)),0)</f>
        <v>0</v>
      </c>
      <c r="BJ553" s="13">
        <f t="shared" ca="1" si="188"/>
        <v>0</v>
      </c>
      <c r="BK553" s="13">
        <f t="shared" ca="1" si="197"/>
        <v>0</v>
      </c>
      <c r="BL553" s="33"/>
      <c r="BM553" s="13">
        <f t="shared" ca="1" si="189"/>
        <v>0</v>
      </c>
      <c r="BN553" s="13">
        <f ca="1">ROUNDUP(($BK553+$BM553)*VLOOKUP($BE553,Paraméterek!$P$38:$Q$38,2)/12*IF($D554="Nem",IF($M$13=0,1,$M$13),1),IF($D$4="Forint",0,2))</f>
        <v>0</v>
      </c>
      <c r="BO553" s="13">
        <f t="shared" ca="1" si="190"/>
        <v>0</v>
      </c>
      <c r="BP553" s="13">
        <f ca="1">IF($D554="Nem",$BO553,$BO553-ROUNDUP(SUM($BI$20:$BI553)*120%,IF($D$4="Forint",0,2)))</f>
        <v>0</v>
      </c>
    </row>
    <row r="554" spans="1:68" x14ac:dyDescent="0.2">
      <c r="A554" s="32">
        <v>535</v>
      </c>
      <c r="B554" s="32">
        <v>45</v>
      </c>
      <c r="C554" s="32">
        <v>7</v>
      </c>
      <c r="D554" s="32" t="str">
        <f t="shared" ca="1" si="176"/>
        <v>Nem</v>
      </c>
      <c r="E554" s="13">
        <f t="shared" ca="1" si="177"/>
        <v>0</v>
      </c>
      <c r="F554" s="13"/>
      <c r="G554" s="13"/>
      <c r="H554" s="13"/>
      <c r="I554" s="13">
        <f t="shared" ca="1" si="178"/>
        <v>0</v>
      </c>
      <c r="J554" s="13">
        <f t="shared" ca="1" si="179"/>
        <v>0</v>
      </c>
      <c r="K554" s="13">
        <f t="shared" ca="1" si="180"/>
        <v>0</v>
      </c>
      <c r="L554" s="13" t="e">
        <f ca="1">ROUNDUP(IF($D$2="Egyszeri",$E554,IF($D$2="Havi",SUM($E$20:$E$31),IF(MOD($C554,$M$1)-1=0,SUM($E$20:$E$31),0))/12*$M$1)*VLOOKUP($B554,Paraméterek!$I$28:$P$31,IF($D$2="Egyszeri",8,HLOOKUP(ROUNDUP($M$11+$M$13,0),Paraméterek!$J$26:$O$27,2))),IF($D$4="Forint",0,2))</f>
        <v>#N/A</v>
      </c>
      <c r="M554" s="13">
        <f t="shared" ca="1" si="181"/>
        <v>0</v>
      </c>
      <c r="N554" s="13">
        <f t="shared" ca="1" si="191"/>
        <v>0</v>
      </c>
      <c r="O554" s="13">
        <f ca="1">IF($D554="Igen",IF($W553&gt;=IF($D$4="Forint",Paraméterek!$J$121,Paraméterek!$K$121),0,IF($D$4="Forint",Paraméterek!$J$121,Paraméterek!$K$121)-$W553),0)</f>
        <v>0</v>
      </c>
      <c r="P554" s="13" t="e">
        <f ca="1">ROUNDUP($O554*VLOOKUP($M$4+$B554-1,Paraméterek!$H$58:$I$105,2,0)/Paraméterek!$I$56,IF($D$4="Forint",0,2))</f>
        <v>#N/A</v>
      </c>
      <c r="Q554" s="13">
        <f t="shared" ca="1" si="182"/>
        <v>0</v>
      </c>
      <c r="R554" s="33"/>
      <c r="S554" s="13" t="e">
        <f t="shared" ca="1" si="183"/>
        <v>#N/A</v>
      </c>
      <c r="T554" s="13" t="e">
        <f ca="1">ROUNDUP(($N554-$P554-$Q554+$S554)*VLOOKUP($B554,Paraméterek!$I$38:$K$39,IF($D$2="Egyszeri",3,2))/12*IF($D555="Nem",IF($M$13=0,1,$M$13),1),IF($D$4="Forint",0,2))</f>
        <v>#N/A</v>
      </c>
      <c r="U554" s="13"/>
      <c r="V554" s="13"/>
      <c r="W554" s="13" t="e">
        <f ca="1">$N554-$P554-$Q554+$S554-$T554-IF(ROUNDUP(IF(ISBLANK($V554),$U554*0,$V554)/IF($D$2="Egyszeri",VLOOKUP($B554+IF($C554=12,1,0),Paraméterek!$V$257:$W$262,2),IF($B554=1,1,VLOOKUP($B554+IF($C554=12,1,0),Paraméterek!$I$258:$T$278,HLOOKUP($M$11+1,Paraméterek!$J$256:$T$257,2)))),IF($D$4="Forint",0,2))&gt;$N554-$P554-$Q554+$S554-$T554-IF($D$4="Forint",Paraméterek!$C$216,Paraméterek!$D$216),0,ROUNDUP(IF(ISBLANK($V554),$U554*0,$V554)/IF($D$2="Egyszeri",VLOOKUP($B554+IF($C554=12,1,0),Paraméterek!$V$257:$W$262,2),IF($B554=1,1,VLOOKUP($B554+IF($C554=12,1,0),Paraméterek!$I$258:$T$278,HLOOKUP($M$11+1,Paraméterek!$J$256:$T$257,2)))),IF($D$4="Forint",0,2)))</f>
        <v>#N/A</v>
      </c>
      <c r="X554" s="13" t="e">
        <f ca="1">ROUNDDOWN($W554*IF($D$2="Egyszeri",VLOOKUP($B554+IF($C554=12,1,0),Paraméterek!$V$257:$W$262,2),VLOOKUP($B554+IF($C554=12,1,0),Paraméterek!$I$258:$T$278,HLOOKUP($M$11+1,Paraméterek!$I$256:$T$257,2))),IF($D$4="Forint",0,2))</f>
        <v>#N/A</v>
      </c>
      <c r="Z554" s="32">
        <v>535</v>
      </c>
      <c r="AA554" s="32">
        <v>45</v>
      </c>
      <c r="AB554" s="32">
        <v>7</v>
      </c>
      <c r="AC554" s="13">
        <f t="shared" ca="1" si="192"/>
        <v>0</v>
      </c>
      <c r="AD554" s="33"/>
      <c r="AE554" s="13">
        <f t="shared" ca="1" si="184"/>
        <v>0</v>
      </c>
      <c r="AF554" s="13">
        <f ca="1">ROUNDUP(($AC554+$AE554)*VLOOKUP($AA554,Paraméterek!$P$38:$Q$38,2)/12*IF($D555="Nem",IF($M$13=0,1,$M$13),1),IF($D$4="Forint",0,2))</f>
        <v>0</v>
      </c>
      <c r="AG554" s="13">
        <f ca="1">IF($D$2="Egyszeri",IF($D$7&gt;=IF($D$4="Forint",Paraméterek!$P$223,Paraméterek!$P$224),$D$7-IF($D$4="Forint",Paraméterek!$P$223,Paraméterek!$P$224),0),MIN(IF($AB554=12,AVERAGEIF($E$20:$E554,"&gt;0",$E$20:$E554)*12,0),SUM($E$20:$E$31)))</f>
        <v>0</v>
      </c>
      <c r="AH554" s="13">
        <f>IF($AA554=10,$AG554*IF($AB554=12,IF($AG554&lt;IF($D$4="Forint",Paraméterek!$L$223,Paraméterek!$L$224),0,VLOOKUP($AA554,Paraméterek!$K$226:$M$228,IF($AG554&lt;IF($D$4="Forint",Paraméterek!$M$223,Paraméterek!$M$224),2,3))),0),0)</f>
        <v>0</v>
      </c>
      <c r="AI554" s="13">
        <f ca="1">IF(AND($AA554=$M$11+1,$AB554=$M$12+1),SUMIF($AA$20:$AA$1027,$AA554,$AG$20:$AG$1027)*IF(SUMIF($AA$20:$AA$1027,$AA554,$AG$20:$AG$1027)&lt;IF($D$4="Forint",Paraméterek!$L$223,Paraméterek!$L$224),0,VLOOKUP($AA554,Paraméterek!$K$230:$M$250,IF(SUMIF($AA$20:$AA$1027,$AA554,$AG$20:$AG$1027)&lt;IF($D$4="Forint",Paraméterek!$M$223,Paraméterek!$M$224),2,3))),0)</f>
        <v>0</v>
      </c>
      <c r="AJ554" s="13">
        <f ca="1">IF(AND($AA554&gt;=5,MOD($AA554,5)=0),IF($AB554=12,VLOOKUP($AA554,Paraméterek!$O$225:$P$240,2),0),IF(OR($AA554=3,$AA554=4),IF($AB554=12,VLOOKUP($AA554,Paraméterek!$O$225:$P$240,2,0),0),0))*$AG554</f>
        <v>0</v>
      </c>
      <c r="AK554" s="13">
        <f t="shared" ca="1" si="185"/>
        <v>0</v>
      </c>
      <c r="AL554" s="13">
        <f t="shared" ca="1" si="193"/>
        <v>0</v>
      </c>
      <c r="AM554" s="13">
        <f t="shared" ca="1" si="194"/>
        <v>0</v>
      </c>
      <c r="AO554" s="32">
        <v>535</v>
      </c>
      <c r="AP554" s="32">
        <v>45</v>
      </c>
      <c r="AQ554" s="32">
        <v>7</v>
      </c>
      <c r="AR554" s="13"/>
      <c r="AS554" s="32"/>
      <c r="AT554" s="13">
        <f t="shared" ca="1" si="195"/>
        <v>0</v>
      </c>
      <c r="AU554" s="33"/>
      <c r="AV554" s="13">
        <f t="shared" ca="1" si="186"/>
        <v>0</v>
      </c>
      <c r="AW554" s="13">
        <f ca="1">ROUNDUP(($AT554+$AV554)*VLOOKUP($AP554,Paraméterek!$P$38:$Q$38,2)/12*IF($D555="Nem",IF($M$13=0,1,$M$13),1),IF($D$4="Forint",0,2))</f>
        <v>0</v>
      </c>
      <c r="AX554" s="13"/>
      <c r="AY554" s="13"/>
      <c r="AZ554" s="13">
        <f>ROUNDUP(IF(SUM($AX554:$AY554)=0,0,IF(IF(ISBLANK($AY554),$AX554,$AY554)*Paraméterek!$J$112&lt;IF($D$4="Forint",Paraméterek!$J$113,Paraméterek!$K$113),IF($D$4="Forint",Paraméterek!$J$113,Paraméterek!$K$113),IF(IF(ISBLANK($AY554),$AX554,$AY554)*Paraméterek!$J$112&gt;IF($D$4="Forint",Paraméterek!$J$114,Paraméterek!$K$114),IF($D$4="Forint",Paraméterek!$J$114,Paraméterek!$K$114),IF(ISBLANK($AY554),$AX554,$AY554)*Paraméterek!$J$112))),IF($D$4="Forint",0,2))</f>
        <v>0</v>
      </c>
      <c r="BA554" s="13">
        <f ca="1">$AT554+$AV554-$AW554-IF(ROUNDDOWN(IF(ISBLANK($AY554),$AX554,$AY554),IF($D$4="Forint",0,2))&gt;$AT554+$AV554-$AW554-IF($D$4="Forint",Paraméterek!$J$114,Paraméterek!$K$114),0,ROUNDDOWN(IF(ISBLANK($AY554),$AX554,$AY554),IF($D$4="Forint",0,2))-$AZ554)</f>
        <v>0</v>
      </c>
      <c r="BB554" s="13">
        <f t="shared" ca="1" si="187"/>
        <v>0</v>
      </c>
      <c r="BD554" s="32">
        <v>535</v>
      </c>
      <c r="BE554" s="32">
        <v>45</v>
      </c>
      <c r="BF554" s="32">
        <v>7</v>
      </c>
      <c r="BG554" s="34">
        <f t="shared" ca="1" si="196"/>
        <v>2063</v>
      </c>
      <c r="BH554" s="32" t="str">
        <f ca="1">IF(MOD(MONTH($D$14)+$BD554-1,12)=Paraméterek!$C$288,"Igen","")</f>
        <v/>
      </c>
      <c r="BI554" s="13">
        <f ca="1">IF($BH554="Igen",MIN(ROUNDDOWN((SUMIF($BG$20:$BG$1027,$BG554-1,$K$20:$K$1027)-SUMIF($BG$20:$BG$1027,$BG554-1,$I$20:$I$1027))*Paraméterek!$C$289,IF($D$4="Forint",0,2)),IF($D$4="Forint",Paraméterek!$C$285,Paraméterek!$D$285)),0)</f>
        <v>0</v>
      </c>
      <c r="BJ554" s="13">
        <f t="shared" ca="1" si="188"/>
        <v>0</v>
      </c>
      <c r="BK554" s="13">
        <f t="shared" ca="1" si="197"/>
        <v>0</v>
      </c>
      <c r="BL554" s="33"/>
      <c r="BM554" s="13">
        <f t="shared" ca="1" si="189"/>
        <v>0</v>
      </c>
      <c r="BN554" s="13">
        <f ca="1">ROUNDUP(($BK554+$BM554)*VLOOKUP($BE554,Paraméterek!$P$38:$Q$38,2)/12*IF($D555="Nem",IF($M$13=0,1,$M$13),1),IF($D$4="Forint",0,2))</f>
        <v>0</v>
      </c>
      <c r="BO554" s="13">
        <f t="shared" ca="1" si="190"/>
        <v>0</v>
      </c>
      <c r="BP554" s="13">
        <f ca="1">IF($D555="Nem",$BO554,$BO554-ROUNDUP(SUM($BI$20:$BI554)*120%,IF($D$4="Forint",0,2)))</f>
        <v>0</v>
      </c>
    </row>
    <row r="555" spans="1:68" x14ac:dyDescent="0.2">
      <c r="A555" s="32">
        <v>536</v>
      </c>
      <c r="B555" s="32">
        <v>45</v>
      </c>
      <c r="C555" s="32">
        <v>8</v>
      </c>
      <c r="D555" s="32" t="str">
        <f t="shared" ca="1" si="176"/>
        <v>Nem</v>
      </c>
      <c r="E555" s="13">
        <f t="shared" ca="1" si="177"/>
        <v>0</v>
      </c>
      <c r="F555" s="13"/>
      <c r="G555" s="13"/>
      <c r="H555" s="13"/>
      <c r="I555" s="13">
        <f t="shared" ca="1" si="178"/>
        <v>0</v>
      </c>
      <c r="J555" s="13">
        <f t="shared" ca="1" si="179"/>
        <v>0</v>
      </c>
      <c r="K555" s="13">
        <f t="shared" ca="1" si="180"/>
        <v>0</v>
      </c>
      <c r="L555" s="13" t="e">
        <f ca="1">ROUNDUP(IF($D$2="Egyszeri",$E555,IF($D$2="Havi",SUM($E$20:$E$31),IF(MOD($C555,$M$1)-1=0,SUM($E$20:$E$31),0))/12*$M$1)*VLOOKUP($B555,Paraméterek!$I$28:$P$31,IF($D$2="Egyszeri",8,HLOOKUP(ROUNDUP($M$11+$M$13,0),Paraméterek!$J$26:$O$27,2))),IF($D$4="Forint",0,2))</f>
        <v>#N/A</v>
      </c>
      <c r="M555" s="13">
        <f t="shared" ca="1" si="181"/>
        <v>0</v>
      </c>
      <c r="N555" s="13">
        <f t="shared" ca="1" si="191"/>
        <v>0</v>
      </c>
      <c r="O555" s="13">
        <f ca="1">IF($D555="Igen",IF($W554&gt;=IF($D$4="Forint",Paraméterek!$J$121,Paraméterek!$K$121),0,IF($D$4="Forint",Paraméterek!$J$121,Paraméterek!$K$121)-$W554),0)</f>
        <v>0</v>
      </c>
      <c r="P555" s="13" t="e">
        <f ca="1">ROUNDUP($O555*VLOOKUP($M$4+$B555-1,Paraméterek!$H$58:$I$105,2,0)/Paraméterek!$I$56,IF($D$4="Forint",0,2))</f>
        <v>#N/A</v>
      </c>
      <c r="Q555" s="13">
        <f t="shared" ca="1" si="182"/>
        <v>0</v>
      </c>
      <c r="R555" s="33"/>
      <c r="S555" s="13" t="e">
        <f t="shared" ca="1" si="183"/>
        <v>#N/A</v>
      </c>
      <c r="T555" s="13" t="e">
        <f ca="1">ROUNDUP(($N555-$P555-$Q555+$S555)*VLOOKUP($B555,Paraméterek!$I$38:$K$39,IF($D$2="Egyszeri",3,2))/12*IF($D556="Nem",IF($M$13=0,1,$M$13),1),IF($D$4="Forint",0,2))</f>
        <v>#N/A</v>
      </c>
      <c r="U555" s="13"/>
      <c r="V555" s="13"/>
      <c r="W555" s="13" t="e">
        <f ca="1">$N555-$P555-$Q555+$S555-$T555-IF(ROUNDUP(IF(ISBLANK($V555),$U555*0,$V555)/IF($D$2="Egyszeri",VLOOKUP($B555+IF($C555=12,1,0),Paraméterek!$V$257:$W$262,2),IF($B555=1,1,VLOOKUP($B555+IF($C555=12,1,0),Paraméterek!$I$258:$T$278,HLOOKUP($M$11+1,Paraméterek!$J$256:$T$257,2)))),IF($D$4="Forint",0,2))&gt;$N555-$P555-$Q555+$S555-$T555-IF($D$4="Forint",Paraméterek!$C$216,Paraméterek!$D$216),0,ROUNDUP(IF(ISBLANK($V555),$U555*0,$V555)/IF($D$2="Egyszeri",VLOOKUP($B555+IF($C555=12,1,0),Paraméterek!$V$257:$W$262,2),IF($B555=1,1,VLOOKUP($B555+IF($C555=12,1,0),Paraméterek!$I$258:$T$278,HLOOKUP($M$11+1,Paraméterek!$J$256:$T$257,2)))),IF($D$4="Forint",0,2)))</f>
        <v>#N/A</v>
      </c>
      <c r="X555" s="13" t="e">
        <f ca="1">ROUNDDOWN($W555*IF($D$2="Egyszeri",VLOOKUP($B555+IF($C555=12,1,0),Paraméterek!$V$257:$W$262,2),VLOOKUP($B555+IF($C555=12,1,0),Paraméterek!$I$258:$T$278,HLOOKUP($M$11+1,Paraméterek!$I$256:$T$257,2))),IF($D$4="Forint",0,2))</f>
        <v>#N/A</v>
      </c>
      <c r="Z555" s="32">
        <v>536</v>
      </c>
      <c r="AA555" s="32">
        <v>45</v>
      </c>
      <c r="AB555" s="32">
        <v>8</v>
      </c>
      <c r="AC555" s="13">
        <f t="shared" ca="1" si="192"/>
        <v>0</v>
      </c>
      <c r="AD555" s="33"/>
      <c r="AE555" s="13">
        <f t="shared" ca="1" si="184"/>
        <v>0</v>
      </c>
      <c r="AF555" s="13">
        <f ca="1">ROUNDUP(($AC555+$AE555)*VLOOKUP($AA555,Paraméterek!$P$38:$Q$38,2)/12*IF($D556="Nem",IF($M$13=0,1,$M$13),1),IF($D$4="Forint",0,2))</f>
        <v>0</v>
      </c>
      <c r="AG555" s="13">
        <f ca="1">IF($D$2="Egyszeri",IF($D$7&gt;=IF($D$4="Forint",Paraméterek!$P$223,Paraméterek!$P$224),$D$7-IF($D$4="Forint",Paraméterek!$P$223,Paraméterek!$P$224),0),MIN(IF($AB555=12,AVERAGEIF($E$20:$E555,"&gt;0",$E$20:$E555)*12,0),SUM($E$20:$E$31)))</f>
        <v>0</v>
      </c>
      <c r="AH555" s="13">
        <f>IF($AA555=10,$AG555*IF($AB555=12,IF($AG555&lt;IF($D$4="Forint",Paraméterek!$L$223,Paraméterek!$L$224),0,VLOOKUP($AA555,Paraméterek!$K$226:$M$228,IF($AG555&lt;IF($D$4="Forint",Paraméterek!$M$223,Paraméterek!$M$224),2,3))),0),0)</f>
        <v>0</v>
      </c>
      <c r="AI555" s="13">
        <f ca="1">IF(AND($AA555=$M$11+1,$AB555=$M$12+1),SUMIF($AA$20:$AA$1027,$AA555,$AG$20:$AG$1027)*IF(SUMIF($AA$20:$AA$1027,$AA555,$AG$20:$AG$1027)&lt;IF($D$4="Forint",Paraméterek!$L$223,Paraméterek!$L$224),0,VLOOKUP($AA555,Paraméterek!$K$230:$M$250,IF(SUMIF($AA$20:$AA$1027,$AA555,$AG$20:$AG$1027)&lt;IF($D$4="Forint",Paraméterek!$M$223,Paraméterek!$M$224),2,3))),0)</f>
        <v>0</v>
      </c>
      <c r="AJ555" s="13">
        <f ca="1">IF(AND($AA555&gt;=5,MOD($AA555,5)=0),IF($AB555=12,VLOOKUP($AA555,Paraméterek!$O$225:$P$240,2),0),IF(OR($AA555=3,$AA555=4),IF($AB555=12,VLOOKUP($AA555,Paraméterek!$O$225:$P$240,2,0),0),0))*$AG555</f>
        <v>0</v>
      </c>
      <c r="AK555" s="13">
        <f t="shared" ca="1" si="185"/>
        <v>0</v>
      </c>
      <c r="AL555" s="13">
        <f t="shared" ca="1" si="193"/>
        <v>0</v>
      </c>
      <c r="AM555" s="13">
        <f t="shared" ca="1" si="194"/>
        <v>0</v>
      </c>
      <c r="AO555" s="32">
        <v>536</v>
      </c>
      <c r="AP555" s="32">
        <v>45</v>
      </c>
      <c r="AQ555" s="32">
        <v>8</v>
      </c>
      <c r="AR555" s="13"/>
      <c r="AS555" s="32"/>
      <c r="AT555" s="13">
        <f t="shared" ca="1" si="195"/>
        <v>0</v>
      </c>
      <c r="AU555" s="33"/>
      <c r="AV555" s="13">
        <f t="shared" ca="1" si="186"/>
        <v>0</v>
      </c>
      <c r="AW555" s="13">
        <f ca="1">ROUNDUP(($AT555+$AV555)*VLOOKUP($AP555,Paraméterek!$P$38:$Q$38,2)/12*IF($D556="Nem",IF($M$13=0,1,$M$13),1),IF($D$4="Forint",0,2))</f>
        <v>0</v>
      </c>
      <c r="AX555" s="13"/>
      <c r="AY555" s="13"/>
      <c r="AZ555" s="13">
        <f>ROUNDUP(IF(SUM($AX555:$AY555)=0,0,IF(IF(ISBLANK($AY555),$AX555,$AY555)*Paraméterek!$J$112&lt;IF($D$4="Forint",Paraméterek!$J$113,Paraméterek!$K$113),IF($D$4="Forint",Paraméterek!$J$113,Paraméterek!$K$113),IF(IF(ISBLANK($AY555),$AX555,$AY555)*Paraméterek!$J$112&gt;IF($D$4="Forint",Paraméterek!$J$114,Paraméterek!$K$114),IF($D$4="Forint",Paraméterek!$J$114,Paraméterek!$K$114),IF(ISBLANK($AY555),$AX555,$AY555)*Paraméterek!$J$112))),IF($D$4="Forint",0,2))</f>
        <v>0</v>
      </c>
      <c r="BA555" s="13">
        <f ca="1">$AT555+$AV555-$AW555-IF(ROUNDDOWN(IF(ISBLANK($AY555),$AX555,$AY555),IF($D$4="Forint",0,2))&gt;$AT555+$AV555-$AW555-IF($D$4="Forint",Paraméterek!$J$114,Paraméterek!$K$114),0,ROUNDDOWN(IF(ISBLANK($AY555),$AX555,$AY555),IF($D$4="Forint",0,2))-$AZ555)</f>
        <v>0</v>
      </c>
      <c r="BB555" s="13">
        <f t="shared" ca="1" si="187"/>
        <v>0</v>
      </c>
      <c r="BD555" s="32">
        <v>536</v>
      </c>
      <c r="BE555" s="32">
        <v>45</v>
      </c>
      <c r="BF555" s="32">
        <v>8</v>
      </c>
      <c r="BG555" s="34">
        <f t="shared" ca="1" si="196"/>
        <v>2064</v>
      </c>
      <c r="BH555" s="32" t="str">
        <f ca="1">IF(MOD(MONTH($D$14)+$BD555-1,12)=Paraméterek!$C$288,"Igen","")</f>
        <v/>
      </c>
      <c r="BI555" s="13">
        <f ca="1">IF($BH555="Igen",MIN(ROUNDDOWN((SUMIF($BG$20:$BG$1027,$BG555-1,$K$20:$K$1027)-SUMIF($BG$20:$BG$1027,$BG555-1,$I$20:$I$1027))*Paraméterek!$C$289,IF($D$4="Forint",0,2)),IF($D$4="Forint",Paraméterek!$C$285,Paraméterek!$D$285)),0)</f>
        <v>0</v>
      </c>
      <c r="BJ555" s="13">
        <f t="shared" ca="1" si="188"/>
        <v>0</v>
      </c>
      <c r="BK555" s="13">
        <f t="shared" ca="1" si="197"/>
        <v>0</v>
      </c>
      <c r="BL555" s="33"/>
      <c r="BM555" s="13">
        <f t="shared" ca="1" si="189"/>
        <v>0</v>
      </c>
      <c r="BN555" s="13">
        <f ca="1">ROUNDUP(($BK555+$BM555)*VLOOKUP($BE555,Paraméterek!$P$38:$Q$38,2)/12*IF($D556="Nem",IF($M$13=0,1,$M$13),1),IF($D$4="Forint",0,2))</f>
        <v>0</v>
      </c>
      <c r="BO555" s="13">
        <f t="shared" ca="1" si="190"/>
        <v>0</v>
      </c>
      <c r="BP555" s="13">
        <f ca="1">IF($D556="Nem",$BO555,$BO555-ROUNDUP(SUM($BI$20:$BI555)*120%,IF($D$4="Forint",0,2)))</f>
        <v>0</v>
      </c>
    </row>
    <row r="556" spans="1:68" x14ac:dyDescent="0.2">
      <c r="A556" s="32">
        <v>537</v>
      </c>
      <c r="B556" s="32">
        <v>45</v>
      </c>
      <c r="C556" s="32">
        <v>9</v>
      </c>
      <c r="D556" s="32" t="str">
        <f t="shared" ca="1" si="176"/>
        <v>Nem</v>
      </c>
      <c r="E556" s="13">
        <f t="shared" ca="1" si="177"/>
        <v>0</v>
      </c>
      <c r="F556" s="13"/>
      <c r="G556" s="13"/>
      <c r="H556" s="13"/>
      <c r="I556" s="13">
        <f t="shared" ca="1" si="178"/>
        <v>0</v>
      </c>
      <c r="J556" s="13">
        <f t="shared" ca="1" si="179"/>
        <v>0</v>
      </c>
      <c r="K556" s="13">
        <f t="shared" ca="1" si="180"/>
        <v>0</v>
      </c>
      <c r="L556" s="13" t="e">
        <f ca="1">ROUNDUP(IF($D$2="Egyszeri",$E556,IF($D$2="Havi",SUM($E$20:$E$31),IF(MOD($C556,$M$1)-1=0,SUM($E$20:$E$31),0))/12*$M$1)*VLOOKUP($B556,Paraméterek!$I$28:$P$31,IF($D$2="Egyszeri",8,HLOOKUP(ROUNDUP($M$11+$M$13,0),Paraméterek!$J$26:$O$27,2))),IF($D$4="Forint",0,2))</f>
        <v>#N/A</v>
      </c>
      <c r="M556" s="13">
        <f t="shared" ca="1" si="181"/>
        <v>0</v>
      </c>
      <c r="N556" s="13">
        <f t="shared" ca="1" si="191"/>
        <v>0</v>
      </c>
      <c r="O556" s="13">
        <f ca="1">IF($D556="Igen",IF($W555&gt;=IF($D$4="Forint",Paraméterek!$J$121,Paraméterek!$K$121),0,IF($D$4="Forint",Paraméterek!$J$121,Paraméterek!$K$121)-$W555),0)</f>
        <v>0</v>
      </c>
      <c r="P556" s="13" t="e">
        <f ca="1">ROUNDUP($O556*VLOOKUP($M$4+$B556-1,Paraméterek!$H$58:$I$105,2,0)/Paraméterek!$I$56,IF($D$4="Forint",0,2))</f>
        <v>#N/A</v>
      </c>
      <c r="Q556" s="13">
        <f t="shared" ca="1" si="182"/>
        <v>0</v>
      </c>
      <c r="R556" s="33"/>
      <c r="S556" s="13" t="e">
        <f t="shared" ca="1" si="183"/>
        <v>#N/A</v>
      </c>
      <c r="T556" s="13" t="e">
        <f ca="1">ROUNDUP(($N556-$P556-$Q556+$S556)*VLOOKUP($B556,Paraméterek!$I$38:$K$39,IF($D$2="Egyszeri",3,2))/12*IF($D557="Nem",IF($M$13=0,1,$M$13),1),IF($D$4="Forint",0,2))</f>
        <v>#N/A</v>
      </c>
      <c r="U556" s="13"/>
      <c r="V556" s="13"/>
      <c r="W556" s="13" t="e">
        <f ca="1">$N556-$P556-$Q556+$S556-$T556-IF(ROUNDUP(IF(ISBLANK($V556),$U556*0,$V556)/IF($D$2="Egyszeri",VLOOKUP($B556+IF($C556=12,1,0),Paraméterek!$V$257:$W$262,2),IF($B556=1,1,VLOOKUP($B556+IF($C556=12,1,0),Paraméterek!$I$258:$T$278,HLOOKUP($M$11+1,Paraméterek!$J$256:$T$257,2)))),IF($D$4="Forint",0,2))&gt;$N556-$P556-$Q556+$S556-$T556-IF($D$4="Forint",Paraméterek!$C$216,Paraméterek!$D$216),0,ROUNDUP(IF(ISBLANK($V556),$U556*0,$V556)/IF($D$2="Egyszeri",VLOOKUP($B556+IF($C556=12,1,0),Paraméterek!$V$257:$W$262,2),IF($B556=1,1,VLOOKUP($B556+IF($C556=12,1,0),Paraméterek!$I$258:$T$278,HLOOKUP($M$11+1,Paraméterek!$J$256:$T$257,2)))),IF($D$4="Forint",0,2)))</f>
        <v>#N/A</v>
      </c>
      <c r="X556" s="13" t="e">
        <f ca="1">ROUNDDOWN($W556*IF($D$2="Egyszeri",VLOOKUP($B556+IF($C556=12,1,0),Paraméterek!$V$257:$W$262,2),VLOOKUP($B556+IF($C556=12,1,0),Paraméterek!$I$258:$T$278,HLOOKUP($M$11+1,Paraméterek!$I$256:$T$257,2))),IF($D$4="Forint",0,2))</f>
        <v>#N/A</v>
      </c>
      <c r="Z556" s="32">
        <v>537</v>
      </c>
      <c r="AA556" s="32">
        <v>45</v>
      </c>
      <c r="AB556" s="32">
        <v>9</v>
      </c>
      <c r="AC556" s="13">
        <f t="shared" ca="1" si="192"/>
        <v>0</v>
      </c>
      <c r="AD556" s="33"/>
      <c r="AE556" s="13">
        <f t="shared" ca="1" si="184"/>
        <v>0</v>
      </c>
      <c r="AF556" s="13">
        <f ca="1">ROUNDUP(($AC556+$AE556)*VLOOKUP($AA556,Paraméterek!$P$38:$Q$38,2)/12*IF($D557="Nem",IF($M$13=0,1,$M$13),1),IF($D$4="Forint",0,2))</f>
        <v>0</v>
      </c>
      <c r="AG556" s="13">
        <f ca="1">IF($D$2="Egyszeri",IF($D$7&gt;=IF($D$4="Forint",Paraméterek!$P$223,Paraméterek!$P$224),$D$7-IF($D$4="Forint",Paraméterek!$P$223,Paraméterek!$P$224),0),MIN(IF($AB556=12,AVERAGEIF($E$20:$E556,"&gt;0",$E$20:$E556)*12,0),SUM($E$20:$E$31)))</f>
        <v>0</v>
      </c>
      <c r="AH556" s="13">
        <f>IF($AA556=10,$AG556*IF($AB556=12,IF($AG556&lt;IF($D$4="Forint",Paraméterek!$L$223,Paraméterek!$L$224),0,VLOOKUP($AA556,Paraméterek!$K$226:$M$228,IF($AG556&lt;IF($D$4="Forint",Paraméterek!$M$223,Paraméterek!$M$224),2,3))),0),0)</f>
        <v>0</v>
      </c>
      <c r="AI556" s="13">
        <f ca="1">IF(AND($AA556=$M$11+1,$AB556=$M$12+1),SUMIF($AA$20:$AA$1027,$AA556,$AG$20:$AG$1027)*IF(SUMIF($AA$20:$AA$1027,$AA556,$AG$20:$AG$1027)&lt;IF($D$4="Forint",Paraméterek!$L$223,Paraméterek!$L$224),0,VLOOKUP($AA556,Paraméterek!$K$230:$M$250,IF(SUMIF($AA$20:$AA$1027,$AA556,$AG$20:$AG$1027)&lt;IF($D$4="Forint",Paraméterek!$M$223,Paraméterek!$M$224),2,3))),0)</f>
        <v>0</v>
      </c>
      <c r="AJ556" s="13">
        <f ca="1">IF(AND($AA556&gt;=5,MOD($AA556,5)=0),IF($AB556=12,VLOOKUP($AA556,Paraméterek!$O$225:$P$240,2),0),IF(OR($AA556=3,$AA556=4),IF($AB556=12,VLOOKUP($AA556,Paraméterek!$O$225:$P$240,2,0),0),0))*$AG556</f>
        <v>0</v>
      </c>
      <c r="AK556" s="13">
        <f t="shared" ca="1" si="185"/>
        <v>0</v>
      </c>
      <c r="AL556" s="13">
        <f t="shared" ca="1" si="193"/>
        <v>0</v>
      </c>
      <c r="AM556" s="13">
        <f t="shared" ca="1" si="194"/>
        <v>0</v>
      </c>
      <c r="AO556" s="32">
        <v>537</v>
      </c>
      <c r="AP556" s="32">
        <v>45</v>
      </c>
      <c r="AQ556" s="32">
        <v>9</v>
      </c>
      <c r="AR556" s="13"/>
      <c r="AS556" s="32"/>
      <c r="AT556" s="13">
        <f t="shared" ca="1" si="195"/>
        <v>0</v>
      </c>
      <c r="AU556" s="33"/>
      <c r="AV556" s="13">
        <f t="shared" ca="1" si="186"/>
        <v>0</v>
      </c>
      <c r="AW556" s="13">
        <f ca="1">ROUNDUP(($AT556+$AV556)*VLOOKUP($AP556,Paraméterek!$P$38:$Q$38,2)/12*IF($D557="Nem",IF($M$13=0,1,$M$13),1),IF($D$4="Forint",0,2))</f>
        <v>0</v>
      </c>
      <c r="AX556" s="13"/>
      <c r="AY556" s="13"/>
      <c r="AZ556" s="13">
        <f>ROUNDUP(IF(SUM($AX556:$AY556)=0,0,IF(IF(ISBLANK($AY556),$AX556,$AY556)*Paraméterek!$J$112&lt;IF($D$4="Forint",Paraméterek!$J$113,Paraméterek!$K$113),IF($D$4="Forint",Paraméterek!$J$113,Paraméterek!$K$113),IF(IF(ISBLANK($AY556),$AX556,$AY556)*Paraméterek!$J$112&gt;IF($D$4="Forint",Paraméterek!$J$114,Paraméterek!$K$114),IF($D$4="Forint",Paraméterek!$J$114,Paraméterek!$K$114),IF(ISBLANK($AY556),$AX556,$AY556)*Paraméterek!$J$112))),IF($D$4="Forint",0,2))</f>
        <v>0</v>
      </c>
      <c r="BA556" s="13">
        <f ca="1">$AT556+$AV556-$AW556-IF(ROUNDDOWN(IF(ISBLANK($AY556),$AX556,$AY556),IF($D$4="Forint",0,2))&gt;$AT556+$AV556-$AW556-IF($D$4="Forint",Paraméterek!$J$114,Paraméterek!$K$114),0,ROUNDDOWN(IF(ISBLANK($AY556),$AX556,$AY556),IF($D$4="Forint",0,2))-$AZ556)</f>
        <v>0</v>
      </c>
      <c r="BB556" s="13">
        <f t="shared" ca="1" si="187"/>
        <v>0</v>
      </c>
      <c r="BD556" s="32">
        <v>537</v>
      </c>
      <c r="BE556" s="32">
        <v>45</v>
      </c>
      <c r="BF556" s="32">
        <v>9</v>
      </c>
      <c r="BG556" s="34">
        <f t="shared" ca="1" si="196"/>
        <v>2064</v>
      </c>
      <c r="BH556" s="32" t="str">
        <f ca="1">IF(MOD(MONTH($D$14)+$BD556-1,12)=Paraméterek!$C$288,"Igen","")</f>
        <v/>
      </c>
      <c r="BI556" s="13">
        <f ca="1">IF($BH556="Igen",MIN(ROUNDDOWN((SUMIF($BG$20:$BG$1027,$BG556-1,$K$20:$K$1027)-SUMIF($BG$20:$BG$1027,$BG556-1,$I$20:$I$1027))*Paraméterek!$C$289,IF($D$4="Forint",0,2)),IF($D$4="Forint",Paraméterek!$C$285,Paraméterek!$D$285)),0)</f>
        <v>0</v>
      </c>
      <c r="BJ556" s="13">
        <f t="shared" ca="1" si="188"/>
        <v>0</v>
      </c>
      <c r="BK556" s="13">
        <f t="shared" ca="1" si="197"/>
        <v>0</v>
      </c>
      <c r="BL556" s="33"/>
      <c r="BM556" s="13">
        <f t="shared" ca="1" si="189"/>
        <v>0</v>
      </c>
      <c r="BN556" s="13">
        <f ca="1">ROUNDUP(($BK556+$BM556)*VLOOKUP($BE556,Paraméterek!$P$38:$Q$38,2)/12*IF($D557="Nem",IF($M$13=0,1,$M$13),1),IF($D$4="Forint",0,2))</f>
        <v>0</v>
      </c>
      <c r="BO556" s="13">
        <f t="shared" ca="1" si="190"/>
        <v>0</v>
      </c>
      <c r="BP556" s="13">
        <f ca="1">IF($D557="Nem",$BO556,$BO556-ROUNDUP(SUM($BI$20:$BI556)*120%,IF($D$4="Forint",0,2)))</f>
        <v>0</v>
      </c>
    </row>
    <row r="557" spans="1:68" x14ac:dyDescent="0.2">
      <c r="A557" s="32">
        <v>538</v>
      </c>
      <c r="B557" s="32">
        <v>45</v>
      </c>
      <c r="C557" s="32">
        <v>10</v>
      </c>
      <c r="D557" s="32" t="str">
        <f t="shared" ca="1" si="176"/>
        <v>Nem</v>
      </c>
      <c r="E557" s="13">
        <f t="shared" ca="1" si="177"/>
        <v>0</v>
      </c>
      <c r="F557" s="13"/>
      <c r="G557" s="13"/>
      <c r="H557" s="13"/>
      <c r="I557" s="13">
        <f t="shared" ca="1" si="178"/>
        <v>0</v>
      </c>
      <c r="J557" s="13">
        <f t="shared" ca="1" si="179"/>
        <v>0</v>
      </c>
      <c r="K557" s="13">
        <f t="shared" ca="1" si="180"/>
        <v>0</v>
      </c>
      <c r="L557" s="13" t="e">
        <f ca="1">ROUNDUP(IF($D$2="Egyszeri",$E557,IF($D$2="Havi",SUM($E$20:$E$31),IF(MOD($C557,$M$1)-1=0,SUM($E$20:$E$31),0))/12*$M$1)*VLOOKUP($B557,Paraméterek!$I$28:$P$31,IF($D$2="Egyszeri",8,HLOOKUP(ROUNDUP($M$11+$M$13,0),Paraméterek!$J$26:$O$27,2))),IF($D$4="Forint",0,2))</f>
        <v>#N/A</v>
      </c>
      <c r="M557" s="13">
        <f t="shared" ca="1" si="181"/>
        <v>0</v>
      </c>
      <c r="N557" s="13">
        <f t="shared" ca="1" si="191"/>
        <v>0</v>
      </c>
      <c r="O557" s="13">
        <f ca="1">IF($D557="Igen",IF($W556&gt;=IF($D$4="Forint",Paraméterek!$J$121,Paraméterek!$K$121),0,IF($D$4="Forint",Paraméterek!$J$121,Paraméterek!$K$121)-$W556),0)</f>
        <v>0</v>
      </c>
      <c r="P557" s="13" t="e">
        <f ca="1">ROUNDUP($O557*VLOOKUP($M$4+$B557-1,Paraméterek!$H$58:$I$105,2,0)/Paraméterek!$I$56,IF($D$4="Forint",0,2))</f>
        <v>#N/A</v>
      </c>
      <c r="Q557" s="13">
        <f t="shared" ca="1" si="182"/>
        <v>0</v>
      </c>
      <c r="R557" s="33"/>
      <c r="S557" s="13" t="e">
        <f t="shared" ca="1" si="183"/>
        <v>#N/A</v>
      </c>
      <c r="T557" s="13" t="e">
        <f ca="1">ROUNDUP(($N557-$P557-$Q557+$S557)*VLOOKUP($B557,Paraméterek!$I$38:$K$39,IF($D$2="Egyszeri",3,2))/12*IF($D558="Nem",IF($M$13=0,1,$M$13),1),IF($D$4="Forint",0,2))</f>
        <v>#N/A</v>
      </c>
      <c r="U557" s="13"/>
      <c r="V557" s="13"/>
      <c r="W557" s="13" t="e">
        <f ca="1">$N557-$P557-$Q557+$S557-$T557-IF(ROUNDUP(IF(ISBLANK($V557),$U557*0,$V557)/IF($D$2="Egyszeri",VLOOKUP($B557+IF($C557=12,1,0),Paraméterek!$V$257:$W$262,2),IF($B557=1,1,VLOOKUP($B557+IF($C557=12,1,0),Paraméterek!$I$258:$T$278,HLOOKUP($M$11+1,Paraméterek!$J$256:$T$257,2)))),IF($D$4="Forint",0,2))&gt;$N557-$P557-$Q557+$S557-$T557-IF($D$4="Forint",Paraméterek!$C$216,Paraméterek!$D$216),0,ROUNDUP(IF(ISBLANK($V557),$U557*0,$V557)/IF($D$2="Egyszeri",VLOOKUP($B557+IF($C557=12,1,0),Paraméterek!$V$257:$W$262,2),IF($B557=1,1,VLOOKUP($B557+IF($C557=12,1,0),Paraméterek!$I$258:$T$278,HLOOKUP($M$11+1,Paraméterek!$J$256:$T$257,2)))),IF($D$4="Forint",0,2)))</f>
        <v>#N/A</v>
      </c>
      <c r="X557" s="13" t="e">
        <f ca="1">ROUNDDOWN($W557*IF($D$2="Egyszeri",VLOOKUP($B557+IF($C557=12,1,0),Paraméterek!$V$257:$W$262,2),VLOOKUP($B557+IF($C557=12,1,0),Paraméterek!$I$258:$T$278,HLOOKUP($M$11+1,Paraméterek!$I$256:$T$257,2))),IF($D$4="Forint",0,2))</f>
        <v>#N/A</v>
      </c>
      <c r="Z557" s="32">
        <v>538</v>
      </c>
      <c r="AA557" s="32">
        <v>45</v>
      </c>
      <c r="AB557" s="32">
        <v>10</v>
      </c>
      <c r="AC557" s="13">
        <f t="shared" ca="1" si="192"/>
        <v>0</v>
      </c>
      <c r="AD557" s="33"/>
      <c r="AE557" s="13">
        <f t="shared" ca="1" si="184"/>
        <v>0</v>
      </c>
      <c r="AF557" s="13">
        <f ca="1">ROUNDUP(($AC557+$AE557)*VLOOKUP($AA557,Paraméterek!$P$38:$Q$38,2)/12*IF($D558="Nem",IF($M$13=0,1,$M$13),1),IF($D$4="Forint",0,2))</f>
        <v>0</v>
      </c>
      <c r="AG557" s="13">
        <f ca="1">IF($D$2="Egyszeri",IF($D$7&gt;=IF($D$4="Forint",Paraméterek!$P$223,Paraméterek!$P$224),$D$7-IF($D$4="Forint",Paraméterek!$P$223,Paraméterek!$P$224),0),MIN(IF($AB557=12,AVERAGEIF($E$20:$E557,"&gt;0",$E$20:$E557)*12,0),SUM($E$20:$E$31)))</f>
        <v>0</v>
      </c>
      <c r="AH557" s="13">
        <f>IF($AA557=10,$AG557*IF($AB557=12,IF($AG557&lt;IF($D$4="Forint",Paraméterek!$L$223,Paraméterek!$L$224),0,VLOOKUP($AA557,Paraméterek!$K$226:$M$228,IF($AG557&lt;IF($D$4="Forint",Paraméterek!$M$223,Paraméterek!$M$224),2,3))),0),0)</f>
        <v>0</v>
      </c>
      <c r="AI557" s="13">
        <f ca="1">IF(AND($AA557=$M$11+1,$AB557=$M$12+1),SUMIF($AA$20:$AA$1027,$AA557,$AG$20:$AG$1027)*IF(SUMIF($AA$20:$AA$1027,$AA557,$AG$20:$AG$1027)&lt;IF($D$4="Forint",Paraméterek!$L$223,Paraméterek!$L$224),0,VLOOKUP($AA557,Paraméterek!$K$230:$M$250,IF(SUMIF($AA$20:$AA$1027,$AA557,$AG$20:$AG$1027)&lt;IF($D$4="Forint",Paraméterek!$M$223,Paraméterek!$M$224),2,3))),0)</f>
        <v>0</v>
      </c>
      <c r="AJ557" s="13">
        <f ca="1">IF(AND($AA557&gt;=5,MOD($AA557,5)=0),IF($AB557=12,VLOOKUP($AA557,Paraméterek!$O$225:$P$240,2),0),IF(OR($AA557=3,$AA557=4),IF($AB557=12,VLOOKUP($AA557,Paraméterek!$O$225:$P$240,2,0),0),0))*$AG557</f>
        <v>0</v>
      </c>
      <c r="AK557" s="13">
        <f t="shared" ca="1" si="185"/>
        <v>0</v>
      </c>
      <c r="AL557" s="13">
        <f t="shared" ca="1" si="193"/>
        <v>0</v>
      </c>
      <c r="AM557" s="13">
        <f t="shared" ca="1" si="194"/>
        <v>0</v>
      </c>
      <c r="AO557" s="32">
        <v>538</v>
      </c>
      <c r="AP557" s="32">
        <v>45</v>
      </c>
      <c r="AQ557" s="32">
        <v>10</v>
      </c>
      <c r="AR557" s="13"/>
      <c r="AS557" s="32"/>
      <c r="AT557" s="13">
        <f t="shared" ca="1" si="195"/>
        <v>0</v>
      </c>
      <c r="AU557" s="33"/>
      <c r="AV557" s="13">
        <f t="shared" ca="1" si="186"/>
        <v>0</v>
      </c>
      <c r="AW557" s="13">
        <f ca="1">ROUNDUP(($AT557+$AV557)*VLOOKUP($AP557,Paraméterek!$P$38:$Q$38,2)/12*IF($D558="Nem",IF($M$13=0,1,$M$13),1),IF($D$4="Forint",0,2))</f>
        <v>0</v>
      </c>
      <c r="AX557" s="13"/>
      <c r="AY557" s="13"/>
      <c r="AZ557" s="13">
        <f>ROUNDUP(IF(SUM($AX557:$AY557)=0,0,IF(IF(ISBLANK($AY557),$AX557,$AY557)*Paraméterek!$J$112&lt;IF($D$4="Forint",Paraméterek!$J$113,Paraméterek!$K$113),IF($D$4="Forint",Paraméterek!$J$113,Paraméterek!$K$113),IF(IF(ISBLANK($AY557),$AX557,$AY557)*Paraméterek!$J$112&gt;IF($D$4="Forint",Paraméterek!$J$114,Paraméterek!$K$114),IF($D$4="Forint",Paraméterek!$J$114,Paraméterek!$K$114),IF(ISBLANK($AY557),$AX557,$AY557)*Paraméterek!$J$112))),IF($D$4="Forint",0,2))</f>
        <v>0</v>
      </c>
      <c r="BA557" s="13">
        <f ca="1">$AT557+$AV557-$AW557-IF(ROUNDDOWN(IF(ISBLANK($AY557),$AX557,$AY557),IF($D$4="Forint",0,2))&gt;$AT557+$AV557-$AW557-IF($D$4="Forint",Paraméterek!$J$114,Paraméterek!$K$114),0,ROUNDDOWN(IF(ISBLANK($AY557),$AX557,$AY557),IF($D$4="Forint",0,2))-$AZ557)</f>
        <v>0</v>
      </c>
      <c r="BB557" s="13">
        <f t="shared" ca="1" si="187"/>
        <v>0</v>
      </c>
      <c r="BD557" s="32">
        <v>538</v>
      </c>
      <c r="BE557" s="32">
        <v>45</v>
      </c>
      <c r="BF557" s="32">
        <v>10</v>
      </c>
      <c r="BG557" s="34">
        <f t="shared" ca="1" si="196"/>
        <v>2064</v>
      </c>
      <c r="BH557" s="32" t="str">
        <f ca="1">IF(MOD(MONTH($D$14)+$BD557-1,12)=Paraméterek!$C$288,"Igen","")</f>
        <v/>
      </c>
      <c r="BI557" s="13">
        <f ca="1">IF($BH557="Igen",MIN(ROUNDDOWN((SUMIF($BG$20:$BG$1027,$BG557-1,$K$20:$K$1027)-SUMIF($BG$20:$BG$1027,$BG557-1,$I$20:$I$1027))*Paraméterek!$C$289,IF($D$4="Forint",0,2)),IF($D$4="Forint",Paraméterek!$C$285,Paraméterek!$D$285)),0)</f>
        <v>0</v>
      </c>
      <c r="BJ557" s="13">
        <f t="shared" ca="1" si="188"/>
        <v>0</v>
      </c>
      <c r="BK557" s="13">
        <f t="shared" ca="1" si="197"/>
        <v>0</v>
      </c>
      <c r="BL557" s="33"/>
      <c r="BM557" s="13">
        <f t="shared" ca="1" si="189"/>
        <v>0</v>
      </c>
      <c r="BN557" s="13">
        <f ca="1">ROUNDUP(($BK557+$BM557)*VLOOKUP($BE557,Paraméterek!$P$38:$Q$38,2)/12*IF($D558="Nem",IF($M$13=0,1,$M$13),1),IF($D$4="Forint",0,2))</f>
        <v>0</v>
      </c>
      <c r="BO557" s="13">
        <f t="shared" ca="1" si="190"/>
        <v>0</v>
      </c>
      <c r="BP557" s="13">
        <f ca="1">IF($D558="Nem",$BO557,$BO557-ROUNDUP(SUM($BI$20:$BI557)*120%,IF($D$4="Forint",0,2)))</f>
        <v>0</v>
      </c>
    </row>
    <row r="558" spans="1:68" x14ac:dyDescent="0.2">
      <c r="A558" s="32">
        <v>539</v>
      </c>
      <c r="B558" s="32">
        <v>45</v>
      </c>
      <c r="C558" s="32">
        <v>11</v>
      </c>
      <c r="D558" s="32" t="str">
        <f t="shared" ca="1" si="176"/>
        <v>Nem</v>
      </c>
      <c r="E558" s="13">
        <f t="shared" ca="1" si="177"/>
        <v>0</v>
      </c>
      <c r="F558" s="13"/>
      <c r="G558" s="13"/>
      <c r="H558" s="13"/>
      <c r="I558" s="13">
        <f t="shared" ca="1" si="178"/>
        <v>0</v>
      </c>
      <c r="J558" s="13">
        <f t="shared" ca="1" si="179"/>
        <v>0</v>
      </c>
      <c r="K558" s="13">
        <f t="shared" ca="1" si="180"/>
        <v>0</v>
      </c>
      <c r="L558" s="13" t="e">
        <f ca="1">ROUNDUP(IF($D$2="Egyszeri",$E558,IF($D$2="Havi",SUM($E$20:$E$31),IF(MOD($C558,$M$1)-1=0,SUM($E$20:$E$31),0))/12*$M$1)*VLOOKUP($B558,Paraméterek!$I$28:$P$31,IF($D$2="Egyszeri",8,HLOOKUP(ROUNDUP($M$11+$M$13,0),Paraméterek!$J$26:$O$27,2))),IF($D$4="Forint",0,2))</f>
        <v>#N/A</v>
      </c>
      <c r="M558" s="13">
        <f t="shared" ca="1" si="181"/>
        <v>0</v>
      </c>
      <c r="N558" s="13">
        <f t="shared" ca="1" si="191"/>
        <v>0</v>
      </c>
      <c r="O558" s="13">
        <f ca="1">IF($D558="Igen",IF($W557&gt;=IF($D$4="Forint",Paraméterek!$J$121,Paraméterek!$K$121),0,IF($D$4="Forint",Paraméterek!$J$121,Paraméterek!$K$121)-$W557),0)</f>
        <v>0</v>
      </c>
      <c r="P558" s="13" t="e">
        <f ca="1">ROUNDUP($O558*VLOOKUP($M$4+$B558-1,Paraméterek!$H$58:$I$105,2,0)/Paraméterek!$I$56,IF($D$4="Forint",0,2))</f>
        <v>#N/A</v>
      </c>
      <c r="Q558" s="13">
        <f t="shared" ca="1" si="182"/>
        <v>0</v>
      </c>
      <c r="R558" s="33"/>
      <c r="S558" s="13" t="e">
        <f t="shared" ca="1" si="183"/>
        <v>#N/A</v>
      </c>
      <c r="T558" s="13" t="e">
        <f ca="1">ROUNDUP(($N558-$P558-$Q558+$S558)*VLOOKUP($B558,Paraméterek!$I$38:$K$39,IF($D$2="Egyszeri",3,2))/12*IF($D559="Nem",IF($M$13=0,1,$M$13),1),IF($D$4="Forint",0,2))</f>
        <v>#N/A</v>
      </c>
      <c r="U558" s="13"/>
      <c r="V558" s="13"/>
      <c r="W558" s="13" t="e">
        <f ca="1">$N558-$P558-$Q558+$S558-$T558-IF(ROUNDUP(IF(ISBLANK($V558),$U558*0,$V558)/IF($D$2="Egyszeri",VLOOKUP($B558+IF($C558=12,1,0),Paraméterek!$V$257:$W$262,2),IF($B558=1,1,VLOOKUP($B558+IF($C558=12,1,0),Paraméterek!$I$258:$T$278,HLOOKUP($M$11+1,Paraméterek!$J$256:$T$257,2)))),IF($D$4="Forint",0,2))&gt;$N558-$P558-$Q558+$S558-$T558-IF($D$4="Forint",Paraméterek!$C$216,Paraméterek!$D$216),0,ROUNDUP(IF(ISBLANK($V558),$U558*0,$V558)/IF($D$2="Egyszeri",VLOOKUP($B558+IF($C558=12,1,0),Paraméterek!$V$257:$W$262,2),IF($B558=1,1,VLOOKUP($B558+IF($C558=12,1,0),Paraméterek!$I$258:$T$278,HLOOKUP($M$11+1,Paraméterek!$J$256:$T$257,2)))),IF($D$4="Forint",0,2)))</f>
        <v>#N/A</v>
      </c>
      <c r="X558" s="13" t="e">
        <f ca="1">ROUNDDOWN($W558*IF($D$2="Egyszeri",VLOOKUP($B558+IF($C558=12,1,0),Paraméterek!$V$257:$W$262,2),VLOOKUP($B558+IF($C558=12,1,0),Paraméterek!$I$258:$T$278,HLOOKUP($M$11+1,Paraméterek!$I$256:$T$257,2))),IF($D$4="Forint",0,2))</f>
        <v>#N/A</v>
      </c>
      <c r="Z558" s="32">
        <v>539</v>
      </c>
      <c r="AA558" s="32">
        <v>45</v>
      </c>
      <c r="AB558" s="32">
        <v>11</v>
      </c>
      <c r="AC558" s="13">
        <f t="shared" ca="1" si="192"/>
        <v>0</v>
      </c>
      <c r="AD558" s="33"/>
      <c r="AE558" s="13">
        <f t="shared" ca="1" si="184"/>
        <v>0</v>
      </c>
      <c r="AF558" s="13">
        <f ca="1">ROUNDUP(($AC558+$AE558)*VLOOKUP($AA558,Paraméterek!$P$38:$Q$38,2)/12*IF($D559="Nem",IF($M$13=0,1,$M$13),1),IF($D$4="Forint",0,2))</f>
        <v>0</v>
      </c>
      <c r="AG558" s="13">
        <f ca="1">IF($D$2="Egyszeri",IF($D$7&gt;=IF($D$4="Forint",Paraméterek!$P$223,Paraméterek!$P$224),$D$7-IF($D$4="Forint",Paraméterek!$P$223,Paraméterek!$P$224),0),MIN(IF($AB558=12,AVERAGEIF($E$20:$E558,"&gt;0",$E$20:$E558)*12,0),SUM($E$20:$E$31)))</f>
        <v>0</v>
      </c>
      <c r="AH558" s="13">
        <f>IF($AA558=10,$AG558*IF($AB558=12,IF($AG558&lt;IF($D$4="Forint",Paraméterek!$L$223,Paraméterek!$L$224),0,VLOOKUP($AA558,Paraméterek!$K$226:$M$228,IF($AG558&lt;IF($D$4="Forint",Paraméterek!$M$223,Paraméterek!$M$224),2,3))),0),0)</f>
        <v>0</v>
      </c>
      <c r="AI558" s="13">
        <f ca="1">IF(AND($AA558=$M$11+1,$AB558=$M$12+1),SUMIF($AA$20:$AA$1027,$AA558,$AG$20:$AG$1027)*IF(SUMIF($AA$20:$AA$1027,$AA558,$AG$20:$AG$1027)&lt;IF($D$4="Forint",Paraméterek!$L$223,Paraméterek!$L$224),0,VLOOKUP($AA558,Paraméterek!$K$230:$M$250,IF(SUMIF($AA$20:$AA$1027,$AA558,$AG$20:$AG$1027)&lt;IF($D$4="Forint",Paraméterek!$M$223,Paraméterek!$M$224),2,3))),0)</f>
        <v>0</v>
      </c>
      <c r="AJ558" s="13">
        <f ca="1">IF(AND($AA558&gt;=5,MOD($AA558,5)=0),IF($AB558=12,VLOOKUP($AA558,Paraméterek!$O$225:$P$240,2),0),IF(OR($AA558=3,$AA558=4),IF($AB558=12,VLOOKUP($AA558,Paraméterek!$O$225:$P$240,2,0),0),0))*$AG558</f>
        <v>0</v>
      </c>
      <c r="AK558" s="13">
        <f t="shared" ca="1" si="185"/>
        <v>0</v>
      </c>
      <c r="AL558" s="13">
        <f t="shared" ca="1" si="193"/>
        <v>0</v>
      </c>
      <c r="AM558" s="13">
        <f t="shared" ca="1" si="194"/>
        <v>0</v>
      </c>
      <c r="AO558" s="32">
        <v>539</v>
      </c>
      <c r="AP558" s="32">
        <v>45</v>
      </c>
      <c r="AQ558" s="32">
        <v>11</v>
      </c>
      <c r="AR558" s="13"/>
      <c r="AS558" s="32"/>
      <c r="AT558" s="13">
        <f t="shared" ca="1" si="195"/>
        <v>0</v>
      </c>
      <c r="AU558" s="33"/>
      <c r="AV558" s="13">
        <f t="shared" ca="1" si="186"/>
        <v>0</v>
      </c>
      <c r="AW558" s="13">
        <f ca="1">ROUNDUP(($AT558+$AV558)*VLOOKUP($AP558,Paraméterek!$P$38:$Q$38,2)/12*IF($D559="Nem",IF($M$13=0,1,$M$13),1),IF($D$4="Forint",0,2))</f>
        <v>0</v>
      </c>
      <c r="AX558" s="13"/>
      <c r="AY558" s="13"/>
      <c r="AZ558" s="13">
        <f>ROUNDUP(IF(SUM($AX558:$AY558)=0,0,IF(IF(ISBLANK($AY558),$AX558,$AY558)*Paraméterek!$J$112&lt;IF($D$4="Forint",Paraméterek!$J$113,Paraméterek!$K$113),IF($D$4="Forint",Paraméterek!$J$113,Paraméterek!$K$113),IF(IF(ISBLANK($AY558),$AX558,$AY558)*Paraméterek!$J$112&gt;IF($D$4="Forint",Paraméterek!$J$114,Paraméterek!$K$114),IF($D$4="Forint",Paraméterek!$J$114,Paraméterek!$K$114),IF(ISBLANK($AY558),$AX558,$AY558)*Paraméterek!$J$112))),IF($D$4="Forint",0,2))</f>
        <v>0</v>
      </c>
      <c r="BA558" s="13">
        <f ca="1">$AT558+$AV558-$AW558-IF(ROUNDDOWN(IF(ISBLANK($AY558),$AX558,$AY558),IF($D$4="Forint",0,2))&gt;$AT558+$AV558-$AW558-IF($D$4="Forint",Paraméterek!$J$114,Paraméterek!$K$114),0,ROUNDDOWN(IF(ISBLANK($AY558),$AX558,$AY558),IF($D$4="Forint",0,2))-$AZ558)</f>
        <v>0</v>
      </c>
      <c r="BB558" s="13">
        <f t="shared" ca="1" si="187"/>
        <v>0</v>
      </c>
      <c r="BD558" s="32">
        <v>539</v>
      </c>
      <c r="BE558" s="32">
        <v>45</v>
      </c>
      <c r="BF558" s="32">
        <v>11</v>
      </c>
      <c r="BG558" s="34">
        <f t="shared" ca="1" si="196"/>
        <v>2064</v>
      </c>
      <c r="BH558" s="32" t="str">
        <f ca="1">IF(MOD(MONTH($D$14)+$BD558-1,12)=Paraméterek!$C$288,"Igen","")</f>
        <v/>
      </c>
      <c r="BI558" s="13">
        <f ca="1">IF($BH558="Igen",MIN(ROUNDDOWN((SUMIF($BG$20:$BG$1027,$BG558-1,$K$20:$K$1027)-SUMIF($BG$20:$BG$1027,$BG558-1,$I$20:$I$1027))*Paraméterek!$C$289,IF($D$4="Forint",0,2)),IF($D$4="Forint",Paraméterek!$C$285,Paraméterek!$D$285)),0)</f>
        <v>0</v>
      </c>
      <c r="BJ558" s="13">
        <f t="shared" ca="1" si="188"/>
        <v>0</v>
      </c>
      <c r="BK558" s="13">
        <f t="shared" ca="1" si="197"/>
        <v>0</v>
      </c>
      <c r="BL558" s="33"/>
      <c r="BM558" s="13">
        <f t="shared" ca="1" si="189"/>
        <v>0</v>
      </c>
      <c r="BN558" s="13">
        <f ca="1">ROUNDUP(($BK558+$BM558)*VLOOKUP($BE558,Paraméterek!$P$38:$Q$38,2)/12*IF($D559="Nem",IF($M$13=0,1,$M$13),1),IF($D$4="Forint",0,2))</f>
        <v>0</v>
      </c>
      <c r="BO558" s="13">
        <f t="shared" ca="1" si="190"/>
        <v>0</v>
      </c>
      <c r="BP558" s="13">
        <f ca="1">IF($D559="Nem",$BO558,$BO558-ROUNDUP(SUM($BI$20:$BI558)*120%,IF($D$4="Forint",0,2)))</f>
        <v>0</v>
      </c>
    </row>
    <row r="559" spans="1:68" x14ac:dyDescent="0.2">
      <c r="A559" s="32">
        <v>540</v>
      </c>
      <c r="B559" s="32">
        <v>45</v>
      </c>
      <c r="C559" s="32">
        <v>12</v>
      </c>
      <c r="D559" s="32" t="str">
        <f t="shared" ca="1" si="176"/>
        <v>Nem</v>
      </c>
      <c r="E559" s="13">
        <f t="shared" ca="1" si="177"/>
        <v>0</v>
      </c>
      <c r="F559" s="13"/>
      <c r="G559" s="13"/>
      <c r="H559" s="13"/>
      <c r="I559" s="13">
        <f t="shared" ca="1" si="178"/>
        <v>0</v>
      </c>
      <c r="J559" s="13">
        <f t="shared" ca="1" si="179"/>
        <v>0</v>
      </c>
      <c r="K559" s="13">
        <f t="shared" ca="1" si="180"/>
        <v>0</v>
      </c>
      <c r="L559" s="13" t="e">
        <f ca="1">ROUNDUP(IF($D$2="Egyszeri",$E559,IF($D$2="Havi",SUM($E$20:$E$31),IF(MOD($C559,$M$1)-1=0,SUM($E$20:$E$31),0))/12*$M$1)*VLOOKUP($B559,Paraméterek!$I$28:$P$31,IF($D$2="Egyszeri",8,HLOOKUP(ROUNDUP($M$11+$M$13,0),Paraméterek!$J$26:$O$27,2))),IF($D$4="Forint",0,2))</f>
        <v>#N/A</v>
      </c>
      <c r="M559" s="13">
        <f t="shared" ca="1" si="181"/>
        <v>0</v>
      </c>
      <c r="N559" s="13">
        <f t="shared" ca="1" si="191"/>
        <v>0</v>
      </c>
      <c r="O559" s="13">
        <f ca="1">IF($D559="Igen",IF($W558&gt;=IF($D$4="Forint",Paraméterek!$J$121,Paraméterek!$K$121),0,IF($D$4="Forint",Paraméterek!$J$121,Paraméterek!$K$121)-$W558),0)</f>
        <v>0</v>
      </c>
      <c r="P559" s="13" t="e">
        <f ca="1">ROUNDUP($O559*VLOOKUP($M$4+$B559-1,Paraméterek!$H$58:$I$105,2,0)/Paraméterek!$I$56,IF($D$4="Forint",0,2))</f>
        <v>#N/A</v>
      </c>
      <c r="Q559" s="13">
        <f t="shared" ca="1" si="182"/>
        <v>0</v>
      </c>
      <c r="R559" s="33"/>
      <c r="S559" s="13" t="e">
        <f t="shared" ca="1" si="183"/>
        <v>#N/A</v>
      </c>
      <c r="T559" s="13" t="e">
        <f ca="1">ROUNDUP(($N559-$P559-$Q559+$S559)*VLOOKUP($B559,Paraméterek!$I$38:$K$39,IF($D$2="Egyszeri",3,2))/12*IF($D560="Nem",IF($M$13=0,1,$M$13),1),IF($D$4="Forint",0,2))</f>
        <v>#N/A</v>
      </c>
      <c r="U559" s="13">
        <f>Tranzakciók!$F$76</f>
        <v>0</v>
      </c>
      <c r="V559" s="13"/>
      <c r="W559" s="13" t="e">
        <f ca="1">$N559-$P559-$Q559+$S559-$T559-IF(ROUNDUP(IF(ISBLANK($V559),$U559*0,$V559)/IF($D$2="Egyszeri",VLOOKUP($B559+IF($C559=12,1,0),Paraméterek!$V$257:$W$262,2),IF($B559=1,1,VLOOKUP($B559+IF($C559=12,1,0),Paraméterek!$I$258:$T$278,HLOOKUP($M$11+1,Paraméterek!$J$256:$T$257,2)))),IF($D$4="Forint",0,2))&gt;$N559-$P559-$Q559+$S559-$T559-IF($D$4="Forint",Paraméterek!$C$216,Paraméterek!$D$216),0,ROUNDUP(IF(ISBLANK($V559),$U559*0,$V559)/IF($D$2="Egyszeri",VLOOKUP($B559+IF($C559=12,1,0),Paraméterek!$V$257:$W$262,2),IF($B559=1,1,VLOOKUP($B559+IF($C559=12,1,0),Paraméterek!$I$258:$T$278,HLOOKUP($M$11+1,Paraméterek!$J$256:$T$257,2)))),IF($D$4="Forint",0,2)))</f>
        <v>#N/A</v>
      </c>
      <c r="X559" s="13" t="e">
        <f ca="1">ROUNDDOWN($W559*IF($D$2="Egyszeri",VLOOKUP($B559+IF($C559=12,1,0),Paraméterek!$V$257:$W$262,2),VLOOKUP($B559+IF($C559=12,1,0),Paraméterek!$I$258:$T$278,HLOOKUP($M$11+1,Paraméterek!$I$256:$T$257,2))),IF($D$4="Forint",0,2))</f>
        <v>#N/A</v>
      </c>
      <c r="Z559" s="32">
        <v>540</v>
      </c>
      <c r="AA559" s="32">
        <v>45</v>
      </c>
      <c r="AB559" s="32">
        <v>12</v>
      </c>
      <c r="AC559" s="13">
        <f t="shared" ca="1" si="192"/>
        <v>0</v>
      </c>
      <c r="AD559" s="33"/>
      <c r="AE559" s="13">
        <f t="shared" ca="1" si="184"/>
        <v>0</v>
      </c>
      <c r="AF559" s="13">
        <f ca="1">ROUNDUP(($AC559+$AE559)*VLOOKUP($AA559,Paraméterek!$P$38:$Q$38,2)/12*IF($D560="Nem",IF($M$13=0,1,$M$13),1),IF($D$4="Forint",0,2))</f>
        <v>0</v>
      </c>
      <c r="AG559" s="13" t="e">
        <f ca="1">IF($D$2="Egyszeri",IF($D$7&gt;=IF($D$4="Forint",Paraméterek!$P$223,Paraméterek!$P$224),$D$7-IF($D$4="Forint",Paraméterek!$P$223,Paraméterek!$P$224),0),MIN(IF($AB559=12,AVERAGEIF($E$20:$E559,"&gt;0",$E$20:$E559)*12,0),SUM($E$20:$E$31)))</f>
        <v>#DIV/0!</v>
      </c>
      <c r="AH559" s="13">
        <f>IF($AA559=10,$AG559*IF($AB559=12,IF($AG559&lt;IF($D$4="Forint",Paraméterek!$L$223,Paraméterek!$L$224),0,VLOOKUP($AA559,Paraméterek!$K$226:$M$228,IF($AG559&lt;IF($D$4="Forint",Paraméterek!$M$223,Paraméterek!$M$224),2,3))),0),0)</f>
        <v>0</v>
      </c>
      <c r="AI559" s="13">
        <f ca="1">IF(AND($AA559=$M$11+1,$AB559=$M$12+1),SUMIF($AA$20:$AA$1027,$AA559,$AG$20:$AG$1027)*IF(SUMIF($AA$20:$AA$1027,$AA559,$AG$20:$AG$1027)&lt;IF($D$4="Forint",Paraméterek!$L$223,Paraméterek!$L$224),0,VLOOKUP($AA559,Paraméterek!$K$230:$M$250,IF(SUMIF($AA$20:$AA$1027,$AA559,$AG$20:$AG$1027)&lt;IF($D$4="Forint",Paraméterek!$M$223,Paraméterek!$M$224),2,3))),0)</f>
        <v>0</v>
      </c>
      <c r="AJ559" s="13" t="e">
        <f ca="1">IF(AND($AA559&gt;=5,MOD($AA559,5)=0),IF($AB559=12,VLOOKUP($AA559,Paraméterek!$O$225:$P$240,2),0),IF(OR($AA559=3,$AA559=4),IF($AB559=12,VLOOKUP($AA559,Paraméterek!$O$225:$P$240,2,0),0),0))*$AG559</f>
        <v>#DIV/0!</v>
      </c>
      <c r="AK559" s="13">
        <f t="shared" ca="1" si="185"/>
        <v>0</v>
      </c>
      <c r="AL559" s="13">
        <f t="shared" ca="1" si="193"/>
        <v>0</v>
      </c>
      <c r="AM559" s="13">
        <f t="shared" ca="1" si="194"/>
        <v>0</v>
      </c>
      <c r="AO559" s="32">
        <v>540</v>
      </c>
      <c r="AP559" s="32">
        <v>45</v>
      </c>
      <c r="AQ559" s="32">
        <v>12</v>
      </c>
      <c r="AR559" s="13"/>
      <c r="AS559" s="32"/>
      <c r="AT559" s="13">
        <f t="shared" ca="1" si="195"/>
        <v>0</v>
      </c>
      <c r="AU559" s="33"/>
      <c r="AV559" s="13">
        <f t="shared" ca="1" si="186"/>
        <v>0</v>
      </c>
      <c r="AW559" s="13">
        <f ca="1">ROUNDUP(($AT559+$AV559)*VLOOKUP($AP559,Paraméterek!$P$38:$Q$38,2)/12*IF($D560="Nem",IF($M$13=0,1,$M$13),1),IF($D$4="Forint",0,2))</f>
        <v>0</v>
      </c>
      <c r="AX559" s="13">
        <f>Tranzakciók!$M$76</f>
        <v>0</v>
      </c>
      <c r="AY559" s="13"/>
      <c r="AZ559" s="13">
        <f>ROUNDUP(IF(SUM($AX559:$AY559)=0,0,IF(IF(ISBLANK($AY559),$AX559,$AY559)*Paraméterek!$J$112&lt;IF($D$4="Forint",Paraméterek!$J$113,Paraméterek!$K$113),IF($D$4="Forint",Paraméterek!$J$113,Paraméterek!$K$113),IF(IF(ISBLANK($AY559),$AX559,$AY559)*Paraméterek!$J$112&gt;IF($D$4="Forint",Paraméterek!$J$114,Paraméterek!$K$114),IF($D$4="Forint",Paraméterek!$J$114,Paraméterek!$K$114),IF(ISBLANK($AY559),$AX559,$AY559)*Paraméterek!$J$112))),IF($D$4="Forint",0,2))</f>
        <v>0</v>
      </c>
      <c r="BA559" s="13">
        <f ca="1">$AT559+$AV559-$AW559-IF(ROUNDDOWN(IF(ISBLANK($AY559),$AX559,$AY559),IF($D$4="Forint",0,2))&gt;$AT559+$AV559-$AW559-IF($D$4="Forint",Paraméterek!$J$114,Paraméterek!$K$114),0,ROUNDDOWN(IF(ISBLANK($AY559),$AX559,$AY559),IF($D$4="Forint",0,2))-$AZ559)</f>
        <v>0</v>
      </c>
      <c r="BB559" s="13">
        <f t="shared" ca="1" si="187"/>
        <v>0</v>
      </c>
      <c r="BD559" s="32">
        <v>540</v>
      </c>
      <c r="BE559" s="32">
        <v>45</v>
      </c>
      <c r="BF559" s="32">
        <v>12</v>
      </c>
      <c r="BG559" s="34">
        <f t="shared" ca="1" si="196"/>
        <v>2064</v>
      </c>
      <c r="BH559" s="32" t="str">
        <f ca="1">IF(MOD(MONTH($D$14)+$BD559-1,12)=Paraméterek!$C$288,"Igen","")</f>
        <v/>
      </c>
      <c r="BI559" s="13">
        <f ca="1">IF($BH559="Igen",MIN(ROUNDDOWN((SUMIF($BG$20:$BG$1027,$BG559-1,$K$20:$K$1027)-SUMIF($BG$20:$BG$1027,$BG559-1,$I$20:$I$1027))*Paraméterek!$C$289,IF($D$4="Forint",0,2)),IF($D$4="Forint",Paraméterek!$C$285,Paraméterek!$D$285)),0)</f>
        <v>0</v>
      </c>
      <c r="BJ559" s="13">
        <f t="shared" ca="1" si="188"/>
        <v>0</v>
      </c>
      <c r="BK559" s="13">
        <f t="shared" ca="1" si="197"/>
        <v>0</v>
      </c>
      <c r="BL559" s="33"/>
      <c r="BM559" s="13">
        <f t="shared" ca="1" si="189"/>
        <v>0</v>
      </c>
      <c r="BN559" s="13">
        <f ca="1">ROUNDUP(($BK559+$BM559)*VLOOKUP($BE559,Paraméterek!$P$38:$Q$38,2)/12*IF($D560="Nem",IF($M$13=0,1,$M$13),1),IF($D$4="Forint",0,2))</f>
        <v>0</v>
      </c>
      <c r="BO559" s="13">
        <f t="shared" ca="1" si="190"/>
        <v>0</v>
      </c>
      <c r="BP559" s="13">
        <f ca="1">IF($D560="Nem",$BO559,$BO559-ROUNDUP(SUM($BI$20:$BI559)*120%,IF($D$4="Forint",0,2)))</f>
        <v>0</v>
      </c>
    </row>
    <row r="560" spans="1:68" x14ac:dyDescent="0.2">
      <c r="A560" s="32">
        <v>541</v>
      </c>
      <c r="B560" s="32">
        <v>46</v>
      </c>
      <c r="C560" s="32">
        <v>1</v>
      </c>
      <c r="D560" s="32" t="str">
        <f t="shared" ca="1" si="176"/>
        <v>Nem</v>
      </c>
      <c r="E560" s="13">
        <f t="shared" ca="1" si="177"/>
        <v>0</v>
      </c>
      <c r="F560" s="13"/>
      <c r="G560" s="13">
        <f>Tranzakciók!$D$77</f>
        <v>0</v>
      </c>
      <c r="H560" s="13"/>
      <c r="I560" s="13">
        <f t="shared" ca="1" si="178"/>
        <v>0</v>
      </c>
      <c r="J560" s="13">
        <f t="shared" ca="1" si="179"/>
        <v>0</v>
      </c>
      <c r="K560" s="13">
        <f t="shared" ca="1" si="180"/>
        <v>0</v>
      </c>
      <c r="L560" s="13" t="e">
        <f ca="1">ROUNDUP(IF($D$2="Egyszeri",$E560,IF($D$2="Havi",SUM($E$20:$E$31),IF(MOD($C560,$M$1)-1=0,SUM($E$20:$E$31),0))/12*$M$1)*VLOOKUP($B560,Paraméterek!$I$28:$P$31,IF($D$2="Egyszeri",8,HLOOKUP(ROUNDUP($M$11+$M$13,0),Paraméterek!$J$26:$O$27,2))),IF($D$4="Forint",0,2))</f>
        <v>#N/A</v>
      </c>
      <c r="M560" s="13">
        <f t="shared" ca="1" si="181"/>
        <v>0</v>
      </c>
      <c r="N560" s="13">
        <f t="shared" ca="1" si="191"/>
        <v>0</v>
      </c>
      <c r="O560" s="13">
        <f ca="1">IF($D560="Igen",IF($W559&gt;=IF($D$4="Forint",Paraméterek!$J$121,Paraméterek!$K$121),0,IF($D$4="Forint",Paraméterek!$J$121,Paraméterek!$K$121)-$W559),0)</f>
        <v>0</v>
      </c>
      <c r="P560" s="13" t="e">
        <f ca="1">ROUNDUP($O560*VLOOKUP($M$4+$B560-1,Paraméterek!$H$58:$I$105,2,0)/Paraméterek!$I$56,IF($D$4="Forint",0,2))</f>
        <v>#N/A</v>
      </c>
      <c r="Q560" s="13">
        <f t="shared" ca="1" si="182"/>
        <v>0</v>
      </c>
      <c r="R560" s="33"/>
      <c r="S560" s="13" t="e">
        <f t="shared" ca="1" si="183"/>
        <v>#N/A</v>
      </c>
      <c r="T560" s="13" t="e">
        <f ca="1">ROUNDUP(($N560-$P560-$Q560+$S560)*VLOOKUP($B560,Paraméterek!$I$38:$K$39,IF($D$2="Egyszeri",3,2))/12*IF($D561="Nem",IF($M$13=0,1,$M$13),1),IF($D$4="Forint",0,2))</f>
        <v>#N/A</v>
      </c>
      <c r="U560" s="13"/>
      <c r="V560" s="13"/>
      <c r="W560" s="13" t="e">
        <f ca="1">$N560-$P560-$Q560+$S560-$T560-IF(ROUNDUP(IF(ISBLANK($V560),$U560*0,$V560)/IF($D$2="Egyszeri",VLOOKUP($B560+IF($C560=12,1,0),Paraméterek!$V$257:$W$262,2),IF($B560=1,1,VLOOKUP($B560+IF($C560=12,1,0),Paraméterek!$I$258:$T$278,HLOOKUP($M$11+1,Paraméterek!$J$256:$T$257,2)))),IF($D$4="Forint",0,2))&gt;$N560-$P560-$Q560+$S560-$T560-IF($D$4="Forint",Paraméterek!$C$216,Paraméterek!$D$216),0,ROUNDUP(IF(ISBLANK($V560),$U560*0,$V560)/IF($D$2="Egyszeri",VLOOKUP($B560+IF($C560=12,1,0),Paraméterek!$V$257:$W$262,2),IF($B560=1,1,VLOOKUP($B560+IF($C560=12,1,0),Paraméterek!$I$258:$T$278,HLOOKUP($M$11+1,Paraméterek!$J$256:$T$257,2)))),IF($D$4="Forint",0,2)))</f>
        <v>#N/A</v>
      </c>
      <c r="X560" s="13" t="e">
        <f ca="1">ROUNDDOWN($W560*IF($D$2="Egyszeri",VLOOKUP($B560+IF($C560=12,1,0),Paraméterek!$V$257:$W$262,2),VLOOKUP($B560+IF($C560=12,1,0),Paraméterek!$I$258:$T$278,HLOOKUP($M$11+1,Paraméterek!$I$256:$T$257,2))),IF($D$4="Forint",0,2))</f>
        <v>#N/A</v>
      </c>
      <c r="Z560" s="32">
        <v>541</v>
      </c>
      <c r="AA560" s="32">
        <v>46</v>
      </c>
      <c r="AB560" s="32">
        <v>1</v>
      </c>
      <c r="AC560" s="13">
        <f t="shared" ca="1" si="192"/>
        <v>0</v>
      </c>
      <c r="AD560" s="33"/>
      <c r="AE560" s="13">
        <f t="shared" ca="1" si="184"/>
        <v>0</v>
      </c>
      <c r="AF560" s="13">
        <f ca="1">ROUNDUP(($AC560+$AE560)*VLOOKUP($AA560,Paraméterek!$P$38:$Q$38,2)/12*IF($D561="Nem",IF($M$13=0,1,$M$13),1),IF($D$4="Forint",0,2))</f>
        <v>0</v>
      </c>
      <c r="AG560" s="13">
        <f ca="1">IF($D$2="Egyszeri",IF($D$7&gt;=IF($D$4="Forint",Paraméterek!$P$223,Paraméterek!$P$224),$D$7-IF($D$4="Forint",Paraméterek!$P$223,Paraméterek!$P$224),0),MIN(IF($AB560=12,AVERAGEIF($E$20:$E560,"&gt;0",$E$20:$E560)*12,0),SUM($E$20:$E$31)))</f>
        <v>0</v>
      </c>
      <c r="AH560" s="13">
        <f>IF($AA560=10,$AG560*IF($AB560=12,IF($AG560&lt;IF($D$4="Forint",Paraméterek!$L$223,Paraméterek!$L$224),0,VLOOKUP($AA560,Paraméterek!$K$226:$M$228,IF($AG560&lt;IF($D$4="Forint",Paraméterek!$M$223,Paraméterek!$M$224),2,3))),0),0)</f>
        <v>0</v>
      </c>
      <c r="AI560" s="13">
        <f ca="1">IF(AND($AA560=$M$11+1,$AB560=$M$12+1),SUMIF($AA$20:$AA$1027,$AA560,$AG$20:$AG$1027)*IF(SUMIF($AA$20:$AA$1027,$AA560,$AG$20:$AG$1027)&lt;IF($D$4="Forint",Paraméterek!$L$223,Paraméterek!$L$224),0,VLOOKUP($AA560,Paraméterek!$K$230:$M$250,IF(SUMIF($AA$20:$AA$1027,$AA560,$AG$20:$AG$1027)&lt;IF($D$4="Forint",Paraméterek!$M$223,Paraméterek!$M$224),2,3))),0)</f>
        <v>0</v>
      </c>
      <c r="AJ560" s="13">
        <f ca="1">IF(AND($AA560&gt;=5,MOD($AA560,5)=0),IF($AB560=12,VLOOKUP($AA560,Paraméterek!$O$225:$P$240,2),0),IF(OR($AA560=3,$AA560=4),IF($AB560=12,VLOOKUP($AA560,Paraméterek!$O$225:$P$240,2,0),0),0))*$AG560</f>
        <v>0</v>
      </c>
      <c r="AK560" s="13">
        <f t="shared" ca="1" si="185"/>
        <v>0</v>
      </c>
      <c r="AL560" s="13">
        <f t="shared" ca="1" si="193"/>
        <v>0</v>
      </c>
      <c r="AM560" s="13">
        <f t="shared" ca="1" si="194"/>
        <v>0</v>
      </c>
      <c r="AO560" s="32">
        <v>541</v>
      </c>
      <c r="AP560" s="32">
        <v>46</v>
      </c>
      <c r="AQ560" s="32">
        <v>1</v>
      </c>
      <c r="AR560" s="13">
        <f>Tranzakciók!$K$77</f>
        <v>0</v>
      </c>
      <c r="AS560" s="32"/>
      <c r="AT560" s="13">
        <f t="shared" ca="1" si="195"/>
        <v>0</v>
      </c>
      <c r="AU560" s="33"/>
      <c r="AV560" s="13">
        <f t="shared" ca="1" si="186"/>
        <v>0</v>
      </c>
      <c r="AW560" s="13">
        <f ca="1">ROUNDUP(($AT560+$AV560)*VLOOKUP($AP560,Paraméterek!$P$38:$Q$38,2)/12*IF($D561="Nem",IF($M$13=0,1,$M$13),1),IF($D$4="Forint",0,2))</f>
        <v>0</v>
      </c>
      <c r="AX560" s="13"/>
      <c r="AY560" s="13"/>
      <c r="AZ560" s="13">
        <f>ROUNDUP(IF(SUM($AX560:$AY560)=0,0,IF(IF(ISBLANK($AY560),$AX560,$AY560)*Paraméterek!$J$112&lt;IF($D$4="Forint",Paraméterek!$J$113,Paraméterek!$K$113),IF($D$4="Forint",Paraméterek!$J$113,Paraméterek!$K$113),IF(IF(ISBLANK($AY560),$AX560,$AY560)*Paraméterek!$J$112&gt;IF($D$4="Forint",Paraméterek!$J$114,Paraméterek!$K$114),IF($D$4="Forint",Paraméterek!$J$114,Paraméterek!$K$114),IF(ISBLANK($AY560),$AX560,$AY560)*Paraméterek!$J$112))),IF($D$4="Forint",0,2))</f>
        <v>0</v>
      </c>
      <c r="BA560" s="13">
        <f ca="1">$AT560+$AV560-$AW560-IF(ROUNDDOWN(IF(ISBLANK($AY560),$AX560,$AY560),IF($D$4="Forint",0,2))&gt;$AT560+$AV560-$AW560-IF($D$4="Forint",Paraméterek!$J$114,Paraméterek!$K$114),0,ROUNDDOWN(IF(ISBLANK($AY560),$AX560,$AY560),IF($D$4="Forint",0,2))-$AZ560)</f>
        <v>0</v>
      </c>
      <c r="BB560" s="13">
        <f t="shared" ca="1" si="187"/>
        <v>0</v>
      </c>
      <c r="BD560" s="32">
        <v>541</v>
      </c>
      <c r="BE560" s="32">
        <v>46</v>
      </c>
      <c r="BF560" s="32">
        <v>1</v>
      </c>
      <c r="BG560" s="34">
        <f t="shared" ca="1" si="196"/>
        <v>2064</v>
      </c>
      <c r="BH560" s="32" t="str">
        <f ca="1">IF(MOD(MONTH($D$14)+$BD560-1,12)=Paraméterek!$C$288,"Igen","")</f>
        <v/>
      </c>
      <c r="BI560" s="13">
        <f ca="1">IF($BH560="Igen",MIN(ROUNDDOWN((SUMIF($BG$20:$BG$1027,$BG560-1,$K$20:$K$1027)-SUMIF($BG$20:$BG$1027,$BG560-1,$I$20:$I$1027))*Paraméterek!$C$289,IF($D$4="Forint",0,2)),IF($D$4="Forint",Paraméterek!$C$285,Paraméterek!$D$285)),0)</f>
        <v>0</v>
      </c>
      <c r="BJ560" s="13">
        <f t="shared" ca="1" si="188"/>
        <v>0</v>
      </c>
      <c r="BK560" s="13">
        <f t="shared" ca="1" si="197"/>
        <v>0</v>
      </c>
      <c r="BL560" s="33"/>
      <c r="BM560" s="13">
        <f t="shared" ca="1" si="189"/>
        <v>0</v>
      </c>
      <c r="BN560" s="13">
        <f ca="1">ROUNDUP(($BK560+$BM560)*VLOOKUP($BE560,Paraméterek!$P$38:$Q$38,2)/12*IF($D561="Nem",IF($M$13=0,1,$M$13),1),IF($D$4="Forint",0,2))</f>
        <v>0</v>
      </c>
      <c r="BO560" s="13">
        <f t="shared" ca="1" si="190"/>
        <v>0</v>
      </c>
      <c r="BP560" s="13">
        <f ca="1">IF($D561="Nem",$BO560,$BO560-ROUNDUP(SUM($BI$20:$BI560)*120%,IF($D$4="Forint",0,2)))</f>
        <v>0</v>
      </c>
    </row>
    <row r="561" spans="1:68" x14ac:dyDescent="0.2">
      <c r="A561" s="32">
        <v>542</v>
      </c>
      <c r="B561" s="32">
        <v>46</v>
      </c>
      <c r="C561" s="32">
        <v>2</v>
      </c>
      <c r="D561" s="32" t="str">
        <f t="shared" ca="1" si="176"/>
        <v>Nem</v>
      </c>
      <c r="E561" s="13">
        <f t="shared" ca="1" si="177"/>
        <v>0</v>
      </c>
      <c r="F561" s="13"/>
      <c r="G561" s="13"/>
      <c r="H561" s="13"/>
      <c r="I561" s="13">
        <f t="shared" ca="1" si="178"/>
        <v>0</v>
      </c>
      <c r="J561" s="13">
        <f t="shared" ca="1" si="179"/>
        <v>0</v>
      </c>
      <c r="K561" s="13">
        <f t="shared" ca="1" si="180"/>
        <v>0</v>
      </c>
      <c r="L561" s="13" t="e">
        <f ca="1">ROUNDUP(IF($D$2="Egyszeri",$E561,IF($D$2="Havi",SUM($E$20:$E$31),IF(MOD($C561,$M$1)-1=0,SUM($E$20:$E$31),0))/12*$M$1)*VLOOKUP($B561,Paraméterek!$I$28:$P$31,IF($D$2="Egyszeri",8,HLOOKUP(ROUNDUP($M$11+$M$13,0),Paraméterek!$J$26:$O$27,2))),IF($D$4="Forint",0,2))</f>
        <v>#N/A</v>
      </c>
      <c r="M561" s="13">
        <f t="shared" ca="1" si="181"/>
        <v>0</v>
      </c>
      <c r="N561" s="13">
        <f t="shared" ca="1" si="191"/>
        <v>0</v>
      </c>
      <c r="O561" s="13">
        <f ca="1">IF($D561="Igen",IF($W560&gt;=IF($D$4="Forint",Paraméterek!$J$121,Paraméterek!$K$121),0,IF($D$4="Forint",Paraméterek!$J$121,Paraméterek!$K$121)-$W560),0)</f>
        <v>0</v>
      </c>
      <c r="P561" s="13" t="e">
        <f ca="1">ROUNDUP($O561*VLOOKUP($M$4+$B561-1,Paraméterek!$H$58:$I$105,2,0)/Paraméterek!$I$56,IF($D$4="Forint",0,2))</f>
        <v>#N/A</v>
      </c>
      <c r="Q561" s="13">
        <f t="shared" ca="1" si="182"/>
        <v>0</v>
      </c>
      <c r="R561" s="33"/>
      <c r="S561" s="13" t="e">
        <f t="shared" ca="1" si="183"/>
        <v>#N/A</v>
      </c>
      <c r="T561" s="13" t="e">
        <f ca="1">ROUNDUP(($N561-$P561-$Q561+$S561)*VLOOKUP($B561,Paraméterek!$I$38:$K$39,IF($D$2="Egyszeri",3,2))/12*IF($D562="Nem",IF($M$13=0,1,$M$13),1),IF($D$4="Forint",0,2))</f>
        <v>#N/A</v>
      </c>
      <c r="U561" s="13"/>
      <c r="V561" s="13"/>
      <c r="W561" s="13" t="e">
        <f ca="1">$N561-$P561-$Q561+$S561-$T561-IF(ROUNDUP(IF(ISBLANK($V561),$U561*0,$V561)/IF($D$2="Egyszeri",VLOOKUP($B561+IF($C561=12,1,0),Paraméterek!$V$257:$W$262,2),IF($B561=1,1,VLOOKUP($B561+IF($C561=12,1,0),Paraméterek!$I$258:$T$278,HLOOKUP($M$11+1,Paraméterek!$J$256:$T$257,2)))),IF($D$4="Forint",0,2))&gt;$N561-$P561-$Q561+$S561-$T561-IF($D$4="Forint",Paraméterek!$C$216,Paraméterek!$D$216),0,ROUNDUP(IF(ISBLANK($V561),$U561*0,$V561)/IF($D$2="Egyszeri",VLOOKUP($B561+IF($C561=12,1,0),Paraméterek!$V$257:$W$262,2),IF($B561=1,1,VLOOKUP($B561+IF($C561=12,1,0),Paraméterek!$I$258:$T$278,HLOOKUP($M$11+1,Paraméterek!$J$256:$T$257,2)))),IF($D$4="Forint",0,2)))</f>
        <v>#N/A</v>
      </c>
      <c r="X561" s="13" t="e">
        <f ca="1">ROUNDDOWN($W561*IF($D$2="Egyszeri",VLOOKUP($B561+IF($C561=12,1,0),Paraméterek!$V$257:$W$262,2),VLOOKUP($B561+IF($C561=12,1,0),Paraméterek!$I$258:$T$278,HLOOKUP($M$11+1,Paraméterek!$I$256:$T$257,2))),IF($D$4="Forint",0,2))</f>
        <v>#N/A</v>
      </c>
      <c r="Z561" s="32">
        <v>542</v>
      </c>
      <c r="AA561" s="32">
        <v>46</v>
      </c>
      <c r="AB561" s="32">
        <v>2</v>
      </c>
      <c r="AC561" s="13">
        <f t="shared" ca="1" si="192"/>
        <v>0</v>
      </c>
      <c r="AD561" s="33"/>
      <c r="AE561" s="13">
        <f t="shared" ca="1" si="184"/>
        <v>0</v>
      </c>
      <c r="AF561" s="13">
        <f ca="1">ROUNDUP(($AC561+$AE561)*VLOOKUP($AA561,Paraméterek!$P$38:$Q$38,2)/12*IF($D562="Nem",IF($M$13=0,1,$M$13),1),IF($D$4="Forint",0,2))</f>
        <v>0</v>
      </c>
      <c r="AG561" s="13">
        <f ca="1">IF($D$2="Egyszeri",IF($D$7&gt;=IF($D$4="Forint",Paraméterek!$P$223,Paraméterek!$P$224),$D$7-IF($D$4="Forint",Paraméterek!$P$223,Paraméterek!$P$224),0),MIN(IF($AB561=12,AVERAGEIF($E$20:$E561,"&gt;0",$E$20:$E561)*12,0),SUM($E$20:$E$31)))</f>
        <v>0</v>
      </c>
      <c r="AH561" s="13">
        <f>IF($AA561=10,$AG561*IF($AB561=12,IF($AG561&lt;IF($D$4="Forint",Paraméterek!$L$223,Paraméterek!$L$224),0,VLOOKUP($AA561,Paraméterek!$K$226:$M$228,IF($AG561&lt;IF($D$4="Forint",Paraméterek!$M$223,Paraméterek!$M$224),2,3))),0),0)</f>
        <v>0</v>
      </c>
      <c r="AI561" s="13">
        <f ca="1">IF(AND($AA561=$M$11+1,$AB561=$M$12+1),SUMIF($AA$20:$AA$1027,$AA561,$AG$20:$AG$1027)*IF(SUMIF($AA$20:$AA$1027,$AA561,$AG$20:$AG$1027)&lt;IF($D$4="Forint",Paraméterek!$L$223,Paraméterek!$L$224),0,VLOOKUP($AA561,Paraméterek!$K$230:$M$250,IF(SUMIF($AA$20:$AA$1027,$AA561,$AG$20:$AG$1027)&lt;IF($D$4="Forint",Paraméterek!$M$223,Paraméterek!$M$224),2,3))),0)</f>
        <v>0</v>
      </c>
      <c r="AJ561" s="13">
        <f ca="1">IF(AND($AA561&gt;=5,MOD($AA561,5)=0),IF($AB561=12,VLOOKUP($AA561,Paraméterek!$O$225:$P$240,2),0),IF(OR($AA561=3,$AA561=4),IF($AB561=12,VLOOKUP($AA561,Paraméterek!$O$225:$P$240,2,0),0),0))*$AG561</f>
        <v>0</v>
      </c>
      <c r="AK561" s="13">
        <f t="shared" ca="1" si="185"/>
        <v>0</v>
      </c>
      <c r="AL561" s="13">
        <f t="shared" ca="1" si="193"/>
        <v>0</v>
      </c>
      <c r="AM561" s="13">
        <f t="shared" ca="1" si="194"/>
        <v>0</v>
      </c>
      <c r="AO561" s="32">
        <v>542</v>
      </c>
      <c r="AP561" s="32">
        <v>46</v>
      </c>
      <c r="AQ561" s="32">
        <v>2</v>
      </c>
      <c r="AR561" s="13"/>
      <c r="AS561" s="32"/>
      <c r="AT561" s="13">
        <f t="shared" ca="1" si="195"/>
        <v>0</v>
      </c>
      <c r="AU561" s="33"/>
      <c r="AV561" s="13">
        <f t="shared" ca="1" si="186"/>
        <v>0</v>
      </c>
      <c r="AW561" s="13">
        <f ca="1">ROUNDUP(($AT561+$AV561)*VLOOKUP($AP561,Paraméterek!$P$38:$Q$38,2)/12*IF($D562="Nem",IF($M$13=0,1,$M$13),1),IF($D$4="Forint",0,2))</f>
        <v>0</v>
      </c>
      <c r="AX561" s="13"/>
      <c r="AY561" s="13"/>
      <c r="AZ561" s="13">
        <f>ROUNDUP(IF(SUM($AX561:$AY561)=0,0,IF(IF(ISBLANK($AY561),$AX561,$AY561)*Paraméterek!$J$112&lt;IF($D$4="Forint",Paraméterek!$J$113,Paraméterek!$K$113),IF($D$4="Forint",Paraméterek!$J$113,Paraméterek!$K$113),IF(IF(ISBLANK($AY561),$AX561,$AY561)*Paraméterek!$J$112&gt;IF($D$4="Forint",Paraméterek!$J$114,Paraméterek!$K$114),IF($D$4="Forint",Paraméterek!$J$114,Paraméterek!$K$114),IF(ISBLANK($AY561),$AX561,$AY561)*Paraméterek!$J$112))),IF($D$4="Forint",0,2))</f>
        <v>0</v>
      </c>
      <c r="BA561" s="13">
        <f ca="1">$AT561+$AV561-$AW561-IF(ROUNDDOWN(IF(ISBLANK($AY561),$AX561,$AY561),IF($D$4="Forint",0,2))&gt;$AT561+$AV561-$AW561-IF($D$4="Forint",Paraméterek!$J$114,Paraméterek!$K$114),0,ROUNDDOWN(IF(ISBLANK($AY561),$AX561,$AY561),IF($D$4="Forint",0,2))-$AZ561)</f>
        <v>0</v>
      </c>
      <c r="BB561" s="13">
        <f t="shared" ca="1" si="187"/>
        <v>0</v>
      </c>
      <c r="BD561" s="32">
        <v>542</v>
      </c>
      <c r="BE561" s="32">
        <v>46</v>
      </c>
      <c r="BF561" s="32">
        <v>2</v>
      </c>
      <c r="BG561" s="34">
        <f t="shared" ca="1" si="196"/>
        <v>2064</v>
      </c>
      <c r="BH561" s="32" t="str">
        <f ca="1">IF(MOD(MONTH($D$14)+$BD561-1,12)=Paraméterek!$C$288,"Igen","")</f>
        <v>Igen</v>
      </c>
      <c r="BI561" s="13">
        <f ca="1">IF($BH561="Igen",MIN(ROUNDDOWN((SUMIF($BG$20:$BG$1027,$BG561-1,$K$20:$K$1027)-SUMIF($BG$20:$BG$1027,$BG561-1,$I$20:$I$1027))*Paraméterek!$C$289,IF($D$4="Forint",0,2)),IF($D$4="Forint",Paraméterek!$C$285,Paraméterek!$D$285)),0)</f>
        <v>0</v>
      </c>
      <c r="BJ561" s="13">
        <f t="shared" ca="1" si="188"/>
        <v>0</v>
      </c>
      <c r="BK561" s="13">
        <f t="shared" ca="1" si="197"/>
        <v>0</v>
      </c>
      <c r="BL561" s="33"/>
      <c r="BM561" s="13">
        <f t="shared" ca="1" si="189"/>
        <v>0</v>
      </c>
      <c r="BN561" s="13">
        <f ca="1">ROUNDUP(($BK561+$BM561)*VLOOKUP($BE561,Paraméterek!$P$38:$Q$38,2)/12*IF($D562="Nem",IF($M$13=0,1,$M$13),1),IF($D$4="Forint",0,2))</f>
        <v>0</v>
      </c>
      <c r="BO561" s="13">
        <f t="shared" ca="1" si="190"/>
        <v>0</v>
      </c>
      <c r="BP561" s="13">
        <f ca="1">IF($D562="Nem",$BO561,$BO561-ROUNDUP(SUM($BI$20:$BI561)*120%,IF($D$4="Forint",0,2)))</f>
        <v>0</v>
      </c>
    </row>
    <row r="562" spans="1:68" x14ac:dyDescent="0.2">
      <c r="A562" s="32">
        <v>543</v>
      </c>
      <c r="B562" s="32">
        <v>46</v>
      </c>
      <c r="C562" s="32">
        <v>3</v>
      </c>
      <c r="D562" s="32" t="str">
        <f t="shared" ca="1" si="176"/>
        <v>Nem</v>
      </c>
      <c r="E562" s="13">
        <f t="shared" ca="1" si="177"/>
        <v>0</v>
      </c>
      <c r="F562" s="13"/>
      <c r="G562" s="13"/>
      <c r="H562" s="13"/>
      <c r="I562" s="13">
        <f t="shared" ca="1" si="178"/>
        <v>0</v>
      </c>
      <c r="J562" s="13">
        <f t="shared" ca="1" si="179"/>
        <v>0</v>
      </c>
      <c r="K562" s="13">
        <f t="shared" ca="1" si="180"/>
        <v>0</v>
      </c>
      <c r="L562" s="13" t="e">
        <f ca="1">ROUNDUP(IF($D$2="Egyszeri",$E562,IF($D$2="Havi",SUM($E$20:$E$31),IF(MOD($C562,$M$1)-1=0,SUM($E$20:$E$31),0))/12*$M$1)*VLOOKUP($B562,Paraméterek!$I$28:$P$31,IF($D$2="Egyszeri",8,HLOOKUP(ROUNDUP($M$11+$M$13,0),Paraméterek!$J$26:$O$27,2))),IF($D$4="Forint",0,2))</f>
        <v>#N/A</v>
      </c>
      <c r="M562" s="13">
        <f t="shared" ca="1" si="181"/>
        <v>0</v>
      </c>
      <c r="N562" s="13">
        <f t="shared" ca="1" si="191"/>
        <v>0</v>
      </c>
      <c r="O562" s="13">
        <f ca="1">IF($D562="Igen",IF($W561&gt;=IF($D$4="Forint",Paraméterek!$J$121,Paraméterek!$K$121),0,IF($D$4="Forint",Paraméterek!$J$121,Paraméterek!$K$121)-$W561),0)</f>
        <v>0</v>
      </c>
      <c r="P562" s="13" t="e">
        <f ca="1">ROUNDUP($O562*VLOOKUP($M$4+$B562-1,Paraméterek!$H$58:$I$105,2,0)/Paraméterek!$I$56,IF($D$4="Forint",0,2))</f>
        <v>#N/A</v>
      </c>
      <c r="Q562" s="13">
        <f t="shared" ca="1" si="182"/>
        <v>0</v>
      </c>
      <c r="R562" s="33"/>
      <c r="S562" s="13" t="e">
        <f t="shared" ca="1" si="183"/>
        <v>#N/A</v>
      </c>
      <c r="T562" s="13" t="e">
        <f ca="1">ROUNDUP(($N562-$P562-$Q562+$S562)*VLOOKUP($B562,Paraméterek!$I$38:$K$39,IF($D$2="Egyszeri",3,2))/12*IF($D563="Nem",IF($M$13=0,1,$M$13),1),IF($D$4="Forint",0,2))</f>
        <v>#N/A</v>
      </c>
      <c r="U562" s="13"/>
      <c r="V562" s="13"/>
      <c r="W562" s="13" t="e">
        <f ca="1">$N562-$P562-$Q562+$S562-$T562-IF(ROUNDUP(IF(ISBLANK($V562),$U562*0,$V562)/IF($D$2="Egyszeri",VLOOKUP($B562+IF($C562=12,1,0),Paraméterek!$V$257:$W$262,2),IF($B562=1,1,VLOOKUP($B562+IF($C562=12,1,0),Paraméterek!$I$258:$T$278,HLOOKUP($M$11+1,Paraméterek!$J$256:$T$257,2)))),IF($D$4="Forint",0,2))&gt;$N562-$P562-$Q562+$S562-$T562-IF($D$4="Forint",Paraméterek!$C$216,Paraméterek!$D$216),0,ROUNDUP(IF(ISBLANK($V562),$U562*0,$V562)/IF($D$2="Egyszeri",VLOOKUP($B562+IF($C562=12,1,0),Paraméterek!$V$257:$W$262,2),IF($B562=1,1,VLOOKUP($B562+IF($C562=12,1,0),Paraméterek!$I$258:$T$278,HLOOKUP($M$11+1,Paraméterek!$J$256:$T$257,2)))),IF($D$4="Forint",0,2)))</f>
        <v>#N/A</v>
      </c>
      <c r="X562" s="13" t="e">
        <f ca="1">ROUNDDOWN($W562*IF($D$2="Egyszeri",VLOOKUP($B562+IF($C562=12,1,0),Paraméterek!$V$257:$W$262,2),VLOOKUP($B562+IF($C562=12,1,0),Paraméterek!$I$258:$T$278,HLOOKUP($M$11+1,Paraméterek!$I$256:$T$257,2))),IF($D$4="Forint",0,2))</f>
        <v>#N/A</v>
      </c>
      <c r="Z562" s="32">
        <v>543</v>
      </c>
      <c r="AA562" s="32">
        <v>46</v>
      </c>
      <c r="AB562" s="32">
        <v>3</v>
      </c>
      <c r="AC562" s="13">
        <f t="shared" ca="1" si="192"/>
        <v>0</v>
      </c>
      <c r="AD562" s="33"/>
      <c r="AE562" s="13">
        <f t="shared" ca="1" si="184"/>
        <v>0</v>
      </c>
      <c r="AF562" s="13">
        <f ca="1">ROUNDUP(($AC562+$AE562)*VLOOKUP($AA562,Paraméterek!$P$38:$Q$38,2)/12*IF($D563="Nem",IF($M$13=0,1,$M$13),1),IF($D$4="Forint",0,2))</f>
        <v>0</v>
      </c>
      <c r="AG562" s="13">
        <f ca="1">IF($D$2="Egyszeri",IF($D$7&gt;=IF($D$4="Forint",Paraméterek!$P$223,Paraméterek!$P$224),$D$7-IF($D$4="Forint",Paraméterek!$P$223,Paraméterek!$P$224),0),MIN(IF($AB562=12,AVERAGEIF($E$20:$E562,"&gt;0",$E$20:$E562)*12,0),SUM($E$20:$E$31)))</f>
        <v>0</v>
      </c>
      <c r="AH562" s="13">
        <f>IF($AA562=10,$AG562*IF($AB562=12,IF($AG562&lt;IF($D$4="Forint",Paraméterek!$L$223,Paraméterek!$L$224),0,VLOOKUP($AA562,Paraméterek!$K$226:$M$228,IF($AG562&lt;IF($D$4="Forint",Paraméterek!$M$223,Paraméterek!$M$224),2,3))),0),0)</f>
        <v>0</v>
      </c>
      <c r="AI562" s="13">
        <f ca="1">IF(AND($AA562=$M$11+1,$AB562=$M$12+1),SUMIF($AA$20:$AA$1027,$AA562,$AG$20:$AG$1027)*IF(SUMIF($AA$20:$AA$1027,$AA562,$AG$20:$AG$1027)&lt;IF($D$4="Forint",Paraméterek!$L$223,Paraméterek!$L$224),0,VLOOKUP($AA562,Paraméterek!$K$230:$M$250,IF(SUMIF($AA$20:$AA$1027,$AA562,$AG$20:$AG$1027)&lt;IF($D$4="Forint",Paraméterek!$M$223,Paraméterek!$M$224),2,3))),0)</f>
        <v>0</v>
      </c>
      <c r="AJ562" s="13">
        <f ca="1">IF(AND($AA562&gt;=5,MOD($AA562,5)=0),IF($AB562=12,VLOOKUP($AA562,Paraméterek!$O$225:$P$240,2),0),IF(OR($AA562=3,$AA562=4),IF($AB562=12,VLOOKUP($AA562,Paraméterek!$O$225:$P$240,2,0),0),0))*$AG562</f>
        <v>0</v>
      </c>
      <c r="AK562" s="13">
        <f t="shared" ca="1" si="185"/>
        <v>0</v>
      </c>
      <c r="AL562" s="13">
        <f t="shared" ca="1" si="193"/>
        <v>0</v>
      </c>
      <c r="AM562" s="13">
        <f t="shared" ca="1" si="194"/>
        <v>0</v>
      </c>
      <c r="AO562" s="32">
        <v>543</v>
      </c>
      <c r="AP562" s="32">
        <v>46</v>
      </c>
      <c r="AQ562" s="32">
        <v>3</v>
      </c>
      <c r="AR562" s="13"/>
      <c r="AS562" s="32"/>
      <c r="AT562" s="13">
        <f t="shared" ca="1" si="195"/>
        <v>0</v>
      </c>
      <c r="AU562" s="33"/>
      <c r="AV562" s="13">
        <f t="shared" ca="1" si="186"/>
        <v>0</v>
      </c>
      <c r="AW562" s="13">
        <f ca="1">ROUNDUP(($AT562+$AV562)*VLOOKUP($AP562,Paraméterek!$P$38:$Q$38,2)/12*IF($D563="Nem",IF($M$13=0,1,$M$13),1),IF($D$4="Forint",0,2))</f>
        <v>0</v>
      </c>
      <c r="AX562" s="13"/>
      <c r="AY562" s="13"/>
      <c r="AZ562" s="13">
        <f>ROUNDUP(IF(SUM($AX562:$AY562)=0,0,IF(IF(ISBLANK($AY562),$AX562,$AY562)*Paraméterek!$J$112&lt;IF($D$4="Forint",Paraméterek!$J$113,Paraméterek!$K$113),IF($D$4="Forint",Paraméterek!$J$113,Paraméterek!$K$113),IF(IF(ISBLANK($AY562),$AX562,$AY562)*Paraméterek!$J$112&gt;IF($D$4="Forint",Paraméterek!$J$114,Paraméterek!$K$114),IF($D$4="Forint",Paraméterek!$J$114,Paraméterek!$K$114),IF(ISBLANK($AY562),$AX562,$AY562)*Paraméterek!$J$112))),IF($D$4="Forint",0,2))</f>
        <v>0</v>
      </c>
      <c r="BA562" s="13">
        <f ca="1">$AT562+$AV562-$AW562-IF(ROUNDDOWN(IF(ISBLANK($AY562),$AX562,$AY562),IF($D$4="Forint",0,2))&gt;$AT562+$AV562-$AW562-IF($D$4="Forint",Paraméterek!$J$114,Paraméterek!$K$114),0,ROUNDDOWN(IF(ISBLANK($AY562),$AX562,$AY562),IF($D$4="Forint",0,2))-$AZ562)</f>
        <v>0</v>
      </c>
      <c r="BB562" s="13">
        <f t="shared" ca="1" si="187"/>
        <v>0</v>
      </c>
      <c r="BD562" s="32">
        <v>543</v>
      </c>
      <c r="BE562" s="32">
        <v>46</v>
      </c>
      <c r="BF562" s="32">
        <v>3</v>
      </c>
      <c r="BG562" s="34">
        <f t="shared" ca="1" si="196"/>
        <v>2064</v>
      </c>
      <c r="BH562" s="32" t="str">
        <f ca="1">IF(MOD(MONTH($D$14)+$BD562-1,12)=Paraméterek!$C$288,"Igen","")</f>
        <v/>
      </c>
      <c r="BI562" s="13">
        <f ca="1">IF($BH562="Igen",MIN(ROUNDDOWN((SUMIF($BG$20:$BG$1027,$BG562-1,$K$20:$K$1027)-SUMIF($BG$20:$BG$1027,$BG562-1,$I$20:$I$1027))*Paraméterek!$C$289,IF($D$4="Forint",0,2)),IF($D$4="Forint",Paraméterek!$C$285,Paraméterek!$D$285)),0)</f>
        <v>0</v>
      </c>
      <c r="BJ562" s="13">
        <f t="shared" ca="1" si="188"/>
        <v>0</v>
      </c>
      <c r="BK562" s="13">
        <f t="shared" ca="1" si="197"/>
        <v>0</v>
      </c>
      <c r="BL562" s="33"/>
      <c r="BM562" s="13">
        <f t="shared" ca="1" si="189"/>
        <v>0</v>
      </c>
      <c r="BN562" s="13">
        <f ca="1">ROUNDUP(($BK562+$BM562)*VLOOKUP($BE562,Paraméterek!$P$38:$Q$38,2)/12*IF($D563="Nem",IF($M$13=0,1,$M$13),1),IF($D$4="Forint",0,2))</f>
        <v>0</v>
      </c>
      <c r="BO562" s="13">
        <f t="shared" ca="1" si="190"/>
        <v>0</v>
      </c>
      <c r="BP562" s="13">
        <f ca="1">IF($D563="Nem",$BO562,$BO562-ROUNDUP(SUM($BI$20:$BI562)*120%,IF($D$4="Forint",0,2)))</f>
        <v>0</v>
      </c>
    </row>
    <row r="563" spans="1:68" x14ac:dyDescent="0.2">
      <c r="A563" s="32">
        <v>544</v>
      </c>
      <c r="B563" s="32">
        <v>46</v>
      </c>
      <c r="C563" s="32">
        <v>4</v>
      </c>
      <c r="D563" s="32" t="str">
        <f t="shared" ca="1" si="176"/>
        <v>Nem</v>
      </c>
      <c r="E563" s="13">
        <f t="shared" ca="1" si="177"/>
        <v>0</v>
      </c>
      <c r="F563" s="13"/>
      <c r="G563" s="13"/>
      <c r="H563" s="13"/>
      <c r="I563" s="13">
        <f t="shared" ca="1" si="178"/>
        <v>0</v>
      </c>
      <c r="J563" s="13">
        <f t="shared" ca="1" si="179"/>
        <v>0</v>
      </c>
      <c r="K563" s="13">
        <f t="shared" ca="1" si="180"/>
        <v>0</v>
      </c>
      <c r="L563" s="13" t="e">
        <f ca="1">ROUNDUP(IF($D$2="Egyszeri",$E563,IF($D$2="Havi",SUM($E$20:$E$31),IF(MOD($C563,$M$1)-1=0,SUM($E$20:$E$31),0))/12*$M$1)*VLOOKUP($B563,Paraméterek!$I$28:$P$31,IF($D$2="Egyszeri",8,HLOOKUP(ROUNDUP($M$11+$M$13,0),Paraméterek!$J$26:$O$27,2))),IF($D$4="Forint",0,2))</f>
        <v>#N/A</v>
      </c>
      <c r="M563" s="13">
        <f t="shared" ca="1" si="181"/>
        <v>0</v>
      </c>
      <c r="N563" s="13">
        <f t="shared" ca="1" si="191"/>
        <v>0</v>
      </c>
      <c r="O563" s="13">
        <f ca="1">IF($D563="Igen",IF($W562&gt;=IF($D$4="Forint",Paraméterek!$J$121,Paraméterek!$K$121),0,IF($D$4="Forint",Paraméterek!$J$121,Paraméterek!$K$121)-$W562),0)</f>
        <v>0</v>
      </c>
      <c r="P563" s="13" t="e">
        <f ca="1">ROUNDUP($O563*VLOOKUP($M$4+$B563-1,Paraméterek!$H$58:$I$105,2,0)/Paraméterek!$I$56,IF($D$4="Forint",0,2))</f>
        <v>#N/A</v>
      </c>
      <c r="Q563" s="13">
        <f t="shared" ca="1" si="182"/>
        <v>0</v>
      </c>
      <c r="R563" s="33"/>
      <c r="S563" s="13" t="e">
        <f t="shared" ca="1" si="183"/>
        <v>#N/A</v>
      </c>
      <c r="T563" s="13" t="e">
        <f ca="1">ROUNDUP(($N563-$P563-$Q563+$S563)*VLOOKUP($B563,Paraméterek!$I$38:$K$39,IF($D$2="Egyszeri",3,2))/12*IF($D564="Nem",IF($M$13=0,1,$M$13),1),IF($D$4="Forint",0,2))</f>
        <v>#N/A</v>
      </c>
      <c r="U563" s="13"/>
      <c r="V563" s="13"/>
      <c r="W563" s="13" t="e">
        <f ca="1">$N563-$P563-$Q563+$S563-$T563-IF(ROUNDUP(IF(ISBLANK($V563),$U563*0,$V563)/IF($D$2="Egyszeri",VLOOKUP($B563+IF($C563=12,1,0),Paraméterek!$V$257:$W$262,2),IF($B563=1,1,VLOOKUP($B563+IF($C563=12,1,0),Paraméterek!$I$258:$T$278,HLOOKUP($M$11+1,Paraméterek!$J$256:$T$257,2)))),IF($D$4="Forint",0,2))&gt;$N563-$P563-$Q563+$S563-$T563-IF($D$4="Forint",Paraméterek!$C$216,Paraméterek!$D$216),0,ROUNDUP(IF(ISBLANK($V563),$U563*0,$V563)/IF($D$2="Egyszeri",VLOOKUP($B563+IF($C563=12,1,0),Paraméterek!$V$257:$W$262,2),IF($B563=1,1,VLOOKUP($B563+IF($C563=12,1,0),Paraméterek!$I$258:$T$278,HLOOKUP($M$11+1,Paraméterek!$J$256:$T$257,2)))),IF($D$4="Forint",0,2)))</f>
        <v>#N/A</v>
      </c>
      <c r="X563" s="13" t="e">
        <f ca="1">ROUNDDOWN($W563*IF($D$2="Egyszeri",VLOOKUP($B563+IF($C563=12,1,0),Paraméterek!$V$257:$W$262,2),VLOOKUP($B563+IF($C563=12,1,0),Paraméterek!$I$258:$T$278,HLOOKUP($M$11+1,Paraméterek!$I$256:$T$257,2))),IF($D$4="Forint",0,2))</f>
        <v>#N/A</v>
      </c>
      <c r="Z563" s="32">
        <v>544</v>
      </c>
      <c r="AA563" s="32">
        <v>46</v>
      </c>
      <c r="AB563" s="32">
        <v>4</v>
      </c>
      <c r="AC563" s="13">
        <f t="shared" ca="1" si="192"/>
        <v>0</v>
      </c>
      <c r="AD563" s="33"/>
      <c r="AE563" s="13">
        <f t="shared" ca="1" si="184"/>
        <v>0</v>
      </c>
      <c r="AF563" s="13">
        <f ca="1">ROUNDUP(($AC563+$AE563)*VLOOKUP($AA563,Paraméterek!$P$38:$Q$38,2)/12*IF($D564="Nem",IF($M$13=0,1,$M$13),1),IF($D$4="Forint",0,2))</f>
        <v>0</v>
      </c>
      <c r="AG563" s="13">
        <f ca="1">IF($D$2="Egyszeri",IF($D$7&gt;=IF($D$4="Forint",Paraméterek!$P$223,Paraméterek!$P$224),$D$7-IF($D$4="Forint",Paraméterek!$P$223,Paraméterek!$P$224),0),MIN(IF($AB563=12,AVERAGEIF($E$20:$E563,"&gt;0",$E$20:$E563)*12,0),SUM($E$20:$E$31)))</f>
        <v>0</v>
      </c>
      <c r="AH563" s="13">
        <f>IF($AA563=10,$AG563*IF($AB563=12,IF($AG563&lt;IF($D$4="Forint",Paraméterek!$L$223,Paraméterek!$L$224),0,VLOOKUP($AA563,Paraméterek!$K$226:$M$228,IF($AG563&lt;IF($D$4="Forint",Paraméterek!$M$223,Paraméterek!$M$224),2,3))),0),0)</f>
        <v>0</v>
      </c>
      <c r="AI563" s="13">
        <f ca="1">IF(AND($AA563=$M$11+1,$AB563=$M$12+1),SUMIF($AA$20:$AA$1027,$AA563,$AG$20:$AG$1027)*IF(SUMIF($AA$20:$AA$1027,$AA563,$AG$20:$AG$1027)&lt;IF($D$4="Forint",Paraméterek!$L$223,Paraméterek!$L$224),0,VLOOKUP($AA563,Paraméterek!$K$230:$M$250,IF(SUMIF($AA$20:$AA$1027,$AA563,$AG$20:$AG$1027)&lt;IF($D$4="Forint",Paraméterek!$M$223,Paraméterek!$M$224),2,3))),0)</f>
        <v>0</v>
      </c>
      <c r="AJ563" s="13">
        <f ca="1">IF(AND($AA563&gt;=5,MOD($AA563,5)=0),IF($AB563=12,VLOOKUP($AA563,Paraméterek!$O$225:$P$240,2),0),IF(OR($AA563=3,$AA563=4),IF($AB563=12,VLOOKUP($AA563,Paraméterek!$O$225:$P$240,2,0),0),0))*$AG563</f>
        <v>0</v>
      </c>
      <c r="AK563" s="13">
        <f t="shared" ca="1" si="185"/>
        <v>0</v>
      </c>
      <c r="AL563" s="13">
        <f t="shared" ca="1" si="193"/>
        <v>0</v>
      </c>
      <c r="AM563" s="13">
        <f t="shared" ca="1" si="194"/>
        <v>0</v>
      </c>
      <c r="AO563" s="32">
        <v>544</v>
      </c>
      <c r="AP563" s="32">
        <v>46</v>
      </c>
      <c r="AQ563" s="32">
        <v>4</v>
      </c>
      <c r="AR563" s="13"/>
      <c r="AS563" s="32"/>
      <c r="AT563" s="13">
        <f t="shared" ca="1" si="195"/>
        <v>0</v>
      </c>
      <c r="AU563" s="33"/>
      <c r="AV563" s="13">
        <f t="shared" ca="1" si="186"/>
        <v>0</v>
      </c>
      <c r="AW563" s="13">
        <f ca="1">ROUNDUP(($AT563+$AV563)*VLOOKUP($AP563,Paraméterek!$P$38:$Q$38,2)/12*IF($D564="Nem",IF($M$13=0,1,$M$13),1),IF($D$4="Forint",0,2))</f>
        <v>0</v>
      </c>
      <c r="AX563" s="13"/>
      <c r="AY563" s="13"/>
      <c r="AZ563" s="13">
        <f>ROUNDUP(IF(SUM($AX563:$AY563)=0,0,IF(IF(ISBLANK($AY563),$AX563,$AY563)*Paraméterek!$J$112&lt;IF($D$4="Forint",Paraméterek!$J$113,Paraméterek!$K$113),IF($D$4="Forint",Paraméterek!$J$113,Paraméterek!$K$113),IF(IF(ISBLANK($AY563),$AX563,$AY563)*Paraméterek!$J$112&gt;IF($D$4="Forint",Paraméterek!$J$114,Paraméterek!$K$114),IF($D$4="Forint",Paraméterek!$J$114,Paraméterek!$K$114),IF(ISBLANK($AY563),$AX563,$AY563)*Paraméterek!$J$112))),IF($D$4="Forint",0,2))</f>
        <v>0</v>
      </c>
      <c r="BA563" s="13">
        <f ca="1">$AT563+$AV563-$AW563-IF(ROUNDDOWN(IF(ISBLANK($AY563),$AX563,$AY563),IF($D$4="Forint",0,2))&gt;$AT563+$AV563-$AW563-IF($D$4="Forint",Paraméterek!$J$114,Paraméterek!$K$114),0,ROUNDDOWN(IF(ISBLANK($AY563),$AX563,$AY563),IF($D$4="Forint",0,2))-$AZ563)</f>
        <v>0</v>
      </c>
      <c r="BB563" s="13">
        <f t="shared" ca="1" si="187"/>
        <v>0</v>
      </c>
      <c r="BD563" s="32">
        <v>544</v>
      </c>
      <c r="BE563" s="32">
        <v>46</v>
      </c>
      <c r="BF563" s="32">
        <v>4</v>
      </c>
      <c r="BG563" s="34">
        <f t="shared" ca="1" si="196"/>
        <v>2064</v>
      </c>
      <c r="BH563" s="32" t="str">
        <f ca="1">IF(MOD(MONTH($D$14)+$BD563-1,12)=Paraméterek!$C$288,"Igen","")</f>
        <v/>
      </c>
      <c r="BI563" s="13">
        <f ca="1">IF($BH563="Igen",MIN(ROUNDDOWN((SUMIF($BG$20:$BG$1027,$BG563-1,$K$20:$K$1027)-SUMIF($BG$20:$BG$1027,$BG563-1,$I$20:$I$1027))*Paraméterek!$C$289,IF($D$4="Forint",0,2)),IF($D$4="Forint",Paraméterek!$C$285,Paraméterek!$D$285)),0)</f>
        <v>0</v>
      </c>
      <c r="BJ563" s="13">
        <f t="shared" ca="1" si="188"/>
        <v>0</v>
      </c>
      <c r="BK563" s="13">
        <f t="shared" ca="1" si="197"/>
        <v>0</v>
      </c>
      <c r="BL563" s="33"/>
      <c r="BM563" s="13">
        <f t="shared" ca="1" si="189"/>
        <v>0</v>
      </c>
      <c r="BN563" s="13">
        <f ca="1">ROUNDUP(($BK563+$BM563)*VLOOKUP($BE563,Paraméterek!$P$38:$Q$38,2)/12*IF($D564="Nem",IF($M$13=0,1,$M$13),1),IF($D$4="Forint",0,2))</f>
        <v>0</v>
      </c>
      <c r="BO563" s="13">
        <f t="shared" ca="1" si="190"/>
        <v>0</v>
      </c>
      <c r="BP563" s="13">
        <f ca="1">IF($D564="Nem",$BO563,$BO563-ROUNDUP(SUM($BI$20:$BI563)*120%,IF($D$4="Forint",0,2)))</f>
        <v>0</v>
      </c>
    </row>
    <row r="564" spans="1:68" x14ac:dyDescent="0.2">
      <c r="A564" s="32">
        <v>545</v>
      </c>
      <c r="B564" s="32">
        <v>46</v>
      </c>
      <c r="C564" s="32">
        <v>5</v>
      </c>
      <c r="D564" s="32" t="str">
        <f t="shared" ca="1" si="176"/>
        <v>Nem</v>
      </c>
      <c r="E564" s="13">
        <f t="shared" ca="1" si="177"/>
        <v>0</v>
      </c>
      <c r="F564" s="13"/>
      <c r="G564" s="13"/>
      <c r="H564" s="13"/>
      <c r="I564" s="13">
        <f t="shared" ca="1" si="178"/>
        <v>0</v>
      </c>
      <c r="J564" s="13">
        <f t="shared" ca="1" si="179"/>
        <v>0</v>
      </c>
      <c r="K564" s="13">
        <f t="shared" ca="1" si="180"/>
        <v>0</v>
      </c>
      <c r="L564" s="13" t="e">
        <f ca="1">ROUNDUP(IF($D$2="Egyszeri",$E564,IF($D$2="Havi",SUM($E$20:$E$31),IF(MOD($C564,$M$1)-1=0,SUM($E$20:$E$31),0))/12*$M$1)*VLOOKUP($B564,Paraméterek!$I$28:$P$31,IF($D$2="Egyszeri",8,HLOOKUP(ROUNDUP($M$11+$M$13,0),Paraméterek!$J$26:$O$27,2))),IF($D$4="Forint",0,2))</f>
        <v>#N/A</v>
      </c>
      <c r="M564" s="13">
        <f t="shared" ca="1" si="181"/>
        <v>0</v>
      </c>
      <c r="N564" s="13">
        <f t="shared" ca="1" si="191"/>
        <v>0</v>
      </c>
      <c r="O564" s="13">
        <f ca="1">IF($D564="Igen",IF($W563&gt;=IF($D$4="Forint",Paraméterek!$J$121,Paraméterek!$K$121),0,IF($D$4="Forint",Paraméterek!$J$121,Paraméterek!$K$121)-$W563),0)</f>
        <v>0</v>
      </c>
      <c r="P564" s="13" t="e">
        <f ca="1">ROUNDUP($O564*VLOOKUP($M$4+$B564-1,Paraméterek!$H$58:$I$105,2,0)/Paraméterek!$I$56,IF($D$4="Forint",0,2))</f>
        <v>#N/A</v>
      </c>
      <c r="Q564" s="13">
        <f t="shared" ca="1" si="182"/>
        <v>0</v>
      </c>
      <c r="R564" s="33"/>
      <c r="S564" s="13" t="e">
        <f t="shared" ca="1" si="183"/>
        <v>#N/A</v>
      </c>
      <c r="T564" s="13" t="e">
        <f ca="1">ROUNDUP(($N564-$P564-$Q564+$S564)*VLOOKUP($B564,Paraméterek!$I$38:$K$39,IF($D$2="Egyszeri",3,2))/12*IF($D565="Nem",IF($M$13=0,1,$M$13),1),IF($D$4="Forint",0,2))</f>
        <v>#N/A</v>
      </c>
      <c r="U564" s="13"/>
      <c r="V564" s="13"/>
      <c r="W564" s="13" t="e">
        <f ca="1">$N564-$P564-$Q564+$S564-$T564-IF(ROUNDUP(IF(ISBLANK($V564),$U564*0,$V564)/IF($D$2="Egyszeri",VLOOKUP($B564+IF($C564=12,1,0),Paraméterek!$V$257:$W$262,2),IF($B564=1,1,VLOOKUP($B564+IF($C564=12,1,0),Paraméterek!$I$258:$T$278,HLOOKUP($M$11+1,Paraméterek!$J$256:$T$257,2)))),IF($D$4="Forint",0,2))&gt;$N564-$P564-$Q564+$S564-$T564-IF($D$4="Forint",Paraméterek!$C$216,Paraméterek!$D$216),0,ROUNDUP(IF(ISBLANK($V564),$U564*0,$V564)/IF($D$2="Egyszeri",VLOOKUP($B564+IF($C564=12,1,0),Paraméterek!$V$257:$W$262,2),IF($B564=1,1,VLOOKUP($B564+IF($C564=12,1,0),Paraméterek!$I$258:$T$278,HLOOKUP($M$11+1,Paraméterek!$J$256:$T$257,2)))),IF($D$4="Forint",0,2)))</f>
        <v>#N/A</v>
      </c>
      <c r="X564" s="13" t="e">
        <f ca="1">ROUNDDOWN($W564*IF($D$2="Egyszeri",VLOOKUP($B564+IF($C564=12,1,0),Paraméterek!$V$257:$W$262,2),VLOOKUP($B564+IF($C564=12,1,0),Paraméterek!$I$258:$T$278,HLOOKUP($M$11+1,Paraméterek!$I$256:$T$257,2))),IF($D$4="Forint",0,2))</f>
        <v>#N/A</v>
      </c>
      <c r="Z564" s="32">
        <v>545</v>
      </c>
      <c r="AA564" s="32">
        <v>46</v>
      </c>
      <c r="AB564" s="32">
        <v>5</v>
      </c>
      <c r="AC564" s="13">
        <f t="shared" ca="1" si="192"/>
        <v>0</v>
      </c>
      <c r="AD564" s="33"/>
      <c r="AE564" s="13">
        <f t="shared" ca="1" si="184"/>
        <v>0</v>
      </c>
      <c r="AF564" s="13">
        <f ca="1">ROUNDUP(($AC564+$AE564)*VLOOKUP($AA564,Paraméterek!$P$38:$Q$38,2)/12*IF($D565="Nem",IF($M$13=0,1,$M$13),1),IF($D$4="Forint",0,2))</f>
        <v>0</v>
      </c>
      <c r="AG564" s="13">
        <f ca="1">IF($D$2="Egyszeri",IF($D$7&gt;=IF($D$4="Forint",Paraméterek!$P$223,Paraméterek!$P$224),$D$7-IF($D$4="Forint",Paraméterek!$P$223,Paraméterek!$P$224),0),MIN(IF($AB564=12,AVERAGEIF($E$20:$E564,"&gt;0",$E$20:$E564)*12,0),SUM($E$20:$E$31)))</f>
        <v>0</v>
      </c>
      <c r="AH564" s="13">
        <f>IF($AA564=10,$AG564*IF($AB564=12,IF($AG564&lt;IF($D$4="Forint",Paraméterek!$L$223,Paraméterek!$L$224),0,VLOOKUP($AA564,Paraméterek!$K$226:$M$228,IF($AG564&lt;IF($D$4="Forint",Paraméterek!$M$223,Paraméterek!$M$224),2,3))),0),0)</f>
        <v>0</v>
      </c>
      <c r="AI564" s="13">
        <f ca="1">IF(AND($AA564=$M$11+1,$AB564=$M$12+1),SUMIF($AA$20:$AA$1027,$AA564,$AG$20:$AG$1027)*IF(SUMIF($AA$20:$AA$1027,$AA564,$AG$20:$AG$1027)&lt;IF($D$4="Forint",Paraméterek!$L$223,Paraméterek!$L$224),0,VLOOKUP($AA564,Paraméterek!$K$230:$M$250,IF(SUMIF($AA$20:$AA$1027,$AA564,$AG$20:$AG$1027)&lt;IF($D$4="Forint",Paraméterek!$M$223,Paraméterek!$M$224),2,3))),0)</f>
        <v>0</v>
      </c>
      <c r="AJ564" s="13">
        <f ca="1">IF(AND($AA564&gt;=5,MOD($AA564,5)=0),IF($AB564=12,VLOOKUP($AA564,Paraméterek!$O$225:$P$240,2),0),IF(OR($AA564=3,$AA564=4),IF($AB564=12,VLOOKUP($AA564,Paraméterek!$O$225:$P$240,2,0),0),0))*$AG564</f>
        <v>0</v>
      </c>
      <c r="AK564" s="13">
        <f t="shared" ca="1" si="185"/>
        <v>0</v>
      </c>
      <c r="AL564" s="13">
        <f t="shared" ca="1" si="193"/>
        <v>0</v>
      </c>
      <c r="AM564" s="13">
        <f t="shared" ca="1" si="194"/>
        <v>0</v>
      </c>
      <c r="AO564" s="32">
        <v>545</v>
      </c>
      <c r="AP564" s="32">
        <v>46</v>
      </c>
      <c r="AQ564" s="32">
        <v>5</v>
      </c>
      <c r="AR564" s="13"/>
      <c r="AS564" s="32"/>
      <c r="AT564" s="13">
        <f t="shared" ca="1" si="195"/>
        <v>0</v>
      </c>
      <c r="AU564" s="33"/>
      <c r="AV564" s="13">
        <f t="shared" ca="1" si="186"/>
        <v>0</v>
      </c>
      <c r="AW564" s="13">
        <f ca="1">ROUNDUP(($AT564+$AV564)*VLOOKUP($AP564,Paraméterek!$P$38:$Q$38,2)/12*IF($D565="Nem",IF($M$13=0,1,$M$13),1),IF($D$4="Forint",0,2))</f>
        <v>0</v>
      </c>
      <c r="AX564" s="13"/>
      <c r="AY564" s="13"/>
      <c r="AZ564" s="13">
        <f>ROUNDUP(IF(SUM($AX564:$AY564)=0,0,IF(IF(ISBLANK($AY564),$AX564,$AY564)*Paraméterek!$J$112&lt;IF($D$4="Forint",Paraméterek!$J$113,Paraméterek!$K$113),IF($D$4="Forint",Paraméterek!$J$113,Paraméterek!$K$113),IF(IF(ISBLANK($AY564),$AX564,$AY564)*Paraméterek!$J$112&gt;IF($D$4="Forint",Paraméterek!$J$114,Paraméterek!$K$114),IF($D$4="Forint",Paraméterek!$J$114,Paraméterek!$K$114),IF(ISBLANK($AY564),$AX564,$AY564)*Paraméterek!$J$112))),IF($D$4="Forint",0,2))</f>
        <v>0</v>
      </c>
      <c r="BA564" s="13">
        <f ca="1">$AT564+$AV564-$AW564-IF(ROUNDDOWN(IF(ISBLANK($AY564),$AX564,$AY564),IF($D$4="Forint",0,2))&gt;$AT564+$AV564-$AW564-IF($D$4="Forint",Paraméterek!$J$114,Paraméterek!$K$114),0,ROUNDDOWN(IF(ISBLANK($AY564),$AX564,$AY564),IF($D$4="Forint",0,2))-$AZ564)</f>
        <v>0</v>
      </c>
      <c r="BB564" s="13">
        <f t="shared" ca="1" si="187"/>
        <v>0</v>
      </c>
      <c r="BD564" s="32">
        <v>545</v>
      </c>
      <c r="BE564" s="32">
        <v>46</v>
      </c>
      <c r="BF564" s="32">
        <v>5</v>
      </c>
      <c r="BG564" s="34">
        <f t="shared" ca="1" si="196"/>
        <v>2064</v>
      </c>
      <c r="BH564" s="32" t="str">
        <f ca="1">IF(MOD(MONTH($D$14)+$BD564-1,12)=Paraméterek!$C$288,"Igen","")</f>
        <v/>
      </c>
      <c r="BI564" s="13">
        <f ca="1">IF($BH564="Igen",MIN(ROUNDDOWN((SUMIF($BG$20:$BG$1027,$BG564-1,$K$20:$K$1027)-SUMIF($BG$20:$BG$1027,$BG564-1,$I$20:$I$1027))*Paraméterek!$C$289,IF($D$4="Forint",0,2)),IF($D$4="Forint",Paraméterek!$C$285,Paraméterek!$D$285)),0)</f>
        <v>0</v>
      </c>
      <c r="BJ564" s="13">
        <f t="shared" ca="1" si="188"/>
        <v>0</v>
      </c>
      <c r="BK564" s="13">
        <f t="shared" ca="1" si="197"/>
        <v>0</v>
      </c>
      <c r="BL564" s="33"/>
      <c r="BM564" s="13">
        <f t="shared" ca="1" si="189"/>
        <v>0</v>
      </c>
      <c r="BN564" s="13">
        <f ca="1">ROUNDUP(($BK564+$BM564)*VLOOKUP($BE564,Paraméterek!$P$38:$Q$38,2)/12*IF($D565="Nem",IF($M$13=0,1,$M$13),1),IF($D$4="Forint",0,2))</f>
        <v>0</v>
      </c>
      <c r="BO564" s="13">
        <f t="shared" ca="1" si="190"/>
        <v>0</v>
      </c>
      <c r="BP564" s="13">
        <f ca="1">IF($D565="Nem",$BO564,$BO564-ROUNDUP(SUM($BI$20:$BI564)*120%,IF($D$4="Forint",0,2)))</f>
        <v>0</v>
      </c>
    </row>
    <row r="565" spans="1:68" x14ac:dyDescent="0.2">
      <c r="A565" s="32">
        <v>546</v>
      </c>
      <c r="B565" s="32">
        <v>46</v>
      </c>
      <c r="C565" s="32">
        <v>6</v>
      </c>
      <c r="D565" s="32" t="str">
        <f t="shared" ca="1" si="176"/>
        <v>Nem</v>
      </c>
      <c r="E565" s="13">
        <f t="shared" ca="1" si="177"/>
        <v>0</v>
      </c>
      <c r="F565" s="13"/>
      <c r="G565" s="13"/>
      <c r="H565" s="13"/>
      <c r="I565" s="13">
        <f t="shared" ca="1" si="178"/>
        <v>0</v>
      </c>
      <c r="J565" s="13">
        <f t="shared" ca="1" si="179"/>
        <v>0</v>
      </c>
      <c r="K565" s="13">
        <f t="shared" ca="1" si="180"/>
        <v>0</v>
      </c>
      <c r="L565" s="13" t="e">
        <f ca="1">ROUNDUP(IF($D$2="Egyszeri",$E565,IF($D$2="Havi",SUM($E$20:$E$31),IF(MOD($C565,$M$1)-1=0,SUM($E$20:$E$31),0))/12*$M$1)*VLOOKUP($B565,Paraméterek!$I$28:$P$31,IF($D$2="Egyszeri",8,HLOOKUP(ROUNDUP($M$11+$M$13,0),Paraméterek!$J$26:$O$27,2))),IF($D$4="Forint",0,2))</f>
        <v>#N/A</v>
      </c>
      <c r="M565" s="13">
        <f t="shared" ca="1" si="181"/>
        <v>0</v>
      </c>
      <c r="N565" s="13">
        <f t="shared" ca="1" si="191"/>
        <v>0</v>
      </c>
      <c r="O565" s="13">
        <f ca="1">IF($D565="Igen",IF($W564&gt;=IF($D$4="Forint",Paraméterek!$J$121,Paraméterek!$K$121),0,IF($D$4="Forint",Paraméterek!$J$121,Paraméterek!$K$121)-$W564),0)</f>
        <v>0</v>
      </c>
      <c r="P565" s="13" t="e">
        <f ca="1">ROUNDUP($O565*VLOOKUP($M$4+$B565-1,Paraméterek!$H$58:$I$105,2,0)/Paraméterek!$I$56,IF($D$4="Forint",0,2))</f>
        <v>#N/A</v>
      </c>
      <c r="Q565" s="13">
        <f t="shared" ca="1" si="182"/>
        <v>0</v>
      </c>
      <c r="R565" s="33"/>
      <c r="S565" s="13" t="e">
        <f t="shared" ca="1" si="183"/>
        <v>#N/A</v>
      </c>
      <c r="T565" s="13" t="e">
        <f ca="1">ROUNDUP(($N565-$P565-$Q565+$S565)*VLOOKUP($B565,Paraméterek!$I$38:$K$39,IF($D$2="Egyszeri",3,2))/12*IF($D566="Nem",IF($M$13=0,1,$M$13),1),IF($D$4="Forint",0,2))</f>
        <v>#N/A</v>
      </c>
      <c r="U565" s="13"/>
      <c r="V565" s="13"/>
      <c r="W565" s="13" t="e">
        <f ca="1">$N565-$P565-$Q565+$S565-$T565-IF(ROUNDUP(IF(ISBLANK($V565),$U565*0,$V565)/IF($D$2="Egyszeri",VLOOKUP($B565+IF($C565=12,1,0),Paraméterek!$V$257:$W$262,2),IF($B565=1,1,VLOOKUP($B565+IF($C565=12,1,0),Paraméterek!$I$258:$T$278,HLOOKUP($M$11+1,Paraméterek!$J$256:$T$257,2)))),IF($D$4="Forint",0,2))&gt;$N565-$P565-$Q565+$S565-$T565-IF($D$4="Forint",Paraméterek!$C$216,Paraméterek!$D$216),0,ROUNDUP(IF(ISBLANK($V565),$U565*0,$V565)/IF($D$2="Egyszeri",VLOOKUP($B565+IF($C565=12,1,0),Paraméterek!$V$257:$W$262,2),IF($B565=1,1,VLOOKUP($B565+IF($C565=12,1,0),Paraméterek!$I$258:$T$278,HLOOKUP($M$11+1,Paraméterek!$J$256:$T$257,2)))),IF($D$4="Forint",0,2)))</f>
        <v>#N/A</v>
      </c>
      <c r="X565" s="13" t="e">
        <f ca="1">ROUNDDOWN($W565*IF($D$2="Egyszeri",VLOOKUP($B565+IF($C565=12,1,0),Paraméterek!$V$257:$W$262,2),VLOOKUP($B565+IF($C565=12,1,0),Paraméterek!$I$258:$T$278,HLOOKUP($M$11+1,Paraméterek!$I$256:$T$257,2))),IF($D$4="Forint",0,2))</f>
        <v>#N/A</v>
      </c>
      <c r="Z565" s="32">
        <v>546</v>
      </c>
      <c r="AA565" s="32">
        <v>46</v>
      </c>
      <c r="AB565" s="32">
        <v>6</v>
      </c>
      <c r="AC565" s="13">
        <f t="shared" ca="1" si="192"/>
        <v>0</v>
      </c>
      <c r="AD565" s="33"/>
      <c r="AE565" s="13">
        <f t="shared" ca="1" si="184"/>
        <v>0</v>
      </c>
      <c r="AF565" s="13">
        <f ca="1">ROUNDUP(($AC565+$AE565)*VLOOKUP($AA565,Paraméterek!$P$38:$Q$38,2)/12*IF($D566="Nem",IF($M$13=0,1,$M$13),1),IF($D$4="Forint",0,2))</f>
        <v>0</v>
      </c>
      <c r="AG565" s="13">
        <f ca="1">IF($D$2="Egyszeri",IF($D$7&gt;=IF($D$4="Forint",Paraméterek!$P$223,Paraméterek!$P$224),$D$7-IF($D$4="Forint",Paraméterek!$P$223,Paraméterek!$P$224),0),MIN(IF($AB565=12,AVERAGEIF($E$20:$E565,"&gt;0",$E$20:$E565)*12,0),SUM($E$20:$E$31)))</f>
        <v>0</v>
      </c>
      <c r="AH565" s="13">
        <f>IF($AA565=10,$AG565*IF($AB565=12,IF($AG565&lt;IF($D$4="Forint",Paraméterek!$L$223,Paraméterek!$L$224),0,VLOOKUP($AA565,Paraméterek!$K$226:$M$228,IF($AG565&lt;IF($D$4="Forint",Paraméterek!$M$223,Paraméterek!$M$224),2,3))),0),0)</f>
        <v>0</v>
      </c>
      <c r="AI565" s="13">
        <f ca="1">IF(AND($AA565=$M$11+1,$AB565=$M$12+1),SUMIF($AA$20:$AA$1027,$AA565,$AG$20:$AG$1027)*IF(SUMIF($AA$20:$AA$1027,$AA565,$AG$20:$AG$1027)&lt;IF($D$4="Forint",Paraméterek!$L$223,Paraméterek!$L$224),0,VLOOKUP($AA565,Paraméterek!$K$230:$M$250,IF(SUMIF($AA$20:$AA$1027,$AA565,$AG$20:$AG$1027)&lt;IF($D$4="Forint",Paraméterek!$M$223,Paraméterek!$M$224),2,3))),0)</f>
        <v>0</v>
      </c>
      <c r="AJ565" s="13">
        <f ca="1">IF(AND($AA565&gt;=5,MOD($AA565,5)=0),IF($AB565=12,VLOOKUP($AA565,Paraméterek!$O$225:$P$240,2),0),IF(OR($AA565=3,$AA565=4),IF($AB565=12,VLOOKUP($AA565,Paraméterek!$O$225:$P$240,2,0),0),0))*$AG565</f>
        <v>0</v>
      </c>
      <c r="AK565" s="13">
        <f t="shared" ca="1" si="185"/>
        <v>0</v>
      </c>
      <c r="AL565" s="13">
        <f t="shared" ca="1" si="193"/>
        <v>0</v>
      </c>
      <c r="AM565" s="13">
        <f t="shared" ca="1" si="194"/>
        <v>0</v>
      </c>
      <c r="AO565" s="32">
        <v>546</v>
      </c>
      <c r="AP565" s="32">
        <v>46</v>
      </c>
      <c r="AQ565" s="32">
        <v>6</v>
      </c>
      <c r="AR565" s="13"/>
      <c r="AS565" s="32"/>
      <c r="AT565" s="13">
        <f t="shared" ca="1" si="195"/>
        <v>0</v>
      </c>
      <c r="AU565" s="33"/>
      <c r="AV565" s="13">
        <f t="shared" ca="1" si="186"/>
        <v>0</v>
      </c>
      <c r="AW565" s="13">
        <f ca="1">ROUNDUP(($AT565+$AV565)*VLOOKUP($AP565,Paraméterek!$P$38:$Q$38,2)/12*IF($D566="Nem",IF($M$13=0,1,$M$13),1),IF($D$4="Forint",0,2))</f>
        <v>0</v>
      </c>
      <c r="AX565" s="13"/>
      <c r="AY565" s="13"/>
      <c r="AZ565" s="13">
        <f>ROUNDUP(IF(SUM($AX565:$AY565)=0,0,IF(IF(ISBLANK($AY565),$AX565,$AY565)*Paraméterek!$J$112&lt;IF($D$4="Forint",Paraméterek!$J$113,Paraméterek!$K$113),IF($D$4="Forint",Paraméterek!$J$113,Paraméterek!$K$113),IF(IF(ISBLANK($AY565),$AX565,$AY565)*Paraméterek!$J$112&gt;IF($D$4="Forint",Paraméterek!$J$114,Paraméterek!$K$114),IF($D$4="Forint",Paraméterek!$J$114,Paraméterek!$K$114),IF(ISBLANK($AY565),$AX565,$AY565)*Paraméterek!$J$112))),IF($D$4="Forint",0,2))</f>
        <v>0</v>
      </c>
      <c r="BA565" s="13">
        <f ca="1">$AT565+$AV565-$AW565-IF(ROUNDDOWN(IF(ISBLANK($AY565),$AX565,$AY565),IF($D$4="Forint",0,2))&gt;$AT565+$AV565-$AW565-IF($D$4="Forint",Paraméterek!$J$114,Paraméterek!$K$114),0,ROUNDDOWN(IF(ISBLANK($AY565),$AX565,$AY565),IF($D$4="Forint",0,2))-$AZ565)</f>
        <v>0</v>
      </c>
      <c r="BB565" s="13">
        <f t="shared" ca="1" si="187"/>
        <v>0</v>
      </c>
      <c r="BD565" s="32">
        <v>546</v>
      </c>
      <c r="BE565" s="32">
        <v>46</v>
      </c>
      <c r="BF565" s="32">
        <v>6</v>
      </c>
      <c r="BG565" s="34">
        <f t="shared" ca="1" si="196"/>
        <v>2064</v>
      </c>
      <c r="BH565" s="32" t="str">
        <f ca="1">IF(MOD(MONTH($D$14)+$BD565-1,12)=Paraméterek!$C$288,"Igen","")</f>
        <v/>
      </c>
      <c r="BI565" s="13">
        <f ca="1">IF($BH565="Igen",MIN(ROUNDDOWN((SUMIF($BG$20:$BG$1027,$BG565-1,$K$20:$K$1027)-SUMIF($BG$20:$BG$1027,$BG565-1,$I$20:$I$1027))*Paraméterek!$C$289,IF($D$4="Forint",0,2)),IF($D$4="Forint",Paraméterek!$C$285,Paraméterek!$D$285)),0)</f>
        <v>0</v>
      </c>
      <c r="BJ565" s="13">
        <f t="shared" ca="1" si="188"/>
        <v>0</v>
      </c>
      <c r="BK565" s="13">
        <f t="shared" ca="1" si="197"/>
        <v>0</v>
      </c>
      <c r="BL565" s="33"/>
      <c r="BM565" s="13">
        <f t="shared" ca="1" si="189"/>
        <v>0</v>
      </c>
      <c r="BN565" s="13">
        <f ca="1">ROUNDUP(($BK565+$BM565)*VLOOKUP($BE565,Paraméterek!$P$38:$Q$38,2)/12*IF($D566="Nem",IF($M$13=0,1,$M$13),1),IF($D$4="Forint",0,2))</f>
        <v>0</v>
      </c>
      <c r="BO565" s="13">
        <f t="shared" ca="1" si="190"/>
        <v>0</v>
      </c>
      <c r="BP565" s="13">
        <f ca="1">IF($D566="Nem",$BO565,$BO565-ROUNDUP(SUM($BI$20:$BI565)*120%,IF($D$4="Forint",0,2)))</f>
        <v>0</v>
      </c>
    </row>
    <row r="566" spans="1:68" x14ac:dyDescent="0.2">
      <c r="A566" s="32">
        <v>547</v>
      </c>
      <c r="B566" s="32">
        <v>46</v>
      </c>
      <c r="C566" s="32">
        <v>7</v>
      </c>
      <c r="D566" s="32" t="str">
        <f t="shared" ca="1" si="176"/>
        <v>Nem</v>
      </c>
      <c r="E566" s="13">
        <f t="shared" ca="1" si="177"/>
        <v>0</v>
      </c>
      <c r="F566" s="13"/>
      <c r="G566" s="13"/>
      <c r="H566" s="13"/>
      <c r="I566" s="13">
        <f t="shared" ca="1" si="178"/>
        <v>0</v>
      </c>
      <c r="J566" s="13">
        <f t="shared" ca="1" si="179"/>
        <v>0</v>
      </c>
      <c r="K566" s="13">
        <f t="shared" ca="1" si="180"/>
        <v>0</v>
      </c>
      <c r="L566" s="13" t="e">
        <f ca="1">ROUNDUP(IF($D$2="Egyszeri",$E566,IF($D$2="Havi",SUM($E$20:$E$31),IF(MOD($C566,$M$1)-1=0,SUM($E$20:$E$31),0))/12*$M$1)*VLOOKUP($B566,Paraméterek!$I$28:$P$31,IF($D$2="Egyszeri",8,HLOOKUP(ROUNDUP($M$11+$M$13,0),Paraméterek!$J$26:$O$27,2))),IF($D$4="Forint",0,2))</f>
        <v>#N/A</v>
      </c>
      <c r="M566" s="13">
        <f t="shared" ca="1" si="181"/>
        <v>0</v>
      </c>
      <c r="N566" s="13">
        <f t="shared" ca="1" si="191"/>
        <v>0</v>
      </c>
      <c r="O566" s="13">
        <f ca="1">IF($D566="Igen",IF($W565&gt;=IF($D$4="Forint",Paraméterek!$J$121,Paraméterek!$K$121),0,IF($D$4="Forint",Paraméterek!$J$121,Paraméterek!$K$121)-$W565),0)</f>
        <v>0</v>
      </c>
      <c r="P566" s="13" t="e">
        <f ca="1">ROUNDUP($O566*VLOOKUP($M$4+$B566-1,Paraméterek!$H$58:$I$105,2,0)/Paraméterek!$I$56,IF($D$4="Forint",0,2))</f>
        <v>#N/A</v>
      </c>
      <c r="Q566" s="13">
        <f t="shared" ca="1" si="182"/>
        <v>0</v>
      </c>
      <c r="R566" s="33"/>
      <c r="S566" s="13" t="e">
        <f t="shared" ca="1" si="183"/>
        <v>#N/A</v>
      </c>
      <c r="T566" s="13" t="e">
        <f ca="1">ROUNDUP(($N566-$P566-$Q566+$S566)*VLOOKUP($B566,Paraméterek!$I$38:$K$39,IF($D$2="Egyszeri",3,2))/12*IF($D567="Nem",IF($M$13=0,1,$M$13),1),IF($D$4="Forint",0,2))</f>
        <v>#N/A</v>
      </c>
      <c r="U566" s="13"/>
      <c r="V566" s="13"/>
      <c r="W566" s="13" t="e">
        <f ca="1">$N566-$P566-$Q566+$S566-$T566-IF(ROUNDUP(IF(ISBLANK($V566),$U566*0,$V566)/IF($D$2="Egyszeri",VLOOKUP($B566+IF($C566=12,1,0),Paraméterek!$V$257:$W$262,2),IF($B566=1,1,VLOOKUP($B566+IF($C566=12,1,0),Paraméterek!$I$258:$T$278,HLOOKUP($M$11+1,Paraméterek!$J$256:$T$257,2)))),IF($D$4="Forint",0,2))&gt;$N566-$P566-$Q566+$S566-$T566-IF($D$4="Forint",Paraméterek!$C$216,Paraméterek!$D$216),0,ROUNDUP(IF(ISBLANK($V566),$U566*0,$V566)/IF($D$2="Egyszeri",VLOOKUP($B566+IF($C566=12,1,0),Paraméterek!$V$257:$W$262,2),IF($B566=1,1,VLOOKUP($B566+IF($C566=12,1,0),Paraméterek!$I$258:$T$278,HLOOKUP($M$11+1,Paraméterek!$J$256:$T$257,2)))),IF($D$4="Forint",0,2)))</f>
        <v>#N/A</v>
      </c>
      <c r="X566" s="13" t="e">
        <f ca="1">ROUNDDOWN($W566*IF($D$2="Egyszeri",VLOOKUP($B566+IF($C566=12,1,0),Paraméterek!$V$257:$W$262,2),VLOOKUP($B566+IF($C566=12,1,0),Paraméterek!$I$258:$T$278,HLOOKUP($M$11+1,Paraméterek!$I$256:$T$257,2))),IF($D$4="Forint",0,2))</f>
        <v>#N/A</v>
      </c>
      <c r="Z566" s="32">
        <v>547</v>
      </c>
      <c r="AA566" s="32">
        <v>46</v>
      </c>
      <c r="AB566" s="32">
        <v>7</v>
      </c>
      <c r="AC566" s="13">
        <f t="shared" ca="1" si="192"/>
        <v>0</v>
      </c>
      <c r="AD566" s="33"/>
      <c r="AE566" s="13">
        <f t="shared" ca="1" si="184"/>
        <v>0</v>
      </c>
      <c r="AF566" s="13">
        <f ca="1">ROUNDUP(($AC566+$AE566)*VLOOKUP($AA566,Paraméterek!$P$38:$Q$38,2)/12*IF($D567="Nem",IF($M$13=0,1,$M$13),1),IF($D$4="Forint",0,2))</f>
        <v>0</v>
      </c>
      <c r="AG566" s="13">
        <f ca="1">IF($D$2="Egyszeri",IF($D$7&gt;=IF($D$4="Forint",Paraméterek!$P$223,Paraméterek!$P$224),$D$7-IF($D$4="Forint",Paraméterek!$P$223,Paraméterek!$P$224),0),MIN(IF($AB566=12,AVERAGEIF($E$20:$E566,"&gt;0",$E$20:$E566)*12,0),SUM($E$20:$E$31)))</f>
        <v>0</v>
      </c>
      <c r="AH566" s="13">
        <f>IF($AA566=10,$AG566*IF($AB566=12,IF($AG566&lt;IF($D$4="Forint",Paraméterek!$L$223,Paraméterek!$L$224),0,VLOOKUP($AA566,Paraméterek!$K$226:$M$228,IF($AG566&lt;IF($D$4="Forint",Paraméterek!$M$223,Paraméterek!$M$224),2,3))),0),0)</f>
        <v>0</v>
      </c>
      <c r="AI566" s="13">
        <f ca="1">IF(AND($AA566=$M$11+1,$AB566=$M$12+1),SUMIF($AA$20:$AA$1027,$AA566,$AG$20:$AG$1027)*IF(SUMIF($AA$20:$AA$1027,$AA566,$AG$20:$AG$1027)&lt;IF($D$4="Forint",Paraméterek!$L$223,Paraméterek!$L$224),0,VLOOKUP($AA566,Paraméterek!$K$230:$M$250,IF(SUMIF($AA$20:$AA$1027,$AA566,$AG$20:$AG$1027)&lt;IF($D$4="Forint",Paraméterek!$M$223,Paraméterek!$M$224),2,3))),0)</f>
        <v>0</v>
      </c>
      <c r="AJ566" s="13">
        <f ca="1">IF(AND($AA566&gt;=5,MOD($AA566,5)=0),IF($AB566=12,VLOOKUP($AA566,Paraméterek!$O$225:$P$240,2),0),IF(OR($AA566=3,$AA566=4),IF($AB566=12,VLOOKUP($AA566,Paraméterek!$O$225:$P$240,2,0),0),0))*$AG566</f>
        <v>0</v>
      </c>
      <c r="AK566" s="13">
        <f t="shared" ca="1" si="185"/>
        <v>0</v>
      </c>
      <c r="AL566" s="13">
        <f t="shared" ca="1" si="193"/>
        <v>0</v>
      </c>
      <c r="AM566" s="13">
        <f t="shared" ca="1" si="194"/>
        <v>0</v>
      </c>
      <c r="AO566" s="32">
        <v>547</v>
      </c>
      <c r="AP566" s="32">
        <v>46</v>
      </c>
      <c r="AQ566" s="32">
        <v>7</v>
      </c>
      <c r="AR566" s="13"/>
      <c r="AS566" s="32"/>
      <c r="AT566" s="13">
        <f t="shared" ca="1" si="195"/>
        <v>0</v>
      </c>
      <c r="AU566" s="33"/>
      <c r="AV566" s="13">
        <f t="shared" ca="1" si="186"/>
        <v>0</v>
      </c>
      <c r="AW566" s="13">
        <f ca="1">ROUNDUP(($AT566+$AV566)*VLOOKUP($AP566,Paraméterek!$P$38:$Q$38,2)/12*IF($D567="Nem",IF($M$13=0,1,$M$13),1),IF($D$4="Forint",0,2))</f>
        <v>0</v>
      </c>
      <c r="AX566" s="13"/>
      <c r="AY566" s="13"/>
      <c r="AZ566" s="13">
        <f>ROUNDUP(IF(SUM($AX566:$AY566)=0,0,IF(IF(ISBLANK($AY566),$AX566,$AY566)*Paraméterek!$J$112&lt;IF($D$4="Forint",Paraméterek!$J$113,Paraméterek!$K$113),IF($D$4="Forint",Paraméterek!$J$113,Paraméterek!$K$113),IF(IF(ISBLANK($AY566),$AX566,$AY566)*Paraméterek!$J$112&gt;IF($D$4="Forint",Paraméterek!$J$114,Paraméterek!$K$114),IF($D$4="Forint",Paraméterek!$J$114,Paraméterek!$K$114),IF(ISBLANK($AY566),$AX566,$AY566)*Paraméterek!$J$112))),IF($D$4="Forint",0,2))</f>
        <v>0</v>
      </c>
      <c r="BA566" s="13">
        <f ca="1">$AT566+$AV566-$AW566-IF(ROUNDDOWN(IF(ISBLANK($AY566),$AX566,$AY566),IF($D$4="Forint",0,2))&gt;$AT566+$AV566-$AW566-IF($D$4="Forint",Paraméterek!$J$114,Paraméterek!$K$114),0,ROUNDDOWN(IF(ISBLANK($AY566),$AX566,$AY566),IF($D$4="Forint",0,2))-$AZ566)</f>
        <v>0</v>
      </c>
      <c r="BB566" s="13">
        <f t="shared" ca="1" si="187"/>
        <v>0</v>
      </c>
      <c r="BD566" s="32">
        <v>547</v>
      </c>
      <c r="BE566" s="32">
        <v>46</v>
      </c>
      <c r="BF566" s="32">
        <v>7</v>
      </c>
      <c r="BG566" s="34">
        <f t="shared" ca="1" si="196"/>
        <v>2064</v>
      </c>
      <c r="BH566" s="32" t="str">
        <f ca="1">IF(MOD(MONTH($D$14)+$BD566-1,12)=Paraméterek!$C$288,"Igen","")</f>
        <v/>
      </c>
      <c r="BI566" s="13">
        <f ca="1">IF($BH566="Igen",MIN(ROUNDDOWN((SUMIF($BG$20:$BG$1027,$BG566-1,$K$20:$K$1027)-SUMIF($BG$20:$BG$1027,$BG566-1,$I$20:$I$1027))*Paraméterek!$C$289,IF($D$4="Forint",0,2)),IF($D$4="Forint",Paraméterek!$C$285,Paraméterek!$D$285)),0)</f>
        <v>0</v>
      </c>
      <c r="BJ566" s="13">
        <f t="shared" ca="1" si="188"/>
        <v>0</v>
      </c>
      <c r="BK566" s="13">
        <f t="shared" ca="1" si="197"/>
        <v>0</v>
      </c>
      <c r="BL566" s="33"/>
      <c r="BM566" s="13">
        <f t="shared" ca="1" si="189"/>
        <v>0</v>
      </c>
      <c r="BN566" s="13">
        <f ca="1">ROUNDUP(($BK566+$BM566)*VLOOKUP($BE566,Paraméterek!$P$38:$Q$38,2)/12*IF($D567="Nem",IF($M$13=0,1,$M$13),1),IF($D$4="Forint",0,2))</f>
        <v>0</v>
      </c>
      <c r="BO566" s="13">
        <f t="shared" ca="1" si="190"/>
        <v>0</v>
      </c>
      <c r="BP566" s="13">
        <f ca="1">IF($D567="Nem",$BO566,$BO566-ROUNDUP(SUM($BI$20:$BI566)*120%,IF($D$4="Forint",0,2)))</f>
        <v>0</v>
      </c>
    </row>
    <row r="567" spans="1:68" x14ac:dyDescent="0.2">
      <c r="A567" s="32">
        <v>548</v>
      </c>
      <c r="B567" s="32">
        <v>46</v>
      </c>
      <c r="C567" s="32">
        <v>8</v>
      </c>
      <c r="D567" s="32" t="str">
        <f t="shared" ca="1" si="176"/>
        <v>Nem</v>
      </c>
      <c r="E567" s="13">
        <f t="shared" ca="1" si="177"/>
        <v>0</v>
      </c>
      <c r="F567" s="13"/>
      <c r="G567" s="13"/>
      <c r="H567" s="13"/>
      <c r="I567" s="13">
        <f t="shared" ca="1" si="178"/>
        <v>0</v>
      </c>
      <c r="J567" s="13">
        <f t="shared" ca="1" si="179"/>
        <v>0</v>
      </c>
      <c r="K567" s="13">
        <f t="shared" ca="1" si="180"/>
        <v>0</v>
      </c>
      <c r="L567" s="13" t="e">
        <f ca="1">ROUNDUP(IF($D$2="Egyszeri",$E567,IF($D$2="Havi",SUM($E$20:$E$31),IF(MOD($C567,$M$1)-1=0,SUM($E$20:$E$31),0))/12*$M$1)*VLOOKUP($B567,Paraméterek!$I$28:$P$31,IF($D$2="Egyszeri",8,HLOOKUP(ROUNDUP($M$11+$M$13,0),Paraméterek!$J$26:$O$27,2))),IF($D$4="Forint",0,2))</f>
        <v>#N/A</v>
      </c>
      <c r="M567" s="13">
        <f t="shared" ca="1" si="181"/>
        <v>0</v>
      </c>
      <c r="N567" s="13">
        <f t="shared" ca="1" si="191"/>
        <v>0</v>
      </c>
      <c r="O567" s="13">
        <f ca="1">IF($D567="Igen",IF($W566&gt;=IF($D$4="Forint",Paraméterek!$J$121,Paraméterek!$K$121),0,IF($D$4="Forint",Paraméterek!$J$121,Paraméterek!$K$121)-$W566),0)</f>
        <v>0</v>
      </c>
      <c r="P567" s="13" t="e">
        <f ca="1">ROUNDUP($O567*VLOOKUP($M$4+$B567-1,Paraméterek!$H$58:$I$105,2,0)/Paraméterek!$I$56,IF($D$4="Forint",0,2))</f>
        <v>#N/A</v>
      </c>
      <c r="Q567" s="13">
        <f t="shared" ca="1" si="182"/>
        <v>0</v>
      </c>
      <c r="R567" s="33"/>
      <c r="S567" s="13" t="e">
        <f t="shared" ca="1" si="183"/>
        <v>#N/A</v>
      </c>
      <c r="T567" s="13" t="e">
        <f ca="1">ROUNDUP(($N567-$P567-$Q567+$S567)*VLOOKUP($B567,Paraméterek!$I$38:$K$39,IF($D$2="Egyszeri",3,2))/12*IF($D568="Nem",IF($M$13=0,1,$M$13),1),IF($D$4="Forint",0,2))</f>
        <v>#N/A</v>
      </c>
      <c r="U567" s="13"/>
      <c r="V567" s="13"/>
      <c r="W567" s="13" t="e">
        <f ca="1">$N567-$P567-$Q567+$S567-$T567-IF(ROUNDUP(IF(ISBLANK($V567),$U567*0,$V567)/IF($D$2="Egyszeri",VLOOKUP($B567+IF($C567=12,1,0),Paraméterek!$V$257:$W$262,2),IF($B567=1,1,VLOOKUP($B567+IF($C567=12,1,0),Paraméterek!$I$258:$T$278,HLOOKUP($M$11+1,Paraméterek!$J$256:$T$257,2)))),IF($D$4="Forint",0,2))&gt;$N567-$P567-$Q567+$S567-$T567-IF($D$4="Forint",Paraméterek!$C$216,Paraméterek!$D$216),0,ROUNDUP(IF(ISBLANK($V567),$U567*0,$V567)/IF($D$2="Egyszeri",VLOOKUP($B567+IF($C567=12,1,0),Paraméterek!$V$257:$W$262,2),IF($B567=1,1,VLOOKUP($B567+IF($C567=12,1,0),Paraméterek!$I$258:$T$278,HLOOKUP($M$11+1,Paraméterek!$J$256:$T$257,2)))),IF($D$4="Forint",0,2)))</f>
        <v>#N/A</v>
      </c>
      <c r="X567" s="13" t="e">
        <f ca="1">ROUNDDOWN($W567*IF($D$2="Egyszeri",VLOOKUP($B567+IF($C567=12,1,0),Paraméterek!$V$257:$W$262,2),VLOOKUP($B567+IF($C567=12,1,0),Paraméterek!$I$258:$T$278,HLOOKUP($M$11+1,Paraméterek!$I$256:$T$257,2))),IF($D$4="Forint",0,2))</f>
        <v>#N/A</v>
      </c>
      <c r="Z567" s="32">
        <v>548</v>
      </c>
      <c r="AA567" s="32">
        <v>46</v>
      </c>
      <c r="AB567" s="32">
        <v>8</v>
      </c>
      <c r="AC567" s="13">
        <f t="shared" ca="1" si="192"/>
        <v>0</v>
      </c>
      <c r="AD567" s="33"/>
      <c r="AE567" s="13">
        <f t="shared" ca="1" si="184"/>
        <v>0</v>
      </c>
      <c r="AF567" s="13">
        <f ca="1">ROUNDUP(($AC567+$AE567)*VLOOKUP($AA567,Paraméterek!$P$38:$Q$38,2)/12*IF($D568="Nem",IF($M$13=0,1,$M$13),1),IF($D$4="Forint",0,2))</f>
        <v>0</v>
      </c>
      <c r="AG567" s="13">
        <f ca="1">IF($D$2="Egyszeri",IF($D$7&gt;=IF($D$4="Forint",Paraméterek!$P$223,Paraméterek!$P$224),$D$7-IF($D$4="Forint",Paraméterek!$P$223,Paraméterek!$P$224),0),MIN(IF($AB567=12,AVERAGEIF($E$20:$E567,"&gt;0",$E$20:$E567)*12,0),SUM($E$20:$E$31)))</f>
        <v>0</v>
      </c>
      <c r="AH567" s="13">
        <f>IF($AA567=10,$AG567*IF($AB567=12,IF($AG567&lt;IF($D$4="Forint",Paraméterek!$L$223,Paraméterek!$L$224),0,VLOOKUP($AA567,Paraméterek!$K$226:$M$228,IF($AG567&lt;IF($D$4="Forint",Paraméterek!$M$223,Paraméterek!$M$224),2,3))),0),0)</f>
        <v>0</v>
      </c>
      <c r="AI567" s="13">
        <f ca="1">IF(AND($AA567=$M$11+1,$AB567=$M$12+1),SUMIF($AA$20:$AA$1027,$AA567,$AG$20:$AG$1027)*IF(SUMIF($AA$20:$AA$1027,$AA567,$AG$20:$AG$1027)&lt;IF($D$4="Forint",Paraméterek!$L$223,Paraméterek!$L$224),0,VLOOKUP($AA567,Paraméterek!$K$230:$M$250,IF(SUMIF($AA$20:$AA$1027,$AA567,$AG$20:$AG$1027)&lt;IF($D$4="Forint",Paraméterek!$M$223,Paraméterek!$M$224),2,3))),0)</f>
        <v>0</v>
      </c>
      <c r="AJ567" s="13">
        <f ca="1">IF(AND($AA567&gt;=5,MOD($AA567,5)=0),IF($AB567=12,VLOOKUP($AA567,Paraméterek!$O$225:$P$240,2),0),IF(OR($AA567=3,$AA567=4),IF($AB567=12,VLOOKUP($AA567,Paraméterek!$O$225:$P$240,2,0),0),0))*$AG567</f>
        <v>0</v>
      </c>
      <c r="AK567" s="13">
        <f t="shared" ca="1" si="185"/>
        <v>0</v>
      </c>
      <c r="AL567" s="13">
        <f t="shared" ca="1" si="193"/>
        <v>0</v>
      </c>
      <c r="AM567" s="13">
        <f t="shared" ca="1" si="194"/>
        <v>0</v>
      </c>
      <c r="AO567" s="32">
        <v>548</v>
      </c>
      <c r="AP567" s="32">
        <v>46</v>
      </c>
      <c r="AQ567" s="32">
        <v>8</v>
      </c>
      <c r="AR567" s="13"/>
      <c r="AS567" s="32"/>
      <c r="AT567" s="13">
        <f t="shared" ca="1" si="195"/>
        <v>0</v>
      </c>
      <c r="AU567" s="33"/>
      <c r="AV567" s="13">
        <f t="shared" ca="1" si="186"/>
        <v>0</v>
      </c>
      <c r="AW567" s="13">
        <f ca="1">ROUNDUP(($AT567+$AV567)*VLOOKUP($AP567,Paraméterek!$P$38:$Q$38,2)/12*IF($D568="Nem",IF($M$13=0,1,$M$13),1),IF($D$4="Forint",0,2))</f>
        <v>0</v>
      </c>
      <c r="AX567" s="13"/>
      <c r="AY567" s="13"/>
      <c r="AZ567" s="13">
        <f>ROUNDUP(IF(SUM($AX567:$AY567)=0,0,IF(IF(ISBLANK($AY567),$AX567,$AY567)*Paraméterek!$J$112&lt;IF($D$4="Forint",Paraméterek!$J$113,Paraméterek!$K$113),IF($D$4="Forint",Paraméterek!$J$113,Paraméterek!$K$113),IF(IF(ISBLANK($AY567),$AX567,$AY567)*Paraméterek!$J$112&gt;IF($D$4="Forint",Paraméterek!$J$114,Paraméterek!$K$114),IF($D$4="Forint",Paraméterek!$J$114,Paraméterek!$K$114),IF(ISBLANK($AY567),$AX567,$AY567)*Paraméterek!$J$112))),IF($D$4="Forint",0,2))</f>
        <v>0</v>
      </c>
      <c r="BA567" s="13">
        <f ca="1">$AT567+$AV567-$AW567-IF(ROUNDDOWN(IF(ISBLANK($AY567),$AX567,$AY567),IF($D$4="Forint",0,2))&gt;$AT567+$AV567-$AW567-IF($D$4="Forint",Paraméterek!$J$114,Paraméterek!$K$114),0,ROUNDDOWN(IF(ISBLANK($AY567),$AX567,$AY567),IF($D$4="Forint",0,2))-$AZ567)</f>
        <v>0</v>
      </c>
      <c r="BB567" s="13">
        <f t="shared" ca="1" si="187"/>
        <v>0</v>
      </c>
      <c r="BD567" s="32">
        <v>548</v>
      </c>
      <c r="BE567" s="32">
        <v>46</v>
      </c>
      <c r="BF567" s="32">
        <v>8</v>
      </c>
      <c r="BG567" s="34">
        <f t="shared" ca="1" si="196"/>
        <v>2065</v>
      </c>
      <c r="BH567" s="32" t="str">
        <f ca="1">IF(MOD(MONTH($D$14)+$BD567-1,12)=Paraméterek!$C$288,"Igen","")</f>
        <v/>
      </c>
      <c r="BI567" s="13">
        <f ca="1">IF($BH567="Igen",MIN(ROUNDDOWN((SUMIF($BG$20:$BG$1027,$BG567-1,$K$20:$K$1027)-SUMIF($BG$20:$BG$1027,$BG567-1,$I$20:$I$1027))*Paraméterek!$C$289,IF($D$4="Forint",0,2)),IF($D$4="Forint",Paraméterek!$C$285,Paraméterek!$D$285)),0)</f>
        <v>0</v>
      </c>
      <c r="BJ567" s="13">
        <f t="shared" ca="1" si="188"/>
        <v>0</v>
      </c>
      <c r="BK567" s="13">
        <f t="shared" ca="1" si="197"/>
        <v>0</v>
      </c>
      <c r="BL567" s="33"/>
      <c r="BM567" s="13">
        <f t="shared" ca="1" si="189"/>
        <v>0</v>
      </c>
      <c r="BN567" s="13">
        <f ca="1">ROUNDUP(($BK567+$BM567)*VLOOKUP($BE567,Paraméterek!$P$38:$Q$38,2)/12*IF($D568="Nem",IF($M$13=0,1,$M$13),1),IF($D$4="Forint",0,2))</f>
        <v>0</v>
      </c>
      <c r="BO567" s="13">
        <f t="shared" ca="1" si="190"/>
        <v>0</v>
      </c>
      <c r="BP567" s="13">
        <f ca="1">IF($D568="Nem",$BO567,$BO567-ROUNDUP(SUM($BI$20:$BI567)*120%,IF($D$4="Forint",0,2)))</f>
        <v>0</v>
      </c>
    </row>
    <row r="568" spans="1:68" x14ac:dyDescent="0.2">
      <c r="A568" s="32">
        <v>549</v>
      </c>
      <c r="B568" s="32">
        <v>46</v>
      </c>
      <c r="C568" s="32">
        <v>9</v>
      </c>
      <c r="D568" s="32" t="str">
        <f t="shared" ca="1" si="176"/>
        <v>Nem</v>
      </c>
      <c r="E568" s="13">
        <f t="shared" ca="1" si="177"/>
        <v>0</v>
      </c>
      <c r="F568" s="13"/>
      <c r="G568" s="13"/>
      <c r="H568" s="13"/>
      <c r="I568" s="13">
        <f t="shared" ca="1" si="178"/>
        <v>0</v>
      </c>
      <c r="J568" s="13">
        <f t="shared" ca="1" si="179"/>
        <v>0</v>
      </c>
      <c r="K568" s="13">
        <f t="shared" ca="1" si="180"/>
        <v>0</v>
      </c>
      <c r="L568" s="13" t="e">
        <f ca="1">ROUNDUP(IF($D$2="Egyszeri",$E568,IF($D$2="Havi",SUM($E$20:$E$31),IF(MOD($C568,$M$1)-1=0,SUM($E$20:$E$31),0))/12*$M$1)*VLOOKUP($B568,Paraméterek!$I$28:$P$31,IF($D$2="Egyszeri",8,HLOOKUP(ROUNDUP($M$11+$M$13,0),Paraméterek!$J$26:$O$27,2))),IF($D$4="Forint",0,2))</f>
        <v>#N/A</v>
      </c>
      <c r="M568" s="13">
        <f t="shared" ca="1" si="181"/>
        <v>0</v>
      </c>
      <c r="N568" s="13">
        <f t="shared" ca="1" si="191"/>
        <v>0</v>
      </c>
      <c r="O568" s="13">
        <f ca="1">IF($D568="Igen",IF($W567&gt;=IF($D$4="Forint",Paraméterek!$J$121,Paraméterek!$K$121),0,IF($D$4="Forint",Paraméterek!$J$121,Paraméterek!$K$121)-$W567),0)</f>
        <v>0</v>
      </c>
      <c r="P568" s="13" t="e">
        <f ca="1">ROUNDUP($O568*VLOOKUP($M$4+$B568-1,Paraméterek!$H$58:$I$105,2,0)/Paraméterek!$I$56,IF($D$4="Forint",0,2))</f>
        <v>#N/A</v>
      </c>
      <c r="Q568" s="13">
        <f t="shared" ca="1" si="182"/>
        <v>0</v>
      </c>
      <c r="R568" s="33"/>
      <c r="S568" s="13" t="e">
        <f t="shared" ca="1" si="183"/>
        <v>#N/A</v>
      </c>
      <c r="T568" s="13" t="e">
        <f ca="1">ROUNDUP(($N568-$P568-$Q568+$S568)*VLOOKUP($B568,Paraméterek!$I$38:$K$39,IF($D$2="Egyszeri",3,2))/12*IF($D569="Nem",IF($M$13=0,1,$M$13),1),IF($D$4="Forint",0,2))</f>
        <v>#N/A</v>
      </c>
      <c r="U568" s="13"/>
      <c r="V568" s="13"/>
      <c r="W568" s="13" t="e">
        <f ca="1">$N568-$P568-$Q568+$S568-$T568-IF(ROUNDUP(IF(ISBLANK($V568),$U568*0,$V568)/IF($D$2="Egyszeri",VLOOKUP($B568+IF($C568=12,1,0),Paraméterek!$V$257:$W$262,2),IF($B568=1,1,VLOOKUP($B568+IF($C568=12,1,0),Paraméterek!$I$258:$T$278,HLOOKUP($M$11+1,Paraméterek!$J$256:$T$257,2)))),IF($D$4="Forint",0,2))&gt;$N568-$P568-$Q568+$S568-$T568-IF($D$4="Forint",Paraméterek!$C$216,Paraméterek!$D$216),0,ROUNDUP(IF(ISBLANK($V568),$U568*0,$V568)/IF($D$2="Egyszeri",VLOOKUP($B568+IF($C568=12,1,0),Paraméterek!$V$257:$W$262,2),IF($B568=1,1,VLOOKUP($B568+IF($C568=12,1,0),Paraméterek!$I$258:$T$278,HLOOKUP($M$11+1,Paraméterek!$J$256:$T$257,2)))),IF($D$4="Forint",0,2)))</f>
        <v>#N/A</v>
      </c>
      <c r="X568" s="13" t="e">
        <f ca="1">ROUNDDOWN($W568*IF($D$2="Egyszeri",VLOOKUP($B568+IF($C568=12,1,0),Paraméterek!$V$257:$W$262,2),VLOOKUP($B568+IF($C568=12,1,0),Paraméterek!$I$258:$T$278,HLOOKUP($M$11+1,Paraméterek!$I$256:$T$257,2))),IF($D$4="Forint",0,2))</f>
        <v>#N/A</v>
      </c>
      <c r="Z568" s="32">
        <v>549</v>
      </c>
      <c r="AA568" s="32">
        <v>46</v>
      </c>
      <c r="AB568" s="32">
        <v>9</v>
      </c>
      <c r="AC568" s="13">
        <f t="shared" ca="1" si="192"/>
        <v>0</v>
      </c>
      <c r="AD568" s="33"/>
      <c r="AE568" s="13">
        <f t="shared" ca="1" si="184"/>
        <v>0</v>
      </c>
      <c r="AF568" s="13">
        <f ca="1">ROUNDUP(($AC568+$AE568)*VLOOKUP($AA568,Paraméterek!$P$38:$Q$38,2)/12*IF($D569="Nem",IF($M$13=0,1,$M$13),1),IF($D$4="Forint",0,2))</f>
        <v>0</v>
      </c>
      <c r="AG568" s="13">
        <f ca="1">IF($D$2="Egyszeri",IF($D$7&gt;=IF($D$4="Forint",Paraméterek!$P$223,Paraméterek!$P$224),$D$7-IF($D$4="Forint",Paraméterek!$P$223,Paraméterek!$P$224),0),MIN(IF($AB568=12,AVERAGEIF($E$20:$E568,"&gt;0",$E$20:$E568)*12,0),SUM($E$20:$E$31)))</f>
        <v>0</v>
      </c>
      <c r="AH568" s="13">
        <f>IF($AA568=10,$AG568*IF($AB568=12,IF($AG568&lt;IF($D$4="Forint",Paraméterek!$L$223,Paraméterek!$L$224),0,VLOOKUP($AA568,Paraméterek!$K$226:$M$228,IF($AG568&lt;IF($D$4="Forint",Paraméterek!$M$223,Paraméterek!$M$224),2,3))),0),0)</f>
        <v>0</v>
      </c>
      <c r="AI568" s="13">
        <f ca="1">IF(AND($AA568=$M$11+1,$AB568=$M$12+1),SUMIF($AA$20:$AA$1027,$AA568,$AG$20:$AG$1027)*IF(SUMIF($AA$20:$AA$1027,$AA568,$AG$20:$AG$1027)&lt;IF($D$4="Forint",Paraméterek!$L$223,Paraméterek!$L$224),0,VLOOKUP($AA568,Paraméterek!$K$230:$M$250,IF(SUMIF($AA$20:$AA$1027,$AA568,$AG$20:$AG$1027)&lt;IF($D$4="Forint",Paraméterek!$M$223,Paraméterek!$M$224),2,3))),0)</f>
        <v>0</v>
      </c>
      <c r="AJ568" s="13">
        <f ca="1">IF(AND($AA568&gt;=5,MOD($AA568,5)=0),IF($AB568=12,VLOOKUP($AA568,Paraméterek!$O$225:$P$240,2),0),IF(OR($AA568=3,$AA568=4),IF($AB568=12,VLOOKUP($AA568,Paraméterek!$O$225:$P$240,2,0),0),0))*$AG568</f>
        <v>0</v>
      </c>
      <c r="AK568" s="13">
        <f t="shared" ca="1" si="185"/>
        <v>0</v>
      </c>
      <c r="AL568" s="13">
        <f t="shared" ca="1" si="193"/>
        <v>0</v>
      </c>
      <c r="AM568" s="13">
        <f t="shared" ca="1" si="194"/>
        <v>0</v>
      </c>
      <c r="AO568" s="32">
        <v>549</v>
      </c>
      <c r="AP568" s="32">
        <v>46</v>
      </c>
      <c r="AQ568" s="32">
        <v>9</v>
      </c>
      <c r="AR568" s="13"/>
      <c r="AS568" s="32"/>
      <c r="AT568" s="13">
        <f t="shared" ca="1" si="195"/>
        <v>0</v>
      </c>
      <c r="AU568" s="33"/>
      <c r="AV568" s="13">
        <f t="shared" ca="1" si="186"/>
        <v>0</v>
      </c>
      <c r="AW568" s="13">
        <f ca="1">ROUNDUP(($AT568+$AV568)*VLOOKUP($AP568,Paraméterek!$P$38:$Q$38,2)/12*IF($D569="Nem",IF($M$13=0,1,$M$13),1),IF($D$4="Forint",0,2))</f>
        <v>0</v>
      </c>
      <c r="AX568" s="13"/>
      <c r="AY568" s="13"/>
      <c r="AZ568" s="13">
        <f>ROUNDUP(IF(SUM($AX568:$AY568)=0,0,IF(IF(ISBLANK($AY568),$AX568,$AY568)*Paraméterek!$J$112&lt;IF($D$4="Forint",Paraméterek!$J$113,Paraméterek!$K$113),IF($D$4="Forint",Paraméterek!$J$113,Paraméterek!$K$113),IF(IF(ISBLANK($AY568),$AX568,$AY568)*Paraméterek!$J$112&gt;IF($D$4="Forint",Paraméterek!$J$114,Paraméterek!$K$114),IF($D$4="Forint",Paraméterek!$J$114,Paraméterek!$K$114),IF(ISBLANK($AY568),$AX568,$AY568)*Paraméterek!$J$112))),IF($D$4="Forint",0,2))</f>
        <v>0</v>
      </c>
      <c r="BA568" s="13">
        <f ca="1">$AT568+$AV568-$AW568-IF(ROUNDDOWN(IF(ISBLANK($AY568),$AX568,$AY568),IF($D$4="Forint",0,2))&gt;$AT568+$AV568-$AW568-IF($D$4="Forint",Paraméterek!$J$114,Paraméterek!$K$114),0,ROUNDDOWN(IF(ISBLANK($AY568),$AX568,$AY568),IF($D$4="Forint",0,2))-$AZ568)</f>
        <v>0</v>
      </c>
      <c r="BB568" s="13">
        <f t="shared" ca="1" si="187"/>
        <v>0</v>
      </c>
      <c r="BD568" s="32">
        <v>549</v>
      </c>
      <c r="BE568" s="32">
        <v>46</v>
      </c>
      <c r="BF568" s="32">
        <v>9</v>
      </c>
      <c r="BG568" s="34">
        <f t="shared" ca="1" si="196"/>
        <v>2065</v>
      </c>
      <c r="BH568" s="32" t="str">
        <f ca="1">IF(MOD(MONTH($D$14)+$BD568-1,12)=Paraméterek!$C$288,"Igen","")</f>
        <v/>
      </c>
      <c r="BI568" s="13">
        <f ca="1">IF($BH568="Igen",MIN(ROUNDDOWN((SUMIF($BG$20:$BG$1027,$BG568-1,$K$20:$K$1027)-SUMIF($BG$20:$BG$1027,$BG568-1,$I$20:$I$1027))*Paraméterek!$C$289,IF($D$4="Forint",0,2)),IF($D$4="Forint",Paraméterek!$C$285,Paraméterek!$D$285)),0)</f>
        <v>0</v>
      </c>
      <c r="BJ568" s="13">
        <f t="shared" ca="1" si="188"/>
        <v>0</v>
      </c>
      <c r="BK568" s="13">
        <f t="shared" ca="1" si="197"/>
        <v>0</v>
      </c>
      <c r="BL568" s="33"/>
      <c r="BM568" s="13">
        <f t="shared" ca="1" si="189"/>
        <v>0</v>
      </c>
      <c r="BN568" s="13">
        <f ca="1">ROUNDUP(($BK568+$BM568)*VLOOKUP($BE568,Paraméterek!$P$38:$Q$38,2)/12*IF($D569="Nem",IF($M$13=0,1,$M$13),1),IF($D$4="Forint",0,2))</f>
        <v>0</v>
      </c>
      <c r="BO568" s="13">
        <f t="shared" ca="1" si="190"/>
        <v>0</v>
      </c>
      <c r="BP568" s="13">
        <f ca="1">IF($D569="Nem",$BO568,$BO568-ROUNDUP(SUM($BI$20:$BI568)*120%,IF($D$4="Forint",0,2)))</f>
        <v>0</v>
      </c>
    </row>
    <row r="569" spans="1:68" x14ac:dyDescent="0.2">
      <c r="A569" s="32">
        <v>550</v>
      </c>
      <c r="B569" s="32">
        <v>46</v>
      </c>
      <c r="C569" s="32">
        <v>10</v>
      </c>
      <c r="D569" s="32" t="str">
        <f t="shared" ca="1" si="176"/>
        <v>Nem</v>
      </c>
      <c r="E569" s="13">
        <f t="shared" ca="1" si="177"/>
        <v>0</v>
      </c>
      <c r="F569" s="13"/>
      <c r="G569" s="13"/>
      <c r="H569" s="13"/>
      <c r="I569" s="13">
        <f t="shared" ca="1" si="178"/>
        <v>0</v>
      </c>
      <c r="J569" s="13">
        <f t="shared" ca="1" si="179"/>
        <v>0</v>
      </c>
      <c r="K569" s="13">
        <f t="shared" ca="1" si="180"/>
        <v>0</v>
      </c>
      <c r="L569" s="13" t="e">
        <f ca="1">ROUNDUP(IF($D$2="Egyszeri",$E569,IF($D$2="Havi",SUM($E$20:$E$31),IF(MOD($C569,$M$1)-1=0,SUM($E$20:$E$31),0))/12*$M$1)*VLOOKUP($B569,Paraméterek!$I$28:$P$31,IF($D$2="Egyszeri",8,HLOOKUP(ROUNDUP($M$11+$M$13,0),Paraméterek!$J$26:$O$27,2))),IF($D$4="Forint",0,2))</f>
        <v>#N/A</v>
      </c>
      <c r="M569" s="13">
        <f t="shared" ca="1" si="181"/>
        <v>0</v>
      </c>
      <c r="N569" s="13">
        <f t="shared" ca="1" si="191"/>
        <v>0</v>
      </c>
      <c r="O569" s="13">
        <f ca="1">IF($D569="Igen",IF($W568&gt;=IF($D$4="Forint",Paraméterek!$J$121,Paraméterek!$K$121),0,IF($D$4="Forint",Paraméterek!$J$121,Paraméterek!$K$121)-$W568),0)</f>
        <v>0</v>
      </c>
      <c r="P569" s="13" t="e">
        <f ca="1">ROUNDUP($O569*VLOOKUP($M$4+$B569-1,Paraméterek!$H$58:$I$105,2,0)/Paraméterek!$I$56,IF($D$4="Forint",0,2))</f>
        <v>#N/A</v>
      </c>
      <c r="Q569" s="13">
        <f t="shared" ca="1" si="182"/>
        <v>0</v>
      </c>
      <c r="R569" s="33"/>
      <c r="S569" s="13" t="e">
        <f t="shared" ca="1" si="183"/>
        <v>#N/A</v>
      </c>
      <c r="T569" s="13" t="e">
        <f ca="1">ROUNDUP(($N569-$P569-$Q569+$S569)*VLOOKUP($B569,Paraméterek!$I$38:$K$39,IF($D$2="Egyszeri",3,2))/12*IF($D570="Nem",IF($M$13=0,1,$M$13),1),IF($D$4="Forint",0,2))</f>
        <v>#N/A</v>
      </c>
      <c r="U569" s="13"/>
      <c r="V569" s="13"/>
      <c r="W569" s="13" t="e">
        <f ca="1">$N569-$P569-$Q569+$S569-$T569-IF(ROUNDUP(IF(ISBLANK($V569),$U569*0,$V569)/IF($D$2="Egyszeri",VLOOKUP($B569+IF($C569=12,1,0),Paraméterek!$V$257:$W$262,2),IF($B569=1,1,VLOOKUP($B569+IF($C569=12,1,0),Paraméterek!$I$258:$T$278,HLOOKUP($M$11+1,Paraméterek!$J$256:$T$257,2)))),IF($D$4="Forint",0,2))&gt;$N569-$P569-$Q569+$S569-$T569-IF($D$4="Forint",Paraméterek!$C$216,Paraméterek!$D$216),0,ROUNDUP(IF(ISBLANK($V569),$U569*0,$V569)/IF($D$2="Egyszeri",VLOOKUP($B569+IF($C569=12,1,0),Paraméterek!$V$257:$W$262,2),IF($B569=1,1,VLOOKUP($B569+IF($C569=12,1,0),Paraméterek!$I$258:$T$278,HLOOKUP($M$11+1,Paraméterek!$J$256:$T$257,2)))),IF($D$4="Forint",0,2)))</f>
        <v>#N/A</v>
      </c>
      <c r="X569" s="13" t="e">
        <f ca="1">ROUNDDOWN($W569*IF($D$2="Egyszeri",VLOOKUP($B569+IF($C569=12,1,0),Paraméterek!$V$257:$W$262,2),VLOOKUP($B569+IF($C569=12,1,0),Paraméterek!$I$258:$T$278,HLOOKUP($M$11+1,Paraméterek!$I$256:$T$257,2))),IF($D$4="Forint",0,2))</f>
        <v>#N/A</v>
      </c>
      <c r="Z569" s="32">
        <v>550</v>
      </c>
      <c r="AA569" s="32">
        <v>46</v>
      </c>
      <c r="AB569" s="32">
        <v>10</v>
      </c>
      <c r="AC569" s="13">
        <f t="shared" ca="1" si="192"/>
        <v>0</v>
      </c>
      <c r="AD569" s="33"/>
      <c r="AE569" s="13">
        <f t="shared" ca="1" si="184"/>
        <v>0</v>
      </c>
      <c r="AF569" s="13">
        <f ca="1">ROUNDUP(($AC569+$AE569)*VLOOKUP($AA569,Paraméterek!$P$38:$Q$38,2)/12*IF($D570="Nem",IF($M$13=0,1,$M$13),1),IF($D$4="Forint",0,2))</f>
        <v>0</v>
      </c>
      <c r="AG569" s="13">
        <f ca="1">IF($D$2="Egyszeri",IF($D$7&gt;=IF($D$4="Forint",Paraméterek!$P$223,Paraméterek!$P$224),$D$7-IF($D$4="Forint",Paraméterek!$P$223,Paraméterek!$P$224),0),MIN(IF($AB569=12,AVERAGEIF($E$20:$E569,"&gt;0",$E$20:$E569)*12,0),SUM($E$20:$E$31)))</f>
        <v>0</v>
      </c>
      <c r="AH569" s="13">
        <f>IF($AA569=10,$AG569*IF($AB569=12,IF($AG569&lt;IF($D$4="Forint",Paraméterek!$L$223,Paraméterek!$L$224),0,VLOOKUP($AA569,Paraméterek!$K$226:$M$228,IF($AG569&lt;IF($D$4="Forint",Paraméterek!$M$223,Paraméterek!$M$224),2,3))),0),0)</f>
        <v>0</v>
      </c>
      <c r="AI569" s="13">
        <f ca="1">IF(AND($AA569=$M$11+1,$AB569=$M$12+1),SUMIF($AA$20:$AA$1027,$AA569,$AG$20:$AG$1027)*IF(SUMIF($AA$20:$AA$1027,$AA569,$AG$20:$AG$1027)&lt;IF($D$4="Forint",Paraméterek!$L$223,Paraméterek!$L$224),0,VLOOKUP($AA569,Paraméterek!$K$230:$M$250,IF(SUMIF($AA$20:$AA$1027,$AA569,$AG$20:$AG$1027)&lt;IF($D$4="Forint",Paraméterek!$M$223,Paraméterek!$M$224),2,3))),0)</f>
        <v>0</v>
      </c>
      <c r="AJ569" s="13">
        <f ca="1">IF(AND($AA569&gt;=5,MOD($AA569,5)=0),IF($AB569=12,VLOOKUP($AA569,Paraméterek!$O$225:$P$240,2),0),IF(OR($AA569=3,$AA569=4),IF($AB569=12,VLOOKUP($AA569,Paraméterek!$O$225:$P$240,2,0),0),0))*$AG569</f>
        <v>0</v>
      </c>
      <c r="AK569" s="13">
        <f t="shared" ca="1" si="185"/>
        <v>0</v>
      </c>
      <c r="AL569" s="13">
        <f t="shared" ca="1" si="193"/>
        <v>0</v>
      </c>
      <c r="AM569" s="13">
        <f t="shared" ca="1" si="194"/>
        <v>0</v>
      </c>
      <c r="AO569" s="32">
        <v>550</v>
      </c>
      <c r="AP569" s="32">
        <v>46</v>
      </c>
      <c r="AQ569" s="32">
        <v>10</v>
      </c>
      <c r="AR569" s="13"/>
      <c r="AS569" s="32"/>
      <c r="AT569" s="13">
        <f t="shared" ca="1" si="195"/>
        <v>0</v>
      </c>
      <c r="AU569" s="33"/>
      <c r="AV569" s="13">
        <f t="shared" ca="1" si="186"/>
        <v>0</v>
      </c>
      <c r="AW569" s="13">
        <f ca="1">ROUNDUP(($AT569+$AV569)*VLOOKUP($AP569,Paraméterek!$P$38:$Q$38,2)/12*IF($D570="Nem",IF($M$13=0,1,$M$13),1),IF($D$4="Forint",0,2))</f>
        <v>0</v>
      </c>
      <c r="AX569" s="13"/>
      <c r="AY569" s="13"/>
      <c r="AZ569" s="13">
        <f>ROUNDUP(IF(SUM($AX569:$AY569)=0,0,IF(IF(ISBLANK($AY569),$AX569,$AY569)*Paraméterek!$J$112&lt;IF($D$4="Forint",Paraméterek!$J$113,Paraméterek!$K$113),IF($D$4="Forint",Paraméterek!$J$113,Paraméterek!$K$113),IF(IF(ISBLANK($AY569),$AX569,$AY569)*Paraméterek!$J$112&gt;IF($D$4="Forint",Paraméterek!$J$114,Paraméterek!$K$114),IF($D$4="Forint",Paraméterek!$J$114,Paraméterek!$K$114),IF(ISBLANK($AY569),$AX569,$AY569)*Paraméterek!$J$112))),IF($D$4="Forint",0,2))</f>
        <v>0</v>
      </c>
      <c r="BA569" s="13">
        <f ca="1">$AT569+$AV569-$AW569-IF(ROUNDDOWN(IF(ISBLANK($AY569),$AX569,$AY569),IF($D$4="Forint",0,2))&gt;$AT569+$AV569-$AW569-IF($D$4="Forint",Paraméterek!$J$114,Paraméterek!$K$114),0,ROUNDDOWN(IF(ISBLANK($AY569),$AX569,$AY569),IF($D$4="Forint",0,2))-$AZ569)</f>
        <v>0</v>
      </c>
      <c r="BB569" s="13">
        <f t="shared" ca="1" si="187"/>
        <v>0</v>
      </c>
      <c r="BD569" s="32">
        <v>550</v>
      </c>
      <c r="BE569" s="32">
        <v>46</v>
      </c>
      <c r="BF569" s="32">
        <v>10</v>
      </c>
      <c r="BG569" s="34">
        <f t="shared" ca="1" si="196"/>
        <v>2065</v>
      </c>
      <c r="BH569" s="32" t="str">
        <f ca="1">IF(MOD(MONTH($D$14)+$BD569-1,12)=Paraméterek!$C$288,"Igen","")</f>
        <v/>
      </c>
      <c r="BI569" s="13">
        <f ca="1">IF($BH569="Igen",MIN(ROUNDDOWN((SUMIF($BG$20:$BG$1027,$BG569-1,$K$20:$K$1027)-SUMIF($BG$20:$BG$1027,$BG569-1,$I$20:$I$1027))*Paraméterek!$C$289,IF($D$4="Forint",0,2)),IF($D$4="Forint",Paraméterek!$C$285,Paraméterek!$D$285)),0)</f>
        <v>0</v>
      </c>
      <c r="BJ569" s="13">
        <f t="shared" ca="1" si="188"/>
        <v>0</v>
      </c>
      <c r="BK569" s="13">
        <f t="shared" ca="1" si="197"/>
        <v>0</v>
      </c>
      <c r="BL569" s="33"/>
      <c r="BM569" s="13">
        <f t="shared" ca="1" si="189"/>
        <v>0</v>
      </c>
      <c r="BN569" s="13">
        <f ca="1">ROUNDUP(($BK569+$BM569)*VLOOKUP($BE569,Paraméterek!$P$38:$Q$38,2)/12*IF($D570="Nem",IF($M$13=0,1,$M$13),1),IF($D$4="Forint",0,2))</f>
        <v>0</v>
      </c>
      <c r="BO569" s="13">
        <f t="shared" ca="1" si="190"/>
        <v>0</v>
      </c>
      <c r="BP569" s="13">
        <f ca="1">IF($D570="Nem",$BO569,$BO569-ROUNDUP(SUM($BI$20:$BI569)*120%,IF($D$4="Forint",0,2)))</f>
        <v>0</v>
      </c>
    </row>
    <row r="570" spans="1:68" x14ac:dyDescent="0.2">
      <c r="A570" s="32">
        <v>551</v>
      </c>
      <c r="B570" s="32">
        <v>46</v>
      </c>
      <c r="C570" s="32">
        <v>11</v>
      </c>
      <c r="D570" s="32" t="str">
        <f t="shared" ca="1" si="176"/>
        <v>Nem</v>
      </c>
      <c r="E570" s="13">
        <f t="shared" ca="1" si="177"/>
        <v>0</v>
      </c>
      <c r="F570" s="13"/>
      <c r="G570" s="13"/>
      <c r="H570" s="13"/>
      <c r="I570" s="13">
        <f t="shared" ca="1" si="178"/>
        <v>0</v>
      </c>
      <c r="J570" s="13">
        <f t="shared" ca="1" si="179"/>
        <v>0</v>
      </c>
      <c r="K570" s="13">
        <f t="shared" ca="1" si="180"/>
        <v>0</v>
      </c>
      <c r="L570" s="13" t="e">
        <f ca="1">ROUNDUP(IF($D$2="Egyszeri",$E570,IF($D$2="Havi",SUM($E$20:$E$31),IF(MOD($C570,$M$1)-1=0,SUM($E$20:$E$31),0))/12*$M$1)*VLOOKUP($B570,Paraméterek!$I$28:$P$31,IF($D$2="Egyszeri",8,HLOOKUP(ROUNDUP($M$11+$M$13,0),Paraméterek!$J$26:$O$27,2))),IF($D$4="Forint",0,2))</f>
        <v>#N/A</v>
      </c>
      <c r="M570" s="13">
        <f t="shared" ca="1" si="181"/>
        <v>0</v>
      </c>
      <c r="N570" s="13">
        <f t="shared" ca="1" si="191"/>
        <v>0</v>
      </c>
      <c r="O570" s="13">
        <f ca="1">IF($D570="Igen",IF($W569&gt;=IF($D$4="Forint",Paraméterek!$J$121,Paraméterek!$K$121),0,IF($D$4="Forint",Paraméterek!$J$121,Paraméterek!$K$121)-$W569),0)</f>
        <v>0</v>
      </c>
      <c r="P570" s="13" t="e">
        <f ca="1">ROUNDUP($O570*VLOOKUP($M$4+$B570-1,Paraméterek!$H$58:$I$105,2,0)/Paraméterek!$I$56,IF($D$4="Forint",0,2))</f>
        <v>#N/A</v>
      </c>
      <c r="Q570" s="13">
        <f t="shared" ca="1" si="182"/>
        <v>0</v>
      </c>
      <c r="R570" s="33"/>
      <c r="S570" s="13" t="e">
        <f t="shared" ca="1" si="183"/>
        <v>#N/A</v>
      </c>
      <c r="T570" s="13" t="e">
        <f ca="1">ROUNDUP(($N570-$P570-$Q570+$S570)*VLOOKUP($B570,Paraméterek!$I$38:$K$39,IF($D$2="Egyszeri",3,2))/12*IF($D571="Nem",IF($M$13=0,1,$M$13),1),IF($D$4="Forint",0,2))</f>
        <v>#N/A</v>
      </c>
      <c r="U570" s="13"/>
      <c r="V570" s="13"/>
      <c r="W570" s="13" t="e">
        <f ca="1">$N570-$P570-$Q570+$S570-$T570-IF(ROUNDUP(IF(ISBLANK($V570),$U570*0,$V570)/IF($D$2="Egyszeri",VLOOKUP($B570+IF($C570=12,1,0),Paraméterek!$V$257:$W$262,2),IF($B570=1,1,VLOOKUP($B570+IF($C570=12,1,0),Paraméterek!$I$258:$T$278,HLOOKUP($M$11+1,Paraméterek!$J$256:$T$257,2)))),IF($D$4="Forint",0,2))&gt;$N570-$P570-$Q570+$S570-$T570-IF($D$4="Forint",Paraméterek!$C$216,Paraméterek!$D$216),0,ROUNDUP(IF(ISBLANK($V570),$U570*0,$V570)/IF($D$2="Egyszeri",VLOOKUP($B570+IF($C570=12,1,0),Paraméterek!$V$257:$W$262,2),IF($B570=1,1,VLOOKUP($B570+IF($C570=12,1,0),Paraméterek!$I$258:$T$278,HLOOKUP($M$11+1,Paraméterek!$J$256:$T$257,2)))),IF($D$4="Forint",0,2)))</f>
        <v>#N/A</v>
      </c>
      <c r="X570" s="13" t="e">
        <f ca="1">ROUNDDOWN($W570*IF($D$2="Egyszeri",VLOOKUP($B570+IF($C570=12,1,0),Paraméterek!$V$257:$W$262,2),VLOOKUP($B570+IF($C570=12,1,0),Paraméterek!$I$258:$T$278,HLOOKUP($M$11+1,Paraméterek!$I$256:$T$257,2))),IF($D$4="Forint",0,2))</f>
        <v>#N/A</v>
      </c>
      <c r="Z570" s="32">
        <v>551</v>
      </c>
      <c r="AA570" s="32">
        <v>46</v>
      </c>
      <c r="AB570" s="32">
        <v>11</v>
      </c>
      <c r="AC570" s="13">
        <f t="shared" ca="1" si="192"/>
        <v>0</v>
      </c>
      <c r="AD570" s="33"/>
      <c r="AE570" s="13">
        <f t="shared" ca="1" si="184"/>
        <v>0</v>
      </c>
      <c r="AF570" s="13">
        <f ca="1">ROUNDUP(($AC570+$AE570)*VLOOKUP($AA570,Paraméterek!$P$38:$Q$38,2)/12*IF($D571="Nem",IF($M$13=0,1,$M$13),1),IF($D$4="Forint",0,2))</f>
        <v>0</v>
      </c>
      <c r="AG570" s="13">
        <f ca="1">IF($D$2="Egyszeri",IF($D$7&gt;=IF($D$4="Forint",Paraméterek!$P$223,Paraméterek!$P$224),$D$7-IF($D$4="Forint",Paraméterek!$P$223,Paraméterek!$P$224),0),MIN(IF($AB570=12,AVERAGEIF($E$20:$E570,"&gt;0",$E$20:$E570)*12,0),SUM($E$20:$E$31)))</f>
        <v>0</v>
      </c>
      <c r="AH570" s="13">
        <f>IF($AA570=10,$AG570*IF($AB570=12,IF($AG570&lt;IF($D$4="Forint",Paraméterek!$L$223,Paraméterek!$L$224),0,VLOOKUP($AA570,Paraméterek!$K$226:$M$228,IF($AG570&lt;IF($D$4="Forint",Paraméterek!$M$223,Paraméterek!$M$224),2,3))),0),0)</f>
        <v>0</v>
      </c>
      <c r="AI570" s="13">
        <f ca="1">IF(AND($AA570=$M$11+1,$AB570=$M$12+1),SUMIF($AA$20:$AA$1027,$AA570,$AG$20:$AG$1027)*IF(SUMIF($AA$20:$AA$1027,$AA570,$AG$20:$AG$1027)&lt;IF($D$4="Forint",Paraméterek!$L$223,Paraméterek!$L$224),0,VLOOKUP($AA570,Paraméterek!$K$230:$M$250,IF(SUMIF($AA$20:$AA$1027,$AA570,$AG$20:$AG$1027)&lt;IF($D$4="Forint",Paraméterek!$M$223,Paraméterek!$M$224),2,3))),0)</f>
        <v>0</v>
      </c>
      <c r="AJ570" s="13">
        <f ca="1">IF(AND($AA570&gt;=5,MOD($AA570,5)=0),IF($AB570=12,VLOOKUP($AA570,Paraméterek!$O$225:$P$240,2),0),IF(OR($AA570=3,$AA570=4),IF($AB570=12,VLOOKUP($AA570,Paraméterek!$O$225:$P$240,2,0),0),0))*$AG570</f>
        <v>0</v>
      </c>
      <c r="AK570" s="13">
        <f t="shared" ca="1" si="185"/>
        <v>0</v>
      </c>
      <c r="AL570" s="13">
        <f t="shared" ca="1" si="193"/>
        <v>0</v>
      </c>
      <c r="AM570" s="13">
        <f t="shared" ca="1" si="194"/>
        <v>0</v>
      </c>
      <c r="AO570" s="32">
        <v>551</v>
      </c>
      <c r="AP570" s="32">
        <v>46</v>
      </c>
      <c r="AQ570" s="32">
        <v>11</v>
      </c>
      <c r="AR570" s="13"/>
      <c r="AS570" s="32"/>
      <c r="AT570" s="13">
        <f t="shared" ca="1" si="195"/>
        <v>0</v>
      </c>
      <c r="AU570" s="33"/>
      <c r="AV570" s="13">
        <f t="shared" ca="1" si="186"/>
        <v>0</v>
      </c>
      <c r="AW570" s="13">
        <f ca="1">ROUNDUP(($AT570+$AV570)*VLOOKUP($AP570,Paraméterek!$P$38:$Q$38,2)/12*IF($D571="Nem",IF($M$13=0,1,$M$13),1),IF($D$4="Forint",0,2))</f>
        <v>0</v>
      </c>
      <c r="AX570" s="13"/>
      <c r="AY570" s="13"/>
      <c r="AZ570" s="13">
        <f>ROUNDUP(IF(SUM($AX570:$AY570)=0,0,IF(IF(ISBLANK($AY570),$AX570,$AY570)*Paraméterek!$J$112&lt;IF($D$4="Forint",Paraméterek!$J$113,Paraméterek!$K$113),IF($D$4="Forint",Paraméterek!$J$113,Paraméterek!$K$113),IF(IF(ISBLANK($AY570),$AX570,$AY570)*Paraméterek!$J$112&gt;IF($D$4="Forint",Paraméterek!$J$114,Paraméterek!$K$114),IF($D$4="Forint",Paraméterek!$J$114,Paraméterek!$K$114),IF(ISBLANK($AY570),$AX570,$AY570)*Paraméterek!$J$112))),IF($D$4="Forint",0,2))</f>
        <v>0</v>
      </c>
      <c r="BA570" s="13">
        <f ca="1">$AT570+$AV570-$AW570-IF(ROUNDDOWN(IF(ISBLANK($AY570),$AX570,$AY570),IF($D$4="Forint",0,2))&gt;$AT570+$AV570-$AW570-IF($D$4="Forint",Paraméterek!$J$114,Paraméterek!$K$114),0,ROUNDDOWN(IF(ISBLANK($AY570),$AX570,$AY570),IF($D$4="Forint",0,2))-$AZ570)</f>
        <v>0</v>
      </c>
      <c r="BB570" s="13">
        <f t="shared" ca="1" si="187"/>
        <v>0</v>
      </c>
      <c r="BD570" s="32">
        <v>551</v>
      </c>
      <c r="BE570" s="32">
        <v>46</v>
      </c>
      <c r="BF570" s="32">
        <v>11</v>
      </c>
      <c r="BG570" s="34">
        <f t="shared" ca="1" si="196"/>
        <v>2065</v>
      </c>
      <c r="BH570" s="32" t="str">
        <f ca="1">IF(MOD(MONTH($D$14)+$BD570-1,12)=Paraméterek!$C$288,"Igen","")</f>
        <v/>
      </c>
      <c r="BI570" s="13">
        <f ca="1">IF($BH570="Igen",MIN(ROUNDDOWN((SUMIF($BG$20:$BG$1027,$BG570-1,$K$20:$K$1027)-SUMIF($BG$20:$BG$1027,$BG570-1,$I$20:$I$1027))*Paraméterek!$C$289,IF($D$4="Forint",0,2)),IF($D$4="Forint",Paraméterek!$C$285,Paraméterek!$D$285)),0)</f>
        <v>0</v>
      </c>
      <c r="BJ570" s="13">
        <f t="shared" ca="1" si="188"/>
        <v>0</v>
      </c>
      <c r="BK570" s="13">
        <f t="shared" ca="1" si="197"/>
        <v>0</v>
      </c>
      <c r="BL570" s="33"/>
      <c r="BM570" s="13">
        <f t="shared" ca="1" si="189"/>
        <v>0</v>
      </c>
      <c r="BN570" s="13">
        <f ca="1">ROUNDUP(($BK570+$BM570)*VLOOKUP($BE570,Paraméterek!$P$38:$Q$38,2)/12*IF($D571="Nem",IF($M$13=0,1,$M$13),1),IF($D$4="Forint",0,2))</f>
        <v>0</v>
      </c>
      <c r="BO570" s="13">
        <f t="shared" ca="1" si="190"/>
        <v>0</v>
      </c>
      <c r="BP570" s="13">
        <f ca="1">IF($D571="Nem",$BO570,$BO570-ROUNDUP(SUM($BI$20:$BI570)*120%,IF($D$4="Forint",0,2)))</f>
        <v>0</v>
      </c>
    </row>
    <row r="571" spans="1:68" x14ac:dyDescent="0.2">
      <c r="A571" s="32">
        <v>552</v>
      </c>
      <c r="B571" s="32">
        <v>46</v>
      </c>
      <c r="C571" s="32">
        <v>12</v>
      </c>
      <c r="D571" s="32" t="str">
        <f t="shared" ca="1" si="176"/>
        <v>Nem</v>
      </c>
      <c r="E571" s="13">
        <f t="shared" ca="1" si="177"/>
        <v>0</v>
      </c>
      <c r="F571" s="13"/>
      <c r="G571" s="13"/>
      <c r="H571" s="13"/>
      <c r="I571" s="13">
        <f t="shared" ca="1" si="178"/>
        <v>0</v>
      </c>
      <c r="J571" s="13">
        <f t="shared" ca="1" si="179"/>
        <v>0</v>
      </c>
      <c r="K571" s="13">
        <f t="shared" ca="1" si="180"/>
        <v>0</v>
      </c>
      <c r="L571" s="13" t="e">
        <f ca="1">ROUNDUP(IF($D$2="Egyszeri",$E571,IF($D$2="Havi",SUM($E$20:$E$31),IF(MOD($C571,$M$1)-1=0,SUM($E$20:$E$31),0))/12*$M$1)*VLOOKUP($B571,Paraméterek!$I$28:$P$31,IF($D$2="Egyszeri",8,HLOOKUP(ROUNDUP($M$11+$M$13,0),Paraméterek!$J$26:$O$27,2))),IF($D$4="Forint",0,2))</f>
        <v>#N/A</v>
      </c>
      <c r="M571" s="13">
        <f t="shared" ca="1" si="181"/>
        <v>0</v>
      </c>
      <c r="N571" s="13">
        <f t="shared" ca="1" si="191"/>
        <v>0</v>
      </c>
      <c r="O571" s="13">
        <f ca="1">IF($D571="Igen",IF($W570&gt;=IF($D$4="Forint",Paraméterek!$J$121,Paraméterek!$K$121),0,IF($D$4="Forint",Paraméterek!$J$121,Paraméterek!$K$121)-$W570),0)</f>
        <v>0</v>
      </c>
      <c r="P571" s="13" t="e">
        <f ca="1">ROUNDUP($O571*VLOOKUP($M$4+$B571-1,Paraméterek!$H$58:$I$105,2,0)/Paraméterek!$I$56,IF($D$4="Forint",0,2))</f>
        <v>#N/A</v>
      </c>
      <c r="Q571" s="13">
        <f t="shared" ca="1" si="182"/>
        <v>0</v>
      </c>
      <c r="R571" s="33"/>
      <c r="S571" s="13" t="e">
        <f t="shared" ca="1" si="183"/>
        <v>#N/A</v>
      </c>
      <c r="T571" s="13" t="e">
        <f ca="1">ROUNDUP(($N571-$P571-$Q571+$S571)*VLOOKUP($B571,Paraméterek!$I$38:$K$39,IF($D$2="Egyszeri",3,2))/12*IF($D572="Nem",IF($M$13=0,1,$M$13),1),IF($D$4="Forint",0,2))</f>
        <v>#N/A</v>
      </c>
      <c r="U571" s="13">
        <f>Tranzakciók!$F$77</f>
        <v>0</v>
      </c>
      <c r="V571" s="13"/>
      <c r="W571" s="13" t="e">
        <f ca="1">$N571-$P571-$Q571+$S571-$T571-IF(ROUNDUP(IF(ISBLANK($V571),$U571*0,$V571)/IF($D$2="Egyszeri",VLOOKUP($B571+IF($C571=12,1,0),Paraméterek!$V$257:$W$262,2),IF($B571=1,1,VLOOKUP($B571+IF($C571=12,1,0),Paraméterek!$I$258:$T$278,HLOOKUP($M$11+1,Paraméterek!$J$256:$T$257,2)))),IF($D$4="Forint",0,2))&gt;$N571-$P571-$Q571+$S571-$T571-IF($D$4="Forint",Paraméterek!$C$216,Paraméterek!$D$216),0,ROUNDUP(IF(ISBLANK($V571),$U571*0,$V571)/IF($D$2="Egyszeri",VLOOKUP($B571+IF($C571=12,1,0),Paraméterek!$V$257:$W$262,2),IF($B571=1,1,VLOOKUP($B571+IF($C571=12,1,0),Paraméterek!$I$258:$T$278,HLOOKUP($M$11+1,Paraméterek!$J$256:$T$257,2)))),IF($D$4="Forint",0,2)))</f>
        <v>#N/A</v>
      </c>
      <c r="X571" s="13" t="e">
        <f ca="1">ROUNDDOWN($W571*IF($D$2="Egyszeri",VLOOKUP($B571+IF($C571=12,1,0),Paraméterek!$V$257:$W$262,2),VLOOKUP($B571+IF($C571=12,1,0),Paraméterek!$I$258:$T$278,HLOOKUP($M$11+1,Paraméterek!$I$256:$T$257,2))),IF($D$4="Forint",0,2))</f>
        <v>#N/A</v>
      </c>
      <c r="Z571" s="32">
        <v>552</v>
      </c>
      <c r="AA571" s="32">
        <v>46</v>
      </c>
      <c r="AB571" s="32">
        <v>12</v>
      </c>
      <c r="AC571" s="13">
        <f t="shared" ca="1" si="192"/>
        <v>0</v>
      </c>
      <c r="AD571" s="33"/>
      <c r="AE571" s="13">
        <f t="shared" ca="1" si="184"/>
        <v>0</v>
      </c>
      <c r="AF571" s="13">
        <f ca="1">ROUNDUP(($AC571+$AE571)*VLOOKUP($AA571,Paraméterek!$P$38:$Q$38,2)/12*IF($D572="Nem",IF($M$13=0,1,$M$13),1),IF($D$4="Forint",0,2))</f>
        <v>0</v>
      </c>
      <c r="AG571" s="13" t="e">
        <f ca="1">IF($D$2="Egyszeri",IF($D$7&gt;=IF($D$4="Forint",Paraméterek!$P$223,Paraméterek!$P$224),$D$7-IF($D$4="Forint",Paraméterek!$P$223,Paraméterek!$P$224),0),MIN(IF($AB571=12,AVERAGEIF($E$20:$E571,"&gt;0",$E$20:$E571)*12,0),SUM($E$20:$E$31)))</f>
        <v>#DIV/0!</v>
      </c>
      <c r="AH571" s="13">
        <f>IF($AA571=10,$AG571*IF($AB571=12,IF($AG571&lt;IF($D$4="Forint",Paraméterek!$L$223,Paraméterek!$L$224),0,VLOOKUP($AA571,Paraméterek!$K$226:$M$228,IF($AG571&lt;IF($D$4="Forint",Paraméterek!$M$223,Paraméterek!$M$224),2,3))),0),0)</f>
        <v>0</v>
      </c>
      <c r="AI571" s="13">
        <f ca="1">IF(AND($AA571=$M$11+1,$AB571=$M$12+1),SUMIF($AA$20:$AA$1027,$AA571,$AG$20:$AG$1027)*IF(SUMIF($AA$20:$AA$1027,$AA571,$AG$20:$AG$1027)&lt;IF($D$4="Forint",Paraméterek!$L$223,Paraméterek!$L$224),0,VLOOKUP($AA571,Paraméterek!$K$230:$M$250,IF(SUMIF($AA$20:$AA$1027,$AA571,$AG$20:$AG$1027)&lt;IF($D$4="Forint",Paraméterek!$M$223,Paraméterek!$M$224),2,3))),0)</f>
        <v>0</v>
      </c>
      <c r="AJ571" s="13" t="e">
        <f ca="1">IF(AND($AA571&gt;=5,MOD($AA571,5)=0),IF($AB571=12,VLOOKUP($AA571,Paraméterek!$O$225:$P$240,2),0),IF(OR($AA571=3,$AA571=4),IF($AB571=12,VLOOKUP($AA571,Paraméterek!$O$225:$P$240,2,0),0),0))*$AG571</f>
        <v>#DIV/0!</v>
      </c>
      <c r="AK571" s="13">
        <f t="shared" ca="1" si="185"/>
        <v>0</v>
      </c>
      <c r="AL571" s="13">
        <f t="shared" ca="1" si="193"/>
        <v>0</v>
      </c>
      <c r="AM571" s="13">
        <f t="shared" ca="1" si="194"/>
        <v>0</v>
      </c>
      <c r="AO571" s="32">
        <v>552</v>
      </c>
      <c r="AP571" s="32">
        <v>46</v>
      </c>
      <c r="AQ571" s="32">
        <v>12</v>
      </c>
      <c r="AR571" s="13"/>
      <c r="AS571" s="32"/>
      <c r="AT571" s="13">
        <f t="shared" ca="1" si="195"/>
        <v>0</v>
      </c>
      <c r="AU571" s="33"/>
      <c r="AV571" s="13">
        <f t="shared" ca="1" si="186"/>
        <v>0</v>
      </c>
      <c r="AW571" s="13">
        <f ca="1">ROUNDUP(($AT571+$AV571)*VLOOKUP($AP571,Paraméterek!$P$38:$Q$38,2)/12*IF($D572="Nem",IF($M$13=0,1,$M$13),1),IF($D$4="Forint",0,2))</f>
        <v>0</v>
      </c>
      <c r="AX571" s="13">
        <f>Tranzakciók!$M$77</f>
        <v>0</v>
      </c>
      <c r="AY571" s="13"/>
      <c r="AZ571" s="13">
        <f>ROUNDUP(IF(SUM($AX571:$AY571)=0,0,IF(IF(ISBLANK($AY571),$AX571,$AY571)*Paraméterek!$J$112&lt;IF($D$4="Forint",Paraméterek!$J$113,Paraméterek!$K$113),IF($D$4="Forint",Paraméterek!$J$113,Paraméterek!$K$113),IF(IF(ISBLANK($AY571),$AX571,$AY571)*Paraméterek!$J$112&gt;IF($D$4="Forint",Paraméterek!$J$114,Paraméterek!$K$114),IF($D$4="Forint",Paraméterek!$J$114,Paraméterek!$K$114),IF(ISBLANK($AY571),$AX571,$AY571)*Paraméterek!$J$112))),IF($D$4="Forint",0,2))</f>
        <v>0</v>
      </c>
      <c r="BA571" s="13">
        <f ca="1">$AT571+$AV571-$AW571-IF(ROUNDDOWN(IF(ISBLANK($AY571),$AX571,$AY571),IF($D$4="Forint",0,2))&gt;$AT571+$AV571-$AW571-IF($D$4="Forint",Paraméterek!$J$114,Paraméterek!$K$114),0,ROUNDDOWN(IF(ISBLANK($AY571),$AX571,$AY571),IF($D$4="Forint",0,2))-$AZ571)</f>
        <v>0</v>
      </c>
      <c r="BB571" s="13">
        <f t="shared" ca="1" si="187"/>
        <v>0</v>
      </c>
      <c r="BD571" s="32">
        <v>552</v>
      </c>
      <c r="BE571" s="32">
        <v>46</v>
      </c>
      <c r="BF571" s="32">
        <v>12</v>
      </c>
      <c r="BG571" s="34">
        <f t="shared" ca="1" si="196"/>
        <v>2065</v>
      </c>
      <c r="BH571" s="32" t="str">
        <f ca="1">IF(MOD(MONTH($D$14)+$BD571-1,12)=Paraméterek!$C$288,"Igen","")</f>
        <v/>
      </c>
      <c r="BI571" s="13">
        <f ca="1">IF($BH571="Igen",MIN(ROUNDDOWN((SUMIF($BG$20:$BG$1027,$BG571-1,$K$20:$K$1027)-SUMIF($BG$20:$BG$1027,$BG571-1,$I$20:$I$1027))*Paraméterek!$C$289,IF($D$4="Forint",0,2)),IF($D$4="Forint",Paraméterek!$C$285,Paraméterek!$D$285)),0)</f>
        <v>0</v>
      </c>
      <c r="BJ571" s="13">
        <f t="shared" ca="1" si="188"/>
        <v>0</v>
      </c>
      <c r="BK571" s="13">
        <f t="shared" ca="1" si="197"/>
        <v>0</v>
      </c>
      <c r="BL571" s="33"/>
      <c r="BM571" s="13">
        <f t="shared" ca="1" si="189"/>
        <v>0</v>
      </c>
      <c r="BN571" s="13">
        <f ca="1">ROUNDUP(($BK571+$BM571)*VLOOKUP($BE571,Paraméterek!$P$38:$Q$38,2)/12*IF($D572="Nem",IF($M$13=0,1,$M$13),1),IF($D$4="Forint",0,2))</f>
        <v>0</v>
      </c>
      <c r="BO571" s="13">
        <f t="shared" ca="1" si="190"/>
        <v>0</v>
      </c>
      <c r="BP571" s="13">
        <f ca="1">IF($D572="Nem",$BO571,$BO571-ROUNDUP(SUM($BI$20:$BI571)*120%,IF($D$4="Forint",0,2)))</f>
        <v>0</v>
      </c>
    </row>
    <row r="572" spans="1:68" x14ac:dyDescent="0.2">
      <c r="A572" s="32">
        <v>553</v>
      </c>
      <c r="B572" s="32">
        <v>47</v>
      </c>
      <c r="C572" s="32">
        <v>1</v>
      </c>
      <c r="D572" s="32" t="str">
        <f t="shared" ca="1" si="176"/>
        <v>Nem</v>
      </c>
      <c r="E572" s="13">
        <f t="shared" ca="1" si="177"/>
        <v>0</v>
      </c>
      <c r="F572" s="13"/>
      <c r="G572" s="13">
        <f>Tranzakciók!$D$78</f>
        <v>0</v>
      </c>
      <c r="H572" s="13"/>
      <c r="I572" s="13">
        <f t="shared" ca="1" si="178"/>
        <v>0</v>
      </c>
      <c r="J572" s="13">
        <f t="shared" ca="1" si="179"/>
        <v>0</v>
      </c>
      <c r="K572" s="13">
        <f t="shared" ca="1" si="180"/>
        <v>0</v>
      </c>
      <c r="L572" s="13" t="e">
        <f ca="1">ROUNDUP(IF($D$2="Egyszeri",$E572,IF($D$2="Havi",SUM($E$20:$E$31),IF(MOD($C572,$M$1)-1=0,SUM($E$20:$E$31),0))/12*$M$1)*VLOOKUP($B572,Paraméterek!$I$28:$P$31,IF($D$2="Egyszeri",8,HLOOKUP(ROUNDUP($M$11+$M$13,0),Paraméterek!$J$26:$O$27,2))),IF($D$4="Forint",0,2))</f>
        <v>#N/A</v>
      </c>
      <c r="M572" s="13">
        <f t="shared" ca="1" si="181"/>
        <v>0</v>
      </c>
      <c r="N572" s="13">
        <f t="shared" ca="1" si="191"/>
        <v>0</v>
      </c>
      <c r="O572" s="13">
        <f ca="1">IF($D572="Igen",IF($W571&gt;=IF($D$4="Forint",Paraméterek!$J$121,Paraméterek!$K$121),0,IF($D$4="Forint",Paraméterek!$J$121,Paraméterek!$K$121)-$W571),0)</f>
        <v>0</v>
      </c>
      <c r="P572" s="13" t="e">
        <f ca="1">ROUNDUP($O572*VLOOKUP($M$4+$B572-1,Paraméterek!$H$58:$I$105,2,0)/Paraméterek!$I$56,IF($D$4="Forint",0,2))</f>
        <v>#N/A</v>
      </c>
      <c r="Q572" s="13">
        <f t="shared" ca="1" si="182"/>
        <v>0</v>
      </c>
      <c r="R572" s="33"/>
      <c r="S572" s="13" t="e">
        <f t="shared" ca="1" si="183"/>
        <v>#N/A</v>
      </c>
      <c r="T572" s="13" t="e">
        <f ca="1">ROUNDUP(($N572-$P572-$Q572+$S572)*VLOOKUP($B572,Paraméterek!$I$38:$K$39,IF($D$2="Egyszeri",3,2))/12*IF($D573="Nem",IF($M$13=0,1,$M$13),1),IF($D$4="Forint",0,2))</f>
        <v>#N/A</v>
      </c>
      <c r="U572" s="13"/>
      <c r="V572" s="13"/>
      <c r="W572" s="13" t="e">
        <f ca="1">$N572-$P572-$Q572+$S572-$T572-IF(ROUNDUP(IF(ISBLANK($V572),$U572*0,$V572)/IF($D$2="Egyszeri",VLOOKUP($B572+IF($C572=12,1,0),Paraméterek!$V$257:$W$262,2),IF($B572=1,1,VLOOKUP($B572+IF($C572=12,1,0),Paraméterek!$I$258:$T$278,HLOOKUP($M$11+1,Paraméterek!$J$256:$T$257,2)))),IF($D$4="Forint",0,2))&gt;$N572-$P572-$Q572+$S572-$T572-IF($D$4="Forint",Paraméterek!$C$216,Paraméterek!$D$216),0,ROUNDUP(IF(ISBLANK($V572),$U572*0,$V572)/IF($D$2="Egyszeri",VLOOKUP($B572+IF($C572=12,1,0),Paraméterek!$V$257:$W$262,2),IF($B572=1,1,VLOOKUP($B572+IF($C572=12,1,0),Paraméterek!$I$258:$T$278,HLOOKUP($M$11+1,Paraméterek!$J$256:$T$257,2)))),IF($D$4="Forint",0,2)))</f>
        <v>#N/A</v>
      </c>
      <c r="X572" s="13" t="e">
        <f ca="1">ROUNDDOWN($W572*IF($D$2="Egyszeri",VLOOKUP($B572+IF($C572=12,1,0),Paraméterek!$V$257:$W$262,2),VLOOKUP($B572+IF($C572=12,1,0),Paraméterek!$I$258:$T$278,HLOOKUP($M$11+1,Paraméterek!$I$256:$T$257,2))),IF($D$4="Forint",0,2))</f>
        <v>#N/A</v>
      </c>
      <c r="Z572" s="32">
        <v>553</v>
      </c>
      <c r="AA572" s="32">
        <v>47</v>
      </c>
      <c r="AB572" s="32">
        <v>1</v>
      </c>
      <c r="AC572" s="13">
        <f t="shared" ca="1" si="192"/>
        <v>0</v>
      </c>
      <c r="AD572" s="33"/>
      <c r="AE572" s="13">
        <f t="shared" ca="1" si="184"/>
        <v>0</v>
      </c>
      <c r="AF572" s="13">
        <f ca="1">ROUNDUP(($AC572+$AE572)*VLOOKUP($AA572,Paraméterek!$P$38:$Q$38,2)/12*IF($D573="Nem",IF($M$13=0,1,$M$13),1),IF($D$4="Forint",0,2))</f>
        <v>0</v>
      </c>
      <c r="AG572" s="13">
        <f ca="1">IF($D$2="Egyszeri",IF($D$7&gt;=IF($D$4="Forint",Paraméterek!$P$223,Paraméterek!$P$224),$D$7-IF($D$4="Forint",Paraméterek!$P$223,Paraméterek!$P$224),0),MIN(IF($AB572=12,AVERAGEIF($E$20:$E572,"&gt;0",$E$20:$E572)*12,0),SUM($E$20:$E$31)))</f>
        <v>0</v>
      </c>
      <c r="AH572" s="13">
        <f>IF($AA572=10,$AG572*IF($AB572=12,IF($AG572&lt;IF($D$4="Forint",Paraméterek!$L$223,Paraméterek!$L$224),0,VLOOKUP($AA572,Paraméterek!$K$226:$M$228,IF($AG572&lt;IF($D$4="Forint",Paraméterek!$M$223,Paraméterek!$M$224),2,3))),0),0)</f>
        <v>0</v>
      </c>
      <c r="AI572" s="13">
        <f ca="1">IF(AND($AA572=$M$11+1,$AB572=$M$12+1),SUMIF($AA$20:$AA$1027,$AA572,$AG$20:$AG$1027)*IF(SUMIF($AA$20:$AA$1027,$AA572,$AG$20:$AG$1027)&lt;IF($D$4="Forint",Paraméterek!$L$223,Paraméterek!$L$224),0,VLOOKUP($AA572,Paraméterek!$K$230:$M$250,IF(SUMIF($AA$20:$AA$1027,$AA572,$AG$20:$AG$1027)&lt;IF($D$4="Forint",Paraméterek!$M$223,Paraméterek!$M$224),2,3))),0)</f>
        <v>0</v>
      </c>
      <c r="AJ572" s="13">
        <f ca="1">IF(AND($AA572&gt;=5,MOD($AA572,5)=0),IF($AB572=12,VLOOKUP($AA572,Paraméterek!$O$225:$P$240,2),0),IF(OR($AA572=3,$AA572=4),IF($AB572=12,VLOOKUP($AA572,Paraméterek!$O$225:$P$240,2,0),0),0))*$AG572</f>
        <v>0</v>
      </c>
      <c r="AK572" s="13">
        <f t="shared" ca="1" si="185"/>
        <v>0</v>
      </c>
      <c r="AL572" s="13">
        <f t="shared" ca="1" si="193"/>
        <v>0</v>
      </c>
      <c r="AM572" s="13">
        <f t="shared" ca="1" si="194"/>
        <v>0</v>
      </c>
      <c r="AO572" s="32">
        <v>553</v>
      </c>
      <c r="AP572" s="32">
        <v>47</v>
      </c>
      <c r="AQ572" s="32">
        <v>1</v>
      </c>
      <c r="AR572" s="13">
        <f>Tranzakciók!$K$78</f>
        <v>0</v>
      </c>
      <c r="AS572" s="32"/>
      <c r="AT572" s="13">
        <f t="shared" ca="1" si="195"/>
        <v>0</v>
      </c>
      <c r="AU572" s="33"/>
      <c r="AV572" s="13">
        <f t="shared" ca="1" si="186"/>
        <v>0</v>
      </c>
      <c r="AW572" s="13">
        <f ca="1">ROUNDUP(($AT572+$AV572)*VLOOKUP($AP572,Paraméterek!$P$38:$Q$38,2)/12*IF($D573="Nem",IF($M$13=0,1,$M$13),1),IF($D$4="Forint",0,2))</f>
        <v>0</v>
      </c>
      <c r="AX572" s="13"/>
      <c r="AY572" s="13"/>
      <c r="AZ572" s="13">
        <f>ROUNDUP(IF(SUM($AX572:$AY572)=0,0,IF(IF(ISBLANK($AY572),$AX572,$AY572)*Paraméterek!$J$112&lt;IF($D$4="Forint",Paraméterek!$J$113,Paraméterek!$K$113),IF($D$4="Forint",Paraméterek!$J$113,Paraméterek!$K$113),IF(IF(ISBLANK($AY572),$AX572,$AY572)*Paraméterek!$J$112&gt;IF($D$4="Forint",Paraméterek!$J$114,Paraméterek!$K$114),IF($D$4="Forint",Paraméterek!$J$114,Paraméterek!$K$114),IF(ISBLANK($AY572),$AX572,$AY572)*Paraméterek!$J$112))),IF($D$4="Forint",0,2))</f>
        <v>0</v>
      </c>
      <c r="BA572" s="13">
        <f ca="1">$AT572+$AV572-$AW572-IF(ROUNDDOWN(IF(ISBLANK($AY572),$AX572,$AY572),IF($D$4="Forint",0,2))&gt;$AT572+$AV572-$AW572-IF($D$4="Forint",Paraméterek!$J$114,Paraméterek!$K$114),0,ROUNDDOWN(IF(ISBLANK($AY572),$AX572,$AY572),IF($D$4="Forint",0,2))-$AZ572)</f>
        <v>0</v>
      </c>
      <c r="BB572" s="13">
        <f t="shared" ca="1" si="187"/>
        <v>0</v>
      </c>
      <c r="BD572" s="32">
        <v>553</v>
      </c>
      <c r="BE572" s="32">
        <v>47</v>
      </c>
      <c r="BF572" s="32">
        <v>1</v>
      </c>
      <c r="BG572" s="34">
        <f t="shared" ca="1" si="196"/>
        <v>2065</v>
      </c>
      <c r="BH572" s="32" t="str">
        <f ca="1">IF(MOD(MONTH($D$14)+$BD572-1,12)=Paraméterek!$C$288,"Igen","")</f>
        <v/>
      </c>
      <c r="BI572" s="13">
        <f ca="1">IF($BH572="Igen",MIN(ROUNDDOWN((SUMIF($BG$20:$BG$1027,$BG572-1,$K$20:$K$1027)-SUMIF($BG$20:$BG$1027,$BG572-1,$I$20:$I$1027))*Paraméterek!$C$289,IF($D$4="Forint",0,2)),IF($D$4="Forint",Paraméterek!$C$285,Paraméterek!$D$285)),0)</f>
        <v>0</v>
      </c>
      <c r="BJ572" s="13">
        <f t="shared" ca="1" si="188"/>
        <v>0</v>
      </c>
      <c r="BK572" s="13">
        <f t="shared" ca="1" si="197"/>
        <v>0</v>
      </c>
      <c r="BL572" s="33"/>
      <c r="BM572" s="13">
        <f t="shared" ca="1" si="189"/>
        <v>0</v>
      </c>
      <c r="BN572" s="13">
        <f ca="1">ROUNDUP(($BK572+$BM572)*VLOOKUP($BE572,Paraméterek!$P$38:$Q$38,2)/12*IF($D573="Nem",IF($M$13=0,1,$M$13),1),IF($D$4="Forint",0,2))</f>
        <v>0</v>
      </c>
      <c r="BO572" s="13">
        <f t="shared" ca="1" si="190"/>
        <v>0</v>
      </c>
      <c r="BP572" s="13">
        <f ca="1">IF($D573="Nem",$BO572,$BO572-ROUNDUP(SUM($BI$20:$BI572)*120%,IF($D$4="Forint",0,2)))</f>
        <v>0</v>
      </c>
    </row>
    <row r="573" spans="1:68" x14ac:dyDescent="0.2">
      <c r="A573" s="32">
        <v>554</v>
      </c>
      <c r="B573" s="32">
        <v>47</v>
      </c>
      <c r="C573" s="32">
        <v>2</v>
      </c>
      <c r="D573" s="32" t="str">
        <f t="shared" ca="1" si="176"/>
        <v>Nem</v>
      </c>
      <c r="E573" s="13">
        <f t="shared" ca="1" si="177"/>
        <v>0</v>
      </c>
      <c r="F573" s="13"/>
      <c r="G573" s="13"/>
      <c r="H573" s="13"/>
      <c r="I573" s="13">
        <f t="shared" ca="1" si="178"/>
        <v>0</v>
      </c>
      <c r="J573" s="13">
        <f t="shared" ca="1" si="179"/>
        <v>0</v>
      </c>
      <c r="K573" s="13">
        <f t="shared" ca="1" si="180"/>
        <v>0</v>
      </c>
      <c r="L573" s="13" t="e">
        <f ca="1">ROUNDUP(IF($D$2="Egyszeri",$E573,IF($D$2="Havi",SUM($E$20:$E$31),IF(MOD($C573,$M$1)-1=0,SUM($E$20:$E$31),0))/12*$M$1)*VLOOKUP($B573,Paraméterek!$I$28:$P$31,IF($D$2="Egyszeri",8,HLOOKUP(ROUNDUP($M$11+$M$13,0),Paraméterek!$J$26:$O$27,2))),IF($D$4="Forint",0,2))</f>
        <v>#N/A</v>
      </c>
      <c r="M573" s="13">
        <f t="shared" ca="1" si="181"/>
        <v>0</v>
      </c>
      <c r="N573" s="13">
        <f t="shared" ca="1" si="191"/>
        <v>0</v>
      </c>
      <c r="O573" s="13">
        <f ca="1">IF($D573="Igen",IF($W572&gt;=IF($D$4="Forint",Paraméterek!$J$121,Paraméterek!$K$121),0,IF($D$4="Forint",Paraméterek!$J$121,Paraméterek!$K$121)-$W572),0)</f>
        <v>0</v>
      </c>
      <c r="P573" s="13" t="e">
        <f ca="1">ROUNDUP($O573*VLOOKUP($M$4+$B573-1,Paraméterek!$H$58:$I$105,2,0)/Paraméterek!$I$56,IF($D$4="Forint",0,2))</f>
        <v>#N/A</v>
      </c>
      <c r="Q573" s="13">
        <f t="shared" ca="1" si="182"/>
        <v>0</v>
      </c>
      <c r="R573" s="33"/>
      <c r="S573" s="13" t="e">
        <f t="shared" ca="1" si="183"/>
        <v>#N/A</v>
      </c>
      <c r="T573" s="13" t="e">
        <f ca="1">ROUNDUP(($N573-$P573-$Q573+$S573)*VLOOKUP($B573,Paraméterek!$I$38:$K$39,IF($D$2="Egyszeri",3,2))/12*IF($D574="Nem",IF($M$13=0,1,$M$13),1),IF($D$4="Forint",0,2))</f>
        <v>#N/A</v>
      </c>
      <c r="U573" s="13"/>
      <c r="V573" s="13"/>
      <c r="W573" s="13" t="e">
        <f ca="1">$N573-$P573-$Q573+$S573-$T573-IF(ROUNDUP(IF(ISBLANK($V573),$U573*0,$V573)/IF($D$2="Egyszeri",VLOOKUP($B573+IF($C573=12,1,0),Paraméterek!$V$257:$W$262,2),IF($B573=1,1,VLOOKUP($B573+IF($C573=12,1,0),Paraméterek!$I$258:$T$278,HLOOKUP($M$11+1,Paraméterek!$J$256:$T$257,2)))),IF($D$4="Forint",0,2))&gt;$N573-$P573-$Q573+$S573-$T573-IF($D$4="Forint",Paraméterek!$C$216,Paraméterek!$D$216),0,ROUNDUP(IF(ISBLANK($V573),$U573*0,$V573)/IF($D$2="Egyszeri",VLOOKUP($B573+IF($C573=12,1,0),Paraméterek!$V$257:$W$262,2),IF($B573=1,1,VLOOKUP($B573+IF($C573=12,1,0),Paraméterek!$I$258:$T$278,HLOOKUP($M$11+1,Paraméterek!$J$256:$T$257,2)))),IF($D$4="Forint",0,2)))</f>
        <v>#N/A</v>
      </c>
      <c r="X573" s="13" t="e">
        <f ca="1">ROUNDDOWN($W573*IF($D$2="Egyszeri",VLOOKUP($B573+IF($C573=12,1,0),Paraméterek!$V$257:$W$262,2),VLOOKUP($B573+IF($C573=12,1,0),Paraméterek!$I$258:$T$278,HLOOKUP($M$11+1,Paraméterek!$I$256:$T$257,2))),IF($D$4="Forint",0,2))</f>
        <v>#N/A</v>
      </c>
      <c r="Z573" s="32">
        <v>554</v>
      </c>
      <c r="AA573" s="32">
        <v>47</v>
      </c>
      <c r="AB573" s="32">
        <v>2</v>
      </c>
      <c r="AC573" s="13">
        <f t="shared" ca="1" si="192"/>
        <v>0</v>
      </c>
      <c r="AD573" s="33"/>
      <c r="AE573" s="13">
        <f t="shared" ca="1" si="184"/>
        <v>0</v>
      </c>
      <c r="AF573" s="13">
        <f ca="1">ROUNDUP(($AC573+$AE573)*VLOOKUP($AA573,Paraméterek!$P$38:$Q$38,2)/12*IF($D574="Nem",IF($M$13=0,1,$M$13),1),IF($D$4="Forint",0,2))</f>
        <v>0</v>
      </c>
      <c r="AG573" s="13">
        <f ca="1">IF($D$2="Egyszeri",IF($D$7&gt;=IF($D$4="Forint",Paraméterek!$P$223,Paraméterek!$P$224),$D$7-IF($D$4="Forint",Paraméterek!$P$223,Paraméterek!$P$224),0),MIN(IF($AB573=12,AVERAGEIF($E$20:$E573,"&gt;0",$E$20:$E573)*12,0),SUM($E$20:$E$31)))</f>
        <v>0</v>
      </c>
      <c r="AH573" s="13">
        <f>IF($AA573=10,$AG573*IF($AB573=12,IF($AG573&lt;IF($D$4="Forint",Paraméterek!$L$223,Paraméterek!$L$224),0,VLOOKUP($AA573,Paraméterek!$K$226:$M$228,IF($AG573&lt;IF($D$4="Forint",Paraméterek!$M$223,Paraméterek!$M$224),2,3))),0),0)</f>
        <v>0</v>
      </c>
      <c r="AI573" s="13">
        <f ca="1">IF(AND($AA573=$M$11+1,$AB573=$M$12+1),SUMIF($AA$20:$AA$1027,$AA573,$AG$20:$AG$1027)*IF(SUMIF($AA$20:$AA$1027,$AA573,$AG$20:$AG$1027)&lt;IF($D$4="Forint",Paraméterek!$L$223,Paraméterek!$L$224),0,VLOOKUP($AA573,Paraméterek!$K$230:$M$250,IF(SUMIF($AA$20:$AA$1027,$AA573,$AG$20:$AG$1027)&lt;IF($D$4="Forint",Paraméterek!$M$223,Paraméterek!$M$224),2,3))),0)</f>
        <v>0</v>
      </c>
      <c r="AJ573" s="13">
        <f ca="1">IF(AND($AA573&gt;=5,MOD($AA573,5)=0),IF($AB573=12,VLOOKUP($AA573,Paraméterek!$O$225:$P$240,2),0),IF(OR($AA573=3,$AA573=4),IF($AB573=12,VLOOKUP($AA573,Paraméterek!$O$225:$P$240,2,0),0),0))*$AG573</f>
        <v>0</v>
      </c>
      <c r="AK573" s="13">
        <f t="shared" ca="1" si="185"/>
        <v>0</v>
      </c>
      <c r="AL573" s="13">
        <f t="shared" ca="1" si="193"/>
        <v>0</v>
      </c>
      <c r="AM573" s="13">
        <f t="shared" ca="1" si="194"/>
        <v>0</v>
      </c>
      <c r="AO573" s="32">
        <v>554</v>
      </c>
      <c r="AP573" s="32">
        <v>47</v>
      </c>
      <c r="AQ573" s="32">
        <v>2</v>
      </c>
      <c r="AR573" s="13"/>
      <c r="AS573" s="32"/>
      <c r="AT573" s="13">
        <f t="shared" ca="1" si="195"/>
        <v>0</v>
      </c>
      <c r="AU573" s="33"/>
      <c r="AV573" s="13">
        <f t="shared" ca="1" si="186"/>
        <v>0</v>
      </c>
      <c r="AW573" s="13">
        <f ca="1">ROUNDUP(($AT573+$AV573)*VLOOKUP($AP573,Paraméterek!$P$38:$Q$38,2)/12*IF($D574="Nem",IF($M$13=0,1,$M$13),1),IF($D$4="Forint",0,2))</f>
        <v>0</v>
      </c>
      <c r="AX573" s="13"/>
      <c r="AY573" s="13"/>
      <c r="AZ573" s="13">
        <f>ROUNDUP(IF(SUM($AX573:$AY573)=0,0,IF(IF(ISBLANK($AY573),$AX573,$AY573)*Paraméterek!$J$112&lt;IF($D$4="Forint",Paraméterek!$J$113,Paraméterek!$K$113),IF($D$4="Forint",Paraméterek!$J$113,Paraméterek!$K$113),IF(IF(ISBLANK($AY573),$AX573,$AY573)*Paraméterek!$J$112&gt;IF($D$4="Forint",Paraméterek!$J$114,Paraméterek!$K$114),IF($D$4="Forint",Paraméterek!$J$114,Paraméterek!$K$114),IF(ISBLANK($AY573),$AX573,$AY573)*Paraméterek!$J$112))),IF($D$4="Forint",0,2))</f>
        <v>0</v>
      </c>
      <c r="BA573" s="13">
        <f ca="1">$AT573+$AV573-$AW573-IF(ROUNDDOWN(IF(ISBLANK($AY573),$AX573,$AY573),IF($D$4="Forint",0,2))&gt;$AT573+$AV573-$AW573-IF($D$4="Forint",Paraméterek!$J$114,Paraméterek!$K$114),0,ROUNDDOWN(IF(ISBLANK($AY573),$AX573,$AY573),IF($D$4="Forint",0,2))-$AZ573)</f>
        <v>0</v>
      </c>
      <c r="BB573" s="13">
        <f t="shared" ca="1" si="187"/>
        <v>0</v>
      </c>
      <c r="BD573" s="32">
        <v>554</v>
      </c>
      <c r="BE573" s="32">
        <v>47</v>
      </c>
      <c r="BF573" s="32">
        <v>2</v>
      </c>
      <c r="BG573" s="34">
        <f t="shared" ca="1" si="196"/>
        <v>2065</v>
      </c>
      <c r="BH573" s="32" t="str">
        <f ca="1">IF(MOD(MONTH($D$14)+$BD573-1,12)=Paraméterek!$C$288,"Igen","")</f>
        <v>Igen</v>
      </c>
      <c r="BI573" s="13">
        <f ca="1">IF($BH573="Igen",MIN(ROUNDDOWN((SUMIF($BG$20:$BG$1027,$BG573-1,$K$20:$K$1027)-SUMIF($BG$20:$BG$1027,$BG573-1,$I$20:$I$1027))*Paraméterek!$C$289,IF($D$4="Forint",0,2)),IF($D$4="Forint",Paraméterek!$C$285,Paraméterek!$D$285)),0)</f>
        <v>0</v>
      </c>
      <c r="BJ573" s="13">
        <f t="shared" ca="1" si="188"/>
        <v>0</v>
      </c>
      <c r="BK573" s="13">
        <f t="shared" ca="1" si="197"/>
        <v>0</v>
      </c>
      <c r="BL573" s="33"/>
      <c r="BM573" s="13">
        <f t="shared" ca="1" si="189"/>
        <v>0</v>
      </c>
      <c r="BN573" s="13">
        <f ca="1">ROUNDUP(($BK573+$BM573)*VLOOKUP($BE573,Paraméterek!$P$38:$Q$38,2)/12*IF($D574="Nem",IF($M$13=0,1,$M$13),1),IF($D$4="Forint",0,2))</f>
        <v>0</v>
      </c>
      <c r="BO573" s="13">
        <f t="shared" ca="1" si="190"/>
        <v>0</v>
      </c>
      <c r="BP573" s="13">
        <f ca="1">IF($D574="Nem",$BO573,$BO573-ROUNDUP(SUM($BI$20:$BI573)*120%,IF($D$4="Forint",0,2)))</f>
        <v>0</v>
      </c>
    </row>
    <row r="574" spans="1:68" x14ac:dyDescent="0.2">
      <c r="A574" s="32">
        <v>555</v>
      </c>
      <c r="B574" s="32">
        <v>47</v>
      </c>
      <c r="C574" s="32">
        <v>3</v>
      </c>
      <c r="D574" s="32" t="str">
        <f t="shared" ca="1" si="176"/>
        <v>Nem</v>
      </c>
      <c r="E574" s="13">
        <f t="shared" ca="1" si="177"/>
        <v>0</v>
      </c>
      <c r="F574" s="13"/>
      <c r="G574" s="13"/>
      <c r="H574" s="13"/>
      <c r="I574" s="13">
        <f t="shared" ca="1" si="178"/>
        <v>0</v>
      </c>
      <c r="J574" s="13">
        <f t="shared" ca="1" si="179"/>
        <v>0</v>
      </c>
      <c r="K574" s="13">
        <f t="shared" ca="1" si="180"/>
        <v>0</v>
      </c>
      <c r="L574" s="13" t="e">
        <f ca="1">ROUNDUP(IF($D$2="Egyszeri",$E574,IF($D$2="Havi",SUM($E$20:$E$31),IF(MOD($C574,$M$1)-1=0,SUM($E$20:$E$31),0))/12*$M$1)*VLOOKUP($B574,Paraméterek!$I$28:$P$31,IF($D$2="Egyszeri",8,HLOOKUP(ROUNDUP($M$11+$M$13,0),Paraméterek!$J$26:$O$27,2))),IF($D$4="Forint",0,2))</f>
        <v>#N/A</v>
      </c>
      <c r="M574" s="13">
        <f t="shared" ca="1" si="181"/>
        <v>0</v>
      </c>
      <c r="N574" s="13">
        <f t="shared" ca="1" si="191"/>
        <v>0</v>
      </c>
      <c r="O574" s="13">
        <f ca="1">IF($D574="Igen",IF($W573&gt;=IF($D$4="Forint",Paraméterek!$J$121,Paraméterek!$K$121),0,IF($D$4="Forint",Paraméterek!$J$121,Paraméterek!$K$121)-$W573),0)</f>
        <v>0</v>
      </c>
      <c r="P574" s="13" t="e">
        <f ca="1">ROUNDUP($O574*VLOOKUP($M$4+$B574-1,Paraméterek!$H$58:$I$105,2,0)/Paraméterek!$I$56,IF($D$4="Forint",0,2))</f>
        <v>#N/A</v>
      </c>
      <c r="Q574" s="13">
        <f t="shared" ca="1" si="182"/>
        <v>0</v>
      </c>
      <c r="R574" s="33"/>
      <c r="S574" s="13" t="e">
        <f t="shared" ca="1" si="183"/>
        <v>#N/A</v>
      </c>
      <c r="T574" s="13" t="e">
        <f ca="1">ROUNDUP(($N574-$P574-$Q574+$S574)*VLOOKUP($B574,Paraméterek!$I$38:$K$39,IF($D$2="Egyszeri",3,2))/12*IF($D575="Nem",IF($M$13=0,1,$M$13),1),IF($D$4="Forint",0,2))</f>
        <v>#N/A</v>
      </c>
      <c r="U574" s="13"/>
      <c r="V574" s="13"/>
      <c r="W574" s="13" t="e">
        <f ca="1">$N574-$P574-$Q574+$S574-$T574-IF(ROUNDUP(IF(ISBLANK($V574),$U574*0,$V574)/IF($D$2="Egyszeri",VLOOKUP($B574+IF($C574=12,1,0),Paraméterek!$V$257:$W$262,2),IF($B574=1,1,VLOOKUP($B574+IF($C574=12,1,0),Paraméterek!$I$258:$T$278,HLOOKUP($M$11+1,Paraméterek!$J$256:$T$257,2)))),IF($D$4="Forint",0,2))&gt;$N574-$P574-$Q574+$S574-$T574-IF($D$4="Forint",Paraméterek!$C$216,Paraméterek!$D$216),0,ROUNDUP(IF(ISBLANK($V574),$U574*0,$V574)/IF($D$2="Egyszeri",VLOOKUP($B574+IF($C574=12,1,0),Paraméterek!$V$257:$W$262,2),IF($B574=1,1,VLOOKUP($B574+IF($C574=12,1,0),Paraméterek!$I$258:$T$278,HLOOKUP($M$11+1,Paraméterek!$J$256:$T$257,2)))),IF($D$4="Forint",0,2)))</f>
        <v>#N/A</v>
      </c>
      <c r="X574" s="13" t="e">
        <f ca="1">ROUNDDOWN($W574*IF($D$2="Egyszeri",VLOOKUP($B574+IF($C574=12,1,0),Paraméterek!$V$257:$W$262,2),VLOOKUP($B574+IF($C574=12,1,0),Paraméterek!$I$258:$T$278,HLOOKUP($M$11+1,Paraméterek!$I$256:$T$257,2))),IF($D$4="Forint",0,2))</f>
        <v>#N/A</v>
      </c>
      <c r="Z574" s="32">
        <v>555</v>
      </c>
      <c r="AA574" s="32">
        <v>47</v>
      </c>
      <c r="AB574" s="32">
        <v>3</v>
      </c>
      <c r="AC574" s="13">
        <f t="shared" ca="1" si="192"/>
        <v>0</v>
      </c>
      <c r="AD574" s="33"/>
      <c r="AE574" s="13">
        <f t="shared" ca="1" si="184"/>
        <v>0</v>
      </c>
      <c r="AF574" s="13">
        <f ca="1">ROUNDUP(($AC574+$AE574)*VLOOKUP($AA574,Paraméterek!$P$38:$Q$38,2)/12*IF($D575="Nem",IF($M$13=0,1,$M$13),1),IF($D$4="Forint",0,2))</f>
        <v>0</v>
      </c>
      <c r="AG574" s="13">
        <f ca="1">IF($D$2="Egyszeri",IF($D$7&gt;=IF($D$4="Forint",Paraméterek!$P$223,Paraméterek!$P$224),$D$7-IF($D$4="Forint",Paraméterek!$P$223,Paraméterek!$P$224),0),MIN(IF($AB574=12,AVERAGEIF($E$20:$E574,"&gt;0",$E$20:$E574)*12,0),SUM($E$20:$E$31)))</f>
        <v>0</v>
      </c>
      <c r="AH574" s="13">
        <f>IF($AA574=10,$AG574*IF($AB574=12,IF($AG574&lt;IF($D$4="Forint",Paraméterek!$L$223,Paraméterek!$L$224),0,VLOOKUP($AA574,Paraméterek!$K$226:$M$228,IF($AG574&lt;IF($D$4="Forint",Paraméterek!$M$223,Paraméterek!$M$224),2,3))),0),0)</f>
        <v>0</v>
      </c>
      <c r="AI574" s="13">
        <f ca="1">IF(AND($AA574=$M$11+1,$AB574=$M$12+1),SUMIF($AA$20:$AA$1027,$AA574,$AG$20:$AG$1027)*IF(SUMIF($AA$20:$AA$1027,$AA574,$AG$20:$AG$1027)&lt;IF($D$4="Forint",Paraméterek!$L$223,Paraméterek!$L$224),0,VLOOKUP($AA574,Paraméterek!$K$230:$M$250,IF(SUMIF($AA$20:$AA$1027,$AA574,$AG$20:$AG$1027)&lt;IF($D$4="Forint",Paraméterek!$M$223,Paraméterek!$M$224),2,3))),0)</f>
        <v>0</v>
      </c>
      <c r="AJ574" s="13">
        <f ca="1">IF(AND($AA574&gt;=5,MOD($AA574,5)=0),IF($AB574=12,VLOOKUP($AA574,Paraméterek!$O$225:$P$240,2),0),IF(OR($AA574=3,$AA574=4),IF($AB574=12,VLOOKUP($AA574,Paraméterek!$O$225:$P$240,2,0),0),0))*$AG574</f>
        <v>0</v>
      </c>
      <c r="AK574" s="13">
        <f t="shared" ca="1" si="185"/>
        <v>0</v>
      </c>
      <c r="AL574" s="13">
        <f t="shared" ca="1" si="193"/>
        <v>0</v>
      </c>
      <c r="AM574" s="13">
        <f t="shared" ca="1" si="194"/>
        <v>0</v>
      </c>
      <c r="AO574" s="32">
        <v>555</v>
      </c>
      <c r="AP574" s="32">
        <v>47</v>
      </c>
      <c r="AQ574" s="32">
        <v>3</v>
      </c>
      <c r="AR574" s="13"/>
      <c r="AS574" s="32"/>
      <c r="AT574" s="13">
        <f t="shared" ca="1" si="195"/>
        <v>0</v>
      </c>
      <c r="AU574" s="33"/>
      <c r="AV574" s="13">
        <f t="shared" ca="1" si="186"/>
        <v>0</v>
      </c>
      <c r="AW574" s="13">
        <f ca="1">ROUNDUP(($AT574+$AV574)*VLOOKUP($AP574,Paraméterek!$P$38:$Q$38,2)/12*IF($D575="Nem",IF($M$13=0,1,$M$13),1),IF($D$4="Forint",0,2))</f>
        <v>0</v>
      </c>
      <c r="AX574" s="13"/>
      <c r="AY574" s="13"/>
      <c r="AZ574" s="13">
        <f>ROUNDUP(IF(SUM($AX574:$AY574)=0,0,IF(IF(ISBLANK($AY574),$AX574,$AY574)*Paraméterek!$J$112&lt;IF($D$4="Forint",Paraméterek!$J$113,Paraméterek!$K$113),IF($D$4="Forint",Paraméterek!$J$113,Paraméterek!$K$113),IF(IF(ISBLANK($AY574),$AX574,$AY574)*Paraméterek!$J$112&gt;IF($D$4="Forint",Paraméterek!$J$114,Paraméterek!$K$114),IF($D$4="Forint",Paraméterek!$J$114,Paraméterek!$K$114),IF(ISBLANK($AY574),$AX574,$AY574)*Paraméterek!$J$112))),IF($D$4="Forint",0,2))</f>
        <v>0</v>
      </c>
      <c r="BA574" s="13">
        <f ca="1">$AT574+$AV574-$AW574-IF(ROUNDDOWN(IF(ISBLANK($AY574),$AX574,$AY574),IF($D$4="Forint",0,2))&gt;$AT574+$AV574-$AW574-IF($D$4="Forint",Paraméterek!$J$114,Paraméterek!$K$114),0,ROUNDDOWN(IF(ISBLANK($AY574),$AX574,$AY574),IF($D$4="Forint",0,2))-$AZ574)</f>
        <v>0</v>
      </c>
      <c r="BB574" s="13">
        <f t="shared" ca="1" si="187"/>
        <v>0</v>
      </c>
      <c r="BD574" s="32">
        <v>555</v>
      </c>
      <c r="BE574" s="32">
        <v>47</v>
      </c>
      <c r="BF574" s="32">
        <v>3</v>
      </c>
      <c r="BG574" s="34">
        <f t="shared" ca="1" si="196"/>
        <v>2065</v>
      </c>
      <c r="BH574" s="32" t="str">
        <f ca="1">IF(MOD(MONTH($D$14)+$BD574-1,12)=Paraméterek!$C$288,"Igen","")</f>
        <v/>
      </c>
      <c r="BI574" s="13">
        <f ca="1">IF($BH574="Igen",MIN(ROUNDDOWN((SUMIF($BG$20:$BG$1027,$BG574-1,$K$20:$K$1027)-SUMIF($BG$20:$BG$1027,$BG574-1,$I$20:$I$1027))*Paraméterek!$C$289,IF($D$4="Forint",0,2)),IF($D$4="Forint",Paraméterek!$C$285,Paraméterek!$D$285)),0)</f>
        <v>0</v>
      </c>
      <c r="BJ574" s="13">
        <f t="shared" ca="1" si="188"/>
        <v>0</v>
      </c>
      <c r="BK574" s="13">
        <f t="shared" ca="1" si="197"/>
        <v>0</v>
      </c>
      <c r="BL574" s="33"/>
      <c r="BM574" s="13">
        <f t="shared" ca="1" si="189"/>
        <v>0</v>
      </c>
      <c r="BN574" s="13">
        <f ca="1">ROUNDUP(($BK574+$BM574)*VLOOKUP($BE574,Paraméterek!$P$38:$Q$38,2)/12*IF($D575="Nem",IF($M$13=0,1,$M$13),1),IF($D$4="Forint",0,2))</f>
        <v>0</v>
      </c>
      <c r="BO574" s="13">
        <f t="shared" ca="1" si="190"/>
        <v>0</v>
      </c>
      <c r="BP574" s="13">
        <f ca="1">IF($D575="Nem",$BO574,$BO574-ROUNDUP(SUM($BI$20:$BI574)*120%,IF($D$4="Forint",0,2)))</f>
        <v>0</v>
      </c>
    </row>
    <row r="575" spans="1:68" x14ac:dyDescent="0.2">
      <c r="A575" s="32">
        <v>556</v>
      </c>
      <c r="B575" s="32">
        <v>47</v>
      </c>
      <c r="C575" s="32">
        <v>4</v>
      </c>
      <c r="D575" s="32" t="str">
        <f t="shared" ca="1" si="176"/>
        <v>Nem</v>
      </c>
      <c r="E575" s="13">
        <f t="shared" ca="1" si="177"/>
        <v>0</v>
      </c>
      <c r="F575" s="13"/>
      <c r="G575" s="13"/>
      <c r="H575" s="13"/>
      <c r="I575" s="13">
        <f t="shared" ca="1" si="178"/>
        <v>0</v>
      </c>
      <c r="J575" s="13">
        <f t="shared" ca="1" si="179"/>
        <v>0</v>
      </c>
      <c r="K575" s="13">
        <f t="shared" ca="1" si="180"/>
        <v>0</v>
      </c>
      <c r="L575" s="13" t="e">
        <f ca="1">ROUNDUP(IF($D$2="Egyszeri",$E575,IF($D$2="Havi",SUM($E$20:$E$31),IF(MOD($C575,$M$1)-1=0,SUM($E$20:$E$31),0))/12*$M$1)*VLOOKUP($B575,Paraméterek!$I$28:$P$31,IF($D$2="Egyszeri",8,HLOOKUP(ROUNDUP($M$11+$M$13,0),Paraméterek!$J$26:$O$27,2))),IF($D$4="Forint",0,2))</f>
        <v>#N/A</v>
      </c>
      <c r="M575" s="13">
        <f t="shared" ca="1" si="181"/>
        <v>0</v>
      </c>
      <c r="N575" s="13">
        <f t="shared" ca="1" si="191"/>
        <v>0</v>
      </c>
      <c r="O575" s="13">
        <f ca="1">IF($D575="Igen",IF($W574&gt;=IF($D$4="Forint",Paraméterek!$J$121,Paraméterek!$K$121),0,IF($D$4="Forint",Paraméterek!$J$121,Paraméterek!$K$121)-$W574),0)</f>
        <v>0</v>
      </c>
      <c r="P575" s="13" t="e">
        <f ca="1">ROUNDUP($O575*VLOOKUP($M$4+$B575-1,Paraméterek!$H$58:$I$105,2,0)/Paraméterek!$I$56,IF($D$4="Forint",0,2))</f>
        <v>#N/A</v>
      </c>
      <c r="Q575" s="13">
        <f t="shared" ca="1" si="182"/>
        <v>0</v>
      </c>
      <c r="R575" s="33"/>
      <c r="S575" s="13" t="e">
        <f t="shared" ca="1" si="183"/>
        <v>#N/A</v>
      </c>
      <c r="T575" s="13" t="e">
        <f ca="1">ROUNDUP(($N575-$P575-$Q575+$S575)*VLOOKUP($B575,Paraméterek!$I$38:$K$39,IF($D$2="Egyszeri",3,2))/12*IF($D576="Nem",IF($M$13=0,1,$M$13),1),IF($D$4="Forint",0,2))</f>
        <v>#N/A</v>
      </c>
      <c r="U575" s="13"/>
      <c r="V575" s="13"/>
      <c r="W575" s="13" t="e">
        <f ca="1">$N575-$P575-$Q575+$S575-$T575-IF(ROUNDUP(IF(ISBLANK($V575),$U575*0,$V575)/IF($D$2="Egyszeri",VLOOKUP($B575+IF($C575=12,1,0),Paraméterek!$V$257:$W$262,2),IF($B575=1,1,VLOOKUP($B575+IF($C575=12,1,0),Paraméterek!$I$258:$T$278,HLOOKUP($M$11+1,Paraméterek!$J$256:$T$257,2)))),IF($D$4="Forint",0,2))&gt;$N575-$P575-$Q575+$S575-$T575-IF($D$4="Forint",Paraméterek!$C$216,Paraméterek!$D$216),0,ROUNDUP(IF(ISBLANK($V575),$U575*0,$V575)/IF($D$2="Egyszeri",VLOOKUP($B575+IF($C575=12,1,0),Paraméterek!$V$257:$W$262,2),IF($B575=1,1,VLOOKUP($B575+IF($C575=12,1,0),Paraméterek!$I$258:$T$278,HLOOKUP($M$11+1,Paraméterek!$J$256:$T$257,2)))),IF($D$4="Forint",0,2)))</f>
        <v>#N/A</v>
      </c>
      <c r="X575" s="13" t="e">
        <f ca="1">ROUNDDOWN($W575*IF($D$2="Egyszeri",VLOOKUP($B575+IF($C575=12,1,0),Paraméterek!$V$257:$W$262,2),VLOOKUP($B575+IF($C575=12,1,0),Paraméterek!$I$258:$T$278,HLOOKUP($M$11+1,Paraméterek!$I$256:$T$257,2))),IF($D$4="Forint",0,2))</f>
        <v>#N/A</v>
      </c>
      <c r="Z575" s="32">
        <v>556</v>
      </c>
      <c r="AA575" s="32">
        <v>47</v>
      </c>
      <c r="AB575" s="32">
        <v>4</v>
      </c>
      <c r="AC575" s="13">
        <f t="shared" ca="1" si="192"/>
        <v>0</v>
      </c>
      <c r="AD575" s="33"/>
      <c r="AE575" s="13">
        <f t="shared" ca="1" si="184"/>
        <v>0</v>
      </c>
      <c r="AF575" s="13">
        <f ca="1">ROUNDUP(($AC575+$AE575)*VLOOKUP($AA575,Paraméterek!$P$38:$Q$38,2)/12*IF($D576="Nem",IF($M$13=0,1,$M$13),1),IF($D$4="Forint",0,2))</f>
        <v>0</v>
      </c>
      <c r="AG575" s="13">
        <f ca="1">IF($D$2="Egyszeri",IF($D$7&gt;=IF($D$4="Forint",Paraméterek!$P$223,Paraméterek!$P$224),$D$7-IF($D$4="Forint",Paraméterek!$P$223,Paraméterek!$P$224),0),MIN(IF($AB575=12,AVERAGEIF($E$20:$E575,"&gt;0",$E$20:$E575)*12,0),SUM($E$20:$E$31)))</f>
        <v>0</v>
      </c>
      <c r="AH575" s="13">
        <f>IF($AA575=10,$AG575*IF($AB575=12,IF($AG575&lt;IF($D$4="Forint",Paraméterek!$L$223,Paraméterek!$L$224),0,VLOOKUP($AA575,Paraméterek!$K$226:$M$228,IF($AG575&lt;IF($D$4="Forint",Paraméterek!$M$223,Paraméterek!$M$224),2,3))),0),0)</f>
        <v>0</v>
      </c>
      <c r="AI575" s="13">
        <f ca="1">IF(AND($AA575=$M$11+1,$AB575=$M$12+1),SUMIF($AA$20:$AA$1027,$AA575,$AG$20:$AG$1027)*IF(SUMIF($AA$20:$AA$1027,$AA575,$AG$20:$AG$1027)&lt;IF($D$4="Forint",Paraméterek!$L$223,Paraméterek!$L$224),0,VLOOKUP($AA575,Paraméterek!$K$230:$M$250,IF(SUMIF($AA$20:$AA$1027,$AA575,$AG$20:$AG$1027)&lt;IF($D$4="Forint",Paraméterek!$M$223,Paraméterek!$M$224),2,3))),0)</f>
        <v>0</v>
      </c>
      <c r="AJ575" s="13">
        <f ca="1">IF(AND($AA575&gt;=5,MOD($AA575,5)=0),IF($AB575=12,VLOOKUP($AA575,Paraméterek!$O$225:$P$240,2),0),IF(OR($AA575=3,$AA575=4),IF($AB575=12,VLOOKUP($AA575,Paraméterek!$O$225:$P$240,2,0),0),0))*$AG575</f>
        <v>0</v>
      </c>
      <c r="AK575" s="13">
        <f t="shared" ca="1" si="185"/>
        <v>0</v>
      </c>
      <c r="AL575" s="13">
        <f t="shared" ca="1" si="193"/>
        <v>0</v>
      </c>
      <c r="AM575" s="13">
        <f t="shared" ca="1" si="194"/>
        <v>0</v>
      </c>
      <c r="AO575" s="32">
        <v>556</v>
      </c>
      <c r="AP575" s="32">
        <v>47</v>
      </c>
      <c r="AQ575" s="32">
        <v>4</v>
      </c>
      <c r="AR575" s="13"/>
      <c r="AS575" s="32"/>
      <c r="AT575" s="13">
        <f t="shared" ca="1" si="195"/>
        <v>0</v>
      </c>
      <c r="AU575" s="33"/>
      <c r="AV575" s="13">
        <f t="shared" ca="1" si="186"/>
        <v>0</v>
      </c>
      <c r="AW575" s="13">
        <f ca="1">ROUNDUP(($AT575+$AV575)*VLOOKUP($AP575,Paraméterek!$P$38:$Q$38,2)/12*IF($D576="Nem",IF($M$13=0,1,$M$13),1),IF($D$4="Forint",0,2))</f>
        <v>0</v>
      </c>
      <c r="AX575" s="13"/>
      <c r="AY575" s="13"/>
      <c r="AZ575" s="13">
        <f>ROUNDUP(IF(SUM($AX575:$AY575)=0,0,IF(IF(ISBLANK($AY575),$AX575,$AY575)*Paraméterek!$J$112&lt;IF($D$4="Forint",Paraméterek!$J$113,Paraméterek!$K$113),IF($D$4="Forint",Paraméterek!$J$113,Paraméterek!$K$113),IF(IF(ISBLANK($AY575),$AX575,$AY575)*Paraméterek!$J$112&gt;IF($D$4="Forint",Paraméterek!$J$114,Paraméterek!$K$114),IF($D$4="Forint",Paraméterek!$J$114,Paraméterek!$K$114),IF(ISBLANK($AY575),$AX575,$AY575)*Paraméterek!$J$112))),IF($D$4="Forint",0,2))</f>
        <v>0</v>
      </c>
      <c r="BA575" s="13">
        <f ca="1">$AT575+$AV575-$AW575-IF(ROUNDDOWN(IF(ISBLANK($AY575),$AX575,$AY575),IF($D$4="Forint",0,2))&gt;$AT575+$AV575-$AW575-IF($D$4="Forint",Paraméterek!$J$114,Paraméterek!$K$114),0,ROUNDDOWN(IF(ISBLANK($AY575),$AX575,$AY575),IF($D$4="Forint",0,2))-$AZ575)</f>
        <v>0</v>
      </c>
      <c r="BB575" s="13">
        <f t="shared" ca="1" si="187"/>
        <v>0</v>
      </c>
      <c r="BD575" s="32">
        <v>556</v>
      </c>
      <c r="BE575" s="32">
        <v>47</v>
      </c>
      <c r="BF575" s="32">
        <v>4</v>
      </c>
      <c r="BG575" s="34">
        <f t="shared" ca="1" si="196"/>
        <v>2065</v>
      </c>
      <c r="BH575" s="32" t="str">
        <f ca="1">IF(MOD(MONTH($D$14)+$BD575-1,12)=Paraméterek!$C$288,"Igen","")</f>
        <v/>
      </c>
      <c r="BI575" s="13">
        <f ca="1">IF($BH575="Igen",MIN(ROUNDDOWN((SUMIF($BG$20:$BG$1027,$BG575-1,$K$20:$K$1027)-SUMIF($BG$20:$BG$1027,$BG575-1,$I$20:$I$1027))*Paraméterek!$C$289,IF($D$4="Forint",0,2)),IF($D$4="Forint",Paraméterek!$C$285,Paraméterek!$D$285)),0)</f>
        <v>0</v>
      </c>
      <c r="BJ575" s="13">
        <f t="shared" ca="1" si="188"/>
        <v>0</v>
      </c>
      <c r="BK575" s="13">
        <f t="shared" ca="1" si="197"/>
        <v>0</v>
      </c>
      <c r="BL575" s="33"/>
      <c r="BM575" s="13">
        <f t="shared" ca="1" si="189"/>
        <v>0</v>
      </c>
      <c r="BN575" s="13">
        <f ca="1">ROUNDUP(($BK575+$BM575)*VLOOKUP($BE575,Paraméterek!$P$38:$Q$38,2)/12*IF($D576="Nem",IF($M$13=0,1,$M$13),1),IF($D$4="Forint",0,2))</f>
        <v>0</v>
      </c>
      <c r="BO575" s="13">
        <f t="shared" ca="1" si="190"/>
        <v>0</v>
      </c>
      <c r="BP575" s="13">
        <f ca="1">IF($D576="Nem",$BO575,$BO575-ROUNDUP(SUM($BI$20:$BI575)*120%,IF($D$4="Forint",0,2)))</f>
        <v>0</v>
      </c>
    </row>
    <row r="576" spans="1:68" x14ac:dyDescent="0.2">
      <c r="A576" s="32">
        <v>557</v>
      </c>
      <c r="B576" s="32">
        <v>47</v>
      </c>
      <c r="C576" s="32">
        <v>5</v>
      </c>
      <c r="D576" s="32" t="str">
        <f t="shared" ca="1" si="176"/>
        <v>Nem</v>
      </c>
      <c r="E576" s="13">
        <f t="shared" ca="1" si="177"/>
        <v>0</v>
      </c>
      <c r="F576" s="13"/>
      <c r="G576" s="13"/>
      <c r="H576" s="13"/>
      <c r="I576" s="13">
        <f t="shared" ca="1" si="178"/>
        <v>0</v>
      </c>
      <c r="J576" s="13">
        <f t="shared" ca="1" si="179"/>
        <v>0</v>
      </c>
      <c r="K576" s="13">
        <f t="shared" ca="1" si="180"/>
        <v>0</v>
      </c>
      <c r="L576" s="13" t="e">
        <f ca="1">ROUNDUP(IF($D$2="Egyszeri",$E576,IF($D$2="Havi",SUM($E$20:$E$31),IF(MOD($C576,$M$1)-1=0,SUM($E$20:$E$31),0))/12*$M$1)*VLOOKUP($B576,Paraméterek!$I$28:$P$31,IF($D$2="Egyszeri",8,HLOOKUP(ROUNDUP($M$11+$M$13,0),Paraméterek!$J$26:$O$27,2))),IF($D$4="Forint",0,2))</f>
        <v>#N/A</v>
      </c>
      <c r="M576" s="13">
        <f t="shared" ca="1" si="181"/>
        <v>0</v>
      </c>
      <c r="N576" s="13">
        <f t="shared" ca="1" si="191"/>
        <v>0</v>
      </c>
      <c r="O576" s="13">
        <f ca="1">IF($D576="Igen",IF($W575&gt;=IF($D$4="Forint",Paraméterek!$J$121,Paraméterek!$K$121),0,IF($D$4="Forint",Paraméterek!$J$121,Paraméterek!$K$121)-$W575),0)</f>
        <v>0</v>
      </c>
      <c r="P576" s="13" t="e">
        <f ca="1">ROUNDUP($O576*VLOOKUP($M$4+$B576-1,Paraméterek!$H$58:$I$105,2,0)/Paraméterek!$I$56,IF($D$4="Forint",0,2))</f>
        <v>#N/A</v>
      </c>
      <c r="Q576" s="13">
        <f t="shared" ca="1" si="182"/>
        <v>0</v>
      </c>
      <c r="R576" s="33"/>
      <c r="S576" s="13" t="e">
        <f t="shared" ca="1" si="183"/>
        <v>#N/A</v>
      </c>
      <c r="T576" s="13" t="e">
        <f ca="1">ROUNDUP(($N576-$P576-$Q576+$S576)*VLOOKUP($B576,Paraméterek!$I$38:$K$39,IF($D$2="Egyszeri",3,2))/12*IF($D577="Nem",IF($M$13=0,1,$M$13),1),IF($D$4="Forint",0,2))</f>
        <v>#N/A</v>
      </c>
      <c r="U576" s="13"/>
      <c r="V576" s="13"/>
      <c r="W576" s="13" t="e">
        <f ca="1">$N576-$P576-$Q576+$S576-$T576-IF(ROUNDUP(IF(ISBLANK($V576),$U576*0,$V576)/IF($D$2="Egyszeri",VLOOKUP($B576+IF($C576=12,1,0),Paraméterek!$V$257:$W$262,2),IF($B576=1,1,VLOOKUP($B576+IF($C576=12,1,0),Paraméterek!$I$258:$T$278,HLOOKUP($M$11+1,Paraméterek!$J$256:$T$257,2)))),IF($D$4="Forint",0,2))&gt;$N576-$P576-$Q576+$S576-$T576-IF($D$4="Forint",Paraméterek!$C$216,Paraméterek!$D$216),0,ROUNDUP(IF(ISBLANK($V576),$U576*0,$V576)/IF($D$2="Egyszeri",VLOOKUP($B576+IF($C576=12,1,0),Paraméterek!$V$257:$W$262,2),IF($B576=1,1,VLOOKUP($B576+IF($C576=12,1,0),Paraméterek!$I$258:$T$278,HLOOKUP($M$11+1,Paraméterek!$J$256:$T$257,2)))),IF($D$4="Forint",0,2)))</f>
        <v>#N/A</v>
      </c>
      <c r="X576" s="13" t="e">
        <f ca="1">ROUNDDOWN($W576*IF($D$2="Egyszeri",VLOOKUP($B576+IF($C576=12,1,0),Paraméterek!$V$257:$W$262,2),VLOOKUP($B576+IF($C576=12,1,0),Paraméterek!$I$258:$T$278,HLOOKUP($M$11+1,Paraméterek!$I$256:$T$257,2))),IF($D$4="Forint",0,2))</f>
        <v>#N/A</v>
      </c>
      <c r="Z576" s="32">
        <v>557</v>
      </c>
      <c r="AA576" s="32">
        <v>47</v>
      </c>
      <c r="AB576" s="32">
        <v>5</v>
      </c>
      <c r="AC576" s="13">
        <f t="shared" ca="1" si="192"/>
        <v>0</v>
      </c>
      <c r="AD576" s="33"/>
      <c r="AE576" s="13">
        <f t="shared" ca="1" si="184"/>
        <v>0</v>
      </c>
      <c r="AF576" s="13">
        <f ca="1">ROUNDUP(($AC576+$AE576)*VLOOKUP($AA576,Paraméterek!$P$38:$Q$38,2)/12*IF($D577="Nem",IF($M$13=0,1,$M$13),1),IF($D$4="Forint",0,2))</f>
        <v>0</v>
      </c>
      <c r="AG576" s="13">
        <f ca="1">IF($D$2="Egyszeri",IF($D$7&gt;=IF($D$4="Forint",Paraméterek!$P$223,Paraméterek!$P$224),$D$7-IF($D$4="Forint",Paraméterek!$P$223,Paraméterek!$P$224),0),MIN(IF($AB576=12,AVERAGEIF($E$20:$E576,"&gt;0",$E$20:$E576)*12,0),SUM($E$20:$E$31)))</f>
        <v>0</v>
      </c>
      <c r="AH576" s="13">
        <f>IF($AA576=10,$AG576*IF($AB576=12,IF($AG576&lt;IF($D$4="Forint",Paraméterek!$L$223,Paraméterek!$L$224),0,VLOOKUP($AA576,Paraméterek!$K$226:$M$228,IF($AG576&lt;IF($D$4="Forint",Paraméterek!$M$223,Paraméterek!$M$224),2,3))),0),0)</f>
        <v>0</v>
      </c>
      <c r="AI576" s="13">
        <f ca="1">IF(AND($AA576=$M$11+1,$AB576=$M$12+1),SUMIF($AA$20:$AA$1027,$AA576,$AG$20:$AG$1027)*IF(SUMIF($AA$20:$AA$1027,$AA576,$AG$20:$AG$1027)&lt;IF($D$4="Forint",Paraméterek!$L$223,Paraméterek!$L$224),0,VLOOKUP($AA576,Paraméterek!$K$230:$M$250,IF(SUMIF($AA$20:$AA$1027,$AA576,$AG$20:$AG$1027)&lt;IF($D$4="Forint",Paraméterek!$M$223,Paraméterek!$M$224),2,3))),0)</f>
        <v>0</v>
      </c>
      <c r="AJ576" s="13">
        <f ca="1">IF(AND($AA576&gt;=5,MOD($AA576,5)=0),IF($AB576=12,VLOOKUP($AA576,Paraméterek!$O$225:$P$240,2),0),IF(OR($AA576=3,$AA576=4),IF($AB576=12,VLOOKUP($AA576,Paraméterek!$O$225:$P$240,2,0),0),0))*$AG576</f>
        <v>0</v>
      </c>
      <c r="AK576" s="13">
        <f t="shared" ca="1" si="185"/>
        <v>0</v>
      </c>
      <c r="AL576" s="13">
        <f t="shared" ca="1" si="193"/>
        <v>0</v>
      </c>
      <c r="AM576" s="13">
        <f t="shared" ca="1" si="194"/>
        <v>0</v>
      </c>
      <c r="AO576" s="32">
        <v>557</v>
      </c>
      <c r="AP576" s="32">
        <v>47</v>
      </c>
      <c r="AQ576" s="32">
        <v>5</v>
      </c>
      <c r="AR576" s="13"/>
      <c r="AS576" s="32"/>
      <c r="AT576" s="13">
        <f t="shared" ca="1" si="195"/>
        <v>0</v>
      </c>
      <c r="AU576" s="33"/>
      <c r="AV576" s="13">
        <f t="shared" ca="1" si="186"/>
        <v>0</v>
      </c>
      <c r="AW576" s="13">
        <f ca="1">ROUNDUP(($AT576+$AV576)*VLOOKUP($AP576,Paraméterek!$P$38:$Q$38,2)/12*IF($D577="Nem",IF($M$13=0,1,$M$13),1),IF($D$4="Forint",0,2))</f>
        <v>0</v>
      </c>
      <c r="AX576" s="13"/>
      <c r="AY576" s="13"/>
      <c r="AZ576" s="13">
        <f>ROUNDUP(IF(SUM($AX576:$AY576)=0,0,IF(IF(ISBLANK($AY576),$AX576,$AY576)*Paraméterek!$J$112&lt;IF($D$4="Forint",Paraméterek!$J$113,Paraméterek!$K$113),IF($D$4="Forint",Paraméterek!$J$113,Paraméterek!$K$113),IF(IF(ISBLANK($AY576),$AX576,$AY576)*Paraméterek!$J$112&gt;IF($D$4="Forint",Paraméterek!$J$114,Paraméterek!$K$114),IF($D$4="Forint",Paraméterek!$J$114,Paraméterek!$K$114),IF(ISBLANK($AY576),$AX576,$AY576)*Paraméterek!$J$112))),IF($D$4="Forint",0,2))</f>
        <v>0</v>
      </c>
      <c r="BA576" s="13">
        <f ca="1">$AT576+$AV576-$AW576-IF(ROUNDDOWN(IF(ISBLANK($AY576),$AX576,$AY576),IF($D$4="Forint",0,2))&gt;$AT576+$AV576-$AW576-IF($D$4="Forint",Paraméterek!$J$114,Paraméterek!$K$114),0,ROUNDDOWN(IF(ISBLANK($AY576),$AX576,$AY576),IF($D$4="Forint",0,2))-$AZ576)</f>
        <v>0</v>
      </c>
      <c r="BB576" s="13">
        <f t="shared" ca="1" si="187"/>
        <v>0</v>
      </c>
      <c r="BD576" s="32">
        <v>557</v>
      </c>
      <c r="BE576" s="32">
        <v>47</v>
      </c>
      <c r="BF576" s="32">
        <v>5</v>
      </c>
      <c r="BG576" s="34">
        <f t="shared" ca="1" si="196"/>
        <v>2065</v>
      </c>
      <c r="BH576" s="32" t="str">
        <f ca="1">IF(MOD(MONTH($D$14)+$BD576-1,12)=Paraméterek!$C$288,"Igen","")</f>
        <v/>
      </c>
      <c r="BI576" s="13">
        <f ca="1">IF($BH576="Igen",MIN(ROUNDDOWN((SUMIF($BG$20:$BG$1027,$BG576-1,$K$20:$K$1027)-SUMIF($BG$20:$BG$1027,$BG576-1,$I$20:$I$1027))*Paraméterek!$C$289,IF($D$4="Forint",0,2)),IF($D$4="Forint",Paraméterek!$C$285,Paraméterek!$D$285)),0)</f>
        <v>0</v>
      </c>
      <c r="BJ576" s="13">
        <f t="shared" ca="1" si="188"/>
        <v>0</v>
      </c>
      <c r="BK576" s="13">
        <f t="shared" ca="1" si="197"/>
        <v>0</v>
      </c>
      <c r="BL576" s="33"/>
      <c r="BM576" s="13">
        <f t="shared" ca="1" si="189"/>
        <v>0</v>
      </c>
      <c r="BN576" s="13">
        <f ca="1">ROUNDUP(($BK576+$BM576)*VLOOKUP($BE576,Paraméterek!$P$38:$Q$38,2)/12*IF($D577="Nem",IF($M$13=0,1,$M$13),1),IF($D$4="Forint",0,2))</f>
        <v>0</v>
      </c>
      <c r="BO576" s="13">
        <f t="shared" ca="1" si="190"/>
        <v>0</v>
      </c>
      <c r="BP576" s="13">
        <f ca="1">IF($D577="Nem",$BO576,$BO576-ROUNDUP(SUM($BI$20:$BI576)*120%,IF($D$4="Forint",0,2)))</f>
        <v>0</v>
      </c>
    </row>
    <row r="577" spans="1:68" x14ac:dyDescent="0.2">
      <c r="A577" s="32">
        <v>558</v>
      </c>
      <c r="B577" s="32">
        <v>47</v>
      </c>
      <c r="C577" s="32">
        <v>6</v>
      </c>
      <c r="D577" s="32" t="str">
        <f t="shared" ca="1" si="176"/>
        <v>Nem</v>
      </c>
      <c r="E577" s="13">
        <f t="shared" ca="1" si="177"/>
        <v>0</v>
      </c>
      <c r="F577" s="13"/>
      <c r="G577" s="13"/>
      <c r="H577" s="13"/>
      <c r="I577" s="13">
        <f t="shared" ca="1" si="178"/>
        <v>0</v>
      </c>
      <c r="J577" s="13">
        <f t="shared" ca="1" si="179"/>
        <v>0</v>
      </c>
      <c r="K577" s="13">
        <f t="shared" ca="1" si="180"/>
        <v>0</v>
      </c>
      <c r="L577" s="13" t="e">
        <f ca="1">ROUNDUP(IF($D$2="Egyszeri",$E577,IF($D$2="Havi",SUM($E$20:$E$31),IF(MOD($C577,$M$1)-1=0,SUM($E$20:$E$31),0))/12*$M$1)*VLOOKUP($B577,Paraméterek!$I$28:$P$31,IF($D$2="Egyszeri",8,HLOOKUP(ROUNDUP($M$11+$M$13,0),Paraméterek!$J$26:$O$27,2))),IF($D$4="Forint",0,2))</f>
        <v>#N/A</v>
      </c>
      <c r="M577" s="13">
        <f t="shared" ca="1" si="181"/>
        <v>0</v>
      </c>
      <c r="N577" s="13">
        <f t="shared" ca="1" si="191"/>
        <v>0</v>
      </c>
      <c r="O577" s="13">
        <f ca="1">IF($D577="Igen",IF($W576&gt;=IF($D$4="Forint",Paraméterek!$J$121,Paraméterek!$K$121),0,IF($D$4="Forint",Paraméterek!$J$121,Paraméterek!$K$121)-$W576),0)</f>
        <v>0</v>
      </c>
      <c r="P577" s="13" t="e">
        <f ca="1">ROUNDUP($O577*VLOOKUP($M$4+$B577-1,Paraméterek!$H$58:$I$105,2,0)/Paraméterek!$I$56,IF($D$4="Forint",0,2))</f>
        <v>#N/A</v>
      </c>
      <c r="Q577" s="13">
        <f t="shared" ca="1" si="182"/>
        <v>0</v>
      </c>
      <c r="R577" s="33"/>
      <c r="S577" s="13" t="e">
        <f t="shared" ca="1" si="183"/>
        <v>#N/A</v>
      </c>
      <c r="T577" s="13" t="e">
        <f ca="1">ROUNDUP(($N577-$P577-$Q577+$S577)*VLOOKUP($B577,Paraméterek!$I$38:$K$39,IF($D$2="Egyszeri",3,2))/12*IF($D578="Nem",IF($M$13=0,1,$M$13),1),IF($D$4="Forint",0,2))</f>
        <v>#N/A</v>
      </c>
      <c r="U577" s="13"/>
      <c r="V577" s="13"/>
      <c r="W577" s="13" t="e">
        <f ca="1">$N577-$P577-$Q577+$S577-$T577-IF(ROUNDUP(IF(ISBLANK($V577),$U577*0,$V577)/IF($D$2="Egyszeri",VLOOKUP($B577+IF($C577=12,1,0),Paraméterek!$V$257:$W$262,2),IF($B577=1,1,VLOOKUP($B577+IF($C577=12,1,0),Paraméterek!$I$258:$T$278,HLOOKUP($M$11+1,Paraméterek!$J$256:$T$257,2)))),IF($D$4="Forint",0,2))&gt;$N577-$P577-$Q577+$S577-$T577-IF($D$4="Forint",Paraméterek!$C$216,Paraméterek!$D$216),0,ROUNDUP(IF(ISBLANK($V577),$U577*0,$V577)/IF($D$2="Egyszeri",VLOOKUP($B577+IF($C577=12,1,0),Paraméterek!$V$257:$W$262,2),IF($B577=1,1,VLOOKUP($B577+IF($C577=12,1,0),Paraméterek!$I$258:$T$278,HLOOKUP($M$11+1,Paraméterek!$J$256:$T$257,2)))),IF($D$4="Forint",0,2)))</f>
        <v>#N/A</v>
      </c>
      <c r="X577" s="13" t="e">
        <f ca="1">ROUNDDOWN($W577*IF($D$2="Egyszeri",VLOOKUP($B577+IF($C577=12,1,0),Paraméterek!$V$257:$W$262,2),VLOOKUP($B577+IF($C577=12,1,0),Paraméterek!$I$258:$T$278,HLOOKUP($M$11+1,Paraméterek!$I$256:$T$257,2))),IF($D$4="Forint",0,2))</f>
        <v>#N/A</v>
      </c>
      <c r="Z577" s="32">
        <v>558</v>
      </c>
      <c r="AA577" s="32">
        <v>47</v>
      </c>
      <c r="AB577" s="32">
        <v>6</v>
      </c>
      <c r="AC577" s="13">
        <f t="shared" ca="1" si="192"/>
        <v>0</v>
      </c>
      <c r="AD577" s="33"/>
      <c r="AE577" s="13">
        <f t="shared" ca="1" si="184"/>
        <v>0</v>
      </c>
      <c r="AF577" s="13">
        <f ca="1">ROUNDUP(($AC577+$AE577)*VLOOKUP($AA577,Paraméterek!$P$38:$Q$38,2)/12*IF($D578="Nem",IF($M$13=0,1,$M$13),1),IF($D$4="Forint",0,2))</f>
        <v>0</v>
      </c>
      <c r="AG577" s="13">
        <f ca="1">IF($D$2="Egyszeri",IF($D$7&gt;=IF($D$4="Forint",Paraméterek!$P$223,Paraméterek!$P$224),$D$7-IF($D$4="Forint",Paraméterek!$P$223,Paraméterek!$P$224),0),MIN(IF($AB577=12,AVERAGEIF($E$20:$E577,"&gt;0",$E$20:$E577)*12,0),SUM($E$20:$E$31)))</f>
        <v>0</v>
      </c>
      <c r="AH577" s="13">
        <f>IF($AA577=10,$AG577*IF($AB577=12,IF($AG577&lt;IF($D$4="Forint",Paraméterek!$L$223,Paraméterek!$L$224),0,VLOOKUP($AA577,Paraméterek!$K$226:$M$228,IF($AG577&lt;IF($D$4="Forint",Paraméterek!$M$223,Paraméterek!$M$224),2,3))),0),0)</f>
        <v>0</v>
      </c>
      <c r="AI577" s="13">
        <f ca="1">IF(AND($AA577=$M$11+1,$AB577=$M$12+1),SUMIF($AA$20:$AA$1027,$AA577,$AG$20:$AG$1027)*IF(SUMIF($AA$20:$AA$1027,$AA577,$AG$20:$AG$1027)&lt;IF($D$4="Forint",Paraméterek!$L$223,Paraméterek!$L$224),0,VLOOKUP($AA577,Paraméterek!$K$230:$M$250,IF(SUMIF($AA$20:$AA$1027,$AA577,$AG$20:$AG$1027)&lt;IF($D$4="Forint",Paraméterek!$M$223,Paraméterek!$M$224),2,3))),0)</f>
        <v>0</v>
      </c>
      <c r="AJ577" s="13">
        <f ca="1">IF(AND($AA577&gt;=5,MOD($AA577,5)=0),IF($AB577=12,VLOOKUP($AA577,Paraméterek!$O$225:$P$240,2),0),IF(OR($AA577=3,$AA577=4),IF($AB577=12,VLOOKUP($AA577,Paraméterek!$O$225:$P$240,2,0),0),0))*$AG577</f>
        <v>0</v>
      </c>
      <c r="AK577" s="13">
        <f t="shared" ca="1" si="185"/>
        <v>0</v>
      </c>
      <c r="AL577" s="13">
        <f t="shared" ca="1" si="193"/>
        <v>0</v>
      </c>
      <c r="AM577" s="13">
        <f t="shared" ca="1" si="194"/>
        <v>0</v>
      </c>
      <c r="AO577" s="32">
        <v>558</v>
      </c>
      <c r="AP577" s="32">
        <v>47</v>
      </c>
      <c r="AQ577" s="32">
        <v>6</v>
      </c>
      <c r="AR577" s="13"/>
      <c r="AS577" s="32"/>
      <c r="AT577" s="13">
        <f t="shared" ca="1" si="195"/>
        <v>0</v>
      </c>
      <c r="AU577" s="33"/>
      <c r="AV577" s="13">
        <f t="shared" ca="1" si="186"/>
        <v>0</v>
      </c>
      <c r="AW577" s="13">
        <f ca="1">ROUNDUP(($AT577+$AV577)*VLOOKUP($AP577,Paraméterek!$P$38:$Q$38,2)/12*IF($D578="Nem",IF($M$13=0,1,$M$13),1),IF($D$4="Forint",0,2))</f>
        <v>0</v>
      </c>
      <c r="AX577" s="13"/>
      <c r="AY577" s="13"/>
      <c r="AZ577" s="13">
        <f>ROUNDUP(IF(SUM($AX577:$AY577)=0,0,IF(IF(ISBLANK($AY577),$AX577,$AY577)*Paraméterek!$J$112&lt;IF($D$4="Forint",Paraméterek!$J$113,Paraméterek!$K$113),IF($D$4="Forint",Paraméterek!$J$113,Paraméterek!$K$113),IF(IF(ISBLANK($AY577),$AX577,$AY577)*Paraméterek!$J$112&gt;IF($D$4="Forint",Paraméterek!$J$114,Paraméterek!$K$114),IF($D$4="Forint",Paraméterek!$J$114,Paraméterek!$K$114),IF(ISBLANK($AY577),$AX577,$AY577)*Paraméterek!$J$112))),IF($D$4="Forint",0,2))</f>
        <v>0</v>
      </c>
      <c r="BA577" s="13">
        <f ca="1">$AT577+$AV577-$AW577-IF(ROUNDDOWN(IF(ISBLANK($AY577),$AX577,$AY577),IF($D$4="Forint",0,2))&gt;$AT577+$AV577-$AW577-IF($D$4="Forint",Paraméterek!$J$114,Paraméterek!$K$114),0,ROUNDDOWN(IF(ISBLANK($AY577),$AX577,$AY577),IF($D$4="Forint",0,2))-$AZ577)</f>
        <v>0</v>
      </c>
      <c r="BB577" s="13">
        <f t="shared" ca="1" si="187"/>
        <v>0</v>
      </c>
      <c r="BD577" s="32">
        <v>558</v>
      </c>
      <c r="BE577" s="32">
        <v>47</v>
      </c>
      <c r="BF577" s="32">
        <v>6</v>
      </c>
      <c r="BG577" s="34">
        <f t="shared" ca="1" si="196"/>
        <v>2065</v>
      </c>
      <c r="BH577" s="32" t="str">
        <f ca="1">IF(MOD(MONTH($D$14)+$BD577-1,12)=Paraméterek!$C$288,"Igen","")</f>
        <v/>
      </c>
      <c r="BI577" s="13">
        <f ca="1">IF($BH577="Igen",MIN(ROUNDDOWN((SUMIF($BG$20:$BG$1027,$BG577-1,$K$20:$K$1027)-SUMIF($BG$20:$BG$1027,$BG577-1,$I$20:$I$1027))*Paraméterek!$C$289,IF($D$4="Forint",0,2)),IF($D$4="Forint",Paraméterek!$C$285,Paraméterek!$D$285)),0)</f>
        <v>0</v>
      </c>
      <c r="BJ577" s="13">
        <f t="shared" ca="1" si="188"/>
        <v>0</v>
      </c>
      <c r="BK577" s="13">
        <f t="shared" ca="1" si="197"/>
        <v>0</v>
      </c>
      <c r="BL577" s="33"/>
      <c r="BM577" s="13">
        <f t="shared" ca="1" si="189"/>
        <v>0</v>
      </c>
      <c r="BN577" s="13">
        <f ca="1">ROUNDUP(($BK577+$BM577)*VLOOKUP($BE577,Paraméterek!$P$38:$Q$38,2)/12*IF($D578="Nem",IF($M$13=0,1,$M$13),1),IF($D$4="Forint",0,2))</f>
        <v>0</v>
      </c>
      <c r="BO577" s="13">
        <f t="shared" ca="1" si="190"/>
        <v>0</v>
      </c>
      <c r="BP577" s="13">
        <f ca="1">IF($D578="Nem",$BO577,$BO577-ROUNDUP(SUM($BI$20:$BI577)*120%,IF($D$4="Forint",0,2)))</f>
        <v>0</v>
      </c>
    </row>
    <row r="578" spans="1:68" x14ac:dyDescent="0.2">
      <c r="A578" s="32">
        <v>559</v>
      </c>
      <c r="B578" s="32">
        <v>47</v>
      </c>
      <c r="C578" s="32">
        <v>7</v>
      </c>
      <c r="D578" s="32" t="str">
        <f t="shared" ca="1" si="176"/>
        <v>Nem</v>
      </c>
      <c r="E578" s="13">
        <f t="shared" ca="1" si="177"/>
        <v>0</v>
      </c>
      <c r="F578" s="13"/>
      <c r="G578" s="13"/>
      <c r="H578" s="13"/>
      <c r="I578" s="13">
        <f t="shared" ca="1" si="178"/>
        <v>0</v>
      </c>
      <c r="J578" s="13">
        <f t="shared" ca="1" si="179"/>
        <v>0</v>
      </c>
      <c r="K578" s="13">
        <f t="shared" ca="1" si="180"/>
        <v>0</v>
      </c>
      <c r="L578" s="13" t="e">
        <f ca="1">ROUNDUP(IF($D$2="Egyszeri",$E578,IF($D$2="Havi",SUM($E$20:$E$31),IF(MOD($C578,$M$1)-1=0,SUM($E$20:$E$31),0))/12*$M$1)*VLOOKUP($B578,Paraméterek!$I$28:$P$31,IF($D$2="Egyszeri",8,HLOOKUP(ROUNDUP($M$11+$M$13,0),Paraméterek!$J$26:$O$27,2))),IF($D$4="Forint",0,2))</f>
        <v>#N/A</v>
      </c>
      <c r="M578" s="13">
        <f t="shared" ca="1" si="181"/>
        <v>0</v>
      </c>
      <c r="N578" s="13">
        <f t="shared" ca="1" si="191"/>
        <v>0</v>
      </c>
      <c r="O578" s="13">
        <f ca="1">IF($D578="Igen",IF($W577&gt;=IF($D$4="Forint",Paraméterek!$J$121,Paraméterek!$K$121),0,IF($D$4="Forint",Paraméterek!$J$121,Paraméterek!$K$121)-$W577),0)</f>
        <v>0</v>
      </c>
      <c r="P578" s="13" t="e">
        <f ca="1">ROUNDUP($O578*VLOOKUP($M$4+$B578-1,Paraméterek!$H$58:$I$105,2,0)/Paraméterek!$I$56,IF($D$4="Forint",0,2))</f>
        <v>#N/A</v>
      </c>
      <c r="Q578" s="13">
        <f t="shared" ca="1" si="182"/>
        <v>0</v>
      </c>
      <c r="R578" s="33"/>
      <c r="S578" s="13" t="e">
        <f t="shared" ca="1" si="183"/>
        <v>#N/A</v>
      </c>
      <c r="T578" s="13" t="e">
        <f ca="1">ROUNDUP(($N578-$P578-$Q578+$S578)*VLOOKUP($B578,Paraméterek!$I$38:$K$39,IF($D$2="Egyszeri",3,2))/12*IF($D579="Nem",IF($M$13=0,1,$M$13),1),IF($D$4="Forint",0,2))</f>
        <v>#N/A</v>
      </c>
      <c r="U578" s="13"/>
      <c r="V578" s="13"/>
      <c r="W578" s="13" t="e">
        <f ca="1">$N578-$P578-$Q578+$S578-$T578-IF(ROUNDUP(IF(ISBLANK($V578),$U578*0,$V578)/IF($D$2="Egyszeri",VLOOKUP($B578+IF($C578=12,1,0),Paraméterek!$V$257:$W$262,2),IF($B578=1,1,VLOOKUP($B578+IF($C578=12,1,0),Paraméterek!$I$258:$T$278,HLOOKUP($M$11+1,Paraméterek!$J$256:$T$257,2)))),IF($D$4="Forint",0,2))&gt;$N578-$P578-$Q578+$S578-$T578-IF($D$4="Forint",Paraméterek!$C$216,Paraméterek!$D$216),0,ROUNDUP(IF(ISBLANK($V578),$U578*0,$V578)/IF($D$2="Egyszeri",VLOOKUP($B578+IF($C578=12,1,0),Paraméterek!$V$257:$W$262,2),IF($B578=1,1,VLOOKUP($B578+IF($C578=12,1,0),Paraméterek!$I$258:$T$278,HLOOKUP($M$11+1,Paraméterek!$J$256:$T$257,2)))),IF($D$4="Forint",0,2)))</f>
        <v>#N/A</v>
      </c>
      <c r="X578" s="13" t="e">
        <f ca="1">ROUNDDOWN($W578*IF($D$2="Egyszeri",VLOOKUP($B578+IF($C578=12,1,0),Paraméterek!$V$257:$W$262,2),VLOOKUP($B578+IF($C578=12,1,0),Paraméterek!$I$258:$T$278,HLOOKUP($M$11+1,Paraméterek!$I$256:$T$257,2))),IF($D$4="Forint",0,2))</f>
        <v>#N/A</v>
      </c>
      <c r="Z578" s="32">
        <v>559</v>
      </c>
      <c r="AA578" s="32">
        <v>47</v>
      </c>
      <c r="AB578" s="32">
        <v>7</v>
      </c>
      <c r="AC578" s="13">
        <f t="shared" ca="1" si="192"/>
        <v>0</v>
      </c>
      <c r="AD578" s="33"/>
      <c r="AE578" s="13">
        <f t="shared" ca="1" si="184"/>
        <v>0</v>
      </c>
      <c r="AF578" s="13">
        <f ca="1">ROUNDUP(($AC578+$AE578)*VLOOKUP($AA578,Paraméterek!$P$38:$Q$38,2)/12*IF($D579="Nem",IF($M$13=0,1,$M$13),1),IF($D$4="Forint",0,2))</f>
        <v>0</v>
      </c>
      <c r="AG578" s="13">
        <f ca="1">IF($D$2="Egyszeri",IF($D$7&gt;=IF($D$4="Forint",Paraméterek!$P$223,Paraméterek!$P$224),$D$7-IF($D$4="Forint",Paraméterek!$P$223,Paraméterek!$P$224),0),MIN(IF($AB578=12,AVERAGEIF($E$20:$E578,"&gt;0",$E$20:$E578)*12,0),SUM($E$20:$E$31)))</f>
        <v>0</v>
      </c>
      <c r="AH578" s="13">
        <f>IF($AA578=10,$AG578*IF($AB578=12,IF($AG578&lt;IF($D$4="Forint",Paraméterek!$L$223,Paraméterek!$L$224),0,VLOOKUP($AA578,Paraméterek!$K$226:$M$228,IF($AG578&lt;IF($D$4="Forint",Paraméterek!$M$223,Paraméterek!$M$224),2,3))),0),0)</f>
        <v>0</v>
      </c>
      <c r="AI578" s="13">
        <f ca="1">IF(AND($AA578=$M$11+1,$AB578=$M$12+1),SUMIF($AA$20:$AA$1027,$AA578,$AG$20:$AG$1027)*IF(SUMIF($AA$20:$AA$1027,$AA578,$AG$20:$AG$1027)&lt;IF($D$4="Forint",Paraméterek!$L$223,Paraméterek!$L$224),0,VLOOKUP($AA578,Paraméterek!$K$230:$M$250,IF(SUMIF($AA$20:$AA$1027,$AA578,$AG$20:$AG$1027)&lt;IF($D$4="Forint",Paraméterek!$M$223,Paraméterek!$M$224),2,3))),0)</f>
        <v>0</v>
      </c>
      <c r="AJ578" s="13">
        <f ca="1">IF(AND($AA578&gt;=5,MOD($AA578,5)=0),IF($AB578=12,VLOOKUP($AA578,Paraméterek!$O$225:$P$240,2),0),IF(OR($AA578=3,$AA578=4),IF($AB578=12,VLOOKUP($AA578,Paraméterek!$O$225:$P$240,2,0),0),0))*$AG578</f>
        <v>0</v>
      </c>
      <c r="AK578" s="13">
        <f t="shared" ca="1" si="185"/>
        <v>0</v>
      </c>
      <c r="AL578" s="13">
        <f t="shared" ca="1" si="193"/>
        <v>0</v>
      </c>
      <c r="AM578" s="13">
        <f t="shared" ca="1" si="194"/>
        <v>0</v>
      </c>
      <c r="AO578" s="32">
        <v>559</v>
      </c>
      <c r="AP578" s="32">
        <v>47</v>
      </c>
      <c r="AQ578" s="32">
        <v>7</v>
      </c>
      <c r="AR578" s="13"/>
      <c r="AS578" s="32"/>
      <c r="AT578" s="13">
        <f t="shared" ca="1" si="195"/>
        <v>0</v>
      </c>
      <c r="AU578" s="33"/>
      <c r="AV578" s="13">
        <f t="shared" ca="1" si="186"/>
        <v>0</v>
      </c>
      <c r="AW578" s="13">
        <f ca="1">ROUNDUP(($AT578+$AV578)*VLOOKUP($AP578,Paraméterek!$P$38:$Q$38,2)/12*IF($D579="Nem",IF($M$13=0,1,$M$13),1),IF($D$4="Forint",0,2))</f>
        <v>0</v>
      </c>
      <c r="AX578" s="13"/>
      <c r="AY578" s="13"/>
      <c r="AZ578" s="13">
        <f>ROUNDUP(IF(SUM($AX578:$AY578)=0,0,IF(IF(ISBLANK($AY578),$AX578,$AY578)*Paraméterek!$J$112&lt;IF($D$4="Forint",Paraméterek!$J$113,Paraméterek!$K$113),IF($D$4="Forint",Paraméterek!$J$113,Paraméterek!$K$113),IF(IF(ISBLANK($AY578),$AX578,$AY578)*Paraméterek!$J$112&gt;IF($D$4="Forint",Paraméterek!$J$114,Paraméterek!$K$114),IF($D$4="Forint",Paraméterek!$J$114,Paraméterek!$K$114),IF(ISBLANK($AY578),$AX578,$AY578)*Paraméterek!$J$112))),IF($D$4="Forint",0,2))</f>
        <v>0</v>
      </c>
      <c r="BA578" s="13">
        <f ca="1">$AT578+$AV578-$AW578-IF(ROUNDDOWN(IF(ISBLANK($AY578),$AX578,$AY578),IF($D$4="Forint",0,2))&gt;$AT578+$AV578-$AW578-IF($D$4="Forint",Paraméterek!$J$114,Paraméterek!$K$114),0,ROUNDDOWN(IF(ISBLANK($AY578),$AX578,$AY578),IF($D$4="Forint",0,2))-$AZ578)</f>
        <v>0</v>
      </c>
      <c r="BB578" s="13">
        <f t="shared" ca="1" si="187"/>
        <v>0</v>
      </c>
      <c r="BD578" s="32">
        <v>559</v>
      </c>
      <c r="BE578" s="32">
        <v>47</v>
      </c>
      <c r="BF578" s="32">
        <v>7</v>
      </c>
      <c r="BG578" s="34">
        <f t="shared" ca="1" si="196"/>
        <v>2065</v>
      </c>
      <c r="BH578" s="32" t="str">
        <f ca="1">IF(MOD(MONTH($D$14)+$BD578-1,12)=Paraméterek!$C$288,"Igen","")</f>
        <v/>
      </c>
      <c r="BI578" s="13">
        <f ca="1">IF($BH578="Igen",MIN(ROUNDDOWN((SUMIF($BG$20:$BG$1027,$BG578-1,$K$20:$K$1027)-SUMIF($BG$20:$BG$1027,$BG578-1,$I$20:$I$1027))*Paraméterek!$C$289,IF($D$4="Forint",0,2)),IF($D$4="Forint",Paraméterek!$C$285,Paraméterek!$D$285)),0)</f>
        <v>0</v>
      </c>
      <c r="BJ578" s="13">
        <f t="shared" ca="1" si="188"/>
        <v>0</v>
      </c>
      <c r="BK578" s="13">
        <f t="shared" ca="1" si="197"/>
        <v>0</v>
      </c>
      <c r="BL578" s="33"/>
      <c r="BM578" s="13">
        <f t="shared" ca="1" si="189"/>
        <v>0</v>
      </c>
      <c r="BN578" s="13">
        <f ca="1">ROUNDUP(($BK578+$BM578)*VLOOKUP($BE578,Paraméterek!$P$38:$Q$38,2)/12*IF($D579="Nem",IF($M$13=0,1,$M$13),1),IF($D$4="Forint",0,2))</f>
        <v>0</v>
      </c>
      <c r="BO578" s="13">
        <f t="shared" ca="1" si="190"/>
        <v>0</v>
      </c>
      <c r="BP578" s="13">
        <f ca="1">IF($D579="Nem",$BO578,$BO578-ROUNDUP(SUM($BI$20:$BI578)*120%,IF($D$4="Forint",0,2)))</f>
        <v>0</v>
      </c>
    </row>
    <row r="579" spans="1:68" x14ac:dyDescent="0.2">
      <c r="A579" s="32">
        <v>560</v>
      </c>
      <c r="B579" s="32">
        <v>47</v>
      </c>
      <c r="C579" s="32">
        <v>8</v>
      </c>
      <c r="D579" s="32" t="str">
        <f t="shared" ca="1" si="176"/>
        <v>Nem</v>
      </c>
      <c r="E579" s="13">
        <f t="shared" ca="1" si="177"/>
        <v>0</v>
      </c>
      <c r="F579" s="13"/>
      <c r="G579" s="13"/>
      <c r="H579" s="13"/>
      <c r="I579" s="13">
        <f t="shared" ca="1" si="178"/>
        <v>0</v>
      </c>
      <c r="J579" s="13">
        <f t="shared" ca="1" si="179"/>
        <v>0</v>
      </c>
      <c r="K579" s="13">
        <f t="shared" ca="1" si="180"/>
        <v>0</v>
      </c>
      <c r="L579" s="13" t="e">
        <f ca="1">ROUNDUP(IF($D$2="Egyszeri",$E579,IF($D$2="Havi",SUM($E$20:$E$31),IF(MOD($C579,$M$1)-1=0,SUM($E$20:$E$31),0))/12*$M$1)*VLOOKUP($B579,Paraméterek!$I$28:$P$31,IF($D$2="Egyszeri",8,HLOOKUP(ROUNDUP($M$11+$M$13,0),Paraméterek!$J$26:$O$27,2))),IF($D$4="Forint",0,2))</f>
        <v>#N/A</v>
      </c>
      <c r="M579" s="13">
        <f t="shared" ca="1" si="181"/>
        <v>0</v>
      </c>
      <c r="N579" s="13">
        <f t="shared" ca="1" si="191"/>
        <v>0</v>
      </c>
      <c r="O579" s="13">
        <f ca="1">IF($D579="Igen",IF($W578&gt;=IF($D$4="Forint",Paraméterek!$J$121,Paraméterek!$K$121),0,IF($D$4="Forint",Paraméterek!$J$121,Paraméterek!$K$121)-$W578),0)</f>
        <v>0</v>
      </c>
      <c r="P579" s="13" t="e">
        <f ca="1">ROUNDUP($O579*VLOOKUP($M$4+$B579-1,Paraméterek!$H$58:$I$105,2,0)/Paraméterek!$I$56,IF($D$4="Forint",0,2))</f>
        <v>#N/A</v>
      </c>
      <c r="Q579" s="13">
        <f t="shared" ca="1" si="182"/>
        <v>0</v>
      </c>
      <c r="R579" s="33"/>
      <c r="S579" s="13" t="e">
        <f t="shared" ca="1" si="183"/>
        <v>#N/A</v>
      </c>
      <c r="T579" s="13" t="e">
        <f ca="1">ROUNDUP(($N579-$P579-$Q579+$S579)*VLOOKUP($B579,Paraméterek!$I$38:$K$39,IF($D$2="Egyszeri",3,2))/12*IF($D580="Nem",IF($M$13=0,1,$M$13),1),IF($D$4="Forint",0,2))</f>
        <v>#N/A</v>
      </c>
      <c r="U579" s="13"/>
      <c r="V579" s="13"/>
      <c r="W579" s="13" t="e">
        <f ca="1">$N579-$P579-$Q579+$S579-$T579-IF(ROUNDUP(IF(ISBLANK($V579),$U579*0,$V579)/IF($D$2="Egyszeri",VLOOKUP($B579+IF($C579=12,1,0),Paraméterek!$V$257:$W$262,2),IF($B579=1,1,VLOOKUP($B579+IF($C579=12,1,0),Paraméterek!$I$258:$T$278,HLOOKUP($M$11+1,Paraméterek!$J$256:$T$257,2)))),IF($D$4="Forint",0,2))&gt;$N579-$P579-$Q579+$S579-$T579-IF($D$4="Forint",Paraméterek!$C$216,Paraméterek!$D$216),0,ROUNDUP(IF(ISBLANK($V579),$U579*0,$V579)/IF($D$2="Egyszeri",VLOOKUP($B579+IF($C579=12,1,0),Paraméterek!$V$257:$W$262,2),IF($B579=1,1,VLOOKUP($B579+IF($C579=12,1,0),Paraméterek!$I$258:$T$278,HLOOKUP($M$11+1,Paraméterek!$J$256:$T$257,2)))),IF($D$4="Forint",0,2)))</f>
        <v>#N/A</v>
      </c>
      <c r="X579" s="13" t="e">
        <f ca="1">ROUNDDOWN($W579*IF($D$2="Egyszeri",VLOOKUP($B579+IF($C579=12,1,0),Paraméterek!$V$257:$W$262,2),VLOOKUP($B579+IF($C579=12,1,0),Paraméterek!$I$258:$T$278,HLOOKUP($M$11+1,Paraméterek!$I$256:$T$257,2))),IF($D$4="Forint",0,2))</f>
        <v>#N/A</v>
      </c>
      <c r="Z579" s="32">
        <v>560</v>
      </c>
      <c r="AA579" s="32">
        <v>47</v>
      </c>
      <c r="AB579" s="32">
        <v>8</v>
      </c>
      <c r="AC579" s="13">
        <f t="shared" ca="1" si="192"/>
        <v>0</v>
      </c>
      <c r="AD579" s="33"/>
      <c r="AE579" s="13">
        <f t="shared" ca="1" si="184"/>
        <v>0</v>
      </c>
      <c r="AF579" s="13">
        <f ca="1">ROUNDUP(($AC579+$AE579)*VLOOKUP($AA579,Paraméterek!$P$38:$Q$38,2)/12*IF($D580="Nem",IF($M$13=0,1,$M$13),1),IF($D$4="Forint",0,2))</f>
        <v>0</v>
      </c>
      <c r="AG579" s="13">
        <f ca="1">IF($D$2="Egyszeri",IF($D$7&gt;=IF($D$4="Forint",Paraméterek!$P$223,Paraméterek!$P$224),$D$7-IF($D$4="Forint",Paraméterek!$P$223,Paraméterek!$P$224),0),MIN(IF($AB579=12,AVERAGEIF($E$20:$E579,"&gt;0",$E$20:$E579)*12,0),SUM($E$20:$E$31)))</f>
        <v>0</v>
      </c>
      <c r="AH579" s="13">
        <f>IF($AA579=10,$AG579*IF($AB579=12,IF($AG579&lt;IF($D$4="Forint",Paraméterek!$L$223,Paraméterek!$L$224),0,VLOOKUP($AA579,Paraméterek!$K$226:$M$228,IF($AG579&lt;IF($D$4="Forint",Paraméterek!$M$223,Paraméterek!$M$224),2,3))),0),0)</f>
        <v>0</v>
      </c>
      <c r="AI579" s="13">
        <f ca="1">IF(AND($AA579=$M$11+1,$AB579=$M$12+1),SUMIF($AA$20:$AA$1027,$AA579,$AG$20:$AG$1027)*IF(SUMIF($AA$20:$AA$1027,$AA579,$AG$20:$AG$1027)&lt;IF($D$4="Forint",Paraméterek!$L$223,Paraméterek!$L$224),0,VLOOKUP($AA579,Paraméterek!$K$230:$M$250,IF(SUMIF($AA$20:$AA$1027,$AA579,$AG$20:$AG$1027)&lt;IF($D$4="Forint",Paraméterek!$M$223,Paraméterek!$M$224),2,3))),0)</f>
        <v>0</v>
      </c>
      <c r="AJ579" s="13">
        <f ca="1">IF(AND($AA579&gt;=5,MOD($AA579,5)=0),IF($AB579=12,VLOOKUP($AA579,Paraméterek!$O$225:$P$240,2),0),IF(OR($AA579=3,$AA579=4),IF($AB579=12,VLOOKUP($AA579,Paraméterek!$O$225:$P$240,2,0),0),0))*$AG579</f>
        <v>0</v>
      </c>
      <c r="AK579" s="13">
        <f t="shared" ca="1" si="185"/>
        <v>0</v>
      </c>
      <c r="AL579" s="13">
        <f t="shared" ca="1" si="193"/>
        <v>0</v>
      </c>
      <c r="AM579" s="13">
        <f t="shared" ca="1" si="194"/>
        <v>0</v>
      </c>
      <c r="AO579" s="32">
        <v>560</v>
      </c>
      <c r="AP579" s="32">
        <v>47</v>
      </c>
      <c r="AQ579" s="32">
        <v>8</v>
      </c>
      <c r="AR579" s="13"/>
      <c r="AS579" s="32"/>
      <c r="AT579" s="13">
        <f t="shared" ca="1" si="195"/>
        <v>0</v>
      </c>
      <c r="AU579" s="33"/>
      <c r="AV579" s="13">
        <f t="shared" ca="1" si="186"/>
        <v>0</v>
      </c>
      <c r="AW579" s="13">
        <f ca="1">ROUNDUP(($AT579+$AV579)*VLOOKUP($AP579,Paraméterek!$P$38:$Q$38,2)/12*IF($D580="Nem",IF($M$13=0,1,$M$13),1),IF($D$4="Forint",0,2))</f>
        <v>0</v>
      </c>
      <c r="AX579" s="13"/>
      <c r="AY579" s="13"/>
      <c r="AZ579" s="13">
        <f>ROUNDUP(IF(SUM($AX579:$AY579)=0,0,IF(IF(ISBLANK($AY579),$AX579,$AY579)*Paraméterek!$J$112&lt;IF($D$4="Forint",Paraméterek!$J$113,Paraméterek!$K$113),IF($D$4="Forint",Paraméterek!$J$113,Paraméterek!$K$113),IF(IF(ISBLANK($AY579),$AX579,$AY579)*Paraméterek!$J$112&gt;IF($D$4="Forint",Paraméterek!$J$114,Paraméterek!$K$114),IF($D$4="Forint",Paraméterek!$J$114,Paraméterek!$K$114),IF(ISBLANK($AY579),$AX579,$AY579)*Paraméterek!$J$112))),IF($D$4="Forint",0,2))</f>
        <v>0</v>
      </c>
      <c r="BA579" s="13">
        <f ca="1">$AT579+$AV579-$AW579-IF(ROUNDDOWN(IF(ISBLANK($AY579),$AX579,$AY579),IF($D$4="Forint",0,2))&gt;$AT579+$AV579-$AW579-IF($D$4="Forint",Paraméterek!$J$114,Paraméterek!$K$114),0,ROUNDDOWN(IF(ISBLANK($AY579),$AX579,$AY579),IF($D$4="Forint",0,2))-$AZ579)</f>
        <v>0</v>
      </c>
      <c r="BB579" s="13">
        <f t="shared" ca="1" si="187"/>
        <v>0</v>
      </c>
      <c r="BD579" s="32">
        <v>560</v>
      </c>
      <c r="BE579" s="32">
        <v>47</v>
      </c>
      <c r="BF579" s="32">
        <v>8</v>
      </c>
      <c r="BG579" s="34">
        <f t="shared" ca="1" si="196"/>
        <v>2066</v>
      </c>
      <c r="BH579" s="32" t="str">
        <f ca="1">IF(MOD(MONTH($D$14)+$BD579-1,12)=Paraméterek!$C$288,"Igen","")</f>
        <v/>
      </c>
      <c r="BI579" s="13">
        <f ca="1">IF($BH579="Igen",MIN(ROUNDDOWN((SUMIF($BG$20:$BG$1027,$BG579-1,$K$20:$K$1027)-SUMIF($BG$20:$BG$1027,$BG579-1,$I$20:$I$1027))*Paraméterek!$C$289,IF($D$4="Forint",0,2)),IF($D$4="Forint",Paraméterek!$C$285,Paraméterek!$D$285)),0)</f>
        <v>0</v>
      </c>
      <c r="BJ579" s="13">
        <f t="shared" ca="1" si="188"/>
        <v>0</v>
      </c>
      <c r="BK579" s="13">
        <f t="shared" ca="1" si="197"/>
        <v>0</v>
      </c>
      <c r="BL579" s="33"/>
      <c r="BM579" s="13">
        <f t="shared" ca="1" si="189"/>
        <v>0</v>
      </c>
      <c r="BN579" s="13">
        <f ca="1">ROUNDUP(($BK579+$BM579)*VLOOKUP($BE579,Paraméterek!$P$38:$Q$38,2)/12*IF($D580="Nem",IF($M$13=0,1,$M$13),1),IF($D$4="Forint",0,2))</f>
        <v>0</v>
      </c>
      <c r="BO579" s="13">
        <f t="shared" ca="1" si="190"/>
        <v>0</v>
      </c>
      <c r="BP579" s="13">
        <f ca="1">IF($D580="Nem",$BO579,$BO579-ROUNDUP(SUM($BI$20:$BI579)*120%,IF($D$4="Forint",0,2)))</f>
        <v>0</v>
      </c>
    </row>
    <row r="580" spans="1:68" x14ac:dyDescent="0.2">
      <c r="A580" s="32">
        <v>561</v>
      </c>
      <c r="B580" s="32">
        <v>47</v>
      </c>
      <c r="C580" s="32">
        <v>9</v>
      </c>
      <c r="D580" s="32" t="str">
        <f t="shared" ca="1" si="176"/>
        <v>Nem</v>
      </c>
      <c r="E580" s="13">
        <f t="shared" ca="1" si="177"/>
        <v>0</v>
      </c>
      <c r="F580" s="13"/>
      <c r="G580" s="13"/>
      <c r="H580" s="13"/>
      <c r="I580" s="13">
        <f t="shared" ca="1" si="178"/>
        <v>0</v>
      </c>
      <c r="J580" s="13">
        <f t="shared" ca="1" si="179"/>
        <v>0</v>
      </c>
      <c r="K580" s="13">
        <f t="shared" ca="1" si="180"/>
        <v>0</v>
      </c>
      <c r="L580" s="13" t="e">
        <f ca="1">ROUNDUP(IF($D$2="Egyszeri",$E580,IF($D$2="Havi",SUM($E$20:$E$31),IF(MOD($C580,$M$1)-1=0,SUM($E$20:$E$31),0))/12*$M$1)*VLOOKUP($B580,Paraméterek!$I$28:$P$31,IF($D$2="Egyszeri",8,HLOOKUP(ROUNDUP($M$11+$M$13,0),Paraméterek!$J$26:$O$27,2))),IF($D$4="Forint",0,2))</f>
        <v>#N/A</v>
      </c>
      <c r="M580" s="13">
        <f t="shared" ca="1" si="181"/>
        <v>0</v>
      </c>
      <c r="N580" s="13">
        <f t="shared" ca="1" si="191"/>
        <v>0</v>
      </c>
      <c r="O580" s="13">
        <f ca="1">IF($D580="Igen",IF($W579&gt;=IF($D$4="Forint",Paraméterek!$J$121,Paraméterek!$K$121),0,IF($D$4="Forint",Paraméterek!$J$121,Paraméterek!$K$121)-$W579),0)</f>
        <v>0</v>
      </c>
      <c r="P580" s="13" t="e">
        <f ca="1">ROUNDUP($O580*VLOOKUP($M$4+$B580-1,Paraméterek!$H$58:$I$105,2,0)/Paraméterek!$I$56,IF($D$4="Forint",0,2))</f>
        <v>#N/A</v>
      </c>
      <c r="Q580" s="13">
        <f t="shared" ca="1" si="182"/>
        <v>0</v>
      </c>
      <c r="R580" s="33"/>
      <c r="S580" s="13" t="e">
        <f t="shared" ca="1" si="183"/>
        <v>#N/A</v>
      </c>
      <c r="T580" s="13" t="e">
        <f ca="1">ROUNDUP(($N580-$P580-$Q580+$S580)*VLOOKUP($B580,Paraméterek!$I$38:$K$39,IF($D$2="Egyszeri",3,2))/12*IF($D581="Nem",IF($M$13=0,1,$M$13),1),IF($D$4="Forint",0,2))</f>
        <v>#N/A</v>
      </c>
      <c r="U580" s="13"/>
      <c r="V580" s="13"/>
      <c r="W580" s="13" t="e">
        <f ca="1">$N580-$P580-$Q580+$S580-$T580-IF(ROUNDUP(IF(ISBLANK($V580),$U580*0,$V580)/IF($D$2="Egyszeri",VLOOKUP($B580+IF($C580=12,1,0),Paraméterek!$V$257:$W$262,2),IF($B580=1,1,VLOOKUP($B580+IF($C580=12,1,0),Paraméterek!$I$258:$T$278,HLOOKUP($M$11+1,Paraméterek!$J$256:$T$257,2)))),IF($D$4="Forint",0,2))&gt;$N580-$P580-$Q580+$S580-$T580-IF($D$4="Forint",Paraméterek!$C$216,Paraméterek!$D$216),0,ROUNDUP(IF(ISBLANK($V580),$U580*0,$V580)/IF($D$2="Egyszeri",VLOOKUP($B580+IF($C580=12,1,0),Paraméterek!$V$257:$W$262,2),IF($B580=1,1,VLOOKUP($B580+IF($C580=12,1,0),Paraméterek!$I$258:$T$278,HLOOKUP($M$11+1,Paraméterek!$J$256:$T$257,2)))),IF($D$4="Forint",0,2)))</f>
        <v>#N/A</v>
      </c>
      <c r="X580" s="13" t="e">
        <f ca="1">ROUNDDOWN($W580*IF($D$2="Egyszeri",VLOOKUP($B580+IF($C580=12,1,0),Paraméterek!$V$257:$W$262,2),VLOOKUP($B580+IF($C580=12,1,0),Paraméterek!$I$258:$T$278,HLOOKUP($M$11+1,Paraméterek!$I$256:$T$257,2))),IF($D$4="Forint",0,2))</f>
        <v>#N/A</v>
      </c>
      <c r="Z580" s="32">
        <v>561</v>
      </c>
      <c r="AA580" s="32">
        <v>47</v>
      </c>
      <c r="AB580" s="32">
        <v>9</v>
      </c>
      <c r="AC580" s="13">
        <f t="shared" ca="1" si="192"/>
        <v>0</v>
      </c>
      <c r="AD580" s="33"/>
      <c r="AE580" s="13">
        <f t="shared" ca="1" si="184"/>
        <v>0</v>
      </c>
      <c r="AF580" s="13">
        <f ca="1">ROUNDUP(($AC580+$AE580)*VLOOKUP($AA580,Paraméterek!$P$38:$Q$38,2)/12*IF($D581="Nem",IF($M$13=0,1,$M$13),1),IF($D$4="Forint",0,2))</f>
        <v>0</v>
      </c>
      <c r="AG580" s="13">
        <f ca="1">IF($D$2="Egyszeri",IF($D$7&gt;=IF($D$4="Forint",Paraméterek!$P$223,Paraméterek!$P$224),$D$7-IF($D$4="Forint",Paraméterek!$P$223,Paraméterek!$P$224),0),MIN(IF($AB580=12,AVERAGEIF($E$20:$E580,"&gt;0",$E$20:$E580)*12,0),SUM($E$20:$E$31)))</f>
        <v>0</v>
      </c>
      <c r="AH580" s="13">
        <f>IF($AA580=10,$AG580*IF($AB580=12,IF($AG580&lt;IF($D$4="Forint",Paraméterek!$L$223,Paraméterek!$L$224),0,VLOOKUP($AA580,Paraméterek!$K$226:$M$228,IF($AG580&lt;IF($D$4="Forint",Paraméterek!$M$223,Paraméterek!$M$224),2,3))),0),0)</f>
        <v>0</v>
      </c>
      <c r="AI580" s="13">
        <f ca="1">IF(AND($AA580=$M$11+1,$AB580=$M$12+1),SUMIF($AA$20:$AA$1027,$AA580,$AG$20:$AG$1027)*IF(SUMIF($AA$20:$AA$1027,$AA580,$AG$20:$AG$1027)&lt;IF($D$4="Forint",Paraméterek!$L$223,Paraméterek!$L$224),0,VLOOKUP($AA580,Paraméterek!$K$230:$M$250,IF(SUMIF($AA$20:$AA$1027,$AA580,$AG$20:$AG$1027)&lt;IF($D$4="Forint",Paraméterek!$M$223,Paraméterek!$M$224),2,3))),0)</f>
        <v>0</v>
      </c>
      <c r="AJ580" s="13">
        <f ca="1">IF(AND($AA580&gt;=5,MOD($AA580,5)=0),IF($AB580=12,VLOOKUP($AA580,Paraméterek!$O$225:$P$240,2),0),IF(OR($AA580=3,$AA580=4),IF($AB580=12,VLOOKUP($AA580,Paraméterek!$O$225:$P$240,2,0),0),0))*$AG580</f>
        <v>0</v>
      </c>
      <c r="AK580" s="13">
        <f t="shared" ca="1" si="185"/>
        <v>0</v>
      </c>
      <c r="AL580" s="13">
        <f t="shared" ca="1" si="193"/>
        <v>0</v>
      </c>
      <c r="AM580" s="13">
        <f t="shared" ca="1" si="194"/>
        <v>0</v>
      </c>
      <c r="AO580" s="32">
        <v>561</v>
      </c>
      <c r="AP580" s="32">
        <v>47</v>
      </c>
      <c r="AQ580" s="32">
        <v>9</v>
      </c>
      <c r="AR580" s="13"/>
      <c r="AS580" s="32"/>
      <c r="AT580" s="13">
        <f t="shared" ca="1" si="195"/>
        <v>0</v>
      </c>
      <c r="AU580" s="33"/>
      <c r="AV580" s="13">
        <f t="shared" ca="1" si="186"/>
        <v>0</v>
      </c>
      <c r="AW580" s="13">
        <f ca="1">ROUNDUP(($AT580+$AV580)*VLOOKUP($AP580,Paraméterek!$P$38:$Q$38,2)/12*IF($D581="Nem",IF($M$13=0,1,$M$13),1),IF($D$4="Forint",0,2))</f>
        <v>0</v>
      </c>
      <c r="AX580" s="13"/>
      <c r="AY580" s="13"/>
      <c r="AZ580" s="13">
        <f>ROUNDUP(IF(SUM($AX580:$AY580)=0,0,IF(IF(ISBLANK($AY580),$AX580,$AY580)*Paraméterek!$J$112&lt;IF($D$4="Forint",Paraméterek!$J$113,Paraméterek!$K$113),IF($D$4="Forint",Paraméterek!$J$113,Paraméterek!$K$113),IF(IF(ISBLANK($AY580),$AX580,$AY580)*Paraméterek!$J$112&gt;IF($D$4="Forint",Paraméterek!$J$114,Paraméterek!$K$114),IF($D$4="Forint",Paraméterek!$J$114,Paraméterek!$K$114),IF(ISBLANK($AY580),$AX580,$AY580)*Paraméterek!$J$112))),IF($D$4="Forint",0,2))</f>
        <v>0</v>
      </c>
      <c r="BA580" s="13">
        <f ca="1">$AT580+$AV580-$AW580-IF(ROUNDDOWN(IF(ISBLANK($AY580),$AX580,$AY580),IF($D$4="Forint",0,2))&gt;$AT580+$AV580-$AW580-IF($D$4="Forint",Paraméterek!$J$114,Paraméterek!$K$114),0,ROUNDDOWN(IF(ISBLANK($AY580),$AX580,$AY580),IF($D$4="Forint",0,2))-$AZ580)</f>
        <v>0</v>
      </c>
      <c r="BB580" s="13">
        <f t="shared" ca="1" si="187"/>
        <v>0</v>
      </c>
      <c r="BD580" s="32">
        <v>561</v>
      </c>
      <c r="BE580" s="32">
        <v>47</v>
      </c>
      <c r="BF580" s="32">
        <v>9</v>
      </c>
      <c r="BG580" s="34">
        <f t="shared" ca="1" si="196"/>
        <v>2066</v>
      </c>
      <c r="BH580" s="32" t="str">
        <f ca="1">IF(MOD(MONTH($D$14)+$BD580-1,12)=Paraméterek!$C$288,"Igen","")</f>
        <v/>
      </c>
      <c r="BI580" s="13">
        <f ca="1">IF($BH580="Igen",MIN(ROUNDDOWN((SUMIF($BG$20:$BG$1027,$BG580-1,$K$20:$K$1027)-SUMIF($BG$20:$BG$1027,$BG580-1,$I$20:$I$1027))*Paraméterek!$C$289,IF($D$4="Forint",0,2)),IF($D$4="Forint",Paraméterek!$C$285,Paraméterek!$D$285)),0)</f>
        <v>0</v>
      </c>
      <c r="BJ580" s="13">
        <f t="shared" ca="1" si="188"/>
        <v>0</v>
      </c>
      <c r="BK580" s="13">
        <f t="shared" ca="1" si="197"/>
        <v>0</v>
      </c>
      <c r="BL580" s="33"/>
      <c r="BM580" s="13">
        <f t="shared" ca="1" si="189"/>
        <v>0</v>
      </c>
      <c r="BN580" s="13">
        <f ca="1">ROUNDUP(($BK580+$BM580)*VLOOKUP($BE580,Paraméterek!$P$38:$Q$38,2)/12*IF($D581="Nem",IF($M$13=0,1,$M$13),1),IF($D$4="Forint",0,2))</f>
        <v>0</v>
      </c>
      <c r="BO580" s="13">
        <f t="shared" ca="1" si="190"/>
        <v>0</v>
      </c>
      <c r="BP580" s="13">
        <f ca="1">IF($D581="Nem",$BO580,$BO580-ROUNDUP(SUM($BI$20:$BI580)*120%,IF($D$4="Forint",0,2)))</f>
        <v>0</v>
      </c>
    </row>
    <row r="581" spans="1:68" x14ac:dyDescent="0.2">
      <c r="A581" s="32">
        <v>562</v>
      </c>
      <c r="B581" s="32">
        <v>47</v>
      </c>
      <c r="C581" s="32">
        <v>10</v>
      </c>
      <c r="D581" s="32" t="str">
        <f t="shared" ca="1" si="176"/>
        <v>Nem</v>
      </c>
      <c r="E581" s="13">
        <f t="shared" ca="1" si="177"/>
        <v>0</v>
      </c>
      <c r="F581" s="13"/>
      <c r="G581" s="13"/>
      <c r="H581" s="13"/>
      <c r="I581" s="13">
        <f t="shared" ca="1" si="178"/>
        <v>0</v>
      </c>
      <c r="J581" s="13">
        <f t="shared" ca="1" si="179"/>
        <v>0</v>
      </c>
      <c r="K581" s="13">
        <f t="shared" ca="1" si="180"/>
        <v>0</v>
      </c>
      <c r="L581" s="13" t="e">
        <f ca="1">ROUNDUP(IF($D$2="Egyszeri",$E581,IF($D$2="Havi",SUM($E$20:$E$31),IF(MOD($C581,$M$1)-1=0,SUM($E$20:$E$31),0))/12*$M$1)*VLOOKUP($B581,Paraméterek!$I$28:$P$31,IF($D$2="Egyszeri",8,HLOOKUP(ROUNDUP($M$11+$M$13,0),Paraméterek!$J$26:$O$27,2))),IF($D$4="Forint",0,2))</f>
        <v>#N/A</v>
      </c>
      <c r="M581" s="13">
        <f t="shared" ca="1" si="181"/>
        <v>0</v>
      </c>
      <c r="N581" s="13">
        <f t="shared" ca="1" si="191"/>
        <v>0</v>
      </c>
      <c r="O581" s="13">
        <f ca="1">IF($D581="Igen",IF($W580&gt;=IF($D$4="Forint",Paraméterek!$J$121,Paraméterek!$K$121),0,IF($D$4="Forint",Paraméterek!$J$121,Paraméterek!$K$121)-$W580),0)</f>
        <v>0</v>
      </c>
      <c r="P581" s="13" t="e">
        <f ca="1">ROUNDUP($O581*VLOOKUP($M$4+$B581-1,Paraméterek!$H$58:$I$105,2,0)/Paraméterek!$I$56,IF($D$4="Forint",0,2))</f>
        <v>#N/A</v>
      </c>
      <c r="Q581" s="13">
        <f t="shared" ca="1" si="182"/>
        <v>0</v>
      </c>
      <c r="R581" s="33"/>
      <c r="S581" s="13" t="e">
        <f t="shared" ca="1" si="183"/>
        <v>#N/A</v>
      </c>
      <c r="T581" s="13" t="e">
        <f ca="1">ROUNDUP(($N581-$P581-$Q581+$S581)*VLOOKUP($B581,Paraméterek!$I$38:$K$39,IF($D$2="Egyszeri",3,2))/12*IF($D582="Nem",IF($M$13=0,1,$M$13),1),IF($D$4="Forint",0,2))</f>
        <v>#N/A</v>
      </c>
      <c r="U581" s="13"/>
      <c r="V581" s="13"/>
      <c r="W581" s="13" t="e">
        <f ca="1">$N581-$P581-$Q581+$S581-$T581-IF(ROUNDUP(IF(ISBLANK($V581),$U581*0,$V581)/IF($D$2="Egyszeri",VLOOKUP($B581+IF($C581=12,1,0),Paraméterek!$V$257:$W$262,2),IF($B581=1,1,VLOOKUP($B581+IF($C581=12,1,0),Paraméterek!$I$258:$T$278,HLOOKUP($M$11+1,Paraméterek!$J$256:$T$257,2)))),IF($D$4="Forint",0,2))&gt;$N581-$P581-$Q581+$S581-$T581-IF($D$4="Forint",Paraméterek!$C$216,Paraméterek!$D$216),0,ROUNDUP(IF(ISBLANK($V581),$U581*0,$V581)/IF($D$2="Egyszeri",VLOOKUP($B581+IF($C581=12,1,0),Paraméterek!$V$257:$W$262,2),IF($B581=1,1,VLOOKUP($B581+IF($C581=12,1,0),Paraméterek!$I$258:$T$278,HLOOKUP($M$11+1,Paraméterek!$J$256:$T$257,2)))),IF($D$4="Forint",0,2)))</f>
        <v>#N/A</v>
      </c>
      <c r="X581" s="13" t="e">
        <f ca="1">ROUNDDOWN($W581*IF($D$2="Egyszeri",VLOOKUP($B581+IF($C581=12,1,0),Paraméterek!$V$257:$W$262,2),VLOOKUP($B581+IF($C581=12,1,0),Paraméterek!$I$258:$T$278,HLOOKUP($M$11+1,Paraméterek!$I$256:$T$257,2))),IF($D$4="Forint",0,2))</f>
        <v>#N/A</v>
      </c>
      <c r="Z581" s="32">
        <v>562</v>
      </c>
      <c r="AA581" s="32">
        <v>47</v>
      </c>
      <c r="AB581" s="32">
        <v>10</v>
      </c>
      <c r="AC581" s="13">
        <f t="shared" ca="1" si="192"/>
        <v>0</v>
      </c>
      <c r="AD581" s="33"/>
      <c r="AE581" s="13">
        <f t="shared" ca="1" si="184"/>
        <v>0</v>
      </c>
      <c r="AF581" s="13">
        <f ca="1">ROUNDUP(($AC581+$AE581)*VLOOKUP($AA581,Paraméterek!$P$38:$Q$38,2)/12*IF($D582="Nem",IF($M$13=0,1,$M$13),1),IF($D$4="Forint",0,2))</f>
        <v>0</v>
      </c>
      <c r="AG581" s="13">
        <f ca="1">IF($D$2="Egyszeri",IF($D$7&gt;=IF($D$4="Forint",Paraméterek!$P$223,Paraméterek!$P$224),$D$7-IF($D$4="Forint",Paraméterek!$P$223,Paraméterek!$P$224),0),MIN(IF($AB581=12,AVERAGEIF($E$20:$E581,"&gt;0",$E$20:$E581)*12,0),SUM($E$20:$E$31)))</f>
        <v>0</v>
      </c>
      <c r="AH581" s="13">
        <f>IF($AA581=10,$AG581*IF($AB581=12,IF($AG581&lt;IF($D$4="Forint",Paraméterek!$L$223,Paraméterek!$L$224),0,VLOOKUP($AA581,Paraméterek!$K$226:$M$228,IF($AG581&lt;IF($D$4="Forint",Paraméterek!$M$223,Paraméterek!$M$224),2,3))),0),0)</f>
        <v>0</v>
      </c>
      <c r="AI581" s="13">
        <f ca="1">IF(AND($AA581=$M$11+1,$AB581=$M$12+1),SUMIF($AA$20:$AA$1027,$AA581,$AG$20:$AG$1027)*IF(SUMIF($AA$20:$AA$1027,$AA581,$AG$20:$AG$1027)&lt;IF($D$4="Forint",Paraméterek!$L$223,Paraméterek!$L$224),0,VLOOKUP($AA581,Paraméterek!$K$230:$M$250,IF(SUMIF($AA$20:$AA$1027,$AA581,$AG$20:$AG$1027)&lt;IF($D$4="Forint",Paraméterek!$M$223,Paraméterek!$M$224),2,3))),0)</f>
        <v>0</v>
      </c>
      <c r="AJ581" s="13">
        <f ca="1">IF(AND($AA581&gt;=5,MOD($AA581,5)=0),IF($AB581=12,VLOOKUP($AA581,Paraméterek!$O$225:$P$240,2),0),IF(OR($AA581=3,$AA581=4),IF($AB581=12,VLOOKUP($AA581,Paraméterek!$O$225:$P$240,2,0),0),0))*$AG581</f>
        <v>0</v>
      </c>
      <c r="AK581" s="13">
        <f t="shared" ca="1" si="185"/>
        <v>0</v>
      </c>
      <c r="AL581" s="13">
        <f t="shared" ca="1" si="193"/>
        <v>0</v>
      </c>
      <c r="AM581" s="13">
        <f t="shared" ca="1" si="194"/>
        <v>0</v>
      </c>
      <c r="AO581" s="32">
        <v>562</v>
      </c>
      <c r="AP581" s="32">
        <v>47</v>
      </c>
      <c r="AQ581" s="32">
        <v>10</v>
      </c>
      <c r="AR581" s="13"/>
      <c r="AS581" s="32"/>
      <c r="AT581" s="13">
        <f t="shared" ca="1" si="195"/>
        <v>0</v>
      </c>
      <c r="AU581" s="33"/>
      <c r="AV581" s="13">
        <f t="shared" ca="1" si="186"/>
        <v>0</v>
      </c>
      <c r="AW581" s="13">
        <f ca="1">ROUNDUP(($AT581+$AV581)*VLOOKUP($AP581,Paraméterek!$P$38:$Q$38,2)/12*IF($D582="Nem",IF($M$13=0,1,$M$13),1),IF($D$4="Forint",0,2))</f>
        <v>0</v>
      </c>
      <c r="AX581" s="13"/>
      <c r="AY581" s="13"/>
      <c r="AZ581" s="13">
        <f>ROUNDUP(IF(SUM($AX581:$AY581)=0,0,IF(IF(ISBLANK($AY581),$AX581,$AY581)*Paraméterek!$J$112&lt;IF($D$4="Forint",Paraméterek!$J$113,Paraméterek!$K$113),IF($D$4="Forint",Paraméterek!$J$113,Paraméterek!$K$113),IF(IF(ISBLANK($AY581),$AX581,$AY581)*Paraméterek!$J$112&gt;IF($D$4="Forint",Paraméterek!$J$114,Paraméterek!$K$114),IF($D$4="Forint",Paraméterek!$J$114,Paraméterek!$K$114),IF(ISBLANK($AY581),$AX581,$AY581)*Paraméterek!$J$112))),IF($D$4="Forint",0,2))</f>
        <v>0</v>
      </c>
      <c r="BA581" s="13">
        <f ca="1">$AT581+$AV581-$AW581-IF(ROUNDDOWN(IF(ISBLANK($AY581),$AX581,$AY581),IF($D$4="Forint",0,2))&gt;$AT581+$AV581-$AW581-IF($D$4="Forint",Paraméterek!$J$114,Paraméterek!$K$114),0,ROUNDDOWN(IF(ISBLANK($AY581),$AX581,$AY581),IF($D$4="Forint",0,2))-$AZ581)</f>
        <v>0</v>
      </c>
      <c r="BB581" s="13">
        <f t="shared" ca="1" si="187"/>
        <v>0</v>
      </c>
      <c r="BD581" s="32">
        <v>562</v>
      </c>
      <c r="BE581" s="32">
        <v>47</v>
      </c>
      <c r="BF581" s="32">
        <v>10</v>
      </c>
      <c r="BG581" s="34">
        <f t="shared" ca="1" si="196"/>
        <v>2066</v>
      </c>
      <c r="BH581" s="32" t="str">
        <f ca="1">IF(MOD(MONTH($D$14)+$BD581-1,12)=Paraméterek!$C$288,"Igen","")</f>
        <v/>
      </c>
      <c r="BI581" s="13">
        <f ca="1">IF($BH581="Igen",MIN(ROUNDDOWN((SUMIF($BG$20:$BG$1027,$BG581-1,$K$20:$K$1027)-SUMIF($BG$20:$BG$1027,$BG581-1,$I$20:$I$1027))*Paraméterek!$C$289,IF($D$4="Forint",0,2)),IF($D$4="Forint",Paraméterek!$C$285,Paraméterek!$D$285)),0)</f>
        <v>0</v>
      </c>
      <c r="BJ581" s="13">
        <f t="shared" ca="1" si="188"/>
        <v>0</v>
      </c>
      <c r="BK581" s="13">
        <f t="shared" ca="1" si="197"/>
        <v>0</v>
      </c>
      <c r="BL581" s="33"/>
      <c r="BM581" s="13">
        <f t="shared" ca="1" si="189"/>
        <v>0</v>
      </c>
      <c r="BN581" s="13">
        <f ca="1">ROUNDUP(($BK581+$BM581)*VLOOKUP($BE581,Paraméterek!$P$38:$Q$38,2)/12*IF($D582="Nem",IF($M$13=0,1,$M$13),1),IF($D$4="Forint",0,2))</f>
        <v>0</v>
      </c>
      <c r="BO581" s="13">
        <f t="shared" ca="1" si="190"/>
        <v>0</v>
      </c>
      <c r="BP581" s="13">
        <f ca="1">IF($D582="Nem",$BO581,$BO581-ROUNDUP(SUM($BI$20:$BI581)*120%,IF($D$4="Forint",0,2)))</f>
        <v>0</v>
      </c>
    </row>
    <row r="582" spans="1:68" x14ac:dyDescent="0.2">
      <c r="A582" s="32">
        <v>563</v>
      </c>
      <c r="B582" s="32">
        <v>47</v>
      </c>
      <c r="C582" s="32">
        <v>11</v>
      </c>
      <c r="D582" s="32" t="str">
        <f t="shared" ca="1" si="176"/>
        <v>Nem</v>
      </c>
      <c r="E582" s="13">
        <f t="shared" ca="1" si="177"/>
        <v>0</v>
      </c>
      <c r="F582" s="13"/>
      <c r="G582" s="13"/>
      <c r="H582" s="13"/>
      <c r="I582" s="13">
        <f t="shared" ca="1" si="178"/>
        <v>0</v>
      </c>
      <c r="J582" s="13">
        <f t="shared" ca="1" si="179"/>
        <v>0</v>
      </c>
      <c r="K582" s="13">
        <f t="shared" ca="1" si="180"/>
        <v>0</v>
      </c>
      <c r="L582" s="13" t="e">
        <f ca="1">ROUNDUP(IF($D$2="Egyszeri",$E582,IF($D$2="Havi",SUM($E$20:$E$31),IF(MOD($C582,$M$1)-1=0,SUM($E$20:$E$31),0))/12*$M$1)*VLOOKUP($B582,Paraméterek!$I$28:$P$31,IF($D$2="Egyszeri",8,HLOOKUP(ROUNDUP($M$11+$M$13,0),Paraméterek!$J$26:$O$27,2))),IF($D$4="Forint",0,2))</f>
        <v>#N/A</v>
      </c>
      <c r="M582" s="13">
        <f t="shared" ca="1" si="181"/>
        <v>0</v>
      </c>
      <c r="N582" s="13">
        <f t="shared" ca="1" si="191"/>
        <v>0</v>
      </c>
      <c r="O582" s="13">
        <f ca="1">IF($D582="Igen",IF($W581&gt;=IF($D$4="Forint",Paraméterek!$J$121,Paraméterek!$K$121),0,IF($D$4="Forint",Paraméterek!$J$121,Paraméterek!$K$121)-$W581),0)</f>
        <v>0</v>
      </c>
      <c r="P582" s="13" t="e">
        <f ca="1">ROUNDUP($O582*VLOOKUP($M$4+$B582-1,Paraméterek!$H$58:$I$105,2,0)/Paraméterek!$I$56,IF($D$4="Forint",0,2))</f>
        <v>#N/A</v>
      </c>
      <c r="Q582" s="13">
        <f t="shared" ca="1" si="182"/>
        <v>0</v>
      </c>
      <c r="R582" s="33"/>
      <c r="S582" s="13" t="e">
        <f t="shared" ca="1" si="183"/>
        <v>#N/A</v>
      </c>
      <c r="T582" s="13" t="e">
        <f ca="1">ROUNDUP(($N582-$P582-$Q582+$S582)*VLOOKUP($B582,Paraméterek!$I$38:$K$39,IF($D$2="Egyszeri",3,2))/12*IF($D583="Nem",IF($M$13=0,1,$M$13),1),IF($D$4="Forint",0,2))</f>
        <v>#N/A</v>
      </c>
      <c r="U582" s="13"/>
      <c r="V582" s="13"/>
      <c r="W582" s="13" t="e">
        <f ca="1">$N582-$P582-$Q582+$S582-$T582-IF(ROUNDUP(IF(ISBLANK($V582),$U582*0,$V582)/IF($D$2="Egyszeri",VLOOKUP($B582+IF($C582=12,1,0),Paraméterek!$V$257:$W$262,2),IF($B582=1,1,VLOOKUP($B582+IF($C582=12,1,0),Paraméterek!$I$258:$T$278,HLOOKUP($M$11+1,Paraméterek!$J$256:$T$257,2)))),IF($D$4="Forint",0,2))&gt;$N582-$P582-$Q582+$S582-$T582-IF($D$4="Forint",Paraméterek!$C$216,Paraméterek!$D$216),0,ROUNDUP(IF(ISBLANK($V582),$U582*0,$V582)/IF($D$2="Egyszeri",VLOOKUP($B582+IF($C582=12,1,0),Paraméterek!$V$257:$W$262,2),IF($B582=1,1,VLOOKUP($B582+IF($C582=12,1,0),Paraméterek!$I$258:$T$278,HLOOKUP($M$11+1,Paraméterek!$J$256:$T$257,2)))),IF($D$4="Forint",0,2)))</f>
        <v>#N/A</v>
      </c>
      <c r="X582" s="13" t="e">
        <f ca="1">ROUNDDOWN($W582*IF($D$2="Egyszeri",VLOOKUP($B582+IF($C582=12,1,0),Paraméterek!$V$257:$W$262,2),VLOOKUP($B582+IF($C582=12,1,0),Paraméterek!$I$258:$T$278,HLOOKUP($M$11+1,Paraméterek!$I$256:$T$257,2))),IF($D$4="Forint",0,2))</f>
        <v>#N/A</v>
      </c>
      <c r="Z582" s="32">
        <v>563</v>
      </c>
      <c r="AA582" s="32">
        <v>47</v>
      </c>
      <c r="AB582" s="32">
        <v>11</v>
      </c>
      <c r="AC582" s="13">
        <f t="shared" ca="1" si="192"/>
        <v>0</v>
      </c>
      <c r="AD582" s="33"/>
      <c r="AE582" s="13">
        <f t="shared" ca="1" si="184"/>
        <v>0</v>
      </c>
      <c r="AF582" s="13">
        <f ca="1">ROUNDUP(($AC582+$AE582)*VLOOKUP($AA582,Paraméterek!$P$38:$Q$38,2)/12*IF($D583="Nem",IF($M$13=0,1,$M$13),1),IF($D$4="Forint",0,2))</f>
        <v>0</v>
      </c>
      <c r="AG582" s="13">
        <f ca="1">IF($D$2="Egyszeri",IF($D$7&gt;=IF($D$4="Forint",Paraméterek!$P$223,Paraméterek!$P$224),$D$7-IF($D$4="Forint",Paraméterek!$P$223,Paraméterek!$P$224),0),MIN(IF($AB582=12,AVERAGEIF($E$20:$E582,"&gt;0",$E$20:$E582)*12,0),SUM($E$20:$E$31)))</f>
        <v>0</v>
      </c>
      <c r="AH582" s="13">
        <f>IF($AA582=10,$AG582*IF($AB582=12,IF($AG582&lt;IF($D$4="Forint",Paraméterek!$L$223,Paraméterek!$L$224),0,VLOOKUP($AA582,Paraméterek!$K$226:$M$228,IF($AG582&lt;IF($D$4="Forint",Paraméterek!$M$223,Paraméterek!$M$224),2,3))),0),0)</f>
        <v>0</v>
      </c>
      <c r="AI582" s="13">
        <f ca="1">IF(AND($AA582=$M$11+1,$AB582=$M$12+1),SUMIF($AA$20:$AA$1027,$AA582,$AG$20:$AG$1027)*IF(SUMIF($AA$20:$AA$1027,$AA582,$AG$20:$AG$1027)&lt;IF($D$4="Forint",Paraméterek!$L$223,Paraméterek!$L$224),0,VLOOKUP($AA582,Paraméterek!$K$230:$M$250,IF(SUMIF($AA$20:$AA$1027,$AA582,$AG$20:$AG$1027)&lt;IF($D$4="Forint",Paraméterek!$M$223,Paraméterek!$M$224),2,3))),0)</f>
        <v>0</v>
      </c>
      <c r="AJ582" s="13">
        <f ca="1">IF(AND($AA582&gt;=5,MOD($AA582,5)=0),IF($AB582=12,VLOOKUP($AA582,Paraméterek!$O$225:$P$240,2),0),IF(OR($AA582=3,$AA582=4),IF($AB582=12,VLOOKUP($AA582,Paraméterek!$O$225:$P$240,2,0),0),0))*$AG582</f>
        <v>0</v>
      </c>
      <c r="AK582" s="13">
        <f t="shared" ca="1" si="185"/>
        <v>0</v>
      </c>
      <c r="AL582" s="13">
        <f t="shared" ca="1" si="193"/>
        <v>0</v>
      </c>
      <c r="AM582" s="13">
        <f t="shared" ca="1" si="194"/>
        <v>0</v>
      </c>
      <c r="AO582" s="32">
        <v>563</v>
      </c>
      <c r="AP582" s="32">
        <v>47</v>
      </c>
      <c r="AQ582" s="32">
        <v>11</v>
      </c>
      <c r="AR582" s="13"/>
      <c r="AS582" s="32"/>
      <c r="AT582" s="13">
        <f t="shared" ca="1" si="195"/>
        <v>0</v>
      </c>
      <c r="AU582" s="33"/>
      <c r="AV582" s="13">
        <f t="shared" ca="1" si="186"/>
        <v>0</v>
      </c>
      <c r="AW582" s="13">
        <f ca="1">ROUNDUP(($AT582+$AV582)*VLOOKUP($AP582,Paraméterek!$P$38:$Q$38,2)/12*IF($D583="Nem",IF($M$13=0,1,$M$13),1),IF($D$4="Forint",0,2))</f>
        <v>0</v>
      </c>
      <c r="AX582" s="13"/>
      <c r="AY582" s="13"/>
      <c r="AZ582" s="13">
        <f>ROUNDUP(IF(SUM($AX582:$AY582)=0,0,IF(IF(ISBLANK($AY582),$AX582,$AY582)*Paraméterek!$J$112&lt;IF($D$4="Forint",Paraméterek!$J$113,Paraméterek!$K$113),IF($D$4="Forint",Paraméterek!$J$113,Paraméterek!$K$113),IF(IF(ISBLANK($AY582),$AX582,$AY582)*Paraméterek!$J$112&gt;IF($D$4="Forint",Paraméterek!$J$114,Paraméterek!$K$114),IF($D$4="Forint",Paraméterek!$J$114,Paraméterek!$K$114),IF(ISBLANK($AY582),$AX582,$AY582)*Paraméterek!$J$112))),IF($D$4="Forint",0,2))</f>
        <v>0</v>
      </c>
      <c r="BA582" s="13">
        <f ca="1">$AT582+$AV582-$AW582-IF(ROUNDDOWN(IF(ISBLANK($AY582),$AX582,$AY582),IF($D$4="Forint",0,2))&gt;$AT582+$AV582-$AW582-IF($D$4="Forint",Paraméterek!$J$114,Paraméterek!$K$114),0,ROUNDDOWN(IF(ISBLANK($AY582),$AX582,$AY582),IF($D$4="Forint",0,2))-$AZ582)</f>
        <v>0</v>
      </c>
      <c r="BB582" s="13">
        <f t="shared" ca="1" si="187"/>
        <v>0</v>
      </c>
      <c r="BD582" s="32">
        <v>563</v>
      </c>
      <c r="BE582" s="32">
        <v>47</v>
      </c>
      <c r="BF582" s="32">
        <v>11</v>
      </c>
      <c r="BG582" s="34">
        <f t="shared" ca="1" si="196"/>
        <v>2066</v>
      </c>
      <c r="BH582" s="32" t="str">
        <f ca="1">IF(MOD(MONTH($D$14)+$BD582-1,12)=Paraméterek!$C$288,"Igen","")</f>
        <v/>
      </c>
      <c r="BI582" s="13">
        <f ca="1">IF($BH582="Igen",MIN(ROUNDDOWN((SUMIF($BG$20:$BG$1027,$BG582-1,$K$20:$K$1027)-SUMIF($BG$20:$BG$1027,$BG582-1,$I$20:$I$1027))*Paraméterek!$C$289,IF($D$4="Forint",0,2)),IF($D$4="Forint",Paraméterek!$C$285,Paraméterek!$D$285)),0)</f>
        <v>0</v>
      </c>
      <c r="BJ582" s="13">
        <f t="shared" ca="1" si="188"/>
        <v>0</v>
      </c>
      <c r="BK582" s="13">
        <f t="shared" ca="1" si="197"/>
        <v>0</v>
      </c>
      <c r="BL582" s="33"/>
      <c r="BM582" s="13">
        <f t="shared" ca="1" si="189"/>
        <v>0</v>
      </c>
      <c r="BN582" s="13">
        <f ca="1">ROUNDUP(($BK582+$BM582)*VLOOKUP($BE582,Paraméterek!$P$38:$Q$38,2)/12*IF($D583="Nem",IF($M$13=0,1,$M$13),1),IF($D$4="Forint",0,2))</f>
        <v>0</v>
      </c>
      <c r="BO582" s="13">
        <f t="shared" ca="1" si="190"/>
        <v>0</v>
      </c>
      <c r="BP582" s="13">
        <f ca="1">IF($D583="Nem",$BO582,$BO582-ROUNDUP(SUM($BI$20:$BI582)*120%,IF($D$4="Forint",0,2)))</f>
        <v>0</v>
      </c>
    </row>
    <row r="583" spans="1:68" x14ac:dyDescent="0.2">
      <c r="A583" s="32">
        <v>564</v>
      </c>
      <c r="B583" s="32">
        <v>47</v>
      </c>
      <c r="C583" s="32">
        <v>12</v>
      </c>
      <c r="D583" s="32" t="str">
        <f t="shared" ca="1" si="176"/>
        <v>Nem</v>
      </c>
      <c r="E583" s="13">
        <f t="shared" ca="1" si="177"/>
        <v>0</v>
      </c>
      <c r="F583" s="13"/>
      <c r="G583" s="13"/>
      <c r="H583" s="13"/>
      <c r="I583" s="13">
        <f t="shared" ca="1" si="178"/>
        <v>0</v>
      </c>
      <c r="J583" s="13">
        <f t="shared" ca="1" si="179"/>
        <v>0</v>
      </c>
      <c r="K583" s="13">
        <f t="shared" ca="1" si="180"/>
        <v>0</v>
      </c>
      <c r="L583" s="13" t="e">
        <f ca="1">ROUNDUP(IF($D$2="Egyszeri",$E583,IF($D$2="Havi",SUM($E$20:$E$31),IF(MOD($C583,$M$1)-1=0,SUM($E$20:$E$31),0))/12*$M$1)*VLOOKUP($B583,Paraméterek!$I$28:$P$31,IF($D$2="Egyszeri",8,HLOOKUP(ROUNDUP($M$11+$M$13,0),Paraméterek!$J$26:$O$27,2))),IF($D$4="Forint",0,2))</f>
        <v>#N/A</v>
      </c>
      <c r="M583" s="13">
        <f t="shared" ca="1" si="181"/>
        <v>0</v>
      </c>
      <c r="N583" s="13">
        <f t="shared" ca="1" si="191"/>
        <v>0</v>
      </c>
      <c r="O583" s="13">
        <f ca="1">IF($D583="Igen",IF($W582&gt;=IF($D$4="Forint",Paraméterek!$J$121,Paraméterek!$K$121),0,IF($D$4="Forint",Paraméterek!$J$121,Paraméterek!$K$121)-$W582),0)</f>
        <v>0</v>
      </c>
      <c r="P583" s="13" t="e">
        <f ca="1">ROUNDUP($O583*VLOOKUP($M$4+$B583-1,Paraméterek!$H$58:$I$105,2,0)/Paraméterek!$I$56,IF($D$4="Forint",0,2))</f>
        <v>#N/A</v>
      </c>
      <c r="Q583" s="13">
        <f t="shared" ca="1" si="182"/>
        <v>0</v>
      </c>
      <c r="R583" s="33"/>
      <c r="S583" s="13" t="e">
        <f t="shared" ca="1" si="183"/>
        <v>#N/A</v>
      </c>
      <c r="T583" s="13" t="e">
        <f ca="1">ROUNDUP(($N583-$P583-$Q583+$S583)*VLOOKUP($B583,Paraméterek!$I$38:$K$39,IF($D$2="Egyszeri",3,2))/12*IF($D584="Nem",IF($M$13=0,1,$M$13),1),IF($D$4="Forint",0,2))</f>
        <v>#N/A</v>
      </c>
      <c r="U583" s="13">
        <f>Tranzakciók!$F$78</f>
        <v>0</v>
      </c>
      <c r="V583" s="13"/>
      <c r="W583" s="13" t="e">
        <f ca="1">$N583-$P583-$Q583+$S583-$T583-IF(ROUNDUP(IF(ISBLANK($V583),$U583*0,$V583)/IF($D$2="Egyszeri",VLOOKUP($B583+IF($C583=12,1,0),Paraméterek!$V$257:$W$262,2),IF($B583=1,1,VLOOKUP($B583+IF($C583=12,1,0),Paraméterek!$I$258:$T$278,HLOOKUP($M$11+1,Paraméterek!$J$256:$T$257,2)))),IF($D$4="Forint",0,2))&gt;$N583-$P583-$Q583+$S583-$T583-IF($D$4="Forint",Paraméterek!$C$216,Paraméterek!$D$216),0,ROUNDUP(IF(ISBLANK($V583),$U583*0,$V583)/IF($D$2="Egyszeri",VLOOKUP($B583+IF($C583=12,1,0),Paraméterek!$V$257:$W$262,2),IF($B583=1,1,VLOOKUP($B583+IF($C583=12,1,0),Paraméterek!$I$258:$T$278,HLOOKUP($M$11+1,Paraméterek!$J$256:$T$257,2)))),IF($D$4="Forint",0,2)))</f>
        <v>#N/A</v>
      </c>
      <c r="X583" s="13" t="e">
        <f ca="1">ROUNDDOWN($W583*IF($D$2="Egyszeri",VLOOKUP($B583+IF($C583=12,1,0),Paraméterek!$V$257:$W$262,2),VLOOKUP($B583+IF($C583=12,1,0),Paraméterek!$I$258:$T$278,HLOOKUP($M$11+1,Paraméterek!$I$256:$T$257,2))),IF($D$4="Forint",0,2))</f>
        <v>#N/A</v>
      </c>
      <c r="Z583" s="32">
        <v>564</v>
      </c>
      <c r="AA583" s="32">
        <v>47</v>
      </c>
      <c r="AB583" s="32">
        <v>12</v>
      </c>
      <c r="AC583" s="13">
        <f t="shared" ca="1" si="192"/>
        <v>0</v>
      </c>
      <c r="AD583" s="33"/>
      <c r="AE583" s="13">
        <f t="shared" ca="1" si="184"/>
        <v>0</v>
      </c>
      <c r="AF583" s="13">
        <f ca="1">ROUNDUP(($AC583+$AE583)*VLOOKUP($AA583,Paraméterek!$P$38:$Q$38,2)/12*IF($D584="Nem",IF($M$13=0,1,$M$13),1),IF($D$4="Forint",0,2))</f>
        <v>0</v>
      </c>
      <c r="AG583" s="13" t="e">
        <f ca="1">IF($D$2="Egyszeri",IF($D$7&gt;=IF($D$4="Forint",Paraméterek!$P$223,Paraméterek!$P$224),$D$7-IF($D$4="Forint",Paraméterek!$P$223,Paraméterek!$P$224),0),MIN(IF($AB583=12,AVERAGEIF($E$20:$E583,"&gt;0",$E$20:$E583)*12,0),SUM($E$20:$E$31)))</f>
        <v>#DIV/0!</v>
      </c>
      <c r="AH583" s="13">
        <f>IF($AA583=10,$AG583*IF($AB583=12,IF($AG583&lt;IF($D$4="Forint",Paraméterek!$L$223,Paraméterek!$L$224),0,VLOOKUP($AA583,Paraméterek!$K$226:$M$228,IF($AG583&lt;IF($D$4="Forint",Paraméterek!$M$223,Paraméterek!$M$224),2,3))),0),0)</f>
        <v>0</v>
      </c>
      <c r="AI583" s="13">
        <f ca="1">IF(AND($AA583=$M$11+1,$AB583=$M$12+1),SUMIF($AA$20:$AA$1027,$AA583,$AG$20:$AG$1027)*IF(SUMIF($AA$20:$AA$1027,$AA583,$AG$20:$AG$1027)&lt;IF($D$4="Forint",Paraméterek!$L$223,Paraméterek!$L$224),0,VLOOKUP($AA583,Paraméterek!$K$230:$M$250,IF(SUMIF($AA$20:$AA$1027,$AA583,$AG$20:$AG$1027)&lt;IF($D$4="Forint",Paraméterek!$M$223,Paraméterek!$M$224),2,3))),0)</f>
        <v>0</v>
      </c>
      <c r="AJ583" s="13" t="e">
        <f ca="1">IF(AND($AA583&gt;=5,MOD($AA583,5)=0),IF($AB583=12,VLOOKUP($AA583,Paraméterek!$O$225:$P$240,2),0),IF(OR($AA583=3,$AA583=4),IF($AB583=12,VLOOKUP($AA583,Paraméterek!$O$225:$P$240,2,0),0),0))*$AG583</f>
        <v>#DIV/0!</v>
      </c>
      <c r="AK583" s="13">
        <f t="shared" ca="1" si="185"/>
        <v>0</v>
      </c>
      <c r="AL583" s="13">
        <f t="shared" ca="1" si="193"/>
        <v>0</v>
      </c>
      <c r="AM583" s="13">
        <f t="shared" ca="1" si="194"/>
        <v>0</v>
      </c>
      <c r="AO583" s="32">
        <v>564</v>
      </c>
      <c r="AP583" s="32">
        <v>47</v>
      </c>
      <c r="AQ583" s="32">
        <v>12</v>
      </c>
      <c r="AR583" s="13"/>
      <c r="AS583" s="32"/>
      <c r="AT583" s="13">
        <f t="shared" ca="1" si="195"/>
        <v>0</v>
      </c>
      <c r="AU583" s="33"/>
      <c r="AV583" s="13">
        <f t="shared" ca="1" si="186"/>
        <v>0</v>
      </c>
      <c r="AW583" s="13">
        <f ca="1">ROUNDUP(($AT583+$AV583)*VLOOKUP($AP583,Paraméterek!$P$38:$Q$38,2)/12*IF($D584="Nem",IF($M$13=0,1,$M$13),1),IF($D$4="Forint",0,2))</f>
        <v>0</v>
      </c>
      <c r="AX583" s="13">
        <f>Tranzakciók!$M$78</f>
        <v>0</v>
      </c>
      <c r="AY583" s="13"/>
      <c r="AZ583" s="13">
        <f>ROUNDUP(IF(SUM($AX583:$AY583)=0,0,IF(IF(ISBLANK($AY583),$AX583,$AY583)*Paraméterek!$J$112&lt;IF($D$4="Forint",Paraméterek!$J$113,Paraméterek!$K$113),IF($D$4="Forint",Paraméterek!$J$113,Paraméterek!$K$113),IF(IF(ISBLANK($AY583),$AX583,$AY583)*Paraméterek!$J$112&gt;IF($D$4="Forint",Paraméterek!$J$114,Paraméterek!$K$114),IF($D$4="Forint",Paraméterek!$J$114,Paraméterek!$K$114),IF(ISBLANK($AY583),$AX583,$AY583)*Paraméterek!$J$112))),IF($D$4="Forint",0,2))</f>
        <v>0</v>
      </c>
      <c r="BA583" s="13">
        <f ca="1">$AT583+$AV583-$AW583-IF(ROUNDDOWN(IF(ISBLANK($AY583),$AX583,$AY583),IF($D$4="Forint",0,2))&gt;$AT583+$AV583-$AW583-IF($D$4="Forint",Paraméterek!$J$114,Paraméterek!$K$114),0,ROUNDDOWN(IF(ISBLANK($AY583),$AX583,$AY583),IF($D$4="Forint",0,2))-$AZ583)</f>
        <v>0</v>
      </c>
      <c r="BB583" s="13">
        <f t="shared" ca="1" si="187"/>
        <v>0</v>
      </c>
      <c r="BD583" s="32">
        <v>564</v>
      </c>
      <c r="BE583" s="32">
        <v>47</v>
      </c>
      <c r="BF583" s="32">
        <v>12</v>
      </c>
      <c r="BG583" s="34">
        <f t="shared" ca="1" si="196"/>
        <v>2066</v>
      </c>
      <c r="BH583" s="32" t="str">
        <f ca="1">IF(MOD(MONTH($D$14)+$BD583-1,12)=Paraméterek!$C$288,"Igen","")</f>
        <v/>
      </c>
      <c r="BI583" s="13">
        <f ca="1">IF($BH583="Igen",MIN(ROUNDDOWN((SUMIF($BG$20:$BG$1027,$BG583-1,$K$20:$K$1027)-SUMIF($BG$20:$BG$1027,$BG583-1,$I$20:$I$1027))*Paraméterek!$C$289,IF($D$4="Forint",0,2)),IF($D$4="Forint",Paraméterek!$C$285,Paraméterek!$D$285)),0)</f>
        <v>0</v>
      </c>
      <c r="BJ583" s="13">
        <f t="shared" ca="1" si="188"/>
        <v>0</v>
      </c>
      <c r="BK583" s="13">
        <f t="shared" ca="1" si="197"/>
        <v>0</v>
      </c>
      <c r="BL583" s="33"/>
      <c r="BM583" s="13">
        <f t="shared" ca="1" si="189"/>
        <v>0</v>
      </c>
      <c r="BN583" s="13">
        <f ca="1">ROUNDUP(($BK583+$BM583)*VLOOKUP($BE583,Paraméterek!$P$38:$Q$38,2)/12*IF($D584="Nem",IF($M$13=0,1,$M$13),1),IF($D$4="Forint",0,2))</f>
        <v>0</v>
      </c>
      <c r="BO583" s="13">
        <f t="shared" ca="1" si="190"/>
        <v>0</v>
      </c>
      <c r="BP583" s="13">
        <f ca="1">IF($D584="Nem",$BO583,$BO583-ROUNDUP(SUM($BI$20:$BI583)*120%,IF($D$4="Forint",0,2)))</f>
        <v>0</v>
      </c>
    </row>
    <row r="584" spans="1:68" x14ac:dyDescent="0.2">
      <c r="A584" s="32">
        <v>565</v>
      </c>
      <c r="B584" s="32">
        <v>48</v>
      </c>
      <c r="C584" s="32">
        <v>1</v>
      </c>
      <c r="D584" s="32" t="str">
        <f t="shared" ca="1" si="176"/>
        <v>Nem</v>
      </c>
      <c r="E584" s="13">
        <f t="shared" ca="1" si="177"/>
        <v>0</v>
      </c>
      <c r="F584" s="13"/>
      <c r="G584" s="13">
        <f>Tranzakciók!$D$79</f>
        <v>0</v>
      </c>
      <c r="H584" s="13"/>
      <c r="I584" s="13">
        <f t="shared" ca="1" si="178"/>
        <v>0</v>
      </c>
      <c r="J584" s="13">
        <f t="shared" ca="1" si="179"/>
        <v>0</v>
      </c>
      <c r="K584" s="13">
        <f t="shared" ca="1" si="180"/>
        <v>0</v>
      </c>
      <c r="L584" s="13" t="e">
        <f ca="1">ROUNDUP(IF($D$2="Egyszeri",$E584,IF($D$2="Havi",SUM($E$20:$E$31),IF(MOD($C584,$M$1)-1=0,SUM($E$20:$E$31),0))/12*$M$1)*VLOOKUP($B584,Paraméterek!$I$28:$P$31,IF($D$2="Egyszeri",8,HLOOKUP(ROUNDUP($M$11+$M$13,0),Paraméterek!$J$26:$O$27,2))),IF($D$4="Forint",0,2))</f>
        <v>#N/A</v>
      </c>
      <c r="M584" s="13">
        <f t="shared" ca="1" si="181"/>
        <v>0</v>
      </c>
      <c r="N584" s="13">
        <f t="shared" ca="1" si="191"/>
        <v>0</v>
      </c>
      <c r="O584" s="13">
        <f ca="1">IF($D584="Igen",IF($W583&gt;=IF($D$4="Forint",Paraméterek!$J$121,Paraméterek!$K$121),0,IF($D$4="Forint",Paraméterek!$J$121,Paraméterek!$K$121)-$W583),0)</f>
        <v>0</v>
      </c>
      <c r="P584" s="13" t="e">
        <f ca="1">ROUNDUP($O584*VLOOKUP($M$4+$B584-1,Paraméterek!$H$58:$I$105,2,0)/Paraméterek!$I$56,IF($D$4="Forint",0,2))</f>
        <v>#N/A</v>
      </c>
      <c r="Q584" s="13">
        <f t="shared" ca="1" si="182"/>
        <v>0</v>
      </c>
      <c r="R584" s="33"/>
      <c r="S584" s="13" t="e">
        <f t="shared" ca="1" si="183"/>
        <v>#N/A</v>
      </c>
      <c r="T584" s="13" t="e">
        <f ca="1">ROUNDUP(($N584-$P584-$Q584+$S584)*VLOOKUP($B584,Paraméterek!$I$38:$K$39,IF($D$2="Egyszeri",3,2))/12*IF($D585="Nem",IF($M$13=0,1,$M$13),1),IF($D$4="Forint",0,2))</f>
        <v>#N/A</v>
      </c>
      <c r="U584" s="13"/>
      <c r="V584" s="13"/>
      <c r="W584" s="13" t="e">
        <f ca="1">$N584-$P584-$Q584+$S584-$T584-IF(ROUNDUP(IF(ISBLANK($V584),$U584*0,$V584)/IF($D$2="Egyszeri",VLOOKUP($B584+IF($C584=12,1,0),Paraméterek!$V$257:$W$262,2),IF($B584=1,1,VLOOKUP($B584+IF($C584=12,1,0),Paraméterek!$I$258:$T$278,HLOOKUP($M$11+1,Paraméterek!$J$256:$T$257,2)))),IF($D$4="Forint",0,2))&gt;$N584-$P584-$Q584+$S584-$T584-IF($D$4="Forint",Paraméterek!$C$216,Paraméterek!$D$216),0,ROUNDUP(IF(ISBLANK($V584),$U584*0,$V584)/IF($D$2="Egyszeri",VLOOKUP($B584+IF($C584=12,1,0),Paraméterek!$V$257:$W$262,2),IF($B584=1,1,VLOOKUP($B584+IF($C584=12,1,0),Paraméterek!$I$258:$T$278,HLOOKUP($M$11+1,Paraméterek!$J$256:$T$257,2)))),IF($D$4="Forint",0,2)))</f>
        <v>#N/A</v>
      </c>
      <c r="X584" s="13" t="e">
        <f ca="1">ROUNDDOWN($W584*IF($D$2="Egyszeri",VLOOKUP($B584+IF($C584=12,1,0),Paraméterek!$V$257:$W$262,2),VLOOKUP($B584+IF($C584=12,1,0),Paraméterek!$I$258:$T$278,HLOOKUP($M$11+1,Paraméterek!$I$256:$T$257,2))),IF($D$4="Forint",0,2))</f>
        <v>#N/A</v>
      </c>
      <c r="Z584" s="32">
        <v>565</v>
      </c>
      <c r="AA584" s="32">
        <v>48</v>
      </c>
      <c r="AB584" s="32">
        <v>1</v>
      </c>
      <c r="AC584" s="13">
        <f t="shared" ca="1" si="192"/>
        <v>0</v>
      </c>
      <c r="AD584" s="33"/>
      <c r="AE584" s="13">
        <f t="shared" ca="1" si="184"/>
        <v>0</v>
      </c>
      <c r="AF584" s="13">
        <f ca="1">ROUNDUP(($AC584+$AE584)*VLOOKUP($AA584,Paraméterek!$P$38:$Q$38,2)/12*IF($D585="Nem",IF($M$13=0,1,$M$13),1),IF($D$4="Forint",0,2))</f>
        <v>0</v>
      </c>
      <c r="AG584" s="13">
        <f ca="1">IF($D$2="Egyszeri",IF($D$7&gt;=IF($D$4="Forint",Paraméterek!$P$223,Paraméterek!$P$224),$D$7-IF($D$4="Forint",Paraméterek!$P$223,Paraméterek!$P$224),0),MIN(IF($AB584=12,AVERAGEIF($E$20:$E584,"&gt;0",$E$20:$E584)*12,0),SUM($E$20:$E$31)))</f>
        <v>0</v>
      </c>
      <c r="AH584" s="13">
        <f>IF($AA584=10,$AG584*IF($AB584=12,IF($AG584&lt;IF($D$4="Forint",Paraméterek!$L$223,Paraméterek!$L$224),0,VLOOKUP($AA584,Paraméterek!$K$226:$M$228,IF($AG584&lt;IF($D$4="Forint",Paraméterek!$M$223,Paraméterek!$M$224),2,3))),0),0)</f>
        <v>0</v>
      </c>
      <c r="AI584" s="13">
        <f ca="1">IF(AND($AA584=$M$11+1,$AB584=$M$12+1),SUMIF($AA$20:$AA$1027,$AA584,$AG$20:$AG$1027)*IF(SUMIF($AA$20:$AA$1027,$AA584,$AG$20:$AG$1027)&lt;IF($D$4="Forint",Paraméterek!$L$223,Paraméterek!$L$224),0,VLOOKUP($AA584,Paraméterek!$K$230:$M$250,IF(SUMIF($AA$20:$AA$1027,$AA584,$AG$20:$AG$1027)&lt;IF($D$4="Forint",Paraméterek!$M$223,Paraméterek!$M$224),2,3))),0)</f>
        <v>0</v>
      </c>
      <c r="AJ584" s="13">
        <f ca="1">IF(AND($AA584&gt;=5,MOD($AA584,5)=0),IF($AB584=12,VLOOKUP($AA584,Paraméterek!$O$225:$P$240,2),0),IF(OR($AA584=3,$AA584=4),IF($AB584=12,VLOOKUP($AA584,Paraméterek!$O$225:$P$240,2,0),0),0))*$AG584</f>
        <v>0</v>
      </c>
      <c r="AK584" s="13">
        <f t="shared" ca="1" si="185"/>
        <v>0</v>
      </c>
      <c r="AL584" s="13">
        <f t="shared" ca="1" si="193"/>
        <v>0</v>
      </c>
      <c r="AM584" s="13">
        <f t="shared" ca="1" si="194"/>
        <v>0</v>
      </c>
      <c r="AO584" s="32">
        <v>565</v>
      </c>
      <c r="AP584" s="32">
        <v>48</v>
      </c>
      <c r="AQ584" s="32">
        <v>1</v>
      </c>
      <c r="AR584" s="13">
        <f>Tranzakciók!$K$79</f>
        <v>0</v>
      </c>
      <c r="AS584" s="32"/>
      <c r="AT584" s="13">
        <f t="shared" ca="1" si="195"/>
        <v>0</v>
      </c>
      <c r="AU584" s="33"/>
      <c r="AV584" s="13">
        <f t="shared" ca="1" si="186"/>
        <v>0</v>
      </c>
      <c r="AW584" s="13">
        <f ca="1">ROUNDUP(($AT584+$AV584)*VLOOKUP($AP584,Paraméterek!$P$38:$Q$38,2)/12*IF($D585="Nem",IF($M$13=0,1,$M$13),1),IF($D$4="Forint",0,2))</f>
        <v>0</v>
      </c>
      <c r="AX584" s="13"/>
      <c r="AY584" s="13"/>
      <c r="AZ584" s="13">
        <f>ROUNDUP(IF(SUM($AX584:$AY584)=0,0,IF(IF(ISBLANK($AY584),$AX584,$AY584)*Paraméterek!$J$112&lt;IF($D$4="Forint",Paraméterek!$J$113,Paraméterek!$K$113),IF($D$4="Forint",Paraméterek!$J$113,Paraméterek!$K$113),IF(IF(ISBLANK($AY584),$AX584,$AY584)*Paraméterek!$J$112&gt;IF($D$4="Forint",Paraméterek!$J$114,Paraméterek!$K$114),IF($D$4="Forint",Paraméterek!$J$114,Paraméterek!$K$114),IF(ISBLANK($AY584),$AX584,$AY584)*Paraméterek!$J$112))),IF($D$4="Forint",0,2))</f>
        <v>0</v>
      </c>
      <c r="BA584" s="13">
        <f ca="1">$AT584+$AV584-$AW584-IF(ROUNDDOWN(IF(ISBLANK($AY584),$AX584,$AY584),IF($D$4="Forint",0,2))&gt;$AT584+$AV584-$AW584-IF($D$4="Forint",Paraméterek!$J$114,Paraméterek!$K$114),0,ROUNDDOWN(IF(ISBLANK($AY584),$AX584,$AY584),IF($D$4="Forint",0,2))-$AZ584)</f>
        <v>0</v>
      </c>
      <c r="BB584" s="13">
        <f t="shared" ca="1" si="187"/>
        <v>0</v>
      </c>
      <c r="BD584" s="32">
        <v>565</v>
      </c>
      <c r="BE584" s="32">
        <v>48</v>
      </c>
      <c r="BF584" s="32">
        <v>1</v>
      </c>
      <c r="BG584" s="34">
        <f t="shared" ca="1" si="196"/>
        <v>2066</v>
      </c>
      <c r="BH584" s="32" t="str">
        <f ca="1">IF(MOD(MONTH($D$14)+$BD584-1,12)=Paraméterek!$C$288,"Igen","")</f>
        <v/>
      </c>
      <c r="BI584" s="13">
        <f ca="1">IF($BH584="Igen",MIN(ROUNDDOWN((SUMIF($BG$20:$BG$1027,$BG584-1,$K$20:$K$1027)-SUMIF($BG$20:$BG$1027,$BG584-1,$I$20:$I$1027))*Paraméterek!$C$289,IF($D$4="Forint",0,2)),IF($D$4="Forint",Paraméterek!$C$285,Paraméterek!$D$285)),0)</f>
        <v>0</v>
      </c>
      <c r="BJ584" s="13">
        <f t="shared" ca="1" si="188"/>
        <v>0</v>
      </c>
      <c r="BK584" s="13">
        <f t="shared" ca="1" si="197"/>
        <v>0</v>
      </c>
      <c r="BL584" s="33"/>
      <c r="BM584" s="13">
        <f t="shared" ca="1" si="189"/>
        <v>0</v>
      </c>
      <c r="BN584" s="13">
        <f ca="1">ROUNDUP(($BK584+$BM584)*VLOOKUP($BE584,Paraméterek!$P$38:$Q$38,2)/12*IF($D585="Nem",IF($M$13=0,1,$M$13),1),IF($D$4="Forint",0,2))</f>
        <v>0</v>
      </c>
      <c r="BO584" s="13">
        <f t="shared" ca="1" si="190"/>
        <v>0</v>
      </c>
      <c r="BP584" s="13">
        <f ca="1">IF($D585="Nem",$BO584,$BO584-ROUNDUP(SUM($BI$20:$BI584)*120%,IF($D$4="Forint",0,2)))</f>
        <v>0</v>
      </c>
    </row>
    <row r="585" spans="1:68" x14ac:dyDescent="0.2">
      <c r="A585" s="32">
        <v>566</v>
      </c>
      <c r="B585" s="32">
        <v>48</v>
      </c>
      <c r="C585" s="32">
        <v>2</v>
      </c>
      <c r="D585" s="32" t="str">
        <f t="shared" ca="1" si="176"/>
        <v>Nem</v>
      </c>
      <c r="E585" s="13">
        <f t="shared" ca="1" si="177"/>
        <v>0</v>
      </c>
      <c r="F585" s="13"/>
      <c r="G585" s="13"/>
      <c r="H585" s="13"/>
      <c r="I585" s="13">
        <f t="shared" ca="1" si="178"/>
        <v>0</v>
      </c>
      <c r="J585" s="13">
        <f t="shared" ca="1" si="179"/>
        <v>0</v>
      </c>
      <c r="K585" s="13">
        <f t="shared" ca="1" si="180"/>
        <v>0</v>
      </c>
      <c r="L585" s="13" t="e">
        <f ca="1">ROUNDUP(IF($D$2="Egyszeri",$E585,IF($D$2="Havi",SUM($E$20:$E$31),IF(MOD($C585,$M$1)-1=0,SUM($E$20:$E$31),0))/12*$M$1)*VLOOKUP($B585,Paraméterek!$I$28:$P$31,IF($D$2="Egyszeri",8,HLOOKUP(ROUNDUP($M$11+$M$13,0),Paraméterek!$J$26:$O$27,2))),IF($D$4="Forint",0,2))</f>
        <v>#N/A</v>
      </c>
      <c r="M585" s="13">
        <f t="shared" ca="1" si="181"/>
        <v>0</v>
      </c>
      <c r="N585" s="13">
        <f t="shared" ca="1" si="191"/>
        <v>0</v>
      </c>
      <c r="O585" s="13">
        <f ca="1">IF($D585="Igen",IF($W584&gt;=IF($D$4="Forint",Paraméterek!$J$121,Paraméterek!$K$121),0,IF($D$4="Forint",Paraméterek!$J$121,Paraméterek!$K$121)-$W584),0)</f>
        <v>0</v>
      </c>
      <c r="P585" s="13" t="e">
        <f ca="1">ROUNDUP($O585*VLOOKUP($M$4+$B585-1,Paraméterek!$H$58:$I$105,2,0)/Paraméterek!$I$56,IF($D$4="Forint",0,2))</f>
        <v>#N/A</v>
      </c>
      <c r="Q585" s="13">
        <f t="shared" ca="1" si="182"/>
        <v>0</v>
      </c>
      <c r="R585" s="33"/>
      <c r="S585" s="13" t="e">
        <f t="shared" ca="1" si="183"/>
        <v>#N/A</v>
      </c>
      <c r="T585" s="13" t="e">
        <f ca="1">ROUNDUP(($N585-$P585-$Q585+$S585)*VLOOKUP($B585,Paraméterek!$I$38:$K$39,IF($D$2="Egyszeri",3,2))/12*IF($D586="Nem",IF($M$13=0,1,$M$13),1),IF($D$4="Forint",0,2))</f>
        <v>#N/A</v>
      </c>
      <c r="U585" s="13"/>
      <c r="V585" s="13"/>
      <c r="W585" s="13" t="e">
        <f ca="1">$N585-$P585-$Q585+$S585-$T585-IF(ROUNDUP(IF(ISBLANK($V585),$U585*0,$V585)/IF($D$2="Egyszeri",VLOOKUP($B585+IF($C585=12,1,0),Paraméterek!$V$257:$W$262,2),IF($B585=1,1,VLOOKUP($B585+IF($C585=12,1,0),Paraméterek!$I$258:$T$278,HLOOKUP($M$11+1,Paraméterek!$J$256:$T$257,2)))),IF($D$4="Forint",0,2))&gt;$N585-$P585-$Q585+$S585-$T585-IF($D$4="Forint",Paraméterek!$C$216,Paraméterek!$D$216),0,ROUNDUP(IF(ISBLANK($V585),$U585*0,$V585)/IF($D$2="Egyszeri",VLOOKUP($B585+IF($C585=12,1,0),Paraméterek!$V$257:$W$262,2),IF($B585=1,1,VLOOKUP($B585+IF($C585=12,1,0),Paraméterek!$I$258:$T$278,HLOOKUP($M$11+1,Paraméterek!$J$256:$T$257,2)))),IF($D$4="Forint",0,2)))</f>
        <v>#N/A</v>
      </c>
      <c r="X585" s="13" t="e">
        <f ca="1">ROUNDDOWN($W585*IF($D$2="Egyszeri",VLOOKUP($B585+IF($C585=12,1,0),Paraméterek!$V$257:$W$262,2),VLOOKUP($B585+IF($C585=12,1,0),Paraméterek!$I$258:$T$278,HLOOKUP($M$11+1,Paraméterek!$I$256:$T$257,2))),IF($D$4="Forint",0,2))</f>
        <v>#N/A</v>
      </c>
      <c r="Z585" s="32">
        <v>566</v>
      </c>
      <c r="AA585" s="32">
        <v>48</v>
      </c>
      <c r="AB585" s="32">
        <v>2</v>
      </c>
      <c r="AC585" s="13">
        <f t="shared" ca="1" si="192"/>
        <v>0</v>
      </c>
      <c r="AD585" s="33"/>
      <c r="AE585" s="13">
        <f t="shared" ca="1" si="184"/>
        <v>0</v>
      </c>
      <c r="AF585" s="13">
        <f ca="1">ROUNDUP(($AC585+$AE585)*VLOOKUP($AA585,Paraméterek!$P$38:$Q$38,2)/12*IF($D586="Nem",IF($M$13=0,1,$M$13),1),IF($D$4="Forint",0,2))</f>
        <v>0</v>
      </c>
      <c r="AG585" s="13">
        <f ca="1">IF($D$2="Egyszeri",IF($D$7&gt;=IF($D$4="Forint",Paraméterek!$P$223,Paraméterek!$P$224),$D$7-IF($D$4="Forint",Paraméterek!$P$223,Paraméterek!$P$224),0),MIN(IF($AB585=12,AVERAGEIF($E$20:$E585,"&gt;0",$E$20:$E585)*12,0),SUM($E$20:$E$31)))</f>
        <v>0</v>
      </c>
      <c r="AH585" s="13">
        <f>IF($AA585=10,$AG585*IF($AB585=12,IF($AG585&lt;IF($D$4="Forint",Paraméterek!$L$223,Paraméterek!$L$224),0,VLOOKUP($AA585,Paraméterek!$K$226:$M$228,IF($AG585&lt;IF($D$4="Forint",Paraméterek!$M$223,Paraméterek!$M$224),2,3))),0),0)</f>
        <v>0</v>
      </c>
      <c r="AI585" s="13">
        <f ca="1">IF(AND($AA585=$M$11+1,$AB585=$M$12+1),SUMIF($AA$20:$AA$1027,$AA585,$AG$20:$AG$1027)*IF(SUMIF($AA$20:$AA$1027,$AA585,$AG$20:$AG$1027)&lt;IF($D$4="Forint",Paraméterek!$L$223,Paraméterek!$L$224),0,VLOOKUP($AA585,Paraméterek!$K$230:$M$250,IF(SUMIF($AA$20:$AA$1027,$AA585,$AG$20:$AG$1027)&lt;IF($D$4="Forint",Paraméterek!$M$223,Paraméterek!$M$224),2,3))),0)</f>
        <v>0</v>
      </c>
      <c r="AJ585" s="13">
        <f ca="1">IF(AND($AA585&gt;=5,MOD($AA585,5)=0),IF($AB585=12,VLOOKUP($AA585,Paraméterek!$O$225:$P$240,2),0),IF(OR($AA585=3,$AA585=4),IF($AB585=12,VLOOKUP($AA585,Paraméterek!$O$225:$P$240,2,0),0),0))*$AG585</f>
        <v>0</v>
      </c>
      <c r="AK585" s="13">
        <f t="shared" ca="1" si="185"/>
        <v>0</v>
      </c>
      <c r="AL585" s="13">
        <f t="shared" ca="1" si="193"/>
        <v>0</v>
      </c>
      <c r="AM585" s="13">
        <f t="shared" ca="1" si="194"/>
        <v>0</v>
      </c>
      <c r="AO585" s="32">
        <v>566</v>
      </c>
      <c r="AP585" s="32">
        <v>48</v>
      </c>
      <c r="AQ585" s="32">
        <v>2</v>
      </c>
      <c r="AR585" s="13"/>
      <c r="AS585" s="32"/>
      <c r="AT585" s="13">
        <f t="shared" ca="1" si="195"/>
        <v>0</v>
      </c>
      <c r="AU585" s="33"/>
      <c r="AV585" s="13">
        <f t="shared" ca="1" si="186"/>
        <v>0</v>
      </c>
      <c r="AW585" s="13">
        <f ca="1">ROUNDUP(($AT585+$AV585)*VLOOKUP($AP585,Paraméterek!$P$38:$Q$38,2)/12*IF($D586="Nem",IF($M$13=0,1,$M$13),1),IF($D$4="Forint",0,2))</f>
        <v>0</v>
      </c>
      <c r="AX585" s="13"/>
      <c r="AY585" s="13"/>
      <c r="AZ585" s="13">
        <f>ROUNDUP(IF(SUM($AX585:$AY585)=0,0,IF(IF(ISBLANK($AY585),$AX585,$AY585)*Paraméterek!$J$112&lt;IF($D$4="Forint",Paraméterek!$J$113,Paraméterek!$K$113),IF($D$4="Forint",Paraméterek!$J$113,Paraméterek!$K$113),IF(IF(ISBLANK($AY585),$AX585,$AY585)*Paraméterek!$J$112&gt;IF($D$4="Forint",Paraméterek!$J$114,Paraméterek!$K$114),IF($D$4="Forint",Paraméterek!$J$114,Paraméterek!$K$114),IF(ISBLANK($AY585),$AX585,$AY585)*Paraméterek!$J$112))),IF($D$4="Forint",0,2))</f>
        <v>0</v>
      </c>
      <c r="BA585" s="13">
        <f ca="1">$AT585+$AV585-$AW585-IF(ROUNDDOWN(IF(ISBLANK($AY585),$AX585,$AY585),IF($D$4="Forint",0,2))&gt;$AT585+$AV585-$AW585-IF($D$4="Forint",Paraméterek!$J$114,Paraméterek!$K$114),0,ROUNDDOWN(IF(ISBLANK($AY585),$AX585,$AY585),IF($D$4="Forint",0,2))-$AZ585)</f>
        <v>0</v>
      </c>
      <c r="BB585" s="13">
        <f t="shared" ca="1" si="187"/>
        <v>0</v>
      </c>
      <c r="BD585" s="32">
        <v>566</v>
      </c>
      <c r="BE585" s="32">
        <v>48</v>
      </c>
      <c r="BF585" s="32">
        <v>2</v>
      </c>
      <c r="BG585" s="34">
        <f t="shared" ca="1" si="196"/>
        <v>2066</v>
      </c>
      <c r="BH585" s="32" t="str">
        <f ca="1">IF(MOD(MONTH($D$14)+$BD585-1,12)=Paraméterek!$C$288,"Igen","")</f>
        <v>Igen</v>
      </c>
      <c r="BI585" s="13">
        <f ca="1">IF($BH585="Igen",MIN(ROUNDDOWN((SUMIF($BG$20:$BG$1027,$BG585-1,$K$20:$K$1027)-SUMIF($BG$20:$BG$1027,$BG585-1,$I$20:$I$1027))*Paraméterek!$C$289,IF($D$4="Forint",0,2)),IF($D$4="Forint",Paraméterek!$C$285,Paraméterek!$D$285)),0)</f>
        <v>0</v>
      </c>
      <c r="BJ585" s="13">
        <f t="shared" ca="1" si="188"/>
        <v>0</v>
      </c>
      <c r="BK585" s="13">
        <f t="shared" ca="1" si="197"/>
        <v>0</v>
      </c>
      <c r="BL585" s="33"/>
      <c r="BM585" s="13">
        <f t="shared" ca="1" si="189"/>
        <v>0</v>
      </c>
      <c r="BN585" s="13">
        <f ca="1">ROUNDUP(($BK585+$BM585)*VLOOKUP($BE585,Paraméterek!$P$38:$Q$38,2)/12*IF($D586="Nem",IF($M$13=0,1,$M$13),1),IF($D$4="Forint",0,2))</f>
        <v>0</v>
      </c>
      <c r="BO585" s="13">
        <f t="shared" ca="1" si="190"/>
        <v>0</v>
      </c>
      <c r="BP585" s="13">
        <f ca="1">IF($D586="Nem",$BO585,$BO585-ROUNDUP(SUM($BI$20:$BI585)*120%,IF($D$4="Forint",0,2)))</f>
        <v>0</v>
      </c>
    </row>
    <row r="586" spans="1:68" x14ac:dyDescent="0.2">
      <c r="A586" s="32">
        <v>567</v>
      </c>
      <c r="B586" s="32">
        <v>48</v>
      </c>
      <c r="C586" s="32">
        <v>3</v>
      </c>
      <c r="D586" s="32" t="str">
        <f t="shared" ca="1" si="176"/>
        <v>Nem</v>
      </c>
      <c r="E586" s="13">
        <f t="shared" ca="1" si="177"/>
        <v>0</v>
      </c>
      <c r="F586" s="13"/>
      <c r="G586" s="13"/>
      <c r="H586" s="13"/>
      <c r="I586" s="13">
        <f t="shared" ca="1" si="178"/>
        <v>0</v>
      </c>
      <c r="J586" s="13">
        <f t="shared" ca="1" si="179"/>
        <v>0</v>
      </c>
      <c r="K586" s="13">
        <f t="shared" ca="1" si="180"/>
        <v>0</v>
      </c>
      <c r="L586" s="13" t="e">
        <f ca="1">ROUNDUP(IF($D$2="Egyszeri",$E586,IF($D$2="Havi",SUM($E$20:$E$31),IF(MOD($C586,$M$1)-1=0,SUM($E$20:$E$31),0))/12*$M$1)*VLOOKUP($B586,Paraméterek!$I$28:$P$31,IF($D$2="Egyszeri",8,HLOOKUP(ROUNDUP($M$11+$M$13,0),Paraméterek!$J$26:$O$27,2))),IF($D$4="Forint",0,2))</f>
        <v>#N/A</v>
      </c>
      <c r="M586" s="13">
        <f t="shared" ca="1" si="181"/>
        <v>0</v>
      </c>
      <c r="N586" s="13">
        <f t="shared" ca="1" si="191"/>
        <v>0</v>
      </c>
      <c r="O586" s="13">
        <f ca="1">IF($D586="Igen",IF($W585&gt;=IF($D$4="Forint",Paraméterek!$J$121,Paraméterek!$K$121),0,IF($D$4="Forint",Paraméterek!$J$121,Paraméterek!$K$121)-$W585),0)</f>
        <v>0</v>
      </c>
      <c r="P586" s="13" t="e">
        <f ca="1">ROUNDUP($O586*VLOOKUP($M$4+$B586-1,Paraméterek!$H$58:$I$105,2,0)/Paraméterek!$I$56,IF($D$4="Forint",0,2))</f>
        <v>#N/A</v>
      </c>
      <c r="Q586" s="13">
        <f t="shared" ca="1" si="182"/>
        <v>0</v>
      </c>
      <c r="R586" s="33"/>
      <c r="S586" s="13" t="e">
        <f t="shared" ca="1" si="183"/>
        <v>#N/A</v>
      </c>
      <c r="T586" s="13" t="e">
        <f ca="1">ROUNDUP(($N586-$P586-$Q586+$S586)*VLOOKUP($B586,Paraméterek!$I$38:$K$39,IF($D$2="Egyszeri",3,2))/12*IF($D587="Nem",IF($M$13=0,1,$M$13),1),IF($D$4="Forint",0,2))</f>
        <v>#N/A</v>
      </c>
      <c r="U586" s="13"/>
      <c r="V586" s="13"/>
      <c r="W586" s="13" t="e">
        <f ca="1">$N586-$P586-$Q586+$S586-$T586-IF(ROUNDUP(IF(ISBLANK($V586),$U586*0,$V586)/IF($D$2="Egyszeri",VLOOKUP($B586+IF($C586=12,1,0),Paraméterek!$V$257:$W$262,2),IF($B586=1,1,VLOOKUP($B586+IF($C586=12,1,0),Paraméterek!$I$258:$T$278,HLOOKUP($M$11+1,Paraméterek!$J$256:$T$257,2)))),IF($D$4="Forint",0,2))&gt;$N586-$P586-$Q586+$S586-$T586-IF($D$4="Forint",Paraméterek!$C$216,Paraméterek!$D$216),0,ROUNDUP(IF(ISBLANK($V586),$U586*0,$V586)/IF($D$2="Egyszeri",VLOOKUP($B586+IF($C586=12,1,0),Paraméterek!$V$257:$W$262,2),IF($B586=1,1,VLOOKUP($B586+IF($C586=12,1,0),Paraméterek!$I$258:$T$278,HLOOKUP($M$11+1,Paraméterek!$J$256:$T$257,2)))),IF($D$4="Forint",0,2)))</f>
        <v>#N/A</v>
      </c>
      <c r="X586" s="13" t="e">
        <f ca="1">ROUNDDOWN($W586*IF($D$2="Egyszeri",VLOOKUP($B586+IF($C586=12,1,0),Paraméterek!$V$257:$W$262,2),VLOOKUP($B586+IF($C586=12,1,0),Paraméterek!$I$258:$T$278,HLOOKUP($M$11+1,Paraméterek!$I$256:$T$257,2))),IF($D$4="Forint",0,2))</f>
        <v>#N/A</v>
      </c>
      <c r="Z586" s="32">
        <v>567</v>
      </c>
      <c r="AA586" s="32">
        <v>48</v>
      </c>
      <c r="AB586" s="32">
        <v>3</v>
      </c>
      <c r="AC586" s="13">
        <f t="shared" ca="1" si="192"/>
        <v>0</v>
      </c>
      <c r="AD586" s="33"/>
      <c r="AE586" s="13">
        <f t="shared" ca="1" si="184"/>
        <v>0</v>
      </c>
      <c r="AF586" s="13">
        <f ca="1">ROUNDUP(($AC586+$AE586)*VLOOKUP($AA586,Paraméterek!$P$38:$Q$38,2)/12*IF($D587="Nem",IF($M$13=0,1,$M$13),1),IF($D$4="Forint",0,2))</f>
        <v>0</v>
      </c>
      <c r="AG586" s="13">
        <f ca="1">IF($D$2="Egyszeri",IF($D$7&gt;=IF($D$4="Forint",Paraméterek!$P$223,Paraméterek!$P$224),$D$7-IF($D$4="Forint",Paraméterek!$P$223,Paraméterek!$P$224),0),MIN(IF($AB586=12,AVERAGEIF($E$20:$E586,"&gt;0",$E$20:$E586)*12,0),SUM($E$20:$E$31)))</f>
        <v>0</v>
      </c>
      <c r="AH586" s="13">
        <f>IF($AA586=10,$AG586*IF($AB586=12,IF($AG586&lt;IF($D$4="Forint",Paraméterek!$L$223,Paraméterek!$L$224),0,VLOOKUP($AA586,Paraméterek!$K$226:$M$228,IF($AG586&lt;IF($D$4="Forint",Paraméterek!$M$223,Paraméterek!$M$224),2,3))),0),0)</f>
        <v>0</v>
      </c>
      <c r="AI586" s="13">
        <f ca="1">IF(AND($AA586=$M$11+1,$AB586=$M$12+1),SUMIF($AA$20:$AA$1027,$AA586,$AG$20:$AG$1027)*IF(SUMIF($AA$20:$AA$1027,$AA586,$AG$20:$AG$1027)&lt;IF($D$4="Forint",Paraméterek!$L$223,Paraméterek!$L$224),0,VLOOKUP($AA586,Paraméterek!$K$230:$M$250,IF(SUMIF($AA$20:$AA$1027,$AA586,$AG$20:$AG$1027)&lt;IF($D$4="Forint",Paraméterek!$M$223,Paraméterek!$M$224),2,3))),0)</f>
        <v>0</v>
      </c>
      <c r="AJ586" s="13">
        <f ca="1">IF(AND($AA586&gt;=5,MOD($AA586,5)=0),IF($AB586=12,VLOOKUP($AA586,Paraméterek!$O$225:$P$240,2),0),IF(OR($AA586=3,$AA586=4),IF($AB586=12,VLOOKUP($AA586,Paraméterek!$O$225:$P$240,2,0),0),0))*$AG586</f>
        <v>0</v>
      </c>
      <c r="AK586" s="13">
        <f t="shared" ca="1" si="185"/>
        <v>0</v>
      </c>
      <c r="AL586" s="13">
        <f t="shared" ca="1" si="193"/>
        <v>0</v>
      </c>
      <c r="AM586" s="13">
        <f t="shared" ca="1" si="194"/>
        <v>0</v>
      </c>
      <c r="AO586" s="32">
        <v>567</v>
      </c>
      <c r="AP586" s="32">
        <v>48</v>
      </c>
      <c r="AQ586" s="32">
        <v>3</v>
      </c>
      <c r="AR586" s="13"/>
      <c r="AS586" s="32"/>
      <c r="AT586" s="13">
        <f t="shared" ca="1" si="195"/>
        <v>0</v>
      </c>
      <c r="AU586" s="33"/>
      <c r="AV586" s="13">
        <f t="shared" ca="1" si="186"/>
        <v>0</v>
      </c>
      <c r="AW586" s="13">
        <f ca="1">ROUNDUP(($AT586+$AV586)*VLOOKUP($AP586,Paraméterek!$P$38:$Q$38,2)/12*IF($D587="Nem",IF($M$13=0,1,$M$13),1),IF($D$4="Forint",0,2))</f>
        <v>0</v>
      </c>
      <c r="AX586" s="13"/>
      <c r="AY586" s="13"/>
      <c r="AZ586" s="13">
        <f>ROUNDUP(IF(SUM($AX586:$AY586)=0,0,IF(IF(ISBLANK($AY586),$AX586,$AY586)*Paraméterek!$J$112&lt;IF($D$4="Forint",Paraméterek!$J$113,Paraméterek!$K$113),IF($D$4="Forint",Paraméterek!$J$113,Paraméterek!$K$113),IF(IF(ISBLANK($AY586),$AX586,$AY586)*Paraméterek!$J$112&gt;IF($D$4="Forint",Paraméterek!$J$114,Paraméterek!$K$114),IF($D$4="Forint",Paraméterek!$J$114,Paraméterek!$K$114),IF(ISBLANK($AY586),$AX586,$AY586)*Paraméterek!$J$112))),IF($D$4="Forint",0,2))</f>
        <v>0</v>
      </c>
      <c r="BA586" s="13">
        <f ca="1">$AT586+$AV586-$AW586-IF(ROUNDDOWN(IF(ISBLANK($AY586),$AX586,$AY586),IF($D$4="Forint",0,2))&gt;$AT586+$AV586-$AW586-IF($D$4="Forint",Paraméterek!$J$114,Paraméterek!$K$114),0,ROUNDDOWN(IF(ISBLANK($AY586),$AX586,$AY586),IF($D$4="Forint",0,2))-$AZ586)</f>
        <v>0</v>
      </c>
      <c r="BB586" s="13">
        <f t="shared" ca="1" si="187"/>
        <v>0</v>
      </c>
      <c r="BD586" s="32">
        <v>567</v>
      </c>
      <c r="BE586" s="32">
        <v>48</v>
      </c>
      <c r="BF586" s="32">
        <v>3</v>
      </c>
      <c r="BG586" s="34">
        <f t="shared" ca="1" si="196"/>
        <v>2066</v>
      </c>
      <c r="BH586" s="32" t="str">
        <f ca="1">IF(MOD(MONTH($D$14)+$BD586-1,12)=Paraméterek!$C$288,"Igen","")</f>
        <v/>
      </c>
      <c r="BI586" s="13">
        <f ca="1">IF($BH586="Igen",MIN(ROUNDDOWN((SUMIF($BG$20:$BG$1027,$BG586-1,$K$20:$K$1027)-SUMIF($BG$20:$BG$1027,$BG586-1,$I$20:$I$1027))*Paraméterek!$C$289,IF($D$4="Forint",0,2)),IF($D$4="Forint",Paraméterek!$C$285,Paraméterek!$D$285)),0)</f>
        <v>0</v>
      </c>
      <c r="BJ586" s="13">
        <f t="shared" ca="1" si="188"/>
        <v>0</v>
      </c>
      <c r="BK586" s="13">
        <f t="shared" ca="1" si="197"/>
        <v>0</v>
      </c>
      <c r="BL586" s="33"/>
      <c r="BM586" s="13">
        <f t="shared" ca="1" si="189"/>
        <v>0</v>
      </c>
      <c r="BN586" s="13">
        <f ca="1">ROUNDUP(($BK586+$BM586)*VLOOKUP($BE586,Paraméterek!$P$38:$Q$38,2)/12*IF($D587="Nem",IF($M$13=0,1,$M$13),1),IF($D$4="Forint",0,2))</f>
        <v>0</v>
      </c>
      <c r="BO586" s="13">
        <f t="shared" ca="1" si="190"/>
        <v>0</v>
      </c>
      <c r="BP586" s="13">
        <f ca="1">IF($D587="Nem",$BO586,$BO586-ROUNDUP(SUM($BI$20:$BI586)*120%,IF($D$4="Forint",0,2)))</f>
        <v>0</v>
      </c>
    </row>
    <row r="587" spans="1:68" x14ac:dyDescent="0.2">
      <c r="A587" s="32">
        <v>568</v>
      </c>
      <c r="B587" s="32">
        <v>48</v>
      </c>
      <c r="C587" s="32">
        <v>4</v>
      </c>
      <c r="D587" s="32" t="str">
        <f t="shared" ca="1" si="176"/>
        <v>Nem</v>
      </c>
      <c r="E587" s="13">
        <f t="shared" ca="1" si="177"/>
        <v>0</v>
      </c>
      <c r="F587" s="13"/>
      <c r="G587" s="13"/>
      <c r="H587" s="13"/>
      <c r="I587" s="13">
        <f t="shared" ca="1" si="178"/>
        <v>0</v>
      </c>
      <c r="J587" s="13">
        <f t="shared" ca="1" si="179"/>
        <v>0</v>
      </c>
      <c r="K587" s="13">
        <f t="shared" ca="1" si="180"/>
        <v>0</v>
      </c>
      <c r="L587" s="13" t="e">
        <f ca="1">ROUNDUP(IF($D$2="Egyszeri",$E587,IF($D$2="Havi",SUM($E$20:$E$31),IF(MOD($C587,$M$1)-1=0,SUM($E$20:$E$31),0))/12*$M$1)*VLOOKUP($B587,Paraméterek!$I$28:$P$31,IF($D$2="Egyszeri",8,HLOOKUP(ROUNDUP($M$11+$M$13,0),Paraméterek!$J$26:$O$27,2))),IF($D$4="Forint",0,2))</f>
        <v>#N/A</v>
      </c>
      <c r="M587" s="13">
        <f t="shared" ca="1" si="181"/>
        <v>0</v>
      </c>
      <c r="N587" s="13">
        <f t="shared" ca="1" si="191"/>
        <v>0</v>
      </c>
      <c r="O587" s="13">
        <f ca="1">IF($D587="Igen",IF($W586&gt;=IF($D$4="Forint",Paraméterek!$J$121,Paraméterek!$K$121),0,IF($D$4="Forint",Paraméterek!$J$121,Paraméterek!$K$121)-$W586),0)</f>
        <v>0</v>
      </c>
      <c r="P587" s="13" t="e">
        <f ca="1">ROUNDUP($O587*VLOOKUP($M$4+$B587-1,Paraméterek!$H$58:$I$105,2,0)/Paraméterek!$I$56,IF($D$4="Forint",0,2))</f>
        <v>#N/A</v>
      </c>
      <c r="Q587" s="13">
        <f t="shared" ca="1" si="182"/>
        <v>0</v>
      </c>
      <c r="R587" s="33"/>
      <c r="S587" s="13" t="e">
        <f t="shared" ca="1" si="183"/>
        <v>#N/A</v>
      </c>
      <c r="T587" s="13" t="e">
        <f ca="1">ROUNDUP(($N587-$P587-$Q587+$S587)*VLOOKUP($B587,Paraméterek!$I$38:$K$39,IF($D$2="Egyszeri",3,2))/12*IF($D588="Nem",IF($M$13=0,1,$M$13),1),IF($D$4="Forint",0,2))</f>
        <v>#N/A</v>
      </c>
      <c r="U587" s="13"/>
      <c r="V587" s="13"/>
      <c r="W587" s="13" t="e">
        <f ca="1">$N587-$P587-$Q587+$S587-$T587-IF(ROUNDUP(IF(ISBLANK($V587),$U587*0,$V587)/IF($D$2="Egyszeri",VLOOKUP($B587+IF($C587=12,1,0),Paraméterek!$V$257:$W$262,2),IF($B587=1,1,VLOOKUP($B587+IF($C587=12,1,0),Paraméterek!$I$258:$T$278,HLOOKUP($M$11+1,Paraméterek!$J$256:$T$257,2)))),IF($D$4="Forint",0,2))&gt;$N587-$P587-$Q587+$S587-$T587-IF($D$4="Forint",Paraméterek!$C$216,Paraméterek!$D$216),0,ROUNDUP(IF(ISBLANK($V587),$U587*0,$V587)/IF($D$2="Egyszeri",VLOOKUP($B587+IF($C587=12,1,0),Paraméterek!$V$257:$W$262,2),IF($B587=1,1,VLOOKUP($B587+IF($C587=12,1,0),Paraméterek!$I$258:$T$278,HLOOKUP($M$11+1,Paraméterek!$J$256:$T$257,2)))),IF($D$4="Forint",0,2)))</f>
        <v>#N/A</v>
      </c>
      <c r="X587" s="13" t="e">
        <f ca="1">ROUNDDOWN($W587*IF($D$2="Egyszeri",VLOOKUP($B587+IF($C587=12,1,0),Paraméterek!$V$257:$W$262,2),VLOOKUP($B587+IF($C587=12,1,0),Paraméterek!$I$258:$T$278,HLOOKUP($M$11+1,Paraméterek!$I$256:$T$257,2))),IF($D$4="Forint",0,2))</f>
        <v>#N/A</v>
      </c>
      <c r="Z587" s="32">
        <v>568</v>
      </c>
      <c r="AA587" s="32">
        <v>48</v>
      </c>
      <c r="AB587" s="32">
        <v>4</v>
      </c>
      <c r="AC587" s="13">
        <f t="shared" ca="1" si="192"/>
        <v>0</v>
      </c>
      <c r="AD587" s="33"/>
      <c r="AE587" s="13">
        <f t="shared" ca="1" si="184"/>
        <v>0</v>
      </c>
      <c r="AF587" s="13">
        <f ca="1">ROUNDUP(($AC587+$AE587)*VLOOKUP($AA587,Paraméterek!$P$38:$Q$38,2)/12*IF($D588="Nem",IF($M$13=0,1,$M$13),1),IF($D$4="Forint",0,2))</f>
        <v>0</v>
      </c>
      <c r="AG587" s="13">
        <f ca="1">IF($D$2="Egyszeri",IF($D$7&gt;=IF($D$4="Forint",Paraméterek!$P$223,Paraméterek!$P$224),$D$7-IF($D$4="Forint",Paraméterek!$P$223,Paraméterek!$P$224),0),MIN(IF($AB587=12,AVERAGEIF($E$20:$E587,"&gt;0",$E$20:$E587)*12,0),SUM($E$20:$E$31)))</f>
        <v>0</v>
      </c>
      <c r="AH587" s="13">
        <f>IF($AA587=10,$AG587*IF($AB587=12,IF($AG587&lt;IF($D$4="Forint",Paraméterek!$L$223,Paraméterek!$L$224),0,VLOOKUP($AA587,Paraméterek!$K$226:$M$228,IF($AG587&lt;IF($D$4="Forint",Paraméterek!$M$223,Paraméterek!$M$224),2,3))),0),0)</f>
        <v>0</v>
      </c>
      <c r="AI587" s="13">
        <f ca="1">IF(AND($AA587=$M$11+1,$AB587=$M$12+1),SUMIF($AA$20:$AA$1027,$AA587,$AG$20:$AG$1027)*IF(SUMIF($AA$20:$AA$1027,$AA587,$AG$20:$AG$1027)&lt;IF($D$4="Forint",Paraméterek!$L$223,Paraméterek!$L$224),0,VLOOKUP($AA587,Paraméterek!$K$230:$M$250,IF(SUMIF($AA$20:$AA$1027,$AA587,$AG$20:$AG$1027)&lt;IF($D$4="Forint",Paraméterek!$M$223,Paraméterek!$M$224),2,3))),0)</f>
        <v>0</v>
      </c>
      <c r="AJ587" s="13">
        <f ca="1">IF(AND($AA587&gt;=5,MOD($AA587,5)=0),IF($AB587=12,VLOOKUP($AA587,Paraméterek!$O$225:$P$240,2),0),IF(OR($AA587=3,$AA587=4),IF($AB587=12,VLOOKUP($AA587,Paraméterek!$O$225:$P$240,2,0),0),0))*$AG587</f>
        <v>0</v>
      </c>
      <c r="AK587" s="13">
        <f t="shared" ca="1" si="185"/>
        <v>0</v>
      </c>
      <c r="AL587" s="13">
        <f t="shared" ca="1" si="193"/>
        <v>0</v>
      </c>
      <c r="AM587" s="13">
        <f t="shared" ca="1" si="194"/>
        <v>0</v>
      </c>
      <c r="AO587" s="32">
        <v>568</v>
      </c>
      <c r="AP587" s="32">
        <v>48</v>
      </c>
      <c r="AQ587" s="32">
        <v>4</v>
      </c>
      <c r="AR587" s="13"/>
      <c r="AS587" s="32"/>
      <c r="AT587" s="13">
        <f t="shared" ca="1" si="195"/>
        <v>0</v>
      </c>
      <c r="AU587" s="33"/>
      <c r="AV587" s="13">
        <f t="shared" ca="1" si="186"/>
        <v>0</v>
      </c>
      <c r="AW587" s="13">
        <f ca="1">ROUNDUP(($AT587+$AV587)*VLOOKUP($AP587,Paraméterek!$P$38:$Q$38,2)/12*IF($D588="Nem",IF($M$13=0,1,$M$13),1),IF($D$4="Forint",0,2))</f>
        <v>0</v>
      </c>
      <c r="AX587" s="13"/>
      <c r="AY587" s="13"/>
      <c r="AZ587" s="13">
        <f>ROUNDUP(IF(SUM($AX587:$AY587)=0,0,IF(IF(ISBLANK($AY587),$AX587,$AY587)*Paraméterek!$J$112&lt;IF($D$4="Forint",Paraméterek!$J$113,Paraméterek!$K$113),IF($D$4="Forint",Paraméterek!$J$113,Paraméterek!$K$113),IF(IF(ISBLANK($AY587),$AX587,$AY587)*Paraméterek!$J$112&gt;IF($D$4="Forint",Paraméterek!$J$114,Paraméterek!$K$114),IF($D$4="Forint",Paraméterek!$J$114,Paraméterek!$K$114),IF(ISBLANK($AY587),$AX587,$AY587)*Paraméterek!$J$112))),IF($D$4="Forint",0,2))</f>
        <v>0</v>
      </c>
      <c r="BA587" s="13">
        <f ca="1">$AT587+$AV587-$AW587-IF(ROUNDDOWN(IF(ISBLANK($AY587),$AX587,$AY587),IF($D$4="Forint",0,2))&gt;$AT587+$AV587-$AW587-IF($D$4="Forint",Paraméterek!$J$114,Paraméterek!$K$114),0,ROUNDDOWN(IF(ISBLANK($AY587),$AX587,$AY587),IF($D$4="Forint",0,2))-$AZ587)</f>
        <v>0</v>
      </c>
      <c r="BB587" s="13">
        <f t="shared" ca="1" si="187"/>
        <v>0</v>
      </c>
      <c r="BD587" s="32">
        <v>568</v>
      </c>
      <c r="BE587" s="32">
        <v>48</v>
      </c>
      <c r="BF587" s="32">
        <v>4</v>
      </c>
      <c r="BG587" s="34">
        <f t="shared" ca="1" si="196"/>
        <v>2066</v>
      </c>
      <c r="BH587" s="32" t="str">
        <f ca="1">IF(MOD(MONTH($D$14)+$BD587-1,12)=Paraméterek!$C$288,"Igen","")</f>
        <v/>
      </c>
      <c r="BI587" s="13">
        <f ca="1">IF($BH587="Igen",MIN(ROUNDDOWN((SUMIF($BG$20:$BG$1027,$BG587-1,$K$20:$K$1027)-SUMIF($BG$20:$BG$1027,$BG587-1,$I$20:$I$1027))*Paraméterek!$C$289,IF($D$4="Forint",0,2)),IF($D$4="Forint",Paraméterek!$C$285,Paraméterek!$D$285)),0)</f>
        <v>0</v>
      </c>
      <c r="BJ587" s="13">
        <f t="shared" ca="1" si="188"/>
        <v>0</v>
      </c>
      <c r="BK587" s="13">
        <f t="shared" ca="1" si="197"/>
        <v>0</v>
      </c>
      <c r="BL587" s="33"/>
      <c r="BM587" s="13">
        <f t="shared" ca="1" si="189"/>
        <v>0</v>
      </c>
      <c r="BN587" s="13">
        <f ca="1">ROUNDUP(($BK587+$BM587)*VLOOKUP($BE587,Paraméterek!$P$38:$Q$38,2)/12*IF($D588="Nem",IF($M$13=0,1,$M$13),1),IF($D$4="Forint",0,2))</f>
        <v>0</v>
      </c>
      <c r="BO587" s="13">
        <f t="shared" ca="1" si="190"/>
        <v>0</v>
      </c>
      <c r="BP587" s="13">
        <f ca="1">IF($D588="Nem",$BO587,$BO587-ROUNDUP(SUM($BI$20:$BI587)*120%,IF($D$4="Forint",0,2)))</f>
        <v>0</v>
      </c>
    </row>
    <row r="588" spans="1:68" x14ac:dyDescent="0.2">
      <c r="A588" s="32">
        <v>569</v>
      </c>
      <c r="B588" s="32">
        <v>48</v>
      </c>
      <c r="C588" s="32">
        <v>5</v>
      </c>
      <c r="D588" s="32" t="str">
        <f t="shared" ca="1" si="176"/>
        <v>Nem</v>
      </c>
      <c r="E588" s="13">
        <f t="shared" ca="1" si="177"/>
        <v>0</v>
      </c>
      <c r="F588" s="13"/>
      <c r="G588" s="13"/>
      <c r="H588" s="13"/>
      <c r="I588" s="13">
        <f t="shared" ca="1" si="178"/>
        <v>0</v>
      </c>
      <c r="J588" s="13">
        <f t="shared" ca="1" si="179"/>
        <v>0</v>
      </c>
      <c r="K588" s="13">
        <f t="shared" ca="1" si="180"/>
        <v>0</v>
      </c>
      <c r="L588" s="13" t="e">
        <f ca="1">ROUNDUP(IF($D$2="Egyszeri",$E588,IF($D$2="Havi",SUM($E$20:$E$31),IF(MOD($C588,$M$1)-1=0,SUM($E$20:$E$31),0))/12*$M$1)*VLOOKUP($B588,Paraméterek!$I$28:$P$31,IF($D$2="Egyszeri",8,HLOOKUP(ROUNDUP($M$11+$M$13,0),Paraméterek!$J$26:$O$27,2))),IF($D$4="Forint",0,2))</f>
        <v>#N/A</v>
      </c>
      <c r="M588" s="13">
        <f t="shared" ca="1" si="181"/>
        <v>0</v>
      </c>
      <c r="N588" s="13">
        <f t="shared" ca="1" si="191"/>
        <v>0</v>
      </c>
      <c r="O588" s="13">
        <f ca="1">IF($D588="Igen",IF($W587&gt;=IF($D$4="Forint",Paraméterek!$J$121,Paraméterek!$K$121),0,IF($D$4="Forint",Paraméterek!$J$121,Paraméterek!$K$121)-$W587),0)</f>
        <v>0</v>
      </c>
      <c r="P588" s="13" t="e">
        <f ca="1">ROUNDUP($O588*VLOOKUP($M$4+$B588-1,Paraméterek!$H$58:$I$105,2,0)/Paraméterek!$I$56,IF($D$4="Forint",0,2))</f>
        <v>#N/A</v>
      </c>
      <c r="Q588" s="13">
        <f t="shared" ca="1" si="182"/>
        <v>0</v>
      </c>
      <c r="R588" s="33"/>
      <c r="S588" s="13" t="e">
        <f t="shared" ca="1" si="183"/>
        <v>#N/A</v>
      </c>
      <c r="T588" s="13" t="e">
        <f ca="1">ROUNDUP(($N588-$P588-$Q588+$S588)*VLOOKUP($B588,Paraméterek!$I$38:$K$39,IF($D$2="Egyszeri",3,2))/12*IF($D589="Nem",IF($M$13=0,1,$M$13),1),IF($D$4="Forint",0,2))</f>
        <v>#N/A</v>
      </c>
      <c r="U588" s="13"/>
      <c r="V588" s="13"/>
      <c r="W588" s="13" t="e">
        <f ca="1">$N588-$P588-$Q588+$S588-$T588-IF(ROUNDUP(IF(ISBLANK($V588),$U588*0,$V588)/IF($D$2="Egyszeri",VLOOKUP($B588+IF($C588=12,1,0),Paraméterek!$V$257:$W$262,2),IF($B588=1,1,VLOOKUP($B588+IF($C588=12,1,0),Paraméterek!$I$258:$T$278,HLOOKUP($M$11+1,Paraméterek!$J$256:$T$257,2)))),IF($D$4="Forint",0,2))&gt;$N588-$P588-$Q588+$S588-$T588-IF($D$4="Forint",Paraméterek!$C$216,Paraméterek!$D$216),0,ROUNDUP(IF(ISBLANK($V588),$U588*0,$V588)/IF($D$2="Egyszeri",VLOOKUP($B588+IF($C588=12,1,0),Paraméterek!$V$257:$W$262,2),IF($B588=1,1,VLOOKUP($B588+IF($C588=12,1,0),Paraméterek!$I$258:$T$278,HLOOKUP($M$11+1,Paraméterek!$J$256:$T$257,2)))),IF($D$4="Forint",0,2)))</f>
        <v>#N/A</v>
      </c>
      <c r="X588" s="13" t="e">
        <f ca="1">ROUNDDOWN($W588*IF($D$2="Egyszeri",VLOOKUP($B588+IF($C588=12,1,0),Paraméterek!$V$257:$W$262,2),VLOOKUP($B588+IF($C588=12,1,0),Paraméterek!$I$258:$T$278,HLOOKUP($M$11+1,Paraméterek!$I$256:$T$257,2))),IF($D$4="Forint",0,2))</f>
        <v>#N/A</v>
      </c>
      <c r="Z588" s="32">
        <v>569</v>
      </c>
      <c r="AA588" s="32">
        <v>48</v>
      </c>
      <c r="AB588" s="32">
        <v>5</v>
      </c>
      <c r="AC588" s="13">
        <f t="shared" ca="1" si="192"/>
        <v>0</v>
      </c>
      <c r="AD588" s="33"/>
      <c r="AE588" s="13">
        <f t="shared" ca="1" si="184"/>
        <v>0</v>
      </c>
      <c r="AF588" s="13">
        <f ca="1">ROUNDUP(($AC588+$AE588)*VLOOKUP($AA588,Paraméterek!$P$38:$Q$38,2)/12*IF($D589="Nem",IF($M$13=0,1,$M$13),1),IF($D$4="Forint",0,2))</f>
        <v>0</v>
      </c>
      <c r="AG588" s="13">
        <f ca="1">IF($D$2="Egyszeri",IF($D$7&gt;=IF($D$4="Forint",Paraméterek!$P$223,Paraméterek!$P$224),$D$7-IF($D$4="Forint",Paraméterek!$P$223,Paraméterek!$P$224),0),MIN(IF($AB588=12,AVERAGEIF($E$20:$E588,"&gt;0",$E$20:$E588)*12,0),SUM($E$20:$E$31)))</f>
        <v>0</v>
      </c>
      <c r="AH588" s="13">
        <f>IF($AA588=10,$AG588*IF($AB588=12,IF($AG588&lt;IF($D$4="Forint",Paraméterek!$L$223,Paraméterek!$L$224),0,VLOOKUP($AA588,Paraméterek!$K$226:$M$228,IF($AG588&lt;IF($D$4="Forint",Paraméterek!$M$223,Paraméterek!$M$224),2,3))),0),0)</f>
        <v>0</v>
      </c>
      <c r="AI588" s="13">
        <f ca="1">IF(AND($AA588=$M$11+1,$AB588=$M$12+1),SUMIF($AA$20:$AA$1027,$AA588,$AG$20:$AG$1027)*IF(SUMIF($AA$20:$AA$1027,$AA588,$AG$20:$AG$1027)&lt;IF($D$4="Forint",Paraméterek!$L$223,Paraméterek!$L$224),0,VLOOKUP($AA588,Paraméterek!$K$230:$M$250,IF(SUMIF($AA$20:$AA$1027,$AA588,$AG$20:$AG$1027)&lt;IF($D$4="Forint",Paraméterek!$M$223,Paraméterek!$M$224),2,3))),0)</f>
        <v>0</v>
      </c>
      <c r="AJ588" s="13">
        <f ca="1">IF(AND($AA588&gt;=5,MOD($AA588,5)=0),IF($AB588=12,VLOOKUP($AA588,Paraméterek!$O$225:$P$240,2),0),IF(OR($AA588=3,$AA588=4),IF($AB588=12,VLOOKUP($AA588,Paraméterek!$O$225:$P$240,2,0),0),0))*$AG588</f>
        <v>0</v>
      </c>
      <c r="AK588" s="13">
        <f t="shared" ca="1" si="185"/>
        <v>0</v>
      </c>
      <c r="AL588" s="13">
        <f t="shared" ca="1" si="193"/>
        <v>0</v>
      </c>
      <c r="AM588" s="13">
        <f t="shared" ca="1" si="194"/>
        <v>0</v>
      </c>
      <c r="AO588" s="32">
        <v>569</v>
      </c>
      <c r="AP588" s="32">
        <v>48</v>
      </c>
      <c r="AQ588" s="32">
        <v>5</v>
      </c>
      <c r="AR588" s="13"/>
      <c r="AS588" s="32"/>
      <c r="AT588" s="13">
        <f t="shared" ca="1" si="195"/>
        <v>0</v>
      </c>
      <c r="AU588" s="33"/>
      <c r="AV588" s="13">
        <f t="shared" ca="1" si="186"/>
        <v>0</v>
      </c>
      <c r="AW588" s="13">
        <f ca="1">ROUNDUP(($AT588+$AV588)*VLOOKUP($AP588,Paraméterek!$P$38:$Q$38,2)/12*IF($D589="Nem",IF($M$13=0,1,$M$13),1),IF($D$4="Forint",0,2))</f>
        <v>0</v>
      </c>
      <c r="AX588" s="13"/>
      <c r="AY588" s="13"/>
      <c r="AZ588" s="13">
        <f>ROUNDUP(IF(SUM($AX588:$AY588)=0,0,IF(IF(ISBLANK($AY588),$AX588,$AY588)*Paraméterek!$J$112&lt;IF($D$4="Forint",Paraméterek!$J$113,Paraméterek!$K$113),IF($D$4="Forint",Paraméterek!$J$113,Paraméterek!$K$113),IF(IF(ISBLANK($AY588),$AX588,$AY588)*Paraméterek!$J$112&gt;IF($D$4="Forint",Paraméterek!$J$114,Paraméterek!$K$114),IF($D$4="Forint",Paraméterek!$J$114,Paraméterek!$K$114),IF(ISBLANK($AY588),$AX588,$AY588)*Paraméterek!$J$112))),IF($D$4="Forint",0,2))</f>
        <v>0</v>
      </c>
      <c r="BA588" s="13">
        <f ca="1">$AT588+$AV588-$AW588-IF(ROUNDDOWN(IF(ISBLANK($AY588),$AX588,$AY588),IF($D$4="Forint",0,2))&gt;$AT588+$AV588-$AW588-IF($D$4="Forint",Paraméterek!$J$114,Paraméterek!$K$114),0,ROUNDDOWN(IF(ISBLANK($AY588),$AX588,$AY588),IF($D$4="Forint",0,2))-$AZ588)</f>
        <v>0</v>
      </c>
      <c r="BB588" s="13">
        <f t="shared" ca="1" si="187"/>
        <v>0</v>
      </c>
      <c r="BD588" s="32">
        <v>569</v>
      </c>
      <c r="BE588" s="32">
        <v>48</v>
      </c>
      <c r="BF588" s="32">
        <v>5</v>
      </c>
      <c r="BG588" s="34">
        <f t="shared" ca="1" si="196"/>
        <v>2066</v>
      </c>
      <c r="BH588" s="32" t="str">
        <f ca="1">IF(MOD(MONTH($D$14)+$BD588-1,12)=Paraméterek!$C$288,"Igen","")</f>
        <v/>
      </c>
      <c r="BI588" s="13">
        <f ca="1">IF($BH588="Igen",MIN(ROUNDDOWN((SUMIF($BG$20:$BG$1027,$BG588-1,$K$20:$K$1027)-SUMIF($BG$20:$BG$1027,$BG588-1,$I$20:$I$1027))*Paraméterek!$C$289,IF($D$4="Forint",0,2)),IF($D$4="Forint",Paraméterek!$C$285,Paraméterek!$D$285)),0)</f>
        <v>0</v>
      </c>
      <c r="BJ588" s="13">
        <f t="shared" ca="1" si="188"/>
        <v>0</v>
      </c>
      <c r="BK588" s="13">
        <f t="shared" ca="1" si="197"/>
        <v>0</v>
      </c>
      <c r="BL588" s="33"/>
      <c r="BM588" s="13">
        <f t="shared" ca="1" si="189"/>
        <v>0</v>
      </c>
      <c r="BN588" s="13">
        <f ca="1">ROUNDUP(($BK588+$BM588)*VLOOKUP($BE588,Paraméterek!$P$38:$Q$38,2)/12*IF($D589="Nem",IF($M$13=0,1,$M$13),1),IF($D$4="Forint",0,2))</f>
        <v>0</v>
      </c>
      <c r="BO588" s="13">
        <f t="shared" ca="1" si="190"/>
        <v>0</v>
      </c>
      <c r="BP588" s="13">
        <f ca="1">IF($D589="Nem",$BO588,$BO588-ROUNDUP(SUM($BI$20:$BI588)*120%,IF($D$4="Forint",0,2)))</f>
        <v>0</v>
      </c>
    </row>
    <row r="589" spans="1:68" x14ac:dyDescent="0.2">
      <c r="A589" s="32">
        <v>570</v>
      </c>
      <c r="B589" s="32">
        <v>48</v>
      </c>
      <c r="C589" s="32">
        <v>6</v>
      </c>
      <c r="D589" s="32" t="str">
        <f t="shared" ca="1" si="176"/>
        <v>Nem</v>
      </c>
      <c r="E589" s="13">
        <f t="shared" ca="1" si="177"/>
        <v>0</v>
      </c>
      <c r="F589" s="13"/>
      <c r="G589" s="13"/>
      <c r="H589" s="13"/>
      <c r="I589" s="13">
        <f t="shared" ca="1" si="178"/>
        <v>0</v>
      </c>
      <c r="J589" s="13">
        <f t="shared" ca="1" si="179"/>
        <v>0</v>
      </c>
      <c r="K589" s="13">
        <f t="shared" ca="1" si="180"/>
        <v>0</v>
      </c>
      <c r="L589" s="13" t="e">
        <f ca="1">ROUNDUP(IF($D$2="Egyszeri",$E589,IF($D$2="Havi",SUM($E$20:$E$31),IF(MOD($C589,$M$1)-1=0,SUM($E$20:$E$31),0))/12*$M$1)*VLOOKUP($B589,Paraméterek!$I$28:$P$31,IF($D$2="Egyszeri",8,HLOOKUP(ROUNDUP($M$11+$M$13,0),Paraméterek!$J$26:$O$27,2))),IF($D$4="Forint",0,2))</f>
        <v>#N/A</v>
      </c>
      <c r="M589" s="13">
        <f t="shared" ca="1" si="181"/>
        <v>0</v>
      </c>
      <c r="N589" s="13">
        <f t="shared" ca="1" si="191"/>
        <v>0</v>
      </c>
      <c r="O589" s="13">
        <f ca="1">IF($D589="Igen",IF($W588&gt;=IF($D$4="Forint",Paraméterek!$J$121,Paraméterek!$K$121),0,IF($D$4="Forint",Paraméterek!$J$121,Paraméterek!$K$121)-$W588),0)</f>
        <v>0</v>
      </c>
      <c r="P589" s="13" t="e">
        <f ca="1">ROUNDUP($O589*VLOOKUP($M$4+$B589-1,Paraméterek!$H$58:$I$105,2,0)/Paraméterek!$I$56,IF($D$4="Forint",0,2))</f>
        <v>#N/A</v>
      </c>
      <c r="Q589" s="13">
        <f t="shared" ca="1" si="182"/>
        <v>0</v>
      </c>
      <c r="R589" s="33"/>
      <c r="S589" s="13" t="e">
        <f t="shared" ca="1" si="183"/>
        <v>#N/A</v>
      </c>
      <c r="T589" s="13" t="e">
        <f ca="1">ROUNDUP(($N589-$P589-$Q589+$S589)*VLOOKUP($B589,Paraméterek!$I$38:$K$39,IF($D$2="Egyszeri",3,2))/12*IF($D590="Nem",IF($M$13=0,1,$M$13),1),IF($D$4="Forint",0,2))</f>
        <v>#N/A</v>
      </c>
      <c r="U589" s="13"/>
      <c r="V589" s="13"/>
      <c r="W589" s="13" t="e">
        <f ca="1">$N589-$P589-$Q589+$S589-$T589-IF(ROUNDUP(IF(ISBLANK($V589),$U589*0,$V589)/IF($D$2="Egyszeri",VLOOKUP($B589+IF($C589=12,1,0),Paraméterek!$V$257:$W$262,2),IF($B589=1,1,VLOOKUP($B589+IF($C589=12,1,0),Paraméterek!$I$258:$T$278,HLOOKUP($M$11+1,Paraméterek!$J$256:$T$257,2)))),IF($D$4="Forint",0,2))&gt;$N589-$P589-$Q589+$S589-$T589-IF($D$4="Forint",Paraméterek!$C$216,Paraméterek!$D$216),0,ROUNDUP(IF(ISBLANK($V589),$U589*0,$V589)/IF($D$2="Egyszeri",VLOOKUP($B589+IF($C589=12,1,0),Paraméterek!$V$257:$W$262,2),IF($B589=1,1,VLOOKUP($B589+IF($C589=12,1,0),Paraméterek!$I$258:$T$278,HLOOKUP($M$11+1,Paraméterek!$J$256:$T$257,2)))),IF($D$4="Forint",0,2)))</f>
        <v>#N/A</v>
      </c>
      <c r="X589" s="13" t="e">
        <f ca="1">ROUNDDOWN($W589*IF($D$2="Egyszeri",VLOOKUP($B589+IF($C589=12,1,0),Paraméterek!$V$257:$W$262,2),VLOOKUP($B589+IF($C589=12,1,0),Paraméterek!$I$258:$T$278,HLOOKUP($M$11+1,Paraméterek!$I$256:$T$257,2))),IF($D$4="Forint",0,2))</f>
        <v>#N/A</v>
      </c>
      <c r="Z589" s="32">
        <v>570</v>
      </c>
      <c r="AA589" s="32">
        <v>48</v>
      </c>
      <c r="AB589" s="32">
        <v>6</v>
      </c>
      <c r="AC589" s="13">
        <f t="shared" ca="1" si="192"/>
        <v>0</v>
      </c>
      <c r="AD589" s="33"/>
      <c r="AE589" s="13">
        <f t="shared" ca="1" si="184"/>
        <v>0</v>
      </c>
      <c r="AF589" s="13">
        <f ca="1">ROUNDUP(($AC589+$AE589)*VLOOKUP($AA589,Paraméterek!$P$38:$Q$38,2)/12*IF($D590="Nem",IF($M$13=0,1,$M$13),1),IF($D$4="Forint",0,2))</f>
        <v>0</v>
      </c>
      <c r="AG589" s="13">
        <f ca="1">IF($D$2="Egyszeri",IF($D$7&gt;=IF($D$4="Forint",Paraméterek!$P$223,Paraméterek!$P$224),$D$7-IF($D$4="Forint",Paraméterek!$P$223,Paraméterek!$P$224),0),MIN(IF($AB589=12,AVERAGEIF($E$20:$E589,"&gt;0",$E$20:$E589)*12,0),SUM($E$20:$E$31)))</f>
        <v>0</v>
      </c>
      <c r="AH589" s="13">
        <f>IF($AA589=10,$AG589*IF($AB589=12,IF($AG589&lt;IF($D$4="Forint",Paraméterek!$L$223,Paraméterek!$L$224),0,VLOOKUP($AA589,Paraméterek!$K$226:$M$228,IF($AG589&lt;IF($D$4="Forint",Paraméterek!$M$223,Paraméterek!$M$224),2,3))),0),0)</f>
        <v>0</v>
      </c>
      <c r="AI589" s="13">
        <f ca="1">IF(AND($AA589=$M$11+1,$AB589=$M$12+1),SUMIF($AA$20:$AA$1027,$AA589,$AG$20:$AG$1027)*IF(SUMIF($AA$20:$AA$1027,$AA589,$AG$20:$AG$1027)&lt;IF($D$4="Forint",Paraméterek!$L$223,Paraméterek!$L$224),0,VLOOKUP($AA589,Paraméterek!$K$230:$M$250,IF(SUMIF($AA$20:$AA$1027,$AA589,$AG$20:$AG$1027)&lt;IF($D$4="Forint",Paraméterek!$M$223,Paraméterek!$M$224),2,3))),0)</f>
        <v>0</v>
      </c>
      <c r="AJ589" s="13">
        <f ca="1">IF(AND($AA589&gt;=5,MOD($AA589,5)=0),IF($AB589=12,VLOOKUP($AA589,Paraméterek!$O$225:$P$240,2),0),IF(OR($AA589=3,$AA589=4),IF($AB589=12,VLOOKUP($AA589,Paraméterek!$O$225:$P$240,2,0),0),0))*$AG589</f>
        <v>0</v>
      </c>
      <c r="AK589" s="13">
        <f t="shared" ca="1" si="185"/>
        <v>0</v>
      </c>
      <c r="AL589" s="13">
        <f t="shared" ca="1" si="193"/>
        <v>0</v>
      </c>
      <c r="AM589" s="13">
        <f t="shared" ca="1" si="194"/>
        <v>0</v>
      </c>
      <c r="AO589" s="32">
        <v>570</v>
      </c>
      <c r="AP589" s="32">
        <v>48</v>
      </c>
      <c r="AQ589" s="32">
        <v>6</v>
      </c>
      <c r="AR589" s="13"/>
      <c r="AS589" s="32"/>
      <c r="AT589" s="13">
        <f t="shared" ca="1" si="195"/>
        <v>0</v>
      </c>
      <c r="AU589" s="33"/>
      <c r="AV589" s="13">
        <f t="shared" ca="1" si="186"/>
        <v>0</v>
      </c>
      <c r="AW589" s="13">
        <f ca="1">ROUNDUP(($AT589+$AV589)*VLOOKUP($AP589,Paraméterek!$P$38:$Q$38,2)/12*IF($D590="Nem",IF($M$13=0,1,$M$13),1),IF($D$4="Forint",0,2))</f>
        <v>0</v>
      </c>
      <c r="AX589" s="13"/>
      <c r="AY589" s="13"/>
      <c r="AZ589" s="13">
        <f>ROUNDUP(IF(SUM($AX589:$AY589)=0,0,IF(IF(ISBLANK($AY589),$AX589,$AY589)*Paraméterek!$J$112&lt;IF($D$4="Forint",Paraméterek!$J$113,Paraméterek!$K$113),IF($D$4="Forint",Paraméterek!$J$113,Paraméterek!$K$113),IF(IF(ISBLANK($AY589),$AX589,$AY589)*Paraméterek!$J$112&gt;IF($D$4="Forint",Paraméterek!$J$114,Paraméterek!$K$114),IF($D$4="Forint",Paraméterek!$J$114,Paraméterek!$K$114),IF(ISBLANK($AY589),$AX589,$AY589)*Paraméterek!$J$112))),IF($D$4="Forint",0,2))</f>
        <v>0</v>
      </c>
      <c r="BA589" s="13">
        <f ca="1">$AT589+$AV589-$AW589-IF(ROUNDDOWN(IF(ISBLANK($AY589),$AX589,$AY589),IF($D$4="Forint",0,2))&gt;$AT589+$AV589-$AW589-IF($D$4="Forint",Paraméterek!$J$114,Paraméterek!$K$114),0,ROUNDDOWN(IF(ISBLANK($AY589),$AX589,$AY589),IF($D$4="Forint",0,2))-$AZ589)</f>
        <v>0</v>
      </c>
      <c r="BB589" s="13">
        <f t="shared" ca="1" si="187"/>
        <v>0</v>
      </c>
      <c r="BD589" s="32">
        <v>570</v>
      </c>
      <c r="BE589" s="32">
        <v>48</v>
      </c>
      <c r="BF589" s="32">
        <v>6</v>
      </c>
      <c r="BG589" s="34">
        <f t="shared" ca="1" si="196"/>
        <v>2066</v>
      </c>
      <c r="BH589" s="32" t="str">
        <f ca="1">IF(MOD(MONTH($D$14)+$BD589-1,12)=Paraméterek!$C$288,"Igen","")</f>
        <v/>
      </c>
      <c r="BI589" s="13">
        <f ca="1">IF($BH589="Igen",MIN(ROUNDDOWN((SUMIF($BG$20:$BG$1027,$BG589-1,$K$20:$K$1027)-SUMIF($BG$20:$BG$1027,$BG589-1,$I$20:$I$1027))*Paraméterek!$C$289,IF($D$4="Forint",0,2)),IF($D$4="Forint",Paraméterek!$C$285,Paraméterek!$D$285)),0)</f>
        <v>0</v>
      </c>
      <c r="BJ589" s="13">
        <f t="shared" ca="1" si="188"/>
        <v>0</v>
      </c>
      <c r="BK589" s="13">
        <f t="shared" ca="1" si="197"/>
        <v>0</v>
      </c>
      <c r="BL589" s="33"/>
      <c r="BM589" s="13">
        <f t="shared" ca="1" si="189"/>
        <v>0</v>
      </c>
      <c r="BN589" s="13">
        <f ca="1">ROUNDUP(($BK589+$BM589)*VLOOKUP($BE589,Paraméterek!$P$38:$Q$38,2)/12*IF($D590="Nem",IF($M$13=0,1,$M$13),1),IF($D$4="Forint",0,2))</f>
        <v>0</v>
      </c>
      <c r="BO589" s="13">
        <f t="shared" ca="1" si="190"/>
        <v>0</v>
      </c>
      <c r="BP589" s="13">
        <f ca="1">IF($D590="Nem",$BO589,$BO589-ROUNDUP(SUM($BI$20:$BI589)*120%,IF($D$4="Forint",0,2)))</f>
        <v>0</v>
      </c>
    </row>
    <row r="590" spans="1:68" x14ac:dyDescent="0.2">
      <c r="A590" s="32">
        <v>571</v>
      </c>
      <c r="B590" s="32">
        <v>48</v>
      </c>
      <c r="C590" s="32">
        <v>7</v>
      </c>
      <c r="D590" s="32" t="str">
        <f t="shared" ca="1" si="176"/>
        <v>Nem</v>
      </c>
      <c r="E590" s="13">
        <f t="shared" ca="1" si="177"/>
        <v>0</v>
      </c>
      <c r="F590" s="13"/>
      <c r="G590" s="13"/>
      <c r="H590" s="13"/>
      <c r="I590" s="13">
        <f t="shared" ca="1" si="178"/>
        <v>0</v>
      </c>
      <c r="J590" s="13">
        <f t="shared" ca="1" si="179"/>
        <v>0</v>
      </c>
      <c r="K590" s="13">
        <f t="shared" ca="1" si="180"/>
        <v>0</v>
      </c>
      <c r="L590" s="13" t="e">
        <f ca="1">ROUNDUP(IF($D$2="Egyszeri",$E590,IF($D$2="Havi",SUM($E$20:$E$31),IF(MOD($C590,$M$1)-1=0,SUM($E$20:$E$31),0))/12*$M$1)*VLOOKUP($B590,Paraméterek!$I$28:$P$31,IF($D$2="Egyszeri",8,HLOOKUP(ROUNDUP($M$11+$M$13,0),Paraméterek!$J$26:$O$27,2))),IF($D$4="Forint",0,2))</f>
        <v>#N/A</v>
      </c>
      <c r="M590" s="13">
        <f t="shared" ca="1" si="181"/>
        <v>0</v>
      </c>
      <c r="N590" s="13">
        <f t="shared" ca="1" si="191"/>
        <v>0</v>
      </c>
      <c r="O590" s="13">
        <f ca="1">IF($D590="Igen",IF($W589&gt;=IF($D$4="Forint",Paraméterek!$J$121,Paraméterek!$K$121),0,IF($D$4="Forint",Paraméterek!$J$121,Paraméterek!$K$121)-$W589),0)</f>
        <v>0</v>
      </c>
      <c r="P590" s="13" t="e">
        <f ca="1">ROUNDUP($O590*VLOOKUP($M$4+$B590-1,Paraméterek!$H$58:$I$105,2,0)/Paraméterek!$I$56,IF($D$4="Forint",0,2))</f>
        <v>#N/A</v>
      </c>
      <c r="Q590" s="13">
        <f t="shared" ca="1" si="182"/>
        <v>0</v>
      </c>
      <c r="R590" s="33"/>
      <c r="S590" s="13" t="e">
        <f t="shared" ca="1" si="183"/>
        <v>#N/A</v>
      </c>
      <c r="T590" s="13" t="e">
        <f ca="1">ROUNDUP(($N590-$P590-$Q590+$S590)*VLOOKUP($B590,Paraméterek!$I$38:$K$39,IF($D$2="Egyszeri",3,2))/12*IF($D591="Nem",IF($M$13=0,1,$M$13),1),IF($D$4="Forint",0,2))</f>
        <v>#N/A</v>
      </c>
      <c r="U590" s="13"/>
      <c r="V590" s="13"/>
      <c r="W590" s="13" t="e">
        <f ca="1">$N590-$P590-$Q590+$S590-$T590-IF(ROUNDUP(IF(ISBLANK($V590),$U590*0,$V590)/IF($D$2="Egyszeri",VLOOKUP($B590+IF($C590=12,1,0),Paraméterek!$V$257:$W$262,2),IF($B590=1,1,VLOOKUP($B590+IF($C590=12,1,0),Paraméterek!$I$258:$T$278,HLOOKUP($M$11+1,Paraméterek!$J$256:$T$257,2)))),IF($D$4="Forint",0,2))&gt;$N590-$P590-$Q590+$S590-$T590-IF($D$4="Forint",Paraméterek!$C$216,Paraméterek!$D$216),0,ROUNDUP(IF(ISBLANK($V590),$U590*0,$V590)/IF($D$2="Egyszeri",VLOOKUP($B590+IF($C590=12,1,0),Paraméterek!$V$257:$W$262,2),IF($B590=1,1,VLOOKUP($B590+IF($C590=12,1,0),Paraméterek!$I$258:$T$278,HLOOKUP($M$11+1,Paraméterek!$J$256:$T$257,2)))),IF($D$4="Forint",0,2)))</f>
        <v>#N/A</v>
      </c>
      <c r="X590" s="13" t="e">
        <f ca="1">ROUNDDOWN($W590*IF($D$2="Egyszeri",VLOOKUP($B590+IF($C590=12,1,0),Paraméterek!$V$257:$W$262,2),VLOOKUP($B590+IF($C590=12,1,0),Paraméterek!$I$258:$T$278,HLOOKUP($M$11+1,Paraméterek!$I$256:$T$257,2))),IF($D$4="Forint",0,2))</f>
        <v>#N/A</v>
      </c>
      <c r="Z590" s="32">
        <v>571</v>
      </c>
      <c r="AA590" s="32">
        <v>48</v>
      </c>
      <c r="AB590" s="32">
        <v>7</v>
      </c>
      <c r="AC590" s="13">
        <f t="shared" ca="1" si="192"/>
        <v>0</v>
      </c>
      <c r="AD590" s="33"/>
      <c r="AE590" s="13">
        <f t="shared" ca="1" si="184"/>
        <v>0</v>
      </c>
      <c r="AF590" s="13">
        <f ca="1">ROUNDUP(($AC590+$AE590)*VLOOKUP($AA590,Paraméterek!$P$38:$Q$38,2)/12*IF($D591="Nem",IF($M$13=0,1,$M$13),1),IF($D$4="Forint",0,2))</f>
        <v>0</v>
      </c>
      <c r="AG590" s="13">
        <f ca="1">IF($D$2="Egyszeri",IF($D$7&gt;=IF($D$4="Forint",Paraméterek!$P$223,Paraméterek!$P$224),$D$7-IF($D$4="Forint",Paraméterek!$P$223,Paraméterek!$P$224),0),MIN(IF($AB590=12,AVERAGEIF($E$20:$E590,"&gt;0",$E$20:$E590)*12,0),SUM($E$20:$E$31)))</f>
        <v>0</v>
      </c>
      <c r="AH590" s="13">
        <f>IF($AA590=10,$AG590*IF($AB590=12,IF($AG590&lt;IF($D$4="Forint",Paraméterek!$L$223,Paraméterek!$L$224),0,VLOOKUP($AA590,Paraméterek!$K$226:$M$228,IF($AG590&lt;IF($D$4="Forint",Paraméterek!$M$223,Paraméterek!$M$224),2,3))),0),0)</f>
        <v>0</v>
      </c>
      <c r="AI590" s="13">
        <f ca="1">IF(AND($AA590=$M$11+1,$AB590=$M$12+1),SUMIF($AA$20:$AA$1027,$AA590,$AG$20:$AG$1027)*IF(SUMIF($AA$20:$AA$1027,$AA590,$AG$20:$AG$1027)&lt;IF($D$4="Forint",Paraméterek!$L$223,Paraméterek!$L$224),0,VLOOKUP($AA590,Paraméterek!$K$230:$M$250,IF(SUMIF($AA$20:$AA$1027,$AA590,$AG$20:$AG$1027)&lt;IF($D$4="Forint",Paraméterek!$M$223,Paraméterek!$M$224),2,3))),0)</f>
        <v>0</v>
      </c>
      <c r="AJ590" s="13">
        <f ca="1">IF(AND($AA590&gt;=5,MOD($AA590,5)=0),IF($AB590=12,VLOOKUP($AA590,Paraméterek!$O$225:$P$240,2),0),IF(OR($AA590=3,$AA590=4),IF($AB590=12,VLOOKUP($AA590,Paraméterek!$O$225:$P$240,2,0),0),0))*$AG590</f>
        <v>0</v>
      </c>
      <c r="AK590" s="13">
        <f t="shared" ca="1" si="185"/>
        <v>0</v>
      </c>
      <c r="AL590" s="13">
        <f t="shared" ca="1" si="193"/>
        <v>0</v>
      </c>
      <c r="AM590" s="13">
        <f t="shared" ca="1" si="194"/>
        <v>0</v>
      </c>
      <c r="AO590" s="32">
        <v>571</v>
      </c>
      <c r="AP590" s="32">
        <v>48</v>
      </c>
      <c r="AQ590" s="32">
        <v>7</v>
      </c>
      <c r="AR590" s="13"/>
      <c r="AS590" s="32"/>
      <c r="AT590" s="13">
        <f t="shared" ca="1" si="195"/>
        <v>0</v>
      </c>
      <c r="AU590" s="33"/>
      <c r="AV590" s="13">
        <f t="shared" ca="1" si="186"/>
        <v>0</v>
      </c>
      <c r="AW590" s="13">
        <f ca="1">ROUNDUP(($AT590+$AV590)*VLOOKUP($AP590,Paraméterek!$P$38:$Q$38,2)/12*IF($D591="Nem",IF($M$13=0,1,$M$13),1),IF($D$4="Forint",0,2))</f>
        <v>0</v>
      </c>
      <c r="AX590" s="13"/>
      <c r="AY590" s="13"/>
      <c r="AZ590" s="13">
        <f>ROUNDUP(IF(SUM($AX590:$AY590)=0,0,IF(IF(ISBLANK($AY590),$AX590,$AY590)*Paraméterek!$J$112&lt;IF($D$4="Forint",Paraméterek!$J$113,Paraméterek!$K$113),IF($D$4="Forint",Paraméterek!$J$113,Paraméterek!$K$113),IF(IF(ISBLANK($AY590),$AX590,$AY590)*Paraméterek!$J$112&gt;IF($D$4="Forint",Paraméterek!$J$114,Paraméterek!$K$114),IF($D$4="Forint",Paraméterek!$J$114,Paraméterek!$K$114),IF(ISBLANK($AY590),$AX590,$AY590)*Paraméterek!$J$112))),IF($D$4="Forint",0,2))</f>
        <v>0</v>
      </c>
      <c r="BA590" s="13">
        <f ca="1">$AT590+$AV590-$AW590-IF(ROUNDDOWN(IF(ISBLANK($AY590),$AX590,$AY590),IF($D$4="Forint",0,2))&gt;$AT590+$AV590-$AW590-IF($D$4="Forint",Paraméterek!$J$114,Paraméterek!$K$114),0,ROUNDDOWN(IF(ISBLANK($AY590),$AX590,$AY590),IF($D$4="Forint",0,2))-$AZ590)</f>
        <v>0</v>
      </c>
      <c r="BB590" s="13">
        <f t="shared" ca="1" si="187"/>
        <v>0</v>
      </c>
      <c r="BD590" s="32">
        <v>571</v>
      </c>
      <c r="BE590" s="32">
        <v>48</v>
      </c>
      <c r="BF590" s="32">
        <v>7</v>
      </c>
      <c r="BG590" s="34">
        <f t="shared" ca="1" si="196"/>
        <v>2066</v>
      </c>
      <c r="BH590" s="32" t="str">
        <f ca="1">IF(MOD(MONTH($D$14)+$BD590-1,12)=Paraméterek!$C$288,"Igen","")</f>
        <v/>
      </c>
      <c r="BI590" s="13">
        <f ca="1">IF($BH590="Igen",MIN(ROUNDDOWN((SUMIF($BG$20:$BG$1027,$BG590-1,$K$20:$K$1027)-SUMIF($BG$20:$BG$1027,$BG590-1,$I$20:$I$1027))*Paraméterek!$C$289,IF($D$4="Forint",0,2)),IF($D$4="Forint",Paraméterek!$C$285,Paraméterek!$D$285)),0)</f>
        <v>0</v>
      </c>
      <c r="BJ590" s="13">
        <f t="shared" ca="1" si="188"/>
        <v>0</v>
      </c>
      <c r="BK590" s="13">
        <f t="shared" ca="1" si="197"/>
        <v>0</v>
      </c>
      <c r="BL590" s="33"/>
      <c r="BM590" s="13">
        <f t="shared" ca="1" si="189"/>
        <v>0</v>
      </c>
      <c r="BN590" s="13">
        <f ca="1">ROUNDUP(($BK590+$BM590)*VLOOKUP($BE590,Paraméterek!$P$38:$Q$38,2)/12*IF($D591="Nem",IF($M$13=0,1,$M$13),1),IF($D$4="Forint",0,2))</f>
        <v>0</v>
      </c>
      <c r="BO590" s="13">
        <f t="shared" ca="1" si="190"/>
        <v>0</v>
      </c>
      <c r="BP590" s="13">
        <f ca="1">IF($D591="Nem",$BO590,$BO590-ROUNDUP(SUM($BI$20:$BI590)*120%,IF($D$4="Forint",0,2)))</f>
        <v>0</v>
      </c>
    </row>
    <row r="591" spans="1:68" x14ac:dyDescent="0.2">
      <c r="A591" s="32">
        <v>572</v>
      </c>
      <c r="B591" s="32">
        <v>48</v>
      </c>
      <c r="C591" s="32">
        <v>8</v>
      </c>
      <c r="D591" s="32" t="str">
        <f t="shared" ca="1" si="176"/>
        <v>Nem</v>
      </c>
      <c r="E591" s="13">
        <f t="shared" ca="1" si="177"/>
        <v>0</v>
      </c>
      <c r="F591" s="13"/>
      <c r="G591" s="13"/>
      <c r="H591" s="13"/>
      <c r="I591" s="13">
        <f t="shared" ca="1" si="178"/>
        <v>0</v>
      </c>
      <c r="J591" s="13">
        <f t="shared" ca="1" si="179"/>
        <v>0</v>
      </c>
      <c r="K591" s="13">
        <f t="shared" ca="1" si="180"/>
        <v>0</v>
      </c>
      <c r="L591" s="13" t="e">
        <f ca="1">ROUNDUP(IF($D$2="Egyszeri",$E591,IF($D$2="Havi",SUM($E$20:$E$31),IF(MOD($C591,$M$1)-1=0,SUM($E$20:$E$31),0))/12*$M$1)*VLOOKUP($B591,Paraméterek!$I$28:$P$31,IF($D$2="Egyszeri",8,HLOOKUP(ROUNDUP($M$11+$M$13,0),Paraméterek!$J$26:$O$27,2))),IF($D$4="Forint",0,2))</f>
        <v>#N/A</v>
      </c>
      <c r="M591" s="13">
        <f t="shared" ca="1" si="181"/>
        <v>0</v>
      </c>
      <c r="N591" s="13">
        <f t="shared" ca="1" si="191"/>
        <v>0</v>
      </c>
      <c r="O591" s="13">
        <f ca="1">IF($D591="Igen",IF($W590&gt;=IF($D$4="Forint",Paraméterek!$J$121,Paraméterek!$K$121),0,IF($D$4="Forint",Paraméterek!$J$121,Paraméterek!$K$121)-$W590),0)</f>
        <v>0</v>
      </c>
      <c r="P591" s="13" t="e">
        <f ca="1">ROUNDUP($O591*VLOOKUP($M$4+$B591-1,Paraméterek!$H$58:$I$105,2,0)/Paraméterek!$I$56,IF($D$4="Forint",0,2))</f>
        <v>#N/A</v>
      </c>
      <c r="Q591" s="13">
        <f t="shared" ca="1" si="182"/>
        <v>0</v>
      </c>
      <c r="R591" s="33"/>
      <c r="S591" s="13" t="e">
        <f t="shared" ca="1" si="183"/>
        <v>#N/A</v>
      </c>
      <c r="T591" s="13" t="e">
        <f ca="1">ROUNDUP(($N591-$P591-$Q591+$S591)*VLOOKUP($B591,Paraméterek!$I$38:$K$39,IF($D$2="Egyszeri",3,2))/12*IF($D592="Nem",IF($M$13=0,1,$M$13),1),IF($D$4="Forint",0,2))</f>
        <v>#N/A</v>
      </c>
      <c r="U591" s="13"/>
      <c r="V591" s="13"/>
      <c r="W591" s="13" t="e">
        <f ca="1">$N591-$P591-$Q591+$S591-$T591-IF(ROUNDUP(IF(ISBLANK($V591),$U591*0,$V591)/IF($D$2="Egyszeri",VLOOKUP($B591+IF($C591=12,1,0),Paraméterek!$V$257:$W$262,2),IF($B591=1,1,VLOOKUP($B591+IF($C591=12,1,0),Paraméterek!$I$258:$T$278,HLOOKUP($M$11+1,Paraméterek!$J$256:$T$257,2)))),IF($D$4="Forint",0,2))&gt;$N591-$P591-$Q591+$S591-$T591-IF($D$4="Forint",Paraméterek!$C$216,Paraméterek!$D$216),0,ROUNDUP(IF(ISBLANK($V591),$U591*0,$V591)/IF($D$2="Egyszeri",VLOOKUP($B591+IF($C591=12,1,0),Paraméterek!$V$257:$W$262,2),IF($B591=1,1,VLOOKUP($B591+IF($C591=12,1,0),Paraméterek!$I$258:$T$278,HLOOKUP($M$11+1,Paraméterek!$J$256:$T$257,2)))),IF($D$4="Forint",0,2)))</f>
        <v>#N/A</v>
      </c>
      <c r="X591" s="13" t="e">
        <f ca="1">ROUNDDOWN($W591*IF($D$2="Egyszeri",VLOOKUP($B591+IF($C591=12,1,0),Paraméterek!$V$257:$W$262,2),VLOOKUP($B591+IF($C591=12,1,0),Paraméterek!$I$258:$T$278,HLOOKUP($M$11+1,Paraméterek!$I$256:$T$257,2))),IF($D$4="Forint",0,2))</f>
        <v>#N/A</v>
      </c>
      <c r="Z591" s="32">
        <v>572</v>
      </c>
      <c r="AA591" s="32">
        <v>48</v>
      </c>
      <c r="AB591" s="32">
        <v>8</v>
      </c>
      <c r="AC591" s="13">
        <f t="shared" ca="1" si="192"/>
        <v>0</v>
      </c>
      <c r="AD591" s="33"/>
      <c r="AE591" s="13">
        <f t="shared" ca="1" si="184"/>
        <v>0</v>
      </c>
      <c r="AF591" s="13">
        <f ca="1">ROUNDUP(($AC591+$AE591)*VLOOKUP($AA591,Paraméterek!$P$38:$Q$38,2)/12*IF($D592="Nem",IF($M$13=0,1,$M$13),1),IF($D$4="Forint",0,2))</f>
        <v>0</v>
      </c>
      <c r="AG591" s="13">
        <f ca="1">IF($D$2="Egyszeri",IF($D$7&gt;=IF($D$4="Forint",Paraméterek!$P$223,Paraméterek!$P$224),$D$7-IF($D$4="Forint",Paraméterek!$P$223,Paraméterek!$P$224),0),MIN(IF($AB591=12,AVERAGEIF($E$20:$E591,"&gt;0",$E$20:$E591)*12,0),SUM($E$20:$E$31)))</f>
        <v>0</v>
      </c>
      <c r="AH591" s="13">
        <f>IF($AA591=10,$AG591*IF($AB591=12,IF($AG591&lt;IF($D$4="Forint",Paraméterek!$L$223,Paraméterek!$L$224),0,VLOOKUP($AA591,Paraméterek!$K$226:$M$228,IF($AG591&lt;IF($D$4="Forint",Paraméterek!$M$223,Paraméterek!$M$224),2,3))),0),0)</f>
        <v>0</v>
      </c>
      <c r="AI591" s="13">
        <f ca="1">IF(AND($AA591=$M$11+1,$AB591=$M$12+1),SUMIF($AA$20:$AA$1027,$AA591,$AG$20:$AG$1027)*IF(SUMIF($AA$20:$AA$1027,$AA591,$AG$20:$AG$1027)&lt;IF($D$4="Forint",Paraméterek!$L$223,Paraméterek!$L$224),0,VLOOKUP($AA591,Paraméterek!$K$230:$M$250,IF(SUMIF($AA$20:$AA$1027,$AA591,$AG$20:$AG$1027)&lt;IF($D$4="Forint",Paraméterek!$M$223,Paraméterek!$M$224),2,3))),0)</f>
        <v>0</v>
      </c>
      <c r="AJ591" s="13">
        <f ca="1">IF(AND($AA591&gt;=5,MOD($AA591,5)=0),IF($AB591=12,VLOOKUP($AA591,Paraméterek!$O$225:$P$240,2),0),IF(OR($AA591=3,$AA591=4),IF($AB591=12,VLOOKUP($AA591,Paraméterek!$O$225:$P$240,2,0),0),0))*$AG591</f>
        <v>0</v>
      </c>
      <c r="AK591" s="13">
        <f t="shared" ca="1" si="185"/>
        <v>0</v>
      </c>
      <c r="AL591" s="13">
        <f t="shared" ca="1" si="193"/>
        <v>0</v>
      </c>
      <c r="AM591" s="13">
        <f t="shared" ca="1" si="194"/>
        <v>0</v>
      </c>
      <c r="AO591" s="32">
        <v>572</v>
      </c>
      <c r="AP591" s="32">
        <v>48</v>
      </c>
      <c r="AQ591" s="32">
        <v>8</v>
      </c>
      <c r="AR591" s="13"/>
      <c r="AS591" s="32"/>
      <c r="AT591" s="13">
        <f t="shared" ca="1" si="195"/>
        <v>0</v>
      </c>
      <c r="AU591" s="33"/>
      <c r="AV591" s="13">
        <f t="shared" ca="1" si="186"/>
        <v>0</v>
      </c>
      <c r="AW591" s="13">
        <f ca="1">ROUNDUP(($AT591+$AV591)*VLOOKUP($AP591,Paraméterek!$P$38:$Q$38,2)/12*IF($D592="Nem",IF($M$13=0,1,$M$13),1),IF($D$4="Forint",0,2))</f>
        <v>0</v>
      </c>
      <c r="AX591" s="13"/>
      <c r="AY591" s="13"/>
      <c r="AZ591" s="13">
        <f>ROUNDUP(IF(SUM($AX591:$AY591)=0,0,IF(IF(ISBLANK($AY591),$AX591,$AY591)*Paraméterek!$J$112&lt;IF($D$4="Forint",Paraméterek!$J$113,Paraméterek!$K$113),IF($D$4="Forint",Paraméterek!$J$113,Paraméterek!$K$113),IF(IF(ISBLANK($AY591),$AX591,$AY591)*Paraméterek!$J$112&gt;IF($D$4="Forint",Paraméterek!$J$114,Paraméterek!$K$114),IF($D$4="Forint",Paraméterek!$J$114,Paraméterek!$K$114),IF(ISBLANK($AY591),$AX591,$AY591)*Paraméterek!$J$112))),IF($D$4="Forint",0,2))</f>
        <v>0</v>
      </c>
      <c r="BA591" s="13">
        <f ca="1">$AT591+$AV591-$AW591-IF(ROUNDDOWN(IF(ISBLANK($AY591),$AX591,$AY591),IF($D$4="Forint",0,2))&gt;$AT591+$AV591-$AW591-IF($D$4="Forint",Paraméterek!$J$114,Paraméterek!$K$114),0,ROUNDDOWN(IF(ISBLANK($AY591),$AX591,$AY591),IF($D$4="Forint",0,2))-$AZ591)</f>
        <v>0</v>
      </c>
      <c r="BB591" s="13">
        <f t="shared" ca="1" si="187"/>
        <v>0</v>
      </c>
      <c r="BD591" s="32">
        <v>572</v>
      </c>
      <c r="BE591" s="32">
        <v>48</v>
      </c>
      <c r="BF591" s="32">
        <v>8</v>
      </c>
      <c r="BG591" s="34">
        <f t="shared" ca="1" si="196"/>
        <v>2067</v>
      </c>
      <c r="BH591" s="32" t="str">
        <f ca="1">IF(MOD(MONTH($D$14)+$BD591-1,12)=Paraméterek!$C$288,"Igen","")</f>
        <v/>
      </c>
      <c r="BI591" s="13">
        <f ca="1">IF($BH591="Igen",MIN(ROUNDDOWN((SUMIF($BG$20:$BG$1027,$BG591-1,$K$20:$K$1027)-SUMIF($BG$20:$BG$1027,$BG591-1,$I$20:$I$1027))*Paraméterek!$C$289,IF($D$4="Forint",0,2)),IF($D$4="Forint",Paraméterek!$C$285,Paraméterek!$D$285)),0)</f>
        <v>0</v>
      </c>
      <c r="BJ591" s="13">
        <f t="shared" ca="1" si="188"/>
        <v>0</v>
      </c>
      <c r="BK591" s="13">
        <f t="shared" ca="1" si="197"/>
        <v>0</v>
      </c>
      <c r="BL591" s="33"/>
      <c r="BM591" s="13">
        <f t="shared" ca="1" si="189"/>
        <v>0</v>
      </c>
      <c r="BN591" s="13">
        <f ca="1">ROUNDUP(($BK591+$BM591)*VLOOKUP($BE591,Paraméterek!$P$38:$Q$38,2)/12*IF($D592="Nem",IF($M$13=0,1,$M$13),1),IF($D$4="Forint",0,2))</f>
        <v>0</v>
      </c>
      <c r="BO591" s="13">
        <f t="shared" ca="1" si="190"/>
        <v>0</v>
      </c>
      <c r="BP591" s="13">
        <f ca="1">IF($D592="Nem",$BO591,$BO591-ROUNDUP(SUM($BI$20:$BI591)*120%,IF($D$4="Forint",0,2)))</f>
        <v>0</v>
      </c>
    </row>
    <row r="592" spans="1:68" x14ac:dyDescent="0.2">
      <c r="A592" s="32">
        <v>573</v>
      </c>
      <c r="B592" s="32">
        <v>48</v>
      </c>
      <c r="C592" s="32">
        <v>9</v>
      </c>
      <c r="D592" s="32" t="str">
        <f t="shared" ca="1" si="176"/>
        <v>Nem</v>
      </c>
      <c r="E592" s="13">
        <f t="shared" ca="1" si="177"/>
        <v>0</v>
      </c>
      <c r="F592" s="13"/>
      <c r="G592" s="13"/>
      <c r="H592" s="13"/>
      <c r="I592" s="13">
        <f t="shared" ca="1" si="178"/>
        <v>0</v>
      </c>
      <c r="J592" s="13">
        <f t="shared" ca="1" si="179"/>
        <v>0</v>
      </c>
      <c r="K592" s="13">
        <f t="shared" ca="1" si="180"/>
        <v>0</v>
      </c>
      <c r="L592" s="13" t="e">
        <f ca="1">ROUNDUP(IF($D$2="Egyszeri",$E592,IF($D$2="Havi",SUM($E$20:$E$31),IF(MOD($C592,$M$1)-1=0,SUM($E$20:$E$31),0))/12*$M$1)*VLOOKUP($B592,Paraméterek!$I$28:$P$31,IF($D$2="Egyszeri",8,HLOOKUP(ROUNDUP($M$11+$M$13,0),Paraméterek!$J$26:$O$27,2))),IF($D$4="Forint",0,2))</f>
        <v>#N/A</v>
      </c>
      <c r="M592" s="13">
        <f t="shared" ca="1" si="181"/>
        <v>0</v>
      </c>
      <c r="N592" s="13">
        <f t="shared" ca="1" si="191"/>
        <v>0</v>
      </c>
      <c r="O592" s="13">
        <f ca="1">IF($D592="Igen",IF($W591&gt;=IF($D$4="Forint",Paraméterek!$J$121,Paraméterek!$K$121),0,IF($D$4="Forint",Paraméterek!$J$121,Paraméterek!$K$121)-$W591),0)</f>
        <v>0</v>
      </c>
      <c r="P592" s="13" t="e">
        <f ca="1">ROUNDUP($O592*VLOOKUP($M$4+$B592-1,Paraméterek!$H$58:$I$105,2,0)/Paraméterek!$I$56,IF($D$4="Forint",0,2))</f>
        <v>#N/A</v>
      </c>
      <c r="Q592" s="13">
        <f t="shared" ca="1" si="182"/>
        <v>0</v>
      </c>
      <c r="R592" s="33"/>
      <c r="S592" s="13" t="e">
        <f t="shared" ca="1" si="183"/>
        <v>#N/A</v>
      </c>
      <c r="T592" s="13" t="e">
        <f ca="1">ROUNDUP(($N592-$P592-$Q592+$S592)*VLOOKUP($B592,Paraméterek!$I$38:$K$39,IF($D$2="Egyszeri",3,2))/12*IF($D593="Nem",IF($M$13=0,1,$M$13),1),IF($D$4="Forint",0,2))</f>
        <v>#N/A</v>
      </c>
      <c r="U592" s="13"/>
      <c r="V592" s="13"/>
      <c r="W592" s="13" t="e">
        <f ca="1">$N592-$P592-$Q592+$S592-$T592-IF(ROUNDUP(IF(ISBLANK($V592),$U592*0,$V592)/IF($D$2="Egyszeri",VLOOKUP($B592+IF($C592=12,1,0),Paraméterek!$V$257:$W$262,2),IF($B592=1,1,VLOOKUP($B592+IF($C592=12,1,0),Paraméterek!$I$258:$T$278,HLOOKUP($M$11+1,Paraméterek!$J$256:$T$257,2)))),IF($D$4="Forint",0,2))&gt;$N592-$P592-$Q592+$S592-$T592-IF($D$4="Forint",Paraméterek!$C$216,Paraméterek!$D$216),0,ROUNDUP(IF(ISBLANK($V592),$U592*0,$V592)/IF($D$2="Egyszeri",VLOOKUP($B592+IF($C592=12,1,0),Paraméterek!$V$257:$W$262,2),IF($B592=1,1,VLOOKUP($B592+IF($C592=12,1,0),Paraméterek!$I$258:$T$278,HLOOKUP($M$11+1,Paraméterek!$J$256:$T$257,2)))),IF($D$4="Forint",0,2)))</f>
        <v>#N/A</v>
      </c>
      <c r="X592" s="13" t="e">
        <f ca="1">ROUNDDOWN($W592*IF($D$2="Egyszeri",VLOOKUP($B592+IF($C592=12,1,0),Paraméterek!$V$257:$W$262,2),VLOOKUP($B592+IF($C592=12,1,0),Paraméterek!$I$258:$T$278,HLOOKUP($M$11+1,Paraméterek!$I$256:$T$257,2))),IF($D$4="Forint",0,2))</f>
        <v>#N/A</v>
      </c>
      <c r="Z592" s="32">
        <v>573</v>
      </c>
      <c r="AA592" s="32">
        <v>48</v>
      </c>
      <c r="AB592" s="32">
        <v>9</v>
      </c>
      <c r="AC592" s="13">
        <f t="shared" ca="1" si="192"/>
        <v>0</v>
      </c>
      <c r="AD592" s="33"/>
      <c r="AE592" s="13">
        <f t="shared" ca="1" si="184"/>
        <v>0</v>
      </c>
      <c r="AF592" s="13">
        <f ca="1">ROUNDUP(($AC592+$AE592)*VLOOKUP($AA592,Paraméterek!$P$38:$Q$38,2)/12*IF($D593="Nem",IF($M$13=0,1,$M$13),1),IF($D$4="Forint",0,2))</f>
        <v>0</v>
      </c>
      <c r="AG592" s="13">
        <f ca="1">IF($D$2="Egyszeri",IF($D$7&gt;=IF($D$4="Forint",Paraméterek!$P$223,Paraméterek!$P$224),$D$7-IF($D$4="Forint",Paraméterek!$P$223,Paraméterek!$P$224),0),MIN(IF($AB592=12,AVERAGEIF($E$20:$E592,"&gt;0",$E$20:$E592)*12,0),SUM($E$20:$E$31)))</f>
        <v>0</v>
      </c>
      <c r="AH592" s="13">
        <f>IF($AA592=10,$AG592*IF($AB592=12,IF($AG592&lt;IF($D$4="Forint",Paraméterek!$L$223,Paraméterek!$L$224),0,VLOOKUP($AA592,Paraméterek!$K$226:$M$228,IF($AG592&lt;IF($D$4="Forint",Paraméterek!$M$223,Paraméterek!$M$224),2,3))),0),0)</f>
        <v>0</v>
      </c>
      <c r="AI592" s="13">
        <f ca="1">IF(AND($AA592=$M$11+1,$AB592=$M$12+1),SUMIF($AA$20:$AA$1027,$AA592,$AG$20:$AG$1027)*IF(SUMIF($AA$20:$AA$1027,$AA592,$AG$20:$AG$1027)&lt;IF($D$4="Forint",Paraméterek!$L$223,Paraméterek!$L$224),0,VLOOKUP($AA592,Paraméterek!$K$230:$M$250,IF(SUMIF($AA$20:$AA$1027,$AA592,$AG$20:$AG$1027)&lt;IF($D$4="Forint",Paraméterek!$M$223,Paraméterek!$M$224),2,3))),0)</f>
        <v>0</v>
      </c>
      <c r="AJ592" s="13">
        <f ca="1">IF(AND($AA592&gt;=5,MOD($AA592,5)=0),IF($AB592=12,VLOOKUP($AA592,Paraméterek!$O$225:$P$240,2),0),IF(OR($AA592=3,$AA592=4),IF($AB592=12,VLOOKUP($AA592,Paraméterek!$O$225:$P$240,2,0),0),0))*$AG592</f>
        <v>0</v>
      </c>
      <c r="AK592" s="13">
        <f t="shared" ca="1" si="185"/>
        <v>0</v>
      </c>
      <c r="AL592" s="13">
        <f t="shared" ca="1" si="193"/>
        <v>0</v>
      </c>
      <c r="AM592" s="13">
        <f t="shared" ca="1" si="194"/>
        <v>0</v>
      </c>
      <c r="AO592" s="32">
        <v>573</v>
      </c>
      <c r="AP592" s="32">
        <v>48</v>
      </c>
      <c r="AQ592" s="32">
        <v>9</v>
      </c>
      <c r="AR592" s="13"/>
      <c r="AS592" s="32"/>
      <c r="AT592" s="13">
        <f t="shared" ca="1" si="195"/>
        <v>0</v>
      </c>
      <c r="AU592" s="33"/>
      <c r="AV592" s="13">
        <f t="shared" ca="1" si="186"/>
        <v>0</v>
      </c>
      <c r="AW592" s="13">
        <f ca="1">ROUNDUP(($AT592+$AV592)*VLOOKUP($AP592,Paraméterek!$P$38:$Q$38,2)/12*IF($D593="Nem",IF($M$13=0,1,$M$13),1),IF($D$4="Forint",0,2))</f>
        <v>0</v>
      </c>
      <c r="AX592" s="13"/>
      <c r="AY592" s="13"/>
      <c r="AZ592" s="13">
        <f>ROUNDUP(IF(SUM($AX592:$AY592)=0,0,IF(IF(ISBLANK($AY592),$AX592,$AY592)*Paraméterek!$J$112&lt;IF($D$4="Forint",Paraméterek!$J$113,Paraméterek!$K$113),IF($D$4="Forint",Paraméterek!$J$113,Paraméterek!$K$113),IF(IF(ISBLANK($AY592),$AX592,$AY592)*Paraméterek!$J$112&gt;IF($D$4="Forint",Paraméterek!$J$114,Paraméterek!$K$114),IF($D$4="Forint",Paraméterek!$J$114,Paraméterek!$K$114),IF(ISBLANK($AY592),$AX592,$AY592)*Paraméterek!$J$112))),IF($D$4="Forint",0,2))</f>
        <v>0</v>
      </c>
      <c r="BA592" s="13">
        <f ca="1">$AT592+$AV592-$AW592-IF(ROUNDDOWN(IF(ISBLANK($AY592),$AX592,$AY592),IF($D$4="Forint",0,2))&gt;$AT592+$AV592-$AW592-IF($D$4="Forint",Paraméterek!$J$114,Paraméterek!$K$114),0,ROUNDDOWN(IF(ISBLANK($AY592),$AX592,$AY592),IF($D$4="Forint",0,2))-$AZ592)</f>
        <v>0</v>
      </c>
      <c r="BB592" s="13">
        <f t="shared" ca="1" si="187"/>
        <v>0</v>
      </c>
      <c r="BD592" s="32">
        <v>573</v>
      </c>
      <c r="BE592" s="32">
        <v>48</v>
      </c>
      <c r="BF592" s="32">
        <v>9</v>
      </c>
      <c r="BG592" s="34">
        <f t="shared" ca="1" si="196"/>
        <v>2067</v>
      </c>
      <c r="BH592" s="32" t="str">
        <f ca="1">IF(MOD(MONTH($D$14)+$BD592-1,12)=Paraméterek!$C$288,"Igen","")</f>
        <v/>
      </c>
      <c r="BI592" s="13">
        <f ca="1">IF($BH592="Igen",MIN(ROUNDDOWN((SUMIF($BG$20:$BG$1027,$BG592-1,$K$20:$K$1027)-SUMIF($BG$20:$BG$1027,$BG592-1,$I$20:$I$1027))*Paraméterek!$C$289,IF($D$4="Forint",0,2)),IF($D$4="Forint",Paraméterek!$C$285,Paraméterek!$D$285)),0)</f>
        <v>0</v>
      </c>
      <c r="BJ592" s="13">
        <f t="shared" ca="1" si="188"/>
        <v>0</v>
      </c>
      <c r="BK592" s="13">
        <f t="shared" ca="1" si="197"/>
        <v>0</v>
      </c>
      <c r="BL592" s="33"/>
      <c r="BM592" s="13">
        <f t="shared" ca="1" si="189"/>
        <v>0</v>
      </c>
      <c r="BN592" s="13">
        <f ca="1">ROUNDUP(($BK592+$BM592)*VLOOKUP($BE592,Paraméterek!$P$38:$Q$38,2)/12*IF($D593="Nem",IF($M$13=0,1,$M$13),1),IF($D$4="Forint",0,2))</f>
        <v>0</v>
      </c>
      <c r="BO592" s="13">
        <f t="shared" ca="1" si="190"/>
        <v>0</v>
      </c>
      <c r="BP592" s="13">
        <f ca="1">IF($D593="Nem",$BO592,$BO592-ROUNDUP(SUM($BI$20:$BI592)*120%,IF($D$4="Forint",0,2)))</f>
        <v>0</v>
      </c>
    </row>
    <row r="593" spans="1:68" x14ac:dyDescent="0.2">
      <c r="A593" s="32">
        <v>574</v>
      </c>
      <c r="B593" s="32">
        <v>48</v>
      </c>
      <c r="C593" s="32">
        <v>10</v>
      </c>
      <c r="D593" s="32" t="str">
        <f t="shared" ca="1" si="176"/>
        <v>Nem</v>
      </c>
      <c r="E593" s="13">
        <f t="shared" ca="1" si="177"/>
        <v>0</v>
      </c>
      <c r="F593" s="13"/>
      <c r="G593" s="13"/>
      <c r="H593" s="13"/>
      <c r="I593" s="13">
        <f t="shared" ca="1" si="178"/>
        <v>0</v>
      </c>
      <c r="J593" s="13">
        <f t="shared" ca="1" si="179"/>
        <v>0</v>
      </c>
      <c r="K593" s="13">
        <f t="shared" ca="1" si="180"/>
        <v>0</v>
      </c>
      <c r="L593" s="13" t="e">
        <f ca="1">ROUNDUP(IF($D$2="Egyszeri",$E593,IF($D$2="Havi",SUM($E$20:$E$31),IF(MOD($C593,$M$1)-1=0,SUM($E$20:$E$31),0))/12*$M$1)*VLOOKUP($B593,Paraméterek!$I$28:$P$31,IF($D$2="Egyszeri",8,HLOOKUP(ROUNDUP($M$11+$M$13,0),Paraméterek!$J$26:$O$27,2))),IF($D$4="Forint",0,2))</f>
        <v>#N/A</v>
      </c>
      <c r="M593" s="13">
        <f t="shared" ca="1" si="181"/>
        <v>0</v>
      </c>
      <c r="N593" s="13">
        <f t="shared" ca="1" si="191"/>
        <v>0</v>
      </c>
      <c r="O593" s="13">
        <f ca="1">IF($D593="Igen",IF($W592&gt;=IF($D$4="Forint",Paraméterek!$J$121,Paraméterek!$K$121),0,IF($D$4="Forint",Paraméterek!$J$121,Paraméterek!$K$121)-$W592),0)</f>
        <v>0</v>
      </c>
      <c r="P593" s="13" t="e">
        <f ca="1">ROUNDUP($O593*VLOOKUP($M$4+$B593-1,Paraméterek!$H$58:$I$105,2,0)/Paraméterek!$I$56,IF($D$4="Forint",0,2))</f>
        <v>#N/A</v>
      </c>
      <c r="Q593" s="13">
        <f t="shared" ca="1" si="182"/>
        <v>0</v>
      </c>
      <c r="R593" s="33"/>
      <c r="S593" s="13" t="e">
        <f t="shared" ca="1" si="183"/>
        <v>#N/A</v>
      </c>
      <c r="T593" s="13" t="e">
        <f ca="1">ROUNDUP(($N593-$P593-$Q593+$S593)*VLOOKUP($B593,Paraméterek!$I$38:$K$39,IF($D$2="Egyszeri",3,2))/12*IF($D594="Nem",IF($M$13=0,1,$M$13),1),IF($D$4="Forint",0,2))</f>
        <v>#N/A</v>
      </c>
      <c r="U593" s="13"/>
      <c r="V593" s="13"/>
      <c r="W593" s="13" t="e">
        <f ca="1">$N593-$P593-$Q593+$S593-$T593-IF(ROUNDUP(IF(ISBLANK($V593),$U593*0,$V593)/IF($D$2="Egyszeri",VLOOKUP($B593+IF($C593=12,1,0),Paraméterek!$V$257:$W$262,2),IF($B593=1,1,VLOOKUP($B593+IF($C593=12,1,0),Paraméterek!$I$258:$T$278,HLOOKUP($M$11+1,Paraméterek!$J$256:$T$257,2)))),IF($D$4="Forint",0,2))&gt;$N593-$P593-$Q593+$S593-$T593-IF($D$4="Forint",Paraméterek!$C$216,Paraméterek!$D$216),0,ROUNDUP(IF(ISBLANK($V593),$U593*0,$V593)/IF($D$2="Egyszeri",VLOOKUP($B593+IF($C593=12,1,0),Paraméterek!$V$257:$W$262,2),IF($B593=1,1,VLOOKUP($B593+IF($C593=12,1,0),Paraméterek!$I$258:$T$278,HLOOKUP($M$11+1,Paraméterek!$J$256:$T$257,2)))),IF($D$4="Forint",0,2)))</f>
        <v>#N/A</v>
      </c>
      <c r="X593" s="13" t="e">
        <f ca="1">ROUNDDOWN($W593*IF($D$2="Egyszeri",VLOOKUP($B593+IF($C593=12,1,0),Paraméterek!$V$257:$W$262,2),VLOOKUP($B593+IF($C593=12,1,0),Paraméterek!$I$258:$T$278,HLOOKUP($M$11+1,Paraméterek!$I$256:$T$257,2))),IF($D$4="Forint",0,2))</f>
        <v>#N/A</v>
      </c>
      <c r="Z593" s="32">
        <v>574</v>
      </c>
      <c r="AA593" s="32">
        <v>48</v>
      </c>
      <c r="AB593" s="32">
        <v>10</v>
      </c>
      <c r="AC593" s="13">
        <f t="shared" ca="1" si="192"/>
        <v>0</v>
      </c>
      <c r="AD593" s="33"/>
      <c r="AE593" s="13">
        <f t="shared" ca="1" si="184"/>
        <v>0</v>
      </c>
      <c r="AF593" s="13">
        <f ca="1">ROUNDUP(($AC593+$AE593)*VLOOKUP($AA593,Paraméterek!$P$38:$Q$38,2)/12*IF($D594="Nem",IF($M$13=0,1,$M$13),1),IF($D$4="Forint",0,2))</f>
        <v>0</v>
      </c>
      <c r="AG593" s="13">
        <f ca="1">IF($D$2="Egyszeri",IF($D$7&gt;=IF($D$4="Forint",Paraméterek!$P$223,Paraméterek!$P$224),$D$7-IF($D$4="Forint",Paraméterek!$P$223,Paraméterek!$P$224),0),MIN(IF($AB593=12,AVERAGEIF($E$20:$E593,"&gt;0",$E$20:$E593)*12,0),SUM($E$20:$E$31)))</f>
        <v>0</v>
      </c>
      <c r="AH593" s="13">
        <f>IF($AA593=10,$AG593*IF($AB593=12,IF($AG593&lt;IF($D$4="Forint",Paraméterek!$L$223,Paraméterek!$L$224),0,VLOOKUP($AA593,Paraméterek!$K$226:$M$228,IF($AG593&lt;IF($D$4="Forint",Paraméterek!$M$223,Paraméterek!$M$224),2,3))),0),0)</f>
        <v>0</v>
      </c>
      <c r="AI593" s="13">
        <f ca="1">IF(AND($AA593=$M$11+1,$AB593=$M$12+1),SUMIF($AA$20:$AA$1027,$AA593,$AG$20:$AG$1027)*IF(SUMIF($AA$20:$AA$1027,$AA593,$AG$20:$AG$1027)&lt;IF($D$4="Forint",Paraméterek!$L$223,Paraméterek!$L$224),0,VLOOKUP($AA593,Paraméterek!$K$230:$M$250,IF(SUMIF($AA$20:$AA$1027,$AA593,$AG$20:$AG$1027)&lt;IF($D$4="Forint",Paraméterek!$M$223,Paraméterek!$M$224),2,3))),0)</f>
        <v>0</v>
      </c>
      <c r="AJ593" s="13">
        <f ca="1">IF(AND($AA593&gt;=5,MOD($AA593,5)=0),IF($AB593=12,VLOOKUP($AA593,Paraméterek!$O$225:$P$240,2),0),IF(OR($AA593=3,$AA593=4),IF($AB593=12,VLOOKUP($AA593,Paraméterek!$O$225:$P$240,2,0),0),0))*$AG593</f>
        <v>0</v>
      </c>
      <c r="AK593" s="13">
        <f t="shared" ca="1" si="185"/>
        <v>0</v>
      </c>
      <c r="AL593" s="13">
        <f t="shared" ca="1" si="193"/>
        <v>0</v>
      </c>
      <c r="AM593" s="13">
        <f t="shared" ca="1" si="194"/>
        <v>0</v>
      </c>
      <c r="AO593" s="32">
        <v>574</v>
      </c>
      <c r="AP593" s="32">
        <v>48</v>
      </c>
      <c r="AQ593" s="32">
        <v>10</v>
      </c>
      <c r="AR593" s="13"/>
      <c r="AS593" s="32"/>
      <c r="AT593" s="13">
        <f t="shared" ca="1" si="195"/>
        <v>0</v>
      </c>
      <c r="AU593" s="33"/>
      <c r="AV593" s="13">
        <f t="shared" ca="1" si="186"/>
        <v>0</v>
      </c>
      <c r="AW593" s="13">
        <f ca="1">ROUNDUP(($AT593+$AV593)*VLOOKUP($AP593,Paraméterek!$P$38:$Q$38,2)/12*IF($D594="Nem",IF($M$13=0,1,$M$13),1),IF($D$4="Forint",0,2))</f>
        <v>0</v>
      </c>
      <c r="AX593" s="13"/>
      <c r="AY593" s="13"/>
      <c r="AZ593" s="13">
        <f>ROUNDUP(IF(SUM($AX593:$AY593)=0,0,IF(IF(ISBLANK($AY593),$AX593,$AY593)*Paraméterek!$J$112&lt;IF($D$4="Forint",Paraméterek!$J$113,Paraméterek!$K$113),IF($D$4="Forint",Paraméterek!$J$113,Paraméterek!$K$113),IF(IF(ISBLANK($AY593),$AX593,$AY593)*Paraméterek!$J$112&gt;IF($D$4="Forint",Paraméterek!$J$114,Paraméterek!$K$114),IF($D$4="Forint",Paraméterek!$J$114,Paraméterek!$K$114),IF(ISBLANK($AY593),$AX593,$AY593)*Paraméterek!$J$112))),IF($D$4="Forint",0,2))</f>
        <v>0</v>
      </c>
      <c r="BA593" s="13">
        <f ca="1">$AT593+$AV593-$AW593-IF(ROUNDDOWN(IF(ISBLANK($AY593),$AX593,$AY593),IF($D$4="Forint",0,2))&gt;$AT593+$AV593-$AW593-IF($D$4="Forint",Paraméterek!$J$114,Paraméterek!$K$114),0,ROUNDDOWN(IF(ISBLANK($AY593),$AX593,$AY593),IF($D$4="Forint",0,2))-$AZ593)</f>
        <v>0</v>
      </c>
      <c r="BB593" s="13">
        <f t="shared" ca="1" si="187"/>
        <v>0</v>
      </c>
      <c r="BD593" s="32">
        <v>574</v>
      </c>
      <c r="BE593" s="32">
        <v>48</v>
      </c>
      <c r="BF593" s="32">
        <v>10</v>
      </c>
      <c r="BG593" s="34">
        <f t="shared" ca="1" si="196"/>
        <v>2067</v>
      </c>
      <c r="BH593" s="32" t="str">
        <f ca="1">IF(MOD(MONTH($D$14)+$BD593-1,12)=Paraméterek!$C$288,"Igen","")</f>
        <v/>
      </c>
      <c r="BI593" s="13">
        <f ca="1">IF($BH593="Igen",MIN(ROUNDDOWN((SUMIF($BG$20:$BG$1027,$BG593-1,$K$20:$K$1027)-SUMIF($BG$20:$BG$1027,$BG593-1,$I$20:$I$1027))*Paraméterek!$C$289,IF($D$4="Forint",0,2)),IF($D$4="Forint",Paraméterek!$C$285,Paraméterek!$D$285)),0)</f>
        <v>0</v>
      </c>
      <c r="BJ593" s="13">
        <f t="shared" ca="1" si="188"/>
        <v>0</v>
      </c>
      <c r="BK593" s="13">
        <f t="shared" ca="1" si="197"/>
        <v>0</v>
      </c>
      <c r="BL593" s="33"/>
      <c r="BM593" s="13">
        <f t="shared" ca="1" si="189"/>
        <v>0</v>
      </c>
      <c r="BN593" s="13">
        <f ca="1">ROUNDUP(($BK593+$BM593)*VLOOKUP($BE593,Paraméterek!$P$38:$Q$38,2)/12*IF($D594="Nem",IF($M$13=0,1,$M$13),1),IF($D$4="Forint",0,2))</f>
        <v>0</v>
      </c>
      <c r="BO593" s="13">
        <f t="shared" ca="1" si="190"/>
        <v>0</v>
      </c>
      <c r="BP593" s="13">
        <f ca="1">IF($D594="Nem",$BO593,$BO593-ROUNDUP(SUM($BI$20:$BI593)*120%,IF($D$4="Forint",0,2)))</f>
        <v>0</v>
      </c>
    </row>
    <row r="594" spans="1:68" x14ac:dyDescent="0.2">
      <c r="A594" s="32">
        <v>575</v>
      </c>
      <c r="B594" s="32">
        <v>48</v>
      </c>
      <c r="C594" s="32">
        <v>11</v>
      </c>
      <c r="D594" s="32" t="str">
        <f t="shared" ca="1" si="176"/>
        <v>Nem</v>
      </c>
      <c r="E594" s="13">
        <f t="shared" ca="1" si="177"/>
        <v>0</v>
      </c>
      <c r="F594" s="13"/>
      <c r="G594" s="13"/>
      <c r="H594" s="13"/>
      <c r="I594" s="13">
        <f t="shared" ca="1" si="178"/>
        <v>0</v>
      </c>
      <c r="J594" s="13">
        <f t="shared" ca="1" si="179"/>
        <v>0</v>
      </c>
      <c r="K594" s="13">
        <f t="shared" ca="1" si="180"/>
        <v>0</v>
      </c>
      <c r="L594" s="13" t="e">
        <f ca="1">ROUNDUP(IF($D$2="Egyszeri",$E594,IF($D$2="Havi",SUM($E$20:$E$31),IF(MOD($C594,$M$1)-1=0,SUM($E$20:$E$31),0))/12*$M$1)*VLOOKUP($B594,Paraméterek!$I$28:$P$31,IF($D$2="Egyszeri",8,HLOOKUP(ROUNDUP($M$11+$M$13,0),Paraméterek!$J$26:$O$27,2))),IF($D$4="Forint",0,2))</f>
        <v>#N/A</v>
      </c>
      <c r="M594" s="13">
        <f t="shared" ca="1" si="181"/>
        <v>0</v>
      </c>
      <c r="N594" s="13">
        <f t="shared" ca="1" si="191"/>
        <v>0</v>
      </c>
      <c r="O594" s="13">
        <f ca="1">IF($D594="Igen",IF($W593&gt;=IF($D$4="Forint",Paraméterek!$J$121,Paraméterek!$K$121),0,IF($D$4="Forint",Paraméterek!$J$121,Paraméterek!$K$121)-$W593),0)</f>
        <v>0</v>
      </c>
      <c r="P594" s="13" t="e">
        <f ca="1">ROUNDUP($O594*VLOOKUP($M$4+$B594-1,Paraméterek!$H$58:$I$105,2,0)/Paraméterek!$I$56,IF($D$4="Forint",0,2))</f>
        <v>#N/A</v>
      </c>
      <c r="Q594" s="13">
        <f t="shared" ca="1" si="182"/>
        <v>0</v>
      </c>
      <c r="R594" s="33"/>
      <c r="S594" s="13" t="e">
        <f t="shared" ca="1" si="183"/>
        <v>#N/A</v>
      </c>
      <c r="T594" s="13" t="e">
        <f ca="1">ROUNDUP(($N594-$P594-$Q594+$S594)*VLOOKUP($B594,Paraméterek!$I$38:$K$39,IF($D$2="Egyszeri",3,2))/12*IF($D595="Nem",IF($M$13=0,1,$M$13),1),IF($D$4="Forint",0,2))</f>
        <v>#N/A</v>
      </c>
      <c r="U594" s="13"/>
      <c r="V594" s="13"/>
      <c r="W594" s="13" t="e">
        <f ca="1">$N594-$P594-$Q594+$S594-$T594-IF(ROUNDUP(IF(ISBLANK($V594),$U594*0,$V594)/IF($D$2="Egyszeri",VLOOKUP($B594+IF($C594=12,1,0),Paraméterek!$V$257:$W$262,2),IF($B594=1,1,VLOOKUP($B594+IF($C594=12,1,0),Paraméterek!$I$258:$T$278,HLOOKUP($M$11+1,Paraméterek!$J$256:$T$257,2)))),IF($D$4="Forint",0,2))&gt;$N594-$P594-$Q594+$S594-$T594-IF($D$4="Forint",Paraméterek!$C$216,Paraméterek!$D$216),0,ROUNDUP(IF(ISBLANK($V594),$U594*0,$V594)/IF($D$2="Egyszeri",VLOOKUP($B594+IF($C594=12,1,0),Paraméterek!$V$257:$W$262,2),IF($B594=1,1,VLOOKUP($B594+IF($C594=12,1,0),Paraméterek!$I$258:$T$278,HLOOKUP($M$11+1,Paraméterek!$J$256:$T$257,2)))),IF($D$4="Forint",0,2)))</f>
        <v>#N/A</v>
      </c>
      <c r="X594" s="13" t="e">
        <f ca="1">ROUNDDOWN($W594*IF($D$2="Egyszeri",VLOOKUP($B594+IF($C594=12,1,0),Paraméterek!$V$257:$W$262,2),VLOOKUP($B594+IF($C594=12,1,0),Paraméterek!$I$258:$T$278,HLOOKUP($M$11+1,Paraméterek!$I$256:$T$257,2))),IF($D$4="Forint",0,2))</f>
        <v>#N/A</v>
      </c>
      <c r="Z594" s="32">
        <v>575</v>
      </c>
      <c r="AA594" s="32">
        <v>48</v>
      </c>
      <c r="AB594" s="32">
        <v>11</v>
      </c>
      <c r="AC594" s="13">
        <f t="shared" ca="1" si="192"/>
        <v>0</v>
      </c>
      <c r="AD594" s="33"/>
      <c r="AE594" s="13">
        <f t="shared" ca="1" si="184"/>
        <v>0</v>
      </c>
      <c r="AF594" s="13">
        <f ca="1">ROUNDUP(($AC594+$AE594)*VLOOKUP($AA594,Paraméterek!$P$38:$Q$38,2)/12*IF($D595="Nem",IF($M$13=0,1,$M$13),1),IF($D$4="Forint",0,2))</f>
        <v>0</v>
      </c>
      <c r="AG594" s="13">
        <f ca="1">IF($D$2="Egyszeri",IF($D$7&gt;=IF($D$4="Forint",Paraméterek!$P$223,Paraméterek!$P$224),$D$7-IF($D$4="Forint",Paraméterek!$P$223,Paraméterek!$P$224),0),MIN(IF($AB594=12,AVERAGEIF($E$20:$E594,"&gt;0",$E$20:$E594)*12,0),SUM($E$20:$E$31)))</f>
        <v>0</v>
      </c>
      <c r="AH594" s="13">
        <f>IF($AA594=10,$AG594*IF($AB594=12,IF($AG594&lt;IF($D$4="Forint",Paraméterek!$L$223,Paraméterek!$L$224),0,VLOOKUP($AA594,Paraméterek!$K$226:$M$228,IF($AG594&lt;IF($D$4="Forint",Paraméterek!$M$223,Paraméterek!$M$224),2,3))),0),0)</f>
        <v>0</v>
      </c>
      <c r="AI594" s="13">
        <f ca="1">IF(AND($AA594=$M$11+1,$AB594=$M$12+1),SUMIF($AA$20:$AA$1027,$AA594,$AG$20:$AG$1027)*IF(SUMIF($AA$20:$AA$1027,$AA594,$AG$20:$AG$1027)&lt;IF($D$4="Forint",Paraméterek!$L$223,Paraméterek!$L$224),0,VLOOKUP($AA594,Paraméterek!$K$230:$M$250,IF(SUMIF($AA$20:$AA$1027,$AA594,$AG$20:$AG$1027)&lt;IF($D$4="Forint",Paraméterek!$M$223,Paraméterek!$M$224),2,3))),0)</f>
        <v>0</v>
      </c>
      <c r="AJ594" s="13">
        <f ca="1">IF(AND($AA594&gt;=5,MOD($AA594,5)=0),IF($AB594=12,VLOOKUP($AA594,Paraméterek!$O$225:$P$240,2),0),IF(OR($AA594=3,$AA594=4),IF($AB594=12,VLOOKUP($AA594,Paraméterek!$O$225:$P$240,2,0),0),0))*$AG594</f>
        <v>0</v>
      </c>
      <c r="AK594" s="13">
        <f t="shared" ca="1" si="185"/>
        <v>0</v>
      </c>
      <c r="AL594" s="13">
        <f t="shared" ca="1" si="193"/>
        <v>0</v>
      </c>
      <c r="AM594" s="13">
        <f t="shared" ca="1" si="194"/>
        <v>0</v>
      </c>
      <c r="AO594" s="32">
        <v>575</v>
      </c>
      <c r="AP594" s="32">
        <v>48</v>
      </c>
      <c r="AQ594" s="32">
        <v>11</v>
      </c>
      <c r="AR594" s="13"/>
      <c r="AS594" s="32"/>
      <c r="AT594" s="13">
        <f t="shared" ca="1" si="195"/>
        <v>0</v>
      </c>
      <c r="AU594" s="33"/>
      <c r="AV594" s="13">
        <f t="shared" ca="1" si="186"/>
        <v>0</v>
      </c>
      <c r="AW594" s="13">
        <f ca="1">ROUNDUP(($AT594+$AV594)*VLOOKUP($AP594,Paraméterek!$P$38:$Q$38,2)/12*IF($D595="Nem",IF($M$13=0,1,$M$13),1),IF($D$4="Forint",0,2))</f>
        <v>0</v>
      </c>
      <c r="AX594" s="13"/>
      <c r="AY594" s="13"/>
      <c r="AZ594" s="13">
        <f>ROUNDUP(IF(SUM($AX594:$AY594)=0,0,IF(IF(ISBLANK($AY594),$AX594,$AY594)*Paraméterek!$J$112&lt;IF($D$4="Forint",Paraméterek!$J$113,Paraméterek!$K$113),IF($D$4="Forint",Paraméterek!$J$113,Paraméterek!$K$113),IF(IF(ISBLANK($AY594),$AX594,$AY594)*Paraméterek!$J$112&gt;IF($D$4="Forint",Paraméterek!$J$114,Paraméterek!$K$114),IF($D$4="Forint",Paraméterek!$J$114,Paraméterek!$K$114),IF(ISBLANK($AY594),$AX594,$AY594)*Paraméterek!$J$112))),IF($D$4="Forint",0,2))</f>
        <v>0</v>
      </c>
      <c r="BA594" s="13">
        <f ca="1">$AT594+$AV594-$AW594-IF(ROUNDDOWN(IF(ISBLANK($AY594),$AX594,$AY594),IF($D$4="Forint",0,2))&gt;$AT594+$AV594-$AW594-IF($D$4="Forint",Paraméterek!$J$114,Paraméterek!$K$114),0,ROUNDDOWN(IF(ISBLANK($AY594),$AX594,$AY594),IF($D$4="Forint",0,2))-$AZ594)</f>
        <v>0</v>
      </c>
      <c r="BB594" s="13">
        <f t="shared" ca="1" si="187"/>
        <v>0</v>
      </c>
      <c r="BD594" s="32">
        <v>575</v>
      </c>
      <c r="BE594" s="32">
        <v>48</v>
      </c>
      <c r="BF594" s="32">
        <v>11</v>
      </c>
      <c r="BG594" s="34">
        <f t="shared" ca="1" si="196"/>
        <v>2067</v>
      </c>
      <c r="BH594" s="32" t="str">
        <f ca="1">IF(MOD(MONTH($D$14)+$BD594-1,12)=Paraméterek!$C$288,"Igen","")</f>
        <v/>
      </c>
      <c r="BI594" s="13">
        <f ca="1">IF($BH594="Igen",MIN(ROUNDDOWN((SUMIF($BG$20:$BG$1027,$BG594-1,$K$20:$K$1027)-SUMIF($BG$20:$BG$1027,$BG594-1,$I$20:$I$1027))*Paraméterek!$C$289,IF($D$4="Forint",0,2)),IF($D$4="Forint",Paraméterek!$C$285,Paraméterek!$D$285)),0)</f>
        <v>0</v>
      </c>
      <c r="BJ594" s="13">
        <f t="shared" ca="1" si="188"/>
        <v>0</v>
      </c>
      <c r="BK594" s="13">
        <f t="shared" ca="1" si="197"/>
        <v>0</v>
      </c>
      <c r="BL594" s="33"/>
      <c r="BM594" s="13">
        <f t="shared" ca="1" si="189"/>
        <v>0</v>
      </c>
      <c r="BN594" s="13">
        <f ca="1">ROUNDUP(($BK594+$BM594)*VLOOKUP($BE594,Paraméterek!$P$38:$Q$38,2)/12*IF($D595="Nem",IF($M$13=0,1,$M$13),1),IF($D$4="Forint",0,2))</f>
        <v>0</v>
      </c>
      <c r="BO594" s="13">
        <f t="shared" ca="1" si="190"/>
        <v>0</v>
      </c>
      <c r="BP594" s="13">
        <f ca="1">IF($D595="Nem",$BO594,$BO594-ROUNDUP(SUM($BI$20:$BI594)*120%,IF($D$4="Forint",0,2)))</f>
        <v>0</v>
      </c>
    </row>
    <row r="595" spans="1:68" x14ac:dyDescent="0.2">
      <c r="A595" s="32">
        <v>576</v>
      </c>
      <c r="B595" s="32">
        <v>48</v>
      </c>
      <c r="C595" s="32">
        <v>12</v>
      </c>
      <c r="D595" s="32" t="str">
        <f t="shared" ca="1" si="176"/>
        <v>Nem</v>
      </c>
      <c r="E595" s="13">
        <f t="shared" ca="1" si="177"/>
        <v>0</v>
      </c>
      <c r="F595" s="13"/>
      <c r="G595" s="13"/>
      <c r="H595" s="13"/>
      <c r="I595" s="13">
        <f t="shared" ca="1" si="178"/>
        <v>0</v>
      </c>
      <c r="J595" s="13">
        <f t="shared" ca="1" si="179"/>
        <v>0</v>
      </c>
      <c r="K595" s="13">
        <f t="shared" ca="1" si="180"/>
        <v>0</v>
      </c>
      <c r="L595" s="13" t="e">
        <f ca="1">ROUNDUP(IF($D$2="Egyszeri",$E595,IF($D$2="Havi",SUM($E$20:$E$31),IF(MOD($C595,$M$1)-1=0,SUM($E$20:$E$31),0))/12*$M$1)*VLOOKUP($B595,Paraméterek!$I$28:$P$31,IF($D$2="Egyszeri",8,HLOOKUP(ROUNDUP($M$11+$M$13,0),Paraméterek!$J$26:$O$27,2))),IF($D$4="Forint",0,2))</f>
        <v>#N/A</v>
      </c>
      <c r="M595" s="13">
        <f t="shared" ca="1" si="181"/>
        <v>0</v>
      </c>
      <c r="N595" s="13">
        <f t="shared" ca="1" si="191"/>
        <v>0</v>
      </c>
      <c r="O595" s="13">
        <f ca="1">IF($D595="Igen",IF($W594&gt;=IF($D$4="Forint",Paraméterek!$J$121,Paraméterek!$K$121),0,IF($D$4="Forint",Paraméterek!$J$121,Paraméterek!$K$121)-$W594),0)</f>
        <v>0</v>
      </c>
      <c r="P595" s="13" t="e">
        <f ca="1">ROUNDUP($O595*VLOOKUP($M$4+$B595-1,Paraméterek!$H$58:$I$105,2,0)/Paraméterek!$I$56,IF($D$4="Forint",0,2))</f>
        <v>#N/A</v>
      </c>
      <c r="Q595" s="13">
        <f t="shared" ca="1" si="182"/>
        <v>0</v>
      </c>
      <c r="R595" s="33"/>
      <c r="S595" s="13" t="e">
        <f t="shared" ca="1" si="183"/>
        <v>#N/A</v>
      </c>
      <c r="T595" s="13" t="e">
        <f ca="1">ROUNDUP(($N595-$P595-$Q595+$S595)*VLOOKUP($B595,Paraméterek!$I$38:$K$39,IF($D$2="Egyszeri",3,2))/12*IF($D596="Nem",IF($M$13=0,1,$M$13),1),IF($D$4="Forint",0,2))</f>
        <v>#N/A</v>
      </c>
      <c r="U595" s="13">
        <f>Tranzakciók!$F$79</f>
        <v>0</v>
      </c>
      <c r="V595" s="13"/>
      <c r="W595" s="13" t="e">
        <f ca="1">$N595-$P595-$Q595+$S595-$T595-IF(ROUNDUP(IF(ISBLANK($V595),$U595*0,$V595)/IF($D$2="Egyszeri",VLOOKUP($B595+IF($C595=12,1,0),Paraméterek!$V$257:$W$262,2),IF($B595=1,1,VLOOKUP($B595+IF($C595=12,1,0),Paraméterek!$I$258:$T$278,HLOOKUP($M$11+1,Paraméterek!$J$256:$T$257,2)))),IF($D$4="Forint",0,2))&gt;$N595-$P595-$Q595+$S595-$T595-IF($D$4="Forint",Paraméterek!$C$216,Paraméterek!$D$216),0,ROUNDUP(IF(ISBLANK($V595),$U595*0,$V595)/IF($D$2="Egyszeri",VLOOKUP($B595+IF($C595=12,1,0),Paraméterek!$V$257:$W$262,2),IF($B595=1,1,VLOOKUP($B595+IF($C595=12,1,0),Paraméterek!$I$258:$T$278,HLOOKUP($M$11+1,Paraméterek!$J$256:$T$257,2)))),IF($D$4="Forint",0,2)))</f>
        <v>#N/A</v>
      </c>
      <c r="X595" s="13" t="e">
        <f ca="1">ROUNDDOWN($W595*IF($D$2="Egyszeri",VLOOKUP($B595+IF($C595=12,1,0),Paraméterek!$V$257:$W$262,2),VLOOKUP($B595+IF($C595=12,1,0),Paraméterek!$I$258:$T$278,HLOOKUP($M$11+1,Paraméterek!$I$256:$T$257,2))),IF($D$4="Forint",0,2))</f>
        <v>#N/A</v>
      </c>
      <c r="Z595" s="32">
        <v>576</v>
      </c>
      <c r="AA595" s="32">
        <v>48</v>
      </c>
      <c r="AB595" s="32">
        <v>12</v>
      </c>
      <c r="AC595" s="13">
        <f t="shared" ca="1" si="192"/>
        <v>0</v>
      </c>
      <c r="AD595" s="33"/>
      <c r="AE595" s="13">
        <f t="shared" ca="1" si="184"/>
        <v>0</v>
      </c>
      <c r="AF595" s="13">
        <f ca="1">ROUNDUP(($AC595+$AE595)*VLOOKUP($AA595,Paraméterek!$P$38:$Q$38,2)/12*IF($D596="Nem",IF($M$13=0,1,$M$13),1),IF($D$4="Forint",0,2))</f>
        <v>0</v>
      </c>
      <c r="AG595" s="13" t="e">
        <f ca="1">IF($D$2="Egyszeri",IF($D$7&gt;=IF($D$4="Forint",Paraméterek!$P$223,Paraméterek!$P$224),$D$7-IF($D$4="Forint",Paraméterek!$P$223,Paraméterek!$P$224),0),MIN(IF($AB595=12,AVERAGEIF($E$20:$E595,"&gt;0",$E$20:$E595)*12,0),SUM($E$20:$E$31)))</f>
        <v>#DIV/0!</v>
      </c>
      <c r="AH595" s="13">
        <f>IF($AA595=10,$AG595*IF($AB595=12,IF($AG595&lt;IF($D$4="Forint",Paraméterek!$L$223,Paraméterek!$L$224),0,VLOOKUP($AA595,Paraméterek!$K$226:$M$228,IF($AG595&lt;IF($D$4="Forint",Paraméterek!$M$223,Paraméterek!$M$224),2,3))),0),0)</f>
        <v>0</v>
      </c>
      <c r="AI595" s="13">
        <f ca="1">IF(AND($AA595=$M$11+1,$AB595=$M$12+1),SUMIF($AA$20:$AA$1027,$AA595,$AG$20:$AG$1027)*IF(SUMIF($AA$20:$AA$1027,$AA595,$AG$20:$AG$1027)&lt;IF($D$4="Forint",Paraméterek!$L$223,Paraméterek!$L$224),0,VLOOKUP($AA595,Paraméterek!$K$230:$M$250,IF(SUMIF($AA$20:$AA$1027,$AA595,$AG$20:$AG$1027)&lt;IF($D$4="Forint",Paraméterek!$M$223,Paraméterek!$M$224),2,3))),0)</f>
        <v>0</v>
      </c>
      <c r="AJ595" s="13" t="e">
        <f ca="1">IF(AND($AA595&gt;=5,MOD($AA595,5)=0),IF($AB595=12,VLOOKUP($AA595,Paraméterek!$O$225:$P$240,2),0),IF(OR($AA595=3,$AA595=4),IF($AB595=12,VLOOKUP($AA595,Paraméterek!$O$225:$P$240,2,0),0),0))*$AG595</f>
        <v>#DIV/0!</v>
      </c>
      <c r="AK595" s="13">
        <f t="shared" ca="1" si="185"/>
        <v>0</v>
      </c>
      <c r="AL595" s="13">
        <f t="shared" ca="1" si="193"/>
        <v>0</v>
      </c>
      <c r="AM595" s="13">
        <f t="shared" ca="1" si="194"/>
        <v>0</v>
      </c>
      <c r="AO595" s="32">
        <v>576</v>
      </c>
      <c r="AP595" s="32">
        <v>48</v>
      </c>
      <c r="AQ595" s="32">
        <v>12</v>
      </c>
      <c r="AR595" s="13"/>
      <c r="AS595" s="32"/>
      <c r="AT595" s="13">
        <f t="shared" ca="1" si="195"/>
        <v>0</v>
      </c>
      <c r="AU595" s="33"/>
      <c r="AV595" s="13">
        <f t="shared" ca="1" si="186"/>
        <v>0</v>
      </c>
      <c r="AW595" s="13">
        <f ca="1">ROUNDUP(($AT595+$AV595)*VLOOKUP($AP595,Paraméterek!$P$38:$Q$38,2)/12*IF($D596="Nem",IF($M$13=0,1,$M$13),1),IF($D$4="Forint",0,2))</f>
        <v>0</v>
      </c>
      <c r="AX595" s="13">
        <f>Tranzakciók!$M$79</f>
        <v>0</v>
      </c>
      <c r="AY595" s="13"/>
      <c r="AZ595" s="13">
        <f>ROUNDUP(IF(SUM($AX595:$AY595)=0,0,IF(IF(ISBLANK($AY595),$AX595,$AY595)*Paraméterek!$J$112&lt;IF($D$4="Forint",Paraméterek!$J$113,Paraméterek!$K$113),IF($D$4="Forint",Paraméterek!$J$113,Paraméterek!$K$113),IF(IF(ISBLANK($AY595),$AX595,$AY595)*Paraméterek!$J$112&gt;IF($D$4="Forint",Paraméterek!$J$114,Paraméterek!$K$114),IF($D$4="Forint",Paraméterek!$J$114,Paraméterek!$K$114),IF(ISBLANK($AY595),$AX595,$AY595)*Paraméterek!$J$112))),IF($D$4="Forint",0,2))</f>
        <v>0</v>
      </c>
      <c r="BA595" s="13">
        <f ca="1">$AT595+$AV595-$AW595-IF(ROUNDDOWN(IF(ISBLANK($AY595),$AX595,$AY595),IF($D$4="Forint",0,2))&gt;$AT595+$AV595-$AW595-IF($D$4="Forint",Paraméterek!$J$114,Paraméterek!$K$114),0,ROUNDDOWN(IF(ISBLANK($AY595),$AX595,$AY595),IF($D$4="Forint",0,2))-$AZ595)</f>
        <v>0</v>
      </c>
      <c r="BB595" s="13">
        <f t="shared" ca="1" si="187"/>
        <v>0</v>
      </c>
      <c r="BD595" s="32">
        <v>576</v>
      </c>
      <c r="BE595" s="32">
        <v>48</v>
      </c>
      <c r="BF595" s="32">
        <v>12</v>
      </c>
      <c r="BG595" s="34">
        <f t="shared" ca="1" si="196"/>
        <v>2067</v>
      </c>
      <c r="BH595" s="32" t="str">
        <f ca="1">IF(MOD(MONTH($D$14)+$BD595-1,12)=Paraméterek!$C$288,"Igen","")</f>
        <v/>
      </c>
      <c r="BI595" s="13">
        <f ca="1">IF($BH595="Igen",MIN(ROUNDDOWN((SUMIF($BG$20:$BG$1027,$BG595-1,$K$20:$K$1027)-SUMIF($BG$20:$BG$1027,$BG595-1,$I$20:$I$1027))*Paraméterek!$C$289,IF($D$4="Forint",0,2)),IF($D$4="Forint",Paraméterek!$C$285,Paraméterek!$D$285)),0)</f>
        <v>0</v>
      </c>
      <c r="BJ595" s="13">
        <f t="shared" ca="1" si="188"/>
        <v>0</v>
      </c>
      <c r="BK595" s="13">
        <f t="shared" ca="1" si="197"/>
        <v>0</v>
      </c>
      <c r="BL595" s="33"/>
      <c r="BM595" s="13">
        <f t="shared" ca="1" si="189"/>
        <v>0</v>
      </c>
      <c r="BN595" s="13">
        <f ca="1">ROUNDUP(($BK595+$BM595)*VLOOKUP($BE595,Paraméterek!$P$38:$Q$38,2)/12*IF($D596="Nem",IF($M$13=0,1,$M$13),1),IF($D$4="Forint",0,2))</f>
        <v>0</v>
      </c>
      <c r="BO595" s="13">
        <f t="shared" ca="1" si="190"/>
        <v>0</v>
      </c>
      <c r="BP595" s="13">
        <f ca="1">IF($D596="Nem",$BO595,$BO595-ROUNDUP(SUM($BI$20:$BI595)*120%,IF($D$4="Forint",0,2)))</f>
        <v>0</v>
      </c>
    </row>
    <row r="596" spans="1:68" x14ac:dyDescent="0.2">
      <c r="A596" s="32">
        <v>577</v>
      </c>
      <c r="B596" s="32">
        <v>49</v>
      </c>
      <c r="C596" s="32">
        <v>1</v>
      </c>
      <c r="D596" s="32" t="str">
        <f t="shared" ca="1" si="176"/>
        <v>Nem</v>
      </c>
      <c r="E596" s="13">
        <f t="shared" ca="1" si="177"/>
        <v>0</v>
      </c>
      <c r="F596" s="13"/>
      <c r="G596" s="13">
        <f>Tranzakciók!$D$80</f>
        <v>0</v>
      </c>
      <c r="H596" s="13"/>
      <c r="I596" s="13">
        <f t="shared" ca="1" si="178"/>
        <v>0</v>
      </c>
      <c r="J596" s="13">
        <f t="shared" ca="1" si="179"/>
        <v>0</v>
      </c>
      <c r="K596" s="13">
        <f t="shared" ca="1" si="180"/>
        <v>0</v>
      </c>
      <c r="L596" s="13" t="e">
        <f ca="1">ROUNDUP(IF($D$2="Egyszeri",$E596,IF($D$2="Havi",SUM($E$20:$E$31),IF(MOD($C596,$M$1)-1=0,SUM($E$20:$E$31),0))/12*$M$1)*VLOOKUP($B596,Paraméterek!$I$28:$P$31,IF($D$2="Egyszeri",8,HLOOKUP(ROUNDUP($M$11+$M$13,0),Paraméterek!$J$26:$O$27,2))),IF($D$4="Forint",0,2))</f>
        <v>#N/A</v>
      </c>
      <c r="M596" s="13">
        <f t="shared" ca="1" si="181"/>
        <v>0</v>
      </c>
      <c r="N596" s="13">
        <f t="shared" ca="1" si="191"/>
        <v>0</v>
      </c>
      <c r="O596" s="13">
        <f ca="1">IF($D596="Igen",IF($W595&gt;=IF($D$4="Forint",Paraméterek!$J$121,Paraméterek!$K$121),0,IF($D$4="Forint",Paraméterek!$J$121,Paraméterek!$K$121)-$W595),0)</f>
        <v>0</v>
      </c>
      <c r="P596" s="13" t="e">
        <f ca="1">ROUNDUP($O596*VLOOKUP($M$4+$B596-1,Paraméterek!$H$58:$I$105,2,0)/Paraméterek!$I$56,IF($D$4="Forint",0,2))</f>
        <v>#N/A</v>
      </c>
      <c r="Q596" s="13">
        <f t="shared" ca="1" si="182"/>
        <v>0</v>
      </c>
      <c r="R596" s="33"/>
      <c r="S596" s="13" t="e">
        <f t="shared" ca="1" si="183"/>
        <v>#N/A</v>
      </c>
      <c r="T596" s="13" t="e">
        <f ca="1">ROUNDUP(($N596-$P596-$Q596+$S596)*VLOOKUP($B596,Paraméterek!$I$38:$K$39,IF($D$2="Egyszeri",3,2))/12*IF($D597="Nem",IF($M$13=0,1,$M$13),1),IF($D$4="Forint",0,2))</f>
        <v>#N/A</v>
      </c>
      <c r="U596" s="13"/>
      <c r="V596" s="13"/>
      <c r="W596" s="13" t="e">
        <f ca="1">$N596-$P596-$Q596+$S596-$T596-IF(ROUNDUP(IF(ISBLANK($V596),$U596*0,$V596)/IF($D$2="Egyszeri",VLOOKUP($B596+IF($C596=12,1,0),Paraméterek!$V$257:$W$262,2),IF($B596=1,1,VLOOKUP($B596+IF($C596=12,1,0),Paraméterek!$I$258:$T$278,HLOOKUP($M$11+1,Paraméterek!$J$256:$T$257,2)))),IF($D$4="Forint",0,2))&gt;$N596-$P596-$Q596+$S596-$T596-IF($D$4="Forint",Paraméterek!$C$216,Paraméterek!$D$216),0,ROUNDUP(IF(ISBLANK($V596),$U596*0,$V596)/IF($D$2="Egyszeri",VLOOKUP($B596+IF($C596=12,1,0),Paraméterek!$V$257:$W$262,2),IF($B596=1,1,VLOOKUP($B596+IF($C596=12,1,0),Paraméterek!$I$258:$T$278,HLOOKUP($M$11+1,Paraméterek!$J$256:$T$257,2)))),IF($D$4="Forint",0,2)))</f>
        <v>#N/A</v>
      </c>
      <c r="X596" s="13" t="e">
        <f ca="1">ROUNDDOWN($W596*IF($D$2="Egyszeri",VLOOKUP($B596+IF($C596=12,1,0),Paraméterek!$V$257:$W$262,2),VLOOKUP($B596+IF($C596=12,1,0),Paraméterek!$I$258:$T$278,HLOOKUP($M$11+1,Paraméterek!$I$256:$T$257,2))),IF($D$4="Forint",0,2))</f>
        <v>#N/A</v>
      </c>
      <c r="Z596" s="32">
        <v>577</v>
      </c>
      <c r="AA596" s="32">
        <v>49</v>
      </c>
      <c r="AB596" s="32">
        <v>1</v>
      </c>
      <c r="AC596" s="13">
        <f t="shared" ca="1" si="192"/>
        <v>0</v>
      </c>
      <c r="AD596" s="33"/>
      <c r="AE596" s="13">
        <f t="shared" ca="1" si="184"/>
        <v>0</v>
      </c>
      <c r="AF596" s="13">
        <f ca="1">ROUNDUP(($AC596+$AE596)*VLOOKUP($AA596,Paraméterek!$P$38:$Q$38,2)/12*IF($D597="Nem",IF($M$13=0,1,$M$13),1),IF($D$4="Forint",0,2))</f>
        <v>0</v>
      </c>
      <c r="AG596" s="13">
        <f ca="1">IF($D$2="Egyszeri",IF($D$7&gt;=IF($D$4="Forint",Paraméterek!$P$223,Paraméterek!$P$224),$D$7-IF($D$4="Forint",Paraméterek!$P$223,Paraméterek!$P$224),0),MIN(IF($AB596=12,AVERAGEIF($E$20:$E596,"&gt;0",$E$20:$E596)*12,0),SUM($E$20:$E$31)))</f>
        <v>0</v>
      </c>
      <c r="AH596" s="13">
        <f>IF($AA596=10,$AG596*IF($AB596=12,IF($AG596&lt;IF($D$4="Forint",Paraméterek!$L$223,Paraméterek!$L$224),0,VLOOKUP($AA596,Paraméterek!$K$226:$M$228,IF($AG596&lt;IF($D$4="Forint",Paraméterek!$M$223,Paraméterek!$M$224),2,3))),0),0)</f>
        <v>0</v>
      </c>
      <c r="AI596" s="13">
        <f ca="1">IF(AND($AA596=$M$11+1,$AB596=$M$12+1),SUMIF($AA$20:$AA$1027,$AA596,$AG$20:$AG$1027)*IF(SUMIF($AA$20:$AA$1027,$AA596,$AG$20:$AG$1027)&lt;IF($D$4="Forint",Paraméterek!$L$223,Paraméterek!$L$224),0,VLOOKUP($AA596,Paraméterek!$K$230:$M$250,IF(SUMIF($AA$20:$AA$1027,$AA596,$AG$20:$AG$1027)&lt;IF($D$4="Forint",Paraméterek!$M$223,Paraméterek!$M$224),2,3))),0)</f>
        <v>0</v>
      </c>
      <c r="AJ596" s="13">
        <f ca="1">IF(AND($AA596&gt;=5,MOD($AA596,5)=0),IF($AB596=12,VLOOKUP($AA596,Paraméterek!$O$225:$P$240,2),0),IF(OR($AA596=3,$AA596=4),IF($AB596=12,VLOOKUP($AA596,Paraméterek!$O$225:$P$240,2,0),0),0))*$AG596</f>
        <v>0</v>
      </c>
      <c r="AK596" s="13">
        <f t="shared" ca="1" si="185"/>
        <v>0</v>
      </c>
      <c r="AL596" s="13">
        <f t="shared" ca="1" si="193"/>
        <v>0</v>
      </c>
      <c r="AM596" s="13">
        <f t="shared" ca="1" si="194"/>
        <v>0</v>
      </c>
      <c r="AO596" s="32">
        <v>577</v>
      </c>
      <c r="AP596" s="32">
        <v>49</v>
      </c>
      <c r="AQ596" s="32">
        <v>1</v>
      </c>
      <c r="AR596" s="13">
        <f>Tranzakciók!$K$80</f>
        <v>0</v>
      </c>
      <c r="AS596" s="32"/>
      <c r="AT596" s="13">
        <f t="shared" ca="1" si="195"/>
        <v>0</v>
      </c>
      <c r="AU596" s="33"/>
      <c r="AV596" s="13">
        <f t="shared" ca="1" si="186"/>
        <v>0</v>
      </c>
      <c r="AW596" s="13">
        <f ca="1">ROUNDUP(($AT596+$AV596)*VLOOKUP($AP596,Paraméterek!$P$38:$Q$38,2)/12*IF($D597="Nem",IF($M$13=0,1,$M$13),1),IF($D$4="Forint",0,2))</f>
        <v>0</v>
      </c>
      <c r="AX596" s="13"/>
      <c r="AY596" s="13"/>
      <c r="AZ596" s="13">
        <f>ROUNDUP(IF(SUM($AX596:$AY596)=0,0,IF(IF(ISBLANK($AY596),$AX596,$AY596)*Paraméterek!$J$112&lt;IF($D$4="Forint",Paraméterek!$J$113,Paraméterek!$K$113),IF($D$4="Forint",Paraméterek!$J$113,Paraméterek!$K$113),IF(IF(ISBLANK($AY596),$AX596,$AY596)*Paraméterek!$J$112&gt;IF($D$4="Forint",Paraméterek!$J$114,Paraméterek!$K$114),IF($D$4="Forint",Paraméterek!$J$114,Paraméterek!$K$114),IF(ISBLANK($AY596),$AX596,$AY596)*Paraméterek!$J$112))),IF($D$4="Forint",0,2))</f>
        <v>0</v>
      </c>
      <c r="BA596" s="13">
        <f ca="1">$AT596+$AV596-$AW596-IF(ROUNDDOWN(IF(ISBLANK($AY596),$AX596,$AY596),IF($D$4="Forint",0,2))&gt;$AT596+$AV596-$AW596-IF($D$4="Forint",Paraméterek!$J$114,Paraméterek!$K$114),0,ROUNDDOWN(IF(ISBLANK($AY596),$AX596,$AY596),IF($D$4="Forint",0,2))-$AZ596)</f>
        <v>0</v>
      </c>
      <c r="BB596" s="13">
        <f t="shared" ca="1" si="187"/>
        <v>0</v>
      </c>
      <c r="BD596" s="32">
        <v>577</v>
      </c>
      <c r="BE596" s="32">
        <v>49</v>
      </c>
      <c r="BF596" s="32">
        <v>1</v>
      </c>
      <c r="BG596" s="34">
        <f t="shared" ca="1" si="196"/>
        <v>2067</v>
      </c>
      <c r="BH596" s="32" t="str">
        <f ca="1">IF(MOD(MONTH($D$14)+$BD596-1,12)=Paraméterek!$C$288,"Igen","")</f>
        <v/>
      </c>
      <c r="BI596" s="13">
        <f ca="1">IF($BH596="Igen",MIN(ROUNDDOWN((SUMIF($BG$20:$BG$1027,$BG596-1,$K$20:$K$1027)-SUMIF($BG$20:$BG$1027,$BG596-1,$I$20:$I$1027))*Paraméterek!$C$289,IF($D$4="Forint",0,2)),IF($D$4="Forint",Paraméterek!$C$285,Paraméterek!$D$285)),0)</f>
        <v>0</v>
      </c>
      <c r="BJ596" s="13">
        <f t="shared" ca="1" si="188"/>
        <v>0</v>
      </c>
      <c r="BK596" s="13">
        <f t="shared" ca="1" si="197"/>
        <v>0</v>
      </c>
      <c r="BL596" s="33"/>
      <c r="BM596" s="13">
        <f t="shared" ca="1" si="189"/>
        <v>0</v>
      </c>
      <c r="BN596" s="13">
        <f ca="1">ROUNDUP(($BK596+$BM596)*VLOOKUP($BE596,Paraméterek!$P$38:$Q$38,2)/12*IF($D597="Nem",IF($M$13=0,1,$M$13),1),IF($D$4="Forint",0,2))</f>
        <v>0</v>
      </c>
      <c r="BO596" s="13">
        <f t="shared" ca="1" si="190"/>
        <v>0</v>
      </c>
      <c r="BP596" s="13">
        <f ca="1">IF($D597="Nem",$BO596,$BO596-ROUNDUP(SUM($BI$20:$BI596)*120%,IF($D$4="Forint",0,2)))</f>
        <v>0</v>
      </c>
    </row>
    <row r="597" spans="1:68" x14ac:dyDescent="0.2">
      <c r="A597" s="32">
        <v>578</v>
      </c>
      <c r="B597" s="32">
        <v>49</v>
      </c>
      <c r="C597" s="32">
        <v>2</v>
      </c>
      <c r="D597" s="32" t="str">
        <f t="shared" ref="D597:D660" ca="1" si="198">IF($B597&lt;$M$11+1,"Igen",IF($B597&gt;$M$11+1,"Nem",IF($C597&lt;=$M$12+IF($M$13&gt;0,1,0),"Igen","Nem")))</f>
        <v>Nem</v>
      </c>
      <c r="E597" s="13">
        <f t="shared" ref="E597:E660" ca="1" si="199">IF($D597="Igen",IF($D$2="Egyszeri",IF($A597=1,$D$7,0),ROUNDUP(IF($D$2="Havi",$D$7,IF(MOD($C597,$M$1)-1=0,$D$7,0))*(1+$D$6)^($B597-1),IF($D$4="Forint",0,2))),0)</f>
        <v>0</v>
      </c>
      <c r="F597" s="13"/>
      <c r="G597" s="13"/>
      <c r="H597" s="13"/>
      <c r="I597" s="13">
        <f t="shared" ref="I597:I660" ca="1" si="200">ROUNDUP(IF(AND($D$8="Nincs",$D$2&lt;&gt;"Egyszeri"),$E597*10%,0),IF($D$4="Forint",0,2))</f>
        <v>0</v>
      </c>
      <c r="J597" s="13">
        <f t="shared" ref="J597:J660" ca="1" si="201">IF($D597="Igen",IF($D$2="Egyszeri",IF($A597=1,$M$3,0),ROUNDUP(IF($D$2="Havi",$M$3,IF(MOD($C597,$M$1)-1=0,$M$3,0))*(1+$M$2)^($B597-1),IF($D$4="Forint",0,2))),0)</f>
        <v>0</v>
      </c>
      <c r="K597" s="13">
        <f t="shared" ref="K597:K660" ca="1" si="202">IF($D597="Igen",IF(ISBLANK($F597),$E597,$F597)+IF(ISBLANK($H597),$G597,$H597)+$I597+$J597,0)</f>
        <v>0</v>
      </c>
      <c r="L597" s="13" t="e">
        <f ca="1">ROUNDUP(IF($D$2="Egyszeri",$E597,IF($D$2="Havi",SUM($E$20:$E$31),IF(MOD($C597,$M$1)-1=0,SUM($E$20:$E$31),0))/12*$M$1)*VLOOKUP($B597,Paraméterek!$I$28:$P$31,IF($D$2="Egyszeri",8,HLOOKUP(ROUNDUP($M$11+$M$13,0),Paraméterek!$J$26:$O$27,2))),IF($D$4="Forint",0,2))</f>
        <v>#N/A</v>
      </c>
      <c r="M597" s="13">
        <f t="shared" ref="M597:M660" ca="1" si="203">IF($D597="Igen",$E597-$L597+IF(ISBLANK($H597),$G597,$H597),0)</f>
        <v>0</v>
      </c>
      <c r="N597" s="13">
        <f t="shared" ca="1" si="191"/>
        <v>0</v>
      </c>
      <c r="O597" s="13">
        <f ca="1">IF($D597="Igen",IF($W596&gt;=IF($D$4="Forint",Paraméterek!$J$121,Paraméterek!$K$121),0,IF($D$4="Forint",Paraméterek!$J$121,Paraméterek!$K$121)-$W596),0)</f>
        <v>0</v>
      </c>
      <c r="P597" s="13" t="e">
        <f ca="1">ROUNDUP($O597*VLOOKUP($M$4+$B597-1,Paraméterek!$H$58:$I$105,2,0)/Paraméterek!$I$56,IF($D$4="Forint",0,2))</f>
        <v>#N/A</v>
      </c>
      <c r="Q597" s="13">
        <f t="shared" ref="Q597:Q660" ca="1" si="204">IF($D597="Igen",ROUNDUP($M$5*(1+$M$2)^($B597-1),IF($D$4="Forint",0,2)),0)</f>
        <v>0</v>
      </c>
      <c r="R597" s="33"/>
      <c r="S597" s="13" t="e">
        <f t="shared" ref="S597:S660" ca="1" si="205">ROUNDDOWN(($N597-$P597-$Q597)*IF(ISBLANK($R597),$M$6,$R597)*IF($D598="Nem",IF($M$13=0,1,$M$13),1),IF($D$4="Forint",0,2))</f>
        <v>#N/A</v>
      </c>
      <c r="T597" s="13" t="e">
        <f ca="1">ROUNDUP(($N597-$P597-$Q597+$S597)*VLOOKUP($B597,Paraméterek!$I$38:$K$39,IF($D$2="Egyszeri",3,2))/12*IF($D598="Nem",IF($M$13=0,1,$M$13),1),IF($D$4="Forint",0,2))</f>
        <v>#N/A</v>
      </c>
      <c r="U597" s="13"/>
      <c r="V597" s="13"/>
      <c r="W597" s="13" t="e">
        <f ca="1">$N597-$P597-$Q597+$S597-$T597-IF(ROUNDUP(IF(ISBLANK($V597),$U597*0,$V597)/IF($D$2="Egyszeri",VLOOKUP($B597+IF($C597=12,1,0),Paraméterek!$V$257:$W$262,2),IF($B597=1,1,VLOOKUP($B597+IF($C597=12,1,0),Paraméterek!$I$258:$T$278,HLOOKUP($M$11+1,Paraméterek!$J$256:$T$257,2)))),IF($D$4="Forint",0,2))&gt;$N597-$P597-$Q597+$S597-$T597-IF($D$4="Forint",Paraméterek!$C$216,Paraméterek!$D$216),0,ROUNDUP(IF(ISBLANK($V597),$U597*0,$V597)/IF($D$2="Egyszeri",VLOOKUP($B597+IF($C597=12,1,0),Paraméterek!$V$257:$W$262,2),IF($B597=1,1,VLOOKUP($B597+IF($C597=12,1,0),Paraméterek!$I$258:$T$278,HLOOKUP($M$11+1,Paraméterek!$J$256:$T$257,2)))),IF($D$4="Forint",0,2)))</f>
        <v>#N/A</v>
      </c>
      <c r="X597" s="13" t="e">
        <f ca="1">ROUNDDOWN($W597*IF($D$2="Egyszeri",VLOOKUP($B597+IF($C597=12,1,0),Paraméterek!$V$257:$W$262,2),VLOOKUP($B597+IF($C597=12,1,0),Paraméterek!$I$258:$T$278,HLOOKUP($M$11+1,Paraméterek!$I$256:$T$257,2))),IF($D$4="Forint",0,2))</f>
        <v>#N/A</v>
      </c>
      <c r="Z597" s="32">
        <v>578</v>
      </c>
      <c r="AA597" s="32">
        <v>49</v>
      </c>
      <c r="AB597" s="32">
        <v>2</v>
      </c>
      <c r="AC597" s="13">
        <f t="shared" ca="1" si="192"/>
        <v>0</v>
      </c>
      <c r="AD597" s="33"/>
      <c r="AE597" s="13">
        <f t="shared" ref="AE597:AE660" ca="1" si="206">ROUNDDOWN($AC597*IF(ISBLANK($AD597),$M$8,$AD597)*IF($D598="Nem",IF($M$13=0,1,$M$13),1),IF($D$4="Forint",0,2))</f>
        <v>0</v>
      </c>
      <c r="AF597" s="13">
        <f ca="1">ROUNDUP(($AC597+$AE597)*VLOOKUP($AA597,Paraméterek!$P$38:$Q$38,2)/12*IF($D598="Nem",IF($M$13=0,1,$M$13),1),IF($D$4="Forint",0,2))</f>
        <v>0</v>
      </c>
      <c r="AG597" s="13">
        <f ca="1">IF($D$2="Egyszeri",IF($D$7&gt;=IF($D$4="Forint",Paraméterek!$P$223,Paraméterek!$P$224),$D$7-IF($D$4="Forint",Paraméterek!$P$223,Paraméterek!$P$224),0),MIN(IF($AB597=12,AVERAGEIF($E$20:$E597,"&gt;0",$E$20:$E597)*12,0),SUM($E$20:$E$31)))</f>
        <v>0</v>
      </c>
      <c r="AH597" s="13">
        <f>IF($AA597=10,$AG597*IF($AB597=12,IF($AG597&lt;IF($D$4="Forint",Paraméterek!$L$223,Paraméterek!$L$224),0,VLOOKUP($AA597,Paraméterek!$K$226:$M$228,IF($AG597&lt;IF($D$4="Forint",Paraméterek!$M$223,Paraméterek!$M$224),2,3))),0),0)</f>
        <v>0</v>
      </c>
      <c r="AI597" s="13">
        <f ca="1">IF(AND($AA597=$M$11+1,$AB597=$M$12+1),SUMIF($AA$20:$AA$1027,$AA597,$AG$20:$AG$1027)*IF(SUMIF($AA$20:$AA$1027,$AA597,$AG$20:$AG$1027)&lt;IF($D$4="Forint",Paraméterek!$L$223,Paraméterek!$L$224),0,VLOOKUP($AA597,Paraméterek!$K$230:$M$250,IF(SUMIF($AA$20:$AA$1027,$AA597,$AG$20:$AG$1027)&lt;IF($D$4="Forint",Paraméterek!$M$223,Paraméterek!$M$224),2,3))),0)</f>
        <v>0</v>
      </c>
      <c r="AJ597" s="13">
        <f ca="1">IF(AND($AA597&gt;=5,MOD($AA597,5)=0),IF($AB597=12,VLOOKUP($AA597,Paraméterek!$O$225:$P$240,2),0),IF(OR($AA597=3,$AA597=4),IF($AB597=12,VLOOKUP($AA597,Paraméterek!$O$225:$P$240,2,0),0),0))*$AG597</f>
        <v>0</v>
      </c>
      <c r="AK597" s="13">
        <f t="shared" ref="AK597:AK660" ca="1" si="207">ROUNDDOWN(IF($D$2="Egyszeri",$AJ597,$AH597+$AI597),IF($D$4="Forint",0,2))</f>
        <v>0</v>
      </c>
      <c r="AL597" s="13">
        <f t="shared" ca="1" si="193"/>
        <v>0</v>
      </c>
      <c r="AM597" s="13">
        <f t="shared" ca="1" si="194"/>
        <v>0</v>
      </c>
      <c r="AO597" s="32">
        <v>578</v>
      </c>
      <c r="AP597" s="32">
        <v>49</v>
      </c>
      <c r="AQ597" s="32">
        <v>2</v>
      </c>
      <c r="AR597" s="13"/>
      <c r="AS597" s="32"/>
      <c r="AT597" s="13">
        <f t="shared" ca="1" si="195"/>
        <v>0</v>
      </c>
      <c r="AU597" s="33"/>
      <c r="AV597" s="13">
        <f t="shared" ref="AV597:AV660" ca="1" si="208">ROUNDDOWN($AT597*IF(ISBLANK($AU597),$M$7,$AU597)*IF($D598="Nem",IF($M$13=0,1,$M$13),1),IF($D$4="Forint",0,2))</f>
        <v>0</v>
      </c>
      <c r="AW597" s="13">
        <f ca="1">ROUNDUP(($AT597+$AV597)*VLOOKUP($AP597,Paraméterek!$P$38:$Q$38,2)/12*IF($D598="Nem",IF($M$13=0,1,$M$13),1),IF($D$4="Forint",0,2))</f>
        <v>0</v>
      </c>
      <c r="AX597" s="13"/>
      <c r="AY597" s="13"/>
      <c r="AZ597" s="13">
        <f>ROUNDUP(IF(SUM($AX597:$AY597)=0,0,IF(IF(ISBLANK($AY597),$AX597,$AY597)*Paraméterek!$J$112&lt;IF($D$4="Forint",Paraméterek!$J$113,Paraméterek!$K$113),IF($D$4="Forint",Paraméterek!$J$113,Paraméterek!$K$113),IF(IF(ISBLANK($AY597),$AX597,$AY597)*Paraméterek!$J$112&gt;IF($D$4="Forint",Paraméterek!$J$114,Paraméterek!$K$114),IF($D$4="Forint",Paraméterek!$J$114,Paraméterek!$K$114),IF(ISBLANK($AY597),$AX597,$AY597)*Paraméterek!$J$112))),IF($D$4="Forint",0,2))</f>
        <v>0</v>
      </c>
      <c r="BA597" s="13">
        <f ca="1">$AT597+$AV597-$AW597-IF(ROUNDDOWN(IF(ISBLANK($AY597),$AX597,$AY597),IF($D$4="Forint",0,2))&gt;$AT597+$AV597-$AW597-IF($D$4="Forint",Paraméterek!$J$114,Paraméterek!$K$114),0,ROUNDDOWN(IF(ISBLANK($AY597),$AX597,$AY597),IF($D$4="Forint",0,2))-$AZ597)</f>
        <v>0</v>
      </c>
      <c r="BB597" s="13">
        <f t="shared" ref="BB597:BB660" ca="1" si="209">$BA597</f>
        <v>0</v>
      </c>
      <c r="BD597" s="32">
        <v>578</v>
      </c>
      <c r="BE597" s="32">
        <v>49</v>
      </c>
      <c r="BF597" s="32">
        <v>2</v>
      </c>
      <c r="BG597" s="34">
        <f t="shared" ca="1" si="196"/>
        <v>2067</v>
      </c>
      <c r="BH597" s="32" t="str">
        <f ca="1">IF(MOD(MONTH($D$14)+$BD597-1,12)=Paraméterek!$C$288,"Igen","")</f>
        <v>Igen</v>
      </c>
      <c r="BI597" s="13">
        <f ca="1">IF($BH597="Igen",MIN(ROUNDDOWN((SUMIF($BG$20:$BG$1027,$BG597-1,$K$20:$K$1027)-SUMIF($BG$20:$BG$1027,$BG597-1,$I$20:$I$1027))*Paraméterek!$C$289,IF($D$4="Forint",0,2)),IF($D$4="Forint",Paraméterek!$C$285,Paraméterek!$D$285)),0)</f>
        <v>0</v>
      </c>
      <c r="BJ597" s="13">
        <f t="shared" ref="BJ597:BJ660" ca="1" si="210">IF(AND($D597="Igen",$BH597="Igen"),$BI597,0)</f>
        <v>0</v>
      </c>
      <c r="BK597" s="13">
        <f t="shared" ca="1" si="197"/>
        <v>0</v>
      </c>
      <c r="BL597" s="33"/>
      <c r="BM597" s="13">
        <f t="shared" ref="BM597:BM660" ca="1" si="211">ROUNDDOWN($BK597*IF(ISBLANK($BL597),$M$9,$BL597)*IF($D598="Nem",IF($M$13=0,1,$M$13),1),IF($D$4="Forint",0,2))</f>
        <v>0</v>
      </c>
      <c r="BN597" s="13">
        <f ca="1">ROUNDUP(($BK597+$BM597)*VLOOKUP($BE597,Paraméterek!$P$38:$Q$38,2)/12*IF($D598="Nem",IF($M$13=0,1,$M$13),1),IF($D$4="Forint",0,2))</f>
        <v>0</v>
      </c>
      <c r="BO597" s="13">
        <f t="shared" ref="BO597:BO660" ca="1" si="212">$BK597+$BM597-$BN597</f>
        <v>0</v>
      </c>
      <c r="BP597" s="13">
        <f ca="1">IF($D598="Nem",$BO597,$BO597-ROUNDUP(SUM($BI$20:$BI597)*120%,IF($D$4="Forint",0,2)))</f>
        <v>0</v>
      </c>
    </row>
    <row r="598" spans="1:68" x14ac:dyDescent="0.2">
      <c r="A598" s="32">
        <v>579</v>
      </c>
      <c r="B598" s="32">
        <v>49</v>
      </c>
      <c r="C598" s="32">
        <v>3</v>
      </c>
      <c r="D598" s="32" t="str">
        <f t="shared" ca="1" si="198"/>
        <v>Nem</v>
      </c>
      <c r="E598" s="13">
        <f t="shared" ca="1" si="199"/>
        <v>0</v>
      </c>
      <c r="F598" s="13"/>
      <c r="G598" s="13"/>
      <c r="H598" s="13"/>
      <c r="I598" s="13">
        <f t="shared" ca="1" si="200"/>
        <v>0</v>
      </c>
      <c r="J598" s="13">
        <f t="shared" ca="1" si="201"/>
        <v>0</v>
      </c>
      <c r="K598" s="13">
        <f t="shared" ca="1" si="202"/>
        <v>0</v>
      </c>
      <c r="L598" s="13" t="e">
        <f ca="1">ROUNDUP(IF($D$2="Egyszeri",$E598,IF($D$2="Havi",SUM($E$20:$E$31),IF(MOD($C598,$M$1)-1=0,SUM($E$20:$E$31),0))/12*$M$1)*VLOOKUP($B598,Paraméterek!$I$28:$P$31,IF($D$2="Egyszeri",8,HLOOKUP(ROUNDUP($M$11+$M$13,0),Paraméterek!$J$26:$O$27,2))),IF($D$4="Forint",0,2))</f>
        <v>#N/A</v>
      </c>
      <c r="M598" s="13">
        <f t="shared" ca="1" si="203"/>
        <v>0</v>
      </c>
      <c r="N598" s="13">
        <f t="shared" ref="N598:N661" ca="1" si="213">IF($D598="Igen",$M598+$W597,0)</f>
        <v>0</v>
      </c>
      <c r="O598" s="13">
        <f ca="1">IF($D598="Igen",IF($W597&gt;=IF($D$4="Forint",Paraméterek!$J$121,Paraméterek!$K$121),0,IF($D$4="Forint",Paraméterek!$J$121,Paraméterek!$K$121)-$W597),0)</f>
        <v>0</v>
      </c>
      <c r="P598" s="13" t="e">
        <f ca="1">ROUNDUP($O598*VLOOKUP($M$4+$B598-1,Paraméterek!$H$58:$I$105,2,0)/Paraméterek!$I$56,IF($D$4="Forint",0,2))</f>
        <v>#N/A</v>
      </c>
      <c r="Q598" s="13">
        <f t="shared" ca="1" si="204"/>
        <v>0</v>
      </c>
      <c r="R598" s="33"/>
      <c r="S598" s="13" t="e">
        <f t="shared" ca="1" si="205"/>
        <v>#N/A</v>
      </c>
      <c r="T598" s="13" t="e">
        <f ca="1">ROUNDUP(($N598-$P598-$Q598+$S598)*VLOOKUP($B598,Paraméterek!$I$38:$K$39,IF($D$2="Egyszeri",3,2))/12*IF($D599="Nem",IF($M$13=0,1,$M$13),1),IF($D$4="Forint",0,2))</f>
        <v>#N/A</v>
      </c>
      <c r="U598" s="13"/>
      <c r="V598" s="13"/>
      <c r="W598" s="13" t="e">
        <f ca="1">$N598-$P598-$Q598+$S598-$T598-IF(ROUNDUP(IF(ISBLANK($V598),$U598*0,$V598)/IF($D$2="Egyszeri",VLOOKUP($B598+IF($C598=12,1,0),Paraméterek!$V$257:$W$262,2),IF($B598=1,1,VLOOKUP($B598+IF($C598=12,1,0),Paraméterek!$I$258:$T$278,HLOOKUP($M$11+1,Paraméterek!$J$256:$T$257,2)))),IF($D$4="Forint",0,2))&gt;$N598-$P598-$Q598+$S598-$T598-IF($D$4="Forint",Paraméterek!$C$216,Paraméterek!$D$216),0,ROUNDUP(IF(ISBLANK($V598),$U598*0,$V598)/IF($D$2="Egyszeri",VLOOKUP($B598+IF($C598=12,1,0),Paraméterek!$V$257:$W$262,2),IF($B598=1,1,VLOOKUP($B598+IF($C598=12,1,0),Paraméterek!$I$258:$T$278,HLOOKUP($M$11+1,Paraméterek!$J$256:$T$257,2)))),IF($D$4="Forint",0,2)))</f>
        <v>#N/A</v>
      </c>
      <c r="X598" s="13" t="e">
        <f ca="1">ROUNDDOWN($W598*IF($D$2="Egyszeri",VLOOKUP($B598+IF($C598=12,1,0),Paraméterek!$V$257:$W$262,2),VLOOKUP($B598+IF($C598=12,1,0),Paraméterek!$I$258:$T$278,HLOOKUP($M$11+1,Paraméterek!$I$256:$T$257,2))),IF($D$4="Forint",0,2))</f>
        <v>#N/A</v>
      </c>
      <c r="Z598" s="32">
        <v>579</v>
      </c>
      <c r="AA598" s="32">
        <v>49</v>
      </c>
      <c r="AB598" s="32">
        <v>3</v>
      </c>
      <c r="AC598" s="13">
        <f t="shared" ref="AC598:AC661" ca="1" si="214">IF($D598="Igen",$AL597,0)</f>
        <v>0</v>
      </c>
      <c r="AD598" s="33"/>
      <c r="AE598" s="13">
        <f t="shared" ca="1" si="206"/>
        <v>0</v>
      </c>
      <c r="AF598" s="13">
        <f ca="1">ROUNDUP(($AC598+$AE598)*VLOOKUP($AA598,Paraméterek!$P$38:$Q$38,2)/12*IF($D599="Nem",IF($M$13=0,1,$M$13),1),IF($D$4="Forint",0,2))</f>
        <v>0</v>
      </c>
      <c r="AG598" s="13">
        <f ca="1">IF($D$2="Egyszeri",IF($D$7&gt;=IF($D$4="Forint",Paraméterek!$P$223,Paraméterek!$P$224),$D$7-IF($D$4="Forint",Paraméterek!$P$223,Paraméterek!$P$224),0),MIN(IF($AB598=12,AVERAGEIF($E$20:$E598,"&gt;0",$E$20:$E598)*12,0),SUM($E$20:$E$31)))</f>
        <v>0</v>
      </c>
      <c r="AH598" s="13">
        <f>IF($AA598=10,$AG598*IF($AB598=12,IF($AG598&lt;IF($D$4="Forint",Paraméterek!$L$223,Paraméterek!$L$224),0,VLOOKUP($AA598,Paraméterek!$K$226:$M$228,IF($AG598&lt;IF($D$4="Forint",Paraméterek!$M$223,Paraméterek!$M$224),2,3))),0),0)</f>
        <v>0</v>
      </c>
      <c r="AI598" s="13">
        <f ca="1">IF(AND($AA598=$M$11+1,$AB598=$M$12+1),SUMIF($AA$20:$AA$1027,$AA598,$AG$20:$AG$1027)*IF(SUMIF($AA$20:$AA$1027,$AA598,$AG$20:$AG$1027)&lt;IF($D$4="Forint",Paraméterek!$L$223,Paraméterek!$L$224),0,VLOOKUP($AA598,Paraméterek!$K$230:$M$250,IF(SUMIF($AA$20:$AA$1027,$AA598,$AG$20:$AG$1027)&lt;IF($D$4="Forint",Paraméterek!$M$223,Paraméterek!$M$224),2,3))),0)</f>
        <v>0</v>
      </c>
      <c r="AJ598" s="13">
        <f ca="1">IF(AND($AA598&gt;=5,MOD($AA598,5)=0),IF($AB598=12,VLOOKUP($AA598,Paraméterek!$O$225:$P$240,2),0),IF(OR($AA598=3,$AA598=4),IF($AB598=12,VLOOKUP($AA598,Paraméterek!$O$225:$P$240,2,0),0),0))*$AG598</f>
        <v>0</v>
      </c>
      <c r="AK598" s="13">
        <f t="shared" ca="1" si="207"/>
        <v>0</v>
      </c>
      <c r="AL598" s="13">
        <f t="shared" ref="AL598:AL661" ca="1" si="215">$AC598+$AE598-$AF598+$AK598</f>
        <v>0</v>
      </c>
      <c r="AM598" s="13">
        <f t="shared" ref="AM598:AM661" ca="1" si="216">$AL598</f>
        <v>0</v>
      </c>
      <c r="AO598" s="32">
        <v>579</v>
      </c>
      <c r="AP598" s="32">
        <v>49</v>
      </c>
      <c r="AQ598" s="32">
        <v>3</v>
      </c>
      <c r="AR598" s="13"/>
      <c r="AS598" s="32"/>
      <c r="AT598" s="13">
        <f t="shared" ref="AT598:AT661" ca="1" si="217">IF($D598="Igen",IF(ISBLANK($AS598),$AR598,$AS598)+$BA597,0)</f>
        <v>0</v>
      </c>
      <c r="AU598" s="33"/>
      <c r="AV598" s="13">
        <f t="shared" ca="1" si="208"/>
        <v>0</v>
      </c>
      <c r="AW598" s="13">
        <f ca="1">ROUNDUP(($AT598+$AV598)*VLOOKUP($AP598,Paraméterek!$P$38:$Q$38,2)/12*IF($D599="Nem",IF($M$13=0,1,$M$13),1),IF($D$4="Forint",0,2))</f>
        <v>0</v>
      </c>
      <c r="AX598" s="13"/>
      <c r="AY598" s="13"/>
      <c r="AZ598" s="13">
        <f>ROUNDUP(IF(SUM($AX598:$AY598)=0,0,IF(IF(ISBLANK($AY598),$AX598,$AY598)*Paraméterek!$J$112&lt;IF($D$4="Forint",Paraméterek!$J$113,Paraméterek!$K$113),IF($D$4="Forint",Paraméterek!$J$113,Paraméterek!$K$113),IF(IF(ISBLANK($AY598),$AX598,$AY598)*Paraméterek!$J$112&gt;IF($D$4="Forint",Paraméterek!$J$114,Paraméterek!$K$114),IF($D$4="Forint",Paraméterek!$J$114,Paraméterek!$K$114),IF(ISBLANK($AY598),$AX598,$AY598)*Paraméterek!$J$112))),IF($D$4="Forint",0,2))</f>
        <v>0</v>
      </c>
      <c r="BA598" s="13">
        <f ca="1">$AT598+$AV598-$AW598-IF(ROUNDDOWN(IF(ISBLANK($AY598),$AX598,$AY598),IF($D$4="Forint",0,2))&gt;$AT598+$AV598-$AW598-IF($D$4="Forint",Paraméterek!$J$114,Paraméterek!$K$114),0,ROUNDDOWN(IF(ISBLANK($AY598),$AX598,$AY598),IF($D$4="Forint",0,2))-$AZ598)</f>
        <v>0</v>
      </c>
      <c r="BB598" s="13">
        <f t="shared" ca="1" si="209"/>
        <v>0</v>
      </c>
      <c r="BD598" s="32">
        <v>579</v>
      </c>
      <c r="BE598" s="32">
        <v>49</v>
      </c>
      <c r="BF598" s="32">
        <v>3</v>
      </c>
      <c r="BG598" s="34">
        <f t="shared" ref="BG598:BG661" ca="1" si="218">$BG597+IF(MOD(MONTH($D$14)+$BD598-1,12)=1,1,0)</f>
        <v>2067</v>
      </c>
      <c r="BH598" s="32" t="str">
        <f ca="1">IF(MOD(MONTH($D$14)+$BD598-1,12)=Paraméterek!$C$288,"Igen","")</f>
        <v/>
      </c>
      <c r="BI598" s="13">
        <f ca="1">IF($BH598="Igen",MIN(ROUNDDOWN((SUMIF($BG$20:$BG$1027,$BG598-1,$K$20:$K$1027)-SUMIF($BG$20:$BG$1027,$BG598-1,$I$20:$I$1027))*Paraméterek!$C$289,IF($D$4="Forint",0,2)),IF($D$4="Forint",Paraméterek!$C$285,Paraméterek!$D$285)),0)</f>
        <v>0</v>
      </c>
      <c r="BJ598" s="13">
        <f t="shared" ca="1" si="210"/>
        <v>0</v>
      </c>
      <c r="BK598" s="13">
        <f t="shared" ref="BK598:BK661" ca="1" si="219">$BJ598+IF($D598="Igen",$BO597,0)</f>
        <v>0</v>
      </c>
      <c r="BL598" s="33"/>
      <c r="BM598" s="13">
        <f t="shared" ca="1" si="211"/>
        <v>0</v>
      </c>
      <c r="BN598" s="13">
        <f ca="1">ROUNDUP(($BK598+$BM598)*VLOOKUP($BE598,Paraméterek!$P$38:$Q$38,2)/12*IF($D599="Nem",IF($M$13=0,1,$M$13),1),IF($D$4="Forint",0,2))</f>
        <v>0</v>
      </c>
      <c r="BO598" s="13">
        <f t="shared" ca="1" si="212"/>
        <v>0</v>
      </c>
      <c r="BP598" s="13">
        <f ca="1">IF($D599="Nem",$BO598,$BO598-ROUNDUP(SUM($BI$20:$BI598)*120%,IF($D$4="Forint",0,2)))</f>
        <v>0</v>
      </c>
    </row>
    <row r="599" spans="1:68" x14ac:dyDescent="0.2">
      <c r="A599" s="32">
        <v>580</v>
      </c>
      <c r="B599" s="32">
        <v>49</v>
      </c>
      <c r="C599" s="32">
        <v>4</v>
      </c>
      <c r="D599" s="32" t="str">
        <f t="shared" ca="1" si="198"/>
        <v>Nem</v>
      </c>
      <c r="E599" s="13">
        <f t="shared" ca="1" si="199"/>
        <v>0</v>
      </c>
      <c r="F599" s="13"/>
      <c r="G599" s="13"/>
      <c r="H599" s="13"/>
      <c r="I599" s="13">
        <f t="shared" ca="1" si="200"/>
        <v>0</v>
      </c>
      <c r="J599" s="13">
        <f t="shared" ca="1" si="201"/>
        <v>0</v>
      </c>
      <c r="K599" s="13">
        <f t="shared" ca="1" si="202"/>
        <v>0</v>
      </c>
      <c r="L599" s="13" t="e">
        <f ca="1">ROUNDUP(IF($D$2="Egyszeri",$E599,IF($D$2="Havi",SUM($E$20:$E$31),IF(MOD($C599,$M$1)-1=0,SUM($E$20:$E$31),0))/12*$M$1)*VLOOKUP($B599,Paraméterek!$I$28:$P$31,IF($D$2="Egyszeri",8,HLOOKUP(ROUNDUP($M$11+$M$13,0),Paraméterek!$J$26:$O$27,2))),IF($D$4="Forint",0,2))</f>
        <v>#N/A</v>
      </c>
      <c r="M599" s="13">
        <f t="shared" ca="1" si="203"/>
        <v>0</v>
      </c>
      <c r="N599" s="13">
        <f t="shared" ca="1" si="213"/>
        <v>0</v>
      </c>
      <c r="O599" s="13">
        <f ca="1">IF($D599="Igen",IF($W598&gt;=IF($D$4="Forint",Paraméterek!$J$121,Paraméterek!$K$121),0,IF($D$4="Forint",Paraméterek!$J$121,Paraméterek!$K$121)-$W598),0)</f>
        <v>0</v>
      </c>
      <c r="P599" s="13" t="e">
        <f ca="1">ROUNDUP($O599*VLOOKUP($M$4+$B599-1,Paraméterek!$H$58:$I$105,2,0)/Paraméterek!$I$56,IF($D$4="Forint",0,2))</f>
        <v>#N/A</v>
      </c>
      <c r="Q599" s="13">
        <f t="shared" ca="1" si="204"/>
        <v>0</v>
      </c>
      <c r="R599" s="33"/>
      <c r="S599" s="13" t="e">
        <f t="shared" ca="1" si="205"/>
        <v>#N/A</v>
      </c>
      <c r="T599" s="13" t="e">
        <f ca="1">ROUNDUP(($N599-$P599-$Q599+$S599)*VLOOKUP($B599,Paraméterek!$I$38:$K$39,IF($D$2="Egyszeri",3,2))/12*IF($D600="Nem",IF($M$13=0,1,$M$13),1),IF($D$4="Forint",0,2))</f>
        <v>#N/A</v>
      </c>
      <c r="U599" s="13"/>
      <c r="V599" s="13"/>
      <c r="W599" s="13" t="e">
        <f ca="1">$N599-$P599-$Q599+$S599-$T599-IF(ROUNDUP(IF(ISBLANK($V599),$U599*0,$V599)/IF($D$2="Egyszeri",VLOOKUP($B599+IF($C599=12,1,0),Paraméterek!$V$257:$W$262,2),IF($B599=1,1,VLOOKUP($B599+IF($C599=12,1,0),Paraméterek!$I$258:$T$278,HLOOKUP($M$11+1,Paraméterek!$J$256:$T$257,2)))),IF($D$4="Forint",0,2))&gt;$N599-$P599-$Q599+$S599-$T599-IF($D$4="Forint",Paraméterek!$C$216,Paraméterek!$D$216),0,ROUNDUP(IF(ISBLANK($V599),$U599*0,$V599)/IF($D$2="Egyszeri",VLOOKUP($B599+IF($C599=12,1,0),Paraméterek!$V$257:$W$262,2),IF($B599=1,1,VLOOKUP($B599+IF($C599=12,1,0),Paraméterek!$I$258:$T$278,HLOOKUP($M$11+1,Paraméterek!$J$256:$T$257,2)))),IF($D$4="Forint",0,2)))</f>
        <v>#N/A</v>
      </c>
      <c r="X599" s="13" t="e">
        <f ca="1">ROUNDDOWN($W599*IF($D$2="Egyszeri",VLOOKUP($B599+IF($C599=12,1,0),Paraméterek!$V$257:$W$262,2),VLOOKUP($B599+IF($C599=12,1,0),Paraméterek!$I$258:$T$278,HLOOKUP($M$11+1,Paraméterek!$I$256:$T$257,2))),IF($D$4="Forint",0,2))</f>
        <v>#N/A</v>
      </c>
      <c r="Z599" s="32">
        <v>580</v>
      </c>
      <c r="AA599" s="32">
        <v>49</v>
      </c>
      <c r="AB599" s="32">
        <v>4</v>
      </c>
      <c r="AC599" s="13">
        <f t="shared" ca="1" si="214"/>
        <v>0</v>
      </c>
      <c r="AD599" s="33"/>
      <c r="AE599" s="13">
        <f t="shared" ca="1" si="206"/>
        <v>0</v>
      </c>
      <c r="AF599" s="13">
        <f ca="1">ROUNDUP(($AC599+$AE599)*VLOOKUP($AA599,Paraméterek!$P$38:$Q$38,2)/12*IF($D600="Nem",IF($M$13=0,1,$M$13),1),IF($D$4="Forint",0,2))</f>
        <v>0</v>
      </c>
      <c r="AG599" s="13">
        <f ca="1">IF($D$2="Egyszeri",IF($D$7&gt;=IF($D$4="Forint",Paraméterek!$P$223,Paraméterek!$P$224),$D$7-IF($D$4="Forint",Paraméterek!$P$223,Paraméterek!$P$224),0),MIN(IF($AB599=12,AVERAGEIF($E$20:$E599,"&gt;0",$E$20:$E599)*12,0),SUM($E$20:$E$31)))</f>
        <v>0</v>
      </c>
      <c r="AH599" s="13">
        <f>IF($AA599=10,$AG599*IF($AB599=12,IF($AG599&lt;IF($D$4="Forint",Paraméterek!$L$223,Paraméterek!$L$224),0,VLOOKUP($AA599,Paraméterek!$K$226:$M$228,IF($AG599&lt;IF($D$4="Forint",Paraméterek!$M$223,Paraméterek!$M$224),2,3))),0),0)</f>
        <v>0</v>
      </c>
      <c r="AI599" s="13">
        <f ca="1">IF(AND($AA599=$M$11+1,$AB599=$M$12+1),SUMIF($AA$20:$AA$1027,$AA599,$AG$20:$AG$1027)*IF(SUMIF($AA$20:$AA$1027,$AA599,$AG$20:$AG$1027)&lt;IF($D$4="Forint",Paraméterek!$L$223,Paraméterek!$L$224),0,VLOOKUP($AA599,Paraméterek!$K$230:$M$250,IF(SUMIF($AA$20:$AA$1027,$AA599,$AG$20:$AG$1027)&lt;IF($D$4="Forint",Paraméterek!$M$223,Paraméterek!$M$224),2,3))),0)</f>
        <v>0</v>
      </c>
      <c r="AJ599" s="13">
        <f ca="1">IF(AND($AA599&gt;=5,MOD($AA599,5)=0),IF($AB599=12,VLOOKUP($AA599,Paraméterek!$O$225:$P$240,2),0),IF(OR($AA599=3,$AA599=4),IF($AB599=12,VLOOKUP($AA599,Paraméterek!$O$225:$P$240,2,0),0),0))*$AG599</f>
        <v>0</v>
      </c>
      <c r="AK599" s="13">
        <f t="shared" ca="1" si="207"/>
        <v>0</v>
      </c>
      <c r="AL599" s="13">
        <f t="shared" ca="1" si="215"/>
        <v>0</v>
      </c>
      <c r="AM599" s="13">
        <f t="shared" ca="1" si="216"/>
        <v>0</v>
      </c>
      <c r="AO599" s="32">
        <v>580</v>
      </c>
      <c r="AP599" s="32">
        <v>49</v>
      </c>
      <c r="AQ599" s="32">
        <v>4</v>
      </c>
      <c r="AR599" s="13"/>
      <c r="AS599" s="32"/>
      <c r="AT599" s="13">
        <f t="shared" ca="1" si="217"/>
        <v>0</v>
      </c>
      <c r="AU599" s="33"/>
      <c r="AV599" s="13">
        <f t="shared" ca="1" si="208"/>
        <v>0</v>
      </c>
      <c r="AW599" s="13">
        <f ca="1">ROUNDUP(($AT599+$AV599)*VLOOKUP($AP599,Paraméterek!$P$38:$Q$38,2)/12*IF($D600="Nem",IF($M$13=0,1,$M$13),1),IF($D$4="Forint",0,2))</f>
        <v>0</v>
      </c>
      <c r="AX599" s="13"/>
      <c r="AY599" s="13"/>
      <c r="AZ599" s="13">
        <f>ROUNDUP(IF(SUM($AX599:$AY599)=0,0,IF(IF(ISBLANK($AY599),$AX599,$AY599)*Paraméterek!$J$112&lt;IF($D$4="Forint",Paraméterek!$J$113,Paraméterek!$K$113),IF($D$4="Forint",Paraméterek!$J$113,Paraméterek!$K$113),IF(IF(ISBLANK($AY599),$AX599,$AY599)*Paraméterek!$J$112&gt;IF($D$4="Forint",Paraméterek!$J$114,Paraméterek!$K$114),IF($D$4="Forint",Paraméterek!$J$114,Paraméterek!$K$114),IF(ISBLANK($AY599),$AX599,$AY599)*Paraméterek!$J$112))),IF($D$4="Forint",0,2))</f>
        <v>0</v>
      </c>
      <c r="BA599" s="13">
        <f ca="1">$AT599+$AV599-$AW599-IF(ROUNDDOWN(IF(ISBLANK($AY599),$AX599,$AY599),IF($D$4="Forint",0,2))&gt;$AT599+$AV599-$AW599-IF($D$4="Forint",Paraméterek!$J$114,Paraméterek!$K$114),0,ROUNDDOWN(IF(ISBLANK($AY599),$AX599,$AY599),IF($D$4="Forint",0,2))-$AZ599)</f>
        <v>0</v>
      </c>
      <c r="BB599" s="13">
        <f t="shared" ca="1" si="209"/>
        <v>0</v>
      </c>
      <c r="BD599" s="32">
        <v>580</v>
      </c>
      <c r="BE599" s="32">
        <v>49</v>
      </c>
      <c r="BF599" s="32">
        <v>4</v>
      </c>
      <c r="BG599" s="34">
        <f t="shared" ca="1" si="218"/>
        <v>2067</v>
      </c>
      <c r="BH599" s="32" t="str">
        <f ca="1">IF(MOD(MONTH($D$14)+$BD599-1,12)=Paraméterek!$C$288,"Igen","")</f>
        <v/>
      </c>
      <c r="BI599" s="13">
        <f ca="1">IF($BH599="Igen",MIN(ROUNDDOWN((SUMIF($BG$20:$BG$1027,$BG599-1,$K$20:$K$1027)-SUMIF($BG$20:$BG$1027,$BG599-1,$I$20:$I$1027))*Paraméterek!$C$289,IF($D$4="Forint",0,2)),IF($D$4="Forint",Paraméterek!$C$285,Paraméterek!$D$285)),0)</f>
        <v>0</v>
      </c>
      <c r="BJ599" s="13">
        <f t="shared" ca="1" si="210"/>
        <v>0</v>
      </c>
      <c r="BK599" s="13">
        <f t="shared" ca="1" si="219"/>
        <v>0</v>
      </c>
      <c r="BL599" s="33"/>
      <c r="BM599" s="13">
        <f t="shared" ca="1" si="211"/>
        <v>0</v>
      </c>
      <c r="BN599" s="13">
        <f ca="1">ROUNDUP(($BK599+$BM599)*VLOOKUP($BE599,Paraméterek!$P$38:$Q$38,2)/12*IF($D600="Nem",IF($M$13=0,1,$M$13),1),IF($D$4="Forint",0,2))</f>
        <v>0</v>
      </c>
      <c r="BO599" s="13">
        <f t="shared" ca="1" si="212"/>
        <v>0</v>
      </c>
      <c r="BP599" s="13">
        <f ca="1">IF($D600="Nem",$BO599,$BO599-ROUNDUP(SUM($BI$20:$BI599)*120%,IF($D$4="Forint",0,2)))</f>
        <v>0</v>
      </c>
    </row>
    <row r="600" spans="1:68" x14ac:dyDescent="0.2">
      <c r="A600" s="32">
        <v>581</v>
      </c>
      <c r="B600" s="32">
        <v>49</v>
      </c>
      <c r="C600" s="32">
        <v>5</v>
      </c>
      <c r="D600" s="32" t="str">
        <f t="shared" ca="1" si="198"/>
        <v>Nem</v>
      </c>
      <c r="E600" s="13">
        <f t="shared" ca="1" si="199"/>
        <v>0</v>
      </c>
      <c r="F600" s="13"/>
      <c r="G600" s="13"/>
      <c r="H600" s="13"/>
      <c r="I600" s="13">
        <f t="shared" ca="1" si="200"/>
        <v>0</v>
      </c>
      <c r="J600" s="13">
        <f t="shared" ca="1" si="201"/>
        <v>0</v>
      </c>
      <c r="K600" s="13">
        <f t="shared" ca="1" si="202"/>
        <v>0</v>
      </c>
      <c r="L600" s="13" t="e">
        <f ca="1">ROUNDUP(IF($D$2="Egyszeri",$E600,IF($D$2="Havi",SUM($E$20:$E$31),IF(MOD($C600,$M$1)-1=0,SUM($E$20:$E$31),0))/12*$M$1)*VLOOKUP($B600,Paraméterek!$I$28:$P$31,IF($D$2="Egyszeri",8,HLOOKUP(ROUNDUP($M$11+$M$13,0),Paraméterek!$J$26:$O$27,2))),IF($D$4="Forint",0,2))</f>
        <v>#N/A</v>
      </c>
      <c r="M600" s="13">
        <f t="shared" ca="1" si="203"/>
        <v>0</v>
      </c>
      <c r="N600" s="13">
        <f t="shared" ca="1" si="213"/>
        <v>0</v>
      </c>
      <c r="O600" s="13">
        <f ca="1">IF($D600="Igen",IF($W599&gt;=IF($D$4="Forint",Paraméterek!$J$121,Paraméterek!$K$121),0,IF($D$4="Forint",Paraméterek!$J$121,Paraméterek!$K$121)-$W599),0)</f>
        <v>0</v>
      </c>
      <c r="P600" s="13" t="e">
        <f ca="1">ROUNDUP($O600*VLOOKUP($M$4+$B600-1,Paraméterek!$H$58:$I$105,2,0)/Paraméterek!$I$56,IF($D$4="Forint",0,2))</f>
        <v>#N/A</v>
      </c>
      <c r="Q600" s="13">
        <f t="shared" ca="1" si="204"/>
        <v>0</v>
      </c>
      <c r="R600" s="33"/>
      <c r="S600" s="13" t="e">
        <f t="shared" ca="1" si="205"/>
        <v>#N/A</v>
      </c>
      <c r="T600" s="13" t="e">
        <f ca="1">ROUNDUP(($N600-$P600-$Q600+$S600)*VLOOKUP($B600,Paraméterek!$I$38:$K$39,IF($D$2="Egyszeri",3,2))/12*IF($D601="Nem",IF($M$13=0,1,$M$13),1),IF($D$4="Forint",0,2))</f>
        <v>#N/A</v>
      </c>
      <c r="U600" s="13"/>
      <c r="V600" s="13"/>
      <c r="W600" s="13" t="e">
        <f ca="1">$N600-$P600-$Q600+$S600-$T600-IF(ROUNDUP(IF(ISBLANK($V600),$U600*0,$V600)/IF($D$2="Egyszeri",VLOOKUP($B600+IF($C600=12,1,0),Paraméterek!$V$257:$W$262,2),IF($B600=1,1,VLOOKUP($B600+IF($C600=12,1,0),Paraméterek!$I$258:$T$278,HLOOKUP($M$11+1,Paraméterek!$J$256:$T$257,2)))),IF($D$4="Forint",0,2))&gt;$N600-$P600-$Q600+$S600-$T600-IF($D$4="Forint",Paraméterek!$C$216,Paraméterek!$D$216),0,ROUNDUP(IF(ISBLANK($V600),$U600*0,$V600)/IF($D$2="Egyszeri",VLOOKUP($B600+IF($C600=12,1,0),Paraméterek!$V$257:$W$262,2),IF($B600=1,1,VLOOKUP($B600+IF($C600=12,1,0),Paraméterek!$I$258:$T$278,HLOOKUP($M$11+1,Paraméterek!$J$256:$T$257,2)))),IF($D$4="Forint",0,2)))</f>
        <v>#N/A</v>
      </c>
      <c r="X600" s="13" t="e">
        <f ca="1">ROUNDDOWN($W600*IF($D$2="Egyszeri",VLOOKUP($B600+IF($C600=12,1,0),Paraméterek!$V$257:$W$262,2),VLOOKUP($B600+IF($C600=12,1,0),Paraméterek!$I$258:$T$278,HLOOKUP($M$11+1,Paraméterek!$I$256:$T$257,2))),IF($D$4="Forint",0,2))</f>
        <v>#N/A</v>
      </c>
      <c r="Z600" s="32">
        <v>581</v>
      </c>
      <c r="AA600" s="32">
        <v>49</v>
      </c>
      <c r="AB600" s="32">
        <v>5</v>
      </c>
      <c r="AC600" s="13">
        <f t="shared" ca="1" si="214"/>
        <v>0</v>
      </c>
      <c r="AD600" s="33"/>
      <c r="AE600" s="13">
        <f t="shared" ca="1" si="206"/>
        <v>0</v>
      </c>
      <c r="AF600" s="13">
        <f ca="1">ROUNDUP(($AC600+$AE600)*VLOOKUP($AA600,Paraméterek!$P$38:$Q$38,2)/12*IF($D601="Nem",IF($M$13=0,1,$M$13),1),IF($D$4="Forint",0,2))</f>
        <v>0</v>
      </c>
      <c r="AG600" s="13">
        <f ca="1">IF($D$2="Egyszeri",IF($D$7&gt;=IF($D$4="Forint",Paraméterek!$P$223,Paraméterek!$P$224),$D$7-IF($D$4="Forint",Paraméterek!$P$223,Paraméterek!$P$224),0),MIN(IF($AB600=12,AVERAGEIF($E$20:$E600,"&gt;0",$E$20:$E600)*12,0),SUM($E$20:$E$31)))</f>
        <v>0</v>
      </c>
      <c r="AH600" s="13">
        <f>IF($AA600=10,$AG600*IF($AB600=12,IF($AG600&lt;IF($D$4="Forint",Paraméterek!$L$223,Paraméterek!$L$224),0,VLOOKUP($AA600,Paraméterek!$K$226:$M$228,IF($AG600&lt;IF($D$4="Forint",Paraméterek!$M$223,Paraméterek!$M$224),2,3))),0),0)</f>
        <v>0</v>
      </c>
      <c r="AI600" s="13">
        <f ca="1">IF(AND($AA600=$M$11+1,$AB600=$M$12+1),SUMIF($AA$20:$AA$1027,$AA600,$AG$20:$AG$1027)*IF(SUMIF($AA$20:$AA$1027,$AA600,$AG$20:$AG$1027)&lt;IF($D$4="Forint",Paraméterek!$L$223,Paraméterek!$L$224),0,VLOOKUP($AA600,Paraméterek!$K$230:$M$250,IF(SUMIF($AA$20:$AA$1027,$AA600,$AG$20:$AG$1027)&lt;IF($D$4="Forint",Paraméterek!$M$223,Paraméterek!$M$224),2,3))),0)</f>
        <v>0</v>
      </c>
      <c r="AJ600" s="13">
        <f ca="1">IF(AND($AA600&gt;=5,MOD($AA600,5)=0),IF($AB600=12,VLOOKUP($AA600,Paraméterek!$O$225:$P$240,2),0),IF(OR($AA600=3,$AA600=4),IF($AB600=12,VLOOKUP($AA600,Paraméterek!$O$225:$P$240,2,0),0),0))*$AG600</f>
        <v>0</v>
      </c>
      <c r="AK600" s="13">
        <f t="shared" ca="1" si="207"/>
        <v>0</v>
      </c>
      <c r="AL600" s="13">
        <f t="shared" ca="1" si="215"/>
        <v>0</v>
      </c>
      <c r="AM600" s="13">
        <f t="shared" ca="1" si="216"/>
        <v>0</v>
      </c>
      <c r="AO600" s="32">
        <v>581</v>
      </c>
      <c r="AP600" s="32">
        <v>49</v>
      </c>
      <c r="AQ600" s="32">
        <v>5</v>
      </c>
      <c r="AR600" s="13"/>
      <c r="AS600" s="32"/>
      <c r="AT600" s="13">
        <f t="shared" ca="1" si="217"/>
        <v>0</v>
      </c>
      <c r="AU600" s="33"/>
      <c r="AV600" s="13">
        <f t="shared" ca="1" si="208"/>
        <v>0</v>
      </c>
      <c r="AW600" s="13">
        <f ca="1">ROUNDUP(($AT600+$AV600)*VLOOKUP($AP600,Paraméterek!$P$38:$Q$38,2)/12*IF($D601="Nem",IF($M$13=0,1,$M$13),1),IF($D$4="Forint",0,2))</f>
        <v>0</v>
      </c>
      <c r="AX600" s="13"/>
      <c r="AY600" s="13"/>
      <c r="AZ600" s="13">
        <f>ROUNDUP(IF(SUM($AX600:$AY600)=0,0,IF(IF(ISBLANK($AY600),$AX600,$AY600)*Paraméterek!$J$112&lt;IF($D$4="Forint",Paraméterek!$J$113,Paraméterek!$K$113),IF($D$4="Forint",Paraméterek!$J$113,Paraméterek!$K$113),IF(IF(ISBLANK($AY600),$AX600,$AY600)*Paraméterek!$J$112&gt;IF($D$4="Forint",Paraméterek!$J$114,Paraméterek!$K$114),IF($D$4="Forint",Paraméterek!$J$114,Paraméterek!$K$114),IF(ISBLANK($AY600),$AX600,$AY600)*Paraméterek!$J$112))),IF($D$4="Forint",0,2))</f>
        <v>0</v>
      </c>
      <c r="BA600" s="13">
        <f ca="1">$AT600+$AV600-$AW600-IF(ROUNDDOWN(IF(ISBLANK($AY600),$AX600,$AY600),IF($D$4="Forint",0,2))&gt;$AT600+$AV600-$AW600-IF($D$4="Forint",Paraméterek!$J$114,Paraméterek!$K$114),0,ROUNDDOWN(IF(ISBLANK($AY600),$AX600,$AY600),IF($D$4="Forint",0,2))-$AZ600)</f>
        <v>0</v>
      </c>
      <c r="BB600" s="13">
        <f t="shared" ca="1" si="209"/>
        <v>0</v>
      </c>
      <c r="BD600" s="32">
        <v>581</v>
      </c>
      <c r="BE600" s="32">
        <v>49</v>
      </c>
      <c r="BF600" s="32">
        <v>5</v>
      </c>
      <c r="BG600" s="34">
        <f t="shared" ca="1" si="218"/>
        <v>2067</v>
      </c>
      <c r="BH600" s="32" t="str">
        <f ca="1">IF(MOD(MONTH($D$14)+$BD600-1,12)=Paraméterek!$C$288,"Igen","")</f>
        <v/>
      </c>
      <c r="BI600" s="13">
        <f ca="1">IF($BH600="Igen",MIN(ROUNDDOWN((SUMIF($BG$20:$BG$1027,$BG600-1,$K$20:$K$1027)-SUMIF($BG$20:$BG$1027,$BG600-1,$I$20:$I$1027))*Paraméterek!$C$289,IF($D$4="Forint",0,2)),IF($D$4="Forint",Paraméterek!$C$285,Paraméterek!$D$285)),0)</f>
        <v>0</v>
      </c>
      <c r="BJ600" s="13">
        <f t="shared" ca="1" si="210"/>
        <v>0</v>
      </c>
      <c r="BK600" s="13">
        <f t="shared" ca="1" si="219"/>
        <v>0</v>
      </c>
      <c r="BL600" s="33"/>
      <c r="BM600" s="13">
        <f t="shared" ca="1" si="211"/>
        <v>0</v>
      </c>
      <c r="BN600" s="13">
        <f ca="1">ROUNDUP(($BK600+$BM600)*VLOOKUP($BE600,Paraméterek!$P$38:$Q$38,2)/12*IF($D601="Nem",IF($M$13=0,1,$M$13),1),IF($D$4="Forint",0,2))</f>
        <v>0</v>
      </c>
      <c r="BO600" s="13">
        <f t="shared" ca="1" si="212"/>
        <v>0</v>
      </c>
      <c r="BP600" s="13">
        <f ca="1">IF($D601="Nem",$BO600,$BO600-ROUNDUP(SUM($BI$20:$BI600)*120%,IF($D$4="Forint",0,2)))</f>
        <v>0</v>
      </c>
    </row>
    <row r="601" spans="1:68" x14ac:dyDescent="0.2">
      <c r="A601" s="32">
        <v>582</v>
      </c>
      <c r="B601" s="32">
        <v>49</v>
      </c>
      <c r="C601" s="32">
        <v>6</v>
      </c>
      <c r="D601" s="32" t="str">
        <f t="shared" ca="1" si="198"/>
        <v>Nem</v>
      </c>
      <c r="E601" s="13">
        <f t="shared" ca="1" si="199"/>
        <v>0</v>
      </c>
      <c r="F601" s="13"/>
      <c r="G601" s="13"/>
      <c r="H601" s="13"/>
      <c r="I601" s="13">
        <f t="shared" ca="1" si="200"/>
        <v>0</v>
      </c>
      <c r="J601" s="13">
        <f t="shared" ca="1" si="201"/>
        <v>0</v>
      </c>
      <c r="K601" s="13">
        <f t="shared" ca="1" si="202"/>
        <v>0</v>
      </c>
      <c r="L601" s="13" t="e">
        <f ca="1">ROUNDUP(IF($D$2="Egyszeri",$E601,IF($D$2="Havi",SUM($E$20:$E$31),IF(MOD($C601,$M$1)-1=0,SUM($E$20:$E$31),0))/12*$M$1)*VLOOKUP($B601,Paraméterek!$I$28:$P$31,IF($D$2="Egyszeri",8,HLOOKUP(ROUNDUP($M$11+$M$13,0),Paraméterek!$J$26:$O$27,2))),IF($D$4="Forint",0,2))</f>
        <v>#N/A</v>
      </c>
      <c r="M601" s="13">
        <f t="shared" ca="1" si="203"/>
        <v>0</v>
      </c>
      <c r="N601" s="13">
        <f t="shared" ca="1" si="213"/>
        <v>0</v>
      </c>
      <c r="O601" s="13">
        <f ca="1">IF($D601="Igen",IF($W600&gt;=IF($D$4="Forint",Paraméterek!$J$121,Paraméterek!$K$121),0,IF($D$4="Forint",Paraméterek!$J$121,Paraméterek!$K$121)-$W600),0)</f>
        <v>0</v>
      </c>
      <c r="P601" s="13" t="e">
        <f ca="1">ROUNDUP($O601*VLOOKUP($M$4+$B601-1,Paraméterek!$H$58:$I$105,2,0)/Paraméterek!$I$56,IF($D$4="Forint",0,2))</f>
        <v>#N/A</v>
      </c>
      <c r="Q601" s="13">
        <f t="shared" ca="1" si="204"/>
        <v>0</v>
      </c>
      <c r="R601" s="33"/>
      <c r="S601" s="13" t="e">
        <f t="shared" ca="1" si="205"/>
        <v>#N/A</v>
      </c>
      <c r="T601" s="13" t="e">
        <f ca="1">ROUNDUP(($N601-$P601-$Q601+$S601)*VLOOKUP($B601,Paraméterek!$I$38:$K$39,IF($D$2="Egyszeri",3,2))/12*IF($D602="Nem",IF($M$13=0,1,$M$13),1),IF($D$4="Forint",0,2))</f>
        <v>#N/A</v>
      </c>
      <c r="U601" s="13"/>
      <c r="V601" s="13"/>
      <c r="W601" s="13" t="e">
        <f ca="1">$N601-$P601-$Q601+$S601-$T601-IF(ROUNDUP(IF(ISBLANK($V601),$U601*0,$V601)/IF($D$2="Egyszeri",VLOOKUP($B601+IF($C601=12,1,0),Paraméterek!$V$257:$W$262,2),IF($B601=1,1,VLOOKUP($B601+IF($C601=12,1,0),Paraméterek!$I$258:$T$278,HLOOKUP($M$11+1,Paraméterek!$J$256:$T$257,2)))),IF($D$4="Forint",0,2))&gt;$N601-$P601-$Q601+$S601-$T601-IF($D$4="Forint",Paraméterek!$C$216,Paraméterek!$D$216),0,ROUNDUP(IF(ISBLANK($V601),$U601*0,$V601)/IF($D$2="Egyszeri",VLOOKUP($B601+IF($C601=12,1,0),Paraméterek!$V$257:$W$262,2),IF($B601=1,1,VLOOKUP($B601+IF($C601=12,1,0),Paraméterek!$I$258:$T$278,HLOOKUP($M$11+1,Paraméterek!$J$256:$T$257,2)))),IF($D$4="Forint",0,2)))</f>
        <v>#N/A</v>
      </c>
      <c r="X601" s="13" t="e">
        <f ca="1">ROUNDDOWN($W601*IF($D$2="Egyszeri",VLOOKUP($B601+IF($C601=12,1,0),Paraméterek!$V$257:$W$262,2),VLOOKUP($B601+IF($C601=12,1,0),Paraméterek!$I$258:$T$278,HLOOKUP($M$11+1,Paraméterek!$I$256:$T$257,2))),IF($D$4="Forint",0,2))</f>
        <v>#N/A</v>
      </c>
      <c r="Z601" s="32">
        <v>582</v>
      </c>
      <c r="AA601" s="32">
        <v>49</v>
      </c>
      <c r="AB601" s="32">
        <v>6</v>
      </c>
      <c r="AC601" s="13">
        <f t="shared" ca="1" si="214"/>
        <v>0</v>
      </c>
      <c r="AD601" s="33"/>
      <c r="AE601" s="13">
        <f t="shared" ca="1" si="206"/>
        <v>0</v>
      </c>
      <c r="AF601" s="13">
        <f ca="1">ROUNDUP(($AC601+$AE601)*VLOOKUP($AA601,Paraméterek!$P$38:$Q$38,2)/12*IF($D602="Nem",IF($M$13=0,1,$M$13),1),IF($D$4="Forint",0,2))</f>
        <v>0</v>
      </c>
      <c r="AG601" s="13">
        <f ca="1">IF($D$2="Egyszeri",IF($D$7&gt;=IF($D$4="Forint",Paraméterek!$P$223,Paraméterek!$P$224),$D$7-IF($D$4="Forint",Paraméterek!$P$223,Paraméterek!$P$224),0),MIN(IF($AB601=12,AVERAGEIF($E$20:$E601,"&gt;0",$E$20:$E601)*12,0),SUM($E$20:$E$31)))</f>
        <v>0</v>
      </c>
      <c r="AH601" s="13">
        <f>IF($AA601=10,$AG601*IF($AB601=12,IF($AG601&lt;IF($D$4="Forint",Paraméterek!$L$223,Paraméterek!$L$224),0,VLOOKUP($AA601,Paraméterek!$K$226:$M$228,IF($AG601&lt;IF($D$4="Forint",Paraméterek!$M$223,Paraméterek!$M$224),2,3))),0),0)</f>
        <v>0</v>
      </c>
      <c r="AI601" s="13">
        <f ca="1">IF(AND($AA601=$M$11+1,$AB601=$M$12+1),SUMIF($AA$20:$AA$1027,$AA601,$AG$20:$AG$1027)*IF(SUMIF($AA$20:$AA$1027,$AA601,$AG$20:$AG$1027)&lt;IF($D$4="Forint",Paraméterek!$L$223,Paraméterek!$L$224),0,VLOOKUP($AA601,Paraméterek!$K$230:$M$250,IF(SUMIF($AA$20:$AA$1027,$AA601,$AG$20:$AG$1027)&lt;IF($D$4="Forint",Paraméterek!$M$223,Paraméterek!$M$224),2,3))),0)</f>
        <v>0</v>
      </c>
      <c r="AJ601" s="13">
        <f ca="1">IF(AND($AA601&gt;=5,MOD($AA601,5)=0),IF($AB601=12,VLOOKUP($AA601,Paraméterek!$O$225:$P$240,2),0),IF(OR($AA601=3,$AA601=4),IF($AB601=12,VLOOKUP($AA601,Paraméterek!$O$225:$P$240,2,0),0),0))*$AG601</f>
        <v>0</v>
      </c>
      <c r="AK601" s="13">
        <f t="shared" ca="1" si="207"/>
        <v>0</v>
      </c>
      <c r="AL601" s="13">
        <f t="shared" ca="1" si="215"/>
        <v>0</v>
      </c>
      <c r="AM601" s="13">
        <f t="shared" ca="1" si="216"/>
        <v>0</v>
      </c>
      <c r="AO601" s="32">
        <v>582</v>
      </c>
      <c r="AP601" s="32">
        <v>49</v>
      </c>
      <c r="AQ601" s="32">
        <v>6</v>
      </c>
      <c r="AR601" s="13"/>
      <c r="AS601" s="32"/>
      <c r="AT601" s="13">
        <f t="shared" ca="1" si="217"/>
        <v>0</v>
      </c>
      <c r="AU601" s="33"/>
      <c r="AV601" s="13">
        <f t="shared" ca="1" si="208"/>
        <v>0</v>
      </c>
      <c r="AW601" s="13">
        <f ca="1">ROUNDUP(($AT601+$AV601)*VLOOKUP($AP601,Paraméterek!$P$38:$Q$38,2)/12*IF($D602="Nem",IF($M$13=0,1,$M$13),1),IF($D$4="Forint",0,2))</f>
        <v>0</v>
      </c>
      <c r="AX601" s="13"/>
      <c r="AY601" s="13"/>
      <c r="AZ601" s="13">
        <f>ROUNDUP(IF(SUM($AX601:$AY601)=0,0,IF(IF(ISBLANK($AY601),$AX601,$AY601)*Paraméterek!$J$112&lt;IF($D$4="Forint",Paraméterek!$J$113,Paraméterek!$K$113),IF($D$4="Forint",Paraméterek!$J$113,Paraméterek!$K$113),IF(IF(ISBLANK($AY601),$AX601,$AY601)*Paraméterek!$J$112&gt;IF($D$4="Forint",Paraméterek!$J$114,Paraméterek!$K$114),IF($D$4="Forint",Paraméterek!$J$114,Paraméterek!$K$114),IF(ISBLANK($AY601),$AX601,$AY601)*Paraméterek!$J$112))),IF($D$4="Forint",0,2))</f>
        <v>0</v>
      </c>
      <c r="BA601" s="13">
        <f ca="1">$AT601+$AV601-$AW601-IF(ROUNDDOWN(IF(ISBLANK($AY601),$AX601,$AY601),IF($D$4="Forint",0,2))&gt;$AT601+$AV601-$AW601-IF($D$4="Forint",Paraméterek!$J$114,Paraméterek!$K$114),0,ROUNDDOWN(IF(ISBLANK($AY601),$AX601,$AY601),IF($D$4="Forint",0,2))-$AZ601)</f>
        <v>0</v>
      </c>
      <c r="BB601" s="13">
        <f t="shared" ca="1" si="209"/>
        <v>0</v>
      </c>
      <c r="BD601" s="32">
        <v>582</v>
      </c>
      <c r="BE601" s="32">
        <v>49</v>
      </c>
      <c r="BF601" s="32">
        <v>6</v>
      </c>
      <c r="BG601" s="34">
        <f t="shared" ca="1" si="218"/>
        <v>2067</v>
      </c>
      <c r="BH601" s="32" t="str">
        <f ca="1">IF(MOD(MONTH($D$14)+$BD601-1,12)=Paraméterek!$C$288,"Igen","")</f>
        <v/>
      </c>
      <c r="BI601" s="13">
        <f ca="1">IF($BH601="Igen",MIN(ROUNDDOWN((SUMIF($BG$20:$BG$1027,$BG601-1,$K$20:$K$1027)-SUMIF($BG$20:$BG$1027,$BG601-1,$I$20:$I$1027))*Paraméterek!$C$289,IF($D$4="Forint",0,2)),IF($D$4="Forint",Paraméterek!$C$285,Paraméterek!$D$285)),0)</f>
        <v>0</v>
      </c>
      <c r="BJ601" s="13">
        <f t="shared" ca="1" si="210"/>
        <v>0</v>
      </c>
      <c r="BK601" s="13">
        <f t="shared" ca="1" si="219"/>
        <v>0</v>
      </c>
      <c r="BL601" s="33"/>
      <c r="BM601" s="13">
        <f t="shared" ca="1" si="211"/>
        <v>0</v>
      </c>
      <c r="BN601" s="13">
        <f ca="1">ROUNDUP(($BK601+$BM601)*VLOOKUP($BE601,Paraméterek!$P$38:$Q$38,2)/12*IF($D602="Nem",IF($M$13=0,1,$M$13),1),IF($D$4="Forint",0,2))</f>
        <v>0</v>
      </c>
      <c r="BO601" s="13">
        <f t="shared" ca="1" si="212"/>
        <v>0</v>
      </c>
      <c r="BP601" s="13">
        <f ca="1">IF($D602="Nem",$BO601,$BO601-ROUNDUP(SUM($BI$20:$BI601)*120%,IF($D$4="Forint",0,2)))</f>
        <v>0</v>
      </c>
    </row>
    <row r="602" spans="1:68" x14ac:dyDescent="0.2">
      <c r="A602" s="32">
        <v>583</v>
      </c>
      <c r="B602" s="32">
        <v>49</v>
      </c>
      <c r="C602" s="32">
        <v>7</v>
      </c>
      <c r="D602" s="32" t="str">
        <f t="shared" ca="1" si="198"/>
        <v>Nem</v>
      </c>
      <c r="E602" s="13">
        <f t="shared" ca="1" si="199"/>
        <v>0</v>
      </c>
      <c r="F602" s="13"/>
      <c r="G602" s="13"/>
      <c r="H602" s="13"/>
      <c r="I602" s="13">
        <f t="shared" ca="1" si="200"/>
        <v>0</v>
      </c>
      <c r="J602" s="13">
        <f t="shared" ca="1" si="201"/>
        <v>0</v>
      </c>
      <c r="K602" s="13">
        <f t="shared" ca="1" si="202"/>
        <v>0</v>
      </c>
      <c r="L602" s="13" t="e">
        <f ca="1">ROUNDUP(IF($D$2="Egyszeri",$E602,IF($D$2="Havi",SUM($E$20:$E$31),IF(MOD($C602,$M$1)-1=0,SUM($E$20:$E$31),0))/12*$M$1)*VLOOKUP($B602,Paraméterek!$I$28:$P$31,IF($D$2="Egyszeri",8,HLOOKUP(ROUNDUP($M$11+$M$13,0),Paraméterek!$J$26:$O$27,2))),IF($D$4="Forint",0,2))</f>
        <v>#N/A</v>
      </c>
      <c r="M602" s="13">
        <f t="shared" ca="1" si="203"/>
        <v>0</v>
      </c>
      <c r="N602" s="13">
        <f t="shared" ca="1" si="213"/>
        <v>0</v>
      </c>
      <c r="O602" s="13">
        <f ca="1">IF($D602="Igen",IF($W601&gt;=IF($D$4="Forint",Paraméterek!$J$121,Paraméterek!$K$121),0,IF($D$4="Forint",Paraméterek!$J$121,Paraméterek!$K$121)-$W601),0)</f>
        <v>0</v>
      </c>
      <c r="P602" s="13" t="e">
        <f ca="1">ROUNDUP($O602*VLOOKUP($M$4+$B602-1,Paraméterek!$H$58:$I$105,2,0)/Paraméterek!$I$56,IF($D$4="Forint",0,2))</f>
        <v>#N/A</v>
      </c>
      <c r="Q602" s="13">
        <f t="shared" ca="1" si="204"/>
        <v>0</v>
      </c>
      <c r="R602" s="33"/>
      <c r="S602" s="13" t="e">
        <f t="shared" ca="1" si="205"/>
        <v>#N/A</v>
      </c>
      <c r="T602" s="13" t="e">
        <f ca="1">ROUNDUP(($N602-$P602-$Q602+$S602)*VLOOKUP($B602,Paraméterek!$I$38:$K$39,IF($D$2="Egyszeri",3,2))/12*IF($D603="Nem",IF($M$13=0,1,$M$13),1),IF($D$4="Forint",0,2))</f>
        <v>#N/A</v>
      </c>
      <c r="U602" s="13"/>
      <c r="V602" s="13"/>
      <c r="W602" s="13" t="e">
        <f ca="1">$N602-$P602-$Q602+$S602-$T602-IF(ROUNDUP(IF(ISBLANK($V602),$U602*0,$V602)/IF($D$2="Egyszeri",VLOOKUP($B602+IF($C602=12,1,0),Paraméterek!$V$257:$W$262,2),IF($B602=1,1,VLOOKUP($B602+IF($C602=12,1,0),Paraméterek!$I$258:$T$278,HLOOKUP($M$11+1,Paraméterek!$J$256:$T$257,2)))),IF($D$4="Forint",0,2))&gt;$N602-$P602-$Q602+$S602-$T602-IF($D$4="Forint",Paraméterek!$C$216,Paraméterek!$D$216),0,ROUNDUP(IF(ISBLANK($V602),$U602*0,$V602)/IF($D$2="Egyszeri",VLOOKUP($B602+IF($C602=12,1,0),Paraméterek!$V$257:$W$262,2),IF($B602=1,1,VLOOKUP($B602+IF($C602=12,1,0),Paraméterek!$I$258:$T$278,HLOOKUP($M$11+1,Paraméterek!$J$256:$T$257,2)))),IF($D$4="Forint",0,2)))</f>
        <v>#N/A</v>
      </c>
      <c r="X602" s="13" t="e">
        <f ca="1">ROUNDDOWN($W602*IF($D$2="Egyszeri",VLOOKUP($B602+IF($C602=12,1,0),Paraméterek!$V$257:$W$262,2),VLOOKUP($B602+IF($C602=12,1,0),Paraméterek!$I$258:$T$278,HLOOKUP($M$11+1,Paraméterek!$I$256:$T$257,2))),IF($D$4="Forint",0,2))</f>
        <v>#N/A</v>
      </c>
      <c r="Z602" s="32">
        <v>583</v>
      </c>
      <c r="AA602" s="32">
        <v>49</v>
      </c>
      <c r="AB602" s="32">
        <v>7</v>
      </c>
      <c r="AC602" s="13">
        <f t="shared" ca="1" si="214"/>
        <v>0</v>
      </c>
      <c r="AD602" s="33"/>
      <c r="AE602" s="13">
        <f t="shared" ca="1" si="206"/>
        <v>0</v>
      </c>
      <c r="AF602" s="13">
        <f ca="1">ROUNDUP(($AC602+$AE602)*VLOOKUP($AA602,Paraméterek!$P$38:$Q$38,2)/12*IF($D603="Nem",IF($M$13=0,1,$M$13),1),IF($D$4="Forint",0,2))</f>
        <v>0</v>
      </c>
      <c r="AG602" s="13">
        <f ca="1">IF($D$2="Egyszeri",IF($D$7&gt;=IF($D$4="Forint",Paraméterek!$P$223,Paraméterek!$P$224),$D$7-IF($D$4="Forint",Paraméterek!$P$223,Paraméterek!$P$224),0),MIN(IF($AB602=12,AVERAGEIF($E$20:$E602,"&gt;0",$E$20:$E602)*12,0),SUM($E$20:$E$31)))</f>
        <v>0</v>
      </c>
      <c r="AH602" s="13">
        <f>IF($AA602=10,$AG602*IF($AB602=12,IF($AG602&lt;IF($D$4="Forint",Paraméterek!$L$223,Paraméterek!$L$224),0,VLOOKUP($AA602,Paraméterek!$K$226:$M$228,IF($AG602&lt;IF($D$4="Forint",Paraméterek!$M$223,Paraméterek!$M$224),2,3))),0),0)</f>
        <v>0</v>
      </c>
      <c r="AI602" s="13">
        <f ca="1">IF(AND($AA602=$M$11+1,$AB602=$M$12+1),SUMIF($AA$20:$AA$1027,$AA602,$AG$20:$AG$1027)*IF(SUMIF($AA$20:$AA$1027,$AA602,$AG$20:$AG$1027)&lt;IF($D$4="Forint",Paraméterek!$L$223,Paraméterek!$L$224),0,VLOOKUP($AA602,Paraméterek!$K$230:$M$250,IF(SUMIF($AA$20:$AA$1027,$AA602,$AG$20:$AG$1027)&lt;IF($D$4="Forint",Paraméterek!$M$223,Paraméterek!$M$224),2,3))),0)</f>
        <v>0</v>
      </c>
      <c r="AJ602" s="13">
        <f ca="1">IF(AND($AA602&gt;=5,MOD($AA602,5)=0),IF($AB602=12,VLOOKUP($AA602,Paraméterek!$O$225:$P$240,2),0),IF(OR($AA602=3,$AA602=4),IF($AB602=12,VLOOKUP($AA602,Paraméterek!$O$225:$P$240,2,0),0),0))*$AG602</f>
        <v>0</v>
      </c>
      <c r="AK602" s="13">
        <f t="shared" ca="1" si="207"/>
        <v>0</v>
      </c>
      <c r="AL602" s="13">
        <f t="shared" ca="1" si="215"/>
        <v>0</v>
      </c>
      <c r="AM602" s="13">
        <f t="shared" ca="1" si="216"/>
        <v>0</v>
      </c>
      <c r="AO602" s="32">
        <v>583</v>
      </c>
      <c r="AP602" s="32">
        <v>49</v>
      </c>
      <c r="AQ602" s="32">
        <v>7</v>
      </c>
      <c r="AR602" s="13"/>
      <c r="AS602" s="32"/>
      <c r="AT602" s="13">
        <f t="shared" ca="1" si="217"/>
        <v>0</v>
      </c>
      <c r="AU602" s="33"/>
      <c r="AV602" s="13">
        <f t="shared" ca="1" si="208"/>
        <v>0</v>
      </c>
      <c r="AW602" s="13">
        <f ca="1">ROUNDUP(($AT602+$AV602)*VLOOKUP($AP602,Paraméterek!$P$38:$Q$38,2)/12*IF($D603="Nem",IF($M$13=0,1,$M$13),1),IF($D$4="Forint",0,2))</f>
        <v>0</v>
      </c>
      <c r="AX602" s="13"/>
      <c r="AY602" s="13"/>
      <c r="AZ602" s="13">
        <f>ROUNDUP(IF(SUM($AX602:$AY602)=0,0,IF(IF(ISBLANK($AY602),$AX602,$AY602)*Paraméterek!$J$112&lt;IF($D$4="Forint",Paraméterek!$J$113,Paraméterek!$K$113),IF($D$4="Forint",Paraméterek!$J$113,Paraméterek!$K$113),IF(IF(ISBLANK($AY602),$AX602,$AY602)*Paraméterek!$J$112&gt;IF($D$4="Forint",Paraméterek!$J$114,Paraméterek!$K$114),IF($D$4="Forint",Paraméterek!$J$114,Paraméterek!$K$114),IF(ISBLANK($AY602),$AX602,$AY602)*Paraméterek!$J$112))),IF($D$4="Forint",0,2))</f>
        <v>0</v>
      </c>
      <c r="BA602" s="13">
        <f ca="1">$AT602+$AV602-$AW602-IF(ROUNDDOWN(IF(ISBLANK($AY602),$AX602,$AY602),IF($D$4="Forint",0,2))&gt;$AT602+$AV602-$AW602-IF($D$4="Forint",Paraméterek!$J$114,Paraméterek!$K$114),0,ROUNDDOWN(IF(ISBLANK($AY602),$AX602,$AY602),IF($D$4="Forint",0,2))-$AZ602)</f>
        <v>0</v>
      </c>
      <c r="BB602" s="13">
        <f t="shared" ca="1" si="209"/>
        <v>0</v>
      </c>
      <c r="BD602" s="32">
        <v>583</v>
      </c>
      <c r="BE602" s="32">
        <v>49</v>
      </c>
      <c r="BF602" s="32">
        <v>7</v>
      </c>
      <c r="BG602" s="34">
        <f t="shared" ca="1" si="218"/>
        <v>2067</v>
      </c>
      <c r="BH602" s="32" t="str">
        <f ca="1">IF(MOD(MONTH($D$14)+$BD602-1,12)=Paraméterek!$C$288,"Igen","")</f>
        <v/>
      </c>
      <c r="BI602" s="13">
        <f ca="1">IF($BH602="Igen",MIN(ROUNDDOWN((SUMIF($BG$20:$BG$1027,$BG602-1,$K$20:$K$1027)-SUMIF($BG$20:$BG$1027,$BG602-1,$I$20:$I$1027))*Paraméterek!$C$289,IF($D$4="Forint",0,2)),IF($D$4="Forint",Paraméterek!$C$285,Paraméterek!$D$285)),0)</f>
        <v>0</v>
      </c>
      <c r="BJ602" s="13">
        <f t="shared" ca="1" si="210"/>
        <v>0</v>
      </c>
      <c r="BK602" s="13">
        <f t="shared" ca="1" si="219"/>
        <v>0</v>
      </c>
      <c r="BL602" s="33"/>
      <c r="BM602" s="13">
        <f t="shared" ca="1" si="211"/>
        <v>0</v>
      </c>
      <c r="BN602" s="13">
        <f ca="1">ROUNDUP(($BK602+$BM602)*VLOOKUP($BE602,Paraméterek!$P$38:$Q$38,2)/12*IF($D603="Nem",IF($M$13=0,1,$M$13),1),IF($D$4="Forint",0,2))</f>
        <v>0</v>
      </c>
      <c r="BO602" s="13">
        <f t="shared" ca="1" si="212"/>
        <v>0</v>
      </c>
      <c r="BP602" s="13">
        <f ca="1">IF($D603="Nem",$BO602,$BO602-ROUNDUP(SUM($BI$20:$BI602)*120%,IF($D$4="Forint",0,2)))</f>
        <v>0</v>
      </c>
    </row>
    <row r="603" spans="1:68" x14ac:dyDescent="0.2">
      <c r="A603" s="32">
        <v>584</v>
      </c>
      <c r="B603" s="32">
        <v>49</v>
      </c>
      <c r="C603" s="32">
        <v>8</v>
      </c>
      <c r="D603" s="32" t="str">
        <f t="shared" ca="1" si="198"/>
        <v>Nem</v>
      </c>
      <c r="E603" s="13">
        <f t="shared" ca="1" si="199"/>
        <v>0</v>
      </c>
      <c r="F603" s="13"/>
      <c r="G603" s="13"/>
      <c r="H603" s="13"/>
      <c r="I603" s="13">
        <f t="shared" ca="1" si="200"/>
        <v>0</v>
      </c>
      <c r="J603" s="13">
        <f t="shared" ca="1" si="201"/>
        <v>0</v>
      </c>
      <c r="K603" s="13">
        <f t="shared" ca="1" si="202"/>
        <v>0</v>
      </c>
      <c r="L603" s="13" t="e">
        <f ca="1">ROUNDUP(IF($D$2="Egyszeri",$E603,IF($D$2="Havi",SUM($E$20:$E$31),IF(MOD($C603,$M$1)-1=0,SUM($E$20:$E$31),0))/12*$M$1)*VLOOKUP($B603,Paraméterek!$I$28:$P$31,IF($D$2="Egyszeri",8,HLOOKUP(ROUNDUP($M$11+$M$13,0),Paraméterek!$J$26:$O$27,2))),IF($D$4="Forint",0,2))</f>
        <v>#N/A</v>
      </c>
      <c r="M603" s="13">
        <f t="shared" ca="1" si="203"/>
        <v>0</v>
      </c>
      <c r="N603" s="13">
        <f t="shared" ca="1" si="213"/>
        <v>0</v>
      </c>
      <c r="O603" s="13">
        <f ca="1">IF($D603="Igen",IF($W602&gt;=IF($D$4="Forint",Paraméterek!$J$121,Paraméterek!$K$121),0,IF($D$4="Forint",Paraméterek!$J$121,Paraméterek!$K$121)-$W602),0)</f>
        <v>0</v>
      </c>
      <c r="P603" s="13" t="e">
        <f ca="1">ROUNDUP($O603*VLOOKUP($M$4+$B603-1,Paraméterek!$H$58:$I$105,2,0)/Paraméterek!$I$56,IF($D$4="Forint",0,2))</f>
        <v>#N/A</v>
      </c>
      <c r="Q603" s="13">
        <f t="shared" ca="1" si="204"/>
        <v>0</v>
      </c>
      <c r="R603" s="33"/>
      <c r="S603" s="13" t="e">
        <f t="shared" ca="1" si="205"/>
        <v>#N/A</v>
      </c>
      <c r="T603" s="13" t="e">
        <f ca="1">ROUNDUP(($N603-$P603-$Q603+$S603)*VLOOKUP($B603,Paraméterek!$I$38:$K$39,IF($D$2="Egyszeri",3,2))/12*IF($D604="Nem",IF($M$13=0,1,$M$13),1),IF($D$4="Forint",0,2))</f>
        <v>#N/A</v>
      </c>
      <c r="U603" s="13"/>
      <c r="V603" s="13"/>
      <c r="W603" s="13" t="e">
        <f ca="1">$N603-$P603-$Q603+$S603-$T603-IF(ROUNDUP(IF(ISBLANK($V603),$U603*0,$V603)/IF($D$2="Egyszeri",VLOOKUP($B603+IF($C603=12,1,0),Paraméterek!$V$257:$W$262,2),IF($B603=1,1,VLOOKUP($B603+IF($C603=12,1,0),Paraméterek!$I$258:$T$278,HLOOKUP($M$11+1,Paraméterek!$J$256:$T$257,2)))),IF($D$4="Forint",0,2))&gt;$N603-$P603-$Q603+$S603-$T603-IF($D$4="Forint",Paraméterek!$C$216,Paraméterek!$D$216),0,ROUNDUP(IF(ISBLANK($V603),$U603*0,$V603)/IF($D$2="Egyszeri",VLOOKUP($B603+IF($C603=12,1,0),Paraméterek!$V$257:$W$262,2),IF($B603=1,1,VLOOKUP($B603+IF($C603=12,1,0),Paraméterek!$I$258:$T$278,HLOOKUP($M$11+1,Paraméterek!$J$256:$T$257,2)))),IF($D$4="Forint",0,2)))</f>
        <v>#N/A</v>
      </c>
      <c r="X603" s="13" t="e">
        <f ca="1">ROUNDDOWN($W603*IF($D$2="Egyszeri",VLOOKUP($B603+IF($C603=12,1,0),Paraméterek!$V$257:$W$262,2),VLOOKUP($B603+IF($C603=12,1,0),Paraméterek!$I$258:$T$278,HLOOKUP($M$11+1,Paraméterek!$I$256:$T$257,2))),IF($D$4="Forint",0,2))</f>
        <v>#N/A</v>
      </c>
      <c r="Z603" s="32">
        <v>584</v>
      </c>
      <c r="AA603" s="32">
        <v>49</v>
      </c>
      <c r="AB603" s="32">
        <v>8</v>
      </c>
      <c r="AC603" s="13">
        <f t="shared" ca="1" si="214"/>
        <v>0</v>
      </c>
      <c r="AD603" s="33"/>
      <c r="AE603" s="13">
        <f t="shared" ca="1" si="206"/>
        <v>0</v>
      </c>
      <c r="AF603" s="13">
        <f ca="1">ROUNDUP(($AC603+$AE603)*VLOOKUP($AA603,Paraméterek!$P$38:$Q$38,2)/12*IF($D604="Nem",IF($M$13=0,1,$M$13),1),IF($D$4="Forint",0,2))</f>
        <v>0</v>
      </c>
      <c r="AG603" s="13">
        <f ca="1">IF($D$2="Egyszeri",IF($D$7&gt;=IF($D$4="Forint",Paraméterek!$P$223,Paraméterek!$P$224),$D$7-IF($D$4="Forint",Paraméterek!$P$223,Paraméterek!$P$224),0),MIN(IF($AB603=12,AVERAGEIF($E$20:$E603,"&gt;0",$E$20:$E603)*12,0),SUM($E$20:$E$31)))</f>
        <v>0</v>
      </c>
      <c r="AH603" s="13">
        <f>IF($AA603=10,$AG603*IF($AB603=12,IF($AG603&lt;IF($D$4="Forint",Paraméterek!$L$223,Paraméterek!$L$224),0,VLOOKUP($AA603,Paraméterek!$K$226:$M$228,IF($AG603&lt;IF($D$4="Forint",Paraméterek!$M$223,Paraméterek!$M$224),2,3))),0),0)</f>
        <v>0</v>
      </c>
      <c r="AI603" s="13">
        <f ca="1">IF(AND($AA603=$M$11+1,$AB603=$M$12+1),SUMIF($AA$20:$AA$1027,$AA603,$AG$20:$AG$1027)*IF(SUMIF($AA$20:$AA$1027,$AA603,$AG$20:$AG$1027)&lt;IF($D$4="Forint",Paraméterek!$L$223,Paraméterek!$L$224),0,VLOOKUP($AA603,Paraméterek!$K$230:$M$250,IF(SUMIF($AA$20:$AA$1027,$AA603,$AG$20:$AG$1027)&lt;IF($D$4="Forint",Paraméterek!$M$223,Paraméterek!$M$224),2,3))),0)</f>
        <v>0</v>
      </c>
      <c r="AJ603" s="13">
        <f ca="1">IF(AND($AA603&gt;=5,MOD($AA603,5)=0),IF($AB603=12,VLOOKUP($AA603,Paraméterek!$O$225:$P$240,2),0),IF(OR($AA603=3,$AA603=4),IF($AB603=12,VLOOKUP($AA603,Paraméterek!$O$225:$P$240,2,0),0),0))*$AG603</f>
        <v>0</v>
      </c>
      <c r="AK603" s="13">
        <f t="shared" ca="1" si="207"/>
        <v>0</v>
      </c>
      <c r="AL603" s="13">
        <f t="shared" ca="1" si="215"/>
        <v>0</v>
      </c>
      <c r="AM603" s="13">
        <f t="shared" ca="1" si="216"/>
        <v>0</v>
      </c>
      <c r="AO603" s="32">
        <v>584</v>
      </c>
      <c r="AP603" s="32">
        <v>49</v>
      </c>
      <c r="AQ603" s="32">
        <v>8</v>
      </c>
      <c r="AR603" s="13"/>
      <c r="AS603" s="32"/>
      <c r="AT603" s="13">
        <f t="shared" ca="1" si="217"/>
        <v>0</v>
      </c>
      <c r="AU603" s="33"/>
      <c r="AV603" s="13">
        <f t="shared" ca="1" si="208"/>
        <v>0</v>
      </c>
      <c r="AW603" s="13">
        <f ca="1">ROUNDUP(($AT603+$AV603)*VLOOKUP($AP603,Paraméterek!$P$38:$Q$38,2)/12*IF($D604="Nem",IF($M$13=0,1,$M$13),1),IF($D$4="Forint",0,2))</f>
        <v>0</v>
      </c>
      <c r="AX603" s="13"/>
      <c r="AY603" s="13"/>
      <c r="AZ603" s="13">
        <f>ROUNDUP(IF(SUM($AX603:$AY603)=0,0,IF(IF(ISBLANK($AY603),$AX603,$AY603)*Paraméterek!$J$112&lt;IF($D$4="Forint",Paraméterek!$J$113,Paraméterek!$K$113),IF($D$4="Forint",Paraméterek!$J$113,Paraméterek!$K$113),IF(IF(ISBLANK($AY603),$AX603,$AY603)*Paraméterek!$J$112&gt;IF($D$4="Forint",Paraméterek!$J$114,Paraméterek!$K$114),IF($D$4="Forint",Paraméterek!$J$114,Paraméterek!$K$114),IF(ISBLANK($AY603),$AX603,$AY603)*Paraméterek!$J$112))),IF($D$4="Forint",0,2))</f>
        <v>0</v>
      </c>
      <c r="BA603" s="13">
        <f ca="1">$AT603+$AV603-$AW603-IF(ROUNDDOWN(IF(ISBLANK($AY603),$AX603,$AY603),IF($D$4="Forint",0,2))&gt;$AT603+$AV603-$AW603-IF($D$4="Forint",Paraméterek!$J$114,Paraméterek!$K$114),0,ROUNDDOWN(IF(ISBLANK($AY603),$AX603,$AY603),IF($D$4="Forint",0,2))-$AZ603)</f>
        <v>0</v>
      </c>
      <c r="BB603" s="13">
        <f t="shared" ca="1" si="209"/>
        <v>0</v>
      </c>
      <c r="BD603" s="32">
        <v>584</v>
      </c>
      <c r="BE603" s="32">
        <v>49</v>
      </c>
      <c r="BF603" s="32">
        <v>8</v>
      </c>
      <c r="BG603" s="34">
        <f t="shared" ca="1" si="218"/>
        <v>2068</v>
      </c>
      <c r="BH603" s="32" t="str">
        <f ca="1">IF(MOD(MONTH($D$14)+$BD603-1,12)=Paraméterek!$C$288,"Igen","")</f>
        <v/>
      </c>
      <c r="BI603" s="13">
        <f ca="1">IF($BH603="Igen",MIN(ROUNDDOWN((SUMIF($BG$20:$BG$1027,$BG603-1,$K$20:$K$1027)-SUMIF($BG$20:$BG$1027,$BG603-1,$I$20:$I$1027))*Paraméterek!$C$289,IF($D$4="Forint",0,2)),IF($D$4="Forint",Paraméterek!$C$285,Paraméterek!$D$285)),0)</f>
        <v>0</v>
      </c>
      <c r="BJ603" s="13">
        <f t="shared" ca="1" si="210"/>
        <v>0</v>
      </c>
      <c r="BK603" s="13">
        <f t="shared" ca="1" si="219"/>
        <v>0</v>
      </c>
      <c r="BL603" s="33"/>
      <c r="BM603" s="13">
        <f t="shared" ca="1" si="211"/>
        <v>0</v>
      </c>
      <c r="BN603" s="13">
        <f ca="1">ROUNDUP(($BK603+$BM603)*VLOOKUP($BE603,Paraméterek!$P$38:$Q$38,2)/12*IF($D604="Nem",IF($M$13=0,1,$M$13),1),IF($D$4="Forint",0,2))</f>
        <v>0</v>
      </c>
      <c r="BO603" s="13">
        <f t="shared" ca="1" si="212"/>
        <v>0</v>
      </c>
      <c r="BP603" s="13">
        <f ca="1">IF($D604="Nem",$BO603,$BO603-ROUNDUP(SUM($BI$20:$BI603)*120%,IF($D$4="Forint",0,2)))</f>
        <v>0</v>
      </c>
    </row>
    <row r="604" spans="1:68" x14ac:dyDescent="0.2">
      <c r="A604" s="32">
        <v>585</v>
      </c>
      <c r="B604" s="32">
        <v>49</v>
      </c>
      <c r="C604" s="32">
        <v>9</v>
      </c>
      <c r="D604" s="32" t="str">
        <f t="shared" ca="1" si="198"/>
        <v>Nem</v>
      </c>
      <c r="E604" s="13">
        <f t="shared" ca="1" si="199"/>
        <v>0</v>
      </c>
      <c r="F604" s="13"/>
      <c r="G604" s="13"/>
      <c r="H604" s="13"/>
      <c r="I604" s="13">
        <f t="shared" ca="1" si="200"/>
        <v>0</v>
      </c>
      <c r="J604" s="13">
        <f t="shared" ca="1" si="201"/>
        <v>0</v>
      </c>
      <c r="K604" s="13">
        <f t="shared" ca="1" si="202"/>
        <v>0</v>
      </c>
      <c r="L604" s="13" t="e">
        <f ca="1">ROUNDUP(IF($D$2="Egyszeri",$E604,IF($D$2="Havi",SUM($E$20:$E$31),IF(MOD($C604,$M$1)-1=0,SUM($E$20:$E$31),0))/12*$M$1)*VLOOKUP($B604,Paraméterek!$I$28:$P$31,IF($D$2="Egyszeri",8,HLOOKUP(ROUNDUP($M$11+$M$13,0),Paraméterek!$J$26:$O$27,2))),IF($D$4="Forint",0,2))</f>
        <v>#N/A</v>
      </c>
      <c r="M604" s="13">
        <f t="shared" ca="1" si="203"/>
        <v>0</v>
      </c>
      <c r="N604" s="13">
        <f t="shared" ca="1" si="213"/>
        <v>0</v>
      </c>
      <c r="O604" s="13">
        <f ca="1">IF($D604="Igen",IF($W603&gt;=IF($D$4="Forint",Paraméterek!$J$121,Paraméterek!$K$121),0,IF($D$4="Forint",Paraméterek!$J$121,Paraméterek!$K$121)-$W603),0)</f>
        <v>0</v>
      </c>
      <c r="P604" s="13" t="e">
        <f ca="1">ROUNDUP($O604*VLOOKUP($M$4+$B604-1,Paraméterek!$H$58:$I$105,2,0)/Paraméterek!$I$56,IF($D$4="Forint",0,2))</f>
        <v>#N/A</v>
      </c>
      <c r="Q604" s="13">
        <f t="shared" ca="1" si="204"/>
        <v>0</v>
      </c>
      <c r="R604" s="33"/>
      <c r="S604" s="13" t="e">
        <f t="shared" ca="1" si="205"/>
        <v>#N/A</v>
      </c>
      <c r="T604" s="13" t="e">
        <f ca="1">ROUNDUP(($N604-$P604-$Q604+$S604)*VLOOKUP($B604,Paraméterek!$I$38:$K$39,IF($D$2="Egyszeri",3,2))/12*IF($D605="Nem",IF($M$13=0,1,$M$13),1),IF($D$4="Forint",0,2))</f>
        <v>#N/A</v>
      </c>
      <c r="U604" s="13"/>
      <c r="V604" s="13"/>
      <c r="W604" s="13" t="e">
        <f ca="1">$N604-$P604-$Q604+$S604-$T604-IF(ROUNDUP(IF(ISBLANK($V604),$U604*0,$V604)/IF($D$2="Egyszeri",VLOOKUP($B604+IF($C604=12,1,0),Paraméterek!$V$257:$W$262,2),IF($B604=1,1,VLOOKUP($B604+IF($C604=12,1,0),Paraméterek!$I$258:$T$278,HLOOKUP($M$11+1,Paraméterek!$J$256:$T$257,2)))),IF($D$4="Forint",0,2))&gt;$N604-$P604-$Q604+$S604-$T604-IF($D$4="Forint",Paraméterek!$C$216,Paraméterek!$D$216),0,ROUNDUP(IF(ISBLANK($V604),$U604*0,$V604)/IF($D$2="Egyszeri",VLOOKUP($B604+IF($C604=12,1,0),Paraméterek!$V$257:$W$262,2),IF($B604=1,1,VLOOKUP($B604+IF($C604=12,1,0),Paraméterek!$I$258:$T$278,HLOOKUP($M$11+1,Paraméterek!$J$256:$T$257,2)))),IF($D$4="Forint",0,2)))</f>
        <v>#N/A</v>
      </c>
      <c r="X604" s="13" t="e">
        <f ca="1">ROUNDDOWN($W604*IF($D$2="Egyszeri",VLOOKUP($B604+IF($C604=12,1,0),Paraméterek!$V$257:$W$262,2),VLOOKUP($B604+IF($C604=12,1,0),Paraméterek!$I$258:$T$278,HLOOKUP($M$11+1,Paraméterek!$I$256:$T$257,2))),IF($D$4="Forint",0,2))</f>
        <v>#N/A</v>
      </c>
      <c r="Z604" s="32">
        <v>585</v>
      </c>
      <c r="AA604" s="32">
        <v>49</v>
      </c>
      <c r="AB604" s="32">
        <v>9</v>
      </c>
      <c r="AC604" s="13">
        <f t="shared" ca="1" si="214"/>
        <v>0</v>
      </c>
      <c r="AD604" s="33"/>
      <c r="AE604" s="13">
        <f t="shared" ca="1" si="206"/>
        <v>0</v>
      </c>
      <c r="AF604" s="13">
        <f ca="1">ROUNDUP(($AC604+$AE604)*VLOOKUP($AA604,Paraméterek!$P$38:$Q$38,2)/12*IF($D605="Nem",IF($M$13=0,1,$M$13),1),IF($D$4="Forint",0,2))</f>
        <v>0</v>
      </c>
      <c r="AG604" s="13">
        <f ca="1">IF($D$2="Egyszeri",IF($D$7&gt;=IF($D$4="Forint",Paraméterek!$P$223,Paraméterek!$P$224),$D$7-IF($D$4="Forint",Paraméterek!$P$223,Paraméterek!$P$224),0),MIN(IF($AB604=12,AVERAGEIF($E$20:$E604,"&gt;0",$E$20:$E604)*12,0),SUM($E$20:$E$31)))</f>
        <v>0</v>
      </c>
      <c r="AH604" s="13">
        <f>IF($AA604=10,$AG604*IF($AB604=12,IF($AG604&lt;IF($D$4="Forint",Paraméterek!$L$223,Paraméterek!$L$224),0,VLOOKUP($AA604,Paraméterek!$K$226:$M$228,IF($AG604&lt;IF($D$4="Forint",Paraméterek!$M$223,Paraméterek!$M$224),2,3))),0),0)</f>
        <v>0</v>
      </c>
      <c r="AI604" s="13">
        <f ca="1">IF(AND($AA604=$M$11+1,$AB604=$M$12+1),SUMIF($AA$20:$AA$1027,$AA604,$AG$20:$AG$1027)*IF(SUMIF($AA$20:$AA$1027,$AA604,$AG$20:$AG$1027)&lt;IF($D$4="Forint",Paraméterek!$L$223,Paraméterek!$L$224),0,VLOOKUP($AA604,Paraméterek!$K$230:$M$250,IF(SUMIF($AA$20:$AA$1027,$AA604,$AG$20:$AG$1027)&lt;IF($D$4="Forint",Paraméterek!$M$223,Paraméterek!$M$224),2,3))),0)</f>
        <v>0</v>
      </c>
      <c r="AJ604" s="13">
        <f ca="1">IF(AND($AA604&gt;=5,MOD($AA604,5)=0),IF($AB604=12,VLOOKUP($AA604,Paraméterek!$O$225:$P$240,2),0),IF(OR($AA604=3,$AA604=4),IF($AB604=12,VLOOKUP($AA604,Paraméterek!$O$225:$P$240,2,0),0),0))*$AG604</f>
        <v>0</v>
      </c>
      <c r="AK604" s="13">
        <f t="shared" ca="1" si="207"/>
        <v>0</v>
      </c>
      <c r="AL604" s="13">
        <f t="shared" ca="1" si="215"/>
        <v>0</v>
      </c>
      <c r="AM604" s="13">
        <f t="shared" ca="1" si="216"/>
        <v>0</v>
      </c>
      <c r="AO604" s="32">
        <v>585</v>
      </c>
      <c r="AP604" s="32">
        <v>49</v>
      </c>
      <c r="AQ604" s="32">
        <v>9</v>
      </c>
      <c r="AR604" s="13"/>
      <c r="AS604" s="32"/>
      <c r="AT604" s="13">
        <f t="shared" ca="1" si="217"/>
        <v>0</v>
      </c>
      <c r="AU604" s="33"/>
      <c r="AV604" s="13">
        <f t="shared" ca="1" si="208"/>
        <v>0</v>
      </c>
      <c r="AW604" s="13">
        <f ca="1">ROUNDUP(($AT604+$AV604)*VLOOKUP($AP604,Paraméterek!$P$38:$Q$38,2)/12*IF($D605="Nem",IF($M$13=0,1,$M$13),1),IF($D$4="Forint",0,2))</f>
        <v>0</v>
      </c>
      <c r="AX604" s="13"/>
      <c r="AY604" s="13"/>
      <c r="AZ604" s="13">
        <f>ROUNDUP(IF(SUM($AX604:$AY604)=0,0,IF(IF(ISBLANK($AY604),$AX604,$AY604)*Paraméterek!$J$112&lt;IF($D$4="Forint",Paraméterek!$J$113,Paraméterek!$K$113),IF($D$4="Forint",Paraméterek!$J$113,Paraméterek!$K$113),IF(IF(ISBLANK($AY604),$AX604,$AY604)*Paraméterek!$J$112&gt;IF($D$4="Forint",Paraméterek!$J$114,Paraméterek!$K$114),IF($D$4="Forint",Paraméterek!$J$114,Paraméterek!$K$114),IF(ISBLANK($AY604),$AX604,$AY604)*Paraméterek!$J$112))),IF($D$4="Forint",0,2))</f>
        <v>0</v>
      </c>
      <c r="BA604" s="13">
        <f ca="1">$AT604+$AV604-$AW604-IF(ROUNDDOWN(IF(ISBLANK($AY604),$AX604,$AY604),IF($D$4="Forint",0,2))&gt;$AT604+$AV604-$AW604-IF($D$4="Forint",Paraméterek!$J$114,Paraméterek!$K$114),0,ROUNDDOWN(IF(ISBLANK($AY604),$AX604,$AY604),IF($D$4="Forint",0,2))-$AZ604)</f>
        <v>0</v>
      </c>
      <c r="BB604" s="13">
        <f t="shared" ca="1" si="209"/>
        <v>0</v>
      </c>
      <c r="BD604" s="32">
        <v>585</v>
      </c>
      <c r="BE604" s="32">
        <v>49</v>
      </c>
      <c r="BF604" s="32">
        <v>9</v>
      </c>
      <c r="BG604" s="34">
        <f t="shared" ca="1" si="218"/>
        <v>2068</v>
      </c>
      <c r="BH604" s="32" t="str">
        <f ca="1">IF(MOD(MONTH($D$14)+$BD604-1,12)=Paraméterek!$C$288,"Igen","")</f>
        <v/>
      </c>
      <c r="BI604" s="13">
        <f ca="1">IF($BH604="Igen",MIN(ROUNDDOWN((SUMIF($BG$20:$BG$1027,$BG604-1,$K$20:$K$1027)-SUMIF($BG$20:$BG$1027,$BG604-1,$I$20:$I$1027))*Paraméterek!$C$289,IF($D$4="Forint",0,2)),IF($D$4="Forint",Paraméterek!$C$285,Paraméterek!$D$285)),0)</f>
        <v>0</v>
      </c>
      <c r="BJ604" s="13">
        <f t="shared" ca="1" si="210"/>
        <v>0</v>
      </c>
      <c r="BK604" s="13">
        <f t="shared" ca="1" si="219"/>
        <v>0</v>
      </c>
      <c r="BL604" s="33"/>
      <c r="BM604" s="13">
        <f t="shared" ca="1" si="211"/>
        <v>0</v>
      </c>
      <c r="BN604" s="13">
        <f ca="1">ROUNDUP(($BK604+$BM604)*VLOOKUP($BE604,Paraméterek!$P$38:$Q$38,2)/12*IF($D605="Nem",IF($M$13=0,1,$M$13),1),IF($D$4="Forint",0,2))</f>
        <v>0</v>
      </c>
      <c r="BO604" s="13">
        <f t="shared" ca="1" si="212"/>
        <v>0</v>
      </c>
      <c r="BP604" s="13">
        <f ca="1">IF($D605="Nem",$BO604,$BO604-ROUNDUP(SUM($BI$20:$BI604)*120%,IF($D$4="Forint",0,2)))</f>
        <v>0</v>
      </c>
    </row>
    <row r="605" spans="1:68" x14ac:dyDescent="0.2">
      <c r="A605" s="32">
        <v>586</v>
      </c>
      <c r="B605" s="32">
        <v>49</v>
      </c>
      <c r="C605" s="32">
        <v>10</v>
      </c>
      <c r="D605" s="32" t="str">
        <f t="shared" ca="1" si="198"/>
        <v>Nem</v>
      </c>
      <c r="E605" s="13">
        <f t="shared" ca="1" si="199"/>
        <v>0</v>
      </c>
      <c r="F605" s="13"/>
      <c r="G605" s="13"/>
      <c r="H605" s="13"/>
      <c r="I605" s="13">
        <f t="shared" ca="1" si="200"/>
        <v>0</v>
      </c>
      <c r="J605" s="13">
        <f t="shared" ca="1" si="201"/>
        <v>0</v>
      </c>
      <c r="K605" s="13">
        <f t="shared" ca="1" si="202"/>
        <v>0</v>
      </c>
      <c r="L605" s="13" t="e">
        <f ca="1">ROUNDUP(IF($D$2="Egyszeri",$E605,IF($D$2="Havi",SUM($E$20:$E$31),IF(MOD($C605,$M$1)-1=0,SUM($E$20:$E$31),0))/12*$M$1)*VLOOKUP($B605,Paraméterek!$I$28:$P$31,IF($D$2="Egyszeri",8,HLOOKUP(ROUNDUP($M$11+$M$13,0),Paraméterek!$J$26:$O$27,2))),IF($D$4="Forint",0,2))</f>
        <v>#N/A</v>
      </c>
      <c r="M605" s="13">
        <f t="shared" ca="1" si="203"/>
        <v>0</v>
      </c>
      <c r="N605" s="13">
        <f t="shared" ca="1" si="213"/>
        <v>0</v>
      </c>
      <c r="O605" s="13">
        <f ca="1">IF($D605="Igen",IF($W604&gt;=IF($D$4="Forint",Paraméterek!$J$121,Paraméterek!$K$121),0,IF($D$4="Forint",Paraméterek!$J$121,Paraméterek!$K$121)-$W604),0)</f>
        <v>0</v>
      </c>
      <c r="P605" s="13" t="e">
        <f ca="1">ROUNDUP($O605*VLOOKUP($M$4+$B605-1,Paraméterek!$H$58:$I$105,2,0)/Paraméterek!$I$56,IF($D$4="Forint",0,2))</f>
        <v>#N/A</v>
      </c>
      <c r="Q605" s="13">
        <f t="shared" ca="1" si="204"/>
        <v>0</v>
      </c>
      <c r="R605" s="33"/>
      <c r="S605" s="13" t="e">
        <f t="shared" ca="1" si="205"/>
        <v>#N/A</v>
      </c>
      <c r="T605" s="13" t="e">
        <f ca="1">ROUNDUP(($N605-$P605-$Q605+$S605)*VLOOKUP($B605,Paraméterek!$I$38:$K$39,IF($D$2="Egyszeri",3,2))/12*IF($D606="Nem",IF($M$13=0,1,$M$13),1),IF($D$4="Forint",0,2))</f>
        <v>#N/A</v>
      </c>
      <c r="U605" s="13"/>
      <c r="V605" s="13"/>
      <c r="W605" s="13" t="e">
        <f ca="1">$N605-$P605-$Q605+$S605-$T605-IF(ROUNDUP(IF(ISBLANK($V605),$U605*0,$V605)/IF($D$2="Egyszeri",VLOOKUP($B605+IF($C605=12,1,0),Paraméterek!$V$257:$W$262,2),IF($B605=1,1,VLOOKUP($B605+IF($C605=12,1,0),Paraméterek!$I$258:$T$278,HLOOKUP($M$11+1,Paraméterek!$J$256:$T$257,2)))),IF($D$4="Forint",0,2))&gt;$N605-$P605-$Q605+$S605-$T605-IF($D$4="Forint",Paraméterek!$C$216,Paraméterek!$D$216),0,ROUNDUP(IF(ISBLANK($V605),$U605*0,$V605)/IF($D$2="Egyszeri",VLOOKUP($B605+IF($C605=12,1,0),Paraméterek!$V$257:$W$262,2),IF($B605=1,1,VLOOKUP($B605+IF($C605=12,1,0),Paraméterek!$I$258:$T$278,HLOOKUP($M$11+1,Paraméterek!$J$256:$T$257,2)))),IF($D$4="Forint",0,2)))</f>
        <v>#N/A</v>
      </c>
      <c r="X605" s="13" t="e">
        <f ca="1">ROUNDDOWN($W605*IF($D$2="Egyszeri",VLOOKUP($B605+IF($C605=12,1,0),Paraméterek!$V$257:$W$262,2),VLOOKUP($B605+IF($C605=12,1,0),Paraméterek!$I$258:$T$278,HLOOKUP($M$11+1,Paraméterek!$I$256:$T$257,2))),IF($D$4="Forint",0,2))</f>
        <v>#N/A</v>
      </c>
      <c r="Z605" s="32">
        <v>586</v>
      </c>
      <c r="AA605" s="32">
        <v>49</v>
      </c>
      <c r="AB605" s="32">
        <v>10</v>
      </c>
      <c r="AC605" s="13">
        <f t="shared" ca="1" si="214"/>
        <v>0</v>
      </c>
      <c r="AD605" s="33"/>
      <c r="AE605" s="13">
        <f t="shared" ca="1" si="206"/>
        <v>0</v>
      </c>
      <c r="AF605" s="13">
        <f ca="1">ROUNDUP(($AC605+$AE605)*VLOOKUP($AA605,Paraméterek!$P$38:$Q$38,2)/12*IF($D606="Nem",IF($M$13=0,1,$M$13),1),IF($D$4="Forint",0,2))</f>
        <v>0</v>
      </c>
      <c r="AG605" s="13">
        <f ca="1">IF($D$2="Egyszeri",IF($D$7&gt;=IF($D$4="Forint",Paraméterek!$P$223,Paraméterek!$P$224),$D$7-IF($D$4="Forint",Paraméterek!$P$223,Paraméterek!$P$224),0),MIN(IF($AB605=12,AVERAGEIF($E$20:$E605,"&gt;0",$E$20:$E605)*12,0),SUM($E$20:$E$31)))</f>
        <v>0</v>
      </c>
      <c r="AH605" s="13">
        <f>IF($AA605=10,$AG605*IF($AB605=12,IF($AG605&lt;IF($D$4="Forint",Paraméterek!$L$223,Paraméterek!$L$224),0,VLOOKUP($AA605,Paraméterek!$K$226:$M$228,IF($AG605&lt;IF($D$4="Forint",Paraméterek!$M$223,Paraméterek!$M$224),2,3))),0),0)</f>
        <v>0</v>
      </c>
      <c r="AI605" s="13">
        <f ca="1">IF(AND($AA605=$M$11+1,$AB605=$M$12+1),SUMIF($AA$20:$AA$1027,$AA605,$AG$20:$AG$1027)*IF(SUMIF($AA$20:$AA$1027,$AA605,$AG$20:$AG$1027)&lt;IF($D$4="Forint",Paraméterek!$L$223,Paraméterek!$L$224),0,VLOOKUP($AA605,Paraméterek!$K$230:$M$250,IF(SUMIF($AA$20:$AA$1027,$AA605,$AG$20:$AG$1027)&lt;IF($D$4="Forint",Paraméterek!$M$223,Paraméterek!$M$224),2,3))),0)</f>
        <v>0</v>
      </c>
      <c r="AJ605" s="13">
        <f ca="1">IF(AND($AA605&gt;=5,MOD($AA605,5)=0),IF($AB605=12,VLOOKUP($AA605,Paraméterek!$O$225:$P$240,2),0),IF(OR($AA605=3,$AA605=4),IF($AB605=12,VLOOKUP($AA605,Paraméterek!$O$225:$P$240,2,0),0),0))*$AG605</f>
        <v>0</v>
      </c>
      <c r="AK605" s="13">
        <f t="shared" ca="1" si="207"/>
        <v>0</v>
      </c>
      <c r="AL605" s="13">
        <f t="shared" ca="1" si="215"/>
        <v>0</v>
      </c>
      <c r="AM605" s="13">
        <f t="shared" ca="1" si="216"/>
        <v>0</v>
      </c>
      <c r="AO605" s="32">
        <v>586</v>
      </c>
      <c r="AP605" s="32">
        <v>49</v>
      </c>
      <c r="AQ605" s="32">
        <v>10</v>
      </c>
      <c r="AR605" s="13"/>
      <c r="AS605" s="32"/>
      <c r="AT605" s="13">
        <f t="shared" ca="1" si="217"/>
        <v>0</v>
      </c>
      <c r="AU605" s="33"/>
      <c r="AV605" s="13">
        <f t="shared" ca="1" si="208"/>
        <v>0</v>
      </c>
      <c r="AW605" s="13">
        <f ca="1">ROUNDUP(($AT605+$AV605)*VLOOKUP($AP605,Paraméterek!$P$38:$Q$38,2)/12*IF($D606="Nem",IF($M$13=0,1,$M$13),1),IF($D$4="Forint",0,2))</f>
        <v>0</v>
      </c>
      <c r="AX605" s="13"/>
      <c r="AY605" s="13"/>
      <c r="AZ605" s="13">
        <f>ROUNDUP(IF(SUM($AX605:$AY605)=0,0,IF(IF(ISBLANK($AY605),$AX605,$AY605)*Paraméterek!$J$112&lt;IF($D$4="Forint",Paraméterek!$J$113,Paraméterek!$K$113),IF($D$4="Forint",Paraméterek!$J$113,Paraméterek!$K$113),IF(IF(ISBLANK($AY605),$AX605,$AY605)*Paraméterek!$J$112&gt;IF($D$4="Forint",Paraméterek!$J$114,Paraméterek!$K$114),IF($D$4="Forint",Paraméterek!$J$114,Paraméterek!$K$114),IF(ISBLANK($AY605),$AX605,$AY605)*Paraméterek!$J$112))),IF($D$4="Forint",0,2))</f>
        <v>0</v>
      </c>
      <c r="BA605" s="13">
        <f ca="1">$AT605+$AV605-$AW605-IF(ROUNDDOWN(IF(ISBLANK($AY605),$AX605,$AY605),IF($D$4="Forint",0,2))&gt;$AT605+$AV605-$AW605-IF($D$4="Forint",Paraméterek!$J$114,Paraméterek!$K$114),0,ROUNDDOWN(IF(ISBLANK($AY605),$AX605,$AY605),IF($D$4="Forint",0,2))-$AZ605)</f>
        <v>0</v>
      </c>
      <c r="BB605" s="13">
        <f t="shared" ca="1" si="209"/>
        <v>0</v>
      </c>
      <c r="BD605" s="32">
        <v>586</v>
      </c>
      <c r="BE605" s="32">
        <v>49</v>
      </c>
      <c r="BF605" s="32">
        <v>10</v>
      </c>
      <c r="BG605" s="34">
        <f t="shared" ca="1" si="218"/>
        <v>2068</v>
      </c>
      <c r="BH605" s="32" t="str">
        <f ca="1">IF(MOD(MONTH($D$14)+$BD605-1,12)=Paraméterek!$C$288,"Igen","")</f>
        <v/>
      </c>
      <c r="BI605" s="13">
        <f ca="1">IF($BH605="Igen",MIN(ROUNDDOWN((SUMIF($BG$20:$BG$1027,$BG605-1,$K$20:$K$1027)-SUMIF($BG$20:$BG$1027,$BG605-1,$I$20:$I$1027))*Paraméterek!$C$289,IF($D$4="Forint",0,2)),IF($D$4="Forint",Paraméterek!$C$285,Paraméterek!$D$285)),0)</f>
        <v>0</v>
      </c>
      <c r="BJ605" s="13">
        <f t="shared" ca="1" si="210"/>
        <v>0</v>
      </c>
      <c r="BK605" s="13">
        <f t="shared" ca="1" si="219"/>
        <v>0</v>
      </c>
      <c r="BL605" s="33"/>
      <c r="BM605" s="13">
        <f t="shared" ca="1" si="211"/>
        <v>0</v>
      </c>
      <c r="BN605" s="13">
        <f ca="1">ROUNDUP(($BK605+$BM605)*VLOOKUP($BE605,Paraméterek!$P$38:$Q$38,2)/12*IF($D606="Nem",IF($M$13=0,1,$M$13),1),IF($D$4="Forint",0,2))</f>
        <v>0</v>
      </c>
      <c r="BO605" s="13">
        <f t="shared" ca="1" si="212"/>
        <v>0</v>
      </c>
      <c r="BP605" s="13">
        <f ca="1">IF($D606="Nem",$BO605,$BO605-ROUNDUP(SUM($BI$20:$BI605)*120%,IF($D$4="Forint",0,2)))</f>
        <v>0</v>
      </c>
    </row>
    <row r="606" spans="1:68" x14ac:dyDescent="0.2">
      <c r="A606" s="32">
        <v>587</v>
      </c>
      <c r="B606" s="32">
        <v>49</v>
      </c>
      <c r="C606" s="32">
        <v>11</v>
      </c>
      <c r="D606" s="32" t="str">
        <f t="shared" ca="1" si="198"/>
        <v>Nem</v>
      </c>
      <c r="E606" s="13">
        <f t="shared" ca="1" si="199"/>
        <v>0</v>
      </c>
      <c r="F606" s="13"/>
      <c r="G606" s="13"/>
      <c r="H606" s="13"/>
      <c r="I606" s="13">
        <f t="shared" ca="1" si="200"/>
        <v>0</v>
      </c>
      <c r="J606" s="13">
        <f t="shared" ca="1" si="201"/>
        <v>0</v>
      </c>
      <c r="K606" s="13">
        <f t="shared" ca="1" si="202"/>
        <v>0</v>
      </c>
      <c r="L606" s="13" t="e">
        <f ca="1">ROUNDUP(IF($D$2="Egyszeri",$E606,IF($D$2="Havi",SUM($E$20:$E$31),IF(MOD($C606,$M$1)-1=0,SUM($E$20:$E$31),0))/12*$M$1)*VLOOKUP($B606,Paraméterek!$I$28:$P$31,IF($D$2="Egyszeri",8,HLOOKUP(ROUNDUP($M$11+$M$13,0),Paraméterek!$J$26:$O$27,2))),IF($D$4="Forint",0,2))</f>
        <v>#N/A</v>
      </c>
      <c r="M606" s="13">
        <f t="shared" ca="1" si="203"/>
        <v>0</v>
      </c>
      <c r="N606" s="13">
        <f t="shared" ca="1" si="213"/>
        <v>0</v>
      </c>
      <c r="O606" s="13">
        <f ca="1">IF($D606="Igen",IF($W605&gt;=IF($D$4="Forint",Paraméterek!$J$121,Paraméterek!$K$121),0,IF($D$4="Forint",Paraméterek!$J$121,Paraméterek!$K$121)-$W605),0)</f>
        <v>0</v>
      </c>
      <c r="P606" s="13" t="e">
        <f ca="1">ROUNDUP($O606*VLOOKUP($M$4+$B606-1,Paraméterek!$H$58:$I$105,2,0)/Paraméterek!$I$56,IF($D$4="Forint",0,2))</f>
        <v>#N/A</v>
      </c>
      <c r="Q606" s="13">
        <f t="shared" ca="1" si="204"/>
        <v>0</v>
      </c>
      <c r="R606" s="33"/>
      <c r="S606" s="13" t="e">
        <f t="shared" ca="1" si="205"/>
        <v>#N/A</v>
      </c>
      <c r="T606" s="13" t="e">
        <f ca="1">ROUNDUP(($N606-$P606-$Q606+$S606)*VLOOKUP($B606,Paraméterek!$I$38:$K$39,IF($D$2="Egyszeri",3,2))/12*IF($D607="Nem",IF($M$13=0,1,$M$13),1),IF($D$4="Forint",0,2))</f>
        <v>#N/A</v>
      </c>
      <c r="U606" s="13"/>
      <c r="V606" s="13"/>
      <c r="W606" s="13" t="e">
        <f ca="1">$N606-$P606-$Q606+$S606-$T606-IF(ROUNDUP(IF(ISBLANK($V606),$U606*0,$V606)/IF($D$2="Egyszeri",VLOOKUP($B606+IF($C606=12,1,0),Paraméterek!$V$257:$W$262,2),IF($B606=1,1,VLOOKUP($B606+IF($C606=12,1,0),Paraméterek!$I$258:$T$278,HLOOKUP($M$11+1,Paraméterek!$J$256:$T$257,2)))),IF($D$4="Forint",0,2))&gt;$N606-$P606-$Q606+$S606-$T606-IF($D$4="Forint",Paraméterek!$C$216,Paraméterek!$D$216),0,ROUNDUP(IF(ISBLANK($V606),$U606*0,$V606)/IF($D$2="Egyszeri",VLOOKUP($B606+IF($C606=12,1,0),Paraméterek!$V$257:$W$262,2),IF($B606=1,1,VLOOKUP($B606+IF($C606=12,1,0),Paraméterek!$I$258:$T$278,HLOOKUP($M$11+1,Paraméterek!$J$256:$T$257,2)))),IF($D$4="Forint",0,2)))</f>
        <v>#N/A</v>
      </c>
      <c r="X606" s="13" t="e">
        <f ca="1">ROUNDDOWN($W606*IF($D$2="Egyszeri",VLOOKUP($B606+IF($C606=12,1,0),Paraméterek!$V$257:$W$262,2),VLOOKUP($B606+IF($C606=12,1,0),Paraméterek!$I$258:$T$278,HLOOKUP($M$11+1,Paraméterek!$I$256:$T$257,2))),IF($D$4="Forint",0,2))</f>
        <v>#N/A</v>
      </c>
      <c r="Z606" s="32">
        <v>587</v>
      </c>
      <c r="AA606" s="32">
        <v>49</v>
      </c>
      <c r="AB606" s="32">
        <v>11</v>
      </c>
      <c r="AC606" s="13">
        <f t="shared" ca="1" si="214"/>
        <v>0</v>
      </c>
      <c r="AD606" s="33"/>
      <c r="AE606" s="13">
        <f t="shared" ca="1" si="206"/>
        <v>0</v>
      </c>
      <c r="AF606" s="13">
        <f ca="1">ROUNDUP(($AC606+$AE606)*VLOOKUP($AA606,Paraméterek!$P$38:$Q$38,2)/12*IF($D607="Nem",IF($M$13=0,1,$M$13),1),IF($D$4="Forint",0,2))</f>
        <v>0</v>
      </c>
      <c r="AG606" s="13">
        <f ca="1">IF($D$2="Egyszeri",IF($D$7&gt;=IF($D$4="Forint",Paraméterek!$P$223,Paraméterek!$P$224),$D$7-IF($D$4="Forint",Paraméterek!$P$223,Paraméterek!$P$224),0),MIN(IF($AB606=12,AVERAGEIF($E$20:$E606,"&gt;0",$E$20:$E606)*12,0),SUM($E$20:$E$31)))</f>
        <v>0</v>
      </c>
      <c r="AH606" s="13">
        <f>IF($AA606=10,$AG606*IF($AB606=12,IF($AG606&lt;IF($D$4="Forint",Paraméterek!$L$223,Paraméterek!$L$224),0,VLOOKUP($AA606,Paraméterek!$K$226:$M$228,IF($AG606&lt;IF($D$4="Forint",Paraméterek!$M$223,Paraméterek!$M$224),2,3))),0),0)</f>
        <v>0</v>
      </c>
      <c r="AI606" s="13">
        <f ca="1">IF(AND($AA606=$M$11+1,$AB606=$M$12+1),SUMIF($AA$20:$AA$1027,$AA606,$AG$20:$AG$1027)*IF(SUMIF($AA$20:$AA$1027,$AA606,$AG$20:$AG$1027)&lt;IF($D$4="Forint",Paraméterek!$L$223,Paraméterek!$L$224),0,VLOOKUP($AA606,Paraméterek!$K$230:$M$250,IF(SUMIF($AA$20:$AA$1027,$AA606,$AG$20:$AG$1027)&lt;IF($D$4="Forint",Paraméterek!$M$223,Paraméterek!$M$224),2,3))),0)</f>
        <v>0</v>
      </c>
      <c r="AJ606" s="13">
        <f ca="1">IF(AND($AA606&gt;=5,MOD($AA606,5)=0),IF($AB606=12,VLOOKUP($AA606,Paraméterek!$O$225:$P$240,2),0),IF(OR($AA606=3,$AA606=4),IF($AB606=12,VLOOKUP($AA606,Paraméterek!$O$225:$P$240,2,0),0),0))*$AG606</f>
        <v>0</v>
      </c>
      <c r="AK606" s="13">
        <f t="shared" ca="1" si="207"/>
        <v>0</v>
      </c>
      <c r="AL606" s="13">
        <f t="shared" ca="1" si="215"/>
        <v>0</v>
      </c>
      <c r="AM606" s="13">
        <f t="shared" ca="1" si="216"/>
        <v>0</v>
      </c>
      <c r="AO606" s="32">
        <v>587</v>
      </c>
      <c r="AP606" s="32">
        <v>49</v>
      </c>
      <c r="AQ606" s="32">
        <v>11</v>
      </c>
      <c r="AR606" s="13"/>
      <c r="AS606" s="32"/>
      <c r="AT606" s="13">
        <f t="shared" ca="1" si="217"/>
        <v>0</v>
      </c>
      <c r="AU606" s="33"/>
      <c r="AV606" s="13">
        <f t="shared" ca="1" si="208"/>
        <v>0</v>
      </c>
      <c r="AW606" s="13">
        <f ca="1">ROUNDUP(($AT606+$AV606)*VLOOKUP($AP606,Paraméterek!$P$38:$Q$38,2)/12*IF($D607="Nem",IF($M$13=0,1,$M$13),1),IF($D$4="Forint",0,2))</f>
        <v>0</v>
      </c>
      <c r="AX606" s="13"/>
      <c r="AY606" s="13"/>
      <c r="AZ606" s="13">
        <f>ROUNDUP(IF(SUM($AX606:$AY606)=0,0,IF(IF(ISBLANK($AY606),$AX606,$AY606)*Paraméterek!$J$112&lt;IF($D$4="Forint",Paraméterek!$J$113,Paraméterek!$K$113),IF($D$4="Forint",Paraméterek!$J$113,Paraméterek!$K$113),IF(IF(ISBLANK($AY606),$AX606,$AY606)*Paraméterek!$J$112&gt;IF($D$4="Forint",Paraméterek!$J$114,Paraméterek!$K$114),IF($D$4="Forint",Paraméterek!$J$114,Paraméterek!$K$114),IF(ISBLANK($AY606),$AX606,$AY606)*Paraméterek!$J$112))),IF($D$4="Forint",0,2))</f>
        <v>0</v>
      </c>
      <c r="BA606" s="13">
        <f ca="1">$AT606+$AV606-$AW606-IF(ROUNDDOWN(IF(ISBLANK($AY606),$AX606,$AY606),IF($D$4="Forint",0,2))&gt;$AT606+$AV606-$AW606-IF($D$4="Forint",Paraméterek!$J$114,Paraméterek!$K$114),0,ROUNDDOWN(IF(ISBLANK($AY606),$AX606,$AY606),IF($D$4="Forint",0,2))-$AZ606)</f>
        <v>0</v>
      </c>
      <c r="BB606" s="13">
        <f t="shared" ca="1" si="209"/>
        <v>0</v>
      </c>
      <c r="BD606" s="32">
        <v>587</v>
      </c>
      <c r="BE606" s="32">
        <v>49</v>
      </c>
      <c r="BF606" s="32">
        <v>11</v>
      </c>
      <c r="BG606" s="34">
        <f t="shared" ca="1" si="218"/>
        <v>2068</v>
      </c>
      <c r="BH606" s="32" t="str">
        <f ca="1">IF(MOD(MONTH($D$14)+$BD606-1,12)=Paraméterek!$C$288,"Igen","")</f>
        <v/>
      </c>
      <c r="BI606" s="13">
        <f ca="1">IF($BH606="Igen",MIN(ROUNDDOWN((SUMIF($BG$20:$BG$1027,$BG606-1,$K$20:$K$1027)-SUMIF($BG$20:$BG$1027,$BG606-1,$I$20:$I$1027))*Paraméterek!$C$289,IF($D$4="Forint",0,2)),IF($D$4="Forint",Paraméterek!$C$285,Paraméterek!$D$285)),0)</f>
        <v>0</v>
      </c>
      <c r="BJ606" s="13">
        <f t="shared" ca="1" si="210"/>
        <v>0</v>
      </c>
      <c r="BK606" s="13">
        <f t="shared" ca="1" si="219"/>
        <v>0</v>
      </c>
      <c r="BL606" s="33"/>
      <c r="BM606" s="13">
        <f t="shared" ca="1" si="211"/>
        <v>0</v>
      </c>
      <c r="BN606" s="13">
        <f ca="1">ROUNDUP(($BK606+$BM606)*VLOOKUP($BE606,Paraméterek!$P$38:$Q$38,2)/12*IF($D607="Nem",IF($M$13=0,1,$M$13),1),IF($D$4="Forint",0,2))</f>
        <v>0</v>
      </c>
      <c r="BO606" s="13">
        <f t="shared" ca="1" si="212"/>
        <v>0</v>
      </c>
      <c r="BP606" s="13">
        <f ca="1">IF($D607="Nem",$BO606,$BO606-ROUNDUP(SUM($BI$20:$BI606)*120%,IF($D$4="Forint",0,2)))</f>
        <v>0</v>
      </c>
    </row>
    <row r="607" spans="1:68" x14ac:dyDescent="0.2">
      <c r="A607" s="32">
        <v>588</v>
      </c>
      <c r="B607" s="32">
        <v>49</v>
      </c>
      <c r="C607" s="32">
        <v>12</v>
      </c>
      <c r="D607" s="32" t="str">
        <f t="shared" ca="1" si="198"/>
        <v>Nem</v>
      </c>
      <c r="E607" s="13">
        <f t="shared" ca="1" si="199"/>
        <v>0</v>
      </c>
      <c r="F607" s="13"/>
      <c r="G607" s="13"/>
      <c r="H607" s="13"/>
      <c r="I607" s="13">
        <f t="shared" ca="1" si="200"/>
        <v>0</v>
      </c>
      <c r="J607" s="13">
        <f t="shared" ca="1" si="201"/>
        <v>0</v>
      </c>
      <c r="K607" s="13">
        <f t="shared" ca="1" si="202"/>
        <v>0</v>
      </c>
      <c r="L607" s="13" t="e">
        <f ca="1">ROUNDUP(IF($D$2="Egyszeri",$E607,IF($D$2="Havi",SUM($E$20:$E$31),IF(MOD($C607,$M$1)-1=0,SUM($E$20:$E$31),0))/12*$M$1)*VLOOKUP($B607,Paraméterek!$I$28:$P$31,IF($D$2="Egyszeri",8,HLOOKUP(ROUNDUP($M$11+$M$13,0),Paraméterek!$J$26:$O$27,2))),IF($D$4="Forint",0,2))</f>
        <v>#N/A</v>
      </c>
      <c r="M607" s="13">
        <f t="shared" ca="1" si="203"/>
        <v>0</v>
      </c>
      <c r="N607" s="13">
        <f t="shared" ca="1" si="213"/>
        <v>0</v>
      </c>
      <c r="O607" s="13">
        <f ca="1">IF($D607="Igen",IF($W606&gt;=IF($D$4="Forint",Paraméterek!$J$121,Paraméterek!$K$121),0,IF($D$4="Forint",Paraméterek!$J$121,Paraméterek!$K$121)-$W606),0)</f>
        <v>0</v>
      </c>
      <c r="P607" s="13" t="e">
        <f ca="1">ROUNDUP($O607*VLOOKUP($M$4+$B607-1,Paraméterek!$H$58:$I$105,2,0)/Paraméterek!$I$56,IF($D$4="Forint",0,2))</f>
        <v>#N/A</v>
      </c>
      <c r="Q607" s="13">
        <f t="shared" ca="1" si="204"/>
        <v>0</v>
      </c>
      <c r="R607" s="33"/>
      <c r="S607" s="13" t="e">
        <f t="shared" ca="1" si="205"/>
        <v>#N/A</v>
      </c>
      <c r="T607" s="13" t="e">
        <f ca="1">ROUNDUP(($N607-$P607-$Q607+$S607)*VLOOKUP($B607,Paraméterek!$I$38:$K$39,IF($D$2="Egyszeri",3,2))/12*IF($D608="Nem",IF($M$13=0,1,$M$13),1),IF($D$4="Forint",0,2))</f>
        <v>#N/A</v>
      </c>
      <c r="U607" s="13">
        <f>Tranzakciók!$F$80</f>
        <v>0</v>
      </c>
      <c r="V607" s="13"/>
      <c r="W607" s="13" t="e">
        <f ca="1">$N607-$P607-$Q607+$S607-$T607-IF(ROUNDUP(IF(ISBLANK($V607),$U607*0,$V607)/IF($D$2="Egyszeri",VLOOKUP($B607+IF($C607=12,1,0),Paraméterek!$V$257:$W$262,2),IF($B607=1,1,VLOOKUP($B607+IF($C607=12,1,0),Paraméterek!$I$258:$T$278,HLOOKUP($M$11+1,Paraméterek!$J$256:$T$257,2)))),IF($D$4="Forint",0,2))&gt;$N607-$P607-$Q607+$S607-$T607-IF($D$4="Forint",Paraméterek!$C$216,Paraméterek!$D$216),0,ROUNDUP(IF(ISBLANK($V607),$U607*0,$V607)/IF($D$2="Egyszeri",VLOOKUP($B607+IF($C607=12,1,0),Paraméterek!$V$257:$W$262,2),IF($B607=1,1,VLOOKUP($B607+IF($C607=12,1,0),Paraméterek!$I$258:$T$278,HLOOKUP($M$11+1,Paraméterek!$J$256:$T$257,2)))),IF($D$4="Forint",0,2)))</f>
        <v>#N/A</v>
      </c>
      <c r="X607" s="13" t="e">
        <f ca="1">ROUNDDOWN($W607*IF($D$2="Egyszeri",VLOOKUP($B607+IF($C607=12,1,0),Paraméterek!$V$257:$W$262,2),VLOOKUP($B607+IF($C607=12,1,0),Paraméterek!$I$258:$T$278,HLOOKUP($M$11+1,Paraméterek!$I$256:$T$257,2))),IF($D$4="Forint",0,2))</f>
        <v>#N/A</v>
      </c>
      <c r="Z607" s="32">
        <v>588</v>
      </c>
      <c r="AA607" s="32">
        <v>49</v>
      </c>
      <c r="AB607" s="32">
        <v>12</v>
      </c>
      <c r="AC607" s="13">
        <f t="shared" ca="1" si="214"/>
        <v>0</v>
      </c>
      <c r="AD607" s="33"/>
      <c r="AE607" s="13">
        <f t="shared" ca="1" si="206"/>
        <v>0</v>
      </c>
      <c r="AF607" s="13">
        <f ca="1">ROUNDUP(($AC607+$AE607)*VLOOKUP($AA607,Paraméterek!$P$38:$Q$38,2)/12*IF($D608="Nem",IF($M$13=0,1,$M$13),1),IF($D$4="Forint",0,2))</f>
        <v>0</v>
      </c>
      <c r="AG607" s="13" t="e">
        <f ca="1">IF($D$2="Egyszeri",IF($D$7&gt;=IF($D$4="Forint",Paraméterek!$P$223,Paraméterek!$P$224),$D$7-IF($D$4="Forint",Paraméterek!$P$223,Paraméterek!$P$224),0),MIN(IF($AB607=12,AVERAGEIF($E$20:$E607,"&gt;0",$E$20:$E607)*12,0),SUM($E$20:$E$31)))</f>
        <v>#DIV/0!</v>
      </c>
      <c r="AH607" s="13">
        <f>IF($AA607=10,$AG607*IF($AB607=12,IF($AG607&lt;IF($D$4="Forint",Paraméterek!$L$223,Paraméterek!$L$224),0,VLOOKUP($AA607,Paraméterek!$K$226:$M$228,IF($AG607&lt;IF($D$4="Forint",Paraméterek!$M$223,Paraméterek!$M$224),2,3))),0),0)</f>
        <v>0</v>
      </c>
      <c r="AI607" s="13">
        <f ca="1">IF(AND($AA607=$M$11+1,$AB607=$M$12+1),SUMIF($AA$20:$AA$1027,$AA607,$AG$20:$AG$1027)*IF(SUMIF($AA$20:$AA$1027,$AA607,$AG$20:$AG$1027)&lt;IF($D$4="Forint",Paraméterek!$L$223,Paraméterek!$L$224),0,VLOOKUP($AA607,Paraméterek!$K$230:$M$250,IF(SUMIF($AA$20:$AA$1027,$AA607,$AG$20:$AG$1027)&lt;IF($D$4="Forint",Paraméterek!$M$223,Paraméterek!$M$224),2,3))),0)</f>
        <v>0</v>
      </c>
      <c r="AJ607" s="13" t="e">
        <f ca="1">IF(AND($AA607&gt;=5,MOD($AA607,5)=0),IF($AB607=12,VLOOKUP($AA607,Paraméterek!$O$225:$P$240,2),0),IF(OR($AA607=3,$AA607=4),IF($AB607=12,VLOOKUP($AA607,Paraméterek!$O$225:$P$240,2,0),0),0))*$AG607</f>
        <v>#DIV/0!</v>
      </c>
      <c r="AK607" s="13">
        <f t="shared" ca="1" si="207"/>
        <v>0</v>
      </c>
      <c r="AL607" s="13">
        <f t="shared" ca="1" si="215"/>
        <v>0</v>
      </c>
      <c r="AM607" s="13">
        <f t="shared" ca="1" si="216"/>
        <v>0</v>
      </c>
      <c r="AO607" s="32">
        <v>588</v>
      </c>
      <c r="AP607" s="32">
        <v>49</v>
      </c>
      <c r="AQ607" s="32">
        <v>12</v>
      </c>
      <c r="AR607" s="13"/>
      <c r="AS607" s="32"/>
      <c r="AT607" s="13">
        <f t="shared" ca="1" si="217"/>
        <v>0</v>
      </c>
      <c r="AU607" s="33"/>
      <c r="AV607" s="13">
        <f t="shared" ca="1" si="208"/>
        <v>0</v>
      </c>
      <c r="AW607" s="13">
        <f ca="1">ROUNDUP(($AT607+$AV607)*VLOOKUP($AP607,Paraméterek!$P$38:$Q$38,2)/12*IF($D608="Nem",IF($M$13=0,1,$M$13),1),IF($D$4="Forint",0,2))</f>
        <v>0</v>
      </c>
      <c r="AX607" s="13">
        <f>Tranzakciók!$M$80</f>
        <v>0</v>
      </c>
      <c r="AY607" s="13"/>
      <c r="AZ607" s="13">
        <f>ROUNDUP(IF(SUM($AX607:$AY607)=0,0,IF(IF(ISBLANK($AY607),$AX607,$AY607)*Paraméterek!$J$112&lt;IF($D$4="Forint",Paraméterek!$J$113,Paraméterek!$K$113),IF($D$4="Forint",Paraméterek!$J$113,Paraméterek!$K$113),IF(IF(ISBLANK($AY607),$AX607,$AY607)*Paraméterek!$J$112&gt;IF($D$4="Forint",Paraméterek!$J$114,Paraméterek!$K$114),IF($D$4="Forint",Paraméterek!$J$114,Paraméterek!$K$114),IF(ISBLANK($AY607),$AX607,$AY607)*Paraméterek!$J$112))),IF($D$4="Forint",0,2))</f>
        <v>0</v>
      </c>
      <c r="BA607" s="13">
        <f ca="1">$AT607+$AV607-$AW607-IF(ROUNDDOWN(IF(ISBLANK($AY607),$AX607,$AY607),IF($D$4="Forint",0,2))&gt;$AT607+$AV607-$AW607-IF($D$4="Forint",Paraméterek!$J$114,Paraméterek!$K$114),0,ROUNDDOWN(IF(ISBLANK($AY607),$AX607,$AY607),IF($D$4="Forint",0,2))-$AZ607)</f>
        <v>0</v>
      </c>
      <c r="BB607" s="13">
        <f t="shared" ca="1" si="209"/>
        <v>0</v>
      </c>
      <c r="BD607" s="32">
        <v>588</v>
      </c>
      <c r="BE607" s="32">
        <v>49</v>
      </c>
      <c r="BF607" s="32">
        <v>12</v>
      </c>
      <c r="BG607" s="34">
        <f t="shared" ca="1" si="218"/>
        <v>2068</v>
      </c>
      <c r="BH607" s="32" t="str">
        <f ca="1">IF(MOD(MONTH($D$14)+$BD607-1,12)=Paraméterek!$C$288,"Igen","")</f>
        <v/>
      </c>
      <c r="BI607" s="13">
        <f ca="1">IF($BH607="Igen",MIN(ROUNDDOWN((SUMIF($BG$20:$BG$1027,$BG607-1,$K$20:$K$1027)-SUMIF($BG$20:$BG$1027,$BG607-1,$I$20:$I$1027))*Paraméterek!$C$289,IF($D$4="Forint",0,2)),IF($D$4="Forint",Paraméterek!$C$285,Paraméterek!$D$285)),0)</f>
        <v>0</v>
      </c>
      <c r="BJ607" s="13">
        <f t="shared" ca="1" si="210"/>
        <v>0</v>
      </c>
      <c r="BK607" s="13">
        <f t="shared" ca="1" si="219"/>
        <v>0</v>
      </c>
      <c r="BL607" s="33"/>
      <c r="BM607" s="13">
        <f t="shared" ca="1" si="211"/>
        <v>0</v>
      </c>
      <c r="BN607" s="13">
        <f ca="1">ROUNDUP(($BK607+$BM607)*VLOOKUP($BE607,Paraméterek!$P$38:$Q$38,2)/12*IF($D608="Nem",IF($M$13=0,1,$M$13),1),IF($D$4="Forint",0,2))</f>
        <v>0</v>
      </c>
      <c r="BO607" s="13">
        <f t="shared" ca="1" si="212"/>
        <v>0</v>
      </c>
      <c r="BP607" s="13">
        <f ca="1">IF($D608="Nem",$BO607,$BO607-ROUNDUP(SUM($BI$20:$BI607)*120%,IF($D$4="Forint",0,2)))</f>
        <v>0</v>
      </c>
    </row>
    <row r="608" spans="1:68" x14ac:dyDescent="0.2">
      <c r="A608" s="32">
        <v>589</v>
      </c>
      <c r="B608" s="32">
        <v>50</v>
      </c>
      <c r="C608" s="32">
        <v>1</v>
      </c>
      <c r="D608" s="32" t="str">
        <f t="shared" ca="1" si="198"/>
        <v>Nem</v>
      </c>
      <c r="E608" s="13">
        <f t="shared" ca="1" si="199"/>
        <v>0</v>
      </c>
      <c r="F608" s="13"/>
      <c r="G608" s="13">
        <f>Tranzakciók!$D$81</f>
        <v>0</v>
      </c>
      <c r="H608" s="13"/>
      <c r="I608" s="13">
        <f t="shared" ca="1" si="200"/>
        <v>0</v>
      </c>
      <c r="J608" s="13">
        <f t="shared" ca="1" si="201"/>
        <v>0</v>
      </c>
      <c r="K608" s="13">
        <f t="shared" ca="1" si="202"/>
        <v>0</v>
      </c>
      <c r="L608" s="13" t="e">
        <f ca="1">ROUNDUP(IF($D$2="Egyszeri",$E608,IF($D$2="Havi",SUM($E$20:$E$31),IF(MOD($C608,$M$1)-1=0,SUM($E$20:$E$31),0))/12*$M$1)*VLOOKUP($B608,Paraméterek!$I$28:$P$31,IF($D$2="Egyszeri",8,HLOOKUP(ROUNDUP($M$11+$M$13,0),Paraméterek!$J$26:$O$27,2))),IF($D$4="Forint",0,2))</f>
        <v>#N/A</v>
      </c>
      <c r="M608" s="13">
        <f t="shared" ca="1" si="203"/>
        <v>0</v>
      </c>
      <c r="N608" s="13">
        <f t="shared" ca="1" si="213"/>
        <v>0</v>
      </c>
      <c r="O608" s="13">
        <f ca="1">IF($D608="Igen",IF($W607&gt;=IF($D$4="Forint",Paraméterek!$J$121,Paraméterek!$K$121),0,IF($D$4="Forint",Paraméterek!$J$121,Paraméterek!$K$121)-$W607),0)</f>
        <v>0</v>
      </c>
      <c r="P608" s="13" t="e">
        <f ca="1">ROUNDUP($O608*VLOOKUP($M$4+$B608-1,Paraméterek!$H$58:$I$105,2,0)/Paraméterek!$I$56,IF($D$4="Forint",0,2))</f>
        <v>#N/A</v>
      </c>
      <c r="Q608" s="13">
        <f t="shared" ca="1" si="204"/>
        <v>0</v>
      </c>
      <c r="R608" s="33"/>
      <c r="S608" s="13" t="e">
        <f t="shared" ca="1" si="205"/>
        <v>#N/A</v>
      </c>
      <c r="T608" s="13" t="e">
        <f ca="1">ROUNDUP(($N608-$P608-$Q608+$S608)*VLOOKUP($B608,Paraméterek!$I$38:$K$39,IF($D$2="Egyszeri",3,2))/12*IF($D609="Nem",IF($M$13=0,1,$M$13),1),IF($D$4="Forint",0,2))</f>
        <v>#N/A</v>
      </c>
      <c r="U608" s="13"/>
      <c r="V608" s="13"/>
      <c r="W608" s="13" t="e">
        <f ca="1">$N608-$P608-$Q608+$S608-$T608-IF(ROUNDUP(IF(ISBLANK($V608),$U608*0,$V608)/IF($D$2="Egyszeri",VLOOKUP($B608+IF($C608=12,1,0),Paraméterek!$V$257:$W$262,2),IF($B608=1,1,VLOOKUP($B608+IF($C608=12,1,0),Paraméterek!$I$258:$T$278,HLOOKUP($M$11+1,Paraméterek!$J$256:$T$257,2)))),IF($D$4="Forint",0,2))&gt;$N608-$P608-$Q608+$S608-$T608-IF($D$4="Forint",Paraméterek!$C$216,Paraméterek!$D$216),0,ROUNDUP(IF(ISBLANK($V608),$U608*0,$V608)/IF($D$2="Egyszeri",VLOOKUP($B608+IF($C608=12,1,0),Paraméterek!$V$257:$W$262,2),IF($B608=1,1,VLOOKUP($B608+IF($C608=12,1,0),Paraméterek!$I$258:$T$278,HLOOKUP($M$11+1,Paraméterek!$J$256:$T$257,2)))),IF($D$4="Forint",0,2)))</f>
        <v>#N/A</v>
      </c>
      <c r="X608" s="13" t="e">
        <f ca="1">ROUNDDOWN($W608*IF($D$2="Egyszeri",VLOOKUP($B608+IF($C608=12,1,0),Paraméterek!$V$257:$W$262,2),VLOOKUP($B608+IF($C608=12,1,0),Paraméterek!$I$258:$T$278,HLOOKUP($M$11+1,Paraméterek!$I$256:$T$257,2))),IF($D$4="Forint",0,2))</f>
        <v>#N/A</v>
      </c>
      <c r="Z608" s="32">
        <v>589</v>
      </c>
      <c r="AA608" s="32">
        <v>50</v>
      </c>
      <c r="AB608" s="32">
        <v>1</v>
      </c>
      <c r="AC608" s="13">
        <f t="shared" ca="1" si="214"/>
        <v>0</v>
      </c>
      <c r="AD608" s="33"/>
      <c r="AE608" s="13">
        <f t="shared" ca="1" si="206"/>
        <v>0</v>
      </c>
      <c r="AF608" s="13">
        <f ca="1">ROUNDUP(($AC608+$AE608)*VLOOKUP($AA608,Paraméterek!$P$38:$Q$38,2)/12*IF($D609="Nem",IF($M$13=0,1,$M$13),1),IF($D$4="Forint",0,2))</f>
        <v>0</v>
      </c>
      <c r="AG608" s="13">
        <f ca="1">IF($D$2="Egyszeri",IF($D$7&gt;=IF($D$4="Forint",Paraméterek!$P$223,Paraméterek!$P$224),$D$7-IF($D$4="Forint",Paraméterek!$P$223,Paraméterek!$P$224),0),MIN(IF($AB608=12,AVERAGEIF($E$20:$E608,"&gt;0",$E$20:$E608)*12,0),SUM($E$20:$E$31)))</f>
        <v>0</v>
      </c>
      <c r="AH608" s="13">
        <f>IF($AA608=10,$AG608*IF($AB608=12,IF($AG608&lt;IF($D$4="Forint",Paraméterek!$L$223,Paraméterek!$L$224),0,VLOOKUP($AA608,Paraméterek!$K$226:$M$228,IF($AG608&lt;IF($D$4="Forint",Paraméterek!$M$223,Paraméterek!$M$224),2,3))),0),0)</f>
        <v>0</v>
      </c>
      <c r="AI608" s="13">
        <f ca="1">IF(AND($AA608=$M$11+1,$AB608=$M$12+1),SUMIF($AA$20:$AA$1027,$AA608,$AG$20:$AG$1027)*IF(SUMIF($AA$20:$AA$1027,$AA608,$AG$20:$AG$1027)&lt;IF($D$4="Forint",Paraméterek!$L$223,Paraméterek!$L$224),0,VLOOKUP($AA608,Paraméterek!$K$230:$M$250,IF(SUMIF($AA$20:$AA$1027,$AA608,$AG$20:$AG$1027)&lt;IF($D$4="Forint",Paraméterek!$M$223,Paraméterek!$M$224),2,3))),0)</f>
        <v>0</v>
      </c>
      <c r="AJ608" s="13">
        <f ca="1">IF(AND($AA608&gt;=5,MOD($AA608,5)=0),IF($AB608=12,VLOOKUP($AA608,Paraméterek!$O$225:$P$240,2),0),IF(OR($AA608=3,$AA608=4),IF($AB608=12,VLOOKUP($AA608,Paraméterek!$O$225:$P$240,2,0),0),0))*$AG608</f>
        <v>0</v>
      </c>
      <c r="AK608" s="13">
        <f t="shared" ca="1" si="207"/>
        <v>0</v>
      </c>
      <c r="AL608" s="13">
        <f t="shared" ca="1" si="215"/>
        <v>0</v>
      </c>
      <c r="AM608" s="13">
        <f t="shared" ca="1" si="216"/>
        <v>0</v>
      </c>
      <c r="AO608" s="32">
        <v>589</v>
      </c>
      <c r="AP608" s="32">
        <v>50</v>
      </c>
      <c r="AQ608" s="32">
        <v>1</v>
      </c>
      <c r="AR608" s="13">
        <f>Tranzakciók!$K$81</f>
        <v>0</v>
      </c>
      <c r="AS608" s="32"/>
      <c r="AT608" s="13">
        <f t="shared" ca="1" si="217"/>
        <v>0</v>
      </c>
      <c r="AU608" s="33"/>
      <c r="AV608" s="13">
        <f t="shared" ca="1" si="208"/>
        <v>0</v>
      </c>
      <c r="AW608" s="13">
        <f ca="1">ROUNDUP(($AT608+$AV608)*VLOOKUP($AP608,Paraméterek!$P$38:$Q$38,2)/12*IF($D609="Nem",IF($M$13=0,1,$M$13),1),IF($D$4="Forint",0,2))</f>
        <v>0</v>
      </c>
      <c r="AX608" s="13"/>
      <c r="AY608" s="13"/>
      <c r="AZ608" s="13">
        <f>ROUNDUP(IF(SUM($AX608:$AY608)=0,0,IF(IF(ISBLANK($AY608),$AX608,$AY608)*Paraméterek!$J$112&lt;IF($D$4="Forint",Paraméterek!$J$113,Paraméterek!$K$113),IF($D$4="Forint",Paraméterek!$J$113,Paraméterek!$K$113),IF(IF(ISBLANK($AY608),$AX608,$AY608)*Paraméterek!$J$112&gt;IF($D$4="Forint",Paraméterek!$J$114,Paraméterek!$K$114),IF($D$4="Forint",Paraméterek!$J$114,Paraméterek!$K$114),IF(ISBLANK($AY608),$AX608,$AY608)*Paraméterek!$J$112))),IF($D$4="Forint",0,2))</f>
        <v>0</v>
      </c>
      <c r="BA608" s="13">
        <f ca="1">$AT608+$AV608-$AW608-IF(ROUNDDOWN(IF(ISBLANK($AY608),$AX608,$AY608),IF($D$4="Forint",0,2))&gt;$AT608+$AV608-$AW608-IF($D$4="Forint",Paraméterek!$J$114,Paraméterek!$K$114),0,ROUNDDOWN(IF(ISBLANK($AY608),$AX608,$AY608),IF($D$4="Forint",0,2))-$AZ608)</f>
        <v>0</v>
      </c>
      <c r="BB608" s="13">
        <f t="shared" ca="1" si="209"/>
        <v>0</v>
      </c>
      <c r="BD608" s="32">
        <v>589</v>
      </c>
      <c r="BE608" s="32">
        <v>50</v>
      </c>
      <c r="BF608" s="32">
        <v>1</v>
      </c>
      <c r="BG608" s="34">
        <f t="shared" ca="1" si="218"/>
        <v>2068</v>
      </c>
      <c r="BH608" s="32" t="str">
        <f ca="1">IF(MOD(MONTH($D$14)+$BD608-1,12)=Paraméterek!$C$288,"Igen","")</f>
        <v/>
      </c>
      <c r="BI608" s="13">
        <f ca="1">IF($BH608="Igen",MIN(ROUNDDOWN((SUMIF($BG$20:$BG$1027,$BG608-1,$K$20:$K$1027)-SUMIF($BG$20:$BG$1027,$BG608-1,$I$20:$I$1027))*Paraméterek!$C$289,IF($D$4="Forint",0,2)),IF($D$4="Forint",Paraméterek!$C$285,Paraméterek!$D$285)),0)</f>
        <v>0</v>
      </c>
      <c r="BJ608" s="13">
        <f t="shared" ca="1" si="210"/>
        <v>0</v>
      </c>
      <c r="BK608" s="13">
        <f t="shared" ca="1" si="219"/>
        <v>0</v>
      </c>
      <c r="BL608" s="33"/>
      <c r="BM608" s="13">
        <f t="shared" ca="1" si="211"/>
        <v>0</v>
      </c>
      <c r="BN608" s="13">
        <f ca="1">ROUNDUP(($BK608+$BM608)*VLOOKUP($BE608,Paraméterek!$P$38:$Q$38,2)/12*IF($D609="Nem",IF($M$13=0,1,$M$13),1),IF($D$4="Forint",0,2))</f>
        <v>0</v>
      </c>
      <c r="BO608" s="13">
        <f t="shared" ca="1" si="212"/>
        <v>0</v>
      </c>
      <c r="BP608" s="13">
        <f ca="1">IF($D609="Nem",$BO608,$BO608-ROUNDUP(SUM($BI$20:$BI608)*120%,IF($D$4="Forint",0,2)))</f>
        <v>0</v>
      </c>
    </row>
    <row r="609" spans="1:68" x14ac:dyDescent="0.2">
      <c r="A609" s="32">
        <v>590</v>
      </c>
      <c r="B609" s="32">
        <v>50</v>
      </c>
      <c r="C609" s="32">
        <v>2</v>
      </c>
      <c r="D609" s="32" t="str">
        <f t="shared" ca="1" si="198"/>
        <v>Nem</v>
      </c>
      <c r="E609" s="13">
        <f t="shared" ca="1" si="199"/>
        <v>0</v>
      </c>
      <c r="F609" s="13"/>
      <c r="G609" s="13"/>
      <c r="H609" s="13"/>
      <c r="I609" s="13">
        <f t="shared" ca="1" si="200"/>
        <v>0</v>
      </c>
      <c r="J609" s="13">
        <f t="shared" ca="1" si="201"/>
        <v>0</v>
      </c>
      <c r="K609" s="13">
        <f t="shared" ca="1" si="202"/>
        <v>0</v>
      </c>
      <c r="L609" s="13" t="e">
        <f ca="1">ROUNDUP(IF($D$2="Egyszeri",$E609,IF($D$2="Havi",SUM($E$20:$E$31),IF(MOD($C609,$M$1)-1=0,SUM($E$20:$E$31),0))/12*$M$1)*VLOOKUP($B609,Paraméterek!$I$28:$P$31,IF($D$2="Egyszeri",8,HLOOKUP(ROUNDUP($M$11+$M$13,0),Paraméterek!$J$26:$O$27,2))),IF($D$4="Forint",0,2))</f>
        <v>#N/A</v>
      </c>
      <c r="M609" s="13">
        <f t="shared" ca="1" si="203"/>
        <v>0</v>
      </c>
      <c r="N609" s="13">
        <f t="shared" ca="1" si="213"/>
        <v>0</v>
      </c>
      <c r="O609" s="13">
        <f ca="1">IF($D609="Igen",IF($W608&gt;=IF($D$4="Forint",Paraméterek!$J$121,Paraméterek!$K$121),0,IF($D$4="Forint",Paraméterek!$J$121,Paraméterek!$K$121)-$W608),0)</f>
        <v>0</v>
      </c>
      <c r="P609" s="13" t="e">
        <f ca="1">ROUNDUP($O609*VLOOKUP($M$4+$B609-1,Paraméterek!$H$58:$I$105,2,0)/Paraméterek!$I$56,IF($D$4="Forint",0,2))</f>
        <v>#N/A</v>
      </c>
      <c r="Q609" s="13">
        <f t="shared" ca="1" si="204"/>
        <v>0</v>
      </c>
      <c r="R609" s="33"/>
      <c r="S609" s="13" t="e">
        <f t="shared" ca="1" si="205"/>
        <v>#N/A</v>
      </c>
      <c r="T609" s="13" t="e">
        <f ca="1">ROUNDUP(($N609-$P609-$Q609+$S609)*VLOOKUP($B609,Paraméterek!$I$38:$K$39,IF($D$2="Egyszeri",3,2))/12*IF($D610="Nem",IF($M$13=0,1,$M$13),1),IF($D$4="Forint",0,2))</f>
        <v>#N/A</v>
      </c>
      <c r="U609" s="13"/>
      <c r="V609" s="13"/>
      <c r="W609" s="13" t="e">
        <f ca="1">$N609-$P609-$Q609+$S609-$T609-IF(ROUNDUP(IF(ISBLANK($V609),$U609*0,$V609)/IF($D$2="Egyszeri",VLOOKUP($B609+IF($C609=12,1,0),Paraméterek!$V$257:$W$262,2),IF($B609=1,1,VLOOKUP($B609+IF($C609=12,1,0),Paraméterek!$I$258:$T$278,HLOOKUP($M$11+1,Paraméterek!$J$256:$T$257,2)))),IF($D$4="Forint",0,2))&gt;$N609-$P609-$Q609+$S609-$T609-IF($D$4="Forint",Paraméterek!$C$216,Paraméterek!$D$216),0,ROUNDUP(IF(ISBLANK($V609),$U609*0,$V609)/IF($D$2="Egyszeri",VLOOKUP($B609+IF($C609=12,1,0),Paraméterek!$V$257:$W$262,2),IF($B609=1,1,VLOOKUP($B609+IF($C609=12,1,0),Paraméterek!$I$258:$T$278,HLOOKUP($M$11+1,Paraméterek!$J$256:$T$257,2)))),IF($D$4="Forint",0,2)))</f>
        <v>#N/A</v>
      </c>
      <c r="X609" s="13" t="e">
        <f ca="1">ROUNDDOWN($W609*IF($D$2="Egyszeri",VLOOKUP($B609+IF($C609=12,1,0),Paraméterek!$V$257:$W$262,2),VLOOKUP($B609+IF($C609=12,1,0),Paraméterek!$I$258:$T$278,HLOOKUP($M$11+1,Paraméterek!$I$256:$T$257,2))),IF($D$4="Forint",0,2))</f>
        <v>#N/A</v>
      </c>
      <c r="Z609" s="32">
        <v>590</v>
      </c>
      <c r="AA609" s="32">
        <v>50</v>
      </c>
      <c r="AB609" s="32">
        <v>2</v>
      </c>
      <c r="AC609" s="13">
        <f t="shared" ca="1" si="214"/>
        <v>0</v>
      </c>
      <c r="AD609" s="33"/>
      <c r="AE609" s="13">
        <f t="shared" ca="1" si="206"/>
        <v>0</v>
      </c>
      <c r="AF609" s="13">
        <f ca="1">ROUNDUP(($AC609+$AE609)*VLOOKUP($AA609,Paraméterek!$P$38:$Q$38,2)/12*IF($D610="Nem",IF($M$13=0,1,$M$13),1),IF($D$4="Forint",0,2))</f>
        <v>0</v>
      </c>
      <c r="AG609" s="13">
        <f ca="1">IF($D$2="Egyszeri",IF($D$7&gt;=IF($D$4="Forint",Paraméterek!$P$223,Paraméterek!$P$224),$D$7-IF($D$4="Forint",Paraméterek!$P$223,Paraméterek!$P$224),0),MIN(IF($AB609=12,AVERAGEIF($E$20:$E609,"&gt;0",$E$20:$E609)*12,0),SUM($E$20:$E$31)))</f>
        <v>0</v>
      </c>
      <c r="AH609" s="13">
        <f>IF($AA609=10,$AG609*IF($AB609=12,IF($AG609&lt;IF($D$4="Forint",Paraméterek!$L$223,Paraméterek!$L$224),0,VLOOKUP($AA609,Paraméterek!$K$226:$M$228,IF($AG609&lt;IF($D$4="Forint",Paraméterek!$M$223,Paraméterek!$M$224),2,3))),0),0)</f>
        <v>0</v>
      </c>
      <c r="AI609" s="13">
        <f ca="1">IF(AND($AA609=$M$11+1,$AB609=$M$12+1),SUMIF($AA$20:$AA$1027,$AA609,$AG$20:$AG$1027)*IF(SUMIF($AA$20:$AA$1027,$AA609,$AG$20:$AG$1027)&lt;IF($D$4="Forint",Paraméterek!$L$223,Paraméterek!$L$224),0,VLOOKUP($AA609,Paraméterek!$K$230:$M$250,IF(SUMIF($AA$20:$AA$1027,$AA609,$AG$20:$AG$1027)&lt;IF($D$4="Forint",Paraméterek!$M$223,Paraméterek!$M$224),2,3))),0)</f>
        <v>0</v>
      </c>
      <c r="AJ609" s="13">
        <f ca="1">IF(AND($AA609&gt;=5,MOD($AA609,5)=0),IF($AB609=12,VLOOKUP($AA609,Paraméterek!$O$225:$P$240,2),0),IF(OR($AA609=3,$AA609=4),IF($AB609=12,VLOOKUP($AA609,Paraméterek!$O$225:$P$240,2,0),0),0))*$AG609</f>
        <v>0</v>
      </c>
      <c r="AK609" s="13">
        <f t="shared" ca="1" si="207"/>
        <v>0</v>
      </c>
      <c r="AL609" s="13">
        <f t="shared" ca="1" si="215"/>
        <v>0</v>
      </c>
      <c r="AM609" s="13">
        <f t="shared" ca="1" si="216"/>
        <v>0</v>
      </c>
      <c r="AO609" s="32">
        <v>590</v>
      </c>
      <c r="AP609" s="32">
        <v>50</v>
      </c>
      <c r="AQ609" s="32">
        <v>2</v>
      </c>
      <c r="AR609" s="13"/>
      <c r="AS609" s="32"/>
      <c r="AT609" s="13">
        <f t="shared" ca="1" si="217"/>
        <v>0</v>
      </c>
      <c r="AU609" s="33"/>
      <c r="AV609" s="13">
        <f t="shared" ca="1" si="208"/>
        <v>0</v>
      </c>
      <c r="AW609" s="13">
        <f ca="1">ROUNDUP(($AT609+$AV609)*VLOOKUP($AP609,Paraméterek!$P$38:$Q$38,2)/12*IF($D610="Nem",IF($M$13=0,1,$M$13),1),IF($D$4="Forint",0,2))</f>
        <v>0</v>
      </c>
      <c r="AX609" s="13"/>
      <c r="AY609" s="13"/>
      <c r="AZ609" s="13">
        <f>ROUNDUP(IF(SUM($AX609:$AY609)=0,0,IF(IF(ISBLANK($AY609),$AX609,$AY609)*Paraméterek!$J$112&lt;IF($D$4="Forint",Paraméterek!$J$113,Paraméterek!$K$113),IF($D$4="Forint",Paraméterek!$J$113,Paraméterek!$K$113),IF(IF(ISBLANK($AY609),$AX609,$AY609)*Paraméterek!$J$112&gt;IF($D$4="Forint",Paraméterek!$J$114,Paraméterek!$K$114),IF($D$4="Forint",Paraméterek!$J$114,Paraméterek!$K$114),IF(ISBLANK($AY609),$AX609,$AY609)*Paraméterek!$J$112))),IF($D$4="Forint",0,2))</f>
        <v>0</v>
      </c>
      <c r="BA609" s="13">
        <f ca="1">$AT609+$AV609-$AW609-IF(ROUNDDOWN(IF(ISBLANK($AY609),$AX609,$AY609),IF($D$4="Forint",0,2))&gt;$AT609+$AV609-$AW609-IF($D$4="Forint",Paraméterek!$J$114,Paraméterek!$K$114),0,ROUNDDOWN(IF(ISBLANK($AY609),$AX609,$AY609),IF($D$4="Forint",0,2))-$AZ609)</f>
        <v>0</v>
      </c>
      <c r="BB609" s="13">
        <f t="shared" ca="1" si="209"/>
        <v>0</v>
      </c>
      <c r="BD609" s="32">
        <v>590</v>
      </c>
      <c r="BE609" s="32">
        <v>50</v>
      </c>
      <c r="BF609" s="32">
        <v>2</v>
      </c>
      <c r="BG609" s="34">
        <f t="shared" ca="1" si="218"/>
        <v>2068</v>
      </c>
      <c r="BH609" s="32" t="str">
        <f ca="1">IF(MOD(MONTH($D$14)+$BD609-1,12)=Paraméterek!$C$288,"Igen","")</f>
        <v>Igen</v>
      </c>
      <c r="BI609" s="13">
        <f ca="1">IF($BH609="Igen",MIN(ROUNDDOWN((SUMIF($BG$20:$BG$1027,$BG609-1,$K$20:$K$1027)-SUMIF($BG$20:$BG$1027,$BG609-1,$I$20:$I$1027))*Paraméterek!$C$289,IF($D$4="Forint",0,2)),IF($D$4="Forint",Paraméterek!$C$285,Paraméterek!$D$285)),0)</f>
        <v>0</v>
      </c>
      <c r="BJ609" s="13">
        <f t="shared" ca="1" si="210"/>
        <v>0</v>
      </c>
      <c r="BK609" s="13">
        <f t="shared" ca="1" si="219"/>
        <v>0</v>
      </c>
      <c r="BL609" s="33"/>
      <c r="BM609" s="13">
        <f t="shared" ca="1" si="211"/>
        <v>0</v>
      </c>
      <c r="BN609" s="13">
        <f ca="1">ROUNDUP(($BK609+$BM609)*VLOOKUP($BE609,Paraméterek!$P$38:$Q$38,2)/12*IF($D610="Nem",IF($M$13=0,1,$M$13),1),IF($D$4="Forint",0,2))</f>
        <v>0</v>
      </c>
      <c r="BO609" s="13">
        <f t="shared" ca="1" si="212"/>
        <v>0</v>
      </c>
      <c r="BP609" s="13">
        <f ca="1">IF($D610="Nem",$BO609,$BO609-ROUNDUP(SUM($BI$20:$BI609)*120%,IF($D$4="Forint",0,2)))</f>
        <v>0</v>
      </c>
    </row>
    <row r="610" spans="1:68" x14ac:dyDescent="0.2">
      <c r="A610" s="32">
        <v>591</v>
      </c>
      <c r="B610" s="32">
        <v>50</v>
      </c>
      <c r="C610" s="32">
        <v>3</v>
      </c>
      <c r="D610" s="32" t="str">
        <f t="shared" ca="1" si="198"/>
        <v>Nem</v>
      </c>
      <c r="E610" s="13">
        <f t="shared" ca="1" si="199"/>
        <v>0</v>
      </c>
      <c r="F610" s="13"/>
      <c r="G610" s="13"/>
      <c r="H610" s="13"/>
      <c r="I610" s="13">
        <f t="shared" ca="1" si="200"/>
        <v>0</v>
      </c>
      <c r="J610" s="13">
        <f t="shared" ca="1" si="201"/>
        <v>0</v>
      </c>
      <c r="K610" s="13">
        <f t="shared" ca="1" si="202"/>
        <v>0</v>
      </c>
      <c r="L610" s="13" t="e">
        <f ca="1">ROUNDUP(IF($D$2="Egyszeri",$E610,IF($D$2="Havi",SUM($E$20:$E$31),IF(MOD($C610,$M$1)-1=0,SUM($E$20:$E$31),0))/12*$M$1)*VLOOKUP($B610,Paraméterek!$I$28:$P$31,IF($D$2="Egyszeri",8,HLOOKUP(ROUNDUP($M$11+$M$13,0),Paraméterek!$J$26:$O$27,2))),IF($D$4="Forint",0,2))</f>
        <v>#N/A</v>
      </c>
      <c r="M610" s="13">
        <f t="shared" ca="1" si="203"/>
        <v>0</v>
      </c>
      <c r="N610" s="13">
        <f t="shared" ca="1" si="213"/>
        <v>0</v>
      </c>
      <c r="O610" s="13">
        <f ca="1">IF($D610="Igen",IF($W609&gt;=IF($D$4="Forint",Paraméterek!$J$121,Paraméterek!$K$121),0,IF($D$4="Forint",Paraméterek!$J$121,Paraméterek!$K$121)-$W609),0)</f>
        <v>0</v>
      </c>
      <c r="P610" s="13" t="e">
        <f ca="1">ROUNDUP($O610*VLOOKUP($M$4+$B610-1,Paraméterek!$H$58:$I$105,2,0)/Paraméterek!$I$56,IF($D$4="Forint",0,2))</f>
        <v>#N/A</v>
      </c>
      <c r="Q610" s="13">
        <f t="shared" ca="1" si="204"/>
        <v>0</v>
      </c>
      <c r="R610" s="33"/>
      <c r="S610" s="13" t="e">
        <f t="shared" ca="1" si="205"/>
        <v>#N/A</v>
      </c>
      <c r="T610" s="13" t="e">
        <f ca="1">ROUNDUP(($N610-$P610-$Q610+$S610)*VLOOKUP($B610,Paraméterek!$I$38:$K$39,IF($D$2="Egyszeri",3,2))/12*IF($D611="Nem",IF($M$13=0,1,$M$13),1),IF($D$4="Forint",0,2))</f>
        <v>#N/A</v>
      </c>
      <c r="U610" s="13"/>
      <c r="V610" s="13"/>
      <c r="W610" s="13" t="e">
        <f ca="1">$N610-$P610-$Q610+$S610-$T610-IF(ROUNDUP(IF(ISBLANK($V610),$U610*0,$V610)/IF($D$2="Egyszeri",VLOOKUP($B610+IF($C610=12,1,0),Paraméterek!$V$257:$W$262,2),IF($B610=1,1,VLOOKUP($B610+IF($C610=12,1,0),Paraméterek!$I$258:$T$278,HLOOKUP($M$11+1,Paraméterek!$J$256:$T$257,2)))),IF($D$4="Forint",0,2))&gt;$N610-$P610-$Q610+$S610-$T610-IF($D$4="Forint",Paraméterek!$C$216,Paraméterek!$D$216),0,ROUNDUP(IF(ISBLANK($V610),$U610*0,$V610)/IF($D$2="Egyszeri",VLOOKUP($B610+IF($C610=12,1,0),Paraméterek!$V$257:$W$262,2),IF($B610=1,1,VLOOKUP($B610+IF($C610=12,1,0),Paraméterek!$I$258:$T$278,HLOOKUP($M$11+1,Paraméterek!$J$256:$T$257,2)))),IF($D$4="Forint",0,2)))</f>
        <v>#N/A</v>
      </c>
      <c r="X610" s="13" t="e">
        <f ca="1">ROUNDDOWN($W610*IF($D$2="Egyszeri",VLOOKUP($B610+IF($C610=12,1,0),Paraméterek!$V$257:$W$262,2),VLOOKUP($B610+IF($C610=12,1,0),Paraméterek!$I$258:$T$278,HLOOKUP($M$11+1,Paraméterek!$I$256:$T$257,2))),IF($D$4="Forint",0,2))</f>
        <v>#N/A</v>
      </c>
      <c r="Z610" s="32">
        <v>591</v>
      </c>
      <c r="AA610" s="32">
        <v>50</v>
      </c>
      <c r="AB610" s="32">
        <v>3</v>
      </c>
      <c r="AC610" s="13">
        <f t="shared" ca="1" si="214"/>
        <v>0</v>
      </c>
      <c r="AD610" s="33"/>
      <c r="AE610" s="13">
        <f t="shared" ca="1" si="206"/>
        <v>0</v>
      </c>
      <c r="AF610" s="13">
        <f ca="1">ROUNDUP(($AC610+$AE610)*VLOOKUP($AA610,Paraméterek!$P$38:$Q$38,2)/12*IF($D611="Nem",IF($M$13=0,1,$M$13),1),IF($D$4="Forint",0,2))</f>
        <v>0</v>
      </c>
      <c r="AG610" s="13">
        <f ca="1">IF($D$2="Egyszeri",IF($D$7&gt;=IF($D$4="Forint",Paraméterek!$P$223,Paraméterek!$P$224),$D$7-IF($D$4="Forint",Paraméterek!$P$223,Paraméterek!$P$224),0),MIN(IF($AB610=12,AVERAGEIF($E$20:$E610,"&gt;0",$E$20:$E610)*12,0),SUM($E$20:$E$31)))</f>
        <v>0</v>
      </c>
      <c r="AH610" s="13">
        <f>IF($AA610=10,$AG610*IF($AB610=12,IF($AG610&lt;IF($D$4="Forint",Paraméterek!$L$223,Paraméterek!$L$224),0,VLOOKUP($AA610,Paraméterek!$K$226:$M$228,IF($AG610&lt;IF($D$4="Forint",Paraméterek!$M$223,Paraméterek!$M$224),2,3))),0),0)</f>
        <v>0</v>
      </c>
      <c r="AI610" s="13">
        <f ca="1">IF(AND($AA610=$M$11+1,$AB610=$M$12+1),SUMIF($AA$20:$AA$1027,$AA610,$AG$20:$AG$1027)*IF(SUMIF($AA$20:$AA$1027,$AA610,$AG$20:$AG$1027)&lt;IF($D$4="Forint",Paraméterek!$L$223,Paraméterek!$L$224),0,VLOOKUP($AA610,Paraméterek!$K$230:$M$250,IF(SUMIF($AA$20:$AA$1027,$AA610,$AG$20:$AG$1027)&lt;IF($D$4="Forint",Paraméterek!$M$223,Paraméterek!$M$224),2,3))),0)</f>
        <v>0</v>
      </c>
      <c r="AJ610" s="13">
        <f ca="1">IF(AND($AA610&gt;=5,MOD($AA610,5)=0),IF($AB610=12,VLOOKUP($AA610,Paraméterek!$O$225:$P$240,2),0),IF(OR($AA610=3,$AA610=4),IF($AB610=12,VLOOKUP($AA610,Paraméterek!$O$225:$P$240,2,0),0),0))*$AG610</f>
        <v>0</v>
      </c>
      <c r="AK610" s="13">
        <f t="shared" ca="1" si="207"/>
        <v>0</v>
      </c>
      <c r="AL610" s="13">
        <f t="shared" ca="1" si="215"/>
        <v>0</v>
      </c>
      <c r="AM610" s="13">
        <f t="shared" ca="1" si="216"/>
        <v>0</v>
      </c>
      <c r="AO610" s="32">
        <v>591</v>
      </c>
      <c r="AP610" s="32">
        <v>50</v>
      </c>
      <c r="AQ610" s="32">
        <v>3</v>
      </c>
      <c r="AR610" s="13"/>
      <c r="AS610" s="32"/>
      <c r="AT610" s="13">
        <f t="shared" ca="1" si="217"/>
        <v>0</v>
      </c>
      <c r="AU610" s="33"/>
      <c r="AV610" s="13">
        <f t="shared" ca="1" si="208"/>
        <v>0</v>
      </c>
      <c r="AW610" s="13">
        <f ca="1">ROUNDUP(($AT610+$AV610)*VLOOKUP($AP610,Paraméterek!$P$38:$Q$38,2)/12*IF($D611="Nem",IF($M$13=0,1,$M$13),1),IF($D$4="Forint",0,2))</f>
        <v>0</v>
      </c>
      <c r="AX610" s="13"/>
      <c r="AY610" s="13"/>
      <c r="AZ610" s="13">
        <f>ROUNDUP(IF(SUM($AX610:$AY610)=0,0,IF(IF(ISBLANK($AY610),$AX610,$AY610)*Paraméterek!$J$112&lt;IF($D$4="Forint",Paraméterek!$J$113,Paraméterek!$K$113),IF($D$4="Forint",Paraméterek!$J$113,Paraméterek!$K$113),IF(IF(ISBLANK($AY610),$AX610,$AY610)*Paraméterek!$J$112&gt;IF($D$4="Forint",Paraméterek!$J$114,Paraméterek!$K$114),IF($D$4="Forint",Paraméterek!$J$114,Paraméterek!$K$114),IF(ISBLANK($AY610),$AX610,$AY610)*Paraméterek!$J$112))),IF($D$4="Forint",0,2))</f>
        <v>0</v>
      </c>
      <c r="BA610" s="13">
        <f ca="1">$AT610+$AV610-$AW610-IF(ROUNDDOWN(IF(ISBLANK($AY610),$AX610,$AY610),IF($D$4="Forint",0,2))&gt;$AT610+$AV610-$AW610-IF($D$4="Forint",Paraméterek!$J$114,Paraméterek!$K$114),0,ROUNDDOWN(IF(ISBLANK($AY610),$AX610,$AY610),IF($D$4="Forint",0,2))-$AZ610)</f>
        <v>0</v>
      </c>
      <c r="BB610" s="13">
        <f t="shared" ca="1" si="209"/>
        <v>0</v>
      </c>
      <c r="BD610" s="32">
        <v>591</v>
      </c>
      <c r="BE610" s="32">
        <v>50</v>
      </c>
      <c r="BF610" s="32">
        <v>3</v>
      </c>
      <c r="BG610" s="34">
        <f t="shared" ca="1" si="218"/>
        <v>2068</v>
      </c>
      <c r="BH610" s="32" t="str">
        <f ca="1">IF(MOD(MONTH($D$14)+$BD610-1,12)=Paraméterek!$C$288,"Igen","")</f>
        <v/>
      </c>
      <c r="BI610" s="13">
        <f ca="1">IF($BH610="Igen",MIN(ROUNDDOWN((SUMIF($BG$20:$BG$1027,$BG610-1,$K$20:$K$1027)-SUMIF($BG$20:$BG$1027,$BG610-1,$I$20:$I$1027))*Paraméterek!$C$289,IF($D$4="Forint",0,2)),IF($D$4="Forint",Paraméterek!$C$285,Paraméterek!$D$285)),0)</f>
        <v>0</v>
      </c>
      <c r="BJ610" s="13">
        <f t="shared" ca="1" si="210"/>
        <v>0</v>
      </c>
      <c r="BK610" s="13">
        <f t="shared" ca="1" si="219"/>
        <v>0</v>
      </c>
      <c r="BL610" s="33"/>
      <c r="BM610" s="13">
        <f t="shared" ca="1" si="211"/>
        <v>0</v>
      </c>
      <c r="BN610" s="13">
        <f ca="1">ROUNDUP(($BK610+$BM610)*VLOOKUP($BE610,Paraméterek!$P$38:$Q$38,2)/12*IF($D611="Nem",IF($M$13=0,1,$M$13),1),IF($D$4="Forint",0,2))</f>
        <v>0</v>
      </c>
      <c r="BO610" s="13">
        <f t="shared" ca="1" si="212"/>
        <v>0</v>
      </c>
      <c r="BP610" s="13">
        <f ca="1">IF($D611="Nem",$BO610,$BO610-ROUNDUP(SUM($BI$20:$BI610)*120%,IF($D$4="Forint",0,2)))</f>
        <v>0</v>
      </c>
    </row>
    <row r="611" spans="1:68" x14ac:dyDescent="0.2">
      <c r="A611" s="32">
        <v>592</v>
      </c>
      <c r="B611" s="32">
        <v>50</v>
      </c>
      <c r="C611" s="32">
        <v>4</v>
      </c>
      <c r="D611" s="32" t="str">
        <f t="shared" ca="1" si="198"/>
        <v>Nem</v>
      </c>
      <c r="E611" s="13">
        <f t="shared" ca="1" si="199"/>
        <v>0</v>
      </c>
      <c r="F611" s="13"/>
      <c r="G611" s="13"/>
      <c r="H611" s="13"/>
      <c r="I611" s="13">
        <f t="shared" ca="1" si="200"/>
        <v>0</v>
      </c>
      <c r="J611" s="13">
        <f t="shared" ca="1" si="201"/>
        <v>0</v>
      </c>
      <c r="K611" s="13">
        <f t="shared" ca="1" si="202"/>
        <v>0</v>
      </c>
      <c r="L611" s="13" t="e">
        <f ca="1">ROUNDUP(IF($D$2="Egyszeri",$E611,IF($D$2="Havi",SUM($E$20:$E$31),IF(MOD($C611,$M$1)-1=0,SUM($E$20:$E$31),0))/12*$M$1)*VLOOKUP($B611,Paraméterek!$I$28:$P$31,IF($D$2="Egyszeri",8,HLOOKUP(ROUNDUP($M$11+$M$13,0),Paraméterek!$J$26:$O$27,2))),IF($D$4="Forint",0,2))</f>
        <v>#N/A</v>
      </c>
      <c r="M611" s="13">
        <f t="shared" ca="1" si="203"/>
        <v>0</v>
      </c>
      <c r="N611" s="13">
        <f t="shared" ca="1" si="213"/>
        <v>0</v>
      </c>
      <c r="O611" s="13">
        <f ca="1">IF($D611="Igen",IF($W610&gt;=IF($D$4="Forint",Paraméterek!$J$121,Paraméterek!$K$121),0,IF($D$4="Forint",Paraméterek!$J$121,Paraméterek!$K$121)-$W610),0)</f>
        <v>0</v>
      </c>
      <c r="P611" s="13" t="e">
        <f ca="1">ROUNDUP($O611*VLOOKUP($M$4+$B611-1,Paraméterek!$H$58:$I$105,2,0)/Paraméterek!$I$56,IF($D$4="Forint",0,2))</f>
        <v>#N/A</v>
      </c>
      <c r="Q611" s="13">
        <f t="shared" ca="1" si="204"/>
        <v>0</v>
      </c>
      <c r="R611" s="33"/>
      <c r="S611" s="13" t="e">
        <f t="shared" ca="1" si="205"/>
        <v>#N/A</v>
      </c>
      <c r="T611" s="13" t="e">
        <f ca="1">ROUNDUP(($N611-$P611-$Q611+$S611)*VLOOKUP($B611,Paraméterek!$I$38:$K$39,IF($D$2="Egyszeri",3,2))/12*IF($D612="Nem",IF($M$13=0,1,$M$13),1),IF($D$4="Forint",0,2))</f>
        <v>#N/A</v>
      </c>
      <c r="U611" s="13"/>
      <c r="V611" s="13"/>
      <c r="W611" s="13" t="e">
        <f ca="1">$N611-$P611-$Q611+$S611-$T611-IF(ROUNDUP(IF(ISBLANK($V611),$U611*0,$V611)/IF($D$2="Egyszeri",VLOOKUP($B611+IF($C611=12,1,0),Paraméterek!$V$257:$W$262,2),IF($B611=1,1,VLOOKUP($B611+IF($C611=12,1,0),Paraméterek!$I$258:$T$278,HLOOKUP($M$11+1,Paraméterek!$J$256:$T$257,2)))),IF($D$4="Forint",0,2))&gt;$N611-$P611-$Q611+$S611-$T611-IF($D$4="Forint",Paraméterek!$C$216,Paraméterek!$D$216),0,ROUNDUP(IF(ISBLANK($V611),$U611*0,$V611)/IF($D$2="Egyszeri",VLOOKUP($B611+IF($C611=12,1,0),Paraméterek!$V$257:$W$262,2),IF($B611=1,1,VLOOKUP($B611+IF($C611=12,1,0),Paraméterek!$I$258:$T$278,HLOOKUP($M$11+1,Paraméterek!$J$256:$T$257,2)))),IF($D$4="Forint",0,2)))</f>
        <v>#N/A</v>
      </c>
      <c r="X611" s="13" t="e">
        <f ca="1">ROUNDDOWN($W611*IF($D$2="Egyszeri",VLOOKUP($B611+IF($C611=12,1,0),Paraméterek!$V$257:$W$262,2),VLOOKUP($B611+IF($C611=12,1,0),Paraméterek!$I$258:$T$278,HLOOKUP($M$11+1,Paraméterek!$I$256:$T$257,2))),IF($D$4="Forint",0,2))</f>
        <v>#N/A</v>
      </c>
      <c r="Z611" s="32">
        <v>592</v>
      </c>
      <c r="AA611" s="32">
        <v>50</v>
      </c>
      <c r="AB611" s="32">
        <v>4</v>
      </c>
      <c r="AC611" s="13">
        <f t="shared" ca="1" si="214"/>
        <v>0</v>
      </c>
      <c r="AD611" s="33"/>
      <c r="AE611" s="13">
        <f t="shared" ca="1" si="206"/>
        <v>0</v>
      </c>
      <c r="AF611" s="13">
        <f ca="1">ROUNDUP(($AC611+$AE611)*VLOOKUP($AA611,Paraméterek!$P$38:$Q$38,2)/12*IF($D612="Nem",IF($M$13=0,1,$M$13),1),IF($D$4="Forint",0,2))</f>
        <v>0</v>
      </c>
      <c r="AG611" s="13">
        <f ca="1">IF($D$2="Egyszeri",IF($D$7&gt;=IF($D$4="Forint",Paraméterek!$P$223,Paraméterek!$P$224),$D$7-IF($D$4="Forint",Paraméterek!$P$223,Paraméterek!$P$224),0),MIN(IF($AB611=12,AVERAGEIF($E$20:$E611,"&gt;0",$E$20:$E611)*12,0),SUM($E$20:$E$31)))</f>
        <v>0</v>
      </c>
      <c r="AH611" s="13">
        <f>IF($AA611=10,$AG611*IF($AB611=12,IF($AG611&lt;IF($D$4="Forint",Paraméterek!$L$223,Paraméterek!$L$224),0,VLOOKUP($AA611,Paraméterek!$K$226:$M$228,IF($AG611&lt;IF($D$4="Forint",Paraméterek!$M$223,Paraméterek!$M$224),2,3))),0),0)</f>
        <v>0</v>
      </c>
      <c r="AI611" s="13">
        <f ca="1">IF(AND($AA611=$M$11+1,$AB611=$M$12+1),SUMIF($AA$20:$AA$1027,$AA611,$AG$20:$AG$1027)*IF(SUMIF($AA$20:$AA$1027,$AA611,$AG$20:$AG$1027)&lt;IF($D$4="Forint",Paraméterek!$L$223,Paraméterek!$L$224),0,VLOOKUP($AA611,Paraméterek!$K$230:$M$250,IF(SUMIF($AA$20:$AA$1027,$AA611,$AG$20:$AG$1027)&lt;IF($D$4="Forint",Paraméterek!$M$223,Paraméterek!$M$224),2,3))),0)</f>
        <v>0</v>
      </c>
      <c r="AJ611" s="13">
        <f ca="1">IF(AND($AA611&gt;=5,MOD($AA611,5)=0),IF($AB611=12,VLOOKUP($AA611,Paraméterek!$O$225:$P$240,2),0),IF(OR($AA611=3,$AA611=4),IF($AB611=12,VLOOKUP($AA611,Paraméterek!$O$225:$P$240,2,0),0),0))*$AG611</f>
        <v>0</v>
      </c>
      <c r="AK611" s="13">
        <f t="shared" ca="1" si="207"/>
        <v>0</v>
      </c>
      <c r="AL611" s="13">
        <f t="shared" ca="1" si="215"/>
        <v>0</v>
      </c>
      <c r="AM611" s="13">
        <f t="shared" ca="1" si="216"/>
        <v>0</v>
      </c>
      <c r="AO611" s="32">
        <v>592</v>
      </c>
      <c r="AP611" s="32">
        <v>50</v>
      </c>
      <c r="AQ611" s="32">
        <v>4</v>
      </c>
      <c r="AR611" s="13"/>
      <c r="AS611" s="32"/>
      <c r="AT611" s="13">
        <f t="shared" ca="1" si="217"/>
        <v>0</v>
      </c>
      <c r="AU611" s="33"/>
      <c r="AV611" s="13">
        <f t="shared" ca="1" si="208"/>
        <v>0</v>
      </c>
      <c r="AW611" s="13">
        <f ca="1">ROUNDUP(($AT611+$AV611)*VLOOKUP($AP611,Paraméterek!$P$38:$Q$38,2)/12*IF($D612="Nem",IF($M$13=0,1,$M$13),1),IF($D$4="Forint",0,2))</f>
        <v>0</v>
      </c>
      <c r="AX611" s="13"/>
      <c r="AY611" s="13"/>
      <c r="AZ611" s="13">
        <f>ROUNDUP(IF(SUM($AX611:$AY611)=0,0,IF(IF(ISBLANK($AY611),$AX611,$AY611)*Paraméterek!$J$112&lt;IF($D$4="Forint",Paraméterek!$J$113,Paraméterek!$K$113),IF($D$4="Forint",Paraméterek!$J$113,Paraméterek!$K$113),IF(IF(ISBLANK($AY611),$AX611,$AY611)*Paraméterek!$J$112&gt;IF($D$4="Forint",Paraméterek!$J$114,Paraméterek!$K$114),IF($D$4="Forint",Paraméterek!$J$114,Paraméterek!$K$114),IF(ISBLANK($AY611),$AX611,$AY611)*Paraméterek!$J$112))),IF($D$4="Forint",0,2))</f>
        <v>0</v>
      </c>
      <c r="BA611" s="13">
        <f ca="1">$AT611+$AV611-$AW611-IF(ROUNDDOWN(IF(ISBLANK($AY611),$AX611,$AY611),IF($D$4="Forint",0,2))&gt;$AT611+$AV611-$AW611-IF($D$4="Forint",Paraméterek!$J$114,Paraméterek!$K$114),0,ROUNDDOWN(IF(ISBLANK($AY611),$AX611,$AY611),IF($D$4="Forint",0,2))-$AZ611)</f>
        <v>0</v>
      </c>
      <c r="BB611" s="13">
        <f t="shared" ca="1" si="209"/>
        <v>0</v>
      </c>
      <c r="BD611" s="32">
        <v>592</v>
      </c>
      <c r="BE611" s="32">
        <v>50</v>
      </c>
      <c r="BF611" s="32">
        <v>4</v>
      </c>
      <c r="BG611" s="34">
        <f t="shared" ca="1" si="218"/>
        <v>2068</v>
      </c>
      <c r="BH611" s="32" t="str">
        <f ca="1">IF(MOD(MONTH($D$14)+$BD611-1,12)=Paraméterek!$C$288,"Igen","")</f>
        <v/>
      </c>
      <c r="BI611" s="13">
        <f ca="1">IF($BH611="Igen",MIN(ROUNDDOWN((SUMIF($BG$20:$BG$1027,$BG611-1,$K$20:$K$1027)-SUMIF($BG$20:$BG$1027,$BG611-1,$I$20:$I$1027))*Paraméterek!$C$289,IF($D$4="Forint",0,2)),IF($D$4="Forint",Paraméterek!$C$285,Paraméterek!$D$285)),0)</f>
        <v>0</v>
      </c>
      <c r="BJ611" s="13">
        <f t="shared" ca="1" si="210"/>
        <v>0</v>
      </c>
      <c r="BK611" s="13">
        <f t="shared" ca="1" si="219"/>
        <v>0</v>
      </c>
      <c r="BL611" s="33"/>
      <c r="BM611" s="13">
        <f t="shared" ca="1" si="211"/>
        <v>0</v>
      </c>
      <c r="BN611" s="13">
        <f ca="1">ROUNDUP(($BK611+$BM611)*VLOOKUP($BE611,Paraméterek!$P$38:$Q$38,2)/12*IF($D612="Nem",IF($M$13=0,1,$M$13),1),IF($D$4="Forint",0,2))</f>
        <v>0</v>
      </c>
      <c r="BO611" s="13">
        <f t="shared" ca="1" si="212"/>
        <v>0</v>
      </c>
      <c r="BP611" s="13">
        <f ca="1">IF($D612="Nem",$BO611,$BO611-ROUNDUP(SUM($BI$20:$BI611)*120%,IF($D$4="Forint",0,2)))</f>
        <v>0</v>
      </c>
    </row>
    <row r="612" spans="1:68" x14ac:dyDescent="0.2">
      <c r="A612" s="32">
        <v>593</v>
      </c>
      <c r="B612" s="32">
        <v>50</v>
      </c>
      <c r="C612" s="32">
        <v>5</v>
      </c>
      <c r="D612" s="32" t="str">
        <f t="shared" ca="1" si="198"/>
        <v>Nem</v>
      </c>
      <c r="E612" s="13">
        <f t="shared" ca="1" si="199"/>
        <v>0</v>
      </c>
      <c r="F612" s="13"/>
      <c r="G612" s="13"/>
      <c r="H612" s="13"/>
      <c r="I612" s="13">
        <f t="shared" ca="1" si="200"/>
        <v>0</v>
      </c>
      <c r="J612" s="13">
        <f t="shared" ca="1" si="201"/>
        <v>0</v>
      </c>
      <c r="K612" s="13">
        <f t="shared" ca="1" si="202"/>
        <v>0</v>
      </c>
      <c r="L612" s="13" t="e">
        <f ca="1">ROUNDUP(IF($D$2="Egyszeri",$E612,IF($D$2="Havi",SUM($E$20:$E$31),IF(MOD($C612,$M$1)-1=0,SUM($E$20:$E$31),0))/12*$M$1)*VLOOKUP($B612,Paraméterek!$I$28:$P$31,IF($D$2="Egyszeri",8,HLOOKUP(ROUNDUP($M$11+$M$13,0),Paraméterek!$J$26:$O$27,2))),IF($D$4="Forint",0,2))</f>
        <v>#N/A</v>
      </c>
      <c r="M612" s="13">
        <f t="shared" ca="1" si="203"/>
        <v>0</v>
      </c>
      <c r="N612" s="13">
        <f t="shared" ca="1" si="213"/>
        <v>0</v>
      </c>
      <c r="O612" s="13">
        <f ca="1">IF($D612="Igen",IF($W611&gt;=IF($D$4="Forint",Paraméterek!$J$121,Paraméterek!$K$121),0,IF($D$4="Forint",Paraméterek!$J$121,Paraméterek!$K$121)-$W611),0)</f>
        <v>0</v>
      </c>
      <c r="P612" s="13" t="e">
        <f ca="1">ROUNDUP($O612*VLOOKUP($M$4+$B612-1,Paraméterek!$H$58:$I$105,2,0)/Paraméterek!$I$56,IF($D$4="Forint",0,2))</f>
        <v>#N/A</v>
      </c>
      <c r="Q612" s="13">
        <f t="shared" ca="1" si="204"/>
        <v>0</v>
      </c>
      <c r="R612" s="33"/>
      <c r="S612" s="13" t="e">
        <f t="shared" ca="1" si="205"/>
        <v>#N/A</v>
      </c>
      <c r="T612" s="13" t="e">
        <f ca="1">ROUNDUP(($N612-$P612-$Q612+$S612)*VLOOKUP($B612,Paraméterek!$I$38:$K$39,IF($D$2="Egyszeri",3,2))/12*IF($D613="Nem",IF($M$13=0,1,$M$13),1),IF($D$4="Forint",0,2))</f>
        <v>#N/A</v>
      </c>
      <c r="U612" s="13"/>
      <c r="V612" s="13"/>
      <c r="W612" s="13" t="e">
        <f ca="1">$N612-$P612-$Q612+$S612-$T612-IF(ROUNDUP(IF(ISBLANK($V612),$U612*0,$V612)/IF($D$2="Egyszeri",VLOOKUP($B612+IF($C612=12,1,0),Paraméterek!$V$257:$W$262,2),IF($B612=1,1,VLOOKUP($B612+IF($C612=12,1,0),Paraméterek!$I$258:$T$278,HLOOKUP($M$11+1,Paraméterek!$J$256:$T$257,2)))),IF($D$4="Forint",0,2))&gt;$N612-$P612-$Q612+$S612-$T612-IF($D$4="Forint",Paraméterek!$C$216,Paraméterek!$D$216),0,ROUNDUP(IF(ISBLANK($V612),$U612*0,$V612)/IF($D$2="Egyszeri",VLOOKUP($B612+IF($C612=12,1,0),Paraméterek!$V$257:$W$262,2),IF($B612=1,1,VLOOKUP($B612+IF($C612=12,1,0),Paraméterek!$I$258:$T$278,HLOOKUP($M$11+1,Paraméterek!$J$256:$T$257,2)))),IF($D$4="Forint",0,2)))</f>
        <v>#N/A</v>
      </c>
      <c r="X612" s="13" t="e">
        <f ca="1">ROUNDDOWN($W612*IF($D$2="Egyszeri",VLOOKUP($B612+IF($C612=12,1,0),Paraméterek!$V$257:$W$262,2),VLOOKUP($B612+IF($C612=12,1,0),Paraméterek!$I$258:$T$278,HLOOKUP($M$11+1,Paraméterek!$I$256:$T$257,2))),IF($D$4="Forint",0,2))</f>
        <v>#N/A</v>
      </c>
      <c r="Z612" s="32">
        <v>593</v>
      </c>
      <c r="AA612" s="32">
        <v>50</v>
      </c>
      <c r="AB612" s="32">
        <v>5</v>
      </c>
      <c r="AC612" s="13">
        <f t="shared" ca="1" si="214"/>
        <v>0</v>
      </c>
      <c r="AD612" s="33"/>
      <c r="AE612" s="13">
        <f t="shared" ca="1" si="206"/>
        <v>0</v>
      </c>
      <c r="AF612" s="13">
        <f ca="1">ROUNDUP(($AC612+$AE612)*VLOOKUP($AA612,Paraméterek!$P$38:$Q$38,2)/12*IF($D613="Nem",IF($M$13=0,1,$M$13),1),IF($D$4="Forint",0,2))</f>
        <v>0</v>
      </c>
      <c r="AG612" s="13">
        <f ca="1">IF($D$2="Egyszeri",IF($D$7&gt;=IF($D$4="Forint",Paraméterek!$P$223,Paraméterek!$P$224),$D$7-IF($D$4="Forint",Paraméterek!$P$223,Paraméterek!$P$224),0),MIN(IF($AB612=12,AVERAGEIF($E$20:$E612,"&gt;0",$E$20:$E612)*12,0),SUM($E$20:$E$31)))</f>
        <v>0</v>
      </c>
      <c r="AH612" s="13">
        <f>IF($AA612=10,$AG612*IF($AB612=12,IF($AG612&lt;IF($D$4="Forint",Paraméterek!$L$223,Paraméterek!$L$224),0,VLOOKUP($AA612,Paraméterek!$K$226:$M$228,IF($AG612&lt;IF($D$4="Forint",Paraméterek!$M$223,Paraméterek!$M$224),2,3))),0),0)</f>
        <v>0</v>
      </c>
      <c r="AI612" s="13">
        <f ca="1">IF(AND($AA612=$M$11+1,$AB612=$M$12+1),SUMIF($AA$20:$AA$1027,$AA612,$AG$20:$AG$1027)*IF(SUMIF($AA$20:$AA$1027,$AA612,$AG$20:$AG$1027)&lt;IF($D$4="Forint",Paraméterek!$L$223,Paraméterek!$L$224),0,VLOOKUP($AA612,Paraméterek!$K$230:$M$250,IF(SUMIF($AA$20:$AA$1027,$AA612,$AG$20:$AG$1027)&lt;IF($D$4="Forint",Paraméterek!$M$223,Paraméterek!$M$224),2,3))),0)</f>
        <v>0</v>
      </c>
      <c r="AJ612" s="13">
        <f ca="1">IF(AND($AA612&gt;=5,MOD($AA612,5)=0),IF($AB612=12,VLOOKUP($AA612,Paraméterek!$O$225:$P$240,2),0),IF(OR($AA612=3,$AA612=4),IF($AB612=12,VLOOKUP($AA612,Paraméterek!$O$225:$P$240,2,0),0),0))*$AG612</f>
        <v>0</v>
      </c>
      <c r="AK612" s="13">
        <f t="shared" ca="1" si="207"/>
        <v>0</v>
      </c>
      <c r="AL612" s="13">
        <f t="shared" ca="1" si="215"/>
        <v>0</v>
      </c>
      <c r="AM612" s="13">
        <f t="shared" ca="1" si="216"/>
        <v>0</v>
      </c>
      <c r="AO612" s="32">
        <v>593</v>
      </c>
      <c r="AP612" s="32">
        <v>50</v>
      </c>
      <c r="AQ612" s="32">
        <v>5</v>
      </c>
      <c r="AR612" s="13"/>
      <c r="AS612" s="32"/>
      <c r="AT612" s="13">
        <f t="shared" ca="1" si="217"/>
        <v>0</v>
      </c>
      <c r="AU612" s="33"/>
      <c r="AV612" s="13">
        <f t="shared" ca="1" si="208"/>
        <v>0</v>
      </c>
      <c r="AW612" s="13">
        <f ca="1">ROUNDUP(($AT612+$AV612)*VLOOKUP($AP612,Paraméterek!$P$38:$Q$38,2)/12*IF($D613="Nem",IF($M$13=0,1,$M$13),1),IF($D$4="Forint",0,2))</f>
        <v>0</v>
      </c>
      <c r="AX612" s="13"/>
      <c r="AY612" s="13"/>
      <c r="AZ612" s="13">
        <f>ROUNDUP(IF(SUM($AX612:$AY612)=0,0,IF(IF(ISBLANK($AY612),$AX612,$AY612)*Paraméterek!$J$112&lt;IF($D$4="Forint",Paraméterek!$J$113,Paraméterek!$K$113),IF($D$4="Forint",Paraméterek!$J$113,Paraméterek!$K$113),IF(IF(ISBLANK($AY612),$AX612,$AY612)*Paraméterek!$J$112&gt;IF($D$4="Forint",Paraméterek!$J$114,Paraméterek!$K$114),IF($D$4="Forint",Paraméterek!$J$114,Paraméterek!$K$114),IF(ISBLANK($AY612),$AX612,$AY612)*Paraméterek!$J$112))),IF($D$4="Forint",0,2))</f>
        <v>0</v>
      </c>
      <c r="BA612" s="13">
        <f ca="1">$AT612+$AV612-$AW612-IF(ROUNDDOWN(IF(ISBLANK($AY612),$AX612,$AY612),IF($D$4="Forint",0,2))&gt;$AT612+$AV612-$AW612-IF($D$4="Forint",Paraméterek!$J$114,Paraméterek!$K$114),0,ROUNDDOWN(IF(ISBLANK($AY612),$AX612,$AY612),IF($D$4="Forint",0,2))-$AZ612)</f>
        <v>0</v>
      </c>
      <c r="BB612" s="13">
        <f t="shared" ca="1" si="209"/>
        <v>0</v>
      </c>
      <c r="BD612" s="32">
        <v>593</v>
      </c>
      <c r="BE612" s="32">
        <v>50</v>
      </c>
      <c r="BF612" s="32">
        <v>5</v>
      </c>
      <c r="BG612" s="34">
        <f t="shared" ca="1" si="218"/>
        <v>2068</v>
      </c>
      <c r="BH612" s="32" t="str">
        <f ca="1">IF(MOD(MONTH($D$14)+$BD612-1,12)=Paraméterek!$C$288,"Igen","")</f>
        <v/>
      </c>
      <c r="BI612" s="13">
        <f ca="1">IF($BH612="Igen",MIN(ROUNDDOWN((SUMIF($BG$20:$BG$1027,$BG612-1,$K$20:$K$1027)-SUMIF($BG$20:$BG$1027,$BG612-1,$I$20:$I$1027))*Paraméterek!$C$289,IF($D$4="Forint",0,2)),IF($D$4="Forint",Paraméterek!$C$285,Paraméterek!$D$285)),0)</f>
        <v>0</v>
      </c>
      <c r="BJ612" s="13">
        <f t="shared" ca="1" si="210"/>
        <v>0</v>
      </c>
      <c r="BK612" s="13">
        <f t="shared" ca="1" si="219"/>
        <v>0</v>
      </c>
      <c r="BL612" s="33"/>
      <c r="BM612" s="13">
        <f t="shared" ca="1" si="211"/>
        <v>0</v>
      </c>
      <c r="BN612" s="13">
        <f ca="1">ROUNDUP(($BK612+$BM612)*VLOOKUP($BE612,Paraméterek!$P$38:$Q$38,2)/12*IF($D613="Nem",IF($M$13=0,1,$M$13),1),IF($D$4="Forint",0,2))</f>
        <v>0</v>
      </c>
      <c r="BO612" s="13">
        <f t="shared" ca="1" si="212"/>
        <v>0</v>
      </c>
      <c r="BP612" s="13">
        <f ca="1">IF($D613="Nem",$BO612,$BO612-ROUNDUP(SUM($BI$20:$BI612)*120%,IF($D$4="Forint",0,2)))</f>
        <v>0</v>
      </c>
    </row>
    <row r="613" spans="1:68" x14ac:dyDescent="0.2">
      <c r="A613" s="32">
        <v>594</v>
      </c>
      <c r="B613" s="32">
        <v>50</v>
      </c>
      <c r="C613" s="32">
        <v>6</v>
      </c>
      <c r="D613" s="32" t="str">
        <f t="shared" ca="1" si="198"/>
        <v>Nem</v>
      </c>
      <c r="E613" s="13">
        <f t="shared" ca="1" si="199"/>
        <v>0</v>
      </c>
      <c r="F613" s="13"/>
      <c r="G613" s="13"/>
      <c r="H613" s="13"/>
      <c r="I613" s="13">
        <f t="shared" ca="1" si="200"/>
        <v>0</v>
      </c>
      <c r="J613" s="13">
        <f t="shared" ca="1" si="201"/>
        <v>0</v>
      </c>
      <c r="K613" s="13">
        <f t="shared" ca="1" si="202"/>
        <v>0</v>
      </c>
      <c r="L613" s="13" t="e">
        <f ca="1">ROUNDUP(IF($D$2="Egyszeri",$E613,IF($D$2="Havi",SUM($E$20:$E$31),IF(MOD($C613,$M$1)-1=0,SUM($E$20:$E$31),0))/12*$M$1)*VLOOKUP($B613,Paraméterek!$I$28:$P$31,IF($D$2="Egyszeri",8,HLOOKUP(ROUNDUP($M$11+$M$13,0),Paraméterek!$J$26:$O$27,2))),IF($D$4="Forint",0,2))</f>
        <v>#N/A</v>
      </c>
      <c r="M613" s="13">
        <f t="shared" ca="1" si="203"/>
        <v>0</v>
      </c>
      <c r="N613" s="13">
        <f t="shared" ca="1" si="213"/>
        <v>0</v>
      </c>
      <c r="O613" s="13">
        <f ca="1">IF($D613="Igen",IF($W612&gt;=IF($D$4="Forint",Paraméterek!$J$121,Paraméterek!$K$121),0,IF($D$4="Forint",Paraméterek!$J$121,Paraméterek!$K$121)-$W612),0)</f>
        <v>0</v>
      </c>
      <c r="P613" s="13" t="e">
        <f ca="1">ROUNDUP($O613*VLOOKUP($M$4+$B613-1,Paraméterek!$H$58:$I$105,2,0)/Paraméterek!$I$56,IF($D$4="Forint",0,2))</f>
        <v>#N/A</v>
      </c>
      <c r="Q613" s="13">
        <f t="shared" ca="1" si="204"/>
        <v>0</v>
      </c>
      <c r="R613" s="33"/>
      <c r="S613" s="13" t="e">
        <f t="shared" ca="1" si="205"/>
        <v>#N/A</v>
      </c>
      <c r="T613" s="13" t="e">
        <f ca="1">ROUNDUP(($N613-$P613-$Q613+$S613)*VLOOKUP($B613,Paraméterek!$I$38:$K$39,IF($D$2="Egyszeri",3,2))/12*IF($D614="Nem",IF($M$13=0,1,$M$13),1),IF($D$4="Forint",0,2))</f>
        <v>#N/A</v>
      </c>
      <c r="U613" s="13"/>
      <c r="V613" s="13"/>
      <c r="W613" s="13" t="e">
        <f ca="1">$N613-$P613-$Q613+$S613-$T613-IF(ROUNDUP(IF(ISBLANK($V613),$U613*0,$V613)/IF($D$2="Egyszeri",VLOOKUP($B613+IF($C613=12,1,0),Paraméterek!$V$257:$W$262,2),IF($B613=1,1,VLOOKUP($B613+IF($C613=12,1,0),Paraméterek!$I$258:$T$278,HLOOKUP($M$11+1,Paraméterek!$J$256:$T$257,2)))),IF($D$4="Forint",0,2))&gt;$N613-$P613-$Q613+$S613-$T613-IF($D$4="Forint",Paraméterek!$C$216,Paraméterek!$D$216),0,ROUNDUP(IF(ISBLANK($V613),$U613*0,$V613)/IF($D$2="Egyszeri",VLOOKUP($B613+IF($C613=12,1,0),Paraméterek!$V$257:$W$262,2),IF($B613=1,1,VLOOKUP($B613+IF($C613=12,1,0),Paraméterek!$I$258:$T$278,HLOOKUP($M$11+1,Paraméterek!$J$256:$T$257,2)))),IF($D$4="Forint",0,2)))</f>
        <v>#N/A</v>
      </c>
      <c r="X613" s="13" t="e">
        <f ca="1">ROUNDDOWN($W613*IF($D$2="Egyszeri",VLOOKUP($B613+IF($C613=12,1,0),Paraméterek!$V$257:$W$262,2),VLOOKUP($B613+IF($C613=12,1,0),Paraméterek!$I$258:$T$278,HLOOKUP($M$11+1,Paraméterek!$I$256:$T$257,2))),IF($D$4="Forint",0,2))</f>
        <v>#N/A</v>
      </c>
      <c r="Z613" s="32">
        <v>594</v>
      </c>
      <c r="AA613" s="32">
        <v>50</v>
      </c>
      <c r="AB613" s="32">
        <v>6</v>
      </c>
      <c r="AC613" s="13">
        <f t="shared" ca="1" si="214"/>
        <v>0</v>
      </c>
      <c r="AD613" s="33"/>
      <c r="AE613" s="13">
        <f t="shared" ca="1" si="206"/>
        <v>0</v>
      </c>
      <c r="AF613" s="13">
        <f ca="1">ROUNDUP(($AC613+$AE613)*VLOOKUP($AA613,Paraméterek!$P$38:$Q$38,2)/12*IF($D614="Nem",IF($M$13=0,1,$M$13),1),IF($D$4="Forint",0,2))</f>
        <v>0</v>
      </c>
      <c r="AG613" s="13">
        <f ca="1">IF($D$2="Egyszeri",IF($D$7&gt;=IF($D$4="Forint",Paraméterek!$P$223,Paraméterek!$P$224),$D$7-IF($D$4="Forint",Paraméterek!$P$223,Paraméterek!$P$224),0),MIN(IF($AB613=12,AVERAGEIF($E$20:$E613,"&gt;0",$E$20:$E613)*12,0),SUM($E$20:$E$31)))</f>
        <v>0</v>
      </c>
      <c r="AH613" s="13">
        <f>IF($AA613=10,$AG613*IF($AB613=12,IF($AG613&lt;IF($D$4="Forint",Paraméterek!$L$223,Paraméterek!$L$224),0,VLOOKUP($AA613,Paraméterek!$K$226:$M$228,IF($AG613&lt;IF($D$4="Forint",Paraméterek!$M$223,Paraméterek!$M$224),2,3))),0),0)</f>
        <v>0</v>
      </c>
      <c r="AI613" s="13">
        <f ca="1">IF(AND($AA613=$M$11+1,$AB613=$M$12+1),SUMIF($AA$20:$AA$1027,$AA613,$AG$20:$AG$1027)*IF(SUMIF($AA$20:$AA$1027,$AA613,$AG$20:$AG$1027)&lt;IF($D$4="Forint",Paraméterek!$L$223,Paraméterek!$L$224),0,VLOOKUP($AA613,Paraméterek!$K$230:$M$250,IF(SUMIF($AA$20:$AA$1027,$AA613,$AG$20:$AG$1027)&lt;IF($D$4="Forint",Paraméterek!$M$223,Paraméterek!$M$224),2,3))),0)</f>
        <v>0</v>
      </c>
      <c r="AJ613" s="13">
        <f ca="1">IF(AND($AA613&gt;=5,MOD($AA613,5)=0),IF($AB613=12,VLOOKUP($AA613,Paraméterek!$O$225:$P$240,2),0),IF(OR($AA613=3,$AA613=4),IF($AB613=12,VLOOKUP($AA613,Paraméterek!$O$225:$P$240,2,0),0),0))*$AG613</f>
        <v>0</v>
      </c>
      <c r="AK613" s="13">
        <f t="shared" ca="1" si="207"/>
        <v>0</v>
      </c>
      <c r="AL613" s="13">
        <f t="shared" ca="1" si="215"/>
        <v>0</v>
      </c>
      <c r="AM613" s="13">
        <f t="shared" ca="1" si="216"/>
        <v>0</v>
      </c>
      <c r="AO613" s="32">
        <v>594</v>
      </c>
      <c r="AP613" s="32">
        <v>50</v>
      </c>
      <c r="AQ613" s="32">
        <v>6</v>
      </c>
      <c r="AR613" s="13"/>
      <c r="AS613" s="32"/>
      <c r="AT613" s="13">
        <f t="shared" ca="1" si="217"/>
        <v>0</v>
      </c>
      <c r="AU613" s="33"/>
      <c r="AV613" s="13">
        <f t="shared" ca="1" si="208"/>
        <v>0</v>
      </c>
      <c r="AW613" s="13">
        <f ca="1">ROUNDUP(($AT613+$AV613)*VLOOKUP($AP613,Paraméterek!$P$38:$Q$38,2)/12*IF($D614="Nem",IF($M$13=0,1,$M$13),1),IF($D$4="Forint",0,2))</f>
        <v>0</v>
      </c>
      <c r="AX613" s="13"/>
      <c r="AY613" s="13"/>
      <c r="AZ613" s="13">
        <f>ROUNDUP(IF(SUM($AX613:$AY613)=0,0,IF(IF(ISBLANK($AY613),$AX613,$AY613)*Paraméterek!$J$112&lt;IF($D$4="Forint",Paraméterek!$J$113,Paraméterek!$K$113),IF($D$4="Forint",Paraméterek!$J$113,Paraméterek!$K$113),IF(IF(ISBLANK($AY613),$AX613,$AY613)*Paraméterek!$J$112&gt;IF($D$4="Forint",Paraméterek!$J$114,Paraméterek!$K$114),IF($D$4="Forint",Paraméterek!$J$114,Paraméterek!$K$114),IF(ISBLANK($AY613),$AX613,$AY613)*Paraméterek!$J$112))),IF($D$4="Forint",0,2))</f>
        <v>0</v>
      </c>
      <c r="BA613" s="13">
        <f ca="1">$AT613+$AV613-$AW613-IF(ROUNDDOWN(IF(ISBLANK($AY613),$AX613,$AY613),IF($D$4="Forint",0,2))&gt;$AT613+$AV613-$AW613-IF($D$4="Forint",Paraméterek!$J$114,Paraméterek!$K$114),0,ROUNDDOWN(IF(ISBLANK($AY613),$AX613,$AY613),IF($D$4="Forint",0,2))-$AZ613)</f>
        <v>0</v>
      </c>
      <c r="BB613" s="13">
        <f t="shared" ca="1" si="209"/>
        <v>0</v>
      </c>
      <c r="BD613" s="32">
        <v>594</v>
      </c>
      <c r="BE613" s="32">
        <v>50</v>
      </c>
      <c r="BF613" s="32">
        <v>6</v>
      </c>
      <c r="BG613" s="34">
        <f t="shared" ca="1" si="218"/>
        <v>2068</v>
      </c>
      <c r="BH613" s="32" t="str">
        <f ca="1">IF(MOD(MONTH($D$14)+$BD613-1,12)=Paraméterek!$C$288,"Igen","")</f>
        <v/>
      </c>
      <c r="BI613" s="13">
        <f ca="1">IF($BH613="Igen",MIN(ROUNDDOWN((SUMIF($BG$20:$BG$1027,$BG613-1,$K$20:$K$1027)-SUMIF($BG$20:$BG$1027,$BG613-1,$I$20:$I$1027))*Paraméterek!$C$289,IF($D$4="Forint",0,2)),IF($D$4="Forint",Paraméterek!$C$285,Paraméterek!$D$285)),0)</f>
        <v>0</v>
      </c>
      <c r="BJ613" s="13">
        <f t="shared" ca="1" si="210"/>
        <v>0</v>
      </c>
      <c r="BK613" s="13">
        <f t="shared" ca="1" si="219"/>
        <v>0</v>
      </c>
      <c r="BL613" s="33"/>
      <c r="BM613" s="13">
        <f t="shared" ca="1" si="211"/>
        <v>0</v>
      </c>
      <c r="BN613" s="13">
        <f ca="1">ROUNDUP(($BK613+$BM613)*VLOOKUP($BE613,Paraméterek!$P$38:$Q$38,2)/12*IF($D614="Nem",IF($M$13=0,1,$M$13),1),IF($D$4="Forint",0,2))</f>
        <v>0</v>
      </c>
      <c r="BO613" s="13">
        <f t="shared" ca="1" si="212"/>
        <v>0</v>
      </c>
      <c r="BP613" s="13">
        <f ca="1">IF($D614="Nem",$BO613,$BO613-ROUNDUP(SUM($BI$20:$BI613)*120%,IF($D$4="Forint",0,2)))</f>
        <v>0</v>
      </c>
    </row>
    <row r="614" spans="1:68" x14ac:dyDescent="0.2">
      <c r="A614" s="32">
        <v>595</v>
      </c>
      <c r="B614" s="32">
        <v>50</v>
      </c>
      <c r="C614" s="32">
        <v>7</v>
      </c>
      <c r="D614" s="32" t="str">
        <f t="shared" ca="1" si="198"/>
        <v>Nem</v>
      </c>
      <c r="E614" s="13">
        <f t="shared" ca="1" si="199"/>
        <v>0</v>
      </c>
      <c r="F614" s="13"/>
      <c r="G614" s="13"/>
      <c r="H614" s="13"/>
      <c r="I614" s="13">
        <f t="shared" ca="1" si="200"/>
        <v>0</v>
      </c>
      <c r="J614" s="13">
        <f t="shared" ca="1" si="201"/>
        <v>0</v>
      </c>
      <c r="K614" s="13">
        <f t="shared" ca="1" si="202"/>
        <v>0</v>
      </c>
      <c r="L614" s="13" t="e">
        <f ca="1">ROUNDUP(IF($D$2="Egyszeri",$E614,IF($D$2="Havi",SUM($E$20:$E$31),IF(MOD($C614,$M$1)-1=0,SUM($E$20:$E$31),0))/12*$M$1)*VLOOKUP($B614,Paraméterek!$I$28:$P$31,IF($D$2="Egyszeri",8,HLOOKUP(ROUNDUP($M$11+$M$13,0),Paraméterek!$J$26:$O$27,2))),IF($D$4="Forint",0,2))</f>
        <v>#N/A</v>
      </c>
      <c r="M614" s="13">
        <f t="shared" ca="1" si="203"/>
        <v>0</v>
      </c>
      <c r="N614" s="13">
        <f t="shared" ca="1" si="213"/>
        <v>0</v>
      </c>
      <c r="O614" s="13">
        <f ca="1">IF($D614="Igen",IF($W613&gt;=IF($D$4="Forint",Paraméterek!$J$121,Paraméterek!$K$121),0,IF($D$4="Forint",Paraméterek!$J$121,Paraméterek!$K$121)-$W613),0)</f>
        <v>0</v>
      </c>
      <c r="P614" s="13" t="e">
        <f ca="1">ROUNDUP($O614*VLOOKUP($M$4+$B614-1,Paraméterek!$H$58:$I$105,2,0)/Paraméterek!$I$56,IF($D$4="Forint",0,2))</f>
        <v>#N/A</v>
      </c>
      <c r="Q614" s="13">
        <f t="shared" ca="1" si="204"/>
        <v>0</v>
      </c>
      <c r="R614" s="33"/>
      <c r="S614" s="13" t="e">
        <f t="shared" ca="1" si="205"/>
        <v>#N/A</v>
      </c>
      <c r="T614" s="13" t="e">
        <f ca="1">ROUNDUP(($N614-$P614-$Q614+$S614)*VLOOKUP($B614,Paraméterek!$I$38:$K$39,IF($D$2="Egyszeri",3,2))/12*IF($D615="Nem",IF($M$13=0,1,$M$13),1),IF($D$4="Forint",0,2))</f>
        <v>#N/A</v>
      </c>
      <c r="U614" s="13"/>
      <c r="V614" s="13"/>
      <c r="W614" s="13" t="e">
        <f ca="1">$N614-$P614-$Q614+$S614-$T614-IF(ROUNDUP(IF(ISBLANK($V614),$U614*0,$V614)/IF($D$2="Egyszeri",VLOOKUP($B614+IF($C614=12,1,0),Paraméterek!$V$257:$W$262,2),IF($B614=1,1,VLOOKUP($B614+IF($C614=12,1,0),Paraméterek!$I$258:$T$278,HLOOKUP($M$11+1,Paraméterek!$J$256:$T$257,2)))),IF($D$4="Forint",0,2))&gt;$N614-$P614-$Q614+$S614-$T614-IF($D$4="Forint",Paraméterek!$C$216,Paraméterek!$D$216),0,ROUNDUP(IF(ISBLANK($V614),$U614*0,$V614)/IF($D$2="Egyszeri",VLOOKUP($B614+IF($C614=12,1,0),Paraméterek!$V$257:$W$262,2),IF($B614=1,1,VLOOKUP($B614+IF($C614=12,1,0),Paraméterek!$I$258:$T$278,HLOOKUP($M$11+1,Paraméterek!$J$256:$T$257,2)))),IF($D$4="Forint",0,2)))</f>
        <v>#N/A</v>
      </c>
      <c r="X614" s="13" t="e">
        <f ca="1">ROUNDDOWN($W614*IF($D$2="Egyszeri",VLOOKUP($B614+IF($C614=12,1,0),Paraméterek!$V$257:$W$262,2),VLOOKUP($B614+IF($C614=12,1,0),Paraméterek!$I$258:$T$278,HLOOKUP($M$11+1,Paraméterek!$I$256:$T$257,2))),IF($D$4="Forint",0,2))</f>
        <v>#N/A</v>
      </c>
      <c r="Z614" s="32">
        <v>595</v>
      </c>
      <c r="AA614" s="32">
        <v>50</v>
      </c>
      <c r="AB614" s="32">
        <v>7</v>
      </c>
      <c r="AC614" s="13">
        <f t="shared" ca="1" si="214"/>
        <v>0</v>
      </c>
      <c r="AD614" s="33"/>
      <c r="AE614" s="13">
        <f t="shared" ca="1" si="206"/>
        <v>0</v>
      </c>
      <c r="AF614" s="13">
        <f ca="1">ROUNDUP(($AC614+$AE614)*VLOOKUP($AA614,Paraméterek!$P$38:$Q$38,2)/12*IF($D615="Nem",IF($M$13=0,1,$M$13),1),IF($D$4="Forint",0,2))</f>
        <v>0</v>
      </c>
      <c r="AG614" s="13">
        <f ca="1">IF($D$2="Egyszeri",IF($D$7&gt;=IF($D$4="Forint",Paraméterek!$P$223,Paraméterek!$P$224),$D$7-IF($D$4="Forint",Paraméterek!$P$223,Paraméterek!$P$224),0),MIN(IF($AB614=12,AVERAGEIF($E$20:$E614,"&gt;0",$E$20:$E614)*12,0),SUM($E$20:$E$31)))</f>
        <v>0</v>
      </c>
      <c r="AH614" s="13">
        <f>IF($AA614=10,$AG614*IF($AB614=12,IF($AG614&lt;IF($D$4="Forint",Paraméterek!$L$223,Paraméterek!$L$224),0,VLOOKUP($AA614,Paraméterek!$K$226:$M$228,IF($AG614&lt;IF($D$4="Forint",Paraméterek!$M$223,Paraméterek!$M$224),2,3))),0),0)</f>
        <v>0</v>
      </c>
      <c r="AI614" s="13">
        <f ca="1">IF(AND($AA614=$M$11+1,$AB614=$M$12+1),SUMIF($AA$20:$AA$1027,$AA614,$AG$20:$AG$1027)*IF(SUMIF($AA$20:$AA$1027,$AA614,$AG$20:$AG$1027)&lt;IF($D$4="Forint",Paraméterek!$L$223,Paraméterek!$L$224),0,VLOOKUP($AA614,Paraméterek!$K$230:$M$250,IF(SUMIF($AA$20:$AA$1027,$AA614,$AG$20:$AG$1027)&lt;IF($D$4="Forint",Paraméterek!$M$223,Paraméterek!$M$224),2,3))),0)</f>
        <v>0</v>
      </c>
      <c r="AJ614" s="13">
        <f ca="1">IF(AND($AA614&gt;=5,MOD($AA614,5)=0),IF($AB614=12,VLOOKUP($AA614,Paraméterek!$O$225:$P$240,2),0),IF(OR($AA614=3,$AA614=4),IF($AB614=12,VLOOKUP($AA614,Paraméterek!$O$225:$P$240,2,0),0),0))*$AG614</f>
        <v>0</v>
      </c>
      <c r="AK614" s="13">
        <f t="shared" ca="1" si="207"/>
        <v>0</v>
      </c>
      <c r="AL614" s="13">
        <f t="shared" ca="1" si="215"/>
        <v>0</v>
      </c>
      <c r="AM614" s="13">
        <f t="shared" ca="1" si="216"/>
        <v>0</v>
      </c>
      <c r="AO614" s="32">
        <v>595</v>
      </c>
      <c r="AP614" s="32">
        <v>50</v>
      </c>
      <c r="AQ614" s="32">
        <v>7</v>
      </c>
      <c r="AR614" s="13"/>
      <c r="AS614" s="32"/>
      <c r="AT614" s="13">
        <f t="shared" ca="1" si="217"/>
        <v>0</v>
      </c>
      <c r="AU614" s="33"/>
      <c r="AV614" s="13">
        <f t="shared" ca="1" si="208"/>
        <v>0</v>
      </c>
      <c r="AW614" s="13">
        <f ca="1">ROUNDUP(($AT614+$AV614)*VLOOKUP($AP614,Paraméterek!$P$38:$Q$38,2)/12*IF($D615="Nem",IF($M$13=0,1,$M$13),1),IF($D$4="Forint",0,2))</f>
        <v>0</v>
      </c>
      <c r="AX614" s="13"/>
      <c r="AY614" s="13"/>
      <c r="AZ614" s="13">
        <f>ROUNDUP(IF(SUM($AX614:$AY614)=0,0,IF(IF(ISBLANK($AY614),$AX614,$AY614)*Paraméterek!$J$112&lt;IF($D$4="Forint",Paraméterek!$J$113,Paraméterek!$K$113),IF($D$4="Forint",Paraméterek!$J$113,Paraméterek!$K$113),IF(IF(ISBLANK($AY614),$AX614,$AY614)*Paraméterek!$J$112&gt;IF($D$4="Forint",Paraméterek!$J$114,Paraméterek!$K$114),IF($D$4="Forint",Paraméterek!$J$114,Paraméterek!$K$114),IF(ISBLANK($AY614),$AX614,$AY614)*Paraméterek!$J$112))),IF($D$4="Forint",0,2))</f>
        <v>0</v>
      </c>
      <c r="BA614" s="13">
        <f ca="1">$AT614+$AV614-$AW614-IF(ROUNDDOWN(IF(ISBLANK($AY614),$AX614,$AY614),IF($D$4="Forint",0,2))&gt;$AT614+$AV614-$AW614-IF($D$4="Forint",Paraméterek!$J$114,Paraméterek!$K$114),0,ROUNDDOWN(IF(ISBLANK($AY614),$AX614,$AY614),IF($D$4="Forint",0,2))-$AZ614)</f>
        <v>0</v>
      </c>
      <c r="BB614" s="13">
        <f t="shared" ca="1" si="209"/>
        <v>0</v>
      </c>
      <c r="BD614" s="32">
        <v>595</v>
      </c>
      <c r="BE614" s="32">
        <v>50</v>
      </c>
      <c r="BF614" s="32">
        <v>7</v>
      </c>
      <c r="BG614" s="34">
        <f t="shared" ca="1" si="218"/>
        <v>2068</v>
      </c>
      <c r="BH614" s="32" t="str">
        <f ca="1">IF(MOD(MONTH($D$14)+$BD614-1,12)=Paraméterek!$C$288,"Igen","")</f>
        <v/>
      </c>
      <c r="BI614" s="13">
        <f ca="1">IF($BH614="Igen",MIN(ROUNDDOWN((SUMIF($BG$20:$BG$1027,$BG614-1,$K$20:$K$1027)-SUMIF($BG$20:$BG$1027,$BG614-1,$I$20:$I$1027))*Paraméterek!$C$289,IF($D$4="Forint",0,2)),IF($D$4="Forint",Paraméterek!$C$285,Paraméterek!$D$285)),0)</f>
        <v>0</v>
      </c>
      <c r="BJ614" s="13">
        <f t="shared" ca="1" si="210"/>
        <v>0</v>
      </c>
      <c r="BK614" s="13">
        <f t="shared" ca="1" si="219"/>
        <v>0</v>
      </c>
      <c r="BL614" s="33"/>
      <c r="BM614" s="13">
        <f t="shared" ca="1" si="211"/>
        <v>0</v>
      </c>
      <c r="BN614" s="13">
        <f ca="1">ROUNDUP(($BK614+$BM614)*VLOOKUP($BE614,Paraméterek!$P$38:$Q$38,2)/12*IF($D615="Nem",IF($M$13=0,1,$M$13),1),IF($D$4="Forint",0,2))</f>
        <v>0</v>
      </c>
      <c r="BO614" s="13">
        <f t="shared" ca="1" si="212"/>
        <v>0</v>
      </c>
      <c r="BP614" s="13">
        <f ca="1">IF($D615="Nem",$BO614,$BO614-ROUNDUP(SUM($BI$20:$BI614)*120%,IF($D$4="Forint",0,2)))</f>
        <v>0</v>
      </c>
    </row>
    <row r="615" spans="1:68" x14ac:dyDescent="0.2">
      <c r="A615" s="32">
        <v>596</v>
      </c>
      <c r="B615" s="32">
        <v>50</v>
      </c>
      <c r="C615" s="32">
        <v>8</v>
      </c>
      <c r="D615" s="32" t="str">
        <f t="shared" ca="1" si="198"/>
        <v>Nem</v>
      </c>
      <c r="E615" s="13">
        <f t="shared" ca="1" si="199"/>
        <v>0</v>
      </c>
      <c r="F615" s="13"/>
      <c r="G615" s="13"/>
      <c r="H615" s="13"/>
      <c r="I615" s="13">
        <f t="shared" ca="1" si="200"/>
        <v>0</v>
      </c>
      <c r="J615" s="13">
        <f t="shared" ca="1" si="201"/>
        <v>0</v>
      </c>
      <c r="K615" s="13">
        <f t="shared" ca="1" si="202"/>
        <v>0</v>
      </c>
      <c r="L615" s="13" t="e">
        <f ca="1">ROUNDUP(IF($D$2="Egyszeri",$E615,IF($D$2="Havi",SUM($E$20:$E$31),IF(MOD($C615,$M$1)-1=0,SUM($E$20:$E$31),0))/12*$M$1)*VLOOKUP($B615,Paraméterek!$I$28:$P$31,IF($D$2="Egyszeri",8,HLOOKUP(ROUNDUP($M$11+$M$13,0),Paraméterek!$J$26:$O$27,2))),IF($D$4="Forint",0,2))</f>
        <v>#N/A</v>
      </c>
      <c r="M615" s="13">
        <f t="shared" ca="1" si="203"/>
        <v>0</v>
      </c>
      <c r="N615" s="13">
        <f t="shared" ca="1" si="213"/>
        <v>0</v>
      </c>
      <c r="O615" s="13">
        <f ca="1">IF($D615="Igen",IF($W614&gt;=IF($D$4="Forint",Paraméterek!$J$121,Paraméterek!$K$121),0,IF($D$4="Forint",Paraméterek!$J$121,Paraméterek!$K$121)-$W614),0)</f>
        <v>0</v>
      </c>
      <c r="P615" s="13" t="e">
        <f ca="1">ROUNDUP($O615*VLOOKUP($M$4+$B615-1,Paraméterek!$H$58:$I$105,2,0)/Paraméterek!$I$56,IF($D$4="Forint",0,2))</f>
        <v>#N/A</v>
      </c>
      <c r="Q615" s="13">
        <f t="shared" ca="1" si="204"/>
        <v>0</v>
      </c>
      <c r="R615" s="33"/>
      <c r="S615" s="13" t="e">
        <f t="shared" ca="1" si="205"/>
        <v>#N/A</v>
      </c>
      <c r="T615" s="13" t="e">
        <f ca="1">ROUNDUP(($N615-$P615-$Q615+$S615)*VLOOKUP($B615,Paraméterek!$I$38:$K$39,IF($D$2="Egyszeri",3,2))/12*IF($D616="Nem",IF($M$13=0,1,$M$13),1),IF($D$4="Forint",0,2))</f>
        <v>#N/A</v>
      </c>
      <c r="U615" s="13"/>
      <c r="V615" s="13"/>
      <c r="W615" s="13" t="e">
        <f ca="1">$N615-$P615-$Q615+$S615-$T615-IF(ROUNDUP(IF(ISBLANK($V615),$U615*0,$V615)/IF($D$2="Egyszeri",VLOOKUP($B615+IF($C615=12,1,0),Paraméterek!$V$257:$W$262,2),IF($B615=1,1,VLOOKUP($B615+IF($C615=12,1,0),Paraméterek!$I$258:$T$278,HLOOKUP($M$11+1,Paraméterek!$J$256:$T$257,2)))),IF($D$4="Forint",0,2))&gt;$N615-$P615-$Q615+$S615-$T615-IF($D$4="Forint",Paraméterek!$C$216,Paraméterek!$D$216),0,ROUNDUP(IF(ISBLANK($V615),$U615*0,$V615)/IF($D$2="Egyszeri",VLOOKUP($B615+IF($C615=12,1,0),Paraméterek!$V$257:$W$262,2),IF($B615=1,1,VLOOKUP($B615+IF($C615=12,1,0),Paraméterek!$I$258:$T$278,HLOOKUP($M$11+1,Paraméterek!$J$256:$T$257,2)))),IF($D$4="Forint",0,2)))</f>
        <v>#N/A</v>
      </c>
      <c r="X615" s="13" t="e">
        <f ca="1">ROUNDDOWN($W615*IF($D$2="Egyszeri",VLOOKUP($B615+IF($C615=12,1,0),Paraméterek!$V$257:$W$262,2),VLOOKUP($B615+IF($C615=12,1,0),Paraméterek!$I$258:$T$278,HLOOKUP($M$11+1,Paraméterek!$I$256:$T$257,2))),IF($D$4="Forint",0,2))</f>
        <v>#N/A</v>
      </c>
      <c r="Z615" s="32">
        <v>596</v>
      </c>
      <c r="AA615" s="32">
        <v>50</v>
      </c>
      <c r="AB615" s="32">
        <v>8</v>
      </c>
      <c r="AC615" s="13">
        <f t="shared" ca="1" si="214"/>
        <v>0</v>
      </c>
      <c r="AD615" s="33"/>
      <c r="AE615" s="13">
        <f t="shared" ca="1" si="206"/>
        <v>0</v>
      </c>
      <c r="AF615" s="13">
        <f ca="1">ROUNDUP(($AC615+$AE615)*VLOOKUP($AA615,Paraméterek!$P$38:$Q$38,2)/12*IF($D616="Nem",IF($M$13=0,1,$M$13),1),IF($D$4="Forint",0,2))</f>
        <v>0</v>
      </c>
      <c r="AG615" s="13">
        <f ca="1">IF($D$2="Egyszeri",IF($D$7&gt;=IF($D$4="Forint",Paraméterek!$P$223,Paraméterek!$P$224),$D$7-IF($D$4="Forint",Paraméterek!$P$223,Paraméterek!$P$224),0),MIN(IF($AB615=12,AVERAGEIF($E$20:$E615,"&gt;0",$E$20:$E615)*12,0),SUM($E$20:$E$31)))</f>
        <v>0</v>
      </c>
      <c r="AH615" s="13">
        <f>IF($AA615=10,$AG615*IF($AB615=12,IF($AG615&lt;IF($D$4="Forint",Paraméterek!$L$223,Paraméterek!$L$224),0,VLOOKUP($AA615,Paraméterek!$K$226:$M$228,IF($AG615&lt;IF($D$4="Forint",Paraméterek!$M$223,Paraméterek!$M$224),2,3))),0),0)</f>
        <v>0</v>
      </c>
      <c r="AI615" s="13">
        <f ca="1">IF(AND($AA615=$M$11+1,$AB615=$M$12+1),SUMIF($AA$20:$AA$1027,$AA615,$AG$20:$AG$1027)*IF(SUMIF($AA$20:$AA$1027,$AA615,$AG$20:$AG$1027)&lt;IF($D$4="Forint",Paraméterek!$L$223,Paraméterek!$L$224),0,VLOOKUP($AA615,Paraméterek!$K$230:$M$250,IF(SUMIF($AA$20:$AA$1027,$AA615,$AG$20:$AG$1027)&lt;IF($D$4="Forint",Paraméterek!$M$223,Paraméterek!$M$224),2,3))),0)</f>
        <v>0</v>
      </c>
      <c r="AJ615" s="13">
        <f ca="1">IF(AND($AA615&gt;=5,MOD($AA615,5)=0),IF($AB615=12,VLOOKUP($AA615,Paraméterek!$O$225:$P$240,2),0),IF(OR($AA615=3,$AA615=4),IF($AB615=12,VLOOKUP($AA615,Paraméterek!$O$225:$P$240,2,0),0),0))*$AG615</f>
        <v>0</v>
      </c>
      <c r="AK615" s="13">
        <f t="shared" ca="1" si="207"/>
        <v>0</v>
      </c>
      <c r="AL615" s="13">
        <f t="shared" ca="1" si="215"/>
        <v>0</v>
      </c>
      <c r="AM615" s="13">
        <f t="shared" ca="1" si="216"/>
        <v>0</v>
      </c>
      <c r="AO615" s="32">
        <v>596</v>
      </c>
      <c r="AP615" s="32">
        <v>50</v>
      </c>
      <c r="AQ615" s="32">
        <v>8</v>
      </c>
      <c r="AR615" s="13"/>
      <c r="AS615" s="32"/>
      <c r="AT615" s="13">
        <f t="shared" ca="1" si="217"/>
        <v>0</v>
      </c>
      <c r="AU615" s="33"/>
      <c r="AV615" s="13">
        <f t="shared" ca="1" si="208"/>
        <v>0</v>
      </c>
      <c r="AW615" s="13">
        <f ca="1">ROUNDUP(($AT615+$AV615)*VLOOKUP($AP615,Paraméterek!$P$38:$Q$38,2)/12*IF($D616="Nem",IF($M$13=0,1,$M$13),1),IF($D$4="Forint",0,2))</f>
        <v>0</v>
      </c>
      <c r="AX615" s="13"/>
      <c r="AY615" s="13"/>
      <c r="AZ615" s="13">
        <f>ROUNDUP(IF(SUM($AX615:$AY615)=0,0,IF(IF(ISBLANK($AY615),$AX615,$AY615)*Paraméterek!$J$112&lt;IF($D$4="Forint",Paraméterek!$J$113,Paraméterek!$K$113),IF($D$4="Forint",Paraméterek!$J$113,Paraméterek!$K$113),IF(IF(ISBLANK($AY615),$AX615,$AY615)*Paraméterek!$J$112&gt;IF($D$4="Forint",Paraméterek!$J$114,Paraméterek!$K$114),IF($D$4="Forint",Paraméterek!$J$114,Paraméterek!$K$114),IF(ISBLANK($AY615),$AX615,$AY615)*Paraméterek!$J$112))),IF($D$4="Forint",0,2))</f>
        <v>0</v>
      </c>
      <c r="BA615" s="13">
        <f ca="1">$AT615+$AV615-$AW615-IF(ROUNDDOWN(IF(ISBLANK($AY615),$AX615,$AY615),IF($D$4="Forint",0,2))&gt;$AT615+$AV615-$AW615-IF($D$4="Forint",Paraméterek!$J$114,Paraméterek!$K$114),0,ROUNDDOWN(IF(ISBLANK($AY615),$AX615,$AY615),IF($D$4="Forint",0,2))-$AZ615)</f>
        <v>0</v>
      </c>
      <c r="BB615" s="13">
        <f t="shared" ca="1" si="209"/>
        <v>0</v>
      </c>
      <c r="BD615" s="32">
        <v>596</v>
      </c>
      <c r="BE615" s="32">
        <v>50</v>
      </c>
      <c r="BF615" s="32">
        <v>8</v>
      </c>
      <c r="BG615" s="34">
        <f t="shared" ca="1" si="218"/>
        <v>2069</v>
      </c>
      <c r="BH615" s="32" t="str">
        <f ca="1">IF(MOD(MONTH($D$14)+$BD615-1,12)=Paraméterek!$C$288,"Igen","")</f>
        <v/>
      </c>
      <c r="BI615" s="13">
        <f ca="1">IF($BH615="Igen",MIN(ROUNDDOWN((SUMIF($BG$20:$BG$1027,$BG615-1,$K$20:$K$1027)-SUMIF($BG$20:$BG$1027,$BG615-1,$I$20:$I$1027))*Paraméterek!$C$289,IF($D$4="Forint",0,2)),IF($D$4="Forint",Paraméterek!$C$285,Paraméterek!$D$285)),0)</f>
        <v>0</v>
      </c>
      <c r="BJ615" s="13">
        <f t="shared" ca="1" si="210"/>
        <v>0</v>
      </c>
      <c r="BK615" s="13">
        <f t="shared" ca="1" si="219"/>
        <v>0</v>
      </c>
      <c r="BL615" s="33"/>
      <c r="BM615" s="13">
        <f t="shared" ca="1" si="211"/>
        <v>0</v>
      </c>
      <c r="BN615" s="13">
        <f ca="1">ROUNDUP(($BK615+$BM615)*VLOOKUP($BE615,Paraméterek!$P$38:$Q$38,2)/12*IF($D616="Nem",IF($M$13=0,1,$M$13),1),IF($D$4="Forint",0,2))</f>
        <v>0</v>
      </c>
      <c r="BO615" s="13">
        <f t="shared" ca="1" si="212"/>
        <v>0</v>
      </c>
      <c r="BP615" s="13">
        <f ca="1">IF($D616="Nem",$BO615,$BO615-ROUNDUP(SUM($BI$20:$BI615)*120%,IF($D$4="Forint",0,2)))</f>
        <v>0</v>
      </c>
    </row>
    <row r="616" spans="1:68" x14ac:dyDescent="0.2">
      <c r="A616" s="32">
        <v>597</v>
      </c>
      <c r="B616" s="32">
        <v>50</v>
      </c>
      <c r="C616" s="32">
        <v>9</v>
      </c>
      <c r="D616" s="32" t="str">
        <f t="shared" ca="1" si="198"/>
        <v>Nem</v>
      </c>
      <c r="E616" s="13">
        <f t="shared" ca="1" si="199"/>
        <v>0</v>
      </c>
      <c r="F616" s="13"/>
      <c r="G616" s="13"/>
      <c r="H616" s="13"/>
      <c r="I616" s="13">
        <f t="shared" ca="1" si="200"/>
        <v>0</v>
      </c>
      <c r="J616" s="13">
        <f t="shared" ca="1" si="201"/>
        <v>0</v>
      </c>
      <c r="K616" s="13">
        <f t="shared" ca="1" si="202"/>
        <v>0</v>
      </c>
      <c r="L616" s="13" t="e">
        <f ca="1">ROUNDUP(IF($D$2="Egyszeri",$E616,IF($D$2="Havi",SUM($E$20:$E$31),IF(MOD($C616,$M$1)-1=0,SUM($E$20:$E$31),0))/12*$M$1)*VLOOKUP($B616,Paraméterek!$I$28:$P$31,IF($D$2="Egyszeri",8,HLOOKUP(ROUNDUP($M$11+$M$13,0),Paraméterek!$J$26:$O$27,2))),IF($D$4="Forint",0,2))</f>
        <v>#N/A</v>
      </c>
      <c r="M616" s="13">
        <f t="shared" ca="1" si="203"/>
        <v>0</v>
      </c>
      <c r="N616" s="13">
        <f t="shared" ca="1" si="213"/>
        <v>0</v>
      </c>
      <c r="O616" s="13">
        <f ca="1">IF($D616="Igen",IF($W615&gt;=IF($D$4="Forint",Paraméterek!$J$121,Paraméterek!$K$121),0,IF($D$4="Forint",Paraméterek!$J$121,Paraméterek!$K$121)-$W615),0)</f>
        <v>0</v>
      </c>
      <c r="P616" s="13" t="e">
        <f ca="1">ROUNDUP($O616*VLOOKUP($M$4+$B616-1,Paraméterek!$H$58:$I$105,2,0)/Paraméterek!$I$56,IF($D$4="Forint",0,2))</f>
        <v>#N/A</v>
      </c>
      <c r="Q616" s="13">
        <f t="shared" ca="1" si="204"/>
        <v>0</v>
      </c>
      <c r="R616" s="33"/>
      <c r="S616" s="13" t="e">
        <f t="shared" ca="1" si="205"/>
        <v>#N/A</v>
      </c>
      <c r="T616" s="13" t="e">
        <f ca="1">ROUNDUP(($N616-$P616-$Q616+$S616)*VLOOKUP($B616,Paraméterek!$I$38:$K$39,IF($D$2="Egyszeri",3,2))/12*IF($D617="Nem",IF($M$13=0,1,$M$13),1),IF($D$4="Forint",0,2))</f>
        <v>#N/A</v>
      </c>
      <c r="U616" s="13"/>
      <c r="V616" s="13"/>
      <c r="W616" s="13" t="e">
        <f ca="1">$N616-$P616-$Q616+$S616-$T616-IF(ROUNDUP(IF(ISBLANK($V616),$U616*0,$V616)/IF($D$2="Egyszeri",VLOOKUP($B616+IF($C616=12,1,0),Paraméterek!$V$257:$W$262,2),IF($B616=1,1,VLOOKUP($B616+IF($C616=12,1,0),Paraméterek!$I$258:$T$278,HLOOKUP($M$11+1,Paraméterek!$J$256:$T$257,2)))),IF($D$4="Forint",0,2))&gt;$N616-$P616-$Q616+$S616-$T616-IF($D$4="Forint",Paraméterek!$C$216,Paraméterek!$D$216),0,ROUNDUP(IF(ISBLANK($V616),$U616*0,$V616)/IF($D$2="Egyszeri",VLOOKUP($B616+IF($C616=12,1,0),Paraméterek!$V$257:$W$262,2),IF($B616=1,1,VLOOKUP($B616+IF($C616=12,1,0),Paraméterek!$I$258:$T$278,HLOOKUP($M$11+1,Paraméterek!$J$256:$T$257,2)))),IF($D$4="Forint",0,2)))</f>
        <v>#N/A</v>
      </c>
      <c r="X616" s="13" t="e">
        <f ca="1">ROUNDDOWN($W616*IF($D$2="Egyszeri",VLOOKUP($B616+IF($C616=12,1,0),Paraméterek!$V$257:$W$262,2),VLOOKUP($B616+IF($C616=12,1,0),Paraméterek!$I$258:$T$278,HLOOKUP($M$11+1,Paraméterek!$I$256:$T$257,2))),IF($D$4="Forint",0,2))</f>
        <v>#N/A</v>
      </c>
      <c r="Z616" s="32">
        <v>597</v>
      </c>
      <c r="AA616" s="32">
        <v>50</v>
      </c>
      <c r="AB616" s="32">
        <v>9</v>
      </c>
      <c r="AC616" s="13">
        <f t="shared" ca="1" si="214"/>
        <v>0</v>
      </c>
      <c r="AD616" s="33"/>
      <c r="AE616" s="13">
        <f t="shared" ca="1" si="206"/>
        <v>0</v>
      </c>
      <c r="AF616" s="13">
        <f ca="1">ROUNDUP(($AC616+$AE616)*VLOOKUP($AA616,Paraméterek!$P$38:$Q$38,2)/12*IF($D617="Nem",IF($M$13=0,1,$M$13),1),IF($D$4="Forint",0,2))</f>
        <v>0</v>
      </c>
      <c r="AG616" s="13">
        <f ca="1">IF($D$2="Egyszeri",IF($D$7&gt;=IF($D$4="Forint",Paraméterek!$P$223,Paraméterek!$P$224),$D$7-IF($D$4="Forint",Paraméterek!$P$223,Paraméterek!$P$224),0),MIN(IF($AB616=12,AVERAGEIF($E$20:$E616,"&gt;0",$E$20:$E616)*12,0),SUM($E$20:$E$31)))</f>
        <v>0</v>
      </c>
      <c r="AH616" s="13">
        <f>IF($AA616=10,$AG616*IF($AB616=12,IF($AG616&lt;IF($D$4="Forint",Paraméterek!$L$223,Paraméterek!$L$224),0,VLOOKUP($AA616,Paraméterek!$K$226:$M$228,IF($AG616&lt;IF($D$4="Forint",Paraméterek!$M$223,Paraméterek!$M$224),2,3))),0),0)</f>
        <v>0</v>
      </c>
      <c r="AI616" s="13">
        <f ca="1">IF(AND($AA616=$M$11+1,$AB616=$M$12+1),SUMIF($AA$20:$AA$1027,$AA616,$AG$20:$AG$1027)*IF(SUMIF($AA$20:$AA$1027,$AA616,$AG$20:$AG$1027)&lt;IF($D$4="Forint",Paraméterek!$L$223,Paraméterek!$L$224),0,VLOOKUP($AA616,Paraméterek!$K$230:$M$250,IF(SUMIF($AA$20:$AA$1027,$AA616,$AG$20:$AG$1027)&lt;IF($D$4="Forint",Paraméterek!$M$223,Paraméterek!$M$224),2,3))),0)</f>
        <v>0</v>
      </c>
      <c r="AJ616" s="13">
        <f ca="1">IF(AND($AA616&gt;=5,MOD($AA616,5)=0),IF($AB616=12,VLOOKUP($AA616,Paraméterek!$O$225:$P$240,2),0),IF(OR($AA616=3,$AA616=4),IF($AB616=12,VLOOKUP($AA616,Paraméterek!$O$225:$P$240,2,0),0),0))*$AG616</f>
        <v>0</v>
      </c>
      <c r="AK616" s="13">
        <f t="shared" ca="1" si="207"/>
        <v>0</v>
      </c>
      <c r="AL616" s="13">
        <f t="shared" ca="1" si="215"/>
        <v>0</v>
      </c>
      <c r="AM616" s="13">
        <f t="shared" ca="1" si="216"/>
        <v>0</v>
      </c>
      <c r="AO616" s="32">
        <v>597</v>
      </c>
      <c r="AP616" s="32">
        <v>50</v>
      </c>
      <c r="AQ616" s="32">
        <v>9</v>
      </c>
      <c r="AR616" s="13"/>
      <c r="AS616" s="32"/>
      <c r="AT616" s="13">
        <f t="shared" ca="1" si="217"/>
        <v>0</v>
      </c>
      <c r="AU616" s="33"/>
      <c r="AV616" s="13">
        <f t="shared" ca="1" si="208"/>
        <v>0</v>
      </c>
      <c r="AW616" s="13">
        <f ca="1">ROUNDUP(($AT616+$AV616)*VLOOKUP($AP616,Paraméterek!$P$38:$Q$38,2)/12*IF($D617="Nem",IF($M$13=0,1,$M$13),1),IF($D$4="Forint",0,2))</f>
        <v>0</v>
      </c>
      <c r="AX616" s="13"/>
      <c r="AY616" s="13"/>
      <c r="AZ616" s="13">
        <f>ROUNDUP(IF(SUM($AX616:$AY616)=0,0,IF(IF(ISBLANK($AY616),$AX616,$AY616)*Paraméterek!$J$112&lt;IF($D$4="Forint",Paraméterek!$J$113,Paraméterek!$K$113),IF($D$4="Forint",Paraméterek!$J$113,Paraméterek!$K$113),IF(IF(ISBLANK($AY616),$AX616,$AY616)*Paraméterek!$J$112&gt;IF($D$4="Forint",Paraméterek!$J$114,Paraméterek!$K$114),IF($D$4="Forint",Paraméterek!$J$114,Paraméterek!$K$114),IF(ISBLANK($AY616),$AX616,$AY616)*Paraméterek!$J$112))),IF($D$4="Forint",0,2))</f>
        <v>0</v>
      </c>
      <c r="BA616" s="13">
        <f ca="1">$AT616+$AV616-$AW616-IF(ROUNDDOWN(IF(ISBLANK($AY616),$AX616,$AY616),IF($D$4="Forint",0,2))&gt;$AT616+$AV616-$AW616-IF($D$4="Forint",Paraméterek!$J$114,Paraméterek!$K$114),0,ROUNDDOWN(IF(ISBLANK($AY616),$AX616,$AY616),IF($D$4="Forint",0,2))-$AZ616)</f>
        <v>0</v>
      </c>
      <c r="BB616" s="13">
        <f t="shared" ca="1" si="209"/>
        <v>0</v>
      </c>
      <c r="BD616" s="32">
        <v>597</v>
      </c>
      <c r="BE616" s="32">
        <v>50</v>
      </c>
      <c r="BF616" s="32">
        <v>9</v>
      </c>
      <c r="BG616" s="34">
        <f t="shared" ca="1" si="218"/>
        <v>2069</v>
      </c>
      <c r="BH616" s="32" t="str">
        <f ca="1">IF(MOD(MONTH($D$14)+$BD616-1,12)=Paraméterek!$C$288,"Igen","")</f>
        <v/>
      </c>
      <c r="BI616" s="13">
        <f ca="1">IF($BH616="Igen",MIN(ROUNDDOWN((SUMIF($BG$20:$BG$1027,$BG616-1,$K$20:$K$1027)-SUMIF($BG$20:$BG$1027,$BG616-1,$I$20:$I$1027))*Paraméterek!$C$289,IF($D$4="Forint",0,2)),IF($D$4="Forint",Paraméterek!$C$285,Paraméterek!$D$285)),0)</f>
        <v>0</v>
      </c>
      <c r="BJ616" s="13">
        <f t="shared" ca="1" si="210"/>
        <v>0</v>
      </c>
      <c r="BK616" s="13">
        <f t="shared" ca="1" si="219"/>
        <v>0</v>
      </c>
      <c r="BL616" s="33"/>
      <c r="BM616" s="13">
        <f t="shared" ca="1" si="211"/>
        <v>0</v>
      </c>
      <c r="BN616" s="13">
        <f ca="1">ROUNDUP(($BK616+$BM616)*VLOOKUP($BE616,Paraméterek!$P$38:$Q$38,2)/12*IF($D617="Nem",IF($M$13=0,1,$M$13),1),IF($D$4="Forint",0,2))</f>
        <v>0</v>
      </c>
      <c r="BO616" s="13">
        <f t="shared" ca="1" si="212"/>
        <v>0</v>
      </c>
      <c r="BP616" s="13">
        <f ca="1">IF($D617="Nem",$BO616,$BO616-ROUNDUP(SUM($BI$20:$BI616)*120%,IF($D$4="Forint",0,2)))</f>
        <v>0</v>
      </c>
    </row>
    <row r="617" spans="1:68" x14ac:dyDescent="0.2">
      <c r="A617" s="32">
        <v>598</v>
      </c>
      <c r="B617" s="32">
        <v>50</v>
      </c>
      <c r="C617" s="32">
        <v>10</v>
      </c>
      <c r="D617" s="32" t="str">
        <f t="shared" ca="1" si="198"/>
        <v>Nem</v>
      </c>
      <c r="E617" s="13">
        <f t="shared" ca="1" si="199"/>
        <v>0</v>
      </c>
      <c r="F617" s="13"/>
      <c r="G617" s="13"/>
      <c r="H617" s="13"/>
      <c r="I617" s="13">
        <f t="shared" ca="1" si="200"/>
        <v>0</v>
      </c>
      <c r="J617" s="13">
        <f t="shared" ca="1" si="201"/>
        <v>0</v>
      </c>
      <c r="K617" s="13">
        <f t="shared" ca="1" si="202"/>
        <v>0</v>
      </c>
      <c r="L617" s="13" t="e">
        <f ca="1">ROUNDUP(IF($D$2="Egyszeri",$E617,IF($D$2="Havi",SUM($E$20:$E$31),IF(MOD($C617,$M$1)-1=0,SUM($E$20:$E$31),0))/12*$M$1)*VLOOKUP($B617,Paraméterek!$I$28:$P$31,IF($D$2="Egyszeri",8,HLOOKUP(ROUNDUP($M$11+$M$13,0),Paraméterek!$J$26:$O$27,2))),IF($D$4="Forint",0,2))</f>
        <v>#N/A</v>
      </c>
      <c r="M617" s="13">
        <f t="shared" ca="1" si="203"/>
        <v>0</v>
      </c>
      <c r="N617" s="13">
        <f t="shared" ca="1" si="213"/>
        <v>0</v>
      </c>
      <c r="O617" s="13">
        <f ca="1">IF($D617="Igen",IF($W616&gt;=IF($D$4="Forint",Paraméterek!$J$121,Paraméterek!$K$121),0,IF($D$4="Forint",Paraméterek!$J$121,Paraméterek!$K$121)-$W616),0)</f>
        <v>0</v>
      </c>
      <c r="P617" s="13" t="e">
        <f ca="1">ROUNDUP($O617*VLOOKUP($M$4+$B617-1,Paraméterek!$H$58:$I$105,2,0)/Paraméterek!$I$56,IF($D$4="Forint",0,2))</f>
        <v>#N/A</v>
      </c>
      <c r="Q617" s="13">
        <f t="shared" ca="1" si="204"/>
        <v>0</v>
      </c>
      <c r="R617" s="33"/>
      <c r="S617" s="13" t="e">
        <f t="shared" ca="1" si="205"/>
        <v>#N/A</v>
      </c>
      <c r="T617" s="13" t="e">
        <f ca="1">ROUNDUP(($N617-$P617-$Q617+$S617)*VLOOKUP($B617,Paraméterek!$I$38:$K$39,IF($D$2="Egyszeri",3,2))/12*IF($D618="Nem",IF($M$13=0,1,$M$13),1),IF($D$4="Forint",0,2))</f>
        <v>#N/A</v>
      </c>
      <c r="U617" s="13"/>
      <c r="V617" s="13"/>
      <c r="W617" s="13" t="e">
        <f ca="1">$N617-$P617-$Q617+$S617-$T617-IF(ROUNDUP(IF(ISBLANK($V617),$U617*0,$V617)/IF($D$2="Egyszeri",VLOOKUP($B617+IF($C617=12,1,0),Paraméterek!$V$257:$W$262,2),IF($B617=1,1,VLOOKUP($B617+IF($C617=12,1,0),Paraméterek!$I$258:$T$278,HLOOKUP($M$11+1,Paraméterek!$J$256:$T$257,2)))),IF($D$4="Forint",0,2))&gt;$N617-$P617-$Q617+$S617-$T617-IF($D$4="Forint",Paraméterek!$C$216,Paraméterek!$D$216),0,ROUNDUP(IF(ISBLANK($V617),$U617*0,$V617)/IF($D$2="Egyszeri",VLOOKUP($B617+IF($C617=12,1,0),Paraméterek!$V$257:$W$262,2),IF($B617=1,1,VLOOKUP($B617+IF($C617=12,1,0),Paraméterek!$I$258:$T$278,HLOOKUP($M$11+1,Paraméterek!$J$256:$T$257,2)))),IF($D$4="Forint",0,2)))</f>
        <v>#N/A</v>
      </c>
      <c r="X617" s="13" t="e">
        <f ca="1">ROUNDDOWN($W617*IF($D$2="Egyszeri",VLOOKUP($B617+IF($C617=12,1,0),Paraméterek!$V$257:$W$262,2),VLOOKUP($B617+IF($C617=12,1,0),Paraméterek!$I$258:$T$278,HLOOKUP($M$11+1,Paraméterek!$I$256:$T$257,2))),IF($D$4="Forint",0,2))</f>
        <v>#N/A</v>
      </c>
      <c r="Z617" s="32">
        <v>598</v>
      </c>
      <c r="AA617" s="32">
        <v>50</v>
      </c>
      <c r="AB617" s="32">
        <v>10</v>
      </c>
      <c r="AC617" s="13">
        <f t="shared" ca="1" si="214"/>
        <v>0</v>
      </c>
      <c r="AD617" s="33"/>
      <c r="AE617" s="13">
        <f t="shared" ca="1" si="206"/>
        <v>0</v>
      </c>
      <c r="AF617" s="13">
        <f ca="1">ROUNDUP(($AC617+$AE617)*VLOOKUP($AA617,Paraméterek!$P$38:$Q$38,2)/12*IF($D618="Nem",IF($M$13=0,1,$M$13),1),IF($D$4="Forint",0,2))</f>
        <v>0</v>
      </c>
      <c r="AG617" s="13">
        <f ca="1">IF($D$2="Egyszeri",IF($D$7&gt;=IF($D$4="Forint",Paraméterek!$P$223,Paraméterek!$P$224),$D$7-IF($D$4="Forint",Paraméterek!$P$223,Paraméterek!$P$224),0),MIN(IF($AB617=12,AVERAGEIF($E$20:$E617,"&gt;0",$E$20:$E617)*12,0),SUM($E$20:$E$31)))</f>
        <v>0</v>
      </c>
      <c r="AH617" s="13">
        <f>IF($AA617=10,$AG617*IF($AB617=12,IF($AG617&lt;IF($D$4="Forint",Paraméterek!$L$223,Paraméterek!$L$224),0,VLOOKUP($AA617,Paraméterek!$K$226:$M$228,IF($AG617&lt;IF($D$4="Forint",Paraméterek!$M$223,Paraméterek!$M$224),2,3))),0),0)</f>
        <v>0</v>
      </c>
      <c r="AI617" s="13">
        <f ca="1">IF(AND($AA617=$M$11+1,$AB617=$M$12+1),SUMIF($AA$20:$AA$1027,$AA617,$AG$20:$AG$1027)*IF(SUMIF($AA$20:$AA$1027,$AA617,$AG$20:$AG$1027)&lt;IF($D$4="Forint",Paraméterek!$L$223,Paraméterek!$L$224),0,VLOOKUP($AA617,Paraméterek!$K$230:$M$250,IF(SUMIF($AA$20:$AA$1027,$AA617,$AG$20:$AG$1027)&lt;IF($D$4="Forint",Paraméterek!$M$223,Paraméterek!$M$224),2,3))),0)</f>
        <v>0</v>
      </c>
      <c r="AJ617" s="13">
        <f ca="1">IF(AND($AA617&gt;=5,MOD($AA617,5)=0),IF($AB617=12,VLOOKUP($AA617,Paraméterek!$O$225:$P$240,2),0),IF(OR($AA617=3,$AA617=4),IF($AB617=12,VLOOKUP($AA617,Paraméterek!$O$225:$P$240,2,0),0),0))*$AG617</f>
        <v>0</v>
      </c>
      <c r="AK617" s="13">
        <f t="shared" ca="1" si="207"/>
        <v>0</v>
      </c>
      <c r="AL617" s="13">
        <f t="shared" ca="1" si="215"/>
        <v>0</v>
      </c>
      <c r="AM617" s="13">
        <f t="shared" ca="1" si="216"/>
        <v>0</v>
      </c>
      <c r="AO617" s="32">
        <v>598</v>
      </c>
      <c r="AP617" s="32">
        <v>50</v>
      </c>
      <c r="AQ617" s="32">
        <v>10</v>
      </c>
      <c r="AR617" s="13"/>
      <c r="AS617" s="32"/>
      <c r="AT617" s="13">
        <f t="shared" ca="1" si="217"/>
        <v>0</v>
      </c>
      <c r="AU617" s="33"/>
      <c r="AV617" s="13">
        <f t="shared" ca="1" si="208"/>
        <v>0</v>
      </c>
      <c r="AW617" s="13">
        <f ca="1">ROUNDUP(($AT617+$AV617)*VLOOKUP($AP617,Paraméterek!$P$38:$Q$38,2)/12*IF($D618="Nem",IF($M$13=0,1,$M$13),1),IF($D$4="Forint",0,2))</f>
        <v>0</v>
      </c>
      <c r="AX617" s="13"/>
      <c r="AY617" s="13"/>
      <c r="AZ617" s="13">
        <f>ROUNDUP(IF(SUM($AX617:$AY617)=0,0,IF(IF(ISBLANK($AY617),$AX617,$AY617)*Paraméterek!$J$112&lt;IF($D$4="Forint",Paraméterek!$J$113,Paraméterek!$K$113),IF($D$4="Forint",Paraméterek!$J$113,Paraméterek!$K$113),IF(IF(ISBLANK($AY617),$AX617,$AY617)*Paraméterek!$J$112&gt;IF($D$4="Forint",Paraméterek!$J$114,Paraméterek!$K$114),IF($D$4="Forint",Paraméterek!$J$114,Paraméterek!$K$114),IF(ISBLANK($AY617),$AX617,$AY617)*Paraméterek!$J$112))),IF($D$4="Forint",0,2))</f>
        <v>0</v>
      </c>
      <c r="BA617" s="13">
        <f ca="1">$AT617+$AV617-$AW617-IF(ROUNDDOWN(IF(ISBLANK($AY617),$AX617,$AY617),IF($D$4="Forint",0,2))&gt;$AT617+$AV617-$AW617-IF($D$4="Forint",Paraméterek!$J$114,Paraméterek!$K$114),0,ROUNDDOWN(IF(ISBLANK($AY617),$AX617,$AY617),IF($D$4="Forint",0,2))-$AZ617)</f>
        <v>0</v>
      </c>
      <c r="BB617" s="13">
        <f t="shared" ca="1" si="209"/>
        <v>0</v>
      </c>
      <c r="BD617" s="32">
        <v>598</v>
      </c>
      <c r="BE617" s="32">
        <v>50</v>
      </c>
      <c r="BF617" s="32">
        <v>10</v>
      </c>
      <c r="BG617" s="34">
        <f t="shared" ca="1" si="218"/>
        <v>2069</v>
      </c>
      <c r="BH617" s="32" t="str">
        <f ca="1">IF(MOD(MONTH($D$14)+$BD617-1,12)=Paraméterek!$C$288,"Igen","")</f>
        <v/>
      </c>
      <c r="BI617" s="13">
        <f ca="1">IF($BH617="Igen",MIN(ROUNDDOWN((SUMIF($BG$20:$BG$1027,$BG617-1,$K$20:$K$1027)-SUMIF($BG$20:$BG$1027,$BG617-1,$I$20:$I$1027))*Paraméterek!$C$289,IF($D$4="Forint",0,2)),IF($D$4="Forint",Paraméterek!$C$285,Paraméterek!$D$285)),0)</f>
        <v>0</v>
      </c>
      <c r="BJ617" s="13">
        <f t="shared" ca="1" si="210"/>
        <v>0</v>
      </c>
      <c r="BK617" s="13">
        <f t="shared" ca="1" si="219"/>
        <v>0</v>
      </c>
      <c r="BL617" s="33"/>
      <c r="BM617" s="13">
        <f t="shared" ca="1" si="211"/>
        <v>0</v>
      </c>
      <c r="BN617" s="13">
        <f ca="1">ROUNDUP(($BK617+$BM617)*VLOOKUP($BE617,Paraméterek!$P$38:$Q$38,2)/12*IF($D618="Nem",IF($M$13=0,1,$M$13),1),IF($D$4="Forint",0,2))</f>
        <v>0</v>
      </c>
      <c r="BO617" s="13">
        <f t="shared" ca="1" si="212"/>
        <v>0</v>
      </c>
      <c r="BP617" s="13">
        <f ca="1">IF($D618="Nem",$BO617,$BO617-ROUNDUP(SUM($BI$20:$BI617)*120%,IF($D$4="Forint",0,2)))</f>
        <v>0</v>
      </c>
    </row>
    <row r="618" spans="1:68" x14ac:dyDescent="0.2">
      <c r="A618" s="32">
        <v>599</v>
      </c>
      <c r="B618" s="32">
        <v>50</v>
      </c>
      <c r="C618" s="32">
        <v>11</v>
      </c>
      <c r="D618" s="32" t="str">
        <f t="shared" ca="1" si="198"/>
        <v>Nem</v>
      </c>
      <c r="E618" s="13">
        <f t="shared" ca="1" si="199"/>
        <v>0</v>
      </c>
      <c r="F618" s="13"/>
      <c r="G618" s="13"/>
      <c r="H618" s="13"/>
      <c r="I618" s="13">
        <f t="shared" ca="1" si="200"/>
        <v>0</v>
      </c>
      <c r="J618" s="13">
        <f t="shared" ca="1" si="201"/>
        <v>0</v>
      </c>
      <c r="K618" s="13">
        <f t="shared" ca="1" si="202"/>
        <v>0</v>
      </c>
      <c r="L618" s="13" t="e">
        <f ca="1">ROUNDUP(IF($D$2="Egyszeri",$E618,IF($D$2="Havi",SUM($E$20:$E$31),IF(MOD($C618,$M$1)-1=0,SUM($E$20:$E$31),0))/12*$M$1)*VLOOKUP($B618,Paraméterek!$I$28:$P$31,IF($D$2="Egyszeri",8,HLOOKUP(ROUNDUP($M$11+$M$13,0),Paraméterek!$J$26:$O$27,2))),IF($D$4="Forint",0,2))</f>
        <v>#N/A</v>
      </c>
      <c r="M618" s="13">
        <f t="shared" ca="1" si="203"/>
        <v>0</v>
      </c>
      <c r="N618" s="13">
        <f t="shared" ca="1" si="213"/>
        <v>0</v>
      </c>
      <c r="O618" s="13">
        <f ca="1">IF($D618="Igen",IF($W617&gt;=IF($D$4="Forint",Paraméterek!$J$121,Paraméterek!$K$121),0,IF($D$4="Forint",Paraméterek!$J$121,Paraméterek!$K$121)-$W617),0)</f>
        <v>0</v>
      </c>
      <c r="P618" s="13" t="e">
        <f ca="1">ROUNDUP($O618*VLOOKUP($M$4+$B618-1,Paraméterek!$H$58:$I$105,2,0)/Paraméterek!$I$56,IF($D$4="Forint",0,2))</f>
        <v>#N/A</v>
      </c>
      <c r="Q618" s="13">
        <f t="shared" ca="1" si="204"/>
        <v>0</v>
      </c>
      <c r="R618" s="33"/>
      <c r="S618" s="13" t="e">
        <f t="shared" ca="1" si="205"/>
        <v>#N/A</v>
      </c>
      <c r="T618" s="13" t="e">
        <f ca="1">ROUNDUP(($N618-$P618-$Q618+$S618)*VLOOKUP($B618,Paraméterek!$I$38:$K$39,IF($D$2="Egyszeri",3,2))/12*IF($D619="Nem",IF($M$13=0,1,$M$13),1),IF($D$4="Forint",0,2))</f>
        <v>#N/A</v>
      </c>
      <c r="U618" s="13"/>
      <c r="V618" s="13"/>
      <c r="W618" s="13" t="e">
        <f ca="1">$N618-$P618-$Q618+$S618-$T618-IF(ROUNDUP(IF(ISBLANK($V618),$U618*0,$V618)/IF($D$2="Egyszeri",VLOOKUP($B618+IF($C618=12,1,0),Paraméterek!$V$257:$W$262,2),IF($B618=1,1,VLOOKUP($B618+IF($C618=12,1,0),Paraméterek!$I$258:$T$278,HLOOKUP($M$11+1,Paraméterek!$J$256:$T$257,2)))),IF($D$4="Forint",0,2))&gt;$N618-$P618-$Q618+$S618-$T618-IF($D$4="Forint",Paraméterek!$C$216,Paraméterek!$D$216),0,ROUNDUP(IF(ISBLANK($V618),$U618*0,$V618)/IF($D$2="Egyszeri",VLOOKUP($B618+IF($C618=12,1,0),Paraméterek!$V$257:$W$262,2),IF($B618=1,1,VLOOKUP($B618+IF($C618=12,1,0),Paraméterek!$I$258:$T$278,HLOOKUP($M$11+1,Paraméterek!$J$256:$T$257,2)))),IF($D$4="Forint",0,2)))</f>
        <v>#N/A</v>
      </c>
      <c r="X618" s="13" t="e">
        <f ca="1">ROUNDDOWN($W618*IF($D$2="Egyszeri",VLOOKUP($B618+IF($C618=12,1,0),Paraméterek!$V$257:$W$262,2),VLOOKUP($B618+IF($C618=12,1,0),Paraméterek!$I$258:$T$278,HLOOKUP($M$11+1,Paraméterek!$I$256:$T$257,2))),IF($D$4="Forint",0,2))</f>
        <v>#N/A</v>
      </c>
      <c r="Z618" s="32">
        <v>599</v>
      </c>
      <c r="AA618" s="32">
        <v>50</v>
      </c>
      <c r="AB618" s="32">
        <v>11</v>
      </c>
      <c r="AC618" s="13">
        <f t="shared" ca="1" si="214"/>
        <v>0</v>
      </c>
      <c r="AD618" s="33"/>
      <c r="AE618" s="13">
        <f t="shared" ca="1" si="206"/>
        <v>0</v>
      </c>
      <c r="AF618" s="13">
        <f ca="1">ROUNDUP(($AC618+$AE618)*VLOOKUP($AA618,Paraméterek!$P$38:$Q$38,2)/12*IF($D619="Nem",IF($M$13=0,1,$M$13),1),IF($D$4="Forint",0,2))</f>
        <v>0</v>
      </c>
      <c r="AG618" s="13">
        <f ca="1">IF($D$2="Egyszeri",IF($D$7&gt;=IF($D$4="Forint",Paraméterek!$P$223,Paraméterek!$P$224),$D$7-IF($D$4="Forint",Paraméterek!$P$223,Paraméterek!$P$224),0),MIN(IF($AB618=12,AVERAGEIF($E$20:$E618,"&gt;0",$E$20:$E618)*12,0),SUM($E$20:$E$31)))</f>
        <v>0</v>
      </c>
      <c r="AH618" s="13">
        <f>IF($AA618=10,$AG618*IF($AB618=12,IF($AG618&lt;IF($D$4="Forint",Paraméterek!$L$223,Paraméterek!$L$224),0,VLOOKUP($AA618,Paraméterek!$K$226:$M$228,IF($AG618&lt;IF($D$4="Forint",Paraméterek!$M$223,Paraméterek!$M$224),2,3))),0),0)</f>
        <v>0</v>
      </c>
      <c r="AI618" s="13">
        <f ca="1">IF(AND($AA618=$M$11+1,$AB618=$M$12+1),SUMIF($AA$20:$AA$1027,$AA618,$AG$20:$AG$1027)*IF(SUMIF($AA$20:$AA$1027,$AA618,$AG$20:$AG$1027)&lt;IF($D$4="Forint",Paraméterek!$L$223,Paraméterek!$L$224),0,VLOOKUP($AA618,Paraméterek!$K$230:$M$250,IF(SUMIF($AA$20:$AA$1027,$AA618,$AG$20:$AG$1027)&lt;IF($D$4="Forint",Paraméterek!$M$223,Paraméterek!$M$224),2,3))),0)</f>
        <v>0</v>
      </c>
      <c r="AJ618" s="13">
        <f ca="1">IF(AND($AA618&gt;=5,MOD($AA618,5)=0),IF($AB618=12,VLOOKUP($AA618,Paraméterek!$O$225:$P$240,2),0),IF(OR($AA618=3,$AA618=4),IF($AB618=12,VLOOKUP($AA618,Paraméterek!$O$225:$P$240,2,0),0),0))*$AG618</f>
        <v>0</v>
      </c>
      <c r="AK618" s="13">
        <f t="shared" ca="1" si="207"/>
        <v>0</v>
      </c>
      <c r="AL618" s="13">
        <f t="shared" ca="1" si="215"/>
        <v>0</v>
      </c>
      <c r="AM618" s="13">
        <f t="shared" ca="1" si="216"/>
        <v>0</v>
      </c>
      <c r="AO618" s="32">
        <v>599</v>
      </c>
      <c r="AP618" s="32">
        <v>50</v>
      </c>
      <c r="AQ618" s="32">
        <v>11</v>
      </c>
      <c r="AR618" s="13"/>
      <c r="AS618" s="32"/>
      <c r="AT618" s="13">
        <f t="shared" ca="1" si="217"/>
        <v>0</v>
      </c>
      <c r="AU618" s="33"/>
      <c r="AV618" s="13">
        <f t="shared" ca="1" si="208"/>
        <v>0</v>
      </c>
      <c r="AW618" s="13">
        <f ca="1">ROUNDUP(($AT618+$AV618)*VLOOKUP($AP618,Paraméterek!$P$38:$Q$38,2)/12*IF($D619="Nem",IF($M$13=0,1,$M$13),1),IF($D$4="Forint",0,2))</f>
        <v>0</v>
      </c>
      <c r="AX618" s="13"/>
      <c r="AY618" s="13"/>
      <c r="AZ618" s="13">
        <f>ROUNDUP(IF(SUM($AX618:$AY618)=0,0,IF(IF(ISBLANK($AY618),$AX618,$AY618)*Paraméterek!$J$112&lt;IF($D$4="Forint",Paraméterek!$J$113,Paraméterek!$K$113),IF($D$4="Forint",Paraméterek!$J$113,Paraméterek!$K$113),IF(IF(ISBLANK($AY618),$AX618,$AY618)*Paraméterek!$J$112&gt;IF($D$4="Forint",Paraméterek!$J$114,Paraméterek!$K$114),IF($D$4="Forint",Paraméterek!$J$114,Paraméterek!$K$114),IF(ISBLANK($AY618),$AX618,$AY618)*Paraméterek!$J$112))),IF($D$4="Forint",0,2))</f>
        <v>0</v>
      </c>
      <c r="BA618" s="13">
        <f ca="1">$AT618+$AV618-$AW618-IF(ROUNDDOWN(IF(ISBLANK($AY618),$AX618,$AY618),IF($D$4="Forint",0,2))&gt;$AT618+$AV618-$AW618-IF($D$4="Forint",Paraméterek!$J$114,Paraméterek!$K$114),0,ROUNDDOWN(IF(ISBLANK($AY618),$AX618,$AY618),IF($D$4="Forint",0,2))-$AZ618)</f>
        <v>0</v>
      </c>
      <c r="BB618" s="13">
        <f t="shared" ca="1" si="209"/>
        <v>0</v>
      </c>
      <c r="BD618" s="32">
        <v>599</v>
      </c>
      <c r="BE618" s="32">
        <v>50</v>
      </c>
      <c r="BF618" s="32">
        <v>11</v>
      </c>
      <c r="BG618" s="34">
        <f t="shared" ca="1" si="218"/>
        <v>2069</v>
      </c>
      <c r="BH618" s="32" t="str">
        <f ca="1">IF(MOD(MONTH($D$14)+$BD618-1,12)=Paraméterek!$C$288,"Igen","")</f>
        <v/>
      </c>
      <c r="BI618" s="13">
        <f ca="1">IF($BH618="Igen",MIN(ROUNDDOWN((SUMIF($BG$20:$BG$1027,$BG618-1,$K$20:$K$1027)-SUMIF($BG$20:$BG$1027,$BG618-1,$I$20:$I$1027))*Paraméterek!$C$289,IF($D$4="Forint",0,2)),IF($D$4="Forint",Paraméterek!$C$285,Paraméterek!$D$285)),0)</f>
        <v>0</v>
      </c>
      <c r="BJ618" s="13">
        <f t="shared" ca="1" si="210"/>
        <v>0</v>
      </c>
      <c r="BK618" s="13">
        <f t="shared" ca="1" si="219"/>
        <v>0</v>
      </c>
      <c r="BL618" s="33"/>
      <c r="BM618" s="13">
        <f t="shared" ca="1" si="211"/>
        <v>0</v>
      </c>
      <c r="BN618" s="13">
        <f ca="1">ROUNDUP(($BK618+$BM618)*VLOOKUP($BE618,Paraméterek!$P$38:$Q$38,2)/12*IF($D619="Nem",IF($M$13=0,1,$M$13),1),IF($D$4="Forint",0,2))</f>
        <v>0</v>
      </c>
      <c r="BO618" s="13">
        <f t="shared" ca="1" si="212"/>
        <v>0</v>
      </c>
      <c r="BP618" s="13">
        <f ca="1">IF($D619="Nem",$BO618,$BO618-ROUNDUP(SUM($BI$20:$BI618)*120%,IF($D$4="Forint",0,2)))</f>
        <v>0</v>
      </c>
    </row>
    <row r="619" spans="1:68" x14ac:dyDescent="0.2">
      <c r="A619" s="32">
        <v>600</v>
      </c>
      <c r="B619" s="32">
        <v>50</v>
      </c>
      <c r="C619" s="32">
        <v>12</v>
      </c>
      <c r="D619" s="32" t="str">
        <f t="shared" ca="1" si="198"/>
        <v>Nem</v>
      </c>
      <c r="E619" s="13">
        <f t="shared" ca="1" si="199"/>
        <v>0</v>
      </c>
      <c r="F619" s="13"/>
      <c r="G619" s="13"/>
      <c r="H619" s="13"/>
      <c r="I619" s="13">
        <f t="shared" ca="1" si="200"/>
        <v>0</v>
      </c>
      <c r="J619" s="13">
        <f t="shared" ca="1" si="201"/>
        <v>0</v>
      </c>
      <c r="K619" s="13">
        <f t="shared" ca="1" si="202"/>
        <v>0</v>
      </c>
      <c r="L619" s="13" t="e">
        <f ca="1">ROUNDUP(IF($D$2="Egyszeri",$E619,IF($D$2="Havi",SUM($E$20:$E$31),IF(MOD($C619,$M$1)-1=0,SUM($E$20:$E$31),0))/12*$M$1)*VLOOKUP($B619,Paraméterek!$I$28:$P$31,IF($D$2="Egyszeri",8,HLOOKUP(ROUNDUP($M$11+$M$13,0),Paraméterek!$J$26:$O$27,2))),IF($D$4="Forint",0,2))</f>
        <v>#N/A</v>
      </c>
      <c r="M619" s="13">
        <f t="shared" ca="1" si="203"/>
        <v>0</v>
      </c>
      <c r="N619" s="13">
        <f t="shared" ca="1" si="213"/>
        <v>0</v>
      </c>
      <c r="O619" s="13">
        <f ca="1">IF($D619="Igen",IF($W618&gt;=IF($D$4="Forint",Paraméterek!$J$121,Paraméterek!$K$121),0,IF($D$4="Forint",Paraméterek!$J$121,Paraméterek!$K$121)-$W618),0)</f>
        <v>0</v>
      </c>
      <c r="P619" s="13" t="e">
        <f ca="1">ROUNDUP($O619*VLOOKUP($M$4+$B619-1,Paraméterek!$H$58:$I$105,2,0)/Paraméterek!$I$56,IF($D$4="Forint",0,2))</f>
        <v>#N/A</v>
      </c>
      <c r="Q619" s="13">
        <f t="shared" ca="1" si="204"/>
        <v>0</v>
      </c>
      <c r="R619" s="33"/>
      <c r="S619" s="13" t="e">
        <f t="shared" ca="1" si="205"/>
        <v>#N/A</v>
      </c>
      <c r="T619" s="13" t="e">
        <f ca="1">ROUNDUP(($N619-$P619-$Q619+$S619)*VLOOKUP($B619,Paraméterek!$I$38:$K$39,IF($D$2="Egyszeri",3,2))/12*IF($D620="Nem",IF($M$13=0,1,$M$13),1),IF($D$4="Forint",0,2))</f>
        <v>#N/A</v>
      </c>
      <c r="U619" s="13">
        <f>Tranzakciók!$F$81</f>
        <v>0</v>
      </c>
      <c r="V619" s="13"/>
      <c r="W619" s="13" t="e">
        <f ca="1">$N619-$P619-$Q619+$S619-$T619-IF(ROUNDUP(IF(ISBLANK($V619),$U619*0,$V619)/IF($D$2="Egyszeri",VLOOKUP($B619+IF($C619=12,1,0),Paraméterek!$V$257:$W$262,2),IF($B619=1,1,VLOOKUP($B619+IF($C619=12,1,0),Paraméterek!$I$258:$T$278,HLOOKUP($M$11+1,Paraméterek!$J$256:$T$257,2)))),IF($D$4="Forint",0,2))&gt;$N619-$P619-$Q619+$S619-$T619-IF($D$4="Forint",Paraméterek!$C$216,Paraméterek!$D$216),0,ROUNDUP(IF(ISBLANK($V619),$U619*0,$V619)/IF($D$2="Egyszeri",VLOOKUP($B619+IF($C619=12,1,0),Paraméterek!$V$257:$W$262,2),IF($B619=1,1,VLOOKUP($B619+IF($C619=12,1,0),Paraméterek!$I$258:$T$278,HLOOKUP($M$11+1,Paraméterek!$J$256:$T$257,2)))),IF($D$4="Forint",0,2)))</f>
        <v>#N/A</v>
      </c>
      <c r="X619" s="13" t="e">
        <f ca="1">ROUNDDOWN($W619*IF($D$2="Egyszeri",VLOOKUP($B619+IF($C619=12,1,0),Paraméterek!$V$257:$W$262,2),VLOOKUP($B619+IF($C619=12,1,0),Paraméterek!$I$258:$T$278,HLOOKUP($M$11+1,Paraméterek!$I$256:$T$257,2))),IF($D$4="Forint",0,2))</f>
        <v>#N/A</v>
      </c>
      <c r="Z619" s="32">
        <v>600</v>
      </c>
      <c r="AA619" s="32">
        <v>50</v>
      </c>
      <c r="AB619" s="32">
        <v>12</v>
      </c>
      <c r="AC619" s="13">
        <f t="shared" ca="1" si="214"/>
        <v>0</v>
      </c>
      <c r="AD619" s="33"/>
      <c r="AE619" s="13">
        <f t="shared" ca="1" si="206"/>
        <v>0</v>
      </c>
      <c r="AF619" s="13">
        <f ca="1">ROUNDUP(($AC619+$AE619)*VLOOKUP($AA619,Paraméterek!$P$38:$Q$38,2)/12*IF($D620="Nem",IF($M$13=0,1,$M$13),1),IF($D$4="Forint",0,2))</f>
        <v>0</v>
      </c>
      <c r="AG619" s="13" t="e">
        <f ca="1">IF($D$2="Egyszeri",IF($D$7&gt;=IF($D$4="Forint",Paraméterek!$P$223,Paraméterek!$P$224),$D$7-IF($D$4="Forint",Paraméterek!$P$223,Paraméterek!$P$224),0),MIN(IF($AB619=12,AVERAGEIF($E$20:$E619,"&gt;0",$E$20:$E619)*12,0),SUM($E$20:$E$31)))</f>
        <v>#DIV/0!</v>
      </c>
      <c r="AH619" s="13">
        <f>IF($AA619=10,$AG619*IF($AB619=12,IF($AG619&lt;IF($D$4="Forint",Paraméterek!$L$223,Paraméterek!$L$224),0,VLOOKUP($AA619,Paraméterek!$K$226:$M$228,IF($AG619&lt;IF($D$4="Forint",Paraméterek!$M$223,Paraméterek!$M$224),2,3))),0),0)</f>
        <v>0</v>
      </c>
      <c r="AI619" s="13">
        <f ca="1">IF(AND($AA619=$M$11+1,$AB619=$M$12+1),SUMIF($AA$20:$AA$1027,$AA619,$AG$20:$AG$1027)*IF(SUMIF($AA$20:$AA$1027,$AA619,$AG$20:$AG$1027)&lt;IF($D$4="Forint",Paraméterek!$L$223,Paraméterek!$L$224),0,VLOOKUP($AA619,Paraméterek!$K$230:$M$250,IF(SUMIF($AA$20:$AA$1027,$AA619,$AG$20:$AG$1027)&lt;IF($D$4="Forint",Paraméterek!$M$223,Paraméterek!$M$224),2,3))),0)</f>
        <v>0</v>
      </c>
      <c r="AJ619" s="13" t="e">
        <f ca="1">IF(AND($AA619&gt;=5,MOD($AA619,5)=0),IF($AB619=12,VLOOKUP($AA619,Paraméterek!$O$225:$P$240,2),0),IF(OR($AA619=3,$AA619=4),IF($AB619=12,VLOOKUP($AA619,Paraméterek!$O$225:$P$240,2,0),0),0))*$AG619</f>
        <v>#DIV/0!</v>
      </c>
      <c r="AK619" s="13">
        <f t="shared" ca="1" si="207"/>
        <v>0</v>
      </c>
      <c r="AL619" s="13">
        <f t="shared" ca="1" si="215"/>
        <v>0</v>
      </c>
      <c r="AM619" s="13">
        <f t="shared" ca="1" si="216"/>
        <v>0</v>
      </c>
      <c r="AO619" s="32">
        <v>600</v>
      </c>
      <c r="AP619" s="32">
        <v>50</v>
      </c>
      <c r="AQ619" s="32">
        <v>12</v>
      </c>
      <c r="AR619" s="13"/>
      <c r="AS619" s="32"/>
      <c r="AT619" s="13">
        <f t="shared" ca="1" si="217"/>
        <v>0</v>
      </c>
      <c r="AU619" s="33"/>
      <c r="AV619" s="13">
        <f t="shared" ca="1" si="208"/>
        <v>0</v>
      </c>
      <c r="AW619" s="13">
        <f ca="1">ROUNDUP(($AT619+$AV619)*VLOOKUP($AP619,Paraméterek!$P$38:$Q$38,2)/12*IF($D620="Nem",IF($M$13=0,1,$M$13),1),IF($D$4="Forint",0,2))</f>
        <v>0</v>
      </c>
      <c r="AX619" s="13">
        <f>Tranzakciók!$M$81</f>
        <v>0</v>
      </c>
      <c r="AY619" s="13"/>
      <c r="AZ619" s="13">
        <f>ROUNDUP(IF(SUM($AX619:$AY619)=0,0,IF(IF(ISBLANK($AY619),$AX619,$AY619)*Paraméterek!$J$112&lt;IF($D$4="Forint",Paraméterek!$J$113,Paraméterek!$K$113),IF($D$4="Forint",Paraméterek!$J$113,Paraméterek!$K$113),IF(IF(ISBLANK($AY619),$AX619,$AY619)*Paraméterek!$J$112&gt;IF($D$4="Forint",Paraméterek!$J$114,Paraméterek!$K$114),IF($D$4="Forint",Paraméterek!$J$114,Paraméterek!$K$114),IF(ISBLANK($AY619),$AX619,$AY619)*Paraméterek!$J$112))),IF($D$4="Forint",0,2))</f>
        <v>0</v>
      </c>
      <c r="BA619" s="13">
        <f ca="1">$AT619+$AV619-$AW619-IF(ROUNDDOWN(IF(ISBLANK($AY619),$AX619,$AY619),IF($D$4="Forint",0,2))&gt;$AT619+$AV619-$AW619-IF($D$4="Forint",Paraméterek!$J$114,Paraméterek!$K$114),0,ROUNDDOWN(IF(ISBLANK($AY619),$AX619,$AY619),IF($D$4="Forint",0,2))-$AZ619)</f>
        <v>0</v>
      </c>
      <c r="BB619" s="13">
        <f t="shared" ca="1" si="209"/>
        <v>0</v>
      </c>
      <c r="BD619" s="32">
        <v>600</v>
      </c>
      <c r="BE619" s="32">
        <v>50</v>
      </c>
      <c r="BF619" s="32">
        <v>12</v>
      </c>
      <c r="BG619" s="34">
        <f t="shared" ca="1" si="218"/>
        <v>2069</v>
      </c>
      <c r="BH619" s="32" t="str">
        <f ca="1">IF(MOD(MONTH($D$14)+$BD619-1,12)=Paraméterek!$C$288,"Igen","")</f>
        <v/>
      </c>
      <c r="BI619" s="13">
        <f ca="1">IF($BH619="Igen",MIN(ROUNDDOWN((SUMIF($BG$20:$BG$1027,$BG619-1,$K$20:$K$1027)-SUMIF($BG$20:$BG$1027,$BG619-1,$I$20:$I$1027))*Paraméterek!$C$289,IF($D$4="Forint",0,2)),IF($D$4="Forint",Paraméterek!$C$285,Paraméterek!$D$285)),0)</f>
        <v>0</v>
      </c>
      <c r="BJ619" s="13">
        <f t="shared" ca="1" si="210"/>
        <v>0</v>
      </c>
      <c r="BK619" s="13">
        <f t="shared" ca="1" si="219"/>
        <v>0</v>
      </c>
      <c r="BL619" s="33"/>
      <c r="BM619" s="13">
        <f t="shared" ca="1" si="211"/>
        <v>0</v>
      </c>
      <c r="BN619" s="13">
        <f ca="1">ROUNDUP(($BK619+$BM619)*VLOOKUP($BE619,Paraméterek!$P$38:$Q$38,2)/12*IF($D620="Nem",IF($M$13=0,1,$M$13),1),IF($D$4="Forint",0,2))</f>
        <v>0</v>
      </c>
      <c r="BO619" s="13">
        <f t="shared" ca="1" si="212"/>
        <v>0</v>
      </c>
      <c r="BP619" s="13">
        <f ca="1">IF($D620="Nem",$BO619,$BO619-ROUNDUP(SUM($BI$20:$BI619)*120%,IF($D$4="Forint",0,2)))</f>
        <v>0</v>
      </c>
    </row>
    <row r="620" spans="1:68" x14ac:dyDescent="0.2">
      <c r="A620" s="32">
        <v>601</v>
      </c>
      <c r="B620" s="32">
        <v>51</v>
      </c>
      <c r="C620" s="32">
        <v>1</v>
      </c>
      <c r="D620" s="32" t="str">
        <f t="shared" ca="1" si="198"/>
        <v>Nem</v>
      </c>
      <c r="E620" s="13">
        <f t="shared" ca="1" si="199"/>
        <v>0</v>
      </c>
      <c r="F620" s="13"/>
      <c r="G620" s="13">
        <f>Tranzakciók!$D$82</f>
        <v>0</v>
      </c>
      <c r="H620" s="13"/>
      <c r="I620" s="13">
        <f t="shared" ca="1" si="200"/>
        <v>0</v>
      </c>
      <c r="J620" s="13">
        <f t="shared" ca="1" si="201"/>
        <v>0</v>
      </c>
      <c r="K620" s="13">
        <f t="shared" ca="1" si="202"/>
        <v>0</v>
      </c>
      <c r="L620" s="13" t="e">
        <f ca="1">ROUNDUP(IF($D$2="Egyszeri",$E620,IF($D$2="Havi",SUM($E$20:$E$31),IF(MOD($C620,$M$1)-1=0,SUM($E$20:$E$31),0))/12*$M$1)*VLOOKUP($B620,Paraméterek!$I$28:$P$31,IF($D$2="Egyszeri",8,HLOOKUP(ROUNDUP($M$11+$M$13,0),Paraméterek!$J$26:$O$27,2))),IF($D$4="Forint",0,2))</f>
        <v>#N/A</v>
      </c>
      <c r="M620" s="13">
        <f t="shared" ca="1" si="203"/>
        <v>0</v>
      </c>
      <c r="N620" s="13">
        <f t="shared" ca="1" si="213"/>
        <v>0</v>
      </c>
      <c r="O620" s="13">
        <f ca="1">IF($D620="Igen",IF($W619&gt;=IF($D$4="Forint",Paraméterek!$J$121,Paraméterek!$K$121),0,IF($D$4="Forint",Paraméterek!$J$121,Paraméterek!$K$121)-$W619),0)</f>
        <v>0</v>
      </c>
      <c r="P620" s="13" t="e">
        <f ca="1">ROUNDUP($O620*VLOOKUP($M$4+$B620-1,Paraméterek!$H$58:$I$105,2,0)/Paraméterek!$I$56,IF($D$4="Forint",0,2))</f>
        <v>#N/A</v>
      </c>
      <c r="Q620" s="13">
        <f t="shared" ca="1" si="204"/>
        <v>0</v>
      </c>
      <c r="R620" s="33"/>
      <c r="S620" s="13" t="e">
        <f t="shared" ca="1" si="205"/>
        <v>#N/A</v>
      </c>
      <c r="T620" s="13" t="e">
        <f ca="1">ROUNDUP(($N620-$P620-$Q620+$S620)*VLOOKUP($B620,Paraméterek!$I$38:$K$39,IF($D$2="Egyszeri",3,2))/12*IF($D621="Nem",IF($M$13=0,1,$M$13),1),IF($D$4="Forint",0,2))</f>
        <v>#N/A</v>
      </c>
      <c r="U620" s="13"/>
      <c r="V620" s="13"/>
      <c r="W620" s="13" t="e">
        <f ca="1">$N620-$P620-$Q620+$S620-$T620-IF(ROUNDUP(IF(ISBLANK($V620),$U620*0,$V620)/IF($D$2="Egyszeri",VLOOKUP($B620+IF($C620=12,1,0),Paraméterek!$V$257:$W$262,2),IF($B620=1,1,VLOOKUP($B620+IF($C620=12,1,0),Paraméterek!$I$258:$T$278,HLOOKUP($M$11+1,Paraméterek!$J$256:$T$257,2)))),IF($D$4="Forint",0,2))&gt;$N620-$P620-$Q620+$S620-$T620-IF($D$4="Forint",Paraméterek!$C$216,Paraméterek!$D$216),0,ROUNDUP(IF(ISBLANK($V620),$U620*0,$V620)/IF($D$2="Egyszeri",VLOOKUP($B620+IF($C620=12,1,0),Paraméterek!$V$257:$W$262,2),IF($B620=1,1,VLOOKUP($B620+IF($C620=12,1,0),Paraméterek!$I$258:$T$278,HLOOKUP($M$11+1,Paraméterek!$J$256:$T$257,2)))),IF($D$4="Forint",0,2)))</f>
        <v>#N/A</v>
      </c>
      <c r="X620" s="13" t="e">
        <f ca="1">ROUNDDOWN($W620*IF($D$2="Egyszeri",VLOOKUP($B620+IF($C620=12,1,0),Paraméterek!$V$257:$W$262,2),VLOOKUP($B620+IF($C620=12,1,0),Paraméterek!$I$258:$T$278,HLOOKUP($M$11+1,Paraméterek!$I$256:$T$257,2))),IF($D$4="Forint",0,2))</f>
        <v>#N/A</v>
      </c>
      <c r="Z620" s="32">
        <v>601</v>
      </c>
      <c r="AA620" s="32">
        <v>51</v>
      </c>
      <c r="AB620" s="32">
        <v>1</v>
      </c>
      <c r="AC620" s="13">
        <f t="shared" ca="1" si="214"/>
        <v>0</v>
      </c>
      <c r="AD620" s="33"/>
      <c r="AE620" s="13">
        <f t="shared" ca="1" si="206"/>
        <v>0</v>
      </c>
      <c r="AF620" s="13">
        <f ca="1">ROUNDUP(($AC620+$AE620)*VLOOKUP($AA620,Paraméterek!$P$38:$Q$38,2)/12*IF($D621="Nem",IF($M$13=0,1,$M$13),1),IF($D$4="Forint",0,2))</f>
        <v>0</v>
      </c>
      <c r="AG620" s="13">
        <f ca="1">IF($D$2="Egyszeri",IF($D$7&gt;=IF($D$4="Forint",Paraméterek!$P$223,Paraméterek!$P$224),$D$7-IF($D$4="Forint",Paraméterek!$P$223,Paraméterek!$P$224),0),MIN(IF($AB620=12,AVERAGEIF($E$20:$E620,"&gt;0",$E$20:$E620)*12,0),SUM($E$20:$E$31)))</f>
        <v>0</v>
      </c>
      <c r="AH620" s="13">
        <f>IF($AA620=10,$AG620*IF($AB620=12,IF($AG620&lt;IF($D$4="Forint",Paraméterek!$L$223,Paraméterek!$L$224),0,VLOOKUP($AA620,Paraméterek!$K$226:$M$228,IF($AG620&lt;IF($D$4="Forint",Paraméterek!$M$223,Paraméterek!$M$224),2,3))),0),0)</f>
        <v>0</v>
      </c>
      <c r="AI620" s="13">
        <f ca="1">IF(AND($AA620=$M$11+1,$AB620=$M$12+1),SUMIF($AA$20:$AA$1027,$AA620,$AG$20:$AG$1027)*IF(SUMIF($AA$20:$AA$1027,$AA620,$AG$20:$AG$1027)&lt;IF($D$4="Forint",Paraméterek!$L$223,Paraméterek!$L$224),0,VLOOKUP($AA620,Paraméterek!$K$230:$M$250,IF(SUMIF($AA$20:$AA$1027,$AA620,$AG$20:$AG$1027)&lt;IF($D$4="Forint",Paraméterek!$M$223,Paraméterek!$M$224),2,3))),0)</f>
        <v>0</v>
      </c>
      <c r="AJ620" s="13">
        <f ca="1">IF(AND($AA620&gt;=5,MOD($AA620,5)=0),IF($AB620=12,VLOOKUP($AA620,Paraméterek!$O$225:$P$240,2),0),IF(OR($AA620=3,$AA620=4),IF($AB620=12,VLOOKUP($AA620,Paraméterek!$O$225:$P$240,2,0),0),0))*$AG620</f>
        <v>0</v>
      </c>
      <c r="AK620" s="13">
        <f t="shared" ca="1" si="207"/>
        <v>0</v>
      </c>
      <c r="AL620" s="13">
        <f t="shared" ca="1" si="215"/>
        <v>0</v>
      </c>
      <c r="AM620" s="13">
        <f t="shared" ca="1" si="216"/>
        <v>0</v>
      </c>
      <c r="AO620" s="32">
        <v>601</v>
      </c>
      <c r="AP620" s="32">
        <v>51</v>
      </c>
      <c r="AQ620" s="32">
        <v>1</v>
      </c>
      <c r="AR620" s="13">
        <f>Tranzakciók!$K$82</f>
        <v>0</v>
      </c>
      <c r="AS620" s="32"/>
      <c r="AT620" s="13">
        <f t="shared" ca="1" si="217"/>
        <v>0</v>
      </c>
      <c r="AU620" s="33"/>
      <c r="AV620" s="13">
        <f t="shared" ca="1" si="208"/>
        <v>0</v>
      </c>
      <c r="AW620" s="13">
        <f ca="1">ROUNDUP(($AT620+$AV620)*VLOOKUP($AP620,Paraméterek!$P$38:$Q$38,2)/12*IF($D621="Nem",IF($M$13=0,1,$M$13),1),IF($D$4="Forint",0,2))</f>
        <v>0</v>
      </c>
      <c r="AX620" s="13"/>
      <c r="AY620" s="13"/>
      <c r="AZ620" s="13">
        <f>ROUNDUP(IF(SUM($AX620:$AY620)=0,0,IF(IF(ISBLANK($AY620),$AX620,$AY620)*Paraméterek!$J$112&lt;IF($D$4="Forint",Paraméterek!$J$113,Paraméterek!$K$113),IF($D$4="Forint",Paraméterek!$J$113,Paraméterek!$K$113),IF(IF(ISBLANK($AY620),$AX620,$AY620)*Paraméterek!$J$112&gt;IF($D$4="Forint",Paraméterek!$J$114,Paraméterek!$K$114),IF($D$4="Forint",Paraméterek!$J$114,Paraméterek!$K$114),IF(ISBLANK($AY620),$AX620,$AY620)*Paraméterek!$J$112))),IF($D$4="Forint",0,2))</f>
        <v>0</v>
      </c>
      <c r="BA620" s="13">
        <f ca="1">$AT620+$AV620-$AW620-IF(ROUNDDOWN(IF(ISBLANK($AY620),$AX620,$AY620),IF($D$4="Forint",0,2))&gt;$AT620+$AV620-$AW620-IF($D$4="Forint",Paraméterek!$J$114,Paraméterek!$K$114),0,ROUNDDOWN(IF(ISBLANK($AY620),$AX620,$AY620),IF($D$4="Forint",0,2))-$AZ620)</f>
        <v>0</v>
      </c>
      <c r="BB620" s="13">
        <f t="shared" ca="1" si="209"/>
        <v>0</v>
      </c>
      <c r="BD620" s="32">
        <v>601</v>
      </c>
      <c r="BE620" s="32">
        <v>51</v>
      </c>
      <c r="BF620" s="32">
        <v>1</v>
      </c>
      <c r="BG620" s="34">
        <f t="shared" ca="1" si="218"/>
        <v>2069</v>
      </c>
      <c r="BH620" s="32" t="str">
        <f ca="1">IF(MOD(MONTH($D$14)+$BD620-1,12)=Paraméterek!$C$288,"Igen","")</f>
        <v/>
      </c>
      <c r="BI620" s="13">
        <f ca="1">IF($BH620="Igen",MIN(ROUNDDOWN((SUMIF($BG$20:$BG$1027,$BG620-1,$K$20:$K$1027)-SUMIF($BG$20:$BG$1027,$BG620-1,$I$20:$I$1027))*Paraméterek!$C$289,IF($D$4="Forint",0,2)),IF($D$4="Forint",Paraméterek!$C$285,Paraméterek!$D$285)),0)</f>
        <v>0</v>
      </c>
      <c r="BJ620" s="13">
        <f t="shared" ca="1" si="210"/>
        <v>0</v>
      </c>
      <c r="BK620" s="13">
        <f t="shared" ca="1" si="219"/>
        <v>0</v>
      </c>
      <c r="BL620" s="33"/>
      <c r="BM620" s="13">
        <f t="shared" ca="1" si="211"/>
        <v>0</v>
      </c>
      <c r="BN620" s="13">
        <f ca="1">ROUNDUP(($BK620+$BM620)*VLOOKUP($BE620,Paraméterek!$P$38:$Q$38,2)/12*IF($D621="Nem",IF($M$13=0,1,$M$13),1),IF($D$4="Forint",0,2))</f>
        <v>0</v>
      </c>
      <c r="BO620" s="13">
        <f t="shared" ca="1" si="212"/>
        <v>0</v>
      </c>
      <c r="BP620" s="13">
        <f ca="1">IF($D621="Nem",$BO620,$BO620-ROUNDUP(SUM($BI$20:$BI620)*120%,IF($D$4="Forint",0,2)))</f>
        <v>0</v>
      </c>
    </row>
    <row r="621" spans="1:68" x14ac:dyDescent="0.2">
      <c r="A621" s="32">
        <v>602</v>
      </c>
      <c r="B621" s="32">
        <v>51</v>
      </c>
      <c r="C621" s="32">
        <v>2</v>
      </c>
      <c r="D621" s="32" t="str">
        <f t="shared" ca="1" si="198"/>
        <v>Nem</v>
      </c>
      <c r="E621" s="13">
        <f t="shared" ca="1" si="199"/>
        <v>0</v>
      </c>
      <c r="F621" s="13"/>
      <c r="G621" s="13"/>
      <c r="H621" s="13"/>
      <c r="I621" s="13">
        <f t="shared" ca="1" si="200"/>
        <v>0</v>
      </c>
      <c r="J621" s="13">
        <f t="shared" ca="1" si="201"/>
        <v>0</v>
      </c>
      <c r="K621" s="13">
        <f t="shared" ca="1" si="202"/>
        <v>0</v>
      </c>
      <c r="L621" s="13" t="e">
        <f ca="1">ROUNDUP(IF($D$2="Egyszeri",$E621,IF($D$2="Havi",SUM($E$20:$E$31),IF(MOD($C621,$M$1)-1=0,SUM($E$20:$E$31),0))/12*$M$1)*VLOOKUP($B621,Paraméterek!$I$28:$P$31,IF($D$2="Egyszeri",8,HLOOKUP(ROUNDUP($M$11+$M$13,0),Paraméterek!$J$26:$O$27,2))),IF($D$4="Forint",0,2))</f>
        <v>#N/A</v>
      </c>
      <c r="M621" s="13">
        <f t="shared" ca="1" si="203"/>
        <v>0</v>
      </c>
      <c r="N621" s="13">
        <f t="shared" ca="1" si="213"/>
        <v>0</v>
      </c>
      <c r="O621" s="13">
        <f ca="1">IF($D621="Igen",IF($W620&gt;=IF($D$4="Forint",Paraméterek!$J$121,Paraméterek!$K$121),0,IF($D$4="Forint",Paraméterek!$J$121,Paraméterek!$K$121)-$W620),0)</f>
        <v>0</v>
      </c>
      <c r="P621" s="13" t="e">
        <f ca="1">ROUNDUP($O621*VLOOKUP($M$4+$B621-1,Paraméterek!$H$58:$I$105,2,0)/Paraméterek!$I$56,IF($D$4="Forint",0,2))</f>
        <v>#N/A</v>
      </c>
      <c r="Q621" s="13">
        <f t="shared" ca="1" si="204"/>
        <v>0</v>
      </c>
      <c r="R621" s="33"/>
      <c r="S621" s="13" t="e">
        <f t="shared" ca="1" si="205"/>
        <v>#N/A</v>
      </c>
      <c r="T621" s="13" t="e">
        <f ca="1">ROUNDUP(($N621-$P621-$Q621+$S621)*VLOOKUP($B621,Paraméterek!$I$38:$K$39,IF($D$2="Egyszeri",3,2))/12*IF($D622="Nem",IF($M$13=0,1,$M$13),1),IF($D$4="Forint",0,2))</f>
        <v>#N/A</v>
      </c>
      <c r="U621" s="13"/>
      <c r="V621" s="13"/>
      <c r="W621" s="13" t="e">
        <f ca="1">$N621-$P621-$Q621+$S621-$T621-IF(ROUNDUP(IF(ISBLANK($V621),$U621*0,$V621)/IF($D$2="Egyszeri",VLOOKUP($B621+IF($C621=12,1,0),Paraméterek!$V$257:$W$262,2),IF($B621=1,1,VLOOKUP($B621+IF($C621=12,1,0),Paraméterek!$I$258:$T$278,HLOOKUP($M$11+1,Paraméterek!$J$256:$T$257,2)))),IF($D$4="Forint",0,2))&gt;$N621-$P621-$Q621+$S621-$T621-IF($D$4="Forint",Paraméterek!$C$216,Paraméterek!$D$216),0,ROUNDUP(IF(ISBLANK($V621),$U621*0,$V621)/IF($D$2="Egyszeri",VLOOKUP($B621+IF($C621=12,1,0),Paraméterek!$V$257:$W$262,2),IF($B621=1,1,VLOOKUP($B621+IF($C621=12,1,0),Paraméterek!$I$258:$T$278,HLOOKUP($M$11+1,Paraméterek!$J$256:$T$257,2)))),IF($D$4="Forint",0,2)))</f>
        <v>#N/A</v>
      </c>
      <c r="X621" s="13" t="e">
        <f ca="1">ROUNDDOWN($W621*IF($D$2="Egyszeri",VLOOKUP($B621+IF($C621=12,1,0),Paraméterek!$V$257:$W$262,2),VLOOKUP($B621+IF($C621=12,1,0),Paraméterek!$I$258:$T$278,HLOOKUP($M$11+1,Paraméterek!$I$256:$T$257,2))),IF($D$4="Forint",0,2))</f>
        <v>#N/A</v>
      </c>
      <c r="Z621" s="32">
        <v>602</v>
      </c>
      <c r="AA621" s="32">
        <v>51</v>
      </c>
      <c r="AB621" s="32">
        <v>2</v>
      </c>
      <c r="AC621" s="13">
        <f t="shared" ca="1" si="214"/>
        <v>0</v>
      </c>
      <c r="AD621" s="33"/>
      <c r="AE621" s="13">
        <f t="shared" ca="1" si="206"/>
        <v>0</v>
      </c>
      <c r="AF621" s="13">
        <f ca="1">ROUNDUP(($AC621+$AE621)*VLOOKUP($AA621,Paraméterek!$P$38:$Q$38,2)/12*IF($D622="Nem",IF($M$13=0,1,$M$13),1),IF($D$4="Forint",0,2))</f>
        <v>0</v>
      </c>
      <c r="AG621" s="13">
        <f ca="1">IF($D$2="Egyszeri",IF($D$7&gt;=IF($D$4="Forint",Paraméterek!$P$223,Paraméterek!$P$224),$D$7-IF($D$4="Forint",Paraméterek!$P$223,Paraméterek!$P$224),0),MIN(IF($AB621=12,AVERAGEIF($E$20:$E621,"&gt;0",$E$20:$E621)*12,0),SUM($E$20:$E$31)))</f>
        <v>0</v>
      </c>
      <c r="AH621" s="13">
        <f>IF($AA621=10,$AG621*IF($AB621=12,IF($AG621&lt;IF($D$4="Forint",Paraméterek!$L$223,Paraméterek!$L$224),0,VLOOKUP($AA621,Paraméterek!$K$226:$M$228,IF($AG621&lt;IF($D$4="Forint",Paraméterek!$M$223,Paraméterek!$M$224),2,3))),0),0)</f>
        <v>0</v>
      </c>
      <c r="AI621" s="13">
        <f ca="1">IF(AND($AA621=$M$11+1,$AB621=$M$12+1),SUMIF($AA$20:$AA$1027,$AA621,$AG$20:$AG$1027)*IF(SUMIF($AA$20:$AA$1027,$AA621,$AG$20:$AG$1027)&lt;IF($D$4="Forint",Paraméterek!$L$223,Paraméterek!$L$224),0,VLOOKUP($AA621,Paraméterek!$K$230:$M$250,IF(SUMIF($AA$20:$AA$1027,$AA621,$AG$20:$AG$1027)&lt;IF($D$4="Forint",Paraméterek!$M$223,Paraméterek!$M$224),2,3))),0)</f>
        <v>0</v>
      </c>
      <c r="AJ621" s="13">
        <f ca="1">IF(AND($AA621&gt;=5,MOD($AA621,5)=0),IF($AB621=12,VLOOKUP($AA621,Paraméterek!$O$225:$P$240,2),0),IF(OR($AA621=3,$AA621=4),IF($AB621=12,VLOOKUP($AA621,Paraméterek!$O$225:$P$240,2,0),0),0))*$AG621</f>
        <v>0</v>
      </c>
      <c r="AK621" s="13">
        <f t="shared" ca="1" si="207"/>
        <v>0</v>
      </c>
      <c r="AL621" s="13">
        <f t="shared" ca="1" si="215"/>
        <v>0</v>
      </c>
      <c r="AM621" s="13">
        <f t="shared" ca="1" si="216"/>
        <v>0</v>
      </c>
      <c r="AO621" s="32">
        <v>602</v>
      </c>
      <c r="AP621" s="32">
        <v>51</v>
      </c>
      <c r="AQ621" s="32">
        <v>2</v>
      </c>
      <c r="AR621" s="13"/>
      <c r="AS621" s="32"/>
      <c r="AT621" s="13">
        <f t="shared" ca="1" si="217"/>
        <v>0</v>
      </c>
      <c r="AU621" s="33"/>
      <c r="AV621" s="13">
        <f t="shared" ca="1" si="208"/>
        <v>0</v>
      </c>
      <c r="AW621" s="13">
        <f ca="1">ROUNDUP(($AT621+$AV621)*VLOOKUP($AP621,Paraméterek!$P$38:$Q$38,2)/12*IF($D622="Nem",IF($M$13=0,1,$M$13),1),IF($D$4="Forint",0,2))</f>
        <v>0</v>
      </c>
      <c r="AX621" s="13"/>
      <c r="AY621" s="13"/>
      <c r="AZ621" s="13">
        <f>ROUNDUP(IF(SUM($AX621:$AY621)=0,0,IF(IF(ISBLANK($AY621),$AX621,$AY621)*Paraméterek!$J$112&lt;IF($D$4="Forint",Paraméterek!$J$113,Paraméterek!$K$113),IF($D$4="Forint",Paraméterek!$J$113,Paraméterek!$K$113),IF(IF(ISBLANK($AY621),$AX621,$AY621)*Paraméterek!$J$112&gt;IF($D$4="Forint",Paraméterek!$J$114,Paraméterek!$K$114),IF($D$4="Forint",Paraméterek!$J$114,Paraméterek!$K$114),IF(ISBLANK($AY621),$AX621,$AY621)*Paraméterek!$J$112))),IF($D$4="Forint",0,2))</f>
        <v>0</v>
      </c>
      <c r="BA621" s="13">
        <f ca="1">$AT621+$AV621-$AW621-IF(ROUNDDOWN(IF(ISBLANK($AY621),$AX621,$AY621),IF($D$4="Forint",0,2))&gt;$AT621+$AV621-$AW621-IF($D$4="Forint",Paraméterek!$J$114,Paraméterek!$K$114),0,ROUNDDOWN(IF(ISBLANK($AY621),$AX621,$AY621),IF($D$4="Forint",0,2))-$AZ621)</f>
        <v>0</v>
      </c>
      <c r="BB621" s="13">
        <f t="shared" ca="1" si="209"/>
        <v>0</v>
      </c>
      <c r="BD621" s="32">
        <v>602</v>
      </c>
      <c r="BE621" s="32">
        <v>51</v>
      </c>
      <c r="BF621" s="32">
        <v>2</v>
      </c>
      <c r="BG621" s="34">
        <f t="shared" ca="1" si="218"/>
        <v>2069</v>
      </c>
      <c r="BH621" s="32" t="str">
        <f ca="1">IF(MOD(MONTH($D$14)+$BD621-1,12)=Paraméterek!$C$288,"Igen","")</f>
        <v>Igen</v>
      </c>
      <c r="BI621" s="13">
        <f ca="1">IF($BH621="Igen",MIN(ROUNDDOWN((SUMIF($BG$20:$BG$1027,$BG621-1,$K$20:$K$1027)-SUMIF($BG$20:$BG$1027,$BG621-1,$I$20:$I$1027))*Paraméterek!$C$289,IF($D$4="Forint",0,2)),IF($D$4="Forint",Paraméterek!$C$285,Paraméterek!$D$285)),0)</f>
        <v>0</v>
      </c>
      <c r="BJ621" s="13">
        <f t="shared" ca="1" si="210"/>
        <v>0</v>
      </c>
      <c r="BK621" s="13">
        <f t="shared" ca="1" si="219"/>
        <v>0</v>
      </c>
      <c r="BL621" s="33"/>
      <c r="BM621" s="13">
        <f t="shared" ca="1" si="211"/>
        <v>0</v>
      </c>
      <c r="BN621" s="13">
        <f ca="1">ROUNDUP(($BK621+$BM621)*VLOOKUP($BE621,Paraméterek!$P$38:$Q$38,2)/12*IF($D622="Nem",IF($M$13=0,1,$M$13),1),IF($D$4="Forint",0,2))</f>
        <v>0</v>
      </c>
      <c r="BO621" s="13">
        <f t="shared" ca="1" si="212"/>
        <v>0</v>
      </c>
      <c r="BP621" s="13">
        <f ca="1">IF($D622="Nem",$BO621,$BO621-ROUNDUP(SUM($BI$20:$BI621)*120%,IF($D$4="Forint",0,2)))</f>
        <v>0</v>
      </c>
    </row>
    <row r="622" spans="1:68" x14ac:dyDescent="0.2">
      <c r="A622" s="32">
        <v>603</v>
      </c>
      <c r="B622" s="32">
        <v>51</v>
      </c>
      <c r="C622" s="32">
        <v>3</v>
      </c>
      <c r="D622" s="32" t="str">
        <f t="shared" ca="1" si="198"/>
        <v>Nem</v>
      </c>
      <c r="E622" s="13">
        <f t="shared" ca="1" si="199"/>
        <v>0</v>
      </c>
      <c r="F622" s="13"/>
      <c r="G622" s="13"/>
      <c r="H622" s="13"/>
      <c r="I622" s="13">
        <f t="shared" ca="1" si="200"/>
        <v>0</v>
      </c>
      <c r="J622" s="13">
        <f t="shared" ca="1" si="201"/>
        <v>0</v>
      </c>
      <c r="K622" s="13">
        <f t="shared" ca="1" si="202"/>
        <v>0</v>
      </c>
      <c r="L622" s="13" t="e">
        <f ca="1">ROUNDUP(IF($D$2="Egyszeri",$E622,IF($D$2="Havi",SUM($E$20:$E$31),IF(MOD($C622,$M$1)-1=0,SUM($E$20:$E$31),0))/12*$M$1)*VLOOKUP($B622,Paraméterek!$I$28:$P$31,IF($D$2="Egyszeri",8,HLOOKUP(ROUNDUP($M$11+$M$13,0),Paraméterek!$J$26:$O$27,2))),IF($D$4="Forint",0,2))</f>
        <v>#N/A</v>
      </c>
      <c r="M622" s="13">
        <f t="shared" ca="1" si="203"/>
        <v>0</v>
      </c>
      <c r="N622" s="13">
        <f t="shared" ca="1" si="213"/>
        <v>0</v>
      </c>
      <c r="O622" s="13">
        <f ca="1">IF($D622="Igen",IF($W621&gt;=IF($D$4="Forint",Paraméterek!$J$121,Paraméterek!$K$121),0,IF($D$4="Forint",Paraméterek!$J$121,Paraméterek!$K$121)-$W621),0)</f>
        <v>0</v>
      </c>
      <c r="P622" s="13" t="e">
        <f ca="1">ROUNDUP($O622*VLOOKUP($M$4+$B622-1,Paraméterek!$H$58:$I$105,2,0)/Paraméterek!$I$56,IF($D$4="Forint",0,2))</f>
        <v>#N/A</v>
      </c>
      <c r="Q622" s="13">
        <f t="shared" ca="1" si="204"/>
        <v>0</v>
      </c>
      <c r="R622" s="33"/>
      <c r="S622" s="13" t="e">
        <f t="shared" ca="1" si="205"/>
        <v>#N/A</v>
      </c>
      <c r="T622" s="13" t="e">
        <f ca="1">ROUNDUP(($N622-$P622-$Q622+$S622)*VLOOKUP($B622,Paraméterek!$I$38:$K$39,IF($D$2="Egyszeri",3,2))/12*IF($D623="Nem",IF($M$13=0,1,$M$13),1),IF($D$4="Forint",0,2))</f>
        <v>#N/A</v>
      </c>
      <c r="U622" s="13"/>
      <c r="V622" s="13"/>
      <c r="W622" s="13" t="e">
        <f ca="1">$N622-$P622-$Q622+$S622-$T622-IF(ROUNDUP(IF(ISBLANK($V622),$U622*0,$V622)/IF($D$2="Egyszeri",VLOOKUP($B622+IF($C622=12,1,0),Paraméterek!$V$257:$W$262,2),IF($B622=1,1,VLOOKUP($B622+IF($C622=12,1,0),Paraméterek!$I$258:$T$278,HLOOKUP($M$11+1,Paraméterek!$J$256:$T$257,2)))),IF($D$4="Forint",0,2))&gt;$N622-$P622-$Q622+$S622-$T622-IF($D$4="Forint",Paraméterek!$C$216,Paraméterek!$D$216),0,ROUNDUP(IF(ISBLANK($V622),$U622*0,$V622)/IF($D$2="Egyszeri",VLOOKUP($B622+IF($C622=12,1,0),Paraméterek!$V$257:$W$262,2),IF($B622=1,1,VLOOKUP($B622+IF($C622=12,1,0),Paraméterek!$I$258:$T$278,HLOOKUP($M$11+1,Paraméterek!$J$256:$T$257,2)))),IF($D$4="Forint",0,2)))</f>
        <v>#N/A</v>
      </c>
      <c r="X622" s="13" t="e">
        <f ca="1">ROUNDDOWN($W622*IF($D$2="Egyszeri",VLOOKUP($B622+IF($C622=12,1,0),Paraméterek!$V$257:$W$262,2),VLOOKUP($B622+IF($C622=12,1,0),Paraméterek!$I$258:$T$278,HLOOKUP($M$11+1,Paraméterek!$I$256:$T$257,2))),IF($D$4="Forint",0,2))</f>
        <v>#N/A</v>
      </c>
      <c r="Z622" s="32">
        <v>603</v>
      </c>
      <c r="AA622" s="32">
        <v>51</v>
      </c>
      <c r="AB622" s="32">
        <v>3</v>
      </c>
      <c r="AC622" s="13">
        <f t="shared" ca="1" si="214"/>
        <v>0</v>
      </c>
      <c r="AD622" s="33"/>
      <c r="AE622" s="13">
        <f t="shared" ca="1" si="206"/>
        <v>0</v>
      </c>
      <c r="AF622" s="13">
        <f ca="1">ROUNDUP(($AC622+$AE622)*VLOOKUP($AA622,Paraméterek!$P$38:$Q$38,2)/12*IF($D623="Nem",IF($M$13=0,1,$M$13),1),IF($D$4="Forint",0,2))</f>
        <v>0</v>
      </c>
      <c r="AG622" s="13">
        <f ca="1">IF($D$2="Egyszeri",IF($D$7&gt;=IF($D$4="Forint",Paraméterek!$P$223,Paraméterek!$P$224),$D$7-IF($D$4="Forint",Paraméterek!$P$223,Paraméterek!$P$224),0),MIN(IF($AB622=12,AVERAGEIF($E$20:$E622,"&gt;0",$E$20:$E622)*12,0),SUM($E$20:$E$31)))</f>
        <v>0</v>
      </c>
      <c r="AH622" s="13">
        <f>IF($AA622=10,$AG622*IF($AB622=12,IF($AG622&lt;IF($D$4="Forint",Paraméterek!$L$223,Paraméterek!$L$224),0,VLOOKUP($AA622,Paraméterek!$K$226:$M$228,IF($AG622&lt;IF($D$4="Forint",Paraméterek!$M$223,Paraméterek!$M$224),2,3))),0),0)</f>
        <v>0</v>
      </c>
      <c r="AI622" s="13">
        <f ca="1">IF(AND($AA622=$M$11+1,$AB622=$M$12+1),SUMIF($AA$20:$AA$1027,$AA622,$AG$20:$AG$1027)*IF(SUMIF($AA$20:$AA$1027,$AA622,$AG$20:$AG$1027)&lt;IF($D$4="Forint",Paraméterek!$L$223,Paraméterek!$L$224),0,VLOOKUP($AA622,Paraméterek!$K$230:$M$250,IF(SUMIF($AA$20:$AA$1027,$AA622,$AG$20:$AG$1027)&lt;IF($D$4="Forint",Paraméterek!$M$223,Paraméterek!$M$224),2,3))),0)</f>
        <v>0</v>
      </c>
      <c r="AJ622" s="13">
        <f ca="1">IF(AND($AA622&gt;=5,MOD($AA622,5)=0),IF($AB622=12,VLOOKUP($AA622,Paraméterek!$O$225:$P$240,2),0),IF(OR($AA622=3,$AA622=4),IF($AB622=12,VLOOKUP($AA622,Paraméterek!$O$225:$P$240,2,0),0),0))*$AG622</f>
        <v>0</v>
      </c>
      <c r="AK622" s="13">
        <f t="shared" ca="1" si="207"/>
        <v>0</v>
      </c>
      <c r="AL622" s="13">
        <f t="shared" ca="1" si="215"/>
        <v>0</v>
      </c>
      <c r="AM622" s="13">
        <f t="shared" ca="1" si="216"/>
        <v>0</v>
      </c>
      <c r="AO622" s="32">
        <v>603</v>
      </c>
      <c r="AP622" s="32">
        <v>51</v>
      </c>
      <c r="AQ622" s="32">
        <v>3</v>
      </c>
      <c r="AR622" s="13"/>
      <c r="AS622" s="32"/>
      <c r="AT622" s="13">
        <f t="shared" ca="1" si="217"/>
        <v>0</v>
      </c>
      <c r="AU622" s="33"/>
      <c r="AV622" s="13">
        <f t="shared" ca="1" si="208"/>
        <v>0</v>
      </c>
      <c r="AW622" s="13">
        <f ca="1">ROUNDUP(($AT622+$AV622)*VLOOKUP($AP622,Paraméterek!$P$38:$Q$38,2)/12*IF($D623="Nem",IF($M$13=0,1,$M$13),1),IF($D$4="Forint",0,2))</f>
        <v>0</v>
      </c>
      <c r="AX622" s="13"/>
      <c r="AY622" s="13"/>
      <c r="AZ622" s="13">
        <f>ROUNDUP(IF(SUM($AX622:$AY622)=0,0,IF(IF(ISBLANK($AY622),$AX622,$AY622)*Paraméterek!$J$112&lt;IF($D$4="Forint",Paraméterek!$J$113,Paraméterek!$K$113),IF($D$4="Forint",Paraméterek!$J$113,Paraméterek!$K$113),IF(IF(ISBLANK($AY622),$AX622,$AY622)*Paraméterek!$J$112&gt;IF($D$4="Forint",Paraméterek!$J$114,Paraméterek!$K$114),IF($D$4="Forint",Paraméterek!$J$114,Paraméterek!$K$114),IF(ISBLANK($AY622),$AX622,$AY622)*Paraméterek!$J$112))),IF($D$4="Forint",0,2))</f>
        <v>0</v>
      </c>
      <c r="BA622" s="13">
        <f ca="1">$AT622+$AV622-$AW622-IF(ROUNDDOWN(IF(ISBLANK($AY622),$AX622,$AY622),IF($D$4="Forint",0,2))&gt;$AT622+$AV622-$AW622-IF($D$4="Forint",Paraméterek!$J$114,Paraméterek!$K$114),0,ROUNDDOWN(IF(ISBLANK($AY622),$AX622,$AY622),IF($D$4="Forint",0,2))-$AZ622)</f>
        <v>0</v>
      </c>
      <c r="BB622" s="13">
        <f t="shared" ca="1" si="209"/>
        <v>0</v>
      </c>
      <c r="BD622" s="32">
        <v>603</v>
      </c>
      <c r="BE622" s="32">
        <v>51</v>
      </c>
      <c r="BF622" s="32">
        <v>3</v>
      </c>
      <c r="BG622" s="34">
        <f t="shared" ca="1" si="218"/>
        <v>2069</v>
      </c>
      <c r="BH622" s="32" t="str">
        <f ca="1">IF(MOD(MONTH($D$14)+$BD622-1,12)=Paraméterek!$C$288,"Igen","")</f>
        <v/>
      </c>
      <c r="BI622" s="13">
        <f ca="1">IF($BH622="Igen",MIN(ROUNDDOWN((SUMIF($BG$20:$BG$1027,$BG622-1,$K$20:$K$1027)-SUMIF($BG$20:$BG$1027,$BG622-1,$I$20:$I$1027))*Paraméterek!$C$289,IF($D$4="Forint",0,2)),IF($D$4="Forint",Paraméterek!$C$285,Paraméterek!$D$285)),0)</f>
        <v>0</v>
      </c>
      <c r="BJ622" s="13">
        <f t="shared" ca="1" si="210"/>
        <v>0</v>
      </c>
      <c r="BK622" s="13">
        <f t="shared" ca="1" si="219"/>
        <v>0</v>
      </c>
      <c r="BL622" s="33"/>
      <c r="BM622" s="13">
        <f t="shared" ca="1" si="211"/>
        <v>0</v>
      </c>
      <c r="BN622" s="13">
        <f ca="1">ROUNDUP(($BK622+$BM622)*VLOOKUP($BE622,Paraméterek!$P$38:$Q$38,2)/12*IF($D623="Nem",IF($M$13=0,1,$M$13),1),IF($D$4="Forint",0,2))</f>
        <v>0</v>
      </c>
      <c r="BO622" s="13">
        <f t="shared" ca="1" si="212"/>
        <v>0</v>
      </c>
      <c r="BP622" s="13">
        <f ca="1">IF($D623="Nem",$BO622,$BO622-ROUNDUP(SUM($BI$20:$BI622)*120%,IF($D$4="Forint",0,2)))</f>
        <v>0</v>
      </c>
    </row>
    <row r="623" spans="1:68" x14ac:dyDescent="0.2">
      <c r="A623" s="32">
        <v>604</v>
      </c>
      <c r="B623" s="32">
        <v>51</v>
      </c>
      <c r="C623" s="32">
        <v>4</v>
      </c>
      <c r="D623" s="32" t="str">
        <f t="shared" ca="1" si="198"/>
        <v>Nem</v>
      </c>
      <c r="E623" s="13">
        <f t="shared" ca="1" si="199"/>
        <v>0</v>
      </c>
      <c r="F623" s="13"/>
      <c r="G623" s="13"/>
      <c r="H623" s="13"/>
      <c r="I623" s="13">
        <f t="shared" ca="1" si="200"/>
        <v>0</v>
      </c>
      <c r="J623" s="13">
        <f t="shared" ca="1" si="201"/>
        <v>0</v>
      </c>
      <c r="K623" s="13">
        <f t="shared" ca="1" si="202"/>
        <v>0</v>
      </c>
      <c r="L623" s="13" t="e">
        <f ca="1">ROUNDUP(IF($D$2="Egyszeri",$E623,IF($D$2="Havi",SUM($E$20:$E$31),IF(MOD($C623,$M$1)-1=0,SUM($E$20:$E$31),0))/12*$M$1)*VLOOKUP($B623,Paraméterek!$I$28:$P$31,IF($D$2="Egyszeri",8,HLOOKUP(ROUNDUP($M$11+$M$13,0),Paraméterek!$J$26:$O$27,2))),IF($D$4="Forint",0,2))</f>
        <v>#N/A</v>
      </c>
      <c r="M623" s="13">
        <f t="shared" ca="1" si="203"/>
        <v>0</v>
      </c>
      <c r="N623" s="13">
        <f t="shared" ca="1" si="213"/>
        <v>0</v>
      </c>
      <c r="O623" s="13">
        <f ca="1">IF($D623="Igen",IF($W622&gt;=IF($D$4="Forint",Paraméterek!$J$121,Paraméterek!$K$121),0,IF($D$4="Forint",Paraméterek!$J$121,Paraméterek!$K$121)-$W622),0)</f>
        <v>0</v>
      </c>
      <c r="P623" s="13" t="e">
        <f ca="1">ROUNDUP($O623*VLOOKUP($M$4+$B623-1,Paraméterek!$H$58:$I$105,2,0)/Paraméterek!$I$56,IF($D$4="Forint",0,2))</f>
        <v>#N/A</v>
      </c>
      <c r="Q623" s="13">
        <f t="shared" ca="1" si="204"/>
        <v>0</v>
      </c>
      <c r="R623" s="33"/>
      <c r="S623" s="13" t="e">
        <f t="shared" ca="1" si="205"/>
        <v>#N/A</v>
      </c>
      <c r="T623" s="13" t="e">
        <f ca="1">ROUNDUP(($N623-$P623-$Q623+$S623)*VLOOKUP($B623,Paraméterek!$I$38:$K$39,IF($D$2="Egyszeri",3,2))/12*IF($D624="Nem",IF($M$13=0,1,$M$13),1),IF($D$4="Forint",0,2))</f>
        <v>#N/A</v>
      </c>
      <c r="U623" s="13"/>
      <c r="V623" s="13"/>
      <c r="W623" s="13" t="e">
        <f ca="1">$N623-$P623-$Q623+$S623-$T623-IF(ROUNDUP(IF(ISBLANK($V623),$U623*0,$V623)/IF($D$2="Egyszeri",VLOOKUP($B623+IF($C623=12,1,0),Paraméterek!$V$257:$W$262,2),IF($B623=1,1,VLOOKUP($B623+IF($C623=12,1,0),Paraméterek!$I$258:$T$278,HLOOKUP($M$11+1,Paraméterek!$J$256:$T$257,2)))),IF($D$4="Forint",0,2))&gt;$N623-$P623-$Q623+$S623-$T623-IF($D$4="Forint",Paraméterek!$C$216,Paraméterek!$D$216),0,ROUNDUP(IF(ISBLANK($V623),$U623*0,$V623)/IF($D$2="Egyszeri",VLOOKUP($B623+IF($C623=12,1,0),Paraméterek!$V$257:$W$262,2),IF($B623=1,1,VLOOKUP($B623+IF($C623=12,1,0),Paraméterek!$I$258:$T$278,HLOOKUP($M$11+1,Paraméterek!$J$256:$T$257,2)))),IF($D$4="Forint",0,2)))</f>
        <v>#N/A</v>
      </c>
      <c r="X623" s="13" t="e">
        <f ca="1">ROUNDDOWN($W623*IF($D$2="Egyszeri",VLOOKUP($B623+IF($C623=12,1,0),Paraméterek!$V$257:$W$262,2),VLOOKUP($B623+IF($C623=12,1,0),Paraméterek!$I$258:$T$278,HLOOKUP($M$11+1,Paraméterek!$I$256:$T$257,2))),IF($D$4="Forint",0,2))</f>
        <v>#N/A</v>
      </c>
      <c r="Z623" s="32">
        <v>604</v>
      </c>
      <c r="AA623" s="32">
        <v>51</v>
      </c>
      <c r="AB623" s="32">
        <v>4</v>
      </c>
      <c r="AC623" s="13">
        <f t="shared" ca="1" si="214"/>
        <v>0</v>
      </c>
      <c r="AD623" s="33"/>
      <c r="AE623" s="13">
        <f t="shared" ca="1" si="206"/>
        <v>0</v>
      </c>
      <c r="AF623" s="13">
        <f ca="1">ROUNDUP(($AC623+$AE623)*VLOOKUP($AA623,Paraméterek!$P$38:$Q$38,2)/12*IF($D624="Nem",IF($M$13=0,1,$M$13),1),IF($D$4="Forint",0,2))</f>
        <v>0</v>
      </c>
      <c r="AG623" s="13">
        <f ca="1">IF($D$2="Egyszeri",IF($D$7&gt;=IF($D$4="Forint",Paraméterek!$P$223,Paraméterek!$P$224),$D$7-IF($D$4="Forint",Paraméterek!$P$223,Paraméterek!$P$224),0),MIN(IF($AB623=12,AVERAGEIF($E$20:$E623,"&gt;0",$E$20:$E623)*12,0),SUM($E$20:$E$31)))</f>
        <v>0</v>
      </c>
      <c r="AH623" s="13">
        <f>IF($AA623=10,$AG623*IF($AB623=12,IF($AG623&lt;IF($D$4="Forint",Paraméterek!$L$223,Paraméterek!$L$224),0,VLOOKUP($AA623,Paraméterek!$K$226:$M$228,IF($AG623&lt;IF($D$4="Forint",Paraméterek!$M$223,Paraméterek!$M$224),2,3))),0),0)</f>
        <v>0</v>
      </c>
      <c r="AI623" s="13">
        <f ca="1">IF(AND($AA623=$M$11+1,$AB623=$M$12+1),SUMIF($AA$20:$AA$1027,$AA623,$AG$20:$AG$1027)*IF(SUMIF($AA$20:$AA$1027,$AA623,$AG$20:$AG$1027)&lt;IF($D$4="Forint",Paraméterek!$L$223,Paraméterek!$L$224),0,VLOOKUP($AA623,Paraméterek!$K$230:$M$250,IF(SUMIF($AA$20:$AA$1027,$AA623,$AG$20:$AG$1027)&lt;IF($D$4="Forint",Paraméterek!$M$223,Paraméterek!$M$224),2,3))),0)</f>
        <v>0</v>
      </c>
      <c r="AJ623" s="13">
        <f ca="1">IF(AND($AA623&gt;=5,MOD($AA623,5)=0),IF($AB623=12,VLOOKUP($AA623,Paraméterek!$O$225:$P$240,2),0),IF(OR($AA623=3,$AA623=4),IF($AB623=12,VLOOKUP($AA623,Paraméterek!$O$225:$P$240,2,0),0),0))*$AG623</f>
        <v>0</v>
      </c>
      <c r="AK623" s="13">
        <f t="shared" ca="1" si="207"/>
        <v>0</v>
      </c>
      <c r="AL623" s="13">
        <f t="shared" ca="1" si="215"/>
        <v>0</v>
      </c>
      <c r="AM623" s="13">
        <f t="shared" ca="1" si="216"/>
        <v>0</v>
      </c>
      <c r="AO623" s="32">
        <v>604</v>
      </c>
      <c r="AP623" s="32">
        <v>51</v>
      </c>
      <c r="AQ623" s="32">
        <v>4</v>
      </c>
      <c r="AR623" s="13"/>
      <c r="AS623" s="32"/>
      <c r="AT623" s="13">
        <f t="shared" ca="1" si="217"/>
        <v>0</v>
      </c>
      <c r="AU623" s="33"/>
      <c r="AV623" s="13">
        <f t="shared" ca="1" si="208"/>
        <v>0</v>
      </c>
      <c r="AW623" s="13">
        <f ca="1">ROUNDUP(($AT623+$AV623)*VLOOKUP($AP623,Paraméterek!$P$38:$Q$38,2)/12*IF($D624="Nem",IF($M$13=0,1,$M$13),1),IF($D$4="Forint",0,2))</f>
        <v>0</v>
      </c>
      <c r="AX623" s="13"/>
      <c r="AY623" s="13"/>
      <c r="AZ623" s="13">
        <f>ROUNDUP(IF(SUM($AX623:$AY623)=0,0,IF(IF(ISBLANK($AY623),$AX623,$AY623)*Paraméterek!$J$112&lt;IF($D$4="Forint",Paraméterek!$J$113,Paraméterek!$K$113),IF($D$4="Forint",Paraméterek!$J$113,Paraméterek!$K$113),IF(IF(ISBLANK($AY623),$AX623,$AY623)*Paraméterek!$J$112&gt;IF($D$4="Forint",Paraméterek!$J$114,Paraméterek!$K$114),IF($D$4="Forint",Paraméterek!$J$114,Paraméterek!$K$114),IF(ISBLANK($AY623),$AX623,$AY623)*Paraméterek!$J$112))),IF($D$4="Forint",0,2))</f>
        <v>0</v>
      </c>
      <c r="BA623" s="13">
        <f ca="1">$AT623+$AV623-$AW623-IF(ROUNDDOWN(IF(ISBLANK($AY623),$AX623,$AY623),IF($D$4="Forint",0,2))&gt;$AT623+$AV623-$AW623-IF($D$4="Forint",Paraméterek!$J$114,Paraméterek!$K$114),0,ROUNDDOWN(IF(ISBLANK($AY623),$AX623,$AY623),IF($D$4="Forint",0,2))-$AZ623)</f>
        <v>0</v>
      </c>
      <c r="BB623" s="13">
        <f t="shared" ca="1" si="209"/>
        <v>0</v>
      </c>
      <c r="BD623" s="32">
        <v>604</v>
      </c>
      <c r="BE623" s="32">
        <v>51</v>
      </c>
      <c r="BF623" s="32">
        <v>4</v>
      </c>
      <c r="BG623" s="34">
        <f t="shared" ca="1" si="218"/>
        <v>2069</v>
      </c>
      <c r="BH623" s="32" t="str">
        <f ca="1">IF(MOD(MONTH($D$14)+$BD623-1,12)=Paraméterek!$C$288,"Igen","")</f>
        <v/>
      </c>
      <c r="BI623" s="13">
        <f ca="1">IF($BH623="Igen",MIN(ROUNDDOWN((SUMIF($BG$20:$BG$1027,$BG623-1,$K$20:$K$1027)-SUMIF($BG$20:$BG$1027,$BG623-1,$I$20:$I$1027))*Paraméterek!$C$289,IF($D$4="Forint",0,2)),IF($D$4="Forint",Paraméterek!$C$285,Paraméterek!$D$285)),0)</f>
        <v>0</v>
      </c>
      <c r="BJ623" s="13">
        <f t="shared" ca="1" si="210"/>
        <v>0</v>
      </c>
      <c r="BK623" s="13">
        <f t="shared" ca="1" si="219"/>
        <v>0</v>
      </c>
      <c r="BL623" s="33"/>
      <c r="BM623" s="13">
        <f t="shared" ca="1" si="211"/>
        <v>0</v>
      </c>
      <c r="BN623" s="13">
        <f ca="1">ROUNDUP(($BK623+$BM623)*VLOOKUP($BE623,Paraméterek!$P$38:$Q$38,2)/12*IF($D624="Nem",IF($M$13=0,1,$M$13),1),IF($D$4="Forint",0,2))</f>
        <v>0</v>
      </c>
      <c r="BO623" s="13">
        <f t="shared" ca="1" si="212"/>
        <v>0</v>
      </c>
      <c r="BP623" s="13">
        <f ca="1">IF($D624="Nem",$BO623,$BO623-ROUNDUP(SUM($BI$20:$BI623)*120%,IF($D$4="Forint",0,2)))</f>
        <v>0</v>
      </c>
    </row>
    <row r="624" spans="1:68" x14ac:dyDescent="0.2">
      <c r="A624" s="32">
        <v>605</v>
      </c>
      <c r="B624" s="32">
        <v>51</v>
      </c>
      <c r="C624" s="32">
        <v>5</v>
      </c>
      <c r="D624" s="32" t="str">
        <f t="shared" ca="1" si="198"/>
        <v>Nem</v>
      </c>
      <c r="E624" s="13">
        <f t="shared" ca="1" si="199"/>
        <v>0</v>
      </c>
      <c r="F624" s="13"/>
      <c r="G624" s="13"/>
      <c r="H624" s="13"/>
      <c r="I624" s="13">
        <f t="shared" ca="1" si="200"/>
        <v>0</v>
      </c>
      <c r="J624" s="13">
        <f t="shared" ca="1" si="201"/>
        <v>0</v>
      </c>
      <c r="K624" s="13">
        <f t="shared" ca="1" si="202"/>
        <v>0</v>
      </c>
      <c r="L624" s="13" t="e">
        <f ca="1">ROUNDUP(IF($D$2="Egyszeri",$E624,IF($D$2="Havi",SUM($E$20:$E$31),IF(MOD($C624,$M$1)-1=0,SUM($E$20:$E$31),0))/12*$M$1)*VLOOKUP($B624,Paraméterek!$I$28:$P$31,IF($D$2="Egyszeri",8,HLOOKUP(ROUNDUP($M$11+$M$13,0),Paraméterek!$J$26:$O$27,2))),IF($D$4="Forint",0,2))</f>
        <v>#N/A</v>
      </c>
      <c r="M624" s="13">
        <f t="shared" ca="1" si="203"/>
        <v>0</v>
      </c>
      <c r="N624" s="13">
        <f t="shared" ca="1" si="213"/>
        <v>0</v>
      </c>
      <c r="O624" s="13">
        <f ca="1">IF($D624="Igen",IF($W623&gt;=IF($D$4="Forint",Paraméterek!$J$121,Paraméterek!$K$121),0,IF($D$4="Forint",Paraméterek!$J$121,Paraméterek!$K$121)-$W623),0)</f>
        <v>0</v>
      </c>
      <c r="P624" s="13" t="e">
        <f ca="1">ROUNDUP($O624*VLOOKUP($M$4+$B624-1,Paraméterek!$H$58:$I$105,2,0)/Paraméterek!$I$56,IF($D$4="Forint",0,2))</f>
        <v>#N/A</v>
      </c>
      <c r="Q624" s="13">
        <f t="shared" ca="1" si="204"/>
        <v>0</v>
      </c>
      <c r="R624" s="33"/>
      <c r="S624" s="13" t="e">
        <f t="shared" ca="1" si="205"/>
        <v>#N/A</v>
      </c>
      <c r="T624" s="13" t="e">
        <f ca="1">ROUNDUP(($N624-$P624-$Q624+$S624)*VLOOKUP($B624,Paraméterek!$I$38:$K$39,IF($D$2="Egyszeri",3,2))/12*IF($D625="Nem",IF($M$13=0,1,$M$13),1),IF($D$4="Forint",0,2))</f>
        <v>#N/A</v>
      </c>
      <c r="U624" s="13"/>
      <c r="V624" s="13"/>
      <c r="W624" s="13" t="e">
        <f ca="1">$N624-$P624-$Q624+$S624-$T624-IF(ROUNDUP(IF(ISBLANK($V624),$U624*0,$V624)/IF($D$2="Egyszeri",VLOOKUP($B624+IF($C624=12,1,0),Paraméterek!$V$257:$W$262,2),IF($B624=1,1,VLOOKUP($B624+IF($C624=12,1,0),Paraméterek!$I$258:$T$278,HLOOKUP($M$11+1,Paraméterek!$J$256:$T$257,2)))),IF($D$4="Forint",0,2))&gt;$N624-$P624-$Q624+$S624-$T624-IF($D$4="Forint",Paraméterek!$C$216,Paraméterek!$D$216),0,ROUNDUP(IF(ISBLANK($V624),$U624*0,$V624)/IF($D$2="Egyszeri",VLOOKUP($B624+IF($C624=12,1,0),Paraméterek!$V$257:$W$262,2),IF($B624=1,1,VLOOKUP($B624+IF($C624=12,1,0),Paraméterek!$I$258:$T$278,HLOOKUP($M$11+1,Paraméterek!$J$256:$T$257,2)))),IF($D$4="Forint",0,2)))</f>
        <v>#N/A</v>
      </c>
      <c r="X624" s="13" t="e">
        <f ca="1">ROUNDDOWN($W624*IF($D$2="Egyszeri",VLOOKUP($B624+IF($C624=12,1,0),Paraméterek!$V$257:$W$262,2),VLOOKUP($B624+IF($C624=12,1,0),Paraméterek!$I$258:$T$278,HLOOKUP($M$11+1,Paraméterek!$I$256:$T$257,2))),IF($D$4="Forint",0,2))</f>
        <v>#N/A</v>
      </c>
      <c r="Z624" s="32">
        <v>605</v>
      </c>
      <c r="AA624" s="32">
        <v>51</v>
      </c>
      <c r="AB624" s="32">
        <v>5</v>
      </c>
      <c r="AC624" s="13">
        <f t="shared" ca="1" si="214"/>
        <v>0</v>
      </c>
      <c r="AD624" s="33"/>
      <c r="AE624" s="13">
        <f t="shared" ca="1" si="206"/>
        <v>0</v>
      </c>
      <c r="AF624" s="13">
        <f ca="1">ROUNDUP(($AC624+$AE624)*VLOOKUP($AA624,Paraméterek!$P$38:$Q$38,2)/12*IF($D625="Nem",IF($M$13=0,1,$M$13),1),IF($D$4="Forint",0,2))</f>
        <v>0</v>
      </c>
      <c r="AG624" s="13">
        <f ca="1">IF($D$2="Egyszeri",IF($D$7&gt;=IF($D$4="Forint",Paraméterek!$P$223,Paraméterek!$P$224),$D$7-IF($D$4="Forint",Paraméterek!$P$223,Paraméterek!$P$224),0),MIN(IF($AB624=12,AVERAGEIF($E$20:$E624,"&gt;0",$E$20:$E624)*12,0),SUM($E$20:$E$31)))</f>
        <v>0</v>
      </c>
      <c r="AH624" s="13">
        <f>IF($AA624=10,$AG624*IF($AB624=12,IF($AG624&lt;IF($D$4="Forint",Paraméterek!$L$223,Paraméterek!$L$224),0,VLOOKUP($AA624,Paraméterek!$K$226:$M$228,IF($AG624&lt;IF($D$4="Forint",Paraméterek!$M$223,Paraméterek!$M$224),2,3))),0),0)</f>
        <v>0</v>
      </c>
      <c r="AI624" s="13">
        <f ca="1">IF(AND($AA624=$M$11+1,$AB624=$M$12+1),SUMIF($AA$20:$AA$1027,$AA624,$AG$20:$AG$1027)*IF(SUMIF($AA$20:$AA$1027,$AA624,$AG$20:$AG$1027)&lt;IF($D$4="Forint",Paraméterek!$L$223,Paraméterek!$L$224),0,VLOOKUP($AA624,Paraméterek!$K$230:$M$250,IF(SUMIF($AA$20:$AA$1027,$AA624,$AG$20:$AG$1027)&lt;IF($D$4="Forint",Paraméterek!$M$223,Paraméterek!$M$224),2,3))),0)</f>
        <v>0</v>
      </c>
      <c r="AJ624" s="13">
        <f ca="1">IF(AND($AA624&gt;=5,MOD($AA624,5)=0),IF($AB624=12,VLOOKUP($AA624,Paraméterek!$O$225:$P$240,2),0),IF(OR($AA624=3,$AA624=4),IF($AB624=12,VLOOKUP($AA624,Paraméterek!$O$225:$P$240,2,0),0),0))*$AG624</f>
        <v>0</v>
      </c>
      <c r="AK624" s="13">
        <f t="shared" ca="1" si="207"/>
        <v>0</v>
      </c>
      <c r="AL624" s="13">
        <f t="shared" ca="1" si="215"/>
        <v>0</v>
      </c>
      <c r="AM624" s="13">
        <f t="shared" ca="1" si="216"/>
        <v>0</v>
      </c>
      <c r="AO624" s="32">
        <v>605</v>
      </c>
      <c r="AP624" s="32">
        <v>51</v>
      </c>
      <c r="AQ624" s="32">
        <v>5</v>
      </c>
      <c r="AR624" s="13"/>
      <c r="AS624" s="32"/>
      <c r="AT624" s="13">
        <f t="shared" ca="1" si="217"/>
        <v>0</v>
      </c>
      <c r="AU624" s="33"/>
      <c r="AV624" s="13">
        <f t="shared" ca="1" si="208"/>
        <v>0</v>
      </c>
      <c r="AW624" s="13">
        <f ca="1">ROUNDUP(($AT624+$AV624)*VLOOKUP($AP624,Paraméterek!$P$38:$Q$38,2)/12*IF($D625="Nem",IF($M$13=0,1,$M$13),1),IF($D$4="Forint",0,2))</f>
        <v>0</v>
      </c>
      <c r="AX624" s="13"/>
      <c r="AY624" s="13"/>
      <c r="AZ624" s="13">
        <f>ROUNDUP(IF(SUM($AX624:$AY624)=0,0,IF(IF(ISBLANK($AY624),$AX624,$AY624)*Paraméterek!$J$112&lt;IF($D$4="Forint",Paraméterek!$J$113,Paraméterek!$K$113),IF($D$4="Forint",Paraméterek!$J$113,Paraméterek!$K$113),IF(IF(ISBLANK($AY624),$AX624,$AY624)*Paraméterek!$J$112&gt;IF($D$4="Forint",Paraméterek!$J$114,Paraméterek!$K$114),IF($D$4="Forint",Paraméterek!$J$114,Paraméterek!$K$114),IF(ISBLANK($AY624),$AX624,$AY624)*Paraméterek!$J$112))),IF($D$4="Forint",0,2))</f>
        <v>0</v>
      </c>
      <c r="BA624" s="13">
        <f ca="1">$AT624+$AV624-$AW624-IF(ROUNDDOWN(IF(ISBLANK($AY624),$AX624,$AY624),IF($D$4="Forint",0,2))&gt;$AT624+$AV624-$AW624-IF($D$4="Forint",Paraméterek!$J$114,Paraméterek!$K$114),0,ROUNDDOWN(IF(ISBLANK($AY624),$AX624,$AY624),IF($D$4="Forint",0,2))-$AZ624)</f>
        <v>0</v>
      </c>
      <c r="BB624" s="13">
        <f t="shared" ca="1" si="209"/>
        <v>0</v>
      </c>
      <c r="BD624" s="32">
        <v>605</v>
      </c>
      <c r="BE624" s="32">
        <v>51</v>
      </c>
      <c r="BF624" s="32">
        <v>5</v>
      </c>
      <c r="BG624" s="34">
        <f t="shared" ca="1" si="218"/>
        <v>2069</v>
      </c>
      <c r="BH624" s="32" t="str">
        <f ca="1">IF(MOD(MONTH($D$14)+$BD624-1,12)=Paraméterek!$C$288,"Igen","")</f>
        <v/>
      </c>
      <c r="BI624" s="13">
        <f ca="1">IF($BH624="Igen",MIN(ROUNDDOWN((SUMIF($BG$20:$BG$1027,$BG624-1,$K$20:$K$1027)-SUMIF($BG$20:$BG$1027,$BG624-1,$I$20:$I$1027))*Paraméterek!$C$289,IF($D$4="Forint",0,2)),IF($D$4="Forint",Paraméterek!$C$285,Paraméterek!$D$285)),0)</f>
        <v>0</v>
      </c>
      <c r="BJ624" s="13">
        <f t="shared" ca="1" si="210"/>
        <v>0</v>
      </c>
      <c r="BK624" s="13">
        <f t="shared" ca="1" si="219"/>
        <v>0</v>
      </c>
      <c r="BL624" s="33"/>
      <c r="BM624" s="13">
        <f t="shared" ca="1" si="211"/>
        <v>0</v>
      </c>
      <c r="BN624" s="13">
        <f ca="1">ROUNDUP(($BK624+$BM624)*VLOOKUP($BE624,Paraméterek!$P$38:$Q$38,2)/12*IF($D625="Nem",IF($M$13=0,1,$M$13),1),IF($D$4="Forint",0,2))</f>
        <v>0</v>
      </c>
      <c r="BO624" s="13">
        <f t="shared" ca="1" si="212"/>
        <v>0</v>
      </c>
      <c r="BP624" s="13">
        <f ca="1">IF($D625="Nem",$BO624,$BO624-ROUNDUP(SUM($BI$20:$BI624)*120%,IF($D$4="Forint",0,2)))</f>
        <v>0</v>
      </c>
    </row>
    <row r="625" spans="1:68" x14ac:dyDescent="0.2">
      <c r="A625" s="32">
        <v>606</v>
      </c>
      <c r="B625" s="32">
        <v>51</v>
      </c>
      <c r="C625" s="32">
        <v>6</v>
      </c>
      <c r="D625" s="32" t="str">
        <f t="shared" ca="1" si="198"/>
        <v>Nem</v>
      </c>
      <c r="E625" s="13">
        <f t="shared" ca="1" si="199"/>
        <v>0</v>
      </c>
      <c r="F625" s="13"/>
      <c r="G625" s="13"/>
      <c r="H625" s="13"/>
      <c r="I625" s="13">
        <f t="shared" ca="1" si="200"/>
        <v>0</v>
      </c>
      <c r="J625" s="13">
        <f t="shared" ca="1" si="201"/>
        <v>0</v>
      </c>
      <c r="K625" s="13">
        <f t="shared" ca="1" si="202"/>
        <v>0</v>
      </c>
      <c r="L625" s="13" t="e">
        <f ca="1">ROUNDUP(IF($D$2="Egyszeri",$E625,IF($D$2="Havi",SUM($E$20:$E$31),IF(MOD($C625,$M$1)-1=0,SUM($E$20:$E$31),0))/12*$M$1)*VLOOKUP($B625,Paraméterek!$I$28:$P$31,IF($D$2="Egyszeri",8,HLOOKUP(ROUNDUP($M$11+$M$13,0),Paraméterek!$J$26:$O$27,2))),IF($D$4="Forint",0,2))</f>
        <v>#N/A</v>
      </c>
      <c r="M625" s="13">
        <f t="shared" ca="1" si="203"/>
        <v>0</v>
      </c>
      <c r="N625" s="13">
        <f t="shared" ca="1" si="213"/>
        <v>0</v>
      </c>
      <c r="O625" s="13">
        <f ca="1">IF($D625="Igen",IF($W624&gt;=IF($D$4="Forint",Paraméterek!$J$121,Paraméterek!$K$121),0,IF($D$4="Forint",Paraméterek!$J$121,Paraméterek!$K$121)-$W624),0)</f>
        <v>0</v>
      </c>
      <c r="P625" s="13" t="e">
        <f ca="1">ROUNDUP($O625*VLOOKUP($M$4+$B625-1,Paraméterek!$H$58:$I$105,2,0)/Paraméterek!$I$56,IF($D$4="Forint",0,2))</f>
        <v>#N/A</v>
      </c>
      <c r="Q625" s="13">
        <f t="shared" ca="1" si="204"/>
        <v>0</v>
      </c>
      <c r="R625" s="33"/>
      <c r="S625" s="13" t="e">
        <f t="shared" ca="1" si="205"/>
        <v>#N/A</v>
      </c>
      <c r="T625" s="13" t="e">
        <f ca="1">ROUNDUP(($N625-$P625-$Q625+$S625)*VLOOKUP($B625,Paraméterek!$I$38:$K$39,IF($D$2="Egyszeri",3,2))/12*IF($D626="Nem",IF($M$13=0,1,$M$13),1),IF($D$4="Forint",0,2))</f>
        <v>#N/A</v>
      </c>
      <c r="U625" s="13"/>
      <c r="V625" s="13"/>
      <c r="W625" s="13" t="e">
        <f ca="1">$N625-$P625-$Q625+$S625-$T625-IF(ROUNDUP(IF(ISBLANK($V625),$U625*0,$V625)/IF($D$2="Egyszeri",VLOOKUP($B625+IF($C625=12,1,0),Paraméterek!$V$257:$W$262,2),IF($B625=1,1,VLOOKUP($B625+IF($C625=12,1,0),Paraméterek!$I$258:$T$278,HLOOKUP($M$11+1,Paraméterek!$J$256:$T$257,2)))),IF($D$4="Forint",0,2))&gt;$N625-$P625-$Q625+$S625-$T625-IF($D$4="Forint",Paraméterek!$C$216,Paraméterek!$D$216),0,ROUNDUP(IF(ISBLANK($V625),$U625*0,$V625)/IF($D$2="Egyszeri",VLOOKUP($B625+IF($C625=12,1,0),Paraméterek!$V$257:$W$262,2),IF($B625=1,1,VLOOKUP($B625+IF($C625=12,1,0),Paraméterek!$I$258:$T$278,HLOOKUP($M$11+1,Paraméterek!$J$256:$T$257,2)))),IF($D$4="Forint",0,2)))</f>
        <v>#N/A</v>
      </c>
      <c r="X625" s="13" t="e">
        <f ca="1">ROUNDDOWN($W625*IF($D$2="Egyszeri",VLOOKUP($B625+IF($C625=12,1,0),Paraméterek!$V$257:$W$262,2),VLOOKUP($B625+IF($C625=12,1,0),Paraméterek!$I$258:$T$278,HLOOKUP($M$11+1,Paraméterek!$I$256:$T$257,2))),IF($D$4="Forint",0,2))</f>
        <v>#N/A</v>
      </c>
      <c r="Z625" s="32">
        <v>606</v>
      </c>
      <c r="AA625" s="32">
        <v>51</v>
      </c>
      <c r="AB625" s="32">
        <v>6</v>
      </c>
      <c r="AC625" s="13">
        <f t="shared" ca="1" si="214"/>
        <v>0</v>
      </c>
      <c r="AD625" s="33"/>
      <c r="AE625" s="13">
        <f t="shared" ca="1" si="206"/>
        <v>0</v>
      </c>
      <c r="AF625" s="13">
        <f ca="1">ROUNDUP(($AC625+$AE625)*VLOOKUP($AA625,Paraméterek!$P$38:$Q$38,2)/12*IF($D626="Nem",IF($M$13=0,1,$M$13),1),IF($D$4="Forint",0,2))</f>
        <v>0</v>
      </c>
      <c r="AG625" s="13">
        <f ca="1">IF($D$2="Egyszeri",IF($D$7&gt;=IF($D$4="Forint",Paraméterek!$P$223,Paraméterek!$P$224),$D$7-IF($D$4="Forint",Paraméterek!$P$223,Paraméterek!$P$224),0),MIN(IF($AB625=12,AVERAGEIF($E$20:$E625,"&gt;0",$E$20:$E625)*12,0),SUM($E$20:$E$31)))</f>
        <v>0</v>
      </c>
      <c r="AH625" s="13">
        <f>IF($AA625=10,$AG625*IF($AB625=12,IF($AG625&lt;IF($D$4="Forint",Paraméterek!$L$223,Paraméterek!$L$224),0,VLOOKUP($AA625,Paraméterek!$K$226:$M$228,IF($AG625&lt;IF($D$4="Forint",Paraméterek!$M$223,Paraméterek!$M$224),2,3))),0),0)</f>
        <v>0</v>
      </c>
      <c r="AI625" s="13">
        <f ca="1">IF(AND($AA625=$M$11+1,$AB625=$M$12+1),SUMIF($AA$20:$AA$1027,$AA625,$AG$20:$AG$1027)*IF(SUMIF($AA$20:$AA$1027,$AA625,$AG$20:$AG$1027)&lt;IF($D$4="Forint",Paraméterek!$L$223,Paraméterek!$L$224),0,VLOOKUP($AA625,Paraméterek!$K$230:$M$250,IF(SUMIF($AA$20:$AA$1027,$AA625,$AG$20:$AG$1027)&lt;IF($D$4="Forint",Paraméterek!$M$223,Paraméterek!$M$224),2,3))),0)</f>
        <v>0</v>
      </c>
      <c r="AJ625" s="13">
        <f ca="1">IF(AND($AA625&gt;=5,MOD($AA625,5)=0),IF($AB625=12,VLOOKUP($AA625,Paraméterek!$O$225:$P$240,2),0),IF(OR($AA625=3,$AA625=4),IF($AB625=12,VLOOKUP($AA625,Paraméterek!$O$225:$P$240,2,0),0),0))*$AG625</f>
        <v>0</v>
      </c>
      <c r="AK625" s="13">
        <f t="shared" ca="1" si="207"/>
        <v>0</v>
      </c>
      <c r="AL625" s="13">
        <f t="shared" ca="1" si="215"/>
        <v>0</v>
      </c>
      <c r="AM625" s="13">
        <f t="shared" ca="1" si="216"/>
        <v>0</v>
      </c>
      <c r="AO625" s="32">
        <v>606</v>
      </c>
      <c r="AP625" s="32">
        <v>51</v>
      </c>
      <c r="AQ625" s="32">
        <v>6</v>
      </c>
      <c r="AR625" s="13"/>
      <c r="AS625" s="32"/>
      <c r="AT625" s="13">
        <f t="shared" ca="1" si="217"/>
        <v>0</v>
      </c>
      <c r="AU625" s="33"/>
      <c r="AV625" s="13">
        <f t="shared" ca="1" si="208"/>
        <v>0</v>
      </c>
      <c r="AW625" s="13">
        <f ca="1">ROUNDUP(($AT625+$AV625)*VLOOKUP($AP625,Paraméterek!$P$38:$Q$38,2)/12*IF($D626="Nem",IF($M$13=0,1,$M$13),1),IF($D$4="Forint",0,2))</f>
        <v>0</v>
      </c>
      <c r="AX625" s="13"/>
      <c r="AY625" s="13"/>
      <c r="AZ625" s="13">
        <f>ROUNDUP(IF(SUM($AX625:$AY625)=0,0,IF(IF(ISBLANK($AY625),$AX625,$AY625)*Paraméterek!$J$112&lt;IF($D$4="Forint",Paraméterek!$J$113,Paraméterek!$K$113),IF($D$4="Forint",Paraméterek!$J$113,Paraméterek!$K$113),IF(IF(ISBLANK($AY625),$AX625,$AY625)*Paraméterek!$J$112&gt;IF($D$4="Forint",Paraméterek!$J$114,Paraméterek!$K$114),IF($D$4="Forint",Paraméterek!$J$114,Paraméterek!$K$114),IF(ISBLANK($AY625),$AX625,$AY625)*Paraméterek!$J$112))),IF($D$4="Forint",0,2))</f>
        <v>0</v>
      </c>
      <c r="BA625" s="13">
        <f ca="1">$AT625+$AV625-$AW625-IF(ROUNDDOWN(IF(ISBLANK($AY625),$AX625,$AY625),IF($D$4="Forint",0,2))&gt;$AT625+$AV625-$AW625-IF($D$4="Forint",Paraméterek!$J$114,Paraméterek!$K$114),0,ROUNDDOWN(IF(ISBLANK($AY625),$AX625,$AY625),IF($D$4="Forint",0,2))-$AZ625)</f>
        <v>0</v>
      </c>
      <c r="BB625" s="13">
        <f t="shared" ca="1" si="209"/>
        <v>0</v>
      </c>
      <c r="BD625" s="32">
        <v>606</v>
      </c>
      <c r="BE625" s="32">
        <v>51</v>
      </c>
      <c r="BF625" s="32">
        <v>6</v>
      </c>
      <c r="BG625" s="34">
        <f t="shared" ca="1" si="218"/>
        <v>2069</v>
      </c>
      <c r="BH625" s="32" t="str">
        <f ca="1">IF(MOD(MONTH($D$14)+$BD625-1,12)=Paraméterek!$C$288,"Igen","")</f>
        <v/>
      </c>
      <c r="BI625" s="13">
        <f ca="1">IF($BH625="Igen",MIN(ROUNDDOWN((SUMIF($BG$20:$BG$1027,$BG625-1,$K$20:$K$1027)-SUMIF($BG$20:$BG$1027,$BG625-1,$I$20:$I$1027))*Paraméterek!$C$289,IF($D$4="Forint",0,2)),IF($D$4="Forint",Paraméterek!$C$285,Paraméterek!$D$285)),0)</f>
        <v>0</v>
      </c>
      <c r="BJ625" s="13">
        <f t="shared" ca="1" si="210"/>
        <v>0</v>
      </c>
      <c r="BK625" s="13">
        <f t="shared" ca="1" si="219"/>
        <v>0</v>
      </c>
      <c r="BL625" s="33"/>
      <c r="BM625" s="13">
        <f t="shared" ca="1" si="211"/>
        <v>0</v>
      </c>
      <c r="BN625" s="13">
        <f ca="1">ROUNDUP(($BK625+$BM625)*VLOOKUP($BE625,Paraméterek!$P$38:$Q$38,2)/12*IF($D626="Nem",IF($M$13=0,1,$M$13),1),IF($D$4="Forint",0,2))</f>
        <v>0</v>
      </c>
      <c r="BO625" s="13">
        <f t="shared" ca="1" si="212"/>
        <v>0</v>
      </c>
      <c r="BP625" s="13">
        <f ca="1">IF($D626="Nem",$BO625,$BO625-ROUNDUP(SUM($BI$20:$BI625)*120%,IF($D$4="Forint",0,2)))</f>
        <v>0</v>
      </c>
    </row>
    <row r="626" spans="1:68" x14ac:dyDescent="0.2">
      <c r="A626" s="32">
        <v>607</v>
      </c>
      <c r="B626" s="32">
        <v>51</v>
      </c>
      <c r="C626" s="32">
        <v>7</v>
      </c>
      <c r="D626" s="32" t="str">
        <f t="shared" ca="1" si="198"/>
        <v>Nem</v>
      </c>
      <c r="E626" s="13">
        <f t="shared" ca="1" si="199"/>
        <v>0</v>
      </c>
      <c r="F626" s="13"/>
      <c r="G626" s="13"/>
      <c r="H626" s="13"/>
      <c r="I626" s="13">
        <f t="shared" ca="1" si="200"/>
        <v>0</v>
      </c>
      <c r="J626" s="13">
        <f t="shared" ca="1" si="201"/>
        <v>0</v>
      </c>
      <c r="K626" s="13">
        <f t="shared" ca="1" si="202"/>
        <v>0</v>
      </c>
      <c r="L626" s="13" t="e">
        <f ca="1">ROUNDUP(IF($D$2="Egyszeri",$E626,IF($D$2="Havi",SUM($E$20:$E$31),IF(MOD($C626,$M$1)-1=0,SUM($E$20:$E$31),0))/12*$M$1)*VLOOKUP($B626,Paraméterek!$I$28:$P$31,IF($D$2="Egyszeri",8,HLOOKUP(ROUNDUP($M$11+$M$13,0),Paraméterek!$J$26:$O$27,2))),IF($D$4="Forint",0,2))</f>
        <v>#N/A</v>
      </c>
      <c r="M626" s="13">
        <f t="shared" ca="1" si="203"/>
        <v>0</v>
      </c>
      <c r="N626" s="13">
        <f t="shared" ca="1" si="213"/>
        <v>0</v>
      </c>
      <c r="O626" s="13">
        <f ca="1">IF($D626="Igen",IF($W625&gt;=IF($D$4="Forint",Paraméterek!$J$121,Paraméterek!$K$121),0,IF($D$4="Forint",Paraméterek!$J$121,Paraméterek!$K$121)-$W625),0)</f>
        <v>0</v>
      </c>
      <c r="P626" s="13" t="e">
        <f ca="1">ROUNDUP($O626*VLOOKUP($M$4+$B626-1,Paraméterek!$H$58:$I$105,2,0)/Paraméterek!$I$56,IF($D$4="Forint",0,2))</f>
        <v>#N/A</v>
      </c>
      <c r="Q626" s="13">
        <f t="shared" ca="1" si="204"/>
        <v>0</v>
      </c>
      <c r="R626" s="33"/>
      <c r="S626" s="13" t="e">
        <f t="shared" ca="1" si="205"/>
        <v>#N/A</v>
      </c>
      <c r="T626" s="13" t="e">
        <f ca="1">ROUNDUP(($N626-$P626-$Q626+$S626)*VLOOKUP($B626,Paraméterek!$I$38:$K$39,IF($D$2="Egyszeri",3,2))/12*IF($D627="Nem",IF($M$13=0,1,$M$13),1),IF($D$4="Forint",0,2))</f>
        <v>#N/A</v>
      </c>
      <c r="U626" s="13"/>
      <c r="V626" s="13"/>
      <c r="W626" s="13" t="e">
        <f ca="1">$N626-$P626-$Q626+$S626-$T626-IF(ROUNDUP(IF(ISBLANK($V626),$U626*0,$V626)/IF($D$2="Egyszeri",VLOOKUP($B626+IF($C626=12,1,0),Paraméterek!$V$257:$W$262,2),IF($B626=1,1,VLOOKUP($B626+IF($C626=12,1,0),Paraméterek!$I$258:$T$278,HLOOKUP($M$11+1,Paraméterek!$J$256:$T$257,2)))),IF($D$4="Forint",0,2))&gt;$N626-$P626-$Q626+$S626-$T626-IF($D$4="Forint",Paraméterek!$C$216,Paraméterek!$D$216),0,ROUNDUP(IF(ISBLANK($V626),$U626*0,$V626)/IF($D$2="Egyszeri",VLOOKUP($B626+IF($C626=12,1,0),Paraméterek!$V$257:$W$262,2),IF($B626=1,1,VLOOKUP($B626+IF($C626=12,1,0),Paraméterek!$I$258:$T$278,HLOOKUP($M$11+1,Paraméterek!$J$256:$T$257,2)))),IF($D$4="Forint",0,2)))</f>
        <v>#N/A</v>
      </c>
      <c r="X626" s="13" t="e">
        <f ca="1">ROUNDDOWN($W626*IF($D$2="Egyszeri",VLOOKUP($B626+IF($C626=12,1,0),Paraméterek!$V$257:$W$262,2),VLOOKUP($B626+IF($C626=12,1,0),Paraméterek!$I$258:$T$278,HLOOKUP($M$11+1,Paraméterek!$I$256:$T$257,2))),IF($D$4="Forint",0,2))</f>
        <v>#N/A</v>
      </c>
      <c r="Z626" s="32">
        <v>607</v>
      </c>
      <c r="AA626" s="32">
        <v>51</v>
      </c>
      <c r="AB626" s="32">
        <v>7</v>
      </c>
      <c r="AC626" s="13">
        <f t="shared" ca="1" si="214"/>
        <v>0</v>
      </c>
      <c r="AD626" s="33"/>
      <c r="AE626" s="13">
        <f t="shared" ca="1" si="206"/>
        <v>0</v>
      </c>
      <c r="AF626" s="13">
        <f ca="1">ROUNDUP(($AC626+$AE626)*VLOOKUP($AA626,Paraméterek!$P$38:$Q$38,2)/12*IF($D627="Nem",IF($M$13=0,1,$M$13),1),IF($D$4="Forint",0,2))</f>
        <v>0</v>
      </c>
      <c r="AG626" s="13">
        <f ca="1">IF($D$2="Egyszeri",IF($D$7&gt;=IF($D$4="Forint",Paraméterek!$P$223,Paraméterek!$P$224),$D$7-IF($D$4="Forint",Paraméterek!$P$223,Paraméterek!$P$224),0),MIN(IF($AB626=12,AVERAGEIF($E$20:$E626,"&gt;0",$E$20:$E626)*12,0),SUM($E$20:$E$31)))</f>
        <v>0</v>
      </c>
      <c r="AH626" s="13">
        <f>IF($AA626=10,$AG626*IF($AB626=12,IF($AG626&lt;IF($D$4="Forint",Paraméterek!$L$223,Paraméterek!$L$224),0,VLOOKUP($AA626,Paraméterek!$K$226:$M$228,IF($AG626&lt;IF($D$4="Forint",Paraméterek!$M$223,Paraméterek!$M$224),2,3))),0),0)</f>
        <v>0</v>
      </c>
      <c r="AI626" s="13">
        <f ca="1">IF(AND($AA626=$M$11+1,$AB626=$M$12+1),SUMIF($AA$20:$AA$1027,$AA626,$AG$20:$AG$1027)*IF(SUMIF($AA$20:$AA$1027,$AA626,$AG$20:$AG$1027)&lt;IF($D$4="Forint",Paraméterek!$L$223,Paraméterek!$L$224),0,VLOOKUP($AA626,Paraméterek!$K$230:$M$250,IF(SUMIF($AA$20:$AA$1027,$AA626,$AG$20:$AG$1027)&lt;IF($D$4="Forint",Paraméterek!$M$223,Paraméterek!$M$224),2,3))),0)</f>
        <v>0</v>
      </c>
      <c r="AJ626" s="13">
        <f ca="1">IF(AND($AA626&gt;=5,MOD($AA626,5)=0),IF($AB626=12,VLOOKUP($AA626,Paraméterek!$O$225:$P$240,2),0),IF(OR($AA626=3,$AA626=4),IF($AB626=12,VLOOKUP($AA626,Paraméterek!$O$225:$P$240,2,0),0),0))*$AG626</f>
        <v>0</v>
      </c>
      <c r="AK626" s="13">
        <f t="shared" ca="1" si="207"/>
        <v>0</v>
      </c>
      <c r="AL626" s="13">
        <f t="shared" ca="1" si="215"/>
        <v>0</v>
      </c>
      <c r="AM626" s="13">
        <f t="shared" ca="1" si="216"/>
        <v>0</v>
      </c>
      <c r="AO626" s="32">
        <v>607</v>
      </c>
      <c r="AP626" s="32">
        <v>51</v>
      </c>
      <c r="AQ626" s="32">
        <v>7</v>
      </c>
      <c r="AR626" s="13"/>
      <c r="AS626" s="32"/>
      <c r="AT626" s="13">
        <f t="shared" ca="1" si="217"/>
        <v>0</v>
      </c>
      <c r="AU626" s="33"/>
      <c r="AV626" s="13">
        <f t="shared" ca="1" si="208"/>
        <v>0</v>
      </c>
      <c r="AW626" s="13">
        <f ca="1">ROUNDUP(($AT626+$AV626)*VLOOKUP($AP626,Paraméterek!$P$38:$Q$38,2)/12*IF($D627="Nem",IF($M$13=0,1,$M$13),1),IF($D$4="Forint",0,2))</f>
        <v>0</v>
      </c>
      <c r="AX626" s="13"/>
      <c r="AY626" s="13"/>
      <c r="AZ626" s="13">
        <f>ROUNDUP(IF(SUM($AX626:$AY626)=0,0,IF(IF(ISBLANK($AY626),$AX626,$AY626)*Paraméterek!$J$112&lt;IF($D$4="Forint",Paraméterek!$J$113,Paraméterek!$K$113),IF($D$4="Forint",Paraméterek!$J$113,Paraméterek!$K$113),IF(IF(ISBLANK($AY626),$AX626,$AY626)*Paraméterek!$J$112&gt;IF($D$4="Forint",Paraméterek!$J$114,Paraméterek!$K$114),IF($D$4="Forint",Paraméterek!$J$114,Paraméterek!$K$114),IF(ISBLANK($AY626),$AX626,$AY626)*Paraméterek!$J$112))),IF($D$4="Forint",0,2))</f>
        <v>0</v>
      </c>
      <c r="BA626" s="13">
        <f ca="1">$AT626+$AV626-$AW626-IF(ROUNDDOWN(IF(ISBLANK($AY626),$AX626,$AY626),IF($D$4="Forint",0,2))&gt;$AT626+$AV626-$AW626-IF($D$4="Forint",Paraméterek!$J$114,Paraméterek!$K$114),0,ROUNDDOWN(IF(ISBLANK($AY626),$AX626,$AY626),IF($D$4="Forint",0,2))-$AZ626)</f>
        <v>0</v>
      </c>
      <c r="BB626" s="13">
        <f t="shared" ca="1" si="209"/>
        <v>0</v>
      </c>
      <c r="BD626" s="32">
        <v>607</v>
      </c>
      <c r="BE626" s="32">
        <v>51</v>
      </c>
      <c r="BF626" s="32">
        <v>7</v>
      </c>
      <c r="BG626" s="34">
        <f t="shared" ca="1" si="218"/>
        <v>2069</v>
      </c>
      <c r="BH626" s="32" t="str">
        <f ca="1">IF(MOD(MONTH($D$14)+$BD626-1,12)=Paraméterek!$C$288,"Igen","")</f>
        <v/>
      </c>
      <c r="BI626" s="13">
        <f ca="1">IF($BH626="Igen",MIN(ROUNDDOWN((SUMIF($BG$20:$BG$1027,$BG626-1,$K$20:$K$1027)-SUMIF($BG$20:$BG$1027,$BG626-1,$I$20:$I$1027))*Paraméterek!$C$289,IF($D$4="Forint",0,2)),IF($D$4="Forint",Paraméterek!$C$285,Paraméterek!$D$285)),0)</f>
        <v>0</v>
      </c>
      <c r="BJ626" s="13">
        <f t="shared" ca="1" si="210"/>
        <v>0</v>
      </c>
      <c r="BK626" s="13">
        <f t="shared" ca="1" si="219"/>
        <v>0</v>
      </c>
      <c r="BL626" s="33"/>
      <c r="BM626" s="13">
        <f t="shared" ca="1" si="211"/>
        <v>0</v>
      </c>
      <c r="BN626" s="13">
        <f ca="1">ROUNDUP(($BK626+$BM626)*VLOOKUP($BE626,Paraméterek!$P$38:$Q$38,2)/12*IF($D627="Nem",IF($M$13=0,1,$M$13),1),IF($D$4="Forint",0,2))</f>
        <v>0</v>
      </c>
      <c r="BO626" s="13">
        <f t="shared" ca="1" si="212"/>
        <v>0</v>
      </c>
      <c r="BP626" s="13">
        <f ca="1">IF($D627="Nem",$BO626,$BO626-ROUNDUP(SUM($BI$20:$BI626)*120%,IF($D$4="Forint",0,2)))</f>
        <v>0</v>
      </c>
    </row>
    <row r="627" spans="1:68" x14ac:dyDescent="0.2">
      <c r="A627" s="32">
        <v>608</v>
      </c>
      <c r="B627" s="32">
        <v>51</v>
      </c>
      <c r="C627" s="32">
        <v>8</v>
      </c>
      <c r="D627" s="32" t="str">
        <f t="shared" ca="1" si="198"/>
        <v>Nem</v>
      </c>
      <c r="E627" s="13">
        <f t="shared" ca="1" si="199"/>
        <v>0</v>
      </c>
      <c r="F627" s="13"/>
      <c r="G627" s="13"/>
      <c r="H627" s="13"/>
      <c r="I627" s="13">
        <f t="shared" ca="1" si="200"/>
        <v>0</v>
      </c>
      <c r="J627" s="13">
        <f t="shared" ca="1" si="201"/>
        <v>0</v>
      </c>
      <c r="K627" s="13">
        <f t="shared" ca="1" si="202"/>
        <v>0</v>
      </c>
      <c r="L627" s="13" t="e">
        <f ca="1">ROUNDUP(IF($D$2="Egyszeri",$E627,IF($D$2="Havi",SUM($E$20:$E$31),IF(MOD($C627,$M$1)-1=0,SUM($E$20:$E$31),0))/12*$M$1)*VLOOKUP($B627,Paraméterek!$I$28:$P$31,IF($D$2="Egyszeri",8,HLOOKUP(ROUNDUP($M$11+$M$13,0),Paraméterek!$J$26:$O$27,2))),IF($D$4="Forint",0,2))</f>
        <v>#N/A</v>
      </c>
      <c r="M627" s="13">
        <f t="shared" ca="1" si="203"/>
        <v>0</v>
      </c>
      <c r="N627" s="13">
        <f t="shared" ca="1" si="213"/>
        <v>0</v>
      </c>
      <c r="O627" s="13">
        <f ca="1">IF($D627="Igen",IF($W626&gt;=IF($D$4="Forint",Paraméterek!$J$121,Paraméterek!$K$121),0,IF($D$4="Forint",Paraméterek!$J$121,Paraméterek!$K$121)-$W626),0)</f>
        <v>0</v>
      </c>
      <c r="P627" s="13" t="e">
        <f ca="1">ROUNDUP($O627*VLOOKUP($M$4+$B627-1,Paraméterek!$H$58:$I$105,2,0)/Paraméterek!$I$56,IF($D$4="Forint",0,2))</f>
        <v>#N/A</v>
      </c>
      <c r="Q627" s="13">
        <f t="shared" ca="1" si="204"/>
        <v>0</v>
      </c>
      <c r="R627" s="33"/>
      <c r="S627" s="13" t="e">
        <f t="shared" ca="1" si="205"/>
        <v>#N/A</v>
      </c>
      <c r="T627" s="13" t="e">
        <f ca="1">ROUNDUP(($N627-$P627-$Q627+$S627)*VLOOKUP($B627,Paraméterek!$I$38:$K$39,IF($D$2="Egyszeri",3,2))/12*IF($D628="Nem",IF($M$13=0,1,$M$13),1),IF($D$4="Forint",0,2))</f>
        <v>#N/A</v>
      </c>
      <c r="U627" s="13"/>
      <c r="V627" s="13"/>
      <c r="W627" s="13" t="e">
        <f ca="1">$N627-$P627-$Q627+$S627-$T627-IF(ROUNDUP(IF(ISBLANK($V627),$U627*0,$V627)/IF($D$2="Egyszeri",VLOOKUP($B627+IF($C627=12,1,0),Paraméterek!$V$257:$W$262,2),IF($B627=1,1,VLOOKUP($B627+IF($C627=12,1,0),Paraméterek!$I$258:$T$278,HLOOKUP($M$11+1,Paraméterek!$J$256:$T$257,2)))),IF($D$4="Forint",0,2))&gt;$N627-$P627-$Q627+$S627-$T627-IF($D$4="Forint",Paraméterek!$C$216,Paraméterek!$D$216),0,ROUNDUP(IF(ISBLANK($V627),$U627*0,$V627)/IF($D$2="Egyszeri",VLOOKUP($B627+IF($C627=12,1,0),Paraméterek!$V$257:$W$262,2),IF($B627=1,1,VLOOKUP($B627+IF($C627=12,1,0),Paraméterek!$I$258:$T$278,HLOOKUP($M$11+1,Paraméterek!$J$256:$T$257,2)))),IF($D$4="Forint",0,2)))</f>
        <v>#N/A</v>
      </c>
      <c r="X627" s="13" t="e">
        <f ca="1">ROUNDDOWN($W627*IF($D$2="Egyszeri",VLOOKUP($B627+IF($C627=12,1,0),Paraméterek!$V$257:$W$262,2),VLOOKUP($B627+IF($C627=12,1,0),Paraméterek!$I$258:$T$278,HLOOKUP($M$11+1,Paraméterek!$I$256:$T$257,2))),IF($D$4="Forint",0,2))</f>
        <v>#N/A</v>
      </c>
      <c r="Z627" s="32">
        <v>608</v>
      </c>
      <c r="AA627" s="32">
        <v>51</v>
      </c>
      <c r="AB627" s="32">
        <v>8</v>
      </c>
      <c r="AC627" s="13">
        <f t="shared" ca="1" si="214"/>
        <v>0</v>
      </c>
      <c r="AD627" s="33"/>
      <c r="AE627" s="13">
        <f t="shared" ca="1" si="206"/>
        <v>0</v>
      </c>
      <c r="AF627" s="13">
        <f ca="1">ROUNDUP(($AC627+$AE627)*VLOOKUP($AA627,Paraméterek!$P$38:$Q$38,2)/12*IF($D628="Nem",IF($M$13=0,1,$M$13),1),IF($D$4="Forint",0,2))</f>
        <v>0</v>
      </c>
      <c r="AG627" s="13">
        <f ca="1">IF($D$2="Egyszeri",IF($D$7&gt;=IF($D$4="Forint",Paraméterek!$P$223,Paraméterek!$P$224),$D$7-IF($D$4="Forint",Paraméterek!$P$223,Paraméterek!$P$224),0),MIN(IF($AB627=12,AVERAGEIF($E$20:$E627,"&gt;0",$E$20:$E627)*12,0),SUM($E$20:$E$31)))</f>
        <v>0</v>
      </c>
      <c r="AH627" s="13">
        <f>IF($AA627=10,$AG627*IF($AB627=12,IF($AG627&lt;IF($D$4="Forint",Paraméterek!$L$223,Paraméterek!$L$224),0,VLOOKUP($AA627,Paraméterek!$K$226:$M$228,IF($AG627&lt;IF($D$4="Forint",Paraméterek!$M$223,Paraméterek!$M$224),2,3))),0),0)</f>
        <v>0</v>
      </c>
      <c r="AI627" s="13">
        <f ca="1">IF(AND($AA627=$M$11+1,$AB627=$M$12+1),SUMIF($AA$20:$AA$1027,$AA627,$AG$20:$AG$1027)*IF(SUMIF($AA$20:$AA$1027,$AA627,$AG$20:$AG$1027)&lt;IF($D$4="Forint",Paraméterek!$L$223,Paraméterek!$L$224),0,VLOOKUP($AA627,Paraméterek!$K$230:$M$250,IF(SUMIF($AA$20:$AA$1027,$AA627,$AG$20:$AG$1027)&lt;IF($D$4="Forint",Paraméterek!$M$223,Paraméterek!$M$224),2,3))),0)</f>
        <v>0</v>
      </c>
      <c r="AJ627" s="13">
        <f ca="1">IF(AND($AA627&gt;=5,MOD($AA627,5)=0),IF($AB627=12,VLOOKUP($AA627,Paraméterek!$O$225:$P$240,2),0),IF(OR($AA627=3,$AA627=4),IF($AB627=12,VLOOKUP($AA627,Paraméterek!$O$225:$P$240,2,0),0),0))*$AG627</f>
        <v>0</v>
      </c>
      <c r="AK627" s="13">
        <f t="shared" ca="1" si="207"/>
        <v>0</v>
      </c>
      <c r="AL627" s="13">
        <f t="shared" ca="1" si="215"/>
        <v>0</v>
      </c>
      <c r="AM627" s="13">
        <f t="shared" ca="1" si="216"/>
        <v>0</v>
      </c>
      <c r="AO627" s="32">
        <v>608</v>
      </c>
      <c r="AP627" s="32">
        <v>51</v>
      </c>
      <c r="AQ627" s="32">
        <v>8</v>
      </c>
      <c r="AR627" s="13"/>
      <c r="AS627" s="32"/>
      <c r="AT627" s="13">
        <f t="shared" ca="1" si="217"/>
        <v>0</v>
      </c>
      <c r="AU627" s="33"/>
      <c r="AV627" s="13">
        <f t="shared" ca="1" si="208"/>
        <v>0</v>
      </c>
      <c r="AW627" s="13">
        <f ca="1">ROUNDUP(($AT627+$AV627)*VLOOKUP($AP627,Paraméterek!$P$38:$Q$38,2)/12*IF($D628="Nem",IF($M$13=0,1,$M$13),1),IF($D$4="Forint",0,2))</f>
        <v>0</v>
      </c>
      <c r="AX627" s="13"/>
      <c r="AY627" s="13"/>
      <c r="AZ627" s="13">
        <f>ROUNDUP(IF(SUM($AX627:$AY627)=0,0,IF(IF(ISBLANK($AY627),$AX627,$AY627)*Paraméterek!$J$112&lt;IF($D$4="Forint",Paraméterek!$J$113,Paraméterek!$K$113),IF($D$4="Forint",Paraméterek!$J$113,Paraméterek!$K$113),IF(IF(ISBLANK($AY627),$AX627,$AY627)*Paraméterek!$J$112&gt;IF($D$4="Forint",Paraméterek!$J$114,Paraméterek!$K$114),IF($D$4="Forint",Paraméterek!$J$114,Paraméterek!$K$114),IF(ISBLANK($AY627),$AX627,$AY627)*Paraméterek!$J$112))),IF($D$4="Forint",0,2))</f>
        <v>0</v>
      </c>
      <c r="BA627" s="13">
        <f ca="1">$AT627+$AV627-$AW627-IF(ROUNDDOWN(IF(ISBLANK($AY627),$AX627,$AY627),IF($D$4="Forint",0,2))&gt;$AT627+$AV627-$AW627-IF($D$4="Forint",Paraméterek!$J$114,Paraméterek!$K$114),0,ROUNDDOWN(IF(ISBLANK($AY627),$AX627,$AY627),IF($D$4="Forint",0,2))-$AZ627)</f>
        <v>0</v>
      </c>
      <c r="BB627" s="13">
        <f t="shared" ca="1" si="209"/>
        <v>0</v>
      </c>
      <c r="BD627" s="32">
        <v>608</v>
      </c>
      <c r="BE627" s="32">
        <v>51</v>
      </c>
      <c r="BF627" s="32">
        <v>8</v>
      </c>
      <c r="BG627" s="34">
        <f t="shared" ca="1" si="218"/>
        <v>2070</v>
      </c>
      <c r="BH627" s="32" t="str">
        <f ca="1">IF(MOD(MONTH($D$14)+$BD627-1,12)=Paraméterek!$C$288,"Igen","")</f>
        <v/>
      </c>
      <c r="BI627" s="13">
        <f ca="1">IF($BH627="Igen",MIN(ROUNDDOWN((SUMIF($BG$20:$BG$1027,$BG627-1,$K$20:$K$1027)-SUMIF($BG$20:$BG$1027,$BG627-1,$I$20:$I$1027))*Paraméterek!$C$289,IF($D$4="Forint",0,2)),IF($D$4="Forint",Paraméterek!$C$285,Paraméterek!$D$285)),0)</f>
        <v>0</v>
      </c>
      <c r="BJ627" s="13">
        <f t="shared" ca="1" si="210"/>
        <v>0</v>
      </c>
      <c r="BK627" s="13">
        <f t="shared" ca="1" si="219"/>
        <v>0</v>
      </c>
      <c r="BL627" s="33"/>
      <c r="BM627" s="13">
        <f t="shared" ca="1" si="211"/>
        <v>0</v>
      </c>
      <c r="BN627" s="13">
        <f ca="1">ROUNDUP(($BK627+$BM627)*VLOOKUP($BE627,Paraméterek!$P$38:$Q$38,2)/12*IF($D628="Nem",IF($M$13=0,1,$M$13),1),IF($D$4="Forint",0,2))</f>
        <v>0</v>
      </c>
      <c r="BO627" s="13">
        <f t="shared" ca="1" si="212"/>
        <v>0</v>
      </c>
      <c r="BP627" s="13">
        <f ca="1">IF($D628="Nem",$BO627,$BO627-ROUNDUP(SUM($BI$20:$BI627)*120%,IF($D$4="Forint",0,2)))</f>
        <v>0</v>
      </c>
    </row>
    <row r="628" spans="1:68" x14ac:dyDescent="0.2">
      <c r="A628" s="32">
        <v>609</v>
      </c>
      <c r="B628" s="32">
        <v>51</v>
      </c>
      <c r="C628" s="32">
        <v>9</v>
      </c>
      <c r="D628" s="32" t="str">
        <f t="shared" ca="1" si="198"/>
        <v>Nem</v>
      </c>
      <c r="E628" s="13">
        <f t="shared" ca="1" si="199"/>
        <v>0</v>
      </c>
      <c r="F628" s="13"/>
      <c r="G628" s="13"/>
      <c r="H628" s="13"/>
      <c r="I628" s="13">
        <f t="shared" ca="1" si="200"/>
        <v>0</v>
      </c>
      <c r="J628" s="13">
        <f t="shared" ca="1" si="201"/>
        <v>0</v>
      </c>
      <c r="K628" s="13">
        <f t="shared" ca="1" si="202"/>
        <v>0</v>
      </c>
      <c r="L628" s="13" t="e">
        <f ca="1">ROUNDUP(IF($D$2="Egyszeri",$E628,IF($D$2="Havi",SUM($E$20:$E$31),IF(MOD($C628,$M$1)-1=0,SUM($E$20:$E$31),0))/12*$M$1)*VLOOKUP($B628,Paraméterek!$I$28:$P$31,IF($D$2="Egyszeri",8,HLOOKUP(ROUNDUP($M$11+$M$13,0),Paraméterek!$J$26:$O$27,2))),IF($D$4="Forint",0,2))</f>
        <v>#N/A</v>
      </c>
      <c r="M628" s="13">
        <f t="shared" ca="1" si="203"/>
        <v>0</v>
      </c>
      <c r="N628" s="13">
        <f t="shared" ca="1" si="213"/>
        <v>0</v>
      </c>
      <c r="O628" s="13">
        <f ca="1">IF($D628="Igen",IF($W627&gt;=IF($D$4="Forint",Paraméterek!$J$121,Paraméterek!$K$121),0,IF($D$4="Forint",Paraméterek!$J$121,Paraméterek!$K$121)-$W627),0)</f>
        <v>0</v>
      </c>
      <c r="P628" s="13" t="e">
        <f ca="1">ROUNDUP($O628*VLOOKUP($M$4+$B628-1,Paraméterek!$H$58:$I$105,2,0)/Paraméterek!$I$56,IF($D$4="Forint",0,2))</f>
        <v>#N/A</v>
      </c>
      <c r="Q628" s="13">
        <f t="shared" ca="1" si="204"/>
        <v>0</v>
      </c>
      <c r="R628" s="33"/>
      <c r="S628" s="13" t="e">
        <f t="shared" ca="1" si="205"/>
        <v>#N/A</v>
      </c>
      <c r="T628" s="13" t="e">
        <f ca="1">ROUNDUP(($N628-$P628-$Q628+$S628)*VLOOKUP($B628,Paraméterek!$I$38:$K$39,IF($D$2="Egyszeri",3,2))/12*IF($D629="Nem",IF($M$13=0,1,$M$13),1),IF($D$4="Forint",0,2))</f>
        <v>#N/A</v>
      </c>
      <c r="U628" s="13"/>
      <c r="V628" s="13"/>
      <c r="W628" s="13" t="e">
        <f ca="1">$N628-$P628-$Q628+$S628-$T628-IF(ROUNDUP(IF(ISBLANK($V628),$U628*0,$V628)/IF($D$2="Egyszeri",VLOOKUP($B628+IF($C628=12,1,0),Paraméterek!$V$257:$W$262,2),IF($B628=1,1,VLOOKUP($B628+IF($C628=12,1,0),Paraméterek!$I$258:$T$278,HLOOKUP($M$11+1,Paraméterek!$J$256:$T$257,2)))),IF($D$4="Forint",0,2))&gt;$N628-$P628-$Q628+$S628-$T628-IF($D$4="Forint",Paraméterek!$C$216,Paraméterek!$D$216),0,ROUNDUP(IF(ISBLANK($V628),$U628*0,$V628)/IF($D$2="Egyszeri",VLOOKUP($B628+IF($C628=12,1,0),Paraméterek!$V$257:$W$262,2),IF($B628=1,1,VLOOKUP($B628+IF($C628=12,1,0),Paraméterek!$I$258:$T$278,HLOOKUP($M$11+1,Paraméterek!$J$256:$T$257,2)))),IF($D$4="Forint",0,2)))</f>
        <v>#N/A</v>
      </c>
      <c r="X628" s="13" t="e">
        <f ca="1">ROUNDDOWN($W628*IF($D$2="Egyszeri",VLOOKUP($B628+IF($C628=12,1,0),Paraméterek!$V$257:$W$262,2),VLOOKUP($B628+IF($C628=12,1,0),Paraméterek!$I$258:$T$278,HLOOKUP($M$11+1,Paraméterek!$I$256:$T$257,2))),IF($D$4="Forint",0,2))</f>
        <v>#N/A</v>
      </c>
      <c r="Z628" s="32">
        <v>609</v>
      </c>
      <c r="AA628" s="32">
        <v>51</v>
      </c>
      <c r="AB628" s="32">
        <v>9</v>
      </c>
      <c r="AC628" s="13">
        <f t="shared" ca="1" si="214"/>
        <v>0</v>
      </c>
      <c r="AD628" s="33"/>
      <c r="AE628" s="13">
        <f t="shared" ca="1" si="206"/>
        <v>0</v>
      </c>
      <c r="AF628" s="13">
        <f ca="1">ROUNDUP(($AC628+$AE628)*VLOOKUP($AA628,Paraméterek!$P$38:$Q$38,2)/12*IF($D629="Nem",IF($M$13=0,1,$M$13),1),IF($D$4="Forint",0,2))</f>
        <v>0</v>
      </c>
      <c r="AG628" s="13">
        <f ca="1">IF($D$2="Egyszeri",IF($D$7&gt;=IF($D$4="Forint",Paraméterek!$P$223,Paraméterek!$P$224),$D$7-IF($D$4="Forint",Paraméterek!$P$223,Paraméterek!$P$224),0),MIN(IF($AB628=12,AVERAGEIF($E$20:$E628,"&gt;0",$E$20:$E628)*12,0),SUM($E$20:$E$31)))</f>
        <v>0</v>
      </c>
      <c r="AH628" s="13">
        <f>IF($AA628=10,$AG628*IF($AB628=12,IF($AG628&lt;IF($D$4="Forint",Paraméterek!$L$223,Paraméterek!$L$224),0,VLOOKUP($AA628,Paraméterek!$K$226:$M$228,IF($AG628&lt;IF($D$4="Forint",Paraméterek!$M$223,Paraméterek!$M$224),2,3))),0),0)</f>
        <v>0</v>
      </c>
      <c r="AI628" s="13">
        <f ca="1">IF(AND($AA628=$M$11+1,$AB628=$M$12+1),SUMIF($AA$20:$AA$1027,$AA628,$AG$20:$AG$1027)*IF(SUMIF($AA$20:$AA$1027,$AA628,$AG$20:$AG$1027)&lt;IF($D$4="Forint",Paraméterek!$L$223,Paraméterek!$L$224),0,VLOOKUP($AA628,Paraméterek!$K$230:$M$250,IF(SUMIF($AA$20:$AA$1027,$AA628,$AG$20:$AG$1027)&lt;IF($D$4="Forint",Paraméterek!$M$223,Paraméterek!$M$224),2,3))),0)</f>
        <v>0</v>
      </c>
      <c r="AJ628" s="13">
        <f ca="1">IF(AND($AA628&gt;=5,MOD($AA628,5)=0),IF($AB628=12,VLOOKUP($AA628,Paraméterek!$O$225:$P$240,2),0),IF(OR($AA628=3,$AA628=4),IF($AB628=12,VLOOKUP($AA628,Paraméterek!$O$225:$P$240,2,0),0),0))*$AG628</f>
        <v>0</v>
      </c>
      <c r="AK628" s="13">
        <f t="shared" ca="1" si="207"/>
        <v>0</v>
      </c>
      <c r="AL628" s="13">
        <f t="shared" ca="1" si="215"/>
        <v>0</v>
      </c>
      <c r="AM628" s="13">
        <f t="shared" ca="1" si="216"/>
        <v>0</v>
      </c>
      <c r="AO628" s="32">
        <v>609</v>
      </c>
      <c r="AP628" s="32">
        <v>51</v>
      </c>
      <c r="AQ628" s="32">
        <v>9</v>
      </c>
      <c r="AR628" s="13"/>
      <c r="AS628" s="32"/>
      <c r="AT628" s="13">
        <f t="shared" ca="1" si="217"/>
        <v>0</v>
      </c>
      <c r="AU628" s="33"/>
      <c r="AV628" s="13">
        <f t="shared" ca="1" si="208"/>
        <v>0</v>
      </c>
      <c r="AW628" s="13">
        <f ca="1">ROUNDUP(($AT628+$AV628)*VLOOKUP($AP628,Paraméterek!$P$38:$Q$38,2)/12*IF($D629="Nem",IF($M$13=0,1,$M$13),1),IF($D$4="Forint",0,2))</f>
        <v>0</v>
      </c>
      <c r="AX628" s="13"/>
      <c r="AY628" s="13"/>
      <c r="AZ628" s="13">
        <f>ROUNDUP(IF(SUM($AX628:$AY628)=0,0,IF(IF(ISBLANK($AY628),$AX628,$AY628)*Paraméterek!$J$112&lt;IF($D$4="Forint",Paraméterek!$J$113,Paraméterek!$K$113),IF($D$4="Forint",Paraméterek!$J$113,Paraméterek!$K$113),IF(IF(ISBLANK($AY628),$AX628,$AY628)*Paraméterek!$J$112&gt;IF($D$4="Forint",Paraméterek!$J$114,Paraméterek!$K$114),IF($D$4="Forint",Paraméterek!$J$114,Paraméterek!$K$114),IF(ISBLANK($AY628),$AX628,$AY628)*Paraméterek!$J$112))),IF($D$4="Forint",0,2))</f>
        <v>0</v>
      </c>
      <c r="BA628" s="13">
        <f ca="1">$AT628+$AV628-$AW628-IF(ROUNDDOWN(IF(ISBLANK($AY628),$AX628,$AY628),IF($D$4="Forint",0,2))&gt;$AT628+$AV628-$AW628-IF($D$4="Forint",Paraméterek!$J$114,Paraméterek!$K$114),0,ROUNDDOWN(IF(ISBLANK($AY628),$AX628,$AY628),IF($D$4="Forint",0,2))-$AZ628)</f>
        <v>0</v>
      </c>
      <c r="BB628" s="13">
        <f t="shared" ca="1" si="209"/>
        <v>0</v>
      </c>
      <c r="BD628" s="32">
        <v>609</v>
      </c>
      <c r="BE628" s="32">
        <v>51</v>
      </c>
      <c r="BF628" s="32">
        <v>9</v>
      </c>
      <c r="BG628" s="34">
        <f t="shared" ca="1" si="218"/>
        <v>2070</v>
      </c>
      <c r="BH628" s="32" t="str">
        <f ca="1">IF(MOD(MONTH($D$14)+$BD628-1,12)=Paraméterek!$C$288,"Igen","")</f>
        <v/>
      </c>
      <c r="BI628" s="13">
        <f ca="1">IF($BH628="Igen",MIN(ROUNDDOWN((SUMIF($BG$20:$BG$1027,$BG628-1,$K$20:$K$1027)-SUMIF($BG$20:$BG$1027,$BG628-1,$I$20:$I$1027))*Paraméterek!$C$289,IF($D$4="Forint",0,2)),IF($D$4="Forint",Paraméterek!$C$285,Paraméterek!$D$285)),0)</f>
        <v>0</v>
      </c>
      <c r="BJ628" s="13">
        <f t="shared" ca="1" si="210"/>
        <v>0</v>
      </c>
      <c r="BK628" s="13">
        <f t="shared" ca="1" si="219"/>
        <v>0</v>
      </c>
      <c r="BL628" s="33"/>
      <c r="BM628" s="13">
        <f t="shared" ca="1" si="211"/>
        <v>0</v>
      </c>
      <c r="BN628" s="13">
        <f ca="1">ROUNDUP(($BK628+$BM628)*VLOOKUP($BE628,Paraméterek!$P$38:$Q$38,2)/12*IF($D629="Nem",IF($M$13=0,1,$M$13),1),IF($D$4="Forint",0,2))</f>
        <v>0</v>
      </c>
      <c r="BO628" s="13">
        <f t="shared" ca="1" si="212"/>
        <v>0</v>
      </c>
      <c r="BP628" s="13">
        <f ca="1">IF($D629="Nem",$BO628,$BO628-ROUNDUP(SUM($BI$20:$BI628)*120%,IF($D$4="Forint",0,2)))</f>
        <v>0</v>
      </c>
    </row>
    <row r="629" spans="1:68" x14ac:dyDescent="0.2">
      <c r="A629" s="32">
        <v>610</v>
      </c>
      <c r="B629" s="32">
        <v>51</v>
      </c>
      <c r="C629" s="32">
        <v>10</v>
      </c>
      <c r="D629" s="32" t="str">
        <f t="shared" ca="1" si="198"/>
        <v>Nem</v>
      </c>
      <c r="E629" s="13">
        <f t="shared" ca="1" si="199"/>
        <v>0</v>
      </c>
      <c r="F629" s="13"/>
      <c r="G629" s="13"/>
      <c r="H629" s="13"/>
      <c r="I629" s="13">
        <f t="shared" ca="1" si="200"/>
        <v>0</v>
      </c>
      <c r="J629" s="13">
        <f t="shared" ca="1" si="201"/>
        <v>0</v>
      </c>
      <c r="K629" s="13">
        <f t="shared" ca="1" si="202"/>
        <v>0</v>
      </c>
      <c r="L629" s="13" t="e">
        <f ca="1">ROUNDUP(IF($D$2="Egyszeri",$E629,IF($D$2="Havi",SUM($E$20:$E$31),IF(MOD($C629,$M$1)-1=0,SUM($E$20:$E$31),0))/12*$M$1)*VLOOKUP($B629,Paraméterek!$I$28:$P$31,IF($D$2="Egyszeri",8,HLOOKUP(ROUNDUP($M$11+$M$13,0),Paraméterek!$J$26:$O$27,2))),IF($D$4="Forint",0,2))</f>
        <v>#N/A</v>
      </c>
      <c r="M629" s="13">
        <f t="shared" ca="1" si="203"/>
        <v>0</v>
      </c>
      <c r="N629" s="13">
        <f t="shared" ca="1" si="213"/>
        <v>0</v>
      </c>
      <c r="O629" s="13">
        <f ca="1">IF($D629="Igen",IF($W628&gt;=IF($D$4="Forint",Paraméterek!$J$121,Paraméterek!$K$121),0,IF($D$4="Forint",Paraméterek!$J$121,Paraméterek!$K$121)-$W628),0)</f>
        <v>0</v>
      </c>
      <c r="P629" s="13" t="e">
        <f ca="1">ROUNDUP($O629*VLOOKUP($M$4+$B629-1,Paraméterek!$H$58:$I$105,2,0)/Paraméterek!$I$56,IF($D$4="Forint",0,2))</f>
        <v>#N/A</v>
      </c>
      <c r="Q629" s="13">
        <f t="shared" ca="1" si="204"/>
        <v>0</v>
      </c>
      <c r="R629" s="33"/>
      <c r="S629" s="13" t="e">
        <f t="shared" ca="1" si="205"/>
        <v>#N/A</v>
      </c>
      <c r="T629" s="13" t="e">
        <f ca="1">ROUNDUP(($N629-$P629-$Q629+$S629)*VLOOKUP($B629,Paraméterek!$I$38:$K$39,IF($D$2="Egyszeri",3,2))/12*IF($D630="Nem",IF($M$13=0,1,$M$13),1),IF($D$4="Forint",0,2))</f>
        <v>#N/A</v>
      </c>
      <c r="U629" s="13"/>
      <c r="V629" s="13"/>
      <c r="W629" s="13" t="e">
        <f ca="1">$N629-$P629-$Q629+$S629-$T629-IF(ROUNDUP(IF(ISBLANK($V629),$U629*0,$V629)/IF($D$2="Egyszeri",VLOOKUP($B629+IF($C629=12,1,0),Paraméterek!$V$257:$W$262,2),IF($B629=1,1,VLOOKUP($B629+IF($C629=12,1,0),Paraméterek!$I$258:$T$278,HLOOKUP($M$11+1,Paraméterek!$J$256:$T$257,2)))),IF($D$4="Forint",0,2))&gt;$N629-$P629-$Q629+$S629-$T629-IF($D$4="Forint",Paraméterek!$C$216,Paraméterek!$D$216),0,ROUNDUP(IF(ISBLANK($V629),$U629*0,$V629)/IF($D$2="Egyszeri",VLOOKUP($B629+IF($C629=12,1,0),Paraméterek!$V$257:$W$262,2),IF($B629=1,1,VLOOKUP($B629+IF($C629=12,1,0),Paraméterek!$I$258:$T$278,HLOOKUP($M$11+1,Paraméterek!$J$256:$T$257,2)))),IF($D$4="Forint",0,2)))</f>
        <v>#N/A</v>
      </c>
      <c r="X629" s="13" t="e">
        <f ca="1">ROUNDDOWN($W629*IF($D$2="Egyszeri",VLOOKUP($B629+IF($C629=12,1,0),Paraméterek!$V$257:$W$262,2),VLOOKUP($B629+IF($C629=12,1,0),Paraméterek!$I$258:$T$278,HLOOKUP($M$11+1,Paraméterek!$I$256:$T$257,2))),IF($D$4="Forint",0,2))</f>
        <v>#N/A</v>
      </c>
      <c r="Z629" s="32">
        <v>610</v>
      </c>
      <c r="AA629" s="32">
        <v>51</v>
      </c>
      <c r="AB629" s="32">
        <v>10</v>
      </c>
      <c r="AC629" s="13">
        <f t="shared" ca="1" si="214"/>
        <v>0</v>
      </c>
      <c r="AD629" s="33"/>
      <c r="AE629" s="13">
        <f t="shared" ca="1" si="206"/>
        <v>0</v>
      </c>
      <c r="AF629" s="13">
        <f ca="1">ROUNDUP(($AC629+$AE629)*VLOOKUP($AA629,Paraméterek!$P$38:$Q$38,2)/12*IF($D630="Nem",IF($M$13=0,1,$M$13),1),IF($D$4="Forint",0,2))</f>
        <v>0</v>
      </c>
      <c r="AG629" s="13">
        <f ca="1">IF($D$2="Egyszeri",IF($D$7&gt;=IF($D$4="Forint",Paraméterek!$P$223,Paraméterek!$P$224),$D$7-IF($D$4="Forint",Paraméterek!$P$223,Paraméterek!$P$224),0),MIN(IF($AB629=12,AVERAGEIF($E$20:$E629,"&gt;0",$E$20:$E629)*12,0),SUM($E$20:$E$31)))</f>
        <v>0</v>
      </c>
      <c r="AH629" s="13">
        <f>IF($AA629=10,$AG629*IF($AB629=12,IF($AG629&lt;IF($D$4="Forint",Paraméterek!$L$223,Paraméterek!$L$224),0,VLOOKUP($AA629,Paraméterek!$K$226:$M$228,IF($AG629&lt;IF($D$4="Forint",Paraméterek!$M$223,Paraméterek!$M$224),2,3))),0),0)</f>
        <v>0</v>
      </c>
      <c r="AI629" s="13">
        <f ca="1">IF(AND($AA629=$M$11+1,$AB629=$M$12+1),SUMIF($AA$20:$AA$1027,$AA629,$AG$20:$AG$1027)*IF(SUMIF($AA$20:$AA$1027,$AA629,$AG$20:$AG$1027)&lt;IF($D$4="Forint",Paraméterek!$L$223,Paraméterek!$L$224),0,VLOOKUP($AA629,Paraméterek!$K$230:$M$250,IF(SUMIF($AA$20:$AA$1027,$AA629,$AG$20:$AG$1027)&lt;IF($D$4="Forint",Paraméterek!$M$223,Paraméterek!$M$224),2,3))),0)</f>
        <v>0</v>
      </c>
      <c r="AJ629" s="13">
        <f ca="1">IF(AND($AA629&gt;=5,MOD($AA629,5)=0),IF($AB629=12,VLOOKUP($AA629,Paraméterek!$O$225:$P$240,2),0),IF(OR($AA629=3,$AA629=4),IF($AB629=12,VLOOKUP($AA629,Paraméterek!$O$225:$P$240,2,0),0),0))*$AG629</f>
        <v>0</v>
      </c>
      <c r="AK629" s="13">
        <f t="shared" ca="1" si="207"/>
        <v>0</v>
      </c>
      <c r="AL629" s="13">
        <f t="shared" ca="1" si="215"/>
        <v>0</v>
      </c>
      <c r="AM629" s="13">
        <f t="shared" ca="1" si="216"/>
        <v>0</v>
      </c>
      <c r="AO629" s="32">
        <v>610</v>
      </c>
      <c r="AP629" s="32">
        <v>51</v>
      </c>
      <c r="AQ629" s="32">
        <v>10</v>
      </c>
      <c r="AR629" s="13"/>
      <c r="AS629" s="32"/>
      <c r="AT629" s="13">
        <f t="shared" ca="1" si="217"/>
        <v>0</v>
      </c>
      <c r="AU629" s="33"/>
      <c r="AV629" s="13">
        <f t="shared" ca="1" si="208"/>
        <v>0</v>
      </c>
      <c r="AW629" s="13">
        <f ca="1">ROUNDUP(($AT629+$AV629)*VLOOKUP($AP629,Paraméterek!$P$38:$Q$38,2)/12*IF($D630="Nem",IF($M$13=0,1,$M$13),1),IF($D$4="Forint",0,2))</f>
        <v>0</v>
      </c>
      <c r="AX629" s="13"/>
      <c r="AY629" s="13"/>
      <c r="AZ629" s="13">
        <f>ROUNDUP(IF(SUM($AX629:$AY629)=0,0,IF(IF(ISBLANK($AY629),$AX629,$AY629)*Paraméterek!$J$112&lt;IF($D$4="Forint",Paraméterek!$J$113,Paraméterek!$K$113),IF($D$4="Forint",Paraméterek!$J$113,Paraméterek!$K$113),IF(IF(ISBLANK($AY629),$AX629,$AY629)*Paraméterek!$J$112&gt;IF($D$4="Forint",Paraméterek!$J$114,Paraméterek!$K$114),IF($D$4="Forint",Paraméterek!$J$114,Paraméterek!$K$114),IF(ISBLANK($AY629),$AX629,$AY629)*Paraméterek!$J$112))),IF($D$4="Forint",0,2))</f>
        <v>0</v>
      </c>
      <c r="BA629" s="13">
        <f ca="1">$AT629+$AV629-$AW629-IF(ROUNDDOWN(IF(ISBLANK($AY629),$AX629,$AY629),IF($D$4="Forint",0,2))&gt;$AT629+$AV629-$AW629-IF($D$4="Forint",Paraméterek!$J$114,Paraméterek!$K$114),0,ROUNDDOWN(IF(ISBLANK($AY629),$AX629,$AY629),IF($D$4="Forint",0,2))-$AZ629)</f>
        <v>0</v>
      </c>
      <c r="BB629" s="13">
        <f t="shared" ca="1" si="209"/>
        <v>0</v>
      </c>
      <c r="BD629" s="32">
        <v>610</v>
      </c>
      <c r="BE629" s="32">
        <v>51</v>
      </c>
      <c r="BF629" s="32">
        <v>10</v>
      </c>
      <c r="BG629" s="34">
        <f t="shared" ca="1" si="218"/>
        <v>2070</v>
      </c>
      <c r="BH629" s="32" t="str">
        <f ca="1">IF(MOD(MONTH($D$14)+$BD629-1,12)=Paraméterek!$C$288,"Igen","")</f>
        <v/>
      </c>
      <c r="BI629" s="13">
        <f ca="1">IF($BH629="Igen",MIN(ROUNDDOWN((SUMIF($BG$20:$BG$1027,$BG629-1,$K$20:$K$1027)-SUMIF($BG$20:$BG$1027,$BG629-1,$I$20:$I$1027))*Paraméterek!$C$289,IF($D$4="Forint",0,2)),IF($D$4="Forint",Paraméterek!$C$285,Paraméterek!$D$285)),0)</f>
        <v>0</v>
      </c>
      <c r="BJ629" s="13">
        <f t="shared" ca="1" si="210"/>
        <v>0</v>
      </c>
      <c r="BK629" s="13">
        <f t="shared" ca="1" si="219"/>
        <v>0</v>
      </c>
      <c r="BL629" s="33"/>
      <c r="BM629" s="13">
        <f t="shared" ca="1" si="211"/>
        <v>0</v>
      </c>
      <c r="BN629" s="13">
        <f ca="1">ROUNDUP(($BK629+$BM629)*VLOOKUP($BE629,Paraméterek!$P$38:$Q$38,2)/12*IF($D630="Nem",IF($M$13=0,1,$M$13),1),IF($D$4="Forint",0,2))</f>
        <v>0</v>
      </c>
      <c r="BO629" s="13">
        <f t="shared" ca="1" si="212"/>
        <v>0</v>
      </c>
      <c r="BP629" s="13">
        <f ca="1">IF($D630="Nem",$BO629,$BO629-ROUNDUP(SUM($BI$20:$BI629)*120%,IF($D$4="Forint",0,2)))</f>
        <v>0</v>
      </c>
    </row>
    <row r="630" spans="1:68" x14ac:dyDescent="0.2">
      <c r="A630" s="32">
        <v>611</v>
      </c>
      <c r="B630" s="32">
        <v>51</v>
      </c>
      <c r="C630" s="32">
        <v>11</v>
      </c>
      <c r="D630" s="32" t="str">
        <f t="shared" ca="1" si="198"/>
        <v>Nem</v>
      </c>
      <c r="E630" s="13">
        <f t="shared" ca="1" si="199"/>
        <v>0</v>
      </c>
      <c r="F630" s="13"/>
      <c r="G630" s="13"/>
      <c r="H630" s="13"/>
      <c r="I630" s="13">
        <f t="shared" ca="1" si="200"/>
        <v>0</v>
      </c>
      <c r="J630" s="13">
        <f t="shared" ca="1" si="201"/>
        <v>0</v>
      </c>
      <c r="K630" s="13">
        <f t="shared" ca="1" si="202"/>
        <v>0</v>
      </c>
      <c r="L630" s="13" t="e">
        <f ca="1">ROUNDUP(IF($D$2="Egyszeri",$E630,IF($D$2="Havi",SUM($E$20:$E$31),IF(MOD($C630,$M$1)-1=0,SUM($E$20:$E$31),0))/12*$M$1)*VLOOKUP($B630,Paraméterek!$I$28:$P$31,IF($D$2="Egyszeri",8,HLOOKUP(ROUNDUP($M$11+$M$13,0),Paraméterek!$J$26:$O$27,2))),IF($D$4="Forint",0,2))</f>
        <v>#N/A</v>
      </c>
      <c r="M630" s="13">
        <f t="shared" ca="1" si="203"/>
        <v>0</v>
      </c>
      <c r="N630" s="13">
        <f t="shared" ca="1" si="213"/>
        <v>0</v>
      </c>
      <c r="O630" s="13">
        <f ca="1">IF($D630="Igen",IF($W629&gt;=IF($D$4="Forint",Paraméterek!$J$121,Paraméterek!$K$121),0,IF($D$4="Forint",Paraméterek!$J$121,Paraméterek!$K$121)-$W629),0)</f>
        <v>0</v>
      </c>
      <c r="P630" s="13" t="e">
        <f ca="1">ROUNDUP($O630*VLOOKUP($M$4+$B630-1,Paraméterek!$H$58:$I$105,2,0)/Paraméterek!$I$56,IF($D$4="Forint",0,2))</f>
        <v>#N/A</v>
      </c>
      <c r="Q630" s="13">
        <f t="shared" ca="1" si="204"/>
        <v>0</v>
      </c>
      <c r="R630" s="33"/>
      <c r="S630" s="13" t="e">
        <f t="shared" ca="1" si="205"/>
        <v>#N/A</v>
      </c>
      <c r="T630" s="13" t="e">
        <f ca="1">ROUNDUP(($N630-$P630-$Q630+$S630)*VLOOKUP($B630,Paraméterek!$I$38:$K$39,IF($D$2="Egyszeri",3,2))/12*IF($D631="Nem",IF($M$13=0,1,$M$13),1),IF($D$4="Forint",0,2))</f>
        <v>#N/A</v>
      </c>
      <c r="U630" s="13"/>
      <c r="V630" s="13"/>
      <c r="W630" s="13" t="e">
        <f ca="1">$N630-$P630-$Q630+$S630-$T630-IF(ROUNDUP(IF(ISBLANK($V630),$U630*0,$V630)/IF($D$2="Egyszeri",VLOOKUP($B630+IF($C630=12,1,0),Paraméterek!$V$257:$W$262,2),IF($B630=1,1,VLOOKUP($B630+IF($C630=12,1,0),Paraméterek!$I$258:$T$278,HLOOKUP($M$11+1,Paraméterek!$J$256:$T$257,2)))),IF($D$4="Forint",0,2))&gt;$N630-$P630-$Q630+$S630-$T630-IF($D$4="Forint",Paraméterek!$C$216,Paraméterek!$D$216),0,ROUNDUP(IF(ISBLANK($V630),$U630*0,$V630)/IF($D$2="Egyszeri",VLOOKUP($B630+IF($C630=12,1,0),Paraméterek!$V$257:$W$262,2),IF($B630=1,1,VLOOKUP($B630+IF($C630=12,1,0),Paraméterek!$I$258:$T$278,HLOOKUP($M$11+1,Paraméterek!$J$256:$T$257,2)))),IF($D$4="Forint",0,2)))</f>
        <v>#N/A</v>
      </c>
      <c r="X630" s="13" t="e">
        <f ca="1">ROUNDDOWN($W630*IF($D$2="Egyszeri",VLOOKUP($B630+IF($C630=12,1,0),Paraméterek!$V$257:$W$262,2),VLOOKUP($B630+IF($C630=12,1,0),Paraméterek!$I$258:$T$278,HLOOKUP($M$11+1,Paraméterek!$I$256:$T$257,2))),IF($D$4="Forint",0,2))</f>
        <v>#N/A</v>
      </c>
      <c r="Z630" s="32">
        <v>611</v>
      </c>
      <c r="AA630" s="32">
        <v>51</v>
      </c>
      <c r="AB630" s="32">
        <v>11</v>
      </c>
      <c r="AC630" s="13">
        <f t="shared" ca="1" si="214"/>
        <v>0</v>
      </c>
      <c r="AD630" s="33"/>
      <c r="AE630" s="13">
        <f t="shared" ca="1" si="206"/>
        <v>0</v>
      </c>
      <c r="AF630" s="13">
        <f ca="1">ROUNDUP(($AC630+$AE630)*VLOOKUP($AA630,Paraméterek!$P$38:$Q$38,2)/12*IF($D631="Nem",IF($M$13=0,1,$M$13),1),IF($D$4="Forint",0,2))</f>
        <v>0</v>
      </c>
      <c r="AG630" s="13">
        <f ca="1">IF($D$2="Egyszeri",IF($D$7&gt;=IF($D$4="Forint",Paraméterek!$P$223,Paraméterek!$P$224),$D$7-IF($D$4="Forint",Paraméterek!$P$223,Paraméterek!$P$224),0),MIN(IF($AB630=12,AVERAGEIF($E$20:$E630,"&gt;0",$E$20:$E630)*12,0),SUM($E$20:$E$31)))</f>
        <v>0</v>
      </c>
      <c r="AH630" s="13">
        <f>IF($AA630=10,$AG630*IF($AB630=12,IF($AG630&lt;IF($D$4="Forint",Paraméterek!$L$223,Paraméterek!$L$224),0,VLOOKUP($AA630,Paraméterek!$K$226:$M$228,IF($AG630&lt;IF($D$4="Forint",Paraméterek!$M$223,Paraméterek!$M$224),2,3))),0),0)</f>
        <v>0</v>
      </c>
      <c r="AI630" s="13">
        <f ca="1">IF(AND($AA630=$M$11+1,$AB630=$M$12+1),SUMIF($AA$20:$AA$1027,$AA630,$AG$20:$AG$1027)*IF(SUMIF($AA$20:$AA$1027,$AA630,$AG$20:$AG$1027)&lt;IF($D$4="Forint",Paraméterek!$L$223,Paraméterek!$L$224),0,VLOOKUP($AA630,Paraméterek!$K$230:$M$250,IF(SUMIF($AA$20:$AA$1027,$AA630,$AG$20:$AG$1027)&lt;IF($D$4="Forint",Paraméterek!$M$223,Paraméterek!$M$224),2,3))),0)</f>
        <v>0</v>
      </c>
      <c r="AJ630" s="13">
        <f ca="1">IF(AND($AA630&gt;=5,MOD($AA630,5)=0),IF($AB630=12,VLOOKUP($AA630,Paraméterek!$O$225:$P$240,2),0),IF(OR($AA630=3,$AA630=4),IF($AB630=12,VLOOKUP($AA630,Paraméterek!$O$225:$P$240,2,0),0),0))*$AG630</f>
        <v>0</v>
      </c>
      <c r="AK630" s="13">
        <f t="shared" ca="1" si="207"/>
        <v>0</v>
      </c>
      <c r="AL630" s="13">
        <f t="shared" ca="1" si="215"/>
        <v>0</v>
      </c>
      <c r="AM630" s="13">
        <f t="shared" ca="1" si="216"/>
        <v>0</v>
      </c>
      <c r="AO630" s="32">
        <v>611</v>
      </c>
      <c r="AP630" s="32">
        <v>51</v>
      </c>
      <c r="AQ630" s="32">
        <v>11</v>
      </c>
      <c r="AR630" s="13"/>
      <c r="AS630" s="32"/>
      <c r="AT630" s="13">
        <f t="shared" ca="1" si="217"/>
        <v>0</v>
      </c>
      <c r="AU630" s="33"/>
      <c r="AV630" s="13">
        <f t="shared" ca="1" si="208"/>
        <v>0</v>
      </c>
      <c r="AW630" s="13">
        <f ca="1">ROUNDUP(($AT630+$AV630)*VLOOKUP($AP630,Paraméterek!$P$38:$Q$38,2)/12*IF($D631="Nem",IF($M$13=0,1,$M$13),1),IF($D$4="Forint",0,2))</f>
        <v>0</v>
      </c>
      <c r="AX630" s="13"/>
      <c r="AY630" s="13"/>
      <c r="AZ630" s="13">
        <f>ROUNDUP(IF(SUM($AX630:$AY630)=0,0,IF(IF(ISBLANK($AY630),$AX630,$AY630)*Paraméterek!$J$112&lt;IF($D$4="Forint",Paraméterek!$J$113,Paraméterek!$K$113),IF($D$4="Forint",Paraméterek!$J$113,Paraméterek!$K$113),IF(IF(ISBLANK($AY630),$AX630,$AY630)*Paraméterek!$J$112&gt;IF($D$4="Forint",Paraméterek!$J$114,Paraméterek!$K$114),IF($D$4="Forint",Paraméterek!$J$114,Paraméterek!$K$114),IF(ISBLANK($AY630),$AX630,$AY630)*Paraméterek!$J$112))),IF($D$4="Forint",0,2))</f>
        <v>0</v>
      </c>
      <c r="BA630" s="13">
        <f ca="1">$AT630+$AV630-$AW630-IF(ROUNDDOWN(IF(ISBLANK($AY630),$AX630,$AY630),IF($D$4="Forint",0,2))&gt;$AT630+$AV630-$AW630-IF($D$4="Forint",Paraméterek!$J$114,Paraméterek!$K$114),0,ROUNDDOWN(IF(ISBLANK($AY630),$AX630,$AY630),IF($D$4="Forint",0,2))-$AZ630)</f>
        <v>0</v>
      </c>
      <c r="BB630" s="13">
        <f t="shared" ca="1" si="209"/>
        <v>0</v>
      </c>
      <c r="BD630" s="32">
        <v>611</v>
      </c>
      <c r="BE630" s="32">
        <v>51</v>
      </c>
      <c r="BF630" s="32">
        <v>11</v>
      </c>
      <c r="BG630" s="34">
        <f t="shared" ca="1" si="218"/>
        <v>2070</v>
      </c>
      <c r="BH630" s="32" t="str">
        <f ca="1">IF(MOD(MONTH($D$14)+$BD630-1,12)=Paraméterek!$C$288,"Igen","")</f>
        <v/>
      </c>
      <c r="BI630" s="13">
        <f ca="1">IF($BH630="Igen",MIN(ROUNDDOWN((SUMIF($BG$20:$BG$1027,$BG630-1,$K$20:$K$1027)-SUMIF($BG$20:$BG$1027,$BG630-1,$I$20:$I$1027))*Paraméterek!$C$289,IF($D$4="Forint",0,2)),IF($D$4="Forint",Paraméterek!$C$285,Paraméterek!$D$285)),0)</f>
        <v>0</v>
      </c>
      <c r="BJ630" s="13">
        <f t="shared" ca="1" si="210"/>
        <v>0</v>
      </c>
      <c r="BK630" s="13">
        <f t="shared" ca="1" si="219"/>
        <v>0</v>
      </c>
      <c r="BL630" s="33"/>
      <c r="BM630" s="13">
        <f t="shared" ca="1" si="211"/>
        <v>0</v>
      </c>
      <c r="BN630" s="13">
        <f ca="1">ROUNDUP(($BK630+$BM630)*VLOOKUP($BE630,Paraméterek!$P$38:$Q$38,2)/12*IF($D631="Nem",IF($M$13=0,1,$M$13),1),IF($D$4="Forint",0,2))</f>
        <v>0</v>
      </c>
      <c r="BO630" s="13">
        <f t="shared" ca="1" si="212"/>
        <v>0</v>
      </c>
      <c r="BP630" s="13">
        <f ca="1">IF($D631="Nem",$BO630,$BO630-ROUNDUP(SUM($BI$20:$BI630)*120%,IF($D$4="Forint",0,2)))</f>
        <v>0</v>
      </c>
    </row>
    <row r="631" spans="1:68" x14ac:dyDescent="0.2">
      <c r="A631" s="32">
        <v>612</v>
      </c>
      <c r="B631" s="32">
        <v>51</v>
      </c>
      <c r="C631" s="32">
        <v>12</v>
      </c>
      <c r="D631" s="32" t="str">
        <f t="shared" ca="1" si="198"/>
        <v>Nem</v>
      </c>
      <c r="E631" s="13">
        <f t="shared" ca="1" si="199"/>
        <v>0</v>
      </c>
      <c r="F631" s="13"/>
      <c r="G631" s="13"/>
      <c r="H631" s="13"/>
      <c r="I631" s="13">
        <f t="shared" ca="1" si="200"/>
        <v>0</v>
      </c>
      <c r="J631" s="13">
        <f t="shared" ca="1" si="201"/>
        <v>0</v>
      </c>
      <c r="K631" s="13">
        <f t="shared" ca="1" si="202"/>
        <v>0</v>
      </c>
      <c r="L631" s="13" t="e">
        <f ca="1">ROUNDUP(IF($D$2="Egyszeri",$E631,IF($D$2="Havi",SUM($E$20:$E$31),IF(MOD($C631,$M$1)-1=0,SUM($E$20:$E$31),0))/12*$M$1)*VLOOKUP($B631,Paraméterek!$I$28:$P$31,IF($D$2="Egyszeri",8,HLOOKUP(ROUNDUP($M$11+$M$13,0),Paraméterek!$J$26:$O$27,2))),IF($D$4="Forint",0,2))</f>
        <v>#N/A</v>
      </c>
      <c r="M631" s="13">
        <f t="shared" ca="1" si="203"/>
        <v>0</v>
      </c>
      <c r="N631" s="13">
        <f t="shared" ca="1" si="213"/>
        <v>0</v>
      </c>
      <c r="O631" s="13">
        <f ca="1">IF($D631="Igen",IF($W630&gt;=IF($D$4="Forint",Paraméterek!$J$121,Paraméterek!$K$121),0,IF($D$4="Forint",Paraméterek!$J$121,Paraméterek!$K$121)-$W630),0)</f>
        <v>0</v>
      </c>
      <c r="P631" s="13" t="e">
        <f ca="1">ROUNDUP($O631*VLOOKUP($M$4+$B631-1,Paraméterek!$H$58:$I$105,2,0)/Paraméterek!$I$56,IF($D$4="Forint",0,2))</f>
        <v>#N/A</v>
      </c>
      <c r="Q631" s="13">
        <f t="shared" ca="1" si="204"/>
        <v>0</v>
      </c>
      <c r="R631" s="33"/>
      <c r="S631" s="13" t="e">
        <f t="shared" ca="1" si="205"/>
        <v>#N/A</v>
      </c>
      <c r="T631" s="13" t="e">
        <f ca="1">ROUNDUP(($N631-$P631-$Q631+$S631)*VLOOKUP($B631,Paraméterek!$I$38:$K$39,IF($D$2="Egyszeri",3,2))/12*IF($D632="Nem",IF($M$13=0,1,$M$13),1),IF($D$4="Forint",0,2))</f>
        <v>#N/A</v>
      </c>
      <c r="U631" s="13">
        <f>Tranzakciók!$F$82</f>
        <v>0</v>
      </c>
      <c r="V631" s="13"/>
      <c r="W631" s="13" t="e">
        <f ca="1">$N631-$P631-$Q631+$S631-$T631-IF(ROUNDUP(IF(ISBLANK($V631),$U631*0,$V631)/IF($D$2="Egyszeri",VLOOKUP($B631+IF($C631=12,1,0),Paraméterek!$V$257:$W$262,2),IF($B631=1,1,VLOOKUP($B631+IF($C631=12,1,0),Paraméterek!$I$258:$T$278,HLOOKUP($M$11+1,Paraméterek!$J$256:$T$257,2)))),IF($D$4="Forint",0,2))&gt;$N631-$P631-$Q631+$S631-$T631-IF($D$4="Forint",Paraméterek!$C$216,Paraméterek!$D$216),0,ROUNDUP(IF(ISBLANK($V631),$U631*0,$V631)/IF($D$2="Egyszeri",VLOOKUP($B631+IF($C631=12,1,0),Paraméterek!$V$257:$W$262,2),IF($B631=1,1,VLOOKUP($B631+IF($C631=12,1,0),Paraméterek!$I$258:$T$278,HLOOKUP($M$11+1,Paraméterek!$J$256:$T$257,2)))),IF($D$4="Forint",0,2)))</f>
        <v>#N/A</v>
      </c>
      <c r="X631" s="13" t="e">
        <f ca="1">ROUNDDOWN($W631*IF($D$2="Egyszeri",VLOOKUP($B631+IF($C631=12,1,0),Paraméterek!$V$257:$W$262,2),VLOOKUP($B631+IF($C631=12,1,0),Paraméterek!$I$258:$T$278,HLOOKUP($M$11+1,Paraméterek!$I$256:$T$257,2))),IF($D$4="Forint",0,2))</f>
        <v>#N/A</v>
      </c>
      <c r="Z631" s="32">
        <v>612</v>
      </c>
      <c r="AA631" s="32">
        <v>51</v>
      </c>
      <c r="AB631" s="32">
        <v>12</v>
      </c>
      <c r="AC631" s="13">
        <f t="shared" ca="1" si="214"/>
        <v>0</v>
      </c>
      <c r="AD631" s="33"/>
      <c r="AE631" s="13">
        <f t="shared" ca="1" si="206"/>
        <v>0</v>
      </c>
      <c r="AF631" s="13">
        <f ca="1">ROUNDUP(($AC631+$AE631)*VLOOKUP($AA631,Paraméterek!$P$38:$Q$38,2)/12*IF($D632="Nem",IF($M$13=0,1,$M$13),1),IF($D$4="Forint",0,2))</f>
        <v>0</v>
      </c>
      <c r="AG631" s="13" t="e">
        <f ca="1">IF($D$2="Egyszeri",IF($D$7&gt;=IF($D$4="Forint",Paraméterek!$P$223,Paraméterek!$P$224),$D$7-IF($D$4="Forint",Paraméterek!$P$223,Paraméterek!$P$224),0),MIN(IF($AB631=12,AVERAGEIF($E$20:$E631,"&gt;0",$E$20:$E631)*12,0),SUM($E$20:$E$31)))</f>
        <v>#DIV/0!</v>
      </c>
      <c r="AH631" s="13">
        <f>IF($AA631=10,$AG631*IF($AB631=12,IF($AG631&lt;IF($D$4="Forint",Paraméterek!$L$223,Paraméterek!$L$224),0,VLOOKUP($AA631,Paraméterek!$K$226:$M$228,IF($AG631&lt;IF($D$4="Forint",Paraméterek!$M$223,Paraméterek!$M$224),2,3))),0),0)</f>
        <v>0</v>
      </c>
      <c r="AI631" s="13">
        <f ca="1">IF(AND($AA631=$M$11+1,$AB631=$M$12+1),SUMIF($AA$20:$AA$1027,$AA631,$AG$20:$AG$1027)*IF(SUMIF($AA$20:$AA$1027,$AA631,$AG$20:$AG$1027)&lt;IF($D$4="Forint",Paraméterek!$L$223,Paraméterek!$L$224),0,VLOOKUP($AA631,Paraméterek!$K$230:$M$250,IF(SUMIF($AA$20:$AA$1027,$AA631,$AG$20:$AG$1027)&lt;IF($D$4="Forint",Paraméterek!$M$223,Paraméterek!$M$224),2,3))),0)</f>
        <v>0</v>
      </c>
      <c r="AJ631" s="13" t="e">
        <f ca="1">IF(AND($AA631&gt;=5,MOD($AA631,5)=0),IF($AB631=12,VLOOKUP($AA631,Paraméterek!$O$225:$P$240,2),0),IF(OR($AA631=3,$AA631=4),IF($AB631=12,VLOOKUP($AA631,Paraméterek!$O$225:$P$240,2,0),0),0))*$AG631</f>
        <v>#DIV/0!</v>
      </c>
      <c r="AK631" s="13">
        <f t="shared" ca="1" si="207"/>
        <v>0</v>
      </c>
      <c r="AL631" s="13">
        <f t="shared" ca="1" si="215"/>
        <v>0</v>
      </c>
      <c r="AM631" s="13">
        <f t="shared" ca="1" si="216"/>
        <v>0</v>
      </c>
      <c r="AO631" s="32">
        <v>612</v>
      </c>
      <c r="AP631" s="32">
        <v>51</v>
      </c>
      <c r="AQ631" s="32">
        <v>12</v>
      </c>
      <c r="AR631" s="13"/>
      <c r="AS631" s="32"/>
      <c r="AT631" s="13">
        <f t="shared" ca="1" si="217"/>
        <v>0</v>
      </c>
      <c r="AU631" s="33"/>
      <c r="AV631" s="13">
        <f t="shared" ca="1" si="208"/>
        <v>0</v>
      </c>
      <c r="AW631" s="13">
        <f ca="1">ROUNDUP(($AT631+$AV631)*VLOOKUP($AP631,Paraméterek!$P$38:$Q$38,2)/12*IF($D632="Nem",IF($M$13=0,1,$M$13),1),IF($D$4="Forint",0,2))</f>
        <v>0</v>
      </c>
      <c r="AX631" s="13">
        <f>Tranzakciók!$M$82</f>
        <v>0</v>
      </c>
      <c r="AY631" s="13"/>
      <c r="AZ631" s="13">
        <f>ROUNDUP(IF(SUM($AX631:$AY631)=0,0,IF(IF(ISBLANK($AY631),$AX631,$AY631)*Paraméterek!$J$112&lt;IF($D$4="Forint",Paraméterek!$J$113,Paraméterek!$K$113),IF($D$4="Forint",Paraméterek!$J$113,Paraméterek!$K$113),IF(IF(ISBLANK($AY631),$AX631,$AY631)*Paraméterek!$J$112&gt;IF($D$4="Forint",Paraméterek!$J$114,Paraméterek!$K$114),IF($D$4="Forint",Paraméterek!$J$114,Paraméterek!$K$114),IF(ISBLANK($AY631),$AX631,$AY631)*Paraméterek!$J$112))),IF($D$4="Forint",0,2))</f>
        <v>0</v>
      </c>
      <c r="BA631" s="13">
        <f ca="1">$AT631+$AV631-$AW631-IF(ROUNDDOWN(IF(ISBLANK($AY631),$AX631,$AY631),IF($D$4="Forint",0,2))&gt;$AT631+$AV631-$AW631-IF($D$4="Forint",Paraméterek!$J$114,Paraméterek!$K$114),0,ROUNDDOWN(IF(ISBLANK($AY631),$AX631,$AY631),IF($D$4="Forint",0,2))-$AZ631)</f>
        <v>0</v>
      </c>
      <c r="BB631" s="13">
        <f t="shared" ca="1" si="209"/>
        <v>0</v>
      </c>
      <c r="BD631" s="32">
        <v>612</v>
      </c>
      <c r="BE631" s="32">
        <v>51</v>
      </c>
      <c r="BF631" s="32">
        <v>12</v>
      </c>
      <c r="BG631" s="34">
        <f t="shared" ca="1" si="218"/>
        <v>2070</v>
      </c>
      <c r="BH631" s="32" t="str">
        <f ca="1">IF(MOD(MONTH($D$14)+$BD631-1,12)=Paraméterek!$C$288,"Igen","")</f>
        <v/>
      </c>
      <c r="BI631" s="13">
        <f ca="1">IF($BH631="Igen",MIN(ROUNDDOWN((SUMIF($BG$20:$BG$1027,$BG631-1,$K$20:$K$1027)-SUMIF($BG$20:$BG$1027,$BG631-1,$I$20:$I$1027))*Paraméterek!$C$289,IF($D$4="Forint",0,2)),IF($D$4="Forint",Paraméterek!$C$285,Paraméterek!$D$285)),0)</f>
        <v>0</v>
      </c>
      <c r="BJ631" s="13">
        <f t="shared" ca="1" si="210"/>
        <v>0</v>
      </c>
      <c r="BK631" s="13">
        <f t="shared" ca="1" si="219"/>
        <v>0</v>
      </c>
      <c r="BL631" s="33"/>
      <c r="BM631" s="13">
        <f t="shared" ca="1" si="211"/>
        <v>0</v>
      </c>
      <c r="BN631" s="13">
        <f ca="1">ROUNDUP(($BK631+$BM631)*VLOOKUP($BE631,Paraméterek!$P$38:$Q$38,2)/12*IF($D632="Nem",IF($M$13=0,1,$M$13),1),IF($D$4="Forint",0,2))</f>
        <v>0</v>
      </c>
      <c r="BO631" s="13">
        <f t="shared" ca="1" si="212"/>
        <v>0</v>
      </c>
      <c r="BP631" s="13">
        <f ca="1">IF($D632="Nem",$BO631,$BO631-ROUNDUP(SUM($BI$20:$BI631)*120%,IF($D$4="Forint",0,2)))</f>
        <v>0</v>
      </c>
    </row>
    <row r="632" spans="1:68" x14ac:dyDescent="0.2">
      <c r="A632" s="32">
        <v>613</v>
      </c>
      <c r="B632" s="32">
        <v>52</v>
      </c>
      <c r="C632" s="32">
        <v>1</v>
      </c>
      <c r="D632" s="32" t="str">
        <f t="shared" ca="1" si="198"/>
        <v>Nem</v>
      </c>
      <c r="E632" s="13">
        <f t="shared" ca="1" si="199"/>
        <v>0</v>
      </c>
      <c r="F632" s="13"/>
      <c r="G632" s="13">
        <f>Tranzakciók!$D$83</f>
        <v>0</v>
      </c>
      <c r="H632" s="13"/>
      <c r="I632" s="13">
        <f t="shared" ca="1" si="200"/>
        <v>0</v>
      </c>
      <c r="J632" s="13">
        <f t="shared" ca="1" si="201"/>
        <v>0</v>
      </c>
      <c r="K632" s="13">
        <f t="shared" ca="1" si="202"/>
        <v>0</v>
      </c>
      <c r="L632" s="13" t="e">
        <f ca="1">ROUNDUP(IF($D$2="Egyszeri",$E632,IF($D$2="Havi",SUM($E$20:$E$31),IF(MOD($C632,$M$1)-1=0,SUM($E$20:$E$31),0))/12*$M$1)*VLOOKUP($B632,Paraméterek!$I$28:$P$31,IF($D$2="Egyszeri",8,HLOOKUP(ROUNDUP($M$11+$M$13,0),Paraméterek!$J$26:$O$27,2))),IF($D$4="Forint",0,2))</f>
        <v>#N/A</v>
      </c>
      <c r="M632" s="13">
        <f t="shared" ca="1" si="203"/>
        <v>0</v>
      </c>
      <c r="N632" s="13">
        <f t="shared" ca="1" si="213"/>
        <v>0</v>
      </c>
      <c r="O632" s="13">
        <f ca="1">IF($D632="Igen",IF($W631&gt;=IF($D$4="Forint",Paraméterek!$J$121,Paraméterek!$K$121),0,IF($D$4="Forint",Paraméterek!$J$121,Paraméterek!$K$121)-$W631),0)</f>
        <v>0</v>
      </c>
      <c r="P632" s="13" t="e">
        <f ca="1">ROUNDUP($O632*VLOOKUP($M$4+$B632-1,Paraméterek!$H$58:$I$105,2,0)/Paraméterek!$I$56,IF($D$4="Forint",0,2))</f>
        <v>#N/A</v>
      </c>
      <c r="Q632" s="13">
        <f t="shared" ca="1" si="204"/>
        <v>0</v>
      </c>
      <c r="R632" s="33"/>
      <c r="S632" s="13" t="e">
        <f t="shared" ca="1" si="205"/>
        <v>#N/A</v>
      </c>
      <c r="T632" s="13" t="e">
        <f ca="1">ROUNDUP(($N632-$P632-$Q632+$S632)*VLOOKUP($B632,Paraméterek!$I$38:$K$39,IF($D$2="Egyszeri",3,2))/12*IF($D633="Nem",IF($M$13=0,1,$M$13),1),IF($D$4="Forint",0,2))</f>
        <v>#N/A</v>
      </c>
      <c r="U632" s="13"/>
      <c r="V632" s="13"/>
      <c r="W632" s="13" t="e">
        <f ca="1">$N632-$P632-$Q632+$S632-$T632-IF(ROUNDUP(IF(ISBLANK($V632),$U632*0,$V632)/IF($D$2="Egyszeri",VLOOKUP($B632+IF($C632=12,1,0),Paraméterek!$V$257:$W$262,2),IF($B632=1,1,VLOOKUP($B632+IF($C632=12,1,0),Paraméterek!$I$258:$T$278,HLOOKUP($M$11+1,Paraméterek!$J$256:$T$257,2)))),IF($D$4="Forint",0,2))&gt;$N632-$P632-$Q632+$S632-$T632-IF($D$4="Forint",Paraméterek!$C$216,Paraméterek!$D$216),0,ROUNDUP(IF(ISBLANK($V632),$U632*0,$V632)/IF($D$2="Egyszeri",VLOOKUP($B632+IF($C632=12,1,0),Paraméterek!$V$257:$W$262,2),IF($B632=1,1,VLOOKUP($B632+IF($C632=12,1,0),Paraméterek!$I$258:$T$278,HLOOKUP($M$11+1,Paraméterek!$J$256:$T$257,2)))),IF($D$4="Forint",0,2)))</f>
        <v>#N/A</v>
      </c>
      <c r="X632" s="13" t="e">
        <f ca="1">ROUNDDOWN($W632*IF($D$2="Egyszeri",VLOOKUP($B632+IF($C632=12,1,0),Paraméterek!$V$257:$W$262,2),VLOOKUP($B632+IF($C632=12,1,0),Paraméterek!$I$258:$T$278,HLOOKUP($M$11+1,Paraméterek!$I$256:$T$257,2))),IF($D$4="Forint",0,2))</f>
        <v>#N/A</v>
      </c>
      <c r="Z632" s="32">
        <v>613</v>
      </c>
      <c r="AA632" s="32">
        <v>52</v>
      </c>
      <c r="AB632" s="32">
        <v>1</v>
      </c>
      <c r="AC632" s="13">
        <f t="shared" ca="1" si="214"/>
        <v>0</v>
      </c>
      <c r="AD632" s="33"/>
      <c r="AE632" s="13">
        <f t="shared" ca="1" si="206"/>
        <v>0</v>
      </c>
      <c r="AF632" s="13">
        <f ca="1">ROUNDUP(($AC632+$AE632)*VLOOKUP($AA632,Paraméterek!$P$38:$Q$38,2)/12*IF($D633="Nem",IF($M$13=0,1,$M$13),1),IF($D$4="Forint",0,2))</f>
        <v>0</v>
      </c>
      <c r="AG632" s="13">
        <f ca="1">IF($D$2="Egyszeri",IF($D$7&gt;=IF($D$4="Forint",Paraméterek!$P$223,Paraméterek!$P$224),$D$7-IF($D$4="Forint",Paraméterek!$P$223,Paraméterek!$P$224),0),MIN(IF($AB632=12,AVERAGEIF($E$20:$E632,"&gt;0",$E$20:$E632)*12,0),SUM($E$20:$E$31)))</f>
        <v>0</v>
      </c>
      <c r="AH632" s="13">
        <f>IF($AA632=10,$AG632*IF($AB632=12,IF($AG632&lt;IF($D$4="Forint",Paraméterek!$L$223,Paraméterek!$L$224),0,VLOOKUP($AA632,Paraméterek!$K$226:$M$228,IF($AG632&lt;IF($D$4="Forint",Paraméterek!$M$223,Paraméterek!$M$224),2,3))),0),0)</f>
        <v>0</v>
      </c>
      <c r="AI632" s="13">
        <f ca="1">IF(AND($AA632=$M$11+1,$AB632=$M$12+1),SUMIF($AA$20:$AA$1027,$AA632,$AG$20:$AG$1027)*IF(SUMIF($AA$20:$AA$1027,$AA632,$AG$20:$AG$1027)&lt;IF($D$4="Forint",Paraméterek!$L$223,Paraméterek!$L$224),0,VLOOKUP($AA632,Paraméterek!$K$230:$M$250,IF(SUMIF($AA$20:$AA$1027,$AA632,$AG$20:$AG$1027)&lt;IF($D$4="Forint",Paraméterek!$M$223,Paraméterek!$M$224),2,3))),0)</f>
        <v>0</v>
      </c>
      <c r="AJ632" s="13">
        <f ca="1">IF(AND($AA632&gt;=5,MOD($AA632,5)=0),IF($AB632=12,VLOOKUP($AA632,Paraméterek!$O$225:$P$240,2),0),IF(OR($AA632=3,$AA632=4),IF($AB632=12,VLOOKUP($AA632,Paraméterek!$O$225:$P$240,2,0),0),0))*$AG632</f>
        <v>0</v>
      </c>
      <c r="AK632" s="13">
        <f t="shared" ca="1" si="207"/>
        <v>0</v>
      </c>
      <c r="AL632" s="13">
        <f t="shared" ca="1" si="215"/>
        <v>0</v>
      </c>
      <c r="AM632" s="13">
        <f t="shared" ca="1" si="216"/>
        <v>0</v>
      </c>
      <c r="AO632" s="32">
        <v>613</v>
      </c>
      <c r="AP632" s="32">
        <v>52</v>
      </c>
      <c r="AQ632" s="32">
        <v>1</v>
      </c>
      <c r="AR632" s="13">
        <f>Tranzakciók!$K$83</f>
        <v>0</v>
      </c>
      <c r="AS632" s="32"/>
      <c r="AT632" s="13">
        <f t="shared" ca="1" si="217"/>
        <v>0</v>
      </c>
      <c r="AU632" s="33"/>
      <c r="AV632" s="13">
        <f t="shared" ca="1" si="208"/>
        <v>0</v>
      </c>
      <c r="AW632" s="13">
        <f ca="1">ROUNDUP(($AT632+$AV632)*VLOOKUP($AP632,Paraméterek!$P$38:$Q$38,2)/12*IF($D633="Nem",IF($M$13=0,1,$M$13),1),IF($D$4="Forint",0,2))</f>
        <v>0</v>
      </c>
      <c r="AX632" s="13"/>
      <c r="AY632" s="13"/>
      <c r="AZ632" s="13">
        <f>ROUNDUP(IF(SUM($AX632:$AY632)=0,0,IF(IF(ISBLANK($AY632),$AX632,$AY632)*Paraméterek!$J$112&lt;IF($D$4="Forint",Paraméterek!$J$113,Paraméterek!$K$113),IF($D$4="Forint",Paraméterek!$J$113,Paraméterek!$K$113),IF(IF(ISBLANK($AY632),$AX632,$AY632)*Paraméterek!$J$112&gt;IF($D$4="Forint",Paraméterek!$J$114,Paraméterek!$K$114),IF($D$4="Forint",Paraméterek!$J$114,Paraméterek!$K$114),IF(ISBLANK($AY632),$AX632,$AY632)*Paraméterek!$J$112))),IF($D$4="Forint",0,2))</f>
        <v>0</v>
      </c>
      <c r="BA632" s="13">
        <f ca="1">$AT632+$AV632-$AW632-IF(ROUNDDOWN(IF(ISBLANK($AY632),$AX632,$AY632),IF($D$4="Forint",0,2))&gt;$AT632+$AV632-$AW632-IF($D$4="Forint",Paraméterek!$J$114,Paraméterek!$K$114),0,ROUNDDOWN(IF(ISBLANK($AY632),$AX632,$AY632),IF($D$4="Forint",0,2))-$AZ632)</f>
        <v>0</v>
      </c>
      <c r="BB632" s="13">
        <f t="shared" ca="1" si="209"/>
        <v>0</v>
      </c>
      <c r="BD632" s="32">
        <v>613</v>
      </c>
      <c r="BE632" s="32">
        <v>52</v>
      </c>
      <c r="BF632" s="32">
        <v>1</v>
      </c>
      <c r="BG632" s="34">
        <f t="shared" ca="1" si="218"/>
        <v>2070</v>
      </c>
      <c r="BH632" s="32" t="str">
        <f ca="1">IF(MOD(MONTH($D$14)+$BD632-1,12)=Paraméterek!$C$288,"Igen","")</f>
        <v/>
      </c>
      <c r="BI632" s="13">
        <f ca="1">IF($BH632="Igen",MIN(ROUNDDOWN((SUMIF($BG$20:$BG$1027,$BG632-1,$K$20:$K$1027)-SUMIF($BG$20:$BG$1027,$BG632-1,$I$20:$I$1027))*Paraméterek!$C$289,IF($D$4="Forint",0,2)),IF($D$4="Forint",Paraméterek!$C$285,Paraméterek!$D$285)),0)</f>
        <v>0</v>
      </c>
      <c r="BJ632" s="13">
        <f t="shared" ca="1" si="210"/>
        <v>0</v>
      </c>
      <c r="BK632" s="13">
        <f t="shared" ca="1" si="219"/>
        <v>0</v>
      </c>
      <c r="BL632" s="33"/>
      <c r="BM632" s="13">
        <f t="shared" ca="1" si="211"/>
        <v>0</v>
      </c>
      <c r="BN632" s="13">
        <f ca="1">ROUNDUP(($BK632+$BM632)*VLOOKUP($BE632,Paraméterek!$P$38:$Q$38,2)/12*IF($D633="Nem",IF($M$13=0,1,$M$13),1),IF($D$4="Forint",0,2))</f>
        <v>0</v>
      </c>
      <c r="BO632" s="13">
        <f t="shared" ca="1" si="212"/>
        <v>0</v>
      </c>
      <c r="BP632" s="13">
        <f ca="1">IF($D633="Nem",$BO632,$BO632-ROUNDUP(SUM($BI$20:$BI632)*120%,IF($D$4="Forint",0,2)))</f>
        <v>0</v>
      </c>
    </row>
    <row r="633" spans="1:68" x14ac:dyDescent="0.2">
      <c r="A633" s="32">
        <v>614</v>
      </c>
      <c r="B633" s="32">
        <v>52</v>
      </c>
      <c r="C633" s="32">
        <v>2</v>
      </c>
      <c r="D633" s="32" t="str">
        <f t="shared" ca="1" si="198"/>
        <v>Nem</v>
      </c>
      <c r="E633" s="13">
        <f t="shared" ca="1" si="199"/>
        <v>0</v>
      </c>
      <c r="F633" s="13"/>
      <c r="G633" s="13"/>
      <c r="H633" s="13"/>
      <c r="I633" s="13">
        <f t="shared" ca="1" si="200"/>
        <v>0</v>
      </c>
      <c r="J633" s="13">
        <f t="shared" ca="1" si="201"/>
        <v>0</v>
      </c>
      <c r="K633" s="13">
        <f t="shared" ca="1" si="202"/>
        <v>0</v>
      </c>
      <c r="L633" s="13" t="e">
        <f ca="1">ROUNDUP(IF($D$2="Egyszeri",$E633,IF($D$2="Havi",SUM($E$20:$E$31),IF(MOD($C633,$M$1)-1=0,SUM($E$20:$E$31),0))/12*$M$1)*VLOOKUP($B633,Paraméterek!$I$28:$P$31,IF($D$2="Egyszeri",8,HLOOKUP(ROUNDUP($M$11+$M$13,0),Paraméterek!$J$26:$O$27,2))),IF($D$4="Forint",0,2))</f>
        <v>#N/A</v>
      </c>
      <c r="M633" s="13">
        <f t="shared" ca="1" si="203"/>
        <v>0</v>
      </c>
      <c r="N633" s="13">
        <f t="shared" ca="1" si="213"/>
        <v>0</v>
      </c>
      <c r="O633" s="13">
        <f ca="1">IF($D633="Igen",IF($W632&gt;=IF($D$4="Forint",Paraméterek!$J$121,Paraméterek!$K$121),0,IF($D$4="Forint",Paraméterek!$J$121,Paraméterek!$K$121)-$W632),0)</f>
        <v>0</v>
      </c>
      <c r="P633" s="13" t="e">
        <f ca="1">ROUNDUP($O633*VLOOKUP($M$4+$B633-1,Paraméterek!$H$58:$I$105,2,0)/Paraméterek!$I$56,IF($D$4="Forint",0,2))</f>
        <v>#N/A</v>
      </c>
      <c r="Q633" s="13">
        <f t="shared" ca="1" si="204"/>
        <v>0</v>
      </c>
      <c r="R633" s="33"/>
      <c r="S633" s="13" t="e">
        <f t="shared" ca="1" si="205"/>
        <v>#N/A</v>
      </c>
      <c r="T633" s="13" t="e">
        <f ca="1">ROUNDUP(($N633-$P633-$Q633+$S633)*VLOOKUP($B633,Paraméterek!$I$38:$K$39,IF($D$2="Egyszeri",3,2))/12*IF($D634="Nem",IF($M$13=0,1,$M$13),1),IF($D$4="Forint",0,2))</f>
        <v>#N/A</v>
      </c>
      <c r="U633" s="13"/>
      <c r="V633" s="13"/>
      <c r="W633" s="13" t="e">
        <f ca="1">$N633-$P633-$Q633+$S633-$T633-IF(ROUNDUP(IF(ISBLANK($V633),$U633*0,$V633)/IF($D$2="Egyszeri",VLOOKUP($B633+IF($C633=12,1,0),Paraméterek!$V$257:$W$262,2),IF($B633=1,1,VLOOKUP($B633+IF($C633=12,1,0),Paraméterek!$I$258:$T$278,HLOOKUP($M$11+1,Paraméterek!$J$256:$T$257,2)))),IF($D$4="Forint",0,2))&gt;$N633-$P633-$Q633+$S633-$T633-IF($D$4="Forint",Paraméterek!$C$216,Paraméterek!$D$216),0,ROUNDUP(IF(ISBLANK($V633),$U633*0,$V633)/IF($D$2="Egyszeri",VLOOKUP($B633+IF($C633=12,1,0),Paraméterek!$V$257:$W$262,2),IF($B633=1,1,VLOOKUP($B633+IF($C633=12,1,0),Paraméterek!$I$258:$T$278,HLOOKUP($M$11+1,Paraméterek!$J$256:$T$257,2)))),IF($D$4="Forint",0,2)))</f>
        <v>#N/A</v>
      </c>
      <c r="X633" s="13" t="e">
        <f ca="1">ROUNDDOWN($W633*IF($D$2="Egyszeri",VLOOKUP($B633+IF($C633=12,1,0),Paraméterek!$V$257:$W$262,2),VLOOKUP($B633+IF($C633=12,1,0),Paraméterek!$I$258:$T$278,HLOOKUP($M$11+1,Paraméterek!$I$256:$T$257,2))),IF($D$4="Forint",0,2))</f>
        <v>#N/A</v>
      </c>
      <c r="Z633" s="32">
        <v>614</v>
      </c>
      <c r="AA633" s="32">
        <v>52</v>
      </c>
      <c r="AB633" s="32">
        <v>2</v>
      </c>
      <c r="AC633" s="13">
        <f t="shared" ca="1" si="214"/>
        <v>0</v>
      </c>
      <c r="AD633" s="33"/>
      <c r="AE633" s="13">
        <f t="shared" ca="1" si="206"/>
        <v>0</v>
      </c>
      <c r="AF633" s="13">
        <f ca="1">ROUNDUP(($AC633+$AE633)*VLOOKUP($AA633,Paraméterek!$P$38:$Q$38,2)/12*IF($D634="Nem",IF($M$13=0,1,$M$13),1),IF($D$4="Forint",0,2))</f>
        <v>0</v>
      </c>
      <c r="AG633" s="13">
        <f ca="1">IF($D$2="Egyszeri",IF($D$7&gt;=IF($D$4="Forint",Paraméterek!$P$223,Paraméterek!$P$224),$D$7-IF($D$4="Forint",Paraméterek!$P$223,Paraméterek!$P$224),0),MIN(IF($AB633=12,AVERAGEIF($E$20:$E633,"&gt;0",$E$20:$E633)*12,0),SUM($E$20:$E$31)))</f>
        <v>0</v>
      </c>
      <c r="AH633" s="13">
        <f>IF($AA633=10,$AG633*IF($AB633=12,IF($AG633&lt;IF($D$4="Forint",Paraméterek!$L$223,Paraméterek!$L$224),0,VLOOKUP($AA633,Paraméterek!$K$226:$M$228,IF($AG633&lt;IF($D$4="Forint",Paraméterek!$M$223,Paraméterek!$M$224),2,3))),0),0)</f>
        <v>0</v>
      </c>
      <c r="AI633" s="13">
        <f ca="1">IF(AND($AA633=$M$11+1,$AB633=$M$12+1),SUMIF($AA$20:$AA$1027,$AA633,$AG$20:$AG$1027)*IF(SUMIF($AA$20:$AA$1027,$AA633,$AG$20:$AG$1027)&lt;IF($D$4="Forint",Paraméterek!$L$223,Paraméterek!$L$224),0,VLOOKUP($AA633,Paraméterek!$K$230:$M$250,IF(SUMIF($AA$20:$AA$1027,$AA633,$AG$20:$AG$1027)&lt;IF($D$4="Forint",Paraméterek!$M$223,Paraméterek!$M$224),2,3))),0)</f>
        <v>0</v>
      </c>
      <c r="AJ633" s="13">
        <f ca="1">IF(AND($AA633&gt;=5,MOD($AA633,5)=0),IF($AB633=12,VLOOKUP($AA633,Paraméterek!$O$225:$P$240,2),0),IF(OR($AA633=3,$AA633=4),IF($AB633=12,VLOOKUP($AA633,Paraméterek!$O$225:$P$240,2,0),0),0))*$AG633</f>
        <v>0</v>
      </c>
      <c r="AK633" s="13">
        <f t="shared" ca="1" si="207"/>
        <v>0</v>
      </c>
      <c r="AL633" s="13">
        <f t="shared" ca="1" si="215"/>
        <v>0</v>
      </c>
      <c r="AM633" s="13">
        <f t="shared" ca="1" si="216"/>
        <v>0</v>
      </c>
      <c r="AO633" s="32">
        <v>614</v>
      </c>
      <c r="AP633" s="32">
        <v>52</v>
      </c>
      <c r="AQ633" s="32">
        <v>2</v>
      </c>
      <c r="AR633" s="13"/>
      <c r="AS633" s="32"/>
      <c r="AT633" s="13">
        <f t="shared" ca="1" si="217"/>
        <v>0</v>
      </c>
      <c r="AU633" s="33"/>
      <c r="AV633" s="13">
        <f t="shared" ca="1" si="208"/>
        <v>0</v>
      </c>
      <c r="AW633" s="13">
        <f ca="1">ROUNDUP(($AT633+$AV633)*VLOOKUP($AP633,Paraméterek!$P$38:$Q$38,2)/12*IF($D634="Nem",IF($M$13=0,1,$M$13),1),IF($D$4="Forint",0,2))</f>
        <v>0</v>
      </c>
      <c r="AX633" s="13"/>
      <c r="AY633" s="13"/>
      <c r="AZ633" s="13">
        <f>ROUNDUP(IF(SUM($AX633:$AY633)=0,0,IF(IF(ISBLANK($AY633),$AX633,$AY633)*Paraméterek!$J$112&lt;IF($D$4="Forint",Paraméterek!$J$113,Paraméterek!$K$113),IF($D$4="Forint",Paraméterek!$J$113,Paraméterek!$K$113),IF(IF(ISBLANK($AY633),$AX633,$AY633)*Paraméterek!$J$112&gt;IF($D$4="Forint",Paraméterek!$J$114,Paraméterek!$K$114),IF($D$4="Forint",Paraméterek!$J$114,Paraméterek!$K$114),IF(ISBLANK($AY633),$AX633,$AY633)*Paraméterek!$J$112))),IF($D$4="Forint",0,2))</f>
        <v>0</v>
      </c>
      <c r="BA633" s="13">
        <f ca="1">$AT633+$AV633-$AW633-IF(ROUNDDOWN(IF(ISBLANK($AY633),$AX633,$AY633),IF($D$4="Forint",0,2))&gt;$AT633+$AV633-$AW633-IF($D$4="Forint",Paraméterek!$J$114,Paraméterek!$K$114),0,ROUNDDOWN(IF(ISBLANK($AY633),$AX633,$AY633),IF($D$4="Forint",0,2))-$AZ633)</f>
        <v>0</v>
      </c>
      <c r="BB633" s="13">
        <f t="shared" ca="1" si="209"/>
        <v>0</v>
      </c>
      <c r="BD633" s="32">
        <v>614</v>
      </c>
      <c r="BE633" s="32">
        <v>52</v>
      </c>
      <c r="BF633" s="32">
        <v>2</v>
      </c>
      <c r="BG633" s="34">
        <f t="shared" ca="1" si="218"/>
        <v>2070</v>
      </c>
      <c r="BH633" s="32" t="str">
        <f ca="1">IF(MOD(MONTH($D$14)+$BD633-1,12)=Paraméterek!$C$288,"Igen","")</f>
        <v>Igen</v>
      </c>
      <c r="BI633" s="13">
        <f ca="1">IF($BH633="Igen",MIN(ROUNDDOWN((SUMIF($BG$20:$BG$1027,$BG633-1,$K$20:$K$1027)-SUMIF($BG$20:$BG$1027,$BG633-1,$I$20:$I$1027))*Paraméterek!$C$289,IF($D$4="Forint",0,2)),IF($D$4="Forint",Paraméterek!$C$285,Paraméterek!$D$285)),0)</f>
        <v>0</v>
      </c>
      <c r="BJ633" s="13">
        <f t="shared" ca="1" si="210"/>
        <v>0</v>
      </c>
      <c r="BK633" s="13">
        <f t="shared" ca="1" si="219"/>
        <v>0</v>
      </c>
      <c r="BL633" s="33"/>
      <c r="BM633" s="13">
        <f t="shared" ca="1" si="211"/>
        <v>0</v>
      </c>
      <c r="BN633" s="13">
        <f ca="1">ROUNDUP(($BK633+$BM633)*VLOOKUP($BE633,Paraméterek!$P$38:$Q$38,2)/12*IF($D634="Nem",IF($M$13=0,1,$M$13),1),IF($D$4="Forint",0,2))</f>
        <v>0</v>
      </c>
      <c r="BO633" s="13">
        <f t="shared" ca="1" si="212"/>
        <v>0</v>
      </c>
      <c r="BP633" s="13">
        <f ca="1">IF($D634="Nem",$BO633,$BO633-ROUNDUP(SUM($BI$20:$BI633)*120%,IF($D$4="Forint",0,2)))</f>
        <v>0</v>
      </c>
    </row>
    <row r="634" spans="1:68" x14ac:dyDescent="0.2">
      <c r="A634" s="32">
        <v>615</v>
      </c>
      <c r="B634" s="32">
        <v>52</v>
      </c>
      <c r="C634" s="32">
        <v>3</v>
      </c>
      <c r="D634" s="32" t="str">
        <f t="shared" ca="1" si="198"/>
        <v>Nem</v>
      </c>
      <c r="E634" s="13">
        <f t="shared" ca="1" si="199"/>
        <v>0</v>
      </c>
      <c r="F634" s="13"/>
      <c r="G634" s="13"/>
      <c r="H634" s="13"/>
      <c r="I634" s="13">
        <f t="shared" ca="1" si="200"/>
        <v>0</v>
      </c>
      <c r="J634" s="13">
        <f t="shared" ca="1" si="201"/>
        <v>0</v>
      </c>
      <c r="K634" s="13">
        <f t="shared" ca="1" si="202"/>
        <v>0</v>
      </c>
      <c r="L634" s="13" t="e">
        <f ca="1">ROUNDUP(IF($D$2="Egyszeri",$E634,IF($D$2="Havi",SUM($E$20:$E$31),IF(MOD($C634,$M$1)-1=0,SUM($E$20:$E$31),0))/12*$M$1)*VLOOKUP($B634,Paraméterek!$I$28:$P$31,IF($D$2="Egyszeri",8,HLOOKUP(ROUNDUP($M$11+$M$13,0),Paraméterek!$J$26:$O$27,2))),IF($D$4="Forint",0,2))</f>
        <v>#N/A</v>
      </c>
      <c r="M634" s="13">
        <f t="shared" ca="1" si="203"/>
        <v>0</v>
      </c>
      <c r="N634" s="13">
        <f t="shared" ca="1" si="213"/>
        <v>0</v>
      </c>
      <c r="O634" s="13">
        <f ca="1">IF($D634="Igen",IF($W633&gt;=IF($D$4="Forint",Paraméterek!$J$121,Paraméterek!$K$121),0,IF($D$4="Forint",Paraméterek!$J$121,Paraméterek!$K$121)-$W633),0)</f>
        <v>0</v>
      </c>
      <c r="P634" s="13" t="e">
        <f ca="1">ROUNDUP($O634*VLOOKUP($M$4+$B634-1,Paraméterek!$H$58:$I$105,2,0)/Paraméterek!$I$56,IF($D$4="Forint",0,2))</f>
        <v>#N/A</v>
      </c>
      <c r="Q634" s="13">
        <f t="shared" ca="1" si="204"/>
        <v>0</v>
      </c>
      <c r="R634" s="33"/>
      <c r="S634" s="13" t="e">
        <f t="shared" ca="1" si="205"/>
        <v>#N/A</v>
      </c>
      <c r="T634" s="13" t="e">
        <f ca="1">ROUNDUP(($N634-$P634-$Q634+$S634)*VLOOKUP($B634,Paraméterek!$I$38:$K$39,IF($D$2="Egyszeri",3,2))/12*IF($D635="Nem",IF($M$13=0,1,$M$13),1),IF($D$4="Forint",0,2))</f>
        <v>#N/A</v>
      </c>
      <c r="U634" s="13"/>
      <c r="V634" s="13"/>
      <c r="W634" s="13" t="e">
        <f ca="1">$N634-$P634-$Q634+$S634-$T634-IF(ROUNDUP(IF(ISBLANK($V634),$U634*0,$V634)/IF($D$2="Egyszeri",VLOOKUP($B634+IF($C634=12,1,0),Paraméterek!$V$257:$W$262,2),IF($B634=1,1,VLOOKUP($B634+IF($C634=12,1,0),Paraméterek!$I$258:$T$278,HLOOKUP($M$11+1,Paraméterek!$J$256:$T$257,2)))),IF($D$4="Forint",0,2))&gt;$N634-$P634-$Q634+$S634-$T634-IF($D$4="Forint",Paraméterek!$C$216,Paraméterek!$D$216),0,ROUNDUP(IF(ISBLANK($V634),$U634*0,$V634)/IF($D$2="Egyszeri",VLOOKUP($B634+IF($C634=12,1,0),Paraméterek!$V$257:$W$262,2),IF($B634=1,1,VLOOKUP($B634+IF($C634=12,1,0),Paraméterek!$I$258:$T$278,HLOOKUP($M$11+1,Paraméterek!$J$256:$T$257,2)))),IF($D$4="Forint",0,2)))</f>
        <v>#N/A</v>
      </c>
      <c r="X634" s="13" t="e">
        <f ca="1">ROUNDDOWN($W634*IF($D$2="Egyszeri",VLOOKUP($B634+IF($C634=12,1,0),Paraméterek!$V$257:$W$262,2),VLOOKUP($B634+IF($C634=12,1,0),Paraméterek!$I$258:$T$278,HLOOKUP($M$11+1,Paraméterek!$I$256:$T$257,2))),IF($D$4="Forint",0,2))</f>
        <v>#N/A</v>
      </c>
      <c r="Z634" s="32">
        <v>615</v>
      </c>
      <c r="AA634" s="32">
        <v>52</v>
      </c>
      <c r="AB634" s="32">
        <v>3</v>
      </c>
      <c r="AC634" s="13">
        <f t="shared" ca="1" si="214"/>
        <v>0</v>
      </c>
      <c r="AD634" s="33"/>
      <c r="AE634" s="13">
        <f t="shared" ca="1" si="206"/>
        <v>0</v>
      </c>
      <c r="AF634" s="13">
        <f ca="1">ROUNDUP(($AC634+$AE634)*VLOOKUP($AA634,Paraméterek!$P$38:$Q$38,2)/12*IF($D635="Nem",IF($M$13=0,1,$M$13),1),IF($D$4="Forint",0,2))</f>
        <v>0</v>
      </c>
      <c r="AG634" s="13">
        <f ca="1">IF($D$2="Egyszeri",IF($D$7&gt;=IF($D$4="Forint",Paraméterek!$P$223,Paraméterek!$P$224),$D$7-IF($D$4="Forint",Paraméterek!$P$223,Paraméterek!$P$224),0),MIN(IF($AB634=12,AVERAGEIF($E$20:$E634,"&gt;0",$E$20:$E634)*12,0),SUM($E$20:$E$31)))</f>
        <v>0</v>
      </c>
      <c r="AH634" s="13">
        <f>IF($AA634=10,$AG634*IF($AB634=12,IF($AG634&lt;IF($D$4="Forint",Paraméterek!$L$223,Paraméterek!$L$224),0,VLOOKUP($AA634,Paraméterek!$K$226:$M$228,IF($AG634&lt;IF($D$4="Forint",Paraméterek!$M$223,Paraméterek!$M$224),2,3))),0),0)</f>
        <v>0</v>
      </c>
      <c r="AI634" s="13">
        <f ca="1">IF(AND($AA634=$M$11+1,$AB634=$M$12+1),SUMIF($AA$20:$AA$1027,$AA634,$AG$20:$AG$1027)*IF(SUMIF($AA$20:$AA$1027,$AA634,$AG$20:$AG$1027)&lt;IF($D$4="Forint",Paraméterek!$L$223,Paraméterek!$L$224),0,VLOOKUP($AA634,Paraméterek!$K$230:$M$250,IF(SUMIF($AA$20:$AA$1027,$AA634,$AG$20:$AG$1027)&lt;IF($D$4="Forint",Paraméterek!$M$223,Paraméterek!$M$224),2,3))),0)</f>
        <v>0</v>
      </c>
      <c r="AJ634" s="13">
        <f ca="1">IF(AND($AA634&gt;=5,MOD($AA634,5)=0),IF($AB634=12,VLOOKUP($AA634,Paraméterek!$O$225:$P$240,2),0),IF(OR($AA634=3,$AA634=4),IF($AB634=12,VLOOKUP($AA634,Paraméterek!$O$225:$P$240,2,0),0),0))*$AG634</f>
        <v>0</v>
      </c>
      <c r="AK634" s="13">
        <f t="shared" ca="1" si="207"/>
        <v>0</v>
      </c>
      <c r="AL634" s="13">
        <f t="shared" ca="1" si="215"/>
        <v>0</v>
      </c>
      <c r="AM634" s="13">
        <f t="shared" ca="1" si="216"/>
        <v>0</v>
      </c>
      <c r="AO634" s="32">
        <v>615</v>
      </c>
      <c r="AP634" s="32">
        <v>52</v>
      </c>
      <c r="AQ634" s="32">
        <v>3</v>
      </c>
      <c r="AR634" s="13"/>
      <c r="AS634" s="32"/>
      <c r="AT634" s="13">
        <f t="shared" ca="1" si="217"/>
        <v>0</v>
      </c>
      <c r="AU634" s="33"/>
      <c r="AV634" s="13">
        <f t="shared" ca="1" si="208"/>
        <v>0</v>
      </c>
      <c r="AW634" s="13">
        <f ca="1">ROUNDUP(($AT634+$AV634)*VLOOKUP($AP634,Paraméterek!$P$38:$Q$38,2)/12*IF($D635="Nem",IF($M$13=0,1,$M$13),1),IF($D$4="Forint",0,2))</f>
        <v>0</v>
      </c>
      <c r="AX634" s="13"/>
      <c r="AY634" s="13"/>
      <c r="AZ634" s="13">
        <f>ROUNDUP(IF(SUM($AX634:$AY634)=0,0,IF(IF(ISBLANK($AY634),$AX634,$AY634)*Paraméterek!$J$112&lt;IF($D$4="Forint",Paraméterek!$J$113,Paraméterek!$K$113),IF($D$4="Forint",Paraméterek!$J$113,Paraméterek!$K$113),IF(IF(ISBLANK($AY634),$AX634,$AY634)*Paraméterek!$J$112&gt;IF($D$4="Forint",Paraméterek!$J$114,Paraméterek!$K$114),IF($D$4="Forint",Paraméterek!$J$114,Paraméterek!$K$114),IF(ISBLANK($AY634),$AX634,$AY634)*Paraméterek!$J$112))),IF($D$4="Forint",0,2))</f>
        <v>0</v>
      </c>
      <c r="BA634" s="13">
        <f ca="1">$AT634+$AV634-$AW634-IF(ROUNDDOWN(IF(ISBLANK($AY634),$AX634,$AY634),IF($D$4="Forint",0,2))&gt;$AT634+$AV634-$AW634-IF($D$4="Forint",Paraméterek!$J$114,Paraméterek!$K$114),0,ROUNDDOWN(IF(ISBLANK($AY634),$AX634,$AY634),IF($D$4="Forint",0,2))-$AZ634)</f>
        <v>0</v>
      </c>
      <c r="BB634" s="13">
        <f t="shared" ca="1" si="209"/>
        <v>0</v>
      </c>
      <c r="BD634" s="32">
        <v>615</v>
      </c>
      <c r="BE634" s="32">
        <v>52</v>
      </c>
      <c r="BF634" s="32">
        <v>3</v>
      </c>
      <c r="BG634" s="34">
        <f t="shared" ca="1" si="218"/>
        <v>2070</v>
      </c>
      <c r="BH634" s="32" t="str">
        <f ca="1">IF(MOD(MONTH($D$14)+$BD634-1,12)=Paraméterek!$C$288,"Igen","")</f>
        <v/>
      </c>
      <c r="BI634" s="13">
        <f ca="1">IF($BH634="Igen",MIN(ROUNDDOWN((SUMIF($BG$20:$BG$1027,$BG634-1,$K$20:$K$1027)-SUMIF($BG$20:$BG$1027,$BG634-1,$I$20:$I$1027))*Paraméterek!$C$289,IF($D$4="Forint",0,2)),IF($D$4="Forint",Paraméterek!$C$285,Paraméterek!$D$285)),0)</f>
        <v>0</v>
      </c>
      <c r="BJ634" s="13">
        <f t="shared" ca="1" si="210"/>
        <v>0</v>
      </c>
      <c r="BK634" s="13">
        <f t="shared" ca="1" si="219"/>
        <v>0</v>
      </c>
      <c r="BL634" s="33"/>
      <c r="BM634" s="13">
        <f t="shared" ca="1" si="211"/>
        <v>0</v>
      </c>
      <c r="BN634" s="13">
        <f ca="1">ROUNDUP(($BK634+$BM634)*VLOOKUP($BE634,Paraméterek!$P$38:$Q$38,2)/12*IF($D635="Nem",IF($M$13=0,1,$M$13),1),IF($D$4="Forint",0,2))</f>
        <v>0</v>
      </c>
      <c r="BO634" s="13">
        <f t="shared" ca="1" si="212"/>
        <v>0</v>
      </c>
      <c r="BP634" s="13">
        <f ca="1">IF($D635="Nem",$BO634,$BO634-ROUNDUP(SUM($BI$20:$BI634)*120%,IF($D$4="Forint",0,2)))</f>
        <v>0</v>
      </c>
    </row>
    <row r="635" spans="1:68" x14ac:dyDescent="0.2">
      <c r="A635" s="32">
        <v>616</v>
      </c>
      <c r="B635" s="32">
        <v>52</v>
      </c>
      <c r="C635" s="32">
        <v>4</v>
      </c>
      <c r="D635" s="32" t="str">
        <f t="shared" ca="1" si="198"/>
        <v>Nem</v>
      </c>
      <c r="E635" s="13">
        <f t="shared" ca="1" si="199"/>
        <v>0</v>
      </c>
      <c r="F635" s="13"/>
      <c r="G635" s="13"/>
      <c r="H635" s="13"/>
      <c r="I635" s="13">
        <f t="shared" ca="1" si="200"/>
        <v>0</v>
      </c>
      <c r="J635" s="13">
        <f t="shared" ca="1" si="201"/>
        <v>0</v>
      </c>
      <c r="K635" s="13">
        <f t="shared" ca="1" si="202"/>
        <v>0</v>
      </c>
      <c r="L635" s="13" t="e">
        <f ca="1">ROUNDUP(IF($D$2="Egyszeri",$E635,IF($D$2="Havi",SUM($E$20:$E$31),IF(MOD($C635,$M$1)-1=0,SUM($E$20:$E$31),0))/12*$M$1)*VLOOKUP($B635,Paraméterek!$I$28:$P$31,IF($D$2="Egyszeri",8,HLOOKUP(ROUNDUP($M$11+$M$13,0),Paraméterek!$J$26:$O$27,2))),IF($D$4="Forint",0,2))</f>
        <v>#N/A</v>
      </c>
      <c r="M635" s="13">
        <f t="shared" ca="1" si="203"/>
        <v>0</v>
      </c>
      <c r="N635" s="13">
        <f t="shared" ca="1" si="213"/>
        <v>0</v>
      </c>
      <c r="O635" s="13">
        <f ca="1">IF($D635="Igen",IF($W634&gt;=IF($D$4="Forint",Paraméterek!$J$121,Paraméterek!$K$121),0,IF($D$4="Forint",Paraméterek!$J$121,Paraméterek!$K$121)-$W634),0)</f>
        <v>0</v>
      </c>
      <c r="P635" s="13" t="e">
        <f ca="1">ROUNDUP($O635*VLOOKUP($M$4+$B635-1,Paraméterek!$H$58:$I$105,2,0)/Paraméterek!$I$56,IF($D$4="Forint",0,2))</f>
        <v>#N/A</v>
      </c>
      <c r="Q635" s="13">
        <f t="shared" ca="1" si="204"/>
        <v>0</v>
      </c>
      <c r="R635" s="33"/>
      <c r="S635" s="13" t="e">
        <f t="shared" ca="1" si="205"/>
        <v>#N/A</v>
      </c>
      <c r="T635" s="13" t="e">
        <f ca="1">ROUNDUP(($N635-$P635-$Q635+$S635)*VLOOKUP($B635,Paraméterek!$I$38:$K$39,IF($D$2="Egyszeri",3,2))/12*IF($D636="Nem",IF($M$13=0,1,$M$13),1),IF($D$4="Forint",0,2))</f>
        <v>#N/A</v>
      </c>
      <c r="U635" s="13"/>
      <c r="V635" s="13"/>
      <c r="W635" s="13" t="e">
        <f ca="1">$N635-$P635-$Q635+$S635-$T635-IF(ROUNDUP(IF(ISBLANK($V635),$U635*0,$V635)/IF($D$2="Egyszeri",VLOOKUP($B635+IF($C635=12,1,0),Paraméterek!$V$257:$W$262,2),IF($B635=1,1,VLOOKUP($B635+IF($C635=12,1,0),Paraméterek!$I$258:$T$278,HLOOKUP($M$11+1,Paraméterek!$J$256:$T$257,2)))),IF($D$4="Forint",0,2))&gt;$N635-$P635-$Q635+$S635-$T635-IF($D$4="Forint",Paraméterek!$C$216,Paraméterek!$D$216),0,ROUNDUP(IF(ISBLANK($V635),$U635*0,$V635)/IF($D$2="Egyszeri",VLOOKUP($B635+IF($C635=12,1,0),Paraméterek!$V$257:$W$262,2),IF($B635=1,1,VLOOKUP($B635+IF($C635=12,1,0),Paraméterek!$I$258:$T$278,HLOOKUP($M$11+1,Paraméterek!$J$256:$T$257,2)))),IF($D$4="Forint",0,2)))</f>
        <v>#N/A</v>
      </c>
      <c r="X635" s="13" t="e">
        <f ca="1">ROUNDDOWN($W635*IF($D$2="Egyszeri",VLOOKUP($B635+IF($C635=12,1,0),Paraméterek!$V$257:$W$262,2),VLOOKUP($B635+IF($C635=12,1,0),Paraméterek!$I$258:$T$278,HLOOKUP($M$11+1,Paraméterek!$I$256:$T$257,2))),IF($D$4="Forint",0,2))</f>
        <v>#N/A</v>
      </c>
      <c r="Z635" s="32">
        <v>616</v>
      </c>
      <c r="AA635" s="32">
        <v>52</v>
      </c>
      <c r="AB635" s="32">
        <v>4</v>
      </c>
      <c r="AC635" s="13">
        <f t="shared" ca="1" si="214"/>
        <v>0</v>
      </c>
      <c r="AD635" s="33"/>
      <c r="AE635" s="13">
        <f t="shared" ca="1" si="206"/>
        <v>0</v>
      </c>
      <c r="AF635" s="13">
        <f ca="1">ROUNDUP(($AC635+$AE635)*VLOOKUP($AA635,Paraméterek!$P$38:$Q$38,2)/12*IF($D636="Nem",IF($M$13=0,1,$M$13),1),IF($D$4="Forint",0,2))</f>
        <v>0</v>
      </c>
      <c r="AG635" s="13">
        <f ca="1">IF($D$2="Egyszeri",IF($D$7&gt;=IF($D$4="Forint",Paraméterek!$P$223,Paraméterek!$P$224),$D$7-IF($D$4="Forint",Paraméterek!$P$223,Paraméterek!$P$224),0),MIN(IF($AB635=12,AVERAGEIF($E$20:$E635,"&gt;0",$E$20:$E635)*12,0),SUM($E$20:$E$31)))</f>
        <v>0</v>
      </c>
      <c r="AH635" s="13">
        <f>IF($AA635=10,$AG635*IF($AB635=12,IF($AG635&lt;IF($D$4="Forint",Paraméterek!$L$223,Paraméterek!$L$224),0,VLOOKUP($AA635,Paraméterek!$K$226:$M$228,IF($AG635&lt;IF($D$4="Forint",Paraméterek!$M$223,Paraméterek!$M$224),2,3))),0),0)</f>
        <v>0</v>
      </c>
      <c r="AI635" s="13">
        <f ca="1">IF(AND($AA635=$M$11+1,$AB635=$M$12+1),SUMIF($AA$20:$AA$1027,$AA635,$AG$20:$AG$1027)*IF(SUMIF($AA$20:$AA$1027,$AA635,$AG$20:$AG$1027)&lt;IF($D$4="Forint",Paraméterek!$L$223,Paraméterek!$L$224),0,VLOOKUP($AA635,Paraméterek!$K$230:$M$250,IF(SUMIF($AA$20:$AA$1027,$AA635,$AG$20:$AG$1027)&lt;IF($D$4="Forint",Paraméterek!$M$223,Paraméterek!$M$224),2,3))),0)</f>
        <v>0</v>
      </c>
      <c r="AJ635" s="13">
        <f ca="1">IF(AND($AA635&gt;=5,MOD($AA635,5)=0),IF($AB635=12,VLOOKUP($AA635,Paraméterek!$O$225:$P$240,2),0),IF(OR($AA635=3,$AA635=4),IF($AB635=12,VLOOKUP($AA635,Paraméterek!$O$225:$P$240,2,0),0),0))*$AG635</f>
        <v>0</v>
      </c>
      <c r="AK635" s="13">
        <f t="shared" ca="1" si="207"/>
        <v>0</v>
      </c>
      <c r="AL635" s="13">
        <f t="shared" ca="1" si="215"/>
        <v>0</v>
      </c>
      <c r="AM635" s="13">
        <f t="shared" ca="1" si="216"/>
        <v>0</v>
      </c>
      <c r="AO635" s="32">
        <v>616</v>
      </c>
      <c r="AP635" s="32">
        <v>52</v>
      </c>
      <c r="AQ635" s="32">
        <v>4</v>
      </c>
      <c r="AR635" s="13"/>
      <c r="AS635" s="32"/>
      <c r="AT635" s="13">
        <f t="shared" ca="1" si="217"/>
        <v>0</v>
      </c>
      <c r="AU635" s="33"/>
      <c r="AV635" s="13">
        <f t="shared" ca="1" si="208"/>
        <v>0</v>
      </c>
      <c r="AW635" s="13">
        <f ca="1">ROUNDUP(($AT635+$AV635)*VLOOKUP($AP635,Paraméterek!$P$38:$Q$38,2)/12*IF($D636="Nem",IF($M$13=0,1,$M$13),1),IF($D$4="Forint",0,2))</f>
        <v>0</v>
      </c>
      <c r="AX635" s="13"/>
      <c r="AY635" s="13"/>
      <c r="AZ635" s="13">
        <f>ROUNDUP(IF(SUM($AX635:$AY635)=0,0,IF(IF(ISBLANK($AY635),$AX635,$AY635)*Paraméterek!$J$112&lt;IF($D$4="Forint",Paraméterek!$J$113,Paraméterek!$K$113),IF($D$4="Forint",Paraméterek!$J$113,Paraméterek!$K$113),IF(IF(ISBLANK($AY635),$AX635,$AY635)*Paraméterek!$J$112&gt;IF($D$4="Forint",Paraméterek!$J$114,Paraméterek!$K$114),IF($D$4="Forint",Paraméterek!$J$114,Paraméterek!$K$114),IF(ISBLANK($AY635),$AX635,$AY635)*Paraméterek!$J$112))),IF($D$4="Forint",0,2))</f>
        <v>0</v>
      </c>
      <c r="BA635" s="13">
        <f ca="1">$AT635+$AV635-$AW635-IF(ROUNDDOWN(IF(ISBLANK($AY635),$AX635,$AY635),IF($D$4="Forint",0,2))&gt;$AT635+$AV635-$AW635-IF($D$4="Forint",Paraméterek!$J$114,Paraméterek!$K$114),0,ROUNDDOWN(IF(ISBLANK($AY635),$AX635,$AY635),IF($D$4="Forint",0,2))-$AZ635)</f>
        <v>0</v>
      </c>
      <c r="BB635" s="13">
        <f t="shared" ca="1" si="209"/>
        <v>0</v>
      </c>
      <c r="BD635" s="32">
        <v>616</v>
      </c>
      <c r="BE635" s="32">
        <v>52</v>
      </c>
      <c r="BF635" s="32">
        <v>4</v>
      </c>
      <c r="BG635" s="34">
        <f t="shared" ca="1" si="218"/>
        <v>2070</v>
      </c>
      <c r="BH635" s="32" t="str">
        <f ca="1">IF(MOD(MONTH($D$14)+$BD635-1,12)=Paraméterek!$C$288,"Igen","")</f>
        <v/>
      </c>
      <c r="BI635" s="13">
        <f ca="1">IF($BH635="Igen",MIN(ROUNDDOWN((SUMIF($BG$20:$BG$1027,$BG635-1,$K$20:$K$1027)-SUMIF($BG$20:$BG$1027,$BG635-1,$I$20:$I$1027))*Paraméterek!$C$289,IF($D$4="Forint",0,2)),IF($D$4="Forint",Paraméterek!$C$285,Paraméterek!$D$285)),0)</f>
        <v>0</v>
      </c>
      <c r="BJ635" s="13">
        <f t="shared" ca="1" si="210"/>
        <v>0</v>
      </c>
      <c r="BK635" s="13">
        <f t="shared" ca="1" si="219"/>
        <v>0</v>
      </c>
      <c r="BL635" s="33"/>
      <c r="BM635" s="13">
        <f t="shared" ca="1" si="211"/>
        <v>0</v>
      </c>
      <c r="BN635" s="13">
        <f ca="1">ROUNDUP(($BK635+$BM635)*VLOOKUP($BE635,Paraméterek!$P$38:$Q$38,2)/12*IF($D636="Nem",IF($M$13=0,1,$M$13),1),IF($D$4="Forint",0,2))</f>
        <v>0</v>
      </c>
      <c r="BO635" s="13">
        <f t="shared" ca="1" si="212"/>
        <v>0</v>
      </c>
      <c r="BP635" s="13">
        <f ca="1">IF($D636="Nem",$BO635,$BO635-ROUNDUP(SUM($BI$20:$BI635)*120%,IF($D$4="Forint",0,2)))</f>
        <v>0</v>
      </c>
    </row>
    <row r="636" spans="1:68" x14ac:dyDescent="0.2">
      <c r="A636" s="32">
        <v>617</v>
      </c>
      <c r="B636" s="32">
        <v>52</v>
      </c>
      <c r="C636" s="32">
        <v>5</v>
      </c>
      <c r="D636" s="32" t="str">
        <f t="shared" ca="1" si="198"/>
        <v>Nem</v>
      </c>
      <c r="E636" s="13">
        <f t="shared" ca="1" si="199"/>
        <v>0</v>
      </c>
      <c r="F636" s="13"/>
      <c r="G636" s="13"/>
      <c r="H636" s="13"/>
      <c r="I636" s="13">
        <f t="shared" ca="1" si="200"/>
        <v>0</v>
      </c>
      <c r="J636" s="13">
        <f t="shared" ca="1" si="201"/>
        <v>0</v>
      </c>
      <c r="K636" s="13">
        <f t="shared" ca="1" si="202"/>
        <v>0</v>
      </c>
      <c r="L636" s="13" t="e">
        <f ca="1">ROUNDUP(IF($D$2="Egyszeri",$E636,IF($D$2="Havi",SUM($E$20:$E$31),IF(MOD($C636,$M$1)-1=0,SUM($E$20:$E$31),0))/12*$M$1)*VLOOKUP($B636,Paraméterek!$I$28:$P$31,IF($D$2="Egyszeri",8,HLOOKUP(ROUNDUP($M$11+$M$13,0),Paraméterek!$J$26:$O$27,2))),IF($D$4="Forint",0,2))</f>
        <v>#N/A</v>
      </c>
      <c r="M636" s="13">
        <f t="shared" ca="1" si="203"/>
        <v>0</v>
      </c>
      <c r="N636" s="13">
        <f t="shared" ca="1" si="213"/>
        <v>0</v>
      </c>
      <c r="O636" s="13">
        <f ca="1">IF($D636="Igen",IF($W635&gt;=IF($D$4="Forint",Paraméterek!$J$121,Paraméterek!$K$121),0,IF($D$4="Forint",Paraméterek!$J$121,Paraméterek!$K$121)-$W635),0)</f>
        <v>0</v>
      </c>
      <c r="P636" s="13" t="e">
        <f ca="1">ROUNDUP($O636*VLOOKUP($M$4+$B636-1,Paraméterek!$H$58:$I$105,2,0)/Paraméterek!$I$56,IF($D$4="Forint",0,2))</f>
        <v>#N/A</v>
      </c>
      <c r="Q636" s="13">
        <f t="shared" ca="1" si="204"/>
        <v>0</v>
      </c>
      <c r="R636" s="33"/>
      <c r="S636" s="13" t="e">
        <f t="shared" ca="1" si="205"/>
        <v>#N/A</v>
      </c>
      <c r="T636" s="13" t="e">
        <f ca="1">ROUNDUP(($N636-$P636-$Q636+$S636)*VLOOKUP($B636,Paraméterek!$I$38:$K$39,IF($D$2="Egyszeri",3,2))/12*IF($D637="Nem",IF($M$13=0,1,$M$13),1),IF($D$4="Forint",0,2))</f>
        <v>#N/A</v>
      </c>
      <c r="U636" s="13"/>
      <c r="V636" s="13"/>
      <c r="W636" s="13" t="e">
        <f ca="1">$N636-$P636-$Q636+$S636-$T636-IF(ROUNDUP(IF(ISBLANK($V636),$U636*0,$V636)/IF($D$2="Egyszeri",VLOOKUP($B636+IF($C636=12,1,0),Paraméterek!$V$257:$W$262,2),IF($B636=1,1,VLOOKUP($B636+IF($C636=12,1,0),Paraméterek!$I$258:$T$278,HLOOKUP($M$11+1,Paraméterek!$J$256:$T$257,2)))),IF($D$4="Forint",0,2))&gt;$N636-$P636-$Q636+$S636-$T636-IF($D$4="Forint",Paraméterek!$C$216,Paraméterek!$D$216),0,ROUNDUP(IF(ISBLANK($V636),$U636*0,$V636)/IF($D$2="Egyszeri",VLOOKUP($B636+IF($C636=12,1,0),Paraméterek!$V$257:$W$262,2),IF($B636=1,1,VLOOKUP($B636+IF($C636=12,1,0),Paraméterek!$I$258:$T$278,HLOOKUP($M$11+1,Paraméterek!$J$256:$T$257,2)))),IF($D$4="Forint",0,2)))</f>
        <v>#N/A</v>
      </c>
      <c r="X636" s="13" t="e">
        <f ca="1">ROUNDDOWN($W636*IF($D$2="Egyszeri",VLOOKUP($B636+IF($C636=12,1,0),Paraméterek!$V$257:$W$262,2),VLOOKUP($B636+IF($C636=12,1,0),Paraméterek!$I$258:$T$278,HLOOKUP($M$11+1,Paraméterek!$I$256:$T$257,2))),IF($D$4="Forint",0,2))</f>
        <v>#N/A</v>
      </c>
      <c r="Z636" s="32">
        <v>617</v>
      </c>
      <c r="AA636" s="32">
        <v>52</v>
      </c>
      <c r="AB636" s="32">
        <v>5</v>
      </c>
      <c r="AC636" s="13">
        <f t="shared" ca="1" si="214"/>
        <v>0</v>
      </c>
      <c r="AD636" s="33"/>
      <c r="AE636" s="13">
        <f t="shared" ca="1" si="206"/>
        <v>0</v>
      </c>
      <c r="AF636" s="13">
        <f ca="1">ROUNDUP(($AC636+$AE636)*VLOOKUP($AA636,Paraméterek!$P$38:$Q$38,2)/12*IF($D637="Nem",IF($M$13=0,1,$M$13),1),IF($D$4="Forint",0,2))</f>
        <v>0</v>
      </c>
      <c r="AG636" s="13">
        <f ca="1">IF($D$2="Egyszeri",IF($D$7&gt;=IF($D$4="Forint",Paraméterek!$P$223,Paraméterek!$P$224),$D$7-IF($D$4="Forint",Paraméterek!$P$223,Paraméterek!$P$224),0),MIN(IF($AB636=12,AVERAGEIF($E$20:$E636,"&gt;0",$E$20:$E636)*12,0),SUM($E$20:$E$31)))</f>
        <v>0</v>
      </c>
      <c r="AH636" s="13">
        <f>IF($AA636=10,$AG636*IF($AB636=12,IF($AG636&lt;IF($D$4="Forint",Paraméterek!$L$223,Paraméterek!$L$224),0,VLOOKUP($AA636,Paraméterek!$K$226:$M$228,IF($AG636&lt;IF($D$4="Forint",Paraméterek!$M$223,Paraméterek!$M$224),2,3))),0),0)</f>
        <v>0</v>
      </c>
      <c r="AI636" s="13">
        <f ca="1">IF(AND($AA636=$M$11+1,$AB636=$M$12+1),SUMIF($AA$20:$AA$1027,$AA636,$AG$20:$AG$1027)*IF(SUMIF($AA$20:$AA$1027,$AA636,$AG$20:$AG$1027)&lt;IF($D$4="Forint",Paraméterek!$L$223,Paraméterek!$L$224),0,VLOOKUP($AA636,Paraméterek!$K$230:$M$250,IF(SUMIF($AA$20:$AA$1027,$AA636,$AG$20:$AG$1027)&lt;IF($D$4="Forint",Paraméterek!$M$223,Paraméterek!$M$224),2,3))),0)</f>
        <v>0</v>
      </c>
      <c r="AJ636" s="13">
        <f ca="1">IF(AND($AA636&gt;=5,MOD($AA636,5)=0),IF($AB636=12,VLOOKUP($AA636,Paraméterek!$O$225:$P$240,2),0),IF(OR($AA636=3,$AA636=4),IF($AB636=12,VLOOKUP($AA636,Paraméterek!$O$225:$P$240,2,0),0),0))*$AG636</f>
        <v>0</v>
      </c>
      <c r="AK636" s="13">
        <f t="shared" ca="1" si="207"/>
        <v>0</v>
      </c>
      <c r="AL636" s="13">
        <f t="shared" ca="1" si="215"/>
        <v>0</v>
      </c>
      <c r="AM636" s="13">
        <f t="shared" ca="1" si="216"/>
        <v>0</v>
      </c>
      <c r="AO636" s="32">
        <v>617</v>
      </c>
      <c r="AP636" s="32">
        <v>52</v>
      </c>
      <c r="AQ636" s="32">
        <v>5</v>
      </c>
      <c r="AR636" s="13"/>
      <c r="AS636" s="32"/>
      <c r="AT636" s="13">
        <f t="shared" ca="1" si="217"/>
        <v>0</v>
      </c>
      <c r="AU636" s="33"/>
      <c r="AV636" s="13">
        <f t="shared" ca="1" si="208"/>
        <v>0</v>
      </c>
      <c r="AW636" s="13">
        <f ca="1">ROUNDUP(($AT636+$AV636)*VLOOKUP($AP636,Paraméterek!$P$38:$Q$38,2)/12*IF($D637="Nem",IF($M$13=0,1,$M$13),1),IF($D$4="Forint",0,2))</f>
        <v>0</v>
      </c>
      <c r="AX636" s="13"/>
      <c r="AY636" s="13"/>
      <c r="AZ636" s="13">
        <f>ROUNDUP(IF(SUM($AX636:$AY636)=0,0,IF(IF(ISBLANK($AY636),$AX636,$AY636)*Paraméterek!$J$112&lt;IF($D$4="Forint",Paraméterek!$J$113,Paraméterek!$K$113),IF($D$4="Forint",Paraméterek!$J$113,Paraméterek!$K$113),IF(IF(ISBLANK($AY636),$AX636,$AY636)*Paraméterek!$J$112&gt;IF($D$4="Forint",Paraméterek!$J$114,Paraméterek!$K$114),IF($D$4="Forint",Paraméterek!$J$114,Paraméterek!$K$114),IF(ISBLANK($AY636),$AX636,$AY636)*Paraméterek!$J$112))),IF($D$4="Forint",0,2))</f>
        <v>0</v>
      </c>
      <c r="BA636" s="13">
        <f ca="1">$AT636+$AV636-$AW636-IF(ROUNDDOWN(IF(ISBLANK($AY636),$AX636,$AY636),IF($D$4="Forint",0,2))&gt;$AT636+$AV636-$AW636-IF($D$4="Forint",Paraméterek!$J$114,Paraméterek!$K$114),0,ROUNDDOWN(IF(ISBLANK($AY636),$AX636,$AY636),IF($D$4="Forint",0,2))-$AZ636)</f>
        <v>0</v>
      </c>
      <c r="BB636" s="13">
        <f t="shared" ca="1" si="209"/>
        <v>0</v>
      </c>
      <c r="BD636" s="32">
        <v>617</v>
      </c>
      <c r="BE636" s="32">
        <v>52</v>
      </c>
      <c r="BF636" s="32">
        <v>5</v>
      </c>
      <c r="BG636" s="34">
        <f t="shared" ca="1" si="218"/>
        <v>2070</v>
      </c>
      <c r="BH636" s="32" t="str">
        <f ca="1">IF(MOD(MONTH($D$14)+$BD636-1,12)=Paraméterek!$C$288,"Igen","")</f>
        <v/>
      </c>
      <c r="BI636" s="13">
        <f ca="1">IF($BH636="Igen",MIN(ROUNDDOWN((SUMIF($BG$20:$BG$1027,$BG636-1,$K$20:$K$1027)-SUMIF($BG$20:$BG$1027,$BG636-1,$I$20:$I$1027))*Paraméterek!$C$289,IF($D$4="Forint",0,2)),IF($D$4="Forint",Paraméterek!$C$285,Paraméterek!$D$285)),0)</f>
        <v>0</v>
      </c>
      <c r="BJ636" s="13">
        <f t="shared" ca="1" si="210"/>
        <v>0</v>
      </c>
      <c r="BK636" s="13">
        <f t="shared" ca="1" si="219"/>
        <v>0</v>
      </c>
      <c r="BL636" s="33"/>
      <c r="BM636" s="13">
        <f t="shared" ca="1" si="211"/>
        <v>0</v>
      </c>
      <c r="BN636" s="13">
        <f ca="1">ROUNDUP(($BK636+$BM636)*VLOOKUP($BE636,Paraméterek!$P$38:$Q$38,2)/12*IF($D637="Nem",IF($M$13=0,1,$M$13),1),IF($D$4="Forint",0,2))</f>
        <v>0</v>
      </c>
      <c r="BO636" s="13">
        <f t="shared" ca="1" si="212"/>
        <v>0</v>
      </c>
      <c r="BP636" s="13">
        <f ca="1">IF($D637="Nem",$BO636,$BO636-ROUNDUP(SUM($BI$20:$BI636)*120%,IF($D$4="Forint",0,2)))</f>
        <v>0</v>
      </c>
    </row>
    <row r="637" spans="1:68" x14ac:dyDescent="0.2">
      <c r="A637" s="32">
        <v>618</v>
      </c>
      <c r="B637" s="32">
        <v>52</v>
      </c>
      <c r="C637" s="32">
        <v>6</v>
      </c>
      <c r="D637" s="32" t="str">
        <f t="shared" ca="1" si="198"/>
        <v>Nem</v>
      </c>
      <c r="E637" s="13">
        <f t="shared" ca="1" si="199"/>
        <v>0</v>
      </c>
      <c r="F637" s="13"/>
      <c r="G637" s="13"/>
      <c r="H637" s="13"/>
      <c r="I637" s="13">
        <f t="shared" ca="1" si="200"/>
        <v>0</v>
      </c>
      <c r="J637" s="13">
        <f t="shared" ca="1" si="201"/>
        <v>0</v>
      </c>
      <c r="K637" s="13">
        <f t="shared" ca="1" si="202"/>
        <v>0</v>
      </c>
      <c r="L637" s="13" t="e">
        <f ca="1">ROUNDUP(IF($D$2="Egyszeri",$E637,IF($D$2="Havi",SUM($E$20:$E$31),IF(MOD($C637,$M$1)-1=0,SUM($E$20:$E$31),0))/12*$M$1)*VLOOKUP($B637,Paraméterek!$I$28:$P$31,IF($D$2="Egyszeri",8,HLOOKUP(ROUNDUP($M$11+$M$13,0),Paraméterek!$J$26:$O$27,2))),IF($D$4="Forint",0,2))</f>
        <v>#N/A</v>
      </c>
      <c r="M637" s="13">
        <f t="shared" ca="1" si="203"/>
        <v>0</v>
      </c>
      <c r="N637" s="13">
        <f t="shared" ca="1" si="213"/>
        <v>0</v>
      </c>
      <c r="O637" s="13">
        <f ca="1">IF($D637="Igen",IF($W636&gt;=IF($D$4="Forint",Paraméterek!$J$121,Paraméterek!$K$121),0,IF($D$4="Forint",Paraméterek!$J$121,Paraméterek!$K$121)-$W636),0)</f>
        <v>0</v>
      </c>
      <c r="P637" s="13" t="e">
        <f ca="1">ROUNDUP($O637*VLOOKUP($M$4+$B637-1,Paraméterek!$H$58:$I$105,2,0)/Paraméterek!$I$56,IF($D$4="Forint",0,2))</f>
        <v>#N/A</v>
      </c>
      <c r="Q637" s="13">
        <f t="shared" ca="1" si="204"/>
        <v>0</v>
      </c>
      <c r="R637" s="33"/>
      <c r="S637" s="13" t="e">
        <f t="shared" ca="1" si="205"/>
        <v>#N/A</v>
      </c>
      <c r="T637" s="13" t="e">
        <f ca="1">ROUNDUP(($N637-$P637-$Q637+$S637)*VLOOKUP($B637,Paraméterek!$I$38:$K$39,IF($D$2="Egyszeri",3,2))/12*IF($D638="Nem",IF($M$13=0,1,$M$13),1),IF($D$4="Forint",0,2))</f>
        <v>#N/A</v>
      </c>
      <c r="U637" s="13"/>
      <c r="V637" s="13"/>
      <c r="W637" s="13" t="e">
        <f ca="1">$N637-$P637-$Q637+$S637-$T637-IF(ROUNDUP(IF(ISBLANK($V637),$U637*0,$V637)/IF($D$2="Egyszeri",VLOOKUP($B637+IF($C637=12,1,0),Paraméterek!$V$257:$W$262,2),IF($B637=1,1,VLOOKUP($B637+IF($C637=12,1,0),Paraméterek!$I$258:$T$278,HLOOKUP($M$11+1,Paraméterek!$J$256:$T$257,2)))),IF($D$4="Forint",0,2))&gt;$N637-$P637-$Q637+$S637-$T637-IF($D$4="Forint",Paraméterek!$C$216,Paraméterek!$D$216),0,ROUNDUP(IF(ISBLANK($V637),$U637*0,$V637)/IF($D$2="Egyszeri",VLOOKUP($B637+IF($C637=12,1,0),Paraméterek!$V$257:$W$262,2),IF($B637=1,1,VLOOKUP($B637+IF($C637=12,1,0),Paraméterek!$I$258:$T$278,HLOOKUP($M$11+1,Paraméterek!$J$256:$T$257,2)))),IF($D$4="Forint",0,2)))</f>
        <v>#N/A</v>
      </c>
      <c r="X637" s="13" t="e">
        <f ca="1">ROUNDDOWN($W637*IF($D$2="Egyszeri",VLOOKUP($B637+IF($C637=12,1,0),Paraméterek!$V$257:$W$262,2),VLOOKUP($B637+IF($C637=12,1,0),Paraméterek!$I$258:$T$278,HLOOKUP($M$11+1,Paraméterek!$I$256:$T$257,2))),IF($D$4="Forint",0,2))</f>
        <v>#N/A</v>
      </c>
      <c r="Z637" s="32">
        <v>618</v>
      </c>
      <c r="AA637" s="32">
        <v>52</v>
      </c>
      <c r="AB637" s="32">
        <v>6</v>
      </c>
      <c r="AC637" s="13">
        <f t="shared" ca="1" si="214"/>
        <v>0</v>
      </c>
      <c r="AD637" s="33"/>
      <c r="AE637" s="13">
        <f t="shared" ca="1" si="206"/>
        <v>0</v>
      </c>
      <c r="AF637" s="13">
        <f ca="1">ROUNDUP(($AC637+$AE637)*VLOOKUP($AA637,Paraméterek!$P$38:$Q$38,2)/12*IF($D638="Nem",IF($M$13=0,1,$M$13),1),IF($D$4="Forint",0,2))</f>
        <v>0</v>
      </c>
      <c r="AG637" s="13">
        <f ca="1">IF($D$2="Egyszeri",IF($D$7&gt;=IF($D$4="Forint",Paraméterek!$P$223,Paraméterek!$P$224),$D$7-IF($D$4="Forint",Paraméterek!$P$223,Paraméterek!$P$224),0),MIN(IF($AB637=12,AVERAGEIF($E$20:$E637,"&gt;0",$E$20:$E637)*12,0),SUM($E$20:$E$31)))</f>
        <v>0</v>
      </c>
      <c r="AH637" s="13">
        <f>IF($AA637=10,$AG637*IF($AB637=12,IF($AG637&lt;IF($D$4="Forint",Paraméterek!$L$223,Paraméterek!$L$224),0,VLOOKUP($AA637,Paraméterek!$K$226:$M$228,IF($AG637&lt;IF($D$4="Forint",Paraméterek!$M$223,Paraméterek!$M$224),2,3))),0),0)</f>
        <v>0</v>
      </c>
      <c r="AI637" s="13">
        <f ca="1">IF(AND($AA637=$M$11+1,$AB637=$M$12+1),SUMIF($AA$20:$AA$1027,$AA637,$AG$20:$AG$1027)*IF(SUMIF($AA$20:$AA$1027,$AA637,$AG$20:$AG$1027)&lt;IF($D$4="Forint",Paraméterek!$L$223,Paraméterek!$L$224),0,VLOOKUP($AA637,Paraméterek!$K$230:$M$250,IF(SUMIF($AA$20:$AA$1027,$AA637,$AG$20:$AG$1027)&lt;IF($D$4="Forint",Paraméterek!$M$223,Paraméterek!$M$224),2,3))),0)</f>
        <v>0</v>
      </c>
      <c r="AJ637" s="13">
        <f ca="1">IF(AND($AA637&gt;=5,MOD($AA637,5)=0),IF($AB637=12,VLOOKUP($AA637,Paraméterek!$O$225:$P$240,2),0),IF(OR($AA637=3,$AA637=4),IF($AB637=12,VLOOKUP($AA637,Paraméterek!$O$225:$P$240,2,0),0),0))*$AG637</f>
        <v>0</v>
      </c>
      <c r="AK637" s="13">
        <f t="shared" ca="1" si="207"/>
        <v>0</v>
      </c>
      <c r="AL637" s="13">
        <f t="shared" ca="1" si="215"/>
        <v>0</v>
      </c>
      <c r="AM637" s="13">
        <f t="shared" ca="1" si="216"/>
        <v>0</v>
      </c>
      <c r="AO637" s="32">
        <v>618</v>
      </c>
      <c r="AP637" s="32">
        <v>52</v>
      </c>
      <c r="AQ637" s="32">
        <v>6</v>
      </c>
      <c r="AR637" s="13"/>
      <c r="AS637" s="32"/>
      <c r="AT637" s="13">
        <f t="shared" ca="1" si="217"/>
        <v>0</v>
      </c>
      <c r="AU637" s="33"/>
      <c r="AV637" s="13">
        <f t="shared" ca="1" si="208"/>
        <v>0</v>
      </c>
      <c r="AW637" s="13">
        <f ca="1">ROUNDUP(($AT637+$AV637)*VLOOKUP($AP637,Paraméterek!$P$38:$Q$38,2)/12*IF($D638="Nem",IF($M$13=0,1,$M$13),1),IF($D$4="Forint",0,2))</f>
        <v>0</v>
      </c>
      <c r="AX637" s="13"/>
      <c r="AY637" s="13"/>
      <c r="AZ637" s="13">
        <f>ROUNDUP(IF(SUM($AX637:$AY637)=0,0,IF(IF(ISBLANK($AY637),$AX637,$AY637)*Paraméterek!$J$112&lt;IF($D$4="Forint",Paraméterek!$J$113,Paraméterek!$K$113),IF($D$4="Forint",Paraméterek!$J$113,Paraméterek!$K$113),IF(IF(ISBLANK($AY637),$AX637,$AY637)*Paraméterek!$J$112&gt;IF($D$4="Forint",Paraméterek!$J$114,Paraméterek!$K$114),IF($D$4="Forint",Paraméterek!$J$114,Paraméterek!$K$114),IF(ISBLANK($AY637),$AX637,$AY637)*Paraméterek!$J$112))),IF($D$4="Forint",0,2))</f>
        <v>0</v>
      </c>
      <c r="BA637" s="13">
        <f ca="1">$AT637+$AV637-$AW637-IF(ROUNDDOWN(IF(ISBLANK($AY637),$AX637,$AY637),IF($D$4="Forint",0,2))&gt;$AT637+$AV637-$AW637-IF($D$4="Forint",Paraméterek!$J$114,Paraméterek!$K$114),0,ROUNDDOWN(IF(ISBLANK($AY637),$AX637,$AY637),IF($D$4="Forint",0,2))-$AZ637)</f>
        <v>0</v>
      </c>
      <c r="BB637" s="13">
        <f t="shared" ca="1" si="209"/>
        <v>0</v>
      </c>
      <c r="BD637" s="32">
        <v>618</v>
      </c>
      <c r="BE637" s="32">
        <v>52</v>
      </c>
      <c r="BF637" s="32">
        <v>6</v>
      </c>
      <c r="BG637" s="34">
        <f t="shared" ca="1" si="218"/>
        <v>2070</v>
      </c>
      <c r="BH637" s="32" t="str">
        <f ca="1">IF(MOD(MONTH($D$14)+$BD637-1,12)=Paraméterek!$C$288,"Igen","")</f>
        <v/>
      </c>
      <c r="BI637" s="13">
        <f ca="1">IF($BH637="Igen",MIN(ROUNDDOWN((SUMIF($BG$20:$BG$1027,$BG637-1,$K$20:$K$1027)-SUMIF($BG$20:$BG$1027,$BG637-1,$I$20:$I$1027))*Paraméterek!$C$289,IF($D$4="Forint",0,2)),IF($D$4="Forint",Paraméterek!$C$285,Paraméterek!$D$285)),0)</f>
        <v>0</v>
      </c>
      <c r="BJ637" s="13">
        <f t="shared" ca="1" si="210"/>
        <v>0</v>
      </c>
      <c r="BK637" s="13">
        <f t="shared" ca="1" si="219"/>
        <v>0</v>
      </c>
      <c r="BL637" s="33"/>
      <c r="BM637" s="13">
        <f t="shared" ca="1" si="211"/>
        <v>0</v>
      </c>
      <c r="BN637" s="13">
        <f ca="1">ROUNDUP(($BK637+$BM637)*VLOOKUP($BE637,Paraméterek!$P$38:$Q$38,2)/12*IF($D638="Nem",IF($M$13=0,1,$M$13),1),IF($D$4="Forint",0,2))</f>
        <v>0</v>
      </c>
      <c r="BO637" s="13">
        <f t="shared" ca="1" si="212"/>
        <v>0</v>
      </c>
      <c r="BP637" s="13">
        <f ca="1">IF($D638="Nem",$BO637,$BO637-ROUNDUP(SUM($BI$20:$BI637)*120%,IF($D$4="Forint",0,2)))</f>
        <v>0</v>
      </c>
    </row>
    <row r="638" spans="1:68" x14ac:dyDescent="0.2">
      <c r="A638" s="32">
        <v>619</v>
      </c>
      <c r="B638" s="32">
        <v>52</v>
      </c>
      <c r="C638" s="32">
        <v>7</v>
      </c>
      <c r="D638" s="32" t="str">
        <f t="shared" ca="1" si="198"/>
        <v>Nem</v>
      </c>
      <c r="E638" s="13">
        <f t="shared" ca="1" si="199"/>
        <v>0</v>
      </c>
      <c r="F638" s="13"/>
      <c r="G638" s="13"/>
      <c r="H638" s="13"/>
      <c r="I638" s="13">
        <f t="shared" ca="1" si="200"/>
        <v>0</v>
      </c>
      <c r="J638" s="13">
        <f t="shared" ca="1" si="201"/>
        <v>0</v>
      </c>
      <c r="K638" s="13">
        <f t="shared" ca="1" si="202"/>
        <v>0</v>
      </c>
      <c r="L638" s="13" t="e">
        <f ca="1">ROUNDUP(IF($D$2="Egyszeri",$E638,IF($D$2="Havi",SUM($E$20:$E$31),IF(MOD($C638,$M$1)-1=0,SUM($E$20:$E$31),0))/12*$M$1)*VLOOKUP($B638,Paraméterek!$I$28:$P$31,IF($D$2="Egyszeri",8,HLOOKUP(ROUNDUP($M$11+$M$13,0),Paraméterek!$J$26:$O$27,2))),IF($D$4="Forint",0,2))</f>
        <v>#N/A</v>
      </c>
      <c r="M638" s="13">
        <f t="shared" ca="1" si="203"/>
        <v>0</v>
      </c>
      <c r="N638" s="13">
        <f t="shared" ca="1" si="213"/>
        <v>0</v>
      </c>
      <c r="O638" s="13">
        <f ca="1">IF($D638="Igen",IF($W637&gt;=IF($D$4="Forint",Paraméterek!$J$121,Paraméterek!$K$121),0,IF($D$4="Forint",Paraméterek!$J$121,Paraméterek!$K$121)-$W637),0)</f>
        <v>0</v>
      </c>
      <c r="P638" s="13" t="e">
        <f ca="1">ROUNDUP($O638*VLOOKUP($M$4+$B638-1,Paraméterek!$H$58:$I$105,2,0)/Paraméterek!$I$56,IF($D$4="Forint",0,2))</f>
        <v>#N/A</v>
      </c>
      <c r="Q638" s="13">
        <f t="shared" ca="1" si="204"/>
        <v>0</v>
      </c>
      <c r="R638" s="33"/>
      <c r="S638" s="13" t="e">
        <f t="shared" ca="1" si="205"/>
        <v>#N/A</v>
      </c>
      <c r="T638" s="13" t="e">
        <f ca="1">ROUNDUP(($N638-$P638-$Q638+$S638)*VLOOKUP($B638,Paraméterek!$I$38:$K$39,IF($D$2="Egyszeri",3,2))/12*IF($D639="Nem",IF($M$13=0,1,$M$13),1),IF($D$4="Forint",0,2))</f>
        <v>#N/A</v>
      </c>
      <c r="U638" s="13"/>
      <c r="V638" s="13"/>
      <c r="W638" s="13" t="e">
        <f ca="1">$N638-$P638-$Q638+$S638-$T638-IF(ROUNDUP(IF(ISBLANK($V638),$U638*0,$V638)/IF($D$2="Egyszeri",VLOOKUP($B638+IF($C638=12,1,0),Paraméterek!$V$257:$W$262,2),IF($B638=1,1,VLOOKUP($B638+IF($C638=12,1,0),Paraméterek!$I$258:$T$278,HLOOKUP($M$11+1,Paraméterek!$J$256:$T$257,2)))),IF($D$4="Forint",0,2))&gt;$N638-$P638-$Q638+$S638-$T638-IF($D$4="Forint",Paraméterek!$C$216,Paraméterek!$D$216),0,ROUNDUP(IF(ISBLANK($V638),$U638*0,$V638)/IF($D$2="Egyszeri",VLOOKUP($B638+IF($C638=12,1,0),Paraméterek!$V$257:$W$262,2),IF($B638=1,1,VLOOKUP($B638+IF($C638=12,1,0),Paraméterek!$I$258:$T$278,HLOOKUP($M$11+1,Paraméterek!$J$256:$T$257,2)))),IF($D$4="Forint",0,2)))</f>
        <v>#N/A</v>
      </c>
      <c r="X638" s="13" t="e">
        <f ca="1">ROUNDDOWN($W638*IF($D$2="Egyszeri",VLOOKUP($B638+IF($C638=12,1,0),Paraméterek!$V$257:$W$262,2),VLOOKUP($B638+IF($C638=12,1,0),Paraméterek!$I$258:$T$278,HLOOKUP($M$11+1,Paraméterek!$I$256:$T$257,2))),IF($D$4="Forint",0,2))</f>
        <v>#N/A</v>
      </c>
      <c r="Z638" s="32">
        <v>619</v>
      </c>
      <c r="AA638" s="32">
        <v>52</v>
      </c>
      <c r="AB638" s="32">
        <v>7</v>
      </c>
      <c r="AC638" s="13">
        <f t="shared" ca="1" si="214"/>
        <v>0</v>
      </c>
      <c r="AD638" s="33"/>
      <c r="AE638" s="13">
        <f t="shared" ca="1" si="206"/>
        <v>0</v>
      </c>
      <c r="AF638" s="13">
        <f ca="1">ROUNDUP(($AC638+$AE638)*VLOOKUP($AA638,Paraméterek!$P$38:$Q$38,2)/12*IF($D639="Nem",IF($M$13=0,1,$M$13),1),IF($D$4="Forint",0,2))</f>
        <v>0</v>
      </c>
      <c r="AG638" s="13">
        <f ca="1">IF($D$2="Egyszeri",IF($D$7&gt;=IF($D$4="Forint",Paraméterek!$P$223,Paraméterek!$P$224),$D$7-IF($D$4="Forint",Paraméterek!$P$223,Paraméterek!$P$224),0),MIN(IF($AB638=12,AVERAGEIF($E$20:$E638,"&gt;0",$E$20:$E638)*12,0),SUM($E$20:$E$31)))</f>
        <v>0</v>
      </c>
      <c r="AH638" s="13">
        <f>IF($AA638=10,$AG638*IF($AB638=12,IF($AG638&lt;IF($D$4="Forint",Paraméterek!$L$223,Paraméterek!$L$224),0,VLOOKUP($AA638,Paraméterek!$K$226:$M$228,IF($AG638&lt;IF($D$4="Forint",Paraméterek!$M$223,Paraméterek!$M$224),2,3))),0),0)</f>
        <v>0</v>
      </c>
      <c r="AI638" s="13">
        <f ca="1">IF(AND($AA638=$M$11+1,$AB638=$M$12+1),SUMIF($AA$20:$AA$1027,$AA638,$AG$20:$AG$1027)*IF(SUMIF($AA$20:$AA$1027,$AA638,$AG$20:$AG$1027)&lt;IF($D$4="Forint",Paraméterek!$L$223,Paraméterek!$L$224),0,VLOOKUP($AA638,Paraméterek!$K$230:$M$250,IF(SUMIF($AA$20:$AA$1027,$AA638,$AG$20:$AG$1027)&lt;IF($D$4="Forint",Paraméterek!$M$223,Paraméterek!$M$224),2,3))),0)</f>
        <v>0</v>
      </c>
      <c r="AJ638" s="13">
        <f ca="1">IF(AND($AA638&gt;=5,MOD($AA638,5)=0),IF($AB638=12,VLOOKUP($AA638,Paraméterek!$O$225:$P$240,2),0),IF(OR($AA638=3,$AA638=4),IF($AB638=12,VLOOKUP($AA638,Paraméterek!$O$225:$P$240,2,0),0),0))*$AG638</f>
        <v>0</v>
      </c>
      <c r="AK638" s="13">
        <f t="shared" ca="1" si="207"/>
        <v>0</v>
      </c>
      <c r="AL638" s="13">
        <f t="shared" ca="1" si="215"/>
        <v>0</v>
      </c>
      <c r="AM638" s="13">
        <f t="shared" ca="1" si="216"/>
        <v>0</v>
      </c>
      <c r="AO638" s="32">
        <v>619</v>
      </c>
      <c r="AP638" s="32">
        <v>52</v>
      </c>
      <c r="AQ638" s="32">
        <v>7</v>
      </c>
      <c r="AR638" s="13"/>
      <c r="AS638" s="32"/>
      <c r="AT638" s="13">
        <f t="shared" ca="1" si="217"/>
        <v>0</v>
      </c>
      <c r="AU638" s="33"/>
      <c r="AV638" s="13">
        <f t="shared" ca="1" si="208"/>
        <v>0</v>
      </c>
      <c r="AW638" s="13">
        <f ca="1">ROUNDUP(($AT638+$AV638)*VLOOKUP($AP638,Paraméterek!$P$38:$Q$38,2)/12*IF($D639="Nem",IF($M$13=0,1,$M$13),1),IF($D$4="Forint",0,2))</f>
        <v>0</v>
      </c>
      <c r="AX638" s="13"/>
      <c r="AY638" s="13"/>
      <c r="AZ638" s="13">
        <f>ROUNDUP(IF(SUM($AX638:$AY638)=0,0,IF(IF(ISBLANK($AY638),$AX638,$AY638)*Paraméterek!$J$112&lt;IF($D$4="Forint",Paraméterek!$J$113,Paraméterek!$K$113),IF($D$4="Forint",Paraméterek!$J$113,Paraméterek!$K$113),IF(IF(ISBLANK($AY638),$AX638,$AY638)*Paraméterek!$J$112&gt;IF($D$4="Forint",Paraméterek!$J$114,Paraméterek!$K$114),IF($D$4="Forint",Paraméterek!$J$114,Paraméterek!$K$114),IF(ISBLANK($AY638),$AX638,$AY638)*Paraméterek!$J$112))),IF($D$4="Forint",0,2))</f>
        <v>0</v>
      </c>
      <c r="BA638" s="13">
        <f ca="1">$AT638+$AV638-$AW638-IF(ROUNDDOWN(IF(ISBLANK($AY638),$AX638,$AY638),IF($D$4="Forint",0,2))&gt;$AT638+$AV638-$AW638-IF($D$4="Forint",Paraméterek!$J$114,Paraméterek!$K$114),0,ROUNDDOWN(IF(ISBLANK($AY638),$AX638,$AY638),IF($D$4="Forint",0,2))-$AZ638)</f>
        <v>0</v>
      </c>
      <c r="BB638" s="13">
        <f t="shared" ca="1" si="209"/>
        <v>0</v>
      </c>
      <c r="BD638" s="32">
        <v>619</v>
      </c>
      <c r="BE638" s="32">
        <v>52</v>
      </c>
      <c r="BF638" s="32">
        <v>7</v>
      </c>
      <c r="BG638" s="34">
        <f t="shared" ca="1" si="218"/>
        <v>2070</v>
      </c>
      <c r="BH638" s="32" t="str">
        <f ca="1">IF(MOD(MONTH($D$14)+$BD638-1,12)=Paraméterek!$C$288,"Igen","")</f>
        <v/>
      </c>
      <c r="BI638" s="13">
        <f ca="1">IF($BH638="Igen",MIN(ROUNDDOWN((SUMIF($BG$20:$BG$1027,$BG638-1,$K$20:$K$1027)-SUMIF($BG$20:$BG$1027,$BG638-1,$I$20:$I$1027))*Paraméterek!$C$289,IF($D$4="Forint",0,2)),IF($D$4="Forint",Paraméterek!$C$285,Paraméterek!$D$285)),0)</f>
        <v>0</v>
      </c>
      <c r="BJ638" s="13">
        <f t="shared" ca="1" si="210"/>
        <v>0</v>
      </c>
      <c r="BK638" s="13">
        <f t="shared" ca="1" si="219"/>
        <v>0</v>
      </c>
      <c r="BL638" s="33"/>
      <c r="BM638" s="13">
        <f t="shared" ca="1" si="211"/>
        <v>0</v>
      </c>
      <c r="BN638" s="13">
        <f ca="1">ROUNDUP(($BK638+$BM638)*VLOOKUP($BE638,Paraméterek!$P$38:$Q$38,2)/12*IF($D639="Nem",IF($M$13=0,1,$M$13),1),IF($D$4="Forint",0,2))</f>
        <v>0</v>
      </c>
      <c r="BO638" s="13">
        <f t="shared" ca="1" si="212"/>
        <v>0</v>
      </c>
      <c r="BP638" s="13">
        <f ca="1">IF($D639="Nem",$BO638,$BO638-ROUNDUP(SUM($BI$20:$BI638)*120%,IF($D$4="Forint",0,2)))</f>
        <v>0</v>
      </c>
    </row>
    <row r="639" spans="1:68" x14ac:dyDescent="0.2">
      <c r="A639" s="32">
        <v>620</v>
      </c>
      <c r="B639" s="32">
        <v>52</v>
      </c>
      <c r="C639" s="32">
        <v>8</v>
      </c>
      <c r="D639" s="32" t="str">
        <f t="shared" ca="1" si="198"/>
        <v>Nem</v>
      </c>
      <c r="E639" s="13">
        <f t="shared" ca="1" si="199"/>
        <v>0</v>
      </c>
      <c r="F639" s="13"/>
      <c r="G639" s="13"/>
      <c r="H639" s="13"/>
      <c r="I639" s="13">
        <f t="shared" ca="1" si="200"/>
        <v>0</v>
      </c>
      <c r="J639" s="13">
        <f t="shared" ca="1" si="201"/>
        <v>0</v>
      </c>
      <c r="K639" s="13">
        <f t="shared" ca="1" si="202"/>
        <v>0</v>
      </c>
      <c r="L639" s="13" t="e">
        <f ca="1">ROUNDUP(IF($D$2="Egyszeri",$E639,IF($D$2="Havi",SUM($E$20:$E$31),IF(MOD($C639,$M$1)-1=0,SUM($E$20:$E$31),0))/12*$M$1)*VLOOKUP($B639,Paraméterek!$I$28:$P$31,IF($D$2="Egyszeri",8,HLOOKUP(ROUNDUP($M$11+$M$13,0),Paraméterek!$J$26:$O$27,2))),IF($D$4="Forint",0,2))</f>
        <v>#N/A</v>
      </c>
      <c r="M639" s="13">
        <f t="shared" ca="1" si="203"/>
        <v>0</v>
      </c>
      <c r="N639" s="13">
        <f t="shared" ca="1" si="213"/>
        <v>0</v>
      </c>
      <c r="O639" s="13">
        <f ca="1">IF($D639="Igen",IF($W638&gt;=IF($D$4="Forint",Paraméterek!$J$121,Paraméterek!$K$121),0,IF($D$4="Forint",Paraméterek!$J$121,Paraméterek!$K$121)-$W638),0)</f>
        <v>0</v>
      </c>
      <c r="P639" s="13" t="e">
        <f ca="1">ROUNDUP($O639*VLOOKUP($M$4+$B639-1,Paraméterek!$H$58:$I$105,2,0)/Paraméterek!$I$56,IF($D$4="Forint",0,2))</f>
        <v>#N/A</v>
      </c>
      <c r="Q639" s="13">
        <f t="shared" ca="1" si="204"/>
        <v>0</v>
      </c>
      <c r="R639" s="33"/>
      <c r="S639" s="13" t="e">
        <f t="shared" ca="1" si="205"/>
        <v>#N/A</v>
      </c>
      <c r="T639" s="13" t="e">
        <f ca="1">ROUNDUP(($N639-$P639-$Q639+$S639)*VLOOKUP($B639,Paraméterek!$I$38:$K$39,IF($D$2="Egyszeri",3,2))/12*IF($D640="Nem",IF($M$13=0,1,$M$13),1),IF($D$4="Forint",0,2))</f>
        <v>#N/A</v>
      </c>
      <c r="U639" s="13"/>
      <c r="V639" s="13"/>
      <c r="W639" s="13" t="e">
        <f ca="1">$N639-$P639-$Q639+$S639-$T639-IF(ROUNDUP(IF(ISBLANK($V639),$U639*0,$V639)/IF($D$2="Egyszeri",VLOOKUP($B639+IF($C639=12,1,0),Paraméterek!$V$257:$W$262,2),IF($B639=1,1,VLOOKUP($B639+IF($C639=12,1,0),Paraméterek!$I$258:$T$278,HLOOKUP($M$11+1,Paraméterek!$J$256:$T$257,2)))),IF($D$4="Forint",0,2))&gt;$N639-$P639-$Q639+$S639-$T639-IF($D$4="Forint",Paraméterek!$C$216,Paraméterek!$D$216),0,ROUNDUP(IF(ISBLANK($V639),$U639*0,$V639)/IF($D$2="Egyszeri",VLOOKUP($B639+IF($C639=12,1,0),Paraméterek!$V$257:$W$262,2),IF($B639=1,1,VLOOKUP($B639+IF($C639=12,1,0),Paraméterek!$I$258:$T$278,HLOOKUP($M$11+1,Paraméterek!$J$256:$T$257,2)))),IF($D$4="Forint",0,2)))</f>
        <v>#N/A</v>
      </c>
      <c r="X639" s="13" t="e">
        <f ca="1">ROUNDDOWN($W639*IF($D$2="Egyszeri",VLOOKUP($B639+IF($C639=12,1,0),Paraméterek!$V$257:$W$262,2),VLOOKUP($B639+IF($C639=12,1,0),Paraméterek!$I$258:$T$278,HLOOKUP($M$11+1,Paraméterek!$I$256:$T$257,2))),IF($D$4="Forint",0,2))</f>
        <v>#N/A</v>
      </c>
      <c r="Z639" s="32">
        <v>620</v>
      </c>
      <c r="AA639" s="32">
        <v>52</v>
      </c>
      <c r="AB639" s="32">
        <v>8</v>
      </c>
      <c r="AC639" s="13">
        <f t="shared" ca="1" si="214"/>
        <v>0</v>
      </c>
      <c r="AD639" s="33"/>
      <c r="AE639" s="13">
        <f t="shared" ca="1" si="206"/>
        <v>0</v>
      </c>
      <c r="AF639" s="13">
        <f ca="1">ROUNDUP(($AC639+$AE639)*VLOOKUP($AA639,Paraméterek!$P$38:$Q$38,2)/12*IF($D640="Nem",IF($M$13=0,1,$M$13),1),IF($D$4="Forint",0,2))</f>
        <v>0</v>
      </c>
      <c r="AG639" s="13">
        <f ca="1">IF($D$2="Egyszeri",IF($D$7&gt;=IF($D$4="Forint",Paraméterek!$P$223,Paraméterek!$P$224),$D$7-IF($D$4="Forint",Paraméterek!$P$223,Paraméterek!$P$224),0),MIN(IF($AB639=12,AVERAGEIF($E$20:$E639,"&gt;0",$E$20:$E639)*12,0),SUM($E$20:$E$31)))</f>
        <v>0</v>
      </c>
      <c r="AH639" s="13">
        <f>IF($AA639=10,$AG639*IF($AB639=12,IF($AG639&lt;IF($D$4="Forint",Paraméterek!$L$223,Paraméterek!$L$224),0,VLOOKUP($AA639,Paraméterek!$K$226:$M$228,IF($AG639&lt;IF($D$4="Forint",Paraméterek!$M$223,Paraméterek!$M$224),2,3))),0),0)</f>
        <v>0</v>
      </c>
      <c r="AI639" s="13">
        <f ca="1">IF(AND($AA639=$M$11+1,$AB639=$M$12+1),SUMIF($AA$20:$AA$1027,$AA639,$AG$20:$AG$1027)*IF(SUMIF($AA$20:$AA$1027,$AA639,$AG$20:$AG$1027)&lt;IF($D$4="Forint",Paraméterek!$L$223,Paraméterek!$L$224),0,VLOOKUP($AA639,Paraméterek!$K$230:$M$250,IF(SUMIF($AA$20:$AA$1027,$AA639,$AG$20:$AG$1027)&lt;IF($D$4="Forint",Paraméterek!$M$223,Paraméterek!$M$224),2,3))),0)</f>
        <v>0</v>
      </c>
      <c r="AJ639" s="13">
        <f ca="1">IF(AND($AA639&gt;=5,MOD($AA639,5)=0),IF($AB639=12,VLOOKUP($AA639,Paraméterek!$O$225:$P$240,2),0),IF(OR($AA639=3,$AA639=4),IF($AB639=12,VLOOKUP($AA639,Paraméterek!$O$225:$P$240,2,0),0),0))*$AG639</f>
        <v>0</v>
      </c>
      <c r="AK639" s="13">
        <f t="shared" ca="1" si="207"/>
        <v>0</v>
      </c>
      <c r="AL639" s="13">
        <f t="shared" ca="1" si="215"/>
        <v>0</v>
      </c>
      <c r="AM639" s="13">
        <f t="shared" ca="1" si="216"/>
        <v>0</v>
      </c>
      <c r="AO639" s="32">
        <v>620</v>
      </c>
      <c r="AP639" s="32">
        <v>52</v>
      </c>
      <c r="AQ639" s="32">
        <v>8</v>
      </c>
      <c r="AR639" s="13"/>
      <c r="AS639" s="32"/>
      <c r="AT639" s="13">
        <f t="shared" ca="1" si="217"/>
        <v>0</v>
      </c>
      <c r="AU639" s="33"/>
      <c r="AV639" s="13">
        <f t="shared" ca="1" si="208"/>
        <v>0</v>
      </c>
      <c r="AW639" s="13">
        <f ca="1">ROUNDUP(($AT639+$AV639)*VLOOKUP($AP639,Paraméterek!$P$38:$Q$38,2)/12*IF($D640="Nem",IF($M$13=0,1,$M$13),1),IF($D$4="Forint",0,2))</f>
        <v>0</v>
      </c>
      <c r="AX639" s="13"/>
      <c r="AY639" s="13"/>
      <c r="AZ639" s="13">
        <f>ROUNDUP(IF(SUM($AX639:$AY639)=0,0,IF(IF(ISBLANK($AY639),$AX639,$AY639)*Paraméterek!$J$112&lt;IF($D$4="Forint",Paraméterek!$J$113,Paraméterek!$K$113),IF($D$4="Forint",Paraméterek!$J$113,Paraméterek!$K$113),IF(IF(ISBLANK($AY639),$AX639,$AY639)*Paraméterek!$J$112&gt;IF($D$4="Forint",Paraméterek!$J$114,Paraméterek!$K$114),IF($D$4="Forint",Paraméterek!$J$114,Paraméterek!$K$114),IF(ISBLANK($AY639),$AX639,$AY639)*Paraméterek!$J$112))),IF($D$4="Forint",0,2))</f>
        <v>0</v>
      </c>
      <c r="BA639" s="13">
        <f ca="1">$AT639+$AV639-$AW639-IF(ROUNDDOWN(IF(ISBLANK($AY639),$AX639,$AY639),IF($D$4="Forint",0,2))&gt;$AT639+$AV639-$AW639-IF($D$4="Forint",Paraméterek!$J$114,Paraméterek!$K$114),0,ROUNDDOWN(IF(ISBLANK($AY639),$AX639,$AY639),IF($D$4="Forint",0,2))-$AZ639)</f>
        <v>0</v>
      </c>
      <c r="BB639" s="13">
        <f t="shared" ca="1" si="209"/>
        <v>0</v>
      </c>
      <c r="BD639" s="32">
        <v>620</v>
      </c>
      <c r="BE639" s="32">
        <v>52</v>
      </c>
      <c r="BF639" s="32">
        <v>8</v>
      </c>
      <c r="BG639" s="34">
        <f t="shared" ca="1" si="218"/>
        <v>2071</v>
      </c>
      <c r="BH639" s="32" t="str">
        <f ca="1">IF(MOD(MONTH($D$14)+$BD639-1,12)=Paraméterek!$C$288,"Igen","")</f>
        <v/>
      </c>
      <c r="BI639" s="13">
        <f ca="1">IF($BH639="Igen",MIN(ROUNDDOWN((SUMIF($BG$20:$BG$1027,$BG639-1,$K$20:$K$1027)-SUMIF($BG$20:$BG$1027,$BG639-1,$I$20:$I$1027))*Paraméterek!$C$289,IF($D$4="Forint",0,2)),IF($D$4="Forint",Paraméterek!$C$285,Paraméterek!$D$285)),0)</f>
        <v>0</v>
      </c>
      <c r="BJ639" s="13">
        <f t="shared" ca="1" si="210"/>
        <v>0</v>
      </c>
      <c r="BK639" s="13">
        <f t="shared" ca="1" si="219"/>
        <v>0</v>
      </c>
      <c r="BL639" s="33"/>
      <c r="BM639" s="13">
        <f t="shared" ca="1" si="211"/>
        <v>0</v>
      </c>
      <c r="BN639" s="13">
        <f ca="1">ROUNDUP(($BK639+$BM639)*VLOOKUP($BE639,Paraméterek!$P$38:$Q$38,2)/12*IF($D640="Nem",IF($M$13=0,1,$M$13),1),IF($D$4="Forint",0,2))</f>
        <v>0</v>
      </c>
      <c r="BO639" s="13">
        <f t="shared" ca="1" si="212"/>
        <v>0</v>
      </c>
      <c r="BP639" s="13">
        <f ca="1">IF($D640="Nem",$BO639,$BO639-ROUNDUP(SUM($BI$20:$BI639)*120%,IF($D$4="Forint",0,2)))</f>
        <v>0</v>
      </c>
    </row>
    <row r="640" spans="1:68" x14ac:dyDescent="0.2">
      <c r="A640" s="32">
        <v>621</v>
      </c>
      <c r="B640" s="32">
        <v>52</v>
      </c>
      <c r="C640" s="32">
        <v>9</v>
      </c>
      <c r="D640" s="32" t="str">
        <f t="shared" ca="1" si="198"/>
        <v>Nem</v>
      </c>
      <c r="E640" s="13">
        <f t="shared" ca="1" si="199"/>
        <v>0</v>
      </c>
      <c r="F640" s="13"/>
      <c r="G640" s="13"/>
      <c r="H640" s="13"/>
      <c r="I640" s="13">
        <f t="shared" ca="1" si="200"/>
        <v>0</v>
      </c>
      <c r="J640" s="13">
        <f t="shared" ca="1" si="201"/>
        <v>0</v>
      </c>
      <c r="K640" s="13">
        <f t="shared" ca="1" si="202"/>
        <v>0</v>
      </c>
      <c r="L640" s="13" t="e">
        <f ca="1">ROUNDUP(IF($D$2="Egyszeri",$E640,IF($D$2="Havi",SUM($E$20:$E$31),IF(MOD($C640,$M$1)-1=0,SUM($E$20:$E$31),0))/12*$M$1)*VLOOKUP($B640,Paraméterek!$I$28:$P$31,IF($D$2="Egyszeri",8,HLOOKUP(ROUNDUP($M$11+$M$13,0),Paraméterek!$J$26:$O$27,2))),IF($D$4="Forint",0,2))</f>
        <v>#N/A</v>
      </c>
      <c r="M640" s="13">
        <f t="shared" ca="1" si="203"/>
        <v>0</v>
      </c>
      <c r="N640" s="13">
        <f t="shared" ca="1" si="213"/>
        <v>0</v>
      </c>
      <c r="O640" s="13">
        <f ca="1">IF($D640="Igen",IF($W639&gt;=IF($D$4="Forint",Paraméterek!$J$121,Paraméterek!$K$121),0,IF($D$4="Forint",Paraméterek!$J$121,Paraméterek!$K$121)-$W639),0)</f>
        <v>0</v>
      </c>
      <c r="P640" s="13" t="e">
        <f ca="1">ROUNDUP($O640*VLOOKUP($M$4+$B640-1,Paraméterek!$H$58:$I$105,2,0)/Paraméterek!$I$56,IF($D$4="Forint",0,2))</f>
        <v>#N/A</v>
      </c>
      <c r="Q640" s="13">
        <f t="shared" ca="1" si="204"/>
        <v>0</v>
      </c>
      <c r="R640" s="33"/>
      <c r="S640" s="13" t="e">
        <f t="shared" ca="1" si="205"/>
        <v>#N/A</v>
      </c>
      <c r="T640" s="13" t="e">
        <f ca="1">ROUNDUP(($N640-$P640-$Q640+$S640)*VLOOKUP($B640,Paraméterek!$I$38:$K$39,IF($D$2="Egyszeri",3,2))/12*IF($D641="Nem",IF($M$13=0,1,$M$13),1),IF($D$4="Forint",0,2))</f>
        <v>#N/A</v>
      </c>
      <c r="U640" s="13"/>
      <c r="V640" s="13"/>
      <c r="W640" s="13" t="e">
        <f ca="1">$N640-$P640-$Q640+$S640-$T640-IF(ROUNDUP(IF(ISBLANK($V640),$U640*0,$V640)/IF($D$2="Egyszeri",VLOOKUP($B640+IF($C640=12,1,0),Paraméterek!$V$257:$W$262,2),IF($B640=1,1,VLOOKUP($B640+IF($C640=12,1,0),Paraméterek!$I$258:$T$278,HLOOKUP($M$11+1,Paraméterek!$J$256:$T$257,2)))),IF($D$4="Forint",0,2))&gt;$N640-$P640-$Q640+$S640-$T640-IF($D$4="Forint",Paraméterek!$C$216,Paraméterek!$D$216),0,ROUNDUP(IF(ISBLANK($V640),$U640*0,$V640)/IF($D$2="Egyszeri",VLOOKUP($B640+IF($C640=12,1,0),Paraméterek!$V$257:$W$262,2),IF($B640=1,1,VLOOKUP($B640+IF($C640=12,1,0),Paraméterek!$I$258:$T$278,HLOOKUP($M$11+1,Paraméterek!$J$256:$T$257,2)))),IF($D$4="Forint",0,2)))</f>
        <v>#N/A</v>
      </c>
      <c r="X640" s="13" t="e">
        <f ca="1">ROUNDDOWN($W640*IF($D$2="Egyszeri",VLOOKUP($B640+IF($C640=12,1,0),Paraméterek!$V$257:$W$262,2),VLOOKUP($B640+IF($C640=12,1,0),Paraméterek!$I$258:$T$278,HLOOKUP($M$11+1,Paraméterek!$I$256:$T$257,2))),IF($D$4="Forint",0,2))</f>
        <v>#N/A</v>
      </c>
      <c r="Z640" s="32">
        <v>621</v>
      </c>
      <c r="AA640" s="32">
        <v>52</v>
      </c>
      <c r="AB640" s="32">
        <v>9</v>
      </c>
      <c r="AC640" s="13">
        <f t="shared" ca="1" si="214"/>
        <v>0</v>
      </c>
      <c r="AD640" s="33"/>
      <c r="AE640" s="13">
        <f t="shared" ca="1" si="206"/>
        <v>0</v>
      </c>
      <c r="AF640" s="13">
        <f ca="1">ROUNDUP(($AC640+$AE640)*VLOOKUP($AA640,Paraméterek!$P$38:$Q$38,2)/12*IF($D641="Nem",IF($M$13=0,1,$M$13),1),IF($D$4="Forint",0,2))</f>
        <v>0</v>
      </c>
      <c r="AG640" s="13">
        <f ca="1">IF($D$2="Egyszeri",IF($D$7&gt;=IF($D$4="Forint",Paraméterek!$P$223,Paraméterek!$P$224),$D$7-IF($D$4="Forint",Paraméterek!$P$223,Paraméterek!$P$224),0),MIN(IF($AB640=12,AVERAGEIF($E$20:$E640,"&gt;0",$E$20:$E640)*12,0),SUM($E$20:$E$31)))</f>
        <v>0</v>
      </c>
      <c r="AH640" s="13">
        <f>IF($AA640=10,$AG640*IF($AB640=12,IF($AG640&lt;IF($D$4="Forint",Paraméterek!$L$223,Paraméterek!$L$224),0,VLOOKUP($AA640,Paraméterek!$K$226:$M$228,IF($AG640&lt;IF($D$4="Forint",Paraméterek!$M$223,Paraméterek!$M$224),2,3))),0),0)</f>
        <v>0</v>
      </c>
      <c r="AI640" s="13">
        <f ca="1">IF(AND($AA640=$M$11+1,$AB640=$M$12+1),SUMIF($AA$20:$AA$1027,$AA640,$AG$20:$AG$1027)*IF(SUMIF($AA$20:$AA$1027,$AA640,$AG$20:$AG$1027)&lt;IF($D$4="Forint",Paraméterek!$L$223,Paraméterek!$L$224),0,VLOOKUP($AA640,Paraméterek!$K$230:$M$250,IF(SUMIF($AA$20:$AA$1027,$AA640,$AG$20:$AG$1027)&lt;IF($D$4="Forint",Paraméterek!$M$223,Paraméterek!$M$224),2,3))),0)</f>
        <v>0</v>
      </c>
      <c r="AJ640" s="13">
        <f ca="1">IF(AND($AA640&gt;=5,MOD($AA640,5)=0),IF($AB640=12,VLOOKUP($AA640,Paraméterek!$O$225:$P$240,2),0),IF(OR($AA640=3,$AA640=4),IF($AB640=12,VLOOKUP($AA640,Paraméterek!$O$225:$P$240,2,0),0),0))*$AG640</f>
        <v>0</v>
      </c>
      <c r="AK640" s="13">
        <f t="shared" ca="1" si="207"/>
        <v>0</v>
      </c>
      <c r="AL640" s="13">
        <f t="shared" ca="1" si="215"/>
        <v>0</v>
      </c>
      <c r="AM640" s="13">
        <f t="shared" ca="1" si="216"/>
        <v>0</v>
      </c>
      <c r="AO640" s="32">
        <v>621</v>
      </c>
      <c r="AP640" s="32">
        <v>52</v>
      </c>
      <c r="AQ640" s="32">
        <v>9</v>
      </c>
      <c r="AR640" s="13"/>
      <c r="AS640" s="32"/>
      <c r="AT640" s="13">
        <f t="shared" ca="1" si="217"/>
        <v>0</v>
      </c>
      <c r="AU640" s="33"/>
      <c r="AV640" s="13">
        <f t="shared" ca="1" si="208"/>
        <v>0</v>
      </c>
      <c r="AW640" s="13">
        <f ca="1">ROUNDUP(($AT640+$AV640)*VLOOKUP($AP640,Paraméterek!$P$38:$Q$38,2)/12*IF($D641="Nem",IF($M$13=0,1,$M$13),1),IF($D$4="Forint",0,2))</f>
        <v>0</v>
      </c>
      <c r="AX640" s="13"/>
      <c r="AY640" s="13"/>
      <c r="AZ640" s="13">
        <f>ROUNDUP(IF(SUM($AX640:$AY640)=0,0,IF(IF(ISBLANK($AY640),$AX640,$AY640)*Paraméterek!$J$112&lt;IF($D$4="Forint",Paraméterek!$J$113,Paraméterek!$K$113),IF($D$4="Forint",Paraméterek!$J$113,Paraméterek!$K$113),IF(IF(ISBLANK($AY640),$AX640,$AY640)*Paraméterek!$J$112&gt;IF($D$4="Forint",Paraméterek!$J$114,Paraméterek!$K$114),IF($D$4="Forint",Paraméterek!$J$114,Paraméterek!$K$114),IF(ISBLANK($AY640),$AX640,$AY640)*Paraméterek!$J$112))),IF($D$4="Forint",0,2))</f>
        <v>0</v>
      </c>
      <c r="BA640" s="13">
        <f ca="1">$AT640+$AV640-$AW640-IF(ROUNDDOWN(IF(ISBLANK($AY640),$AX640,$AY640),IF($D$4="Forint",0,2))&gt;$AT640+$AV640-$AW640-IF($D$4="Forint",Paraméterek!$J$114,Paraméterek!$K$114),0,ROUNDDOWN(IF(ISBLANK($AY640),$AX640,$AY640),IF($D$4="Forint",0,2))-$AZ640)</f>
        <v>0</v>
      </c>
      <c r="BB640" s="13">
        <f t="shared" ca="1" si="209"/>
        <v>0</v>
      </c>
      <c r="BD640" s="32">
        <v>621</v>
      </c>
      <c r="BE640" s="32">
        <v>52</v>
      </c>
      <c r="BF640" s="32">
        <v>9</v>
      </c>
      <c r="BG640" s="34">
        <f t="shared" ca="1" si="218"/>
        <v>2071</v>
      </c>
      <c r="BH640" s="32" t="str">
        <f ca="1">IF(MOD(MONTH($D$14)+$BD640-1,12)=Paraméterek!$C$288,"Igen","")</f>
        <v/>
      </c>
      <c r="BI640" s="13">
        <f ca="1">IF($BH640="Igen",MIN(ROUNDDOWN((SUMIF($BG$20:$BG$1027,$BG640-1,$K$20:$K$1027)-SUMIF($BG$20:$BG$1027,$BG640-1,$I$20:$I$1027))*Paraméterek!$C$289,IF($D$4="Forint",0,2)),IF($D$4="Forint",Paraméterek!$C$285,Paraméterek!$D$285)),0)</f>
        <v>0</v>
      </c>
      <c r="BJ640" s="13">
        <f t="shared" ca="1" si="210"/>
        <v>0</v>
      </c>
      <c r="BK640" s="13">
        <f t="shared" ca="1" si="219"/>
        <v>0</v>
      </c>
      <c r="BL640" s="33"/>
      <c r="BM640" s="13">
        <f t="shared" ca="1" si="211"/>
        <v>0</v>
      </c>
      <c r="BN640" s="13">
        <f ca="1">ROUNDUP(($BK640+$BM640)*VLOOKUP($BE640,Paraméterek!$P$38:$Q$38,2)/12*IF($D641="Nem",IF($M$13=0,1,$M$13),1),IF($D$4="Forint",0,2))</f>
        <v>0</v>
      </c>
      <c r="BO640" s="13">
        <f t="shared" ca="1" si="212"/>
        <v>0</v>
      </c>
      <c r="BP640" s="13">
        <f ca="1">IF($D641="Nem",$BO640,$BO640-ROUNDUP(SUM($BI$20:$BI640)*120%,IF($D$4="Forint",0,2)))</f>
        <v>0</v>
      </c>
    </row>
    <row r="641" spans="1:68" x14ac:dyDescent="0.2">
      <c r="A641" s="32">
        <v>622</v>
      </c>
      <c r="B641" s="32">
        <v>52</v>
      </c>
      <c r="C641" s="32">
        <v>10</v>
      </c>
      <c r="D641" s="32" t="str">
        <f t="shared" ca="1" si="198"/>
        <v>Nem</v>
      </c>
      <c r="E641" s="13">
        <f t="shared" ca="1" si="199"/>
        <v>0</v>
      </c>
      <c r="F641" s="13"/>
      <c r="G641" s="13"/>
      <c r="H641" s="13"/>
      <c r="I641" s="13">
        <f t="shared" ca="1" si="200"/>
        <v>0</v>
      </c>
      <c r="J641" s="13">
        <f t="shared" ca="1" si="201"/>
        <v>0</v>
      </c>
      <c r="K641" s="13">
        <f t="shared" ca="1" si="202"/>
        <v>0</v>
      </c>
      <c r="L641" s="13" t="e">
        <f ca="1">ROUNDUP(IF($D$2="Egyszeri",$E641,IF($D$2="Havi",SUM($E$20:$E$31),IF(MOD($C641,$M$1)-1=0,SUM($E$20:$E$31),0))/12*$M$1)*VLOOKUP($B641,Paraméterek!$I$28:$P$31,IF($D$2="Egyszeri",8,HLOOKUP(ROUNDUP($M$11+$M$13,0),Paraméterek!$J$26:$O$27,2))),IF($D$4="Forint",0,2))</f>
        <v>#N/A</v>
      </c>
      <c r="M641" s="13">
        <f t="shared" ca="1" si="203"/>
        <v>0</v>
      </c>
      <c r="N641" s="13">
        <f t="shared" ca="1" si="213"/>
        <v>0</v>
      </c>
      <c r="O641" s="13">
        <f ca="1">IF($D641="Igen",IF($W640&gt;=IF($D$4="Forint",Paraméterek!$J$121,Paraméterek!$K$121),0,IF($D$4="Forint",Paraméterek!$J$121,Paraméterek!$K$121)-$W640),0)</f>
        <v>0</v>
      </c>
      <c r="P641" s="13" t="e">
        <f ca="1">ROUNDUP($O641*VLOOKUP($M$4+$B641-1,Paraméterek!$H$58:$I$105,2,0)/Paraméterek!$I$56,IF($D$4="Forint",0,2))</f>
        <v>#N/A</v>
      </c>
      <c r="Q641" s="13">
        <f t="shared" ca="1" si="204"/>
        <v>0</v>
      </c>
      <c r="R641" s="33"/>
      <c r="S641" s="13" t="e">
        <f t="shared" ca="1" si="205"/>
        <v>#N/A</v>
      </c>
      <c r="T641" s="13" t="e">
        <f ca="1">ROUNDUP(($N641-$P641-$Q641+$S641)*VLOOKUP($B641,Paraméterek!$I$38:$K$39,IF($D$2="Egyszeri",3,2))/12*IF($D642="Nem",IF($M$13=0,1,$M$13),1),IF($D$4="Forint",0,2))</f>
        <v>#N/A</v>
      </c>
      <c r="U641" s="13"/>
      <c r="V641" s="13"/>
      <c r="W641" s="13" t="e">
        <f ca="1">$N641-$P641-$Q641+$S641-$T641-IF(ROUNDUP(IF(ISBLANK($V641),$U641*0,$V641)/IF($D$2="Egyszeri",VLOOKUP($B641+IF($C641=12,1,0),Paraméterek!$V$257:$W$262,2),IF($B641=1,1,VLOOKUP($B641+IF($C641=12,1,0),Paraméterek!$I$258:$T$278,HLOOKUP($M$11+1,Paraméterek!$J$256:$T$257,2)))),IF($D$4="Forint",0,2))&gt;$N641-$P641-$Q641+$S641-$T641-IF($D$4="Forint",Paraméterek!$C$216,Paraméterek!$D$216),0,ROUNDUP(IF(ISBLANK($V641),$U641*0,$V641)/IF($D$2="Egyszeri",VLOOKUP($B641+IF($C641=12,1,0),Paraméterek!$V$257:$W$262,2),IF($B641=1,1,VLOOKUP($B641+IF($C641=12,1,0),Paraméterek!$I$258:$T$278,HLOOKUP($M$11+1,Paraméterek!$J$256:$T$257,2)))),IF($D$4="Forint",0,2)))</f>
        <v>#N/A</v>
      </c>
      <c r="X641" s="13" t="e">
        <f ca="1">ROUNDDOWN($W641*IF($D$2="Egyszeri",VLOOKUP($B641+IF($C641=12,1,0),Paraméterek!$V$257:$W$262,2),VLOOKUP($B641+IF($C641=12,1,0),Paraméterek!$I$258:$T$278,HLOOKUP($M$11+1,Paraméterek!$I$256:$T$257,2))),IF($D$4="Forint",0,2))</f>
        <v>#N/A</v>
      </c>
      <c r="Z641" s="32">
        <v>622</v>
      </c>
      <c r="AA641" s="32">
        <v>52</v>
      </c>
      <c r="AB641" s="32">
        <v>10</v>
      </c>
      <c r="AC641" s="13">
        <f t="shared" ca="1" si="214"/>
        <v>0</v>
      </c>
      <c r="AD641" s="33"/>
      <c r="AE641" s="13">
        <f t="shared" ca="1" si="206"/>
        <v>0</v>
      </c>
      <c r="AF641" s="13">
        <f ca="1">ROUNDUP(($AC641+$AE641)*VLOOKUP($AA641,Paraméterek!$P$38:$Q$38,2)/12*IF($D642="Nem",IF($M$13=0,1,$M$13),1),IF($D$4="Forint",0,2))</f>
        <v>0</v>
      </c>
      <c r="AG641" s="13">
        <f ca="1">IF($D$2="Egyszeri",IF($D$7&gt;=IF($D$4="Forint",Paraméterek!$P$223,Paraméterek!$P$224),$D$7-IF($D$4="Forint",Paraméterek!$P$223,Paraméterek!$P$224),0),MIN(IF($AB641=12,AVERAGEIF($E$20:$E641,"&gt;0",$E$20:$E641)*12,0),SUM($E$20:$E$31)))</f>
        <v>0</v>
      </c>
      <c r="AH641" s="13">
        <f>IF($AA641=10,$AG641*IF($AB641=12,IF($AG641&lt;IF($D$4="Forint",Paraméterek!$L$223,Paraméterek!$L$224),0,VLOOKUP($AA641,Paraméterek!$K$226:$M$228,IF($AG641&lt;IF($D$4="Forint",Paraméterek!$M$223,Paraméterek!$M$224),2,3))),0),0)</f>
        <v>0</v>
      </c>
      <c r="AI641" s="13">
        <f ca="1">IF(AND($AA641=$M$11+1,$AB641=$M$12+1),SUMIF($AA$20:$AA$1027,$AA641,$AG$20:$AG$1027)*IF(SUMIF($AA$20:$AA$1027,$AA641,$AG$20:$AG$1027)&lt;IF($D$4="Forint",Paraméterek!$L$223,Paraméterek!$L$224),0,VLOOKUP($AA641,Paraméterek!$K$230:$M$250,IF(SUMIF($AA$20:$AA$1027,$AA641,$AG$20:$AG$1027)&lt;IF($D$4="Forint",Paraméterek!$M$223,Paraméterek!$M$224),2,3))),0)</f>
        <v>0</v>
      </c>
      <c r="AJ641" s="13">
        <f ca="1">IF(AND($AA641&gt;=5,MOD($AA641,5)=0),IF($AB641=12,VLOOKUP($AA641,Paraméterek!$O$225:$P$240,2),0),IF(OR($AA641=3,$AA641=4),IF($AB641=12,VLOOKUP($AA641,Paraméterek!$O$225:$P$240,2,0),0),0))*$AG641</f>
        <v>0</v>
      </c>
      <c r="AK641" s="13">
        <f t="shared" ca="1" si="207"/>
        <v>0</v>
      </c>
      <c r="AL641" s="13">
        <f t="shared" ca="1" si="215"/>
        <v>0</v>
      </c>
      <c r="AM641" s="13">
        <f t="shared" ca="1" si="216"/>
        <v>0</v>
      </c>
      <c r="AO641" s="32">
        <v>622</v>
      </c>
      <c r="AP641" s="32">
        <v>52</v>
      </c>
      <c r="AQ641" s="32">
        <v>10</v>
      </c>
      <c r="AR641" s="13"/>
      <c r="AS641" s="32"/>
      <c r="AT641" s="13">
        <f t="shared" ca="1" si="217"/>
        <v>0</v>
      </c>
      <c r="AU641" s="33"/>
      <c r="AV641" s="13">
        <f t="shared" ca="1" si="208"/>
        <v>0</v>
      </c>
      <c r="AW641" s="13">
        <f ca="1">ROUNDUP(($AT641+$AV641)*VLOOKUP($AP641,Paraméterek!$P$38:$Q$38,2)/12*IF($D642="Nem",IF($M$13=0,1,$M$13),1),IF($D$4="Forint",0,2))</f>
        <v>0</v>
      </c>
      <c r="AX641" s="13"/>
      <c r="AY641" s="13"/>
      <c r="AZ641" s="13">
        <f>ROUNDUP(IF(SUM($AX641:$AY641)=0,0,IF(IF(ISBLANK($AY641),$AX641,$AY641)*Paraméterek!$J$112&lt;IF($D$4="Forint",Paraméterek!$J$113,Paraméterek!$K$113),IF($D$4="Forint",Paraméterek!$J$113,Paraméterek!$K$113),IF(IF(ISBLANK($AY641),$AX641,$AY641)*Paraméterek!$J$112&gt;IF($D$4="Forint",Paraméterek!$J$114,Paraméterek!$K$114),IF($D$4="Forint",Paraméterek!$J$114,Paraméterek!$K$114),IF(ISBLANK($AY641),$AX641,$AY641)*Paraméterek!$J$112))),IF($D$4="Forint",0,2))</f>
        <v>0</v>
      </c>
      <c r="BA641" s="13">
        <f ca="1">$AT641+$AV641-$AW641-IF(ROUNDDOWN(IF(ISBLANK($AY641),$AX641,$AY641),IF($D$4="Forint",0,2))&gt;$AT641+$AV641-$AW641-IF($D$4="Forint",Paraméterek!$J$114,Paraméterek!$K$114),0,ROUNDDOWN(IF(ISBLANK($AY641),$AX641,$AY641),IF($D$4="Forint",0,2))-$AZ641)</f>
        <v>0</v>
      </c>
      <c r="BB641" s="13">
        <f t="shared" ca="1" si="209"/>
        <v>0</v>
      </c>
      <c r="BD641" s="32">
        <v>622</v>
      </c>
      <c r="BE641" s="32">
        <v>52</v>
      </c>
      <c r="BF641" s="32">
        <v>10</v>
      </c>
      <c r="BG641" s="34">
        <f t="shared" ca="1" si="218"/>
        <v>2071</v>
      </c>
      <c r="BH641" s="32" t="str">
        <f ca="1">IF(MOD(MONTH($D$14)+$BD641-1,12)=Paraméterek!$C$288,"Igen","")</f>
        <v/>
      </c>
      <c r="BI641" s="13">
        <f ca="1">IF($BH641="Igen",MIN(ROUNDDOWN((SUMIF($BG$20:$BG$1027,$BG641-1,$K$20:$K$1027)-SUMIF($BG$20:$BG$1027,$BG641-1,$I$20:$I$1027))*Paraméterek!$C$289,IF($D$4="Forint",0,2)),IF($D$4="Forint",Paraméterek!$C$285,Paraméterek!$D$285)),0)</f>
        <v>0</v>
      </c>
      <c r="BJ641" s="13">
        <f t="shared" ca="1" si="210"/>
        <v>0</v>
      </c>
      <c r="BK641" s="13">
        <f t="shared" ca="1" si="219"/>
        <v>0</v>
      </c>
      <c r="BL641" s="33"/>
      <c r="BM641" s="13">
        <f t="shared" ca="1" si="211"/>
        <v>0</v>
      </c>
      <c r="BN641" s="13">
        <f ca="1">ROUNDUP(($BK641+$BM641)*VLOOKUP($BE641,Paraméterek!$P$38:$Q$38,2)/12*IF($D642="Nem",IF($M$13=0,1,$M$13),1),IF($D$4="Forint",0,2))</f>
        <v>0</v>
      </c>
      <c r="BO641" s="13">
        <f t="shared" ca="1" si="212"/>
        <v>0</v>
      </c>
      <c r="BP641" s="13">
        <f ca="1">IF($D642="Nem",$BO641,$BO641-ROUNDUP(SUM($BI$20:$BI641)*120%,IF($D$4="Forint",0,2)))</f>
        <v>0</v>
      </c>
    </row>
    <row r="642" spans="1:68" x14ac:dyDescent="0.2">
      <c r="A642" s="32">
        <v>623</v>
      </c>
      <c r="B642" s="32">
        <v>52</v>
      </c>
      <c r="C642" s="32">
        <v>11</v>
      </c>
      <c r="D642" s="32" t="str">
        <f t="shared" ca="1" si="198"/>
        <v>Nem</v>
      </c>
      <c r="E642" s="13">
        <f t="shared" ca="1" si="199"/>
        <v>0</v>
      </c>
      <c r="F642" s="13"/>
      <c r="G642" s="13"/>
      <c r="H642" s="13"/>
      <c r="I642" s="13">
        <f t="shared" ca="1" si="200"/>
        <v>0</v>
      </c>
      <c r="J642" s="13">
        <f t="shared" ca="1" si="201"/>
        <v>0</v>
      </c>
      <c r="K642" s="13">
        <f t="shared" ca="1" si="202"/>
        <v>0</v>
      </c>
      <c r="L642" s="13" t="e">
        <f ca="1">ROUNDUP(IF($D$2="Egyszeri",$E642,IF($D$2="Havi",SUM($E$20:$E$31),IF(MOD($C642,$M$1)-1=0,SUM($E$20:$E$31),0))/12*$M$1)*VLOOKUP($B642,Paraméterek!$I$28:$P$31,IF($D$2="Egyszeri",8,HLOOKUP(ROUNDUP($M$11+$M$13,0),Paraméterek!$J$26:$O$27,2))),IF($D$4="Forint",0,2))</f>
        <v>#N/A</v>
      </c>
      <c r="M642" s="13">
        <f t="shared" ca="1" si="203"/>
        <v>0</v>
      </c>
      <c r="N642" s="13">
        <f t="shared" ca="1" si="213"/>
        <v>0</v>
      </c>
      <c r="O642" s="13">
        <f ca="1">IF($D642="Igen",IF($W641&gt;=IF($D$4="Forint",Paraméterek!$J$121,Paraméterek!$K$121),0,IF($D$4="Forint",Paraméterek!$J$121,Paraméterek!$K$121)-$W641),0)</f>
        <v>0</v>
      </c>
      <c r="P642" s="13" t="e">
        <f ca="1">ROUNDUP($O642*VLOOKUP($M$4+$B642-1,Paraméterek!$H$58:$I$105,2,0)/Paraméterek!$I$56,IF($D$4="Forint",0,2))</f>
        <v>#N/A</v>
      </c>
      <c r="Q642" s="13">
        <f t="shared" ca="1" si="204"/>
        <v>0</v>
      </c>
      <c r="R642" s="33"/>
      <c r="S642" s="13" t="e">
        <f t="shared" ca="1" si="205"/>
        <v>#N/A</v>
      </c>
      <c r="T642" s="13" t="e">
        <f ca="1">ROUNDUP(($N642-$P642-$Q642+$S642)*VLOOKUP($B642,Paraméterek!$I$38:$K$39,IF($D$2="Egyszeri",3,2))/12*IF($D643="Nem",IF($M$13=0,1,$M$13),1),IF($D$4="Forint",0,2))</f>
        <v>#N/A</v>
      </c>
      <c r="U642" s="13"/>
      <c r="V642" s="13"/>
      <c r="W642" s="13" t="e">
        <f ca="1">$N642-$P642-$Q642+$S642-$T642-IF(ROUNDUP(IF(ISBLANK($V642),$U642*0,$V642)/IF($D$2="Egyszeri",VLOOKUP($B642+IF($C642=12,1,0),Paraméterek!$V$257:$W$262,2),IF($B642=1,1,VLOOKUP($B642+IF($C642=12,1,0),Paraméterek!$I$258:$T$278,HLOOKUP($M$11+1,Paraméterek!$J$256:$T$257,2)))),IF($D$4="Forint",0,2))&gt;$N642-$P642-$Q642+$S642-$T642-IF($D$4="Forint",Paraméterek!$C$216,Paraméterek!$D$216),0,ROUNDUP(IF(ISBLANK($V642),$U642*0,$V642)/IF($D$2="Egyszeri",VLOOKUP($B642+IF($C642=12,1,0),Paraméterek!$V$257:$W$262,2),IF($B642=1,1,VLOOKUP($B642+IF($C642=12,1,0),Paraméterek!$I$258:$T$278,HLOOKUP($M$11+1,Paraméterek!$J$256:$T$257,2)))),IF($D$4="Forint",0,2)))</f>
        <v>#N/A</v>
      </c>
      <c r="X642" s="13" t="e">
        <f ca="1">ROUNDDOWN($W642*IF($D$2="Egyszeri",VLOOKUP($B642+IF($C642=12,1,0),Paraméterek!$V$257:$W$262,2),VLOOKUP($B642+IF($C642=12,1,0),Paraméterek!$I$258:$T$278,HLOOKUP($M$11+1,Paraméterek!$I$256:$T$257,2))),IF($D$4="Forint",0,2))</f>
        <v>#N/A</v>
      </c>
      <c r="Z642" s="32">
        <v>623</v>
      </c>
      <c r="AA642" s="32">
        <v>52</v>
      </c>
      <c r="AB642" s="32">
        <v>11</v>
      </c>
      <c r="AC642" s="13">
        <f t="shared" ca="1" si="214"/>
        <v>0</v>
      </c>
      <c r="AD642" s="33"/>
      <c r="AE642" s="13">
        <f t="shared" ca="1" si="206"/>
        <v>0</v>
      </c>
      <c r="AF642" s="13">
        <f ca="1">ROUNDUP(($AC642+$AE642)*VLOOKUP($AA642,Paraméterek!$P$38:$Q$38,2)/12*IF($D643="Nem",IF($M$13=0,1,$M$13),1),IF($D$4="Forint",0,2))</f>
        <v>0</v>
      </c>
      <c r="AG642" s="13">
        <f ca="1">IF($D$2="Egyszeri",IF($D$7&gt;=IF($D$4="Forint",Paraméterek!$P$223,Paraméterek!$P$224),$D$7-IF($D$4="Forint",Paraméterek!$P$223,Paraméterek!$P$224),0),MIN(IF($AB642=12,AVERAGEIF($E$20:$E642,"&gt;0",$E$20:$E642)*12,0),SUM($E$20:$E$31)))</f>
        <v>0</v>
      </c>
      <c r="AH642" s="13">
        <f>IF($AA642=10,$AG642*IF($AB642=12,IF($AG642&lt;IF($D$4="Forint",Paraméterek!$L$223,Paraméterek!$L$224),0,VLOOKUP($AA642,Paraméterek!$K$226:$M$228,IF($AG642&lt;IF($D$4="Forint",Paraméterek!$M$223,Paraméterek!$M$224),2,3))),0),0)</f>
        <v>0</v>
      </c>
      <c r="AI642" s="13">
        <f ca="1">IF(AND($AA642=$M$11+1,$AB642=$M$12+1),SUMIF($AA$20:$AA$1027,$AA642,$AG$20:$AG$1027)*IF(SUMIF($AA$20:$AA$1027,$AA642,$AG$20:$AG$1027)&lt;IF($D$4="Forint",Paraméterek!$L$223,Paraméterek!$L$224),0,VLOOKUP($AA642,Paraméterek!$K$230:$M$250,IF(SUMIF($AA$20:$AA$1027,$AA642,$AG$20:$AG$1027)&lt;IF($D$4="Forint",Paraméterek!$M$223,Paraméterek!$M$224),2,3))),0)</f>
        <v>0</v>
      </c>
      <c r="AJ642" s="13">
        <f ca="1">IF(AND($AA642&gt;=5,MOD($AA642,5)=0),IF($AB642=12,VLOOKUP($AA642,Paraméterek!$O$225:$P$240,2),0),IF(OR($AA642=3,$AA642=4),IF($AB642=12,VLOOKUP($AA642,Paraméterek!$O$225:$P$240,2,0),0),0))*$AG642</f>
        <v>0</v>
      </c>
      <c r="AK642" s="13">
        <f t="shared" ca="1" si="207"/>
        <v>0</v>
      </c>
      <c r="AL642" s="13">
        <f t="shared" ca="1" si="215"/>
        <v>0</v>
      </c>
      <c r="AM642" s="13">
        <f t="shared" ca="1" si="216"/>
        <v>0</v>
      </c>
      <c r="AO642" s="32">
        <v>623</v>
      </c>
      <c r="AP642" s="32">
        <v>52</v>
      </c>
      <c r="AQ642" s="32">
        <v>11</v>
      </c>
      <c r="AR642" s="13"/>
      <c r="AS642" s="32"/>
      <c r="AT642" s="13">
        <f t="shared" ca="1" si="217"/>
        <v>0</v>
      </c>
      <c r="AU642" s="33"/>
      <c r="AV642" s="13">
        <f t="shared" ca="1" si="208"/>
        <v>0</v>
      </c>
      <c r="AW642" s="13">
        <f ca="1">ROUNDUP(($AT642+$AV642)*VLOOKUP($AP642,Paraméterek!$P$38:$Q$38,2)/12*IF($D643="Nem",IF($M$13=0,1,$M$13),1),IF($D$4="Forint",0,2))</f>
        <v>0</v>
      </c>
      <c r="AX642" s="13"/>
      <c r="AY642" s="13"/>
      <c r="AZ642" s="13">
        <f>ROUNDUP(IF(SUM($AX642:$AY642)=0,0,IF(IF(ISBLANK($AY642),$AX642,$AY642)*Paraméterek!$J$112&lt;IF($D$4="Forint",Paraméterek!$J$113,Paraméterek!$K$113),IF($D$4="Forint",Paraméterek!$J$113,Paraméterek!$K$113),IF(IF(ISBLANK($AY642),$AX642,$AY642)*Paraméterek!$J$112&gt;IF($D$4="Forint",Paraméterek!$J$114,Paraméterek!$K$114),IF($D$4="Forint",Paraméterek!$J$114,Paraméterek!$K$114),IF(ISBLANK($AY642),$AX642,$AY642)*Paraméterek!$J$112))),IF($D$4="Forint",0,2))</f>
        <v>0</v>
      </c>
      <c r="BA642" s="13">
        <f ca="1">$AT642+$AV642-$AW642-IF(ROUNDDOWN(IF(ISBLANK($AY642),$AX642,$AY642),IF($D$4="Forint",0,2))&gt;$AT642+$AV642-$AW642-IF($D$4="Forint",Paraméterek!$J$114,Paraméterek!$K$114),0,ROUNDDOWN(IF(ISBLANK($AY642),$AX642,$AY642),IF($D$4="Forint",0,2))-$AZ642)</f>
        <v>0</v>
      </c>
      <c r="BB642" s="13">
        <f t="shared" ca="1" si="209"/>
        <v>0</v>
      </c>
      <c r="BD642" s="32">
        <v>623</v>
      </c>
      <c r="BE642" s="32">
        <v>52</v>
      </c>
      <c r="BF642" s="32">
        <v>11</v>
      </c>
      <c r="BG642" s="34">
        <f t="shared" ca="1" si="218"/>
        <v>2071</v>
      </c>
      <c r="BH642" s="32" t="str">
        <f ca="1">IF(MOD(MONTH($D$14)+$BD642-1,12)=Paraméterek!$C$288,"Igen","")</f>
        <v/>
      </c>
      <c r="BI642" s="13">
        <f ca="1">IF($BH642="Igen",MIN(ROUNDDOWN((SUMIF($BG$20:$BG$1027,$BG642-1,$K$20:$K$1027)-SUMIF($BG$20:$BG$1027,$BG642-1,$I$20:$I$1027))*Paraméterek!$C$289,IF($D$4="Forint",0,2)),IF($D$4="Forint",Paraméterek!$C$285,Paraméterek!$D$285)),0)</f>
        <v>0</v>
      </c>
      <c r="BJ642" s="13">
        <f t="shared" ca="1" si="210"/>
        <v>0</v>
      </c>
      <c r="BK642" s="13">
        <f t="shared" ca="1" si="219"/>
        <v>0</v>
      </c>
      <c r="BL642" s="33"/>
      <c r="BM642" s="13">
        <f t="shared" ca="1" si="211"/>
        <v>0</v>
      </c>
      <c r="BN642" s="13">
        <f ca="1">ROUNDUP(($BK642+$BM642)*VLOOKUP($BE642,Paraméterek!$P$38:$Q$38,2)/12*IF($D643="Nem",IF($M$13=0,1,$M$13),1),IF($D$4="Forint",0,2))</f>
        <v>0</v>
      </c>
      <c r="BO642" s="13">
        <f t="shared" ca="1" si="212"/>
        <v>0</v>
      </c>
      <c r="BP642" s="13">
        <f ca="1">IF($D643="Nem",$BO642,$BO642-ROUNDUP(SUM($BI$20:$BI642)*120%,IF($D$4="Forint",0,2)))</f>
        <v>0</v>
      </c>
    </row>
    <row r="643" spans="1:68" x14ac:dyDescent="0.2">
      <c r="A643" s="32">
        <v>624</v>
      </c>
      <c r="B643" s="32">
        <v>52</v>
      </c>
      <c r="C643" s="32">
        <v>12</v>
      </c>
      <c r="D643" s="32" t="str">
        <f t="shared" ca="1" si="198"/>
        <v>Nem</v>
      </c>
      <c r="E643" s="13">
        <f t="shared" ca="1" si="199"/>
        <v>0</v>
      </c>
      <c r="F643" s="13"/>
      <c r="G643" s="13"/>
      <c r="H643" s="13"/>
      <c r="I643" s="13">
        <f t="shared" ca="1" si="200"/>
        <v>0</v>
      </c>
      <c r="J643" s="13">
        <f t="shared" ca="1" si="201"/>
        <v>0</v>
      </c>
      <c r="K643" s="13">
        <f t="shared" ca="1" si="202"/>
        <v>0</v>
      </c>
      <c r="L643" s="13" t="e">
        <f ca="1">ROUNDUP(IF($D$2="Egyszeri",$E643,IF($D$2="Havi",SUM($E$20:$E$31),IF(MOD($C643,$M$1)-1=0,SUM($E$20:$E$31),0))/12*$M$1)*VLOOKUP($B643,Paraméterek!$I$28:$P$31,IF($D$2="Egyszeri",8,HLOOKUP(ROUNDUP($M$11+$M$13,0),Paraméterek!$J$26:$O$27,2))),IF($D$4="Forint",0,2))</f>
        <v>#N/A</v>
      </c>
      <c r="M643" s="13">
        <f t="shared" ca="1" si="203"/>
        <v>0</v>
      </c>
      <c r="N643" s="13">
        <f t="shared" ca="1" si="213"/>
        <v>0</v>
      </c>
      <c r="O643" s="13">
        <f ca="1">IF($D643="Igen",IF($W642&gt;=IF($D$4="Forint",Paraméterek!$J$121,Paraméterek!$K$121),0,IF($D$4="Forint",Paraméterek!$J$121,Paraméterek!$K$121)-$W642),0)</f>
        <v>0</v>
      </c>
      <c r="P643" s="13" t="e">
        <f ca="1">ROUNDUP($O643*VLOOKUP($M$4+$B643-1,Paraméterek!$H$58:$I$105,2,0)/Paraméterek!$I$56,IF($D$4="Forint",0,2))</f>
        <v>#N/A</v>
      </c>
      <c r="Q643" s="13">
        <f t="shared" ca="1" si="204"/>
        <v>0</v>
      </c>
      <c r="R643" s="33"/>
      <c r="S643" s="13" t="e">
        <f t="shared" ca="1" si="205"/>
        <v>#N/A</v>
      </c>
      <c r="T643" s="13" t="e">
        <f ca="1">ROUNDUP(($N643-$P643-$Q643+$S643)*VLOOKUP($B643,Paraméterek!$I$38:$K$39,IF($D$2="Egyszeri",3,2))/12*IF($D644="Nem",IF($M$13=0,1,$M$13),1),IF($D$4="Forint",0,2))</f>
        <v>#N/A</v>
      </c>
      <c r="U643" s="13">
        <f>Tranzakciók!$F$83</f>
        <v>0</v>
      </c>
      <c r="V643" s="13"/>
      <c r="W643" s="13" t="e">
        <f ca="1">$N643-$P643-$Q643+$S643-$T643-IF(ROUNDUP(IF(ISBLANK($V643),$U643*0,$V643)/IF($D$2="Egyszeri",VLOOKUP($B643+IF($C643=12,1,0),Paraméterek!$V$257:$W$262,2),IF($B643=1,1,VLOOKUP($B643+IF($C643=12,1,0),Paraméterek!$I$258:$T$278,HLOOKUP($M$11+1,Paraméterek!$J$256:$T$257,2)))),IF($D$4="Forint",0,2))&gt;$N643-$P643-$Q643+$S643-$T643-IF($D$4="Forint",Paraméterek!$C$216,Paraméterek!$D$216),0,ROUNDUP(IF(ISBLANK($V643),$U643*0,$V643)/IF($D$2="Egyszeri",VLOOKUP($B643+IF($C643=12,1,0),Paraméterek!$V$257:$W$262,2),IF($B643=1,1,VLOOKUP($B643+IF($C643=12,1,0),Paraméterek!$I$258:$T$278,HLOOKUP($M$11+1,Paraméterek!$J$256:$T$257,2)))),IF($D$4="Forint",0,2)))</f>
        <v>#N/A</v>
      </c>
      <c r="X643" s="13" t="e">
        <f ca="1">ROUNDDOWN($W643*IF($D$2="Egyszeri",VLOOKUP($B643+IF($C643=12,1,0),Paraméterek!$V$257:$W$262,2),VLOOKUP($B643+IF($C643=12,1,0),Paraméterek!$I$258:$T$278,HLOOKUP($M$11+1,Paraméterek!$I$256:$T$257,2))),IF($D$4="Forint",0,2))</f>
        <v>#N/A</v>
      </c>
      <c r="Z643" s="32">
        <v>624</v>
      </c>
      <c r="AA643" s="32">
        <v>52</v>
      </c>
      <c r="AB643" s="32">
        <v>12</v>
      </c>
      <c r="AC643" s="13">
        <f t="shared" ca="1" si="214"/>
        <v>0</v>
      </c>
      <c r="AD643" s="33"/>
      <c r="AE643" s="13">
        <f t="shared" ca="1" si="206"/>
        <v>0</v>
      </c>
      <c r="AF643" s="13">
        <f ca="1">ROUNDUP(($AC643+$AE643)*VLOOKUP($AA643,Paraméterek!$P$38:$Q$38,2)/12*IF($D644="Nem",IF($M$13=0,1,$M$13),1),IF($D$4="Forint",0,2))</f>
        <v>0</v>
      </c>
      <c r="AG643" s="13" t="e">
        <f ca="1">IF($D$2="Egyszeri",IF($D$7&gt;=IF($D$4="Forint",Paraméterek!$P$223,Paraméterek!$P$224),$D$7-IF($D$4="Forint",Paraméterek!$P$223,Paraméterek!$P$224),0),MIN(IF($AB643=12,AVERAGEIF($E$20:$E643,"&gt;0",$E$20:$E643)*12,0),SUM($E$20:$E$31)))</f>
        <v>#DIV/0!</v>
      </c>
      <c r="AH643" s="13">
        <f>IF($AA643=10,$AG643*IF($AB643=12,IF($AG643&lt;IF($D$4="Forint",Paraméterek!$L$223,Paraméterek!$L$224),0,VLOOKUP($AA643,Paraméterek!$K$226:$M$228,IF($AG643&lt;IF($D$4="Forint",Paraméterek!$M$223,Paraméterek!$M$224),2,3))),0),0)</f>
        <v>0</v>
      </c>
      <c r="AI643" s="13">
        <f ca="1">IF(AND($AA643=$M$11+1,$AB643=$M$12+1),SUMIF($AA$20:$AA$1027,$AA643,$AG$20:$AG$1027)*IF(SUMIF($AA$20:$AA$1027,$AA643,$AG$20:$AG$1027)&lt;IF($D$4="Forint",Paraméterek!$L$223,Paraméterek!$L$224),0,VLOOKUP($AA643,Paraméterek!$K$230:$M$250,IF(SUMIF($AA$20:$AA$1027,$AA643,$AG$20:$AG$1027)&lt;IF($D$4="Forint",Paraméterek!$M$223,Paraméterek!$M$224),2,3))),0)</f>
        <v>0</v>
      </c>
      <c r="AJ643" s="13" t="e">
        <f ca="1">IF(AND($AA643&gt;=5,MOD($AA643,5)=0),IF($AB643=12,VLOOKUP($AA643,Paraméterek!$O$225:$P$240,2),0),IF(OR($AA643=3,$AA643=4),IF($AB643=12,VLOOKUP($AA643,Paraméterek!$O$225:$P$240,2,0),0),0))*$AG643</f>
        <v>#DIV/0!</v>
      </c>
      <c r="AK643" s="13">
        <f t="shared" ca="1" si="207"/>
        <v>0</v>
      </c>
      <c r="AL643" s="13">
        <f t="shared" ca="1" si="215"/>
        <v>0</v>
      </c>
      <c r="AM643" s="13">
        <f t="shared" ca="1" si="216"/>
        <v>0</v>
      </c>
      <c r="AO643" s="32">
        <v>624</v>
      </c>
      <c r="AP643" s="32">
        <v>52</v>
      </c>
      <c r="AQ643" s="32">
        <v>12</v>
      </c>
      <c r="AR643" s="13"/>
      <c r="AS643" s="32"/>
      <c r="AT643" s="13">
        <f t="shared" ca="1" si="217"/>
        <v>0</v>
      </c>
      <c r="AU643" s="33"/>
      <c r="AV643" s="13">
        <f t="shared" ca="1" si="208"/>
        <v>0</v>
      </c>
      <c r="AW643" s="13">
        <f ca="1">ROUNDUP(($AT643+$AV643)*VLOOKUP($AP643,Paraméterek!$P$38:$Q$38,2)/12*IF($D644="Nem",IF($M$13=0,1,$M$13),1),IF($D$4="Forint",0,2))</f>
        <v>0</v>
      </c>
      <c r="AX643" s="13">
        <f>Tranzakciók!$M$83</f>
        <v>0</v>
      </c>
      <c r="AY643" s="13"/>
      <c r="AZ643" s="13">
        <f>ROUNDUP(IF(SUM($AX643:$AY643)=0,0,IF(IF(ISBLANK($AY643),$AX643,$AY643)*Paraméterek!$J$112&lt;IF($D$4="Forint",Paraméterek!$J$113,Paraméterek!$K$113),IF($D$4="Forint",Paraméterek!$J$113,Paraméterek!$K$113),IF(IF(ISBLANK($AY643),$AX643,$AY643)*Paraméterek!$J$112&gt;IF($D$4="Forint",Paraméterek!$J$114,Paraméterek!$K$114),IF($D$4="Forint",Paraméterek!$J$114,Paraméterek!$K$114),IF(ISBLANK($AY643),$AX643,$AY643)*Paraméterek!$J$112))),IF($D$4="Forint",0,2))</f>
        <v>0</v>
      </c>
      <c r="BA643" s="13">
        <f ca="1">$AT643+$AV643-$AW643-IF(ROUNDDOWN(IF(ISBLANK($AY643),$AX643,$AY643),IF($D$4="Forint",0,2))&gt;$AT643+$AV643-$AW643-IF($D$4="Forint",Paraméterek!$J$114,Paraméterek!$K$114),0,ROUNDDOWN(IF(ISBLANK($AY643),$AX643,$AY643),IF($D$4="Forint",0,2))-$AZ643)</f>
        <v>0</v>
      </c>
      <c r="BB643" s="13">
        <f t="shared" ca="1" si="209"/>
        <v>0</v>
      </c>
      <c r="BD643" s="32">
        <v>624</v>
      </c>
      <c r="BE643" s="32">
        <v>52</v>
      </c>
      <c r="BF643" s="32">
        <v>12</v>
      </c>
      <c r="BG643" s="34">
        <f t="shared" ca="1" si="218"/>
        <v>2071</v>
      </c>
      <c r="BH643" s="32" t="str">
        <f ca="1">IF(MOD(MONTH($D$14)+$BD643-1,12)=Paraméterek!$C$288,"Igen","")</f>
        <v/>
      </c>
      <c r="BI643" s="13">
        <f ca="1">IF($BH643="Igen",MIN(ROUNDDOWN((SUMIF($BG$20:$BG$1027,$BG643-1,$K$20:$K$1027)-SUMIF($BG$20:$BG$1027,$BG643-1,$I$20:$I$1027))*Paraméterek!$C$289,IF($D$4="Forint",0,2)),IF($D$4="Forint",Paraméterek!$C$285,Paraméterek!$D$285)),0)</f>
        <v>0</v>
      </c>
      <c r="BJ643" s="13">
        <f t="shared" ca="1" si="210"/>
        <v>0</v>
      </c>
      <c r="BK643" s="13">
        <f t="shared" ca="1" si="219"/>
        <v>0</v>
      </c>
      <c r="BL643" s="33"/>
      <c r="BM643" s="13">
        <f t="shared" ca="1" si="211"/>
        <v>0</v>
      </c>
      <c r="BN643" s="13">
        <f ca="1">ROUNDUP(($BK643+$BM643)*VLOOKUP($BE643,Paraméterek!$P$38:$Q$38,2)/12*IF($D644="Nem",IF($M$13=0,1,$M$13),1),IF($D$4="Forint",0,2))</f>
        <v>0</v>
      </c>
      <c r="BO643" s="13">
        <f t="shared" ca="1" si="212"/>
        <v>0</v>
      </c>
      <c r="BP643" s="13">
        <f ca="1">IF($D644="Nem",$BO643,$BO643-ROUNDUP(SUM($BI$20:$BI643)*120%,IF($D$4="Forint",0,2)))</f>
        <v>0</v>
      </c>
    </row>
    <row r="644" spans="1:68" x14ac:dyDescent="0.2">
      <c r="A644" s="32">
        <v>625</v>
      </c>
      <c r="B644" s="32">
        <v>53</v>
      </c>
      <c r="C644" s="32">
        <v>1</v>
      </c>
      <c r="D644" s="32" t="str">
        <f t="shared" ca="1" si="198"/>
        <v>Nem</v>
      </c>
      <c r="E644" s="13">
        <f t="shared" ca="1" si="199"/>
        <v>0</v>
      </c>
      <c r="F644" s="13"/>
      <c r="G644" s="13">
        <f>Tranzakciók!$D$84</f>
        <v>0</v>
      </c>
      <c r="H644" s="13"/>
      <c r="I644" s="13">
        <f t="shared" ca="1" si="200"/>
        <v>0</v>
      </c>
      <c r="J644" s="13">
        <f t="shared" ca="1" si="201"/>
        <v>0</v>
      </c>
      <c r="K644" s="13">
        <f t="shared" ca="1" si="202"/>
        <v>0</v>
      </c>
      <c r="L644" s="13" t="e">
        <f ca="1">ROUNDUP(IF($D$2="Egyszeri",$E644,IF($D$2="Havi",SUM($E$20:$E$31),IF(MOD($C644,$M$1)-1=0,SUM($E$20:$E$31),0))/12*$M$1)*VLOOKUP($B644,Paraméterek!$I$28:$P$31,IF($D$2="Egyszeri",8,HLOOKUP(ROUNDUP($M$11+$M$13,0),Paraméterek!$J$26:$O$27,2))),IF($D$4="Forint",0,2))</f>
        <v>#N/A</v>
      </c>
      <c r="M644" s="13">
        <f t="shared" ca="1" si="203"/>
        <v>0</v>
      </c>
      <c r="N644" s="13">
        <f t="shared" ca="1" si="213"/>
        <v>0</v>
      </c>
      <c r="O644" s="13">
        <f ca="1">IF($D644="Igen",IF($W643&gt;=IF($D$4="Forint",Paraméterek!$J$121,Paraméterek!$K$121),0,IF($D$4="Forint",Paraméterek!$J$121,Paraméterek!$K$121)-$W643),0)</f>
        <v>0</v>
      </c>
      <c r="P644" s="13" t="e">
        <f ca="1">ROUNDUP($O644*VLOOKUP($M$4+$B644-1,Paraméterek!$H$58:$I$105,2,0)/Paraméterek!$I$56,IF($D$4="Forint",0,2))</f>
        <v>#N/A</v>
      </c>
      <c r="Q644" s="13">
        <f t="shared" ca="1" si="204"/>
        <v>0</v>
      </c>
      <c r="R644" s="33"/>
      <c r="S644" s="13" t="e">
        <f t="shared" ca="1" si="205"/>
        <v>#N/A</v>
      </c>
      <c r="T644" s="13" t="e">
        <f ca="1">ROUNDUP(($N644-$P644-$Q644+$S644)*VLOOKUP($B644,Paraméterek!$I$38:$K$39,IF($D$2="Egyszeri",3,2))/12*IF($D645="Nem",IF($M$13=0,1,$M$13),1),IF($D$4="Forint",0,2))</f>
        <v>#N/A</v>
      </c>
      <c r="U644" s="13"/>
      <c r="V644" s="13"/>
      <c r="W644" s="13" t="e">
        <f ca="1">$N644-$P644-$Q644+$S644-$T644-IF(ROUNDUP(IF(ISBLANK($V644),$U644*0,$V644)/IF($D$2="Egyszeri",VLOOKUP($B644+IF($C644=12,1,0),Paraméterek!$V$257:$W$262,2),IF($B644=1,1,VLOOKUP($B644+IF($C644=12,1,0),Paraméterek!$I$258:$T$278,HLOOKUP($M$11+1,Paraméterek!$J$256:$T$257,2)))),IF($D$4="Forint",0,2))&gt;$N644-$P644-$Q644+$S644-$T644-IF($D$4="Forint",Paraméterek!$C$216,Paraméterek!$D$216),0,ROUNDUP(IF(ISBLANK($V644),$U644*0,$V644)/IF($D$2="Egyszeri",VLOOKUP($B644+IF($C644=12,1,0),Paraméterek!$V$257:$W$262,2),IF($B644=1,1,VLOOKUP($B644+IF($C644=12,1,0),Paraméterek!$I$258:$T$278,HLOOKUP($M$11+1,Paraméterek!$J$256:$T$257,2)))),IF($D$4="Forint",0,2)))</f>
        <v>#N/A</v>
      </c>
      <c r="X644" s="13" t="e">
        <f ca="1">ROUNDDOWN($W644*IF($D$2="Egyszeri",VLOOKUP($B644+IF($C644=12,1,0),Paraméterek!$V$257:$W$262,2),VLOOKUP($B644+IF($C644=12,1,0),Paraméterek!$I$258:$T$278,HLOOKUP($M$11+1,Paraméterek!$I$256:$T$257,2))),IF($D$4="Forint",0,2))</f>
        <v>#N/A</v>
      </c>
      <c r="Z644" s="32">
        <v>625</v>
      </c>
      <c r="AA644" s="32">
        <v>53</v>
      </c>
      <c r="AB644" s="32">
        <v>1</v>
      </c>
      <c r="AC644" s="13">
        <f t="shared" ca="1" si="214"/>
        <v>0</v>
      </c>
      <c r="AD644" s="33"/>
      <c r="AE644" s="13">
        <f t="shared" ca="1" si="206"/>
        <v>0</v>
      </c>
      <c r="AF644" s="13">
        <f ca="1">ROUNDUP(($AC644+$AE644)*VLOOKUP($AA644,Paraméterek!$P$38:$Q$38,2)/12*IF($D645="Nem",IF($M$13=0,1,$M$13),1),IF($D$4="Forint",0,2))</f>
        <v>0</v>
      </c>
      <c r="AG644" s="13">
        <f ca="1">IF($D$2="Egyszeri",IF($D$7&gt;=IF($D$4="Forint",Paraméterek!$P$223,Paraméterek!$P$224),$D$7-IF($D$4="Forint",Paraméterek!$P$223,Paraméterek!$P$224),0),MIN(IF($AB644=12,AVERAGEIF($E$20:$E644,"&gt;0",$E$20:$E644)*12,0),SUM($E$20:$E$31)))</f>
        <v>0</v>
      </c>
      <c r="AH644" s="13">
        <f>IF($AA644=10,$AG644*IF($AB644=12,IF($AG644&lt;IF($D$4="Forint",Paraméterek!$L$223,Paraméterek!$L$224),0,VLOOKUP($AA644,Paraméterek!$K$226:$M$228,IF($AG644&lt;IF($D$4="Forint",Paraméterek!$M$223,Paraméterek!$M$224),2,3))),0),0)</f>
        <v>0</v>
      </c>
      <c r="AI644" s="13">
        <f ca="1">IF(AND($AA644=$M$11+1,$AB644=$M$12+1),SUMIF($AA$20:$AA$1027,$AA644,$AG$20:$AG$1027)*IF(SUMIF($AA$20:$AA$1027,$AA644,$AG$20:$AG$1027)&lt;IF($D$4="Forint",Paraméterek!$L$223,Paraméterek!$L$224),0,VLOOKUP($AA644,Paraméterek!$K$230:$M$250,IF(SUMIF($AA$20:$AA$1027,$AA644,$AG$20:$AG$1027)&lt;IF($D$4="Forint",Paraméterek!$M$223,Paraméterek!$M$224),2,3))),0)</f>
        <v>0</v>
      </c>
      <c r="AJ644" s="13">
        <f ca="1">IF(AND($AA644&gt;=5,MOD($AA644,5)=0),IF($AB644=12,VLOOKUP($AA644,Paraméterek!$O$225:$P$240,2),0),IF(OR($AA644=3,$AA644=4),IF($AB644=12,VLOOKUP($AA644,Paraméterek!$O$225:$P$240,2,0),0),0))*$AG644</f>
        <v>0</v>
      </c>
      <c r="AK644" s="13">
        <f t="shared" ca="1" si="207"/>
        <v>0</v>
      </c>
      <c r="AL644" s="13">
        <f t="shared" ca="1" si="215"/>
        <v>0</v>
      </c>
      <c r="AM644" s="13">
        <f t="shared" ca="1" si="216"/>
        <v>0</v>
      </c>
      <c r="AO644" s="32">
        <v>625</v>
      </c>
      <c r="AP644" s="32">
        <v>53</v>
      </c>
      <c r="AQ644" s="32">
        <v>1</v>
      </c>
      <c r="AR644" s="13">
        <f>Tranzakciók!$K$84</f>
        <v>0</v>
      </c>
      <c r="AS644" s="32"/>
      <c r="AT644" s="13">
        <f t="shared" ca="1" si="217"/>
        <v>0</v>
      </c>
      <c r="AU644" s="33"/>
      <c r="AV644" s="13">
        <f t="shared" ca="1" si="208"/>
        <v>0</v>
      </c>
      <c r="AW644" s="13">
        <f ca="1">ROUNDUP(($AT644+$AV644)*VLOOKUP($AP644,Paraméterek!$P$38:$Q$38,2)/12*IF($D645="Nem",IF($M$13=0,1,$M$13),1),IF($D$4="Forint",0,2))</f>
        <v>0</v>
      </c>
      <c r="AX644" s="13"/>
      <c r="AY644" s="13"/>
      <c r="AZ644" s="13">
        <f>ROUNDUP(IF(SUM($AX644:$AY644)=0,0,IF(IF(ISBLANK($AY644),$AX644,$AY644)*Paraméterek!$J$112&lt;IF($D$4="Forint",Paraméterek!$J$113,Paraméterek!$K$113),IF($D$4="Forint",Paraméterek!$J$113,Paraméterek!$K$113),IF(IF(ISBLANK($AY644),$AX644,$AY644)*Paraméterek!$J$112&gt;IF($D$4="Forint",Paraméterek!$J$114,Paraméterek!$K$114),IF($D$4="Forint",Paraméterek!$J$114,Paraméterek!$K$114),IF(ISBLANK($AY644),$AX644,$AY644)*Paraméterek!$J$112))),IF($D$4="Forint",0,2))</f>
        <v>0</v>
      </c>
      <c r="BA644" s="13">
        <f ca="1">$AT644+$AV644-$AW644-IF(ROUNDDOWN(IF(ISBLANK($AY644),$AX644,$AY644),IF($D$4="Forint",0,2))&gt;$AT644+$AV644-$AW644-IF($D$4="Forint",Paraméterek!$J$114,Paraméterek!$K$114),0,ROUNDDOWN(IF(ISBLANK($AY644),$AX644,$AY644),IF($D$4="Forint",0,2))-$AZ644)</f>
        <v>0</v>
      </c>
      <c r="BB644" s="13">
        <f t="shared" ca="1" si="209"/>
        <v>0</v>
      </c>
      <c r="BD644" s="32">
        <v>625</v>
      </c>
      <c r="BE644" s="32">
        <v>53</v>
      </c>
      <c r="BF644" s="32">
        <v>1</v>
      </c>
      <c r="BG644" s="34">
        <f t="shared" ca="1" si="218"/>
        <v>2071</v>
      </c>
      <c r="BH644" s="32" t="str">
        <f ca="1">IF(MOD(MONTH($D$14)+$BD644-1,12)=Paraméterek!$C$288,"Igen","")</f>
        <v/>
      </c>
      <c r="BI644" s="13">
        <f ca="1">IF($BH644="Igen",MIN(ROUNDDOWN((SUMIF($BG$20:$BG$1027,$BG644-1,$K$20:$K$1027)-SUMIF($BG$20:$BG$1027,$BG644-1,$I$20:$I$1027))*Paraméterek!$C$289,IF($D$4="Forint",0,2)),IF($D$4="Forint",Paraméterek!$C$285,Paraméterek!$D$285)),0)</f>
        <v>0</v>
      </c>
      <c r="BJ644" s="13">
        <f t="shared" ca="1" si="210"/>
        <v>0</v>
      </c>
      <c r="BK644" s="13">
        <f t="shared" ca="1" si="219"/>
        <v>0</v>
      </c>
      <c r="BL644" s="33"/>
      <c r="BM644" s="13">
        <f t="shared" ca="1" si="211"/>
        <v>0</v>
      </c>
      <c r="BN644" s="13">
        <f ca="1">ROUNDUP(($BK644+$BM644)*VLOOKUP($BE644,Paraméterek!$P$38:$Q$38,2)/12*IF($D645="Nem",IF($M$13=0,1,$M$13),1),IF($D$4="Forint",0,2))</f>
        <v>0</v>
      </c>
      <c r="BO644" s="13">
        <f t="shared" ca="1" si="212"/>
        <v>0</v>
      </c>
      <c r="BP644" s="13">
        <f ca="1">IF($D645="Nem",$BO644,$BO644-ROUNDUP(SUM($BI$20:$BI644)*120%,IF($D$4="Forint",0,2)))</f>
        <v>0</v>
      </c>
    </row>
    <row r="645" spans="1:68" x14ac:dyDescent="0.2">
      <c r="A645" s="32">
        <v>626</v>
      </c>
      <c r="B645" s="32">
        <v>53</v>
      </c>
      <c r="C645" s="32">
        <v>2</v>
      </c>
      <c r="D645" s="32" t="str">
        <f t="shared" ca="1" si="198"/>
        <v>Nem</v>
      </c>
      <c r="E645" s="13">
        <f t="shared" ca="1" si="199"/>
        <v>0</v>
      </c>
      <c r="F645" s="13"/>
      <c r="G645" s="13"/>
      <c r="H645" s="13"/>
      <c r="I645" s="13">
        <f t="shared" ca="1" si="200"/>
        <v>0</v>
      </c>
      <c r="J645" s="13">
        <f t="shared" ca="1" si="201"/>
        <v>0</v>
      </c>
      <c r="K645" s="13">
        <f t="shared" ca="1" si="202"/>
        <v>0</v>
      </c>
      <c r="L645" s="13" t="e">
        <f ca="1">ROUNDUP(IF($D$2="Egyszeri",$E645,IF($D$2="Havi",SUM($E$20:$E$31),IF(MOD($C645,$M$1)-1=0,SUM($E$20:$E$31),0))/12*$M$1)*VLOOKUP($B645,Paraméterek!$I$28:$P$31,IF($D$2="Egyszeri",8,HLOOKUP(ROUNDUP($M$11+$M$13,0),Paraméterek!$J$26:$O$27,2))),IF($D$4="Forint",0,2))</f>
        <v>#N/A</v>
      </c>
      <c r="M645" s="13">
        <f t="shared" ca="1" si="203"/>
        <v>0</v>
      </c>
      <c r="N645" s="13">
        <f t="shared" ca="1" si="213"/>
        <v>0</v>
      </c>
      <c r="O645" s="13">
        <f ca="1">IF($D645="Igen",IF($W644&gt;=IF($D$4="Forint",Paraméterek!$J$121,Paraméterek!$K$121),0,IF($D$4="Forint",Paraméterek!$J$121,Paraméterek!$K$121)-$W644),0)</f>
        <v>0</v>
      </c>
      <c r="P645" s="13" t="e">
        <f ca="1">ROUNDUP($O645*VLOOKUP($M$4+$B645-1,Paraméterek!$H$58:$I$105,2,0)/Paraméterek!$I$56,IF($D$4="Forint",0,2))</f>
        <v>#N/A</v>
      </c>
      <c r="Q645" s="13">
        <f t="shared" ca="1" si="204"/>
        <v>0</v>
      </c>
      <c r="R645" s="33"/>
      <c r="S645" s="13" t="e">
        <f t="shared" ca="1" si="205"/>
        <v>#N/A</v>
      </c>
      <c r="T645" s="13" t="e">
        <f ca="1">ROUNDUP(($N645-$P645-$Q645+$S645)*VLOOKUP($B645,Paraméterek!$I$38:$K$39,IF($D$2="Egyszeri",3,2))/12*IF($D646="Nem",IF($M$13=0,1,$M$13),1),IF($D$4="Forint",0,2))</f>
        <v>#N/A</v>
      </c>
      <c r="U645" s="13"/>
      <c r="V645" s="13"/>
      <c r="W645" s="13" t="e">
        <f ca="1">$N645-$P645-$Q645+$S645-$T645-IF(ROUNDUP(IF(ISBLANK($V645),$U645*0,$V645)/IF($D$2="Egyszeri",VLOOKUP($B645+IF($C645=12,1,0),Paraméterek!$V$257:$W$262,2),IF($B645=1,1,VLOOKUP($B645+IF($C645=12,1,0),Paraméterek!$I$258:$T$278,HLOOKUP($M$11+1,Paraméterek!$J$256:$T$257,2)))),IF($D$4="Forint",0,2))&gt;$N645-$P645-$Q645+$S645-$T645-IF($D$4="Forint",Paraméterek!$C$216,Paraméterek!$D$216),0,ROUNDUP(IF(ISBLANK($V645),$U645*0,$V645)/IF($D$2="Egyszeri",VLOOKUP($B645+IF($C645=12,1,0),Paraméterek!$V$257:$W$262,2),IF($B645=1,1,VLOOKUP($B645+IF($C645=12,1,0),Paraméterek!$I$258:$T$278,HLOOKUP($M$11+1,Paraméterek!$J$256:$T$257,2)))),IF($D$4="Forint",0,2)))</f>
        <v>#N/A</v>
      </c>
      <c r="X645" s="13" t="e">
        <f ca="1">ROUNDDOWN($W645*IF($D$2="Egyszeri",VLOOKUP($B645+IF($C645=12,1,0),Paraméterek!$V$257:$W$262,2),VLOOKUP($B645+IF($C645=12,1,0),Paraméterek!$I$258:$T$278,HLOOKUP($M$11+1,Paraméterek!$I$256:$T$257,2))),IF($D$4="Forint",0,2))</f>
        <v>#N/A</v>
      </c>
      <c r="Z645" s="32">
        <v>626</v>
      </c>
      <c r="AA645" s="32">
        <v>53</v>
      </c>
      <c r="AB645" s="32">
        <v>2</v>
      </c>
      <c r="AC645" s="13">
        <f t="shared" ca="1" si="214"/>
        <v>0</v>
      </c>
      <c r="AD645" s="33"/>
      <c r="AE645" s="13">
        <f t="shared" ca="1" si="206"/>
        <v>0</v>
      </c>
      <c r="AF645" s="13">
        <f ca="1">ROUNDUP(($AC645+$AE645)*VLOOKUP($AA645,Paraméterek!$P$38:$Q$38,2)/12*IF($D646="Nem",IF($M$13=0,1,$M$13),1),IF($D$4="Forint",0,2))</f>
        <v>0</v>
      </c>
      <c r="AG645" s="13">
        <f ca="1">IF($D$2="Egyszeri",IF($D$7&gt;=IF($D$4="Forint",Paraméterek!$P$223,Paraméterek!$P$224),$D$7-IF($D$4="Forint",Paraméterek!$P$223,Paraméterek!$P$224),0),MIN(IF($AB645=12,AVERAGEIF($E$20:$E645,"&gt;0",$E$20:$E645)*12,0),SUM($E$20:$E$31)))</f>
        <v>0</v>
      </c>
      <c r="AH645" s="13">
        <f>IF($AA645=10,$AG645*IF($AB645=12,IF($AG645&lt;IF($D$4="Forint",Paraméterek!$L$223,Paraméterek!$L$224),0,VLOOKUP($AA645,Paraméterek!$K$226:$M$228,IF($AG645&lt;IF($D$4="Forint",Paraméterek!$M$223,Paraméterek!$M$224),2,3))),0),0)</f>
        <v>0</v>
      </c>
      <c r="AI645" s="13">
        <f ca="1">IF(AND($AA645=$M$11+1,$AB645=$M$12+1),SUMIF($AA$20:$AA$1027,$AA645,$AG$20:$AG$1027)*IF(SUMIF($AA$20:$AA$1027,$AA645,$AG$20:$AG$1027)&lt;IF($D$4="Forint",Paraméterek!$L$223,Paraméterek!$L$224),0,VLOOKUP($AA645,Paraméterek!$K$230:$M$250,IF(SUMIF($AA$20:$AA$1027,$AA645,$AG$20:$AG$1027)&lt;IF($D$4="Forint",Paraméterek!$M$223,Paraméterek!$M$224),2,3))),0)</f>
        <v>0</v>
      </c>
      <c r="AJ645" s="13">
        <f ca="1">IF(AND($AA645&gt;=5,MOD($AA645,5)=0),IF($AB645=12,VLOOKUP($AA645,Paraméterek!$O$225:$P$240,2),0),IF(OR($AA645=3,$AA645=4),IF($AB645=12,VLOOKUP($AA645,Paraméterek!$O$225:$P$240,2,0),0),0))*$AG645</f>
        <v>0</v>
      </c>
      <c r="AK645" s="13">
        <f t="shared" ca="1" si="207"/>
        <v>0</v>
      </c>
      <c r="AL645" s="13">
        <f t="shared" ca="1" si="215"/>
        <v>0</v>
      </c>
      <c r="AM645" s="13">
        <f t="shared" ca="1" si="216"/>
        <v>0</v>
      </c>
      <c r="AO645" s="32">
        <v>626</v>
      </c>
      <c r="AP645" s="32">
        <v>53</v>
      </c>
      <c r="AQ645" s="32">
        <v>2</v>
      </c>
      <c r="AR645" s="13"/>
      <c r="AS645" s="32"/>
      <c r="AT645" s="13">
        <f t="shared" ca="1" si="217"/>
        <v>0</v>
      </c>
      <c r="AU645" s="33"/>
      <c r="AV645" s="13">
        <f t="shared" ca="1" si="208"/>
        <v>0</v>
      </c>
      <c r="AW645" s="13">
        <f ca="1">ROUNDUP(($AT645+$AV645)*VLOOKUP($AP645,Paraméterek!$P$38:$Q$38,2)/12*IF($D646="Nem",IF($M$13=0,1,$M$13),1),IF($D$4="Forint",0,2))</f>
        <v>0</v>
      </c>
      <c r="AX645" s="13"/>
      <c r="AY645" s="13"/>
      <c r="AZ645" s="13">
        <f>ROUNDUP(IF(SUM($AX645:$AY645)=0,0,IF(IF(ISBLANK($AY645),$AX645,$AY645)*Paraméterek!$J$112&lt;IF($D$4="Forint",Paraméterek!$J$113,Paraméterek!$K$113),IF($D$4="Forint",Paraméterek!$J$113,Paraméterek!$K$113),IF(IF(ISBLANK($AY645),$AX645,$AY645)*Paraméterek!$J$112&gt;IF($D$4="Forint",Paraméterek!$J$114,Paraméterek!$K$114),IF($D$4="Forint",Paraméterek!$J$114,Paraméterek!$K$114),IF(ISBLANK($AY645),$AX645,$AY645)*Paraméterek!$J$112))),IF($D$4="Forint",0,2))</f>
        <v>0</v>
      </c>
      <c r="BA645" s="13">
        <f ca="1">$AT645+$AV645-$AW645-IF(ROUNDDOWN(IF(ISBLANK($AY645),$AX645,$AY645),IF($D$4="Forint",0,2))&gt;$AT645+$AV645-$AW645-IF($D$4="Forint",Paraméterek!$J$114,Paraméterek!$K$114),0,ROUNDDOWN(IF(ISBLANK($AY645),$AX645,$AY645),IF($D$4="Forint",0,2))-$AZ645)</f>
        <v>0</v>
      </c>
      <c r="BB645" s="13">
        <f t="shared" ca="1" si="209"/>
        <v>0</v>
      </c>
      <c r="BD645" s="32">
        <v>626</v>
      </c>
      <c r="BE645" s="32">
        <v>53</v>
      </c>
      <c r="BF645" s="32">
        <v>2</v>
      </c>
      <c r="BG645" s="34">
        <f t="shared" ca="1" si="218"/>
        <v>2071</v>
      </c>
      <c r="BH645" s="32" t="str">
        <f ca="1">IF(MOD(MONTH($D$14)+$BD645-1,12)=Paraméterek!$C$288,"Igen","")</f>
        <v>Igen</v>
      </c>
      <c r="BI645" s="13">
        <f ca="1">IF($BH645="Igen",MIN(ROUNDDOWN((SUMIF($BG$20:$BG$1027,$BG645-1,$K$20:$K$1027)-SUMIF($BG$20:$BG$1027,$BG645-1,$I$20:$I$1027))*Paraméterek!$C$289,IF($D$4="Forint",0,2)),IF($D$4="Forint",Paraméterek!$C$285,Paraméterek!$D$285)),0)</f>
        <v>0</v>
      </c>
      <c r="BJ645" s="13">
        <f t="shared" ca="1" si="210"/>
        <v>0</v>
      </c>
      <c r="BK645" s="13">
        <f t="shared" ca="1" si="219"/>
        <v>0</v>
      </c>
      <c r="BL645" s="33"/>
      <c r="BM645" s="13">
        <f t="shared" ca="1" si="211"/>
        <v>0</v>
      </c>
      <c r="BN645" s="13">
        <f ca="1">ROUNDUP(($BK645+$BM645)*VLOOKUP($BE645,Paraméterek!$P$38:$Q$38,2)/12*IF($D646="Nem",IF($M$13=0,1,$M$13),1),IF($D$4="Forint",0,2))</f>
        <v>0</v>
      </c>
      <c r="BO645" s="13">
        <f t="shared" ca="1" si="212"/>
        <v>0</v>
      </c>
      <c r="BP645" s="13">
        <f ca="1">IF($D646="Nem",$BO645,$BO645-ROUNDUP(SUM($BI$20:$BI645)*120%,IF($D$4="Forint",0,2)))</f>
        <v>0</v>
      </c>
    </row>
    <row r="646" spans="1:68" x14ac:dyDescent="0.2">
      <c r="A646" s="32">
        <v>627</v>
      </c>
      <c r="B646" s="32">
        <v>53</v>
      </c>
      <c r="C646" s="32">
        <v>3</v>
      </c>
      <c r="D646" s="32" t="str">
        <f t="shared" ca="1" si="198"/>
        <v>Nem</v>
      </c>
      <c r="E646" s="13">
        <f t="shared" ca="1" si="199"/>
        <v>0</v>
      </c>
      <c r="F646" s="13"/>
      <c r="G646" s="13"/>
      <c r="H646" s="13"/>
      <c r="I646" s="13">
        <f t="shared" ca="1" si="200"/>
        <v>0</v>
      </c>
      <c r="J646" s="13">
        <f t="shared" ca="1" si="201"/>
        <v>0</v>
      </c>
      <c r="K646" s="13">
        <f t="shared" ca="1" si="202"/>
        <v>0</v>
      </c>
      <c r="L646" s="13" t="e">
        <f ca="1">ROUNDUP(IF($D$2="Egyszeri",$E646,IF($D$2="Havi",SUM($E$20:$E$31),IF(MOD($C646,$M$1)-1=0,SUM($E$20:$E$31),0))/12*$M$1)*VLOOKUP($B646,Paraméterek!$I$28:$P$31,IF($D$2="Egyszeri",8,HLOOKUP(ROUNDUP($M$11+$M$13,0),Paraméterek!$J$26:$O$27,2))),IF($D$4="Forint",0,2))</f>
        <v>#N/A</v>
      </c>
      <c r="M646" s="13">
        <f t="shared" ca="1" si="203"/>
        <v>0</v>
      </c>
      <c r="N646" s="13">
        <f t="shared" ca="1" si="213"/>
        <v>0</v>
      </c>
      <c r="O646" s="13">
        <f ca="1">IF($D646="Igen",IF($W645&gt;=IF($D$4="Forint",Paraméterek!$J$121,Paraméterek!$K$121),0,IF($D$4="Forint",Paraméterek!$J$121,Paraméterek!$K$121)-$W645),0)</f>
        <v>0</v>
      </c>
      <c r="P646" s="13" t="e">
        <f ca="1">ROUNDUP($O646*VLOOKUP($M$4+$B646-1,Paraméterek!$H$58:$I$105,2,0)/Paraméterek!$I$56,IF($D$4="Forint",0,2))</f>
        <v>#N/A</v>
      </c>
      <c r="Q646" s="13">
        <f t="shared" ca="1" si="204"/>
        <v>0</v>
      </c>
      <c r="R646" s="33"/>
      <c r="S646" s="13" t="e">
        <f t="shared" ca="1" si="205"/>
        <v>#N/A</v>
      </c>
      <c r="T646" s="13" t="e">
        <f ca="1">ROUNDUP(($N646-$P646-$Q646+$S646)*VLOOKUP($B646,Paraméterek!$I$38:$K$39,IF($D$2="Egyszeri",3,2))/12*IF($D647="Nem",IF($M$13=0,1,$M$13),1),IF($D$4="Forint",0,2))</f>
        <v>#N/A</v>
      </c>
      <c r="U646" s="13"/>
      <c r="V646" s="13"/>
      <c r="W646" s="13" t="e">
        <f ca="1">$N646-$P646-$Q646+$S646-$T646-IF(ROUNDUP(IF(ISBLANK($V646),$U646*0,$V646)/IF($D$2="Egyszeri",VLOOKUP($B646+IF($C646=12,1,0),Paraméterek!$V$257:$W$262,2),IF($B646=1,1,VLOOKUP($B646+IF($C646=12,1,0),Paraméterek!$I$258:$T$278,HLOOKUP($M$11+1,Paraméterek!$J$256:$T$257,2)))),IF($D$4="Forint",0,2))&gt;$N646-$P646-$Q646+$S646-$T646-IF($D$4="Forint",Paraméterek!$C$216,Paraméterek!$D$216),0,ROUNDUP(IF(ISBLANK($V646),$U646*0,$V646)/IF($D$2="Egyszeri",VLOOKUP($B646+IF($C646=12,1,0),Paraméterek!$V$257:$W$262,2),IF($B646=1,1,VLOOKUP($B646+IF($C646=12,1,0),Paraméterek!$I$258:$T$278,HLOOKUP($M$11+1,Paraméterek!$J$256:$T$257,2)))),IF($D$4="Forint",0,2)))</f>
        <v>#N/A</v>
      </c>
      <c r="X646" s="13" t="e">
        <f ca="1">ROUNDDOWN($W646*IF($D$2="Egyszeri",VLOOKUP($B646+IF($C646=12,1,0),Paraméterek!$V$257:$W$262,2),VLOOKUP($B646+IF($C646=12,1,0),Paraméterek!$I$258:$T$278,HLOOKUP($M$11+1,Paraméterek!$I$256:$T$257,2))),IF($D$4="Forint",0,2))</f>
        <v>#N/A</v>
      </c>
      <c r="Z646" s="32">
        <v>627</v>
      </c>
      <c r="AA646" s="32">
        <v>53</v>
      </c>
      <c r="AB646" s="32">
        <v>3</v>
      </c>
      <c r="AC646" s="13">
        <f t="shared" ca="1" si="214"/>
        <v>0</v>
      </c>
      <c r="AD646" s="33"/>
      <c r="AE646" s="13">
        <f t="shared" ca="1" si="206"/>
        <v>0</v>
      </c>
      <c r="AF646" s="13">
        <f ca="1">ROUNDUP(($AC646+$AE646)*VLOOKUP($AA646,Paraméterek!$P$38:$Q$38,2)/12*IF($D647="Nem",IF($M$13=0,1,$M$13),1),IF($D$4="Forint",0,2))</f>
        <v>0</v>
      </c>
      <c r="AG646" s="13">
        <f ca="1">IF($D$2="Egyszeri",IF($D$7&gt;=IF($D$4="Forint",Paraméterek!$P$223,Paraméterek!$P$224),$D$7-IF($D$4="Forint",Paraméterek!$P$223,Paraméterek!$P$224),0),MIN(IF($AB646=12,AVERAGEIF($E$20:$E646,"&gt;0",$E$20:$E646)*12,0),SUM($E$20:$E$31)))</f>
        <v>0</v>
      </c>
      <c r="AH646" s="13">
        <f>IF($AA646=10,$AG646*IF($AB646=12,IF($AG646&lt;IF($D$4="Forint",Paraméterek!$L$223,Paraméterek!$L$224),0,VLOOKUP($AA646,Paraméterek!$K$226:$M$228,IF($AG646&lt;IF($D$4="Forint",Paraméterek!$M$223,Paraméterek!$M$224),2,3))),0),0)</f>
        <v>0</v>
      </c>
      <c r="AI646" s="13">
        <f ca="1">IF(AND($AA646=$M$11+1,$AB646=$M$12+1),SUMIF($AA$20:$AA$1027,$AA646,$AG$20:$AG$1027)*IF(SUMIF($AA$20:$AA$1027,$AA646,$AG$20:$AG$1027)&lt;IF($D$4="Forint",Paraméterek!$L$223,Paraméterek!$L$224),0,VLOOKUP($AA646,Paraméterek!$K$230:$M$250,IF(SUMIF($AA$20:$AA$1027,$AA646,$AG$20:$AG$1027)&lt;IF($D$4="Forint",Paraméterek!$M$223,Paraméterek!$M$224),2,3))),0)</f>
        <v>0</v>
      </c>
      <c r="AJ646" s="13">
        <f ca="1">IF(AND($AA646&gt;=5,MOD($AA646,5)=0),IF($AB646=12,VLOOKUP($AA646,Paraméterek!$O$225:$P$240,2),0),IF(OR($AA646=3,$AA646=4),IF($AB646=12,VLOOKUP($AA646,Paraméterek!$O$225:$P$240,2,0),0),0))*$AG646</f>
        <v>0</v>
      </c>
      <c r="AK646" s="13">
        <f t="shared" ca="1" si="207"/>
        <v>0</v>
      </c>
      <c r="AL646" s="13">
        <f t="shared" ca="1" si="215"/>
        <v>0</v>
      </c>
      <c r="AM646" s="13">
        <f t="shared" ca="1" si="216"/>
        <v>0</v>
      </c>
      <c r="AO646" s="32">
        <v>627</v>
      </c>
      <c r="AP646" s="32">
        <v>53</v>
      </c>
      <c r="AQ646" s="32">
        <v>3</v>
      </c>
      <c r="AR646" s="13"/>
      <c r="AS646" s="32"/>
      <c r="AT646" s="13">
        <f t="shared" ca="1" si="217"/>
        <v>0</v>
      </c>
      <c r="AU646" s="33"/>
      <c r="AV646" s="13">
        <f t="shared" ca="1" si="208"/>
        <v>0</v>
      </c>
      <c r="AW646" s="13">
        <f ca="1">ROUNDUP(($AT646+$AV646)*VLOOKUP($AP646,Paraméterek!$P$38:$Q$38,2)/12*IF($D647="Nem",IF($M$13=0,1,$M$13),1),IF($D$4="Forint",0,2))</f>
        <v>0</v>
      </c>
      <c r="AX646" s="13"/>
      <c r="AY646" s="13"/>
      <c r="AZ646" s="13">
        <f>ROUNDUP(IF(SUM($AX646:$AY646)=0,0,IF(IF(ISBLANK($AY646),$AX646,$AY646)*Paraméterek!$J$112&lt;IF($D$4="Forint",Paraméterek!$J$113,Paraméterek!$K$113),IF($D$4="Forint",Paraméterek!$J$113,Paraméterek!$K$113),IF(IF(ISBLANK($AY646),$AX646,$AY646)*Paraméterek!$J$112&gt;IF($D$4="Forint",Paraméterek!$J$114,Paraméterek!$K$114),IF($D$4="Forint",Paraméterek!$J$114,Paraméterek!$K$114),IF(ISBLANK($AY646),$AX646,$AY646)*Paraméterek!$J$112))),IF($D$4="Forint",0,2))</f>
        <v>0</v>
      </c>
      <c r="BA646" s="13">
        <f ca="1">$AT646+$AV646-$AW646-IF(ROUNDDOWN(IF(ISBLANK($AY646),$AX646,$AY646),IF($D$4="Forint",0,2))&gt;$AT646+$AV646-$AW646-IF($D$4="Forint",Paraméterek!$J$114,Paraméterek!$K$114),0,ROUNDDOWN(IF(ISBLANK($AY646),$AX646,$AY646),IF($D$4="Forint",0,2))-$AZ646)</f>
        <v>0</v>
      </c>
      <c r="BB646" s="13">
        <f t="shared" ca="1" si="209"/>
        <v>0</v>
      </c>
      <c r="BD646" s="32">
        <v>627</v>
      </c>
      <c r="BE646" s="32">
        <v>53</v>
      </c>
      <c r="BF646" s="32">
        <v>3</v>
      </c>
      <c r="BG646" s="34">
        <f t="shared" ca="1" si="218"/>
        <v>2071</v>
      </c>
      <c r="BH646" s="32" t="str">
        <f ca="1">IF(MOD(MONTH($D$14)+$BD646-1,12)=Paraméterek!$C$288,"Igen","")</f>
        <v/>
      </c>
      <c r="BI646" s="13">
        <f ca="1">IF($BH646="Igen",MIN(ROUNDDOWN((SUMIF($BG$20:$BG$1027,$BG646-1,$K$20:$K$1027)-SUMIF($BG$20:$BG$1027,$BG646-1,$I$20:$I$1027))*Paraméterek!$C$289,IF($D$4="Forint",0,2)),IF($D$4="Forint",Paraméterek!$C$285,Paraméterek!$D$285)),0)</f>
        <v>0</v>
      </c>
      <c r="BJ646" s="13">
        <f t="shared" ca="1" si="210"/>
        <v>0</v>
      </c>
      <c r="BK646" s="13">
        <f t="shared" ca="1" si="219"/>
        <v>0</v>
      </c>
      <c r="BL646" s="33"/>
      <c r="BM646" s="13">
        <f t="shared" ca="1" si="211"/>
        <v>0</v>
      </c>
      <c r="BN646" s="13">
        <f ca="1">ROUNDUP(($BK646+$BM646)*VLOOKUP($BE646,Paraméterek!$P$38:$Q$38,2)/12*IF($D647="Nem",IF($M$13=0,1,$M$13),1),IF($D$4="Forint",0,2))</f>
        <v>0</v>
      </c>
      <c r="BO646" s="13">
        <f t="shared" ca="1" si="212"/>
        <v>0</v>
      </c>
      <c r="BP646" s="13">
        <f ca="1">IF($D647="Nem",$BO646,$BO646-ROUNDUP(SUM($BI$20:$BI646)*120%,IF($D$4="Forint",0,2)))</f>
        <v>0</v>
      </c>
    </row>
    <row r="647" spans="1:68" x14ac:dyDescent="0.2">
      <c r="A647" s="32">
        <v>628</v>
      </c>
      <c r="B647" s="32">
        <v>53</v>
      </c>
      <c r="C647" s="32">
        <v>4</v>
      </c>
      <c r="D647" s="32" t="str">
        <f t="shared" ca="1" si="198"/>
        <v>Nem</v>
      </c>
      <c r="E647" s="13">
        <f t="shared" ca="1" si="199"/>
        <v>0</v>
      </c>
      <c r="F647" s="13"/>
      <c r="G647" s="13"/>
      <c r="H647" s="13"/>
      <c r="I647" s="13">
        <f t="shared" ca="1" si="200"/>
        <v>0</v>
      </c>
      <c r="J647" s="13">
        <f t="shared" ca="1" si="201"/>
        <v>0</v>
      </c>
      <c r="K647" s="13">
        <f t="shared" ca="1" si="202"/>
        <v>0</v>
      </c>
      <c r="L647" s="13" t="e">
        <f ca="1">ROUNDUP(IF($D$2="Egyszeri",$E647,IF($D$2="Havi",SUM($E$20:$E$31),IF(MOD($C647,$M$1)-1=0,SUM($E$20:$E$31),0))/12*$M$1)*VLOOKUP($B647,Paraméterek!$I$28:$P$31,IF($D$2="Egyszeri",8,HLOOKUP(ROUNDUP($M$11+$M$13,0),Paraméterek!$J$26:$O$27,2))),IF($D$4="Forint",0,2))</f>
        <v>#N/A</v>
      </c>
      <c r="M647" s="13">
        <f t="shared" ca="1" si="203"/>
        <v>0</v>
      </c>
      <c r="N647" s="13">
        <f t="shared" ca="1" si="213"/>
        <v>0</v>
      </c>
      <c r="O647" s="13">
        <f ca="1">IF($D647="Igen",IF($W646&gt;=IF($D$4="Forint",Paraméterek!$J$121,Paraméterek!$K$121),0,IF($D$4="Forint",Paraméterek!$J$121,Paraméterek!$K$121)-$W646),0)</f>
        <v>0</v>
      </c>
      <c r="P647" s="13" t="e">
        <f ca="1">ROUNDUP($O647*VLOOKUP($M$4+$B647-1,Paraméterek!$H$58:$I$105,2,0)/Paraméterek!$I$56,IF($D$4="Forint",0,2))</f>
        <v>#N/A</v>
      </c>
      <c r="Q647" s="13">
        <f t="shared" ca="1" si="204"/>
        <v>0</v>
      </c>
      <c r="R647" s="33"/>
      <c r="S647" s="13" t="e">
        <f t="shared" ca="1" si="205"/>
        <v>#N/A</v>
      </c>
      <c r="T647" s="13" t="e">
        <f ca="1">ROUNDUP(($N647-$P647-$Q647+$S647)*VLOOKUP($B647,Paraméterek!$I$38:$K$39,IF($D$2="Egyszeri",3,2))/12*IF($D648="Nem",IF($M$13=0,1,$M$13),1),IF($D$4="Forint",0,2))</f>
        <v>#N/A</v>
      </c>
      <c r="U647" s="13"/>
      <c r="V647" s="13"/>
      <c r="W647" s="13" t="e">
        <f ca="1">$N647-$P647-$Q647+$S647-$T647-IF(ROUNDUP(IF(ISBLANK($V647),$U647*0,$V647)/IF($D$2="Egyszeri",VLOOKUP($B647+IF($C647=12,1,0),Paraméterek!$V$257:$W$262,2),IF($B647=1,1,VLOOKUP($B647+IF($C647=12,1,0),Paraméterek!$I$258:$T$278,HLOOKUP($M$11+1,Paraméterek!$J$256:$T$257,2)))),IF($D$4="Forint",0,2))&gt;$N647-$P647-$Q647+$S647-$T647-IF($D$4="Forint",Paraméterek!$C$216,Paraméterek!$D$216),0,ROUNDUP(IF(ISBLANK($V647),$U647*0,$V647)/IF($D$2="Egyszeri",VLOOKUP($B647+IF($C647=12,1,0),Paraméterek!$V$257:$W$262,2),IF($B647=1,1,VLOOKUP($B647+IF($C647=12,1,0),Paraméterek!$I$258:$T$278,HLOOKUP($M$11+1,Paraméterek!$J$256:$T$257,2)))),IF($D$4="Forint",0,2)))</f>
        <v>#N/A</v>
      </c>
      <c r="X647" s="13" t="e">
        <f ca="1">ROUNDDOWN($W647*IF($D$2="Egyszeri",VLOOKUP($B647+IF($C647=12,1,0),Paraméterek!$V$257:$W$262,2),VLOOKUP($B647+IF($C647=12,1,0),Paraméterek!$I$258:$T$278,HLOOKUP($M$11+1,Paraméterek!$I$256:$T$257,2))),IF($D$4="Forint",0,2))</f>
        <v>#N/A</v>
      </c>
      <c r="Z647" s="32">
        <v>628</v>
      </c>
      <c r="AA647" s="32">
        <v>53</v>
      </c>
      <c r="AB647" s="32">
        <v>4</v>
      </c>
      <c r="AC647" s="13">
        <f t="shared" ca="1" si="214"/>
        <v>0</v>
      </c>
      <c r="AD647" s="33"/>
      <c r="AE647" s="13">
        <f t="shared" ca="1" si="206"/>
        <v>0</v>
      </c>
      <c r="AF647" s="13">
        <f ca="1">ROUNDUP(($AC647+$AE647)*VLOOKUP($AA647,Paraméterek!$P$38:$Q$38,2)/12*IF($D648="Nem",IF($M$13=0,1,$M$13),1),IF($D$4="Forint",0,2))</f>
        <v>0</v>
      </c>
      <c r="AG647" s="13">
        <f ca="1">IF($D$2="Egyszeri",IF($D$7&gt;=IF($D$4="Forint",Paraméterek!$P$223,Paraméterek!$P$224),$D$7-IF($D$4="Forint",Paraméterek!$P$223,Paraméterek!$P$224),0),MIN(IF($AB647=12,AVERAGEIF($E$20:$E647,"&gt;0",$E$20:$E647)*12,0),SUM($E$20:$E$31)))</f>
        <v>0</v>
      </c>
      <c r="AH647" s="13">
        <f>IF($AA647=10,$AG647*IF($AB647=12,IF($AG647&lt;IF($D$4="Forint",Paraméterek!$L$223,Paraméterek!$L$224),0,VLOOKUP($AA647,Paraméterek!$K$226:$M$228,IF($AG647&lt;IF($D$4="Forint",Paraméterek!$M$223,Paraméterek!$M$224),2,3))),0),0)</f>
        <v>0</v>
      </c>
      <c r="AI647" s="13">
        <f ca="1">IF(AND($AA647=$M$11+1,$AB647=$M$12+1),SUMIF($AA$20:$AA$1027,$AA647,$AG$20:$AG$1027)*IF(SUMIF($AA$20:$AA$1027,$AA647,$AG$20:$AG$1027)&lt;IF($D$4="Forint",Paraméterek!$L$223,Paraméterek!$L$224),0,VLOOKUP($AA647,Paraméterek!$K$230:$M$250,IF(SUMIF($AA$20:$AA$1027,$AA647,$AG$20:$AG$1027)&lt;IF($D$4="Forint",Paraméterek!$M$223,Paraméterek!$M$224),2,3))),0)</f>
        <v>0</v>
      </c>
      <c r="AJ647" s="13">
        <f ca="1">IF(AND($AA647&gt;=5,MOD($AA647,5)=0),IF($AB647=12,VLOOKUP($AA647,Paraméterek!$O$225:$P$240,2),0),IF(OR($AA647=3,$AA647=4),IF($AB647=12,VLOOKUP($AA647,Paraméterek!$O$225:$P$240,2,0),0),0))*$AG647</f>
        <v>0</v>
      </c>
      <c r="AK647" s="13">
        <f t="shared" ca="1" si="207"/>
        <v>0</v>
      </c>
      <c r="AL647" s="13">
        <f t="shared" ca="1" si="215"/>
        <v>0</v>
      </c>
      <c r="AM647" s="13">
        <f t="shared" ca="1" si="216"/>
        <v>0</v>
      </c>
      <c r="AO647" s="32">
        <v>628</v>
      </c>
      <c r="AP647" s="32">
        <v>53</v>
      </c>
      <c r="AQ647" s="32">
        <v>4</v>
      </c>
      <c r="AR647" s="13"/>
      <c r="AS647" s="32"/>
      <c r="AT647" s="13">
        <f t="shared" ca="1" si="217"/>
        <v>0</v>
      </c>
      <c r="AU647" s="33"/>
      <c r="AV647" s="13">
        <f t="shared" ca="1" si="208"/>
        <v>0</v>
      </c>
      <c r="AW647" s="13">
        <f ca="1">ROUNDUP(($AT647+$AV647)*VLOOKUP($AP647,Paraméterek!$P$38:$Q$38,2)/12*IF($D648="Nem",IF($M$13=0,1,$M$13),1),IF($D$4="Forint",0,2))</f>
        <v>0</v>
      </c>
      <c r="AX647" s="13"/>
      <c r="AY647" s="13"/>
      <c r="AZ647" s="13">
        <f>ROUNDUP(IF(SUM($AX647:$AY647)=0,0,IF(IF(ISBLANK($AY647),$AX647,$AY647)*Paraméterek!$J$112&lt;IF($D$4="Forint",Paraméterek!$J$113,Paraméterek!$K$113),IF($D$4="Forint",Paraméterek!$J$113,Paraméterek!$K$113),IF(IF(ISBLANK($AY647),$AX647,$AY647)*Paraméterek!$J$112&gt;IF($D$4="Forint",Paraméterek!$J$114,Paraméterek!$K$114),IF($D$4="Forint",Paraméterek!$J$114,Paraméterek!$K$114),IF(ISBLANK($AY647),$AX647,$AY647)*Paraméterek!$J$112))),IF($D$4="Forint",0,2))</f>
        <v>0</v>
      </c>
      <c r="BA647" s="13">
        <f ca="1">$AT647+$AV647-$AW647-IF(ROUNDDOWN(IF(ISBLANK($AY647),$AX647,$AY647),IF($D$4="Forint",0,2))&gt;$AT647+$AV647-$AW647-IF($D$4="Forint",Paraméterek!$J$114,Paraméterek!$K$114),0,ROUNDDOWN(IF(ISBLANK($AY647),$AX647,$AY647),IF($D$4="Forint",0,2))-$AZ647)</f>
        <v>0</v>
      </c>
      <c r="BB647" s="13">
        <f t="shared" ca="1" si="209"/>
        <v>0</v>
      </c>
      <c r="BD647" s="32">
        <v>628</v>
      </c>
      <c r="BE647" s="32">
        <v>53</v>
      </c>
      <c r="BF647" s="32">
        <v>4</v>
      </c>
      <c r="BG647" s="34">
        <f t="shared" ca="1" si="218"/>
        <v>2071</v>
      </c>
      <c r="BH647" s="32" t="str">
        <f ca="1">IF(MOD(MONTH($D$14)+$BD647-1,12)=Paraméterek!$C$288,"Igen","")</f>
        <v/>
      </c>
      <c r="BI647" s="13">
        <f ca="1">IF($BH647="Igen",MIN(ROUNDDOWN((SUMIF($BG$20:$BG$1027,$BG647-1,$K$20:$K$1027)-SUMIF($BG$20:$BG$1027,$BG647-1,$I$20:$I$1027))*Paraméterek!$C$289,IF($D$4="Forint",0,2)),IF($D$4="Forint",Paraméterek!$C$285,Paraméterek!$D$285)),0)</f>
        <v>0</v>
      </c>
      <c r="BJ647" s="13">
        <f t="shared" ca="1" si="210"/>
        <v>0</v>
      </c>
      <c r="BK647" s="13">
        <f t="shared" ca="1" si="219"/>
        <v>0</v>
      </c>
      <c r="BL647" s="33"/>
      <c r="BM647" s="13">
        <f t="shared" ca="1" si="211"/>
        <v>0</v>
      </c>
      <c r="BN647" s="13">
        <f ca="1">ROUNDUP(($BK647+$BM647)*VLOOKUP($BE647,Paraméterek!$P$38:$Q$38,2)/12*IF($D648="Nem",IF($M$13=0,1,$M$13),1),IF($D$4="Forint",0,2))</f>
        <v>0</v>
      </c>
      <c r="BO647" s="13">
        <f t="shared" ca="1" si="212"/>
        <v>0</v>
      </c>
      <c r="BP647" s="13">
        <f ca="1">IF($D648="Nem",$BO647,$BO647-ROUNDUP(SUM($BI$20:$BI647)*120%,IF($D$4="Forint",0,2)))</f>
        <v>0</v>
      </c>
    </row>
    <row r="648" spans="1:68" x14ac:dyDescent="0.2">
      <c r="A648" s="32">
        <v>629</v>
      </c>
      <c r="B648" s="32">
        <v>53</v>
      </c>
      <c r="C648" s="32">
        <v>5</v>
      </c>
      <c r="D648" s="32" t="str">
        <f t="shared" ca="1" si="198"/>
        <v>Nem</v>
      </c>
      <c r="E648" s="13">
        <f t="shared" ca="1" si="199"/>
        <v>0</v>
      </c>
      <c r="F648" s="13"/>
      <c r="G648" s="13"/>
      <c r="H648" s="13"/>
      <c r="I648" s="13">
        <f t="shared" ca="1" si="200"/>
        <v>0</v>
      </c>
      <c r="J648" s="13">
        <f t="shared" ca="1" si="201"/>
        <v>0</v>
      </c>
      <c r="K648" s="13">
        <f t="shared" ca="1" si="202"/>
        <v>0</v>
      </c>
      <c r="L648" s="13" t="e">
        <f ca="1">ROUNDUP(IF($D$2="Egyszeri",$E648,IF($D$2="Havi",SUM($E$20:$E$31),IF(MOD($C648,$M$1)-1=0,SUM($E$20:$E$31),0))/12*$M$1)*VLOOKUP($B648,Paraméterek!$I$28:$P$31,IF($D$2="Egyszeri",8,HLOOKUP(ROUNDUP($M$11+$M$13,0),Paraméterek!$J$26:$O$27,2))),IF($D$4="Forint",0,2))</f>
        <v>#N/A</v>
      </c>
      <c r="M648" s="13">
        <f t="shared" ca="1" si="203"/>
        <v>0</v>
      </c>
      <c r="N648" s="13">
        <f t="shared" ca="1" si="213"/>
        <v>0</v>
      </c>
      <c r="O648" s="13">
        <f ca="1">IF($D648="Igen",IF($W647&gt;=IF($D$4="Forint",Paraméterek!$J$121,Paraméterek!$K$121),0,IF($D$4="Forint",Paraméterek!$J$121,Paraméterek!$K$121)-$W647),0)</f>
        <v>0</v>
      </c>
      <c r="P648" s="13" t="e">
        <f ca="1">ROUNDUP($O648*VLOOKUP($M$4+$B648-1,Paraméterek!$H$58:$I$105,2,0)/Paraméterek!$I$56,IF($D$4="Forint",0,2))</f>
        <v>#N/A</v>
      </c>
      <c r="Q648" s="13">
        <f t="shared" ca="1" si="204"/>
        <v>0</v>
      </c>
      <c r="R648" s="33"/>
      <c r="S648" s="13" t="e">
        <f t="shared" ca="1" si="205"/>
        <v>#N/A</v>
      </c>
      <c r="T648" s="13" t="e">
        <f ca="1">ROUNDUP(($N648-$P648-$Q648+$S648)*VLOOKUP($B648,Paraméterek!$I$38:$K$39,IF($D$2="Egyszeri",3,2))/12*IF($D649="Nem",IF($M$13=0,1,$M$13),1),IF($D$4="Forint",0,2))</f>
        <v>#N/A</v>
      </c>
      <c r="U648" s="13"/>
      <c r="V648" s="13"/>
      <c r="W648" s="13" t="e">
        <f ca="1">$N648-$P648-$Q648+$S648-$T648-IF(ROUNDUP(IF(ISBLANK($V648),$U648*0,$V648)/IF($D$2="Egyszeri",VLOOKUP($B648+IF($C648=12,1,0),Paraméterek!$V$257:$W$262,2),IF($B648=1,1,VLOOKUP($B648+IF($C648=12,1,0),Paraméterek!$I$258:$T$278,HLOOKUP($M$11+1,Paraméterek!$J$256:$T$257,2)))),IF($D$4="Forint",0,2))&gt;$N648-$P648-$Q648+$S648-$T648-IF($D$4="Forint",Paraméterek!$C$216,Paraméterek!$D$216),0,ROUNDUP(IF(ISBLANK($V648),$U648*0,$V648)/IF($D$2="Egyszeri",VLOOKUP($B648+IF($C648=12,1,0),Paraméterek!$V$257:$W$262,2),IF($B648=1,1,VLOOKUP($B648+IF($C648=12,1,0),Paraméterek!$I$258:$T$278,HLOOKUP($M$11+1,Paraméterek!$J$256:$T$257,2)))),IF($D$4="Forint",0,2)))</f>
        <v>#N/A</v>
      </c>
      <c r="X648" s="13" t="e">
        <f ca="1">ROUNDDOWN($W648*IF($D$2="Egyszeri",VLOOKUP($B648+IF($C648=12,1,0),Paraméterek!$V$257:$W$262,2),VLOOKUP($B648+IF($C648=12,1,0),Paraméterek!$I$258:$T$278,HLOOKUP($M$11+1,Paraméterek!$I$256:$T$257,2))),IF($D$4="Forint",0,2))</f>
        <v>#N/A</v>
      </c>
      <c r="Z648" s="32">
        <v>629</v>
      </c>
      <c r="AA648" s="32">
        <v>53</v>
      </c>
      <c r="AB648" s="32">
        <v>5</v>
      </c>
      <c r="AC648" s="13">
        <f t="shared" ca="1" si="214"/>
        <v>0</v>
      </c>
      <c r="AD648" s="33"/>
      <c r="AE648" s="13">
        <f t="shared" ca="1" si="206"/>
        <v>0</v>
      </c>
      <c r="AF648" s="13">
        <f ca="1">ROUNDUP(($AC648+$AE648)*VLOOKUP($AA648,Paraméterek!$P$38:$Q$38,2)/12*IF($D649="Nem",IF($M$13=0,1,$M$13),1),IF($D$4="Forint",0,2))</f>
        <v>0</v>
      </c>
      <c r="AG648" s="13">
        <f ca="1">IF($D$2="Egyszeri",IF($D$7&gt;=IF($D$4="Forint",Paraméterek!$P$223,Paraméterek!$P$224),$D$7-IF($D$4="Forint",Paraméterek!$P$223,Paraméterek!$P$224),0),MIN(IF($AB648=12,AVERAGEIF($E$20:$E648,"&gt;0",$E$20:$E648)*12,0),SUM($E$20:$E$31)))</f>
        <v>0</v>
      </c>
      <c r="AH648" s="13">
        <f>IF($AA648=10,$AG648*IF($AB648=12,IF($AG648&lt;IF($D$4="Forint",Paraméterek!$L$223,Paraméterek!$L$224),0,VLOOKUP($AA648,Paraméterek!$K$226:$M$228,IF($AG648&lt;IF($D$4="Forint",Paraméterek!$M$223,Paraméterek!$M$224),2,3))),0),0)</f>
        <v>0</v>
      </c>
      <c r="AI648" s="13">
        <f ca="1">IF(AND($AA648=$M$11+1,$AB648=$M$12+1),SUMIF($AA$20:$AA$1027,$AA648,$AG$20:$AG$1027)*IF(SUMIF($AA$20:$AA$1027,$AA648,$AG$20:$AG$1027)&lt;IF($D$4="Forint",Paraméterek!$L$223,Paraméterek!$L$224),0,VLOOKUP($AA648,Paraméterek!$K$230:$M$250,IF(SUMIF($AA$20:$AA$1027,$AA648,$AG$20:$AG$1027)&lt;IF($D$4="Forint",Paraméterek!$M$223,Paraméterek!$M$224),2,3))),0)</f>
        <v>0</v>
      </c>
      <c r="AJ648" s="13">
        <f ca="1">IF(AND($AA648&gt;=5,MOD($AA648,5)=0),IF($AB648=12,VLOOKUP($AA648,Paraméterek!$O$225:$P$240,2),0),IF(OR($AA648=3,$AA648=4),IF($AB648=12,VLOOKUP($AA648,Paraméterek!$O$225:$P$240,2,0),0),0))*$AG648</f>
        <v>0</v>
      </c>
      <c r="AK648" s="13">
        <f t="shared" ca="1" si="207"/>
        <v>0</v>
      </c>
      <c r="AL648" s="13">
        <f t="shared" ca="1" si="215"/>
        <v>0</v>
      </c>
      <c r="AM648" s="13">
        <f t="shared" ca="1" si="216"/>
        <v>0</v>
      </c>
      <c r="AO648" s="32">
        <v>629</v>
      </c>
      <c r="AP648" s="32">
        <v>53</v>
      </c>
      <c r="AQ648" s="32">
        <v>5</v>
      </c>
      <c r="AR648" s="13"/>
      <c r="AS648" s="32"/>
      <c r="AT648" s="13">
        <f t="shared" ca="1" si="217"/>
        <v>0</v>
      </c>
      <c r="AU648" s="33"/>
      <c r="AV648" s="13">
        <f t="shared" ca="1" si="208"/>
        <v>0</v>
      </c>
      <c r="AW648" s="13">
        <f ca="1">ROUNDUP(($AT648+$AV648)*VLOOKUP($AP648,Paraméterek!$P$38:$Q$38,2)/12*IF($D649="Nem",IF($M$13=0,1,$M$13),1),IF($D$4="Forint",0,2))</f>
        <v>0</v>
      </c>
      <c r="AX648" s="13"/>
      <c r="AY648" s="13"/>
      <c r="AZ648" s="13">
        <f>ROUNDUP(IF(SUM($AX648:$AY648)=0,0,IF(IF(ISBLANK($AY648),$AX648,$AY648)*Paraméterek!$J$112&lt;IF($D$4="Forint",Paraméterek!$J$113,Paraméterek!$K$113),IF($D$4="Forint",Paraméterek!$J$113,Paraméterek!$K$113),IF(IF(ISBLANK($AY648),$AX648,$AY648)*Paraméterek!$J$112&gt;IF($D$4="Forint",Paraméterek!$J$114,Paraméterek!$K$114),IF($D$4="Forint",Paraméterek!$J$114,Paraméterek!$K$114),IF(ISBLANK($AY648),$AX648,$AY648)*Paraméterek!$J$112))),IF($D$4="Forint",0,2))</f>
        <v>0</v>
      </c>
      <c r="BA648" s="13">
        <f ca="1">$AT648+$AV648-$AW648-IF(ROUNDDOWN(IF(ISBLANK($AY648),$AX648,$AY648),IF($D$4="Forint",0,2))&gt;$AT648+$AV648-$AW648-IF($D$4="Forint",Paraméterek!$J$114,Paraméterek!$K$114),0,ROUNDDOWN(IF(ISBLANK($AY648),$AX648,$AY648),IF($D$4="Forint",0,2))-$AZ648)</f>
        <v>0</v>
      </c>
      <c r="BB648" s="13">
        <f t="shared" ca="1" si="209"/>
        <v>0</v>
      </c>
      <c r="BD648" s="32">
        <v>629</v>
      </c>
      <c r="BE648" s="32">
        <v>53</v>
      </c>
      <c r="BF648" s="32">
        <v>5</v>
      </c>
      <c r="BG648" s="34">
        <f t="shared" ca="1" si="218"/>
        <v>2071</v>
      </c>
      <c r="BH648" s="32" t="str">
        <f ca="1">IF(MOD(MONTH($D$14)+$BD648-1,12)=Paraméterek!$C$288,"Igen","")</f>
        <v/>
      </c>
      <c r="BI648" s="13">
        <f ca="1">IF($BH648="Igen",MIN(ROUNDDOWN((SUMIF($BG$20:$BG$1027,$BG648-1,$K$20:$K$1027)-SUMIF($BG$20:$BG$1027,$BG648-1,$I$20:$I$1027))*Paraméterek!$C$289,IF($D$4="Forint",0,2)),IF($D$4="Forint",Paraméterek!$C$285,Paraméterek!$D$285)),0)</f>
        <v>0</v>
      </c>
      <c r="BJ648" s="13">
        <f t="shared" ca="1" si="210"/>
        <v>0</v>
      </c>
      <c r="BK648" s="13">
        <f t="shared" ca="1" si="219"/>
        <v>0</v>
      </c>
      <c r="BL648" s="33"/>
      <c r="BM648" s="13">
        <f t="shared" ca="1" si="211"/>
        <v>0</v>
      </c>
      <c r="BN648" s="13">
        <f ca="1">ROUNDUP(($BK648+$BM648)*VLOOKUP($BE648,Paraméterek!$P$38:$Q$38,2)/12*IF($D649="Nem",IF($M$13=0,1,$M$13),1),IF($D$4="Forint",0,2))</f>
        <v>0</v>
      </c>
      <c r="BO648" s="13">
        <f t="shared" ca="1" si="212"/>
        <v>0</v>
      </c>
      <c r="BP648" s="13">
        <f ca="1">IF($D649="Nem",$BO648,$BO648-ROUNDUP(SUM($BI$20:$BI648)*120%,IF($D$4="Forint",0,2)))</f>
        <v>0</v>
      </c>
    </row>
    <row r="649" spans="1:68" x14ac:dyDescent="0.2">
      <c r="A649" s="32">
        <v>630</v>
      </c>
      <c r="B649" s="32">
        <v>53</v>
      </c>
      <c r="C649" s="32">
        <v>6</v>
      </c>
      <c r="D649" s="32" t="str">
        <f t="shared" ca="1" si="198"/>
        <v>Nem</v>
      </c>
      <c r="E649" s="13">
        <f t="shared" ca="1" si="199"/>
        <v>0</v>
      </c>
      <c r="F649" s="13"/>
      <c r="G649" s="13"/>
      <c r="H649" s="13"/>
      <c r="I649" s="13">
        <f t="shared" ca="1" si="200"/>
        <v>0</v>
      </c>
      <c r="J649" s="13">
        <f t="shared" ca="1" si="201"/>
        <v>0</v>
      </c>
      <c r="K649" s="13">
        <f t="shared" ca="1" si="202"/>
        <v>0</v>
      </c>
      <c r="L649" s="13" t="e">
        <f ca="1">ROUNDUP(IF($D$2="Egyszeri",$E649,IF($D$2="Havi",SUM($E$20:$E$31),IF(MOD($C649,$M$1)-1=0,SUM($E$20:$E$31),0))/12*$M$1)*VLOOKUP($B649,Paraméterek!$I$28:$P$31,IF($D$2="Egyszeri",8,HLOOKUP(ROUNDUP($M$11+$M$13,0),Paraméterek!$J$26:$O$27,2))),IF($D$4="Forint",0,2))</f>
        <v>#N/A</v>
      </c>
      <c r="M649" s="13">
        <f t="shared" ca="1" si="203"/>
        <v>0</v>
      </c>
      <c r="N649" s="13">
        <f t="shared" ca="1" si="213"/>
        <v>0</v>
      </c>
      <c r="O649" s="13">
        <f ca="1">IF($D649="Igen",IF($W648&gt;=IF($D$4="Forint",Paraméterek!$J$121,Paraméterek!$K$121),0,IF($D$4="Forint",Paraméterek!$J$121,Paraméterek!$K$121)-$W648),0)</f>
        <v>0</v>
      </c>
      <c r="P649" s="13" t="e">
        <f ca="1">ROUNDUP($O649*VLOOKUP($M$4+$B649-1,Paraméterek!$H$58:$I$105,2,0)/Paraméterek!$I$56,IF($D$4="Forint",0,2))</f>
        <v>#N/A</v>
      </c>
      <c r="Q649" s="13">
        <f t="shared" ca="1" si="204"/>
        <v>0</v>
      </c>
      <c r="R649" s="33"/>
      <c r="S649" s="13" t="e">
        <f t="shared" ca="1" si="205"/>
        <v>#N/A</v>
      </c>
      <c r="T649" s="13" t="e">
        <f ca="1">ROUNDUP(($N649-$P649-$Q649+$S649)*VLOOKUP($B649,Paraméterek!$I$38:$K$39,IF($D$2="Egyszeri",3,2))/12*IF($D650="Nem",IF($M$13=0,1,$M$13),1),IF($D$4="Forint",0,2))</f>
        <v>#N/A</v>
      </c>
      <c r="U649" s="13"/>
      <c r="V649" s="13"/>
      <c r="W649" s="13" t="e">
        <f ca="1">$N649-$P649-$Q649+$S649-$T649-IF(ROUNDUP(IF(ISBLANK($V649),$U649*0,$V649)/IF($D$2="Egyszeri",VLOOKUP($B649+IF($C649=12,1,0),Paraméterek!$V$257:$W$262,2),IF($B649=1,1,VLOOKUP($B649+IF($C649=12,1,0),Paraméterek!$I$258:$T$278,HLOOKUP($M$11+1,Paraméterek!$J$256:$T$257,2)))),IF($D$4="Forint",0,2))&gt;$N649-$P649-$Q649+$S649-$T649-IF($D$4="Forint",Paraméterek!$C$216,Paraméterek!$D$216),0,ROUNDUP(IF(ISBLANK($V649),$U649*0,$V649)/IF($D$2="Egyszeri",VLOOKUP($B649+IF($C649=12,1,0),Paraméterek!$V$257:$W$262,2),IF($B649=1,1,VLOOKUP($B649+IF($C649=12,1,0),Paraméterek!$I$258:$T$278,HLOOKUP($M$11+1,Paraméterek!$J$256:$T$257,2)))),IF($D$4="Forint",0,2)))</f>
        <v>#N/A</v>
      </c>
      <c r="X649" s="13" t="e">
        <f ca="1">ROUNDDOWN($W649*IF($D$2="Egyszeri",VLOOKUP($B649+IF($C649=12,1,0),Paraméterek!$V$257:$W$262,2),VLOOKUP($B649+IF($C649=12,1,0),Paraméterek!$I$258:$T$278,HLOOKUP($M$11+1,Paraméterek!$I$256:$T$257,2))),IF($D$4="Forint",0,2))</f>
        <v>#N/A</v>
      </c>
      <c r="Z649" s="32">
        <v>630</v>
      </c>
      <c r="AA649" s="32">
        <v>53</v>
      </c>
      <c r="AB649" s="32">
        <v>6</v>
      </c>
      <c r="AC649" s="13">
        <f t="shared" ca="1" si="214"/>
        <v>0</v>
      </c>
      <c r="AD649" s="33"/>
      <c r="AE649" s="13">
        <f t="shared" ca="1" si="206"/>
        <v>0</v>
      </c>
      <c r="AF649" s="13">
        <f ca="1">ROUNDUP(($AC649+$AE649)*VLOOKUP($AA649,Paraméterek!$P$38:$Q$38,2)/12*IF($D650="Nem",IF($M$13=0,1,$M$13),1),IF($D$4="Forint",0,2))</f>
        <v>0</v>
      </c>
      <c r="AG649" s="13">
        <f ca="1">IF($D$2="Egyszeri",IF($D$7&gt;=IF($D$4="Forint",Paraméterek!$P$223,Paraméterek!$P$224),$D$7-IF($D$4="Forint",Paraméterek!$P$223,Paraméterek!$P$224),0),MIN(IF($AB649=12,AVERAGEIF($E$20:$E649,"&gt;0",$E$20:$E649)*12,0),SUM($E$20:$E$31)))</f>
        <v>0</v>
      </c>
      <c r="AH649" s="13">
        <f>IF($AA649=10,$AG649*IF($AB649=12,IF($AG649&lt;IF($D$4="Forint",Paraméterek!$L$223,Paraméterek!$L$224),0,VLOOKUP($AA649,Paraméterek!$K$226:$M$228,IF($AG649&lt;IF($D$4="Forint",Paraméterek!$M$223,Paraméterek!$M$224),2,3))),0),0)</f>
        <v>0</v>
      </c>
      <c r="AI649" s="13">
        <f ca="1">IF(AND($AA649=$M$11+1,$AB649=$M$12+1),SUMIF($AA$20:$AA$1027,$AA649,$AG$20:$AG$1027)*IF(SUMIF($AA$20:$AA$1027,$AA649,$AG$20:$AG$1027)&lt;IF($D$4="Forint",Paraméterek!$L$223,Paraméterek!$L$224),0,VLOOKUP($AA649,Paraméterek!$K$230:$M$250,IF(SUMIF($AA$20:$AA$1027,$AA649,$AG$20:$AG$1027)&lt;IF($D$4="Forint",Paraméterek!$M$223,Paraméterek!$M$224),2,3))),0)</f>
        <v>0</v>
      </c>
      <c r="AJ649" s="13">
        <f ca="1">IF(AND($AA649&gt;=5,MOD($AA649,5)=0),IF($AB649=12,VLOOKUP($AA649,Paraméterek!$O$225:$P$240,2),0),IF(OR($AA649=3,$AA649=4),IF($AB649=12,VLOOKUP($AA649,Paraméterek!$O$225:$P$240,2,0),0),0))*$AG649</f>
        <v>0</v>
      </c>
      <c r="AK649" s="13">
        <f t="shared" ca="1" si="207"/>
        <v>0</v>
      </c>
      <c r="AL649" s="13">
        <f t="shared" ca="1" si="215"/>
        <v>0</v>
      </c>
      <c r="AM649" s="13">
        <f t="shared" ca="1" si="216"/>
        <v>0</v>
      </c>
      <c r="AO649" s="32">
        <v>630</v>
      </c>
      <c r="AP649" s="32">
        <v>53</v>
      </c>
      <c r="AQ649" s="32">
        <v>6</v>
      </c>
      <c r="AR649" s="13"/>
      <c r="AS649" s="32"/>
      <c r="AT649" s="13">
        <f t="shared" ca="1" si="217"/>
        <v>0</v>
      </c>
      <c r="AU649" s="33"/>
      <c r="AV649" s="13">
        <f t="shared" ca="1" si="208"/>
        <v>0</v>
      </c>
      <c r="AW649" s="13">
        <f ca="1">ROUNDUP(($AT649+$AV649)*VLOOKUP($AP649,Paraméterek!$P$38:$Q$38,2)/12*IF($D650="Nem",IF($M$13=0,1,$M$13),1),IF($D$4="Forint",0,2))</f>
        <v>0</v>
      </c>
      <c r="AX649" s="13"/>
      <c r="AY649" s="13"/>
      <c r="AZ649" s="13">
        <f>ROUNDUP(IF(SUM($AX649:$AY649)=0,0,IF(IF(ISBLANK($AY649),$AX649,$AY649)*Paraméterek!$J$112&lt;IF($D$4="Forint",Paraméterek!$J$113,Paraméterek!$K$113),IF($D$4="Forint",Paraméterek!$J$113,Paraméterek!$K$113),IF(IF(ISBLANK($AY649),$AX649,$AY649)*Paraméterek!$J$112&gt;IF($D$4="Forint",Paraméterek!$J$114,Paraméterek!$K$114),IF($D$4="Forint",Paraméterek!$J$114,Paraméterek!$K$114),IF(ISBLANK($AY649),$AX649,$AY649)*Paraméterek!$J$112))),IF($D$4="Forint",0,2))</f>
        <v>0</v>
      </c>
      <c r="BA649" s="13">
        <f ca="1">$AT649+$AV649-$AW649-IF(ROUNDDOWN(IF(ISBLANK($AY649),$AX649,$AY649),IF($D$4="Forint",0,2))&gt;$AT649+$AV649-$AW649-IF($D$4="Forint",Paraméterek!$J$114,Paraméterek!$K$114),0,ROUNDDOWN(IF(ISBLANK($AY649),$AX649,$AY649),IF($D$4="Forint",0,2))-$AZ649)</f>
        <v>0</v>
      </c>
      <c r="BB649" s="13">
        <f t="shared" ca="1" si="209"/>
        <v>0</v>
      </c>
      <c r="BD649" s="32">
        <v>630</v>
      </c>
      <c r="BE649" s="32">
        <v>53</v>
      </c>
      <c r="BF649" s="32">
        <v>6</v>
      </c>
      <c r="BG649" s="34">
        <f t="shared" ca="1" si="218"/>
        <v>2071</v>
      </c>
      <c r="BH649" s="32" t="str">
        <f ca="1">IF(MOD(MONTH($D$14)+$BD649-1,12)=Paraméterek!$C$288,"Igen","")</f>
        <v/>
      </c>
      <c r="BI649" s="13">
        <f ca="1">IF($BH649="Igen",MIN(ROUNDDOWN((SUMIF($BG$20:$BG$1027,$BG649-1,$K$20:$K$1027)-SUMIF($BG$20:$BG$1027,$BG649-1,$I$20:$I$1027))*Paraméterek!$C$289,IF($D$4="Forint",0,2)),IF($D$4="Forint",Paraméterek!$C$285,Paraméterek!$D$285)),0)</f>
        <v>0</v>
      </c>
      <c r="BJ649" s="13">
        <f t="shared" ca="1" si="210"/>
        <v>0</v>
      </c>
      <c r="BK649" s="13">
        <f t="shared" ca="1" si="219"/>
        <v>0</v>
      </c>
      <c r="BL649" s="33"/>
      <c r="BM649" s="13">
        <f t="shared" ca="1" si="211"/>
        <v>0</v>
      </c>
      <c r="BN649" s="13">
        <f ca="1">ROUNDUP(($BK649+$BM649)*VLOOKUP($BE649,Paraméterek!$P$38:$Q$38,2)/12*IF($D650="Nem",IF($M$13=0,1,$M$13),1),IF($D$4="Forint",0,2))</f>
        <v>0</v>
      </c>
      <c r="BO649" s="13">
        <f t="shared" ca="1" si="212"/>
        <v>0</v>
      </c>
      <c r="BP649" s="13">
        <f ca="1">IF($D650="Nem",$BO649,$BO649-ROUNDUP(SUM($BI$20:$BI649)*120%,IF($D$4="Forint",0,2)))</f>
        <v>0</v>
      </c>
    </row>
    <row r="650" spans="1:68" x14ac:dyDescent="0.2">
      <c r="A650" s="32">
        <v>631</v>
      </c>
      <c r="B650" s="32">
        <v>53</v>
      </c>
      <c r="C650" s="32">
        <v>7</v>
      </c>
      <c r="D650" s="32" t="str">
        <f t="shared" ca="1" si="198"/>
        <v>Nem</v>
      </c>
      <c r="E650" s="13">
        <f t="shared" ca="1" si="199"/>
        <v>0</v>
      </c>
      <c r="F650" s="13"/>
      <c r="G650" s="13"/>
      <c r="H650" s="13"/>
      <c r="I650" s="13">
        <f t="shared" ca="1" si="200"/>
        <v>0</v>
      </c>
      <c r="J650" s="13">
        <f t="shared" ca="1" si="201"/>
        <v>0</v>
      </c>
      <c r="K650" s="13">
        <f t="shared" ca="1" si="202"/>
        <v>0</v>
      </c>
      <c r="L650" s="13" t="e">
        <f ca="1">ROUNDUP(IF($D$2="Egyszeri",$E650,IF($D$2="Havi",SUM($E$20:$E$31),IF(MOD($C650,$M$1)-1=0,SUM($E$20:$E$31),0))/12*$M$1)*VLOOKUP($B650,Paraméterek!$I$28:$P$31,IF($D$2="Egyszeri",8,HLOOKUP(ROUNDUP($M$11+$M$13,0),Paraméterek!$J$26:$O$27,2))),IF($D$4="Forint",0,2))</f>
        <v>#N/A</v>
      </c>
      <c r="M650" s="13">
        <f t="shared" ca="1" si="203"/>
        <v>0</v>
      </c>
      <c r="N650" s="13">
        <f t="shared" ca="1" si="213"/>
        <v>0</v>
      </c>
      <c r="O650" s="13">
        <f ca="1">IF($D650="Igen",IF($W649&gt;=IF($D$4="Forint",Paraméterek!$J$121,Paraméterek!$K$121),0,IF($D$4="Forint",Paraméterek!$J$121,Paraméterek!$K$121)-$W649),0)</f>
        <v>0</v>
      </c>
      <c r="P650" s="13" t="e">
        <f ca="1">ROUNDUP($O650*VLOOKUP($M$4+$B650-1,Paraméterek!$H$58:$I$105,2,0)/Paraméterek!$I$56,IF($D$4="Forint",0,2))</f>
        <v>#N/A</v>
      </c>
      <c r="Q650" s="13">
        <f t="shared" ca="1" si="204"/>
        <v>0</v>
      </c>
      <c r="R650" s="33"/>
      <c r="S650" s="13" t="e">
        <f t="shared" ca="1" si="205"/>
        <v>#N/A</v>
      </c>
      <c r="T650" s="13" t="e">
        <f ca="1">ROUNDUP(($N650-$P650-$Q650+$S650)*VLOOKUP($B650,Paraméterek!$I$38:$K$39,IF($D$2="Egyszeri",3,2))/12*IF($D651="Nem",IF($M$13=0,1,$M$13),1),IF($D$4="Forint",0,2))</f>
        <v>#N/A</v>
      </c>
      <c r="U650" s="13"/>
      <c r="V650" s="13"/>
      <c r="W650" s="13" t="e">
        <f ca="1">$N650-$P650-$Q650+$S650-$T650-IF(ROUNDUP(IF(ISBLANK($V650),$U650*0,$V650)/IF($D$2="Egyszeri",VLOOKUP($B650+IF($C650=12,1,0),Paraméterek!$V$257:$W$262,2),IF($B650=1,1,VLOOKUP($B650+IF($C650=12,1,0),Paraméterek!$I$258:$T$278,HLOOKUP($M$11+1,Paraméterek!$J$256:$T$257,2)))),IF($D$4="Forint",0,2))&gt;$N650-$P650-$Q650+$S650-$T650-IF($D$4="Forint",Paraméterek!$C$216,Paraméterek!$D$216),0,ROUNDUP(IF(ISBLANK($V650),$U650*0,$V650)/IF($D$2="Egyszeri",VLOOKUP($B650+IF($C650=12,1,0),Paraméterek!$V$257:$W$262,2),IF($B650=1,1,VLOOKUP($B650+IF($C650=12,1,0),Paraméterek!$I$258:$T$278,HLOOKUP($M$11+1,Paraméterek!$J$256:$T$257,2)))),IF($D$4="Forint",0,2)))</f>
        <v>#N/A</v>
      </c>
      <c r="X650" s="13" t="e">
        <f ca="1">ROUNDDOWN($W650*IF($D$2="Egyszeri",VLOOKUP($B650+IF($C650=12,1,0),Paraméterek!$V$257:$W$262,2),VLOOKUP($B650+IF($C650=12,1,0),Paraméterek!$I$258:$T$278,HLOOKUP($M$11+1,Paraméterek!$I$256:$T$257,2))),IF($D$4="Forint",0,2))</f>
        <v>#N/A</v>
      </c>
      <c r="Z650" s="32">
        <v>631</v>
      </c>
      <c r="AA650" s="32">
        <v>53</v>
      </c>
      <c r="AB650" s="32">
        <v>7</v>
      </c>
      <c r="AC650" s="13">
        <f t="shared" ca="1" si="214"/>
        <v>0</v>
      </c>
      <c r="AD650" s="33"/>
      <c r="AE650" s="13">
        <f t="shared" ca="1" si="206"/>
        <v>0</v>
      </c>
      <c r="AF650" s="13">
        <f ca="1">ROUNDUP(($AC650+$AE650)*VLOOKUP($AA650,Paraméterek!$P$38:$Q$38,2)/12*IF($D651="Nem",IF($M$13=0,1,$M$13),1),IF($D$4="Forint",0,2))</f>
        <v>0</v>
      </c>
      <c r="AG650" s="13">
        <f ca="1">IF($D$2="Egyszeri",IF($D$7&gt;=IF($D$4="Forint",Paraméterek!$P$223,Paraméterek!$P$224),$D$7-IF($D$4="Forint",Paraméterek!$P$223,Paraméterek!$P$224),0),MIN(IF($AB650=12,AVERAGEIF($E$20:$E650,"&gt;0",$E$20:$E650)*12,0),SUM($E$20:$E$31)))</f>
        <v>0</v>
      </c>
      <c r="AH650" s="13">
        <f>IF($AA650=10,$AG650*IF($AB650=12,IF($AG650&lt;IF($D$4="Forint",Paraméterek!$L$223,Paraméterek!$L$224),0,VLOOKUP($AA650,Paraméterek!$K$226:$M$228,IF($AG650&lt;IF($D$4="Forint",Paraméterek!$M$223,Paraméterek!$M$224),2,3))),0),0)</f>
        <v>0</v>
      </c>
      <c r="AI650" s="13">
        <f ca="1">IF(AND($AA650=$M$11+1,$AB650=$M$12+1),SUMIF($AA$20:$AA$1027,$AA650,$AG$20:$AG$1027)*IF(SUMIF($AA$20:$AA$1027,$AA650,$AG$20:$AG$1027)&lt;IF($D$4="Forint",Paraméterek!$L$223,Paraméterek!$L$224),0,VLOOKUP($AA650,Paraméterek!$K$230:$M$250,IF(SUMIF($AA$20:$AA$1027,$AA650,$AG$20:$AG$1027)&lt;IF($D$4="Forint",Paraméterek!$M$223,Paraméterek!$M$224),2,3))),0)</f>
        <v>0</v>
      </c>
      <c r="AJ650" s="13">
        <f ca="1">IF(AND($AA650&gt;=5,MOD($AA650,5)=0),IF($AB650=12,VLOOKUP($AA650,Paraméterek!$O$225:$P$240,2),0),IF(OR($AA650=3,$AA650=4),IF($AB650=12,VLOOKUP($AA650,Paraméterek!$O$225:$P$240,2,0),0),0))*$AG650</f>
        <v>0</v>
      </c>
      <c r="AK650" s="13">
        <f t="shared" ca="1" si="207"/>
        <v>0</v>
      </c>
      <c r="AL650" s="13">
        <f t="shared" ca="1" si="215"/>
        <v>0</v>
      </c>
      <c r="AM650" s="13">
        <f t="shared" ca="1" si="216"/>
        <v>0</v>
      </c>
      <c r="AO650" s="32">
        <v>631</v>
      </c>
      <c r="AP650" s="32">
        <v>53</v>
      </c>
      <c r="AQ650" s="32">
        <v>7</v>
      </c>
      <c r="AR650" s="13"/>
      <c r="AS650" s="32"/>
      <c r="AT650" s="13">
        <f t="shared" ca="1" si="217"/>
        <v>0</v>
      </c>
      <c r="AU650" s="33"/>
      <c r="AV650" s="13">
        <f t="shared" ca="1" si="208"/>
        <v>0</v>
      </c>
      <c r="AW650" s="13">
        <f ca="1">ROUNDUP(($AT650+$AV650)*VLOOKUP($AP650,Paraméterek!$P$38:$Q$38,2)/12*IF($D651="Nem",IF($M$13=0,1,$M$13),1),IF($D$4="Forint",0,2))</f>
        <v>0</v>
      </c>
      <c r="AX650" s="13"/>
      <c r="AY650" s="13"/>
      <c r="AZ650" s="13">
        <f>ROUNDUP(IF(SUM($AX650:$AY650)=0,0,IF(IF(ISBLANK($AY650),$AX650,$AY650)*Paraméterek!$J$112&lt;IF($D$4="Forint",Paraméterek!$J$113,Paraméterek!$K$113),IF($D$4="Forint",Paraméterek!$J$113,Paraméterek!$K$113),IF(IF(ISBLANK($AY650),$AX650,$AY650)*Paraméterek!$J$112&gt;IF($D$4="Forint",Paraméterek!$J$114,Paraméterek!$K$114),IF($D$4="Forint",Paraméterek!$J$114,Paraméterek!$K$114),IF(ISBLANK($AY650),$AX650,$AY650)*Paraméterek!$J$112))),IF($D$4="Forint",0,2))</f>
        <v>0</v>
      </c>
      <c r="BA650" s="13">
        <f ca="1">$AT650+$AV650-$AW650-IF(ROUNDDOWN(IF(ISBLANK($AY650),$AX650,$AY650),IF($D$4="Forint",0,2))&gt;$AT650+$AV650-$AW650-IF($D$4="Forint",Paraméterek!$J$114,Paraméterek!$K$114),0,ROUNDDOWN(IF(ISBLANK($AY650),$AX650,$AY650),IF($D$4="Forint",0,2))-$AZ650)</f>
        <v>0</v>
      </c>
      <c r="BB650" s="13">
        <f t="shared" ca="1" si="209"/>
        <v>0</v>
      </c>
      <c r="BD650" s="32">
        <v>631</v>
      </c>
      <c r="BE650" s="32">
        <v>53</v>
      </c>
      <c r="BF650" s="32">
        <v>7</v>
      </c>
      <c r="BG650" s="34">
        <f t="shared" ca="1" si="218"/>
        <v>2071</v>
      </c>
      <c r="BH650" s="32" t="str">
        <f ca="1">IF(MOD(MONTH($D$14)+$BD650-1,12)=Paraméterek!$C$288,"Igen","")</f>
        <v/>
      </c>
      <c r="BI650" s="13">
        <f ca="1">IF($BH650="Igen",MIN(ROUNDDOWN((SUMIF($BG$20:$BG$1027,$BG650-1,$K$20:$K$1027)-SUMIF($BG$20:$BG$1027,$BG650-1,$I$20:$I$1027))*Paraméterek!$C$289,IF($D$4="Forint",0,2)),IF($D$4="Forint",Paraméterek!$C$285,Paraméterek!$D$285)),0)</f>
        <v>0</v>
      </c>
      <c r="BJ650" s="13">
        <f t="shared" ca="1" si="210"/>
        <v>0</v>
      </c>
      <c r="BK650" s="13">
        <f t="shared" ca="1" si="219"/>
        <v>0</v>
      </c>
      <c r="BL650" s="33"/>
      <c r="BM650" s="13">
        <f t="shared" ca="1" si="211"/>
        <v>0</v>
      </c>
      <c r="BN650" s="13">
        <f ca="1">ROUNDUP(($BK650+$BM650)*VLOOKUP($BE650,Paraméterek!$P$38:$Q$38,2)/12*IF($D651="Nem",IF($M$13=0,1,$M$13),1),IF($D$4="Forint",0,2))</f>
        <v>0</v>
      </c>
      <c r="BO650" s="13">
        <f t="shared" ca="1" si="212"/>
        <v>0</v>
      </c>
      <c r="BP650" s="13">
        <f ca="1">IF($D651="Nem",$BO650,$BO650-ROUNDUP(SUM($BI$20:$BI650)*120%,IF($D$4="Forint",0,2)))</f>
        <v>0</v>
      </c>
    </row>
    <row r="651" spans="1:68" x14ac:dyDescent="0.2">
      <c r="A651" s="32">
        <v>632</v>
      </c>
      <c r="B651" s="32">
        <v>53</v>
      </c>
      <c r="C651" s="32">
        <v>8</v>
      </c>
      <c r="D651" s="32" t="str">
        <f t="shared" ca="1" si="198"/>
        <v>Nem</v>
      </c>
      <c r="E651" s="13">
        <f t="shared" ca="1" si="199"/>
        <v>0</v>
      </c>
      <c r="F651" s="13"/>
      <c r="G651" s="13"/>
      <c r="H651" s="13"/>
      <c r="I651" s="13">
        <f t="shared" ca="1" si="200"/>
        <v>0</v>
      </c>
      <c r="J651" s="13">
        <f t="shared" ca="1" si="201"/>
        <v>0</v>
      </c>
      <c r="K651" s="13">
        <f t="shared" ca="1" si="202"/>
        <v>0</v>
      </c>
      <c r="L651" s="13" t="e">
        <f ca="1">ROUNDUP(IF($D$2="Egyszeri",$E651,IF($D$2="Havi",SUM($E$20:$E$31),IF(MOD($C651,$M$1)-1=0,SUM($E$20:$E$31),0))/12*$M$1)*VLOOKUP($B651,Paraméterek!$I$28:$P$31,IF($D$2="Egyszeri",8,HLOOKUP(ROUNDUP($M$11+$M$13,0),Paraméterek!$J$26:$O$27,2))),IF($D$4="Forint",0,2))</f>
        <v>#N/A</v>
      </c>
      <c r="M651" s="13">
        <f t="shared" ca="1" si="203"/>
        <v>0</v>
      </c>
      <c r="N651" s="13">
        <f t="shared" ca="1" si="213"/>
        <v>0</v>
      </c>
      <c r="O651" s="13">
        <f ca="1">IF($D651="Igen",IF($W650&gt;=IF($D$4="Forint",Paraméterek!$J$121,Paraméterek!$K$121),0,IF($D$4="Forint",Paraméterek!$J$121,Paraméterek!$K$121)-$W650),0)</f>
        <v>0</v>
      </c>
      <c r="P651" s="13" t="e">
        <f ca="1">ROUNDUP($O651*VLOOKUP($M$4+$B651-1,Paraméterek!$H$58:$I$105,2,0)/Paraméterek!$I$56,IF($D$4="Forint",0,2))</f>
        <v>#N/A</v>
      </c>
      <c r="Q651" s="13">
        <f t="shared" ca="1" si="204"/>
        <v>0</v>
      </c>
      <c r="R651" s="33"/>
      <c r="S651" s="13" t="e">
        <f t="shared" ca="1" si="205"/>
        <v>#N/A</v>
      </c>
      <c r="T651" s="13" t="e">
        <f ca="1">ROUNDUP(($N651-$P651-$Q651+$S651)*VLOOKUP($B651,Paraméterek!$I$38:$K$39,IF($D$2="Egyszeri",3,2))/12*IF($D652="Nem",IF($M$13=0,1,$M$13),1),IF($D$4="Forint",0,2))</f>
        <v>#N/A</v>
      </c>
      <c r="U651" s="13"/>
      <c r="V651" s="13"/>
      <c r="W651" s="13" t="e">
        <f ca="1">$N651-$P651-$Q651+$S651-$T651-IF(ROUNDUP(IF(ISBLANK($V651),$U651*0,$V651)/IF($D$2="Egyszeri",VLOOKUP($B651+IF($C651=12,1,0),Paraméterek!$V$257:$W$262,2),IF($B651=1,1,VLOOKUP($B651+IF($C651=12,1,0),Paraméterek!$I$258:$T$278,HLOOKUP($M$11+1,Paraméterek!$J$256:$T$257,2)))),IF($D$4="Forint",0,2))&gt;$N651-$P651-$Q651+$S651-$T651-IF($D$4="Forint",Paraméterek!$C$216,Paraméterek!$D$216),0,ROUNDUP(IF(ISBLANK($V651),$U651*0,$V651)/IF($D$2="Egyszeri",VLOOKUP($B651+IF($C651=12,1,0),Paraméterek!$V$257:$W$262,2),IF($B651=1,1,VLOOKUP($B651+IF($C651=12,1,0),Paraméterek!$I$258:$T$278,HLOOKUP($M$11+1,Paraméterek!$J$256:$T$257,2)))),IF($D$4="Forint",0,2)))</f>
        <v>#N/A</v>
      </c>
      <c r="X651" s="13" t="e">
        <f ca="1">ROUNDDOWN($W651*IF($D$2="Egyszeri",VLOOKUP($B651+IF($C651=12,1,0),Paraméterek!$V$257:$W$262,2),VLOOKUP($B651+IF($C651=12,1,0),Paraméterek!$I$258:$T$278,HLOOKUP($M$11+1,Paraméterek!$I$256:$T$257,2))),IF($D$4="Forint",0,2))</f>
        <v>#N/A</v>
      </c>
      <c r="Z651" s="32">
        <v>632</v>
      </c>
      <c r="AA651" s="32">
        <v>53</v>
      </c>
      <c r="AB651" s="32">
        <v>8</v>
      </c>
      <c r="AC651" s="13">
        <f t="shared" ca="1" si="214"/>
        <v>0</v>
      </c>
      <c r="AD651" s="33"/>
      <c r="AE651" s="13">
        <f t="shared" ca="1" si="206"/>
        <v>0</v>
      </c>
      <c r="AF651" s="13">
        <f ca="1">ROUNDUP(($AC651+$AE651)*VLOOKUP($AA651,Paraméterek!$P$38:$Q$38,2)/12*IF($D652="Nem",IF($M$13=0,1,$M$13),1),IF($D$4="Forint",0,2))</f>
        <v>0</v>
      </c>
      <c r="AG651" s="13">
        <f ca="1">IF($D$2="Egyszeri",IF($D$7&gt;=IF($D$4="Forint",Paraméterek!$P$223,Paraméterek!$P$224),$D$7-IF($D$4="Forint",Paraméterek!$P$223,Paraméterek!$P$224),0),MIN(IF($AB651=12,AVERAGEIF($E$20:$E651,"&gt;0",$E$20:$E651)*12,0),SUM($E$20:$E$31)))</f>
        <v>0</v>
      </c>
      <c r="AH651" s="13">
        <f>IF($AA651=10,$AG651*IF($AB651=12,IF($AG651&lt;IF($D$4="Forint",Paraméterek!$L$223,Paraméterek!$L$224),0,VLOOKUP($AA651,Paraméterek!$K$226:$M$228,IF($AG651&lt;IF($D$4="Forint",Paraméterek!$M$223,Paraméterek!$M$224),2,3))),0),0)</f>
        <v>0</v>
      </c>
      <c r="AI651" s="13">
        <f ca="1">IF(AND($AA651=$M$11+1,$AB651=$M$12+1),SUMIF($AA$20:$AA$1027,$AA651,$AG$20:$AG$1027)*IF(SUMIF($AA$20:$AA$1027,$AA651,$AG$20:$AG$1027)&lt;IF($D$4="Forint",Paraméterek!$L$223,Paraméterek!$L$224),0,VLOOKUP($AA651,Paraméterek!$K$230:$M$250,IF(SUMIF($AA$20:$AA$1027,$AA651,$AG$20:$AG$1027)&lt;IF($D$4="Forint",Paraméterek!$M$223,Paraméterek!$M$224),2,3))),0)</f>
        <v>0</v>
      </c>
      <c r="AJ651" s="13">
        <f ca="1">IF(AND($AA651&gt;=5,MOD($AA651,5)=0),IF($AB651=12,VLOOKUP($AA651,Paraméterek!$O$225:$P$240,2),0),IF(OR($AA651=3,$AA651=4),IF($AB651=12,VLOOKUP($AA651,Paraméterek!$O$225:$P$240,2,0),0),0))*$AG651</f>
        <v>0</v>
      </c>
      <c r="AK651" s="13">
        <f t="shared" ca="1" si="207"/>
        <v>0</v>
      </c>
      <c r="AL651" s="13">
        <f t="shared" ca="1" si="215"/>
        <v>0</v>
      </c>
      <c r="AM651" s="13">
        <f t="shared" ca="1" si="216"/>
        <v>0</v>
      </c>
      <c r="AO651" s="32">
        <v>632</v>
      </c>
      <c r="AP651" s="32">
        <v>53</v>
      </c>
      <c r="AQ651" s="32">
        <v>8</v>
      </c>
      <c r="AR651" s="13"/>
      <c r="AS651" s="32"/>
      <c r="AT651" s="13">
        <f t="shared" ca="1" si="217"/>
        <v>0</v>
      </c>
      <c r="AU651" s="33"/>
      <c r="AV651" s="13">
        <f t="shared" ca="1" si="208"/>
        <v>0</v>
      </c>
      <c r="AW651" s="13">
        <f ca="1">ROUNDUP(($AT651+$AV651)*VLOOKUP($AP651,Paraméterek!$P$38:$Q$38,2)/12*IF($D652="Nem",IF($M$13=0,1,$M$13),1),IF($D$4="Forint",0,2))</f>
        <v>0</v>
      </c>
      <c r="AX651" s="13"/>
      <c r="AY651" s="13"/>
      <c r="AZ651" s="13">
        <f>ROUNDUP(IF(SUM($AX651:$AY651)=0,0,IF(IF(ISBLANK($AY651),$AX651,$AY651)*Paraméterek!$J$112&lt;IF($D$4="Forint",Paraméterek!$J$113,Paraméterek!$K$113),IF($D$4="Forint",Paraméterek!$J$113,Paraméterek!$K$113),IF(IF(ISBLANK($AY651),$AX651,$AY651)*Paraméterek!$J$112&gt;IF($D$4="Forint",Paraméterek!$J$114,Paraméterek!$K$114),IF($D$4="Forint",Paraméterek!$J$114,Paraméterek!$K$114),IF(ISBLANK($AY651),$AX651,$AY651)*Paraméterek!$J$112))),IF($D$4="Forint",0,2))</f>
        <v>0</v>
      </c>
      <c r="BA651" s="13">
        <f ca="1">$AT651+$AV651-$AW651-IF(ROUNDDOWN(IF(ISBLANK($AY651),$AX651,$AY651),IF($D$4="Forint",0,2))&gt;$AT651+$AV651-$AW651-IF($D$4="Forint",Paraméterek!$J$114,Paraméterek!$K$114),0,ROUNDDOWN(IF(ISBLANK($AY651),$AX651,$AY651),IF($D$4="Forint",0,2))-$AZ651)</f>
        <v>0</v>
      </c>
      <c r="BB651" s="13">
        <f t="shared" ca="1" si="209"/>
        <v>0</v>
      </c>
      <c r="BD651" s="32">
        <v>632</v>
      </c>
      <c r="BE651" s="32">
        <v>53</v>
      </c>
      <c r="BF651" s="32">
        <v>8</v>
      </c>
      <c r="BG651" s="34">
        <f t="shared" ca="1" si="218"/>
        <v>2072</v>
      </c>
      <c r="BH651" s="32" t="str">
        <f ca="1">IF(MOD(MONTH($D$14)+$BD651-1,12)=Paraméterek!$C$288,"Igen","")</f>
        <v/>
      </c>
      <c r="BI651" s="13">
        <f ca="1">IF($BH651="Igen",MIN(ROUNDDOWN((SUMIF($BG$20:$BG$1027,$BG651-1,$K$20:$K$1027)-SUMIF($BG$20:$BG$1027,$BG651-1,$I$20:$I$1027))*Paraméterek!$C$289,IF($D$4="Forint",0,2)),IF($D$4="Forint",Paraméterek!$C$285,Paraméterek!$D$285)),0)</f>
        <v>0</v>
      </c>
      <c r="BJ651" s="13">
        <f t="shared" ca="1" si="210"/>
        <v>0</v>
      </c>
      <c r="BK651" s="13">
        <f t="shared" ca="1" si="219"/>
        <v>0</v>
      </c>
      <c r="BL651" s="33"/>
      <c r="BM651" s="13">
        <f t="shared" ca="1" si="211"/>
        <v>0</v>
      </c>
      <c r="BN651" s="13">
        <f ca="1">ROUNDUP(($BK651+$BM651)*VLOOKUP($BE651,Paraméterek!$P$38:$Q$38,2)/12*IF($D652="Nem",IF($M$13=0,1,$M$13),1),IF($D$4="Forint",0,2))</f>
        <v>0</v>
      </c>
      <c r="BO651" s="13">
        <f t="shared" ca="1" si="212"/>
        <v>0</v>
      </c>
      <c r="BP651" s="13">
        <f ca="1">IF($D652="Nem",$BO651,$BO651-ROUNDUP(SUM($BI$20:$BI651)*120%,IF($D$4="Forint",0,2)))</f>
        <v>0</v>
      </c>
    </row>
    <row r="652" spans="1:68" x14ac:dyDescent="0.2">
      <c r="A652" s="32">
        <v>633</v>
      </c>
      <c r="B652" s="32">
        <v>53</v>
      </c>
      <c r="C652" s="32">
        <v>9</v>
      </c>
      <c r="D652" s="32" t="str">
        <f t="shared" ca="1" si="198"/>
        <v>Nem</v>
      </c>
      <c r="E652" s="13">
        <f t="shared" ca="1" si="199"/>
        <v>0</v>
      </c>
      <c r="F652" s="13"/>
      <c r="G652" s="13"/>
      <c r="H652" s="13"/>
      <c r="I652" s="13">
        <f t="shared" ca="1" si="200"/>
        <v>0</v>
      </c>
      <c r="J652" s="13">
        <f t="shared" ca="1" si="201"/>
        <v>0</v>
      </c>
      <c r="K652" s="13">
        <f t="shared" ca="1" si="202"/>
        <v>0</v>
      </c>
      <c r="L652" s="13" t="e">
        <f ca="1">ROUNDUP(IF($D$2="Egyszeri",$E652,IF($D$2="Havi",SUM($E$20:$E$31),IF(MOD($C652,$M$1)-1=0,SUM($E$20:$E$31),0))/12*$M$1)*VLOOKUP($B652,Paraméterek!$I$28:$P$31,IF($D$2="Egyszeri",8,HLOOKUP(ROUNDUP($M$11+$M$13,0),Paraméterek!$J$26:$O$27,2))),IF($D$4="Forint",0,2))</f>
        <v>#N/A</v>
      </c>
      <c r="M652" s="13">
        <f t="shared" ca="1" si="203"/>
        <v>0</v>
      </c>
      <c r="N652" s="13">
        <f t="shared" ca="1" si="213"/>
        <v>0</v>
      </c>
      <c r="O652" s="13">
        <f ca="1">IF($D652="Igen",IF($W651&gt;=IF($D$4="Forint",Paraméterek!$J$121,Paraméterek!$K$121),0,IF($D$4="Forint",Paraméterek!$J$121,Paraméterek!$K$121)-$W651),0)</f>
        <v>0</v>
      </c>
      <c r="P652" s="13" t="e">
        <f ca="1">ROUNDUP($O652*VLOOKUP($M$4+$B652-1,Paraméterek!$H$58:$I$105,2,0)/Paraméterek!$I$56,IF($D$4="Forint",0,2))</f>
        <v>#N/A</v>
      </c>
      <c r="Q652" s="13">
        <f t="shared" ca="1" si="204"/>
        <v>0</v>
      </c>
      <c r="R652" s="33"/>
      <c r="S652" s="13" t="e">
        <f t="shared" ca="1" si="205"/>
        <v>#N/A</v>
      </c>
      <c r="T652" s="13" t="e">
        <f ca="1">ROUNDUP(($N652-$P652-$Q652+$S652)*VLOOKUP($B652,Paraméterek!$I$38:$K$39,IF($D$2="Egyszeri",3,2))/12*IF($D653="Nem",IF($M$13=0,1,$M$13),1),IF($D$4="Forint",0,2))</f>
        <v>#N/A</v>
      </c>
      <c r="U652" s="13"/>
      <c r="V652" s="13"/>
      <c r="W652" s="13" t="e">
        <f ca="1">$N652-$P652-$Q652+$S652-$T652-IF(ROUNDUP(IF(ISBLANK($V652),$U652*0,$V652)/IF($D$2="Egyszeri",VLOOKUP($B652+IF($C652=12,1,0),Paraméterek!$V$257:$W$262,2),IF($B652=1,1,VLOOKUP($B652+IF($C652=12,1,0),Paraméterek!$I$258:$T$278,HLOOKUP($M$11+1,Paraméterek!$J$256:$T$257,2)))),IF($D$4="Forint",0,2))&gt;$N652-$P652-$Q652+$S652-$T652-IF($D$4="Forint",Paraméterek!$C$216,Paraméterek!$D$216),0,ROUNDUP(IF(ISBLANK($V652),$U652*0,$V652)/IF($D$2="Egyszeri",VLOOKUP($B652+IF($C652=12,1,0),Paraméterek!$V$257:$W$262,2),IF($B652=1,1,VLOOKUP($B652+IF($C652=12,1,0),Paraméterek!$I$258:$T$278,HLOOKUP($M$11+1,Paraméterek!$J$256:$T$257,2)))),IF($D$4="Forint",0,2)))</f>
        <v>#N/A</v>
      </c>
      <c r="X652" s="13" t="e">
        <f ca="1">ROUNDDOWN($W652*IF($D$2="Egyszeri",VLOOKUP($B652+IF($C652=12,1,0),Paraméterek!$V$257:$W$262,2),VLOOKUP($B652+IF($C652=12,1,0),Paraméterek!$I$258:$T$278,HLOOKUP($M$11+1,Paraméterek!$I$256:$T$257,2))),IF($D$4="Forint",0,2))</f>
        <v>#N/A</v>
      </c>
      <c r="Z652" s="32">
        <v>633</v>
      </c>
      <c r="AA652" s="32">
        <v>53</v>
      </c>
      <c r="AB652" s="32">
        <v>9</v>
      </c>
      <c r="AC652" s="13">
        <f t="shared" ca="1" si="214"/>
        <v>0</v>
      </c>
      <c r="AD652" s="33"/>
      <c r="AE652" s="13">
        <f t="shared" ca="1" si="206"/>
        <v>0</v>
      </c>
      <c r="AF652" s="13">
        <f ca="1">ROUNDUP(($AC652+$AE652)*VLOOKUP($AA652,Paraméterek!$P$38:$Q$38,2)/12*IF($D653="Nem",IF($M$13=0,1,$M$13),1),IF($D$4="Forint",0,2))</f>
        <v>0</v>
      </c>
      <c r="AG652" s="13">
        <f ca="1">IF($D$2="Egyszeri",IF($D$7&gt;=IF($D$4="Forint",Paraméterek!$P$223,Paraméterek!$P$224),$D$7-IF($D$4="Forint",Paraméterek!$P$223,Paraméterek!$P$224),0),MIN(IF($AB652=12,AVERAGEIF($E$20:$E652,"&gt;0",$E$20:$E652)*12,0),SUM($E$20:$E$31)))</f>
        <v>0</v>
      </c>
      <c r="AH652" s="13">
        <f>IF($AA652=10,$AG652*IF($AB652=12,IF($AG652&lt;IF($D$4="Forint",Paraméterek!$L$223,Paraméterek!$L$224),0,VLOOKUP($AA652,Paraméterek!$K$226:$M$228,IF($AG652&lt;IF($D$4="Forint",Paraméterek!$M$223,Paraméterek!$M$224),2,3))),0),0)</f>
        <v>0</v>
      </c>
      <c r="AI652" s="13">
        <f ca="1">IF(AND($AA652=$M$11+1,$AB652=$M$12+1),SUMIF($AA$20:$AA$1027,$AA652,$AG$20:$AG$1027)*IF(SUMIF($AA$20:$AA$1027,$AA652,$AG$20:$AG$1027)&lt;IF($D$4="Forint",Paraméterek!$L$223,Paraméterek!$L$224),0,VLOOKUP($AA652,Paraméterek!$K$230:$M$250,IF(SUMIF($AA$20:$AA$1027,$AA652,$AG$20:$AG$1027)&lt;IF($D$4="Forint",Paraméterek!$M$223,Paraméterek!$M$224),2,3))),0)</f>
        <v>0</v>
      </c>
      <c r="AJ652" s="13">
        <f ca="1">IF(AND($AA652&gt;=5,MOD($AA652,5)=0),IF($AB652=12,VLOOKUP($AA652,Paraméterek!$O$225:$P$240,2),0),IF(OR($AA652=3,$AA652=4),IF($AB652=12,VLOOKUP($AA652,Paraméterek!$O$225:$P$240,2,0),0),0))*$AG652</f>
        <v>0</v>
      </c>
      <c r="AK652" s="13">
        <f t="shared" ca="1" si="207"/>
        <v>0</v>
      </c>
      <c r="AL652" s="13">
        <f t="shared" ca="1" si="215"/>
        <v>0</v>
      </c>
      <c r="AM652" s="13">
        <f t="shared" ca="1" si="216"/>
        <v>0</v>
      </c>
      <c r="AO652" s="32">
        <v>633</v>
      </c>
      <c r="AP652" s="32">
        <v>53</v>
      </c>
      <c r="AQ652" s="32">
        <v>9</v>
      </c>
      <c r="AR652" s="13"/>
      <c r="AS652" s="32"/>
      <c r="AT652" s="13">
        <f t="shared" ca="1" si="217"/>
        <v>0</v>
      </c>
      <c r="AU652" s="33"/>
      <c r="AV652" s="13">
        <f t="shared" ca="1" si="208"/>
        <v>0</v>
      </c>
      <c r="AW652" s="13">
        <f ca="1">ROUNDUP(($AT652+$AV652)*VLOOKUP($AP652,Paraméterek!$P$38:$Q$38,2)/12*IF($D653="Nem",IF($M$13=0,1,$M$13),1),IF($D$4="Forint",0,2))</f>
        <v>0</v>
      </c>
      <c r="AX652" s="13"/>
      <c r="AY652" s="13"/>
      <c r="AZ652" s="13">
        <f>ROUNDUP(IF(SUM($AX652:$AY652)=0,0,IF(IF(ISBLANK($AY652),$AX652,$AY652)*Paraméterek!$J$112&lt;IF($D$4="Forint",Paraméterek!$J$113,Paraméterek!$K$113),IF($D$4="Forint",Paraméterek!$J$113,Paraméterek!$K$113),IF(IF(ISBLANK($AY652),$AX652,$AY652)*Paraméterek!$J$112&gt;IF($D$4="Forint",Paraméterek!$J$114,Paraméterek!$K$114),IF($D$4="Forint",Paraméterek!$J$114,Paraméterek!$K$114),IF(ISBLANK($AY652),$AX652,$AY652)*Paraméterek!$J$112))),IF($D$4="Forint",0,2))</f>
        <v>0</v>
      </c>
      <c r="BA652" s="13">
        <f ca="1">$AT652+$AV652-$AW652-IF(ROUNDDOWN(IF(ISBLANK($AY652),$AX652,$AY652),IF($D$4="Forint",0,2))&gt;$AT652+$AV652-$AW652-IF($D$4="Forint",Paraméterek!$J$114,Paraméterek!$K$114),0,ROUNDDOWN(IF(ISBLANK($AY652),$AX652,$AY652),IF($D$4="Forint",0,2))-$AZ652)</f>
        <v>0</v>
      </c>
      <c r="BB652" s="13">
        <f t="shared" ca="1" si="209"/>
        <v>0</v>
      </c>
      <c r="BD652" s="32">
        <v>633</v>
      </c>
      <c r="BE652" s="32">
        <v>53</v>
      </c>
      <c r="BF652" s="32">
        <v>9</v>
      </c>
      <c r="BG652" s="34">
        <f t="shared" ca="1" si="218"/>
        <v>2072</v>
      </c>
      <c r="BH652" s="32" t="str">
        <f ca="1">IF(MOD(MONTH($D$14)+$BD652-1,12)=Paraméterek!$C$288,"Igen","")</f>
        <v/>
      </c>
      <c r="BI652" s="13">
        <f ca="1">IF($BH652="Igen",MIN(ROUNDDOWN((SUMIF($BG$20:$BG$1027,$BG652-1,$K$20:$K$1027)-SUMIF($BG$20:$BG$1027,$BG652-1,$I$20:$I$1027))*Paraméterek!$C$289,IF($D$4="Forint",0,2)),IF($D$4="Forint",Paraméterek!$C$285,Paraméterek!$D$285)),0)</f>
        <v>0</v>
      </c>
      <c r="BJ652" s="13">
        <f t="shared" ca="1" si="210"/>
        <v>0</v>
      </c>
      <c r="BK652" s="13">
        <f t="shared" ca="1" si="219"/>
        <v>0</v>
      </c>
      <c r="BL652" s="33"/>
      <c r="BM652" s="13">
        <f t="shared" ca="1" si="211"/>
        <v>0</v>
      </c>
      <c r="BN652" s="13">
        <f ca="1">ROUNDUP(($BK652+$BM652)*VLOOKUP($BE652,Paraméterek!$P$38:$Q$38,2)/12*IF($D653="Nem",IF($M$13=0,1,$M$13),1),IF($D$4="Forint",0,2))</f>
        <v>0</v>
      </c>
      <c r="BO652" s="13">
        <f t="shared" ca="1" si="212"/>
        <v>0</v>
      </c>
      <c r="BP652" s="13">
        <f ca="1">IF($D653="Nem",$BO652,$BO652-ROUNDUP(SUM($BI$20:$BI652)*120%,IF($D$4="Forint",0,2)))</f>
        <v>0</v>
      </c>
    </row>
    <row r="653" spans="1:68" x14ac:dyDescent="0.2">
      <c r="A653" s="32">
        <v>634</v>
      </c>
      <c r="B653" s="32">
        <v>53</v>
      </c>
      <c r="C653" s="32">
        <v>10</v>
      </c>
      <c r="D653" s="32" t="str">
        <f t="shared" ca="1" si="198"/>
        <v>Nem</v>
      </c>
      <c r="E653" s="13">
        <f t="shared" ca="1" si="199"/>
        <v>0</v>
      </c>
      <c r="F653" s="13"/>
      <c r="G653" s="13"/>
      <c r="H653" s="13"/>
      <c r="I653" s="13">
        <f t="shared" ca="1" si="200"/>
        <v>0</v>
      </c>
      <c r="J653" s="13">
        <f t="shared" ca="1" si="201"/>
        <v>0</v>
      </c>
      <c r="K653" s="13">
        <f t="shared" ca="1" si="202"/>
        <v>0</v>
      </c>
      <c r="L653" s="13" t="e">
        <f ca="1">ROUNDUP(IF($D$2="Egyszeri",$E653,IF($D$2="Havi",SUM($E$20:$E$31),IF(MOD($C653,$M$1)-1=0,SUM($E$20:$E$31),0))/12*$M$1)*VLOOKUP($B653,Paraméterek!$I$28:$P$31,IF($D$2="Egyszeri",8,HLOOKUP(ROUNDUP($M$11+$M$13,0),Paraméterek!$J$26:$O$27,2))),IF($D$4="Forint",0,2))</f>
        <v>#N/A</v>
      </c>
      <c r="M653" s="13">
        <f t="shared" ca="1" si="203"/>
        <v>0</v>
      </c>
      <c r="N653" s="13">
        <f t="shared" ca="1" si="213"/>
        <v>0</v>
      </c>
      <c r="O653" s="13">
        <f ca="1">IF($D653="Igen",IF($W652&gt;=IF($D$4="Forint",Paraméterek!$J$121,Paraméterek!$K$121),0,IF($D$4="Forint",Paraméterek!$J$121,Paraméterek!$K$121)-$W652),0)</f>
        <v>0</v>
      </c>
      <c r="P653" s="13" t="e">
        <f ca="1">ROUNDUP($O653*VLOOKUP($M$4+$B653-1,Paraméterek!$H$58:$I$105,2,0)/Paraméterek!$I$56,IF($D$4="Forint",0,2))</f>
        <v>#N/A</v>
      </c>
      <c r="Q653" s="13">
        <f t="shared" ca="1" si="204"/>
        <v>0</v>
      </c>
      <c r="R653" s="33"/>
      <c r="S653" s="13" t="e">
        <f t="shared" ca="1" si="205"/>
        <v>#N/A</v>
      </c>
      <c r="T653" s="13" t="e">
        <f ca="1">ROUNDUP(($N653-$P653-$Q653+$S653)*VLOOKUP($B653,Paraméterek!$I$38:$K$39,IF($D$2="Egyszeri",3,2))/12*IF($D654="Nem",IF($M$13=0,1,$M$13),1),IF($D$4="Forint",0,2))</f>
        <v>#N/A</v>
      </c>
      <c r="U653" s="13"/>
      <c r="V653" s="13"/>
      <c r="W653" s="13" t="e">
        <f ca="1">$N653-$P653-$Q653+$S653-$T653-IF(ROUNDUP(IF(ISBLANK($V653),$U653*0,$V653)/IF($D$2="Egyszeri",VLOOKUP($B653+IF($C653=12,1,0),Paraméterek!$V$257:$W$262,2),IF($B653=1,1,VLOOKUP($B653+IF($C653=12,1,0),Paraméterek!$I$258:$T$278,HLOOKUP($M$11+1,Paraméterek!$J$256:$T$257,2)))),IF($D$4="Forint",0,2))&gt;$N653-$P653-$Q653+$S653-$T653-IF($D$4="Forint",Paraméterek!$C$216,Paraméterek!$D$216),0,ROUNDUP(IF(ISBLANK($V653),$U653*0,$V653)/IF($D$2="Egyszeri",VLOOKUP($B653+IF($C653=12,1,0),Paraméterek!$V$257:$W$262,2),IF($B653=1,1,VLOOKUP($B653+IF($C653=12,1,0),Paraméterek!$I$258:$T$278,HLOOKUP($M$11+1,Paraméterek!$J$256:$T$257,2)))),IF($D$4="Forint",0,2)))</f>
        <v>#N/A</v>
      </c>
      <c r="X653" s="13" t="e">
        <f ca="1">ROUNDDOWN($W653*IF($D$2="Egyszeri",VLOOKUP($B653+IF($C653=12,1,0),Paraméterek!$V$257:$W$262,2),VLOOKUP($B653+IF($C653=12,1,0),Paraméterek!$I$258:$T$278,HLOOKUP($M$11+1,Paraméterek!$I$256:$T$257,2))),IF($D$4="Forint",0,2))</f>
        <v>#N/A</v>
      </c>
      <c r="Z653" s="32">
        <v>634</v>
      </c>
      <c r="AA653" s="32">
        <v>53</v>
      </c>
      <c r="AB653" s="32">
        <v>10</v>
      </c>
      <c r="AC653" s="13">
        <f t="shared" ca="1" si="214"/>
        <v>0</v>
      </c>
      <c r="AD653" s="33"/>
      <c r="AE653" s="13">
        <f t="shared" ca="1" si="206"/>
        <v>0</v>
      </c>
      <c r="AF653" s="13">
        <f ca="1">ROUNDUP(($AC653+$AE653)*VLOOKUP($AA653,Paraméterek!$P$38:$Q$38,2)/12*IF($D654="Nem",IF($M$13=0,1,$M$13),1),IF($D$4="Forint",0,2))</f>
        <v>0</v>
      </c>
      <c r="AG653" s="13">
        <f ca="1">IF($D$2="Egyszeri",IF($D$7&gt;=IF($D$4="Forint",Paraméterek!$P$223,Paraméterek!$P$224),$D$7-IF($D$4="Forint",Paraméterek!$P$223,Paraméterek!$P$224),0),MIN(IF($AB653=12,AVERAGEIF($E$20:$E653,"&gt;0",$E$20:$E653)*12,0),SUM($E$20:$E$31)))</f>
        <v>0</v>
      </c>
      <c r="AH653" s="13">
        <f>IF($AA653=10,$AG653*IF($AB653=12,IF($AG653&lt;IF($D$4="Forint",Paraméterek!$L$223,Paraméterek!$L$224),0,VLOOKUP($AA653,Paraméterek!$K$226:$M$228,IF($AG653&lt;IF($D$4="Forint",Paraméterek!$M$223,Paraméterek!$M$224),2,3))),0),0)</f>
        <v>0</v>
      </c>
      <c r="AI653" s="13">
        <f ca="1">IF(AND($AA653=$M$11+1,$AB653=$M$12+1),SUMIF($AA$20:$AA$1027,$AA653,$AG$20:$AG$1027)*IF(SUMIF($AA$20:$AA$1027,$AA653,$AG$20:$AG$1027)&lt;IF($D$4="Forint",Paraméterek!$L$223,Paraméterek!$L$224),0,VLOOKUP($AA653,Paraméterek!$K$230:$M$250,IF(SUMIF($AA$20:$AA$1027,$AA653,$AG$20:$AG$1027)&lt;IF($D$4="Forint",Paraméterek!$M$223,Paraméterek!$M$224),2,3))),0)</f>
        <v>0</v>
      </c>
      <c r="AJ653" s="13">
        <f ca="1">IF(AND($AA653&gt;=5,MOD($AA653,5)=0),IF($AB653=12,VLOOKUP($AA653,Paraméterek!$O$225:$P$240,2),0),IF(OR($AA653=3,$AA653=4),IF($AB653=12,VLOOKUP($AA653,Paraméterek!$O$225:$P$240,2,0),0),0))*$AG653</f>
        <v>0</v>
      </c>
      <c r="AK653" s="13">
        <f t="shared" ca="1" si="207"/>
        <v>0</v>
      </c>
      <c r="AL653" s="13">
        <f t="shared" ca="1" si="215"/>
        <v>0</v>
      </c>
      <c r="AM653" s="13">
        <f t="shared" ca="1" si="216"/>
        <v>0</v>
      </c>
      <c r="AO653" s="32">
        <v>634</v>
      </c>
      <c r="AP653" s="32">
        <v>53</v>
      </c>
      <c r="AQ653" s="32">
        <v>10</v>
      </c>
      <c r="AR653" s="13"/>
      <c r="AS653" s="32"/>
      <c r="AT653" s="13">
        <f t="shared" ca="1" si="217"/>
        <v>0</v>
      </c>
      <c r="AU653" s="33"/>
      <c r="AV653" s="13">
        <f t="shared" ca="1" si="208"/>
        <v>0</v>
      </c>
      <c r="AW653" s="13">
        <f ca="1">ROUNDUP(($AT653+$AV653)*VLOOKUP($AP653,Paraméterek!$P$38:$Q$38,2)/12*IF($D654="Nem",IF($M$13=0,1,$M$13),1),IF($D$4="Forint",0,2))</f>
        <v>0</v>
      </c>
      <c r="AX653" s="13"/>
      <c r="AY653" s="13"/>
      <c r="AZ653" s="13">
        <f>ROUNDUP(IF(SUM($AX653:$AY653)=0,0,IF(IF(ISBLANK($AY653),$AX653,$AY653)*Paraméterek!$J$112&lt;IF($D$4="Forint",Paraméterek!$J$113,Paraméterek!$K$113),IF($D$4="Forint",Paraméterek!$J$113,Paraméterek!$K$113),IF(IF(ISBLANK($AY653),$AX653,$AY653)*Paraméterek!$J$112&gt;IF($D$4="Forint",Paraméterek!$J$114,Paraméterek!$K$114),IF($D$4="Forint",Paraméterek!$J$114,Paraméterek!$K$114),IF(ISBLANK($AY653),$AX653,$AY653)*Paraméterek!$J$112))),IF($D$4="Forint",0,2))</f>
        <v>0</v>
      </c>
      <c r="BA653" s="13">
        <f ca="1">$AT653+$AV653-$AW653-IF(ROUNDDOWN(IF(ISBLANK($AY653),$AX653,$AY653),IF($D$4="Forint",0,2))&gt;$AT653+$AV653-$AW653-IF($D$4="Forint",Paraméterek!$J$114,Paraméterek!$K$114),0,ROUNDDOWN(IF(ISBLANK($AY653),$AX653,$AY653),IF($D$4="Forint",0,2))-$AZ653)</f>
        <v>0</v>
      </c>
      <c r="BB653" s="13">
        <f t="shared" ca="1" si="209"/>
        <v>0</v>
      </c>
      <c r="BD653" s="32">
        <v>634</v>
      </c>
      <c r="BE653" s="32">
        <v>53</v>
      </c>
      <c r="BF653" s="32">
        <v>10</v>
      </c>
      <c r="BG653" s="34">
        <f t="shared" ca="1" si="218"/>
        <v>2072</v>
      </c>
      <c r="BH653" s="32" t="str">
        <f ca="1">IF(MOD(MONTH($D$14)+$BD653-1,12)=Paraméterek!$C$288,"Igen","")</f>
        <v/>
      </c>
      <c r="BI653" s="13">
        <f ca="1">IF($BH653="Igen",MIN(ROUNDDOWN((SUMIF($BG$20:$BG$1027,$BG653-1,$K$20:$K$1027)-SUMIF($BG$20:$BG$1027,$BG653-1,$I$20:$I$1027))*Paraméterek!$C$289,IF($D$4="Forint",0,2)),IF($D$4="Forint",Paraméterek!$C$285,Paraméterek!$D$285)),0)</f>
        <v>0</v>
      </c>
      <c r="BJ653" s="13">
        <f t="shared" ca="1" si="210"/>
        <v>0</v>
      </c>
      <c r="BK653" s="13">
        <f t="shared" ca="1" si="219"/>
        <v>0</v>
      </c>
      <c r="BL653" s="33"/>
      <c r="BM653" s="13">
        <f t="shared" ca="1" si="211"/>
        <v>0</v>
      </c>
      <c r="BN653" s="13">
        <f ca="1">ROUNDUP(($BK653+$BM653)*VLOOKUP($BE653,Paraméterek!$P$38:$Q$38,2)/12*IF($D654="Nem",IF($M$13=0,1,$M$13),1),IF($D$4="Forint",0,2))</f>
        <v>0</v>
      </c>
      <c r="BO653" s="13">
        <f t="shared" ca="1" si="212"/>
        <v>0</v>
      </c>
      <c r="BP653" s="13">
        <f ca="1">IF($D654="Nem",$BO653,$BO653-ROUNDUP(SUM($BI$20:$BI653)*120%,IF($D$4="Forint",0,2)))</f>
        <v>0</v>
      </c>
    </row>
    <row r="654" spans="1:68" x14ac:dyDescent="0.2">
      <c r="A654" s="32">
        <v>635</v>
      </c>
      <c r="B654" s="32">
        <v>53</v>
      </c>
      <c r="C654" s="32">
        <v>11</v>
      </c>
      <c r="D654" s="32" t="str">
        <f t="shared" ca="1" si="198"/>
        <v>Nem</v>
      </c>
      <c r="E654" s="13">
        <f t="shared" ca="1" si="199"/>
        <v>0</v>
      </c>
      <c r="F654" s="13"/>
      <c r="G654" s="13"/>
      <c r="H654" s="13"/>
      <c r="I654" s="13">
        <f t="shared" ca="1" si="200"/>
        <v>0</v>
      </c>
      <c r="J654" s="13">
        <f t="shared" ca="1" si="201"/>
        <v>0</v>
      </c>
      <c r="K654" s="13">
        <f t="shared" ca="1" si="202"/>
        <v>0</v>
      </c>
      <c r="L654" s="13" t="e">
        <f ca="1">ROUNDUP(IF($D$2="Egyszeri",$E654,IF($D$2="Havi",SUM($E$20:$E$31),IF(MOD($C654,$M$1)-1=0,SUM($E$20:$E$31),0))/12*$M$1)*VLOOKUP($B654,Paraméterek!$I$28:$P$31,IF($D$2="Egyszeri",8,HLOOKUP(ROUNDUP($M$11+$M$13,0),Paraméterek!$J$26:$O$27,2))),IF($D$4="Forint",0,2))</f>
        <v>#N/A</v>
      </c>
      <c r="M654" s="13">
        <f t="shared" ca="1" si="203"/>
        <v>0</v>
      </c>
      <c r="N654" s="13">
        <f t="shared" ca="1" si="213"/>
        <v>0</v>
      </c>
      <c r="O654" s="13">
        <f ca="1">IF($D654="Igen",IF($W653&gt;=IF($D$4="Forint",Paraméterek!$J$121,Paraméterek!$K$121),0,IF($D$4="Forint",Paraméterek!$J$121,Paraméterek!$K$121)-$W653),0)</f>
        <v>0</v>
      </c>
      <c r="P654" s="13" t="e">
        <f ca="1">ROUNDUP($O654*VLOOKUP($M$4+$B654-1,Paraméterek!$H$58:$I$105,2,0)/Paraméterek!$I$56,IF($D$4="Forint",0,2))</f>
        <v>#N/A</v>
      </c>
      <c r="Q654" s="13">
        <f t="shared" ca="1" si="204"/>
        <v>0</v>
      </c>
      <c r="R654" s="33"/>
      <c r="S654" s="13" t="e">
        <f t="shared" ca="1" si="205"/>
        <v>#N/A</v>
      </c>
      <c r="T654" s="13" t="e">
        <f ca="1">ROUNDUP(($N654-$P654-$Q654+$S654)*VLOOKUP($B654,Paraméterek!$I$38:$K$39,IF($D$2="Egyszeri",3,2))/12*IF($D655="Nem",IF($M$13=0,1,$M$13),1),IF($D$4="Forint",0,2))</f>
        <v>#N/A</v>
      </c>
      <c r="U654" s="13"/>
      <c r="V654" s="13"/>
      <c r="W654" s="13" t="e">
        <f ca="1">$N654-$P654-$Q654+$S654-$T654-IF(ROUNDUP(IF(ISBLANK($V654),$U654*0,$V654)/IF($D$2="Egyszeri",VLOOKUP($B654+IF($C654=12,1,0),Paraméterek!$V$257:$W$262,2),IF($B654=1,1,VLOOKUP($B654+IF($C654=12,1,0),Paraméterek!$I$258:$T$278,HLOOKUP($M$11+1,Paraméterek!$J$256:$T$257,2)))),IF($D$4="Forint",0,2))&gt;$N654-$P654-$Q654+$S654-$T654-IF($D$4="Forint",Paraméterek!$C$216,Paraméterek!$D$216),0,ROUNDUP(IF(ISBLANK($V654),$U654*0,$V654)/IF($D$2="Egyszeri",VLOOKUP($B654+IF($C654=12,1,0),Paraméterek!$V$257:$W$262,2),IF($B654=1,1,VLOOKUP($B654+IF($C654=12,1,0),Paraméterek!$I$258:$T$278,HLOOKUP($M$11+1,Paraméterek!$J$256:$T$257,2)))),IF($D$4="Forint",0,2)))</f>
        <v>#N/A</v>
      </c>
      <c r="X654" s="13" t="e">
        <f ca="1">ROUNDDOWN($W654*IF($D$2="Egyszeri",VLOOKUP($B654+IF($C654=12,1,0),Paraméterek!$V$257:$W$262,2),VLOOKUP($B654+IF($C654=12,1,0),Paraméterek!$I$258:$T$278,HLOOKUP($M$11+1,Paraméterek!$I$256:$T$257,2))),IF($D$4="Forint",0,2))</f>
        <v>#N/A</v>
      </c>
      <c r="Z654" s="32">
        <v>635</v>
      </c>
      <c r="AA654" s="32">
        <v>53</v>
      </c>
      <c r="AB654" s="32">
        <v>11</v>
      </c>
      <c r="AC654" s="13">
        <f t="shared" ca="1" si="214"/>
        <v>0</v>
      </c>
      <c r="AD654" s="33"/>
      <c r="AE654" s="13">
        <f t="shared" ca="1" si="206"/>
        <v>0</v>
      </c>
      <c r="AF654" s="13">
        <f ca="1">ROUNDUP(($AC654+$AE654)*VLOOKUP($AA654,Paraméterek!$P$38:$Q$38,2)/12*IF($D655="Nem",IF($M$13=0,1,$M$13),1),IF($D$4="Forint",0,2))</f>
        <v>0</v>
      </c>
      <c r="AG654" s="13">
        <f ca="1">IF($D$2="Egyszeri",IF($D$7&gt;=IF($D$4="Forint",Paraméterek!$P$223,Paraméterek!$P$224),$D$7-IF($D$4="Forint",Paraméterek!$P$223,Paraméterek!$P$224),0),MIN(IF($AB654=12,AVERAGEIF($E$20:$E654,"&gt;0",$E$20:$E654)*12,0),SUM($E$20:$E$31)))</f>
        <v>0</v>
      </c>
      <c r="AH654" s="13">
        <f>IF($AA654=10,$AG654*IF($AB654=12,IF($AG654&lt;IF($D$4="Forint",Paraméterek!$L$223,Paraméterek!$L$224),0,VLOOKUP($AA654,Paraméterek!$K$226:$M$228,IF($AG654&lt;IF($D$4="Forint",Paraméterek!$M$223,Paraméterek!$M$224),2,3))),0),0)</f>
        <v>0</v>
      </c>
      <c r="AI654" s="13">
        <f ca="1">IF(AND($AA654=$M$11+1,$AB654=$M$12+1),SUMIF($AA$20:$AA$1027,$AA654,$AG$20:$AG$1027)*IF(SUMIF($AA$20:$AA$1027,$AA654,$AG$20:$AG$1027)&lt;IF($D$4="Forint",Paraméterek!$L$223,Paraméterek!$L$224),0,VLOOKUP($AA654,Paraméterek!$K$230:$M$250,IF(SUMIF($AA$20:$AA$1027,$AA654,$AG$20:$AG$1027)&lt;IF($D$4="Forint",Paraméterek!$M$223,Paraméterek!$M$224),2,3))),0)</f>
        <v>0</v>
      </c>
      <c r="AJ654" s="13">
        <f ca="1">IF(AND($AA654&gt;=5,MOD($AA654,5)=0),IF($AB654=12,VLOOKUP($AA654,Paraméterek!$O$225:$P$240,2),0),IF(OR($AA654=3,$AA654=4),IF($AB654=12,VLOOKUP($AA654,Paraméterek!$O$225:$P$240,2,0),0),0))*$AG654</f>
        <v>0</v>
      </c>
      <c r="AK654" s="13">
        <f t="shared" ca="1" si="207"/>
        <v>0</v>
      </c>
      <c r="AL654" s="13">
        <f t="shared" ca="1" si="215"/>
        <v>0</v>
      </c>
      <c r="AM654" s="13">
        <f t="shared" ca="1" si="216"/>
        <v>0</v>
      </c>
      <c r="AO654" s="32">
        <v>635</v>
      </c>
      <c r="AP654" s="32">
        <v>53</v>
      </c>
      <c r="AQ654" s="32">
        <v>11</v>
      </c>
      <c r="AR654" s="13"/>
      <c r="AS654" s="32"/>
      <c r="AT654" s="13">
        <f t="shared" ca="1" si="217"/>
        <v>0</v>
      </c>
      <c r="AU654" s="33"/>
      <c r="AV654" s="13">
        <f t="shared" ca="1" si="208"/>
        <v>0</v>
      </c>
      <c r="AW654" s="13">
        <f ca="1">ROUNDUP(($AT654+$AV654)*VLOOKUP($AP654,Paraméterek!$P$38:$Q$38,2)/12*IF($D655="Nem",IF($M$13=0,1,$M$13),1),IF($D$4="Forint",0,2))</f>
        <v>0</v>
      </c>
      <c r="AX654" s="13"/>
      <c r="AY654" s="13"/>
      <c r="AZ654" s="13">
        <f>ROUNDUP(IF(SUM($AX654:$AY654)=0,0,IF(IF(ISBLANK($AY654),$AX654,$AY654)*Paraméterek!$J$112&lt;IF($D$4="Forint",Paraméterek!$J$113,Paraméterek!$K$113),IF($D$4="Forint",Paraméterek!$J$113,Paraméterek!$K$113),IF(IF(ISBLANK($AY654),$AX654,$AY654)*Paraméterek!$J$112&gt;IF($D$4="Forint",Paraméterek!$J$114,Paraméterek!$K$114),IF($D$4="Forint",Paraméterek!$J$114,Paraméterek!$K$114),IF(ISBLANK($AY654),$AX654,$AY654)*Paraméterek!$J$112))),IF($D$4="Forint",0,2))</f>
        <v>0</v>
      </c>
      <c r="BA654" s="13">
        <f ca="1">$AT654+$AV654-$AW654-IF(ROUNDDOWN(IF(ISBLANK($AY654),$AX654,$AY654),IF($D$4="Forint",0,2))&gt;$AT654+$AV654-$AW654-IF($D$4="Forint",Paraméterek!$J$114,Paraméterek!$K$114),0,ROUNDDOWN(IF(ISBLANK($AY654),$AX654,$AY654),IF($D$4="Forint",0,2))-$AZ654)</f>
        <v>0</v>
      </c>
      <c r="BB654" s="13">
        <f t="shared" ca="1" si="209"/>
        <v>0</v>
      </c>
      <c r="BD654" s="32">
        <v>635</v>
      </c>
      <c r="BE654" s="32">
        <v>53</v>
      </c>
      <c r="BF654" s="32">
        <v>11</v>
      </c>
      <c r="BG654" s="34">
        <f t="shared" ca="1" si="218"/>
        <v>2072</v>
      </c>
      <c r="BH654" s="32" t="str">
        <f ca="1">IF(MOD(MONTH($D$14)+$BD654-1,12)=Paraméterek!$C$288,"Igen","")</f>
        <v/>
      </c>
      <c r="BI654" s="13">
        <f ca="1">IF($BH654="Igen",MIN(ROUNDDOWN((SUMIF($BG$20:$BG$1027,$BG654-1,$K$20:$K$1027)-SUMIF($BG$20:$BG$1027,$BG654-1,$I$20:$I$1027))*Paraméterek!$C$289,IF($D$4="Forint",0,2)),IF($D$4="Forint",Paraméterek!$C$285,Paraméterek!$D$285)),0)</f>
        <v>0</v>
      </c>
      <c r="BJ654" s="13">
        <f t="shared" ca="1" si="210"/>
        <v>0</v>
      </c>
      <c r="BK654" s="13">
        <f t="shared" ca="1" si="219"/>
        <v>0</v>
      </c>
      <c r="BL654" s="33"/>
      <c r="BM654" s="13">
        <f t="shared" ca="1" si="211"/>
        <v>0</v>
      </c>
      <c r="BN654" s="13">
        <f ca="1">ROUNDUP(($BK654+$BM654)*VLOOKUP($BE654,Paraméterek!$P$38:$Q$38,2)/12*IF($D655="Nem",IF($M$13=0,1,$M$13),1),IF($D$4="Forint",0,2))</f>
        <v>0</v>
      </c>
      <c r="BO654" s="13">
        <f t="shared" ca="1" si="212"/>
        <v>0</v>
      </c>
      <c r="BP654" s="13">
        <f ca="1">IF($D655="Nem",$BO654,$BO654-ROUNDUP(SUM($BI$20:$BI654)*120%,IF($D$4="Forint",0,2)))</f>
        <v>0</v>
      </c>
    </row>
    <row r="655" spans="1:68" x14ac:dyDescent="0.2">
      <c r="A655" s="32">
        <v>636</v>
      </c>
      <c r="B655" s="32">
        <v>53</v>
      </c>
      <c r="C655" s="32">
        <v>12</v>
      </c>
      <c r="D655" s="32" t="str">
        <f t="shared" ca="1" si="198"/>
        <v>Nem</v>
      </c>
      <c r="E655" s="13">
        <f t="shared" ca="1" si="199"/>
        <v>0</v>
      </c>
      <c r="F655" s="13"/>
      <c r="G655" s="13"/>
      <c r="H655" s="13"/>
      <c r="I655" s="13">
        <f t="shared" ca="1" si="200"/>
        <v>0</v>
      </c>
      <c r="J655" s="13">
        <f t="shared" ca="1" si="201"/>
        <v>0</v>
      </c>
      <c r="K655" s="13">
        <f t="shared" ca="1" si="202"/>
        <v>0</v>
      </c>
      <c r="L655" s="13" t="e">
        <f ca="1">ROUNDUP(IF($D$2="Egyszeri",$E655,IF($D$2="Havi",SUM($E$20:$E$31),IF(MOD($C655,$M$1)-1=0,SUM($E$20:$E$31),0))/12*$M$1)*VLOOKUP($B655,Paraméterek!$I$28:$P$31,IF($D$2="Egyszeri",8,HLOOKUP(ROUNDUP($M$11+$M$13,0),Paraméterek!$J$26:$O$27,2))),IF($D$4="Forint",0,2))</f>
        <v>#N/A</v>
      </c>
      <c r="M655" s="13">
        <f t="shared" ca="1" si="203"/>
        <v>0</v>
      </c>
      <c r="N655" s="13">
        <f t="shared" ca="1" si="213"/>
        <v>0</v>
      </c>
      <c r="O655" s="13">
        <f ca="1">IF($D655="Igen",IF($W654&gt;=IF($D$4="Forint",Paraméterek!$J$121,Paraméterek!$K$121),0,IF($D$4="Forint",Paraméterek!$J$121,Paraméterek!$K$121)-$W654),0)</f>
        <v>0</v>
      </c>
      <c r="P655" s="13" t="e">
        <f ca="1">ROUNDUP($O655*VLOOKUP($M$4+$B655-1,Paraméterek!$H$58:$I$105,2,0)/Paraméterek!$I$56,IF($D$4="Forint",0,2))</f>
        <v>#N/A</v>
      </c>
      <c r="Q655" s="13">
        <f t="shared" ca="1" si="204"/>
        <v>0</v>
      </c>
      <c r="R655" s="33"/>
      <c r="S655" s="13" t="e">
        <f t="shared" ca="1" si="205"/>
        <v>#N/A</v>
      </c>
      <c r="T655" s="13" t="e">
        <f ca="1">ROUNDUP(($N655-$P655-$Q655+$S655)*VLOOKUP($B655,Paraméterek!$I$38:$K$39,IF($D$2="Egyszeri",3,2))/12*IF($D656="Nem",IF($M$13=0,1,$M$13),1),IF($D$4="Forint",0,2))</f>
        <v>#N/A</v>
      </c>
      <c r="U655" s="13">
        <f>Tranzakciók!$F$84</f>
        <v>0</v>
      </c>
      <c r="V655" s="13"/>
      <c r="W655" s="13" t="e">
        <f ca="1">$N655-$P655-$Q655+$S655-$T655-IF(ROUNDUP(IF(ISBLANK($V655),$U655*0,$V655)/IF($D$2="Egyszeri",VLOOKUP($B655+IF($C655=12,1,0),Paraméterek!$V$257:$W$262,2),IF($B655=1,1,VLOOKUP($B655+IF($C655=12,1,0),Paraméterek!$I$258:$T$278,HLOOKUP($M$11+1,Paraméterek!$J$256:$T$257,2)))),IF($D$4="Forint",0,2))&gt;$N655-$P655-$Q655+$S655-$T655-IF($D$4="Forint",Paraméterek!$C$216,Paraméterek!$D$216),0,ROUNDUP(IF(ISBLANK($V655),$U655*0,$V655)/IF($D$2="Egyszeri",VLOOKUP($B655+IF($C655=12,1,0),Paraméterek!$V$257:$W$262,2),IF($B655=1,1,VLOOKUP($B655+IF($C655=12,1,0),Paraméterek!$I$258:$T$278,HLOOKUP($M$11+1,Paraméterek!$J$256:$T$257,2)))),IF($D$4="Forint",0,2)))</f>
        <v>#N/A</v>
      </c>
      <c r="X655" s="13" t="e">
        <f ca="1">ROUNDDOWN($W655*IF($D$2="Egyszeri",VLOOKUP($B655+IF($C655=12,1,0),Paraméterek!$V$257:$W$262,2),VLOOKUP($B655+IF($C655=12,1,0),Paraméterek!$I$258:$T$278,HLOOKUP($M$11+1,Paraméterek!$I$256:$T$257,2))),IF($D$4="Forint",0,2))</f>
        <v>#N/A</v>
      </c>
      <c r="Z655" s="32">
        <v>636</v>
      </c>
      <c r="AA655" s="32">
        <v>53</v>
      </c>
      <c r="AB655" s="32">
        <v>12</v>
      </c>
      <c r="AC655" s="13">
        <f t="shared" ca="1" si="214"/>
        <v>0</v>
      </c>
      <c r="AD655" s="33"/>
      <c r="AE655" s="13">
        <f t="shared" ca="1" si="206"/>
        <v>0</v>
      </c>
      <c r="AF655" s="13">
        <f ca="1">ROUNDUP(($AC655+$AE655)*VLOOKUP($AA655,Paraméterek!$P$38:$Q$38,2)/12*IF($D656="Nem",IF($M$13=0,1,$M$13),1),IF($D$4="Forint",0,2))</f>
        <v>0</v>
      </c>
      <c r="AG655" s="13" t="e">
        <f ca="1">IF($D$2="Egyszeri",IF($D$7&gt;=IF($D$4="Forint",Paraméterek!$P$223,Paraméterek!$P$224),$D$7-IF($D$4="Forint",Paraméterek!$P$223,Paraméterek!$P$224),0),MIN(IF($AB655=12,AVERAGEIF($E$20:$E655,"&gt;0",$E$20:$E655)*12,0),SUM($E$20:$E$31)))</f>
        <v>#DIV/0!</v>
      </c>
      <c r="AH655" s="13">
        <f>IF($AA655=10,$AG655*IF($AB655=12,IF($AG655&lt;IF($D$4="Forint",Paraméterek!$L$223,Paraméterek!$L$224),0,VLOOKUP($AA655,Paraméterek!$K$226:$M$228,IF($AG655&lt;IF($D$4="Forint",Paraméterek!$M$223,Paraméterek!$M$224),2,3))),0),0)</f>
        <v>0</v>
      </c>
      <c r="AI655" s="13">
        <f ca="1">IF(AND($AA655=$M$11+1,$AB655=$M$12+1),SUMIF($AA$20:$AA$1027,$AA655,$AG$20:$AG$1027)*IF(SUMIF($AA$20:$AA$1027,$AA655,$AG$20:$AG$1027)&lt;IF($D$4="Forint",Paraméterek!$L$223,Paraméterek!$L$224),0,VLOOKUP($AA655,Paraméterek!$K$230:$M$250,IF(SUMIF($AA$20:$AA$1027,$AA655,$AG$20:$AG$1027)&lt;IF($D$4="Forint",Paraméterek!$M$223,Paraméterek!$M$224),2,3))),0)</f>
        <v>0</v>
      </c>
      <c r="AJ655" s="13" t="e">
        <f ca="1">IF(AND($AA655&gt;=5,MOD($AA655,5)=0),IF($AB655=12,VLOOKUP($AA655,Paraméterek!$O$225:$P$240,2),0),IF(OR($AA655=3,$AA655=4),IF($AB655=12,VLOOKUP($AA655,Paraméterek!$O$225:$P$240,2,0),0),0))*$AG655</f>
        <v>#DIV/0!</v>
      </c>
      <c r="AK655" s="13">
        <f t="shared" ca="1" si="207"/>
        <v>0</v>
      </c>
      <c r="AL655" s="13">
        <f t="shared" ca="1" si="215"/>
        <v>0</v>
      </c>
      <c r="AM655" s="13">
        <f t="shared" ca="1" si="216"/>
        <v>0</v>
      </c>
      <c r="AO655" s="32">
        <v>636</v>
      </c>
      <c r="AP655" s="32">
        <v>53</v>
      </c>
      <c r="AQ655" s="32">
        <v>12</v>
      </c>
      <c r="AR655" s="13"/>
      <c r="AS655" s="32"/>
      <c r="AT655" s="13">
        <f t="shared" ca="1" si="217"/>
        <v>0</v>
      </c>
      <c r="AU655" s="33"/>
      <c r="AV655" s="13">
        <f t="shared" ca="1" si="208"/>
        <v>0</v>
      </c>
      <c r="AW655" s="13">
        <f ca="1">ROUNDUP(($AT655+$AV655)*VLOOKUP($AP655,Paraméterek!$P$38:$Q$38,2)/12*IF($D656="Nem",IF($M$13=0,1,$M$13),1),IF($D$4="Forint",0,2))</f>
        <v>0</v>
      </c>
      <c r="AX655" s="13">
        <f>Tranzakciók!$M$84</f>
        <v>0</v>
      </c>
      <c r="AY655" s="13"/>
      <c r="AZ655" s="13">
        <f>ROUNDUP(IF(SUM($AX655:$AY655)=0,0,IF(IF(ISBLANK($AY655),$AX655,$AY655)*Paraméterek!$J$112&lt;IF($D$4="Forint",Paraméterek!$J$113,Paraméterek!$K$113),IF($D$4="Forint",Paraméterek!$J$113,Paraméterek!$K$113),IF(IF(ISBLANK($AY655),$AX655,$AY655)*Paraméterek!$J$112&gt;IF($D$4="Forint",Paraméterek!$J$114,Paraméterek!$K$114),IF($D$4="Forint",Paraméterek!$J$114,Paraméterek!$K$114),IF(ISBLANK($AY655),$AX655,$AY655)*Paraméterek!$J$112))),IF($D$4="Forint",0,2))</f>
        <v>0</v>
      </c>
      <c r="BA655" s="13">
        <f ca="1">$AT655+$AV655-$AW655-IF(ROUNDDOWN(IF(ISBLANK($AY655),$AX655,$AY655),IF($D$4="Forint",0,2))&gt;$AT655+$AV655-$AW655-IF($D$4="Forint",Paraméterek!$J$114,Paraméterek!$K$114),0,ROUNDDOWN(IF(ISBLANK($AY655),$AX655,$AY655),IF($D$4="Forint",0,2))-$AZ655)</f>
        <v>0</v>
      </c>
      <c r="BB655" s="13">
        <f t="shared" ca="1" si="209"/>
        <v>0</v>
      </c>
      <c r="BD655" s="32">
        <v>636</v>
      </c>
      <c r="BE655" s="32">
        <v>53</v>
      </c>
      <c r="BF655" s="32">
        <v>12</v>
      </c>
      <c r="BG655" s="34">
        <f t="shared" ca="1" si="218"/>
        <v>2072</v>
      </c>
      <c r="BH655" s="32" t="str">
        <f ca="1">IF(MOD(MONTH($D$14)+$BD655-1,12)=Paraméterek!$C$288,"Igen","")</f>
        <v/>
      </c>
      <c r="BI655" s="13">
        <f ca="1">IF($BH655="Igen",MIN(ROUNDDOWN((SUMIF($BG$20:$BG$1027,$BG655-1,$K$20:$K$1027)-SUMIF($BG$20:$BG$1027,$BG655-1,$I$20:$I$1027))*Paraméterek!$C$289,IF($D$4="Forint",0,2)),IF($D$4="Forint",Paraméterek!$C$285,Paraméterek!$D$285)),0)</f>
        <v>0</v>
      </c>
      <c r="BJ655" s="13">
        <f t="shared" ca="1" si="210"/>
        <v>0</v>
      </c>
      <c r="BK655" s="13">
        <f t="shared" ca="1" si="219"/>
        <v>0</v>
      </c>
      <c r="BL655" s="33"/>
      <c r="BM655" s="13">
        <f t="shared" ca="1" si="211"/>
        <v>0</v>
      </c>
      <c r="BN655" s="13">
        <f ca="1">ROUNDUP(($BK655+$BM655)*VLOOKUP($BE655,Paraméterek!$P$38:$Q$38,2)/12*IF($D656="Nem",IF($M$13=0,1,$M$13),1),IF($D$4="Forint",0,2))</f>
        <v>0</v>
      </c>
      <c r="BO655" s="13">
        <f t="shared" ca="1" si="212"/>
        <v>0</v>
      </c>
      <c r="BP655" s="13">
        <f ca="1">IF($D656="Nem",$BO655,$BO655-ROUNDUP(SUM($BI$20:$BI655)*120%,IF($D$4="Forint",0,2)))</f>
        <v>0</v>
      </c>
    </row>
    <row r="656" spans="1:68" x14ac:dyDescent="0.2">
      <c r="A656" s="32">
        <v>637</v>
      </c>
      <c r="B656" s="32">
        <v>54</v>
      </c>
      <c r="C656" s="32">
        <v>1</v>
      </c>
      <c r="D656" s="32" t="str">
        <f t="shared" ca="1" si="198"/>
        <v>Nem</v>
      </c>
      <c r="E656" s="13">
        <f t="shared" ca="1" si="199"/>
        <v>0</v>
      </c>
      <c r="F656" s="13"/>
      <c r="G656" s="13">
        <f>Tranzakciók!$D$85</f>
        <v>0</v>
      </c>
      <c r="H656" s="13"/>
      <c r="I656" s="13">
        <f t="shared" ca="1" si="200"/>
        <v>0</v>
      </c>
      <c r="J656" s="13">
        <f t="shared" ca="1" si="201"/>
        <v>0</v>
      </c>
      <c r="K656" s="13">
        <f t="shared" ca="1" si="202"/>
        <v>0</v>
      </c>
      <c r="L656" s="13" t="e">
        <f ca="1">ROUNDUP(IF($D$2="Egyszeri",$E656,IF($D$2="Havi",SUM($E$20:$E$31),IF(MOD($C656,$M$1)-1=0,SUM($E$20:$E$31),0))/12*$M$1)*VLOOKUP($B656,Paraméterek!$I$28:$P$31,IF($D$2="Egyszeri",8,HLOOKUP(ROUNDUP($M$11+$M$13,0),Paraméterek!$J$26:$O$27,2))),IF($D$4="Forint",0,2))</f>
        <v>#N/A</v>
      </c>
      <c r="M656" s="13">
        <f t="shared" ca="1" si="203"/>
        <v>0</v>
      </c>
      <c r="N656" s="13">
        <f t="shared" ca="1" si="213"/>
        <v>0</v>
      </c>
      <c r="O656" s="13">
        <f ca="1">IF($D656="Igen",IF($W655&gt;=IF($D$4="Forint",Paraméterek!$J$121,Paraméterek!$K$121),0,IF($D$4="Forint",Paraméterek!$J$121,Paraméterek!$K$121)-$W655),0)</f>
        <v>0</v>
      </c>
      <c r="P656" s="13" t="e">
        <f ca="1">ROUNDUP($O656*VLOOKUP($M$4+$B656-1,Paraméterek!$H$58:$I$105,2,0)/Paraméterek!$I$56,IF($D$4="Forint",0,2))</f>
        <v>#N/A</v>
      </c>
      <c r="Q656" s="13">
        <f t="shared" ca="1" si="204"/>
        <v>0</v>
      </c>
      <c r="R656" s="33"/>
      <c r="S656" s="13" t="e">
        <f t="shared" ca="1" si="205"/>
        <v>#N/A</v>
      </c>
      <c r="T656" s="13" t="e">
        <f ca="1">ROUNDUP(($N656-$P656-$Q656+$S656)*VLOOKUP($B656,Paraméterek!$I$38:$K$39,IF($D$2="Egyszeri",3,2))/12*IF($D657="Nem",IF($M$13=0,1,$M$13),1),IF($D$4="Forint",0,2))</f>
        <v>#N/A</v>
      </c>
      <c r="U656" s="13"/>
      <c r="V656" s="13"/>
      <c r="W656" s="13" t="e">
        <f ca="1">$N656-$P656-$Q656+$S656-$T656-IF(ROUNDUP(IF(ISBLANK($V656),$U656*0,$V656)/IF($D$2="Egyszeri",VLOOKUP($B656+IF($C656=12,1,0),Paraméterek!$V$257:$W$262,2),IF($B656=1,1,VLOOKUP($B656+IF($C656=12,1,0),Paraméterek!$I$258:$T$278,HLOOKUP($M$11+1,Paraméterek!$J$256:$T$257,2)))),IF($D$4="Forint",0,2))&gt;$N656-$P656-$Q656+$S656-$T656-IF($D$4="Forint",Paraméterek!$C$216,Paraméterek!$D$216),0,ROUNDUP(IF(ISBLANK($V656),$U656*0,$V656)/IF($D$2="Egyszeri",VLOOKUP($B656+IF($C656=12,1,0),Paraméterek!$V$257:$W$262,2),IF($B656=1,1,VLOOKUP($B656+IF($C656=12,1,0),Paraméterek!$I$258:$T$278,HLOOKUP($M$11+1,Paraméterek!$J$256:$T$257,2)))),IF($D$4="Forint",0,2)))</f>
        <v>#N/A</v>
      </c>
      <c r="X656" s="13" t="e">
        <f ca="1">ROUNDDOWN($W656*IF($D$2="Egyszeri",VLOOKUP($B656+IF($C656=12,1,0),Paraméterek!$V$257:$W$262,2),VLOOKUP($B656+IF($C656=12,1,0),Paraméterek!$I$258:$T$278,HLOOKUP($M$11+1,Paraméterek!$I$256:$T$257,2))),IF($D$4="Forint",0,2))</f>
        <v>#N/A</v>
      </c>
      <c r="Z656" s="32">
        <v>637</v>
      </c>
      <c r="AA656" s="32">
        <v>54</v>
      </c>
      <c r="AB656" s="32">
        <v>1</v>
      </c>
      <c r="AC656" s="13">
        <f t="shared" ca="1" si="214"/>
        <v>0</v>
      </c>
      <c r="AD656" s="33"/>
      <c r="AE656" s="13">
        <f t="shared" ca="1" si="206"/>
        <v>0</v>
      </c>
      <c r="AF656" s="13">
        <f ca="1">ROUNDUP(($AC656+$AE656)*VLOOKUP($AA656,Paraméterek!$P$38:$Q$38,2)/12*IF($D657="Nem",IF($M$13=0,1,$M$13),1),IF($D$4="Forint",0,2))</f>
        <v>0</v>
      </c>
      <c r="AG656" s="13">
        <f ca="1">IF($D$2="Egyszeri",IF($D$7&gt;=IF($D$4="Forint",Paraméterek!$P$223,Paraméterek!$P$224),$D$7-IF($D$4="Forint",Paraméterek!$P$223,Paraméterek!$P$224),0),MIN(IF($AB656=12,AVERAGEIF($E$20:$E656,"&gt;0",$E$20:$E656)*12,0),SUM($E$20:$E$31)))</f>
        <v>0</v>
      </c>
      <c r="AH656" s="13">
        <f>IF($AA656=10,$AG656*IF($AB656=12,IF($AG656&lt;IF($D$4="Forint",Paraméterek!$L$223,Paraméterek!$L$224),0,VLOOKUP($AA656,Paraméterek!$K$226:$M$228,IF($AG656&lt;IF($D$4="Forint",Paraméterek!$M$223,Paraméterek!$M$224),2,3))),0),0)</f>
        <v>0</v>
      </c>
      <c r="AI656" s="13">
        <f ca="1">IF(AND($AA656=$M$11+1,$AB656=$M$12+1),SUMIF($AA$20:$AA$1027,$AA656,$AG$20:$AG$1027)*IF(SUMIF($AA$20:$AA$1027,$AA656,$AG$20:$AG$1027)&lt;IF($D$4="Forint",Paraméterek!$L$223,Paraméterek!$L$224),0,VLOOKUP($AA656,Paraméterek!$K$230:$M$250,IF(SUMIF($AA$20:$AA$1027,$AA656,$AG$20:$AG$1027)&lt;IF($D$4="Forint",Paraméterek!$M$223,Paraméterek!$M$224),2,3))),0)</f>
        <v>0</v>
      </c>
      <c r="AJ656" s="13">
        <f ca="1">IF(AND($AA656&gt;=5,MOD($AA656,5)=0),IF($AB656=12,VLOOKUP($AA656,Paraméterek!$O$225:$P$240,2),0),IF(OR($AA656=3,$AA656=4),IF($AB656=12,VLOOKUP($AA656,Paraméterek!$O$225:$P$240,2,0),0),0))*$AG656</f>
        <v>0</v>
      </c>
      <c r="AK656" s="13">
        <f t="shared" ca="1" si="207"/>
        <v>0</v>
      </c>
      <c r="AL656" s="13">
        <f t="shared" ca="1" si="215"/>
        <v>0</v>
      </c>
      <c r="AM656" s="13">
        <f t="shared" ca="1" si="216"/>
        <v>0</v>
      </c>
      <c r="AO656" s="32">
        <v>637</v>
      </c>
      <c r="AP656" s="32">
        <v>54</v>
      </c>
      <c r="AQ656" s="32">
        <v>1</v>
      </c>
      <c r="AR656" s="13">
        <f>Tranzakciók!$K$85</f>
        <v>0</v>
      </c>
      <c r="AS656" s="32"/>
      <c r="AT656" s="13">
        <f t="shared" ca="1" si="217"/>
        <v>0</v>
      </c>
      <c r="AU656" s="33"/>
      <c r="AV656" s="13">
        <f t="shared" ca="1" si="208"/>
        <v>0</v>
      </c>
      <c r="AW656" s="13">
        <f ca="1">ROUNDUP(($AT656+$AV656)*VLOOKUP($AP656,Paraméterek!$P$38:$Q$38,2)/12*IF($D657="Nem",IF($M$13=0,1,$M$13),1),IF($D$4="Forint",0,2))</f>
        <v>0</v>
      </c>
      <c r="AX656" s="13"/>
      <c r="AY656" s="13"/>
      <c r="AZ656" s="13">
        <f>ROUNDUP(IF(SUM($AX656:$AY656)=0,0,IF(IF(ISBLANK($AY656),$AX656,$AY656)*Paraméterek!$J$112&lt;IF($D$4="Forint",Paraméterek!$J$113,Paraméterek!$K$113),IF($D$4="Forint",Paraméterek!$J$113,Paraméterek!$K$113),IF(IF(ISBLANK($AY656),$AX656,$AY656)*Paraméterek!$J$112&gt;IF($D$4="Forint",Paraméterek!$J$114,Paraméterek!$K$114),IF($D$4="Forint",Paraméterek!$J$114,Paraméterek!$K$114),IF(ISBLANK($AY656),$AX656,$AY656)*Paraméterek!$J$112))),IF($D$4="Forint",0,2))</f>
        <v>0</v>
      </c>
      <c r="BA656" s="13">
        <f ca="1">$AT656+$AV656-$AW656-IF(ROUNDDOWN(IF(ISBLANK($AY656),$AX656,$AY656),IF($D$4="Forint",0,2))&gt;$AT656+$AV656-$AW656-IF($D$4="Forint",Paraméterek!$J$114,Paraméterek!$K$114),0,ROUNDDOWN(IF(ISBLANK($AY656),$AX656,$AY656),IF($D$4="Forint",0,2))-$AZ656)</f>
        <v>0</v>
      </c>
      <c r="BB656" s="13">
        <f t="shared" ca="1" si="209"/>
        <v>0</v>
      </c>
      <c r="BD656" s="32">
        <v>637</v>
      </c>
      <c r="BE656" s="32">
        <v>54</v>
      </c>
      <c r="BF656" s="32">
        <v>1</v>
      </c>
      <c r="BG656" s="34">
        <f t="shared" ca="1" si="218"/>
        <v>2072</v>
      </c>
      <c r="BH656" s="32" t="str">
        <f ca="1">IF(MOD(MONTH($D$14)+$BD656-1,12)=Paraméterek!$C$288,"Igen","")</f>
        <v/>
      </c>
      <c r="BI656" s="13">
        <f ca="1">IF($BH656="Igen",MIN(ROUNDDOWN((SUMIF($BG$20:$BG$1027,$BG656-1,$K$20:$K$1027)-SUMIF($BG$20:$BG$1027,$BG656-1,$I$20:$I$1027))*Paraméterek!$C$289,IF($D$4="Forint",0,2)),IF($D$4="Forint",Paraméterek!$C$285,Paraméterek!$D$285)),0)</f>
        <v>0</v>
      </c>
      <c r="BJ656" s="13">
        <f t="shared" ca="1" si="210"/>
        <v>0</v>
      </c>
      <c r="BK656" s="13">
        <f t="shared" ca="1" si="219"/>
        <v>0</v>
      </c>
      <c r="BL656" s="33"/>
      <c r="BM656" s="13">
        <f t="shared" ca="1" si="211"/>
        <v>0</v>
      </c>
      <c r="BN656" s="13">
        <f ca="1">ROUNDUP(($BK656+$BM656)*VLOOKUP($BE656,Paraméterek!$P$38:$Q$38,2)/12*IF($D657="Nem",IF($M$13=0,1,$M$13),1),IF($D$4="Forint",0,2))</f>
        <v>0</v>
      </c>
      <c r="BO656" s="13">
        <f t="shared" ca="1" si="212"/>
        <v>0</v>
      </c>
      <c r="BP656" s="13">
        <f ca="1">IF($D657="Nem",$BO656,$BO656-ROUNDUP(SUM($BI$20:$BI656)*120%,IF($D$4="Forint",0,2)))</f>
        <v>0</v>
      </c>
    </row>
    <row r="657" spans="1:68" x14ac:dyDescent="0.2">
      <c r="A657" s="32">
        <v>638</v>
      </c>
      <c r="B657" s="32">
        <v>54</v>
      </c>
      <c r="C657" s="32">
        <v>2</v>
      </c>
      <c r="D657" s="32" t="str">
        <f t="shared" ca="1" si="198"/>
        <v>Nem</v>
      </c>
      <c r="E657" s="13">
        <f t="shared" ca="1" si="199"/>
        <v>0</v>
      </c>
      <c r="F657" s="13"/>
      <c r="G657" s="13"/>
      <c r="H657" s="13"/>
      <c r="I657" s="13">
        <f t="shared" ca="1" si="200"/>
        <v>0</v>
      </c>
      <c r="J657" s="13">
        <f t="shared" ca="1" si="201"/>
        <v>0</v>
      </c>
      <c r="K657" s="13">
        <f t="shared" ca="1" si="202"/>
        <v>0</v>
      </c>
      <c r="L657" s="13" t="e">
        <f ca="1">ROUNDUP(IF($D$2="Egyszeri",$E657,IF($D$2="Havi",SUM($E$20:$E$31),IF(MOD($C657,$M$1)-1=0,SUM($E$20:$E$31),0))/12*$M$1)*VLOOKUP($B657,Paraméterek!$I$28:$P$31,IF($D$2="Egyszeri",8,HLOOKUP(ROUNDUP($M$11+$M$13,0),Paraméterek!$J$26:$O$27,2))),IF($D$4="Forint",0,2))</f>
        <v>#N/A</v>
      </c>
      <c r="M657" s="13">
        <f t="shared" ca="1" si="203"/>
        <v>0</v>
      </c>
      <c r="N657" s="13">
        <f t="shared" ca="1" si="213"/>
        <v>0</v>
      </c>
      <c r="O657" s="13">
        <f ca="1">IF($D657="Igen",IF($W656&gt;=IF($D$4="Forint",Paraméterek!$J$121,Paraméterek!$K$121),0,IF($D$4="Forint",Paraméterek!$J$121,Paraméterek!$K$121)-$W656),0)</f>
        <v>0</v>
      </c>
      <c r="P657" s="13" t="e">
        <f ca="1">ROUNDUP($O657*VLOOKUP($M$4+$B657-1,Paraméterek!$H$58:$I$105,2,0)/Paraméterek!$I$56,IF($D$4="Forint",0,2))</f>
        <v>#N/A</v>
      </c>
      <c r="Q657" s="13">
        <f t="shared" ca="1" si="204"/>
        <v>0</v>
      </c>
      <c r="R657" s="33"/>
      <c r="S657" s="13" t="e">
        <f t="shared" ca="1" si="205"/>
        <v>#N/A</v>
      </c>
      <c r="T657" s="13" t="e">
        <f ca="1">ROUNDUP(($N657-$P657-$Q657+$S657)*VLOOKUP($B657,Paraméterek!$I$38:$K$39,IF($D$2="Egyszeri",3,2))/12*IF($D658="Nem",IF($M$13=0,1,$M$13),1),IF($D$4="Forint",0,2))</f>
        <v>#N/A</v>
      </c>
      <c r="U657" s="13"/>
      <c r="V657" s="13"/>
      <c r="W657" s="13" t="e">
        <f ca="1">$N657-$P657-$Q657+$S657-$T657-IF(ROUNDUP(IF(ISBLANK($V657),$U657*0,$V657)/IF($D$2="Egyszeri",VLOOKUP($B657+IF($C657=12,1,0),Paraméterek!$V$257:$W$262,2),IF($B657=1,1,VLOOKUP($B657+IF($C657=12,1,0),Paraméterek!$I$258:$T$278,HLOOKUP($M$11+1,Paraméterek!$J$256:$T$257,2)))),IF($D$4="Forint",0,2))&gt;$N657-$P657-$Q657+$S657-$T657-IF($D$4="Forint",Paraméterek!$C$216,Paraméterek!$D$216),0,ROUNDUP(IF(ISBLANK($V657),$U657*0,$V657)/IF($D$2="Egyszeri",VLOOKUP($B657+IF($C657=12,1,0),Paraméterek!$V$257:$W$262,2),IF($B657=1,1,VLOOKUP($B657+IF($C657=12,1,0),Paraméterek!$I$258:$T$278,HLOOKUP($M$11+1,Paraméterek!$J$256:$T$257,2)))),IF($D$4="Forint",0,2)))</f>
        <v>#N/A</v>
      </c>
      <c r="X657" s="13" t="e">
        <f ca="1">ROUNDDOWN($W657*IF($D$2="Egyszeri",VLOOKUP($B657+IF($C657=12,1,0),Paraméterek!$V$257:$W$262,2),VLOOKUP($B657+IF($C657=12,1,0),Paraméterek!$I$258:$T$278,HLOOKUP($M$11+1,Paraméterek!$I$256:$T$257,2))),IF($D$4="Forint",0,2))</f>
        <v>#N/A</v>
      </c>
      <c r="Z657" s="32">
        <v>638</v>
      </c>
      <c r="AA657" s="32">
        <v>54</v>
      </c>
      <c r="AB657" s="32">
        <v>2</v>
      </c>
      <c r="AC657" s="13">
        <f t="shared" ca="1" si="214"/>
        <v>0</v>
      </c>
      <c r="AD657" s="33"/>
      <c r="AE657" s="13">
        <f t="shared" ca="1" si="206"/>
        <v>0</v>
      </c>
      <c r="AF657" s="13">
        <f ca="1">ROUNDUP(($AC657+$AE657)*VLOOKUP($AA657,Paraméterek!$P$38:$Q$38,2)/12*IF($D658="Nem",IF($M$13=0,1,$M$13),1),IF($D$4="Forint",0,2))</f>
        <v>0</v>
      </c>
      <c r="AG657" s="13">
        <f ca="1">IF($D$2="Egyszeri",IF($D$7&gt;=IF($D$4="Forint",Paraméterek!$P$223,Paraméterek!$P$224),$D$7-IF($D$4="Forint",Paraméterek!$P$223,Paraméterek!$P$224),0),MIN(IF($AB657=12,AVERAGEIF($E$20:$E657,"&gt;0",$E$20:$E657)*12,0),SUM($E$20:$E$31)))</f>
        <v>0</v>
      </c>
      <c r="AH657" s="13">
        <f>IF($AA657=10,$AG657*IF($AB657=12,IF($AG657&lt;IF($D$4="Forint",Paraméterek!$L$223,Paraméterek!$L$224),0,VLOOKUP($AA657,Paraméterek!$K$226:$M$228,IF($AG657&lt;IF($D$4="Forint",Paraméterek!$M$223,Paraméterek!$M$224),2,3))),0),0)</f>
        <v>0</v>
      </c>
      <c r="AI657" s="13">
        <f ca="1">IF(AND($AA657=$M$11+1,$AB657=$M$12+1),SUMIF($AA$20:$AA$1027,$AA657,$AG$20:$AG$1027)*IF(SUMIF($AA$20:$AA$1027,$AA657,$AG$20:$AG$1027)&lt;IF($D$4="Forint",Paraméterek!$L$223,Paraméterek!$L$224),0,VLOOKUP($AA657,Paraméterek!$K$230:$M$250,IF(SUMIF($AA$20:$AA$1027,$AA657,$AG$20:$AG$1027)&lt;IF($D$4="Forint",Paraméterek!$M$223,Paraméterek!$M$224),2,3))),0)</f>
        <v>0</v>
      </c>
      <c r="AJ657" s="13">
        <f ca="1">IF(AND($AA657&gt;=5,MOD($AA657,5)=0),IF($AB657=12,VLOOKUP($AA657,Paraméterek!$O$225:$P$240,2),0),IF(OR($AA657=3,$AA657=4),IF($AB657=12,VLOOKUP($AA657,Paraméterek!$O$225:$P$240,2,0),0),0))*$AG657</f>
        <v>0</v>
      </c>
      <c r="AK657" s="13">
        <f t="shared" ca="1" si="207"/>
        <v>0</v>
      </c>
      <c r="AL657" s="13">
        <f t="shared" ca="1" si="215"/>
        <v>0</v>
      </c>
      <c r="AM657" s="13">
        <f t="shared" ca="1" si="216"/>
        <v>0</v>
      </c>
      <c r="AO657" s="32">
        <v>638</v>
      </c>
      <c r="AP657" s="32">
        <v>54</v>
      </c>
      <c r="AQ657" s="32">
        <v>2</v>
      </c>
      <c r="AR657" s="13"/>
      <c r="AS657" s="32"/>
      <c r="AT657" s="13">
        <f t="shared" ca="1" si="217"/>
        <v>0</v>
      </c>
      <c r="AU657" s="33"/>
      <c r="AV657" s="13">
        <f t="shared" ca="1" si="208"/>
        <v>0</v>
      </c>
      <c r="AW657" s="13">
        <f ca="1">ROUNDUP(($AT657+$AV657)*VLOOKUP($AP657,Paraméterek!$P$38:$Q$38,2)/12*IF($D658="Nem",IF($M$13=0,1,$M$13),1),IF($D$4="Forint",0,2))</f>
        <v>0</v>
      </c>
      <c r="AX657" s="13"/>
      <c r="AY657" s="13"/>
      <c r="AZ657" s="13">
        <f>ROUNDUP(IF(SUM($AX657:$AY657)=0,0,IF(IF(ISBLANK($AY657),$AX657,$AY657)*Paraméterek!$J$112&lt;IF($D$4="Forint",Paraméterek!$J$113,Paraméterek!$K$113),IF($D$4="Forint",Paraméterek!$J$113,Paraméterek!$K$113),IF(IF(ISBLANK($AY657),$AX657,$AY657)*Paraméterek!$J$112&gt;IF($D$4="Forint",Paraméterek!$J$114,Paraméterek!$K$114),IF($D$4="Forint",Paraméterek!$J$114,Paraméterek!$K$114),IF(ISBLANK($AY657),$AX657,$AY657)*Paraméterek!$J$112))),IF($D$4="Forint",0,2))</f>
        <v>0</v>
      </c>
      <c r="BA657" s="13">
        <f ca="1">$AT657+$AV657-$AW657-IF(ROUNDDOWN(IF(ISBLANK($AY657),$AX657,$AY657),IF($D$4="Forint",0,2))&gt;$AT657+$AV657-$AW657-IF($D$4="Forint",Paraméterek!$J$114,Paraméterek!$K$114),0,ROUNDDOWN(IF(ISBLANK($AY657),$AX657,$AY657),IF($D$4="Forint",0,2))-$AZ657)</f>
        <v>0</v>
      </c>
      <c r="BB657" s="13">
        <f t="shared" ca="1" si="209"/>
        <v>0</v>
      </c>
      <c r="BD657" s="32">
        <v>638</v>
      </c>
      <c r="BE657" s="32">
        <v>54</v>
      </c>
      <c r="BF657" s="32">
        <v>2</v>
      </c>
      <c r="BG657" s="34">
        <f t="shared" ca="1" si="218"/>
        <v>2072</v>
      </c>
      <c r="BH657" s="32" t="str">
        <f ca="1">IF(MOD(MONTH($D$14)+$BD657-1,12)=Paraméterek!$C$288,"Igen","")</f>
        <v>Igen</v>
      </c>
      <c r="BI657" s="13">
        <f ca="1">IF($BH657="Igen",MIN(ROUNDDOWN((SUMIF($BG$20:$BG$1027,$BG657-1,$K$20:$K$1027)-SUMIF($BG$20:$BG$1027,$BG657-1,$I$20:$I$1027))*Paraméterek!$C$289,IF($D$4="Forint",0,2)),IF($D$4="Forint",Paraméterek!$C$285,Paraméterek!$D$285)),0)</f>
        <v>0</v>
      </c>
      <c r="BJ657" s="13">
        <f t="shared" ca="1" si="210"/>
        <v>0</v>
      </c>
      <c r="BK657" s="13">
        <f t="shared" ca="1" si="219"/>
        <v>0</v>
      </c>
      <c r="BL657" s="33"/>
      <c r="BM657" s="13">
        <f t="shared" ca="1" si="211"/>
        <v>0</v>
      </c>
      <c r="BN657" s="13">
        <f ca="1">ROUNDUP(($BK657+$BM657)*VLOOKUP($BE657,Paraméterek!$P$38:$Q$38,2)/12*IF($D658="Nem",IF($M$13=0,1,$M$13),1),IF($D$4="Forint",0,2))</f>
        <v>0</v>
      </c>
      <c r="BO657" s="13">
        <f t="shared" ca="1" si="212"/>
        <v>0</v>
      </c>
      <c r="BP657" s="13">
        <f ca="1">IF($D658="Nem",$BO657,$BO657-ROUNDUP(SUM($BI$20:$BI657)*120%,IF($D$4="Forint",0,2)))</f>
        <v>0</v>
      </c>
    </row>
    <row r="658" spans="1:68" x14ac:dyDescent="0.2">
      <c r="A658" s="32">
        <v>639</v>
      </c>
      <c r="B658" s="32">
        <v>54</v>
      </c>
      <c r="C658" s="32">
        <v>3</v>
      </c>
      <c r="D658" s="32" t="str">
        <f t="shared" ca="1" si="198"/>
        <v>Nem</v>
      </c>
      <c r="E658" s="13">
        <f t="shared" ca="1" si="199"/>
        <v>0</v>
      </c>
      <c r="F658" s="13"/>
      <c r="G658" s="13"/>
      <c r="H658" s="13"/>
      <c r="I658" s="13">
        <f t="shared" ca="1" si="200"/>
        <v>0</v>
      </c>
      <c r="J658" s="13">
        <f t="shared" ca="1" si="201"/>
        <v>0</v>
      </c>
      <c r="K658" s="13">
        <f t="shared" ca="1" si="202"/>
        <v>0</v>
      </c>
      <c r="L658" s="13" t="e">
        <f ca="1">ROUNDUP(IF($D$2="Egyszeri",$E658,IF($D$2="Havi",SUM($E$20:$E$31),IF(MOD($C658,$M$1)-1=0,SUM($E$20:$E$31),0))/12*$M$1)*VLOOKUP($B658,Paraméterek!$I$28:$P$31,IF($D$2="Egyszeri",8,HLOOKUP(ROUNDUP($M$11+$M$13,0),Paraméterek!$J$26:$O$27,2))),IF($D$4="Forint",0,2))</f>
        <v>#N/A</v>
      </c>
      <c r="M658" s="13">
        <f t="shared" ca="1" si="203"/>
        <v>0</v>
      </c>
      <c r="N658" s="13">
        <f t="shared" ca="1" si="213"/>
        <v>0</v>
      </c>
      <c r="O658" s="13">
        <f ca="1">IF($D658="Igen",IF($W657&gt;=IF($D$4="Forint",Paraméterek!$J$121,Paraméterek!$K$121),0,IF($D$4="Forint",Paraméterek!$J$121,Paraméterek!$K$121)-$W657),0)</f>
        <v>0</v>
      </c>
      <c r="P658" s="13" t="e">
        <f ca="1">ROUNDUP($O658*VLOOKUP($M$4+$B658-1,Paraméterek!$H$58:$I$105,2,0)/Paraméterek!$I$56,IF($D$4="Forint",0,2))</f>
        <v>#N/A</v>
      </c>
      <c r="Q658" s="13">
        <f t="shared" ca="1" si="204"/>
        <v>0</v>
      </c>
      <c r="R658" s="33"/>
      <c r="S658" s="13" t="e">
        <f t="shared" ca="1" si="205"/>
        <v>#N/A</v>
      </c>
      <c r="T658" s="13" t="e">
        <f ca="1">ROUNDUP(($N658-$P658-$Q658+$S658)*VLOOKUP($B658,Paraméterek!$I$38:$K$39,IF($D$2="Egyszeri",3,2))/12*IF($D659="Nem",IF($M$13=0,1,$M$13),1),IF($D$4="Forint",0,2))</f>
        <v>#N/A</v>
      </c>
      <c r="U658" s="13"/>
      <c r="V658" s="13"/>
      <c r="W658" s="13" t="e">
        <f ca="1">$N658-$P658-$Q658+$S658-$T658-IF(ROUNDUP(IF(ISBLANK($V658),$U658*0,$V658)/IF($D$2="Egyszeri",VLOOKUP($B658+IF($C658=12,1,0),Paraméterek!$V$257:$W$262,2),IF($B658=1,1,VLOOKUP($B658+IF($C658=12,1,0),Paraméterek!$I$258:$T$278,HLOOKUP($M$11+1,Paraméterek!$J$256:$T$257,2)))),IF($D$4="Forint",0,2))&gt;$N658-$P658-$Q658+$S658-$T658-IF($D$4="Forint",Paraméterek!$C$216,Paraméterek!$D$216),0,ROUNDUP(IF(ISBLANK($V658),$U658*0,$V658)/IF($D$2="Egyszeri",VLOOKUP($B658+IF($C658=12,1,0),Paraméterek!$V$257:$W$262,2),IF($B658=1,1,VLOOKUP($B658+IF($C658=12,1,0),Paraméterek!$I$258:$T$278,HLOOKUP($M$11+1,Paraméterek!$J$256:$T$257,2)))),IF($D$4="Forint",0,2)))</f>
        <v>#N/A</v>
      </c>
      <c r="X658" s="13" t="e">
        <f ca="1">ROUNDDOWN($W658*IF($D$2="Egyszeri",VLOOKUP($B658+IF($C658=12,1,0),Paraméterek!$V$257:$W$262,2),VLOOKUP($B658+IF($C658=12,1,0),Paraméterek!$I$258:$T$278,HLOOKUP($M$11+1,Paraméterek!$I$256:$T$257,2))),IF($D$4="Forint",0,2))</f>
        <v>#N/A</v>
      </c>
      <c r="Z658" s="32">
        <v>639</v>
      </c>
      <c r="AA658" s="32">
        <v>54</v>
      </c>
      <c r="AB658" s="32">
        <v>3</v>
      </c>
      <c r="AC658" s="13">
        <f t="shared" ca="1" si="214"/>
        <v>0</v>
      </c>
      <c r="AD658" s="33"/>
      <c r="AE658" s="13">
        <f t="shared" ca="1" si="206"/>
        <v>0</v>
      </c>
      <c r="AF658" s="13">
        <f ca="1">ROUNDUP(($AC658+$AE658)*VLOOKUP($AA658,Paraméterek!$P$38:$Q$38,2)/12*IF($D659="Nem",IF($M$13=0,1,$M$13),1),IF($D$4="Forint",0,2))</f>
        <v>0</v>
      </c>
      <c r="AG658" s="13">
        <f ca="1">IF($D$2="Egyszeri",IF($D$7&gt;=IF($D$4="Forint",Paraméterek!$P$223,Paraméterek!$P$224),$D$7-IF($D$4="Forint",Paraméterek!$P$223,Paraméterek!$P$224),0),MIN(IF($AB658=12,AVERAGEIF($E$20:$E658,"&gt;0",$E$20:$E658)*12,0),SUM($E$20:$E$31)))</f>
        <v>0</v>
      </c>
      <c r="AH658" s="13">
        <f>IF($AA658=10,$AG658*IF($AB658=12,IF($AG658&lt;IF($D$4="Forint",Paraméterek!$L$223,Paraméterek!$L$224),0,VLOOKUP($AA658,Paraméterek!$K$226:$M$228,IF($AG658&lt;IF($D$4="Forint",Paraméterek!$M$223,Paraméterek!$M$224),2,3))),0),0)</f>
        <v>0</v>
      </c>
      <c r="AI658" s="13">
        <f ca="1">IF(AND($AA658=$M$11+1,$AB658=$M$12+1),SUMIF($AA$20:$AA$1027,$AA658,$AG$20:$AG$1027)*IF(SUMIF($AA$20:$AA$1027,$AA658,$AG$20:$AG$1027)&lt;IF($D$4="Forint",Paraméterek!$L$223,Paraméterek!$L$224),0,VLOOKUP($AA658,Paraméterek!$K$230:$M$250,IF(SUMIF($AA$20:$AA$1027,$AA658,$AG$20:$AG$1027)&lt;IF($D$4="Forint",Paraméterek!$M$223,Paraméterek!$M$224),2,3))),0)</f>
        <v>0</v>
      </c>
      <c r="AJ658" s="13">
        <f ca="1">IF(AND($AA658&gt;=5,MOD($AA658,5)=0),IF($AB658=12,VLOOKUP($AA658,Paraméterek!$O$225:$P$240,2),0),IF(OR($AA658=3,$AA658=4),IF($AB658=12,VLOOKUP($AA658,Paraméterek!$O$225:$P$240,2,0),0),0))*$AG658</f>
        <v>0</v>
      </c>
      <c r="AK658" s="13">
        <f t="shared" ca="1" si="207"/>
        <v>0</v>
      </c>
      <c r="AL658" s="13">
        <f t="shared" ca="1" si="215"/>
        <v>0</v>
      </c>
      <c r="AM658" s="13">
        <f t="shared" ca="1" si="216"/>
        <v>0</v>
      </c>
      <c r="AO658" s="32">
        <v>639</v>
      </c>
      <c r="AP658" s="32">
        <v>54</v>
      </c>
      <c r="AQ658" s="32">
        <v>3</v>
      </c>
      <c r="AR658" s="13"/>
      <c r="AS658" s="32"/>
      <c r="AT658" s="13">
        <f t="shared" ca="1" si="217"/>
        <v>0</v>
      </c>
      <c r="AU658" s="33"/>
      <c r="AV658" s="13">
        <f t="shared" ca="1" si="208"/>
        <v>0</v>
      </c>
      <c r="AW658" s="13">
        <f ca="1">ROUNDUP(($AT658+$AV658)*VLOOKUP($AP658,Paraméterek!$P$38:$Q$38,2)/12*IF($D659="Nem",IF($M$13=0,1,$M$13),1),IF($D$4="Forint",0,2))</f>
        <v>0</v>
      </c>
      <c r="AX658" s="13"/>
      <c r="AY658" s="13"/>
      <c r="AZ658" s="13">
        <f>ROUNDUP(IF(SUM($AX658:$AY658)=0,0,IF(IF(ISBLANK($AY658),$AX658,$AY658)*Paraméterek!$J$112&lt;IF($D$4="Forint",Paraméterek!$J$113,Paraméterek!$K$113),IF($D$4="Forint",Paraméterek!$J$113,Paraméterek!$K$113),IF(IF(ISBLANK($AY658),$AX658,$AY658)*Paraméterek!$J$112&gt;IF($D$4="Forint",Paraméterek!$J$114,Paraméterek!$K$114),IF($D$4="Forint",Paraméterek!$J$114,Paraméterek!$K$114),IF(ISBLANK($AY658),$AX658,$AY658)*Paraméterek!$J$112))),IF($D$4="Forint",0,2))</f>
        <v>0</v>
      </c>
      <c r="BA658" s="13">
        <f ca="1">$AT658+$AV658-$AW658-IF(ROUNDDOWN(IF(ISBLANK($AY658),$AX658,$AY658),IF($D$4="Forint",0,2))&gt;$AT658+$AV658-$AW658-IF($D$4="Forint",Paraméterek!$J$114,Paraméterek!$K$114),0,ROUNDDOWN(IF(ISBLANK($AY658),$AX658,$AY658),IF($D$4="Forint",0,2))-$AZ658)</f>
        <v>0</v>
      </c>
      <c r="BB658" s="13">
        <f t="shared" ca="1" si="209"/>
        <v>0</v>
      </c>
      <c r="BD658" s="32">
        <v>639</v>
      </c>
      <c r="BE658" s="32">
        <v>54</v>
      </c>
      <c r="BF658" s="32">
        <v>3</v>
      </c>
      <c r="BG658" s="34">
        <f t="shared" ca="1" si="218"/>
        <v>2072</v>
      </c>
      <c r="BH658" s="32" t="str">
        <f ca="1">IF(MOD(MONTH($D$14)+$BD658-1,12)=Paraméterek!$C$288,"Igen","")</f>
        <v/>
      </c>
      <c r="BI658" s="13">
        <f ca="1">IF($BH658="Igen",MIN(ROUNDDOWN((SUMIF($BG$20:$BG$1027,$BG658-1,$K$20:$K$1027)-SUMIF($BG$20:$BG$1027,$BG658-1,$I$20:$I$1027))*Paraméterek!$C$289,IF($D$4="Forint",0,2)),IF($D$4="Forint",Paraméterek!$C$285,Paraméterek!$D$285)),0)</f>
        <v>0</v>
      </c>
      <c r="BJ658" s="13">
        <f t="shared" ca="1" si="210"/>
        <v>0</v>
      </c>
      <c r="BK658" s="13">
        <f t="shared" ca="1" si="219"/>
        <v>0</v>
      </c>
      <c r="BL658" s="33"/>
      <c r="BM658" s="13">
        <f t="shared" ca="1" si="211"/>
        <v>0</v>
      </c>
      <c r="BN658" s="13">
        <f ca="1">ROUNDUP(($BK658+$BM658)*VLOOKUP($BE658,Paraméterek!$P$38:$Q$38,2)/12*IF($D659="Nem",IF($M$13=0,1,$M$13),1),IF($D$4="Forint",0,2))</f>
        <v>0</v>
      </c>
      <c r="BO658" s="13">
        <f t="shared" ca="1" si="212"/>
        <v>0</v>
      </c>
      <c r="BP658" s="13">
        <f ca="1">IF($D659="Nem",$BO658,$BO658-ROUNDUP(SUM($BI$20:$BI658)*120%,IF($D$4="Forint",0,2)))</f>
        <v>0</v>
      </c>
    </row>
    <row r="659" spans="1:68" x14ac:dyDescent="0.2">
      <c r="A659" s="32">
        <v>640</v>
      </c>
      <c r="B659" s="32">
        <v>54</v>
      </c>
      <c r="C659" s="32">
        <v>4</v>
      </c>
      <c r="D659" s="32" t="str">
        <f t="shared" ca="1" si="198"/>
        <v>Nem</v>
      </c>
      <c r="E659" s="13">
        <f t="shared" ca="1" si="199"/>
        <v>0</v>
      </c>
      <c r="F659" s="13"/>
      <c r="G659" s="13"/>
      <c r="H659" s="13"/>
      <c r="I659" s="13">
        <f t="shared" ca="1" si="200"/>
        <v>0</v>
      </c>
      <c r="J659" s="13">
        <f t="shared" ca="1" si="201"/>
        <v>0</v>
      </c>
      <c r="K659" s="13">
        <f t="shared" ca="1" si="202"/>
        <v>0</v>
      </c>
      <c r="L659" s="13" t="e">
        <f ca="1">ROUNDUP(IF($D$2="Egyszeri",$E659,IF($D$2="Havi",SUM($E$20:$E$31),IF(MOD($C659,$M$1)-1=0,SUM($E$20:$E$31),0))/12*$M$1)*VLOOKUP($B659,Paraméterek!$I$28:$P$31,IF($D$2="Egyszeri",8,HLOOKUP(ROUNDUP($M$11+$M$13,0),Paraméterek!$J$26:$O$27,2))),IF($D$4="Forint",0,2))</f>
        <v>#N/A</v>
      </c>
      <c r="M659" s="13">
        <f t="shared" ca="1" si="203"/>
        <v>0</v>
      </c>
      <c r="N659" s="13">
        <f t="shared" ca="1" si="213"/>
        <v>0</v>
      </c>
      <c r="O659" s="13">
        <f ca="1">IF($D659="Igen",IF($W658&gt;=IF($D$4="Forint",Paraméterek!$J$121,Paraméterek!$K$121),0,IF($D$4="Forint",Paraméterek!$J$121,Paraméterek!$K$121)-$W658),0)</f>
        <v>0</v>
      </c>
      <c r="P659" s="13" t="e">
        <f ca="1">ROUNDUP($O659*VLOOKUP($M$4+$B659-1,Paraméterek!$H$58:$I$105,2,0)/Paraméterek!$I$56,IF($D$4="Forint",0,2))</f>
        <v>#N/A</v>
      </c>
      <c r="Q659" s="13">
        <f t="shared" ca="1" si="204"/>
        <v>0</v>
      </c>
      <c r="R659" s="33"/>
      <c r="S659" s="13" t="e">
        <f t="shared" ca="1" si="205"/>
        <v>#N/A</v>
      </c>
      <c r="T659" s="13" t="e">
        <f ca="1">ROUNDUP(($N659-$P659-$Q659+$S659)*VLOOKUP($B659,Paraméterek!$I$38:$K$39,IF($D$2="Egyszeri",3,2))/12*IF($D660="Nem",IF($M$13=0,1,$M$13),1),IF($D$4="Forint",0,2))</f>
        <v>#N/A</v>
      </c>
      <c r="U659" s="13"/>
      <c r="V659" s="13"/>
      <c r="W659" s="13" t="e">
        <f ca="1">$N659-$P659-$Q659+$S659-$T659-IF(ROUNDUP(IF(ISBLANK($V659),$U659*0,$V659)/IF($D$2="Egyszeri",VLOOKUP($B659+IF($C659=12,1,0),Paraméterek!$V$257:$W$262,2),IF($B659=1,1,VLOOKUP($B659+IF($C659=12,1,0),Paraméterek!$I$258:$T$278,HLOOKUP($M$11+1,Paraméterek!$J$256:$T$257,2)))),IF($D$4="Forint",0,2))&gt;$N659-$P659-$Q659+$S659-$T659-IF($D$4="Forint",Paraméterek!$C$216,Paraméterek!$D$216),0,ROUNDUP(IF(ISBLANK($V659),$U659*0,$V659)/IF($D$2="Egyszeri",VLOOKUP($B659+IF($C659=12,1,0),Paraméterek!$V$257:$W$262,2),IF($B659=1,1,VLOOKUP($B659+IF($C659=12,1,0),Paraméterek!$I$258:$T$278,HLOOKUP($M$11+1,Paraméterek!$J$256:$T$257,2)))),IF($D$4="Forint",0,2)))</f>
        <v>#N/A</v>
      </c>
      <c r="X659" s="13" t="e">
        <f ca="1">ROUNDDOWN($W659*IF($D$2="Egyszeri",VLOOKUP($B659+IF($C659=12,1,0),Paraméterek!$V$257:$W$262,2),VLOOKUP($B659+IF($C659=12,1,0),Paraméterek!$I$258:$T$278,HLOOKUP($M$11+1,Paraméterek!$I$256:$T$257,2))),IF($D$4="Forint",0,2))</f>
        <v>#N/A</v>
      </c>
      <c r="Z659" s="32">
        <v>640</v>
      </c>
      <c r="AA659" s="32">
        <v>54</v>
      </c>
      <c r="AB659" s="32">
        <v>4</v>
      </c>
      <c r="AC659" s="13">
        <f t="shared" ca="1" si="214"/>
        <v>0</v>
      </c>
      <c r="AD659" s="33"/>
      <c r="AE659" s="13">
        <f t="shared" ca="1" si="206"/>
        <v>0</v>
      </c>
      <c r="AF659" s="13">
        <f ca="1">ROUNDUP(($AC659+$AE659)*VLOOKUP($AA659,Paraméterek!$P$38:$Q$38,2)/12*IF($D660="Nem",IF($M$13=0,1,$M$13),1),IF($D$4="Forint",0,2))</f>
        <v>0</v>
      </c>
      <c r="AG659" s="13">
        <f ca="1">IF($D$2="Egyszeri",IF($D$7&gt;=IF($D$4="Forint",Paraméterek!$P$223,Paraméterek!$P$224),$D$7-IF($D$4="Forint",Paraméterek!$P$223,Paraméterek!$P$224),0),MIN(IF($AB659=12,AVERAGEIF($E$20:$E659,"&gt;0",$E$20:$E659)*12,0),SUM($E$20:$E$31)))</f>
        <v>0</v>
      </c>
      <c r="AH659" s="13">
        <f>IF($AA659=10,$AG659*IF($AB659=12,IF($AG659&lt;IF($D$4="Forint",Paraméterek!$L$223,Paraméterek!$L$224),0,VLOOKUP($AA659,Paraméterek!$K$226:$M$228,IF($AG659&lt;IF($D$4="Forint",Paraméterek!$M$223,Paraméterek!$M$224),2,3))),0),0)</f>
        <v>0</v>
      </c>
      <c r="AI659" s="13">
        <f ca="1">IF(AND($AA659=$M$11+1,$AB659=$M$12+1),SUMIF($AA$20:$AA$1027,$AA659,$AG$20:$AG$1027)*IF(SUMIF($AA$20:$AA$1027,$AA659,$AG$20:$AG$1027)&lt;IF($D$4="Forint",Paraméterek!$L$223,Paraméterek!$L$224),0,VLOOKUP($AA659,Paraméterek!$K$230:$M$250,IF(SUMIF($AA$20:$AA$1027,$AA659,$AG$20:$AG$1027)&lt;IF($D$4="Forint",Paraméterek!$M$223,Paraméterek!$M$224),2,3))),0)</f>
        <v>0</v>
      </c>
      <c r="AJ659" s="13">
        <f ca="1">IF(AND($AA659&gt;=5,MOD($AA659,5)=0),IF($AB659=12,VLOOKUP($AA659,Paraméterek!$O$225:$P$240,2),0),IF(OR($AA659=3,$AA659=4),IF($AB659=12,VLOOKUP($AA659,Paraméterek!$O$225:$P$240,2,0),0),0))*$AG659</f>
        <v>0</v>
      </c>
      <c r="AK659" s="13">
        <f t="shared" ca="1" si="207"/>
        <v>0</v>
      </c>
      <c r="AL659" s="13">
        <f t="shared" ca="1" si="215"/>
        <v>0</v>
      </c>
      <c r="AM659" s="13">
        <f t="shared" ca="1" si="216"/>
        <v>0</v>
      </c>
      <c r="AO659" s="32">
        <v>640</v>
      </c>
      <c r="AP659" s="32">
        <v>54</v>
      </c>
      <c r="AQ659" s="32">
        <v>4</v>
      </c>
      <c r="AR659" s="13"/>
      <c r="AS659" s="32"/>
      <c r="AT659" s="13">
        <f t="shared" ca="1" si="217"/>
        <v>0</v>
      </c>
      <c r="AU659" s="33"/>
      <c r="AV659" s="13">
        <f t="shared" ca="1" si="208"/>
        <v>0</v>
      </c>
      <c r="AW659" s="13">
        <f ca="1">ROUNDUP(($AT659+$AV659)*VLOOKUP($AP659,Paraméterek!$P$38:$Q$38,2)/12*IF($D660="Nem",IF($M$13=0,1,$M$13),1),IF($D$4="Forint",0,2))</f>
        <v>0</v>
      </c>
      <c r="AX659" s="13"/>
      <c r="AY659" s="13"/>
      <c r="AZ659" s="13">
        <f>ROUNDUP(IF(SUM($AX659:$AY659)=0,0,IF(IF(ISBLANK($AY659),$AX659,$AY659)*Paraméterek!$J$112&lt;IF($D$4="Forint",Paraméterek!$J$113,Paraméterek!$K$113),IF($D$4="Forint",Paraméterek!$J$113,Paraméterek!$K$113),IF(IF(ISBLANK($AY659),$AX659,$AY659)*Paraméterek!$J$112&gt;IF($D$4="Forint",Paraméterek!$J$114,Paraméterek!$K$114),IF($D$4="Forint",Paraméterek!$J$114,Paraméterek!$K$114),IF(ISBLANK($AY659),$AX659,$AY659)*Paraméterek!$J$112))),IF($D$4="Forint",0,2))</f>
        <v>0</v>
      </c>
      <c r="BA659" s="13">
        <f ca="1">$AT659+$AV659-$AW659-IF(ROUNDDOWN(IF(ISBLANK($AY659),$AX659,$AY659),IF($D$4="Forint",0,2))&gt;$AT659+$AV659-$AW659-IF($D$4="Forint",Paraméterek!$J$114,Paraméterek!$K$114),0,ROUNDDOWN(IF(ISBLANK($AY659),$AX659,$AY659),IF($D$4="Forint",0,2))-$AZ659)</f>
        <v>0</v>
      </c>
      <c r="BB659" s="13">
        <f t="shared" ca="1" si="209"/>
        <v>0</v>
      </c>
      <c r="BD659" s="32">
        <v>640</v>
      </c>
      <c r="BE659" s="32">
        <v>54</v>
      </c>
      <c r="BF659" s="32">
        <v>4</v>
      </c>
      <c r="BG659" s="34">
        <f t="shared" ca="1" si="218"/>
        <v>2072</v>
      </c>
      <c r="BH659" s="32" t="str">
        <f ca="1">IF(MOD(MONTH($D$14)+$BD659-1,12)=Paraméterek!$C$288,"Igen","")</f>
        <v/>
      </c>
      <c r="BI659" s="13">
        <f ca="1">IF($BH659="Igen",MIN(ROUNDDOWN((SUMIF($BG$20:$BG$1027,$BG659-1,$K$20:$K$1027)-SUMIF($BG$20:$BG$1027,$BG659-1,$I$20:$I$1027))*Paraméterek!$C$289,IF($D$4="Forint",0,2)),IF($D$4="Forint",Paraméterek!$C$285,Paraméterek!$D$285)),0)</f>
        <v>0</v>
      </c>
      <c r="BJ659" s="13">
        <f t="shared" ca="1" si="210"/>
        <v>0</v>
      </c>
      <c r="BK659" s="13">
        <f t="shared" ca="1" si="219"/>
        <v>0</v>
      </c>
      <c r="BL659" s="33"/>
      <c r="BM659" s="13">
        <f t="shared" ca="1" si="211"/>
        <v>0</v>
      </c>
      <c r="BN659" s="13">
        <f ca="1">ROUNDUP(($BK659+$BM659)*VLOOKUP($BE659,Paraméterek!$P$38:$Q$38,2)/12*IF($D660="Nem",IF($M$13=0,1,$M$13),1),IF($D$4="Forint",0,2))</f>
        <v>0</v>
      </c>
      <c r="BO659" s="13">
        <f t="shared" ca="1" si="212"/>
        <v>0</v>
      </c>
      <c r="BP659" s="13">
        <f ca="1">IF($D660="Nem",$BO659,$BO659-ROUNDUP(SUM($BI$20:$BI659)*120%,IF($D$4="Forint",0,2)))</f>
        <v>0</v>
      </c>
    </row>
    <row r="660" spans="1:68" x14ac:dyDescent="0.2">
      <c r="A660" s="32">
        <v>641</v>
      </c>
      <c r="B660" s="32">
        <v>54</v>
      </c>
      <c r="C660" s="32">
        <v>5</v>
      </c>
      <c r="D660" s="32" t="str">
        <f t="shared" ca="1" si="198"/>
        <v>Nem</v>
      </c>
      <c r="E660" s="13">
        <f t="shared" ca="1" si="199"/>
        <v>0</v>
      </c>
      <c r="F660" s="13"/>
      <c r="G660" s="13"/>
      <c r="H660" s="13"/>
      <c r="I660" s="13">
        <f t="shared" ca="1" si="200"/>
        <v>0</v>
      </c>
      <c r="J660" s="13">
        <f t="shared" ca="1" si="201"/>
        <v>0</v>
      </c>
      <c r="K660" s="13">
        <f t="shared" ca="1" si="202"/>
        <v>0</v>
      </c>
      <c r="L660" s="13" t="e">
        <f ca="1">ROUNDUP(IF($D$2="Egyszeri",$E660,IF($D$2="Havi",SUM($E$20:$E$31),IF(MOD($C660,$M$1)-1=0,SUM($E$20:$E$31),0))/12*$M$1)*VLOOKUP($B660,Paraméterek!$I$28:$P$31,IF($D$2="Egyszeri",8,HLOOKUP(ROUNDUP($M$11+$M$13,0),Paraméterek!$J$26:$O$27,2))),IF($D$4="Forint",0,2))</f>
        <v>#N/A</v>
      </c>
      <c r="M660" s="13">
        <f t="shared" ca="1" si="203"/>
        <v>0</v>
      </c>
      <c r="N660" s="13">
        <f t="shared" ca="1" si="213"/>
        <v>0</v>
      </c>
      <c r="O660" s="13">
        <f ca="1">IF($D660="Igen",IF($W659&gt;=IF($D$4="Forint",Paraméterek!$J$121,Paraméterek!$K$121),0,IF($D$4="Forint",Paraméterek!$J$121,Paraméterek!$K$121)-$W659),0)</f>
        <v>0</v>
      </c>
      <c r="P660" s="13" t="e">
        <f ca="1">ROUNDUP($O660*VLOOKUP($M$4+$B660-1,Paraméterek!$H$58:$I$105,2,0)/Paraméterek!$I$56,IF($D$4="Forint",0,2))</f>
        <v>#N/A</v>
      </c>
      <c r="Q660" s="13">
        <f t="shared" ca="1" si="204"/>
        <v>0</v>
      </c>
      <c r="R660" s="33"/>
      <c r="S660" s="13" t="e">
        <f t="shared" ca="1" si="205"/>
        <v>#N/A</v>
      </c>
      <c r="T660" s="13" t="e">
        <f ca="1">ROUNDUP(($N660-$P660-$Q660+$S660)*VLOOKUP($B660,Paraméterek!$I$38:$K$39,IF($D$2="Egyszeri",3,2))/12*IF($D661="Nem",IF($M$13=0,1,$M$13),1),IF($D$4="Forint",0,2))</f>
        <v>#N/A</v>
      </c>
      <c r="U660" s="13"/>
      <c r="V660" s="13"/>
      <c r="W660" s="13" t="e">
        <f ca="1">$N660-$P660-$Q660+$S660-$T660-IF(ROUNDUP(IF(ISBLANK($V660),$U660*0,$V660)/IF($D$2="Egyszeri",VLOOKUP($B660+IF($C660=12,1,0),Paraméterek!$V$257:$W$262,2),IF($B660=1,1,VLOOKUP($B660+IF($C660=12,1,0),Paraméterek!$I$258:$T$278,HLOOKUP($M$11+1,Paraméterek!$J$256:$T$257,2)))),IF($D$4="Forint",0,2))&gt;$N660-$P660-$Q660+$S660-$T660-IF($D$4="Forint",Paraméterek!$C$216,Paraméterek!$D$216),0,ROUNDUP(IF(ISBLANK($V660),$U660*0,$V660)/IF($D$2="Egyszeri",VLOOKUP($B660+IF($C660=12,1,0),Paraméterek!$V$257:$W$262,2),IF($B660=1,1,VLOOKUP($B660+IF($C660=12,1,0),Paraméterek!$I$258:$T$278,HLOOKUP($M$11+1,Paraméterek!$J$256:$T$257,2)))),IF($D$4="Forint",0,2)))</f>
        <v>#N/A</v>
      </c>
      <c r="X660" s="13" t="e">
        <f ca="1">ROUNDDOWN($W660*IF($D$2="Egyszeri",VLOOKUP($B660+IF($C660=12,1,0),Paraméterek!$V$257:$W$262,2),VLOOKUP($B660+IF($C660=12,1,0),Paraméterek!$I$258:$T$278,HLOOKUP($M$11+1,Paraméterek!$I$256:$T$257,2))),IF($D$4="Forint",0,2))</f>
        <v>#N/A</v>
      </c>
      <c r="Z660" s="32">
        <v>641</v>
      </c>
      <c r="AA660" s="32">
        <v>54</v>
      </c>
      <c r="AB660" s="32">
        <v>5</v>
      </c>
      <c r="AC660" s="13">
        <f t="shared" ca="1" si="214"/>
        <v>0</v>
      </c>
      <c r="AD660" s="33"/>
      <c r="AE660" s="13">
        <f t="shared" ca="1" si="206"/>
        <v>0</v>
      </c>
      <c r="AF660" s="13">
        <f ca="1">ROUNDUP(($AC660+$AE660)*VLOOKUP($AA660,Paraméterek!$P$38:$Q$38,2)/12*IF($D661="Nem",IF($M$13=0,1,$M$13),1),IF($D$4="Forint",0,2))</f>
        <v>0</v>
      </c>
      <c r="AG660" s="13">
        <f ca="1">IF($D$2="Egyszeri",IF($D$7&gt;=IF($D$4="Forint",Paraméterek!$P$223,Paraméterek!$P$224),$D$7-IF($D$4="Forint",Paraméterek!$P$223,Paraméterek!$P$224),0),MIN(IF($AB660=12,AVERAGEIF($E$20:$E660,"&gt;0",$E$20:$E660)*12,0),SUM($E$20:$E$31)))</f>
        <v>0</v>
      </c>
      <c r="AH660" s="13">
        <f>IF($AA660=10,$AG660*IF($AB660=12,IF($AG660&lt;IF($D$4="Forint",Paraméterek!$L$223,Paraméterek!$L$224),0,VLOOKUP($AA660,Paraméterek!$K$226:$M$228,IF($AG660&lt;IF($D$4="Forint",Paraméterek!$M$223,Paraméterek!$M$224),2,3))),0),0)</f>
        <v>0</v>
      </c>
      <c r="AI660" s="13">
        <f ca="1">IF(AND($AA660=$M$11+1,$AB660=$M$12+1),SUMIF($AA$20:$AA$1027,$AA660,$AG$20:$AG$1027)*IF(SUMIF($AA$20:$AA$1027,$AA660,$AG$20:$AG$1027)&lt;IF($D$4="Forint",Paraméterek!$L$223,Paraméterek!$L$224),0,VLOOKUP($AA660,Paraméterek!$K$230:$M$250,IF(SUMIF($AA$20:$AA$1027,$AA660,$AG$20:$AG$1027)&lt;IF($D$4="Forint",Paraméterek!$M$223,Paraméterek!$M$224),2,3))),0)</f>
        <v>0</v>
      </c>
      <c r="AJ660" s="13">
        <f ca="1">IF(AND($AA660&gt;=5,MOD($AA660,5)=0),IF($AB660=12,VLOOKUP($AA660,Paraméterek!$O$225:$P$240,2),0),IF(OR($AA660=3,$AA660=4),IF($AB660=12,VLOOKUP($AA660,Paraméterek!$O$225:$P$240,2,0),0),0))*$AG660</f>
        <v>0</v>
      </c>
      <c r="AK660" s="13">
        <f t="shared" ca="1" si="207"/>
        <v>0</v>
      </c>
      <c r="AL660" s="13">
        <f t="shared" ca="1" si="215"/>
        <v>0</v>
      </c>
      <c r="AM660" s="13">
        <f t="shared" ca="1" si="216"/>
        <v>0</v>
      </c>
      <c r="AO660" s="32">
        <v>641</v>
      </c>
      <c r="AP660" s="32">
        <v>54</v>
      </c>
      <c r="AQ660" s="32">
        <v>5</v>
      </c>
      <c r="AR660" s="13"/>
      <c r="AS660" s="32"/>
      <c r="AT660" s="13">
        <f t="shared" ca="1" si="217"/>
        <v>0</v>
      </c>
      <c r="AU660" s="33"/>
      <c r="AV660" s="13">
        <f t="shared" ca="1" si="208"/>
        <v>0</v>
      </c>
      <c r="AW660" s="13">
        <f ca="1">ROUNDUP(($AT660+$AV660)*VLOOKUP($AP660,Paraméterek!$P$38:$Q$38,2)/12*IF($D661="Nem",IF($M$13=0,1,$M$13),1),IF($D$4="Forint",0,2))</f>
        <v>0</v>
      </c>
      <c r="AX660" s="13"/>
      <c r="AY660" s="13"/>
      <c r="AZ660" s="13">
        <f>ROUNDUP(IF(SUM($AX660:$AY660)=0,0,IF(IF(ISBLANK($AY660),$AX660,$AY660)*Paraméterek!$J$112&lt;IF($D$4="Forint",Paraméterek!$J$113,Paraméterek!$K$113),IF($D$4="Forint",Paraméterek!$J$113,Paraméterek!$K$113),IF(IF(ISBLANK($AY660),$AX660,$AY660)*Paraméterek!$J$112&gt;IF($D$4="Forint",Paraméterek!$J$114,Paraméterek!$K$114),IF($D$4="Forint",Paraméterek!$J$114,Paraméterek!$K$114),IF(ISBLANK($AY660),$AX660,$AY660)*Paraméterek!$J$112))),IF($D$4="Forint",0,2))</f>
        <v>0</v>
      </c>
      <c r="BA660" s="13">
        <f ca="1">$AT660+$AV660-$AW660-IF(ROUNDDOWN(IF(ISBLANK($AY660),$AX660,$AY660),IF($D$4="Forint",0,2))&gt;$AT660+$AV660-$AW660-IF($D$4="Forint",Paraméterek!$J$114,Paraméterek!$K$114),0,ROUNDDOWN(IF(ISBLANK($AY660),$AX660,$AY660),IF($D$4="Forint",0,2))-$AZ660)</f>
        <v>0</v>
      </c>
      <c r="BB660" s="13">
        <f t="shared" ca="1" si="209"/>
        <v>0</v>
      </c>
      <c r="BD660" s="32">
        <v>641</v>
      </c>
      <c r="BE660" s="32">
        <v>54</v>
      </c>
      <c r="BF660" s="32">
        <v>5</v>
      </c>
      <c r="BG660" s="34">
        <f t="shared" ca="1" si="218"/>
        <v>2072</v>
      </c>
      <c r="BH660" s="32" t="str">
        <f ca="1">IF(MOD(MONTH($D$14)+$BD660-1,12)=Paraméterek!$C$288,"Igen","")</f>
        <v/>
      </c>
      <c r="BI660" s="13">
        <f ca="1">IF($BH660="Igen",MIN(ROUNDDOWN((SUMIF($BG$20:$BG$1027,$BG660-1,$K$20:$K$1027)-SUMIF($BG$20:$BG$1027,$BG660-1,$I$20:$I$1027))*Paraméterek!$C$289,IF($D$4="Forint",0,2)),IF($D$4="Forint",Paraméterek!$C$285,Paraméterek!$D$285)),0)</f>
        <v>0</v>
      </c>
      <c r="BJ660" s="13">
        <f t="shared" ca="1" si="210"/>
        <v>0</v>
      </c>
      <c r="BK660" s="13">
        <f t="shared" ca="1" si="219"/>
        <v>0</v>
      </c>
      <c r="BL660" s="33"/>
      <c r="BM660" s="13">
        <f t="shared" ca="1" si="211"/>
        <v>0</v>
      </c>
      <c r="BN660" s="13">
        <f ca="1">ROUNDUP(($BK660+$BM660)*VLOOKUP($BE660,Paraméterek!$P$38:$Q$38,2)/12*IF($D661="Nem",IF($M$13=0,1,$M$13),1),IF($D$4="Forint",0,2))</f>
        <v>0</v>
      </c>
      <c r="BO660" s="13">
        <f t="shared" ca="1" si="212"/>
        <v>0</v>
      </c>
      <c r="BP660" s="13">
        <f ca="1">IF($D661="Nem",$BO660,$BO660-ROUNDUP(SUM($BI$20:$BI660)*120%,IF($D$4="Forint",0,2)))</f>
        <v>0</v>
      </c>
    </row>
    <row r="661" spans="1:68" x14ac:dyDescent="0.2">
      <c r="A661" s="32">
        <v>642</v>
      </c>
      <c r="B661" s="32">
        <v>54</v>
      </c>
      <c r="C661" s="32">
        <v>6</v>
      </c>
      <c r="D661" s="32" t="str">
        <f t="shared" ref="D661:D724" ca="1" si="220">IF($B661&lt;$M$11+1,"Igen",IF($B661&gt;$M$11+1,"Nem",IF($C661&lt;=$M$12+IF($M$13&gt;0,1,0),"Igen","Nem")))</f>
        <v>Nem</v>
      </c>
      <c r="E661" s="13">
        <f t="shared" ref="E661:E724" ca="1" si="221">IF($D661="Igen",IF($D$2="Egyszeri",IF($A661=1,$D$7,0),ROUNDUP(IF($D$2="Havi",$D$7,IF(MOD($C661,$M$1)-1=0,$D$7,0))*(1+$D$6)^($B661-1),IF($D$4="Forint",0,2))),0)</f>
        <v>0</v>
      </c>
      <c r="F661" s="13"/>
      <c r="G661" s="13"/>
      <c r="H661" s="13"/>
      <c r="I661" s="13">
        <f t="shared" ref="I661:I724" ca="1" si="222">ROUNDUP(IF(AND($D$8="Nincs",$D$2&lt;&gt;"Egyszeri"),$E661*10%,0),IF($D$4="Forint",0,2))</f>
        <v>0</v>
      </c>
      <c r="J661" s="13">
        <f t="shared" ref="J661:J724" ca="1" si="223">IF($D661="Igen",IF($D$2="Egyszeri",IF($A661=1,$M$3,0),ROUNDUP(IF($D$2="Havi",$M$3,IF(MOD($C661,$M$1)-1=0,$M$3,0))*(1+$M$2)^($B661-1),IF($D$4="Forint",0,2))),0)</f>
        <v>0</v>
      </c>
      <c r="K661" s="13">
        <f t="shared" ref="K661:K724" ca="1" si="224">IF($D661="Igen",IF(ISBLANK($F661),$E661,$F661)+IF(ISBLANK($H661),$G661,$H661)+$I661+$J661,0)</f>
        <v>0</v>
      </c>
      <c r="L661" s="13" t="e">
        <f ca="1">ROUNDUP(IF($D$2="Egyszeri",$E661,IF($D$2="Havi",SUM($E$20:$E$31),IF(MOD($C661,$M$1)-1=0,SUM($E$20:$E$31),0))/12*$M$1)*VLOOKUP($B661,Paraméterek!$I$28:$P$31,IF($D$2="Egyszeri",8,HLOOKUP(ROUNDUP($M$11+$M$13,0),Paraméterek!$J$26:$O$27,2))),IF($D$4="Forint",0,2))</f>
        <v>#N/A</v>
      </c>
      <c r="M661" s="13">
        <f t="shared" ref="M661:M724" ca="1" si="225">IF($D661="Igen",$E661-$L661+IF(ISBLANK($H661),$G661,$H661),0)</f>
        <v>0</v>
      </c>
      <c r="N661" s="13">
        <f t="shared" ca="1" si="213"/>
        <v>0</v>
      </c>
      <c r="O661" s="13">
        <f ca="1">IF($D661="Igen",IF($W660&gt;=IF($D$4="Forint",Paraméterek!$J$121,Paraméterek!$K$121),0,IF($D$4="Forint",Paraméterek!$J$121,Paraméterek!$K$121)-$W660),0)</f>
        <v>0</v>
      </c>
      <c r="P661" s="13" t="e">
        <f ca="1">ROUNDUP($O661*VLOOKUP($M$4+$B661-1,Paraméterek!$H$58:$I$105,2,0)/Paraméterek!$I$56,IF($D$4="Forint",0,2))</f>
        <v>#N/A</v>
      </c>
      <c r="Q661" s="13">
        <f t="shared" ref="Q661:Q724" ca="1" si="226">IF($D661="Igen",ROUNDUP($M$5*(1+$M$2)^($B661-1),IF($D$4="Forint",0,2)),0)</f>
        <v>0</v>
      </c>
      <c r="R661" s="33"/>
      <c r="S661" s="13" t="e">
        <f t="shared" ref="S661:S724" ca="1" si="227">ROUNDDOWN(($N661-$P661-$Q661)*IF(ISBLANK($R661),$M$6,$R661)*IF($D662="Nem",IF($M$13=0,1,$M$13),1),IF($D$4="Forint",0,2))</f>
        <v>#N/A</v>
      </c>
      <c r="T661" s="13" t="e">
        <f ca="1">ROUNDUP(($N661-$P661-$Q661+$S661)*VLOOKUP($B661,Paraméterek!$I$38:$K$39,IF($D$2="Egyszeri",3,2))/12*IF($D662="Nem",IF($M$13=0,1,$M$13),1),IF($D$4="Forint",0,2))</f>
        <v>#N/A</v>
      </c>
      <c r="U661" s="13"/>
      <c r="V661" s="13"/>
      <c r="W661" s="13" t="e">
        <f ca="1">$N661-$P661-$Q661+$S661-$T661-IF(ROUNDUP(IF(ISBLANK($V661),$U661*0,$V661)/IF($D$2="Egyszeri",VLOOKUP($B661+IF($C661=12,1,0),Paraméterek!$V$257:$W$262,2),IF($B661=1,1,VLOOKUP($B661+IF($C661=12,1,0),Paraméterek!$I$258:$T$278,HLOOKUP($M$11+1,Paraméterek!$J$256:$T$257,2)))),IF($D$4="Forint",0,2))&gt;$N661-$P661-$Q661+$S661-$T661-IF($D$4="Forint",Paraméterek!$C$216,Paraméterek!$D$216),0,ROUNDUP(IF(ISBLANK($V661),$U661*0,$V661)/IF($D$2="Egyszeri",VLOOKUP($B661+IF($C661=12,1,0),Paraméterek!$V$257:$W$262,2),IF($B661=1,1,VLOOKUP($B661+IF($C661=12,1,0),Paraméterek!$I$258:$T$278,HLOOKUP($M$11+1,Paraméterek!$J$256:$T$257,2)))),IF($D$4="Forint",0,2)))</f>
        <v>#N/A</v>
      </c>
      <c r="X661" s="13" t="e">
        <f ca="1">ROUNDDOWN($W661*IF($D$2="Egyszeri",VLOOKUP($B661+IF($C661=12,1,0),Paraméterek!$V$257:$W$262,2),VLOOKUP($B661+IF($C661=12,1,0),Paraméterek!$I$258:$T$278,HLOOKUP($M$11+1,Paraméterek!$I$256:$T$257,2))),IF($D$4="Forint",0,2))</f>
        <v>#N/A</v>
      </c>
      <c r="Z661" s="32">
        <v>642</v>
      </c>
      <c r="AA661" s="32">
        <v>54</v>
      </c>
      <c r="AB661" s="32">
        <v>6</v>
      </c>
      <c r="AC661" s="13">
        <f t="shared" ca="1" si="214"/>
        <v>0</v>
      </c>
      <c r="AD661" s="33"/>
      <c r="AE661" s="13">
        <f t="shared" ref="AE661:AE724" ca="1" si="228">ROUNDDOWN($AC661*IF(ISBLANK($AD661),$M$8,$AD661)*IF($D662="Nem",IF($M$13=0,1,$M$13),1),IF($D$4="Forint",0,2))</f>
        <v>0</v>
      </c>
      <c r="AF661" s="13">
        <f ca="1">ROUNDUP(($AC661+$AE661)*VLOOKUP($AA661,Paraméterek!$P$38:$Q$38,2)/12*IF($D662="Nem",IF($M$13=0,1,$M$13),1),IF($D$4="Forint",0,2))</f>
        <v>0</v>
      </c>
      <c r="AG661" s="13">
        <f ca="1">IF($D$2="Egyszeri",IF($D$7&gt;=IF($D$4="Forint",Paraméterek!$P$223,Paraméterek!$P$224),$D$7-IF($D$4="Forint",Paraméterek!$P$223,Paraméterek!$P$224),0),MIN(IF($AB661=12,AVERAGEIF($E$20:$E661,"&gt;0",$E$20:$E661)*12,0),SUM($E$20:$E$31)))</f>
        <v>0</v>
      </c>
      <c r="AH661" s="13">
        <f>IF($AA661=10,$AG661*IF($AB661=12,IF($AG661&lt;IF($D$4="Forint",Paraméterek!$L$223,Paraméterek!$L$224),0,VLOOKUP($AA661,Paraméterek!$K$226:$M$228,IF($AG661&lt;IF($D$4="Forint",Paraméterek!$M$223,Paraméterek!$M$224),2,3))),0),0)</f>
        <v>0</v>
      </c>
      <c r="AI661" s="13">
        <f ca="1">IF(AND($AA661=$M$11+1,$AB661=$M$12+1),SUMIF($AA$20:$AA$1027,$AA661,$AG$20:$AG$1027)*IF(SUMIF($AA$20:$AA$1027,$AA661,$AG$20:$AG$1027)&lt;IF($D$4="Forint",Paraméterek!$L$223,Paraméterek!$L$224),0,VLOOKUP($AA661,Paraméterek!$K$230:$M$250,IF(SUMIF($AA$20:$AA$1027,$AA661,$AG$20:$AG$1027)&lt;IF($D$4="Forint",Paraméterek!$M$223,Paraméterek!$M$224),2,3))),0)</f>
        <v>0</v>
      </c>
      <c r="AJ661" s="13">
        <f ca="1">IF(AND($AA661&gt;=5,MOD($AA661,5)=0),IF($AB661=12,VLOOKUP($AA661,Paraméterek!$O$225:$P$240,2),0),IF(OR($AA661=3,$AA661=4),IF($AB661=12,VLOOKUP($AA661,Paraméterek!$O$225:$P$240,2,0),0),0))*$AG661</f>
        <v>0</v>
      </c>
      <c r="AK661" s="13">
        <f t="shared" ref="AK661:AK724" ca="1" si="229">ROUNDDOWN(IF($D$2="Egyszeri",$AJ661,$AH661+$AI661),IF($D$4="Forint",0,2))</f>
        <v>0</v>
      </c>
      <c r="AL661" s="13">
        <f t="shared" ca="1" si="215"/>
        <v>0</v>
      </c>
      <c r="AM661" s="13">
        <f t="shared" ca="1" si="216"/>
        <v>0</v>
      </c>
      <c r="AO661" s="32">
        <v>642</v>
      </c>
      <c r="AP661" s="32">
        <v>54</v>
      </c>
      <c r="AQ661" s="32">
        <v>6</v>
      </c>
      <c r="AR661" s="13"/>
      <c r="AS661" s="32"/>
      <c r="AT661" s="13">
        <f t="shared" ca="1" si="217"/>
        <v>0</v>
      </c>
      <c r="AU661" s="33"/>
      <c r="AV661" s="13">
        <f t="shared" ref="AV661:AV724" ca="1" si="230">ROUNDDOWN($AT661*IF(ISBLANK($AU661),$M$7,$AU661)*IF($D662="Nem",IF($M$13=0,1,$M$13),1),IF($D$4="Forint",0,2))</f>
        <v>0</v>
      </c>
      <c r="AW661" s="13">
        <f ca="1">ROUNDUP(($AT661+$AV661)*VLOOKUP($AP661,Paraméterek!$P$38:$Q$38,2)/12*IF($D662="Nem",IF($M$13=0,1,$M$13),1),IF($D$4="Forint",0,2))</f>
        <v>0</v>
      </c>
      <c r="AX661" s="13"/>
      <c r="AY661" s="13"/>
      <c r="AZ661" s="13">
        <f>ROUNDUP(IF(SUM($AX661:$AY661)=0,0,IF(IF(ISBLANK($AY661),$AX661,$AY661)*Paraméterek!$J$112&lt;IF($D$4="Forint",Paraméterek!$J$113,Paraméterek!$K$113),IF($D$4="Forint",Paraméterek!$J$113,Paraméterek!$K$113),IF(IF(ISBLANK($AY661),$AX661,$AY661)*Paraméterek!$J$112&gt;IF($D$4="Forint",Paraméterek!$J$114,Paraméterek!$K$114),IF($D$4="Forint",Paraméterek!$J$114,Paraméterek!$K$114),IF(ISBLANK($AY661),$AX661,$AY661)*Paraméterek!$J$112))),IF($D$4="Forint",0,2))</f>
        <v>0</v>
      </c>
      <c r="BA661" s="13">
        <f ca="1">$AT661+$AV661-$AW661-IF(ROUNDDOWN(IF(ISBLANK($AY661),$AX661,$AY661),IF($D$4="Forint",0,2))&gt;$AT661+$AV661-$AW661-IF($D$4="Forint",Paraméterek!$J$114,Paraméterek!$K$114),0,ROUNDDOWN(IF(ISBLANK($AY661),$AX661,$AY661),IF($D$4="Forint",0,2))-$AZ661)</f>
        <v>0</v>
      </c>
      <c r="BB661" s="13">
        <f t="shared" ref="BB661:BB724" ca="1" si="231">$BA661</f>
        <v>0</v>
      </c>
      <c r="BD661" s="32">
        <v>642</v>
      </c>
      <c r="BE661" s="32">
        <v>54</v>
      </c>
      <c r="BF661" s="32">
        <v>6</v>
      </c>
      <c r="BG661" s="34">
        <f t="shared" ca="1" si="218"/>
        <v>2072</v>
      </c>
      <c r="BH661" s="32" t="str">
        <f ca="1">IF(MOD(MONTH($D$14)+$BD661-1,12)=Paraméterek!$C$288,"Igen","")</f>
        <v/>
      </c>
      <c r="BI661" s="13">
        <f ca="1">IF($BH661="Igen",MIN(ROUNDDOWN((SUMIF($BG$20:$BG$1027,$BG661-1,$K$20:$K$1027)-SUMIF($BG$20:$BG$1027,$BG661-1,$I$20:$I$1027))*Paraméterek!$C$289,IF($D$4="Forint",0,2)),IF($D$4="Forint",Paraméterek!$C$285,Paraméterek!$D$285)),0)</f>
        <v>0</v>
      </c>
      <c r="BJ661" s="13">
        <f t="shared" ref="BJ661:BJ724" ca="1" si="232">IF(AND($D661="Igen",$BH661="Igen"),$BI661,0)</f>
        <v>0</v>
      </c>
      <c r="BK661" s="13">
        <f t="shared" ca="1" si="219"/>
        <v>0</v>
      </c>
      <c r="BL661" s="33"/>
      <c r="BM661" s="13">
        <f t="shared" ref="BM661:BM724" ca="1" si="233">ROUNDDOWN($BK661*IF(ISBLANK($BL661),$M$9,$BL661)*IF($D662="Nem",IF($M$13=0,1,$M$13),1),IF($D$4="Forint",0,2))</f>
        <v>0</v>
      </c>
      <c r="BN661" s="13">
        <f ca="1">ROUNDUP(($BK661+$BM661)*VLOOKUP($BE661,Paraméterek!$P$38:$Q$38,2)/12*IF($D662="Nem",IF($M$13=0,1,$M$13),1),IF($D$4="Forint",0,2))</f>
        <v>0</v>
      </c>
      <c r="BO661" s="13">
        <f t="shared" ref="BO661:BO724" ca="1" si="234">$BK661+$BM661-$BN661</f>
        <v>0</v>
      </c>
      <c r="BP661" s="13">
        <f ca="1">IF($D662="Nem",$BO661,$BO661-ROUNDUP(SUM($BI$20:$BI661)*120%,IF($D$4="Forint",0,2)))</f>
        <v>0</v>
      </c>
    </row>
    <row r="662" spans="1:68" x14ac:dyDescent="0.2">
      <c r="A662" s="32">
        <v>643</v>
      </c>
      <c r="B662" s="32">
        <v>54</v>
      </c>
      <c r="C662" s="32">
        <v>7</v>
      </c>
      <c r="D662" s="32" t="str">
        <f t="shared" ca="1" si="220"/>
        <v>Nem</v>
      </c>
      <c r="E662" s="13">
        <f t="shared" ca="1" si="221"/>
        <v>0</v>
      </c>
      <c r="F662" s="13"/>
      <c r="G662" s="13"/>
      <c r="H662" s="13"/>
      <c r="I662" s="13">
        <f t="shared" ca="1" si="222"/>
        <v>0</v>
      </c>
      <c r="J662" s="13">
        <f t="shared" ca="1" si="223"/>
        <v>0</v>
      </c>
      <c r="K662" s="13">
        <f t="shared" ca="1" si="224"/>
        <v>0</v>
      </c>
      <c r="L662" s="13" t="e">
        <f ca="1">ROUNDUP(IF($D$2="Egyszeri",$E662,IF($D$2="Havi",SUM($E$20:$E$31),IF(MOD($C662,$M$1)-1=0,SUM($E$20:$E$31),0))/12*$M$1)*VLOOKUP($B662,Paraméterek!$I$28:$P$31,IF($D$2="Egyszeri",8,HLOOKUP(ROUNDUP($M$11+$M$13,0),Paraméterek!$J$26:$O$27,2))),IF($D$4="Forint",0,2))</f>
        <v>#N/A</v>
      </c>
      <c r="M662" s="13">
        <f t="shared" ca="1" si="225"/>
        <v>0</v>
      </c>
      <c r="N662" s="13">
        <f t="shared" ref="N662:N725" ca="1" si="235">IF($D662="Igen",$M662+$W661,0)</f>
        <v>0</v>
      </c>
      <c r="O662" s="13">
        <f ca="1">IF($D662="Igen",IF($W661&gt;=IF($D$4="Forint",Paraméterek!$J$121,Paraméterek!$K$121),0,IF($D$4="Forint",Paraméterek!$J$121,Paraméterek!$K$121)-$W661),0)</f>
        <v>0</v>
      </c>
      <c r="P662" s="13" t="e">
        <f ca="1">ROUNDUP($O662*VLOOKUP($M$4+$B662-1,Paraméterek!$H$58:$I$105,2,0)/Paraméterek!$I$56,IF($D$4="Forint",0,2))</f>
        <v>#N/A</v>
      </c>
      <c r="Q662" s="13">
        <f t="shared" ca="1" si="226"/>
        <v>0</v>
      </c>
      <c r="R662" s="33"/>
      <c r="S662" s="13" t="e">
        <f t="shared" ca="1" si="227"/>
        <v>#N/A</v>
      </c>
      <c r="T662" s="13" t="e">
        <f ca="1">ROUNDUP(($N662-$P662-$Q662+$S662)*VLOOKUP($B662,Paraméterek!$I$38:$K$39,IF($D$2="Egyszeri",3,2))/12*IF($D663="Nem",IF($M$13=0,1,$M$13),1),IF($D$4="Forint",0,2))</f>
        <v>#N/A</v>
      </c>
      <c r="U662" s="13"/>
      <c r="V662" s="13"/>
      <c r="W662" s="13" t="e">
        <f ca="1">$N662-$P662-$Q662+$S662-$T662-IF(ROUNDUP(IF(ISBLANK($V662),$U662*0,$V662)/IF($D$2="Egyszeri",VLOOKUP($B662+IF($C662=12,1,0),Paraméterek!$V$257:$W$262,2),IF($B662=1,1,VLOOKUP($B662+IF($C662=12,1,0),Paraméterek!$I$258:$T$278,HLOOKUP($M$11+1,Paraméterek!$J$256:$T$257,2)))),IF($D$4="Forint",0,2))&gt;$N662-$P662-$Q662+$S662-$T662-IF($D$4="Forint",Paraméterek!$C$216,Paraméterek!$D$216),0,ROUNDUP(IF(ISBLANK($V662),$U662*0,$V662)/IF($D$2="Egyszeri",VLOOKUP($B662+IF($C662=12,1,0),Paraméterek!$V$257:$W$262,2),IF($B662=1,1,VLOOKUP($B662+IF($C662=12,1,0),Paraméterek!$I$258:$T$278,HLOOKUP($M$11+1,Paraméterek!$J$256:$T$257,2)))),IF($D$4="Forint",0,2)))</f>
        <v>#N/A</v>
      </c>
      <c r="X662" s="13" t="e">
        <f ca="1">ROUNDDOWN($W662*IF($D$2="Egyszeri",VLOOKUP($B662+IF($C662=12,1,0),Paraméterek!$V$257:$W$262,2),VLOOKUP($B662+IF($C662=12,1,0),Paraméterek!$I$258:$T$278,HLOOKUP($M$11+1,Paraméterek!$I$256:$T$257,2))),IF($D$4="Forint",0,2))</f>
        <v>#N/A</v>
      </c>
      <c r="Z662" s="32">
        <v>643</v>
      </c>
      <c r="AA662" s="32">
        <v>54</v>
      </c>
      <c r="AB662" s="32">
        <v>7</v>
      </c>
      <c r="AC662" s="13">
        <f t="shared" ref="AC662:AC725" ca="1" si="236">IF($D662="Igen",$AL661,0)</f>
        <v>0</v>
      </c>
      <c r="AD662" s="33"/>
      <c r="AE662" s="13">
        <f t="shared" ca="1" si="228"/>
        <v>0</v>
      </c>
      <c r="AF662" s="13">
        <f ca="1">ROUNDUP(($AC662+$AE662)*VLOOKUP($AA662,Paraméterek!$P$38:$Q$38,2)/12*IF($D663="Nem",IF($M$13=0,1,$M$13),1),IF($D$4="Forint",0,2))</f>
        <v>0</v>
      </c>
      <c r="AG662" s="13">
        <f ca="1">IF($D$2="Egyszeri",IF($D$7&gt;=IF($D$4="Forint",Paraméterek!$P$223,Paraméterek!$P$224),$D$7-IF($D$4="Forint",Paraméterek!$P$223,Paraméterek!$P$224),0),MIN(IF($AB662=12,AVERAGEIF($E$20:$E662,"&gt;0",$E$20:$E662)*12,0),SUM($E$20:$E$31)))</f>
        <v>0</v>
      </c>
      <c r="AH662" s="13">
        <f>IF($AA662=10,$AG662*IF($AB662=12,IF($AG662&lt;IF($D$4="Forint",Paraméterek!$L$223,Paraméterek!$L$224),0,VLOOKUP($AA662,Paraméterek!$K$226:$M$228,IF($AG662&lt;IF($D$4="Forint",Paraméterek!$M$223,Paraméterek!$M$224),2,3))),0),0)</f>
        <v>0</v>
      </c>
      <c r="AI662" s="13">
        <f ca="1">IF(AND($AA662=$M$11+1,$AB662=$M$12+1),SUMIF($AA$20:$AA$1027,$AA662,$AG$20:$AG$1027)*IF(SUMIF($AA$20:$AA$1027,$AA662,$AG$20:$AG$1027)&lt;IF($D$4="Forint",Paraméterek!$L$223,Paraméterek!$L$224),0,VLOOKUP($AA662,Paraméterek!$K$230:$M$250,IF(SUMIF($AA$20:$AA$1027,$AA662,$AG$20:$AG$1027)&lt;IF($D$4="Forint",Paraméterek!$M$223,Paraméterek!$M$224),2,3))),0)</f>
        <v>0</v>
      </c>
      <c r="AJ662" s="13">
        <f ca="1">IF(AND($AA662&gt;=5,MOD($AA662,5)=0),IF($AB662=12,VLOOKUP($AA662,Paraméterek!$O$225:$P$240,2),0),IF(OR($AA662=3,$AA662=4),IF($AB662=12,VLOOKUP($AA662,Paraméterek!$O$225:$P$240,2,0),0),0))*$AG662</f>
        <v>0</v>
      </c>
      <c r="AK662" s="13">
        <f t="shared" ca="1" si="229"/>
        <v>0</v>
      </c>
      <c r="AL662" s="13">
        <f t="shared" ref="AL662:AL725" ca="1" si="237">$AC662+$AE662-$AF662+$AK662</f>
        <v>0</v>
      </c>
      <c r="AM662" s="13">
        <f t="shared" ref="AM662:AM725" ca="1" si="238">$AL662</f>
        <v>0</v>
      </c>
      <c r="AO662" s="32">
        <v>643</v>
      </c>
      <c r="AP662" s="32">
        <v>54</v>
      </c>
      <c r="AQ662" s="32">
        <v>7</v>
      </c>
      <c r="AR662" s="13"/>
      <c r="AS662" s="32"/>
      <c r="AT662" s="13">
        <f t="shared" ref="AT662:AT725" ca="1" si="239">IF($D662="Igen",IF(ISBLANK($AS662),$AR662,$AS662)+$BA661,0)</f>
        <v>0</v>
      </c>
      <c r="AU662" s="33"/>
      <c r="AV662" s="13">
        <f t="shared" ca="1" si="230"/>
        <v>0</v>
      </c>
      <c r="AW662" s="13">
        <f ca="1">ROUNDUP(($AT662+$AV662)*VLOOKUP($AP662,Paraméterek!$P$38:$Q$38,2)/12*IF($D663="Nem",IF($M$13=0,1,$M$13),1),IF($D$4="Forint",0,2))</f>
        <v>0</v>
      </c>
      <c r="AX662" s="13"/>
      <c r="AY662" s="13"/>
      <c r="AZ662" s="13">
        <f>ROUNDUP(IF(SUM($AX662:$AY662)=0,0,IF(IF(ISBLANK($AY662),$AX662,$AY662)*Paraméterek!$J$112&lt;IF($D$4="Forint",Paraméterek!$J$113,Paraméterek!$K$113),IF($D$4="Forint",Paraméterek!$J$113,Paraméterek!$K$113),IF(IF(ISBLANK($AY662),$AX662,$AY662)*Paraméterek!$J$112&gt;IF($D$4="Forint",Paraméterek!$J$114,Paraméterek!$K$114),IF($D$4="Forint",Paraméterek!$J$114,Paraméterek!$K$114),IF(ISBLANK($AY662),$AX662,$AY662)*Paraméterek!$J$112))),IF($D$4="Forint",0,2))</f>
        <v>0</v>
      </c>
      <c r="BA662" s="13">
        <f ca="1">$AT662+$AV662-$AW662-IF(ROUNDDOWN(IF(ISBLANK($AY662),$AX662,$AY662),IF($D$4="Forint",0,2))&gt;$AT662+$AV662-$AW662-IF($D$4="Forint",Paraméterek!$J$114,Paraméterek!$K$114),0,ROUNDDOWN(IF(ISBLANK($AY662),$AX662,$AY662),IF($D$4="Forint",0,2))-$AZ662)</f>
        <v>0</v>
      </c>
      <c r="BB662" s="13">
        <f t="shared" ca="1" si="231"/>
        <v>0</v>
      </c>
      <c r="BD662" s="32">
        <v>643</v>
      </c>
      <c r="BE662" s="32">
        <v>54</v>
      </c>
      <c r="BF662" s="32">
        <v>7</v>
      </c>
      <c r="BG662" s="34">
        <f t="shared" ref="BG662:BG725" ca="1" si="240">$BG661+IF(MOD(MONTH($D$14)+$BD662-1,12)=1,1,0)</f>
        <v>2072</v>
      </c>
      <c r="BH662" s="32" t="str">
        <f ca="1">IF(MOD(MONTH($D$14)+$BD662-1,12)=Paraméterek!$C$288,"Igen","")</f>
        <v/>
      </c>
      <c r="BI662" s="13">
        <f ca="1">IF($BH662="Igen",MIN(ROUNDDOWN((SUMIF($BG$20:$BG$1027,$BG662-1,$K$20:$K$1027)-SUMIF($BG$20:$BG$1027,$BG662-1,$I$20:$I$1027))*Paraméterek!$C$289,IF($D$4="Forint",0,2)),IF($D$4="Forint",Paraméterek!$C$285,Paraméterek!$D$285)),0)</f>
        <v>0</v>
      </c>
      <c r="BJ662" s="13">
        <f t="shared" ca="1" si="232"/>
        <v>0</v>
      </c>
      <c r="BK662" s="13">
        <f t="shared" ref="BK662:BK725" ca="1" si="241">$BJ662+IF($D662="Igen",$BO661,0)</f>
        <v>0</v>
      </c>
      <c r="BL662" s="33"/>
      <c r="BM662" s="13">
        <f t="shared" ca="1" si="233"/>
        <v>0</v>
      </c>
      <c r="BN662" s="13">
        <f ca="1">ROUNDUP(($BK662+$BM662)*VLOOKUP($BE662,Paraméterek!$P$38:$Q$38,2)/12*IF($D663="Nem",IF($M$13=0,1,$M$13),1),IF($D$4="Forint",0,2))</f>
        <v>0</v>
      </c>
      <c r="BO662" s="13">
        <f t="shared" ca="1" si="234"/>
        <v>0</v>
      </c>
      <c r="BP662" s="13">
        <f ca="1">IF($D663="Nem",$BO662,$BO662-ROUNDUP(SUM($BI$20:$BI662)*120%,IF($D$4="Forint",0,2)))</f>
        <v>0</v>
      </c>
    </row>
    <row r="663" spans="1:68" x14ac:dyDescent="0.2">
      <c r="A663" s="32">
        <v>644</v>
      </c>
      <c r="B663" s="32">
        <v>54</v>
      </c>
      <c r="C663" s="32">
        <v>8</v>
      </c>
      <c r="D663" s="32" t="str">
        <f t="shared" ca="1" si="220"/>
        <v>Nem</v>
      </c>
      <c r="E663" s="13">
        <f t="shared" ca="1" si="221"/>
        <v>0</v>
      </c>
      <c r="F663" s="13"/>
      <c r="G663" s="13"/>
      <c r="H663" s="13"/>
      <c r="I663" s="13">
        <f t="shared" ca="1" si="222"/>
        <v>0</v>
      </c>
      <c r="J663" s="13">
        <f t="shared" ca="1" si="223"/>
        <v>0</v>
      </c>
      <c r="K663" s="13">
        <f t="shared" ca="1" si="224"/>
        <v>0</v>
      </c>
      <c r="L663" s="13" t="e">
        <f ca="1">ROUNDUP(IF($D$2="Egyszeri",$E663,IF($D$2="Havi",SUM($E$20:$E$31),IF(MOD($C663,$M$1)-1=0,SUM($E$20:$E$31),0))/12*$M$1)*VLOOKUP($B663,Paraméterek!$I$28:$P$31,IF($D$2="Egyszeri",8,HLOOKUP(ROUNDUP($M$11+$M$13,0),Paraméterek!$J$26:$O$27,2))),IF($D$4="Forint",0,2))</f>
        <v>#N/A</v>
      </c>
      <c r="M663" s="13">
        <f t="shared" ca="1" si="225"/>
        <v>0</v>
      </c>
      <c r="N663" s="13">
        <f t="shared" ca="1" si="235"/>
        <v>0</v>
      </c>
      <c r="O663" s="13">
        <f ca="1">IF($D663="Igen",IF($W662&gt;=IF($D$4="Forint",Paraméterek!$J$121,Paraméterek!$K$121),0,IF($D$4="Forint",Paraméterek!$J$121,Paraméterek!$K$121)-$W662),0)</f>
        <v>0</v>
      </c>
      <c r="P663" s="13" t="e">
        <f ca="1">ROUNDUP($O663*VLOOKUP($M$4+$B663-1,Paraméterek!$H$58:$I$105,2,0)/Paraméterek!$I$56,IF($D$4="Forint",0,2))</f>
        <v>#N/A</v>
      </c>
      <c r="Q663" s="13">
        <f t="shared" ca="1" si="226"/>
        <v>0</v>
      </c>
      <c r="R663" s="33"/>
      <c r="S663" s="13" t="e">
        <f t="shared" ca="1" si="227"/>
        <v>#N/A</v>
      </c>
      <c r="T663" s="13" t="e">
        <f ca="1">ROUNDUP(($N663-$P663-$Q663+$S663)*VLOOKUP($B663,Paraméterek!$I$38:$K$39,IF($D$2="Egyszeri",3,2))/12*IF($D664="Nem",IF($M$13=0,1,$M$13),1),IF($D$4="Forint",0,2))</f>
        <v>#N/A</v>
      </c>
      <c r="U663" s="13"/>
      <c r="V663" s="13"/>
      <c r="W663" s="13" t="e">
        <f ca="1">$N663-$P663-$Q663+$S663-$T663-IF(ROUNDUP(IF(ISBLANK($V663),$U663*0,$V663)/IF($D$2="Egyszeri",VLOOKUP($B663+IF($C663=12,1,0),Paraméterek!$V$257:$W$262,2),IF($B663=1,1,VLOOKUP($B663+IF($C663=12,1,0),Paraméterek!$I$258:$T$278,HLOOKUP($M$11+1,Paraméterek!$J$256:$T$257,2)))),IF($D$4="Forint",0,2))&gt;$N663-$P663-$Q663+$S663-$T663-IF($D$4="Forint",Paraméterek!$C$216,Paraméterek!$D$216),0,ROUNDUP(IF(ISBLANK($V663),$U663*0,$V663)/IF($D$2="Egyszeri",VLOOKUP($B663+IF($C663=12,1,0),Paraméterek!$V$257:$W$262,2),IF($B663=1,1,VLOOKUP($B663+IF($C663=12,1,0),Paraméterek!$I$258:$T$278,HLOOKUP($M$11+1,Paraméterek!$J$256:$T$257,2)))),IF($D$4="Forint",0,2)))</f>
        <v>#N/A</v>
      </c>
      <c r="X663" s="13" t="e">
        <f ca="1">ROUNDDOWN($W663*IF($D$2="Egyszeri",VLOOKUP($B663+IF($C663=12,1,0),Paraméterek!$V$257:$W$262,2),VLOOKUP($B663+IF($C663=12,1,0),Paraméterek!$I$258:$T$278,HLOOKUP($M$11+1,Paraméterek!$I$256:$T$257,2))),IF($D$4="Forint",0,2))</f>
        <v>#N/A</v>
      </c>
      <c r="Z663" s="32">
        <v>644</v>
      </c>
      <c r="AA663" s="32">
        <v>54</v>
      </c>
      <c r="AB663" s="32">
        <v>8</v>
      </c>
      <c r="AC663" s="13">
        <f t="shared" ca="1" si="236"/>
        <v>0</v>
      </c>
      <c r="AD663" s="33"/>
      <c r="AE663" s="13">
        <f t="shared" ca="1" si="228"/>
        <v>0</v>
      </c>
      <c r="AF663" s="13">
        <f ca="1">ROUNDUP(($AC663+$AE663)*VLOOKUP($AA663,Paraméterek!$P$38:$Q$38,2)/12*IF($D664="Nem",IF($M$13=0,1,$M$13),1),IF($D$4="Forint",0,2))</f>
        <v>0</v>
      </c>
      <c r="AG663" s="13">
        <f ca="1">IF($D$2="Egyszeri",IF($D$7&gt;=IF($D$4="Forint",Paraméterek!$P$223,Paraméterek!$P$224),$D$7-IF($D$4="Forint",Paraméterek!$P$223,Paraméterek!$P$224),0),MIN(IF($AB663=12,AVERAGEIF($E$20:$E663,"&gt;0",$E$20:$E663)*12,0),SUM($E$20:$E$31)))</f>
        <v>0</v>
      </c>
      <c r="AH663" s="13">
        <f>IF($AA663=10,$AG663*IF($AB663=12,IF($AG663&lt;IF($D$4="Forint",Paraméterek!$L$223,Paraméterek!$L$224),0,VLOOKUP($AA663,Paraméterek!$K$226:$M$228,IF($AG663&lt;IF($D$4="Forint",Paraméterek!$M$223,Paraméterek!$M$224),2,3))),0),0)</f>
        <v>0</v>
      </c>
      <c r="AI663" s="13">
        <f ca="1">IF(AND($AA663=$M$11+1,$AB663=$M$12+1),SUMIF($AA$20:$AA$1027,$AA663,$AG$20:$AG$1027)*IF(SUMIF($AA$20:$AA$1027,$AA663,$AG$20:$AG$1027)&lt;IF($D$4="Forint",Paraméterek!$L$223,Paraméterek!$L$224),0,VLOOKUP($AA663,Paraméterek!$K$230:$M$250,IF(SUMIF($AA$20:$AA$1027,$AA663,$AG$20:$AG$1027)&lt;IF($D$4="Forint",Paraméterek!$M$223,Paraméterek!$M$224),2,3))),0)</f>
        <v>0</v>
      </c>
      <c r="AJ663" s="13">
        <f ca="1">IF(AND($AA663&gt;=5,MOD($AA663,5)=0),IF($AB663=12,VLOOKUP($AA663,Paraméterek!$O$225:$P$240,2),0),IF(OR($AA663=3,$AA663=4),IF($AB663=12,VLOOKUP($AA663,Paraméterek!$O$225:$P$240,2,0),0),0))*$AG663</f>
        <v>0</v>
      </c>
      <c r="AK663" s="13">
        <f t="shared" ca="1" si="229"/>
        <v>0</v>
      </c>
      <c r="AL663" s="13">
        <f t="shared" ca="1" si="237"/>
        <v>0</v>
      </c>
      <c r="AM663" s="13">
        <f t="shared" ca="1" si="238"/>
        <v>0</v>
      </c>
      <c r="AO663" s="32">
        <v>644</v>
      </c>
      <c r="AP663" s="32">
        <v>54</v>
      </c>
      <c r="AQ663" s="32">
        <v>8</v>
      </c>
      <c r="AR663" s="13"/>
      <c r="AS663" s="32"/>
      <c r="AT663" s="13">
        <f t="shared" ca="1" si="239"/>
        <v>0</v>
      </c>
      <c r="AU663" s="33"/>
      <c r="AV663" s="13">
        <f t="shared" ca="1" si="230"/>
        <v>0</v>
      </c>
      <c r="AW663" s="13">
        <f ca="1">ROUNDUP(($AT663+$AV663)*VLOOKUP($AP663,Paraméterek!$P$38:$Q$38,2)/12*IF($D664="Nem",IF($M$13=0,1,$M$13),1),IF($D$4="Forint",0,2))</f>
        <v>0</v>
      </c>
      <c r="AX663" s="13"/>
      <c r="AY663" s="13"/>
      <c r="AZ663" s="13">
        <f>ROUNDUP(IF(SUM($AX663:$AY663)=0,0,IF(IF(ISBLANK($AY663),$AX663,$AY663)*Paraméterek!$J$112&lt;IF($D$4="Forint",Paraméterek!$J$113,Paraméterek!$K$113),IF($D$4="Forint",Paraméterek!$J$113,Paraméterek!$K$113),IF(IF(ISBLANK($AY663),$AX663,$AY663)*Paraméterek!$J$112&gt;IF($D$4="Forint",Paraméterek!$J$114,Paraméterek!$K$114),IF($D$4="Forint",Paraméterek!$J$114,Paraméterek!$K$114),IF(ISBLANK($AY663),$AX663,$AY663)*Paraméterek!$J$112))),IF($D$4="Forint",0,2))</f>
        <v>0</v>
      </c>
      <c r="BA663" s="13">
        <f ca="1">$AT663+$AV663-$AW663-IF(ROUNDDOWN(IF(ISBLANK($AY663),$AX663,$AY663),IF($D$4="Forint",0,2))&gt;$AT663+$AV663-$AW663-IF($D$4="Forint",Paraméterek!$J$114,Paraméterek!$K$114),0,ROUNDDOWN(IF(ISBLANK($AY663),$AX663,$AY663),IF($D$4="Forint",0,2))-$AZ663)</f>
        <v>0</v>
      </c>
      <c r="BB663" s="13">
        <f t="shared" ca="1" si="231"/>
        <v>0</v>
      </c>
      <c r="BD663" s="32">
        <v>644</v>
      </c>
      <c r="BE663" s="32">
        <v>54</v>
      </c>
      <c r="BF663" s="32">
        <v>8</v>
      </c>
      <c r="BG663" s="34">
        <f t="shared" ca="1" si="240"/>
        <v>2073</v>
      </c>
      <c r="BH663" s="32" t="str">
        <f ca="1">IF(MOD(MONTH($D$14)+$BD663-1,12)=Paraméterek!$C$288,"Igen","")</f>
        <v/>
      </c>
      <c r="BI663" s="13">
        <f ca="1">IF($BH663="Igen",MIN(ROUNDDOWN((SUMIF($BG$20:$BG$1027,$BG663-1,$K$20:$K$1027)-SUMIF($BG$20:$BG$1027,$BG663-1,$I$20:$I$1027))*Paraméterek!$C$289,IF($D$4="Forint",0,2)),IF($D$4="Forint",Paraméterek!$C$285,Paraméterek!$D$285)),0)</f>
        <v>0</v>
      </c>
      <c r="BJ663" s="13">
        <f t="shared" ca="1" si="232"/>
        <v>0</v>
      </c>
      <c r="BK663" s="13">
        <f t="shared" ca="1" si="241"/>
        <v>0</v>
      </c>
      <c r="BL663" s="33"/>
      <c r="BM663" s="13">
        <f t="shared" ca="1" si="233"/>
        <v>0</v>
      </c>
      <c r="BN663" s="13">
        <f ca="1">ROUNDUP(($BK663+$BM663)*VLOOKUP($BE663,Paraméterek!$P$38:$Q$38,2)/12*IF($D664="Nem",IF($M$13=0,1,$M$13),1),IF($D$4="Forint",0,2))</f>
        <v>0</v>
      </c>
      <c r="BO663" s="13">
        <f t="shared" ca="1" si="234"/>
        <v>0</v>
      </c>
      <c r="BP663" s="13">
        <f ca="1">IF($D664="Nem",$BO663,$BO663-ROUNDUP(SUM($BI$20:$BI663)*120%,IF($D$4="Forint",0,2)))</f>
        <v>0</v>
      </c>
    </row>
    <row r="664" spans="1:68" x14ac:dyDescent="0.2">
      <c r="A664" s="32">
        <v>645</v>
      </c>
      <c r="B664" s="32">
        <v>54</v>
      </c>
      <c r="C664" s="32">
        <v>9</v>
      </c>
      <c r="D664" s="32" t="str">
        <f t="shared" ca="1" si="220"/>
        <v>Nem</v>
      </c>
      <c r="E664" s="13">
        <f t="shared" ca="1" si="221"/>
        <v>0</v>
      </c>
      <c r="F664" s="13"/>
      <c r="G664" s="13"/>
      <c r="H664" s="13"/>
      <c r="I664" s="13">
        <f t="shared" ca="1" si="222"/>
        <v>0</v>
      </c>
      <c r="J664" s="13">
        <f t="shared" ca="1" si="223"/>
        <v>0</v>
      </c>
      <c r="K664" s="13">
        <f t="shared" ca="1" si="224"/>
        <v>0</v>
      </c>
      <c r="L664" s="13" t="e">
        <f ca="1">ROUNDUP(IF($D$2="Egyszeri",$E664,IF($D$2="Havi",SUM($E$20:$E$31),IF(MOD($C664,$M$1)-1=0,SUM($E$20:$E$31),0))/12*$M$1)*VLOOKUP($B664,Paraméterek!$I$28:$P$31,IF($D$2="Egyszeri",8,HLOOKUP(ROUNDUP($M$11+$M$13,0),Paraméterek!$J$26:$O$27,2))),IF($D$4="Forint",0,2))</f>
        <v>#N/A</v>
      </c>
      <c r="M664" s="13">
        <f t="shared" ca="1" si="225"/>
        <v>0</v>
      </c>
      <c r="N664" s="13">
        <f t="shared" ca="1" si="235"/>
        <v>0</v>
      </c>
      <c r="O664" s="13">
        <f ca="1">IF($D664="Igen",IF($W663&gt;=IF($D$4="Forint",Paraméterek!$J$121,Paraméterek!$K$121),0,IF($D$4="Forint",Paraméterek!$J$121,Paraméterek!$K$121)-$W663),0)</f>
        <v>0</v>
      </c>
      <c r="P664" s="13" t="e">
        <f ca="1">ROUNDUP($O664*VLOOKUP($M$4+$B664-1,Paraméterek!$H$58:$I$105,2,0)/Paraméterek!$I$56,IF($D$4="Forint",0,2))</f>
        <v>#N/A</v>
      </c>
      <c r="Q664" s="13">
        <f t="shared" ca="1" si="226"/>
        <v>0</v>
      </c>
      <c r="R664" s="33"/>
      <c r="S664" s="13" t="e">
        <f t="shared" ca="1" si="227"/>
        <v>#N/A</v>
      </c>
      <c r="T664" s="13" t="e">
        <f ca="1">ROUNDUP(($N664-$P664-$Q664+$S664)*VLOOKUP($B664,Paraméterek!$I$38:$K$39,IF($D$2="Egyszeri",3,2))/12*IF($D665="Nem",IF($M$13=0,1,$M$13),1),IF($D$4="Forint",0,2))</f>
        <v>#N/A</v>
      </c>
      <c r="U664" s="13"/>
      <c r="V664" s="13"/>
      <c r="W664" s="13" t="e">
        <f ca="1">$N664-$P664-$Q664+$S664-$T664-IF(ROUNDUP(IF(ISBLANK($V664),$U664*0,$V664)/IF($D$2="Egyszeri",VLOOKUP($B664+IF($C664=12,1,0),Paraméterek!$V$257:$W$262,2),IF($B664=1,1,VLOOKUP($B664+IF($C664=12,1,0),Paraméterek!$I$258:$T$278,HLOOKUP($M$11+1,Paraméterek!$J$256:$T$257,2)))),IF($D$4="Forint",0,2))&gt;$N664-$P664-$Q664+$S664-$T664-IF($D$4="Forint",Paraméterek!$C$216,Paraméterek!$D$216),0,ROUNDUP(IF(ISBLANK($V664),$U664*0,$V664)/IF($D$2="Egyszeri",VLOOKUP($B664+IF($C664=12,1,0),Paraméterek!$V$257:$W$262,2),IF($B664=1,1,VLOOKUP($B664+IF($C664=12,1,0),Paraméterek!$I$258:$T$278,HLOOKUP($M$11+1,Paraméterek!$J$256:$T$257,2)))),IF($D$4="Forint",0,2)))</f>
        <v>#N/A</v>
      </c>
      <c r="X664" s="13" t="e">
        <f ca="1">ROUNDDOWN($W664*IF($D$2="Egyszeri",VLOOKUP($B664+IF($C664=12,1,0),Paraméterek!$V$257:$W$262,2),VLOOKUP($B664+IF($C664=12,1,0),Paraméterek!$I$258:$T$278,HLOOKUP($M$11+1,Paraméterek!$I$256:$T$257,2))),IF($D$4="Forint",0,2))</f>
        <v>#N/A</v>
      </c>
      <c r="Z664" s="32">
        <v>645</v>
      </c>
      <c r="AA664" s="32">
        <v>54</v>
      </c>
      <c r="AB664" s="32">
        <v>9</v>
      </c>
      <c r="AC664" s="13">
        <f t="shared" ca="1" si="236"/>
        <v>0</v>
      </c>
      <c r="AD664" s="33"/>
      <c r="AE664" s="13">
        <f t="shared" ca="1" si="228"/>
        <v>0</v>
      </c>
      <c r="AF664" s="13">
        <f ca="1">ROUNDUP(($AC664+$AE664)*VLOOKUP($AA664,Paraméterek!$P$38:$Q$38,2)/12*IF($D665="Nem",IF($M$13=0,1,$M$13),1),IF($D$4="Forint",0,2))</f>
        <v>0</v>
      </c>
      <c r="AG664" s="13">
        <f ca="1">IF($D$2="Egyszeri",IF($D$7&gt;=IF($D$4="Forint",Paraméterek!$P$223,Paraméterek!$P$224),$D$7-IF($D$4="Forint",Paraméterek!$P$223,Paraméterek!$P$224),0),MIN(IF($AB664=12,AVERAGEIF($E$20:$E664,"&gt;0",$E$20:$E664)*12,0),SUM($E$20:$E$31)))</f>
        <v>0</v>
      </c>
      <c r="AH664" s="13">
        <f>IF($AA664=10,$AG664*IF($AB664=12,IF($AG664&lt;IF($D$4="Forint",Paraméterek!$L$223,Paraméterek!$L$224),0,VLOOKUP($AA664,Paraméterek!$K$226:$M$228,IF($AG664&lt;IF($D$4="Forint",Paraméterek!$M$223,Paraméterek!$M$224),2,3))),0),0)</f>
        <v>0</v>
      </c>
      <c r="AI664" s="13">
        <f ca="1">IF(AND($AA664=$M$11+1,$AB664=$M$12+1),SUMIF($AA$20:$AA$1027,$AA664,$AG$20:$AG$1027)*IF(SUMIF($AA$20:$AA$1027,$AA664,$AG$20:$AG$1027)&lt;IF($D$4="Forint",Paraméterek!$L$223,Paraméterek!$L$224),0,VLOOKUP($AA664,Paraméterek!$K$230:$M$250,IF(SUMIF($AA$20:$AA$1027,$AA664,$AG$20:$AG$1027)&lt;IF($D$4="Forint",Paraméterek!$M$223,Paraméterek!$M$224),2,3))),0)</f>
        <v>0</v>
      </c>
      <c r="AJ664" s="13">
        <f ca="1">IF(AND($AA664&gt;=5,MOD($AA664,5)=0),IF($AB664=12,VLOOKUP($AA664,Paraméterek!$O$225:$P$240,2),0),IF(OR($AA664=3,$AA664=4),IF($AB664=12,VLOOKUP($AA664,Paraméterek!$O$225:$P$240,2,0),0),0))*$AG664</f>
        <v>0</v>
      </c>
      <c r="AK664" s="13">
        <f t="shared" ca="1" si="229"/>
        <v>0</v>
      </c>
      <c r="AL664" s="13">
        <f t="shared" ca="1" si="237"/>
        <v>0</v>
      </c>
      <c r="AM664" s="13">
        <f t="shared" ca="1" si="238"/>
        <v>0</v>
      </c>
      <c r="AO664" s="32">
        <v>645</v>
      </c>
      <c r="AP664" s="32">
        <v>54</v>
      </c>
      <c r="AQ664" s="32">
        <v>9</v>
      </c>
      <c r="AR664" s="13"/>
      <c r="AS664" s="32"/>
      <c r="AT664" s="13">
        <f t="shared" ca="1" si="239"/>
        <v>0</v>
      </c>
      <c r="AU664" s="33"/>
      <c r="AV664" s="13">
        <f t="shared" ca="1" si="230"/>
        <v>0</v>
      </c>
      <c r="AW664" s="13">
        <f ca="1">ROUNDUP(($AT664+$AV664)*VLOOKUP($AP664,Paraméterek!$P$38:$Q$38,2)/12*IF($D665="Nem",IF($M$13=0,1,$M$13),1),IF($D$4="Forint",0,2))</f>
        <v>0</v>
      </c>
      <c r="AX664" s="13"/>
      <c r="AY664" s="13"/>
      <c r="AZ664" s="13">
        <f>ROUNDUP(IF(SUM($AX664:$AY664)=0,0,IF(IF(ISBLANK($AY664),$AX664,$AY664)*Paraméterek!$J$112&lt;IF($D$4="Forint",Paraméterek!$J$113,Paraméterek!$K$113),IF($D$4="Forint",Paraméterek!$J$113,Paraméterek!$K$113),IF(IF(ISBLANK($AY664),$AX664,$AY664)*Paraméterek!$J$112&gt;IF($D$4="Forint",Paraméterek!$J$114,Paraméterek!$K$114),IF($D$4="Forint",Paraméterek!$J$114,Paraméterek!$K$114),IF(ISBLANK($AY664),$AX664,$AY664)*Paraméterek!$J$112))),IF($D$4="Forint",0,2))</f>
        <v>0</v>
      </c>
      <c r="BA664" s="13">
        <f ca="1">$AT664+$AV664-$AW664-IF(ROUNDDOWN(IF(ISBLANK($AY664),$AX664,$AY664),IF($D$4="Forint",0,2))&gt;$AT664+$AV664-$AW664-IF($D$4="Forint",Paraméterek!$J$114,Paraméterek!$K$114),0,ROUNDDOWN(IF(ISBLANK($AY664),$AX664,$AY664),IF($D$4="Forint",0,2))-$AZ664)</f>
        <v>0</v>
      </c>
      <c r="BB664" s="13">
        <f t="shared" ca="1" si="231"/>
        <v>0</v>
      </c>
      <c r="BD664" s="32">
        <v>645</v>
      </c>
      <c r="BE664" s="32">
        <v>54</v>
      </c>
      <c r="BF664" s="32">
        <v>9</v>
      </c>
      <c r="BG664" s="34">
        <f t="shared" ca="1" si="240"/>
        <v>2073</v>
      </c>
      <c r="BH664" s="32" t="str">
        <f ca="1">IF(MOD(MONTH($D$14)+$BD664-1,12)=Paraméterek!$C$288,"Igen","")</f>
        <v/>
      </c>
      <c r="BI664" s="13">
        <f ca="1">IF($BH664="Igen",MIN(ROUNDDOWN((SUMIF($BG$20:$BG$1027,$BG664-1,$K$20:$K$1027)-SUMIF($BG$20:$BG$1027,$BG664-1,$I$20:$I$1027))*Paraméterek!$C$289,IF($D$4="Forint",0,2)),IF($D$4="Forint",Paraméterek!$C$285,Paraméterek!$D$285)),0)</f>
        <v>0</v>
      </c>
      <c r="BJ664" s="13">
        <f t="shared" ca="1" si="232"/>
        <v>0</v>
      </c>
      <c r="BK664" s="13">
        <f t="shared" ca="1" si="241"/>
        <v>0</v>
      </c>
      <c r="BL664" s="33"/>
      <c r="BM664" s="13">
        <f t="shared" ca="1" si="233"/>
        <v>0</v>
      </c>
      <c r="BN664" s="13">
        <f ca="1">ROUNDUP(($BK664+$BM664)*VLOOKUP($BE664,Paraméterek!$P$38:$Q$38,2)/12*IF($D665="Nem",IF($M$13=0,1,$M$13),1),IF($D$4="Forint",0,2))</f>
        <v>0</v>
      </c>
      <c r="BO664" s="13">
        <f t="shared" ca="1" si="234"/>
        <v>0</v>
      </c>
      <c r="BP664" s="13">
        <f ca="1">IF($D665="Nem",$BO664,$BO664-ROUNDUP(SUM($BI$20:$BI664)*120%,IF($D$4="Forint",0,2)))</f>
        <v>0</v>
      </c>
    </row>
    <row r="665" spans="1:68" x14ac:dyDescent="0.2">
      <c r="A665" s="32">
        <v>646</v>
      </c>
      <c r="B665" s="32">
        <v>54</v>
      </c>
      <c r="C665" s="32">
        <v>10</v>
      </c>
      <c r="D665" s="32" t="str">
        <f t="shared" ca="1" si="220"/>
        <v>Nem</v>
      </c>
      <c r="E665" s="13">
        <f t="shared" ca="1" si="221"/>
        <v>0</v>
      </c>
      <c r="F665" s="13"/>
      <c r="G665" s="13"/>
      <c r="H665" s="13"/>
      <c r="I665" s="13">
        <f t="shared" ca="1" si="222"/>
        <v>0</v>
      </c>
      <c r="J665" s="13">
        <f t="shared" ca="1" si="223"/>
        <v>0</v>
      </c>
      <c r="K665" s="13">
        <f t="shared" ca="1" si="224"/>
        <v>0</v>
      </c>
      <c r="L665" s="13" t="e">
        <f ca="1">ROUNDUP(IF($D$2="Egyszeri",$E665,IF($D$2="Havi",SUM($E$20:$E$31),IF(MOD($C665,$M$1)-1=0,SUM($E$20:$E$31),0))/12*$M$1)*VLOOKUP($B665,Paraméterek!$I$28:$P$31,IF($D$2="Egyszeri",8,HLOOKUP(ROUNDUP($M$11+$M$13,0),Paraméterek!$J$26:$O$27,2))),IF($D$4="Forint",0,2))</f>
        <v>#N/A</v>
      </c>
      <c r="M665" s="13">
        <f t="shared" ca="1" si="225"/>
        <v>0</v>
      </c>
      <c r="N665" s="13">
        <f t="shared" ca="1" si="235"/>
        <v>0</v>
      </c>
      <c r="O665" s="13">
        <f ca="1">IF($D665="Igen",IF($W664&gt;=IF($D$4="Forint",Paraméterek!$J$121,Paraméterek!$K$121),0,IF($D$4="Forint",Paraméterek!$J$121,Paraméterek!$K$121)-$W664),0)</f>
        <v>0</v>
      </c>
      <c r="P665" s="13" t="e">
        <f ca="1">ROUNDUP($O665*VLOOKUP($M$4+$B665-1,Paraméterek!$H$58:$I$105,2,0)/Paraméterek!$I$56,IF($D$4="Forint",0,2))</f>
        <v>#N/A</v>
      </c>
      <c r="Q665" s="13">
        <f t="shared" ca="1" si="226"/>
        <v>0</v>
      </c>
      <c r="R665" s="33"/>
      <c r="S665" s="13" t="e">
        <f t="shared" ca="1" si="227"/>
        <v>#N/A</v>
      </c>
      <c r="T665" s="13" t="e">
        <f ca="1">ROUNDUP(($N665-$P665-$Q665+$S665)*VLOOKUP($B665,Paraméterek!$I$38:$K$39,IF($D$2="Egyszeri",3,2))/12*IF($D666="Nem",IF($M$13=0,1,$M$13),1),IF($D$4="Forint",0,2))</f>
        <v>#N/A</v>
      </c>
      <c r="U665" s="13"/>
      <c r="V665" s="13"/>
      <c r="W665" s="13" t="e">
        <f ca="1">$N665-$P665-$Q665+$S665-$T665-IF(ROUNDUP(IF(ISBLANK($V665),$U665*0,$V665)/IF($D$2="Egyszeri",VLOOKUP($B665+IF($C665=12,1,0),Paraméterek!$V$257:$W$262,2),IF($B665=1,1,VLOOKUP($B665+IF($C665=12,1,0),Paraméterek!$I$258:$T$278,HLOOKUP($M$11+1,Paraméterek!$J$256:$T$257,2)))),IF($D$4="Forint",0,2))&gt;$N665-$P665-$Q665+$S665-$T665-IF($D$4="Forint",Paraméterek!$C$216,Paraméterek!$D$216),0,ROUNDUP(IF(ISBLANK($V665),$U665*0,$V665)/IF($D$2="Egyszeri",VLOOKUP($B665+IF($C665=12,1,0),Paraméterek!$V$257:$W$262,2),IF($B665=1,1,VLOOKUP($B665+IF($C665=12,1,0),Paraméterek!$I$258:$T$278,HLOOKUP($M$11+1,Paraméterek!$J$256:$T$257,2)))),IF($D$4="Forint",0,2)))</f>
        <v>#N/A</v>
      </c>
      <c r="X665" s="13" t="e">
        <f ca="1">ROUNDDOWN($W665*IF($D$2="Egyszeri",VLOOKUP($B665+IF($C665=12,1,0),Paraméterek!$V$257:$W$262,2),VLOOKUP($B665+IF($C665=12,1,0),Paraméterek!$I$258:$T$278,HLOOKUP($M$11+1,Paraméterek!$I$256:$T$257,2))),IF($D$4="Forint",0,2))</f>
        <v>#N/A</v>
      </c>
      <c r="Z665" s="32">
        <v>646</v>
      </c>
      <c r="AA665" s="32">
        <v>54</v>
      </c>
      <c r="AB665" s="32">
        <v>10</v>
      </c>
      <c r="AC665" s="13">
        <f t="shared" ca="1" si="236"/>
        <v>0</v>
      </c>
      <c r="AD665" s="33"/>
      <c r="AE665" s="13">
        <f t="shared" ca="1" si="228"/>
        <v>0</v>
      </c>
      <c r="AF665" s="13">
        <f ca="1">ROUNDUP(($AC665+$AE665)*VLOOKUP($AA665,Paraméterek!$P$38:$Q$38,2)/12*IF($D666="Nem",IF($M$13=0,1,$M$13),1),IF($D$4="Forint",0,2))</f>
        <v>0</v>
      </c>
      <c r="AG665" s="13">
        <f ca="1">IF($D$2="Egyszeri",IF($D$7&gt;=IF($D$4="Forint",Paraméterek!$P$223,Paraméterek!$P$224),$D$7-IF($D$4="Forint",Paraméterek!$P$223,Paraméterek!$P$224),0),MIN(IF($AB665=12,AVERAGEIF($E$20:$E665,"&gt;0",$E$20:$E665)*12,0),SUM($E$20:$E$31)))</f>
        <v>0</v>
      </c>
      <c r="AH665" s="13">
        <f>IF($AA665=10,$AG665*IF($AB665=12,IF($AG665&lt;IF($D$4="Forint",Paraméterek!$L$223,Paraméterek!$L$224),0,VLOOKUP($AA665,Paraméterek!$K$226:$M$228,IF($AG665&lt;IF($D$4="Forint",Paraméterek!$M$223,Paraméterek!$M$224),2,3))),0),0)</f>
        <v>0</v>
      </c>
      <c r="AI665" s="13">
        <f ca="1">IF(AND($AA665=$M$11+1,$AB665=$M$12+1),SUMIF($AA$20:$AA$1027,$AA665,$AG$20:$AG$1027)*IF(SUMIF($AA$20:$AA$1027,$AA665,$AG$20:$AG$1027)&lt;IF($D$4="Forint",Paraméterek!$L$223,Paraméterek!$L$224),0,VLOOKUP($AA665,Paraméterek!$K$230:$M$250,IF(SUMIF($AA$20:$AA$1027,$AA665,$AG$20:$AG$1027)&lt;IF($D$4="Forint",Paraméterek!$M$223,Paraméterek!$M$224),2,3))),0)</f>
        <v>0</v>
      </c>
      <c r="AJ665" s="13">
        <f ca="1">IF(AND($AA665&gt;=5,MOD($AA665,5)=0),IF($AB665=12,VLOOKUP($AA665,Paraméterek!$O$225:$P$240,2),0),IF(OR($AA665=3,$AA665=4),IF($AB665=12,VLOOKUP($AA665,Paraméterek!$O$225:$P$240,2,0),0),0))*$AG665</f>
        <v>0</v>
      </c>
      <c r="AK665" s="13">
        <f t="shared" ca="1" si="229"/>
        <v>0</v>
      </c>
      <c r="AL665" s="13">
        <f t="shared" ca="1" si="237"/>
        <v>0</v>
      </c>
      <c r="AM665" s="13">
        <f t="shared" ca="1" si="238"/>
        <v>0</v>
      </c>
      <c r="AO665" s="32">
        <v>646</v>
      </c>
      <c r="AP665" s="32">
        <v>54</v>
      </c>
      <c r="AQ665" s="32">
        <v>10</v>
      </c>
      <c r="AR665" s="13"/>
      <c r="AS665" s="32"/>
      <c r="AT665" s="13">
        <f t="shared" ca="1" si="239"/>
        <v>0</v>
      </c>
      <c r="AU665" s="33"/>
      <c r="AV665" s="13">
        <f t="shared" ca="1" si="230"/>
        <v>0</v>
      </c>
      <c r="AW665" s="13">
        <f ca="1">ROUNDUP(($AT665+$AV665)*VLOOKUP($AP665,Paraméterek!$P$38:$Q$38,2)/12*IF($D666="Nem",IF($M$13=0,1,$M$13),1),IF($D$4="Forint",0,2))</f>
        <v>0</v>
      </c>
      <c r="AX665" s="13"/>
      <c r="AY665" s="13"/>
      <c r="AZ665" s="13">
        <f>ROUNDUP(IF(SUM($AX665:$AY665)=0,0,IF(IF(ISBLANK($AY665),$AX665,$AY665)*Paraméterek!$J$112&lt;IF($D$4="Forint",Paraméterek!$J$113,Paraméterek!$K$113),IF($D$4="Forint",Paraméterek!$J$113,Paraméterek!$K$113),IF(IF(ISBLANK($AY665),$AX665,$AY665)*Paraméterek!$J$112&gt;IF($D$4="Forint",Paraméterek!$J$114,Paraméterek!$K$114),IF($D$4="Forint",Paraméterek!$J$114,Paraméterek!$K$114),IF(ISBLANK($AY665),$AX665,$AY665)*Paraméterek!$J$112))),IF($D$4="Forint",0,2))</f>
        <v>0</v>
      </c>
      <c r="BA665" s="13">
        <f ca="1">$AT665+$AV665-$AW665-IF(ROUNDDOWN(IF(ISBLANK($AY665),$AX665,$AY665),IF($D$4="Forint",0,2))&gt;$AT665+$AV665-$AW665-IF($D$4="Forint",Paraméterek!$J$114,Paraméterek!$K$114),0,ROUNDDOWN(IF(ISBLANK($AY665),$AX665,$AY665),IF($D$4="Forint",0,2))-$AZ665)</f>
        <v>0</v>
      </c>
      <c r="BB665" s="13">
        <f t="shared" ca="1" si="231"/>
        <v>0</v>
      </c>
      <c r="BD665" s="32">
        <v>646</v>
      </c>
      <c r="BE665" s="32">
        <v>54</v>
      </c>
      <c r="BF665" s="32">
        <v>10</v>
      </c>
      <c r="BG665" s="34">
        <f t="shared" ca="1" si="240"/>
        <v>2073</v>
      </c>
      <c r="BH665" s="32" t="str">
        <f ca="1">IF(MOD(MONTH($D$14)+$BD665-1,12)=Paraméterek!$C$288,"Igen","")</f>
        <v/>
      </c>
      <c r="BI665" s="13">
        <f ca="1">IF($BH665="Igen",MIN(ROUNDDOWN((SUMIF($BG$20:$BG$1027,$BG665-1,$K$20:$K$1027)-SUMIF($BG$20:$BG$1027,$BG665-1,$I$20:$I$1027))*Paraméterek!$C$289,IF($D$4="Forint",0,2)),IF($D$4="Forint",Paraméterek!$C$285,Paraméterek!$D$285)),0)</f>
        <v>0</v>
      </c>
      <c r="BJ665" s="13">
        <f t="shared" ca="1" si="232"/>
        <v>0</v>
      </c>
      <c r="BK665" s="13">
        <f t="shared" ca="1" si="241"/>
        <v>0</v>
      </c>
      <c r="BL665" s="33"/>
      <c r="BM665" s="13">
        <f t="shared" ca="1" si="233"/>
        <v>0</v>
      </c>
      <c r="BN665" s="13">
        <f ca="1">ROUNDUP(($BK665+$BM665)*VLOOKUP($BE665,Paraméterek!$P$38:$Q$38,2)/12*IF($D666="Nem",IF($M$13=0,1,$M$13),1),IF($D$4="Forint",0,2))</f>
        <v>0</v>
      </c>
      <c r="BO665" s="13">
        <f t="shared" ca="1" si="234"/>
        <v>0</v>
      </c>
      <c r="BP665" s="13">
        <f ca="1">IF($D666="Nem",$BO665,$BO665-ROUNDUP(SUM($BI$20:$BI665)*120%,IF($D$4="Forint",0,2)))</f>
        <v>0</v>
      </c>
    </row>
    <row r="666" spans="1:68" x14ac:dyDescent="0.2">
      <c r="A666" s="32">
        <v>647</v>
      </c>
      <c r="B666" s="32">
        <v>54</v>
      </c>
      <c r="C666" s="32">
        <v>11</v>
      </c>
      <c r="D666" s="32" t="str">
        <f t="shared" ca="1" si="220"/>
        <v>Nem</v>
      </c>
      <c r="E666" s="13">
        <f t="shared" ca="1" si="221"/>
        <v>0</v>
      </c>
      <c r="F666" s="13"/>
      <c r="G666" s="13"/>
      <c r="H666" s="13"/>
      <c r="I666" s="13">
        <f t="shared" ca="1" si="222"/>
        <v>0</v>
      </c>
      <c r="J666" s="13">
        <f t="shared" ca="1" si="223"/>
        <v>0</v>
      </c>
      <c r="K666" s="13">
        <f t="shared" ca="1" si="224"/>
        <v>0</v>
      </c>
      <c r="L666" s="13" t="e">
        <f ca="1">ROUNDUP(IF($D$2="Egyszeri",$E666,IF($D$2="Havi",SUM($E$20:$E$31),IF(MOD($C666,$M$1)-1=0,SUM($E$20:$E$31),0))/12*$M$1)*VLOOKUP($B666,Paraméterek!$I$28:$P$31,IF($D$2="Egyszeri",8,HLOOKUP(ROUNDUP($M$11+$M$13,0),Paraméterek!$J$26:$O$27,2))),IF($D$4="Forint",0,2))</f>
        <v>#N/A</v>
      </c>
      <c r="M666" s="13">
        <f t="shared" ca="1" si="225"/>
        <v>0</v>
      </c>
      <c r="N666" s="13">
        <f t="shared" ca="1" si="235"/>
        <v>0</v>
      </c>
      <c r="O666" s="13">
        <f ca="1">IF($D666="Igen",IF($W665&gt;=IF($D$4="Forint",Paraméterek!$J$121,Paraméterek!$K$121),0,IF($D$4="Forint",Paraméterek!$J$121,Paraméterek!$K$121)-$W665),0)</f>
        <v>0</v>
      </c>
      <c r="P666" s="13" t="e">
        <f ca="1">ROUNDUP($O666*VLOOKUP($M$4+$B666-1,Paraméterek!$H$58:$I$105,2,0)/Paraméterek!$I$56,IF($D$4="Forint",0,2))</f>
        <v>#N/A</v>
      </c>
      <c r="Q666" s="13">
        <f t="shared" ca="1" si="226"/>
        <v>0</v>
      </c>
      <c r="R666" s="33"/>
      <c r="S666" s="13" t="e">
        <f t="shared" ca="1" si="227"/>
        <v>#N/A</v>
      </c>
      <c r="T666" s="13" t="e">
        <f ca="1">ROUNDUP(($N666-$P666-$Q666+$S666)*VLOOKUP($B666,Paraméterek!$I$38:$K$39,IF($D$2="Egyszeri",3,2))/12*IF($D667="Nem",IF($M$13=0,1,$M$13),1),IF($D$4="Forint",0,2))</f>
        <v>#N/A</v>
      </c>
      <c r="U666" s="13"/>
      <c r="V666" s="13"/>
      <c r="W666" s="13" t="e">
        <f ca="1">$N666-$P666-$Q666+$S666-$T666-IF(ROUNDUP(IF(ISBLANK($V666),$U666*0,$V666)/IF($D$2="Egyszeri",VLOOKUP($B666+IF($C666=12,1,0),Paraméterek!$V$257:$W$262,2),IF($B666=1,1,VLOOKUP($B666+IF($C666=12,1,0),Paraméterek!$I$258:$T$278,HLOOKUP($M$11+1,Paraméterek!$J$256:$T$257,2)))),IF($D$4="Forint",0,2))&gt;$N666-$P666-$Q666+$S666-$T666-IF($D$4="Forint",Paraméterek!$C$216,Paraméterek!$D$216),0,ROUNDUP(IF(ISBLANK($V666),$U666*0,$V666)/IF($D$2="Egyszeri",VLOOKUP($B666+IF($C666=12,1,0),Paraméterek!$V$257:$W$262,2),IF($B666=1,1,VLOOKUP($B666+IF($C666=12,1,0),Paraméterek!$I$258:$T$278,HLOOKUP($M$11+1,Paraméterek!$J$256:$T$257,2)))),IF($D$4="Forint",0,2)))</f>
        <v>#N/A</v>
      </c>
      <c r="X666" s="13" t="e">
        <f ca="1">ROUNDDOWN($W666*IF($D$2="Egyszeri",VLOOKUP($B666+IF($C666=12,1,0),Paraméterek!$V$257:$W$262,2),VLOOKUP($B666+IF($C666=12,1,0),Paraméterek!$I$258:$T$278,HLOOKUP($M$11+1,Paraméterek!$I$256:$T$257,2))),IF($D$4="Forint",0,2))</f>
        <v>#N/A</v>
      </c>
      <c r="Z666" s="32">
        <v>647</v>
      </c>
      <c r="AA666" s="32">
        <v>54</v>
      </c>
      <c r="AB666" s="32">
        <v>11</v>
      </c>
      <c r="AC666" s="13">
        <f t="shared" ca="1" si="236"/>
        <v>0</v>
      </c>
      <c r="AD666" s="33"/>
      <c r="AE666" s="13">
        <f t="shared" ca="1" si="228"/>
        <v>0</v>
      </c>
      <c r="AF666" s="13">
        <f ca="1">ROUNDUP(($AC666+$AE666)*VLOOKUP($AA666,Paraméterek!$P$38:$Q$38,2)/12*IF($D667="Nem",IF($M$13=0,1,$M$13),1),IF($D$4="Forint",0,2))</f>
        <v>0</v>
      </c>
      <c r="AG666" s="13">
        <f ca="1">IF($D$2="Egyszeri",IF($D$7&gt;=IF($D$4="Forint",Paraméterek!$P$223,Paraméterek!$P$224),$D$7-IF($D$4="Forint",Paraméterek!$P$223,Paraméterek!$P$224),0),MIN(IF($AB666=12,AVERAGEIF($E$20:$E666,"&gt;0",$E$20:$E666)*12,0),SUM($E$20:$E$31)))</f>
        <v>0</v>
      </c>
      <c r="AH666" s="13">
        <f>IF($AA666=10,$AG666*IF($AB666=12,IF($AG666&lt;IF($D$4="Forint",Paraméterek!$L$223,Paraméterek!$L$224),0,VLOOKUP($AA666,Paraméterek!$K$226:$M$228,IF($AG666&lt;IF($D$4="Forint",Paraméterek!$M$223,Paraméterek!$M$224),2,3))),0),0)</f>
        <v>0</v>
      </c>
      <c r="AI666" s="13">
        <f ca="1">IF(AND($AA666=$M$11+1,$AB666=$M$12+1),SUMIF($AA$20:$AA$1027,$AA666,$AG$20:$AG$1027)*IF(SUMIF($AA$20:$AA$1027,$AA666,$AG$20:$AG$1027)&lt;IF($D$4="Forint",Paraméterek!$L$223,Paraméterek!$L$224),0,VLOOKUP($AA666,Paraméterek!$K$230:$M$250,IF(SUMIF($AA$20:$AA$1027,$AA666,$AG$20:$AG$1027)&lt;IF($D$4="Forint",Paraméterek!$M$223,Paraméterek!$M$224),2,3))),0)</f>
        <v>0</v>
      </c>
      <c r="AJ666" s="13">
        <f ca="1">IF(AND($AA666&gt;=5,MOD($AA666,5)=0),IF($AB666=12,VLOOKUP($AA666,Paraméterek!$O$225:$P$240,2),0),IF(OR($AA666=3,$AA666=4),IF($AB666=12,VLOOKUP($AA666,Paraméterek!$O$225:$P$240,2,0),0),0))*$AG666</f>
        <v>0</v>
      </c>
      <c r="AK666" s="13">
        <f t="shared" ca="1" si="229"/>
        <v>0</v>
      </c>
      <c r="AL666" s="13">
        <f t="shared" ca="1" si="237"/>
        <v>0</v>
      </c>
      <c r="AM666" s="13">
        <f t="shared" ca="1" si="238"/>
        <v>0</v>
      </c>
      <c r="AO666" s="32">
        <v>647</v>
      </c>
      <c r="AP666" s="32">
        <v>54</v>
      </c>
      <c r="AQ666" s="32">
        <v>11</v>
      </c>
      <c r="AR666" s="13"/>
      <c r="AS666" s="32"/>
      <c r="AT666" s="13">
        <f t="shared" ca="1" si="239"/>
        <v>0</v>
      </c>
      <c r="AU666" s="33"/>
      <c r="AV666" s="13">
        <f t="shared" ca="1" si="230"/>
        <v>0</v>
      </c>
      <c r="AW666" s="13">
        <f ca="1">ROUNDUP(($AT666+$AV666)*VLOOKUP($AP666,Paraméterek!$P$38:$Q$38,2)/12*IF($D667="Nem",IF($M$13=0,1,$M$13),1),IF($D$4="Forint",0,2))</f>
        <v>0</v>
      </c>
      <c r="AX666" s="13"/>
      <c r="AY666" s="13"/>
      <c r="AZ666" s="13">
        <f>ROUNDUP(IF(SUM($AX666:$AY666)=0,0,IF(IF(ISBLANK($AY666),$AX666,$AY666)*Paraméterek!$J$112&lt;IF($D$4="Forint",Paraméterek!$J$113,Paraméterek!$K$113),IF($D$4="Forint",Paraméterek!$J$113,Paraméterek!$K$113),IF(IF(ISBLANK($AY666),$AX666,$AY666)*Paraméterek!$J$112&gt;IF($D$4="Forint",Paraméterek!$J$114,Paraméterek!$K$114),IF($D$4="Forint",Paraméterek!$J$114,Paraméterek!$K$114),IF(ISBLANK($AY666),$AX666,$AY666)*Paraméterek!$J$112))),IF($D$4="Forint",0,2))</f>
        <v>0</v>
      </c>
      <c r="BA666" s="13">
        <f ca="1">$AT666+$AV666-$AW666-IF(ROUNDDOWN(IF(ISBLANK($AY666),$AX666,$AY666),IF($D$4="Forint",0,2))&gt;$AT666+$AV666-$AW666-IF($D$4="Forint",Paraméterek!$J$114,Paraméterek!$K$114),0,ROUNDDOWN(IF(ISBLANK($AY666),$AX666,$AY666),IF($D$4="Forint",0,2))-$AZ666)</f>
        <v>0</v>
      </c>
      <c r="BB666" s="13">
        <f t="shared" ca="1" si="231"/>
        <v>0</v>
      </c>
      <c r="BD666" s="32">
        <v>647</v>
      </c>
      <c r="BE666" s="32">
        <v>54</v>
      </c>
      <c r="BF666" s="32">
        <v>11</v>
      </c>
      <c r="BG666" s="34">
        <f t="shared" ca="1" si="240"/>
        <v>2073</v>
      </c>
      <c r="BH666" s="32" t="str">
        <f ca="1">IF(MOD(MONTH($D$14)+$BD666-1,12)=Paraméterek!$C$288,"Igen","")</f>
        <v/>
      </c>
      <c r="BI666" s="13">
        <f ca="1">IF($BH666="Igen",MIN(ROUNDDOWN((SUMIF($BG$20:$BG$1027,$BG666-1,$K$20:$K$1027)-SUMIF($BG$20:$BG$1027,$BG666-1,$I$20:$I$1027))*Paraméterek!$C$289,IF($D$4="Forint",0,2)),IF($D$4="Forint",Paraméterek!$C$285,Paraméterek!$D$285)),0)</f>
        <v>0</v>
      </c>
      <c r="BJ666" s="13">
        <f t="shared" ca="1" si="232"/>
        <v>0</v>
      </c>
      <c r="BK666" s="13">
        <f t="shared" ca="1" si="241"/>
        <v>0</v>
      </c>
      <c r="BL666" s="33"/>
      <c r="BM666" s="13">
        <f t="shared" ca="1" si="233"/>
        <v>0</v>
      </c>
      <c r="BN666" s="13">
        <f ca="1">ROUNDUP(($BK666+$BM666)*VLOOKUP($BE666,Paraméterek!$P$38:$Q$38,2)/12*IF($D667="Nem",IF($M$13=0,1,$M$13),1),IF($D$4="Forint",0,2))</f>
        <v>0</v>
      </c>
      <c r="BO666" s="13">
        <f t="shared" ca="1" si="234"/>
        <v>0</v>
      </c>
      <c r="BP666" s="13">
        <f ca="1">IF($D667="Nem",$BO666,$BO666-ROUNDUP(SUM($BI$20:$BI666)*120%,IF($D$4="Forint",0,2)))</f>
        <v>0</v>
      </c>
    </row>
    <row r="667" spans="1:68" x14ac:dyDescent="0.2">
      <c r="A667" s="32">
        <v>648</v>
      </c>
      <c r="B667" s="32">
        <v>54</v>
      </c>
      <c r="C667" s="32">
        <v>12</v>
      </c>
      <c r="D667" s="32" t="str">
        <f t="shared" ca="1" si="220"/>
        <v>Nem</v>
      </c>
      <c r="E667" s="13">
        <f t="shared" ca="1" si="221"/>
        <v>0</v>
      </c>
      <c r="F667" s="13"/>
      <c r="G667" s="13"/>
      <c r="H667" s="13"/>
      <c r="I667" s="13">
        <f t="shared" ca="1" si="222"/>
        <v>0</v>
      </c>
      <c r="J667" s="13">
        <f t="shared" ca="1" si="223"/>
        <v>0</v>
      </c>
      <c r="K667" s="13">
        <f t="shared" ca="1" si="224"/>
        <v>0</v>
      </c>
      <c r="L667" s="13" t="e">
        <f ca="1">ROUNDUP(IF($D$2="Egyszeri",$E667,IF($D$2="Havi",SUM($E$20:$E$31),IF(MOD($C667,$M$1)-1=0,SUM($E$20:$E$31),0))/12*$M$1)*VLOOKUP($B667,Paraméterek!$I$28:$P$31,IF($D$2="Egyszeri",8,HLOOKUP(ROUNDUP($M$11+$M$13,0),Paraméterek!$J$26:$O$27,2))),IF($D$4="Forint",0,2))</f>
        <v>#N/A</v>
      </c>
      <c r="M667" s="13">
        <f t="shared" ca="1" si="225"/>
        <v>0</v>
      </c>
      <c r="N667" s="13">
        <f t="shared" ca="1" si="235"/>
        <v>0</v>
      </c>
      <c r="O667" s="13">
        <f ca="1">IF($D667="Igen",IF($W666&gt;=IF($D$4="Forint",Paraméterek!$J$121,Paraméterek!$K$121),0,IF($D$4="Forint",Paraméterek!$J$121,Paraméterek!$K$121)-$W666),0)</f>
        <v>0</v>
      </c>
      <c r="P667" s="13" t="e">
        <f ca="1">ROUNDUP($O667*VLOOKUP($M$4+$B667-1,Paraméterek!$H$58:$I$105,2,0)/Paraméterek!$I$56,IF($D$4="Forint",0,2))</f>
        <v>#N/A</v>
      </c>
      <c r="Q667" s="13">
        <f t="shared" ca="1" si="226"/>
        <v>0</v>
      </c>
      <c r="R667" s="33"/>
      <c r="S667" s="13" t="e">
        <f t="shared" ca="1" si="227"/>
        <v>#N/A</v>
      </c>
      <c r="T667" s="13" t="e">
        <f ca="1">ROUNDUP(($N667-$P667-$Q667+$S667)*VLOOKUP($B667,Paraméterek!$I$38:$K$39,IF($D$2="Egyszeri",3,2))/12*IF($D668="Nem",IF($M$13=0,1,$M$13),1),IF($D$4="Forint",0,2))</f>
        <v>#N/A</v>
      </c>
      <c r="U667" s="13">
        <f>Tranzakciók!$F$85</f>
        <v>0</v>
      </c>
      <c r="V667" s="13"/>
      <c r="W667" s="13" t="e">
        <f ca="1">$N667-$P667-$Q667+$S667-$T667-IF(ROUNDUP(IF(ISBLANK($V667),$U667*0,$V667)/IF($D$2="Egyszeri",VLOOKUP($B667+IF($C667=12,1,0),Paraméterek!$V$257:$W$262,2),IF($B667=1,1,VLOOKUP($B667+IF($C667=12,1,0),Paraméterek!$I$258:$T$278,HLOOKUP($M$11+1,Paraméterek!$J$256:$T$257,2)))),IF($D$4="Forint",0,2))&gt;$N667-$P667-$Q667+$S667-$T667-IF($D$4="Forint",Paraméterek!$C$216,Paraméterek!$D$216),0,ROUNDUP(IF(ISBLANK($V667),$U667*0,$V667)/IF($D$2="Egyszeri",VLOOKUP($B667+IF($C667=12,1,0),Paraméterek!$V$257:$W$262,2),IF($B667=1,1,VLOOKUP($B667+IF($C667=12,1,0),Paraméterek!$I$258:$T$278,HLOOKUP($M$11+1,Paraméterek!$J$256:$T$257,2)))),IF($D$4="Forint",0,2)))</f>
        <v>#N/A</v>
      </c>
      <c r="X667" s="13" t="e">
        <f ca="1">ROUNDDOWN($W667*IF($D$2="Egyszeri",VLOOKUP($B667+IF($C667=12,1,0),Paraméterek!$V$257:$W$262,2),VLOOKUP($B667+IF($C667=12,1,0),Paraméterek!$I$258:$T$278,HLOOKUP($M$11+1,Paraméterek!$I$256:$T$257,2))),IF($D$4="Forint",0,2))</f>
        <v>#N/A</v>
      </c>
      <c r="Z667" s="32">
        <v>648</v>
      </c>
      <c r="AA667" s="32">
        <v>54</v>
      </c>
      <c r="AB667" s="32">
        <v>12</v>
      </c>
      <c r="AC667" s="13">
        <f t="shared" ca="1" si="236"/>
        <v>0</v>
      </c>
      <c r="AD667" s="33"/>
      <c r="AE667" s="13">
        <f t="shared" ca="1" si="228"/>
        <v>0</v>
      </c>
      <c r="AF667" s="13">
        <f ca="1">ROUNDUP(($AC667+$AE667)*VLOOKUP($AA667,Paraméterek!$P$38:$Q$38,2)/12*IF($D668="Nem",IF($M$13=0,1,$M$13),1),IF($D$4="Forint",0,2))</f>
        <v>0</v>
      </c>
      <c r="AG667" s="13" t="e">
        <f ca="1">IF($D$2="Egyszeri",IF($D$7&gt;=IF($D$4="Forint",Paraméterek!$P$223,Paraméterek!$P$224),$D$7-IF($D$4="Forint",Paraméterek!$P$223,Paraméterek!$P$224),0),MIN(IF($AB667=12,AVERAGEIF($E$20:$E667,"&gt;0",$E$20:$E667)*12,0),SUM($E$20:$E$31)))</f>
        <v>#DIV/0!</v>
      </c>
      <c r="AH667" s="13">
        <f>IF($AA667=10,$AG667*IF($AB667=12,IF($AG667&lt;IF($D$4="Forint",Paraméterek!$L$223,Paraméterek!$L$224),0,VLOOKUP($AA667,Paraméterek!$K$226:$M$228,IF($AG667&lt;IF($D$4="Forint",Paraméterek!$M$223,Paraméterek!$M$224),2,3))),0),0)</f>
        <v>0</v>
      </c>
      <c r="AI667" s="13">
        <f ca="1">IF(AND($AA667=$M$11+1,$AB667=$M$12+1),SUMIF($AA$20:$AA$1027,$AA667,$AG$20:$AG$1027)*IF(SUMIF($AA$20:$AA$1027,$AA667,$AG$20:$AG$1027)&lt;IF($D$4="Forint",Paraméterek!$L$223,Paraméterek!$L$224),0,VLOOKUP($AA667,Paraméterek!$K$230:$M$250,IF(SUMIF($AA$20:$AA$1027,$AA667,$AG$20:$AG$1027)&lt;IF($D$4="Forint",Paraméterek!$M$223,Paraméterek!$M$224),2,3))),0)</f>
        <v>0</v>
      </c>
      <c r="AJ667" s="13" t="e">
        <f ca="1">IF(AND($AA667&gt;=5,MOD($AA667,5)=0),IF($AB667=12,VLOOKUP($AA667,Paraméterek!$O$225:$P$240,2),0),IF(OR($AA667=3,$AA667=4),IF($AB667=12,VLOOKUP($AA667,Paraméterek!$O$225:$P$240,2,0),0),0))*$AG667</f>
        <v>#DIV/0!</v>
      </c>
      <c r="AK667" s="13">
        <f t="shared" ca="1" si="229"/>
        <v>0</v>
      </c>
      <c r="AL667" s="13">
        <f t="shared" ca="1" si="237"/>
        <v>0</v>
      </c>
      <c r="AM667" s="13">
        <f t="shared" ca="1" si="238"/>
        <v>0</v>
      </c>
      <c r="AO667" s="32">
        <v>648</v>
      </c>
      <c r="AP667" s="32">
        <v>54</v>
      </c>
      <c r="AQ667" s="32">
        <v>12</v>
      </c>
      <c r="AR667" s="13"/>
      <c r="AS667" s="32"/>
      <c r="AT667" s="13">
        <f t="shared" ca="1" si="239"/>
        <v>0</v>
      </c>
      <c r="AU667" s="33"/>
      <c r="AV667" s="13">
        <f t="shared" ca="1" si="230"/>
        <v>0</v>
      </c>
      <c r="AW667" s="13">
        <f ca="1">ROUNDUP(($AT667+$AV667)*VLOOKUP($AP667,Paraméterek!$P$38:$Q$38,2)/12*IF($D668="Nem",IF($M$13=0,1,$M$13),1),IF($D$4="Forint",0,2))</f>
        <v>0</v>
      </c>
      <c r="AX667" s="13">
        <f>Tranzakciók!$M$85</f>
        <v>0</v>
      </c>
      <c r="AY667" s="13"/>
      <c r="AZ667" s="13">
        <f>ROUNDUP(IF(SUM($AX667:$AY667)=0,0,IF(IF(ISBLANK($AY667),$AX667,$AY667)*Paraméterek!$J$112&lt;IF($D$4="Forint",Paraméterek!$J$113,Paraméterek!$K$113),IF($D$4="Forint",Paraméterek!$J$113,Paraméterek!$K$113),IF(IF(ISBLANK($AY667),$AX667,$AY667)*Paraméterek!$J$112&gt;IF($D$4="Forint",Paraméterek!$J$114,Paraméterek!$K$114),IF($D$4="Forint",Paraméterek!$J$114,Paraméterek!$K$114),IF(ISBLANK($AY667),$AX667,$AY667)*Paraméterek!$J$112))),IF($D$4="Forint",0,2))</f>
        <v>0</v>
      </c>
      <c r="BA667" s="13">
        <f ca="1">$AT667+$AV667-$AW667-IF(ROUNDDOWN(IF(ISBLANK($AY667),$AX667,$AY667),IF($D$4="Forint",0,2))&gt;$AT667+$AV667-$AW667-IF($D$4="Forint",Paraméterek!$J$114,Paraméterek!$K$114),0,ROUNDDOWN(IF(ISBLANK($AY667),$AX667,$AY667),IF($D$4="Forint",0,2))-$AZ667)</f>
        <v>0</v>
      </c>
      <c r="BB667" s="13">
        <f t="shared" ca="1" si="231"/>
        <v>0</v>
      </c>
      <c r="BD667" s="32">
        <v>648</v>
      </c>
      <c r="BE667" s="32">
        <v>54</v>
      </c>
      <c r="BF667" s="32">
        <v>12</v>
      </c>
      <c r="BG667" s="34">
        <f t="shared" ca="1" si="240"/>
        <v>2073</v>
      </c>
      <c r="BH667" s="32" t="str">
        <f ca="1">IF(MOD(MONTH($D$14)+$BD667-1,12)=Paraméterek!$C$288,"Igen","")</f>
        <v/>
      </c>
      <c r="BI667" s="13">
        <f ca="1">IF($BH667="Igen",MIN(ROUNDDOWN((SUMIF($BG$20:$BG$1027,$BG667-1,$K$20:$K$1027)-SUMIF($BG$20:$BG$1027,$BG667-1,$I$20:$I$1027))*Paraméterek!$C$289,IF($D$4="Forint",0,2)),IF($D$4="Forint",Paraméterek!$C$285,Paraméterek!$D$285)),0)</f>
        <v>0</v>
      </c>
      <c r="BJ667" s="13">
        <f t="shared" ca="1" si="232"/>
        <v>0</v>
      </c>
      <c r="BK667" s="13">
        <f t="shared" ca="1" si="241"/>
        <v>0</v>
      </c>
      <c r="BL667" s="33"/>
      <c r="BM667" s="13">
        <f t="shared" ca="1" si="233"/>
        <v>0</v>
      </c>
      <c r="BN667" s="13">
        <f ca="1">ROUNDUP(($BK667+$BM667)*VLOOKUP($BE667,Paraméterek!$P$38:$Q$38,2)/12*IF($D668="Nem",IF($M$13=0,1,$M$13),1),IF($D$4="Forint",0,2))</f>
        <v>0</v>
      </c>
      <c r="BO667" s="13">
        <f t="shared" ca="1" si="234"/>
        <v>0</v>
      </c>
      <c r="BP667" s="13">
        <f ca="1">IF($D668="Nem",$BO667,$BO667-ROUNDUP(SUM($BI$20:$BI667)*120%,IF($D$4="Forint",0,2)))</f>
        <v>0</v>
      </c>
    </row>
    <row r="668" spans="1:68" x14ac:dyDescent="0.2">
      <c r="A668" s="32">
        <v>649</v>
      </c>
      <c r="B668" s="32">
        <v>55</v>
      </c>
      <c r="C668" s="32">
        <v>1</v>
      </c>
      <c r="D668" s="32" t="str">
        <f t="shared" ca="1" si="220"/>
        <v>Nem</v>
      </c>
      <c r="E668" s="13">
        <f t="shared" ca="1" si="221"/>
        <v>0</v>
      </c>
      <c r="F668" s="13"/>
      <c r="G668" s="13">
        <f>Tranzakciók!$D$86</f>
        <v>0</v>
      </c>
      <c r="H668" s="13"/>
      <c r="I668" s="13">
        <f t="shared" ca="1" si="222"/>
        <v>0</v>
      </c>
      <c r="J668" s="13">
        <f t="shared" ca="1" si="223"/>
        <v>0</v>
      </c>
      <c r="K668" s="13">
        <f t="shared" ca="1" si="224"/>
        <v>0</v>
      </c>
      <c r="L668" s="13" t="e">
        <f ca="1">ROUNDUP(IF($D$2="Egyszeri",$E668,IF($D$2="Havi",SUM($E$20:$E$31),IF(MOD($C668,$M$1)-1=0,SUM($E$20:$E$31),0))/12*$M$1)*VLOOKUP($B668,Paraméterek!$I$28:$P$31,IF($D$2="Egyszeri",8,HLOOKUP(ROUNDUP($M$11+$M$13,0),Paraméterek!$J$26:$O$27,2))),IF($D$4="Forint",0,2))</f>
        <v>#N/A</v>
      </c>
      <c r="M668" s="13">
        <f t="shared" ca="1" si="225"/>
        <v>0</v>
      </c>
      <c r="N668" s="13">
        <f t="shared" ca="1" si="235"/>
        <v>0</v>
      </c>
      <c r="O668" s="13">
        <f ca="1">IF($D668="Igen",IF($W667&gt;=IF($D$4="Forint",Paraméterek!$J$121,Paraméterek!$K$121),0,IF($D$4="Forint",Paraméterek!$J$121,Paraméterek!$K$121)-$W667),0)</f>
        <v>0</v>
      </c>
      <c r="P668" s="13" t="e">
        <f ca="1">ROUNDUP($O668*VLOOKUP($M$4+$B668-1,Paraméterek!$H$58:$I$105,2,0)/Paraméterek!$I$56,IF($D$4="Forint",0,2))</f>
        <v>#N/A</v>
      </c>
      <c r="Q668" s="13">
        <f t="shared" ca="1" si="226"/>
        <v>0</v>
      </c>
      <c r="R668" s="33"/>
      <c r="S668" s="13" t="e">
        <f t="shared" ca="1" si="227"/>
        <v>#N/A</v>
      </c>
      <c r="T668" s="13" t="e">
        <f ca="1">ROUNDUP(($N668-$P668-$Q668+$S668)*VLOOKUP($B668,Paraméterek!$I$38:$K$39,IF($D$2="Egyszeri",3,2))/12*IF($D669="Nem",IF($M$13=0,1,$M$13),1),IF($D$4="Forint",0,2))</f>
        <v>#N/A</v>
      </c>
      <c r="U668" s="13"/>
      <c r="V668" s="13"/>
      <c r="W668" s="13" t="e">
        <f ca="1">$N668-$P668-$Q668+$S668-$T668-IF(ROUNDUP(IF(ISBLANK($V668),$U668*0,$V668)/IF($D$2="Egyszeri",VLOOKUP($B668+IF($C668=12,1,0),Paraméterek!$V$257:$W$262,2),IF($B668=1,1,VLOOKUP($B668+IF($C668=12,1,0),Paraméterek!$I$258:$T$278,HLOOKUP($M$11+1,Paraméterek!$J$256:$T$257,2)))),IF($D$4="Forint",0,2))&gt;$N668-$P668-$Q668+$S668-$T668-IF($D$4="Forint",Paraméterek!$C$216,Paraméterek!$D$216),0,ROUNDUP(IF(ISBLANK($V668),$U668*0,$V668)/IF($D$2="Egyszeri",VLOOKUP($B668+IF($C668=12,1,0),Paraméterek!$V$257:$W$262,2),IF($B668=1,1,VLOOKUP($B668+IF($C668=12,1,0),Paraméterek!$I$258:$T$278,HLOOKUP($M$11+1,Paraméterek!$J$256:$T$257,2)))),IF($D$4="Forint",0,2)))</f>
        <v>#N/A</v>
      </c>
      <c r="X668" s="13" t="e">
        <f ca="1">ROUNDDOWN($W668*IF($D$2="Egyszeri",VLOOKUP($B668+IF($C668=12,1,0),Paraméterek!$V$257:$W$262,2),VLOOKUP($B668+IF($C668=12,1,0),Paraméterek!$I$258:$T$278,HLOOKUP($M$11+1,Paraméterek!$I$256:$T$257,2))),IF($D$4="Forint",0,2))</f>
        <v>#N/A</v>
      </c>
      <c r="Z668" s="32">
        <v>649</v>
      </c>
      <c r="AA668" s="32">
        <v>55</v>
      </c>
      <c r="AB668" s="32">
        <v>1</v>
      </c>
      <c r="AC668" s="13">
        <f t="shared" ca="1" si="236"/>
        <v>0</v>
      </c>
      <c r="AD668" s="33"/>
      <c r="AE668" s="13">
        <f t="shared" ca="1" si="228"/>
        <v>0</v>
      </c>
      <c r="AF668" s="13">
        <f ca="1">ROUNDUP(($AC668+$AE668)*VLOOKUP($AA668,Paraméterek!$P$38:$Q$38,2)/12*IF($D669="Nem",IF($M$13=0,1,$M$13),1),IF($D$4="Forint",0,2))</f>
        <v>0</v>
      </c>
      <c r="AG668" s="13">
        <f ca="1">IF($D$2="Egyszeri",IF($D$7&gt;=IF($D$4="Forint",Paraméterek!$P$223,Paraméterek!$P$224),$D$7-IF($D$4="Forint",Paraméterek!$P$223,Paraméterek!$P$224),0),MIN(IF($AB668=12,AVERAGEIF($E$20:$E668,"&gt;0",$E$20:$E668)*12,0),SUM($E$20:$E$31)))</f>
        <v>0</v>
      </c>
      <c r="AH668" s="13">
        <f>IF($AA668=10,$AG668*IF($AB668=12,IF($AG668&lt;IF($D$4="Forint",Paraméterek!$L$223,Paraméterek!$L$224),0,VLOOKUP($AA668,Paraméterek!$K$226:$M$228,IF($AG668&lt;IF($D$4="Forint",Paraméterek!$M$223,Paraméterek!$M$224),2,3))),0),0)</f>
        <v>0</v>
      </c>
      <c r="AI668" s="13">
        <f ca="1">IF(AND($AA668=$M$11+1,$AB668=$M$12+1),SUMIF($AA$20:$AA$1027,$AA668,$AG$20:$AG$1027)*IF(SUMIF($AA$20:$AA$1027,$AA668,$AG$20:$AG$1027)&lt;IF($D$4="Forint",Paraméterek!$L$223,Paraméterek!$L$224),0,VLOOKUP($AA668,Paraméterek!$K$230:$M$250,IF(SUMIF($AA$20:$AA$1027,$AA668,$AG$20:$AG$1027)&lt;IF($D$4="Forint",Paraméterek!$M$223,Paraméterek!$M$224),2,3))),0)</f>
        <v>0</v>
      </c>
      <c r="AJ668" s="13">
        <f ca="1">IF(AND($AA668&gt;=5,MOD($AA668,5)=0),IF($AB668=12,VLOOKUP($AA668,Paraméterek!$O$225:$P$240,2),0),IF(OR($AA668=3,$AA668=4),IF($AB668=12,VLOOKUP($AA668,Paraméterek!$O$225:$P$240,2,0),0),0))*$AG668</f>
        <v>0</v>
      </c>
      <c r="AK668" s="13">
        <f t="shared" ca="1" si="229"/>
        <v>0</v>
      </c>
      <c r="AL668" s="13">
        <f t="shared" ca="1" si="237"/>
        <v>0</v>
      </c>
      <c r="AM668" s="13">
        <f t="shared" ca="1" si="238"/>
        <v>0</v>
      </c>
      <c r="AO668" s="32">
        <v>649</v>
      </c>
      <c r="AP668" s="32">
        <v>55</v>
      </c>
      <c r="AQ668" s="32">
        <v>1</v>
      </c>
      <c r="AR668" s="13">
        <f>Tranzakciók!$K$86</f>
        <v>0</v>
      </c>
      <c r="AS668" s="32"/>
      <c r="AT668" s="13">
        <f t="shared" ca="1" si="239"/>
        <v>0</v>
      </c>
      <c r="AU668" s="33"/>
      <c r="AV668" s="13">
        <f t="shared" ca="1" si="230"/>
        <v>0</v>
      </c>
      <c r="AW668" s="13">
        <f ca="1">ROUNDUP(($AT668+$AV668)*VLOOKUP($AP668,Paraméterek!$P$38:$Q$38,2)/12*IF($D669="Nem",IF($M$13=0,1,$M$13),1),IF($D$4="Forint",0,2))</f>
        <v>0</v>
      </c>
      <c r="AX668" s="13"/>
      <c r="AY668" s="13"/>
      <c r="AZ668" s="13">
        <f>ROUNDUP(IF(SUM($AX668:$AY668)=0,0,IF(IF(ISBLANK($AY668),$AX668,$AY668)*Paraméterek!$J$112&lt;IF($D$4="Forint",Paraméterek!$J$113,Paraméterek!$K$113),IF($D$4="Forint",Paraméterek!$J$113,Paraméterek!$K$113),IF(IF(ISBLANK($AY668),$AX668,$AY668)*Paraméterek!$J$112&gt;IF($D$4="Forint",Paraméterek!$J$114,Paraméterek!$K$114),IF($D$4="Forint",Paraméterek!$J$114,Paraméterek!$K$114),IF(ISBLANK($AY668),$AX668,$AY668)*Paraméterek!$J$112))),IF($D$4="Forint",0,2))</f>
        <v>0</v>
      </c>
      <c r="BA668" s="13">
        <f ca="1">$AT668+$AV668-$AW668-IF(ROUNDDOWN(IF(ISBLANK($AY668),$AX668,$AY668),IF($D$4="Forint",0,2))&gt;$AT668+$AV668-$AW668-IF($D$4="Forint",Paraméterek!$J$114,Paraméterek!$K$114),0,ROUNDDOWN(IF(ISBLANK($AY668),$AX668,$AY668),IF($D$4="Forint",0,2))-$AZ668)</f>
        <v>0</v>
      </c>
      <c r="BB668" s="13">
        <f t="shared" ca="1" si="231"/>
        <v>0</v>
      </c>
      <c r="BD668" s="32">
        <v>649</v>
      </c>
      <c r="BE668" s="32">
        <v>55</v>
      </c>
      <c r="BF668" s="32">
        <v>1</v>
      </c>
      <c r="BG668" s="34">
        <f t="shared" ca="1" si="240"/>
        <v>2073</v>
      </c>
      <c r="BH668" s="32" t="str">
        <f ca="1">IF(MOD(MONTH($D$14)+$BD668-1,12)=Paraméterek!$C$288,"Igen","")</f>
        <v/>
      </c>
      <c r="BI668" s="13">
        <f ca="1">IF($BH668="Igen",MIN(ROUNDDOWN((SUMIF($BG$20:$BG$1027,$BG668-1,$K$20:$K$1027)-SUMIF($BG$20:$BG$1027,$BG668-1,$I$20:$I$1027))*Paraméterek!$C$289,IF($D$4="Forint",0,2)),IF($D$4="Forint",Paraméterek!$C$285,Paraméterek!$D$285)),0)</f>
        <v>0</v>
      </c>
      <c r="BJ668" s="13">
        <f t="shared" ca="1" si="232"/>
        <v>0</v>
      </c>
      <c r="BK668" s="13">
        <f t="shared" ca="1" si="241"/>
        <v>0</v>
      </c>
      <c r="BL668" s="33"/>
      <c r="BM668" s="13">
        <f t="shared" ca="1" si="233"/>
        <v>0</v>
      </c>
      <c r="BN668" s="13">
        <f ca="1">ROUNDUP(($BK668+$BM668)*VLOOKUP($BE668,Paraméterek!$P$38:$Q$38,2)/12*IF($D669="Nem",IF($M$13=0,1,$M$13),1),IF($D$4="Forint",0,2))</f>
        <v>0</v>
      </c>
      <c r="BO668" s="13">
        <f t="shared" ca="1" si="234"/>
        <v>0</v>
      </c>
      <c r="BP668" s="13">
        <f ca="1">IF($D669="Nem",$BO668,$BO668-ROUNDUP(SUM($BI$20:$BI668)*120%,IF($D$4="Forint",0,2)))</f>
        <v>0</v>
      </c>
    </row>
    <row r="669" spans="1:68" x14ac:dyDescent="0.2">
      <c r="A669" s="32">
        <v>650</v>
      </c>
      <c r="B669" s="32">
        <v>55</v>
      </c>
      <c r="C669" s="32">
        <v>2</v>
      </c>
      <c r="D669" s="32" t="str">
        <f t="shared" ca="1" si="220"/>
        <v>Nem</v>
      </c>
      <c r="E669" s="13">
        <f t="shared" ca="1" si="221"/>
        <v>0</v>
      </c>
      <c r="F669" s="13"/>
      <c r="G669" s="13"/>
      <c r="H669" s="13"/>
      <c r="I669" s="13">
        <f t="shared" ca="1" si="222"/>
        <v>0</v>
      </c>
      <c r="J669" s="13">
        <f t="shared" ca="1" si="223"/>
        <v>0</v>
      </c>
      <c r="K669" s="13">
        <f t="shared" ca="1" si="224"/>
        <v>0</v>
      </c>
      <c r="L669" s="13" t="e">
        <f ca="1">ROUNDUP(IF($D$2="Egyszeri",$E669,IF($D$2="Havi",SUM($E$20:$E$31),IF(MOD($C669,$M$1)-1=0,SUM($E$20:$E$31),0))/12*$M$1)*VLOOKUP($B669,Paraméterek!$I$28:$P$31,IF($D$2="Egyszeri",8,HLOOKUP(ROUNDUP($M$11+$M$13,0),Paraméterek!$J$26:$O$27,2))),IF($D$4="Forint",0,2))</f>
        <v>#N/A</v>
      </c>
      <c r="M669" s="13">
        <f t="shared" ca="1" si="225"/>
        <v>0</v>
      </c>
      <c r="N669" s="13">
        <f t="shared" ca="1" si="235"/>
        <v>0</v>
      </c>
      <c r="O669" s="13">
        <f ca="1">IF($D669="Igen",IF($W668&gt;=IF($D$4="Forint",Paraméterek!$J$121,Paraméterek!$K$121),0,IF($D$4="Forint",Paraméterek!$J$121,Paraméterek!$K$121)-$W668),0)</f>
        <v>0</v>
      </c>
      <c r="P669" s="13" t="e">
        <f ca="1">ROUNDUP($O669*VLOOKUP($M$4+$B669-1,Paraméterek!$H$58:$I$105,2,0)/Paraméterek!$I$56,IF($D$4="Forint",0,2))</f>
        <v>#N/A</v>
      </c>
      <c r="Q669" s="13">
        <f t="shared" ca="1" si="226"/>
        <v>0</v>
      </c>
      <c r="R669" s="33"/>
      <c r="S669" s="13" t="e">
        <f t="shared" ca="1" si="227"/>
        <v>#N/A</v>
      </c>
      <c r="T669" s="13" t="e">
        <f ca="1">ROUNDUP(($N669-$P669-$Q669+$S669)*VLOOKUP($B669,Paraméterek!$I$38:$K$39,IF($D$2="Egyszeri",3,2))/12*IF($D670="Nem",IF($M$13=0,1,$M$13),1),IF($D$4="Forint",0,2))</f>
        <v>#N/A</v>
      </c>
      <c r="U669" s="13"/>
      <c r="V669" s="13"/>
      <c r="W669" s="13" t="e">
        <f ca="1">$N669-$P669-$Q669+$S669-$T669-IF(ROUNDUP(IF(ISBLANK($V669),$U669*0,$V669)/IF($D$2="Egyszeri",VLOOKUP($B669+IF($C669=12,1,0),Paraméterek!$V$257:$W$262,2),IF($B669=1,1,VLOOKUP($B669+IF($C669=12,1,0),Paraméterek!$I$258:$T$278,HLOOKUP($M$11+1,Paraméterek!$J$256:$T$257,2)))),IF($D$4="Forint",0,2))&gt;$N669-$P669-$Q669+$S669-$T669-IF($D$4="Forint",Paraméterek!$C$216,Paraméterek!$D$216),0,ROUNDUP(IF(ISBLANK($V669),$U669*0,$V669)/IF($D$2="Egyszeri",VLOOKUP($B669+IF($C669=12,1,0),Paraméterek!$V$257:$W$262,2),IF($B669=1,1,VLOOKUP($B669+IF($C669=12,1,0),Paraméterek!$I$258:$T$278,HLOOKUP($M$11+1,Paraméterek!$J$256:$T$257,2)))),IF($D$4="Forint",0,2)))</f>
        <v>#N/A</v>
      </c>
      <c r="X669" s="13" t="e">
        <f ca="1">ROUNDDOWN($W669*IF($D$2="Egyszeri",VLOOKUP($B669+IF($C669=12,1,0),Paraméterek!$V$257:$W$262,2),VLOOKUP($B669+IF($C669=12,1,0),Paraméterek!$I$258:$T$278,HLOOKUP($M$11+1,Paraméterek!$I$256:$T$257,2))),IF($D$4="Forint",0,2))</f>
        <v>#N/A</v>
      </c>
      <c r="Z669" s="32">
        <v>650</v>
      </c>
      <c r="AA669" s="32">
        <v>55</v>
      </c>
      <c r="AB669" s="32">
        <v>2</v>
      </c>
      <c r="AC669" s="13">
        <f t="shared" ca="1" si="236"/>
        <v>0</v>
      </c>
      <c r="AD669" s="33"/>
      <c r="AE669" s="13">
        <f t="shared" ca="1" si="228"/>
        <v>0</v>
      </c>
      <c r="AF669" s="13">
        <f ca="1">ROUNDUP(($AC669+$AE669)*VLOOKUP($AA669,Paraméterek!$P$38:$Q$38,2)/12*IF($D670="Nem",IF($M$13=0,1,$M$13),1),IF($D$4="Forint",0,2))</f>
        <v>0</v>
      </c>
      <c r="AG669" s="13">
        <f ca="1">IF($D$2="Egyszeri",IF($D$7&gt;=IF($D$4="Forint",Paraméterek!$P$223,Paraméterek!$P$224),$D$7-IF($D$4="Forint",Paraméterek!$P$223,Paraméterek!$P$224),0),MIN(IF($AB669=12,AVERAGEIF($E$20:$E669,"&gt;0",$E$20:$E669)*12,0),SUM($E$20:$E$31)))</f>
        <v>0</v>
      </c>
      <c r="AH669" s="13">
        <f>IF($AA669=10,$AG669*IF($AB669=12,IF($AG669&lt;IF($D$4="Forint",Paraméterek!$L$223,Paraméterek!$L$224),0,VLOOKUP($AA669,Paraméterek!$K$226:$M$228,IF($AG669&lt;IF($D$4="Forint",Paraméterek!$M$223,Paraméterek!$M$224),2,3))),0),0)</f>
        <v>0</v>
      </c>
      <c r="AI669" s="13">
        <f ca="1">IF(AND($AA669=$M$11+1,$AB669=$M$12+1),SUMIF($AA$20:$AA$1027,$AA669,$AG$20:$AG$1027)*IF(SUMIF($AA$20:$AA$1027,$AA669,$AG$20:$AG$1027)&lt;IF($D$4="Forint",Paraméterek!$L$223,Paraméterek!$L$224),0,VLOOKUP($AA669,Paraméterek!$K$230:$M$250,IF(SUMIF($AA$20:$AA$1027,$AA669,$AG$20:$AG$1027)&lt;IF($D$4="Forint",Paraméterek!$M$223,Paraméterek!$M$224),2,3))),0)</f>
        <v>0</v>
      </c>
      <c r="AJ669" s="13">
        <f ca="1">IF(AND($AA669&gt;=5,MOD($AA669,5)=0),IF($AB669=12,VLOOKUP($AA669,Paraméterek!$O$225:$P$240,2),0),IF(OR($AA669=3,$AA669=4),IF($AB669=12,VLOOKUP($AA669,Paraméterek!$O$225:$P$240,2,0),0),0))*$AG669</f>
        <v>0</v>
      </c>
      <c r="AK669" s="13">
        <f t="shared" ca="1" si="229"/>
        <v>0</v>
      </c>
      <c r="AL669" s="13">
        <f t="shared" ca="1" si="237"/>
        <v>0</v>
      </c>
      <c r="AM669" s="13">
        <f t="shared" ca="1" si="238"/>
        <v>0</v>
      </c>
      <c r="AO669" s="32">
        <v>650</v>
      </c>
      <c r="AP669" s="32">
        <v>55</v>
      </c>
      <c r="AQ669" s="32">
        <v>2</v>
      </c>
      <c r="AR669" s="13"/>
      <c r="AS669" s="32"/>
      <c r="AT669" s="13">
        <f t="shared" ca="1" si="239"/>
        <v>0</v>
      </c>
      <c r="AU669" s="33"/>
      <c r="AV669" s="13">
        <f t="shared" ca="1" si="230"/>
        <v>0</v>
      </c>
      <c r="AW669" s="13">
        <f ca="1">ROUNDUP(($AT669+$AV669)*VLOOKUP($AP669,Paraméterek!$P$38:$Q$38,2)/12*IF($D670="Nem",IF($M$13=0,1,$M$13),1),IF($D$4="Forint",0,2))</f>
        <v>0</v>
      </c>
      <c r="AX669" s="13"/>
      <c r="AY669" s="13"/>
      <c r="AZ669" s="13">
        <f>ROUNDUP(IF(SUM($AX669:$AY669)=0,0,IF(IF(ISBLANK($AY669),$AX669,$AY669)*Paraméterek!$J$112&lt;IF($D$4="Forint",Paraméterek!$J$113,Paraméterek!$K$113),IF($D$4="Forint",Paraméterek!$J$113,Paraméterek!$K$113),IF(IF(ISBLANK($AY669),$AX669,$AY669)*Paraméterek!$J$112&gt;IF($D$4="Forint",Paraméterek!$J$114,Paraméterek!$K$114),IF($D$4="Forint",Paraméterek!$J$114,Paraméterek!$K$114),IF(ISBLANK($AY669),$AX669,$AY669)*Paraméterek!$J$112))),IF($D$4="Forint",0,2))</f>
        <v>0</v>
      </c>
      <c r="BA669" s="13">
        <f ca="1">$AT669+$AV669-$AW669-IF(ROUNDDOWN(IF(ISBLANK($AY669),$AX669,$AY669),IF($D$4="Forint",0,2))&gt;$AT669+$AV669-$AW669-IF($D$4="Forint",Paraméterek!$J$114,Paraméterek!$K$114),0,ROUNDDOWN(IF(ISBLANK($AY669),$AX669,$AY669),IF($D$4="Forint",0,2))-$AZ669)</f>
        <v>0</v>
      </c>
      <c r="BB669" s="13">
        <f t="shared" ca="1" si="231"/>
        <v>0</v>
      </c>
      <c r="BD669" s="32">
        <v>650</v>
      </c>
      <c r="BE669" s="32">
        <v>55</v>
      </c>
      <c r="BF669" s="32">
        <v>2</v>
      </c>
      <c r="BG669" s="34">
        <f t="shared" ca="1" si="240"/>
        <v>2073</v>
      </c>
      <c r="BH669" s="32" t="str">
        <f ca="1">IF(MOD(MONTH($D$14)+$BD669-1,12)=Paraméterek!$C$288,"Igen","")</f>
        <v>Igen</v>
      </c>
      <c r="BI669" s="13">
        <f ca="1">IF($BH669="Igen",MIN(ROUNDDOWN((SUMIF($BG$20:$BG$1027,$BG669-1,$K$20:$K$1027)-SUMIF($BG$20:$BG$1027,$BG669-1,$I$20:$I$1027))*Paraméterek!$C$289,IF($D$4="Forint",0,2)),IF($D$4="Forint",Paraméterek!$C$285,Paraméterek!$D$285)),0)</f>
        <v>0</v>
      </c>
      <c r="BJ669" s="13">
        <f t="shared" ca="1" si="232"/>
        <v>0</v>
      </c>
      <c r="BK669" s="13">
        <f t="shared" ca="1" si="241"/>
        <v>0</v>
      </c>
      <c r="BL669" s="33"/>
      <c r="BM669" s="13">
        <f t="shared" ca="1" si="233"/>
        <v>0</v>
      </c>
      <c r="BN669" s="13">
        <f ca="1">ROUNDUP(($BK669+$BM669)*VLOOKUP($BE669,Paraméterek!$P$38:$Q$38,2)/12*IF($D670="Nem",IF($M$13=0,1,$M$13),1),IF($D$4="Forint",0,2))</f>
        <v>0</v>
      </c>
      <c r="BO669" s="13">
        <f t="shared" ca="1" si="234"/>
        <v>0</v>
      </c>
      <c r="BP669" s="13">
        <f ca="1">IF($D670="Nem",$BO669,$BO669-ROUNDUP(SUM($BI$20:$BI669)*120%,IF($D$4="Forint",0,2)))</f>
        <v>0</v>
      </c>
    </row>
    <row r="670" spans="1:68" x14ac:dyDescent="0.2">
      <c r="A670" s="32">
        <v>651</v>
      </c>
      <c r="B670" s="32">
        <v>55</v>
      </c>
      <c r="C670" s="32">
        <v>3</v>
      </c>
      <c r="D670" s="32" t="str">
        <f t="shared" ca="1" si="220"/>
        <v>Nem</v>
      </c>
      <c r="E670" s="13">
        <f t="shared" ca="1" si="221"/>
        <v>0</v>
      </c>
      <c r="F670" s="13"/>
      <c r="G670" s="13"/>
      <c r="H670" s="13"/>
      <c r="I670" s="13">
        <f t="shared" ca="1" si="222"/>
        <v>0</v>
      </c>
      <c r="J670" s="13">
        <f t="shared" ca="1" si="223"/>
        <v>0</v>
      </c>
      <c r="K670" s="13">
        <f t="shared" ca="1" si="224"/>
        <v>0</v>
      </c>
      <c r="L670" s="13" t="e">
        <f ca="1">ROUNDUP(IF($D$2="Egyszeri",$E670,IF($D$2="Havi",SUM($E$20:$E$31),IF(MOD($C670,$M$1)-1=0,SUM($E$20:$E$31),0))/12*$M$1)*VLOOKUP($B670,Paraméterek!$I$28:$P$31,IF($D$2="Egyszeri",8,HLOOKUP(ROUNDUP($M$11+$M$13,0),Paraméterek!$J$26:$O$27,2))),IF($D$4="Forint",0,2))</f>
        <v>#N/A</v>
      </c>
      <c r="M670" s="13">
        <f t="shared" ca="1" si="225"/>
        <v>0</v>
      </c>
      <c r="N670" s="13">
        <f t="shared" ca="1" si="235"/>
        <v>0</v>
      </c>
      <c r="O670" s="13">
        <f ca="1">IF($D670="Igen",IF($W669&gt;=IF($D$4="Forint",Paraméterek!$J$121,Paraméterek!$K$121),0,IF($D$4="Forint",Paraméterek!$J$121,Paraméterek!$K$121)-$W669),0)</f>
        <v>0</v>
      </c>
      <c r="P670" s="13" t="e">
        <f ca="1">ROUNDUP($O670*VLOOKUP($M$4+$B670-1,Paraméterek!$H$58:$I$105,2,0)/Paraméterek!$I$56,IF($D$4="Forint",0,2))</f>
        <v>#N/A</v>
      </c>
      <c r="Q670" s="13">
        <f t="shared" ca="1" si="226"/>
        <v>0</v>
      </c>
      <c r="R670" s="33"/>
      <c r="S670" s="13" t="e">
        <f t="shared" ca="1" si="227"/>
        <v>#N/A</v>
      </c>
      <c r="T670" s="13" t="e">
        <f ca="1">ROUNDUP(($N670-$P670-$Q670+$S670)*VLOOKUP($B670,Paraméterek!$I$38:$K$39,IF($D$2="Egyszeri",3,2))/12*IF($D671="Nem",IF($M$13=0,1,$M$13),1),IF($D$4="Forint",0,2))</f>
        <v>#N/A</v>
      </c>
      <c r="U670" s="13"/>
      <c r="V670" s="13"/>
      <c r="W670" s="13" t="e">
        <f ca="1">$N670-$P670-$Q670+$S670-$T670-IF(ROUNDUP(IF(ISBLANK($V670),$U670*0,$V670)/IF($D$2="Egyszeri",VLOOKUP($B670+IF($C670=12,1,0),Paraméterek!$V$257:$W$262,2),IF($B670=1,1,VLOOKUP($B670+IF($C670=12,1,0),Paraméterek!$I$258:$T$278,HLOOKUP($M$11+1,Paraméterek!$J$256:$T$257,2)))),IF($D$4="Forint",0,2))&gt;$N670-$P670-$Q670+$S670-$T670-IF($D$4="Forint",Paraméterek!$C$216,Paraméterek!$D$216),0,ROUNDUP(IF(ISBLANK($V670),$U670*0,$V670)/IF($D$2="Egyszeri",VLOOKUP($B670+IF($C670=12,1,0),Paraméterek!$V$257:$W$262,2),IF($B670=1,1,VLOOKUP($B670+IF($C670=12,1,0),Paraméterek!$I$258:$T$278,HLOOKUP($M$11+1,Paraméterek!$J$256:$T$257,2)))),IF($D$4="Forint",0,2)))</f>
        <v>#N/A</v>
      </c>
      <c r="X670" s="13" t="e">
        <f ca="1">ROUNDDOWN($W670*IF($D$2="Egyszeri",VLOOKUP($B670+IF($C670=12,1,0),Paraméterek!$V$257:$W$262,2),VLOOKUP($B670+IF($C670=12,1,0),Paraméterek!$I$258:$T$278,HLOOKUP($M$11+1,Paraméterek!$I$256:$T$257,2))),IF($D$4="Forint",0,2))</f>
        <v>#N/A</v>
      </c>
      <c r="Z670" s="32">
        <v>651</v>
      </c>
      <c r="AA670" s="32">
        <v>55</v>
      </c>
      <c r="AB670" s="32">
        <v>3</v>
      </c>
      <c r="AC670" s="13">
        <f t="shared" ca="1" si="236"/>
        <v>0</v>
      </c>
      <c r="AD670" s="33"/>
      <c r="AE670" s="13">
        <f t="shared" ca="1" si="228"/>
        <v>0</v>
      </c>
      <c r="AF670" s="13">
        <f ca="1">ROUNDUP(($AC670+$AE670)*VLOOKUP($AA670,Paraméterek!$P$38:$Q$38,2)/12*IF($D671="Nem",IF($M$13=0,1,$M$13),1),IF($D$4="Forint",0,2))</f>
        <v>0</v>
      </c>
      <c r="AG670" s="13">
        <f ca="1">IF($D$2="Egyszeri",IF($D$7&gt;=IF($D$4="Forint",Paraméterek!$P$223,Paraméterek!$P$224),$D$7-IF($D$4="Forint",Paraméterek!$P$223,Paraméterek!$P$224),0),MIN(IF($AB670=12,AVERAGEIF($E$20:$E670,"&gt;0",$E$20:$E670)*12,0),SUM($E$20:$E$31)))</f>
        <v>0</v>
      </c>
      <c r="AH670" s="13">
        <f>IF($AA670=10,$AG670*IF($AB670=12,IF($AG670&lt;IF($D$4="Forint",Paraméterek!$L$223,Paraméterek!$L$224),0,VLOOKUP($AA670,Paraméterek!$K$226:$M$228,IF($AG670&lt;IF($D$4="Forint",Paraméterek!$M$223,Paraméterek!$M$224),2,3))),0),0)</f>
        <v>0</v>
      </c>
      <c r="AI670" s="13">
        <f ca="1">IF(AND($AA670=$M$11+1,$AB670=$M$12+1),SUMIF($AA$20:$AA$1027,$AA670,$AG$20:$AG$1027)*IF(SUMIF($AA$20:$AA$1027,$AA670,$AG$20:$AG$1027)&lt;IF($D$4="Forint",Paraméterek!$L$223,Paraméterek!$L$224),0,VLOOKUP($AA670,Paraméterek!$K$230:$M$250,IF(SUMIF($AA$20:$AA$1027,$AA670,$AG$20:$AG$1027)&lt;IF($D$4="Forint",Paraméterek!$M$223,Paraméterek!$M$224),2,3))),0)</f>
        <v>0</v>
      </c>
      <c r="AJ670" s="13">
        <f ca="1">IF(AND($AA670&gt;=5,MOD($AA670,5)=0),IF($AB670=12,VLOOKUP($AA670,Paraméterek!$O$225:$P$240,2),0),IF(OR($AA670=3,$AA670=4),IF($AB670=12,VLOOKUP($AA670,Paraméterek!$O$225:$P$240,2,0),0),0))*$AG670</f>
        <v>0</v>
      </c>
      <c r="AK670" s="13">
        <f t="shared" ca="1" si="229"/>
        <v>0</v>
      </c>
      <c r="AL670" s="13">
        <f t="shared" ca="1" si="237"/>
        <v>0</v>
      </c>
      <c r="AM670" s="13">
        <f t="shared" ca="1" si="238"/>
        <v>0</v>
      </c>
      <c r="AO670" s="32">
        <v>651</v>
      </c>
      <c r="AP670" s="32">
        <v>55</v>
      </c>
      <c r="AQ670" s="32">
        <v>3</v>
      </c>
      <c r="AR670" s="13"/>
      <c r="AS670" s="32"/>
      <c r="AT670" s="13">
        <f t="shared" ca="1" si="239"/>
        <v>0</v>
      </c>
      <c r="AU670" s="33"/>
      <c r="AV670" s="13">
        <f t="shared" ca="1" si="230"/>
        <v>0</v>
      </c>
      <c r="AW670" s="13">
        <f ca="1">ROUNDUP(($AT670+$AV670)*VLOOKUP($AP670,Paraméterek!$P$38:$Q$38,2)/12*IF($D671="Nem",IF($M$13=0,1,$M$13),1),IF($D$4="Forint",0,2))</f>
        <v>0</v>
      </c>
      <c r="AX670" s="13"/>
      <c r="AY670" s="13"/>
      <c r="AZ670" s="13">
        <f>ROUNDUP(IF(SUM($AX670:$AY670)=0,0,IF(IF(ISBLANK($AY670),$AX670,$AY670)*Paraméterek!$J$112&lt;IF($D$4="Forint",Paraméterek!$J$113,Paraméterek!$K$113),IF($D$4="Forint",Paraméterek!$J$113,Paraméterek!$K$113),IF(IF(ISBLANK($AY670),$AX670,$AY670)*Paraméterek!$J$112&gt;IF($D$4="Forint",Paraméterek!$J$114,Paraméterek!$K$114),IF($D$4="Forint",Paraméterek!$J$114,Paraméterek!$K$114),IF(ISBLANK($AY670),$AX670,$AY670)*Paraméterek!$J$112))),IF($D$4="Forint",0,2))</f>
        <v>0</v>
      </c>
      <c r="BA670" s="13">
        <f ca="1">$AT670+$AV670-$AW670-IF(ROUNDDOWN(IF(ISBLANK($AY670),$AX670,$AY670),IF($D$4="Forint",0,2))&gt;$AT670+$AV670-$AW670-IF($D$4="Forint",Paraméterek!$J$114,Paraméterek!$K$114),0,ROUNDDOWN(IF(ISBLANK($AY670),$AX670,$AY670),IF($D$4="Forint",0,2))-$AZ670)</f>
        <v>0</v>
      </c>
      <c r="BB670" s="13">
        <f t="shared" ca="1" si="231"/>
        <v>0</v>
      </c>
      <c r="BD670" s="32">
        <v>651</v>
      </c>
      <c r="BE670" s="32">
        <v>55</v>
      </c>
      <c r="BF670" s="32">
        <v>3</v>
      </c>
      <c r="BG670" s="34">
        <f t="shared" ca="1" si="240"/>
        <v>2073</v>
      </c>
      <c r="BH670" s="32" t="str">
        <f ca="1">IF(MOD(MONTH($D$14)+$BD670-1,12)=Paraméterek!$C$288,"Igen","")</f>
        <v/>
      </c>
      <c r="BI670" s="13">
        <f ca="1">IF($BH670="Igen",MIN(ROUNDDOWN((SUMIF($BG$20:$BG$1027,$BG670-1,$K$20:$K$1027)-SUMIF($BG$20:$BG$1027,$BG670-1,$I$20:$I$1027))*Paraméterek!$C$289,IF($D$4="Forint",0,2)),IF($D$4="Forint",Paraméterek!$C$285,Paraméterek!$D$285)),0)</f>
        <v>0</v>
      </c>
      <c r="BJ670" s="13">
        <f t="shared" ca="1" si="232"/>
        <v>0</v>
      </c>
      <c r="BK670" s="13">
        <f t="shared" ca="1" si="241"/>
        <v>0</v>
      </c>
      <c r="BL670" s="33"/>
      <c r="BM670" s="13">
        <f t="shared" ca="1" si="233"/>
        <v>0</v>
      </c>
      <c r="BN670" s="13">
        <f ca="1">ROUNDUP(($BK670+$BM670)*VLOOKUP($BE670,Paraméterek!$P$38:$Q$38,2)/12*IF($D671="Nem",IF($M$13=0,1,$M$13),1),IF($D$4="Forint",0,2))</f>
        <v>0</v>
      </c>
      <c r="BO670" s="13">
        <f t="shared" ca="1" si="234"/>
        <v>0</v>
      </c>
      <c r="BP670" s="13">
        <f ca="1">IF($D671="Nem",$BO670,$BO670-ROUNDUP(SUM($BI$20:$BI670)*120%,IF($D$4="Forint",0,2)))</f>
        <v>0</v>
      </c>
    </row>
    <row r="671" spans="1:68" x14ac:dyDescent="0.2">
      <c r="A671" s="32">
        <v>652</v>
      </c>
      <c r="B671" s="32">
        <v>55</v>
      </c>
      <c r="C671" s="32">
        <v>4</v>
      </c>
      <c r="D671" s="32" t="str">
        <f t="shared" ca="1" si="220"/>
        <v>Nem</v>
      </c>
      <c r="E671" s="13">
        <f t="shared" ca="1" si="221"/>
        <v>0</v>
      </c>
      <c r="F671" s="13"/>
      <c r="G671" s="13"/>
      <c r="H671" s="13"/>
      <c r="I671" s="13">
        <f t="shared" ca="1" si="222"/>
        <v>0</v>
      </c>
      <c r="J671" s="13">
        <f t="shared" ca="1" si="223"/>
        <v>0</v>
      </c>
      <c r="K671" s="13">
        <f t="shared" ca="1" si="224"/>
        <v>0</v>
      </c>
      <c r="L671" s="13" t="e">
        <f ca="1">ROUNDUP(IF($D$2="Egyszeri",$E671,IF($D$2="Havi",SUM($E$20:$E$31),IF(MOD($C671,$M$1)-1=0,SUM($E$20:$E$31),0))/12*$M$1)*VLOOKUP($B671,Paraméterek!$I$28:$P$31,IF($D$2="Egyszeri",8,HLOOKUP(ROUNDUP($M$11+$M$13,0),Paraméterek!$J$26:$O$27,2))),IF($D$4="Forint",0,2))</f>
        <v>#N/A</v>
      </c>
      <c r="M671" s="13">
        <f t="shared" ca="1" si="225"/>
        <v>0</v>
      </c>
      <c r="N671" s="13">
        <f t="shared" ca="1" si="235"/>
        <v>0</v>
      </c>
      <c r="O671" s="13">
        <f ca="1">IF($D671="Igen",IF($W670&gt;=IF($D$4="Forint",Paraméterek!$J$121,Paraméterek!$K$121),0,IF($D$4="Forint",Paraméterek!$J$121,Paraméterek!$K$121)-$W670),0)</f>
        <v>0</v>
      </c>
      <c r="P671" s="13" t="e">
        <f ca="1">ROUNDUP($O671*VLOOKUP($M$4+$B671-1,Paraméterek!$H$58:$I$105,2,0)/Paraméterek!$I$56,IF($D$4="Forint",0,2))</f>
        <v>#N/A</v>
      </c>
      <c r="Q671" s="13">
        <f t="shared" ca="1" si="226"/>
        <v>0</v>
      </c>
      <c r="R671" s="33"/>
      <c r="S671" s="13" t="e">
        <f t="shared" ca="1" si="227"/>
        <v>#N/A</v>
      </c>
      <c r="T671" s="13" t="e">
        <f ca="1">ROUNDUP(($N671-$P671-$Q671+$S671)*VLOOKUP($B671,Paraméterek!$I$38:$K$39,IF($D$2="Egyszeri",3,2))/12*IF($D672="Nem",IF($M$13=0,1,$M$13),1),IF($D$4="Forint",0,2))</f>
        <v>#N/A</v>
      </c>
      <c r="U671" s="13"/>
      <c r="V671" s="13"/>
      <c r="W671" s="13" t="e">
        <f ca="1">$N671-$P671-$Q671+$S671-$T671-IF(ROUNDUP(IF(ISBLANK($V671),$U671*0,$V671)/IF($D$2="Egyszeri",VLOOKUP($B671+IF($C671=12,1,0),Paraméterek!$V$257:$W$262,2),IF($B671=1,1,VLOOKUP($B671+IF($C671=12,1,0),Paraméterek!$I$258:$T$278,HLOOKUP($M$11+1,Paraméterek!$J$256:$T$257,2)))),IF($D$4="Forint",0,2))&gt;$N671-$P671-$Q671+$S671-$T671-IF($D$4="Forint",Paraméterek!$C$216,Paraméterek!$D$216),0,ROUNDUP(IF(ISBLANK($V671),$U671*0,$V671)/IF($D$2="Egyszeri",VLOOKUP($B671+IF($C671=12,1,0),Paraméterek!$V$257:$W$262,2),IF($B671=1,1,VLOOKUP($B671+IF($C671=12,1,0),Paraméterek!$I$258:$T$278,HLOOKUP($M$11+1,Paraméterek!$J$256:$T$257,2)))),IF($D$4="Forint",0,2)))</f>
        <v>#N/A</v>
      </c>
      <c r="X671" s="13" t="e">
        <f ca="1">ROUNDDOWN($W671*IF($D$2="Egyszeri",VLOOKUP($B671+IF($C671=12,1,0),Paraméterek!$V$257:$W$262,2),VLOOKUP($B671+IF($C671=12,1,0),Paraméterek!$I$258:$T$278,HLOOKUP($M$11+1,Paraméterek!$I$256:$T$257,2))),IF($D$4="Forint",0,2))</f>
        <v>#N/A</v>
      </c>
      <c r="Z671" s="32">
        <v>652</v>
      </c>
      <c r="AA671" s="32">
        <v>55</v>
      </c>
      <c r="AB671" s="32">
        <v>4</v>
      </c>
      <c r="AC671" s="13">
        <f t="shared" ca="1" si="236"/>
        <v>0</v>
      </c>
      <c r="AD671" s="33"/>
      <c r="AE671" s="13">
        <f t="shared" ca="1" si="228"/>
        <v>0</v>
      </c>
      <c r="AF671" s="13">
        <f ca="1">ROUNDUP(($AC671+$AE671)*VLOOKUP($AA671,Paraméterek!$P$38:$Q$38,2)/12*IF($D672="Nem",IF($M$13=0,1,$M$13),1),IF($D$4="Forint",0,2))</f>
        <v>0</v>
      </c>
      <c r="AG671" s="13">
        <f ca="1">IF($D$2="Egyszeri",IF($D$7&gt;=IF($D$4="Forint",Paraméterek!$P$223,Paraméterek!$P$224),$D$7-IF($D$4="Forint",Paraméterek!$P$223,Paraméterek!$P$224),0),MIN(IF($AB671=12,AVERAGEIF($E$20:$E671,"&gt;0",$E$20:$E671)*12,0),SUM($E$20:$E$31)))</f>
        <v>0</v>
      </c>
      <c r="AH671" s="13">
        <f>IF($AA671=10,$AG671*IF($AB671=12,IF($AG671&lt;IF($D$4="Forint",Paraméterek!$L$223,Paraméterek!$L$224),0,VLOOKUP($AA671,Paraméterek!$K$226:$M$228,IF($AG671&lt;IF($D$4="Forint",Paraméterek!$M$223,Paraméterek!$M$224),2,3))),0),0)</f>
        <v>0</v>
      </c>
      <c r="AI671" s="13">
        <f ca="1">IF(AND($AA671=$M$11+1,$AB671=$M$12+1),SUMIF($AA$20:$AA$1027,$AA671,$AG$20:$AG$1027)*IF(SUMIF($AA$20:$AA$1027,$AA671,$AG$20:$AG$1027)&lt;IF($D$4="Forint",Paraméterek!$L$223,Paraméterek!$L$224),0,VLOOKUP($AA671,Paraméterek!$K$230:$M$250,IF(SUMIF($AA$20:$AA$1027,$AA671,$AG$20:$AG$1027)&lt;IF($D$4="Forint",Paraméterek!$M$223,Paraméterek!$M$224),2,3))),0)</f>
        <v>0</v>
      </c>
      <c r="AJ671" s="13">
        <f ca="1">IF(AND($AA671&gt;=5,MOD($AA671,5)=0),IF($AB671=12,VLOOKUP($AA671,Paraméterek!$O$225:$P$240,2),0),IF(OR($AA671=3,$AA671=4),IF($AB671=12,VLOOKUP($AA671,Paraméterek!$O$225:$P$240,2,0),0),0))*$AG671</f>
        <v>0</v>
      </c>
      <c r="AK671" s="13">
        <f t="shared" ca="1" si="229"/>
        <v>0</v>
      </c>
      <c r="AL671" s="13">
        <f t="shared" ca="1" si="237"/>
        <v>0</v>
      </c>
      <c r="AM671" s="13">
        <f t="shared" ca="1" si="238"/>
        <v>0</v>
      </c>
      <c r="AO671" s="32">
        <v>652</v>
      </c>
      <c r="AP671" s="32">
        <v>55</v>
      </c>
      <c r="AQ671" s="32">
        <v>4</v>
      </c>
      <c r="AR671" s="13"/>
      <c r="AS671" s="32"/>
      <c r="AT671" s="13">
        <f t="shared" ca="1" si="239"/>
        <v>0</v>
      </c>
      <c r="AU671" s="33"/>
      <c r="AV671" s="13">
        <f t="shared" ca="1" si="230"/>
        <v>0</v>
      </c>
      <c r="AW671" s="13">
        <f ca="1">ROUNDUP(($AT671+$AV671)*VLOOKUP($AP671,Paraméterek!$P$38:$Q$38,2)/12*IF($D672="Nem",IF($M$13=0,1,$M$13),1),IF($D$4="Forint",0,2))</f>
        <v>0</v>
      </c>
      <c r="AX671" s="13"/>
      <c r="AY671" s="13"/>
      <c r="AZ671" s="13">
        <f>ROUNDUP(IF(SUM($AX671:$AY671)=0,0,IF(IF(ISBLANK($AY671),$AX671,$AY671)*Paraméterek!$J$112&lt;IF($D$4="Forint",Paraméterek!$J$113,Paraméterek!$K$113),IF($D$4="Forint",Paraméterek!$J$113,Paraméterek!$K$113),IF(IF(ISBLANK($AY671),$AX671,$AY671)*Paraméterek!$J$112&gt;IF($D$4="Forint",Paraméterek!$J$114,Paraméterek!$K$114),IF($D$4="Forint",Paraméterek!$J$114,Paraméterek!$K$114),IF(ISBLANK($AY671),$AX671,$AY671)*Paraméterek!$J$112))),IF($D$4="Forint",0,2))</f>
        <v>0</v>
      </c>
      <c r="BA671" s="13">
        <f ca="1">$AT671+$AV671-$AW671-IF(ROUNDDOWN(IF(ISBLANK($AY671),$AX671,$AY671),IF($D$4="Forint",0,2))&gt;$AT671+$AV671-$AW671-IF($D$4="Forint",Paraméterek!$J$114,Paraméterek!$K$114),0,ROUNDDOWN(IF(ISBLANK($AY671),$AX671,$AY671),IF($D$4="Forint",0,2))-$AZ671)</f>
        <v>0</v>
      </c>
      <c r="BB671" s="13">
        <f t="shared" ca="1" si="231"/>
        <v>0</v>
      </c>
      <c r="BD671" s="32">
        <v>652</v>
      </c>
      <c r="BE671" s="32">
        <v>55</v>
      </c>
      <c r="BF671" s="32">
        <v>4</v>
      </c>
      <c r="BG671" s="34">
        <f t="shared" ca="1" si="240"/>
        <v>2073</v>
      </c>
      <c r="BH671" s="32" t="str">
        <f ca="1">IF(MOD(MONTH($D$14)+$BD671-1,12)=Paraméterek!$C$288,"Igen","")</f>
        <v/>
      </c>
      <c r="BI671" s="13">
        <f ca="1">IF($BH671="Igen",MIN(ROUNDDOWN((SUMIF($BG$20:$BG$1027,$BG671-1,$K$20:$K$1027)-SUMIF($BG$20:$BG$1027,$BG671-1,$I$20:$I$1027))*Paraméterek!$C$289,IF($D$4="Forint",0,2)),IF($D$4="Forint",Paraméterek!$C$285,Paraméterek!$D$285)),0)</f>
        <v>0</v>
      </c>
      <c r="BJ671" s="13">
        <f t="shared" ca="1" si="232"/>
        <v>0</v>
      </c>
      <c r="BK671" s="13">
        <f t="shared" ca="1" si="241"/>
        <v>0</v>
      </c>
      <c r="BL671" s="33"/>
      <c r="BM671" s="13">
        <f t="shared" ca="1" si="233"/>
        <v>0</v>
      </c>
      <c r="BN671" s="13">
        <f ca="1">ROUNDUP(($BK671+$BM671)*VLOOKUP($BE671,Paraméterek!$P$38:$Q$38,2)/12*IF($D672="Nem",IF($M$13=0,1,$M$13),1),IF($D$4="Forint",0,2))</f>
        <v>0</v>
      </c>
      <c r="BO671" s="13">
        <f t="shared" ca="1" si="234"/>
        <v>0</v>
      </c>
      <c r="BP671" s="13">
        <f ca="1">IF($D672="Nem",$BO671,$BO671-ROUNDUP(SUM($BI$20:$BI671)*120%,IF($D$4="Forint",0,2)))</f>
        <v>0</v>
      </c>
    </row>
    <row r="672" spans="1:68" x14ac:dyDescent="0.2">
      <c r="A672" s="32">
        <v>653</v>
      </c>
      <c r="B672" s="32">
        <v>55</v>
      </c>
      <c r="C672" s="32">
        <v>5</v>
      </c>
      <c r="D672" s="32" t="str">
        <f t="shared" ca="1" si="220"/>
        <v>Nem</v>
      </c>
      <c r="E672" s="13">
        <f t="shared" ca="1" si="221"/>
        <v>0</v>
      </c>
      <c r="F672" s="13"/>
      <c r="G672" s="13"/>
      <c r="H672" s="13"/>
      <c r="I672" s="13">
        <f t="shared" ca="1" si="222"/>
        <v>0</v>
      </c>
      <c r="J672" s="13">
        <f t="shared" ca="1" si="223"/>
        <v>0</v>
      </c>
      <c r="K672" s="13">
        <f t="shared" ca="1" si="224"/>
        <v>0</v>
      </c>
      <c r="L672" s="13" t="e">
        <f ca="1">ROUNDUP(IF($D$2="Egyszeri",$E672,IF($D$2="Havi",SUM($E$20:$E$31),IF(MOD($C672,$M$1)-1=0,SUM($E$20:$E$31),0))/12*$M$1)*VLOOKUP($B672,Paraméterek!$I$28:$P$31,IF($D$2="Egyszeri",8,HLOOKUP(ROUNDUP($M$11+$M$13,0),Paraméterek!$J$26:$O$27,2))),IF($D$4="Forint",0,2))</f>
        <v>#N/A</v>
      </c>
      <c r="M672" s="13">
        <f t="shared" ca="1" si="225"/>
        <v>0</v>
      </c>
      <c r="N672" s="13">
        <f t="shared" ca="1" si="235"/>
        <v>0</v>
      </c>
      <c r="O672" s="13">
        <f ca="1">IF($D672="Igen",IF($W671&gt;=IF($D$4="Forint",Paraméterek!$J$121,Paraméterek!$K$121),0,IF($D$4="Forint",Paraméterek!$J$121,Paraméterek!$K$121)-$W671),0)</f>
        <v>0</v>
      </c>
      <c r="P672" s="13" t="e">
        <f ca="1">ROUNDUP($O672*VLOOKUP($M$4+$B672-1,Paraméterek!$H$58:$I$105,2,0)/Paraméterek!$I$56,IF($D$4="Forint",0,2))</f>
        <v>#N/A</v>
      </c>
      <c r="Q672" s="13">
        <f t="shared" ca="1" si="226"/>
        <v>0</v>
      </c>
      <c r="R672" s="33"/>
      <c r="S672" s="13" t="e">
        <f t="shared" ca="1" si="227"/>
        <v>#N/A</v>
      </c>
      <c r="T672" s="13" t="e">
        <f ca="1">ROUNDUP(($N672-$P672-$Q672+$S672)*VLOOKUP($B672,Paraméterek!$I$38:$K$39,IF($D$2="Egyszeri",3,2))/12*IF($D673="Nem",IF($M$13=0,1,$M$13),1),IF($D$4="Forint",0,2))</f>
        <v>#N/A</v>
      </c>
      <c r="U672" s="13"/>
      <c r="V672" s="13"/>
      <c r="W672" s="13" t="e">
        <f ca="1">$N672-$P672-$Q672+$S672-$T672-IF(ROUNDUP(IF(ISBLANK($V672),$U672*0,$V672)/IF($D$2="Egyszeri",VLOOKUP($B672+IF($C672=12,1,0),Paraméterek!$V$257:$W$262,2),IF($B672=1,1,VLOOKUP($B672+IF($C672=12,1,0),Paraméterek!$I$258:$T$278,HLOOKUP($M$11+1,Paraméterek!$J$256:$T$257,2)))),IF($D$4="Forint",0,2))&gt;$N672-$P672-$Q672+$S672-$T672-IF($D$4="Forint",Paraméterek!$C$216,Paraméterek!$D$216),0,ROUNDUP(IF(ISBLANK($V672),$U672*0,$V672)/IF($D$2="Egyszeri",VLOOKUP($B672+IF($C672=12,1,0),Paraméterek!$V$257:$W$262,2),IF($B672=1,1,VLOOKUP($B672+IF($C672=12,1,0),Paraméterek!$I$258:$T$278,HLOOKUP($M$11+1,Paraméterek!$J$256:$T$257,2)))),IF($D$4="Forint",0,2)))</f>
        <v>#N/A</v>
      </c>
      <c r="X672" s="13" t="e">
        <f ca="1">ROUNDDOWN($W672*IF($D$2="Egyszeri",VLOOKUP($B672+IF($C672=12,1,0),Paraméterek!$V$257:$W$262,2),VLOOKUP($B672+IF($C672=12,1,0),Paraméterek!$I$258:$T$278,HLOOKUP($M$11+1,Paraméterek!$I$256:$T$257,2))),IF($D$4="Forint",0,2))</f>
        <v>#N/A</v>
      </c>
      <c r="Z672" s="32">
        <v>653</v>
      </c>
      <c r="AA672" s="32">
        <v>55</v>
      </c>
      <c r="AB672" s="32">
        <v>5</v>
      </c>
      <c r="AC672" s="13">
        <f t="shared" ca="1" si="236"/>
        <v>0</v>
      </c>
      <c r="AD672" s="33"/>
      <c r="AE672" s="13">
        <f t="shared" ca="1" si="228"/>
        <v>0</v>
      </c>
      <c r="AF672" s="13">
        <f ca="1">ROUNDUP(($AC672+$AE672)*VLOOKUP($AA672,Paraméterek!$P$38:$Q$38,2)/12*IF($D673="Nem",IF($M$13=0,1,$M$13),1),IF($D$4="Forint",0,2))</f>
        <v>0</v>
      </c>
      <c r="AG672" s="13">
        <f ca="1">IF($D$2="Egyszeri",IF($D$7&gt;=IF($D$4="Forint",Paraméterek!$P$223,Paraméterek!$P$224),$D$7-IF($D$4="Forint",Paraméterek!$P$223,Paraméterek!$P$224),0),MIN(IF($AB672=12,AVERAGEIF($E$20:$E672,"&gt;0",$E$20:$E672)*12,0),SUM($E$20:$E$31)))</f>
        <v>0</v>
      </c>
      <c r="AH672" s="13">
        <f>IF($AA672=10,$AG672*IF($AB672=12,IF($AG672&lt;IF($D$4="Forint",Paraméterek!$L$223,Paraméterek!$L$224),0,VLOOKUP($AA672,Paraméterek!$K$226:$M$228,IF($AG672&lt;IF($D$4="Forint",Paraméterek!$M$223,Paraméterek!$M$224),2,3))),0),0)</f>
        <v>0</v>
      </c>
      <c r="AI672" s="13">
        <f ca="1">IF(AND($AA672=$M$11+1,$AB672=$M$12+1),SUMIF($AA$20:$AA$1027,$AA672,$AG$20:$AG$1027)*IF(SUMIF($AA$20:$AA$1027,$AA672,$AG$20:$AG$1027)&lt;IF($D$4="Forint",Paraméterek!$L$223,Paraméterek!$L$224),0,VLOOKUP($AA672,Paraméterek!$K$230:$M$250,IF(SUMIF($AA$20:$AA$1027,$AA672,$AG$20:$AG$1027)&lt;IF($D$4="Forint",Paraméterek!$M$223,Paraméterek!$M$224),2,3))),0)</f>
        <v>0</v>
      </c>
      <c r="AJ672" s="13">
        <f ca="1">IF(AND($AA672&gt;=5,MOD($AA672,5)=0),IF($AB672=12,VLOOKUP($AA672,Paraméterek!$O$225:$P$240,2),0),IF(OR($AA672=3,$AA672=4),IF($AB672=12,VLOOKUP($AA672,Paraméterek!$O$225:$P$240,2,0),0),0))*$AG672</f>
        <v>0</v>
      </c>
      <c r="AK672" s="13">
        <f t="shared" ca="1" si="229"/>
        <v>0</v>
      </c>
      <c r="AL672" s="13">
        <f t="shared" ca="1" si="237"/>
        <v>0</v>
      </c>
      <c r="AM672" s="13">
        <f t="shared" ca="1" si="238"/>
        <v>0</v>
      </c>
      <c r="AO672" s="32">
        <v>653</v>
      </c>
      <c r="AP672" s="32">
        <v>55</v>
      </c>
      <c r="AQ672" s="32">
        <v>5</v>
      </c>
      <c r="AR672" s="13"/>
      <c r="AS672" s="32"/>
      <c r="AT672" s="13">
        <f t="shared" ca="1" si="239"/>
        <v>0</v>
      </c>
      <c r="AU672" s="33"/>
      <c r="AV672" s="13">
        <f t="shared" ca="1" si="230"/>
        <v>0</v>
      </c>
      <c r="AW672" s="13">
        <f ca="1">ROUNDUP(($AT672+$AV672)*VLOOKUP($AP672,Paraméterek!$P$38:$Q$38,2)/12*IF($D673="Nem",IF($M$13=0,1,$M$13),1),IF($D$4="Forint",0,2))</f>
        <v>0</v>
      </c>
      <c r="AX672" s="13"/>
      <c r="AY672" s="13"/>
      <c r="AZ672" s="13">
        <f>ROUNDUP(IF(SUM($AX672:$AY672)=0,0,IF(IF(ISBLANK($AY672),$AX672,$AY672)*Paraméterek!$J$112&lt;IF($D$4="Forint",Paraméterek!$J$113,Paraméterek!$K$113),IF($D$4="Forint",Paraméterek!$J$113,Paraméterek!$K$113),IF(IF(ISBLANK($AY672),$AX672,$AY672)*Paraméterek!$J$112&gt;IF($D$4="Forint",Paraméterek!$J$114,Paraméterek!$K$114),IF($D$4="Forint",Paraméterek!$J$114,Paraméterek!$K$114),IF(ISBLANK($AY672),$AX672,$AY672)*Paraméterek!$J$112))),IF($D$4="Forint",0,2))</f>
        <v>0</v>
      </c>
      <c r="BA672" s="13">
        <f ca="1">$AT672+$AV672-$AW672-IF(ROUNDDOWN(IF(ISBLANK($AY672),$AX672,$AY672),IF($D$4="Forint",0,2))&gt;$AT672+$AV672-$AW672-IF($D$4="Forint",Paraméterek!$J$114,Paraméterek!$K$114),0,ROUNDDOWN(IF(ISBLANK($AY672),$AX672,$AY672),IF($D$4="Forint",0,2))-$AZ672)</f>
        <v>0</v>
      </c>
      <c r="BB672" s="13">
        <f t="shared" ca="1" si="231"/>
        <v>0</v>
      </c>
      <c r="BD672" s="32">
        <v>653</v>
      </c>
      <c r="BE672" s="32">
        <v>55</v>
      </c>
      <c r="BF672" s="32">
        <v>5</v>
      </c>
      <c r="BG672" s="34">
        <f t="shared" ca="1" si="240"/>
        <v>2073</v>
      </c>
      <c r="BH672" s="32" t="str">
        <f ca="1">IF(MOD(MONTH($D$14)+$BD672-1,12)=Paraméterek!$C$288,"Igen","")</f>
        <v/>
      </c>
      <c r="BI672" s="13">
        <f ca="1">IF($BH672="Igen",MIN(ROUNDDOWN((SUMIF($BG$20:$BG$1027,$BG672-1,$K$20:$K$1027)-SUMIF($BG$20:$BG$1027,$BG672-1,$I$20:$I$1027))*Paraméterek!$C$289,IF($D$4="Forint",0,2)),IF($D$4="Forint",Paraméterek!$C$285,Paraméterek!$D$285)),0)</f>
        <v>0</v>
      </c>
      <c r="BJ672" s="13">
        <f t="shared" ca="1" si="232"/>
        <v>0</v>
      </c>
      <c r="BK672" s="13">
        <f t="shared" ca="1" si="241"/>
        <v>0</v>
      </c>
      <c r="BL672" s="33"/>
      <c r="BM672" s="13">
        <f t="shared" ca="1" si="233"/>
        <v>0</v>
      </c>
      <c r="BN672" s="13">
        <f ca="1">ROUNDUP(($BK672+$BM672)*VLOOKUP($BE672,Paraméterek!$P$38:$Q$38,2)/12*IF($D673="Nem",IF($M$13=0,1,$M$13),1),IF($D$4="Forint",0,2))</f>
        <v>0</v>
      </c>
      <c r="BO672" s="13">
        <f t="shared" ca="1" si="234"/>
        <v>0</v>
      </c>
      <c r="BP672" s="13">
        <f ca="1">IF($D673="Nem",$BO672,$BO672-ROUNDUP(SUM($BI$20:$BI672)*120%,IF($D$4="Forint",0,2)))</f>
        <v>0</v>
      </c>
    </row>
    <row r="673" spans="1:68" x14ac:dyDescent="0.2">
      <c r="A673" s="32">
        <v>654</v>
      </c>
      <c r="B673" s="32">
        <v>55</v>
      </c>
      <c r="C673" s="32">
        <v>6</v>
      </c>
      <c r="D673" s="32" t="str">
        <f t="shared" ca="1" si="220"/>
        <v>Nem</v>
      </c>
      <c r="E673" s="13">
        <f t="shared" ca="1" si="221"/>
        <v>0</v>
      </c>
      <c r="F673" s="13"/>
      <c r="G673" s="13"/>
      <c r="H673" s="13"/>
      <c r="I673" s="13">
        <f t="shared" ca="1" si="222"/>
        <v>0</v>
      </c>
      <c r="J673" s="13">
        <f t="shared" ca="1" si="223"/>
        <v>0</v>
      </c>
      <c r="K673" s="13">
        <f t="shared" ca="1" si="224"/>
        <v>0</v>
      </c>
      <c r="L673" s="13" t="e">
        <f ca="1">ROUNDUP(IF($D$2="Egyszeri",$E673,IF($D$2="Havi",SUM($E$20:$E$31),IF(MOD($C673,$M$1)-1=0,SUM($E$20:$E$31),0))/12*$M$1)*VLOOKUP($B673,Paraméterek!$I$28:$P$31,IF($D$2="Egyszeri",8,HLOOKUP(ROUNDUP($M$11+$M$13,0),Paraméterek!$J$26:$O$27,2))),IF($D$4="Forint",0,2))</f>
        <v>#N/A</v>
      </c>
      <c r="M673" s="13">
        <f t="shared" ca="1" si="225"/>
        <v>0</v>
      </c>
      <c r="N673" s="13">
        <f t="shared" ca="1" si="235"/>
        <v>0</v>
      </c>
      <c r="O673" s="13">
        <f ca="1">IF($D673="Igen",IF($W672&gt;=IF($D$4="Forint",Paraméterek!$J$121,Paraméterek!$K$121),0,IF($D$4="Forint",Paraméterek!$J$121,Paraméterek!$K$121)-$W672),0)</f>
        <v>0</v>
      </c>
      <c r="P673" s="13" t="e">
        <f ca="1">ROUNDUP($O673*VLOOKUP($M$4+$B673-1,Paraméterek!$H$58:$I$105,2,0)/Paraméterek!$I$56,IF($D$4="Forint",0,2))</f>
        <v>#N/A</v>
      </c>
      <c r="Q673" s="13">
        <f t="shared" ca="1" si="226"/>
        <v>0</v>
      </c>
      <c r="R673" s="33"/>
      <c r="S673" s="13" t="e">
        <f t="shared" ca="1" si="227"/>
        <v>#N/A</v>
      </c>
      <c r="T673" s="13" t="e">
        <f ca="1">ROUNDUP(($N673-$P673-$Q673+$S673)*VLOOKUP($B673,Paraméterek!$I$38:$K$39,IF($D$2="Egyszeri",3,2))/12*IF($D674="Nem",IF($M$13=0,1,$M$13),1),IF($D$4="Forint",0,2))</f>
        <v>#N/A</v>
      </c>
      <c r="U673" s="13"/>
      <c r="V673" s="13"/>
      <c r="W673" s="13" t="e">
        <f ca="1">$N673-$P673-$Q673+$S673-$T673-IF(ROUNDUP(IF(ISBLANK($V673),$U673*0,$V673)/IF($D$2="Egyszeri",VLOOKUP($B673+IF($C673=12,1,0),Paraméterek!$V$257:$W$262,2),IF($B673=1,1,VLOOKUP($B673+IF($C673=12,1,0),Paraméterek!$I$258:$T$278,HLOOKUP($M$11+1,Paraméterek!$J$256:$T$257,2)))),IF($D$4="Forint",0,2))&gt;$N673-$P673-$Q673+$S673-$T673-IF($D$4="Forint",Paraméterek!$C$216,Paraméterek!$D$216),0,ROUNDUP(IF(ISBLANK($V673),$U673*0,$V673)/IF($D$2="Egyszeri",VLOOKUP($B673+IF($C673=12,1,0),Paraméterek!$V$257:$W$262,2),IF($B673=1,1,VLOOKUP($B673+IF($C673=12,1,0),Paraméterek!$I$258:$T$278,HLOOKUP($M$11+1,Paraméterek!$J$256:$T$257,2)))),IF($D$4="Forint",0,2)))</f>
        <v>#N/A</v>
      </c>
      <c r="X673" s="13" t="e">
        <f ca="1">ROUNDDOWN($W673*IF($D$2="Egyszeri",VLOOKUP($B673+IF($C673=12,1,0),Paraméterek!$V$257:$W$262,2),VLOOKUP($B673+IF($C673=12,1,0),Paraméterek!$I$258:$T$278,HLOOKUP($M$11+1,Paraméterek!$I$256:$T$257,2))),IF($D$4="Forint",0,2))</f>
        <v>#N/A</v>
      </c>
      <c r="Z673" s="32">
        <v>654</v>
      </c>
      <c r="AA673" s="32">
        <v>55</v>
      </c>
      <c r="AB673" s="32">
        <v>6</v>
      </c>
      <c r="AC673" s="13">
        <f t="shared" ca="1" si="236"/>
        <v>0</v>
      </c>
      <c r="AD673" s="33"/>
      <c r="AE673" s="13">
        <f t="shared" ca="1" si="228"/>
        <v>0</v>
      </c>
      <c r="AF673" s="13">
        <f ca="1">ROUNDUP(($AC673+$AE673)*VLOOKUP($AA673,Paraméterek!$P$38:$Q$38,2)/12*IF($D674="Nem",IF($M$13=0,1,$M$13),1),IF($D$4="Forint",0,2))</f>
        <v>0</v>
      </c>
      <c r="AG673" s="13">
        <f ca="1">IF($D$2="Egyszeri",IF($D$7&gt;=IF($D$4="Forint",Paraméterek!$P$223,Paraméterek!$P$224),$D$7-IF($D$4="Forint",Paraméterek!$P$223,Paraméterek!$P$224),0),MIN(IF($AB673=12,AVERAGEIF($E$20:$E673,"&gt;0",$E$20:$E673)*12,0),SUM($E$20:$E$31)))</f>
        <v>0</v>
      </c>
      <c r="AH673" s="13">
        <f>IF($AA673=10,$AG673*IF($AB673=12,IF($AG673&lt;IF($D$4="Forint",Paraméterek!$L$223,Paraméterek!$L$224),0,VLOOKUP($AA673,Paraméterek!$K$226:$M$228,IF($AG673&lt;IF($D$4="Forint",Paraméterek!$M$223,Paraméterek!$M$224),2,3))),0),0)</f>
        <v>0</v>
      </c>
      <c r="AI673" s="13">
        <f ca="1">IF(AND($AA673=$M$11+1,$AB673=$M$12+1),SUMIF($AA$20:$AA$1027,$AA673,$AG$20:$AG$1027)*IF(SUMIF($AA$20:$AA$1027,$AA673,$AG$20:$AG$1027)&lt;IF($D$4="Forint",Paraméterek!$L$223,Paraméterek!$L$224),0,VLOOKUP($AA673,Paraméterek!$K$230:$M$250,IF(SUMIF($AA$20:$AA$1027,$AA673,$AG$20:$AG$1027)&lt;IF($D$4="Forint",Paraméterek!$M$223,Paraméterek!$M$224),2,3))),0)</f>
        <v>0</v>
      </c>
      <c r="AJ673" s="13">
        <f ca="1">IF(AND($AA673&gt;=5,MOD($AA673,5)=0),IF($AB673=12,VLOOKUP($AA673,Paraméterek!$O$225:$P$240,2),0),IF(OR($AA673=3,$AA673=4),IF($AB673=12,VLOOKUP($AA673,Paraméterek!$O$225:$P$240,2,0),0),0))*$AG673</f>
        <v>0</v>
      </c>
      <c r="AK673" s="13">
        <f t="shared" ca="1" si="229"/>
        <v>0</v>
      </c>
      <c r="AL673" s="13">
        <f t="shared" ca="1" si="237"/>
        <v>0</v>
      </c>
      <c r="AM673" s="13">
        <f t="shared" ca="1" si="238"/>
        <v>0</v>
      </c>
      <c r="AO673" s="32">
        <v>654</v>
      </c>
      <c r="AP673" s="32">
        <v>55</v>
      </c>
      <c r="AQ673" s="32">
        <v>6</v>
      </c>
      <c r="AR673" s="13"/>
      <c r="AS673" s="32"/>
      <c r="AT673" s="13">
        <f t="shared" ca="1" si="239"/>
        <v>0</v>
      </c>
      <c r="AU673" s="33"/>
      <c r="AV673" s="13">
        <f t="shared" ca="1" si="230"/>
        <v>0</v>
      </c>
      <c r="AW673" s="13">
        <f ca="1">ROUNDUP(($AT673+$AV673)*VLOOKUP($AP673,Paraméterek!$P$38:$Q$38,2)/12*IF($D674="Nem",IF($M$13=0,1,$M$13),1),IF($D$4="Forint",0,2))</f>
        <v>0</v>
      </c>
      <c r="AX673" s="13"/>
      <c r="AY673" s="13"/>
      <c r="AZ673" s="13">
        <f>ROUNDUP(IF(SUM($AX673:$AY673)=0,0,IF(IF(ISBLANK($AY673),$AX673,$AY673)*Paraméterek!$J$112&lt;IF($D$4="Forint",Paraméterek!$J$113,Paraméterek!$K$113),IF($D$4="Forint",Paraméterek!$J$113,Paraméterek!$K$113),IF(IF(ISBLANK($AY673),$AX673,$AY673)*Paraméterek!$J$112&gt;IF($D$4="Forint",Paraméterek!$J$114,Paraméterek!$K$114),IF($D$4="Forint",Paraméterek!$J$114,Paraméterek!$K$114),IF(ISBLANK($AY673),$AX673,$AY673)*Paraméterek!$J$112))),IF($D$4="Forint",0,2))</f>
        <v>0</v>
      </c>
      <c r="BA673" s="13">
        <f ca="1">$AT673+$AV673-$AW673-IF(ROUNDDOWN(IF(ISBLANK($AY673),$AX673,$AY673),IF($D$4="Forint",0,2))&gt;$AT673+$AV673-$AW673-IF($D$4="Forint",Paraméterek!$J$114,Paraméterek!$K$114),0,ROUNDDOWN(IF(ISBLANK($AY673),$AX673,$AY673),IF($D$4="Forint",0,2))-$AZ673)</f>
        <v>0</v>
      </c>
      <c r="BB673" s="13">
        <f t="shared" ca="1" si="231"/>
        <v>0</v>
      </c>
      <c r="BD673" s="32">
        <v>654</v>
      </c>
      <c r="BE673" s="32">
        <v>55</v>
      </c>
      <c r="BF673" s="32">
        <v>6</v>
      </c>
      <c r="BG673" s="34">
        <f t="shared" ca="1" si="240"/>
        <v>2073</v>
      </c>
      <c r="BH673" s="32" t="str">
        <f ca="1">IF(MOD(MONTH($D$14)+$BD673-1,12)=Paraméterek!$C$288,"Igen","")</f>
        <v/>
      </c>
      <c r="BI673" s="13">
        <f ca="1">IF($BH673="Igen",MIN(ROUNDDOWN((SUMIF($BG$20:$BG$1027,$BG673-1,$K$20:$K$1027)-SUMIF($BG$20:$BG$1027,$BG673-1,$I$20:$I$1027))*Paraméterek!$C$289,IF($D$4="Forint",0,2)),IF($D$4="Forint",Paraméterek!$C$285,Paraméterek!$D$285)),0)</f>
        <v>0</v>
      </c>
      <c r="BJ673" s="13">
        <f t="shared" ca="1" si="232"/>
        <v>0</v>
      </c>
      <c r="BK673" s="13">
        <f t="shared" ca="1" si="241"/>
        <v>0</v>
      </c>
      <c r="BL673" s="33"/>
      <c r="BM673" s="13">
        <f t="shared" ca="1" si="233"/>
        <v>0</v>
      </c>
      <c r="BN673" s="13">
        <f ca="1">ROUNDUP(($BK673+$BM673)*VLOOKUP($BE673,Paraméterek!$P$38:$Q$38,2)/12*IF($D674="Nem",IF($M$13=0,1,$M$13),1),IF($D$4="Forint",0,2))</f>
        <v>0</v>
      </c>
      <c r="BO673" s="13">
        <f t="shared" ca="1" si="234"/>
        <v>0</v>
      </c>
      <c r="BP673" s="13">
        <f ca="1">IF($D674="Nem",$BO673,$BO673-ROUNDUP(SUM($BI$20:$BI673)*120%,IF($D$4="Forint",0,2)))</f>
        <v>0</v>
      </c>
    </row>
    <row r="674" spans="1:68" x14ac:dyDescent="0.2">
      <c r="A674" s="32">
        <v>655</v>
      </c>
      <c r="B674" s="32">
        <v>55</v>
      </c>
      <c r="C674" s="32">
        <v>7</v>
      </c>
      <c r="D674" s="32" t="str">
        <f t="shared" ca="1" si="220"/>
        <v>Nem</v>
      </c>
      <c r="E674" s="13">
        <f t="shared" ca="1" si="221"/>
        <v>0</v>
      </c>
      <c r="F674" s="13"/>
      <c r="G674" s="13"/>
      <c r="H674" s="13"/>
      <c r="I674" s="13">
        <f t="shared" ca="1" si="222"/>
        <v>0</v>
      </c>
      <c r="J674" s="13">
        <f t="shared" ca="1" si="223"/>
        <v>0</v>
      </c>
      <c r="K674" s="13">
        <f t="shared" ca="1" si="224"/>
        <v>0</v>
      </c>
      <c r="L674" s="13" t="e">
        <f ca="1">ROUNDUP(IF($D$2="Egyszeri",$E674,IF($D$2="Havi",SUM($E$20:$E$31),IF(MOD($C674,$M$1)-1=0,SUM($E$20:$E$31),0))/12*$M$1)*VLOOKUP($B674,Paraméterek!$I$28:$P$31,IF($D$2="Egyszeri",8,HLOOKUP(ROUNDUP($M$11+$M$13,0),Paraméterek!$J$26:$O$27,2))),IF($D$4="Forint",0,2))</f>
        <v>#N/A</v>
      </c>
      <c r="M674" s="13">
        <f t="shared" ca="1" si="225"/>
        <v>0</v>
      </c>
      <c r="N674" s="13">
        <f t="shared" ca="1" si="235"/>
        <v>0</v>
      </c>
      <c r="O674" s="13">
        <f ca="1">IF($D674="Igen",IF($W673&gt;=IF($D$4="Forint",Paraméterek!$J$121,Paraméterek!$K$121),0,IF($D$4="Forint",Paraméterek!$J$121,Paraméterek!$K$121)-$W673),0)</f>
        <v>0</v>
      </c>
      <c r="P674" s="13" t="e">
        <f ca="1">ROUNDUP($O674*VLOOKUP($M$4+$B674-1,Paraméterek!$H$58:$I$105,2,0)/Paraméterek!$I$56,IF($D$4="Forint",0,2))</f>
        <v>#N/A</v>
      </c>
      <c r="Q674" s="13">
        <f t="shared" ca="1" si="226"/>
        <v>0</v>
      </c>
      <c r="R674" s="33"/>
      <c r="S674" s="13" t="e">
        <f t="shared" ca="1" si="227"/>
        <v>#N/A</v>
      </c>
      <c r="T674" s="13" t="e">
        <f ca="1">ROUNDUP(($N674-$P674-$Q674+$S674)*VLOOKUP($B674,Paraméterek!$I$38:$K$39,IF($D$2="Egyszeri",3,2))/12*IF($D675="Nem",IF($M$13=0,1,$M$13),1),IF($D$4="Forint",0,2))</f>
        <v>#N/A</v>
      </c>
      <c r="U674" s="13"/>
      <c r="V674" s="13"/>
      <c r="W674" s="13" t="e">
        <f ca="1">$N674-$P674-$Q674+$S674-$T674-IF(ROUNDUP(IF(ISBLANK($V674),$U674*0,$V674)/IF($D$2="Egyszeri",VLOOKUP($B674+IF($C674=12,1,0),Paraméterek!$V$257:$W$262,2),IF($B674=1,1,VLOOKUP($B674+IF($C674=12,1,0),Paraméterek!$I$258:$T$278,HLOOKUP($M$11+1,Paraméterek!$J$256:$T$257,2)))),IF($D$4="Forint",0,2))&gt;$N674-$P674-$Q674+$S674-$T674-IF($D$4="Forint",Paraméterek!$C$216,Paraméterek!$D$216),0,ROUNDUP(IF(ISBLANK($V674),$U674*0,$V674)/IF($D$2="Egyszeri",VLOOKUP($B674+IF($C674=12,1,0),Paraméterek!$V$257:$W$262,2),IF($B674=1,1,VLOOKUP($B674+IF($C674=12,1,0),Paraméterek!$I$258:$T$278,HLOOKUP($M$11+1,Paraméterek!$J$256:$T$257,2)))),IF($D$4="Forint",0,2)))</f>
        <v>#N/A</v>
      </c>
      <c r="X674" s="13" t="e">
        <f ca="1">ROUNDDOWN($W674*IF($D$2="Egyszeri",VLOOKUP($B674+IF($C674=12,1,0),Paraméterek!$V$257:$W$262,2),VLOOKUP($B674+IF($C674=12,1,0),Paraméterek!$I$258:$T$278,HLOOKUP($M$11+1,Paraméterek!$I$256:$T$257,2))),IF($D$4="Forint",0,2))</f>
        <v>#N/A</v>
      </c>
      <c r="Z674" s="32">
        <v>655</v>
      </c>
      <c r="AA674" s="32">
        <v>55</v>
      </c>
      <c r="AB674" s="32">
        <v>7</v>
      </c>
      <c r="AC674" s="13">
        <f t="shared" ca="1" si="236"/>
        <v>0</v>
      </c>
      <c r="AD674" s="33"/>
      <c r="AE674" s="13">
        <f t="shared" ca="1" si="228"/>
        <v>0</v>
      </c>
      <c r="AF674" s="13">
        <f ca="1">ROUNDUP(($AC674+$AE674)*VLOOKUP($AA674,Paraméterek!$P$38:$Q$38,2)/12*IF($D675="Nem",IF($M$13=0,1,$M$13),1),IF($D$4="Forint",0,2))</f>
        <v>0</v>
      </c>
      <c r="AG674" s="13">
        <f ca="1">IF($D$2="Egyszeri",IF($D$7&gt;=IF($D$4="Forint",Paraméterek!$P$223,Paraméterek!$P$224),$D$7-IF($D$4="Forint",Paraméterek!$P$223,Paraméterek!$P$224),0),MIN(IF($AB674=12,AVERAGEIF($E$20:$E674,"&gt;0",$E$20:$E674)*12,0),SUM($E$20:$E$31)))</f>
        <v>0</v>
      </c>
      <c r="AH674" s="13">
        <f>IF($AA674=10,$AG674*IF($AB674=12,IF($AG674&lt;IF($D$4="Forint",Paraméterek!$L$223,Paraméterek!$L$224),0,VLOOKUP($AA674,Paraméterek!$K$226:$M$228,IF($AG674&lt;IF($D$4="Forint",Paraméterek!$M$223,Paraméterek!$M$224),2,3))),0),0)</f>
        <v>0</v>
      </c>
      <c r="AI674" s="13">
        <f ca="1">IF(AND($AA674=$M$11+1,$AB674=$M$12+1),SUMIF($AA$20:$AA$1027,$AA674,$AG$20:$AG$1027)*IF(SUMIF($AA$20:$AA$1027,$AA674,$AG$20:$AG$1027)&lt;IF($D$4="Forint",Paraméterek!$L$223,Paraméterek!$L$224),0,VLOOKUP($AA674,Paraméterek!$K$230:$M$250,IF(SUMIF($AA$20:$AA$1027,$AA674,$AG$20:$AG$1027)&lt;IF($D$4="Forint",Paraméterek!$M$223,Paraméterek!$M$224),2,3))),0)</f>
        <v>0</v>
      </c>
      <c r="AJ674" s="13">
        <f ca="1">IF(AND($AA674&gt;=5,MOD($AA674,5)=0),IF($AB674=12,VLOOKUP($AA674,Paraméterek!$O$225:$P$240,2),0),IF(OR($AA674=3,$AA674=4),IF($AB674=12,VLOOKUP($AA674,Paraméterek!$O$225:$P$240,2,0),0),0))*$AG674</f>
        <v>0</v>
      </c>
      <c r="AK674" s="13">
        <f t="shared" ca="1" si="229"/>
        <v>0</v>
      </c>
      <c r="AL674" s="13">
        <f t="shared" ca="1" si="237"/>
        <v>0</v>
      </c>
      <c r="AM674" s="13">
        <f t="shared" ca="1" si="238"/>
        <v>0</v>
      </c>
      <c r="AO674" s="32">
        <v>655</v>
      </c>
      <c r="AP674" s="32">
        <v>55</v>
      </c>
      <c r="AQ674" s="32">
        <v>7</v>
      </c>
      <c r="AR674" s="13"/>
      <c r="AS674" s="32"/>
      <c r="AT674" s="13">
        <f t="shared" ca="1" si="239"/>
        <v>0</v>
      </c>
      <c r="AU674" s="33"/>
      <c r="AV674" s="13">
        <f t="shared" ca="1" si="230"/>
        <v>0</v>
      </c>
      <c r="AW674" s="13">
        <f ca="1">ROUNDUP(($AT674+$AV674)*VLOOKUP($AP674,Paraméterek!$P$38:$Q$38,2)/12*IF($D675="Nem",IF($M$13=0,1,$M$13),1),IF($D$4="Forint",0,2))</f>
        <v>0</v>
      </c>
      <c r="AX674" s="13"/>
      <c r="AY674" s="13"/>
      <c r="AZ674" s="13">
        <f>ROUNDUP(IF(SUM($AX674:$AY674)=0,0,IF(IF(ISBLANK($AY674),$AX674,$AY674)*Paraméterek!$J$112&lt;IF($D$4="Forint",Paraméterek!$J$113,Paraméterek!$K$113),IF($D$4="Forint",Paraméterek!$J$113,Paraméterek!$K$113),IF(IF(ISBLANK($AY674),$AX674,$AY674)*Paraméterek!$J$112&gt;IF($D$4="Forint",Paraméterek!$J$114,Paraméterek!$K$114),IF($D$4="Forint",Paraméterek!$J$114,Paraméterek!$K$114),IF(ISBLANK($AY674),$AX674,$AY674)*Paraméterek!$J$112))),IF($D$4="Forint",0,2))</f>
        <v>0</v>
      </c>
      <c r="BA674" s="13">
        <f ca="1">$AT674+$AV674-$AW674-IF(ROUNDDOWN(IF(ISBLANK($AY674),$AX674,$AY674),IF($D$4="Forint",0,2))&gt;$AT674+$AV674-$AW674-IF($D$4="Forint",Paraméterek!$J$114,Paraméterek!$K$114),0,ROUNDDOWN(IF(ISBLANK($AY674),$AX674,$AY674),IF($D$4="Forint",0,2))-$AZ674)</f>
        <v>0</v>
      </c>
      <c r="BB674" s="13">
        <f t="shared" ca="1" si="231"/>
        <v>0</v>
      </c>
      <c r="BD674" s="32">
        <v>655</v>
      </c>
      <c r="BE674" s="32">
        <v>55</v>
      </c>
      <c r="BF674" s="32">
        <v>7</v>
      </c>
      <c r="BG674" s="34">
        <f t="shared" ca="1" si="240"/>
        <v>2073</v>
      </c>
      <c r="BH674" s="32" t="str">
        <f ca="1">IF(MOD(MONTH($D$14)+$BD674-1,12)=Paraméterek!$C$288,"Igen","")</f>
        <v/>
      </c>
      <c r="BI674" s="13">
        <f ca="1">IF($BH674="Igen",MIN(ROUNDDOWN((SUMIF($BG$20:$BG$1027,$BG674-1,$K$20:$K$1027)-SUMIF($BG$20:$BG$1027,$BG674-1,$I$20:$I$1027))*Paraméterek!$C$289,IF($D$4="Forint",0,2)),IF($D$4="Forint",Paraméterek!$C$285,Paraméterek!$D$285)),0)</f>
        <v>0</v>
      </c>
      <c r="BJ674" s="13">
        <f t="shared" ca="1" si="232"/>
        <v>0</v>
      </c>
      <c r="BK674" s="13">
        <f t="shared" ca="1" si="241"/>
        <v>0</v>
      </c>
      <c r="BL674" s="33"/>
      <c r="BM674" s="13">
        <f t="shared" ca="1" si="233"/>
        <v>0</v>
      </c>
      <c r="BN674" s="13">
        <f ca="1">ROUNDUP(($BK674+$BM674)*VLOOKUP($BE674,Paraméterek!$P$38:$Q$38,2)/12*IF($D675="Nem",IF($M$13=0,1,$M$13),1),IF($D$4="Forint",0,2))</f>
        <v>0</v>
      </c>
      <c r="BO674" s="13">
        <f t="shared" ca="1" si="234"/>
        <v>0</v>
      </c>
      <c r="BP674" s="13">
        <f ca="1">IF($D675="Nem",$BO674,$BO674-ROUNDUP(SUM($BI$20:$BI674)*120%,IF($D$4="Forint",0,2)))</f>
        <v>0</v>
      </c>
    </row>
    <row r="675" spans="1:68" x14ac:dyDescent="0.2">
      <c r="A675" s="32">
        <v>656</v>
      </c>
      <c r="B675" s="32">
        <v>55</v>
      </c>
      <c r="C675" s="32">
        <v>8</v>
      </c>
      <c r="D675" s="32" t="str">
        <f t="shared" ca="1" si="220"/>
        <v>Nem</v>
      </c>
      <c r="E675" s="13">
        <f t="shared" ca="1" si="221"/>
        <v>0</v>
      </c>
      <c r="F675" s="13"/>
      <c r="G675" s="13"/>
      <c r="H675" s="13"/>
      <c r="I675" s="13">
        <f t="shared" ca="1" si="222"/>
        <v>0</v>
      </c>
      <c r="J675" s="13">
        <f t="shared" ca="1" si="223"/>
        <v>0</v>
      </c>
      <c r="K675" s="13">
        <f t="shared" ca="1" si="224"/>
        <v>0</v>
      </c>
      <c r="L675" s="13" t="e">
        <f ca="1">ROUNDUP(IF($D$2="Egyszeri",$E675,IF($D$2="Havi",SUM($E$20:$E$31),IF(MOD($C675,$M$1)-1=0,SUM($E$20:$E$31),0))/12*$M$1)*VLOOKUP($B675,Paraméterek!$I$28:$P$31,IF($D$2="Egyszeri",8,HLOOKUP(ROUNDUP($M$11+$M$13,0),Paraméterek!$J$26:$O$27,2))),IF($D$4="Forint",0,2))</f>
        <v>#N/A</v>
      </c>
      <c r="M675" s="13">
        <f t="shared" ca="1" si="225"/>
        <v>0</v>
      </c>
      <c r="N675" s="13">
        <f t="shared" ca="1" si="235"/>
        <v>0</v>
      </c>
      <c r="O675" s="13">
        <f ca="1">IF($D675="Igen",IF($W674&gt;=IF($D$4="Forint",Paraméterek!$J$121,Paraméterek!$K$121),0,IF($D$4="Forint",Paraméterek!$J$121,Paraméterek!$K$121)-$W674),0)</f>
        <v>0</v>
      </c>
      <c r="P675" s="13" t="e">
        <f ca="1">ROUNDUP($O675*VLOOKUP($M$4+$B675-1,Paraméterek!$H$58:$I$105,2,0)/Paraméterek!$I$56,IF($D$4="Forint",0,2))</f>
        <v>#N/A</v>
      </c>
      <c r="Q675" s="13">
        <f t="shared" ca="1" si="226"/>
        <v>0</v>
      </c>
      <c r="R675" s="33"/>
      <c r="S675" s="13" t="e">
        <f t="shared" ca="1" si="227"/>
        <v>#N/A</v>
      </c>
      <c r="T675" s="13" t="e">
        <f ca="1">ROUNDUP(($N675-$P675-$Q675+$S675)*VLOOKUP($B675,Paraméterek!$I$38:$K$39,IF($D$2="Egyszeri",3,2))/12*IF($D676="Nem",IF($M$13=0,1,$M$13),1),IF($D$4="Forint",0,2))</f>
        <v>#N/A</v>
      </c>
      <c r="U675" s="13"/>
      <c r="V675" s="13"/>
      <c r="W675" s="13" t="e">
        <f ca="1">$N675-$P675-$Q675+$S675-$T675-IF(ROUNDUP(IF(ISBLANK($V675),$U675*0,$V675)/IF($D$2="Egyszeri",VLOOKUP($B675+IF($C675=12,1,0),Paraméterek!$V$257:$W$262,2),IF($B675=1,1,VLOOKUP($B675+IF($C675=12,1,0),Paraméterek!$I$258:$T$278,HLOOKUP($M$11+1,Paraméterek!$J$256:$T$257,2)))),IF($D$4="Forint",0,2))&gt;$N675-$P675-$Q675+$S675-$T675-IF($D$4="Forint",Paraméterek!$C$216,Paraméterek!$D$216),0,ROUNDUP(IF(ISBLANK($V675),$U675*0,$V675)/IF($D$2="Egyszeri",VLOOKUP($B675+IF($C675=12,1,0),Paraméterek!$V$257:$W$262,2),IF($B675=1,1,VLOOKUP($B675+IF($C675=12,1,0),Paraméterek!$I$258:$T$278,HLOOKUP($M$11+1,Paraméterek!$J$256:$T$257,2)))),IF($D$4="Forint",0,2)))</f>
        <v>#N/A</v>
      </c>
      <c r="X675" s="13" t="e">
        <f ca="1">ROUNDDOWN($W675*IF($D$2="Egyszeri",VLOOKUP($B675+IF($C675=12,1,0),Paraméterek!$V$257:$W$262,2),VLOOKUP($B675+IF($C675=12,1,0),Paraméterek!$I$258:$T$278,HLOOKUP($M$11+1,Paraméterek!$I$256:$T$257,2))),IF($D$4="Forint",0,2))</f>
        <v>#N/A</v>
      </c>
      <c r="Z675" s="32">
        <v>656</v>
      </c>
      <c r="AA675" s="32">
        <v>55</v>
      </c>
      <c r="AB675" s="32">
        <v>8</v>
      </c>
      <c r="AC675" s="13">
        <f t="shared" ca="1" si="236"/>
        <v>0</v>
      </c>
      <c r="AD675" s="33"/>
      <c r="AE675" s="13">
        <f t="shared" ca="1" si="228"/>
        <v>0</v>
      </c>
      <c r="AF675" s="13">
        <f ca="1">ROUNDUP(($AC675+$AE675)*VLOOKUP($AA675,Paraméterek!$P$38:$Q$38,2)/12*IF($D676="Nem",IF($M$13=0,1,$M$13),1),IF($D$4="Forint",0,2))</f>
        <v>0</v>
      </c>
      <c r="AG675" s="13">
        <f ca="1">IF($D$2="Egyszeri",IF($D$7&gt;=IF($D$4="Forint",Paraméterek!$P$223,Paraméterek!$P$224),$D$7-IF($D$4="Forint",Paraméterek!$P$223,Paraméterek!$P$224),0),MIN(IF($AB675=12,AVERAGEIF($E$20:$E675,"&gt;0",$E$20:$E675)*12,0),SUM($E$20:$E$31)))</f>
        <v>0</v>
      </c>
      <c r="AH675" s="13">
        <f>IF($AA675=10,$AG675*IF($AB675=12,IF($AG675&lt;IF($D$4="Forint",Paraméterek!$L$223,Paraméterek!$L$224),0,VLOOKUP($AA675,Paraméterek!$K$226:$M$228,IF($AG675&lt;IF($D$4="Forint",Paraméterek!$M$223,Paraméterek!$M$224),2,3))),0),0)</f>
        <v>0</v>
      </c>
      <c r="AI675" s="13">
        <f ca="1">IF(AND($AA675=$M$11+1,$AB675=$M$12+1),SUMIF($AA$20:$AA$1027,$AA675,$AG$20:$AG$1027)*IF(SUMIF($AA$20:$AA$1027,$AA675,$AG$20:$AG$1027)&lt;IF($D$4="Forint",Paraméterek!$L$223,Paraméterek!$L$224),0,VLOOKUP($AA675,Paraméterek!$K$230:$M$250,IF(SUMIF($AA$20:$AA$1027,$AA675,$AG$20:$AG$1027)&lt;IF($D$4="Forint",Paraméterek!$M$223,Paraméterek!$M$224),2,3))),0)</f>
        <v>0</v>
      </c>
      <c r="AJ675" s="13">
        <f ca="1">IF(AND($AA675&gt;=5,MOD($AA675,5)=0),IF($AB675=12,VLOOKUP($AA675,Paraméterek!$O$225:$P$240,2),0),IF(OR($AA675=3,$AA675=4),IF($AB675=12,VLOOKUP($AA675,Paraméterek!$O$225:$P$240,2,0),0),0))*$AG675</f>
        <v>0</v>
      </c>
      <c r="AK675" s="13">
        <f t="shared" ca="1" si="229"/>
        <v>0</v>
      </c>
      <c r="AL675" s="13">
        <f t="shared" ca="1" si="237"/>
        <v>0</v>
      </c>
      <c r="AM675" s="13">
        <f t="shared" ca="1" si="238"/>
        <v>0</v>
      </c>
      <c r="AO675" s="32">
        <v>656</v>
      </c>
      <c r="AP675" s="32">
        <v>55</v>
      </c>
      <c r="AQ675" s="32">
        <v>8</v>
      </c>
      <c r="AR675" s="13"/>
      <c r="AS675" s="32"/>
      <c r="AT675" s="13">
        <f t="shared" ca="1" si="239"/>
        <v>0</v>
      </c>
      <c r="AU675" s="33"/>
      <c r="AV675" s="13">
        <f t="shared" ca="1" si="230"/>
        <v>0</v>
      </c>
      <c r="AW675" s="13">
        <f ca="1">ROUNDUP(($AT675+$AV675)*VLOOKUP($AP675,Paraméterek!$P$38:$Q$38,2)/12*IF($D676="Nem",IF($M$13=0,1,$M$13),1),IF($D$4="Forint",0,2))</f>
        <v>0</v>
      </c>
      <c r="AX675" s="13"/>
      <c r="AY675" s="13"/>
      <c r="AZ675" s="13">
        <f>ROUNDUP(IF(SUM($AX675:$AY675)=0,0,IF(IF(ISBLANK($AY675),$AX675,$AY675)*Paraméterek!$J$112&lt;IF($D$4="Forint",Paraméterek!$J$113,Paraméterek!$K$113),IF($D$4="Forint",Paraméterek!$J$113,Paraméterek!$K$113),IF(IF(ISBLANK($AY675),$AX675,$AY675)*Paraméterek!$J$112&gt;IF($D$4="Forint",Paraméterek!$J$114,Paraméterek!$K$114),IF($D$4="Forint",Paraméterek!$J$114,Paraméterek!$K$114),IF(ISBLANK($AY675),$AX675,$AY675)*Paraméterek!$J$112))),IF($D$4="Forint",0,2))</f>
        <v>0</v>
      </c>
      <c r="BA675" s="13">
        <f ca="1">$AT675+$AV675-$AW675-IF(ROUNDDOWN(IF(ISBLANK($AY675),$AX675,$AY675),IF($D$4="Forint",0,2))&gt;$AT675+$AV675-$AW675-IF($D$4="Forint",Paraméterek!$J$114,Paraméterek!$K$114),0,ROUNDDOWN(IF(ISBLANK($AY675),$AX675,$AY675),IF($D$4="Forint",0,2))-$AZ675)</f>
        <v>0</v>
      </c>
      <c r="BB675" s="13">
        <f t="shared" ca="1" si="231"/>
        <v>0</v>
      </c>
      <c r="BD675" s="32">
        <v>656</v>
      </c>
      <c r="BE675" s="32">
        <v>55</v>
      </c>
      <c r="BF675" s="32">
        <v>8</v>
      </c>
      <c r="BG675" s="34">
        <f t="shared" ca="1" si="240"/>
        <v>2074</v>
      </c>
      <c r="BH675" s="32" t="str">
        <f ca="1">IF(MOD(MONTH($D$14)+$BD675-1,12)=Paraméterek!$C$288,"Igen","")</f>
        <v/>
      </c>
      <c r="BI675" s="13">
        <f ca="1">IF($BH675="Igen",MIN(ROUNDDOWN((SUMIF($BG$20:$BG$1027,$BG675-1,$K$20:$K$1027)-SUMIF($BG$20:$BG$1027,$BG675-1,$I$20:$I$1027))*Paraméterek!$C$289,IF($D$4="Forint",0,2)),IF($D$4="Forint",Paraméterek!$C$285,Paraméterek!$D$285)),0)</f>
        <v>0</v>
      </c>
      <c r="BJ675" s="13">
        <f t="shared" ca="1" si="232"/>
        <v>0</v>
      </c>
      <c r="BK675" s="13">
        <f t="shared" ca="1" si="241"/>
        <v>0</v>
      </c>
      <c r="BL675" s="33"/>
      <c r="BM675" s="13">
        <f t="shared" ca="1" si="233"/>
        <v>0</v>
      </c>
      <c r="BN675" s="13">
        <f ca="1">ROUNDUP(($BK675+$BM675)*VLOOKUP($BE675,Paraméterek!$P$38:$Q$38,2)/12*IF($D676="Nem",IF($M$13=0,1,$M$13),1),IF($D$4="Forint",0,2))</f>
        <v>0</v>
      </c>
      <c r="BO675" s="13">
        <f t="shared" ca="1" si="234"/>
        <v>0</v>
      </c>
      <c r="BP675" s="13">
        <f ca="1">IF($D676="Nem",$BO675,$BO675-ROUNDUP(SUM($BI$20:$BI675)*120%,IF($D$4="Forint",0,2)))</f>
        <v>0</v>
      </c>
    </row>
    <row r="676" spans="1:68" x14ac:dyDescent="0.2">
      <c r="A676" s="32">
        <v>657</v>
      </c>
      <c r="B676" s="32">
        <v>55</v>
      </c>
      <c r="C676" s="32">
        <v>9</v>
      </c>
      <c r="D676" s="32" t="str">
        <f t="shared" ca="1" si="220"/>
        <v>Nem</v>
      </c>
      <c r="E676" s="13">
        <f t="shared" ca="1" si="221"/>
        <v>0</v>
      </c>
      <c r="F676" s="13"/>
      <c r="G676" s="13"/>
      <c r="H676" s="13"/>
      <c r="I676" s="13">
        <f t="shared" ca="1" si="222"/>
        <v>0</v>
      </c>
      <c r="J676" s="13">
        <f t="shared" ca="1" si="223"/>
        <v>0</v>
      </c>
      <c r="K676" s="13">
        <f t="shared" ca="1" si="224"/>
        <v>0</v>
      </c>
      <c r="L676" s="13" t="e">
        <f ca="1">ROUNDUP(IF($D$2="Egyszeri",$E676,IF($D$2="Havi",SUM($E$20:$E$31),IF(MOD($C676,$M$1)-1=0,SUM($E$20:$E$31),0))/12*$M$1)*VLOOKUP($B676,Paraméterek!$I$28:$P$31,IF($D$2="Egyszeri",8,HLOOKUP(ROUNDUP($M$11+$M$13,0),Paraméterek!$J$26:$O$27,2))),IF($D$4="Forint",0,2))</f>
        <v>#N/A</v>
      </c>
      <c r="M676" s="13">
        <f t="shared" ca="1" si="225"/>
        <v>0</v>
      </c>
      <c r="N676" s="13">
        <f t="shared" ca="1" si="235"/>
        <v>0</v>
      </c>
      <c r="O676" s="13">
        <f ca="1">IF($D676="Igen",IF($W675&gt;=IF($D$4="Forint",Paraméterek!$J$121,Paraméterek!$K$121),0,IF($D$4="Forint",Paraméterek!$J$121,Paraméterek!$K$121)-$W675),0)</f>
        <v>0</v>
      </c>
      <c r="P676" s="13" t="e">
        <f ca="1">ROUNDUP($O676*VLOOKUP($M$4+$B676-1,Paraméterek!$H$58:$I$105,2,0)/Paraméterek!$I$56,IF($D$4="Forint",0,2))</f>
        <v>#N/A</v>
      </c>
      <c r="Q676" s="13">
        <f t="shared" ca="1" si="226"/>
        <v>0</v>
      </c>
      <c r="R676" s="33"/>
      <c r="S676" s="13" t="e">
        <f t="shared" ca="1" si="227"/>
        <v>#N/A</v>
      </c>
      <c r="T676" s="13" t="e">
        <f ca="1">ROUNDUP(($N676-$P676-$Q676+$S676)*VLOOKUP($B676,Paraméterek!$I$38:$K$39,IF($D$2="Egyszeri",3,2))/12*IF($D677="Nem",IF($M$13=0,1,$M$13),1),IF($D$4="Forint",0,2))</f>
        <v>#N/A</v>
      </c>
      <c r="U676" s="13"/>
      <c r="V676" s="13"/>
      <c r="W676" s="13" t="e">
        <f ca="1">$N676-$P676-$Q676+$S676-$T676-IF(ROUNDUP(IF(ISBLANK($V676),$U676*0,$V676)/IF($D$2="Egyszeri",VLOOKUP($B676+IF($C676=12,1,0),Paraméterek!$V$257:$W$262,2),IF($B676=1,1,VLOOKUP($B676+IF($C676=12,1,0),Paraméterek!$I$258:$T$278,HLOOKUP($M$11+1,Paraméterek!$J$256:$T$257,2)))),IF($D$4="Forint",0,2))&gt;$N676-$P676-$Q676+$S676-$T676-IF($D$4="Forint",Paraméterek!$C$216,Paraméterek!$D$216),0,ROUNDUP(IF(ISBLANK($V676),$U676*0,$V676)/IF($D$2="Egyszeri",VLOOKUP($B676+IF($C676=12,1,0),Paraméterek!$V$257:$W$262,2),IF($B676=1,1,VLOOKUP($B676+IF($C676=12,1,0),Paraméterek!$I$258:$T$278,HLOOKUP($M$11+1,Paraméterek!$J$256:$T$257,2)))),IF($D$4="Forint",0,2)))</f>
        <v>#N/A</v>
      </c>
      <c r="X676" s="13" t="e">
        <f ca="1">ROUNDDOWN($W676*IF($D$2="Egyszeri",VLOOKUP($B676+IF($C676=12,1,0),Paraméterek!$V$257:$W$262,2),VLOOKUP($B676+IF($C676=12,1,0),Paraméterek!$I$258:$T$278,HLOOKUP($M$11+1,Paraméterek!$I$256:$T$257,2))),IF($D$4="Forint",0,2))</f>
        <v>#N/A</v>
      </c>
      <c r="Z676" s="32">
        <v>657</v>
      </c>
      <c r="AA676" s="32">
        <v>55</v>
      </c>
      <c r="AB676" s="32">
        <v>9</v>
      </c>
      <c r="AC676" s="13">
        <f t="shared" ca="1" si="236"/>
        <v>0</v>
      </c>
      <c r="AD676" s="33"/>
      <c r="AE676" s="13">
        <f t="shared" ca="1" si="228"/>
        <v>0</v>
      </c>
      <c r="AF676" s="13">
        <f ca="1">ROUNDUP(($AC676+$AE676)*VLOOKUP($AA676,Paraméterek!$P$38:$Q$38,2)/12*IF($D677="Nem",IF($M$13=0,1,$M$13),1),IF($D$4="Forint",0,2))</f>
        <v>0</v>
      </c>
      <c r="AG676" s="13">
        <f ca="1">IF($D$2="Egyszeri",IF($D$7&gt;=IF($D$4="Forint",Paraméterek!$P$223,Paraméterek!$P$224),$D$7-IF($D$4="Forint",Paraméterek!$P$223,Paraméterek!$P$224),0),MIN(IF($AB676=12,AVERAGEIF($E$20:$E676,"&gt;0",$E$20:$E676)*12,0),SUM($E$20:$E$31)))</f>
        <v>0</v>
      </c>
      <c r="AH676" s="13">
        <f>IF($AA676=10,$AG676*IF($AB676=12,IF($AG676&lt;IF($D$4="Forint",Paraméterek!$L$223,Paraméterek!$L$224),0,VLOOKUP($AA676,Paraméterek!$K$226:$M$228,IF($AG676&lt;IF($D$4="Forint",Paraméterek!$M$223,Paraméterek!$M$224),2,3))),0),0)</f>
        <v>0</v>
      </c>
      <c r="AI676" s="13">
        <f ca="1">IF(AND($AA676=$M$11+1,$AB676=$M$12+1),SUMIF($AA$20:$AA$1027,$AA676,$AG$20:$AG$1027)*IF(SUMIF($AA$20:$AA$1027,$AA676,$AG$20:$AG$1027)&lt;IF($D$4="Forint",Paraméterek!$L$223,Paraméterek!$L$224),0,VLOOKUP($AA676,Paraméterek!$K$230:$M$250,IF(SUMIF($AA$20:$AA$1027,$AA676,$AG$20:$AG$1027)&lt;IF($D$4="Forint",Paraméterek!$M$223,Paraméterek!$M$224),2,3))),0)</f>
        <v>0</v>
      </c>
      <c r="AJ676" s="13">
        <f ca="1">IF(AND($AA676&gt;=5,MOD($AA676,5)=0),IF($AB676=12,VLOOKUP($AA676,Paraméterek!$O$225:$P$240,2),0),IF(OR($AA676=3,$AA676=4),IF($AB676=12,VLOOKUP($AA676,Paraméterek!$O$225:$P$240,2,0),0),0))*$AG676</f>
        <v>0</v>
      </c>
      <c r="AK676" s="13">
        <f t="shared" ca="1" si="229"/>
        <v>0</v>
      </c>
      <c r="AL676" s="13">
        <f t="shared" ca="1" si="237"/>
        <v>0</v>
      </c>
      <c r="AM676" s="13">
        <f t="shared" ca="1" si="238"/>
        <v>0</v>
      </c>
      <c r="AO676" s="32">
        <v>657</v>
      </c>
      <c r="AP676" s="32">
        <v>55</v>
      </c>
      <c r="AQ676" s="32">
        <v>9</v>
      </c>
      <c r="AR676" s="13"/>
      <c r="AS676" s="32"/>
      <c r="AT676" s="13">
        <f t="shared" ca="1" si="239"/>
        <v>0</v>
      </c>
      <c r="AU676" s="33"/>
      <c r="AV676" s="13">
        <f t="shared" ca="1" si="230"/>
        <v>0</v>
      </c>
      <c r="AW676" s="13">
        <f ca="1">ROUNDUP(($AT676+$AV676)*VLOOKUP($AP676,Paraméterek!$P$38:$Q$38,2)/12*IF($D677="Nem",IF($M$13=0,1,$M$13),1),IF($D$4="Forint",0,2))</f>
        <v>0</v>
      </c>
      <c r="AX676" s="13"/>
      <c r="AY676" s="13"/>
      <c r="AZ676" s="13">
        <f>ROUNDUP(IF(SUM($AX676:$AY676)=0,0,IF(IF(ISBLANK($AY676),$AX676,$AY676)*Paraméterek!$J$112&lt;IF($D$4="Forint",Paraméterek!$J$113,Paraméterek!$K$113),IF($D$4="Forint",Paraméterek!$J$113,Paraméterek!$K$113),IF(IF(ISBLANK($AY676),$AX676,$AY676)*Paraméterek!$J$112&gt;IF($D$4="Forint",Paraméterek!$J$114,Paraméterek!$K$114),IF($D$4="Forint",Paraméterek!$J$114,Paraméterek!$K$114),IF(ISBLANK($AY676),$AX676,$AY676)*Paraméterek!$J$112))),IF($D$4="Forint",0,2))</f>
        <v>0</v>
      </c>
      <c r="BA676" s="13">
        <f ca="1">$AT676+$AV676-$AW676-IF(ROUNDDOWN(IF(ISBLANK($AY676),$AX676,$AY676),IF($D$4="Forint",0,2))&gt;$AT676+$AV676-$AW676-IF($D$4="Forint",Paraméterek!$J$114,Paraméterek!$K$114),0,ROUNDDOWN(IF(ISBLANK($AY676),$AX676,$AY676),IF($D$4="Forint",0,2))-$AZ676)</f>
        <v>0</v>
      </c>
      <c r="BB676" s="13">
        <f t="shared" ca="1" si="231"/>
        <v>0</v>
      </c>
      <c r="BD676" s="32">
        <v>657</v>
      </c>
      <c r="BE676" s="32">
        <v>55</v>
      </c>
      <c r="BF676" s="32">
        <v>9</v>
      </c>
      <c r="BG676" s="34">
        <f t="shared" ca="1" si="240"/>
        <v>2074</v>
      </c>
      <c r="BH676" s="32" t="str">
        <f ca="1">IF(MOD(MONTH($D$14)+$BD676-1,12)=Paraméterek!$C$288,"Igen","")</f>
        <v/>
      </c>
      <c r="BI676" s="13">
        <f ca="1">IF($BH676="Igen",MIN(ROUNDDOWN((SUMIF($BG$20:$BG$1027,$BG676-1,$K$20:$K$1027)-SUMIF($BG$20:$BG$1027,$BG676-1,$I$20:$I$1027))*Paraméterek!$C$289,IF($D$4="Forint",0,2)),IF($D$4="Forint",Paraméterek!$C$285,Paraméterek!$D$285)),0)</f>
        <v>0</v>
      </c>
      <c r="BJ676" s="13">
        <f t="shared" ca="1" si="232"/>
        <v>0</v>
      </c>
      <c r="BK676" s="13">
        <f t="shared" ca="1" si="241"/>
        <v>0</v>
      </c>
      <c r="BL676" s="33"/>
      <c r="BM676" s="13">
        <f t="shared" ca="1" si="233"/>
        <v>0</v>
      </c>
      <c r="BN676" s="13">
        <f ca="1">ROUNDUP(($BK676+$BM676)*VLOOKUP($BE676,Paraméterek!$P$38:$Q$38,2)/12*IF($D677="Nem",IF($M$13=0,1,$M$13),1),IF($D$4="Forint",0,2))</f>
        <v>0</v>
      </c>
      <c r="BO676" s="13">
        <f t="shared" ca="1" si="234"/>
        <v>0</v>
      </c>
      <c r="BP676" s="13">
        <f ca="1">IF($D677="Nem",$BO676,$BO676-ROUNDUP(SUM($BI$20:$BI676)*120%,IF($D$4="Forint",0,2)))</f>
        <v>0</v>
      </c>
    </row>
    <row r="677" spans="1:68" x14ac:dyDescent="0.2">
      <c r="A677" s="32">
        <v>658</v>
      </c>
      <c r="B677" s="32">
        <v>55</v>
      </c>
      <c r="C677" s="32">
        <v>10</v>
      </c>
      <c r="D677" s="32" t="str">
        <f t="shared" ca="1" si="220"/>
        <v>Nem</v>
      </c>
      <c r="E677" s="13">
        <f t="shared" ca="1" si="221"/>
        <v>0</v>
      </c>
      <c r="F677" s="13"/>
      <c r="G677" s="13"/>
      <c r="H677" s="13"/>
      <c r="I677" s="13">
        <f t="shared" ca="1" si="222"/>
        <v>0</v>
      </c>
      <c r="J677" s="13">
        <f t="shared" ca="1" si="223"/>
        <v>0</v>
      </c>
      <c r="K677" s="13">
        <f t="shared" ca="1" si="224"/>
        <v>0</v>
      </c>
      <c r="L677" s="13" t="e">
        <f ca="1">ROUNDUP(IF($D$2="Egyszeri",$E677,IF($D$2="Havi",SUM($E$20:$E$31),IF(MOD($C677,$M$1)-1=0,SUM($E$20:$E$31),0))/12*$M$1)*VLOOKUP($B677,Paraméterek!$I$28:$P$31,IF($D$2="Egyszeri",8,HLOOKUP(ROUNDUP($M$11+$M$13,0),Paraméterek!$J$26:$O$27,2))),IF($D$4="Forint",0,2))</f>
        <v>#N/A</v>
      </c>
      <c r="M677" s="13">
        <f t="shared" ca="1" si="225"/>
        <v>0</v>
      </c>
      <c r="N677" s="13">
        <f t="shared" ca="1" si="235"/>
        <v>0</v>
      </c>
      <c r="O677" s="13">
        <f ca="1">IF($D677="Igen",IF($W676&gt;=IF($D$4="Forint",Paraméterek!$J$121,Paraméterek!$K$121),0,IF($D$4="Forint",Paraméterek!$J$121,Paraméterek!$K$121)-$W676),0)</f>
        <v>0</v>
      </c>
      <c r="P677" s="13" t="e">
        <f ca="1">ROUNDUP($O677*VLOOKUP($M$4+$B677-1,Paraméterek!$H$58:$I$105,2,0)/Paraméterek!$I$56,IF($D$4="Forint",0,2))</f>
        <v>#N/A</v>
      </c>
      <c r="Q677" s="13">
        <f t="shared" ca="1" si="226"/>
        <v>0</v>
      </c>
      <c r="R677" s="33"/>
      <c r="S677" s="13" t="e">
        <f t="shared" ca="1" si="227"/>
        <v>#N/A</v>
      </c>
      <c r="T677" s="13" t="e">
        <f ca="1">ROUNDUP(($N677-$P677-$Q677+$S677)*VLOOKUP($B677,Paraméterek!$I$38:$K$39,IF($D$2="Egyszeri",3,2))/12*IF($D678="Nem",IF($M$13=0,1,$M$13),1),IF($D$4="Forint",0,2))</f>
        <v>#N/A</v>
      </c>
      <c r="U677" s="13"/>
      <c r="V677" s="13"/>
      <c r="W677" s="13" t="e">
        <f ca="1">$N677-$P677-$Q677+$S677-$T677-IF(ROUNDUP(IF(ISBLANK($V677),$U677*0,$V677)/IF($D$2="Egyszeri",VLOOKUP($B677+IF($C677=12,1,0),Paraméterek!$V$257:$W$262,2),IF($B677=1,1,VLOOKUP($B677+IF($C677=12,1,0),Paraméterek!$I$258:$T$278,HLOOKUP($M$11+1,Paraméterek!$J$256:$T$257,2)))),IF($D$4="Forint",0,2))&gt;$N677-$P677-$Q677+$S677-$T677-IF($D$4="Forint",Paraméterek!$C$216,Paraméterek!$D$216),0,ROUNDUP(IF(ISBLANK($V677),$U677*0,$V677)/IF($D$2="Egyszeri",VLOOKUP($B677+IF($C677=12,1,0),Paraméterek!$V$257:$W$262,2),IF($B677=1,1,VLOOKUP($B677+IF($C677=12,1,0),Paraméterek!$I$258:$T$278,HLOOKUP($M$11+1,Paraméterek!$J$256:$T$257,2)))),IF($D$4="Forint",0,2)))</f>
        <v>#N/A</v>
      </c>
      <c r="X677" s="13" t="e">
        <f ca="1">ROUNDDOWN($W677*IF($D$2="Egyszeri",VLOOKUP($B677+IF($C677=12,1,0),Paraméterek!$V$257:$W$262,2),VLOOKUP($B677+IF($C677=12,1,0),Paraméterek!$I$258:$T$278,HLOOKUP($M$11+1,Paraméterek!$I$256:$T$257,2))),IF($D$4="Forint",0,2))</f>
        <v>#N/A</v>
      </c>
      <c r="Z677" s="32">
        <v>658</v>
      </c>
      <c r="AA677" s="32">
        <v>55</v>
      </c>
      <c r="AB677" s="32">
        <v>10</v>
      </c>
      <c r="AC677" s="13">
        <f t="shared" ca="1" si="236"/>
        <v>0</v>
      </c>
      <c r="AD677" s="33"/>
      <c r="AE677" s="13">
        <f t="shared" ca="1" si="228"/>
        <v>0</v>
      </c>
      <c r="AF677" s="13">
        <f ca="1">ROUNDUP(($AC677+$AE677)*VLOOKUP($AA677,Paraméterek!$P$38:$Q$38,2)/12*IF($D678="Nem",IF($M$13=0,1,$M$13),1),IF($D$4="Forint",0,2))</f>
        <v>0</v>
      </c>
      <c r="AG677" s="13">
        <f ca="1">IF($D$2="Egyszeri",IF($D$7&gt;=IF($D$4="Forint",Paraméterek!$P$223,Paraméterek!$P$224),$D$7-IF($D$4="Forint",Paraméterek!$P$223,Paraméterek!$P$224),0),MIN(IF($AB677=12,AVERAGEIF($E$20:$E677,"&gt;0",$E$20:$E677)*12,0),SUM($E$20:$E$31)))</f>
        <v>0</v>
      </c>
      <c r="AH677" s="13">
        <f>IF($AA677=10,$AG677*IF($AB677=12,IF($AG677&lt;IF($D$4="Forint",Paraméterek!$L$223,Paraméterek!$L$224),0,VLOOKUP($AA677,Paraméterek!$K$226:$M$228,IF($AG677&lt;IF($D$4="Forint",Paraméterek!$M$223,Paraméterek!$M$224),2,3))),0),0)</f>
        <v>0</v>
      </c>
      <c r="AI677" s="13">
        <f ca="1">IF(AND($AA677=$M$11+1,$AB677=$M$12+1),SUMIF($AA$20:$AA$1027,$AA677,$AG$20:$AG$1027)*IF(SUMIF($AA$20:$AA$1027,$AA677,$AG$20:$AG$1027)&lt;IF($D$4="Forint",Paraméterek!$L$223,Paraméterek!$L$224),0,VLOOKUP($AA677,Paraméterek!$K$230:$M$250,IF(SUMIF($AA$20:$AA$1027,$AA677,$AG$20:$AG$1027)&lt;IF($D$4="Forint",Paraméterek!$M$223,Paraméterek!$M$224),2,3))),0)</f>
        <v>0</v>
      </c>
      <c r="AJ677" s="13">
        <f ca="1">IF(AND($AA677&gt;=5,MOD($AA677,5)=0),IF($AB677=12,VLOOKUP($AA677,Paraméterek!$O$225:$P$240,2),0),IF(OR($AA677=3,$AA677=4),IF($AB677=12,VLOOKUP($AA677,Paraméterek!$O$225:$P$240,2,0),0),0))*$AG677</f>
        <v>0</v>
      </c>
      <c r="AK677" s="13">
        <f t="shared" ca="1" si="229"/>
        <v>0</v>
      </c>
      <c r="AL677" s="13">
        <f t="shared" ca="1" si="237"/>
        <v>0</v>
      </c>
      <c r="AM677" s="13">
        <f t="shared" ca="1" si="238"/>
        <v>0</v>
      </c>
      <c r="AO677" s="32">
        <v>658</v>
      </c>
      <c r="AP677" s="32">
        <v>55</v>
      </c>
      <c r="AQ677" s="32">
        <v>10</v>
      </c>
      <c r="AR677" s="13"/>
      <c r="AS677" s="32"/>
      <c r="AT677" s="13">
        <f t="shared" ca="1" si="239"/>
        <v>0</v>
      </c>
      <c r="AU677" s="33"/>
      <c r="AV677" s="13">
        <f t="shared" ca="1" si="230"/>
        <v>0</v>
      </c>
      <c r="AW677" s="13">
        <f ca="1">ROUNDUP(($AT677+$AV677)*VLOOKUP($AP677,Paraméterek!$P$38:$Q$38,2)/12*IF($D678="Nem",IF($M$13=0,1,$M$13),1),IF($D$4="Forint",0,2))</f>
        <v>0</v>
      </c>
      <c r="AX677" s="13"/>
      <c r="AY677" s="13"/>
      <c r="AZ677" s="13">
        <f>ROUNDUP(IF(SUM($AX677:$AY677)=0,0,IF(IF(ISBLANK($AY677),$AX677,$AY677)*Paraméterek!$J$112&lt;IF($D$4="Forint",Paraméterek!$J$113,Paraméterek!$K$113),IF($D$4="Forint",Paraméterek!$J$113,Paraméterek!$K$113),IF(IF(ISBLANK($AY677),$AX677,$AY677)*Paraméterek!$J$112&gt;IF($D$4="Forint",Paraméterek!$J$114,Paraméterek!$K$114),IF($D$4="Forint",Paraméterek!$J$114,Paraméterek!$K$114),IF(ISBLANK($AY677),$AX677,$AY677)*Paraméterek!$J$112))),IF($D$4="Forint",0,2))</f>
        <v>0</v>
      </c>
      <c r="BA677" s="13">
        <f ca="1">$AT677+$AV677-$AW677-IF(ROUNDDOWN(IF(ISBLANK($AY677),$AX677,$AY677),IF($D$4="Forint",0,2))&gt;$AT677+$AV677-$AW677-IF($D$4="Forint",Paraméterek!$J$114,Paraméterek!$K$114),0,ROUNDDOWN(IF(ISBLANK($AY677),$AX677,$AY677),IF($D$4="Forint",0,2))-$AZ677)</f>
        <v>0</v>
      </c>
      <c r="BB677" s="13">
        <f t="shared" ca="1" si="231"/>
        <v>0</v>
      </c>
      <c r="BD677" s="32">
        <v>658</v>
      </c>
      <c r="BE677" s="32">
        <v>55</v>
      </c>
      <c r="BF677" s="32">
        <v>10</v>
      </c>
      <c r="BG677" s="34">
        <f t="shared" ca="1" si="240"/>
        <v>2074</v>
      </c>
      <c r="BH677" s="32" t="str">
        <f ca="1">IF(MOD(MONTH($D$14)+$BD677-1,12)=Paraméterek!$C$288,"Igen","")</f>
        <v/>
      </c>
      <c r="BI677" s="13">
        <f ca="1">IF($BH677="Igen",MIN(ROUNDDOWN((SUMIF($BG$20:$BG$1027,$BG677-1,$K$20:$K$1027)-SUMIF($BG$20:$BG$1027,$BG677-1,$I$20:$I$1027))*Paraméterek!$C$289,IF($D$4="Forint",0,2)),IF($D$4="Forint",Paraméterek!$C$285,Paraméterek!$D$285)),0)</f>
        <v>0</v>
      </c>
      <c r="BJ677" s="13">
        <f t="shared" ca="1" si="232"/>
        <v>0</v>
      </c>
      <c r="BK677" s="13">
        <f t="shared" ca="1" si="241"/>
        <v>0</v>
      </c>
      <c r="BL677" s="33"/>
      <c r="BM677" s="13">
        <f t="shared" ca="1" si="233"/>
        <v>0</v>
      </c>
      <c r="BN677" s="13">
        <f ca="1">ROUNDUP(($BK677+$BM677)*VLOOKUP($BE677,Paraméterek!$P$38:$Q$38,2)/12*IF($D678="Nem",IF($M$13=0,1,$M$13),1),IF($D$4="Forint",0,2))</f>
        <v>0</v>
      </c>
      <c r="BO677" s="13">
        <f t="shared" ca="1" si="234"/>
        <v>0</v>
      </c>
      <c r="BP677" s="13">
        <f ca="1">IF($D678="Nem",$BO677,$BO677-ROUNDUP(SUM($BI$20:$BI677)*120%,IF($D$4="Forint",0,2)))</f>
        <v>0</v>
      </c>
    </row>
    <row r="678" spans="1:68" x14ac:dyDescent="0.2">
      <c r="A678" s="32">
        <v>659</v>
      </c>
      <c r="B678" s="32">
        <v>55</v>
      </c>
      <c r="C678" s="32">
        <v>11</v>
      </c>
      <c r="D678" s="32" t="str">
        <f t="shared" ca="1" si="220"/>
        <v>Nem</v>
      </c>
      <c r="E678" s="13">
        <f t="shared" ca="1" si="221"/>
        <v>0</v>
      </c>
      <c r="F678" s="13"/>
      <c r="G678" s="13"/>
      <c r="H678" s="13"/>
      <c r="I678" s="13">
        <f t="shared" ca="1" si="222"/>
        <v>0</v>
      </c>
      <c r="J678" s="13">
        <f t="shared" ca="1" si="223"/>
        <v>0</v>
      </c>
      <c r="K678" s="13">
        <f t="shared" ca="1" si="224"/>
        <v>0</v>
      </c>
      <c r="L678" s="13" t="e">
        <f ca="1">ROUNDUP(IF($D$2="Egyszeri",$E678,IF($D$2="Havi",SUM($E$20:$E$31),IF(MOD($C678,$M$1)-1=0,SUM($E$20:$E$31),0))/12*$M$1)*VLOOKUP($B678,Paraméterek!$I$28:$P$31,IF($D$2="Egyszeri",8,HLOOKUP(ROUNDUP($M$11+$M$13,0),Paraméterek!$J$26:$O$27,2))),IF($D$4="Forint",0,2))</f>
        <v>#N/A</v>
      </c>
      <c r="M678" s="13">
        <f t="shared" ca="1" si="225"/>
        <v>0</v>
      </c>
      <c r="N678" s="13">
        <f t="shared" ca="1" si="235"/>
        <v>0</v>
      </c>
      <c r="O678" s="13">
        <f ca="1">IF($D678="Igen",IF($W677&gt;=IF($D$4="Forint",Paraméterek!$J$121,Paraméterek!$K$121),0,IF($D$4="Forint",Paraméterek!$J$121,Paraméterek!$K$121)-$W677),0)</f>
        <v>0</v>
      </c>
      <c r="P678" s="13" t="e">
        <f ca="1">ROUNDUP($O678*VLOOKUP($M$4+$B678-1,Paraméterek!$H$58:$I$105,2,0)/Paraméterek!$I$56,IF($D$4="Forint",0,2))</f>
        <v>#N/A</v>
      </c>
      <c r="Q678" s="13">
        <f t="shared" ca="1" si="226"/>
        <v>0</v>
      </c>
      <c r="R678" s="33"/>
      <c r="S678" s="13" t="e">
        <f t="shared" ca="1" si="227"/>
        <v>#N/A</v>
      </c>
      <c r="T678" s="13" t="e">
        <f ca="1">ROUNDUP(($N678-$P678-$Q678+$S678)*VLOOKUP($B678,Paraméterek!$I$38:$K$39,IF($D$2="Egyszeri",3,2))/12*IF($D679="Nem",IF($M$13=0,1,$M$13),1),IF($D$4="Forint",0,2))</f>
        <v>#N/A</v>
      </c>
      <c r="U678" s="13"/>
      <c r="V678" s="13"/>
      <c r="W678" s="13" t="e">
        <f ca="1">$N678-$P678-$Q678+$S678-$T678-IF(ROUNDUP(IF(ISBLANK($V678),$U678*0,$V678)/IF($D$2="Egyszeri",VLOOKUP($B678+IF($C678=12,1,0),Paraméterek!$V$257:$W$262,2),IF($B678=1,1,VLOOKUP($B678+IF($C678=12,1,0),Paraméterek!$I$258:$T$278,HLOOKUP($M$11+1,Paraméterek!$J$256:$T$257,2)))),IF($D$4="Forint",0,2))&gt;$N678-$P678-$Q678+$S678-$T678-IF($D$4="Forint",Paraméterek!$C$216,Paraméterek!$D$216),0,ROUNDUP(IF(ISBLANK($V678),$U678*0,$V678)/IF($D$2="Egyszeri",VLOOKUP($B678+IF($C678=12,1,0),Paraméterek!$V$257:$W$262,2),IF($B678=1,1,VLOOKUP($B678+IF($C678=12,1,0),Paraméterek!$I$258:$T$278,HLOOKUP($M$11+1,Paraméterek!$J$256:$T$257,2)))),IF($D$4="Forint",0,2)))</f>
        <v>#N/A</v>
      </c>
      <c r="X678" s="13" t="e">
        <f ca="1">ROUNDDOWN($W678*IF($D$2="Egyszeri",VLOOKUP($B678+IF($C678=12,1,0),Paraméterek!$V$257:$W$262,2),VLOOKUP($B678+IF($C678=12,1,0),Paraméterek!$I$258:$T$278,HLOOKUP($M$11+1,Paraméterek!$I$256:$T$257,2))),IF($D$4="Forint",0,2))</f>
        <v>#N/A</v>
      </c>
      <c r="Z678" s="32">
        <v>659</v>
      </c>
      <c r="AA678" s="32">
        <v>55</v>
      </c>
      <c r="AB678" s="32">
        <v>11</v>
      </c>
      <c r="AC678" s="13">
        <f t="shared" ca="1" si="236"/>
        <v>0</v>
      </c>
      <c r="AD678" s="33"/>
      <c r="AE678" s="13">
        <f t="shared" ca="1" si="228"/>
        <v>0</v>
      </c>
      <c r="AF678" s="13">
        <f ca="1">ROUNDUP(($AC678+$AE678)*VLOOKUP($AA678,Paraméterek!$P$38:$Q$38,2)/12*IF($D679="Nem",IF($M$13=0,1,$M$13),1),IF($D$4="Forint",0,2))</f>
        <v>0</v>
      </c>
      <c r="AG678" s="13">
        <f ca="1">IF($D$2="Egyszeri",IF($D$7&gt;=IF($D$4="Forint",Paraméterek!$P$223,Paraméterek!$P$224),$D$7-IF($D$4="Forint",Paraméterek!$P$223,Paraméterek!$P$224),0),MIN(IF($AB678=12,AVERAGEIF($E$20:$E678,"&gt;0",$E$20:$E678)*12,0),SUM($E$20:$E$31)))</f>
        <v>0</v>
      </c>
      <c r="AH678" s="13">
        <f>IF($AA678=10,$AG678*IF($AB678=12,IF($AG678&lt;IF($D$4="Forint",Paraméterek!$L$223,Paraméterek!$L$224),0,VLOOKUP($AA678,Paraméterek!$K$226:$M$228,IF($AG678&lt;IF($D$4="Forint",Paraméterek!$M$223,Paraméterek!$M$224),2,3))),0),0)</f>
        <v>0</v>
      </c>
      <c r="AI678" s="13">
        <f ca="1">IF(AND($AA678=$M$11+1,$AB678=$M$12+1),SUMIF($AA$20:$AA$1027,$AA678,$AG$20:$AG$1027)*IF(SUMIF($AA$20:$AA$1027,$AA678,$AG$20:$AG$1027)&lt;IF($D$4="Forint",Paraméterek!$L$223,Paraméterek!$L$224),0,VLOOKUP($AA678,Paraméterek!$K$230:$M$250,IF(SUMIF($AA$20:$AA$1027,$AA678,$AG$20:$AG$1027)&lt;IF($D$4="Forint",Paraméterek!$M$223,Paraméterek!$M$224),2,3))),0)</f>
        <v>0</v>
      </c>
      <c r="AJ678" s="13">
        <f ca="1">IF(AND($AA678&gt;=5,MOD($AA678,5)=0),IF($AB678=12,VLOOKUP($AA678,Paraméterek!$O$225:$P$240,2),0),IF(OR($AA678=3,$AA678=4),IF($AB678=12,VLOOKUP($AA678,Paraméterek!$O$225:$P$240,2,0),0),0))*$AG678</f>
        <v>0</v>
      </c>
      <c r="AK678" s="13">
        <f t="shared" ca="1" si="229"/>
        <v>0</v>
      </c>
      <c r="AL678" s="13">
        <f t="shared" ca="1" si="237"/>
        <v>0</v>
      </c>
      <c r="AM678" s="13">
        <f t="shared" ca="1" si="238"/>
        <v>0</v>
      </c>
      <c r="AO678" s="32">
        <v>659</v>
      </c>
      <c r="AP678" s="32">
        <v>55</v>
      </c>
      <c r="AQ678" s="32">
        <v>11</v>
      </c>
      <c r="AR678" s="13"/>
      <c r="AS678" s="32"/>
      <c r="AT678" s="13">
        <f t="shared" ca="1" si="239"/>
        <v>0</v>
      </c>
      <c r="AU678" s="33"/>
      <c r="AV678" s="13">
        <f t="shared" ca="1" si="230"/>
        <v>0</v>
      </c>
      <c r="AW678" s="13">
        <f ca="1">ROUNDUP(($AT678+$AV678)*VLOOKUP($AP678,Paraméterek!$P$38:$Q$38,2)/12*IF($D679="Nem",IF($M$13=0,1,$M$13),1),IF($D$4="Forint",0,2))</f>
        <v>0</v>
      </c>
      <c r="AX678" s="13"/>
      <c r="AY678" s="13"/>
      <c r="AZ678" s="13">
        <f>ROUNDUP(IF(SUM($AX678:$AY678)=0,0,IF(IF(ISBLANK($AY678),$AX678,$AY678)*Paraméterek!$J$112&lt;IF($D$4="Forint",Paraméterek!$J$113,Paraméterek!$K$113),IF($D$4="Forint",Paraméterek!$J$113,Paraméterek!$K$113),IF(IF(ISBLANK($AY678),$AX678,$AY678)*Paraméterek!$J$112&gt;IF($D$4="Forint",Paraméterek!$J$114,Paraméterek!$K$114),IF($D$4="Forint",Paraméterek!$J$114,Paraméterek!$K$114),IF(ISBLANK($AY678),$AX678,$AY678)*Paraméterek!$J$112))),IF($D$4="Forint",0,2))</f>
        <v>0</v>
      </c>
      <c r="BA678" s="13">
        <f ca="1">$AT678+$AV678-$AW678-IF(ROUNDDOWN(IF(ISBLANK($AY678),$AX678,$AY678),IF($D$4="Forint",0,2))&gt;$AT678+$AV678-$AW678-IF($D$4="Forint",Paraméterek!$J$114,Paraméterek!$K$114),0,ROUNDDOWN(IF(ISBLANK($AY678),$AX678,$AY678),IF($D$4="Forint",0,2))-$AZ678)</f>
        <v>0</v>
      </c>
      <c r="BB678" s="13">
        <f t="shared" ca="1" si="231"/>
        <v>0</v>
      </c>
      <c r="BD678" s="32">
        <v>659</v>
      </c>
      <c r="BE678" s="32">
        <v>55</v>
      </c>
      <c r="BF678" s="32">
        <v>11</v>
      </c>
      <c r="BG678" s="34">
        <f t="shared" ca="1" si="240"/>
        <v>2074</v>
      </c>
      <c r="BH678" s="32" t="str">
        <f ca="1">IF(MOD(MONTH($D$14)+$BD678-1,12)=Paraméterek!$C$288,"Igen","")</f>
        <v/>
      </c>
      <c r="BI678" s="13">
        <f ca="1">IF($BH678="Igen",MIN(ROUNDDOWN((SUMIF($BG$20:$BG$1027,$BG678-1,$K$20:$K$1027)-SUMIF($BG$20:$BG$1027,$BG678-1,$I$20:$I$1027))*Paraméterek!$C$289,IF($D$4="Forint",0,2)),IF($D$4="Forint",Paraméterek!$C$285,Paraméterek!$D$285)),0)</f>
        <v>0</v>
      </c>
      <c r="BJ678" s="13">
        <f t="shared" ca="1" si="232"/>
        <v>0</v>
      </c>
      <c r="BK678" s="13">
        <f t="shared" ca="1" si="241"/>
        <v>0</v>
      </c>
      <c r="BL678" s="33"/>
      <c r="BM678" s="13">
        <f t="shared" ca="1" si="233"/>
        <v>0</v>
      </c>
      <c r="BN678" s="13">
        <f ca="1">ROUNDUP(($BK678+$BM678)*VLOOKUP($BE678,Paraméterek!$P$38:$Q$38,2)/12*IF($D679="Nem",IF($M$13=0,1,$M$13),1),IF($D$4="Forint",0,2))</f>
        <v>0</v>
      </c>
      <c r="BO678" s="13">
        <f t="shared" ca="1" si="234"/>
        <v>0</v>
      </c>
      <c r="BP678" s="13">
        <f ca="1">IF($D679="Nem",$BO678,$BO678-ROUNDUP(SUM($BI$20:$BI678)*120%,IF($D$4="Forint",0,2)))</f>
        <v>0</v>
      </c>
    </row>
    <row r="679" spans="1:68" x14ac:dyDescent="0.2">
      <c r="A679" s="32">
        <v>660</v>
      </c>
      <c r="B679" s="32">
        <v>55</v>
      </c>
      <c r="C679" s="32">
        <v>12</v>
      </c>
      <c r="D679" s="32" t="str">
        <f t="shared" ca="1" si="220"/>
        <v>Nem</v>
      </c>
      <c r="E679" s="13">
        <f t="shared" ca="1" si="221"/>
        <v>0</v>
      </c>
      <c r="F679" s="13"/>
      <c r="G679" s="13"/>
      <c r="H679" s="13"/>
      <c r="I679" s="13">
        <f t="shared" ca="1" si="222"/>
        <v>0</v>
      </c>
      <c r="J679" s="13">
        <f t="shared" ca="1" si="223"/>
        <v>0</v>
      </c>
      <c r="K679" s="13">
        <f t="shared" ca="1" si="224"/>
        <v>0</v>
      </c>
      <c r="L679" s="13" t="e">
        <f ca="1">ROUNDUP(IF($D$2="Egyszeri",$E679,IF($D$2="Havi",SUM($E$20:$E$31),IF(MOD($C679,$M$1)-1=0,SUM($E$20:$E$31),0))/12*$M$1)*VLOOKUP($B679,Paraméterek!$I$28:$P$31,IF($D$2="Egyszeri",8,HLOOKUP(ROUNDUP($M$11+$M$13,0),Paraméterek!$J$26:$O$27,2))),IF($D$4="Forint",0,2))</f>
        <v>#N/A</v>
      </c>
      <c r="M679" s="13">
        <f t="shared" ca="1" si="225"/>
        <v>0</v>
      </c>
      <c r="N679" s="13">
        <f t="shared" ca="1" si="235"/>
        <v>0</v>
      </c>
      <c r="O679" s="13">
        <f ca="1">IF($D679="Igen",IF($W678&gt;=IF($D$4="Forint",Paraméterek!$J$121,Paraméterek!$K$121),0,IF($D$4="Forint",Paraméterek!$J$121,Paraméterek!$K$121)-$W678),0)</f>
        <v>0</v>
      </c>
      <c r="P679" s="13" t="e">
        <f ca="1">ROUNDUP($O679*VLOOKUP($M$4+$B679-1,Paraméterek!$H$58:$I$105,2,0)/Paraméterek!$I$56,IF($D$4="Forint",0,2))</f>
        <v>#N/A</v>
      </c>
      <c r="Q679" s="13">
        <f t="shared" ca="1" si="226"/>
        <v>0</v>
      </c>
      <c r="R679" s="33"/>
      <c r="S679" s="13" t="e">
        <f t="shared" ca="1" si="227"/>
        <v>#N/A</v>
      </c>
      <c r="T679" s="13" t="e">
        <f ca="1">ROUNDUP(($N679-$P679-$Q679+$S679)*VLOOKUP($B679,Paraméterek!$I$38:$K$39,IF($D$2="Egyszeri",3,2))/12*IF($D680="Nem",IF($M$13=0,1,$M$13),1),IF($D$4="Forint",0,2))</f>
        <v>#N/A</v>
      </c>
      <c r="U679" s="13">
        <f>Tranzakciók!$F$86</f>
        <v>0</v>
      </c>
      <c r="V679" s="13"/>
      <c r="W679" s="13" t="e">
        <f ca="1">$N679-$P679-$Q679+$S679-$T679-IF(ROUNDUP(IF(ISBLANK($V679),$U679*0,$V679)/IF($D$2="Egyszeri",VLOOKUP($B679+IF($C679=12,1,0),Paraméterek!$V$257:$W$262,2),IF($B679=1,1,VLOOKUP($B679+IF($C679=12,1,0),Paraméterek!$I$258:$T$278,HLOOKUP($M$11+1,Paraméterek!$J$256:$T$257,2)))),IF($D$4="Forint",0,2))&gt;$N679-$P679-$Q679+$S679-$T679-IF($D$4="Forint",Paraméterek!$C$216,Paraméterek!$D$216),0,ROUNDUP(IF(ISBLANK($V679),$U679*0,$V679)/IF($D$2="Egyszeri",VLOOKUP($B679+IF($C679=12,1,0),Paraméterek!$V$257:$W$262,2),IF($B679=1,1,VLOOKUP($B679+IF($C679=12,1,0),Paraméterek!$I$258:$T$278,HLOOKUP($M$11+1,Paraméterek!$J$256:$T$257,2)))),IF($D$4="Forint",0,2)))</f>
        <v>#N/A</v>
      </c>
      <c r="X679" s="13" t="e">
        <f ca="1">ROUNDDOWN($W679*IF($D$2="Egyszeri",VLOOKUP($B679+IF($C679=12,1,0),Paraméterek!$V$257:$W$262,2),VLOOKUP($B679+IF($C679=12,1,0),Paraméterek!$I$258:$T$278,HLOOKUP($M$11+1,Paraméterek!$I$256:$T$257,2))),IF($D$4="Forint",0,2))</f>
        <v>#N/A</v>
      </c>
      <c r="Z679" s="32">
        <v>660</v>
      </c>
      <c r="AA679" s="32">
        <v>55</v>
      </c>
      <c r="AB679" s="32">
        <v>12</v>
      </c>
      <c r="AC679" s="13">
        <f t="shared" ca="1" si="236"/>
        <v>0</v>
      </c>
      <c r="AD679" s="33"/>
      <c r="AE679" s="13">
        <f t="shared" ca="1" si="228"/>
        <v>0</v>
      </c>
      <c r="AF679" s="13">
        <f ca="1">ROUNDUP(($AC679+$AE679)*VLOOKUP($AA679,Paraméterek!$P$38:$Q$38,2)/12*IF($D680="Nem",IF($M$13=0,1,$M$13),1),IF($D$4="Forint",0,2))</f>
        <v>0</v>
      </c>
      <c r="AG679" s="13" t="e">
        <f ca="1">IF($D$2="Egyszeri",IF($D$7&gt;=IF($D$4="Forint",Paraméterek!$P$223,Paraméterek!$P$224),$D$7-IF($D$4="Forint",Paraméterek!$P$223,Paraméterek!$P$224),0),MIN(IF($AB679=12,AVERAGEIF($E$20:$E679,"&gt;0",$E$20:$E679)*12,0),SUM($E$20:$E$31)))</f>
        <v>#DIV/0!</v>
      </c>
      <c r="AH679" s="13">
        <f>IF($AA679=10,$AG679*IF($AB679=12,IF($AG679&lt;IF($D$4="Forint",Paraméterek!$L$223,Paraméterek!$L$224),0,VLOOKUP($AA679,Paraméterek!$K$226:$M$228,IF($AG679&lt;IF($D$4="Forint",Paraméterek!$M$223,Paraméterek!$M$224),2,3))),0),0)</f>
        <v>0</v>
      </c>
      <c r="AI679" s="13">
        <f ca="1">IF(AND($AA679=$M$11+1,$AB679=$M$12+1),SUMIF($AA$20:$AA$1027,$AA679,$AG$20:$AG$1027)*IF(SUMIF($AA$20:$AA$1027,$AA679,$AG$20:$AG$1027)&lt;IF($D$4="Forint",Paraméterek!$L$223,Paraméterek!$L$224),0,VLOOKUP($AA679,Paraméterek!$K$230:$M$250,IF(SUMIF($AA$20:$AA$1027,$AA679,$AG$20:$AG$1027)&lt;IF($D$4="Forint",Paraméterek!$M$223,Paraméterek!$M$224),2,3))),0)</f>
        <v>0</v>
      </c>
      <c r="AJ679" s="13" t="e">
        <f ca="1">IF(AND($AA679&gt;=5,MOD($AA679,5)=0),IF($AB679=12,VLOOKUP($AA679,Paraméterek!$O$225:$P$240,2),0),IF(OR($AA679=3,$AA679=4),IF($AB679=12,VLOOKUP($AA679,Paraméterek!$O$225:$P$240,2,0),0),0))*$AG679</f>
        <v>#DIV/0!</v>
      </c>
      <c r="AK679" s="13">
        <f t="shared" ca="1" si="229"/>
        <v>0</v>
      </c>
      <c r="AL679" s="13">
        <f t="shared" ca="1" si="237"/>
        <v>0</v>
      </c>
      <c r="AM679" s="13">
        <f t="shared" ca="1" si="238"/>
        <v>0</v>
      </c>
      <c r="AO679" s="32">
        <v>660</v>
      </c>
      <c r="AP679" s="32">
        <v>55</v>
      </c>
      <c r="AQ679" s="32">
        <v>12</v>
      </c>
      <c r="AR679" s="13"/>
      <c r="AS679" s="32"/>
      <c r="AT679" s="13">
        <f t="shared" ca="1" si="239"/>
        <v>0</v>
      </c>
      <c r="AU679" s="33"/>
      <c r="AV679" s="13">
        <f t="shared" ca="1" si="230"/>
        <v>0</v>
      </c>
      <c r="AW679" s="13">
        <f ca="1">ROUNDUP(($AT679+$AV679)*VLOOKUP($AP679,Paraméterek!$P$38:$Q$38,2)/12*IF($D680="Nem",IF($M$13=0,1,$M$13),1),IF($D$4="Forint",0,2))</f>
        <v>0</v>
      </c>
      <c r="AX679" s="13">
        <f>Tranzakciók!$M$86</f>
        <v>0</v>
      </c>
      <c r="AY679" s="13"/>
      <c r="AZ679" s="13">
        <f>ROUNDUP(IF(SUM($AX679:$AY679)=0,0,IF(IF(ISBLANK($AY679),$AX679,$AY679)*Paraméterek!$J$112&lt;IF($D$4="Forint",Paraméterek!$J$113,Paraméterek!$K$113),IF($D$4="Forint",Paraméterek!$J$113,Paraméterek!$K$113),IF(IF(ISBLANK($AY679),$AX679,$AY679)*Paraméterek!$J$112&gt;IF($D$4="Forint",Paraméterek!$J$114,Paraméterek!$K$114),IF($D$4="Forint",Paraméterek!$J$114,Paraméterek!$K$114),IF(ISBLANK($AY679),$AX679,$AY679)*Paraméterek!$J$112))),IF($D$4="Forint",0,2))</f>
        <v>0</v>
      </c>
      <c r="BA679" s="13">
        <f ca="1">$AT679+$AV679-$AW679-IF(ROUNDDOWN(IF(ISBLANK($AY679),$AX679,$AY679),IF($D$4="Forint",0,2))&gt;$AT679+$AV679-$AW679-IF($D$4="Forint",Paraméterek!$J$114,Paraméterek!$K$114),0,ROUNDDOWN(IF(ISBLANK($AY679),$AX679,$AY679),IF($D$4="Forint",0,2))-$AZ679)</f>
        <v>0</v>
      </c>
      <c r="BB679" s="13">
        <f t="shared" ca="1" si="231"/>
        <v>0</v>
      </c>
      <c r="BD679" s="32">
        <v>660</v>
      </c>
      <c r="BE679" s="32">
        <v>55</v>
      </c>
      <c r="BF679" s="32">
        <v>12</v>
      </c>
      <c r="BG679" s="34">
        <f t="shared" ca="1" si="240"/>
        <v>2074</v>
      </c>
      <c r="BH679" s="32" t="str">
        <f ca="1">IF(MOD(MONTH($D$14)+$BD679-1,12)=Paraméterek!$C$288,"Igen","")</f>
        <v/>
      </c>
      <c r="BI679" s="13">
        <f ca="1">IF($BH679="Igen",MIN(ROUNDDOWN((SUMIF($BG$20:$BG$1027,$BG679-1,$K$20:$K$1027)-SUMIF($BG$20:$BG$1027,$BG679-1,$I$20:$I$1027))*Paraméterek!$C$289,IF($D$4="Forint",0,2)),IF($D$4="Forint",Paraméterek!$C$285,Paraméterek!$D$285)),0)</f>
        <v>0</v>
      </c>
      <c r="BJ679" s="13">
        <f t="shared" ca="1" si="232"/>
        <v>0</v>
      </c>
      <c r="BK679" s="13">
        <f t="shared" ca="1" si="241"/>
        <v>0</v>
      </c>
      <c r="BL679" s="33"/>
      <c r="BM679" s="13">
        <f t="shared" ca="1" si="233"/>
        <v>0</v>
      </c>
      <c r="BN679" s="13">
        <f ca="1">ROUNDUP(($BK679+$BM679)*VLOOKUP($BE679,Paraméterek!$P$38:$Q$38,2)/12*IF($D680="Nem",IF($M$13=0,1,$M$13),1),IF($D$4="Forint",0,2))</f>
        <v>0</v>
      </c>
      <c r="BO679" s="13">
        <f t="shared" ca="1" si="234"/>
        <v>0</v>
      </c>
      <c r="BP679" s="13">
        <f ca="1">IF($D680="Nem",$BO679,$BO679-ROUNDUP(SUM($BI$20:$BI679)*120%,IF($D$4="Forint",0,2)))</f>
        <v>0</v>
      </c>
    </row>
    <row r="680" spans="1:68" x14ac:dyDescent="0.2">
      <c r="A680" s="32">
        <v>661</v>
      </c>
      <c r="B680" s="32">
        <v>56</v>
      </c>
      <c r="C680" s="32">
        <v>1</v>
      </c>
      <c r="D680" s="32" t="str">
        <f t="shared" ca="1" si="220"/>
        <v>Nem</v>
      </c>
      <c r="E680" s="13">
        <f t="shared" ca="1" si="221"/>
        <v>0</v>
      </c>
      <c r="F680" s="13"/>
      <c r="G680" s="13">
        <f>Tranzakciók!$D$87</f>
        <v>0</v>
      </c>
      <c r="H680" s="13"/>
      <c r="I680" s="13">
        <f t="shared" ca="1" si="222"/>
        <v>0</v>
      </c>
      <c r="J680" s="13">
        <f t="shared" ca="1" si="223"/>
        <v>0</v>
      </c>
      <c r="K680" s="13">
        <f t="shared" ca="1" si="224"/>
        <v>0</v>
      </c>
      <c r="L680" s="13" t="e">
        <f ca="1">ROUNDUP(IF($D$2="Egyszeri",$E680,IF($D$2="Havi",SUM($E$20:$E$31),IF(MOD($C680,$M$1)-1=0,SUM($E$20:$E$31),0))/12*$M$1)*VLOOKUP($B680,Paraméterek!$I$28:$P$31,IF($D$2="Egyszeri",8,HLOOKUP(ROUNDUP($M$11+$M$13,0),Paraméterek!$J$26:$O$27,2))),IF($D$4="Forint",0,2))</f>
        <v>#N/A</v>
      </c>
      <c r="M680" s="13">
        <f t="shared" ca="1" si="225"/>
        <v>0</v>
      </c>
      <c r="N680" s="13">
        <f t="shared" ca="1" si="235"/>
        <v>0</v>
      </c>
      <c r="O680" s="13">
        <f ca="1">IF($D680="Igen",IF($W679&gt;=IF($D$4="Forint",Paraméterek!$J$121,Paraméterek!$K$121),0,IF($D$4="Forint",Paraméterek!$J$121,Paraméterek!$K$121)-$W679),0)</f>
        <v>0</v>
      </c>
      <c r="P680" s="13" t="e">
        <f ca="1">ROUNDUP($O680*VLOOKUP($M$4+$B680-1,Paraméterek!$H$58:$I$105,2,0)/Paraméterek!$I$56,IF($D$4="Forint",0,2))</f>
        <v>#N/A</v>
      </c>
      <c r="Q680" s="13">
        <f t="shared" ca="1" si="226"/>
        <v>0</v>
      </c>
      <c r="R680" s="33"/>
      <c r="S680" s="13" t="e">
        <f t="shared" ca="1" si="227"/>
        <v>#N/A</v>
      </c>
      <c r="T680" s="13" t="e">
        <f ca="1">ROUNDUP(($N680-$P680-$Q680+$S680)*VLOOKUP($B680,Paraméterek!$I$38:$K$39,IF($D$2="Egyszeri",3,2))/12*IF($D681="Nem",IF($M$13=0,1,$M$13),1),IF($D$4="Forint",0,2))</f>
        <v>#N/A</v>
      </c>
      <c r="U680" s="13"/>
      <c r="V680" s="13"/>
      <c r="W680" s="13" t="e">
        <f ca="1">$N680-$P680-$Q680+$S680-$T680-IF(ROUNDUP(IF(ISBLANK($V680),$U680*0,$V680)/IF($D$2="Egyszeri",VLOOKUP($B680+IF($C680=12,1,0),Paraméterek!$V$257:$W$262,2),IF($B680=1,1,VLOOKUP($B680+IF($C680=12,1,0),Paraméterek!$I$258:$T$278,HLOOKUP($M$11+1,Paraméterek!$J$256:$T$257,2)))),IF($D$4="Forint",0,2))&gt;$N680-$P680-$Q680+$S680-$T680-IF($D$4="Forint",Paraméterek!$C$216,Paraméterek!$D$216),0,ROUNDUP(IF(ISBLANK($V680),$U680*0,$V680)/IF($D$2="Egyszeri",VLOOKUP($B680+IF($C680=12,1,0),Paraméterek!$V$257:$W$262,2),IF($B680=1,1,VLOOKUP($B680+IF($C680=12,1,0),Paraméterek!$I$258:$T$278,HLOOKUP($M$11+1,Paraméterek!$J$256:$T$257,2)))),IF($D$4="Forint",0,2)))</f>
        <v>#N/A</v>
      </c>
      <c r="X680" s="13" t="e">
        <f ca="1">ROUNDDOWN($W680*IF($D$2="Egyszeri",VLOOKUP($B680+IF($C680=12,1,0),Paraméterek!$V$257:$W$262,2),VLOOKUP($B680+IF($C680=12,1,0),Paraméterek!$I$258:$T$278,HLOOKUP($M$11+1,Paraméterek!$I$256:$T$257,2))),IF($D$4="Forint",0,2))</f>
        <v>#N/A</v>
      </c>
      <c r="Z680" s="32">
        <v>661</v>
      </c>
      <c r="AA680" s="32">
        <v>56</v>
      </c>
      <c r="AB680" s="32">
        <v>1</v>
      </c>
      <c r="AC680" s="13">
        <f t="shared" ca="1" si="236"/>
        <v>0</v>
      </c>
      <c r="AD680" s="33"/>
      <c r="AE680" s="13">
        <f t="shared" ca="1" si="228"/>
        <v>0</v>
      </c>
      <c r="AF680" s="13">
        <f ca="1">ROUNDUP(($AC680+$AE680)*VLOOKUP($AA680,Paraméterek!$P$38:$Q$38,2)/12*IF($D681="Nem",IF($M$13=0,1,$M$13),1),IF($D$4="Forint",0,2))</f>
        <v>0</v>
      </c>
      <c r="AG680" s="13">
        <f ca="1">IF($D$2="Egyszeri",IF($D$7&gt;=IF($D$4="Forint",Paraméterek!$P$223,Paraméterek!$P$224),$D$7-IF($D$4="Forint",Paraméterek!$P$223,Paraméterek!$P$224),0),MIN(IF($AB680=12,AVERAGEIF($E$20:$E680,"&gt;0",$E$20:$E680)*12,0),SUM($E$20:$E$31)))</f>
        <v>0</v>
      </c>
      <c r="AH680" s="13">
        <f>IF($AA680=10,$AG680*IF($AB680=12,IF($AG680&lt;IF($D$4="Forint",Paraméterek!$L$223,Paraméterek!$L$224),0,VLOOKUP($AA680,Paraméterek!$K$226:$M$228,IF($AG680&lt;IF($D$4="Forint",Paraméterek!$M$223,Paraméterek!$M$224),2,3))),0),0)</f>
        <v>0</v>
      </c>
      <c r="AI680" s="13">
        <f ca="1">IF(AND($AA680=$M$11+1,$AB680=$M$12+1),SUMIF($AA$20:$AA$1027,$AA680,$AG$20:$AG$1027)*IF(SUMIF($AA$20:$AA$1027,$AA680,$AG$20:$AG$1027)&lt;IF($D$4="Forint",Paraméterek!$L$223,Paraméterek!$L$224),0,VLOOKUP($AA680,Paraméterek!$K$230:$M$250,IF(SUMIF($AA$20:$AA$1027,$AA680,$AG$20:$AG$1027)&lt;IF($D$4="Forint",Paraméterek!$M$223,Paraméterek!$M$224),2,3))),0)</f>
        <v>0</v>
      </c>
      <c r="AJ680" s="13">
        <f ca="1">IF(AND($AA680&gt;=5,MOD($AA680,5)=0),IF($AB680=12,VLOOKUP($AA680,Paraméterek!$O$225:$P$240,2),0),IF(OR($AA680=3,$AA680=4),IF($AB680=12,VLOOKUP($AA680,Paraméterek!$O$225:$P$240,2,0),0),0))*$AG680</f>
        <v>0</v>
      </c>
      <c r="AK680" s="13">
        <f t="shared" ca="1" si="229"/>
        <v>0</v>
      </c>
      <c r="AL680" s="13">
        <f t="shared" ca="1" si="237"/>
        <v>0</v>
      </c>
      <c r="AM680" s="13">
        <f t="shared" ca="1" si="238"/>
        <v>0</v>
      </c>
      <c r="AO680" s="32">
        <v>661</v>
      </c>
      <c r="AP680" s="32">
        <v>56</v>
      </c>
      <c r="AQ680" s="32">
        <v>1</v>
      </c>
      <c r="AR680" s="13">
        <f>Tranzakciók!$K$87</f>
        <v>0</v>
      </c>
      <c r="AS680" s="32"/>
      <c r="AT680" s="13">
        <f t="shared" ca="1" si="239"/>
        <v>0</v>
      </c>
      <c r="AU680" s="33"/>
      <c r="AV680" s="13">
        <f t="shared" ca="1" si="230"/>
        <v>0</v>
      </c>
      <c r="AW680" s="13">
        <f ca="1">ROUNDUP(($AT680+$AV680)*VLOOKUP($AP680,Paraméterek!$P$38:$Q$38,2)/12*IF($D681="Nem",IF($M$13=0,1,$M$13),1),IF($D$4="Forint",0,2))</f>
        <v>0</v>
      </c>
      <c r="AX680" s="13"/>
      <c r="AY680" s="13"/>
      <c r="AZ680" s="13">
        <f>ROUNDUP(IF(SUM($AX680:$AY680)=0,0,IF(IF(ISBLANK($AY680),$AX680,$AY680)*Paraméterek!$J$112&lt;IF($D$4="Forint",Paraméterek!$J$113,Paraméterek!$K$113),IF($D$4="Forint",Paraméterek!$J$113,Paraméterek!$K$113),IF(IF(ISBLANK($AY680),$AX680,$AY680)*Paraméterek!$J$112&gt;IF($D$4="Forint",Paraméterek!$J$114,Paraméterek!$K$114),IF($D$4="Forint",Paraméterek!$J$114,Paraméterek!$K$114),IF(ISBLANK($AY680),$AX680,$AY680)*Paraméterek!$J$112))),IF($D$4="Forint",0,2))</f>
        <v>0</v>
      </c>
      <c r="BA680" s="13">
        <f ca="1">$AT680+$AV680-$AW680-IF(ROUNDDOWN(IF(ISBLANK($AY680),$AX680,$AY680),IF($D$4="Forint",0,2))&gt;$AT680+$AV680-$AW680-IF($D$4="Forint",Paraméterek!$J$114,Paraméterek!$K$114),0,ROUNDDOWN(IF(ISBLANK($AY680),$AX680,$AY680),IF($D$4="Forint",0,2))-$AZ680)</f>
        <v>0</v>
      </c>
      <c r="BB680" s="13">
        <f t="shared" ca="1" si="231"/>
        <v>0</v>
      </c>
      <c r="BD680" s="32">
        <v>661</v>
      </c>
      <c r="BE680" s="32">
        <v>56</v>
      </c>
      <c r="BF680" s="32">
        <v>1</v>
      </c>
      <c r="BG680" s="34">
        <f t="shared" ca="1" si="240"/>
        <v>2074</v>
      </c>
      <c r="BH680" s="32" t="str">
        <f ca="1">IF(MOD(MONTH($D$14)+$BD680-1,12)=Paraméterek!$C$288,"Igen","")</f>
        <v/>
      </c>
      <c r="BI680" s="13">
        <f ca="1">IF($BH680="Igen",MIN(ROUNDDOWN((SUMIF($BG$20:$BG$1027,$BG680-1,$K$20:$K$1027)-SUMIF($BG$20:$BG$1027,$BG680-1,$I$20:$I$1027))*Paraméterek!$C$289,IF($D$4="Forint",0,2)),IF($D$4="Forint",Paraméterek!$C$285,Paraméterek!$D$285)),0)</f>
        <v>0</v>
      </c>
      <c r="BJ680" s="13">
        <f t="shared" ca="1" si="232"/>
        <v>0</v>
      </c>
      <c r="BK680" s="13">
        <f t="shared" ca="1" si="241"/>
        <v>0</v>
      </c>
      <c r="BL680" s="33"/>
      <c r="BM680" s="13">
        <f t="shared" ca="1" si="233"/>
        <v>0</v>
      </c>
      <c r="BN680" s="13">
        <f ca="1">ROUNDUP(($BK680+$BM680)*VLOOKUP($BE680,Paraméterek!$P$38:$Q$38,2)/12*IF($D681="Nem",IF($M$13=0,1,$M$13),1),IF($D$4="Forint",0,2))</f>
        <v>0</v>
      </c>
      <c r="BO680" s="13">
        <f t="shared" ca="1" si="234"/>
        <v>0</v>
      </c>
      <c r="BP680" s="13">
        <f ca="1">IF($D681="Nem",$BO680,$BO680-ROUNDUP(SUM($BI$20:$BI680)*120%,IF($D$4="Forint",0,2)))</f>
        <v>0</v>
      </c>
    </row>
    <row r="681" spans="1:68" x14ac:dyDescent="0.2">
      <c r="A681" s="32">
        <v>662</v>
      </c>
      <c r="B681" s="32">
        <v>56</v>
      </c>
      <c r="C681" s="32">
        <v>2</v>
      </c>
      <c r="D681" s="32" t="str">
        <f t="shared" ca="1" si="220"/>
        <v>Nem</v>
      </c>
      <c r="E681" s="13">
        <f t="shared" ca="1" si="221"/>
        <v>0</v>
      </c>
      <c r="F681" s="13"/>
      <c r="G681" s="13"/>
      <c r="H681" s="13"/>
      <c r="I681" s="13">
        <f t="shared" ca="1" si="222"/>
        <v>0</v>
      </c>
      <c r="J681" s="13">
        <f t="shared" ca="1" si="223"/>
        <v>0</v>
      </c>
      <c r="K681" s="13">
        <f t="shared" ca="1" si="224"/>
        <v>0</v>
      </c>
      <c r="L681" s="13" t="e">
        <f ca="1">ROUNDUP(IF($D$2="Egyszeri",$E681,IF($D$2="Havi",SUM($E$20:$E$31),IF(MOD($C681,$M$1)-1=0,SUM($E$20:$E$31),0))/12*$M$1)*VLOOKUP($B681,Paraméterek!$I$28:$P$31,IF($D$2="Egyszeri",8,HLOOKUP(ROUNDUP($M$11+$M$13,0),Paraméterek!$J$26:$O$27,2))),IF($D$4="Forint",0,2))</f>
        <v>#N/A</v>
      </c>
      <c r="M681" s="13">
        <f t="shared" ca="1" si="225"/>
        <v>0</v>
      </c>
      <c r="N681" s="13">
        <f t="shared" ca="1" si="235"/>
        <v>0</v>
      </c>
      <c r="O681" s="13">
        <f ca="1">IF($D681="Igen",IF($W680&gt;=IF($D$4="Forint",Paraméterek!$J$121,Paraméterek!$K$121),0,IF($D$4="Forint",Paraméterek!$J$121,Paraméterek!$K$121)-$W680),0)</f>
        <v>0</v>
      </c>
      <c r="P681" s="13" t="e">
        <f ca="1">ROUNDUP($O681*VLOOKUP($M$4+$B681-1,Paraméterek!$H$58:$I$105,2,0)/Paraméterek!$I$56,IF($D$4="Forint",0,2))</f>
        <v>#N/A</v>
      </c>
      <c r="Q681" s="13">
        <f t="shared" ca="1" si="226"/>
        <v>0</v>
      </c>
      <c r="R681" s="33"/>
      <c r="S681" s="13" t="e">
        <f t="shared" ca="1" si="227"/>
        <v>#N/A</v>
      </c>
      <c r="T681" s="13" t="e">
        <f ca="1">ROUNDUP(($N681-$P681-$Q681+$S681)*VLOOKUP($B681,Paraméterek!$I$38:$K$39,IF($D$2="Egyszeri",3,2))/12*IF($D682="Nem",IF($M$13=0,1,$M$13),1),IF($D$4="Forint",0,2))</f>
        <v>#N/A</v>
      </c>
      <c r="U681" s="13"/>
      <c r="V681" s="13"/>
      <c r="W681" s="13" t="e">
        <f ca="1">$N681-$P681-$Q681+$S681-$T681-IF(ROUNDUP(IF(ISBLANK($V681),$U681*0,$V681)/IF($D$2="Egyszeri",VLOOKUP($B681+IF($C681=12,1,0),Paraméterek!$V$257:$W$262,2),IF($B681=1,1,VLOOKUP($B681+IF($C681=12,1,0),Paraméterek!$I$258:$T$278,HLOOKUP($M$11+1,Paraméterek!$J$256:$T$257,2)))),IF($D$4="Forint",0,2))&gt;$N681-$P681-$Q681+$S681-$T681-IF($D$4="Forint",Paraméterek!$C$216,Paraméterek!$D$216),0,ROUNDUP(IF(ISBLANK($V681),$U681*0,$V681)/IF($D$2="Egyszeri",VLOOKUP($B681+IF($C681=12,1,0),Paraméterek!$V$257:$W$262,2),IF($B681=1,1,VLOOKUP($B681+IF($C681=12,1,0),Paraméterek!$I$258:$T$278,HLOOKUP($M$11+1,Paraméterek!$J$256:$T$257,2)))),IF($D$4="Forint",0,2)))</f>
        <v>#N/A</v>
      </c>
      <c r="X681" s="13" t="e">
        <f ca="1">ROUNDDOWN($W681*IF($D$2="Egyszeri",VLOOKUP($B681+IF($C681=12,1,0),Paraméterek!$V$257:$W$262,2),VLOOKUP($B681+IF($C681=12,1,0),Paraméterek!$I$258:$T$278,HLOOKUP($M$11+1,Paraméterek!$I$256:$T$257,2))),IF($D$4="Forint",0,2))</f>
        <v>#N/A</v>
      </c>
      <c r="Z681" s="32">
        <v>662</v>
      </c>
      <c r="AA681" s="32">
        <v>56</v>
      </c>
      <c r="AB681" s="32">
        <v>2</v>
      </c>
      <c r="AC681" s="13">
        <f t="shared" ca="1" si="236"/>
        <v>0</v>
      </c>
      <c r="AD681" s="33"/>
      <c r="AE681" s="13">
        <f t="shared" ca="1" si="228"/>
        <v>0</v>
      </c>
      <c r="AF681" s="13">
        <f ca="1">ROUNDUP(($AC681+$AE681)*VLOOKUP($AA681,Paraméterek!$P$38:$Q$38,2)/12*IF($D682="Nem",IF($M$13=0,1,$M$13),1),IF($D$4="Forint",0,2))</f>
        <v>0</v>
      </c>
      <c r="AG681" s="13">
        <f ca="1">IF($D$2="Egyszeri",IF($D$7&gt;=IF($D$4="Forint",Paraméterek!$P$223,Paraméterek!$P$224),$D$7-IF($D$4="Forint",Paraméterek!$P$223,Paraméterek!$P$224),0),MIN(IF($AB681=12,AVERAGEIF($E$20:$E681,"&gt;0",$E$20:$E681)*12,0),SUM($E$20:$E$31)))</f>
        <v>0</v>
      </c>
      <c r="AH681" s="13">
        <f>IF($AA681=10,$AG681*IF($AB681=12,IF($AG681&lt;IF($D$4="Forint",Paraméterek!$L$223,Paraméterek!$L$224),0,VLOOKUP($AA681,Paraméterek!$K$226:$M$228,IF($AG681&lt;IF($D$4="Forint",Paraméterek!$M$223,Paraméterek!$M$224),2,3))),0),0)</f>
        <v>0</v>
      </c>
      <c r="AI681" s="13">
        <f ca="1">IF(AND($AA681=$M$11+1,$AB681=$M$12+1),SUMIF($AA$20:$AA$1027,$AA681,$AG$20:$AG$1027)*IF(SUMIF($AA$20:$AA$1027,$AA681,$AG$20:$AG$1027)&lt;IF($D$4="Forint",Paraméterek!$L$223,Paraméterek!$L$224),0,VLOOKUP($AA681,Paraméterek!$K$230:$M$250,IF(SUMIF($AA$20:$AA$1027,$AA681,$AG$20:$AG$1027)&lt;IF($D$4="Forint",Paraméterek!$M$223,Paraméterek!$M$224),2,3))),0)</f>
        <v>0</v>
      </c>
      <c r="AJ681" s="13">
        <f ca="1">IF(AND($AA681&gt;=5,MOD($AA681,5)=0),IF($AB681=12,VLOOKUP($AA681,Paraméterek!$O$225:$P$240,2),0),IF(OR($AA681=3,$AA681=4),IF($AB681=12,VLOOKUP($AA681,Paraméterek!$O$225:$P$240,2,0),0),0))*$AG681</f>
        <v>0</v>
      </c>
      <c r="AK681" s="13">
        <f t="shared" ca="1" si="229"/>
        <v>0</v>
      </c>
      <c r="AL681" s="13">
        <f t="shared" ca="1" si="237"/>
        <v>0</v>
      </c>
      <c r="AM681" s="13">
        <f t="shared" ca="1" si="238"/>
        <v>0</v>
      </c>
      <c r="AO681" s="32">
        <v>662</v>
      </c>
      <c r="AP681" s="32">
        <v>56</v>
      </c>
      <c r="AQ681" s="32">
        <v>2</v>
      </c>
      <c r="AR681" s="13"/>
      <c r="AS681" s="32"/>
      <c r="AT681" s="13">
        <f t="shared" ca="1" si="239"/>
        <v>0</v>
      </c>
      <c r="AU681" s="33"/>
      <c r="AV681" s="13">
        <f t="shared" ca="1" si="230"/>
        <v>0</v>
      </c>
      <c r="AW681" s="13">
        <f ca="1">ROUNDUP(($AT681+$AV681)*VLOOKUP($AP681,Paraméterek!$P$38:$Q$38,2)/12*IF($D682="Nem",IF($M$13=0,1,$M$13),1),IF($D$4="Forint",0,2))</f>
        <v>0</v>
      </c>
      <c r="AX681" s="13"/>
      <c r="AY681" s="13"/>
      <c r="AZ681" s="13">
        <f>ROUNDUP(IF(SUM($AX681:$AY681)=0,0,IF(IF(ISBLANK($AY681),$AX681,$AY681)*Paraméterek!$J$112&lt;IF($D$4="Forint",Paraméterek!$J$113,Paraméterek!$K$113),IF($D$4="Forint",Paraméterek!$J$113,Paraméterek!$K$113),IF(IF(ISBLANK($AY681),$AX681,$AY681)*Paraméterek!$J$112&gt;IF($D$4="Forint",Paraméterek!$J$114,Paraméterek!$K$114),IF($D$4="Forint",Paraméterek!$J$114,Paraméterek!$K$114),IF(ISBLANK($AY681),$AX681,$AY681)*Paraméterek!$J$112))),IF($D$4="Forint",0,2))</f>
        <v>0</v>
      </c>
      <c r="BA681" s="13">
        <f ca="1">$AT681+$AV681-$AW681-IF(ROUNDDOWN(IF(ISBLANK($AY681),$AX681,$AY681),IF($D$4="Forint",0,2))&gt;$AT681+$AV681-$AW681-IF($D$4="Forint",Paraméterek!$J$114,Paraméterek!$K$114),0,ROUNDDOWN(IF(ISBLANK($AY681),$AX681,$AY681),IF($D$4="Forint",0,2))-$AZ681)</f>
        <v>0</v>
      </c>
      <c r="BB681" s="13">
        <f t="shared" ca="1" si="231"/>
        <v>0</v>
      </c>
      <c r="BD681" s="32">
        <v>662</v>
      </c>
      <c r="BE681" s="32">
        <v>56</v>
      </c>
      <c r="BF681" s="32">
        <v>2</v>
      </c>
      <c r="BG681" s="34">
        <f t="shared" ca="1" si="240"/>
        <v>2074</v>
      </c>
      <c r="BH681" s="32" t="str">
        <f ca="1">IF(MOD(MONTH($D$14)+$BD681-1,12)=Paraméterek!$C$288,"Igen","")</f>
        <v>Igen</v>
      </c>
      <c r="BI681" s="13">
        <f ca="1">IF($BH681="Igen",MIN(ROUNDDOWN((SUMIF($BG$20:$BG$1027,$BG681-1,$K$20:$K$1027)-SUMIF($BG$20:$BG$1027,$BG681-1,$I$20:$I$1027))*Paraméterek!$C$289,IF($D$4="Forint",0,2)),IF($D$4="Forint",Paraméterek!$C$285,Paraméterek!$D$285)),0)</f>
        <v>0</v>
      </c>
      <c r="BJ681" s="13">
        <f t="shared" ca="1" si="232"/>
        <v>0</v>
      </c>
      <c r="BK681" s="13">
        <f t="shared" ca="1" si="241"/>
        <v>0</v>
      </c>
      <c r="BL681" s="33"/>
      <c r="BM681" s="13">
        <f t="shared" ca="1" si="233"/>
        <v>0</v>
      </c>
      <c r="BN681" s="13">
        <f ca="1">ROUNDUP(($BK681+$BM681)*VLOOKUP($BE681,Paraméterek!$P$38:$Q$38,2)/12*IF($D682="Nem",IF($M$13=0,1,$M$13),1),IF($D$4="Forint",0,2))</f>
        <v>0</v>
      </c>
      <c r="BO681" s="13">
        <f t="shared" ca="1" si="234"/>
        <v>0</v>
      </c>
      <c r="BP681" s="13">
        <f ca="1">IF($D682="Nem",$BO681,$BO681-ROUNDUP(SUM($BI$20:$BI681)*120%,IF($D$4="Forint",0,2)))</f>
        <v>0</v>
      </c>
    </row>
    <row r="682" spans="1:68" x14ac:dyDescent="0.2">
      <c r="A682" s="32">
        <v>663</v>
      </c>
      <c r="B682" s="32">
        <v>56</v>
      </c>
      <c r="C682" s="32">
        <v>3</v>
      </c>
      <c r="D682" s="32" t="str">
        <f t="shared" ca="1" si="220"/>
        <v>Nem</v>
      </c>
      <c r="E682" s="13">
        <f t="shared" ca="1" si="221"/>
        <v>0</v>
      </c>
      <c r="F682" s="13"/>
      <c r="G682" s="13"/>
      <c r="H682" s="13"/>
      <c r="I682" s="13">
        <f t="shared" ca="1" si="222"/>
        <v>0</v>
      </c>
      <c r="J682" s="13">
        <f t="shared" ca="1" si="223"/>
        <v>0</v>
      </c>
      <c r="K682" s="13">
        <f t="shared" ca="1" si="224"/>
        <v>0</v>
      </c>
      <c r="L682" s="13" t="e">
        <f ca="1">ROUNDUP(IF($D$2="Egyszeri",$E682,IF($D$2="Havi",SUM($E$20:$E$31),IF(MOD($C682,$M$1)-1=0,SUM($E$20:$E$31),0))/12*$M$1)*VLOOKUP($B682,Paraméterek!$I$28:$P$31,IF($D$2="Egyszeri",8,HLOOKUP(ROUNDUP($M$11+$M$13,0),Paraméterek!$J$26:$O$27,2))),IF($D$4="Forint",0,2))</f>
        <v>#N/A</v>
      </c>
      <c r="M682" s="13">
        <f t="shared" ca="1" si="225"/>
        <v>0</v>
      </c>
      <c r="N682" s="13">
        <f t="shared" ca="1" si="235"/>
        <v>0</v>
      </c>
      <c r="O682" s="13">
        <f ca="1">IF($D682="Igen",IF($W681&gt;=IF($D$4="Forint",Paraméterek!$J$121,Paraméterek!$K$121),0,IF($D$4="Forint",Paraméterek!$J$121,Paraméterek!$K$121)-$W681),0)</f>
        <v>0</v>
      </c>
      <c r="P682" s="13" t="e">
        <f ca="1">ROUNDUP($O682*VLOOKUP($M$4+$B682-1,Paraméterek!$H$58:$I$105,2,0)/Paraméterek!$I$56,IF($D$4="Forint",0,2))</f>
        <v>#N/A</v>
      </c>
      <c r="Q682" s="13">
        <f t="shared" ca="1" si="226"/>
        <v>0</v>
      </c>
      <c r="R682" s="33"/>
      <c r="S682" s="13" t="e">
        <f t="shared" ca="1" si="227"/>
        <v>#N/A</v>
      </c>
      <c r="T682" s="13" t="e">
        <f ca="1">ROUNDUP(($N682-$P682-$Q682+$S682)*VLOOKUP($B682,Paraméterek!$I$38:$K$39,IF($D$2="Egyszeri",3,2))/12*IF($D683="Nem",IF($M$13=0,1,$M$13),1),IF($D$4="Forint",0,2))</f>
        <v>#N/A</v>
      </c>
      <c r="U682" s="13"/>
      <c r="V682" s="13"/>
      <c r="W682" s="13" t="e">
        <f ca="1">$N682-$P682-$Q682+$S682-$T682-IF(ROUNDUP(IF(ISBLANK($V682),$U682*0,$V682)/IF($D$2="Egyszeri",VLOOKUP($B682+IF($C682=12,1,0),Paraméterek!$V$257:$W$262,2),IF($B682=1,1,VLOOKUP($B682+IF($C682=12,1,0),Paraméterek!$I$258:$T$278,HLOOKUP($M$11+1,Paraméterek!$J$256:$T$257,2)))),IF($D$4="Forint",0,2))&gt;$N682-$P682-$Q682+$S682-$T682-IF($D$4="Forint",Paraméterek!$C$216,Paraméterek!$D$216),0,ROUNDUP(IF(ISBLANK($V682),$U682*0,$V682)/IF($D$2="Egyszeri",VLOOKUP($B682+IF($C682=12,1,0),Paraméterek!$V$257:$W$262,2),IF($B682=1,1,VLOOKUP($B682+IF($C682=12,1,0),Paraméterek!$I$258:$T$278,HLOOKUP($M$11+1,Paraméterek!$J$256:$T$257,2)))),IF($D$4="Forint",0,2)))</f>
        <v>#N/A</v>
      </c>
      <c r="X682" s="13" t="e">
        <f ca="1">ROUNDDOWN($W682*IF($D$2="Egyszeri",VLOOKUP($B682+IF($C682=12,1,0),Paraméterek!$V$257:$W$262,2),VLOOKUP($B682+IF($C682=12,1,0),Paraméterek!$I$258:$T$278,HLOOKUP($M$11+1,Paraméterek!$I$256:$T$257,2))),IF($D$4="Forint",0,2))</f>
        <v>#N/A</v>
      </c>
      <c r="Z682" s="32">
        <v>663</v>
      </c>
      <c r="AA682" s="32">
        <v>56</v>
      </c>
      <c r="AB682" s="32">
        <v>3</v>
      </c>
      <c r="AC682" s="13">
        <f t="shared" ca="1" si="236"/>
        <v>0</v>
      </c>
      <c r="AD682" s="33"/>
      <c r="AE682" s="13">
        <f t="shared" ca="1" si="228"/>
        <v>0</v>
      </c>
      <c r="AF682" s="13">
        <f ca="1">ROUNDUP(($AC682+$AE682)*VLOOKUP($AA682,Paraméterek!$P$38:$Q$38,2)/12*IF($D683="Nem",IF($M$13=0,1,$M$13),1),IF($D$4="Forint",0,2))</f>
        <v>0</v>
      </c>
      <c r="AG682" s="13">
        <f ca="1">IF($D$2="Egyszeri",IF($D$7&gt;=IF($D$4="Forint",Paraméterek!$P$223,Paraméterek!$P$224),$D$7-IF($D$4="Forint",Paraméterek!$P$223,Paraméterek!$P$224),0),MIN(IF($AB682=12,AVERAGEIF($E$20:$E682,"&gt;0",$E$20:$E682)*12,0),SUM($E$20:$E$31)))</f>
        <v>0</v>
      </c>
      <c r="AH682" s="13">
        <f>IF($AA682=10,$AG682*IF($AB682=12,IF($AG682&lt;IF($D$4="Forint",Paraméterek!$L$223,Paraméterek!$L$224),0,VLOOKUP($AA682,Paraméterek!$K$226:$M$228,IF($AG682&lt;IF($D$4="Forint",Paraméterek!$M$223,Paraméterek!$M$224),2,3))),0),0)</f>
        <v>0</v>
      </c>
      <c r="AI682" s="13">
        <f ca="1">IF(AND($AA682=$M$11+1,$AB682=$M$12+1),SUMIF($AA$20:$AA$1027,$AA682,$AG$20:$AG$1027)*IF(SUMIF($AA$20:$AA$1027,$AA682,$AG$20:$AG$1027)&lt;IF($D$4="Forint",Paraméterek!$L$223,Paraméterek!$L$224),0,VLOOKUP($AA682,Paraméterek!$K$230:$M$250,IF(SUMIF($AA$20:$AA$1027,$AA682,$AG$20:$AG$1027)&lt;IF($D$4="Forint",Paraméterek!$M$223,Paraméterek!$M$224),2,3))),0)</f>
        <v>0</v>
      </c>
      <c r="AJ682" s="13">
        <f ca="1">IF(AND($AA682&gt;=5,MOD($AA682,5)=0),IF($AB682=12,VLOOKUP($AA682,Paraméterek!$O$225:$P$240,2),0),IF(OR($AA682=3,$AA682=4),IF($AB682=12,VLOOKUP($AA682,Paraméterek!$O$225:$P$240,2,0),0),0))*$AG682</f>
        <v>0</v>
      </c>
      <c r="AK682" s="13">
        <f t="shared" ca="1" si="229"/>
        <v>0</v>
      </c>
      <c r="AL682" s="13">
        <f t="shared" ca="1" si="237"/>
        <v>0</v>
      </c>
      <c r="AM682" s="13">
        <f t="shared" ca="1" si="238"/>
        <v>0</v>
      </c>
      <c r="AO682" s="32">
        <v>663</v>
      </c>
      <c r="AP682" s="32">
        <v>56</v>
      </c>
      <c r="AQ682" s="32">
        <v>3</v>
      </c>
      <c r="AR682" s="13"/>
      <c r="AS682" s="32"/>
      <c r="AT682" s="13">
        <f t="shared" ca="1" si="239"/>
        <v>0</v>
      </c>
      <c r="AU682" s="33"/>
      <c r="AV682" s="13">
        <f t="shared" ca="1" si="230"/>
        <v>0</v>
      </c>
      <c r="AW682" s="13">
        <f ca="1">ROUNDUP(($AT682+$AV682)*VLOOKUP($AP682,Paraméterek!$P$38:$Q$38,2)/12*IF($D683="Nem",IF($M$13=0,1,$M$13),1),IF($D$4="Forint",0,2))</f>
        <v>0</v>
      </c>
      <c r="AX682" s="13"/>
      <c r="AY682" s="13"/>
      <c r="AZ682" s="13">
        <f>ROUNDUP(IF(SUM($AX682:$AY682)=0,0,IF(IF(ISBLANK($AY682),$AX682,$AY682)*Paraméterek!$J$112&lt;IF($D$4="Forint",Paraméterek!$J$113,Paraméterek!$K$113),IF($D$4="Forint",Paraméterek!$J$113,Paraméterek!$K$113),IF(IF(ISBLANK($AY682),$AX682,$AY682)*Paraméterek!$J$112&gt;IF($D$4="Forint",Paraméterek!$J$114,Paraméterek!$K$114),IF($D$4="Forint",Paraméterek!$J$114,Paraméterek!$K$114),IF(ISBLANK($AY682),$AX682,$AY682)*Paraméterek!$J$112))),IF($D$4="Forint",0,2))</f>
        <v>0</v>
      </c>
      <c r="BA682" s="13">
        <f ca="1">$AT682+$AV682-$AW682-IF(ROUNDDOWN(IF(ISBLANK($AY682),$AX682,$AY682),IF($D$4="Forint",0,2))&gt;$AT682+$AV682-$AW682-IF($D$4="Forint",Paraméterek!$J$114,Paraméterek!$K$114),0,ROUNDDOWN(IF(ISBLANK($AY682),$AX682,$AY682),IF($D$4="Forint",0,2))-$AZ682)</f>
        <v>0</v>
      </c>
      <c r="BB682" s="13">
        <f t="shared" ca="1" si="231"/>
        <v>0</v>
      </c>
      <c r="BD682" s="32">
        <v>663</v>
      </c>
      <c r="BE682" s="32">
        <v>56</v>
      </c>
      <c r="BF682" s="32">
        <v>3</v>
      </c>
      <c r="BG682" s="34">
        <f t="shared" ca="1" si="240"/>
        <v>2074</v>
      </c>
      <c r="BH682" s="32" t="str">
        <f ca="1">IF(MOD(MONTH($D$14)+$BD682-1,12)=Paraméterek!$C$288,"Igen","")</f>
        <v/>
      </c>
      <c r="BI682" s="13">
        <f ca="1">IF($BH682="Igen",MIN(ROUNDDOWN((SUMIF($BG$20:$BG$1027,$BG682-1,$K$20:$K$1027)-SUMIF($BG$20:$BG$1027,$BG682-1,$I$20:$I$1027))*Paraméterek!$C$289,IF($D$4="Forint",0,2)),IF($D$4="Forint",Paraméterek!$C$285,Paraméterek!$D$285)),0)</f>
        <v>0</v>
      </c>
      <c r="BJ682" s="13">
        <f t="shared" ca="1" si="232"/>
        <v>0</v>
      </c>
      <c r="BK682" s="13">
        <f t="shared" ca="1" si="241"/>
        <v>0</v>
      </c>
      <c r="BL682" s="33"/>
      <c r="BM682" s="13">
        <f t="shared" ca="1" si="233"/>
        <v>0</v>
      </c>
      <c r="BN682" s="13">
        <f ca="1">ROUNDUP(($BK682+$BM682)*VLOOKUP($BE682,Paraméterek!$P$38:$Q$38,2)/12*IF($D683="Nem",IF($M$13=0,1,$M$13),1),IF($D$4="Forint",0,2))</f>
        <v>0</v>
      </c>
      <c r="BO682" s="13">
        <f t="shared" ca="1" si="234"/>
        <v>0</v>
      </c>
      <c r="BP682" s="13">
        <f ca="1">IF($D683="Nem",$BO682,$BO682-ROUNDUP(SUM($BI$20:$BI682)*120%,IF($D$4="Forint",0,2)))</f>
        <v>0</v>
      </c>
    </row>
    <row r="683" spans="1:68" x14ac:dyDescent="0.2">
      <c r="A683" s="32">
        <v>664</v>
      </c>
      <c r="B683" s="32">
        <v>56</v>
      </c>
      <c r="C683" s="32">
        <v>4</v>
      </c>
      <c r="D683" s="32" t="str">
        <f t="shared" ca="1" si="220"/>
        <v>Nem</v>
      </c>
      <c r="E683" s="13">
        <f t="shared" ca="1" si="221"/>
        <v>0</v>
      </c>
      <c r="F683" s="13"/>
      <c r="G683" s="13"/>
      <c r="H683" s="13"/>
      <c r="I683" s="13">
        <f t="shared" ca="1" si="222"/>
        <v>0</v>
      </c>
      <c r="J683" s="13">
        <f t="shared" ca="1" si="223"/>
        <v>0</v>
      </c>
      <c r="K683" s="13">
        <f t="shared" ca="1" si="224"/>
        <v>0</v>
      </c>
      <c r="L683" s="13" t="e">
        <f ca="1">ROUNDUP(IF($D$2="Egyszeri",$E683,IF($D$2="Havi",SUM($E$20:$E$31),IF(MOD($C683,$M$1)-1=0,SUM($E$20:$E$31),0))/12*$M$1)*VLOOKUP($B683,Paraméterek!$I$28:$P$31,IF($D$2="Egyszeri",8,HLOOKUP(ROUNDUP($M$11+$M$13,0),Paraméterek!$J$26:$O$27,2))),IF($D$4="Forint",0,2))</f>
        <v>#N/A</v>
      </c>
      <c r="M683" s="13">
        <f t="shared" ca="1" si="225"/>
        <v>0</v>
      </c>
      <c r="N683" s="13">
        <f t="shared" ca="1" si="235"/>
        <v>0</v>
      </c>
      <c r="O683" s="13">
        <f ca="1">IF($D683="Igen",IF($W682&gt;=IF($D$4="Forint",Paraméterek!$J$121,Paraméterek!$K$121),0,IF($D$4="Forint",Paraméterek!$J$121,Paraméterek!$K$121)-$W682),0)</f>
        <v>0</v>
      </c>
      <c r="P683" s="13" t="e">
        <f ca="1">ROUNDUP($O683*VLOOKUP($M$4+$B683-1,Paraméterek!$H$58:$I$105,2,0)/Paraméterek!$I$56,IF($D$4="Forint",0,2))</f>
        <v>#N/A</v>
      </c>
      <c r="Q683" s="13">
        <f t="shared" ca="1" si="226"/>
        <v>0</v>
      </c>
      <c r="R683" s="33"/>
      <c r="S683" s="13" t="e">
        <f t="shared" ca="1" si="227"/>
        <v>#N/A</v>
      </c>
      <c r="T683" s="13" t="e">
        <f ca="1">ROUNDUP(($N683-$P683-$Q683+$S683)*VLOOKUP($B683,Paraméterek!$I$38:$K$39,IF($D$2="Egyszeri",3,2))/12*IF($D684="Nem",IF($M$13=0,1,$M$13),1),IF($D$4="Forint",0,2))</f>
        <v>#N/A</v>
      </c>
      <c r="U683" s="13"/>
      <c r="V683" s="13"/>
      <c r="W683" s="13" t="e">
        <f ca="1">$N683-$P683-$Q683+$S683-$T683-IF(ROUNDUP(IF(ISBLANK($V683),$U683*0,$V683)/IF($D$2="Egyszeri",VLOOKUP($B683+IF($C683=12,1,0),Paraméterek!$V$257:$W$262,2),IF($B683=1,1,VLOOKUP($B683+IF($C683=12,1,0),Paraméterek!$I$258:$T$278,HLOOKUP($M$11+1,Paraméterek!$J$256:$T$257,2)))),IF($D$4="Forint",0,2))&gt;$N683-$P683-$Q683+$S683-$T683-IF($D$4="Forint",Paraméterek!$C$216,Paraméterek!$D$216),0,ROUNDUP(IF(ISBLANK($V683),$U683*0,$V683)/IF($D$2="Egyszeri",VLOOKUP($B683+IF($C683=12,1,0),Paraméterek!$V$257:$W$262,2),IF($B683=1,1,VLOOKUP($B683+IF($C683=12,1,0),Paraméterek!$I$258:$T$278,HLOOKUP($M$11+1,Paraméterek!$J$256:$T$257,2)))),IF($D$4="Forint",0,2)))</f>
        <v>#N/A</v>
      </c>
      <c r="X683" s="13" t="e">
        <f ca="1">ROUNDDOWN($W683*IF($D$2="Egyszeri",VLOOKUP($B683+IF($C683=12,1,0),Paraméterek!$V$257:$W$262,2),VLOOKUP($B683+IF($C683=12,1,0),Paraméterek!$I$258:$T$278,HLOOKUP($M$11+1,Paraméterek!$I$256:$T$257,2))),IF($D$4="Forint",0,2))</f>
        <v>#N/A</v>
      </c>
      <c r="Z683" s="32">
        <v>664</v>
      </c>
      <c r="AA683" s="32">
        <v>56</v>
      </c>
      <c r="AB683" s="32">
        <v>4</v>
      </c>
      <c r="AC683" s="13">
        <f t="shared" ca="1" si="236"/>
        <v>0</v>
      </c>
      <c r="AD683" s="33"/>
      <c r="AE683" s="13">
        <f t="shared" ca="1" si="228"/>
        <v>0</v>
      </c>
      <c r="AF683" s="13">
        <f ca="1">ROUNDUP(($AC683+$AE683)*VLOOKUP($AA683,Paraméterek!$P$38:$Q$38,2)/12*IF($D684="Nem",IF($M$13=0,1,$M$13),1),IF($D$4="Forint",0,2))</f>
        <v>0</v>
      </c>
      <c r="AG683" s="13">
        <f ca="1">IF($D$2="Egyszeri",IF($D$7&gt;=IF($D$4="Forint",Paraméterek!$P$223,Paraméterek!$P$224),$D$7-IF($D$4="Forint",Paraméterek!$P$223,Paraméterek!$P$224),0),MIN(IF($AB683=12,AVERAGEIF($E$20:$E683,"&gt;0",$E$20:$E683)*12,0),SUM($E$20:$E$31)))</f>
        <v>0</v>
      </c>
      <c r="AH683" s="13">
        <f>IF($AA683=10,$AG683*IF($AB683=12,IF($AG683&lt;IF($D$4="Forint",Paraméterek!$L$223,Paraméterek!$L$224),0,VLOOKUP($AA683,Paraméterek!$K$226:$M$228,IF($AG683&lt;IF($D$4="Forint",Paraméterek!$M$223,Paraméterek!$M$224),2,3))),0),0)</f>
        <v>0</v>
      </c>
      <c r="AI683" s="13">
        <f ca="1">IF(AND($AA683=$M$11+1,$AB683=$M$12+1),SUMIF($AA$20:$AA$1027,$AA683,$AG$20:$AG$1027)*IF(SUMIF($AA$20:$AA$1027,$AA683,$AG$20:$AG$1027)&lt;IF($D$4="Forint",Paraméterek!$L$223,Paraméterek!$L$224),0,VLOOKUP($AA683,Paraméterek!$K$230:$M$250,IF(SUMIF($AA$20:$AA$1027,$AA683,$AG$20:$AG$1027)&lt;IF($D$4="Forint",Paraméterek!$M$223,Paraméterek!$M$224),2,3))),0)</f>
        <v>0</v>
      </c>
      <c r="AJ683" s="13">
        <f ca="1">IF(AND($AA683&gt;=5,MOD($AA683,5)=0),IF($AB683=12,VLOOKUP($AA683,Paraméterek!$O$225:$P$240,2),0),IF(OR($AA683=3,$AA683=4),IF($AB683=12,VLOOKUP($AA683,Paraméterek!$O$225:$P$240,2,0),0),0))*$AG683</f>
        <v>0</v>
      </c>
      <c r="AK683" s="13">
        <f t="shared" ca="1" si="229"/>
        <v>0</v>
      </c>
      <c r="AL683" s="13">
        <f t="shared" ca="1" si="237"/>
        <v>0</v>
      </c>
      <c r="AM683" s="13">
        <f t="shared" ca="1" si="238"/>
        <v>0</v>
      </c>
      <c r="AO683" s="32">
        <v>664</v>
      </c>
      <c r="AP683" s="32">
        <v>56</v>
      </c>
      <c r="AQ683" s="32">
        <v>4</v>
      </c>
      <c r="AR683" s="13"/>
      <c r="AS683" s="32"/>
      <c r="AT683" s="13">
        <f t="shared" ca="1" si="239"/>
        <v>0</v>
      </c>
      <c r="AU683" s="33"/>
      <c r="AV683" s="13">
        <f t="shared" ca="1" si="230"/>
        <v>0</v>
      </c>
      <c r="AW683" s="13">
        <f ca="1">ROUNDUP(($AT683+$AV683)*VLOOKUP($AP683,Paraméterek!$P$38:$Q$38,2)/12*IF($D684="Nem",IF($M$13=0,1,$M$13),1),IF($D$4="Forint",0,2))</f>
        <v>0</v>
      </c>
      <c r="AX683" s="13"/>
      <c r="AY683" s="13"/>
      <c r="AZ683" s="13">
        <f>ROUNDUP(IF(SUM($AX683:$AY683)=0,0,IF(IF(ISBLANK($AY683),$AX683,$AY683)*Paraméterek!$J$112&lt;IF($D$4="Forint",Paraméterek!$J$113,Paraméterek!$K$113),IF($D$4="Forint",Paraméterek!$J$113,Paraméterek!$K$113),IF(IF(ISBLANK($AY683),$AX683,$AY683)*Paraméterek!$J$112&gt;IF($D$4="Forint",Paraméterek!$J$114,Paraméterek!$K$114),IF($D$4="Forint",Paraméterek!$J$114,Paraméterek!$K$114),IF(ISBLANK($AY683),$AX683,$AY683)*Paraméterek!$J$112))),IF($D$4="Forint",0,2))</f>
        <v>0</v>
      </c>
      <c r="BA683" s="13">
        <f ca="1">$AT683+$AV683-$AW683-IF(ROUNDDOWN(IF(ISBLANK($AY683),$AX683,$AY683),IF($D$4="Forint",0,2))&gt;$AT683+$AV683-$AW683-IF($D$4="Forint",Paraméterek!$J$114,Paraméterek!$K$114),0,ROUNDDOWN(IF(ISBLANK($AY683),$AX683,$AY683),IF($D$4="Forint",0,2))-$AZ683)</f>
        <v>0</v>
      </c>
      <c r="BB683" s="13">
        <f t="shared" ca="1" si="231"/>
        <v>0</v>
      </c>
      <c r="BD683" s="32">
        <v>664</v>
      </c>
      <c r="BE683" s="32">
        <v>56</v>
      </c>
      <c r="BF683" s="32">
        <v>4</v>
      </c>
      <c r="BG683" s="34">
        <f t="shared" ca="1" si="240"/>
        <v>2074</v>
      </c>
      <c r="BH683" s="32" t="str">
        <f ca="1">IF(MOD(MONTH($D$14)+$BD683-1,12)=Paraméterek!$C$288,"Igen","")</f>
        <v/>
      </c>
      <c r="BI683" s="13">
        <f ca="1">IF($BH683="Igen",MIN(ROUNDDOWN((SUMIF($BG$20:$BG$1027,$BG683-1,$K$20:$K$1027)-SUMIF($BG$20:$BG$1027,$BG683-1,$I$20:$I$1027))*Paraméterek!$C$289,IF($D$4="Forint",0,2)),IF($D$4="Forint",Paraméterek!$C$285,Paraméterek!$D$285)),0)</f>
        <v>0</v>
      </c>
      <c r="BJ683" s="13">
        <f t="shared" ca="1" si="232"/>
        <v>0</v>
      </c>
      <c r="BK683" s="13">
        <f t="shared" ca="1" si="241"/>
        <v>0</v>
      </c>
      <c r="BL683" s="33"/>
      <c r="BM683" s="13">
        <f t="shared" ca="1" si="233"/>
        <v>0</v>
      </c>
      <c r="BN683" s="13">
        <f ca="1">ROUNDUP(($BK683+$BM683)*VLOOKUP($BE683,Paraméterek!$P$38:$Q$38,2)/12*IF($D684="Nem",IF($M$13=0,1,$M$13),1),IF($D$4="Forint",0,2))</f>
        <v>0</v>
      </c>
      <c r="BO683" s="13">
        <f t="shared" ca="1" si="234"/>
        <v>0</v>
      </c>
      <c r="BP683" s="13">
        <f ca="1">IF($D684="Nem",$BO683,$BO683-ROUNDUP(SUM($BI$20:$BI683)*120%,IF($D$4="Forint",0,2)))</f>
        <v>0</v>
      </c>
    </row>
    <row r="684" spans="1:68" x14ac:dyDescent="0.2">
      <c r="A684" s="32">
        <v>665</v>
      </c>
      <c r="B684" s="32">
        <v>56</v>
      </c>
      <c r="C684" s="32">
        <v>5</v>
      </c>
      <c r="D684" s="32" t="str">
        <f t="shared" ca="1" si="220"/>
        <v>Nem</v>
      </c>
      <c r="E684" s="13">
        <f t="shared" ca="1" si="221"/>
        <v>0</v>
      </c>
      <c r="F684" s="13"/>
      <c r="G684" s="13"/>
      <c r="H684" s="13"/>
      <c r="I684" s="13">
        <f t="shared" ca="1" si="222"/>
        <v>0</v>
      </c>
      <c r="J684" s="13">
        <f t="shared" ca="1" si="223"/>
        <v>0</v>
      </c>
      <c r="K684" s="13">
        <f t="shared" ca="1" si="224"/>
        <v>0</v>
      </c>
      <c r="L684" s="13" t="e">
        <f ca="1">ROUNDUP(IF($D$2="Egyszeri",$E684,IF($D$2="Havi",SUM($E$20:$E$31),IF(MOD($C684,$M$1)-1=0,SUM($E$20:$E$31),0))/12*$M$1)*VLOOKUP($B684,Paraméterek!$I$28:$P$31,IF($D$2="Egyszeri",8,HLOOKUP(ROUNDUP($M$11+$M$13,0),Paraméterek!$J$26:$O$27,2))),IF($D$4="Forint",0,2))</f>
        <v>#N/A</v>
      </c>
      <c r="M684" s="13">
        <f t="shared" ca="1" si="225"/>
        <v>0</v>
      </c>
      <c r="N684" s="13">
        <f t="shared" ca="1" si="235"/>
        <v>0</v>
      </c>
      <c r="O684" s="13">
        <f ca="1">IF($D684="Igen",IF($W683&gt;=IF($D$4="Forint",Paraméterek!$J$121,Paraméterek!$K$121),0,IF($D$4="Forint",Paraméterek!$J$121,Paraméterek!$K$121)-$W683),0)</f>
        <v>0</v>
      </c>
      <c r="P684" s="13" t="e">
        <f ca="1">ROUNDUP($O684*VLOOKUP($M$4+$B684-1,Paraméterek!$H$58:$I$105,2,0)/Paraméterek!$I$56,IF($D$4="Forint",0,2))</f>
        <v>#N/A</v>
      </c>
      <c r="Q684" s="13">
        <f t="shared" ca="1" si="226"/>
        <v>0</v>
      </c>
      <c r="R684" s="33"/>
      <c r="S684" s="13" t="e">
        <f t="shared" ca="1" si="227"/>
        <v>#N/A</v>
      </c>
      <c r="T684" s="13" t="e">
        <f ca="1">ROUNDUP(($N684-$P684-$Q684+$S684)*VLOOKUP($B684,Paraméterek!$I$38:$K$39,IF($D$2="Egyszeri",3,2))/12*IF($D685="Nem",IF($M$13=0,1,$M$13),1),IF($D$4="Forint",0,2))</f>
        <v>#N/A</v>
      </c>
      <c r="U684" s="13"/>
      <c r="V684" s="13"/>
      <c r="W684" s="13" t="e">
        <f ca="1">$N684-$P684-$Q684+$S684-$T684-IF(ROUNDUP(IF(ISBLANK($V684),$U684*0,$V684)/IF($D$2="Egyszeri",VLOOKUP($B684+IF($C684=12,1,0),Paraméterek!$V$257:$W$262,2),IF($B684=1,1,VLOOKUP($B684+IF($C684=12,1,0),Paraméterek!$I$258:$T$278,HLOOKUP($M$11+1,Paraméterek!$J$256:$T$257,2)))),IF($D$4="Forint",0,2))&gt;$N684-$P684-$Q684+$S684-$T684-IF($D$4="Forint",Paraméterek!$C$216,Paraméterek!$D$216),0,ROUNDUP(IF(ISBLANK($V684),$U684*0,$V684)/IF($D$2="Egyszeri",VLOOKUP($B684+IF($C684=12,1,0),Paraméterek!$V$257:$W$262,2),IF($B684=1,1,VLOOKUP($B684+IF($C684=12,1,0),Paraméterek!$I$258:$T$278,HLOOKUP($M$11+1,Paraméterek!$J$256:$T$257,2)))),IF($D$4="Forint",0,2)))</f>
        <v>#N/A</v>
      </c>
      <c r="X684" s="13" t="e">
        <f ca="1">ROUNDDOWN($W684*IF($D$2="Egyszeri",VLOOKUP($B684+IF($C684=12,1,0),Paraméterek!$V$257:$W$262,2),VLOOKUP($B684+IF($C684=12,1,0),Paraméterek!$I$258:$T$278,HLOOKUP($M$11+1,Paraméterek!$I$256:$T$257,2))),IF($D$4="Forint",0,2))</f>
        <v>#N/A</v>
      </c>
      <c r="Z684" s="32">
        <v>665</v>
      </c>
      <c r="AA684" s="32">
        <v>56</v>
      </c>
      <c r="AB684" s="32">
        <v>5</v>
      </c>
      <c r="AC684" s="13">
        <f t="shared" ca="1" si="236"/>
        <v>0</v>
      </c>
      <c r="AD684" s="33"/>
      <c r="AE684" s="13">
        <f t="shared" ca="1" si="228"/>
        <v>0</v>
      </c>
      <c r="AF684" s="13">
        <f ca="1">ROUNDUP(($AC684+$AE684)*VLOOKUP($AA684,Paraméterek!$P$38:$Q$38,2)/12*IF($D685="Nem",IF($M$13=0,1,$M$13),1),IF($D$4="Forint",0,2))</f>
        <v>0</v>
      </c>
      <c r="AG684" s="13">
        <f ca="1">IF($D$2="Egyszeri",IF($D$7&gt;=IF($D$4="Forint",Paraméterek!$P$223,Paraméterek!$P$224),$D$7-IF($D$4="Forint",Paraméterek!$P$223,Paraméterek!$P$224),0),MIN(IF($AB684=12,AVERAGEIF($E$20:$E684,"&gt;0",$E$20:$E684)*12,0),SUM($E$20:$E$31)))</f>
        <v>0</v>
      </c>
      <c r="AH684" s="13">
        <f>IF($AA684=10,$AG684*IF($AB684=12,IF($AG684&lt;IF($D$4="Forint",Paraméterek!$L$223,Paraméterek!$L$224),0,VLOOKUP($AA684,Paraméterek!$K$226:$M$228,IF($AG684&lt;IF($D$4="Forint",Paraméterek!$M$223,Paraméterek!$M$224),2,3))),0),0)</f>
        <v>0</v>
      </c>
      <c r="AI684" s="13">
        <f ca="1">IF(AND($AA684=$M$11+1,$AB684=$M$12+1),SUMIF($AA$20:$AA$1027,$AA684,$AG$20:$AG$1027)*IF(SUMIF($AA$20:$AA$1027,$AA684,$AG$20:$AG$1027)&lt;IF($D$4="Forint",Paraméterek!$L$223,Paraméterek!$L$224),0,VLOOKUP($AA684,Paraméterek!$K$230:$M$250,IF(SUMIF($AA$20:$AA$1027,$AA684,$AG$20:$AG$1027)&lt;IF($D$4="Forint",Paraméterek!$M$223,Paraméterek!$M$224),2,3))),0)</f>
        <v>0</v>
      </c>
      <c r="AJ684" s="13">
        <f ca="1">IF(AND($AA684&gt;=5,MOD($AA684,5)=0),IF($AB684=12,VLOOKUP($AA684,Paraméterek!$O$225:$P$240,2),0),IF(OR($AA684=3,$AA684=4),IF($AB684=12,VLOOKUP($AA684,Paraméterek!$O$225:$P$240,2,0),0),0))*$AG684</f>
        <v>0</v>
      </c>
      <c r="AK684" s="13">
        <f t="shared" ca="1" si="229"/>
        <v>0</v>
      </c>
      <c r="AL684" s="13">
        <f t="shared" ca="1" si="237"/>
        <v>0</v>
      </c>
      <c r="AM684" s="13">
        <f t="shared" ca="1" si="238"/>
        <v>0</v>
      </c>
      <c r="AO684" s="32">
        <v>665</v>
      </c>
      <c r="AP684" s="32">
        <v>56</v>
      </c>
      <c r="AQ684" s="32">
        <v>5</v>
      </c>
      <c r="AR684" s="13"/>
      <c r="AS684" s="32"/>
      <c r="AT684" s="13">
        <f t="shared" ca="1" si="239"/>
        <v>0</v>
      </c>
      <c r="AU684" s="33"/>
      <c r="AV684" s="13">
        <f t="shared" ca="1" si="230"/>
        <v>0</v>
      </c>
      <c r="AW684" s="13">
        <f ca="1">ROUNDUP(($AT684+$AV684)*VLOOKUP($AP684,Paraméterek!$P$38:$Q$38,2)/12*IF($D685="Nem",IF($M$13=0,1,$M$13),1),IF($D$4="Forint",0,2))</f>
        <v>0</v>
      </c>
      <c r="AX684" s="13"/>
      <c r="AY684" s="13"/>
      <c r="AZ684" s="13">
        <f>ROUNDUP(IF(SUM($AX684:$AY684)=0,0,IF(IF(ISBLANK($AY684),$AX684,$AY684)*Paraméterek!$J$112&lt;IF($D$4="Forint",Paraméterek!$J$113,Paraméterek!$K$113),IF($D$4="Forint",Paraméterek!$J$113,Paraméterek!$K$113),IF(IF(ISBLANK($AY684),$AX684,$AY684)*Paraméterek!$J$112&gt;IF($D$4="Forint",Paraméterek!$J$114,Paraméterek!$K$114),IF($D$4="Forint",Paraméterek!$J$114,Paraméterek!$K$114),IF(ISBLANK($AY684),$AX684,$AY684)*Paraméterek!$J$112))),IF($D$4="Forint",0,2))</f>
        <v>0</v>
      </c>
      <c r="BA684" s="13">
        <f ca="1">$AT684+$AV684-$AW684-IF(ROUNDDOWN(IF(ISBLANK($AY684),$AX684,$AY684),IF($D$4="Forint",0,2))&gt;$AT684+$AV684-$AW684-IF($D$4="Forint",Paraméterek!$J$114,Paraméterek!$K$114),0,ROUNDDOWN(IF(ISBLANK($AY684),$AX684,$AY684),IF($D$4="Forint",0,2))-$AZ684)</f>
        <v>0</v>
      </c>
      <c r="BB684" s="13">
        <f t="shared" ca="1" si="231"/>
        <v>0</v>
      </c>
      <c r="BD684" s="32">
        <v>665</v>
      </c>
      <c r="BE684" s="32">
        <v>56</v>
      </c>
      <c r="BF684" s="32">
        <v>5</v>
      </c>
      <c r="BG684" s="34">
        <f t="shared" ca="1" si="240"/>
        <v>2074</v>
      </c>
      <c r="BH684" s="32" t="str">
        <f ca="1">IF(MOD(MONTH($D$14)+$BD684-1,12)=Paraméterek!$C$288,"Igen","")</f>
        <v/>
      </c>
      <c r="BI684" s="13">
        <f ca="1">IF($BH684="Igen",MIN(ROUNDDOWN((SUMIF($BG$20:$BG$1027,$BG684-1,$K$20:$K$1027)-SUMIF($BG$20:$BG$1027,$BG684-1,$I$20:$I$1027))*Paraméterek!$C$289,IF($D$4="Forint",0,2)),IF($D$4="Forint",Paraméterek!$C$285,Paraméterek!$D$285)),0)</f>
        <v>0</v>
      </c>
      <c r="BJ684" s="13">
        <f t="shared" ca="1" si="232"/>
        <v>0</v>
      </c>
      <c r="BK684" s="13">
        <f t="shared" ca="1" si="241"/>
        <v>0</v>
      </c>
      <c r="BL684" s="33"/>
      <c r="BM684" s="13">
        <f t="shared" ca="1" si="233"/>
        <v>0</v>
      </c>
      <c r="BN684" s="13">
        <f ca="1">ROUNDUP(($BK684+$BM684)*VLOOKUP($BE684,Paraméterek!$P$38:$Q$38,2)/12*IF($D685="Nem",IF($M$13=0,1,$M$13),1),IF($D$4="Forint",0,2))</f>
        <v>0</v>
      </c>
      <c r="BO684" s="13">
        <f t="shared" ca="1" si="234"/>
        <v>0</v>
      </c>
      <c r="BP684" s="13">
        <f ca="1">IF($D685="Nem",$BO684,$BO684-ROUNDUP(SUM($BI$20:$BI684)*120%,IF($D$4="Forint",0,2)))</f>
        <v>0</v>
      </c>
    </row>
    <row r="685" spans="1:68" x14ac:dyDescent="0.2">
      <c r="A685" s="32">
        <v>666</v>
      </c>
      <c r="B685" s="32">
        <v>56</v>
      </c>
      <c r="C685" s="32">
        <v>6</v>
      </c>
      <c r="D685" s="32" t="str">
        <f t="shared" ca="1" si="220"/>
        <v>Nem</v>
      </c>
      <c r="E685" s="13">
        <f t="shared" ca="1" si="221"/>
        <v>0</v>
      </c>
      <c r="F685" s="13"/>
      <c r="G685" s="13"/>
      <c r="H685" s="13"/>
      <c r="I685" s="13">
        <f t="shared" ca="1" si="222"/>
        <v>0</v>
      </c>
      <c r="J685" s="13">
        <f t="shared" ca="1" si="223"/>
        <v>0</v>
      </c>
      <c r="K685" s="13">
        <f t="shared" ca="1" si="224"/>
        <v>0</v>
      </c>
      <c r="L685" s="13" t="e">
        <f ca="1">ROUNDUP(IF($D$2="Egyszeri",$E685,IF($D$2="Havi",SUM($E$20:$E$31),IF(MOD($C685,$M$1)-1=0,SUM($E$20:$E$31),0))/12*$M$1)*VLOOKUP($B685,Paraméterek!$I$28:$P$31,IF($D$2="Egyszeri",8,HLOOKUP(ROUNDUP($M$11+$M$13,0),Paraméterek!$J$26:$O$27,2))),IF($D$4="Forint",0,2))</f>
        <v>#N/A</v>
      </c>
      <c r="M685" s="13">
        <f t="shared" ca="1" si="225"/>
        <v>0</v>
      </c>
      <c r="N685" s="13">
        <f t="shared" ca="1" si="235"/>
        <v>0</v>
      </c>
      <c r="O685" s="13">
        <f ca="1">IF($D685="Igen",IF($W684&gt;=IF($D$4="Forint",Paraméterek!$J$121,Paraméterek!$K$121),0,IF($D$4="Forint",Paraméterek!$J$121,Paraméterek!$K$121)-$W684),0)</f>
        <v>0</v>
      </c>
      <c r="P685" s="13" t="e">
        <f ca="1">ROUNDUP($O685*VLOOKUP($M$4+$B685-1,Paraméterek!$H$58:$I$105,2,0)/Paraméterek!$I$56,IF($D$4="Forint",0,2))</f>
        <v>#N/A</v>
      </c>
      <c r="Q685" s="13">
        <f t="shared" ca="1" si="226"/>
        <v>0</v>
      </c>
      <c r="R685" s="33"/>
      <c r="S685" s="13" t="e">
        <f t="shared" ca="1" si="227"/>
        <v>#N/A</v>
      </c>
      <c r="T685" s="13" t="e">
        <f ca="1">ROUNDUP(($N685-$P685-$Q685+$S685)*VLOOKUP($B685,Paraméterek!$I$38:$K$39,IF($D$2="Egyszeri",3,2))/12*IF($D686="Nem",IF($M$13=0,1,$M$13),1),IF($D$4="Forint",0,2))</f>
        <v>#N/A</v>
      </c>
      <c r="U685" s="13"/>
      <c r="V685" s="13"/>
      <c r="W685" s="13" t="e">
        <f ca="1">$N685-$P685-$Q685+$S685-$T685-IF(ROUNDUP(IF(ISBLANK($V685),$U685*0,$V685)/IF($D$2="Egyszeri",VLOOKUP($B685+IF($C685=12,1,0),Paraméterek!$V$257:$W$262,2),IF($B685=1,1,VLOOKUP($B685+IF($C685=12,1,0),Paraméterek!$I$258:$T$278,HLOOKUP($M$11+1,Paraméterek!$J$256:$T$257,2)))),IF($D$4="Forint",0,2))&gt;$N685-$P685-$Q685+$S685-$T685-IF($D$4="Forint",Paraméterek!$C$216,Paraméterek!$D$216),0,ROUNDUP(IF(ISBLANK($V685),$U685*0,$V685)/IF($D$2="Egyszeri",VLOOKUP($B685+IF($C685=12,1,0),Paraméterek!$V$257:$W$262,2),IF($B685=1,1,VLOOKUP($B685+IF($C685=12,1,0),Paraméterek!$I$258:$T$278,HLOOKUP($M$11+1,Paraméterek!$J$256:$T$257,2)))),IF($D$4="Forint",0,2)))</f>
        <v>#N/A</v>
      </c>
      <c r="X685" s="13" t="e">
        <f ca="1">ROUNDDOWN($W685*IF($D$2="Egyszeri",VLOOKUP($B685+IF($C685=12,1,0),Paraméterek!$V$257:$W$262,2),VLOOKUP($B685+IF($C685=12,1,0),Paraméterek!$I$258:$T$278,HLOOKUP($M$11+1,Paraméterek!$I$256:$T$257,2))),IF($D$4="Forint",0,2))</f>
        <v>#N/A</v>
      </c>
      <c r="Z685" s="32">
        <v>666</v>
      </c>
      <c r="AA685" s="32">
        <v>56</v>
      </c>
      <c r="AB685" s="32">
        <v>6</v>
      </c>
      <c r="AC685" s="13">
        <f t="shared" ca="1" si="236"/>
        <v>0</v>
      </c>
      <c r="AD685" s="33"/>
      <c r="AE685" s="13">
        <f t="shared" ca="1" si="228"/>
        <v>0</v>
      </c>
      <c r="AF685" s="13">
        <f ca="1">ROUNDUP(($AC685+$AE685)*VLOOKUP($AA685,Paraméterek!$P$38:$Q$38,2)/12*IF($D686="Nem",IF($M$13=0,1,$M$13),1),IF($D$4="Forint",0,2))</f>
        <v>0</v>
      </c>
      <c r="AG685" s="13">
        <f ca="1">IF($D$2="Egyszeri",IF($D$7&gt;=IF($D$4="Forint",Paraméterek!$P$223,Paraméterek!$P$224),$D$7-IF($D$4="Forint",Paraméterek!$P$223,Paraméterek!$P$224),0),MIN(IF($AB685=12,AVERAGEIF($E$20:$E685,"&gt;0",$E$20:$E685)*12,0),SUM($E$20:$E$31)))</f>
        <v>0</v>
      </c>
      <c r="AH685" s="13">
        <f>IF($AA685=10,$AG685*IF($AB685=12,IF($AG685&lt;IF($D$4="Forint",Paraméterek!$L$223,Paraméterek!$L$224),0,VLOOKUP($AA685,Paraméterek!$K$226:$M$228,IF($AG685&lt;IF($D$4="Forint",Paraméterek!$M$223,Paraméterek!$M$224),2,3))),0),0)</f>
        <v>0</v>
      </c>
      <c r="AI685" s="13">
        <f ca="1">IF(AND($AA685=$M$11+1,$AB685=$M$12+1),SUMIF($AA$20:$AA$1027,$AA685,$AG$20:$AG$1027)*IF(SUMIF($AA$20:$AA$1027,$AA685,$AG$20:$AG$1027)&lt;IF($D$4="Forint",Paraméterek!$L$223,Paraméterek!$L$224),0,VLOOKUP($AA685,Paraméterek!$K$230:$M$250,IF(SUMIF($AA$20:$AA$1027,$AA685,$AG$20:$AG$1027)&lt;IF($D$4="Forint",Paraméterek!$M$223,Paraméterek!$M$224),2,3))),0)</f>
        <v>0</v>
      </c>
      <c r="AJ685" s="13">
        <f ca="1">IF(AND($AA685&gt;=5,MOD($AA685,5)=0),IF($AB685=12,VLOOKUP($AA685,Paraméterek!$O$225:$P$240,2),0),IF(OR($AA685=3,$AA685=4),IF($AB685=12,VLOOKUP($AA685,Paraméterek!$O$225:$P$240,2,0),0),0))*$AG685</f>
        <v>0</v>
      </c>
      <c r="AK685" s="13">
        <f t="shared" ca="1" si="229"/>
        <v>0</v>
      </c>
      <c r="AL685" s="13">
        <f t="shared" ca="1" si="237"/>
        <v>0</v>
      </c>
      <c r="AM685" s="13">
        <f t="shared" ca="1" si="238"/>
        <v>0</v>
      </c>
      <c r="AO685" s="32">
        <v>666</v>
      </c>
      <c r="AP685" s="32">
        <v>56</v>
      </c>
      <c r="AQ685" s="32">
        <v>6</v>
      </c>
      <c r="AR685" s="13"/>
      <c r="AS685" s="32"/>
      <c r="AT685" s="13">
        <f t="shared" ca="1" si="239"/>
        <v>0</v>
      </c>
      <c r="AU685" s="33"/>
      <c r="AV685" s="13">
        <f t="shared" ca="1" si="230"/>
        <v>0</v>
      </c>
      <c r="AW685" s="13">
        <f ca="1">ROUNDUP(($AT685+$AV685)*VLOOKUP($AP685,Paraméterek!$P$38:$Q$38,2)/12*IF($D686="Nem",IF($M$13=0,1,$M$13),1),IF($D$4="Forint",0,2))</f>
        <v>0</v>
      </c>
      <c r="AX685" s="13"/>
      <c r="AY685" s="13"/>
      <c r="AZ685" s="13">
        <f>ROUNDUP(IF(SUM($AX685:$AY685)=0,0,IF(IF(ISBLANK($AY685),$AX685,$AY685)*Paraméterek!$J$112&lt;IF($D$4="Forint",Paraméterek!$J$113,Paraméterek!$K$113),IF($D$4="Forint",Paraméterek!$J$113,Paraméterek!$K$113),IF(IF(ISBLANK($AY685),$AX685,$AY685)*Paraméterek!$J$112&gt;IF($D$4="Forint",Paraméterek!$J$114,Paraméterek!$K$114),IF($D$4="Forint",Paraméterek!$J$114,Paraméterek!$K$114),IF(ISBLANK($AY685),$AX685,$AY685)*Paraméterek!$J$112))),IF($D$4="Forint",0,2))</f>
        <v>0</v>
      </c>
      <c r="BA685" s="13">
        <f ca="1">$AT685+$AV685-$AW685-IF(ROUNDDOWN(IF(ISBLANK($AY685),$AX685,$AY685),IF($D$4="Forint",0,2))&gt;$AT685+$AV685-$AW685-IF($D$4="Forint",Paraméterek!$J$114,Paraméterek!$K$114),0,ROUNDDOWN(IF(ISBLANK($AY685),$AX685,$AY685),IF($D$4="Forint",0,2))-$AZ685)</f>
        <v>0</v>
      </c>
      <c r="BB685" s="13">
        <f t="shared" ca="1" si="231"/>
        <v>0</v>
      </c>
      <c r="BD685" s="32">
        <v>666</v>
      </c>
      <c r="BE685" s="32">
        <v>56</v>
      </c>
      <c r="BF685" s="32">
        <v>6</v>
      </c>
      <c r="BG685" s="34">
        <f t="shared" ca="1" si="240"/>
        <v>2074</v>
      </c>
      <c r="BH685" s="32" t="str">
        <f ca="1">IF(MOD(MONTH($D$14)+$BD685-1,12)=Paraméterek!$C$288,"Igen","")</f>
        <v/>
      </c>
      <c r="BI685" s="13">
        <f ca="1">IF($BH685="Igen",MIN(ROUNDDOWN((SUMIF($BG$20:$BG$1027,$BG685-1,$K$20:$K$1027)-SUMIF($BG$20:$BG$1027,$BG685-1,$I$20:$I$1027))*Paraméterek!$C$289,IF($D$4="Forint",0,2)),IF($D$4="Forint",Paraméterek!$C$285,Paraméterek!$D$285)),0)</f>
        <v>0</v>
      </c>
      <c r="BJ685" s="13">
        <f t="shared" ca="1" si="232"/>
        <v>0</v>
      </c>
      <c r="BK685" s="13">
        <f t="shared" ca="1" si="241"/>
        <v>0</v>
      </c>
      <c r="BL685" s="33"/>
      <c r="BM685" s="13">
        <f t="shared" ca="1" si="233"/>
        <v>0</v>
      </c>
      <c r="BN685" s="13">
        <f ca="1">ROUNDUP(($BK685+$BM685)*VLOOKUP($BE685,Paraméterek!$P$38:$Q$38,2)/12*IF($D686="Nem",IF($M$13=0,1,$M$13),1),IF($D$4="Forint",0,2))</f>
        <v>0</v>
      </c>
      <c r="BO685" s="13">
        <f t="shared" ca="1" si="234"/>
        <v>0</v>
      </c>
      <c r="BP685" s="13">
        <f ca="1">IF($D686="Nem",$BO685,$BO685-ROUNDUP(SUM($BI$20:$BI685)*120%,IF($D$4="Forint",0,2)))</f>
        <v>0</v>
      </c>
    </row>
    <row r="686" spans="1:68" x14ac:dyDescent="0.2">
      <c r="A686" s="32">
        <v>667</v>
      </c>
      <c r="B686" s="32">
        <v>56</v>
      </c>
      <c r="C686" s="32">
        <v>7</v>
      </c>
      <c r="D686" s="32" t="str">
        <f t="shared" ca="1" si="220"/>
        <v>Nem</v>
      </c>
      <c r="E686" s="13">
        <f t="shared" ca="1" si="221"/>
        <v>0</v>
      </c>
      <c r="F686" s="13"/>
      <c r="G686" s="13"/>
      <c r="H686" s="13"/>
      <c r="I686" s="13">
        <f t="shared" ca="1" si="222"/>
        <v>0</v>
      </c>
      <c r="J686" s="13">
        <f t="shared" ca="1" si="223"/>
        <v>0</v>
      </c>
      <c r="K686" s="13">
        <f t="shared" ca="1" si="224"/>
        <v>0</v>
      </c>
      <c r="L686" s="13" t="e">
        <f ca="1">ROUNDUP(IF($D$2="Egyszeri",$E686,IF($D$2="Havi",SUM($E$20:$E$31),IF(MOD($C686,$M$1)-1=0,SUM($E$20:$E$31),0))/12*$M$1)*VLOOKUP($B686,Paraméterek!$I$28:$P$31,IF($D$2="Egyszeri",8,HLOOKUP(ROUNDUP($M$11+$M$13,0),Paraméterek!$J$26:$O$27,2))),IF($D$4="Forint",0,2))</f>
        <v>#N/A</v>
      </c>
      <c r="M686" s="13">
        <f t="shared" ca="1" si="225"/>
        <v>0</v>
      </c>
      <c r="N686" s="13">
        <f t="shared" ca="1" si="235"/>
        <v>0</v>
      </c>
      <c r="O686" s="13">
        <f ca="1">IF($D686="Igen",IF($W685&gt;=IF($D$4="Forint",Paraméterek!$J$121,Paraméterek!$K$121),0,IF($D$4="Forint",Paraméterek!$J$121,Paraméterek!$K$121)-$W685),0)</f>
        <v>0</v>
      </c>
      <c r="P686" s="13" t="e">
        <f ca="1">ROUNDUP($O686*VLOOKUP($M$4+$B686-1,Paraméterek!$H$58:$I$105,2,0)/Paraméterek!$I$56,IF($D$4="Forint",0,2))</f>
        <v>#N/A</v>
      </c>
      <c r="Q686" s="13">
        <f t="shared" ca="1" si="226"/>
        <v>0</v>
      </c>
      <c r="R686" s="33"/>
      <c r="S686" s="13" t="e">
        <f t="shared" ca="1" si="227"/>
        <v>#N/A</v>
      </c>
      <c r="T686" s="13" t="e">
        <f ca="1">ROUNDUP(($N686-$P686-$Q686+$S686)*VLOOKUP($B686,Paraméterek!$I$38:$K$39,IF($D$2="Egyszeri",3,2))/12*IF($D687="Nem",IF($M$13=0,1,$M$13),1),IF($D$4="Forint",0,2))</f>
        <v>#N/A</v>
      </c>
      <c r="U686" s="13"/>
      <c r="V686" s="13"/>
      <c r="W686" s="13" t="e">
        <f ca="1">$N686-$P686-$Q686+$S686-$T686-IF(ROUNDUP(IF(ISBLANK($V686),$U686*0,$V686)/IF($D$2="Egyszeri",VLOOKUP($B686+IF($C686=12,1,0),Paraméterek!$V$257:$W$262,2),IF($B686=1,1,VLOOKUP($B686+IF($C686=12,1,0),Paraméterek!$I$258:$T$278,HLOOKUP($M$11+1,Paraméterek!$J$256:$T$257,2)))),IF($D$4="Forint",0,2))&gt;$N686-$P686-$Q686+$S686-$T686-IF($D$4="Forint",Paraméterek!$C$216,Paraméterek!$D$216),0,ROUNDUP(IF(ISBLANK($V686),$U686*0,$V686)/IF($D$2="Egyszeri",VLOOKUP($B686+IF($C686=12,1,0),Paraméterek!$V$257:$W$262,2),IF($B686=1,1,VLOOKUP($B686+IF($C686=12,1,0),Paraméterek!$I$258:$T$278,HLOOKUP($M$11+1,Paraméterek!$J$256:$T$257,2)))),IF($D$4="Forint",0,2)))</f>
        <v>#N/A</v>
      </c>
      <c r="X686" s="13" t="e">
        <f ca="1">ROUNDDOWN($W686*IF($D$2="Egyszeri",VLOOKUP($B686+IF($C686=12,1,0),Paraméterek!$V$257:$W$262,2),VLOOKUP($B686+IF($C686=12,1,0),Paraméterek!$I$258:$T$278,HLOOKUP($M$11+1,Paraméterek!$I$256:$T$257,2))),IF($D$4="Forint",0,2))</f>
        <v>#N/A</v>
      </c>
      <c r="Z686" s="32">
        <v>667</v>
      </c>
      <c r="AA686" s="32">
        <v>56</v>
      </c>
      <c r="AB686" s="32">
        <v>7</v>
      </c>
      <c r="AC686" s="13">
        <f t="shared" ca="1" si="236"/>
        <v>0</v>
      </c>
      <c r="AD686" s="33"/>
      <c r="AE686" s="13">
        <f t="shared" ca="1" si="228"/>
        <v>0</v>
      </c>
      <c r="AF686" s="13">
        <f ca="1">ROUNDUP(($AC686+$AE686)*VLOOKUP($AA686,Paraméterek!$P$38:$Q$38,2)/12*IF($D687="Nem",IF($M$13=0,1,$M$13),1),IF($D$4="Forint",0,2))</f>
        <v>0</v>
      </c>
      <c r="AG686" s="13">
        <f ca="1">IF($D$2="Egyszeri",IF($D$7&gt;=IF($D$4="Forint",Paraméterek!$P$223,Paraméterek!$P$224),$D$7-IF($D$4="Forint",Paraméterek!$P$223,Paraméterek!$P$224),0),MIN(IF($AB686=12,AVERAGEIF($E$20:$E686,"&gt;0",$E$20:$E686)*12,0),SUM($E$20:$E$31)))</f>
        <v>0</v>
      </c>
      <c r="AH686" s="13">
        <f>IF($AA686=10,$AG686*IF($AB686=12,IF($AG686&lt;IF($D$4="Forint",Paraméterek!$L$223,Paraméterek!$L$224),0,VLOOKUP($AA686,Paraméterek!$K$226:$M$228,IF($AG686&lt;IF($D$4="Forint",Paraméterek!$M$223,Paraméterek!$M$224),2,3))),0),0)</f>
        <v>0</v>
      </c>
      <c r="AI686" s="13">
        <f ca="1">IF(AND($AA686=$M$11+1,$AB686=$M$12+1),SUMIF($AA$20:$AA$1027,$AA686,$AG$20:$AG$1027)*IF(SUMIF($AA$20:$AA$1027,$AA686,$AG$20:$AG$1027)&lt;IF($D$4="Forint",Paraméterek!$L$223,Paraméterek!$L$224),0,VLOOKUP($AA686,Paraméterek!$K$230:$M$250,IF(SUMIF($AA$20:$AA$1027,$AA686,$AG$20:$AG$1027)&lt;IF($D$4="Forint",Paraméterek!$M$223,Paraméterek!$M$224),2,3))),0)</f>
        <v>0</v>
      </c>
      <c r="AJ686" s="13">
        <f ca="1">IF(AND($AA686&gt;=5,MOD($AA686,5)=0),IF($AB686=12,VLOOKUP($AA686,Paraméterek!$O$225:$P$240,2),0),IF(OR($AA686=3,$AA686=4),IF($AB686=12,VLOOKUP($AA686,Paraméterek!$O$225:$P$240,2,0),0),0))*$AG686</f>
        <v>0</v>
      </c>
      <c r="AK686" s="13">
        <f t="shared" ca="1" si="229"/>
        <v>0</v>
      </c>
      <c r="AL686" s="13">
        <f t="shared" ca="1" si="237"/>
        <v>0</v>
      </c>
      <c r="AM686" s="13">
        <f t="shared" ca="1" si="238"/>
        <v>0</v>
      </c>
      <c r="AO686" s="32">
        <v>667</v>
      </c>
      <c r="AP686" s="32">
        <v>56</v>
      </c>
      <c r="AQ686" s="32">
        <v>7</v>
      </c>
      <c r="AR686" s="13"/>
      <c r="AS686" s="32"/>
      <c r="AT686" s="13">
        <f t="shared" ca="1" si="239"/>
        <v>0</v>
      </c>
      <c r="AU686" s="33"/>
      <c r="AV686" s="13">
        <f t="shared" ca="1" si="230"/>
        <v>0</v>
      </c>
      <c r="AW686" s="13">
        <f ca="1">ROUNDUP(($AT686+$AV686)*VLOOKUP($AP686,Paraméterek!$P$38:$Q$38,2)/12*IF($D687="Nem",IF($M$13=0,1,$M$13),1),IF($D$4="Forint",0,2))</f>
        <v>0</v>
      </c>
      <c r="AX686" s="13"/>
      <c r="AY686" s="13"/>
      <c r="AZ686" s="13">
        <f>ROUNDUP(IF(SUM($AX686:$AY686)=0,0,IF(IF(ISBLANK($AY686),$AX686,$AY686)*Paraméterek!$J$112&lt;IF($D$4="Forint",Paraméterek!$J$113,Paraméterek!$K$113),IF($D$4="Forint",Paraméterek!$J$113,Paraméterek!$K$113),IF(IF(ISBLANK($AY686),$AX686,$AY686)*Paraméterek!$J$112&gt;IF($D$4="Forint",Paraméterek!$J$114,Paraméterek!$K$114),IF($D$4="Forint",Paraméterek!$J$114,Paraméterek!$K$114),IF(ISBLANK($AY686),$AX686,$AY686)*Paraméterek!$J$112))),IF($D$4="Forint",0,2))</f>
        <v>0</v>
      </c>
      <c r="BA686" s="13">
        <f ca="1">$AT686+$AV686-$AW686-IF(ROUNDDOWN(IF(ISBLANK($AY686),$AX686,$AY686),IF($D$4="Forint",0,2))&gt;$AT686+$AV686-$AW686-IF($D$4="Forint",Paraméterek!$J$114,Paraméterek!$K$114),0,ROUNDDOWN(IF(ISBLANK($AY686),$AX686,$AY686),IF($D$4="Forint",0,2))-$AZ686)</f>
        <v>0</v>
      </c>
      <c r="BB686" s="13">
        <f t="shared" ca="1" si="231"/>
        <v>0</v>
      </c>
      <c r="BD686" s="32">
        <v>667</v>
      </c>
      <c r="BE686" s="32">
        <v>56</v>
      </c>
      <c r="BF686" s="32">
        <v>7</v>
      </c>
      <c r="BG686" s="34">
        <f t="shared" ca="1" si="240"/>
        <v>2074</v>
      </c>
      <c r="BH686" s="32" t="str">
        <f ca="1">IF(MOD(MONTH($D$14)+$BD686-1,12)=Paraméterek!$C$288,"Igen","")</f>
        <v/>
      </c>
      <c r="BI686" s="13">
        <f ca="1">IF($BH686="Igen",MIN(ROUNDDOWN((SUMIF($BG$20:$BG$1027,$BG686-1,$K$20:$K$1027)-SUMIF($BG$20:$BG$1027,$BG686-1,$I$20:$I$1027))*Paraméterek!$C$289,IF($D$4="Forint",0,2)),IF($D$4="Forint",Paraméterek!$C$285,Paraméterek!$D$285)),0)</f>
        <v>0</v>
      </c>
      <c r="BJ686" s="13">
        <f t="shared" ca="1" si="232"/>
        <v>0</v>
      </c>
      <c r="BK686" s="13">
        <f t="shared" ca="1" si="241"/>
        <v>0</v>
      </c>
      <c r="BL686" s="33"/>
      <c r="BM686" s="13">
        <f t="shared" ca="1" si="233"/>
        <v>0</v>
      </c>
      <c r="BN686" s="13">
        <f ca="1">ROUNDUP(($BK686+$BM686)*VLOOKUP($BE686,Paraméterek!$P$38:$Q$38,2)/12*IF($D687="Nem",IF($M$13=0,1,$M$13),1),IF($D$4="Forint",0,2))</f>
        <v>0</v>
      </c>
      <c r="BO686" s="13">
        <f t="shared" ca="1" si="234"/>
        <v>0</v>
      </c>
      <c r="BP686" s="13">
        <f ca="1">IF($D687="Nem",$BO686,$BO686-ROUNDUP(SUM($BI$20:$BI686)*120%,IF($D$4="Forint",0,2)))</f>
        <v>0</v>
      </c>
    </row>
    <row r="687" spans="1:68" x14ac:dyDescent="0.2">
      <c r="A687" s="32">
        <v>668</v>
      </c>
      <c r="B687" s="32">
        <v>56</v>
      </c>
      <c r="C687" s="32">
        <v>8</v>
      </c>
      <c r="D687" s="32" t="str">
        <f t="shared" ca="1" si="220"/>
        <v>Nem</v>
      </c>
      <c r="E687" s="13">
        <f t="shared" ca="1" si="221"/>
        <v>0</v>
      </c>
      <c r="F687" s="13"/>
      <c r="G687" s="13"/>
      <c r="H687" s="13"/>
      <c r="I687" s="13">
        <f t="shared" ca="1" si="222"/>
        <v>0</v>
      </c>
      <c r="J687" s="13">
        <f t="shared" ca="1" si="223"/>
        <v>0</v>
      </c>
      <c r="K687" s="13">
        <f t="shared" ca="1" si="224"/>
        <v>0</v>
      </c>
      <c r="L687" s="13" t="e">
        <f ca="1">ROUNDUP(IF($D$2="Egyszeri",$E687,IF($D$2="Havi",SUM($E$20:$E$31),IF(MOD($C687,$M$1)-1=0,SUM($E$20:$E$31),0))/12*$M$1)*VLOOKUP($B687,Paraméterek!$I$28:$P$31,IF($D$2="Egyszeri",8,HLOOKUP(ROUNDUP($M$11+$M$13,0),Paraméterek!$J$26:$O$27,2))),IF($D$4="Forint",0,2))</f>
        <v>#N/A</v>
      </c>
      <c r="M687" s="13">
        <f t="shared" ca="1" si="225"/>
        <v>0</v>
      </c>
      <c r="N687" s="13">
        <f t="shared" ca="1" si="235"/>
        <v>0</v>
      </c>
      <c r="O687" s="13">
        <f ca="1">IF($D687="Igen",IF($W686&gt;=IF($D$4="Forint",Paraméterek!$J$121,Paraméterek!$K$121),0,IF($D$4="Forint",Paraméterek!$J$121,Paraméterek!$K$121)-$W686),0)</f>
        <v>0</v>
      </c>
      <c r="P687" s="13" t="e">
        <f ca="1">ROUNDUP($O687*VLOOKUP($M$4+$B687-1,Paraméterek!$H$58:$I$105,2,0)/Paraméterek!$I$56,IF($D$4="Forint",0,2))</f>
        <v>#N/A</v>
      </c>
      <c r="Q687" s="13">
        <f t="shared" ca="1" si="226"/>
        <v>0</v>
      </c>
      <c r="R687" s="33"/>
      <c r="S687" s="13" t="e">
        <f t="shared" ca="1" si="227"/>
        <v>#N/A</v>
      </c>
      <c r="T687" s="13" t="e">
        <f ca="1">ROUNDUP(($N687-$P687-$Q687+$S687)*VLOOKUP($B687,Paraméterek!$I$38:$K$39,IF($D$2="Egyszeri",3,2))/12*IF($D688="Nem",IF($M$13=0,1,$M$13),1),IF($D$4="Forint",0,2))</f>
        <v>#N/A</v>
      </c>
      <c r="U687" s="13"/>
      <c r="V687" s="13"/>
      <c r="W687" s="13" t="e">
        <f ca="1">$N687-$P687-$Q687+$S687-$T687-IF(ROUNDUP(IF(ISBLANK($V687),$U687*0,$V687)/IF($D$2="Egyszeri",VLOOKUP($B687+IF($C687=12,1,0),Paraméterek!$V$257:$W$262,2),IF($B687=1,1,VLOOKUP($B687+IF($C687=12,1,0),Paraméterek!$I$258:$T$278,HLOOKUP($M$11+1,Paraméterek!$J$256:$T$257,2)))),IF($D$4="Forint",0,2))&gt;$N687-$P687-$Q687+$S687-$T687-IF($D$4="Forint",Paraméterek!$C$216,Paraméterek!$D$216),0,ROUNDUP(IF(ISBLANK($V687),$U687*0,$V687)/IF($D$2="Egyszeri",VLOOKUP($B687+IF($C687=12,1,0),Paraméterek!$V$257:$W$262,2),IF($B687=1,1,VLOOKUP($B687+IF($C687=12,1,0),Paraméterek!$I$258:$T$278,HLOOKUP($M$11+1,Paraméterek!$J$256:$T$257,2)))),IF($D$4="Forint",0,2)))</f>
        <v>#N/A</v>
      </c>
      <c r="X687" s="13" t="e">
        <f ca="1">ROUNDDOWN($W687*IF($D$2="Egyszeri",VLOOKUP($B687+IF($C687=12,1,0),Paraméterek!$V$257:$W$262,2),VLOOKUP($B687+IF($C687=12,1,0),Paraméterek!$I$258:$T$278,HLOOKUP($M$11+1,Paraméterek!$I$256:$T$257,2))),IF($D$4="Forint",0,2))</f>
        <v>#N/A</v>
      </c>
      <c r="Z687" s="32">
        <v>668</v>
      </c>
      <c r="AA687" s="32">
        <v>56</v>
      </c>
      <c r="AB687" s="32">
        <v>8</v>
      </c>
      <c r="AC687" s="13">
        <f t="shared" ca="1" si="236"/>
        <v>0</v>
      </c>
      <c r="AD687" s="33"/>
      <c r="AE687" s="13">
        <f t="shared" ca="1" si="228"/>
        <v>0</v>
      </c>
      <c r="AF687" s="13">
        <f ca="1">ROUNDUP(($AC687+$AE687)*VLOOKUP($AA687,Paraméterek!$P$38:$Q$38,2)/12*IF($D688="Nem",IF($M$13=0,1,$M$13),1),IF($D$4="Forint",0,2))</f>
        <v>0</v>
      </c>
      <c r="AG687" s="13">
        <f ca="1">IF($D$2="Egyszeri",IF($D$7&gt;=IF($D$4="Forint",Paraméterek!$P$223,Paraméterek!$P$224),$D$7-IF($D$4="Forint",Paraméterek!$P$223,Paraméterek!$P$224),0),MIN(IF($AB687=12,AVERAGEIF($E$20:$E687,"&gt;0",$E$20:$E687)*12,0),SUM($E$20:$E$31)))</f>
        <v>0</v>
      </c>
      <c r="AH687" s="13">
        <f>IF($AA687=10,$AG687*IF($AB687=12,IF($AG687&lt;IF($D$4="Forint",Paraméterek!$L$223,Paraméterek!$L$224),0,VLOOKUP($AA687,Paraméterek!$K$226:$M$228,IF($AG687&lt;IF($D$4="Forint",Paraméterek!$M$223,Paraméterek!$M$224),2,3))),0),0)</f>
        <v>0</v>
      </c>
      <c r="AI687" s="13">
        <f ca="1">IF(AND($AA687=$M$11+1,$AB687=$M$12+1),SUMIF($AA$20:$AA$1027,$AA687,$AG$20:$AG$1027)*IF(SUMIF($AA$20:$AA$1027,$AA687,$AG$20:$AG$1027)&lt;IF($D$4="Forint",Paraméterek!$L$223,Paraméterek!$L$224),0,VLOOKUP($AA687,Paraméterek!$K$230:$M$250,IF(SUMIF($AA$20:$AA$1027,$AA687,$AG$20:$AG$1027)&lt;IF($D$4="Forint",Paraméterek!$M$223,Paraméterek!$M$224),2,3))),0)</f>
        <v>0</v>
      </c>
      <c r="AJ687" s="13">
        <f ca="1">IF(AND($AA687&gt;=5,MOD($AA687,5)=0),IF($AB687=12,VLOOKUP($AA687,Paraméterek!$O$225:$P$240,2),0),IF(OR($AA687=3,$AA687=4),IF($AB687=12,VLOOKUP($AA687,Paraméterek!$O$225:$P$240,2,0),0),0))*$AG687</f>
        <v>0</v>
      </c>
      <c r="AK687" s="13">
        <f t="shared" ca="1" si="229"/>
        <v>0</v>
      </c>
      <c r="AL687" s="13">
        <f t="shared" ca="1" si="237"/>
        <v>0</v>
      </c>
      <c r="AM687" s="13">
        <f t="shared" ca="1" si="238"/>
        <v>0</v>
      </c>
      <c r="AO687" s="32">
        <v>668</v>
      </c>
      <c r="AP687" s="32">
        <v>56</v>
      </c>
      <c r="AQ687" s="32">
        <v>8</v>
      </c>
      <c r="AR687" s="13"/>
      <c r="AS687" s="32"/>
      <c r="AT687" s="13">
        <f t="shared" ca="1" si="239"/>
        <v>0</v>
      </c>
      <c r="AU687" s="33"/>
      <c r="AV687" s="13">
        <f t="shared" ca="1" si="230"/>
        <v>0</v>
      </c>
      <c r="AW687" s="13">
        <f ca="1">ROUNDUP(($AT687+$AV687)*VLOOKUP($AP687,Paraméterek!$P$38:$Q$38,2)/12*IF($D688="Nem",IF($M$13=0,1,$M$13),1),IF($D$4="Forint",0,2))</f>
        <v>0</v>
      </c>
      <c r="AX687" s="13"/>
      <c r="AY687" s="13"/>
      <c r="AZ687" s="13">
        <f>ROUNDUP(IF(SUM($AX687:$AY687)=0,0,IF(IF(ISBLANK($AY687),$AX687,$AY687)*Paraméterek!$J$112&lt;IF($D$4="Forint",Paraméterek!$J$113,Paraméterek!$K$113),IF($D$4="Forint",Paraméterek!$J$113,Paraméterek!$K$113),IF(IF(ISBLANK($AY687),$AX687,$AY687)*Paraméterek!$J$112&gt;IF($D$4="Forint",Paraméterek!$J$114,Paraméterek!$K$114),IF($D$4="Forint",Paraméterek!$J$114,Paraméterek!$K$114),IF(ISBLANK($AY687),$AX687,$AY687)*Paraméterek!$J$112))),IF($D$4="Forint",0,2))</f>
        <v>0</v>
      </c>
      <c r="BA687" s="13">
        <f ca="1">$AT687+$AV687-$AW687-IF(ROUNDDOWN(IF(ISBLANK($AY687),$AX687,$AY687),IF($D$4="Forint",0,2))&gt;$AT687+$AV687-$AW687-IF($D$4="Forint",Paraméterek!$J$114,Paraméterek!$K$114),0,ROUNDDOWN(IF(ISBLANK($AY687),$AX687,$AY687),IF($D$4="Forint",0,2))-$AZ687)</f>
        <v>0</v>
      </c>
      <c r="BB687" s="13">
        <f t="shared" ca="1" si="231"/>
        <v>0</v>
      </c>
      <c r="BD687" s="32">
        <v>668</v>
      </c>
      <c r="BE687" s="32">
        <v>56</v>
      </c>
      <c r="BF687" s="32">
        <v>8</v>
      </c>
      <c r="BG687" s="34">
        <f t="shared" ca="1" si="240"/>
        <v>2075</v>
      </c>
      <c r="BH687" s="32" t="str">
        <f ca="1">IF(MOD(MONTH($D$14)+$BD687-1,12)=Paraméterek!$C$288,"Igen","")</f>
        <v/>
      </c>
      <c r="BI687" s="13">
        <f ca="1">IF($BH687="Igen",MIN(ROUNDDOWN((SUMIF($BG$20:$BG$1027,$BG687-1,$K$20:$K$1027)-SUMIF($BG$20:$BG$1027,$BG687-1,$I$20:$I$1027))*Paraméterek!$C$289,IF($D$4="Forint",0,2)),IF($D$4="Forint",Paraméterek!$C$285,Paraméterek!$D$285)),0)</f>
        <v>0</v>
      </c>
      <c r="BJ687" s="13">
        <f t="shared" ca="1" si="232"/>
        <v>0</v>
      </c>
      <c r="BK687" s="13">
        <f t="shared" ca="1" si="241"/>
        <v>0</v>
      </c>
      <c r="BL687" s="33"/>
      <c r="BM687" s="13">
        <f t="shared" ca="1" si="233"/>
        <v>0</v>
      </c>
      <c r="BN687" s="13">
        <f ca="1">ROUNDUP(($BK687+$BM687)*VLOOKUP($BE687,Paraméterek!$P$38:$Q$38,2)/12*IF($D688="Nem",IF($M$13=0,1,$M$13),1),IF($D$4="Forint",0,2))</f>
        <v>0</v>
      </c>
      <c r="BO687" s="13">
        <f t="shared" ca="1" si="234"/>
        <v>0</v>
      </c>
      <c r="BP687" s="13">
        <f ca="1">IF($D688="Nem",$BO687,$BO687-ROUNDUP(SUM($BI$20:$BI687)*120%,IF($D$4="Forint",0,2)))</f>
        <v>0</v>
      </c>
    </row>
    <row r="688" spans="1:68" x14ac:dyDescent="0.2">
      <c r="A688" s="32">
        <v>669</v>
      </c>
      <c r="B688" s="32">
        <v>56</v>
      </c>
      <c r="C688" s="32">
        <v>9</v>
      </c>
      <c r="D688" s="32" t="str">
        <f t="shared" ca="1" si="220"/>
        <v>Nem</v>
      </c>
      <c r="E688" s="13">
        <f t="shared" ca="1" si="221"/>
        <v>0</v>
      </c>
      <c r="F688" s="13"/>
      <c r="G688" s="13"/>
      <c r="H688" s="13"/>
      <c r="I688" s="13">
        <f t="shared" ca="1" si="222"/>
        <v>0</v>
      </c>
      <c r="J688" s="13">
        <f t="shared" ca="1" si="223"/>
        <v>0</v>
      </c>
      <c r="K688" s="13">
        <f t="shared" ca="1" si="224"/>
        <v>0</v>
      </c>
      <c r="L688" s="13" t="e">
        <f ca="1">ROUNDUP(IF($D$2="Egyszeri",$E688,IF($D$2="Havi",SUM($E$20:$E$31),IF(MOD($C688,$M$1)-1=0,SUM($E$20:$E$31),0))/12*$M$1)*VLOOKUP($B688,Paraméterek!$I$28:$P$31,IF($D$2="Egyszeri",8,HLOOKUP(ROUNDUP($M$11+$M$13,0),Paraméterek!$J$26:$O$27,2))),IF($D$4="Forint",0,2))</f>
        <v>#N/A</v>
      </c>
      <c r="M688" s="13">
        <f t="shared" ca="1" si="225"/>
        <v>0</v>
      </c>
      <c r="N688" s="13">
        <f t="shared" ca="1" si="235"/>
        <v>0</v>
      </c>
      <c r="O688" s="13">
        <f ca="1">IF($D688="Igen",IF($W687&gt;=IF($D$4="Forint",Paraméterek!$J$121,Paraméterek!$K$121),0,IF($D$4="Forint",Paraméterek!$J$121,Paraméterek!$K$121)-$W687),0)</f>
        <v>0</v>
      </c>
      <c r="P688" s="13" t="e">
        <f ca="1">ROUNDUP($O688*VLOOKUP($M$4+$B688-1,Paraméterek!$H$58:$I$105,2,0)/Paraméterek!$I$56,IF($D$4="Forint",0,2))</f>
        <v>#N/A</v>
      </c>
      <c r="Q688" s="13">
        <f t="shared" ca="1" si="226"/>
        <v>0</v>
      </c>
      <c r="R688" s="33"/>
      <c r="S688" s="13" t="e">
        <f t="shared" ca="1" si="227"/>
        <v>#N/A</v>
      </c>
      <c r="T688" s="13" t="e">
        <f ca="1">ROUNDUP(($N688-$P688-$Q688+$S688)*VLOOKUP($B688,Paraméterek!$I$38:$K$39,IF($D$2="Egyszeri",3,2))/12*IF($D689="Nem",IF($M$13=0,1,$M$13),1),IF($D$4="Forint",0,2))</f>
        <v>#N/A</v>
      </c>
      <c r="U688" s="13"/>
      <c r="V688" s="13"/>
      <c r="W688" s="13" t="e">
        <f ca="1">$N688-$P688-$Q688+$S688-$T688-IF(ROUNDUP(IF(ISBLANK($V688),$U688*0,$V688)/IF($D$2="Egyszeri",VLOOKUP($B688+IF($C688=12,1,0),Paraméterek!$V$257:$W$262,2),IF($B688=1,1,VLOOKUP($B688+IF($C688=12,1,0),Paraméterek!$I$258:$T$278,HLOOKUP($M$11+1,Paraméterek!$J$256:$T$257,2)))),IF($D$4="Forint",0,2))&gt;$N688-$P688-$Q688+$S688-$T688-IF($D$4="Forint",Paraméterek!$C$216,Paraméterek!$D$216),0,ROUNDUP(IF(ISBLANK($V688),$U688*0,$V688)/IF($D$2="Egyszeri",VLOOKUP($B688+IF($C688=12,1,0),Paraméterek!$V$257:$W$262,2),IF($B688=1,1,VLOOKUP($B688+IF($C688=12,1,0),Paraméterek!$I$258:$T$278,HLOOKUP($M$11+1,Paraméterek!$J$256:$T$257,2)))),IF($D$4="Forint",0,2)))</f>
        <v>#N/A</v>
      </c>
      <c r="X688" s="13" t="e">
        <f ca="1">ROUNDDOWN($W688*IF($D$2="Egyszeri",VLOOKUP($B688+IF($C688=12,1,0),Paraméterek!$V$257:$W$262,2),VLOOKUP($B688+IF($C688=12,1,0),Paraméterek!$I$258:$T$278,HLOOKUP($M$11+1,Paraméterek!$I$256:$T$257,2))),IF($D$4="Forint",0,2))</f>
        <v>#N/A</v>
      </c>
      <c r="Z688" s="32">
        <v>669</v>
      </c>
      <c r="AA688" s="32">
        <v>56</v>
      </c>
      <c r="AB688" s="32">
        <v>9</v>
      </c>
      <c r="AC688" s="13">
        <f t="shared" ca="1" si="236"/>
        <v>0</v>
      </c>
      <c r="AD688" s="33"/>
      <c r="AE688" s="13">
        <f t="shared" ca="1" si="228"/>
        <v>0</v>
      </c>
      <c r="AF688" s="13">
        <f ca="1">ROUNDUP(($AC688+$AE688)*VLOOKUP($AA688,Paraméterek!$P$38:$Q$38,2)/12*IF($D689="Nem",IF($M$13=0,1,$M$13),1),IF($D$4="Forint",0,2))</f>
        <v>0</v>
      </c>
      <c r="AG688" s="13">
        <f ca="1">IF($D$2="Egyszeri",IF($D$7&gt;=IF($D$4="Forint",Paraméterek!$P$223,Paraméterek!$P$224),$D$7-IF($D$4="Forint",Paraméterek!$P$223,Paraméterek!$P$224),0),MIN(IF($AB688=12,AVERAGEIF($E$20:$E688,"&gt;0",$E$20:$E688)*12,0),SUM($E$20:$E$31)))</f>
        <v>0</v>
      </c>
      <c r="AH688" s="13">
        <f>IF($AA688=10,$AG688*IF($AB688=12,IF($AG688&lt;IF($D$4="Forint",Paraméterek!$L$223,Paraméterek!$L$224),0,VLOOKUP($AA688,Paraméterek!$K$226:$M$228,IF($AG688&lt;IF($D$4="Forint",Paraméterek!$M$223,Paraméterek!$M$224),2,3))),0),0)</f>
        <v>0</v>
      </c>
      <c r="AI688" s="13">
        <f ca="1">IF(AND($AA688=$M$11+1,$AB688=$M$12+1),SUMIF($AA$20:$AA$1027,$AA688,$AG$20:$AG$1027)*IF(SUMIF($AA$20:$AA$1027,$AA688,$AG$20:$AG$1027)&lt;IF($D$4="Forint",Paraméterek!$L$223,Paraméterek!$L$224),0,VLOOKUP($AA688,Paraméterek!$K$230:$M$250,IF(SUMIF($AA$20:$AA$1027,$AA688,$AG$20:$AG$1027)&lt;IF($D$4="Forint",Paraméterek!$M$223,Paraméterek!$M$224),2,3))),0)</f>
        <v>0</v>
      </c>
      <c r="AJ688" s="13">
        <f ca="1">IF(AND($AA688&gt;=5,MOD($AA688,5)=0),IF($AB688=12,VLOOKUP($AA688,Paraméterek!$O$225:$P$240,2),0),IF(OR($AA688=3,$AA688=4),IF($AB688=12,VLOOKUP($AA688,Paraméterek!$O$225:$P$240,2,0),0),0))*$AG688</f>
        <v>0</v>
      </c>
      <c r="AK688" s="13">
        <f t="shared" ca="1" si="229"/>
        <v>0</v>
      </c>
      <c r="AL688" s="13">
        <f t="shared" ca="1" si="237"/>
        <v>0</v>
      </c>
      <c r="AM688" s="13">
        <f t="shared" ca="1" si="238"/>
        <v>0</v>
      </c>
      <c r="AO688" s="32">
        <v>669</v>
      </c>
      <c r="AP688" s="32">
        <v>56</v>
      </c>
      <c r="AQ688" s="32">
        <v>9</v>
      </c>
      <c r="AR688" s="13"/>
      <c r="AS688" s="32"/>
      <c r="AT688" s="13">
        <f t="shared" ca="1" si="239"/>
        <v>0</v>
      </c>
      <c r="AU688" s="33"/>
      <c r="AV688" s="13">
        <f t="shared" ca="1" si="230"/>
        <v>0</v>
      </c>
      <c r="AW688" s="13">
        <f ca="1">ROUNDUP(($AT688+$AV688)*VLOOKUP($AP688,Paraméterek!$P$38:$Q$38,2)/12*IF($D689="Nem",IF($M$13=0,1,$M$13),1),IF($D$4="Forint",0,2))</f>
        <v>0</v>
      </c>
      <c r="AX688" s="13"/>
      <c r="AY688" s="13"/>
      <c r="AZ688" s="13">
        <f>ROUNDUP(IF(SUM($AX688:$AY688)=0,0,IF(IF(ISBLANK($AY688),$AX688,$AY688)*Paraméterek!$J$112&lt;IF($D$4="Forint",Paraméterek!$J$113,Paraméterek!$K$113),IF($D$4="Forint",Paraméterek!$J$113,Paraméterek!$K$113),IF(IF(ISBLANK($AY688),$AX688,$AY688)*Paraméterek!$J$112&gt;IF($D$4="Forint",Paraméterek!$J$114,Paraméterek!$K$114),IF($D$4="Forint",Paraméterek!$J$114,Paraméterek!$K$114),IF(ISBLANK($AY688),$AX688,$AY688)*Paraméterek!$J$112))),IF($D$4="Forint",0,2))</f>
        <v>0</v>
      </c>
      <c r="BA688" s="13">
        <f ca="1">$AT688+$AV688-$AW688-IF(ROUNDDOWN(IF(ISBLANK($AY688),$AX688,$AY688),IF($D$4="Forint",0,2))&gt;$AT688+$AV688-$AW688-IF($D$4="Forint",Paraméterek!$J$114,Paraméterek!$K$114),0,ROUNDDOWN(IF(ISBLANK($AY688),$AX688,$AY688),IF($D$4="Forint",0,2))-$AZ688)</f>
        <v>0</v>
      </c>
      <c r="BB688" s="13">
        <f t="shared" ca="1" si="231"/>
        <v>0</v>
      </c>
      <c r="BD688" s="32">
        <v>669</v>
      </c>
      <c r="BE688" s="32">
        <v>56</v>
      </c>
      <c r="BF688" s="32">
        <v>9</v>
      </c>
      <c r="BG688" s="34">
        <f t="shared" ca="1" si="240"/>
        <v>2075</v>
      </c>
      <c r="BH688" s="32" t="str">
        <f ca="1">IF(MOD(MONTH($D$14)+$BD688-1,12)=Paraméterek!$C$288,"Igen","")</f>
        <v/>
      </c>
      <c r="BI688" s="13">
        <f ca="1">IF($BH688="Igen",MIN(ROUNDDOWN((SUMIF($BG$20:$BG$1027,$BG688-1,$K$20:$K$1027)-SUMIF($BG$20:$BG$1027,$BG688-1,$I$20:$I$1027))*Paraméterek!$C$289,IF($D$4="Forint",0,2)),IF($D$4="Forint",Paraméterek!$C$285,Paraméterek!$D$285)),0)</f>
        <v>0</v>
      </c>
      <c r="BJ688" s="13">
        <f t="shared" ca="1" si="232"/>
        <v>0</v>
      </c>
      <c r="BK688" s="13">
        <f t="shared" ca="1" si="241"/>
        <v>0</v>
      </c>
      <c r="BL688" s="33"/>
      <c r="BM688" s="13">
        <f t="shared" ca="1" si="233"/>
        <v>0</v>
      </c>
      <c r="BN688" s="13">
        <f ca="1">ROUNDUP(($BK688+$BM688)*VLOOKUP($BE688,Paraméterek!$P$38:$Q$38,2)/12*IF($D689="Nem",IF($M$13=0,1,$M$13),1),IF($D$4="Forint",0,2))</f>
        <v>0</v>
      </c>
      <c r="BO688" s="13">
        <f t="shared" ca="1" si="234"/>
        <v>0</v>
      </c>
      <c r="BP688" s="13">
        <f ca="1">IF($D689="Nem",$BO688,$BO688-ROUNDUP(SUM($BI$20:$BI688)*120%,IF($D$4="Forint",0,2)))</f>
        <v>0</v>
      </c>
    </row>
    <row r="689" spans="1:68" x14ac:dyDescent="0.2">
      <c r="A689" s="32">
        <v>670</v>
      </c>
      <c r="B689" s="32">
        <v>56</v>
      </c>
      <c r="C689" s="32">
        <v>10</v>
      </c>
      <c r="D689" s="32" t="str">
        <f t="shared" ca="1" si="220"/>
        <v>Nem</v>
      </c>
      <c r="E689" s="13">
        <f t="shared" ca="1" si="221"/>
        <v>0</v>
      </c>
      <c r="F689" s="13"/>
      <c r="G689" s="13"/>
      <c r="H689" s="13"/>
      <c r="I689" s="13">
        <f t="shared" ca="1" si="222"/>
        <v>0</v>
      </c>
      <c r="J689" s="13">
        <f t="shared" ca="1" si="223"/>
        <v>0</v>
      </c>
      <c r="K689" s="13">
        <f t="shared" ca="1" si="224"/>
        <v>0</v>
      </c>
      <c r="L689" s="13" t="e">
        <f ca="1">ROUNDUP(IF($D$2="Egyszeri",$E689,IF($D$2="Havi",SUM($E$20:$E$31),IF(MOD($C689,$M$1)-1=0,SUM($E$20:$E$31),0))/12*$M$1)*VLOOKUP($B689,Paraméterek!$I$28:$P$31,IF($D$2="Egyszeri",8,HLOOKUP(ROUNDUP($M$11+$M$13,0),Paraméterek!$J$26:$O$27,2))),IF($D$4="Forint",0,2))</f>
        <v>#N/A</v>
      </c>
      <c r="M689" s="13">
        <f t="shared" ca="1" si="225"/>
        <v>0</v>
      </c>
      <c r="N689" s="13">
        <f t="shared" ca="1" si="235"/>
        <v>0</v>
      </c>
      <c r="O689" s="13">
        <f ca="1">IF($D689="Igen",IF($W688&gt;=IF($D$4="Forint",Paraméterek!$J$121,Paraméterek!$K$121),0,IF($D$4="Forint",Paraméterek!$J$121,Paraméterek!$K$121)-$W688),0)</f>
        <v>0</v>
      </c>
      <c r="P689" s="13" t="e">
        <f ca="1">ROUNDUP($O689*VLOOKUP($M$4+$B689-1,Paraméterek!$H$58:$I$105,2,0)/Paraméterek!$I$56,IF($D$4="Forint",0,2))</f>
        <v>#N/A</v>
      </c>
      <c r="Q689" s="13">
        <f t="shared" ca="1" si="226"/>
        <v>0</v>
      </c>
      <c r="R689" s="33"/>
      <c r="S689" s="13" t="e">
        <f t="shared" ca="1" si="227"/>
        <v>#N/A</v>
      </c>
      <c r="T689" s="13" t="e">
        <f ca="1">ROUNDUP(($N689-$P689-$Q689+$S689)*VLOOKUP($B689,Paraméterek!$I$38:$K$39,IF($D$2="Egyszeri",3,2))/12*IF($D690="Nem",IF($M$13=0,1,$M$13),1),IF($D$4="Forint",0,2))</f>
        <v>#N/A</v>
      </c>
      <c r="U689" s="13"/>
      <c r="V689" s="13"/>
      <c r="W689" s="13" t="e">
        <f ca="1">$N689-$P689-$Q689+$S689-$T689-IF(ROUNDUP(IF(ISBLANK($V689),$U689*0,$V689)/IF($D$2="Egyszeri",VLOOKUP($B689+IF($C689=12,1,0),Paraméterek!$V$257:$W$262,2),IF($B689=1,1,VLOOKUP($B689+IF($C689=12,1,0),Paraméterek!$I$258:$T$278,HLOOKUP($M$11+1,Paraméterek!$J$256:$T$257,2)))),IF($D$4="Forint",0,2))&gt;$N689-$P689-$Q689+$S689-$T689-IF($D$4="Forint",Paraméterek!$C$216,Paraméterek!$D$216),0,ROUNDUP(IF(ISBLANK($V689),$U689*0,$V689)/IF($D$2="Egyszeri",VLOOKUP($B689+IF($C689=12,1,0),Paraméterek!$V$257:$W$262,2),IF($B689=1,1,VLOOKUP($B689+IF($C689=12,1,0),Paraméterek!$I$258:$T$278,HLOOKUP($M$11+1,Paraméterek!$J$256:$T$257,2)))),IF($D$4="Forint",0,2)))</f>
        <v>#N/A</v>
      </c>
      <c r="X689" s="13" t="e">
        <f ca="1">ROUNDDOWN($W689*IF($D$2="Egyszeri",VLOOKUP($B689+IF($C689=12,1,0),Paraméterek!$V$257:$W$262,2),VLOOKUP($B689+IF($C689=12,1,0),Paraméterek!$I$258:$T$278,HLOOKUP($M$11+1,Paraméterek!$I$256:$T$257,2))),IF($D$4="Forint",0,2))</f>
        <v>#N/A</v>
      </c>
      <c r="Z689" s="32">
        <v>670</v>
      </c>
      <c r="AA689" s="32">
        <v>56</v>
      </c>
      <c r="AB689" s="32">
        <v>10</v>
      </c>
      <c r="AC689" s="13">
        <f t="shared" ca="1" si="236"/>
        <v>0</v>
      </c>
      <c r="AD689" s="33"/>
      <c r="AE689" s="13">
        <f t="shared" ca="1" si="228"/>
        <v>0</v>
      </c>
      <c r="AF689" s="13">
        <f ca="1">ROUNDUP(($AC689+$AE689)*VLOOKUP($AA689,Paraméterek!$P$38:$Q$38,2)/12*IF($D690="Nem",IF($M$13=0,1,$M$13),1),IF($D$4="Forint",0,2))</f>
        <v>0</v>
      </c>
      <c r="AG689" s="13">
        <f ca="1">IF($D$2="Egyszeri",IF($D$7&gt;=IF($D$4="Forint",Paraméterek!$P$223,Paraméterek!$P$224),$D$7-IF($D$4="Forint",Paraméterek!$P$223,Paraméterek!$P$224),0),MIN(IF($AB689=12,AVERAGEIF($E$20:$E689,"&gt;0",$E$20:$E689)*12,0),SUM($E$20:$E$31)))</f>
        <v>0</v>
      </c>
      <c r="AH689" s="13">
        <f>IF($AA689=10,$AG689*IF($AB689=12,IF($AG689&lt;IF($D$4="Forint",Paraméterek!$L$223,Paraméterek!$L$224),0,VLOOKUP($AA689,Paraméterek!$K$226:$M$228,IF($AG689&lt;IF($D$4="Forint",Paraméterek!$M$223,Paraméterek!$M$224),2,3))),0),0)</f>
        <v>0</v>
      </c>
      <c r="AI689" s="13">
        <f ca="1">IF(AND($AA689=$M$11+1,$AB689=$M$12+1),SUMIF($AA$20:$AA$1027,$AA689,$AG$20:$AG$1027)*IF(SUMIF($AA$20:$AA$1027,$AA689,$AG$20:$AG$1027)&lt;IF($D$4="Forint",Paraméterek!$L$223,Paraméterek!$L$224),0,VLOOKUP($AA689,Paraméterek!$K$230:$M$250,IF(SUMIF($AA$20:$AA$1027,$AA689,$AG$20:$AG$1027)&lt;IF($D$4="Forint",Paraméterek!$M$223,Paraméterek!$M$224),2,3))),0)</f>
        <v>0</v>
      </c>
      <c r="AJ689" s="13">
        <f ca="1">IF(AND($AA689&gt;=5,MOD($AA689,5)=0),IF($AB689=12,VLOOKUP($AA689,Paraméterek!$O$225:$P$240,2),0),IF(OR($AA689=3,$AA689=4),IF($AB689=12,VLOOKUP($AA689,Paraméterek!$O$225:$P$240,2,0),0),0))*$AG689</f>
        <v>0</v>
      </c>
      <c r="AK689" s="13">
        <f t="shared" ca="1" si="229"/>
        <v>0</v>
      </c>
      <c r="AL689" s="13">
        <f t="shared" ca="1" si="237"/>
        <v>0</v>
      </c>
      <c r="AM689" s="13">
        <f t="shared" ca="1" si="238"/>
        <v>0</v>
      </c>
      <c r="AO689" s="32">
        <v>670</v>
      </c>
      <c r="AP689" s="32">
        <v>56</v>
      </c>
      <c r="AQ689" s="32">
        <v>10</v>
      </c>
      <c r="AR689" s="13"/>
      <c r="AS689" s="32"/>
      <c r="AT689" s="13">
        <f t="shared" ca="1" si="239"/>
        <v>0</v>
      </c>
      <c r="AU689" s="33"/>
      <c r="AV689" s="13">
        <f t="shared" ca="1" si="230"/>
        <v>0</v>
      </c>
      <c r="AW689" s="13">
        <f ca="1">ROUNDUP(($AT689+$AV689)*VLOOKUP($AP689,Paraméterek!$P$38:$Q$38,2)/12*IF($D690="Nem",IF($M$13=0,1,$M$13),1),IF($D$4="Forint",0,2))</f>
        <v>0</v>
      </c>
      <c r="AX689" s="13"/>
      <c r="AY689" s="13"/>
      <c r="AZ689" s="13">
        <f>ROUNDUP(IF(SUM($AX689:$AY689)=0,0,IF(IF(ISBLANK($AY689),$AX689,$AY689)*Paraméterek!$J$112&lt;IF($D$4="Forint",Paraméterek!$J$113,Paraméterek!$K$113),IF($D$4="Forint",Paraméterek!$J$113,Paraméterek!$K$113),IF(IF(ISBLANK($AY689),$AX689,$AY689)*Paraméterek!$J$112&gt;IF($D$4="Forint",Paraméterek!$J$114,Paraméterek!$K$114),IF($D$4="Forint",Paraméterek!$J$114,Paraméterek!$K$114),IF(ISBLANK($AY689),$AX689,$AY689)*Paraméterek!$J$112))),IF($D$4="Forint",0,2))</f>
        <v>0</v>
      </c>
      <c r="BA689" s="13">
        <f ca="1">$AT689+$AV689-$AW689-IF(ROUNDDOWN(IF(ISBLANK($AY689),$AX689,$AY689),IF($D$4="Forint",0,2))&gt;$AT689+$AV689-$AW689-IF($D$4="Forint",Paraméterek!$J$114,Paraméterek!$K$114),0,ROUNDDOWN(IF(ISBLANK($AY689),$AX689,$AY689),IF($D$4="Forint",0,2))-$AZ689)</f>
        <v>0</v>
      </c>
      <c r="BB689" s="13">
        <f t="shared" ca="1" si="231"/>
        <v>0</v>
      </c>
      <c r="BD689" s="32">
        <v>670</v>
      </c>
      <c r="BE689" s="32">
        <v>56</v>
      </c>
      <c r="BF689" s="32">
        <v>10</v>
      </c>
      <c r="BG689" s="34">
        <f t="shared" ca="1" si="240"/>
        <v>2075</v>
      </c>
      <c r="BH689" s="32" t="str">
        <f ca="1">IF(MOD(MONTH($D$14)+$BD689-1,12)=Paraméterek!$C$288,"Igen","")</f>
        <v/>
      </c>
      <c r="BI689" s="13">
        <f ca="1">IF($BH689="Igen",MIN(ROUNDDOWN((SUMIF($BG$20:$BG$1027,$BG689-1,$K$20:$K$1027)-SUMIF($BG$20:$BG$1027,$BG689-1,$I$20:$I$1027))*Paraméterek!$C$289,IF($D$4="Forint",0,2)),IF($D$4="Forint",Paraméterek!$C$285,Paraméterek!$D$285)),0)</f>
        <v>0</v>
      </c>
      <c r="BJ689" s="13">
        <f t="shared" ca="1" si="232"/>
        <v>0</v>
      </c>
      <c r="BK689" s="13">
        <f t="shared" ca="1" si="241"/>
        <v>0</v>
      </c>
      <c r="BL689" s="33"/>
      <c r="BM689" s="13">
        <f t="shared" ca="1" si="233"/>
        <v>0</v>
      </c>
      <c r="BN689" s="13">
        <f ca="1">ROUNDUP(($BK689+$BM689)*VLOOKUP($BE689,Paraméterek!$P$38:$Q$38,2)/12*IF($D690="Nem",IF($M$13=0,1,$M$13),1),IF($D$4="Forint",0,2))</f>
        <v>0</v>
      </c>
      <c r="BO689" s="13">
        <f t="shared" ca="1" si="234"/>
        <v>0</v>
      </c>
      <c r="BP689" s="13">
        <f ca="1">IF($D690="Nem",$BO689,$BO689-ROUNDUP(SUM($BI$20:$BI689)*120%,IF($D$4="Forint",0,2)))</f>
        <v>0</v>
      </c>
    </row>
    <row r="690" spans="1:68" x14ac:dyDescent="0.2">
      <c r="A690" s="32">
        <v>671</v>
      </c>
      <c r="B690" s="32">
        <v>56</v>
      </c>
      <c r="C690" s="32">
        <v>11</v>
      </c>
      <c r="D690" s="32" t="str">
        <f t="shared" ca="1" si="220"/>
        <v>Nem</v>
      </c>
      <c r="E690" s="13">
        <f t="shared" ca="1" si="221"/>
        <v>0</v>
      </c>
      <c r="F690" s="13"/>
      <c r="G690" s="13"/>
      <c r="H690" s="13"/>
      <c r="I690" s="13">
        <f t="shared" ca="1" si="222"/>
        <v>0</v>
      </c>
      <c r="J690" s="13">
        <f t="shared" ca="1" si="223"/>
        <v>0</v>
      </c>
      <c r="K690" s="13">
        <f t="shared" ca="1" si="224"/>
        <v>0</v>
      </c>
      <c r="L690" s="13" t="e">
        <f ca="1">ROUNDUP(IF($D$2="Egyszeri",$E690,IF($D$2="Havi",SUM($E$20:$E$31),IF(MOD($C690,$M$1)-1=0,SUM($E$20:$E$31),0))/12*$M$1)*VLOOKUP($B690,Paraméterek!$I$28:$P$31,IF($D$2="Egyszeri",8,HLOOKUP(ROUNDUP($M$11+$M$13,0),Paraméterek!$J$26:$O$27,2))),IF($D$4="Forint",0,2))</f>
        <v>#N/A</v>
      </c>
      <c r="M690" s="13">
        <f t="shared" ca="1" si="225"/>
        <v>0</v>
      </c>
      <c r="N690" s="13">
        <f t="shared" ca="1" si="235"/>
        <v>0</v>
      </c>
      <c r="O690" s="13">
        <f ca="1">IF($D690="Igen",IF($W689&gt;=IF($D$4="Forint",Paraméterek!$J$121,Paraméterek!$K$121),0,IF($D$4="Forint",Paraméterek!$J$121,Paraméterek!$K$121)-$W689),0)</f>
        <v>0</v>
      </c>
      <c r="P690" s="13" t="e">
        <f ca="1">ROUNDUP($O690*VLOOKUP($M$4+$B690-1,Paraméterek!$H$58:$I$105,2,0)/Paraméterek!$I$56,IF($D$4="Forint",0,2))</f>
        <v>#N/A</v>
      </c>
      <c r="Q690" s="13">
        <f t="shared" ca="1" si="226"/>
        <v>0</v>
      </c>
      <c r="R690" s="33"/>
      <c r="S690" s="13" t="e">
        <f t="shared" ca="1" si="227"/>
        <v>#N/A</v>
      </c>
      <c r="T690" s="13" t="e">
        <f ca="1">ROUNDUP(($N690-$P690-$Q690+$S690)*VLOOKUP($B690,Paraméterek!$I$38:$K$39,IF($D$2="Egyszeri",3,2))/12*IF($D691="Nem",IF($M$13=0,1,$M$13),1),IF($D$4="Forint",0,2))</f>
        <v>#N/A</v>
      </c>
      <c r="U690" s="13"/>
      <c r="V690" s="13"/>
      <c r="W690" s="13" t="e">
        <f ca="1">$N690-$P690-$Q690+$S690-$T690-IF(ROUNDUP(IF(ISBLANK($V690),$U690*0,$V690)/IF($D$2="Egyszeri",VLOOKUP($B690+IF($C690=12,1,0),Paraméterek!$V$257:$W$262,2),IF($B690=1,1,VLOOKUP($B690+IF($C690=12,1,0),Paraméterek!$I$258:$T$278,HLOOKUP($M$11+1,Paraméterek!$J$256:$T$257,2)))),IF($D$4="Forint",0,2))&gt;$N690-$P690-$Q690+$S690-$T690-IF($D$4="Forint",Paraméterek!$C$216,Paraméterek!$D$216),0,ROUNDUP(IF(ISBLANK($V690),$U690*0,$V690)/IF($D$2="Egyszeri",VLOOKUP($B690+IF($C690=12,1,0),Paraméterek!$V$257:$W$262,2),IF($B690=1,1,VLOOKUP($B690+IF($C690=12,1,0),Paraméterek!$I$258:$T$278,HLOOKUP($M$11+1,Paraméterek!$J$256:$T$257,2)))),IF($D$4="Forint",0,2)))</f>
        <v>#N/A</v>
      </c>
      <c r="X690" s="13" t="e">
        <f ca="1">ROUNDDOWN($W690*IF($D$2="Egyszeri",VLOOKUP($B690+IF($C690=12,1,0),Paraméterek!$V$257:$W$262,2),VLOOKUP($B690+IF($C690=12,1,0),Paraméterek!$I$258:$T$278,HLOOKUP($M$11+1,Paraméterek!$I$256:$T$257,2))),IF($D$4="Forint",0,2))</f>
        <v>#N/A</v>
      </c>
      <c r="Z690" s="32">
        <v>671</v>
      </c>
      <c r="AA690" s="32">
        <v>56</v>
      </c>
      <c r="AB690" s="32">
        <v>11</v>
      </c>
      <c r="AC690" s="13">
        <f t="shared" ca="1" si="236"/>
        <v>0</v>
      </c>
      <c r="AD690" s="33"/>
      <c r="AE690" s="13">
        <f t="shared" ca="1" si="228"/>
        <v>0</v>
      </c>
      <c r="AF690" s="13">
        <f ca="1">ROUNDUP(($AC690+$AE690)*VLOOKUP($AA690,Paraméterek!$P$38:$Q$38,2)/12*IF($D691="Nem",IF($M$13=0,1,$M$13),1),IF($D$4="Forint",0,2))</f>
        <v>0</v>
      </c>
      <c r="AG690" s="13">
        <f ca="1">IF($D$2="Egyszeri",IF($D$7&gt;=IF($D$4="Forint",Paraméterek!$P$223,Paraméterek!$P$224),$D$7-IF($D$4="Forint",Paraméterek!$P$223,Paraméterek!$P$224),0),MIN(IF($AB690=12,AVERAGEIF($E$20:$E690,"&gt;0",$E$20:$E690)*12,0),SUM($E$20:$E$31)))</f>
        <v>0</v>
      </c>
      <c r="AH690" s="13">
        <f>IF($AA690=10,$AG690*IF($AB690=12,IF($AG690&lt;IF($D$4="Forint",Paraméterek!$L$223,Paraméterek!$L$224),0,VLOOKUP($AA690,Paraméterek!$K$226:$M$228,IF($AG690&lt;IF($D$4="Forint",Paraméterek!$M$223,Paraméterek!$M$224),2,3))),0),0)</f>
        <v>0</v>
      </c>
      <c r="AI690" s="13">
        <f ca="1">IF(AND($AA690=$M$11+1,$AB690=$M$12+1),SUMIF($AA$20:$AA$1027,$AA690,$AG$20:$AG$1027)*IF(SUMIF($AA$20:$AA$1027,$AA690,$AG$20:$AG$1027)&lt;IF($D$4="Forint",Paraméterek!$L$223,Paraméterek!$L$224),0,VLOOKUP($AA690,Paraméterek!$K$230:$M$250,IF(SUMIF($AA$20:$AA$1027,$AA690,$AG$20:$AG$1027)&lt;IF($D$4="Forint",Paraméterek!$M$223,Paraméterek!$M$224),2,3))),0)</f>
        <v>0</v>
      </c>
      <c r="AJ690" s="13">
        <f ca="1">IF(AND($AA690&gt;=5,MOD($AA690,5)=0),IF($AB690=12,VLOOKUP($AA690,Paraméterek!$O$225:$P$240,2),0),IF(OR($AA690=3,$AA690=4),IF($AB690=12,VLOOKUP($AA690,Paraméterek!$O$225:$P$240,2,0),0),0))*$AG690</f>
        <v>0</v>
      </c>
      <c r="AK690" s="13">
        <f t="shared" ca="1" si="229"/>
        <v>0</v>
      </c>
      <c r="AL690" s="13">
        <f t="shared" ca="1" si="237"/>
        <v>0</v>
      </c>
      <c r="AM690" s="13">
        <f t="shared" ca="1" si="238"/>
        <v>0</v>
      </c>
      <c r="AO690" s="32">
        <v>671</v>
      </c>
      <c r="AP690" s="32">
        <v>56</v>
      </c>
      <c r="AQ690" s="32">
        <v>11</v>
      </c>
      <c r="AR690" s="13"/>
      <c r="AS690" s="32"/>
      <c r="AT690" s="13">
        <f t="shared" ca="1" si="239"/>
        <v>0</v>
      </c>
      <c r="AU690" s="33"/>
      <c r="AV690" s="13">
        <f t="shared" ca="1" si="230"/>
        <v>0</v>
      </c>
      <c r="AW690" s="13">
        <f ca="1">ROUNDUP(($AT690+$AV690)*VLOOKUP($AP690,Paraméterek!$P$38:$Q$38,2)/12*IF($D691="Nem",IF($M$13=0,1,$M$13),1),IF($D$4="Forint",0,2))</f>
        <v>0</v>
      </c>
      <c r="AX690" s="13"/>
      <c r="AY690" s="13"/>
      <c r="AZ690" s="13">
        <f>ROUNDUP(IF(SUM($AX690:$AY690)=0,0,IF(IF(ISBLANK($AY690),$AX690,$AY690)*Paraméterek!$J$112&lt;IF($D$4="Forint",Paraméterek!$J$113,Paraméterek!$K$113),IF($D$4="Forint",Paraméterek!$J$113,Paraméterek!$K$113),IF(IF(ISBLANK($AY690),$AX690,$AY690)*Paraméterek!$J$112&gt;IF($D$4="Forint",Paraméterek!$J$114,Paraméterek!$K$114),IF($D$4="Forint",Paraméterek!$J$114,Paraméterek!$K$114),IF(ISBLANK($AY690),$AX690,$AY690)*Paraméterek!$J$112))),IF($D$4="Forint",0,2))</f>
        <v>0</v>
      </c>
      <c r="BA690" s="13">
        <f ca="1">$AT690+$AV690-$AW690-IF(ROUNDDOWN(IF(ISBLANK($AY690),$AX690,$AY690),IF($D$4="Forint",0,2))&gt;$AT690+$AV690-$AW690-IF($D$4="Forint",Paraméterek!$J$114,Paraméterek!$K$114),0,ROUNDDOWN(IF(ISBLANK($AY690),$AX690,$AY690),IF($D$4="Forint",0,2))-$AZ690)</f>
        <v>0</v>
      </c>
      <c r="BB690" s="13">
        <f t="shared" ca="1" si="231"/>
        <v>0</v>
      </c>
      <c r="BD690" s="32">
        <v>671</v>
      </c>
      <c r="BE690" s="32">
        <v>56</v>
      </c>
      <c r="BF690" s="32">
        <v>11</v>
      </c>
      <c r="BG690" s="34">
        <f t="shared" ca="1" si="240"/>
        <v>2075</v>
      </c>
      <c r="BH690" s="32" t="str">
        <f ca="1">IF(MOD(MONTH($D$14)+$BD690-1,12)=Paraméterek!$C$288,"Igen","")</f>
        <v/>
      </c>
      <c r="BI690" s="13">
        <f ca="1">IF($BH690="Igen",MIN(ROUNDDOWN((SUMIF($BG$20:$BG$1027,$BG690-1,$K$20:$K$1027)-SUMIF($BG$20:$BG$1027,$BG690-1,$I$20:$I$1027))*Paraméterek!$C$289,IF($D$4="Forint",0,2)),IF($D$4="Forint",Paraméterek!$C$285,Paraméterek!$D$285)),0)</f>
        <v>0</v>
      </c>
      <c r="BJ690" s="13">
        <f t="shared" ca="1" si="232"/>
        <v>0</v>
      </c>
      <c r="BK690" s="13">
        <f t="shared" ca="1" si="241"/>
        <v>0</v>
      </c>
      <c r="BL690" s="33"/>
      <c r="BM690" s="13">
        <f t="shared" ca="1" si="233"/>
        <v>0</v>
      </c>
      <c r="BN690" s="13">
        <f ca="1">ROUNDUP(($BK690+$BM690)*VLOOKUP($BE690,Paraméterek!$P$38:$Q$38,2)/12*IF($D691="Nem",IF($M$13=0,1,$M$13),1),IF($D$4="Forint",0,2))</f>
        <v>0</v>
      </c>
      <c r="BO690" s="13">
        <f t="shared" ca="1" si="234"/>
        <v>0</v>
      </c>
      <c r="BP690" s="13">
        <f ca="1">IF($D691="Nem",$BO690,$BO690-ROUNDUP(SUM($BI$20:$BI690)*120%,IF($D$4="Forint",0,2)))</f>
        <v>0</v>
      </c>
    </row>
    <row r="691" spans="1:68" x14ac:dyDescent="0.2">
      <c r="A691" s="32">
        <v>672</v>
      </c>
      <c r="B691" s="32">
        <v>56</v>
      </c>
      <c r="C691" s="32">
        <v>12</v>
      </c>
      <c r="D691" s="32" t="str">
        <f t="shared" ca="1" si="220"/>
        <v>Nem</v>
      </c>
      <c r="E691" s="13">
        <f t="shared" ca="1" si="221"/>
        <v>0</v>
      </c>
      <c r="F691" s="13"/>
      <c r="G691" s="13"/>
      <c r="H691" s="13"/>
      <c r="I691" s="13">
        <f t="shared" ca="1" si="222"/>
        <v>0</v>
      </c>
      <c r="J691" s="13">
        <f t="shared" ca="1" si="223"/>
        <v>0</v>
      </c>
      <c r="K691" s="13">
        <f t="shared" ca="1" si="224"/>
        <v>0</v>
      </c>
      <c r="L691" s="13" t="e">
        <f ca="1">ROUNDUP(IF($D$2="Egyszeri",$E691,IF($D$2="Havi",SUM($E$20:$E$31),IF(MOD($C691,$M$1)-1=0,SUM($E$20:$E$31),0))/12*$M$1)*VLOOKUP($B691,Paraméterek!$I$28:$P$31,IF($D$2="Egyszeri",8,HLOOKUP(ROUNDUP($M$11+$M$13,0),Paraméterek!$J$26:$O$27,2))),IF($D$4="Forint",0,2))</f>
        <v>#N/A</v>
      </c>
      <c r="M691" s="13">
        <f t="shared" ca="1" si="225"/>
        <v>0</v>
      </c>
      <c r="N691" s="13">
        <f t="shared" ca="1" si="235"/>
        <v>0</v>
      </c>
      <c r="O691" s="13">
        <f ca="1">IF($D691="Igen",IF($W690&gt;=IF($D$4="Forint",Paraméterek!$J$121,Paraméterek!$K$121),0,IF($D$4="Forint",Paraméterek!$J$121,Paraméterek!$K$121)-$W690),0)</f>
        <v>0</v>
      </c>
      <c r="P691" s="13" t="e">
        <f ca="1">ROUNDUP($O691*VLOOKUP($M$4+$B691-1,Paraméterek!$H$58:$I$105,2,0)/Paraméterek!$I$56,IF($D$4="Forint",0,2))</f>
        <v>#N/A</v>
      </c>
      <c r="Q691" s="13">
        <f t="shared" ca="1" si="226"/>
        <v>0</v>
      </c>
      <c r="R691" s="33"/>
      <c r="S691" s="13" t="e">
        <f t="shared" ca="1" si="227"/>
        <v>#N/A</v>
      </c>
      <c r="T691" s="13" t="e">
        <f ca="1">ROUNDUP(($N691-$P691-$Q691+$S691)*VLOOKUP($B691,Paraméterek!$I$38:$K$39,IF($D$2="Egyszeri",3,2))/12*IF($D692="Nem",IF($M$13=0,1,$M$13),1),IF($D$4="Forint",0,2))</f>
        <v>#N/A</v>
      </c>
      <c r="U691" s="13">
        <f>Tranzakciók!$F$87</f>
        <v>0</v>
      </c>
      <c r="V691" s="13"/>
      <c r="W691" s="13" t="e">
        <f ca="1">$N691-$P691-$Q691+$S691-$T691-IF(ROUNDUP(IF(ISBLANK($V691),$U691*0,$V691)/IF($D$2="Egyszeri",VLOOKUP($B691+IF($C691=12,1,0),Paraméterek!$V$257:$W$262,2),IF($B691=1,1,VLOOKUP($B691+IF($C691=12,1,0),Paraméterek!$I$258:$T$278,HLOOKUP($M$11+1,Paraméterek!$J$256:$T$257,2)))),IF($D$4="Forint",0,2))&gt;$N691-$P691-$Q691+$S691-$T691-IF($D$4="Forint",Paraméterek!$C$216,Paraméterek!$D$216),0,ROUNDUP(IF(ISBLANK($V691),$U691*0,$V691)/IF($D$2="Egyszeri",VLOOKUP($B691+IF($C691=12,1,0),Paraméterek!$V$257:$W$262,2),IF($B691=1,1,VLOOKUP($B691+IF($C691=12,1,0),Paraméterek!$I$258:$T$278,HLOOKUP($M$11+1,Paraméterek!$J$256:$T$257,2)))),IF($D$4="Forint",0,2)))</f>
        <v>#N/A</v>
      </c>
      <c r="X691" s="13" t="e">
        <f ca="1">ROUNDDOWN($W691*IF($D$2="Egyszeri",VLOOKUP($B691+IF($C691=12,1,0),Paraméterek!$V$257:$W$262,2),VLOOKUP($B691+IF($C691=12,1,0),Paraméterek!$I$258:$T$278,HLOOKUP($M$11+1,Paraméterek!$I$256:$T$257,2))),IF($D$4="Forint",0,2))</f>
        <v>#N/A</v>
      </c>
      <c r="Z691" s="32">
        <v>672</v>
      </c>
      <c r="AA691" s="32">
        <v>56</v>
      </c>
      <c r="AB691" s="32">
        <v>12</v>
      </c>
      <c r="AC691" s="13">
        <f t="shared" ca="1" si="236"/>
        <v>0</v>
      </c>
      <c r="AD691" s="33"/>
      <c r="AE691" s="13">
        <f t="shared" ca="1" si="228"/>
        <v>0</v>
      </c>
      <c r="AF691" s="13">
        <f ca="1">ROUNDUP(($AC691+$AE691)*VLOOKUP($AA691,Paraméterek!$P$38:$Q$38,2)/12*IF($D692="Nem",IF($M$13=0,1,$M$13),1),IF($D$4="Forint",0,2))</f>
        <v>0</v>
      </c>
      <c r="AG691" s="13" t="e">
        <f ca="1">IF($D$2="Egyszeri",IF($D$7&gt;=IF($D$4="Forint",Paraméterek!$P$223,Paraméterek!$P$224),$D$7-IF($D$4="Forint",Paraméterek!$P$223,Paraméterek!$P$224),0),MIN(IF($AB691=12,AVERAGEIF($E$20:$E691,"&gt;0",$E$20:$E691)*12,0),SUM($E$20:$E$31)))</f>
        <v>#DIV/0!</v>
      </c>
      <c r="AH691" s="13">
        <f>IF($AA691=10,$AG691*IF($AB691=12,IF($AG691&lt;IF($D$4="Forint",Paraméterek!$L$223,Paraméterek!$L$224),0,VLOOKUP($AA691,Paraméterek!$K$226:$M$228,IF($AG691&lt;IF($D$4="Forint",Paraméterek!$M$223,Paraméterek!$M$224),2,3))),0),0)</f>
        <v>0</v>
      </c>
      <c r="AI691" s="13">
        <f ca="1">IF(AND($AA691=$M$11+1,$AB691=$M$12+1),SUMIF($AA$20:$AA$1027,$AA691,$AG$20:$AG$1027)*IF(SUMIF($AA$20:$AA$1027,$AA691,$AG$20:$AG$1027)&lt;IF($D$4="Forint",Paraméterek!$L$223,Paraméterek!$L$224),0,VLOOKUP($AA691,Paraméterek!$K$230:$M$250,IF(SUMIF($AA$20:$AA$1027,$AA691,$AG$20:$AG$1027)&lt;IF($D$4="Forint",Paraméterek!$M$223,Paraméterek!$M$224),2,3))),0)</f>
        <v>0</v>
      </c>
      <c r="AJ691" s="13" t="e">
        <f ca="1">IF(AND($AA691&gt;=5,MOD($AA691,5)=0),IF($AB691=12,VLOOKUP($AA691,Paraméterek!$O$225:$P$240,2),0),IF(OR($AA691=3,$AA691=4),IF($AB691=12,VLOOKUP($AA691,Paraméterek!$O$225:$P$240,2,0),0),0))*$AG691</f>
        <v>#DIV/0!</v>
      </c>
      <c r="AK691" s="13">
        <f t="shared" ca="1" si="229"/>
        <v>0</v>
      </c>
      <c r="AL691" s="13">
        <f t="shared" ca="1" si="237"/>
        <v>0</v>
      </c>
      <c r="AM691" s="13">
        <f t="shared" ca="1" si="238"/>
        <v>0</v>
      </c>
      <c r="AO691" s="32">
        <v>672</v>
      </c>
      <c r="AP691" s="32">
        <v>56</v>
      </c>
      <c r="AQ691" s="32">
        <v>12</v>
      </c>
      <c r="AR691" s="13"/>
      <c r="AS691" s="32"/>
      <c r="AT691" s="13">
        <f t="shared" ca="1" si="239"/>
        <v>0</v>
      </c>
      <c r="AU691" s="33"/>
      <c r="AV691" s="13">
        <f t="shared" ca="1" si="230"/>
        <v>0</v>
      </c>
      <c r="AW691" s="13">
        <f ca="1">ROUNDUP(($AT691+$AV691)*VLOOKUP($AP691,Paraméterek!$P$38:$Q$38,2)/12*IF($D692="Nem",IF($M$13=0,1,$M$13),1),IF($D$4="Forint",0,2))</f>
        <v>0</v>
      </c>
      <c r="AX691" s="13">
        <f>Tranzakciók!$M$87</f>
        <v>0</v>
      </c>
      <c r="AY691" s="13"/>
      <c r="AZ691" s="13">
        <f>ROUNDUP(IF(SUM($AX691:$AY691)=0,0,IF(IF(ISBLANK($AY691),$AX691,$AY691)*Paraméterek!$J$112&lt;IF($D$4="Forint",Paraméterek!$J$113,Paraméterek!$K$113),IF($D$4="Forint",Paraméterek!$J$113,Paraméterek!$K$113),IF(IF(ISBLANK($AY691),$AX691,$AY691)*Paraméterek!$J$112&gt;IF($D$4="Forint",Paraméterek!$J$114,Paraméterek!$K$114),IF($D$4="Forint",Paraméterek!$J$114,Paraméterek!$K$114),IF(ISBLANK($AY691),$AX691,$AY691)*Paraméterek!$J$112))),IF($D$4="Forint",0,2))</f>
        <v>0</v>
      </c>
      <c r="BA691" s="13">
        <f ca="1">$AT691+$AV691-$AW691-IF(ROUNDDOWN(IF(ISBLANK($AY691),$AX691,$AY691),IF($D$4="Forint",0,2))&gt;$AT691+$AV691-$AW691-IF($D$4="Forint",Paraméterek!$J$114,Paraméterek!$K$114),0,ROUNDDOWN(IF(ISBLANK($AY691),$AX691,$AY691),IF($D$4="Forint",0,2))-$AZ691)</f>
        <v>0</v>
      </c>
      <c r="BB691" s="13">
        <f t="shared" ca="1" si="231"/>
        <v>0</v>
      </c>
      <c r="BD691" s="32">
        <v>672</v>
      </c>
      <c r="BE691" s="32">
        <v>56</v>
      </c>
      <c r="BF691" s="32">
        <v>12</v>
      </c>
      <c r="BG691" s="34">
        <f t="shared" ca="1" si="240"/>
        <v>2075</v>
      </c>
      <c r="BH691" s="32" t="str">
        <f ca="1">IF(MOD(MONTH($D$14)+$BD691-1,12)=Paraméterek!$C$288,"Igen","")</f>
        <v/>
      </c>
      <c r="BI691" s="13">
        <f ca="1">IF($BH691="Igen",MIN(ROUNDDOWN((SUMIF($BG$20:$BG$1027,$BG691-1,$K$20:$K$1027)-SUMIF($BG$20:$BG$1027,$BG691-1,$I$20:$I$1027))*Paraméterek!$C$289,IF($D$4="Forint",0,2)),IF($D$4="Forint",Paraméterek!$C$285,Paraméterek!$D$285)),0)</f>
        <v>0</v>
      </c>
      <c r="BJ691" s="13">
        <f t="shared" ca="1" si="232"/>
        <v>0</v>
      </c>
      <c r="BK691" s="13">
        <f t="shared" ca="1" si="241"/>
        <v>0</v>
      </c>
      <c r="BL691" s="33"/>
      <c r="BM691" s="13">
        <f t="shared" ca="1" si="233"/>
        <v>0</v>
      </c>
      <c r="BN691" s="13">
        <f ca="1">ROUNDUP(($BK691+$BM691)*VLOOKUP($BE691,Paraméterek!$P$38:$Q$38,2)/12*IF($D692="Nem",IF($M$13=0,1,$M$13),1),IF($D$4="Forint",0,2))</f>
        <v>0</v>
      </c>
      <c r="BO691" s="13">
        <f t="shared" ca="1" si="234"/>
        <v>0</v>
      </c>
      <c r="BP691" s="13">
        <f ca="1">IF($D692="Nem",$BO691,$BO691-ROUNDUP(SUM($BI$20:$BI691)*120%,IF($D$4="Forint",0,2)))</f>
        <v>0</v>
      </c>
    </row>
    <row r="692" spans="1:68" x14ac:dyDescent="0.2">
      <c r="A692" s="32">
        <v>673</v>
      </c>
      <c r="B692" s="32">
        <v>57</v>
      </c>
      <c r="C692" s="32">
        <v>1</v>
      </c>
      <c r="D692" s="32" t="str">
        <f t="shared" ca="1" si="220"/>
        <v>Nem</v>
      </c>
      <c r="E692" s="13">
        <f t="shared" ca="1" si="221"/>
        <v>0</v>
      </c>
      <c r="F692" s="13"/>
      <c r="G692" s="13">
        <f>Tranzakciók!$D$88</f>
        <v>0</v>
      </c>
      <c r="H692" s="13"/>
      <c r="I692" s="13">
        <f t="shared" ca="1" si="222"/>
        <v>0</v>
      </c>
      <c r="J692" s="13">
        <f t="shared" ca="1" si="223"/>
        <v>0</v>
      </c>
      <c r="K692" s="13">
        <f t="shared" ca="1" si="224"/>
        <v>0</v>
      </c>
      <c r="L692" s="13" t="e">
        <f ca="1">ROUNDUP(IF($D$2="Egyszeri",$E692,IF($D$2="Havi",SUM($E$20:$E$31),IF(MOD($C692,$M$1)-1=0,SUM($E$20:$E$31),0))/12*$M$1)*VLOOKUP($B692,Paraméterek!$I$28:$P$31,IF($D$2="Egyszeri",8,HLOOKUP(ROUNDUP($M$11+$M$13,0),Paraméterek!$J$26:$O$27,2))),IF($D$4="Forint",0,2))</f>
        <v>#N/A</v>
      </c>
      <c r="M692" s="13">
        <f t="shared" ca="1" si="225"/>
        <v>0</v>
      </c>
      <c r="N692" s="13">
        <f t="shared" ca="1" si="235"/>
        <v>0</v>
      </c>
      <c r="O692" s="13">
        <f ca="1">IF($D692="Igen",IF($W691&gt;=IF($D$4="Forint",Paraméterek!$J$121,Paraméterek!$K$121),0,IF($D$4="Forint",Paraméterek!$J$121,Paraméterek!$K$121)-$W691),0)</f>
        <v>0</v>
      </c>
      <c r="P692" s="13" t="e">
        <f ca="1">ROUNDUP($O692*VLOOKUP($M$4+$B692-1,Paraméterek!$H$58:$I$105,2,0)/Paraméterek!$I$56,IF($D$4="Forint",0,2))</f>
        <v>#N/A</v>
      </c>
      <c r="Q692" s="13">
        <f t="shared" ca="1" si="226"/>
        <v>0</v>
      </c>
      <c r="R692" s="33"/>
      <c r="S692" s="13" t="e">
        <f t="shared" ca="1" si="227"/>
        <v>#N/A</v>
      </c>
      <c r="T692" s="13" t="e">
        <f ca="1">ROUNDUP(($N692-$P692-$Q692+$S692)*VLOOKUP($B692,Paraméterek!$I$38:$K$39,IF($D$2="Egyszeri",3,2))/12*IF($D693="Nem",IF($M$13=0,1,$M$13),1),IF($D$4="Forint",0,2))</f>
        <v>#N/A</v>
      </c>
      <c r="U692" s="13"/>
      <c r="V692" s="13"/>
      <c r="W692" s="13" t="e">
        <f ca="1">$N692-$P692-$Q692+$S692-$T692-IF(ROUNDUP(IF(ISBLANK($V692),$U692*0,$V692)/IF($D$2="Egyszeri",VLOOKUP($B692+IF($C692=12,1,0),Paraméterek!$V$257:$W$262,2),IF($B692=1,1,VLOOKUP($B692+IF($C692=12,1,0),Paraméterek!$I$258:$T$278,HLOOKUP($M$11+1,Paraméterek!$J$256:$T$257,2)))),IF($D$4="Forint",0,2))&gt;$N692-$P692-$Q692+$S692-$T692-IF($D$4="Forint",Paraméterek!$C$216,Paraméterek!$D$216),0,ROUNDUP(IF(ISBLANK($V692),$U692*0,$V692)/IF($D$2="Egyszeri",VLOOKUP($B692+IF($C692=12,1,0),Paraméterek!$V$257:$W$262,2),IF($B692=1,1,VLOOKUP($B692+IF($C692=12,1,0),Paraméterek!$I$258:$T$278,HLOOKUP($M$11+1,Paraméterek!$J$256:$T$257,2)))),IF($D$4="Forint",0,2)))</f>
        <v>#N/A</v>
      </c>
      <c r="X692" s="13" t="e">
        <f ca="1">ROUNDDOWN($W692*IF($D$2="Egyszeri",VLOOKUP($B692+IF($C692=12,1,0),Paraméterek!$V$257:$W$262,2),VLOOKUP($B692+IF($C692=12,1,0),Paraméterek!$I$258:$T$278,HLOOKUP($M$11+1,Paraméterek!$I$256:$T$257,2))),IF($D$4="Forint",0,2))</f>
        <v>#N/A</v>
      </c>
      <c r="Z692" s="32">
        <v>673</v>
      </c>
      <c r="AA692" s="32">
        <v>57</v>
      </c>
      <c r="AB692" s="32">
        <v>1</v>
      </c>
      <c r="AC692" s="13">
        <f t="shared" ca="1" si="236"/>
        <v>0</v>
      </c>
      <c r="AD692" s="33"/>
      <c r="AE692" s="13">
        <f t="shared" ca="1" si="228"/>
        <v>0</v>
      </c>
      <c r="AF692" s="13">
        <f ca="1">ROUNDUP(($AC692+$AE692)*VLOOKUP($AA692,Paraméterek!$P$38:$Q$38,2)/12*IF($D693="Nem",IF($M$13=0,1,$M$13),1),IF($D$4="Forint",0,2))</f>
        <v>0</v>
      </c>
      <c r="AG692" s="13">
        <f ca="1">IF($D$2="Egyszeri",IF($D$7&gt;=IF($D$4="Forint",Paraméterek!$P$223,Paraméterek!$P$224),$D$7-IF($D$4="Forint",Paraméterek!$P$223,Paraméterek!$P$224),0),MIN(IF($AB692=12,AVERAGEIF($E$20:$E692,"&gt;0",$E$20:$E692)*12,0),SUM($E$20:$E$31)))</f>
        <v>0</v>
      </c>
      <c r="AH692" s="13">
        <f>IF($AA692=10,$AG692*IF($AB692=12,IF($AG692&lt;IF($D$4="Forint",Paraméterek!$L$223,Paraméterek!$L$224),0,VLOOKUP($AA692,Paraméterek!$K$226:$M$228,IF($AG692&lt;IF($D$4="Forint",Paraméterek!$M$223,Paraméterek!$M$224),2,3))),0),0)</f>
        <v>0</v>
      </c>
      <c r="AI692" s="13">
        <f ca="1">IF(AND($AA692=$M$11+1,$AB692=$M$12+1),SUMIF($AA$20:$AA$1027,$AA692,$AG$20:$AG$1027)*IF(SUMIF($AA$20:$AA$1027,$AA692,$AG$20:$AG$1027)&lt;IF($D$4="Forint",Paraméterek!$L$223,Paraméterek!$L$224),0,VLOOKUP($AA692,Paraméterek!$K$230:$M$250,IF(SUMIF($AA$20:$AA$1027,$AA692,$AG$20:$AG$1027)&lt;IF($D$4="Forint",Paraméterek!$M$223,Paraméterek!$M$224),2,3))),0)</f>
        <v>0</v>
      </c>
      <c r="AJ692" s="13">
        <f ca="1">IF(AND($AA692&gt;=5,MOD($AA692,5)=0),IF($AB692=12,VLOOKUP($AA692,Paraméterek!$O$225:$P$240,2),0),IF(OR($AA692=3,$AA692=4),IF($AB692=12,VLOOKUP($AA692,Paraméterek!$O$225:$P$240,2,0),0),0))*$AG692</f>
        <v>0</v>
      </c>
      <c r="AK692" s="13">
        <f t="shared" ca="1" si="229"/>
        <v>0</v>
      </c>
      <c r="AL692" s="13">
        <f t="shared" ca="1" si="237"/>
        <v>0</v>
      </c>
      <c r="AM692" s="13">
        <f t="shared" ca="1" si="238"/>
        <v>0</v>
      </c>
      <c r="AO692" s="32">
        <v>673</v>
      </c>
      <c r="AP692" s="32">
        <v>57</v>
      </c>
      <c r="AQ692" s="32">
        <v>1</v>
      </c>
      <c r="AR692" s="13">
        <f>Tranzakciók!$K$88</f>
        <v>0</v>
      </c>
      <c r="AS692" s="32"/>
      <c r="AT692" s="13">
        <f t="shared" ca="1" si="239"/>
        <v>0</v>
      </c>
      <c r="AU692" s="33"/>
      <c r="AV692" s="13">
        <f t="shared" ca="1" si="230"/>
        <v>0</v>
      </c>
      <c r="AW692" s="13">
        <f ca="1">ROUNDUP(($AT692+$AV692)*VLOOKUP($AP692,Paraméterek!$P$38:$Q$38,2)/12*IF($D693="Nem",IF($M$13=0,1,$M$13),1),IF($D$4="Forint",0,2))</f>
        <v>0</v>
      </c>
      <c r="AX692" s="13"/>
      <c r="AY692" s="13"/>
      <c r="AZ692" s="13">
        <f>ROUNDUP(IF(SUM($AX692:$AY692)=0,0,IF(IF(ISBLANK($AY692),$AX692,$AY692)*Paraméterek!$J$112&lt;IF($D$4="Forint",Paraméterek!$J$113,Paraméterek!$K$113),IF($D$4="Forint",Paraméterek!$J$113,Paraméterek!$K$113),IF(IF(ISBLANK($AY692),$AX692,$AY692)*Paraméterek!$J$112&gt;IF($D$4="Forint",Paraméterek!$J$114,Paraméterek!$K$114),IF($D$4="Forint",Paraméterek!$J$114,Paraméterek!$K$114),IF(ISBLANK($AY692),$AX692,$AY692)*Paraméterek!$J$112))),IF($D$4="Forint",0,2))</f>
        <v>0</v>
      </c>
      <c r="BA692" s="13">
        <f ca="1">$AT692+$AV692-$AW692-IF(ROUNDDOWN(IF(ISBLANK($AY692),$AX692,$AY692),IF($D$4="Forint",0,2))&gt;$AT692+$AV692-$AW692-IF($D$4="Forint",Paraméterek!$J$114,Paraméterek!$K$114),0,ROUNDDOWN(IF(ISBLANK($AY692),$AX692,$AY692),IF($D$4="Forint",0,2))-$AZ692)</f>
        <v>0</v>
      </c>
      <c r="BB692" s="13">
        <f t="shared" ca="1" si="231"/>
        <v>0</v>
      </c>
      <c r="BD692" s="32">
        <v>673</v>
      </c>
      <c r="BE692" s="32">
        <v>57</v>
      </c>
      <c r="BF692" s="32">
        <v>1</v>
      </c>
      <c r="BG692" s="34">
        <f t="shared" ca="1" si="240"/>
        <v>2075</v>
      </c>
      <c r="BH692" s="32" t="str">
        <f ca="1">IF(MOD(MONTH($D$14)+$BD692-1,12)=Paraméterek!$C$288,"Igen","")</f>
        <v/>
      </c>
      <c r="BI692" s="13">
        <f ca="1">IF($BH692="Igen",MIN(ROUNDDOWN((SUMIF($BG$20:$BG$1027,$BG692-1,$K$20:$K$1027)-SUMIF($BG$20:$BG$1027,$BG692-1,$I$20:$I$1027))*Paraméterek!$C$289,IF($D$4="Forint",0,2)),IF($D$4="Forint",Paraméterek!$C$285,Paraméterek!$D$285)),0)</f>
        <v>0</v>
      </c>
      <c r="BJ692" s="13">
        <f t="shared" ca="1" si="232"/>
        <v>0</v>
      </c>
      <c r="BK692" s="13">
        <f t="shared" ca="1" si="241"/>
        <v>0</v>
      </c>
      <c r="BL692" s="33"/>
      <c r="BM692" s="13">
        <f t="shared" ca="1" si="233"/>
        <v>0</v>
      </c>
      <c r="BN692" s="13">
        <f ca="1">ROUNDUP(($BK692+$BM692)*VLOOKUP($BE692,Paraméterek!$P$38:$Q$38,2)/12*IF($D693="Nem",IF($M$13=0,1,$M$13),1),IF($D$4="Forint",0,2))</f>
        <v>0</v>
      </c>
      <c r="BO692" s="13">
        <f t="shared" ca="1" si="234"/>
        <v>0</v>
      </c>
      <c r="BP692" s="13">
        <f ca="1">IF($D693="Nem",$BO692,$BO692-ROUNDUP(SUM($BI$20:$BI692)*120%,IF($D$4="Forint",0,2)))</f>
        <v>0</v>
      </c>
    </row>
    <row r="693" spans="1:68" x14ac:dyDescent="0.2">
      <c r="A693" s="32">
        <v>674</v>
      </c>
      <c r="B693" s="32">
        <v>57</v>
      </c>
      <c r="C693" s="32">
        <v>2</v>
      </c>
      <c r="D693" s="32" t="str">
        <f t="shared" ca="1" si="220"/>
        <v>Nem</v>
      </c>
      <c r="E693" s="13">
        <f t="shared" ca="1" si="221"/>
        <v>0</v>
      </c>
      <c r="F693" s="13"/>
      <c r="G693" s="13"/>
      <c r="H693" s="13"/>
      <c r="I693" s="13">
        <f t="shared" ca="1" si="222"/>
        <v>0</v>
      </c>
      <c r="J693" s="13">
        <f t="shared" ca="1" si="223"/>
        <v>0</v>
      </c>
      <c r="K693" s="13">
        <f t="shared" ca="1" si="224"/>
        <v>0</v>
      </c>
      <c r="L693" s="13" t="e">
        <f ca="1">ROUNDUP(IF($D$2="Egyszeri",$E693,IF($D$2="Havi",SUM($E$20:$E$31),IF(MOD($C693,$M$1)-1=0,SUM($E$20:$E$31),0))/12*$M$1)*VLOOKUP($B693,Paraméterek!$I$28:$P$31,IF($D$2="Egyszeri",8,HLOOKUP(ROUNDUP($M$11+$M$13,0),Paraméterek!$J$26:$O$27,2))),IF($D$4="Forint",0,2))</f>
        <v>#N/A</v>
      </c>
      <c r="M693" s="13">
        <f t="shared" ca="1" si="225"/>
        <v>0</v>
      </c>
      <c r="N693" s="13">
        <f t="shared" ca="1" si="235"/>
        <v>0</v>
      </c>
      <c r="O693" s="13">
        <f ca="1">IF($D693="Igen",IF($W692&gt;=IF($D$4="Forint",Paraméterek!$J$121,Paraméterek!$K$121),0,IF($D$4="Forint",Paraméterek!$J$121,Paraméterek!$K$121)-$W692),0)</f>
        <v>0</v>
      </c>
      <c r="P693" s="13" t="e">
        <f ca="1">ROUNDUP($O693*VLOOKUP($M$4+$B693-1,Paraméterek!$H$58:$I$105,2,0)/Paraméterek!$I$56,IF($D$4="Forint",0,2))</f>
        <v>#N/A</v>
      </c>
      <c r="Q693" s="13">
        <f t="shared" ca="1" si="226"/>
        <v>0</v>
      </c>
      <c r="R693" s="33"/>
      <c r="S693" s="13" t="e">
        <f t="shared" ca="1" si="227"/>
        <v>#N/A</v>
      </c>
      <c r="T693" s="13" t="e">
        <f ca="1">ROUNDUP(($N693-$P693-$Q693+$S693)*VLOOKUP($B693,Paraméterek!$I$38:$K$39,IF($D$2="Egyszeri",3,2))/12*IF($D694="Nem",IF($M$13=0,1,$M$13),1),IF($D$4="Forint",0,2))</f>
        <v>#N/A</v>
      </c>
      <c r="U693" s="13"/>
      <c r="V693" s="13"/>
      <c r="W693" s="13" t="e">
        <f ca="1">$N693-$P693-$Q693+$S693-$T693-IF(ROUNDUP(IF(ISBLANK($V693),$U693*0,$V693)/IF($D$2="Egyszeri",VLOOKUP($B693+IF($C693=12,1,0),Paraméterek!$V$257:$W$262,2),IF($B693=1,1,VLOOKUP($B693+IF($C693=12,1,0),Paraméterek!$I$258:$T$278,HLOOKUP($M$11+1,Paraméterek!$J$256:$T$257,2)))),IF($D$4="Forint",0,2))&gt;$N693-$P693-$Q693+$S693-$T693-IF($D$4="Forint",Paraméterek!$C$216,Paraméterek!$D$216),0,ROUNDUP(IF(ISBLANK($V693),$U693*0,$V693)/IF($D$2="Egyszeri",VLOOKUP($B693+IF($C693=12,1,0),Paraméterek!$V$257:$W$262,2),IF($B693=1,1,VLOOKUP($B693+IF($C693=12,1,0),Paraméterek!$I$258:$T$278,HLOOKUP($M$11+1,Paraméterek!$J$256:$T$257,2)))),IF($D$4="Forint",0,2)))</f>
        <v>#N/A</v>
      </c>
      <c r="X693" s="13" t="e">
        <f ca="1">ROUNDDOWN($W693*IF($D$2="Egyszeri",VLOOKUP($B693+IF($C693=12,1,0),Paraméterek!$V$257:$W$262,2),VLOOKUP($B693+IF($C693=12,1,0),Paraméterek!$I$258:$T$278,HLOOKUP($M$11+1,Paraméterek!$I$256:$T$257,2))),IF($D$4="Forint",0,2))</f>
        <v>#N/A</v>
      </c>
      <c r="Z693" s="32">
        <v>674</v>
      </c>
      <c r="AA693" s="32">
        <v>57</v>
      </c>
      <c r="AB693" s="32">
        <v>2</v>
      </c>
      <c r="AC693" s="13">
        <f t="shared" ca="1" si="236"/>
        <v>0</v>
      </c>
      <c r="AD693" s="33"/>
      <c r="AE693" s="13">
        <f t="shared" ca="1" si="228"/>
        <v>0</v>
      </c>
      <c r="AF693" s="13">
        <f ca="1">ROUNDUP(($AC693+$AE693)*VLOOKUP($AA693,Paraméterek!$P$38:$Q$38,2)/12*IF($D694="Nem",IF($M$13=0,1,$M$13),1),IF($D$4="Forint",0,2))</f>
        <v>0</v>
      </c>
      <c r="AG693" s="13">
        <f ca="1">IF($D$2="Egyszeri",IF($D$7&gt;=IF($D$4="Forint",Paraméterek!$P$223,Paraméterek!$P$224),$D$7-IF($D$4="Forint",Paraméterek!$P$223,Paraméterek!$P$224),0),MIN(IF($AB693=12,AVERAGEIF($E$20:$E693,"&gt;0",$E$20:$E693)*12,0),SUM($E$20:$E$31)))</f>
        <v>0</v>
      </c>
      <c r="AH693" s="13">
        <f>IF($AA693=10,$AG693*IF($AB693=12,IF($AG693&lt;IF($D$4="Forint",Paraméterek!$L$223,Paraméterek!$L$224),0,VLOOKUP($AA693,Paraméterek!$K$226:$M$228,IF($AG693&lt;IF($D$4="Forint",Paraméterek!$M$223,Paraméterek!$M$224),2,3))),0),0)</f>
        <v>0</v>
      </c>
      <c r="AI693" s="13">
        <f ca="1">IF(AND($AA693=$M$11+1,$AB693=$M$12+1),SUMIF($AA$20:$AA$1027,$AA693,$AG$20:$AG$1027)*IF(SUMIF($AA$20:$AA$1027,$AA693,$AG$20:$AG$1027)&lt;IF($D$4="Forint",Paraméterek!$L$223,Paraméterek!$L$224),0,VLOOKUP($AA693,Paraméterek!$K$230:$M$250,IF(SUMIF($AA$20:$AA$1027,$AA693,$AG$20:$AG$1027)&lt;IF($D$4="Forint",Paraméterek!$M$223,Paraméterek!$M$224),2,3))),0)</f>
        <v>0</v>
      </c>
      <c r="AJ693" s="13">
        <f ca="1">IF(AND($AA693&gt;=5,MOD($AA693,5)=0),IF($AB693=12,VLOOKUP($AA693,Paraméterek!$O$225:$P$240,2),0),IF(OR($AA693=3,$AA693=4),IF($AB693=12,VLOOKUP($AA693,Paraméterek!$O$225:$P$240,2,0),0),0))*$AG693</f>
        <v>0</v>
      </c>
      <c r="AK693" s="13">
        <f t="shared" ca="1" si="229"/>
        <v>0</v>
      </c>
      <c r="AL693" s="13">
        <f t="shared" ca="1" si="237"/>
        <v>0</v>
      </c>
      <c r="AM693" s="13">
        <f t="shared" ca="1" si="238"/>
        <v>0</v>
      </c>
      <c r="AO693" s="32">
        <v>674</v>
      </c>
      <c r="AP693" s="32">
        <v>57</v>
      </c>
      <c r="AQ693" s="32">
        <v>2</v>
      </c>
      <c r="AR693" s="13"/>
      <c r="AS693" s="32"/>
      <c r="AT693" s="13">
        <f t="shared" ca="1" si="239"/>
        <v>0</v>
      </c>
      <c r="AU693" s="33"/>
      <c r="AV693" s="13">
        <f t="shared" ca="1" si="230"/>
        <v>0</v>
      </c>
      <c r="AW693" s="13">
        <f ca="1">ROUNDUP(($AT693+$AV693)*VLOOKUP($AP693,Paraméterek!$P$38:$Q$38,2)/12*IF($D694="Nem",IF($M$13=0,1,$M$13),1),IF($D$4="Forint",0,2))</f>
        <v>0</v>
      </c>
      <c r="AX693" s="13"/>
      <c r="AY693" s="13"/>
      <c r="AZ693" s="13">
        <f>ROUNDUP(IF(SUM($AX693:$AY693)=0,0,IF(IF(ISBLANK($AY693),$AX693,$AY693)*Paraméterek!$J$112&lt;IF($D$4="Forint",Paraméterek!$J$113,Paraméterek!$K$113),IF($D$4="Forint",Paraméterek!$J$113,Paraméterek!$K$113),IF(IF(ISBLANK($AY693),$AX693,$AY693)*Paraméterek!$J$112&gt;IF($D$4="Forint",Paraméterek!$J$114,Paraméterek!$K$114),IF($D$4="Forint",Paraméterek!$J$114,Paraméterek!$K$114),IF(ISBLANK($AY693),$AX693,$AY693)*Paraméterek!$J$112))),IF($D$4="Forint",0,2))</f>
        <v>0</v>
      </c>
      <c r="BA693" s="13">
        <f ca="1">$AT693+$AV693-$AW693-IF(ROUNDDOWN(IF(ISBLANK($AY693),$AX693,$AY693),IF($D$4="Forint",0,2))&gt;$AT693+$AV693-$AW693-IF($D$4="Forint",Paraméterek!$J$114,Paraméterek!$K$114),0,ROUNDDOWN(IF(ISBLANK($AY693),$AX693,$AY693),IF($D$4="Forint",0,2))-$AZ693)</f>
        <v>0</v>
      </c>
      <c r="BB693" s="13">
        <f t="shared" ca="1" si="231"/>
        <v>0</v>
      </c>
      <c r="BD693" s="32">
        <v>674</v>
      </c>
      <c r="BE693" s="32">
        <v>57</v>
      </c>
      <c r="BF693" s="32">
        <v>2</v>
      </c>
      <c r="BG693" s="34">
        <f t="shared" ca="1" si="240"/>
        <v>2075</v>
      </c>
      <c r="BH693" s="32" t="str">
        <f ca="1">IF(MOD(MONTH($D$14)+$BD693-1,12)=Paraméterek!$C$288,"Igen","")</f>
        <v>Igen</v>
      </c>
      <c r="BI693" s="13">
        <f ca="1">IF($BH693="Igen",MIN(ROUNDDOWN((SUMIF($BG$20:$BG$1027,$BG693-1,$K$20:$K$1027)-SUMIF($BG$20:$BG$1027,$BG693-1,$I$20:$I$1027))*Paraméterek!$C$289,IF($D$4="Forint",0,2)),IF($D$4="Forint",Paraméterek!$C$285,Paraméterek!$D$285)),0)</f>
        <v>0</v>
      </c>
      <c r="BJ693" s="13">
        <f t="shared" ca="1" si="232"/>
        <v>0</v>
      </c>
      <c r="BK693" s="13">
        <f t="shared" ca="1" si="241"/>
        <v>0</v>
      </c>
      <c r="BL693" s="33"/>
      <c r="BM693" s="13">
        <f t="shared" ca="1" si="233"/>
        <v>0</v>
      </c>
      <c r="BN693" s="13">
        <f ca="1">ROUNDUP(($BK693+$BM693)*VLOOKUP($BE693,Paraméterek!$P$38:$Q$38,2)/12*IF($D694="Nem",IF($M$13=0,1,$M$13),1),IF($D$4="Forint",0,2))</f>
        <v>0</v>
      </c>
      <c r="BO693" s="13">
        <f t="shared" ca="1" si="234"/>
        <v>0</v>
      </c>
      <c r="BP693" s="13">
        <f ca="1">IF($D694="Nem",$BO693,$BO693-ROUNDUP(SUM($BI$20:$BI693)*120%,IF($D$4="Forint",0,2)))</f>
        <v>0</v>
      </c>
    </row>
    <row r="694" spans="1:68" x14ac:dyDescent="0.2">
      <c r="A694" s="32">
        <v>675</v>
      </c>
      <c r="B694" s="32">
        <v>57</v>
      </c>
      <c r="C694" s="32">
        <v>3</v>
      </c>
      <c r="D694" s="32" t="str">
        <f t="shared" ca="1" si="220"/>
        <v>Nem</v>
      </c>
      <c r="E694" s="13">
        <f t="shared" ca="1" si="221"/>
        <v>0</v>
      </c>
      <c r="F694" s="13"/>
      <c r="G694" s="13"/>
      <c r="H694" s="13"/>
      <c r="I694" s="13">
        <f t="shared" ca="1" si="222"/>
        <v>0</v>
      </c>
      <c r="J694" s="13">
        <f t="shared" ca="1" si="223"/>
        <v>0</v>
      </c>
      <c r="K694" s="13">
        <f t="shared" ca="1" si="224"/>
        <v>0</v>
      </c>
      <c r="L694" s="13" t="e">
        <f ca="1">ROUNDUP(IF($D$2="Egyszeri",$E694,IF($D$2="Havi",SUM($E$20:$E$31),IF(MOD($C694,$M$1)-1=0,SUM($E$20:$E$31),0))/12*$M$1)*VLOOKUP($B694,Paraméterek!$I$28:$P$31,IF($D$2="Egyszeri",8,HLOOKUP(ROUNDUP($M$11+$M$13,0),Paraméterek!$J$26:$O$27,2))),IF($D$4="Forint",0,2))</f>
        <v>#N/A</v>
      </c>
      <c r="M694" s="13">
        <f t="shared" ca="1" si="225"/>
        <v>0</v>
      </c>
      <c r="N694" s="13">
        <f t="shared" ca="1" si="235"/>
        <v>0</v>
      </c>
      <c r="O694" s="13">
        <f ca="1">IF($D694="Igen",IF($W693&gt;=IF($D$4="Forint",Paraméterek!$J$121,Paraméterek!$K$121),0,IF($D$4="Forint",Paraméterek!$J$121,Paraméterek!$K$121)-$W693),0)</f>
        <v>0</v>
      </c>
      <c r="P694" s="13" t="e">
        <f ca="1">ROUNDUP($O694*VLOOKUP($M$4+$B694-1,Paraméterek!$H$58:$I$105,2,0)/Paraméterek!$I$56,IF($D$4="Forint",0,2))</f>
        <v>#N/A</v>
      </c>
      <c r="Q694" s="13">
        <f t="shared" ca="1" si="226"/>
        <v>0</v>
      </c>
      <c r="R694" s="33"/>
      <c r="S694" s="13" t="e">
        <f t="shared" ca="1" si="227"/>
        <v>#N/A</v>
      </c>
      <c r="T694" s="13" t="e">
        <f ca="1">ROUNDUP(($N694-$P694-$Q694+$S694)*VLOOKUP($B694,Paraméterek!$I$38:$K$39,IF($D$2="Egyszeri",3,2))/12*IF($D695="Nem",IF($M$13=0,1,$M$13),1),IF($D$4="Forint",0,2))</f>
        <v>#N/A</v>
      </c>
      <c r="U694" s="13"/>
      <c r="V694" s="13"/>
      <c r="W694" s="13" t="e">
        <f ca="1">$N694-$P694-$Q694+$S694-$T694-IF(ROUNDUP(IF(ISBLANK($V694),$U694*0,$V694)/IF($D$2="Egyszeri",VLOOKUP($B694+IF($C694=12,1,0),Paraméterek!$V$257:$W$262,2),IF($B694=1,1,VLOOKUP($B694+IF($C694=12,1,0),Paraméterek!$I$258:$T$278,HLOOKUP($M$11+1,Paraméterek!$J$256:$T$257,2)))),IF($D$4="Forint",0,2))&gt;$N694-$P694-$Q694+$S694-$T694-IF($D$4="Forint",Paraméterek!$C$216,Paraméterek!$D$216),0,ROUNDUP(IF(ISBLANK($V694),$U694*0,$V694)/IF($D$2="Egyszeri",VLOOKUP($B694+IF($C694=12,1,0),Paraméterek!$V$257:$W$262,2),IF($B694=1,1,VLOOKUP($B694+IF($C694=12,1,0),Paraméterek!$I$258:$T$278,HLOOKUP($M$11+1,Paraméterek!$J$256:$T$257,2)))),IF($D$4="Forint",0,2)))</f>
        <v>#N/A</v>
      </c>
      <c r="X694" s="13" t="e">
        <f ca="1">ROUNDDOWN($W694*IF($D$2="Egyszeri",VLOOKUP($B694+IF($C694=12,1,0),Paraméterek!$V$257:$W$262,2),VLOOKUP($B694+IF($C694=12,1,0),Paraméterek!$I$258:$T$278,HLOOKUP($M$11+1,Paraméterek!$I$256:$T$257,2))),IF($D$4="Forint",0,2))</f>
        <v>#N/A</v>
      </c>
      <c r="Z694" s="32">
        <v>675</v>
      </c>
      <c r="AA694" s="32">
        <v>57</v>
      </c>
      <c r="AB694" s="32">
        <v>3</v>
      </c>
      <c r="AC694" s="13">
        <f t="shared" ca="1" si="236"/>
        <v>0</v>
      </c>
      <c r="AD694" s="33"/>
      <c r="AE694" s="13">
        <f t="shared" ca="1" si="228"/>
        <v>0</v>
      </c>
      <c r="AF694" s="13">
        <f ca="1">ROUNDUP(($AC694+$AE694)*VLOOKUP($AA694,Paraméterek!$P$38:$Q$38,2)/12*IF($D695="Nem",IF($M$13=0,1,$M$13),1),IF($D$4="Forint",0,2))</f>
        <v>0</v>
      </c>
      <c r="AG694" s="13">
        <f ca="1">IF($D$2="Egyszeri",IF($D$7&gt;=IF($D$4="Forint",Paraméterek!$P$223,Paraméterek!$P$224),$D$7-IF($D$4="Forint",Paraméterek!$P$223,Paraméterek!$P$224),0),MIN(IF($AB694=12,AVERAGEIF($E$20:$E694,"&gt;0",$E$20:$E694)*12,0),SUM($E$20:$E$31)))</f>
        <v>0</v>
      </c>
      <c r="AH694" s="13">
        <f>IF($AA694=10,$AG694*IF($AB694=12,IF($AG694&lt;IF($D$4="Forint",Paraméterek!$L$223,Paraméterek!$L$224),0,VLOOKUP($AA694,Paraméterek!$K$226:$M$228,IF($AG694&lt;IF($D$4="Forint",Paraméterek!$M$223,Paraméterek!$M$224),2,3))),0),0)</f>
        <v>0</v>
      </c>
      <c r="AI694" s="13">
        <f ca="1">IF(AND($AA694=$M$11+1,$AB694=$M$12+1),SUMIF($AA$20:$AA$1027,$AA694,$AG$20:$AG$1027)*IF(SUMIF($AA$20:$AA$1027,$AA694,$AG$20:$AG$1027)&lt;IF($D$4="Forint",Paraméterek!$L$223,Paraméterek!$L$224),0,VLOOKUP($AA694,Paraméterek!$K$230:$M$250,IF(SUMIF($AA$20:$AA$1027,$AA694,$AG$20:$AG$1027)&lt;IF($D$4="Forint",Paraméterek!$M$223,Paraméterek!$M$224),2,3))),0)</f>
        <v>0</v>
      </c>
      <c r="AJ694" s="13">
        <f ca="1">IF(AND($AA694&gt;=5,MOD($AA694,5)=0),IF($AB694=12,VLOOKUP($AA694,Paraméterek!$O$225:$P$240,2),0),IF(OR($AA694=3,$AA694=4),IF($AB694=12,VLOOKUP($AA694,Paraméterek!$O$225:$P$240,2,0),0),0))*$AG694</f>
        <v>0</v>
      </c>
      <c r="AK694" s="13">
        <f t="shared" ca="1" si="229"/>
        <v>0</v>
      </c>
      <c r="AL694" s="13">
        <f t="shared" ca="1" si="237"/>
        <v>0</v>
      </c>
      <c r="AM694" s="13">
        <f t="shared" ca="1" si="238"/>
        <v>0</v>
      </c>
      <c r="AO694" s="32">
        <v>675</v>
      </c>
      <c r="AP694" s="32">
        <v>57</v>
      </c>
      <c r="AQ694" s="32">
        <v>3</v>
      </c>
      <c r="AR694" s="13"/>
      <c r="AS694" s="32"/>
      <c r="AT694" s="13">
        <f t="shared" ca="1" si="239"/>
        <v>0</v>
      </c>
      <c r="AU694" s="33"/>
      <c r="AV694" s="13">
        <f t="shared" ca="1" si="230"/>
        <v>0</v>
      </c>
      <c r="AW694" s="13">
        <f ca="1">ROUNDUP(($AT694+$AV694)*VLOOKUP($AP694,Paraméterek!$P$38:$Q$38,2)/12*IF($D695="Nem",IF($M$13=0,1,$M$13),1),IF($D$4="Forint",0,2))</f>
        <v>0</v>
      </c>
      <c r="AX694" s="13"/>
      <c r="AY694" s="13"/>
      <c r="AZ694" s="13">
        <f>ROUNDUP(IF(SUM($AX694:$AY694)=0,0,IF(IF(ISBLANK($AY694),$AX694,$AY694)*Paraméterek!$J$112&lt;IF($D$4="Forint",Paraméterek!$J$113,Paraméterek!$K$113),IF($D$4="Forint",Paraméterek!$J$113,Paraméterek!$K$113),IF(IF(ISBLANK($AY694),$AX694,$AY694)*Paraméterek!$J$112&gt;IF($D$4="Forint",Paraméterek!$J$114,Paraméterek!$K$114),IF($D$4="Forint",Paraméterek!$J$114,Paraméterek!$K$114),IF(ISBLANK($AY694),$AX694,$AY694)*Paraméterek!$J$112))),IF($D$4="Forint",0,2))</f>
        <v>0</v>
      </c>
      <c r="BA694" s="13">
        <f ca="1">$AT694+$AV694-$AW694-IF(ROUNDDOWN(IF(ISBLANK($AY694),$AX694,$AY694),IF($D$4="Forint",0,2))&gt;$AT694+$AV694-$AW694-IF($D$4="Forint",Paraméterek!$J$114,Paraméterek!$K$114),0,ROUNDDOWN(IF(ISBLANK($AY694),$AX694,$AY694),IF($D$4="Forint",0,2))-$AZ694)</f>
        <v>0</v>
      </c>
      <c r="BB694" s="13">
        <f t="shared" ca="1" si="231"/>
        <v>0</v>
      </c>
      <c r="BD694" s="32">
        <v>675</v>
      </c>
      <c r="BE694" s="32">
        <v>57</v>
      </c>
      <c r="BF694" s="32">
        <v>3</v>
      </c>
      <c r="BG694" s="34">
        <f t="shared" ca="1" si="240"/>
        <v>2075</v>
      </c>
      <c r="BH694" s="32" t="str">
        <f ca="1">IF(MOD(MONTH($D$14)+$BD694-1,12)=Paraméterek!$C$288,"Igen","")</f>
        <v/>
      </c>
      <c r="BI694" s="13">
        <f ca="1">IF($BH694="Igen",MIN(ROUNDDOWN((SUMIF($BG$20:$BG$1027,$BG694-1,$K$20:$K$1027)-SUMIF($BG$20:$BG$1027,$BG694-1,$I$20:$I$1027))*Paraméterek!$C$289,IF($D$4="Forint",0,2)),IF($D$4="Forint",Paraméterek!$C$285,Paraméterek!$D$285)),0)</f>
        <v>0</v>
      </c>
      <c r="BJ694" s="13">
        <f t="shared" ca="1" si="232"/>
        <v>0</v>
      </c>
      <c r="BK694" s="13">
        <f t="shared" ca="1" si="241"/>
        <v>0</v>
      </c>
      <c r="BL694" s="33"/>
      <c r="BM694" s="13">
        <f t="shared" ca="1" si="233"/>
        <v>0</v>
      </c>
      <c r="BN694" s="13">
        <f ca="1">ROUNDUP(($BK694+$BM694)*VLOOKUP($BE694,Paraméterek!$P$38:$Q$38,2)/12*IF($D695="Nem",IF($M$13=0,1,$M$13),1),IF($D$4="Forint",0,2))</f>
        <v>0</v>
      </c>
      <c r="BO694" s="13">
        <f t="shared" ca="1" si="234"/>
        <v>0</v>
      </c>
      <c r="BP694" s="13">
        <f ca="1">IF($D695="Nem",$BO694,$BO694-ROUNDUP(SUM($BI$20:$BI694)*120%,IF($D$4="Forint",0,2)))</f>
        <v>0</v>
      </c>
    </row>
    <row r="695" spans="1:68" x14ac:dyDescent="0.2">
      <c r="A695" s="32">
        <v>676</v>
      </c>
      <c r="B695" s="32">
        <v>57</v>
      </c>
      <c r="C695" s="32">
        <v>4</v>
      </c>
      <c r="D695" s="32" t="str">
        <f t="shared" ca="1" si="220"/>
        <v>Nem</v>
      </c>
      <c r="E695" s="13">
        <f t="shared" ca="1" si="221"/>
        <v>0</v>
      </c>
      <c r="F695" s="13"/>
      <c r="G695" s="13"/>
      <c r="H695" s="13"/>
      <c r="I695" s="13">
        <f t="shared" ca="1" si="222"/>
        <v>0</v>
      </c>
      <c r="J695" s="13">
        <f t="shared" ca="1" si="223"/>
        <v>0</v>
      </c>
      <c r="K695" s="13">
        <f t="shared" ca="1" si="224"/>
        <v>0</v>
      </c>
      <c r="L695" s="13" t="e">
        <f ca="1">ROUNDUP(IF($D$2="Egyszeri",$E695,IF($D$2="Havi",SUM($E$20:$E$31),IF(MOD($C695,$M$1)-1=0,SUM($E$20:$E$31),0))/12*$M$1)*VLOOKUP($B695,Paraméterek!$I$28:$P$31,IF($D$2="Egyszeri",8,HLOOKUP(ROUNDUP($M$11+$M$13,0),Paraméterek!$J$26:$O$27,2))),IF($D$4="Forint",0,2))</f>
        <v>#N/A</v>
      </c>
      <c r="M695" s="13">
        <f t="shared" ca="1" si="225"/>
        <v>0</v>
      </c>
      <c r="N695" s="13">
        <f t="shared" ca="1" si="235"/>
        <v>0</v>
      </c>
      <c r="O695" s="13">
        <f ca="1">IF($D695="Igen",IF($W694&gt;=IF($D$4="Forint",Paraméterek!$J$121,Paraméterek!$K$121),0,IF($D$4="Forint",Paraméterek!$J$121,Paraméterek!$K$121)-$W694),0)</f>
        <v>0</v>
      </c>
      <c r="P695" s="13" t="e">
        <f ca="1">ROUNDUP($O695*VLOOKUP($M$4+$B695-1,Paraméterek!$H$58:$I$105,2,0)/Paraméterek!$I$56,IF($D$4="Forint",0,2))</f>
        <v>#N/A</v>
      </c>
      <c r="Q695" s="13">
        <f t="shared" ca="1" si="226"/>
        <v>0</v>
      </c>
      <c r="R695" s="33"/>
      <c r="S695" s="13" t="e">
        <f t="shared" ca="1" si="227"/>
        <v>#N/A</v>
      </c>
      <c r="T695" s="13" t="e">
        <f ca="1">ROUNDUP(($N695-$P695-$Q695+$S695)*VLOOKUP($B695,Paraméterek!$I$38:$K$39,IF($D$2="Egyszeri",3,2))/12*IF($D696="Nem",IF($M$13=0,1,$M$13),1),IF($D$4="Forint",0,2))</f>
        <v>#N/A</v>
      </c>
      <c r="U695" s="13"/>
      <c r="V695" s="13"/>
      <c r="W695" s="13" t="e">
        <f ca="1">$N695-$P695-$Q695+$S695-$T695-IF(ROUNDUP(IF(ISBLANK($V695),$U695*0,$V695)/IF($D$2="Egyszeri",VLOOKUP($B695+IF($C695=12,1,0),Paraméterek!$V$257:$W$262,2),IF($B695=1,1,VLOOKUP($B695+IF($C695=12,1,0),Paraméterek!$I$258:$T$278,HLOOKUP($M$11+1,Paraméterek!$J$256:$T$257,2)))),IF($D$4="Forint",0,2))&gt;$N695-$P695-$Q695+$S695-$T695-IF($D$4="Forint",Paraméterek!$C$216,Paraméterek!$D$216),0,ROUNDUP(IF(ISBLANK($V695),$U695*0,$V695)/IF($D$2="Egyszeri",VLOOKUP($B695+IF($C695=12,1,0),Paraméterek!$V$257:$W$262,2),IF($B695=1,1,VLOOKUP($B695+IF($C695=12,1,0),Paraméterek!$I$258:$T$278,HLOOKUP($M$11+1,Paraméterek!$J$256:$T$257,2)))),IF($D$4="Forint",0,2)))</f>
        <v>#N/A</v>
      </c>
      <c r="X695" s="13" t="e">
        <f ca="1">ROUNDDOWN($W695*IF($D$2="Egyszeri",VLOOKUP($B695+IF($C695=12,1,0),Paraméterek!$V$257:$W$262,2),VLOOKUP($B695+IF($C695=12,1,0),Paraméterek!$I$258:$T$278,HLOOKUP($M$11+1,Paraméterek!$I$256:$T$257,2))),IF($D$4="Forint",0,2))</f>
        <v>#N/A</v>
      </c>
      <c r="Z695" s="32">
        <v>676</v>
      </c>
      <c r="AA695" s="32">
        <v>57</v>
      </c>
      <c r="AB695" s="32">
        <v>4</v>
      </c>
      <c r="AC695" s="13">
        <f t="shared" ca="1" si="236"/>
        <v>0</v>
      </c>
      <c r="AD695" s="33"/>
      <c r="AE695" s="13">
        <f t="shared" ca="1" si="228"/>
        <v>0</v>
      </c>
      <c r="AF695" s="13">
        <f ca="1">ROUNDUP(($AC695+$AE695)*VLOOKUP($AA695,Paraméterek!$P$38:$Q$38,2)/12*IF($D696="Nem",IF($M$13=0,1,$M$13),1),IF($D$4="Forint",0,2))</f>
        <v>0</v>
      </c>
      <c r="AG695" s="13">
        <f ca="1">IF($D$2="Egyszeri",IF($D$7&gt;=IF($D$4="Forint",Paraméterek!$P$223,Paraméterek!$P$224),$D$7-IF($D$4="Forint",Paraméterek!$P$223,Paraméterek!$P$224),0),MIN(IF($AB695=12,AVERAGEIF($E$20:$E695,"&gt;0",$E$20:$E695)*12,0),SUM($E$20:$E$31)))</f>
        <v>0</v>
      </c>
      <c r="AH695" s="13">
        <f>IF($AA695=10,$AG695*IF($AB695=12,IF($AG695&lt;IF($D$4="Forint",Paraméterek!$L$223,Paraméterek!$L$224),0,VLOOKUP($AA695,Paraméterek!$K$226:$M$228,IF($AG695&lt;IF($D$4="Forint",Paraméterek!$M$223,Paraméterek!$M$224),2,3))),0),0)</f>
        <v>0</v>
      </c>
      <c r="AI695" s="13">
        <f ca="1">IF(AND($AA695=$M$11+1,$AB695=$M$12+1),SUMIF($AA$20:$AA$1027,$AA695,$AG$20:$AG$1027)*IF(SUMIF($AA$20:$AA$1027,$AA695,$AG$20:$AG$1027)&lt;IF($D$4="Forint",Paraméterek!$L$223,Paraméterek!$L$224),0,VLOOKUP($AA695,Paraméterek!$K$230:$M$250,IF(SUMIF($AA$20:$AA$1027,$AA695,$AG$20:$AG$1027)&lt;IF($D$4="Forint",Paraméterek!$M$223,Paraméterek!$M$224),2,3))),0)</f>
        <v>0</v>
      </c>
      <c r="AJ695" s="13">
        <f ca="1">IF(AND($AA695&gt;=5,MOD($AA695,5)=0),IF($AB695=12,VLOOKUP($AA695,Paraméterek!$O$225:$P$240,2),0),IF(OR($AA695=3,$AA695=4),IF($AB695=12,VLOOKUP($AA695,Paraméterek!$O$225:$P$240,2,0),0),0))*$AG695</f>
        <v>0</v>
      </c>
      <c r="AK695" s="13">
        <f t="shared" ca="1" si="229"/>
        <v>0</v>
      </c>
      <c r="AL695" s="13">
        <f t="shared" ca="1" si="237"/>
        <v>0</v>
      </c>
      <c r="AM695" s="13">
        <f t="shared" ca="1" si="238"/>
        <v>0</v>
      </c>
      <c r="AO695" s="32">
        <v>676</v>
      </c>
      <c r="AP695" s="32">
        <v>57</v>
      </c>
      <c r="AQ695" s="32">
        <v>4</v>
      </c>
      <c r="AR695" s="13"/>
      <c r="AS695" s="32"/>
      <c r="AT695" s="13">
        <f t="shared" ca="1" si="239"/>
        <v>0</v>
      </c>
      <c r="AU695" s="33"/>
      <c r="AV695" s="13">
        <f t="shared" ca="1" si="230"/>
        <v>0</v>
      </c>
      <c r="AW695" s="13">
        <f ca="1">ROUNDUP(($AT695+$AV695)*VLOOKUP($AP695,Paraméterek!$P$38:$Q$38,2)/12*IF($D696="Nem",IF($M$13=0,1,$M$13),1),IF($D$4="Forint",0,2))</f>
        <v>0</v>
      </c>
      <c r="AX695" s="13"/>
      <c r="AY695" s="13"/>
      <c r="AZ695" s="13">
        <f>ROUNDUP(IF(SUM($AX695:$AY695)=0,0,IF(IF(ISBLANK($AY695),$AX695,$AY695)*Paraméterek!$J$112&lt;IF($D$4="Forint",Paraméterek!$J$113,Paraméterek!$K$113),IF($D$4="Forint",Paraméterek!$J$113,Paraméterek!$K$113),IF(IF(ISBLANK($AY695),$AX695,$AY695)*Paraméterek!$J$112&gt;IF($D$4="Forint",Paraméterek!$J$114,Paraméterek!$K$114),IF($D$4="Forint",Paraméterek!$J$114,Paraméterek!$K$114),IF(ISBLANK($AY695),$AX695,$AY695)*Paraméterek!$J$112))),IF($D$4="Forint",0,2))</f>
        <v>0</v>
      </c>
      <c r="BA695" s="13">
        <f ca="1">$AT695+$AV695-$AW695-IF(ROUNDDOWN(IF(ISBLANK($AY695),$AX695,$AY695),IF($D$4="Forint",0,2))&gt;$AT695+$AV695-$AW695-IF($D$4="Forint",Paraméterek!$J$114,Paraméterek!$K$114),0,ROUNDDOWN(IF(ISBLANK($AY695),$AX695,$AY695),IF($D$4="Forint",0,2))-$AZ695)</f>
        <v>0</v>
      </c>
      <c r="BB695" s="13">
        <f t="shared" ca="1" si="231"/>
        <v>0</v>
      </c>
      <c r="BD695" s="32">
        <v>676</v>
      </c>
      <c r="BE695" s="32">
        <v>57</v>
      </c>
      <c r="BF695" s="32">
        <v>4</v>
      </c>
      <c r="BG695" s="34">
        <f t="shared" ca="1" si="240"/>
        <v>2075</v>
      </c>
      <c r="BH695" s="32" t="str">
        <f ca="1">IF(MOD(MONTH($D$14)+$BD695-1,12)=Paraméterek!$C$288,"Igen","")</f>
        <v/>
      </c>
      <c r="BI695" s="13">
        <f ca="1">IF($BH695="Igen",MIN(ROUNDDOWN((SUMIF($BG$20:$BG$1027,$BG695-1,$K$20:$K$1027)-SUMIF($BG$20:$BG$1027,$BG695-1,$I$20:$I$1027))*Paraméterek!$C$289,IF($D$4="Forint",0,2)),IF($D$4="Forint",Paraméterek!$C$285,Paraméterek!$D$285)),0)</f>
        <v>0</v>
      </c>
      <c r="BJ695" s="13">
        <f t="shared" ca="1" si="232"/>
        <v>0</v>
      </c>
      <c r="BK695" s="13">
        <f t="shared" ca="1" si="241"/>
        <v>0</v>
      </c>
      <c r="BL695" s="33"/>
      <c r="BM695" s="13">
        <f t="shared" ca="1" si="233"/>
        <v>0</v>
      </c>
      <c r="BN695" s="13">
        <f ca="1">ROUNDUP(($BK695+$BM695)*VLOOKUP($BE695,Paraméterek!$P$38:$Q$38,2)/12*IF($D696="Nem",IF($M$13=0,1,$M$13),1),IF($D$4="Forint",0,2))</f>
        <v>0</v>
      </c>
      <c r="BO695" s="13">
        <f t="shared" ca="1" si="234"/>
        <v>0</v>
      </c>
      <c r="BP695" s="13">
        <f ca="1">IF($D696="Nem",$BO695,$BO695-ROUNDUP(SUM($BI$20:$BI695)*120%,IF($D$4="Forint",0,2)))</f>
        <v>0</v>
      </c>
    </row>
    <row r="696" spans="1:68" x14ac:dyDescent="0.2">
      <c r="A696" s="32">
        <v>677</v>
      </c>
      <c r="B696" s="32">
        <v>57</v>
      </c>
      <c r="C696" s="32">
        <v>5</v>
      </c>
      <c r="D696" s="32" t="str">
        <f t="shared" ca="1" si="220"/>
        <v>Nem</v>
      </c>
      <c r="E696" s="13">
        <f t="shared" ca="1" si="221"/>
        <v>0</v>
      </c>
      <c r="F696" s="13"/>
      <c r="G696" s="13"/>
      <c r="H696" s="13"/>
      <c r="I696" s="13">
        <f t="shared" ca="1" si="222"/>
        <v>0</v>
      </c>
      <c r="J696" s="13">
        <f t="shared" ca="1" si="223"/>
        <v>0</v>
      </c>
      <c r="K696" s="13">
        <f t="shared" ca="1" si="224"/>
        <v>0</v>
      </c>
      <c r="L696" s="13" t="e">
        <f ca="1">ROUNDUP(IF($D$2="Egyszeri",$E696,IF($D$2="Havi",SUM($E$20:$E$31),IF(MOD($C696,$M$1)-1=0,SUM($E$20:$E$31),0))/12*$M$1)*VLOOKUP($B696,Paraméterek!$I$28:$P$31,IF($D$2="Egyszeri",8,HLOOKUP(ROUNDUP($M$11+$M$13,0),Paraméterek!$J$26:$O$27,2))),IF($D$4="Forint",0,2))</f>
        <v>#N/A</v>
      </c>
      <c r="M696" s="13">
        <f t="shared" ca="1" si="225"/>
        <v>0</v>
      </c>
      <c r="N696" s="13">
        <f t="shared" ca="1" si="235"/>
        <v>0</v>
      </c>
      <c r="O696" s="13">
        <f ca="1">IF($D696="Igen",IF($W695&gt;=IF($D$4="Forint",Paraméterek!$J$121,Paraméterek!$K$121),0,IF($D$4="Forint",Paraméterek!$J$121,Paraméterek!$K$121)-$W695),0)</f>
        <v>0</v>
      </c>
      <c r="P696" s="13" t="e">
        <f ca="1">ROUNDUP($O696*VLOOKUP($M$4+$B696-1,Paraméterek!$H$58:$I$105,2,0)/Paraméterek!$I$56,IF($D$4="Forint",0,2))</f>
        <v>#N/A</v>
      </c>
      <c r="Q696" s="13">
        <f t="shared" ca="1" si="226"/>
        <v>0</v>
      </c>
      <c r="R696" s="33"/>
      <c r="S696" s="13" t="e">
        <f t="shared" ca="1" si="227"/>
        <v>#N/A</v>
      </c>
      <c r="T696" s="13" t="e">
        <f ca="1">ROUNDUP(($N696-$P696-$Q696+$S696)*VLOOKUP($B696,Paraméterek!$I$38:$K$39,IF($D$2="Egyszeri",3,2))/12*IF($D697="Nem",IF($M$13=0,1,$M$13),1),IF($D$4="Forint",0,2))</f>
        <v>#N/A</v>
      </c>
      <c r="U696" s="13"/>
      <c r="V696" s="13"/>
      <c r="W696" s="13" t="e">
        <f ca="1">$N696-$P696-$Q696+$S696-$T696-IF(ROUNDUP(IF(ISBLANK($V696),$U696*0,$V696)/IF($D$2="Egyszeri",VLOOKUP($B696+IF($C696=12,1,0),Paraméterek!$V$257:$W$262,2),IF($B696=1,1,VLOOKUP($B696+IF($C696=12,1,0),Paraméterek!$I$258:$T$278,HLOOKUP($M$11+1,Paraméterek!$J$256:$T$257,2)))),IF($D$4="Forint",0,2))&gt;$N696-$P696-$Q696+$S696-$T696-IF($D$4="Forint",Paraméterek!$C$216,Paraméterek!$D$216),0,ROUNDUP(IF(ISBLANK($V696),$U696*0,$V696)/IF($D$2="Egyszeri",VLOOKUP($B696+IF($C696=12,1,0),Paraméterek!$V$257:$W$262,2),IF($B696=1,1,VLOOKUP($B696+IF($C696=12,1,0),Paraméterek!$I$258:$T$278,HLOOKUP($M$11+1,Paraméterek!$J$256:$T$257,2)))),IF($D$4="Forint",0,2)))</f>
        <v>#N/A</v>
      </c>
      <c r="X696" s="13" t="e">
        <f ca="1">ROUNDDOWN($W696*IF($D$2="Egyszeri",VLOOKUP($B696+IF($C696=12,1,0),Paraméterek!$V$257:$W$262,2),VLOOKUP($B696+IF($C696=12,1,0),Paraméterek!$I$258:$T$278,HLOOKUP($M$11+1,Paraméterek!$I$256:$T$257,2))),IF($D$4="Forint",0,2))</f>
        <v>#N/A</v>
      </c>
      <c r="Z696" s="32">
        <v>677</v>
      </c>
      <c r="AA696" s="32">
        <v>57</v>
      </c>
      <c r="AB696" s="32">
        <v>5</v>
      </c>
      <c r="AC696" s="13">
        <f t="shared" ca="1" si="236"/>
        <v>0</v>
      </c>
      <c r="AD696" s="33"/>
      <c r="AE696" s="13">
        <f t="shared" ca="1" si="228"/>
        <v>0</v>
      </c>
      <c r="AF696" s="13">
        <f ca="1">ROUNDUP(($AC696+$AE696)*VLOOKUP($AA696,Paraméterek!$P$38:$Q$38,2)/12*IF($D697="Nem",IF($M$13=0,1,$M$13),1),IF($D$4="Forint",0,2))</f>
        <v>0</v>
      </c>
      <c r="AG696" s="13">
        <f ca="1">IF($D$2="Egyszeri",IF($D$7&gt;=IF($D$4="Forint",Paraméterek!$P$223,Paraméterek!$P$224),$D$7-IF($D$4="Forint",Paraméterek!$P$223,Paraméterek!$P$224),0),MIN(IF($AB696=12,AVERAGEIF($E$20:$E696,"&gt;0",$E$20:$E696)*12,0),SUM($E$20:$E$31)))</f>
        <v>0</v>
      </c>
      <c r="AH696" s="13">
        <f>IF($AA696=10,$AG696*IF($AB696=12,IF($AG696&lt;IF($D$4="Forint",Paraméterek!$L$223,Paraméterek!$L$224),0,VLOOKUP($AA696,Paraméterek!$K$226:$M$228,IF($AG696&lt;IF($D$4="Forint",Paraméterek!$M$223,Paraméterek!$M$224),2,3))),0),0)</f>
        <v>0</v>
      </c>
      <c r="AI696" s="13">
        <f ca="1">IF(AND($AA696=$M$11+1,$AB696=$M$12+1),SUMIF($AA$20:$AA$1027,$AA696,$AG$20:$AG$1027)*IF(SUMIF($AA$20:$AA$1027,$AA696,$AG$20:$AG$1027)&lt;IF($D$4="Forint",Paraméterek!$L$223,Paraméterek!$L$224),0,VLOOKUP($AA696,Paraméterek!$K$230:$M$250,IF(SUMIF($AA$20:$AA$1027,$AA696,$AG$20:$AG$1027)&lt;IF($D$4="Forint",Paraméterek!$M$223,Paraméterek!$M$224),2,3))),0)</f>
        <v>0</v>
      </c>
      <c r="AJ696" s="13">
        <f ca="1">IF(AND($AA696&gt;=5,MOD($AA696,5)=0),IF($AB696=12,VLOOKUP($AA696,Paraméterek!$O$225:$P$240,2),0),IF(OR($AA696=3,$AA696=4),IF($AB696=12,VLOOKUP($AA696,Paraméterek!$O$225:$P$240,2,0),0),0))*$AG696</f>
        <v>0</v>
      </c>
      <c r="AK696" s="13">
        <f t="shared" ca="1" si="229"/>
        <v>0</v>
      </c>
      <c r="AL696" s="13">
        <f t="shared" ca="1" si="237"/>
        <v>0</v>
      </c>
      <c r="AM696" s="13">
        <f t="shared" ca="1" si="238"/>
        <v>0</v>
      </c>
      <c r="AO696" s="32">
        <v>677</v>
      </c>
      <c r="AP696" s="32">
        <v>57</v>
      </c>
      <c r="AQ696" s="32">
        <v>5</v>
      </c>
      <c r="AR696" s="13"/>
      <c r="AS696" s="32"/>
      <c r="AT696" s="13">
        <f t="shared" ca="1" si="239"/>
        <v>0</v>
      </c>
      <c r="AU696" s="33"/>
      <c r="AV696" s="13">
        <f t="shared" ca="1" si="230"/>
        <v>0</v>
      </c>
      <c r="AW696" s="13">
        <f ca="1">ROUNDUP(($AT696+$AV696)*VLOOKUP($AP696,Paraméterek!$P$38:$Q$38,2)/12*IF($D697="Nem",IF($M$13=0,1,$M$13),1),IF($D$4="Forint",0,2))</f>
        <v>0</v>
      </c>
      <c r="AX696" s="13"/>
      <c r="AY696" s="13"/>
      <c r="AZ696" s="13">
        <f>ROUNDUP(IF(SUM($AX696:$AY696)=0,0,IF(IF(ISBLANK($AY696),$AX696,$AY696)*Paraméterek!$J$112&lt;IF($D$4="Forint",Paraméterek!$J$113,Paraméterek!$K$113),IF($D$4="Forint",Paraméterek!$J$113,Paraméterek!$K$113),IF(IF(ISBLANK($AY696),$AX696,$AY696)*Paraméterek!$J$112&gt;IF($D$4="Forint",Paraméterek!$J$114,Paraméterek!$K$114),IF($D$4="Forint",Paraméterek!$J$114,Paraméterek!$K$114),IF(ISBLANK($AY696),$AX696,$AY696)*Paraméterek!$J$112))),IF($D$4="Forint",0,2))</f>
        <v>0</v>
      </c>
      <c r="BA696" s="13">
        <f ca="1">$AT696+$AV696-$AW696-IF(ROUNDDOWN(IF(ISBLANK($AY696),$AX696,$AY696),IF($D$4="Forint",0,2))&gt;$AT696+$AV696-$AW696-IF($D$4="Forint",Paraméterek!$J$114,Paraméterek!$K$114),0,ROUNDDOWN(IF(ISBLANK($AY696),$AX696,$AY696),IF($D$4="Forint",0,2))-$AZ696)</f>
        <v>0</v>
      </c>
      <c r="BB696" s="13">
        <f t="shared" ca="1" si="231"/>
        <v>0</v>
      </c>
      <c r="BD696" s="32">
        <v>677</v>
      </c>
      <c r="BE696" s="32">
        <v>57</v>
      </c>
      <c r="BF696" s="32">
        <v>5</v>
      </c>
      <c r="BG696" s="34">
        <f t="shared" ca="1" si="240"/>
        <v>2075</v>
      </c>
      <c r="BH696" s="32" t="str">
        <f ca="1">IF(MOD(MONTH($D$14)+$BD696-1,12)=Paraméterek!$C$288,"Igen","")</f>
        <v/>
      </c>
      <c r="BI696" s="13">
        <f ca="1">IF($BH696="Igen",MIN(ROUNDDOWN((SUMIF($BG$20:$BG$1027,$BG696-1,$K$20:$K$1027)-SUMIF($BG$20:$BG$1027,$BG696-1,$I$20:$I$1027))*Paraméterek!$C$289,IF($D$4="Forint",0,2)),IF($D$4="Forint",Paraméterek!$C$285,Paraméterek!$D$285)),0)</f>
        <v>0</v>
      </c>
      <c r="BJ696" s="13">
        <f t="shared" ca="1" si="232"/>
        <v>0</v>
      </c>
      <c r="BK696" s="13">
        <f t="shared" ca="1" si="241"/>
        <v>0</v>
      </c>
      <c r="BL696" s="33"/>
      <c r="BM696" s="13">
        <f t="shared" ca="1" si="233"/>
        <v>0</v>
      </c>
      <c r="BN696" s="13">
        <f ca="1">ROUNDUP(($BK696+$BM696)*VLOOKUP($BE696,Paraméterek!$P$38:$Q$38,2)/12*IF($D697="Nem",IF($M$13=0,1,$M$13),1),IF($D$4="Forint",0,2))</f>
        <v>0</v>
      </c>
      <c r="BO696" s="13">
        <f t="shared" ca="1" si="234"/>
        <v>0</v>
      </c>
      <c r="BP696" s="13">
        <f ca="1">IF($D697="Nem",$BO696,$BO696-ROUNDUP(SUM($BI$20:$BI696)*120%,IF($D$4="Forint",0,2)))</f>
        <v>0</v>
      </c>
    </row>
    <row r="697" spans="1:68" x14ac:dyDescent="0.2">
      <c r="A697" s="32">
        <v>678</v>
      </c>
      <c r="B697" s="32">
        <v>57</v>
      </c>
      <c r="C697" s="32">
        <v>6</v>
      </c>
      <c r="D697" s="32" t="str">
        <f t="shared" ca="1" si="220"/>
        <v>Nem</v>
      </c>
      <c r="E697" s="13">
        <f t="shared" ca="1" si="221"/>
        <v>0</v>
      </c>
      <c r="F697" s="13"/>
      <c r="G697" s="13"/>
      <c r="H697" s="13"/>
      <c r="I697" s="13">
        <f t="shared" ca="1" si="222"/>
        <v>0</v>
      </c>
      <c r="J697" s="13">
        <f t="shared" ca="1" si="223"/>
        <v>0</v>
      </c>
      <c r="K697" s="13">
        <f t="shared" ca="1" si="224"/>
        <v>0</v>
      </c>
      <c r="L697" s="13" t="e">
        <f ca="1">ROUNDUP(IF($D$2="Egyszeri",$E697,IF($D$2="Havi",SUM($E$20:$E$31),IF(MOD($C697,$M$1)-1=0,SUM($E$20:$E$31),0))/12*$M$1)*VLOOKUP($B697,Paraméterek!$I$28:$P$31,IF($D$2="Egyszeri",8,HLOOKUP(ROUNDUP($M$11+$M$13,0),Paraméterek!$J$26:$O$27,2))),IF($D$4="Forint",0,2))</f>
        <v>#N/A</v>
      </c>
      <c r="M697" s="13">
        <f t="shared" ca="1" si="225"/>
        <v>0</v>
      </c>
      <c r="N697" s="13">
        <f t="shared" ca="1" si="235"/>
        <v>0</v>
      </c>
      <c r="O697" s="13">
        <f ca="1">IF($D697="Igen",IF($W696&gt;=IF($D$4="Forint",Paraméterek!$J$121,Paraméterek!$K$121),0,IF($D$4="Forint",Paraméterek!$J$121,Paraméterek!$K$121)-$W696),0)</f>
        <v>0</v>
      </c>
      <c r="P697" s="13" t="e">
        <f ca="1">ROUNDUP($O697*VLOOKUP($M$4+$B697-1,Paraméterek!$H$58:$I$105,2,0)/Paraméterek!$I$56,IF($D$4="Forint",0,2))</f>
        <v>#N/A</v>
      </c>
      <c r="Q697" s="13">
        <f t="shared" ca="1" si="226"/>
        <v>0</v>
      </c>
      <c r="R697" s="33"/>
      <c r="S697" s="13" t="e">
        <f t="shared" ca="1" si="227"/>
        <v>#N/A</v>
      </c>
      <c r="T697" s="13" t="e">
        <f ca="1">ROUNDUP(($N697-$P697-$Q697+$S697)*VLOOKUP($B697,Paraméterek!$I$38:$K$39,IF($D$2="Egyszeri",3,2))/12*IF($D698="Nem",IF($M$13=0,1,$M$13),1),IF($D$4="Forint",0,2))</f>
        <v>#N/A</v>
      </c>
      <c r="U697" s="13"/>
      <c r="V697" s="13"/>
      <c r="W697" s="13" t="e">
        <f ca="1">$N697-$P697-$Q697+$S697-$T697-IF(ROUNDUP(IF(ISBLANK($V697),$U697*0,$V697)/IF($D$2="Egyszeri",VLOOKUP($B697+IF($C697=12,1,0),Paraméterek!$V$257:$W$262,2),IF($B697=1,1,VLOOKUP($B697+IF($C697=12,1,0),Paraméterek!$I$258:$T$278,HLOOKUP($M$11+1,Paraméterek!$J$256:$T$257,2)))),IF($D$4="Forint",0,2))&gt;$N697-$P697-$Q697+$S697-$T697-IF($D$4="Forint",Paraméterek!$C$216,Paraméterek!$D$216),0,ROUNDUP(IF(ISBLANK($V697),$U697*0,$V697)/IF($D$2="Egyszeri",VLOOKUP($B697+IF($C697=12,1,0),Paraméterek!$V$257:$W$262,2),IF($B697=1,1,VLOOKUP($B697+IF($C697=12,1,0),Paraméterek!$I$258:$T$278,HLOOKUP($M$11+1,Paraméterek!$J$256:$T$257,2)))),IF($D$4="Forint",0,2)))</f>
        <v>#N/A</v>
      </c>
      <c r="X697" s="13" t="e">
        <f ca="1">ROUNDDOWN($W697*IF($D$2="Egyszeri",VLOOKUP($B697+IF($C697=12,1,0),Paraméterek!$V$257:$W$262,2),VLOOKUP($B697+IF($C697=12,1,0),Paraméterek!$I$258:$T$278,HLOOKUP($M$11+1,Paraméterek!$I$256:$T$257,2))),IF($D$4="Forint",0,2))</f>
        <v>#N/A</v>
      </c>
      <c r="Z697" s="32">
        <v>678</v>
      </c>
      <c r="AA697" s="32">
        <v>57</v>
      </c>
      <c r="AB697" s="32">
        <v>6</v>
      </c>
      <c r="AC697" s="13">
        <f t="shared" ca="1" si="236"/>
        <v>0</v>
      </c>
      <c r="AD697" s="33"/>
      <c r="AE697" s="13">
        <f t="shared" ca="1" si="228"/>
        <v>0</v>
      </c>
      <c r="AF697" s="13">
        <f ca="1">ROUNDUP(($AC697+$AE697)*VLOOKUP($AA697,Paraméterek!$P$38:$Q$38,2)/12*IF($D698="Nem",IF($M$13=0,1,$M$13),1),IF($D$4="Forint",0,2))</f>
        <v>0</v>
      </c>
      <c r="AG697" s="13">
        <f ca="1">IF($D$2="Egyszeri",IF($D$7&gt;=IF($D$4="Forint",Paraméterek!$P$223,Paraméterek!$P$224),$D$7-IF($D$4="Forint",Paraméterek!$P$223,Paraméterek!$P$224),0),MIN(IF($AB697=12,AVERAGEIF($E$20:$E697,"&gt;0",$E$20:$E697)*12,0),SUM($E$20:$E$31)))</f>
        <v>0</v>
      </c>
      <c r="AH697" s="13">
        <f>IF($AA697=10,$AG697*IF($AB697=12,IF($AG697&lt;IF($D$4="Forint",Paraméterek!$L$223,Paraméterek!$L$224),0,VLOOKUP($AA697,Paraméterek!$K$226:$M$228,IF($AG697&lt;IF($D$4="Forint",Paraméterek!$M$223,Paraméterek!$M$224),2,3))),0),0)</f>
        <v>0</v>
      </c>
      <c r="AI697" s="13">
        <f ca="1">IF(AND($AA697=$M$11+1,$AB697=$M$12+1),SUMIF($AA$20:$AA$1027,$AA697,$AG$20:$AG$1027)*IF(SUMIF($AA$20:$AA$1027,$AA697,$AG$20:$AG$1027)&lt;IF($D$4="Forint",Paraméterek!$L$223,Paraméterek!$L$224),0,VLOOKUP($AA697,Paraméterek!$K$230:$M$250,IF(SUMIF($AA$20:$AA$1027,$AA697,$AG$20:$AG$1027)&lt;IF($D$4="Forint",Paraméterek!$M$223,Paraméterek!$M$224),2,3))),0)</f>
        <v>0</v>
      </c>
      <c r="AJ697" s="13">
        <f ca="1">IF(AND($AA697&gt;=5,MOD($AA697,5)=0),IF($AB697=12,VLOOKUP($AA697,Paraméterek!$O$225:$P$240,2),0),IF(OR($AA697=3,$AA697=4),IF($AB697=12,VLOOKUP($AA697,Paraméterek!$O$225:$P$240,2,0),0),0))*$AG697</f>
        <v>0</v>
      </c>
      <c r="AK697" s="13">
        <f t="shared" ca="1" si="229"/>
        <v>0</v>
      </c>
      <c r="AL697" s="13">
        <f t="shared" ca="1" si="237"/>
        <v>0</v>
      </c>
      <c r="AM697" s="13">
        <f t="shared" ca="1" si="238"/>
        <v>0</v>
      </c>
      <c r="AO697" s="32">
        <v>678</v>
      </c>
      <c r="AP697" s="32">
        <v>57</v>
      </c>
      <c r="AQ697" s="32">
        <v>6</v>
      </c>
      <c r="AR697" s="13"/>
      <c r="AS697" s="32"/>
      <c r="AT697" s="13">
        <f t="shared" ca="1" si="239"/>
        <v>0</v>
      </c>
      <c r="AU697" s="33"/>
      <c r="AV697" s="13">
        <f t="shared" ca="1" si="230"/>
        <v>0</v>
      </c>
      <c r="AW697" s="13">
        <f ca="1">ROUNDUP(($AT697+$AV697)*VLOOKUP($AP697,Paraméterek!$P$38:$Q$38,2)/12*IF($D698="Nem",IF($M$13=0,1,$M$13),1),IF($D$4="Forint",0,2))</f>
        <v>0</v>
      </c>
      <c r="AX697" s="13"/>
      <c r="AY697" s="13"/>
      <c r="AZ697" s="13">
        <f>ROUNDUP(IF(SUM($AX697:$AY697)=0,0,IF(IF(ISBLANK($AY697),$AX697,$AY697)*Paraméterek!$J$112&lt;IF($D$4="Forint",Paraméterek!$J$113,Paraméterek!$K$113),IF($D$4="Forint",Paraméterek!$J$113,Paraméterek!$K$113),IF(IF(ISBLANK($AY697),$AX697,$AY697)*Paraméterek!$J$112&gt;IF($D$4="Forint",Paraméterek!$J$114,Paraméterek!$K$114),IF($D$4="Forint",Paraméterek!$J$114,Paraméterek!$K$114),IF(ISBLANK($AY697),$AX697,$AY697)*Paraméterek!$J$112))),IF($D$4="Forint",0,2))</f>
        <v>0</v>
      </c>
      <c r="BA697" s="13">
        <f ca="1">$AT697+$AV697-$AW697-IF(ROUNDDOWN(IF(ISBLANK($AY697),$AX697,$AY697),IF($D$4="Forint",0,2))&gt;$AT697+$AV697-$AW697-IF($D$4="Forint",Paraméterek!$J$114,Paraméterek!$K$114),0,ROUNDDOWN(IF(ISBLANK($AY697),$AX697,$AY697),IF($D$4="Forint",0,2))-$AZ697)</f>
        <v>0</v>
      </c>
      <c r="BB697" s="13">
        <f t="shared" ca="1" si="231"/>
        <v>0</v>
      </c>
      <c r="BD697" s="32">
        <v>678</v>
      </c>
      <c r="BE697" s="32">
        <v>57</v>
      </c>
      <c r="BF697" s="32">
        <v>6</v>
      </c>
      <c r="BG697" s="34">
        <f t="shared" ca="1" si="240"/>
        <v>2075</v>
      </c>
      <c r="BH697" s="32" t="str">
        <f ca="1">IF(MOD(MONTH($D$14)+$BD697-1,12)=Paraméterek!$C$288,"Igen","")</f>
        <v/>
      </c>
      <c r="BI697" s="13">
        <f ca="1">IF($BH697="Igen",MIN(ROUNDDOWN((SUMIF($BG$20:$BG$1027,$BG697-1,$K$20:$K$1027)-SUMIF($BG$20:$BG$1027,$BG697-1,$I$20:$I$1027))*Paraméterek!$C$289,IF($D$4="Forint",0,2)),IF($D$4="Forint",Paraméterek!$C$285,Paraméterek!$D$285)),0)</f>
        <v>0</v>
      </c>
      <c r="BJ697" s="13">
        <f t="shared" ca="1" si="232"/>
        <v>0</v>
      </c>
      <c r="BK697" s="13">
        <f t="shared" ca="1" si="241"/>
        <v>0</v>
      </c>
      <c r="BL697" s="33"/>
      <c r="BM697" s="13">
        <f t="shared" ca="1" si="233"/>
        <v>0</v>
      </c>
      <c r="BN697" s="13">
        <f ca="1">ROUNDUP(($BK697+$BM697)*VLOOKUP($BE697,Paraméterek!$P$38:$Q$38,2)/12*IF($D698="Nem",IF($M$13=0,1,$M$13),1),IF($D$4="Forint",0,2))</f>
        <v>0</v>
      </c>
      <c r="BO697" s="13">
        <f t="shared" ca="1" si="234"/>
        <v>0</v>
      </c>
      <c r="BP697" s="13">
        <f ca="1">IF($D698="Nem",$BO697,$BO697-ROUNDUP(SUM($BI$20:$BI697)*120%,IF($D$4="Forint",0,2)))</f>
        <v>0</v>
      </c>
    </row>
    <row r="698" spans="1:68" x14ac:dyDescent="0.2">
      <c r="A698" s="32">
        <v>679</v>
      </c>
      <c r="B698" s="32">
        <v>57</v>
      </c>
      <c r="C698" s="32">
        <v>7</v>
      </c>
      <c r="D698" s="32" t="str">
        <f t="shared" ca="1" si="220"/>
        <v>Nem</v>
      </c>
      <c r="E698" s="13">
        <f t="shared" ca="1" si="221"/>
        <v>0</v>
      </c>
      <c r="F698" s="13"/>
      <c r="G698" s="13"/>
      <c r="H698" s="13"/>
      <c r="I698" s="13">
        <f t="shared" ca="1" si="222"/>
        <v>0</v>
      </c>
      <c r="J698" s="13">
        <f t="shared" ca="1" si="223"/>
        <v>0</v>
      </c>
      <c r="K698" s="13">
        <f t="shared" ca="1" si="224"/>
        <v>0</v>
      </c>
      <c r="L698" s="13" t="e">
        <f ca="1">ROUNDUP(IF($D$2="Egyszeri",$E698,IF($D$2="Havi",SUM($E$20:$E$31),IF(MOD($C698,$M$1)-1=0,SUM($E$20:$E$31),0))/12*$M$1)*VLOOKUP($B698,Paraméterek!$I$28:$P$31,IF($D$2="Egyszeri",8,HLOOKUP(ROUNDUP($M$11+$M$13,0),Paraméterek!$J$26:$O$27,2))),IF($D$4="Forint",0,2))</f>
        <v>#N/A</v>
      </c>
      <c r="M698" s="13">
        <f t="shared" ca="1" si="225"/>
        <v>0</v>
      </c>
      <c r="N698" s="13">
        <f t="shared" ca="1" si="235"/>
        <v>0</v>
      </c>
      <c r="O698" s="13">
        <f ca="1">IF($D698="Igen",IF($W697&gt;=IF($D$4="Forint",Paraméterek!$J$121,Paraméterek!$K$121),0,IF($D$4="Forint",Paraméterek!$J$121,Paraméterek!$K$121)-$W697),0)</f>
        <v>0</v>
      </c>
      <c r="P698" s="13" t="e">
        <f ca="1">ROUNDUP($O698*VLOOKUP($M$4+$B698-1,Paraméterek!$H$58:$I$105,2,0)/Paraméterek!$I$56,IF($D$4="Forint",0,2))</f>
        <v>#N/A</v>
      </c>
      <c r="Q698" s="13">
        <f t="shared" ca="1" si="226"/>
        <v>0</v>
      </c>
      <c r="R698" s="33"/>
      <c r="S698" s="13" t="e">
        <f t="shared" ca="1" si="227"/>
        <v>#N/A</v>
      </c>
      <c r="T698" s="13" t="e">
        <f ca="1">ROUNDUP(($N698-$P698-$Q698+$S698)*VLOOKUP($B698,Paraméterek!$I$38:$K$39,IF($D$2="Egyszeri",3,2))/12*IF($D699="Nem",IF($M$13=0,1,$M$13),1),IF($D$4="Forint",0,2))</f>
        <v>#N/A</v>
      </c>
      <c r="U698" s="13"/>
      <c r="V698" s="13"/>
      <c r="W698" s="13" t="e">
        <f ca="1">$N698-$P698-$Q698+$S698-$T698-IF(ROUNDUP(IF(ISBLANK($V698),$U698*0,$V698)/IF($D$2="Egyszeri",VLOOKUP($B698+IF($C698=12,1,0),Paraméterek!$V$257:$W$262,2),IF($B698=1,1,VLOOKUP($B698+IF($C698=12,1,0),Paraméterek!$I$258:$T$278,HLOOKUP($M$11+1,Paraméterek!$J$256:$T$257,2)))),IF($D$4="Forint",0,2))&gt;$N698-$P698-$Q698+$S698-$T698-IF($D$4="Forint",Paraméterek!$C$216,Paraméterek!$D$216),0,ROUNDUP(IF(ISBLANK($V698),$U698*0,$V698)/IF($D$2="Egyszeri",VLOOKUP($B698+IF($C698=12,1,0),Paraméterek!$V$257:$W$262,2),IF($B698=1,1,VLOOKUP($B698+IF($C698=12,1,0),Paraméterek!$I$258:$T$278,HLOOKUP($M$11+1,Paraméterek!$J$256:$T$257,2)))),IF($D$4="Forint",0,2)))</f>
        <v>#N/A</v>
      </c>
      <c r="X698" s="13" t="e">
        <f ca="1">ROUNDDOWN($W698*IF($D$2="Egyszeri",VLOOKUP($B698+IF($C698=12,1,0),Paraméterek!$V$257:$W$262,2),VLOOKUP($B698+IF($C698=12,1,0),Paraméterek!$I$258:$T$278,HLOOKUP($M$11+1,Paraméterek!$I$256:$T$257,2))),IF($D$4="Forint",0,2))</f>
        <v>#N/A</v>
      </c>
      <c r="Z698" s="32">
        <v>679</v>
      </c>
      <c r="AA698" s="32">
        <v>57</v>
      </c>
      <c r="AB698" s="32">
        <v>7</v>
      </c>
      <c r="AC698" s="13">
        <f t="shared" ca="1" si="236"/>
        <v>0</v>
      </c>
      <c r="AD698" s="33"/>
      <c r="AE698" s="13">
        <f t="shared" ca="1" si="228"/>
        <v>0</v>
      </c>
      <c r="AF698" s="13">
        <f ca="1">ROUNDUP(($AC698+$AE698)*VLOOKUP($AA698,Paraméterek!$P$38:$Q$38,2)/12*IF($D699="Nem",IF($M$13=0,1,$M$13),1),IF($D$4="Forint",0,2))</f>
        <v>0</v>
      </c>
      <c r="AG698" s="13">
        <f ca="1">IF($D$2="Egyszeri",IF($D$7&gt;=IF($D$4="Forint",Paraméterek!$P$223,Paraméterek!$P$224),$D$7-IF($D$4="Forint",Paraméterek!$P$223,Paraméterek!$P$224),0),MIN(IF($AB698=12,AVERAGEIF($E$20:$E698,"&gt;0",$E$20:$E698)*12,0),SUM($E$20:$E$31)))</f>
        <v>0</v>
      </c>
      <c r="AH698" s="13">
        <f>IF($AA698=10,$AG698*IF($AB698=12,IF($AG698&lt;IF($D$4="Forint",Paraméterek!$L$223,Paraméterek!$L$224),0,VLOOKUP($AA698,Paraméterek!$K$226:$M$228,IF($AG698&lt;IF($D$4="Forint",Paraméterek!$M$223,Paraméterek!$M$224),2,3))),0),0)</f>
        <v>0</v>
      </c>
      <c r="AI698" s="13">
        <f ca="1">IF(AND($AA698=$M$11+1,$AB698=$M$12+1),SUMIF($AA$20:$AA$1027,$AA698,$AG$20:$AG$1027)*IF(SUMIF($AA$20:$AA$1027,$AA698,$AG$20:$AG$1027)&lt;IF($D$4="Forint",Paraméterek!$L$223,Paraméterek!$L$224),0,VLOOKUP($AA698,Paraméterek!$K$230:$M$250,IF(SUMIF($AA$20:$AA$1027,$AA698,$AG$20:$AG$1027)&lt;IF($D$4="Forint",Paraméterek!$M$223,Paraméterek!$M$224),2,3))),0)</f>
        <v>0</v>
      </c>
      <c r="AJ698" s="13">
        <f ca="1">IF(AND($AA698&gt;=5,MOD($AA698,5)=0),IF($AB698=12,VLOOKUP($AA698,Paraméterek!$O$225:$P$240,2),0),IF(OR($AA698=3,$AA698=4),IF($AB698=12,VLOOKUP($AA698,Paraméterek!$O$225:$P$240,2,0),0),0))*$AG698</f>
        <v>0</v>
      </c>
      <c r="AK698" s="13">
        <f t="shared" ca="1" si="229"/>
        <v>0</v>
      </c>
      <c r="AL698" s="13">
        <f t="shared" ca="1" si="237"/>
        <v>0</v>
      </c>
      <c r="AM698" s="13">
        <f t="shared" ca="1" si="238"/>
        <v>0</v>
      </c>
      <c r="AO698" s="32">
        <v>679</v>
      </c>
      <c r="AP698" s="32">
        <v>57</v>
      </c>
      <c r="AQ698" s="32">
        <v>7</v>
      </c>
      <c r="AR698" s="13"/>
      <c r="AS698" s="32"/>
      <c r="AT698" s="13">
        <f t="shared" ca="1" si="239"/>
        <v>0</v>
      </c>
      <c r="AU698" s="33"/>
      <c r="AV698" s="13">
        <f t="shared" ca="1" si="230"/>
        <v>0</v>
      </c>
      <c r="AW698" s="13">
        <f ca="1">ROUNDUP(($AT698+$AV698)*VLOOKUP($AP698,Paraméterek!$P$38:$Q$38,2)/12*IF($D699="Nem",IF($M$13=0,1,$M$13),1),IF($D$4="Forint",0,2))</f>
        <v>0</v>
      </c>
      <c r="AX698" s="13"/>
      <c r="AY698" s="13"/>
      <c r="AZ698" s="13">
        <f>ROUNDUP(IF(SUM($AX698:$AY698)=0,0,IF(IF(ISBLANK($AY698),$AX698,$AY698)*Paraméterek!$J$112&lt;IF($D$4="Forint",Paraméterek!$J$113,Paraméterek!$K$113),IF($D$4="Forint",Paraméterek!$J$113,Paraméterek!$K$113),IF(IF(ISBLANK($AY698),$AX698,$AY698)*Paraméterek!$J$112&gt;IF($D$4="Forint",Paraméterek!$J$114,Paraméterek!$K$114),IF($D$4="Forint",Paraméterek!$J$114,Paraméterek!$K$114),IF(ISBLANK($AY698),$AX698,$AY698)*Paraméterek!$J$112))),IF($D$4="Forint",0,2))</f>
        <v>0</v>
      </c>
      <c r="BA698" s="13">
        <f ca="1">$AT698+$AV698-$AW698-IF(ROUNDDOWN(IF(ISBLANK($AY698),$AX698,$AY698),IF($D$4="Forint",0,2))&gt;$AT698+$AV698-$AW698-IF($D$4="Forint",Paraméterek!$J$114,Paraméterek!$K$114),0,ROUNDDOWN(IF(ISBLANK($AY698),$AX698,$AY698),IF($D$4="Forint",0,2))-$AZ698)</f>
        <v>0</v>
      </c>
      <c r="BB698" s="13">
        <f t="shared" ca="1" si="231"/>
        <v>0</v>
      </c>
      <c r="BD698" s="32">
        <v>679</v>
      </c>
      <c r="BE698" s="32">
        <v>57</v>
      </c>
      <c r="BF698" s="32">
        <v>7</v>
      </c>
      <c r="BG698" s="34">
        <f t="shared" ca="1" si="240"/>
        <v>2075</v>
      </c>
      <c r="BH698" s="32" t="str">
        <f ca="1">IF(MOD(MONTH($D$14)+$BD698-1,12)=Paraméterek!$C$288,"Igen","")</f>
        <v/>
      </c>
      <c r="BI698" s="13">
        <f ca="1">IF($BH698="Igen",MIN(ROUNDDOWN((SUMIF($BG$20:$BG$1027,$BG698-1,$K$20:$K$1027)-SUMIF($BG$20:$BG$1027,$BG698-1,$I$20:$I$1027))*Paraméterek!$C$289,IF($D$4="Forint",0,2)),IF($D$4="Forint",Paraméterek!$C$285,Paraméterek!$D$285)),0)</f>
        <v>0</v>
      </c>
      <c r="BJ698" s="13">
        <f t="shared" ca="1" si="232"/>
        <v>0</v>
      </c>
      <c r="BK698" s="13">
        <f t="shared" ca="1" si="241"/>
        <v>0</v>
      </c>
      <c r="BL698" s="33"/>
      <c r="BM698" s="13">
        <f t="shared" ca="1" si="233"/>
        <v>0</v>
      </c>
      <c r="BN698" s="13">
        <f ca="1">ROUNDUP(($BK698+$BM698)*VLOOKUP($BE698,Paraméterek!$P$38:$Q$38,2)/12*IF($D699="Nem",IF($M$13=0,1,$M$13),1),IF($D$4="Forint",0,2))</f>
        <v>0</v>
      </c>
      <c r="BO698" s="13">
        <f t="shared" ca="1" si="234"/>
        <v>0</v>
      </c>
      <c r="BP698" s="13">
        <f ca="1">IF($D699="Nem",$BO698,$BO698-ROUNDUP(SUM($BI$20:$BI698)*120%,IF($D$4="Forint",0,2)))</f>
        <v>0</v>
      </c>
    </row>
    <row r="699" spans="1:68" x14ac:dyDescent="0.2">
      <c r="A699" s="32">
        <v>680</v>
      </c>
      <c r="B699" s="32">
        <v>57</v>
      </c>
      <c r="C699" s="32">
        <v>8</v>
      </c>
      <c r="D699" s="32" t="str">
        <f t="shared" ca="1" si="220"/>
        <v>Nem</v>
      </c>
      <c r="E699" s="13">
        <f t="shared" ca="1" si="221"/>
        <v>0</v>
      </c>
      <c r="F699" s="13"/>
      <c r="G699" s="13"/>
      <c r="H699" s="13"/>
      <c r="I699" s="13">
        <f t="shared" ca="1" si="222"/>
        <v>0</v>
      </c>
      <c r="J699" s="13">
        <f t="shared" ca="1" si="223"/>
        <v>0</v>
      </c>
      <c r="K699" s="13">
        <f t="shared" ca="1" si="224"/>
        <v>0</v>
      </c>
      <c r="L699" s="13" t="e">
        <f ca="1">ROUNDUP(IF($D$2="Egyszeri",$E699,IF($D$2="Havi",SUM($E$20:$E$31),IF(MOD($C699,$M$1)-1=0,SUM($E$20:$E$31),0))/12*$M$1)*VLOOKUP($B699,Paraméterek!$I$28:$P$31,IF($D$2="Egyszeri",8,HLOOKUP(ROUNDUP($M$11+$M$13,0),Paraméterek!$J$26:$O$27,2))),IF($D$4="Forint",0,2))</f>
        <v>#N/A</v>
      </c>
      <c r="M699" s="13">
        <f t="shared" ca="1" si="225"/>
        <v>0</v>
      </c>
      <c r="N699" s="13">
        <f t="shared" ca="1" si="235"/>
        <v>0</v>
      </c>
      <c r="O699" s="13">
        <f ca="1">IF($D699="Igen",IF($W698&gt;=IF($D$4="Forint",Paraméterek!$J$121,Paraméterek!$K$121),0,IF($D$4="Forint",Paraméterek!$J$121,Paraméterek!$K$121)-$W698),0)</f>
        <v>0</v>
      </c>
      <c r="P699" s="13" t="e">
        <f ca="1">ROUNDUP($O699*VLOOKUP($M$4+$B699-1,Paraméterek!$H$58:$I$105,2,0)/Paraméterek!$I$56,IF($D$4="Forint",0,2))</f>
        <v>#N/A</v>
      </c>
      <c r="Q699" s="13">
        <f t="shared" ca="1" si="226"/>
        <v>0</v>
      </c>
      <c r="R699" s="33"/>
      <c r="S699" s="13" t="e">
        <f t="shared" ca="1" si="227"/>
        <v>#N/A</v>
      </c>
      <c r="T699" s="13" t="e">
        <f ca="1">ROUNDUP(($N699-$P699-$Q699+$S699)*VLOOKUP($B699,Paraméterek!$I$38:$K$39,IF($D$2="Egyszeri",3,2))/12*IF($D700="Nem",IF($M$13=0,1,$M$13),1),IF($D$4="Forint",0,2))</f>
        <v>#N/A</v>
      </c>
      <c r="U699" s="13"/>
      <c r="V699" s="13"/>
      <c r="W699" s="13" t="e">
        <f ca="1">$N699-$P699-$Q699+$S699-$T699-IF(ROUNDUP(IF(ISBLANK($V699),$U699*0,$V699)/IF($D$2="Egyszeri",VLOOKUP($B699+IF($C699=12,1,0),Paraméterek!$V$257:$W$262,2),IF($B699=1,1,VLOOKUP($B699+IF($C699=12,1,0),Paraméterek!$I$258:$T$278,HLOOKUP($M$11+1,Paraméterek!$J$256:$T$257,2)))),IF($D$4="Forint",0,2))&gt;$N699-$P699-$Q699+$S699-$T699-IF($D$4="Forint",Paraméterek!$C$216,Paraméterek!$D$216),0,ROUNDUP(IF(ISBLANK($V699),$U699*0,$V699)/IF($D$2="Egyszeri",VLOOKUP($B699+IF($C699=12,1,0),Paraméterek!$V$257:$W$262,2),IF($B699=1,1,VLOOKUP($B699+IF($C699=12,1,0),Paraméterek!$I$258:$T$278,HLOOKUP($M$11+1,Paraméterek!$J$256:$T$257,2)))),IF($D$4="Forint",0,2)))</f>
        <v>#N/A</v>
      </c>
      <c r="X699" s="13" t="e">
        <f ca="1">ROUNDDOWN($W699*IF($D$2="Egyszeri",VLOOKUP($B699+IF($C699=12,1,0),Paraméterek!$V$257:$W$262,2),VLOOKUP($B699+IF($C699=12,1,0),Paraméterek!$I$258:$T$278,HLOOKUP($M$11+1,Paraméterek!$I$256:$T$257,2))),IF($D$4="Forint",0,2))</f>
        <v>#N/A</v>
      </c>
      <c r="Z699" s="32">
        <v>680</v>
      </c>
      <c r="AA699" s="32">
        <v>57</v>
      </c>
      <c r="AB699" s="32">
        <v>8</v>
      </c>
      <c r="AC699" s="13">
        <f t="shared" ca="1" si="236"/>
        <v>0</v>
      </c>
      <c r="AD699" s="33"/>
      <c r="AE699" s="13">
        <f t="shared" ca="1" si="228"/>
        <v>0</v>
      </c>
      <c r="AF699" s="13">
        <f ca="1">ROUNDUP(($AC699+$AE699)*VLOOKUP($AA699,Paraméterek!$P$38:$Q$38,2)/12*IF($D700="Nem",IF($M$13=0,1,$M$13),1),IF($D$4="Forint",0,2))</f>
        <v>0</v>
      </c>
      <c r="AG699" s="13">
        <f ca="1">IF($D$2="Egyszeri",IF($D$7&gt;=IF($D$4="Forint",Paraméterek!$P$223,Paraméterek!$P$224),$D$7-IF($D$4="Forint",Paraméterek!$P$223,Paraméterek!$P$224),0),MIN(IF($AB699=12,AVERAGEIF($E$20:$E699,"&gt;0",$E$20:$E699)*12,0),SUM($E$20:$E$31)))</f>
        <v>0</v>
      </c>
      <c r="AH699" s="13">
        <f>IF($AA699=10,$AG699*IF($AB699=12,IF($AG699&lt;IF($D$4="Forint",Paraméterek!$L$223,Paraméterek!$L$224),0,VLOOKUP($AA699,Paraméterek!$K$226:$M$228,IF($AG699&lt;IF($D$4="Forint",Paraméterek!$M$223,Paraméterek!$M$224),2,3))),0),0)</f>
        <v>0</v>
      </c>
      <c r="AI699" s="13">
        <f ca="1">IF(AND($AA699=$M$11+1,$AB699=$M$12+1),SUMIF($AA$20:$AA$1027,$AA699,$AG$20:$AG$1027)*IF(SUMIF($AA$20:$AA$1027,$AA699,$AG$20:$AG$1027)&lt;IF($D$4="Forint",Paraméterek!$L$223,Paraméterek!$L$224),0,VLOOKUP($AA699,Paraméterek!$K$230:$M$250,IF(SUMIF($AA$20:$AA$1027,$AA699,$AG$20:$AG$1027)&lt;IF($D$4="Forint",Paraméterek!$M$223,Paraméterek!$M$224),2,3))),0)</f>
        <v>0</v>
      </c>
      <c r="AJ699" s="13">
        <f ca="1">IF(AND($AA699&gt;=5,MOD($AA699,5)=0),IF($AB699=12,VLOOKUP($AA699,Paraméterek!$O$225:$P$240,2),0),IF(OR($AA699=3,$AA699=4),IF($AB699=12,VLOOKUP($AA699,Paraméterek!$O$225:$P$240,2,0),0),0))*$AG699</f>
        <v>0</v>
      </c>
      <c r="AK699" s="13">
        <f t="shared" ca="1" si="229"/>
        <v>0</v>
      </c>
      <c r="AL699" s="13">
        <f t="shared" ca="1" si="237"/>
        <v>0</v>
      </c>
      <c r="AM699" s="13">
        <f t="shared" ca="1" si="238"/>
        <v>0</v>
      </c>
      <c r="AO699" s="32">
        <v>680</v>
      </c>
      <c r="AP699" s="32">
        <v>57</v>
      </c>
      <c r="AQ699" s="32">
        <v>8</v>
      </c>
      <c r="AR699" s="13"/>
      <c r="AS699" s="32"/>
      <c r="AT699" s="13">
        <f t="shared" ca="1" si="239"/>
        <v>0</v>
      </c>
      <c r="AU699" s="33"/>
      <c r="AV699" s="13">
        <f t="shared" ca="1" si="230"/>
        <v>0</v>
      </c>
      <c r="AW699" s="13">
        <f ca="1">ROUNDUP(($AT699+$AV699)*VLOOKUP($AP699,Paraméterek!$P$38:$Q$38,2)/12*IF($D700="Nem",IF($M$13=0,1,$M$13),1),IF($D$4="Forint",0,2))</f>
        <v>0</v>
      </c>
      <c r="AX699" s="13"/>
      <c r="AY699" s="13"/>
      <c r="AZ699" s="13">
        <f>ROUNDUP(IF(SUM($AX699:$AY699)=0,0,IF(IF(ISBLANK($AY699),$AX699,$AY699)*Paraméterek!$J$112&lt;IF($D$4="Forint",Paraméterek!$J$113,Paraméterek!$K$113),IF($D$4="Forint",Paraméterek!$J$113,Paraméterek!$K$113),IF(IF(ISBLANK($AY699),$AX699,$AY699)*Paraméterek!$J$112&gt;IF($D$4="Forint",Paraméterek!$J$114,Paraméterek!$K$114),IF($D$4="Forint",Paraméterek!$J$114,Paraméterek!$K$114),IF(ISBLANK($AY699),$AX699,$AY699)*Paraméterek!$J$112))),IF($D$4="Forint",0,2))</f>
        <v>0</v>
      </c>
      <c r="BA699" s="13">
        <f ca="1">$AT699+$AV699-$AW699-IF(ROUNDDOWN(IF(ISBLANK($AY699),$AX699,$AY699),IF($D$4="Forint",0,2))&gt;$AT699+$AV699-$AW699-IF($D$4="Forint",Paraméterek!$J$114,Paraméterek!$K$114),0,ROUNDDOWN(IF(ISBLANK($AY699),$AX699,$AY699),IF($D$4="Forint",0,2))-$AZ699)</f>
        <v>0</v>
      </c>
      <c r="BB699" s="13">
        <f t="shared" ca="1" si="231"/>
        <v>0</v>
      </c>
      <c r="BD699" s="32">
        <v>680</v>
      </c>
      <c r="BE699" s="32">
        <v>57</v>
      </c>
      <c r="BF699" s="32">
        <v>8</v>
      </c>
      <c r="BG699" s="34">
        <f t="shared" ca="1" si="240"/>
        <v>2076</v>
      </c>
      <c r="BH699" s="32" t="str">
        <f ca="1">IF(MOD(MONTH($D$14)+$BD699-1,12)=Paraméterek!$C$288,"Igen","")</f>
        <v/>
      </c>
      <c r="BI699" s="13">
        <f ca="1">IF($BH699="Igen",MIN(ROUNDDOWN((SUMIF($BG$20:$BG$1027,$BG699-1,$K$20:$K$1027)-SUMIF($BG$20:$BG$1027,$BG699-1,$I$20:$I$1027))*Paraméterek!$C$289,IF($D$4="Forint",0,2)),IF($D$4="Forint",Paraméterek!$C$285,Paraméterek!$D$285)),0)</f>
        <v>0</v>
      </c>
      <c r="BJ699" s="13">
        <f t="shared" ca="1" si="232"/>
        <v>0</v>
      </c>
      <c r="BK699" s="13">
        <f t="shared" ca="1" si="241"/>
        <v>0</v>
      </c>
      <c r="BL699" s="33"/>
      <c r="BM699" s="13">
        <f t="shared" ca="1" si="233"/>
        <v>0</v>
      </c>
      <c r="BN699" s="13">
        <f ca="1">ROUNDUP(($BK699+$BM699)*VLOOKUP($BE699,Paraméterek!$P$38:$Q$38,2)/12*IF($D700="Nem",IF($M$13=0,1,$M$13),1),IF($D$4="Forint",0,2))</f>
        <v>0</v>
      </c>
      <c r="BO699" s="13">
        <f t="shared" ca="1" si="234"/>
        <v>0</v>
      </c>
      <c r="BP699" s="13">
        <f ca="1">IF($D700="Nem",$BO699,$BO699-ROUNDUP(SUM($BI$20:$BI699)*120%,IF($D$4="Forint",0,2)))</f>
        <v>0</v>
      </c>
    </row>
    <row r="700" spans="1:68" x14ac:dyDescent="0.2">
      <c r="A700" s="32">
        <v>681</v>
      </c>
      <c r="B700" s="32">
        <v>57</v>
      </c>
      <c r="C700" s="32">
        <v>9</v>
      </c>
      <c r="D700" s="32" t="str">
        <f t="shared" ca="1" si="220"/>
        <v>Nem</v>
      </c>
      <c r="E700" s="13">
        <f t="shared" ca="1" si="221"/>
        <v>0</v>
      </c>
      <c r="F700" s="13"/>
      <c r="G700" s="13"/>
      <c r="H700" s="13"/>
      <c r="I700" s="13">
        <f t="shared" ca="1" si="222"/>
        <v>0</v>
      </c>
      <c r="J700" s="13">
        <f t="shared" ca="1" si="223"/>
        <v>0</v>
      </c>
      <c r="K700" s="13">
        <f t="shared" ca="1" si="224"/>
        <v>0</v>
      </c>
      <c r="L700" s="13" t="e">
        <f ca="1">ROUNDUP(IF($D$2="Egyszeri",$E700,IF($D$2="Havi",SUM($E$20:$E$31),IF(MOD($C700,$M$1)-1=0,SUM($E$20:$E$31),0))/12*$M$1)*VLOOKUP($B700,Paraméterek!$I$28:$P$31,IF($D$2="Egyszeri",8,HLOOKUP(ROUNDUP($M$11+$M$13,0),Paraméterek!$J$26:$O$27,2))),IF($D$4="Forint",0,2))</f>
        <v>#N/A</v>
      </c>
      <c r="M700" s="13">
        <f t="shared" ca="1" si="225"/>
        <v>0</v>
      </c>
      <c r="N700" s="13">
        <f t="shared" ca="1" si="235"/>
        <v>0</v>
      </c>
      <c r="O700" s="13">
        <f ca="1">IF($D700="Igen",IF($W699&gt;=IF($D$4="Forint",Paraméterek!$J$121,Paraméterek!$K$121),0,IF($D$4="Forint",Paraméterek!$J$121,Paraméterek!$K$121)-$W699),0)</f>
        <v>0</v>
      </c>
      <c r="P700" s="13" t="e">
        <f ca="1">ROUNDUP($O700*VLOOKUP($M$4+$B700-1,Paraméterek!$H$58:$I$105,2,0)/Paraméterek!$I$56,IF($D$4="Forint",0,2))</f>
        <v>#N/A</v>
      </c>
      <c r="Q700" s="13">
        <f t="shared" ca="1" si="226"/>
        <v>0</v>
      </c>
      <c r="R700" s="33"/>
      <c r="S700" s="13" t="e">
        <f t="shared" ca="1" si="227"/>
        <v>#N/A</v>
      </c>
      <c r="T700" s="13" t="e">
        <f ca="1">ROUNDUP(($N700-$P700-$Q700+$S700)*VLOOKUP($B700,Paraméterek!$I$38:$K$39,IF($D$2="Egyszeri",3,2))/12*IF($D701="Nem",IF($M$13=0,1,$M$13),1),IF($D$4="Forint",0,2))</f>
        <v>#N/A</v>
      </c>
      <c r="U700" s="13"/>
      <c r="V700" s="13"/>
      <c r="W700" s="13" t="e">
        <f ca="1">$N700-$P700-$Q700+$S700-$T700-IF(ROUNDUP(IF(ISBLANK($V700),$U700*0,$V700)/IF($D$2="Egyszeri",VLOOKUP($B700+IF($C700=12,1,0),Paraméterek!$V$257:$W$262,2),IF($B700=1,1,VLOOKUP($B700+IF($C700=12,1,0),Paraméterek!$I$258:$T$278,HLOOKUP($M$11+1,Paraméterek!$J$256:$T$257,2)))),IF($D$4="Forint",0,2))&gt;$N700-$P700-$Q700+$S700-$T700-IF($D$4="Forint",Paraméterek!$C$216,Paraméterek!$D$216),0,ROUNDUP(IF(ISBLANK($V700),$U700*0,$V700)/IF($D$2="Egyszeri",VLOOKUP($B700+IF($C700=12,1,0),Paraméterek!$V$257:$W$262,2),IF($B700=1,1,VLOOKUP($B700+IF($C700=12,1,0),Paraméterek!$I$258:$T$278,HLOOKUP($M$11+1,Paraméterek!$J$256:$T$257,2)))),IF($D$4="Forint",0,2)))</f>
        <v>#N/A</v>
      </c>
      <c r="X700" s="13" t="e">
        <f ca="1">ROUNDDOWN($W700*IF($D$2="Egyszeri",VLOOKUP($B700+IF($C700=12,1,0),Paraméterek!$V$257:$W$262,2),VLOOKUP($B700+IF($C700=12,1,0),Paraméterek!$I$258:$T$278,HLOOKUP($M$11+1,Paraméterek!$I$256:$T$257,2))),IF($D$4="Forint",0,2))</f>
        <v>#N/A</v>
      </c>
      <c r="Z700" s="32">
        <v>681</v>
      </c>
      <c r="AA700" s="32">
        <v>57</v>
      </c>
      <c r="AB700" s="32">
        <v>9</v>
      </c>
      <c r="AC700" s="13">
        <f t="shared" ca="1" si="236"/>
        <v>0</v>
      </c>
      <c r="AD700" s="33"/>
      <c r="AE700" s="13">
        <f t="shared" ca="1" si="228"/>
        <v>0</v>
      </c>
      <c r="AF700" s="13">
        <f ca="1">ROUNDUP(($AC700+$AE700)*VLOOKUP($AA700,Paraméterek!$P$38:$Q$38,2)/12*IF($D701="Nem",IF($M$13=0,1,$M$13),1),IF($D$4="Forint",0,2))</f>
        <v>0</v>
      </c>
      <c r="AG700" s="13">
        <f ca="1">IF($D$2="Egyszeri",IF($D$7&gt;=IF($D$4="Forint",Paraméterek!$P$223,Paraméterek!$P$224),$D$7-IF($D$4="Forint",Paraméterek!$P$223,Paraméterek!$P$224),0),MIN(IF($AB700=12,AVERAGEIF($E$20:$E700,"&gt;0",$E$20:$E700)*12,0),SUM($E$20:$E$31)))</f>
        <v>0</v>
      </c>
      <c r="AH700" s="13">
        <f>IF($AA700=10,$AG700*IF($AB700=12,IF($AG700&lt;IF($D$4="Forint",Paraméterek!$L$223,Paraméterek!$L$224),0,VLOOKUP($AA700,Paraméterek!$K$226:$M$228,IF($AG700&lt;IF($D$4="Forint",Paraméterek!$M$223,Paraméterek!$M$224),2,3))),0),0)</f>
        <v>0</v>
      </c>
      <c r="AI700" s="13">
        <f ca="1">IF(AND($AA700=$M$11+1,$AB700=$M$12+1),SUMIF($AA$20:$AA$1027,$AA700,$AG$20:$AG$1027)*IF(SUMIF($AA$20:$AA$1027,$AA700,$AG$20:$AG$1027)&lt;IF($D$4="Forint",Paraméterek!$L$223,Paraméterek!$L$224),0,VLOOKUP($AA700,Paraméterek!$K$230:$M$250,IF(SUMIF($AA$20:$AA$1027,$AA700,$AG$20:$AG$1027)&lt;IF($D$4="Forint",Paraméterek!$M$223,Paraméterek!$M$224),2,3))),0)</f>
        <v>0</v>
      </c>
      <c r="AJ700" s="13">
        <f ca="1">IF(AND($AA700&gt;=5,MOD($AA700,5)=0),IF($AB700=12,VLOOKUP($AA700,Paraméterek!$O$225:$P$240,2),0),IF(OR($AA700=3,$AA700=4),IF($AB700=12,VLOOKUP($AA700,Paraméterek!$O$225:$P$240,2,0),0),0))*$AG700</f>
        <v>0</v>
      </c>
      <c r="AK700" s="13">
        <f t="shared" ca="1" si="229"/>
        <v>0</v>
      </c>
      <c r="AL700" s="13">
        <f t="shared" ca="1" si="237"/>
        <v>0</v>
      </c>
      <c r="AM700" s="13">
        <f t="shared" ca="1" si="238"/>
        <v>0</v>
      </c>
      <c r="AO700" s="32">
        <v>681</v>
      </c>
      <c r="AP700" s="32">
        <v>57</v>
      </c>
      <c r="AQ700" s="32">
        <v>9</v>
      </c>
      <c r="AR700" s="13"/>
      <c r="AS700" s="32"/>
      <c r="AT700" s="13">
        <f t="shared" ca="1" si="239"/>
        <v>0</v>
      </c>
      <c r="AU700" s="33"/>
      <c r="AV700" s="13">
        <f t="shared" ca="1" si="230"/>
        <v>0</v>
      </c>
      <c r="AW700" s="13">
        <f ca="1">ROUNDUP(($AT700+$AV700)*VLOOKUP($AP700,Paraméterek!$P$38:$Q$38,2)/12*IF($D701="Nem",IF($M$13=0,1,$M$13),1),IF($D$4="Forint",0,2))</f>
        <v>0</v>
      </c>
      <c r="AX700" s="13"/>
      <c r="AY700" s="13"/>
      <c r="AZ700" s="13">
        <f>ROUNDUP(IF(SUM($AX700:$AY700)=0,0,IF(IF(ISBLANK($AY700),$AX700,$AY700)*Paraméterek!$J$112&lt;IF($D$4="Forint",Paraméterek!$J$113,Paraméterek!$K$113),IF($D$4="Forint",Paraméterek!$J$113,Paraméterek!$K$113),IF(IF(ISBLANK($AY700),$AX700,$AY700)*Paraméterek!$J$112&gt;IF($D$4="Forint",Paraméterek!$J$114,Paraméterek!$K$114),IF($D$4="Forint",Paraméterek!$J$114,Paraméterek!$K$114),IF(ISBLANK($AY700),$AX700,$AY700)*Paraméterek!$J$112))),IF($D$4="Forint",0,2))</f>
        <v>0</v>
      </c>
      <c r="BA700" s="13">
        <f ca="1">$AT700+$AV700-$AW700-IF(ROUNDDOWN(IF(ISBLANK($AY700),$AX700,$AY700),IF($D$4="Forint",0,2))&gt;$AT700+$AV700-$AW700-IF($D$4="Forint",Paraméterek!$J$114,Paraméterek!$K$114),0,ROUNDDOWN(IF(ISBLANK($AY700),$AX700,$AY700),IF($D$4="Forint",0,2))-$AZ700)</f>
        <v>0</v>
      </c>
      <c r="BB700" s="13">
        <f t="shared" ca="1" si="231"/>
        <v>0</v>
      </c>
      <c r="BD700" s="32">
        <v>681</v>
      </c>
      <c r="BE700" s="32">
        <v>57</v>
      </c>
      <c r="BF700" s="32">
        <v>9</v>
      </c>
      <c r="BG700" s="34">
        <f t="shared" ca="1" si="240"/>
        <v>2076</v>
      </c>
      <c r="BH700" s="32" t="str">
        <f ca="1">IF(MOD(MONTH($D$14)+$BD700-1,12)=Paraméterek!$C$288,"Igen","")</f>
        <v/>
      </c>
      <c r="BI700" s="13">
        <f ca="1">IF($BH700="Igen",MIN(ROUNDDOWN((SUMIF($BG$20:$BG$1027,$BG700-1,$K$20:$K$1027)-SUMIF($BG$20:$BG$1027,$BG700-1,$I$20:$I$1027))*Paraméterek!$C$289,IF($D$4="Forint",0,2)),IF($D$4="Forint",Paraméterek!$C$285,Paraméterek!$D$285)),0)</f>
        <v>0</v>
      </c>
      <c r="BJ700" s="13">
        <f t="shared" ca="1" si="232"/>
        <v>0</v>
      </c>
      <c r="BK700" s="13">
        <f t="shared" ca="1" si="241"/>
        <v>0</v>
      </c>
      <c r="BL700" s="33"/>
      <c r="BM700" s="13">
        <f t="shared" ca="1" si="233"/>
        <v>0</v>
      </c>
      <c r="BN700" s="13">
        <f ca="1">ROUNDUP(($BK700+$BM700)*VLOOKUP($BE700,Paraméterek!$P$38:$Q$38,2)/12*IF($D701="Nem",IF($M$13=0,1,$M$13),1),IF($D$4="Forint",0,2))</f>
        <v>0</v>
      </c>
      <c r="BO700" s="13">
        <f t="shared" ca="1" si="234"/>
        <v>0</v>
      </c>
      <c r="BP700" s="13">
        <f ca="1">IF($D701="Nem",$BO700,$BO700-ROUNDUP(SUM($BI$20:$BI700)*120%,IF($D$4="Forint",0,2)))</f>
        <v>0</v>
      </c>
    </row>
    <row r="701" spans="1:68" x14ac:dyDescent="0.2">
      <c r="A701" s="32">
        <v>682</v>
      </c>
      <c r="B701" s="32">
        <v>57</v>
      </c>
      <c r="C701" s="32">
        <v>10</v>
      </c>
      <c r="D701" s="32" t="str">
        <f t="shared" ca="1" si="220"/>
        <v>Nem</v>
      </c>
      <c r="E701" s="13">
        <f t="shared" ca="1" si="221"/>
        <v>0</v>
      </c>
      <c r="F701" s="13"/>
      <c r="G701" s="13"/>
      <c r="H701" s="13"/>
      <c r="I701" s="13">
        <f t="shared" ca="1" si="222"/>
        <v>0</v>
      </c>
      <c r="J701" s="13">
        <f t="shared" ca="1" si="223"/>
        <v>0</v>
      </c>
      <c r="K701" s="13">
        <f t="shared" ca="1" si="224"/>
        <v>0</v>
      </c>
      <c r="L701" s="13" t="e">
        <f ca="1">ROUNDUP(IF($D$2="Egyszeri",$E701,IF($D$2="Havi",SUM($E$20:$E$31),IF(MOD($C701,$M$1)-1=0,SUM($E$20:$E$31),0))/12*$M$1)*VLOOKUP($B701,Paraméterek!$I$28:$P$31,IF($D$2="Egyszeri",8,HLOOKUP(ROUNDUP($M$11+$M$13,0),Paraméterek!$J$26:$O$27,2))),IF($D$4="Forint",0,2))</f>
        <v>#N/A</v>
      </c>
      <c r="M701" s="13">
        <f t="shared" ca="1" si="225"/>
        <v>0</v>
      </c>
      <c r="N701" s="13">
        <f t="shared" ca="1" si="235"/>
        <v>0</v>
      </c>
      <c r="O701" s="13">
        <f ca="1">IF($D701="Igen",IF($W700&gt;=IF($D$4="Forint",Paraméterek!$J$121,Paraméterek!$K$121),0,IF($D$4="Forint",Paraméterek!$J$121,Paraméterek!$K$121)-$W700),0)</f>
        <v>0</v>
      </c>
      <c r="P701" s="13" t="e">
        <f ca="1">ROUNDUP($O701*VLOOKUP($M$4+$B701-1,Paraméterek!$H$58:$I$105,2,0)/Paraméterek!$I$56,IF($D$4="Forint",0,2))</f>
        <v>#N/A</v>
      </c>
      <c r="Q701" s="13">
        <f t="shared" ca="1" si="226"/>
        <v>0</v>
      </c>
      <c r="R701" s="33"/>
      <c r="S701" s="13" t="e">
        <f t="shared" ca="1" si="227"/>
        <v>#N/A</v>
      </c>
      <c r="T701" s="13" t="e">
        <f ca="1">ROUNDUP(($N701-$P701-$Q701+$S701)*VLOOKUP($B701,Paraméterek!$I$38:$K$39,IF($D$2="Egyszeri",3,2))/12*IF($D702="Nem",IF($M$13=0,1,$M$13),1),IF($D$4="Forint",0,2))</f>
        <v>#N/A</v>
      </c>
      <c r="U701" s="13"/>
      <c r="V701" s="13"/>
      <c r="W701" s="13" t="e">
        <f ca="1">$N701-$P701-$Q701+$S701-$T701-IF(ROUNDUP(IF(ISBLANK($V701),$U701*0,$V701)/IF($D$2="Egyszeri",VLOOKUP($B701+IF($C701=12,1,0),Paraméterek!$V$257:$W$262,2),IF($B701=1,1,VLOOKUP($B701+IF($C701=12,1,0),Paraméterek!$I$258:$T$278,HLOOKUP($M$11+1,Paraméterek!$J$256:$T$257,2)))),IF($D$4="Forint",0,2))&gt;$N701-$P701-$Q701+$S701-$T701-IF($D$4="Forint",Paraméterek!$C$216,Paraméterek!$D$216),0,ROUNDUP(IF(ISBLANK($V701),$U701*0,$V701)/IF($D$2="Egyszeri",VLOOKUP($B701+IF($C701=12,1,0),Paraméterek!$V$257:$W$262,2),IF($B701=1,1,VLOOKUP($B701+IF($C701=12,1,0),Paraméterek!$I$258:$T$278,HLOOKUP($M$11+1,Paraméterek!$J$256:$T$257,2)))),IF($D$4="Forint",0,2)))</f>
        <v>#N/A</v>
      </c>
      <c r="X701" s="13" t="e">
        <f ca="1">ROUNDDOWN($W701*IF($D$2="Egyszeri",VLOOKUP($B701+IF($C701=12,1,0),Paraméterek!$V$257:$W$262,2),VLOOKUP($B701+IF($C701=12,1,0),Paraméterek!$I$258:$T$278,HLOOKUP($M$11+1,Paraméterek!$I$256:$T$257,2))),IF($D$4="Forint",0,2))</f>
        <v>#N/A</v>
      </c>
      <c r="Z701" s="32">
        <v>682</v>
      </c>
      <c r="AA701" s="32">
        <v>57</v>
      </c>
      <c r="AB701" s="32">
        <v>10</v>
      </c>
      <c r="AC701" s="13">
        <f t="shared" ca="1" si="236"/>
        <v>0</v>
      </c>
      <c r="AD701" s="33"/>
      <c r="AE701" s="13">
        <f t="shared" ca="1" si="228"/>
        <v>0</v>
      </c>
      <c r="AF701" s="13">
        <f ca="1">ROUNDUP(($AC701+$AE701)*VLOOKUP($AA701,Paraméterek!$P$38:$Q$38,2)/12*IF($D702="Nem",IF($M$13=0,1,$M$13),1),IF($D$4="Forint",0,2))</f>
        <v>0</v>
      </c>
      <c r="AG701" s="13">
        <f ca="1">IF($D$2="Egyszeri",IF($D$7&gt;=IF($D$4="Forint",Paraméterek!$P$223,Paraméterek!$P$224),$D$7-IF($D$4="Forint",Paraméterek!$P$223,Paraméterek!$P$224),0),MIN(IF($AB701=12,AVERAGEIF($E$20:$E701,"&gt;0",$E$20:$E701)*12,0),SUM($E$20:$E$31)))</f>
        <v>0</v>
      </c>
      <c r="AH701" s="13">
        <f>IF($AA701=10,$AG701*IF($AB701=12,IF($AG701&lt;IF($D$4="Forint",Paraméterek!$L$223,Paraméterek!$L$224),0,VLOOKUP($AA701,Paraméterek!$K$226:$M$228,IF($AG701&lt;IF($D$4="Forint",Paraméterek!$M$223,Paraméterek!$M$224),2,3))),0),0)</f>
        <v>0</v>
      </c>
      <c r="AI701" s="13">
        <f ca="1">IF(AND($AA701=$M$11+1,$AB701=$M$12+1),SUMIF($AA$20:$AA$1027,$AA701,$AG$20:$AG$1027)*IF(SUMIF($AA$20:$AA$1027,$AA701,$AG$20:$AG$1027)&lt;IF($D$4="Forint",Paraméterek!$L$223,Paraméterek!$L$224),0,VLOOKUP($AA701,Paraméterek!$K$230:$M$250,IF(SUMIF($AA$20:$AA$1027,$AA701,$AG$20:$AG$1027)&lt;IF($D$4="Forint",Paraméterek!$M$223,Paraméterek!$M$224),2,3))),0)</f>
        <v>0</v>
      </c>
      <c r="AJ701" s="13">
        <f ca="1">IF(AND($AA701&gt;=5,MOD($AA701,5)=0),IF($AB701=12,VLOOKUP($AA701,Paraméterek!$O$225:$P$240,2),0),IF(OR($AA701=3,$AA701=4),IF($AB701=12,VLOOKUP($AA701,Paraméterek!$O$225:$P$240,2,0),0),0))*$AG701</f>
        <v>0</v>
      </c>
      <c r="AK701" s="13">
        <f t="shared" ca="1" si="229"/>
        <v>0</v>
      </c>
      <c r="AL701" s="13">
        <f t="shared" ca="1" si="237"/>
        <v>0</v>
      </c>
      <c r="AM701" s="13">
        <f t="shared" ca="1" si="238"/>
        <v>0</v>
      </c>
      <c r="AO701" s="32">
        <v>682</v>
      </c>
      <c r="AP701" s="32">
        <v>57</v>
      </c>
      <c r="AQ701" s="32">
        <v>10</v>
      </c>
      <c r="AR701" s="13"/>
      <c r="AS701" s="32"/>
      <c r="AT701" s="13">
        <f t="shared" ca="1" si="239"/>
        <v>0</v>
      </c>
      <c r="AU701" s="33"/>
      <c r="AV701" s="13">
        <f t="shared" ca="1" si="230"/>
        <v>0</v>
      </c>
      <c r="AW701" s="13">
        <f ca="1">ROUNDUP(($AT701+$AV701)*VLOOKUP($AP701,Paraméterek!$P$38:$Q$38,2)/12*IF($D702="Nem",IF($M$13=0,1,$M$13),1),IF($D$4="Forint",0,2))</f>
        <v>0</v>
      </c>
      <c r="AX701" s="13"/>
      <c r="AY701" s="13"/>
      <c r="AZ701" s="13">
        <f>ROUNDUP(IF(SUM($AX701:$AY701)=0,0,IF(IF(ISBLANK($AY701),$AX701,$AY701)*Paraméterek!$J$112&lt;IF($D$4="Forint",Paraméterek!$J$113,Paraméterek!$K$113),IF($D$4="Forint",Paraméterek!$J$113,Paraméterek!$K$113),IF(IF(ISBLANK($AY701),$AX701,$AY701)*Paraméterek!$J$112&gt;IF($D$4="Forint",Paraméterek!$J$114,Paraméterek!$K$114),IF($D$4="Forint",Paraméterek!$J$114,Paraméterek!$K$114),IF(ISBLANK($AY701),$AX701,$AY701)*Paraméterek!$J$112))),IF($D$4="Forint",0,2))</f>
        <v>0</v>
      </c>
      <c r="BA701" s="13">
        <f ca="1">$AT701+$AV701-$AW701-IF(ROUNDDOWN(IF(ISBLANK($AY701),$AX701,$AY701),IF($D$4="Forint",0,2))&gt;$AT701+$AV701-$AW701-IF($D$4="Forint",Paraméterek!$J$114,Paraméterek!$K$114),0,ROUNDDOWN(IF(ISBLANK($AY701),$AX701,$AY701),IF($D$4="Forint",0,2))-$AZ701)</f>
        <v>0</v>
      </c>
      <c r="BB701" s="13">
        <f t="shared" ca="1" si="231"/>
        <v>0</v>
      </c>
      <c r="BD701" s="32">
        <v>682</v>
      </c>
      <c r="BE701" s="32">
        <v>57</v>
      </c>
      <c r="BF701" s="32">
        <v>10</v>
      </c>
      <c r="BG701" s="34">
        <f t="shared" ca="1" si="240"/>
        <v>2076</v>
      </c>
      <c r="BH701" s="32" t="str">
        <f ca="1">IF(MOD(MONTH($D$14)+$BD701-1,12)=Paraméterek!$C$288,"Igen","")</f>
        <v/>
      </c>
      <c r="BI701" s="13">
        <f ca="1">IF($BH701="Igen",MIN(ROUNDDOWN((SUMIF($BG$20:$BG$1027,$BG701-1,$K$20:$K$1027)-SUMIF($BG$20:$BG$1027,$BG701-1,$I$20:$I$1027))*Paraméterek!$C$289,IF($D$4="Forint",0,2)),IF($D$4="Forint",Paraméterek!$C$285,Paraméterek!$D$285)),0)</f>
        <v>0</v>
      </c>
      <c r="BJ701" s="13">
        <f t="shared" ca="1" si="232"/>
        <v>0</v>
      </c>
      <c r="BK701" s="13">
        <f t="shared" ca="1" si="241"/>
        <v>0</v>
      </c>
      <c r="BL701" s="33"/>
      <c r="BM701" s="13">
        <f t="shared" ca="1" si="233"/>
        <v>0</v>
      </c>
      <c r="BN701" s="13">
        <f ca="1">ROUNDUP(($BK701+$BM701)*VLOOKUP($BE701,Paraméterek!$P$38:$Q$38,2)/12*IF($D702="Nem",IF($M$13=0,1,$M$13),1),IF($D$4="Forint",0,2))</f>
        <v>0</v>
      </c>
      <c r="BO701" s="13">
        <f t="shared" ca="1" si="234"/>
        <v>0</v>
      </c>
      <c r="BP701" s="13">
        <f ca="1">IF($D702="Nem",$BO701,$BO701-ROUNDUP(SUM($BI$20:$BI701)*120%,IF($D$4="Forint",0,2)))</f>
        <v>0</v>
      </c>
    </row>
    <row r="702" spans="1:68" x14ac:dyDescent="0.2">
      <c r="A702" s="32">
        <v>683</v>
      </c>
      <c r="B702" s="32">
        <v>57</v>
      </c>
      <c r="C702" s="32">
        <v>11</v>
      </c>
      <c r="D702" s="32" t="str">
        <f t="shared" ca="1" si="220"/>
        <v>Nem</v>
      </c>
      <c r="E702" s="13">
        <f t="shared" ca="1" si="221"/>
        <v>0</v>
      </c>
      <c r="F702" s="13"/>
      <c r="G702" s="13"/>
      <c r="H702" s="13"/>
      <c r="I702" s="13">
        <f t="shared" ca="1" si="222"/>
        <v>0</v>
      </c>
      <c r="J702" s="13">
        <f t="shared" ca="1" si="223"/>
        <v>0</v>
      </c>
      <c r="K702" s="13">
        <f t="shared" ca="1" si="224"/>
        <v>0</v>
      </c>
      <c r="L702" s="13" t="e">
        <f ca="1">ROUNDUP(IF($D$2="Egyszeri",$E702,IF($D$2="Havi",SUM($E$20:$E$31),IF(MOD($C702,$M$1)-1=0,SUM($E$20:$E$31),0))/12*$M$1)*VLOOKUP($B702,Paraméterek!$I$28:$P$31,IF($D$2="Egyszeri",8,HLOOKUP(ROUNDUP($M$11+$M$13,0),Paraméterek!$J$26:$O$27,2))),IF($D$4="Forint",0,2))</f>
        <v>#N/A</v>
      </c>
      <c r="M702" s="13">
        <f t="shared" ca="1" si="225"/>
        <v>0</v>
      </c>
      <c r="N702" s="13">
        <f t="shared" ca="1" si="235"/>
        <v>0</v>
      </c>
      <c r="O702" s="13">
        <f ca="1">IF($D702="Igen",IF($W701&gt;=IF($D$4="Forint",Paraméterek!$J$121,Paraméterek!$K$121),0,IF($D$4="Forint",Paraméterek!$J$121,Paraméterek!$K$121)-$W701),0)</f>
        <v>0</v>
      </c>
      <c r="P702" s="13" t="e">
        <f ca="1">ROUNDUP($O702*VLOOKUP($M$4+$B702-1,Paraméterek!$H$58:$I$105,2,0)/Paraméterek!$I$56,IF($D$4="Forint",0,2))</f>
        <v>#N/A</v>
      </c>
      <c r="Q702" s="13">
        <f t="shared" ca="1" si="226"/>
        <v>0</v>
      </c>
      <c r="R702" s="33"/>
      <c r="S702" s="13" t="e">
        <f t="shared" ca="1" si="227"/>
        <v>#N/A</v>
      </c>
      <c r="T702" s="13" t="e">
        <f ca="1">ROUNDUP(($N702-$P702-$Q702+$S702)*VLOOKUP($B702,Paraméterek!$I$38:$K$39,IF($D$2="Egyszeri",3,2))/12*IF($D703="Nem",IF($M$13=0,1,$M$13),1),IF($D$4="Forint",0,2))</f>
        <v>#N/A</v>
      </c>
      <c r="U702" s="13"/>
      <c r="V702" s="13"/>
      <c r="W702" s="13" t="e">
        <f ca="1">$N702-$P702-$Q702+$S702-$T702-IF(ROUNDUP(IF(ISBLANK($V702),$U702*0,$V702)/IF($D$2="Egyszeri",VLOOKUP($B702+IF($C702=12,1,0),Paraméterek!$V$257:$W$262,2),IF($B702=1,1,VLOOKUP($B702+IF($C702=12,1,0),Paraméterek!$I$258:$T$278,HLOOKUP($M$11+1,Paraméterek!$J$256:$T$257,2)))),IF($D$4="Forint",0,2))&gt;$N702-$P702-$Q702+$S702-$T702-IF($D$4="Forint",Paraméterek!$C$216,Paraméterek!$D$216),0,ROUNDUP(IF(ISBLANK($V702),$U702*0,$V702)/IF($D$2="Egyszeri",VLOOKUP($B702+IF($C702=12,1,0),Paraméterek!$V$257:$W$262,2),IF($B702=1,1,VLOOKUP($B702+IF($C702=12,1,0),Paraméterek!$I$258:$T$278,HLOOKUP($M$11+1,Paraméterek!$J$256:$T$257,2)))),IF($D$4="Forint",0,2)))</f>
        <v>#N/A</v>
      </c>
      <c r="X702" s="13" t="e">
        <f ca="1">ROUNDDOWN($W702*IF($D$2="Egyszeri",VLOOKUP($B702+IF($C702=12,1,0),Paraméterek!$V$257:$W$262,2),VLOOKUP($B702+IF($C702=12,1,0),Paraméterek!$I$258:$T$278,HLOOKUP($M$11+1,Paraméterek!$I$256:$T$257,2))),IF($D$4="Forint",0,2))</f>
        <v>#N/A</v>
      </c>
      <c r="Z702" s="32">
        <v>683</v>
      </c>
      <c r="AA702" s="32">
        <v>57</v>
      </c>
      <c r="AB702" s="32">
        <v>11</v>
      </c>
      <c r="AC702" s="13">
        <f t="shared" ca="1" si="236"/>
        <v>0</v>
      </c>
      <c r="AD702" s="33"/>
      <c r="AE702" s="13">
        <f t="shared" ca="1" si="228"/>
        <v>0</v>
      </c>
      <c r="AF702" s="13">
        <f ca="1">ROUNDUP(($AC702+$AE702)*VLOOKUP($AA702,Paraméterek!$P$38:$Q$38,2)/12*IF($D703="Nem",IF($M$13=0,1,$M$13),1),IF($D$4="Forint",0,2))</f>
        <v>0</v>
      </c>
      <c r="AG702" s="13">
        <f ca="1">IF($D$2="Egyszeri",IF($D$7&gt;=IF($D$4="Forint",Paraméterek!$P$223,Paraméterek!$P$224),$D$7-IF($D$4="Forint",Paraméterek!$P$223,Paraméterek!$P$224),0),MIN(IF($AB702=12,AVERAGEIF($E$20:$E702,"&gt;0",$E$20:$E702)*12,0),SUM($E$20:$E$31)))</f>
        <v>0</v>
      </c>
      <c r="AH702" s="13">
        <f>IF($AA702=10,$AG702*IF($AB702=12,IF($AG702&lt;IF($D$4="Forint",Paraméterek!$L$223,Paraméterek!$L$224),0,VLOOKUP($AA702,Paraméterek!$K$226:$M$228,IF($AG702&lt;IF($D$4="Forint",Paraméterek!$M$223,Paraméterek!$M$224),2,3))),0),0)</f>
        <v>0</v>
      </c>
      <c r="AI702" s="13">
        <f ca="1">IF(AND($AA702=$M$11+1,$AB702=$M$12+1),SUMIF($AA$20:$AA$1027,$AA702,$AG$20:$AG$1027)*IF(SUMIF($AA$20:$AA$1027,$AA702,$AG$20:$AG$1027)&lt;IF($D$4="Forint",Paraméterek!$L$223,Paraméterek!$L$224),0,VLOOKUP($AA702,Paraméterek!$K$230:$M$250,IF(SUMIF($AA$20:$AA$1027,$AA702,$AG$20:$AG$1027)&lt;IF($D$4="Forint",Paraméterek!$M$223,Paraméterek!$M$224),2,3))),0)</f>
        <v>0</v>
      </c>
      <c r="AJ702" s="13">
        <f ca="1">IF(AND($AA702&gt;=5,MOD($AA702,5)=0),IF($AB702=12,VLOOKUP($AA702,Paraméterek!$O$225:$P$240,2),0),IF(OR($AA702=3,$AA702=4),IF($AB702=12,VLOOKUP($AA702,Paraméterek!$O$225:$P$240,2,0),0),0))*$AG702</f>
        <v>0</v>
      </c>
      <c r="AK702" s="13">
        <f t="shared" ca="1" si="229"/>
        <v>0</v>
      </c>
      <c r="AL702" s="13">
        <f t="shared" ca="1" si="237"/>
        <v>0</v>
      </c>
      <c r="AM702" s="13">
        <f t="shared" ca="1" si="238"/>
        <v>0</v>
      </c>
      <c r="AO702" s="32">
        <v>683</v>
      </c>
      <c r="AP702" s="32">
        <v>57</v>
      </c>
      <c r="AQ702" s="32">
        <v>11</v>
      </c>
      <c r="AR702" s="13"/>
      <c r="AS702" s="32"/>
      <c r="AT702" s="13">
        <f t="shared" ca="1" si="239"/>
        <v>0</v>
      </c>
      <c r="AU702" s="33"/>
      <c r="AV702" s="13">
        <f t="shared" ca="1" si="230"/>
        <v>0</v>
      </c>
      <c r="AW702" s="13">
        <f ca="1">ROUNDUP(($AT702+$AV702)*VLOOKUP($AP702,Paraméterek!$P$38:$Q$38,2)/12*IF($D703="Nem",IF($M$13=0,1,$M$13),1),IF($D$4="Forint",0,2))</f>
        <v>0</v>
      </c>
      <c r="AX702" s="13"/>
      <c r="AY702" s="13"/>
      <c r="AZ702" s="13">
        <f>ROUNDUP(IF(SUM($AX702:$AY702)=0,0,IF(IF(ISBLANK($AY702),$AX702,$AY702)*Paraméterek!$J$112&lt;IF($D$4="Forint",Paraméterek!$J$113,Paraméterek!$K$113),IF($D$4="Forint",Paraméterek!$J$113,Paraméterek!$K$113),IF(IF(ISBLANK($AY702),$AX702,$AY702)*Paraméterek!$J$112&gt;IF($D$4="Forint",Paraméterek!$J$114,Paraméterek!$K$114),IF($D$4="Forint",Paraméterek!$J$114,Paraméterek!$K$114),IF(ISBLANK($AY702),$AX702,$AY702)*Paraméterek!$J$112))),IF($D$4="Forint",0,2))</f>
        <v>0</v>
      </c>
      <c r="BA702" s="13">
        <f ca="1">$AT702+$AV702-$AW702-IF(ROUNDDOWN(IF(ISBLANK($AY702),$AX702,$AY702),IF($D$4="Forint",0,2))&gt;$AT702+$AV702-$AW702-IF($D$4="Forint",Paraméterek!$J$114,Paraméterek!$K$114),0,ROUNDDOWN(IF(ISBLANK($AY702),$AX702,$AY702),IF($D$4="Forint",0,2))-$AZ702)</f>
        <v>0</v>
      </c>
      <c r="BB702" s="13">
        <f t="shared" ca="1" si="231"/>
        <v>0</v>
      </c>
      <c r="BD702" s="32">
        <v>683</v>
      </c>
      <c r="BE702" s="32">
        <v>57</v>
      </c>
      <c r="BF702" s="32">
        <v>11</v>
      </c>
      <c r="BG702" s="34">
        <f t="shared" ca="1" si="240"/>
        <v>2076</v>
      </c>
      <c r="BH702" s="32" t="str">
        <f ca="1">IF(MOD(MONTH($D$14)+$BD702-1,12)=Paraméterek!$C$288,"Igen","")</f>
        <v/>
      </c>
      <c r="BI702" s="13">
        <f ca="1">IF($BH702="Igen",MIN(ROUNDDOWN((SUMIF($BG$20:$BG$1027,$BG702-1,$K$20:$K$1027)-SUMIF($BG$20:$BG$1027,$BG702-1,$I$20:$I$1027))*Paraméterek!$C$289,IF($D$4="Forint",0,2)),IF($D$4="Forint",Paraméterek!$C$285,Paraméterek!$D$285)),0)</f>
        <v>0</v>
      </c>
      <c r="BJ702" s="13">
        <f t="shared" ca="1" si="232"/>
        <v>0</v>
      </c>
      <c r="BK702" s="13">
        <f t="shared" ca="1" si="241"/>
        <v>0</v>
      </c>
      <c r="BL702" s="33"/>
      <c r="BM702" s="13">
        <f t="shared" ca="1" si="233"/>
        <v>0</v>
      </c>
      <c r="BN702" s="13">
        <f ca="1">ROUNDUP(($BK702+$BM702)*VLOOKUP($BE702,Paraméterek!$P$38:$Q$38,2)/12*IF($D703="Nem",IF($M$13=0,1,$M$13),1),IF($D$4="Forint",0,2))</f>
        <v>0</v>
      </c>
      <c r="BO702" s="13">
        <f t="shared" ca="1" si="234"/>
        <v>0</v>
      </c>
      <c r="BP702" s="13">
        <f ca="1">IF($D703="Nem",$BO702,$BO702-ROUNDUP(SUM($BI$20:$BI702)*120%,IF($D$4="Forint",0,2)))</f>
        <v>0</v>
      </c>
    </row>
    <row r="703" spans="1:68" x14ac:dyDescent="0.2">
      <c r="A703" s="32">
        <v>684</v>
      </c>
      <c r="B703" s="32">
        <v>57</v>
      </c>
      <c r="C703" s="32">
        <v>12</v>
      </c>
      <c r="D703" s="32" t="str">
        <f t="shared" ca="1" si="220"/>
        <v>Nem</v>
      </c>
      <c r="E703" s="13">
        <f t="shared" ca="1" si="221"/>
        <v>0</v>
      </c>
      <c r="F703" s="13"/>
      <c r="G703" s="13"/>
      <c r="H703" s="13"/>
      <c r="I703" s="13">
        <f t="shared" ca="1" si="222"/>
        <v>0</v>
      </c>
      <c r="J703" s="13">
        <f t="shared" ca="1" si="223"/>
        <v>0</v>
      </c>
      <c r="K703" s="13">
        <f t="shared" ca="1" si="224"/>
        <v>0</v>
      </c>
      <c r="L703" s="13" t="e">
        <f ca="1">ROUNDUP(IF($D$2="Egyszeri",$E703,IF($D$2="Havi",SUM($E$20:$E$31),IF(MOD($C703,$M$1)-1=0,SUM($E$20:$E$31),0))/12*$M$1)*VLOOKUP($B703,Paraméterek!$I$28:$P$31,IF($D$2="Egyszeri",8,HLOOKUP(ROUNDUP($M$11+$M$13,0),Paraméterek!$J$26:$O$27,2))),IF($D$4="Forint",0,2))</f>
        <v>#N/A</v>
      </c>
      <c r="M703" s="13">
        <f t="shared" ca="1" si="225"/>
        <v>0</v>
      </c>
      <c r="N703" s="13">
        <f t="shared" ca="1" si="235"/>
        <v>0</v>
      </c>
      <c r="O703" s="13">
        <f ca="1">IF($D703="Igen",IF($W702&gt;=IF($D$4="Forint",Paraméterek!$J$121,Paraméterek!$K$121),0,IF($D$4="Forint",Paraméterek!$J$121,Paraméterek!$K$121)-$W702),0)</f>
        <v>0</v>
      </c>
      <c r="P703" s="13" t="e">
        <f ca="1">ROUNDUP($O703*VLOOKUP($M$4+$B703-1,Paraméterek!$H$58:$I$105,2,0)/Paraméterek!$I$56,IF($D$4="Forint",0,2))</f>
        <v>#N/A</v>
      </c>
      <c r="Q703" s="13">
        <f t="shared" ca="1" si="226"/>
        <v>0</v>
      </c>
      <c r="R703" s="33"/>
      <c r="S703" s="13" t="e">
        <f t="shared" ca="1" si="227"/>
        <v>#N/A</v>
      </c>
      <c r="T703" s="13" t="e">
        <f ca="1">ROUNDUP(($N703-$P703-$Q703+$S703)*VLOOKUP($B703,Paraméterek!$I$38:$K$39,IF($D$2="Egyszeri",3,2))/12*IF($D704="Nem",IF($M$13=0,1,$M$13),1),IF($D$4="Forint",0,2))</f>
        <v>#N/A</v>
      </c>
      <c r="U703" s="13">
        <f>Tranzakciók!$F$88</f>
        <v>0</v>
      </c>
      <c r="V703" s="13"/>
      <c r="W703" s="13" t="e">
        <f ca="1">$N703-$P703-$Q703+$S703-$T703-IF(ROUNDUP(IF(ISBLANK($V703),$U703*0,$V703)/IF($D$2="Egyszeri",VLOOKUP($B703+IF($C703=12,1,0),Paraméterek!$V$257:$W$262,2),IF($B703=1,1,VLOOKUP($B703+IF($C703=12,1,0),Paraméterek!$I$258:$T$278,HLOOKUP($M$11+1,Paraméterek!$J$256:$T$257,2)))),IF($D$4="Forint",0,2))&gt;$N703-$P703-$Q703+$S703-$T703-IF($D$4="Forint",Paraméterek!$C$216,Paraméterek!$D$216),0,ROUNDUP(IF(ISBLANK($V703),$U703*0,$V703)/IF($D$2="Egyszeri",VLOOKUP($B703+IF($C703=12,1,0),Paraméterek!$V$257:$W$262,2),IF($B703=1,1,VLOOKUP($B703+IF($C703=12,1,0),Paraméterek!$I$258:$T$278,HLOOKUP($M$11+1,Paraméterek!$J$256:$T$257,2)))),IF($D$4="Forint",0,2)))</f>
        <v>#N/A</v>
      </c>
      <c r="X703" s="13" t="e">
        <f ca="1">ROUNDDOWN($W703*IF($D$2="Egyszeri",VLOOKUP($B703+IF($C703=12,1,0),Paraméterek!$V$257:$W$262,2),VLOOKUP($B703+IF($C703=12,1,0),Paraméterek!$I$258:$T$278,HLOOKUP($M$11+1,Paraméterek!$I$256:$T$257,2))),IF($D$4="Forint",0,2))</f>
        <v>#N/A</v>
      </c>
      <c r="Z703" s="32">
        <v>684</v>
      </c>
      <c r="AA703" s="32">
        <v>57</v>
      </c>
      <c r="AB703" s="32">
        <v>12</v>
      </c>
      <c r="AC703" s="13">
        <f t="shared" ca="1" si="236"/>
        <v>0</v>
      </c>
      <c r="AD703" s="33"/>
      <c r="AE703" s="13">
        <f t="shared" ca="1" si="228"/>
        <v>0</v>
      </c>
      <c r="AF703" s="13">
        <f ca="1">ROUNDUP(($AC703+$AE703)*VLOOKUP($AA703,Paraméterek!$P$38:$Q$38,2)/12*IF($D704="Nem",IF($M$13=0,1,$M$13),1),IF($D$4="Forint",0,2))</f>
        <v>0</v>
      </c>
      <c r="AG703" s="13" t="e">
        <f ca="1">IF($D$2="Egyszeri",IF($D$7&gt;=IF($D$4="Forint",Paraméterek!$P$223,Paraméterek!$P$224),$D$7-IF($D$4="Forint",Paraméterek!$P$223,Paraméterek!$P$224),0),MIN(IF($AB703=12,AVERAGEIF($E$20:$E703,"&gt;0",$E$20:$E703)*12,0),SUM($E$20:$E$31)))</f>
        <v>#DIV/0!</v>
      </c>
      <c r="AH703" s="13">
        <f>IF($AA703=10,$AG703*IF($AB703=12,IF($AG703&lt;IF($D$4="Forint",Paraméterek!$L$223,Paraméterek!$L$224),0,VLOOKUP($AA703,Paraméterek!$K$226:$M$228,IF($AG703&lt;IF($D$4="Forint",Paraméterek!$M$223,Paraméterek!$M$224),2,3))),0),0)</f>
        <v>0</v>
      </c>
      <c r="AI703" s="13">
        <f ca="1">IF(AND($AA703=$M$11+1,$AB703=$M$12+1),SUMIF($AA$20:$AA$1027,$AA703,$AG$20:$AG$1027)*IF(SUMIF($AA$20:$AA$1027,$AA703,$AG$20:$AG$1027)&lt;IF($D$4="Forint",Paraméterek!$L$223,Paraméterek!$L$224),0,VLOOKUP($AA703,Paraméterek!$K$230:$M$250,IF(SUMIF($AA$20:$AA$1027,$AA703,$AG$20:$AG$1027)&lt;IF($D$4="Forint",Paraméterek!$M$223,Paraméterek!$M$224),2,3))),0)</f>
        <v>0</v>
      </c>
      <c r="AJ703" s="13" t="e">
        <f ca="1">IF(AND($AA703&gt;=5,MOD($AA703,5)=0),IF($AB703=12,VLOOKUP($AA703,Paraméterek!$O$225:$P$240,2),0),IF(OR($AA703=3,$AA703=4),IF($AB703=12,VLOOKUP($AA703,Paraméterek!$O$225:$P$240,2,0),0),0))*$AG703</f>
        <v>#DIV/0!</v>
      </c>
      <c r="AK703" s="13">
        <f t="shared" ca="1" si="229"/>
        <v>0</v>
      </c>
      <c r="AL703" s="13">
        <f t="shared" ca="1" si="237"/>
        <v>0</v>
      </c>
      <c r="AM703" s="13">
        <f t="shared" ca="1" si="238"/>
        <v>0</v>
      </c>
      <c r="AO703" s="32">
        <v>684</v>
      </c>
      <c r="AP703" s="32">
        <v>57</v>
      </c>
      <c r="AQ703" s="32">
        <v>12</v>
      </c>
      <c r="AR703" s="13"/>
      <c r="AS703" s="32"/>
      <c r="AT703" s="13">
        <f t="shared" ca="1" si="239"/>
        <v>0</v>
      </c>
      <c r="AU703" s="33"/>
      <c r="AV703" s="13">
        <f t="shared" ca="1" si="230"/>
        <v>0</v>
      </c>
      <c r="AW703" s="13">
        <f ca="1">ROUNDUP(($AT703+$AV703)*VLOOKUP($AP703,Paraméterek!$P$38:$Q$38,2)/12*IF($D704="Nem",IF($M$13=0,1,$M$13),1),IF($D$4="Forint",0,2))</f>
        <v>0</v>
      </c>
      <c r="AX703" s="13">
        <f>Tranzakciók!$M$88</f>
        <v>0</v>
      </c>
      <c r="AY703" s="13"/>
      <c r="AZ703" s="13">
        <f>ROUNDUP(IF(SUM($AX703:$AY703)=0,0,IF(IF(ISBLANK($AY703),$AX703,$AY703)*Paraméterek!$J$112&lt;IF($D$4="Forint",Paraméterek!$J$113,Paraméterek!$K$113),IF($D$4="Forint",Paraméterek!$J$113,Paraméterek!$K$113),IF(IF(ISBLANK($AY703),$AX703,$AY703)*Paraméterek!$J$112&gt;IF($D$4="Forint",Paraméterek!$J$114,Paraméterek!$K$114),IF($D$4="Forint",Paraméterek!$J$114,Paraméterek!$K$114),IF(ISBLANK($AY703),$AX703,$AY703)*Paraméterek!$J$112))),IF($D$4="Forint",0,2))</f>
        <v>0</v>
      </c>
      <c r="BA703" s="13">
        <f ca="1">$AT703+$AV703-$AW703-IF(ROUNDDOWN(IF(ISBLANK($AY703),$AX703,$AY703),IF($D$4="Forint",0,2))&gt;$AT703+$AV703-$AW703-IF($D$4="Forint",Paraméterek!$J$114,Paraméterek!$K$114),0,ROUNDDOWN(IF(ISBLANK($AY703),$AX703,$AY703),IF($D$4="Forint",0,2))-$AZ703)</f>
        <v>0</v>
      </c>
      <c r="BB703" s="13">
        <f t="shared" ca="1" si="231"/>
        <v>0</v>
      </c>
      <c r="BD703" s="32">
        <v>684</v>
      </c>
      <c r="BE703" s="32">
        <v>57</v>
      </c>
      <c r="BF703" s="32">
        <v>12</v>
      </c>
      <c r="BG703" s="34">
        <f t="shared" ca="1" si="240"/>
        <v>2076</v>
      </c>
      <c r="BH703" s="32" t="str">
        <f ca="1">IF(MOD(MONTH($D$14)+$BD703-1,12)=Paraméterek!$C$288,"Igen","")</f>
        <v/>
      </c>
      <c r="BI703" s="13">
        <f ca="1">IF($BH703="Igen",MIN(ROUNDDOWN((SUMIF($BG$20:$BG$1027,$BG703-1,$K$20:$K$1027)-SUMIF($BG$20:$BG$1027,$BG703-1,$I$20:$I$1027))*Paraméterek!$C$289,IF($D$4="Forint",0,2)),IF($D$4="Forint",Paraméterek!$C$285,Paraméterek!$D$285)),0)</f>
        <v>0</v>
      </c>
      <c r="BJ703" s="13">
        <f t="shared" ca="1" si="232"/>
        <v>0</v>
      </c>
      <c r="BK703" s="13">
        <f t="shared" ca="1" si="241"/>
        <v>0</v>
      </c>
      <c r="BL703" s="33"/>
      <c r="BM703" s="13">
        <f t="shared" ca="1" si="233"/>
        <v>0</v>
      </c>
      <c r="BN703" s="13">
        <f ca="1">ROUNDUP(($BK703+$BM703)*VLOOKUP($BE703,Paraméterek!$P$38:$Q$38,2)/12*IF($D704="Nem",IF($M$13=0,1,$M$13),1),IF($D$4="Forint",0,2))</f>
        <v>0</v>
      </c>
      <c r="BO703" s="13">
        <f t="shared" ca="1" si="234"/>
        <v>0</v>
      </c>
      <c r="BP703" s="13">
        <f ca="1">IF($D704="Nem",$BO703,$BO703-ROUNDUP(SUM($BI$20:$BI703)*120%,IF($D$4="Forint",0,2)))</f>
        <v>0</v>
      </c>
    </row>
    <row r="704" spans="1:68" x14ac:dyDescent="0.2">
      <c r="A704" s="32">
        <v>685</v>
      </c>
      <c r="B704" s="32">
        <v>58</v>
      </c>
      <c r="C704" s="32">
        <v>1</v>
      </c>
      <c r="D704" s="32" t="str">
        <f t="shared" ca="1" si="220"/>
        <v>Nem</v>
      </c>
      <c r="E704" s="13">
        <f t="shared" ca="1" si="221"/>
        <v>0</v>
      </c>
      <c r="F704" s="13"/>
      <c r="G704" s="13">
        <f>Tranzakciók!$D$89</f>
        <v>0</v>
      </c>
      <c r="H704" s="13"/>
      <c r="I704" s="13">
        <f t="shared" ca="1" si="222"/>
        <v>0</v>
      </c>
      <c r="J704" s="13">
        <f t="shared" ca="1" si="223"/>
        <v>0</v>
      </c>
      <c r="K704" s="13">
        <f t="shared" ca="1" si="224"/>
        <v>0</v>
      </c>
      <c r="L704" s="13" t="e">
        <f ca="1">ROUNDUP(IF($D$2="Egyszeri",$E704,IF($D$2="Havi",SUM($E$20:$E$31),IF(MOD($C704,$M$1)-1=0,SUM($E$20:$E$31),0))/12*$M$1)*VLOOKUP($B704,Paraméterek!$I$28:$P$31,IF($D$2="Egyszeri",8,HLOOKUP(ROUNDUP($M$11+$M$13,0),Paraméterek!$J$26:$O$27,2))),IF($D$4="Forint",0,2))</f>
        <v>#N/A</v>
      </c>
      <c r="M704" s="13">
        <f t="shared" ca="1" si="225"/>
        <v>0</v>
      </c>
      <c r="N704" s="13">
        <f t="shared" ca="1" si="235"/>
        <v>0</v>
      </c>
      <c r="O704" s="13">
        <f ca="1">IF($D704="Igen",IF($W703&gt;=IF($D$4="Forint",Paraméterek!$J$121,Paraméterek!$K$121),0,IF($D$4="Forint",Paraméterek!$J$121,Paraméterek!$K$121)-$W703),0)</f>
        <v>0</v>
      </c>
      <c r="P704" s="13" t="e">
        <f ca="1">ROUNDUP($O704*VLOOKUP($M$4+$B704-1,Paraméterek!$H$58:$I$105,2,0)/Paraméterek!$I$56,IF($D$4="Forint",0,2))</f>
        <v>#N/A</v>
      </c>
      <c r="Q704" s="13">
        <f t="shared" ca="1" si="226"/>
        <v>0</v>
      </c>
      <c r="R704" s="33"/>
      <c r="S704" s="13" t="e">
        <f t="shared" ca="1" si="227"/>
        <v>#N/A</v>
      </c>
      <c r="T704" s="13" t="e">
        <f ca="1">ROUNDUP(($N704-$P704-$Q704+$S704)*VLOOKUP($B704,Paraméterek!$I$38:$K$39,IF($D$2="Egyszeri",3,2))/12*IF($D705="Nem",IF($M$13=0,1,$M$13),1),IF($D$4="Forint",0,2))</f>
        <v>#N/A</v>
      </c>
      <c r="U704" s="13"/>
      <c r="V704" s="13"/>
      <c r="W704" s="13" t="e">
        <f ca="1">$N704-$P704-$Q704+$S704-$T704-IF(ROUNDUP(IF(ISBLANK($V704),$U704*0,$V704)/IF($D$2="Egyszeri",VLOOKUP($B704+IF($C704=12,1,0),Paraméterek!$V$257:$W$262,2),IF($B704=1,1,VLOOKUP($B704+IF($C704=12,1,0),Paraméterek!$I$258:$T$278,HLOOKUP($M$11+1,Paraméterek!$J$256:$T$257,2)))),IF($D$4="Forint",0,2))&gt;$N704-$P704-$Q704+$S704-$T704-IF($D$4="Forint",Paraméterek!$C$216,Paraméterek!$D$216),0,ROUNDUP(IF(ISBLANK($V704),$U704*0,$V704)/IF($D$2="Egyszeri",VLOOKUP($B704+IF($C704=12,1,0),Paraméterek!$V$257:$W$262,2),IF($B704=1,1,VLOOKUP($B704+IF($C704=12,1,0),Paraméterek!$I$258:$T$278,HLOOKUP($M$11+1,Paraméterek!$J$256:$T$257,2)))),IF($D$4="Forint",0,2)))</f>
        <v>#N/A</v>
      </c>
      <c r="X704" s="13" t="e">
        <f ca="1">ROUNDDOWN($W704*IF($D$2="Egyszeri",VLOOKUP($B704+IF($C704=12,1,0),Paraméterek!$V$257:$W$262,2),VLOOKUP($B704+IF($C704=12,1,0),Paraméterek!$I$258:$T$278,HLOOKUP($M$11+1,Paraméterek!$I$256:$T$257,2))),IF($D$4="Forint",0,2))</f>
        <v>#N/A</v>
      </c>
      <c r="Z704" s="32">
        <v>685</v>
      </c>
      <c r="AA704" s="32">
        <v>58</v>
      </c>
      <c r="AB704" s="32">
        <v>1</v>
      </c>
      <c r="AC704" s="13">
        <f t="shared" ca="1" si="236"/>
        <v>0</v>
      </c>
      <c r="AD704" s="33"/>
      <c r="AE704" s="13">
        <f t="shared" ca="1" si="228"/>
        <v>0</v>
      </c>
      <c r="AF704" s="13">
        <f ca="1">ROUNDUP(($AC704+$AE704)*VLOOKUP($AA704,Paraméterek!$P$38:$Q$38,2)/12*IF($D705="Nem",IF($M$13=0,1,$M$13),1),IF($D$4="Forint",0,2))</f>
        <v>0</v>
      </c>
      <c r="AG704" s="13">
        <f ca="1">IF($D$2="Egyszeri",IF($D$7&gt;=IF($D$4="Forint",Paraméterek!$P$223,Paraméterek!$P$224),$D$7-IF($D$4="Forint",Paraméterek!$P$223,Paraméterek!$P$224),0),MIN(IF($AB704=12,AVERAGEIF($E$20:$E704,"&gt;0",$E$20:$E704)*12,0),SUM($E$20:$E$31)))</f>
        <v>0</v>
      </c>
      <c r="AH704" s="13">
        <f>IF($AA704=10,$AG704*IF($AB704=12,IF($AG704&lt;IF($D$4="Forint",Paraméterek!$L$223,Paraméterek!$L$224),0,VLOOKUP($AA704,Paraméterek!$K$226:$M$228,IF($AG704&lt;IF($D$4="Forint",Paraméterek!$M$223,Paraméterek!$M$224),2,3))),0),0)</f>
        <v>0</v>
      </c>
      <c r="AI704" s="13">
        <f ca="1">IF(AND($AA704=$M$11+1,$AB704=$M$12+1),SUMIF($AA$20:$AA$1027,$AA704,$AG$20:$AG$1027)*IF(SUMIF($AA$20:$AA$1027,$AA704,$AG$20:$AG$1027)&lt;IF($D$4="Forint",Paraméterek!$L$223,Paraméterek!$L$224),0,VLOOKUP($AA704,Paraméterek!$K$230:$M$250,IF(SUMIF($AA$20:$AA$1027,$AA704,$AG$20:$AG$1027)&lt;IF($D$4="Forint",Paraméterek!$M$223,Paraméterek!$M$224),2,3))),0)</f>
        <v>0</v>
      </c>
      <c r="AJ704" s="13">
        <f ca="1">IF(AND($AA704&gt;=5,MOD($AA704,5)=0),IF($AB704=12,VLOOKUP($AA704,Paraméterek!$O$225:$P$240,2),0),IF(OR($AA704=3,$AA704=4),IF($AB704=12,VLOOKUP($AA704,Paraméterek!$O$225:$P$240,2,0),0),0))*$AG704</f>
        <v>0</v>
      </c>
      <c r="AK704" s="13">
        <f t="shared" ca="1" si="229"/>
        <v>0</v>
      </c>
      <c r="AL704" s="13">
        <f t="shared" ca="1" si="237"/>
        <v>0</v>
      </c>
      <c r="AM704" s="13">
        <f t="shared" ca="1" si="238"/>
        <v>0</v>
      </c>
      <c r="AO704" s="32">
        <v>685</v>
      </c>
      <c r="AP704" s="32">
        <v>58</v>
      </c>
      <c r="AQ704" s="32">
        <v>1</v>
      </c>
      <c r="AR704" s="13">
        <f>Tranzakciók!$K$89</f>
        <v>0</v>
      </c>
      <c r="AS704" s="32"/>
      <c r="AT704" s="13">
        <f t="shared" ca="1" si="239"/>
        <v>0</v>
      </c>
      <c r="AU704" s="33"/>
      <c r="AV704" s="13">
        <f t="shared" ca="1" si="230"/>
        <v>0</v>
      </c>
      <c r="AW704" s="13">
        <f ca="1">ROUNDUP(($AT704+$AV704)*VLOOKUP($AP704,Paraméterek!$P$38:$Q$38,2)/12*IF($D705="Nem",IF($M$13=0,1,$M$13),1),IF($D$4="Forint",0,2))</f>
        <v>0</v>
      </c>
      <c r="AX704" s="13"/>
      <c r="AY704" s="13"/>
      <c r="AZ704" s="13">
        <f>ROUNDUP(IF(SUM($AX704:$AY704)=0,0,IF(IF(ISBLANK($AY704),$AX704,$AY704)*Paraméterek!$J$112&lt;IF($D$4="Forint",Paraméterek!$J$113,Paraméterek!$K$113),IF($D$4="Forint",Paraméterek!$J$113,Paraméterek!$K$113),IF(IF(ISBLANK($AY704),$AX704,$AY704)*Paraméterek!$J$112&gt;IF($D$4="Forint",Paraméterek!$J$114,Paraméterek!$K$114),IF($D$4="Forint",Paraméterek!$J$114,Paraméterek!$K$114),IF(ISBLANK($AY704),$AX704,$AY704)*Paraméterek!$J$112))),IF($D$4="Forint",0,2))</f>
        <v>0</v>
      </c>
      <c r="BA704" s="13">
        <f ca="1">$AT704+$AV704-$AW704-IF(ROUNDDOWN(IF(ISBLANK($AY704),$AX704,$AY704),IF($D$4="Forint",0,2))&gt;$AT704+$AV704-$AW704-IF($D$4="Forint",Paraméterek!$J$114,Paraméterek!$K$114),0,ROUNDDOWN(IF(ISBLANK($AY704),$AX704,$AY704),IF($D$4="Forint",0,2))-$AZ704)</f>
        <v>0</v>
      </c>
      <c r="BB704" s="13">
        <f t="shared" ca="1" si="231"/>
        <v>0</v>
      </c>
      <c r="BD704" s="32">
        <v>685</v>
      </c>
      <c r="BE704" s="32">
        <v>58</v>
      </c>
      <c r="BF704" s="32">
        <v>1</v>
      </c>
      <c r="BG704" s="34">
        <f t="shared" ca="1" si="240"/>
        <v>2076</v>
      </c>
      <c r="BH704" s="32" t="str">
        <f ca="1">IF(MOD(MONTH($D$14)+$BD704-1,12)=Paraméterek!$C$288,"Igen","")</f>
        <v/>
      </c>
      <c r="BI704" s="13">
        <f ca="1">IF($BH704="Igen",MIN(ROUNDDOWN((SUMIF($BG$20:$BG$1027,$BG704-1,$K$20:$K$1027)-SUMIF($BG$20:$BG$1027,$BG704-1,$I$20:$I$1027))*Paraméterek!$C$289,IF($D$4="Forint",0,2)),IF($D$4="Forint",Paraméterek!$C$285,Paraméterek!$D$285)),0)</f>
        <v>0</v>
      </c>
      <c r="BJ704" s="13">
        <f t="shared" ca="1" si="232"/>
        <v>0</v>
      </c>
      <c r="BK704" s="13">
        <f t="shared" ca="1" si="241"/>
        <v>0</v>
      </c>
      <c r="BL704" s="33"/>
      <c r="BM704" s="13">
        <f t="shared" ca="1" si="233"/>
        <v>0</v>
      </c>
      <c r="BN704" s="13">
        <f ca="1">ROUNDUP(($BK704+$BM704)*VLOOKUP($BE704,Paraméterek!$P$38:$Q$38,2)/12*IF($D705="Nem",IF($M$13=0,1,$M$13),1),IF($D$4="Forint",0,2))</f>
        <v>0</v>
      </c>
      <c r="BO704" s="13">
        <f t="shared" ca="1" si="234"/>
        <v>0</v>
      </c>
      <c r="BP704" s="13">
        <f ca="1">IF($D705="Nem",$BO704,$BO704-ROUNDUP(SUM($BI$20:$BI704)*120%,IF($D$4="Forint",0,2)))</f>
        <v>0</v>
      </c>
    </row>
    <row r="705" spans="1:68" x14ac:dyDescent="0.2">
      <c r="A705" s="32">
        <v>686</v>
      </c>
      <c r="B705" s="32">
        <v>58</v>
      </c>
      <c r="C705" s="32">
        <v>2</v>
      </c>
      <c r="D705" s="32" t="str">
        <f t="shared" ca="1" si="220"/>
        <v>Nem</v>
      </c>
      <c r="E705" s="13">
        <f t="shared" ca="1" si="221"/>
        <v>0</v>
      </c>
      <c r="F705" s="13"/>
      <c r="G705" s="13"/>
      <c r="H705" s="13"/>
      <c r="I705" s="13">
        <f t="shared" ca="1" si="222"/>
        <v>0</v>
      </c>
      <c r="J705" s="13">
        <f t="shared" ca="1" si="223"/>
        <v>0</v>
      </c>
      <c r="K705" s="13">
        <f t="shared" ca="1" si="224"/>
        <v>0</v>
      </c>
      <c r="L705" s="13" t="e">
        <f ca="1">ROUNDUP(IF($D$2="Egyszeri",$E705,IF($D$2="Havi",SUM($E$20:$E$31),IF(MOD($C705,$M$1)-1=0,SUM($E$20:$E$31),0))/12*$M$1)*VLOOKUP($B705,Paraméterek!$I$28:$P$31,IF($D$2="Egyszeri",8,HLOOKUP(ROUNDUP($M$11+$M$13,0),Paraméterek!$J$26:$O$27,2))),IF($D$4="Forint",0,2))</f>
        <v>#N/A</v>
      </c>
      <c r="M705" s="13">
        <f t="shared" ca="1" si="225"/>
        <v>0</v>
      </c>
      <c r="N705" s="13">
        <f t="shared" ca="1" si="235"/>
        <v>0</v>
      </c>
      <c r="O705" s="13">
        <f ca="1">IF($D705="Igen",IF($W704&gt;=IF($D$4="Forint",Paraméterek!$J$121,Paraméterek!$K$121),0,IF($D$4="Forint",Paraméterek!$J$121,Paraméterek!$K$121)-$W704),0)</f>
        <v>0</v>
      </c>
      <c r="P705" s="13" t="e">
        <f ca="1">ROUNDUP($O705*VLOOKUP($M$4+$B705-1,Paraméterek!$H$58:$I$105,2,0)/Paraméterek!$I$56,IF($D$4="Forint",0,2))</f>
        <v>#N/A</v>
      </c>
      <c r="Q705" s="13">
        <f t="shared" ca="1" si="226"/>
        <v>0</v>
      </c>
      <c r="R705" s="33"/>
      <c r="S705" s="13" t="e">
        <f t="shared" ca="1" si="227"/>
        <v>#N/A</v>
      </c>
      <c r="T705" s="13" t="e">
        <f ca="1">ROUNDUP(($N705-$P705-$Q705+$S705)*VLOOKUP($B705,Paraméterek!$I$38:$K$39,IF($D$2="Egyszeri",3,2))/12*IF($D706="Nem",IF($M$13=0,1,$M$13),1),IF($D$4="Forint",0,2))</f>
        <v>#N/A</v>
      </c>
      <c r="U705" s="13"/>
      <c r="V705" s="13"/>
      <c r="W705" s="13" t="e">
        <f ca="1">$N705-$P705-$Q705+$S705-$T705-IF(ROUNDUP(IF(ISBLANK($V705),$U705*0,$V705)/IF($D$2="Egyszeri",VLOOKUP($B705+IF($C705=12,1,0),Paraméterek!$V$257:$W$262,2),IF($B705=1,1,VLOOKUP($B705+IF($C705=12,1,0),Paraméterek!$I$258:$T$278,HLOOKUP($M$11+1,Paraméterek!$J$256:$T$257,2)))),IF($D$4="Forint",0,2))&gt;$N705-$P705-$Q705+$S705-$T705-IF($D$4="Forint",Paraméterek!$C$216,Paraméterek!$D$216),0,ROUNDUP(IF(ISBLANK($V705),$U705*0,$V705)/IF($D$2="Egyszeri",VLOOKUP($B705+IF($C705=12,1,0),Paraméterek!$V$257:$W$262,2),IF($B705=1,1,VLOOKUP($B705+IF($C705=12,1,0),Paraméterek!$I$258:$T$278,HLOOKUP($M$11+1,Paraméterek!$J$256:$T$257,2)))),IF($D$4="Forint",0,2)))</f>
        <v>#N/A</v>
      </c>
      <c r="X705" s="13" t="e">
        <f ca="1">ROUNDDOWN($W705*IF($D$2="Egyszeri",VLOOKUP($B705+IF($C705=12,1,0),Paraméterek!$V$257:$W$262,2),VLOOKUP($B705+IF($C705=12,1,0),Paraméterek!$I$258:$T$278,HLOOKUP($M$11+1,Paraméterek!$I$256:$T$257,2))),IF($D$4="Forint",0,2))</f>
        <v>#N/A</v>
      </c>
      <c r="Z705" s="32">
        <v>686</v>
      </c>
      <c r="AA705" s="32">
        <v>58</v>
      </c>
      <c r="AB705" s="32">
        <v>2</v>
      </c>
      <c r="AC705" s="13">
        <f t="shared" ca="1" si="236"/>
        <v>0</v>
      </c>
      <c r="AD705" s="33"/>
      <c r="AE705" s="13">
        <f t="shared" ca="1" si="228"/>
        <v>0</v>
      </c>
      <c r="AF705" s="13">
        <f ca="1">ROUNDUP(($AC705+$AE705)*VLOOKUP($AA705,Paraméterek!$P$38:$Q$38,2)/12*IF($D706="Nem",IF($M$13=0,1,$M$13),1),IF($D$4="Forint",0,2))</f>
        <v>0</v>
      </c>
      <c r="AG705" s="13">
        <f ca="1">IF($D$2="Egyszeri",IF($D$7&gt;=IF($D$4="Forint",Paraméterek!$P$223,Paraméterek!$P$224),$D$7-IF($D$4="Forint",Paraméterek!$P$223,Paraméterek!$P$224),0),MIN(IF($AB705=12,AVERAGEIF($E$20:$E705,"&gt;0",$E$20:$E705)*12,0),SUM($E$20:$E$31)))</f>
        <v>0</v>
      </c>
      <c r="AH705" s="13">
        <f>IF($AA705=10,$AG705*IF($AB705=12,IF($AG705&lt;IF($D$4="Forint",Paraméterek!$L$223,Paraméterek!$L$224),0,VLOOKUP($AA705,Paraméterek!$K$226:$M$228,IF($AG705&lt;IF($D$4="Forint",Paraméterek!$M$223,Paraméterek!$M$224),2,3))),0),0)</f>
        <v>0</v>
      </c>
      <c r="AI705" s="13">
        <f ca="1">IF(AND($AA705=$M$11+1,$AB705=$M$12+1),SUMIF($AA$20:$AA$1027,$AA705,$AG$20:$AG$1027)*IF(SUMIF($AA$20:$AA$1027,$AA705,$AG$20:$AG$1027)&lt;IF($D$4="Forint",Paraméterek!$L$223,Paraméterek!$L$224),0,VLOOKUP($AA705,Paraméterek!$K$230:$M$250,IF(SUMIF($AA$20:$AA$1027,$AA705,$AG$20:$AG$1027)&lt;IF($D$4="Forint",Paraméterek!$M$223,Paraméterek!$M$224),2,3))),0)</f>
        <v>0</v>
      </c>
      <c r="AJ705" s="13">
        <f ca="1">IF(AND($AA705&gt;=5,MOD($AA705,5)=0),IF($AB705=12,VLOOKUP($AA705,Paraméterek!$O$225:$P$240,2),0),IF(OR($AA705=3,$AA705=4),IF($AB705=12,VLOOKUP($AA705,Paraméterek!$O$225:$P$240,2,0),0),0))*$AG705</f>
        <v>0</v>
      </c>
      <c r="AK705" s="13">
        <f t="shared" ca="1" si="229"/>
        <v>0</v>
      </c>
      <c r="AL705" s="13">
        <f t="shared" ca="1" si="237"/>
        <v>0</v>
      </c>
      <c r="AM705" s="13">
        <f t="shared" ca="1" si="238"/>
        <v>0</v>
      </c>
      <c r="AO705" s="32">
        <v>686</v>
      </c>
      <c r="AP705" s="32">
        <v>58</v>
      </c>
      <c r="AQ705" s="32">
        <v>2</v>
      </c>
      <c r="AR705" s="13"/>
      <c r="AS705" s="32"/>
      <c r="AT705" s="13">
        <f t="shared" ca="1" si="239"/>
        <v>0</v>
      </c>
      <c r="AU705" s="33"/>
      <c r="AV705" s="13">
        <f t="shared" ca="1" si="230"/>
        <v>0</v>
      </c>
      <c r="AW705" s="13">
        <f ca="1">ROUNDUP(($AT705+$AV705)*VLOOKUP($AP705,Paraméterek!$P$38:$Q$38,2)/12*IF($D706="Nem",IF($M$13=0,1,$M$13),1),IF($D$4="Forint",0,2))</f>
        <v>0</v>
      </c>
      <c r="AX705" s="13"/>
      <c r="AY705" s="13"/>
      <c r="AZ705" s="13">
        <f>ROUNDUP(IF(SUM($AX705:$AY705)=0,0,IF(IF(ISBLANK($AY705),$AX705,$AY705)*Paraméterek!$J$112&lt;IF($D$4="Forint",Paraméterek!$J$113,Paraméterek!$K$113),IF($D$4="Forint",Paraméterek!$J$113,Paraméterek!$K$113),IF(IF(ISBLANK($AY705),$AX705,$AY705)*Paraméterek!$J$112&gt;IF($D$4="Forint",Paraméterek!$J$114,Paraméterek!$K$114),IF($D$4="Forint",Paraméterek!$J$114,Paraméterek!$K$114),IF(ISBLANK($AY705),$AX705,$AY705)*Paraméterek!$J$112))),IF($D$4="Forint",0,2))</f>
        <v>0</v>
      </c>
      <c r="BA705" s="13">
        <f ca="1">$AT705+$AV705-$AW705-IF(ROUNDDOWN(IF(ISBLANK($AY705),$AX705,$AY705),IF($D$4="Forint",0,2))&gt;$AT705+$AV705-$AW705-IF($D$4="Forint",Paraméterek!$J$114,Paraméterek!$K$114),0,ROUNDDOWN(IF(ISBLANK($AY705),$AX705,$AY705),IF($D$4="Forint",0,2))-$AZ705)</f>
        <v>0</v>
      </c>
      <c r="BB705" s="13">
        <f t="shared" ca="1" si="231"/>
        <v>0</v>
      </c>
      <c r="BD705" s="32">
        <v>686</v>
      </c>
      <c r="BE705" s="32">
        <v>58</v>
      </c>
      <c r="BF705" s="32">
        <v>2</v>
      </c>
      <c r="BG705" s="34">
        <f t="shared" ca="1" si="240"/>
        <v>2076</v>
      </c>
      <c r="BH705" s="32" t="str">
        <f ca="1">IF(MOD(MONTH($D$14)+$BD705-1,12)=Paraméterek!$C$288,"Igen","")</f>
        <v>Igen</v>
      </c>
      <c r="BI705" s="13">
        <f ca="1">IF($BH705="Igen",MIN(ROUNDDOWN((SUMIF($BG$20:$BG$1027,$BG705-1,$K$20:$K$1027)-SUMIF($BG$20:$BG$1027,$BG705-1,$I$20:$I$1027))*Paraméterek!$C$289,IF($D$4="Forint",0,2)),IF($D$4="Forint",Paraméterek!$C$285,Paraméterek!$D$285)),0)</f>
        <v>0</v>
      </c>
      <c r="BJ705" s="13">
        <f t="shared" ca="1" si="232"/>
        <v>0</v>
      </c>
      <c r="BK705" s="13">
        <f t="shared" ca="1" si="241"/>
        <v>0</v>
      </c>
      <c r="BL705" s="33"/>
      <c r="BM705" s="13">
        <f t="shared" ca="1" si="233"/>
        <v>0</v>
      </c>
      <c r="BN705" s="13">
        <f ca="1">ROUNDUP(($BK705+$BM705)*VLOOKUP($BE705,Paraméterek!$P$38:$Q$38,2)/12*IF($D706="Nem",IF($M$13=0,1,$M$13),1),IF($D$4="Forint",0,2))</f>
        <v>0</v>
      </c>
      <c r="BO705" s="13">
        <f t="shared" ca="1" si="234"/>
        <v>0</v>
      </c>
      <c r="BP705" s="13">
        <f ca="1">IF($D706="Nem",$BO705,$BO705-ROUNDUP(SUM($BI$20:$BI705)*120%,IF($D$4="Forint",0,2)))</f>
        <v>0</v>
      </c>
    </row>
    <row r="706" spans="1:68" x14ac:dyDescent="0.2">
      <c r="A706" s="32">
        <v>687</v>
      </c>
      <c r="B706" s="32">
        <v>58</v>
      </c>
      <c r="C706" s="32">
        <v>3</v>
      </c>
      <c r="D706" s="32" t="str">
        <f t="shared" ca="1" si="220"/>
        <v>Nem</v>
      </c>
      <c r="E706" s="13">
        <f t="shared" ca="1" si="221"/>
        <v>0</v>
      </c>
      <c r="F706" s="13"/>
      <c r="G706" s="13"/>
      <c r="H706" s="13"/>
      <c r="I706" s="13">
        <f t="shared" ca="1" si="222"/>
        <v>0</v>
      </c>
      <c r="J706" s="13">
        <f t="shared" ca="1" si="223"/>
        <v>0</v>
      </c>
      <c r="K706" s="13">
        <f t="shared" ca="1" si="224"/>
        <v>0</v>
      </c>
      <c r="L706" s="13" t="e">
        <f ca="1">ROUNDUP(IF($D$2="Egyszeri",$E706,IF($D$2="Havi",SUM($E$20:$E$31),IF(MOD($C706,$M$1)-1=0,SUM($E$20:$E$31),0))/12*$M$1)*VLOOKUP($B706,Paraméterek!$I$28:$P$31,IF($D$2="Egyszeri",8,HLOOKUP(ROUNDUP($M$11+$M$13,0),Paraméterek!$J$26:$O$27,2))),IF($D$4="Forint",0,2))</f>
        <v>#N/A</v>
      </c>
      <c r="M706" s="13">
        <f t="shared" ca="1" si="225"/>
        <v>0</v>
      </c>
      <c r="N706" s="13">
        <f t="shared" ca="1" si="235"/>
        <v>0</v>
      </c>
      <c r="O706" s="13">
        <f ca="1">IF($D706="Igen",IF($W705&gt;=IF($D$4="Forint",Paraméterek!$J$121,Paraméterek!$K$121),0,IF($D$4="Forint",Paraméterek!$J$121,Paraméterek!$K$121)-$W705),0)</f>
        <v>0</v>
      </c>
      <c r="P706" s="13" t="e">
        <f ca="1">ROUNDUP($O706*VLOOKUP($M$4+$B706-1,Paraméterek!$H$58:$I$105,2,0)/Paraméterek!$I$56,IF($D$4="Forint",0,2))</f>
        <v>#N/A</v>
      </c>
      <c r="Q706" s="13">
        <f t="shared" ca="1" si="226"/>
        <v>0</v>
      </c>
      <c r="R706" s="33"/>
      <c r="S706" s="13" t="e">
        <f t="shared" ca="1" si="227"/>
        <v>#N/A</v>
      </c>
      <c r="T706" s="13" t="e">
        <f ca="1">ROUNDUP(($N706-$P706-$Q706+$S706)*VLOOKUP($B706,Paraméterek!$I$38:$K$39,IF($D$2="Egyszeri",3,2))/12*IF($D707="Nem",IF($M$13=0,1,$M$13),1),IF($D$4="Forint",0,2))</f>
        <v>#N/A</v>
      </c>
      <c r="U706" s="13"/>
      <c r="V706" s="13"/>
      <c r="W706" s="13" t="e">
        <f ca="1">$N706-$P706-$Q706+$S706-$T706-IF(ROUNDUP(IF(ISBLANK($V706),$U706*0,$V706)/IF($D$2="Egyszeri",VLOOKUP($B706+IF($C706=12,1,0),Paraméterek!$V$257:$W$262,2),IF($B706=1,1,VLOOKUP($B706+IF($C706=12,1,0),Paraméterek!$I$258:$T$278,HLOOKUP($M$11+1,Paraméterek!$J$256:$T$257,2)))),IF($D$4="Forint",0,2))&gt;$N706-$P706-$Q706+$S706-$T706-IF($D$4="Forint",Paraméterek!$C$216,Paraméterek!$D$216),0,ROUNDUP(IF(ISBLANK($V706),$U706*0,$V706)/IF($D$2="Egyszeri",VLOOKUP($B706+IF($C706=12,1,0),Paraméterek!$V$257:$W$262,2),IF($B706=1,1,VLOOKUP($B706+IF($C706=12,1,0),Paraméterek!$I$258:$T$278,HLOOKUP($M$11+1,Paraméterek!$J$256:$T$257,2)))),IF($D$4="Forint",0,2)))</f>
        <v>#N/A</v>
      </c>
      <c r="X706" s="13" t="e">
        <f ca="1">ROUNDDOWN($W706*IF($D$2="Egyszeri",VLOOKUP($B706+IF($C706=12,1,0),Paraméterek!$V$257:$W$262,2),VLOOKUP($B706+IF($C706=12,1,0),Paraméterek!$I$258:$T$278,HLOOKUP($M$11+1,Paraméterek!$I$256:$T$257,2))),IF($D$4="Forint",0,2))</f>
        <v>#N/A</v>
      </c>
      <c r="Z706" s="32">
        <v>687</v>
      </c>
      <c r="AA706" s="32">
        <v>58</v>
      </c>
      <c r="AB706" s="32">
        <v>3</v>
      </c>
      <c r="AC706" s="13">
        <f t="shared" ca="1" si="236"/>
        <v>0</v>
      </c>
      <c r="AD706" s="33"/>
      <c r="AE706" s="13">
        <f t="shared" ca="1" si="228"/>
        <v>0</v>
      </c>
      <c r="AF706" s="13">
        <f ca="1">ROUNDUP(($AC706+$AE706)*VLOOKUP($AA706,Paraméterek!$P$38:$Q$38,2)/12*IF($D707="Nem",IF($M$13=0,1,$M$13),1),IF($D$4="Forint",0,2))</f>
        <v>0</v>
      </c>
      <c r="AG706" s="13">
        <f ca="1">IF($D$2="Egyszeri",IF($D$7&gt;=IF($D$4="Forint",Paraméterek!$P$223,Paraméterek!$P$224),$D$7-IF($D$4="Forint",Paraméterek!$P$223,Paraméterek!$P$224),0),MIN(IF($AB706=12,AVERAGEIF($E$20:$E706,"&gt;0",$E$20:$E706)*12,0),SUM($E$20:$E$31)))</f>
        <v>0</v>
      </c>
      <c r="AH706" s="13">
        <f>IF($AA706=10,$AG706*IF($AB706=12,IF($AG706&lt;IF($D$4="Forint",Paraméterek!$L$223,Paraméterek!$L$224),0,VLOOKUP($AA706,Paraméterek!$K$226:$M$228,IF($AG706&lt;IF($D$4="Forint",Paraméterek!$M$223,Paraméterek!$M$224),2,3))),0),0)</f>
        <v>0</v>
      </c>
      <c r="AI706" s="13">
        <f ca="1">IF(AND($AA706=$M$11+1,$AB706=$M$12+1),SUMIF($AA$20:$AA$1027,$AA706,$AG$20:$AG$1027)*IF(SUMIF($AA$20:$AA$1027,$AA706,$AG$20:$AG$1027)&lt;IF($D$4="Forint",Paraméterek!$L$223,Paraméterek!$L$224),0,VLOOKUP($AA706,Paraméterek!$K$230:$M$250,IF(SUMIF($AA$20:$AA$1027,$AA706,$AG$20:$AG$1027)&lt;IF($D$4="Forint",Paraméterek!$M$223,Paraméterek!$M$224),2,3))),0)</f>
        <v>0</v>
      </c>
      <c r="AJ706" s="13">
        <f ca="1">IF(AND($AA706&gt;=5,MOD($AA706,5)=0),IF($AB706=12,VLOOKUP($AA706,Paraméterek!$O$225:$P$240,2),0),IF(OR($AA706=3,$AA706=4),IF($AB706=12,VLOOKUP($AA706,Paraméterek!$O$225:$P$240,2,0),0),0))*$AG706</f>
        <v>0</v>
      </c>
      <c r="AK706" s="13">
        <f t="shared" ca="1" si="229"/>
        <v>0</v>
      </c>
      <c r="AL706" s="13">
        <f t="shared" ca="1" si="237"/>
        <v>0</v>
      </c>
      <c r="AM706" s="13">
        <f t="shared" ca="1" si="238"/>
        <v>0</v>
      </c>
      <c r="AO706" s="32">
        <v>687</v>
      </c>
      <c r="AP706" s="32">
        <v>58</v>
      </c>
      <c r="AQ706" s="32">
        <v>3</v>
      </c>
      <c r="AR706" s="13"/>
      <c r="AS706" s="32"/>
      <c r="AT706" s="13">
        <f t="shared" ca="1" si="239"/>
        <v>0</v>
      </c>
      <c r="AU706" s="33"/>
      <c r="AV706" s="13">
        <f t="shared" ca="1" si="230"/>
        <v>0</v>
      </c>
      <c r="AW706" s="13">
        <f ca="1">ROUNDUP(($AT706+$AV706)*VLOOKUP($AP706,Paraméterek!$P$38:$Q$38,2)/12*IF($D707="Nem",IF($M$13=0,1,$M$13),1),IF($D$4="Forint",0,2))</f>
        <v>0</v>
      </c>
      <c r="AX706" s="13"/>
      <c r="AY706" s="13"/>
      <c r="AZ706" s="13">
        <f>ROUNDUP(IF(SUM($AX706:$AY706)=0,0,IF(IF(ISBLANK($AY706),$AX706,$AY706)*Paraméterek!$J$112&lt;IF($D$4="Forint",Paraméterek!$J$113,Paraméterek!$K$113),IF($D$4="Forint",Paraméterek!$J$113,Paraméterek!$K$113),IF(IF(ISBLANK($AY706),$AX706,$AY706)*Paraméterek!$J$112&gt;IF($D$4="Forint",Paraméterek!$J$114,Paraméterek!$K$114),IF($D$4="Forint",Paraméterek!$J$114,Paraméterek!$K$114),IF(ISBLANK($AY706),$AX706,$AY706)*Paraméterek!$J$112))),IF($D$4="Forint",0,2))</f>
        <v>0</v>
      </c>
      <c r="BA706" s="13">
        <f ca="1">$AT706+$AV706-$AW706-IF(ROUNDDOWN(IF(ISBLANK($AY706),$AX706,$AY706),IF($D$4="Forint",0,2))&gt;$AT706+$AV706-$AW706-IF($D$4="Forint",Paraméterek!$J$114,Paraméterek!$K$114),0,ROUNDDOWN(IF(ISBLANK($AY706),$AX706,$AY706),IF($D$4="Forint",0,2))-$AZ706)</f>
        <v>0</v>
      </c>
      <c r="BB706" s="13">
        <f t="shared" ca="1" si="231"/>
        <v>0</v>
      </c>
      <c r="BD706" s="32">
        <v>687</v>
      </c>
      <c r="BE706" s="32">
        <v>58</v>
      </c>
      <c r="BF706" s="32">
        <v>3</v>
      </c>
      <c r="BG706" s="34">
        <f t="shared" ca="1" si="240"/>
        <v>2076</v>
      </c>
      <c r="BH706" s="32" t="str">
        <f ca="1">IF(MOD(MONTH($D$14)+$BD706-1,12)=Paraméterek!$C$288,"Igen","")</f>
        <v/>
      </c>
      <c r="BI706" s="13">
        <f ca="1">IF($BH706="Igen",MIN(ROUNDDOWN((SUMIF($BG$20:$BG$1027,$BG706-1,$K$20:$K$1027)-SUMIF($BG$20:$BG$1027,$BG706-1,$I$20:$I$1027))*Paraméterek!$C$289,IF($D$4="Forint",0,2)),IF($D$4="Forint",Paraméterek!$C$285,Paraméterek!$D$285)),0)</f>
        <v>0</v>
      </c>
      <c r="BJ706" s="13">
        <f t="shared" ca="1" si="232"/>
        <v>0</v>
      </c>
      <c r="BK706" s="13">
        <f t="shared" ca="1" si="241"/>
        <v>0</v>
      </c>
      <c r="BL706" s="33"/>
      <c r="BM706" s="13">
        <f t="shared" ca="1" si="233"/>
        <v>0</v>
      </c>
      <c r="BN706" s="13">
        <f ca="1">ROUNDUP(($BK706+$BM706)*VLOOKUP($BE706,Paraméterek!$P$38:$Q$38,2)/12*IF($D707="Nem",IF($M$13=0,1,$M$13),1),IF($D$4="Forint",0,2))</f>
        <v>0</v>
      </c>
      <c r="BO706" s="13">
        <f t="shared" ca="1" si="234"/>
        <v>0</v>
      </c>
      <c r="BP706" s="13">
        <f ca="1">IF($D707="Nem",$BO706,$BO706-ROUNDUP(SUM($BI$20:$BI706)*120%,IF($D$4="Forint",0,2)))</f>
        <v>0</v>
      </c>
    </row>
    <row r="707" spans="1:68" x14ac:dyDescent="0.2">
      <c r="A707" s="32">
        <v>688</v>
      </c>
      <c r="B707" s="32">
        <v>58</v>
      </c>
      <c r="C707" s="32">
        <v>4</v>
      </c>
      <c r="D707" s="32" t="str">
        <f t="shared" ca="1" si="220"/>
        <v>Nem</v>
      </c>
      <c r="E707" s="13">
        <f t="shared" ca="1" si="221"/>
        <v>0</v>
      </c>
      <c r="F707" s="13"/>
      <c r="G707" s="13"/>
      <c r="H707" s="13"/>
      <c r="I707" s="13">
        <f t="shared" ca="1" si="222"/>
        <v>0</v>
      </c>
      <c r="J707" s="13">
        <f t="shared" ca="1" si="223"/>
        <v>0</v>
      </c>
      <c r="K707" s="13">
        <f t="shared" ca="1" si="224"/>
        <v>0</v>
      </c>
      <c r="L707" s="13" t="e">
        <f ca="1">ROUNDUP(IF($D$2="Egyszeri",$E707,IF($D$2="Havi",SUM($E$20:$E$31),IF(MOD($C707,$M$1)-1=0,SUM($E$20:$E$31),0))/12*$M$1)*VLOOKUP($B707,Paraméterek!$I$28:$P$31,IF($D$2="Egyszeri",8,HLOOKUP(ROUNDUP($M$11+$M$13,0),Paraméterek!$J$26:$O$27,2))),IF($D$4="Forint",0,2))</f>
        <v>#N/A</v>
      </c>
      <c r="M707" s="13">
        <f t="shared" ca="1" si="225"/>
        <v>0</v>
      </c>
      <c r="N707" s="13">
        <f t="shared" ca="1" si="235"/>
        <v>0</v>
      </c>
      <c r="O707" s="13">
        <f ca="1">IF($D707="Igen",IF($W706&gt;=IF($D$4="Forint",Paraméterek!$J$121,Paraméterek!$K$121),0,IF($D$4="Forint",Paraméterek!$J$121,Paraméterek!$K$121)-$W706),0)</f>
        <v>0</v>
      </c>
      <c r="P707" s="13" t="e">
        <f ca="1">ROUNDUP($O707*VLOOKUP($M$4+$B707-1,Paraméterek!$H$58:$I$105,2,0)/Paraméterek!$I$56,IF($D$4="Forint",0,2))</f>
        <v>#N/A</v>
      </c>
      <c r="Q707" s="13">
        <f t="shared" ca="1" si="226"/>
        <v>0</v>
      </c>
      <c r="R707" s="33"/>
      <c r="S707" s="13" t="e">
        <f t="shared" ca="1" si="227"/>
        <v>#N/A</v>
      </c>
      <c r="T707" s="13" t="e">
        <f ca="1">ROUNDUP(($N707-$P707-$Q707+$S707)*VLOOKUP($B707,Paraméterek!$I$38:$K$39,IF($D$2="Egyszeri",3,2))/12*IF($D708="Nem",IF($M$13=0,1,$M$13),1),IF($D$4="Forint",0,2))</f>
        <v>#N/A</v>
      </c>
      <c r="U707" s="13"/>
      <c r="V707" s="13"/>
      <c r="W707" s="13" t="e">
        <f ca="1">$N707-$P707-$Q707+$S707-$T707-IF(ROUNDUP(IF(ISBLANK($V707),$U707*0,$V707)/IF($D$2="Egyszeri",VLOOKUP($B707+IF($C707=12,1,0),Paraméterek!$V$257:$W$262,2),IF($B707=1,1,VLOOKUP($B707+IF($C707=12,1,0),Paraméterek!$I$258:$T$278,HLOOKUP($M$11+1,Paraméterek!$J$256:$T$257,2)))),IF($D$4="Forint",0,2))&gt;$N707-$P707-$Q707+$S707-$T707-IF($D$4="Forint",Paraméterek!$C$216,Paraméterek!$D$216),0,ROUNDUP(IF(ISBLANK($V707),$U707*0,$V707)/IF($D$2="Egyszeri",VLOOKUP($B707+IF($C707=12,1,0),Paraméterek!$V$257:$W$262,2),IF($B707=1,1,VLOOKUP($B707+IF($C707=12,1,0),Paraméterek!$I$258:$T$278,HLOOKUP($M$11+1,Paraméterek!$J$256:$T$257,2)))),IF($D$4="Forint",0,2)))</f>
        <v>#N/A</v>
      </c>
      <c r="X707" s="13" t="e">
        <f ca="1">ROUNDDOWN($W707*IF($D$2="Egyszeri",VLOOKUP($B707+IF($C707=12,1,0),Paraméterek!$V$257:$W$262,2),VLOOKUP($B707+IF($C707=12,1,0),Paraméterek!$I$258:$T$278,HLOOKUP($M$11+1,Paraméterek!$I$256:$T$257,2))),IF($D$4="Forint",0,2))</f>
        <v>#N/A</v>
      </c>
      <c r="Z707" s="32">
        <v>688</v>
      </c>
      <c r="AA707" s="32">
        <v>58</v>
      </c>
      <c r="AB707" s="32">
        <v>4</v>
      </c>
      <c r="AC707" s="13">
        <f t="shared" ca="1" si="236"/>
        <v>0</v>
      </c>
      <c r="AD707" s="33"/>
      <c r="AE707" s="13">
        <f t="shared" ca="1" si="228"/>
        <v>0</v>
      </c>
      <c r="AF707" s="13">
        <f ca="1">ROUNDUP(($AC707+$AE707)*VLOOKUP($AA707,Paraméterek!$P$38:$Q$38,2)/12*IF($D708="Nem",IF($M$13=0,1,$M$13),1),IF($D$4="Forint",0,2))</f>
        <v>0</v>
      </c>
      <c r="AG707" s="13">
        <f ca="1">IF($D$2="Egyszeri",IF($D$7&gt;=IF($D$4="Forint",Paraméterek!$P$223,Paraméterek!$P$224),$D$7-IF($D$4="Forint",Paraméterek!$P$223,Paraméterek!$P$224),0),MIN(IF($AB707=12,AVERAGEIF($E$20:$E707,"&gt;0",$E$20:$E707)*12,0),SUM($E$20:$E$31)))</f>
        <v>0</v>
      </c>
      <c r="AH707" s="13">
        <f>IF($AA707=10,$AG707*IF($AB707=12,IF($AG707&lt;IF($D$4="Forint",Paraméterek!$L$223,Paraméterek!$L$224),0,VLOOKUP($AA707,Paraméterek!$K$226:$M$228,IF($AG707&lt;IF($D$4="Forint",Paraméterek!$M$223,Paraméterek!$M$224),2,3))),0),0)</f>
        <v>0</v>
      </c>
      <c r="AI707" s="13">
        <f ca="1">IF(AND($AA707=$M$11+1,$AB707=$M$12+1),SUMIF($AA$20:$AA$1027,$AA707,$AG$20:$AG$1027)*IF(SUMIF($AA$20:$AA$1027,$AA707,$AG$20:$AG$1027)&lt;IF($D$4="Forint",Paraméterek!$L$223,Paraméterek!$L$224),0,VLOOKUP($AA707,Paraméterek!$K$230:$M$250,IF(SUMIF($AA$20:$AA$1027,$AA707,$AG$20:$AG$1027)&lt;IF($D$4="Forint",Paraméterek!$M$223,Paraméterek!$M$224),2,3))),0)</f>
        <v>0</v>
      </c>
      <c r="AJ707" s="13">
        <f ca="1">IF(AND($AA707&gt;=5,MOD($AA707,5)=0),IF($AB707=12,VLOOKUP($AA707,Paraméterek!$O$225:$P$240,2),0),IF(OR($AA707=3,$AA707=4),IF($AB707=12,VLOOKUP($AA707,Paraméterek!$O$225:$P$240,2,0),0),0))*$AG707</f>
        <v>0</v>
      </c>
      <c r="AK707" s="13">
        <f t="shared" ca="1" si="229"/>
        <v>0</v>
      </c>
      <c r="AL707" s="13">
        <f t="shared" ca="1" si="237"/>
        <v>0</v>
      </c>
      <c r="AM707" s="13">
        <f t="shared" ca="1" si="238"/>
        <v>0</v>
      </c>
      <c r="AO707" s="32">
        <v>688</v>
      </c>
      <c r="AP707" s="32">
        <v>58</v>
      </c>
      <c r="AQ707" s="32">
        <v>4</v>
      </c>
      <c r="AR707" s="13"/>
      <c r="AS707" s="32"/>
      <c r="AT707" s="13">
        <f t="shared" ca="1" si="239"/>
        <v>0</v>
      </c>
      <c r="AU707" s="33"/>
      <c r="AV707" s="13">
        <f t="shared" ca="1" si="230"/>
        <v>0</v>
      </c>
      <c r="AW707" s="13">
        <f ca="1">ROUNDUP(($AT707+$AV707)*VLOOKUP($AP707,Paraméterek!$P$38:$Q$38,2)/12*IF($D708="Nem",IF($M$13=0,1,$M$13),1),IF($D$4="Forint",0,2))</f>
        <v>0</v>
      </c>
      <c r="AX707" s="13"/>
      <c r="AY707" s="13"/>
      <c r="AZ707" s="13">
        <f>ROUNDUP(IF(SUM($AX707:$AY707)=0,0,IF(IF(ISBLANK($AY707),$AX707,$AY707)*Paraméterek!$J$112&lt;IF($D$4="Forint",Paraméterek!$J$113,Paraméterek!$K$113),IF($D$4="Forint",Paraméterek!$J$113,Paraméterek!$K$113),IF(IF(ISBLANK($AY707),$AX707,$AY707)*Paraméterek!$J$112&gt;IF($D$4="Forint",Paraméterek!$J$114,Paraméterek!$K$114),IF($D$4="Forint",Paraméterek!$J$114,Paraméterek!$K$114),IF(ISBLANK($AY707),$AX707,$AY707)*Paraméterek!$J$112))),IF($D$4="Forint",0,2))</f>
        <v>0</v>
      </c>
      <c r="BA707" s="13">
        <f ca="1">$AT707+$AV707-$AW707-IF(ROUNDDOWN(IF(ISBLANK($AY707),$AX707,$AY707),IF($D$4="Forint",0,2))&gt;$AT707+$AV707-$AW707-IF($D$4="Forint",Paraméterek!$J$114,Paraméterek!$K$114),0,ROUNDDOWN(IF(ISBLANK($AY707),$AX707,$AY707),IF($D$4="Forint",0,2))-$AZ707)</f>
        <v>0</v>
      </c>
      <c r="BB707" s="13">
        <f t="shared" ca="1" si="231"/>
        <v>0</v>
      </c>
      <c r="BD707" s="32">
        <v>688</v>
      </c>
      <c r="BE707" s="32">
        <v>58</v>
      </c>
      <c r="BF707" s="32">
        <v>4</v>
      </c>
      <c r="BG707" s="34">
        <f t="shared" ca="1" si="240"/>
        <v>2076</v>
      </c>
      <c r="BH707" s="32" t="str">
        <f ca="1">IF(MOD(MONTH($D$14)+$BD707-1,12)=Paraméterek!$C$288,"Igen","")</f>
        <v/>
      </c>
      <c r="BI707" s="13">
        <f ca="1">IF($BH707="Igen",MIN(ROUNDDOWN((SUMIF($BG$20:$BG$1027,$BG707-1,$K$20:$K$1027)-SUMIF($BG$20:$BG$1027,$BG707-1,$I$20:$I$1027))*Paraméterek!$C$289,IF($D$4="Forint",0,2)),IF($D$4="Forint",Paraméterek!$C$285,Paraméterek!$D$285)),0)</f>
        <v>0</v>
      </c>
      <c r="BJ707" s="13">
        <f t="shared" ca="1" si="232"/>
        <v>0</v>
      </c>
      <c r="BK707" s="13">
        <f t="shared" ca="1" si="241"/>
        <v>0</v>
      </c>
      <c r="BL707" s="33"/>
      <c r="BM707" s="13">
        <f t="shared" ca="1" si="233"/>
        <v>0</v>
      </c>
      <c r="BN707" s="13">
        <f ca="1">ROUNDUP(($BK707+$BM707)*VLOOKUP($BE707,Paraméterek!$P$38:$Q$38,2)/12*IF($D708="Nem",IF($M$13=0,1,$M$13),1),IF($D$4="Forint",0,2))</f>
        <v>0</v>
      </c>
      <c r="BO707" s="13">
        <f t="shared" ca="1" si="234"/>
        <v>0</v>
      </c>
      <c r="BP707" s="13">
        <f ca="1">IF($D708="Nem",$BO707,$BO707-ROUNDUP(SUM($BI$20:$BI707)*120%,IF($D$4="Forint",0,2)))</f>
        <v>0</v>
      </c>
    </row>
    <row r="708" spans="1:68" x14ac:dyDescent="0.2">
      <c r="A708" s="32">
        <v>689</v>
      </c>
      <c r="B708" s="32">
        <v>58</v>
      </c>
      <c r="C708" s="32">
        <v>5</v>
      </c>
      <c r="D708" s="32" t="str">
        <f t="shared" ca="1" si="220"/>
        <v>Nem</v>
      </c>
      <c r="E708" s="13">
        <f t="shared" ca="1" si="221"/>
        <v>0</v>
      </c>
      <c r="F708" s="13"/>
      <c r="G708" s="13"/>
      <c r="H708" s="13"/>
      <c r="I708" s="13">
        <f t="shared" ca="1" si="222"/>
        <v>0</v>
      </c>
      <c r="J708" s="13">
        <f t="shared" ca="1" si="223"/>
        <v>0</v>
      </c>
      <c r="K708" s="13">
        <f t="shared" ca="1" si="224"/>
        <v>0</v>
      </c>
      <c r="L708" s="13" t="e">
        <f ca="1">ROUNDUP(IF($D$2="Egyszeri",$E708,IF($D$2="Havi",SUM($E$20:$E$31),IF(MOD($C708,$M$1)-1=0,SUM($E$20:$E$31),0))/12*$M$1)*VLOOKUP($B708,Paraméterek!$I$28:$P$31,IF($D$2="Egyszeri",8,HLOOKUP(ROUNDUP($M$11+$M$13,0),Paraméterek!$J$26:$O$27,2))),IF($D$4="Forint",0,2))</f>
        <v>#N/A</v>
      </c>
      <c r="M708" s="13">
        <f t="shared" ca="1" si="225"/>
        <v>0</v>
      </c>
      <c r="N708" s="13">
        <f t="shared" ca="1" si="235"/>
        <v>0</v>
      </c>
      <c r="O708" s="13">
        <f ca="1">IF($D708="Igen",IF($W707&gt;=IF($D$4="Forint",Paraméterek!$J$121,Paraméterek!$K$121),0,IF($D$4="Forint",Paraméterek!$J$121,Paraméterek!$K$121)-$W707),0)</f>
        <v>0</v>
      </c>
      <c r="P708" s="13" t="e">
        <f ca="1">ROUNDUP($O708*VLOOKUP($M$4+$B708-1,Paraméterek!$H$58:$I$105,2,0)/Paraméterek!$I$56,IF($D$4="Forint",0,2))</f>
        <v>#N/A</v>
      </c>
      <c r="Q708" s="13">
        <f t="shared" ca="1" si="226"/>
        <v>0</v>
      </c>
      <c r="R708" s="33"/>
      <c r="S708" s="13" t="e">
        <f t="shared" ca="1" si="227"/>
        <v>#N/A</v>
      </c>
      <c r="T708" s="13" t="e">
        <f ca="1">ROUNDUP(($N708-$P708-$Q708+$S708)*VLOOKUP($B708,Paraméterek!$I$38:$K$39,IF($D$2="Egyszeri",3,2))/12*IF($D709="Nem",IF($M$13=0,1,$M$13),1),IF($D$4="Forint",0,2))</f>
        <v>#N/A</v>
      </c>
      <c r="U708" s="13"/>
      <c r="V708" s="13"/>
      <c r="W708" s="13" t="e">
        <f ca="1">$N708-$P708-$Q708+$S708-$T708-IF(ROUNDUP(IF(ISBLANK($V708),$U708*0,$V708)/IF($D$2="Egyszeri",VLOOKUP($B708+IF($C708=12,1,0),Paraméterek!$V$257:$W$262,2),IF($B708=1,1,VLOOKUP($B708+IF($C708=12,1,0),Paraméterek!$I$258:$T$278,HLOOKUP($M$11+1,Paraméterek!$J$256:$T$257,2)))),IF($D$4="Forint",0,2))&gt;$N708-$P708-$Q708+$S708-$T708-IF($D$4="Forint",Paraméterek!$C$216,Paraméterek!$D$216),0,ROUNDUP(IF(ISBLANK($V708),$U708*0,$V708)/IF($D$2="Egyszeri",VLOOKUP($B708+IF($C708=12,1,0),Paraméterek!$V$257:$W$262,2),IF($B708=1,1,VLOOKUP($B708+IF($C708=12,1,0),Paraméterek!$I$258:$T$278,HLOOKUP($M$11+1,Paraméterek!$J$256:$T$257,2)))),IF($D$4="Forint",0,2)))</f>
        <v>#N/A</v>
      </c>
      <c r="X708" s="13" t="e">
        <f ca="1">ROUNDDOWN($W708*IF($D$2="Egyszeri",VLOOKUP($B708+IF($C708=12,1,0),Paraméterek!$V$257:$W$262,2),VLOOKUP($B708+IF($C708=12,1,0),Paraméterek!$I$258:$T$278,HLOOKUP($M$11+1,Paraméterek!$I$256:$T$257,2))),IF($D$4="Forint",0,2))</f>
        <v>#N/A</v>
      </c>
      <c r="Z708" s="32">
        <v>689</v>
      </c>
      <c r="AA708" s="32">
        <v>58</v>
      </c>
      <c r="AB708" s="32">
        <v>5</v>
      </c>
      <c r="AC708" s="13">
        <f t="shared" ca="1" si="236"/>
        <v>0</v>
      </c>
      <c r="AD708" s="33"/>
      <c r="AE708" s="13">
        <f t="shared" ca="1" si="228"/>
        <v>0</v>
      </c>
      <c r="AF708" s="13">
        <f ca="1">ROUNDUP(($AC708+$AE708)*VLOOKUP($AA708,Paraméterek!$P$38:$Q$38,2)/12*IF($D709="Nem",IF($M$13=0,1,$M$13),1),IF($D$4="Forint",0,2))</f>
        <v>0</v>
      </c>
      <c r="AG708" s="13">
        <f ca="1">IF($D$2="Egyszeri",IF($D$7&gt;=IF($D$4="Forint",Paraméterek!$P$223,Paraméterek!$P$224),$D$7-IF($D$4="Forint",Paraméterek!$P$223,Paraméterek!$P$224),0),MIN(IF($AB708=12,AVERAGEIF($E$20:$E708,"&gt;0",$E$20:$E708)*12,0),SUM($E$20:$E$31)))</f>
        <v>0</v>
      </c>
      <c r="AH708" s="13">
        <f>IF($AA708=10,$AG708*IF($AB708=12,IF($AG708&lt;IF($D$4="Forint",Paraméterek!$L$223,Paraméterek!$L$224),0,VLOOKUP($AA708,Paraméterek!$K$226:$M$228,IF($AG708&lt;IF($D$4="Forint",Paraméterek!$M$223,Paraméterek!$M$224),2,3))),0),0)</f>
        <v>0</v>
      </c>
      <c r="AI708" s="13">
        <f ca="1">IF(AND($AA708=$M$11+1,$AB708=$M$12+1),SUMIF($AA$20:$AA$1027,$AA708,$AG$20:$AG$1027)*IF(SUMIF($AA$20:$AA$1027,$AA708,$AG$20:$AG$1027)&lt;IF($D$4="Forint",Paraméterek!$L$223,Paraméterek!$L$224),0,VLOOKUP($AA708,Paraméterek!$K$230:$M$250,IF(SUMIF($AA$20:$AA$1027,$AA708,$AG$20:$AG$1027)&lt;IF($D$4="Forint",Paraméterek!$M$223,Paraméterek!$M$224),2,3))),0)</f>
        <v>0</v>
      </c>
      <c r="AJ708" s="13">
        <f ca="1">IF(AND($AA708&gt;=5,MOD($AA708,5)=0),IF($AB708=12,VLOOKUP($AA708,Paraméterek!$O$225:$P$240,2),0),IF(OR($AA708=3,$AA708=4),IF($AB708=12,VLOOKUP($AA708,Paraméterek!$O$225:$P$240,2,0),0),0))*$AG708</f>
        <v>0</v>
      </c>
      <c r="AK708" s="13">
        <f t="shared" ca="1" si="229"/>
        <v>0</v>
      </c>
      <c r="AL708" s="13">
        <f t="shared" ca="1" si="237"/>
        <v>0</v>
      </c>
      <c r="AM708" s="13">
        <f t="shared" ca="1" si="238"/>
        <v>0</v>
      </c>
      <c r="AO708" s="32">
        <v>689</v>
      </c>
      <c r="AP708" s="32">
        <v>58</v>
      </c>
      <c r="AQ708" s="32">
        <v>5</v>
      </c>
      <c r="AR708" s="13"/>
      <c r="AS708" s="32"/>
      <c r="AT708" s="13">
        <f t="shared" ca="1" si="239"/>
        <v>0</v>
      </c>
      <c r="AU708" s="33"/>
      <c r="AV708" s="13">
        <f t="shared" ca="1" si="230"/>
        <v>0</v>
      </c>
      <c r="AW708" s="13">
        <f ca="1">ROUNDUP(($AT708+$AV708)*VLOOKUP($AP708,Paraméterek!$P$38:$Q$38,2)/12*IF($D709="Nem",IF($M$13=0,1,$M$13),1),IF($D$4="Forint",0,2))</f>
        <v>0</v>
      </c>
      <c r="AX708" s="13"/>
      <c r="AY708" s="13"/>
      <c r="AZ708" s="13">
        <f>ROUNDUP(IF(SUM($AX708:$AY708)=0,0,IF(IF(ISBLANK($AY708),$AX708,$AY708)*Paraméterek!$J$112&lt;IF($D$4="Forint",Paraméterek!$J$113,Paraméterek!$K$113),IF($D$4="Forint",Paraméterek!$J$113,Paraméterek!$K$113),IF(IF(ISBLANK($AY708),$AX708,$AY708)*Paraméterek!$J$112&gt;IF($D$4="Forint",Paraméterek!$J$114,Paraméterek!$K$114),IF($D$4="Forint",Paraméterek!$J$114,Paraméterek!$K$114),IF(ISBLANK($AY708),$AX708,$AY708)*Paraméterek!$J$112))),IF($D$4="Forint",0,2))</f>
        <v>0</v>
      </c>
      <c r="BA708" s="13">
        <f ca="1">$AT708+$AV708-$AW708-IF(ROUNDDOWN(IF(ISBLANK($AY708),$AX708,$AY708),IF($D$4="Forint",0,2))&gt;$AT708+$AV708-$AW708-IF($D$4="Forint",Paraméterek!$J$114,Paraméterek!$K$114),0,ROUNDDOWN(IF(ISBLANK($AY708),$AX708,$AY708),IF($D$4="Forint",0,2))-$AZ708)</f>
        <v>0</v>
      </c>
      <c r="BB708" s="13">
        <f t="shared" ca="1" si="231"/>
        <v>0</v>
      </c>
      <c r="BD708" s="32">
        <v>689</v>
      </c>
      <c r="BE708" s="32">
        <v>58</v>
      </c>
      <c r="BF708" s="32">
        <v>5</v>
      </c>
      <c r="BG708" s="34">
        <f t="shared" ca="1" si="240"/>
        <v>2076</v>
      </c>
      <c r="BH708" s="32" t="str">
        <f ca="1">IF(MOD(MONTH($D$14)+$BD708-1,12)=Paraméterek!$C$288,"Igen","")</f>
        <v/>
      </c>
      <c r="BI708" s="13">
        <f ca="1">IF($BH708="Igen",MIN(ROUNDDOWN((SUMIF($BG$20:$BG$1027,$BG708-1,$K$20:$K$1027)-SUMIF($BG$20:$BG$1027,$BG708-1,$I$20:$I$1027))*Paraméterek!$C$289,IF($D$4="Forint",0,2)),IF($D$4="Forint",Paraméterek!$C$285,Paraméterek!$D$285)),0)</f>
        <v>0</v>
      </c>
      <c r="BJ708" s="13">
        <f t="shared" ca="1" si="232"/>
        <v>0</v>
      </c>
      <c r="BK708" s="13">
        <f t="shared" ca="1" si="241"/>
        <v>0</v>
      </c>
      <c r="BL708" s="33"/>
      <c r="BM708" s="13">
        <f t="shared" ca="1" si="233"/>
        <v>0</v>
      </c>
      <c r="BN708" s="13">
        <f ca="1">ROUNDUP(($BK708+$BM708)*VLOOKUP($BE708,Paraméterek!$P$38:$Q$38,2)/12*IF($D709="Nem",IF($M$13=0,1,$M$13),1),IF($D$4="Forint",0,2))</f>
        <v>0</v>
      </c>
      <c r="BO708" s="13">
        <f t="shared" ca="1" si="234"/>
        <v>0</v>
      </c>
      <c r="BP708" s="13">
        <f ca="1">IF($D709="Nem",$BO708,$BO708-ROUNDUP(SUM($BI$20:$BI708)*120%,IF($D$4="Forint",0,2)))</f>
        <v>0</v>
      </c>
    </row>
    <row r="709" spans="1:68" x14ac:dyDescent="0.2">
      <c r="A709" s="32">
        <v>690</v>
      </c>
      <c r="B709" s="32">
        <v>58</v>
      </c>
      <c r="C709" s="32">
        <v>6</v>
      </c>
      <c r="D709" s="32" t="str">
        <f t="shared" ca="1" si="220"/>
        <v>Nem</v>
      </c>
      <c r="E709" s="13">
        <f t="shared" ca="1" si="221"/>
        <v>0</v>
      </c>
      <c r="F709" s="13"/>
      <c r="G709" s="13"/>
      <c r="H709" s="13"/>
      <c r="I709" s="13">
        <f t="shared" ca="1" si="222"/>
        <v>0</v>
      </c>
      <c r="J709" s="13">
        <f t="shared" ca="1" si="223"/>
        <v>0</v>
      </c>
      <c r="K709" s="13">
        <f t="shared" ca="1" si="224"/>
        <v>0</v>
      </c>
      <c r="L709" s="13" t="e">
        <f ca="1">ROUNDUP(IF($D$2="Egyszeri",$E709,IF($D$2="Havi",SUM($E$20:$E$31),IF(MOD($C709,$M$1)-1=0,SUM($E$20:$E$31),0))/12*$M$1)*VLOOKUP($B709,Paraméterek!$I$28:$P$31,IF($D$2="Egyszeri",8,HLOOKUP(ROUNDUP($M$11+$M$13,0),Paraméterek!$J$26:$O$27,2))),IF($D$4="Forint",0,2))</f>
        <v>#N/A</v>
      </c>
      <c r="M709" s="13">
        <f t="shared" ca="1" si="225"/>
        <v>0</v>
      </c>
      <c r="N709" s="13">
        <f t="shared" ca="1" si="235"/>
        <v>0</v>
      </c>
      <c r="O709" s="13">
        <f ca="1">IF($D709="Igen",IF($W708&gt;=IF($D$4="Forint",Paraméterek!$J$121,Paraméterek!$K$121),0,IF($D$4="Forint",Paraméterek!$J$121,Paraméterek!$K$121)-$W708),0)</f>
        <v>0</v>
      </c>
      <c r="P709" s="13" t="e">
        <f ca="1">ROUNDUP($O709*VLOOKUP($M$4+$B709-1,Paraméterek!$H$58:$I$105,2,0)/Paraméterek!$I$56,IF($D$4="Forint",0,2))</f>
        <v>#N/A</v>
      </c>
      <c r="Q709" s="13">
        <f t="shared" ca="1" si="226"/>
        <v>0</v>
      </c>
      <c r="R709" s="33"/>
      <c r="S709" s="13" t="e">
        <f t="shared" ca="1" si="227"/>
        <v>#N/A</v>
      </c>
      <c r="T709" s="13" t="e">
        <f ca="1">ROUNDUP(($N709-$P709-$Q709+$S709)*VLOOKUP($B709,Paraméterek!$I$38:$K$39,IF($D$2="Egyszeri",3,2))/12*IF($D710="Nem",IF($M$13=0,1,$M$13),1),IF($D$4="Forint",0,2))</f>
        <v>#N/A</v>
      </c>
      <c r="U709" s="13"/>
      <c r="V709" s="13"/>
      <c r="W709" s="13" t="e">
        <f ca="1">$N709-$P709-$Q709+$S709-$T709-IF(ROUNDUP(IF(ISBLANK($V709),$U709*0,$V709)/IF($D$2="Egyszeri",VLOOKUP($B709+IF($C709=12,1,0),Paraméterek!$V$257:$W$262,2),IF($B709=1,1,VLOOKUP($B709+IF($C709=12,1,0),Paraméterek!$I$258:$T$278,HLOOKUP($M$11+1,Paraméterek!$J$256:$T$257,2)))),IF($D$4="Forint",0,2))&gt;$N709-$P709-$Q709+$S709-$T709-IF($D$4="Forint",Paraméterek!$C$216,Paraméterek!$D$216),0,ROUNDUP(IF(ISBLANK($V709),$U709*0,$V709)/IF($D$2="Egyszeri",VLOOKUP($B709+IF($C709=12,1,0),Paraméterek!$V$257:$W$262,2),IF($B709=1,1,VLOOKUP($B709+IF($C709=12,1,0),Paraméterek!$I$258:$T$278,HLOOKUP($M$11+1,Paraméterek!$J$256:$T$257,2)))),IF($D$4="Forint",0,2)))</f>
        <v>#N/A</v>
      </c>
      <c r="X709" s="13" t="e">
        <f ca="1">ROUNDDOWN($W709*IF($D$2="Egyszeri",VLOOKUP($B709+IF($C709=12,1,0),Paraméterek!$V$257:$W$262,2),VLOOKUP($B709+IF($C709=12,1,0),Paraméterek!$I$258:$T$278,HLOOKUP($M$11+1,Paraméterek!$I$256:$T$257,2))),IF($D$4="Forint",0,2))</f>
        <v>#N/A</v>
      </c>
      <c r="Z709" s="32">
        <v>690</v>
      </c>
      <c r="AA709" s="32">
        <v>58</v>
      </c>
      <c r="AB709" s="32">
        <v>6</v>
      </c>
      <c r="AC709" s="13">
        <f t="shared" ca="1" si="236"/>
        <v>0</v>
      </c>
      <c r="AD709" s="33"/>
      <c r="AE709" s="13">
        <f t="shared" ca="1" si="228"/>
        <v>0</v>
      </c>
      <c r="AF709" s="13">
        <f ca="1">ROUNDUP(($AC709+$AE709)*VLOOKUP($AA709,Paraméterek!$P$38:$Q$38,2)/12*IF($D710="Nem",IF($M$13=0,1,$M$13),1),IF($D$4="Forint",0,2))</f>
        <v>0</v>
      </c>
      <c r="AG709" s="13">
        <f ca="1">IF($D$2="Egyszeri",IF($D$7&gt;=IF($D$4="Forint",Paraméterek!$P$223,Paraméterek!$P$224),$D$7-IF($D$4="Forint",Paraméterek!$P$223,Paraméterek!$P$224),0),MIN(IF($AB709=12,AVERAGEIF($E$20:$E709,"&gt;0",$E$20:$E709)*12,0),SUM($E$20:$E$31)))</f>
        <v>0</v>
      </c>
      <c r="AH709" s="13">
        <f>IF($AA709=10,$AG709*IF($AB709=12,IF($AG709&lt;IF($D$4="Forint",Paraméterek!$L$223,Paraméterek!$L$224),0,VLOOKUP($AA709,Paraméterek!$K$226:$M$228,IF($AG709&lt;IF($D$4="Forint",Paraméterek!$M$223,Paraméterek!$M$224),2,3))),0),0)</f>
        <v>0</v>
      </c>
      <c r="AI709" s="13">
        <f ca="1">IF(AND($AA709=$M$11+1,$AB709=$M$12+1),SUMIF($AA$20:$AA$1027,$AA709,$AG$20:$AG$1027)*IF(SUMIF($AA$20:$AA$1027,$AA709,$AG$20:$AG$1027)&lt;IF($D$4="Forint",Paraméterek!$L$223,Paraméterek!$L$224),0,VLOOKUP($AA709,Paraméterek!$K$230:$M$250,IF(SUMIF($AA$20:$AA$1027,$AA709,$AG$20:$AG$1027)&lt;IF($D$4="Forint",Paraméterek!$M$223,Paraméterek!$M$224),2,3))),0)</f>
        <v>0</v>
      </c>
      <c r="AJ709" s="13">
        <f ca="1">IF(AND($AA709&gt;=5,MOD($AA709,5)=0),IF($AB709=12,VLOOKUP($AA709,Paraméterek!$O$225:$P$240,2),0),IF(OR($AA709=3,$AA709=4),IF($AB709=12,VLOOKUP($AA709,Paraméterek!$O$225:$P$240,2,0),0),0))*$AG709</f>
        <v>0</v>
      </c>
      <c r="AK709" s="13">
        <f t="shared" ca="1" si="229"/>
        <v>0</v>
      </c>
      <c r="AL709" s="13">
        <f t="shared" ca="1" si="237"/>
        <v>0</v>
      </c>
      <c r="AM709" s="13">
        <f t="shared" ca="1" si="238"/>
        <v>0</v>
      </c>
      <c r="AO709" s="32">
        <v>690</v>
      </c>
      <c r="AP709" s="32">
        <v>58</v>
      </c>
      <c r="AQ709" s="32">
        <v>6</v>
      </c>
      <c r="AR709" s="13"/>
      <c r="AS709" s="32"/>
      <c r="AT709" s="13">
        <f t="shared" ca="1" si="239"/>
        <v>0</v>
      </c>
      <c r="AU709" s="33"/>
      <c r="AV709" s="13">
        <f t="shared" ca="1" si="230"/>
        <v>0</v>
      </c>
      <c r="AW709" s="13">
        <f ca="1">ROUNDUP(($AT709+$AV709)*VLOOKUP($AP709,Paraméterek!$P$38:$Q$38,2)/12*IF($D710="Nem",IF($M$13=0,1,$M$13),1),IF($D$4="Forint",0,2))</f>
        <v>0</v>
      </c>
      <c r="AX709" s="13"/>
      <c r="AY709" s="13"/>
      <c r="AZ709" s="13">
        <f>ROUNDUP(IF(SUM($AX709:$AY709)=0,0,IF(IF(ISBLANK($AY709),$AX709,$AY709)*Paraméterek!$J$112&lt;IF($D$4="Forint",Paraméterek!$J$113,Paraméterek!$K$113),IF($D$4="Forint",Paraméterek!$J$113,Paraméterek!$K$113),IF(IF(ISBLANK($AY709),$AX709,$AY709)*Paraméterek!$J$112&gt;IF($D$4="Forint",Paraméterek!$J$114,Paraméterek!$K$114),IF($D$4="Forint",Paraméterek!$J$114,Paraméterek!$K$114),IF(ISBLANK($AY709),$AX709,$AY709)*Paraméterek!$J$112))),IF($D$4="Forint",0,2))</f>
        <v>0</v>
      </c>
      <c r="BA709" s="13">
        <f ca="1">$AT709+$AV709-$AW709-IF(ROUNDDOWN(IF(ISBLANK($AY709),$AX709,$AY709),IF($D$4="Forint",0,2))&gt;$AT709+$AV709-$AW709-IF($D$4="Forint",Paraméterek!$J$114,Paraméterek!$K$114),0,ROUNDDOWN(IF(ISBLANK($AY709),$AX709,$AY709),IF($D$4="Forint",0,2))-$AZ709)</f>
        <v>0</v>
      </c>
      <c r="BB709" s="13">
        <f t="shared" ca="1" si="231"/>
        <v>0</v>
      </c>
      <c r="BD709" s="32">
        <v>690</v>
      </c>
      <c r="BE709" s="32">
        <v>58</v>
      </c>
      <c r="BF709" s="32">
        <v>6</v>
      </c>
      <c r="BG709" s="34">
        <f t="shared" ca="1" si="240"/>
        <v>2076</v>
      </c>
      <c r="BH709" s="32" t="str">
        <f ca="1">IF(MOD(MONTH($D$14)+$BD709-1,12)=Paraméterek!$C$288,"Igen","")</f>
        <v/>
      </c>
      <c r="BI709" s="13">
        <f ca="1">IF($BH709="Igen",MIN(ROUNDDOWN((SUMIF($BG$20:$BG$1027,$BG709-1,$K$20:$K$1027)-SUMIF($BG$20:$BG$1027,$BG709-1,$I$20:$I$1027))*Paraméterek!$C$289,IF($D$4="Forint",0,2)),IF($D$4="Forint",Paraméterek!$C$285,Paraméterek!$D$285)),0)</f>
        <v>0</v>
      </c>
      <c r="BJ709" s="13">
        <f t="shared" ca="1" si="232"/>
        <v>0</v>
      </c>
      <c r="BK709" s="13">
        <f t="shared" ca="1" si="241"/>
        <v>0</v>
      </c>
      <c r="BL709" s="33"/>
      <c r="BM709" s="13">
        <f t="shared" ca="1" si="233"/>
        <v>0</v>
      </c>
      <c r="BN709" s="13">
        <f ca="1">ROUNDUP(($BK709+$BM709)*VLOOKUP($BE709,Paraméterek!$P$38:$Q$38,2)/12*IF($D710="Nem",IF($M$13=0,1,$M$13),1),IF($D$4="Forint",0,2))</f>
        <v>0</v>
      </c>
      <c r="BO709" s="13">
        <f t="shared" ca="1" si="234"/>
        <v>0</v>
      </c>
      <c r="BP709" s="13">
        <f ca="1">IF($D710="Nem",$BO709,$BO709-ROUNDUP(SUM($BI$20:$BI709)*120%,IF($D$4="Forint",0,2)))</f>
        <v>0</v>
      </c>
    </row>
    <row r="710" spans="1:68" x14ac:dyDescent="0.2">
      <c r="A710" s="32">
        <v>691</v>
      </c>
      <c r="B710" s="32">
        <v>58</v>
      </c>
      <c r="C710" s="32">
        <v>7</v>
      </c>
      <c r="D710" s="32" t="str">
        <f t="shared" ca="1" si="220"/>
        <v>Nem</v>
      </c>
      <c r="E710" s="13">
        <f t="shared" ca="1" si="221"/>
        <v>0</v>
      </c>
      <c r="F710" s="13"/>
      <c r="G710" s="13"/>
      <c r="H710" s="13"/>
      <c r="I710" s="13">
        <f t="shared" ca="1" si="222"/>
        <v>0</v>
      </c>
      <c r="J710" s="13">
        <f t="shared" ca="1" si="223"/>
        <v>0</v>
      </c>
      <c r="K710" s="13">
        <f t="shared" ca="1" si="224"/>
        <v>0</v>
      </c>
      <c r="L710" s="13" t="e">
        <f ca="1">ROUNDUP(IF($D$2="Egyszeri",$E710,IF($D$2="Havi",SUM($E$20:$E$31),IF(MOD($C710,$M$1)-1=0,SUM($E$20:$E$31),0))/12*$M$1)*VLOOKUP($B710,Paraméterek!$I$28:$P$31,IF($D$2="Egyszeri",8,HLOOKUP(ROUNDUP($M$11+$M$13,0),Paraméterek!$J$26:$O$27,2))),IF($D$4="Forint",0,2))</f>
        <v>#N/A</v>
      </c>
      <c r="M710" s="13">
        <f t="shared" ca="1" si="225"/>
        <v>0</v>
      </c>
      <c r="N710" s="13">
        <f t="shared" ca="1" si="235"/>
        <v>0</v>
      </c>
      <c r="O710" s="13">
        <f ca="1">IF($D710="Igen",IF($W709&gt;=IF($D$4="Forint",Paraméterek!$J$121,Paraméterek!$K$121),0,IF($D$4="Forint",Paraméterek!$J$121,Paraméterek!$K$121)-$W709),0)</f>
        <v>0</v>
      </c>
      <c r="P710" s="13" t="e">
        <f ca="1">ROUNDUP($O710*VLOOKUP($M$4+$B710-1,Paraméterek!$H$58:$I$105,2,0)/Paraméterek!$I$56,IF($D$4="Forint",0,2))</f>
        <v>#N/A</v>
      </c>
      <c r="Q710" s="13">
        <f t="shared" ca="1" si="226"/>
        <v>0</v>
      </c>
      <c r="R710" s="33"/>
      <c r="S710" s="13" t="e">
        <f t="shared" ca="1" si="227"/>
        <v>#N/A</v>
      </c>
      <c r="T710" s="13" t="e">
        <f ca="1">ROUNDUP(($N710-$P710-$Q710+$S710)*VLOOKUP($B710,Paraméterek!$I$38:$K$39,IF($D$2="Egyszeri",3,2))/12*IF($D711="Nem",IF($M$13=0,1,$M$13),1),IF($D$4="Forint",0,2))</f>
        <v>#N/A</v>
      </c>
      <c r="U710" s="13"/>
      <c r="V710" s="13"/>
      <c r="W710" s="13" t="e">
        <f ca="1">$N710-$P710-$Q710+$S710-$T710-IF(ROUNDUP(IF(ISBLANK($V710),$U710*0,$V710)/IF($D$2="Egyszeri",VLOOKUP($B710+IF($C710=12,1,0),Paraméterek!$V$257:$W$262,2),IF($B710=1,1,VLOOKUP($B710+IF($C710=12,1,0),Paraméterek!$I$258:$T$278,HLOOKUP($M$11+1,Paraméterek!$J$256:$T$257,2)))),IF($D$4="Forint",0,2))&gt;$N710-$P710-$Q710+$S710-$T710-IF($D$4="Forint",Paraméterek!$C$216,Paraméterek!$D$216),0,ROUNDUP(IF(ISBLANK($V710),$U710*0,$V710)/IF($D$2="Egyszeri",VLOOKUP($B710+IF($C710=12,1,0),Paraméterek!$V$257:$W$262,2),IF($B710=1,1,VLOOKUP($B710+IF($C710=12,1,0),Paraméterek!$I$258:$T$278,HLOOKUP($M$11+1,Paraméterek!$J$256:$T$257,2)))),IF($D$4="Forint",0,2)))</f>
        <v>#N/A</v>
      </c>
      <c r="X710" s="13" t="e">
        <f ca="1">ROUNDDOWN($W710*IF($D$2="Egyszeri",VLOOKUP($B710+IF($C710=12,1,0),Paraméterek!$V$257:$W$262,2),VLOOKUP($B710+IF($C710=12,1,0),Paraméterek!$I$258:$T$278,HLOOKUP($M$11+1,Paraméterek!$I$256:$T$257,2))),IF($D$4="Forint",0,2))</f>
        <v>#N/A</v>
      </c>
      <c r="Z710" s="32">
        <v>691</v>
      </c>
      <c r="AA710" s="32">
        <v>58</v>
      </c>
      <c r="AB710" s="32">
        <v>7</v>
      </c>
      <c r="AC710" s="13">
        <f t="shared" ca="1" si="236"/>
        <v>0</v>
      </c>
      <c r="AD710" s="33"/>
      <c r="AE710" s="13">
        <f t="shared" ca="1" si="228"/>
        <v>0</v>
      </c>
      <c r="AF710" s="13">
        <f ca="1">ROUNDUP(($AC710+$AE710)*VLOOKUP($AA710,Paraméterek!$P$38:$Q$38,2)/12*IF($D711="Nem",IF($M$13=0,1,$M$13),1),IF($D$4="Forint",0,2))</f>
        <v>0</v>
      </c>
      <c r="AG710" s="13">
        <f ca="1">IF($D$2="Egyszeri",IF($D$7&gt;=IF($D$4="Forint",Paraméterek!$P$223,Paraméterek!$P$224),$D$7-IF($D$4="Forint",Paraméterek!$P$223,Paraméterek!$P$224),0),MIN(IF($AB710=12,AVERAGEIF($E$20:$E710,"&gt;0",$E$20:$E710)*12,0),SUM($E$20:$E$31)))</f>
        <v>0</v>
      </c>
      <c r="AH710" s="13">
        <f>IF($AA710=10,$AG710*IF($AB710=12,IF($AG710&lt;IF($D$4="Forint",Paraméterek!$L$223,Paraméterek!$L$224),0,VLOOKUP($AA710,Paraméterek!$K$226:$M$228,IF($AG710&lt;IF($D$4="Forint",Paraméterek!$M$223,Paraméterek!$M$224),2,3))),0),0)</f>
        <v>0</v>
      </c>
      <c r="AI710" s="13">
        <f ca="1">IF(AND($AA710=$M$11+1,$AB710=$M$12+1),SUMIF($AA$20:$AA$1027,$AA710,$AG$20:$AG$1027)*IF(SUMIF($AA$20:$AA$1027,$AA710,$AG$20:$AG$1027)&lt;IF($D$4="Forint",Paraméterek!$L$223,Paraméterek!$L$224),0,VLOOKUP($AA710,Paraméterek!$K$230:$M$250,IF(SUMIF($AA$20:$AA$1027,$AA710,$AG$20:$AG$1027)&lt;IF($D$4="Forint",Paraméterek!$M$223,Paraméterek!$M$224),2,3))),0)</f>
        <v>0</v>
      </c>
      <c r="AJ710" s="13">
        <f ca="1">IF(AND($AA710&gt;=5,MOD($AA710,5)=0),IF($AB710=12,VLOOKUP($AA710,Paraméterek!$O$225:$P$240,2),0),IF(OR($AA710=3,$AA710=4),IF($AB710=12,VLOOKUP($AA710,Paraméterek!$O$225:$P$240,2,0),0),0))*$AG710</f>
        <v>0</v>
      </c>
      <c r="AK710" s="13">
        <f t="shared" ca="1" si="229"/>
        <v>0</v>
      </c>
      <c r="AL710" s="13">
        <f t="shared" ca="1" si="237"/>
        <v>0</v>
      </c>
      <c r="AM710" s="13">
        <f t="shared" ca="1" si="238"/>
        <v>0</v>
      </c>
      <c r="AO710" s="32">
        <v>691</v>
      </c>
      <c r="AP710" s="32">
        <v>58</v>
      </c>
      <c r="AQ710" s="32">
        <v>7</v>
      </c>
      <c r="AR710" s="13"/>
      <c r="AS710" s="32"/>
      <c r="AT710" s="13">
        <f t="shared" ca="1" si="239"/>
        <v>0</v>
      </c>
      <c r="AU710" s="33"/>
      <c r="AV710" s="13">
        <f t="shared" ca="1" si="230"/>
        <v>0</v>
      </c>
      <c r="AW710" s="13">
        <f ca="1">ROUNDUP(($AT710+$AV710)*VLOOKUP($AP710,Paraméterek!$P$38:$Q$38,2)/12*IF($D711="Nem",IF($M$13=0,1,$M$13),1),IF($D$4="Forint",0,2))</f>
        <v>0</v>
      </c>
      <c r="AX710" s="13"/>
      <c r="AY710" s="13"/>
      <c r="AZ710" s="13">
        <f>ROUNDUP(IF(SUM($AX710:$AY710)=0,0,IF(IF(ISBLANK($AY710),$AX710,$AY710)*Paraméterek!$J$112&lt;IF($D$4="Forint",Paraméterek!$J$113,Paraméterek!$K$113),IF($D$4="Forint",Paraméterek!$J$113,Paraméterek!$K$113),IF(IF(ISBLANK($AY710),$AX710,$AY710)*Paraméterek!$J$112&gt;IF($D$4="Forint",Paraméterek!$J$114,Paraméterek!$K$114),IF($D$4="Forint",Paraméterek!$J$114,Paraméterek!$K$114),IF(ISBLANK($AY710),$AX710,$AY710)*Paraméterek!$J$112))),IF($D$4="Forint",0,2))</f>
        <v>0</v>
      </c>
      <c r="BA710" s="13">
        <f ca="1">$AT710+$AV710-$AW710-IF(ROUNDDOWN(IF(ISBLANK($AY710),$AX710,$AY710),IF($D$4="Forint",0,2))&gt;$AT710+$AV710-$AW710-IF($D$4="Forint",Paraméterek!$J$114,Paraméterek!$K$114),0,ROUNDDOWN(IF(ISBLANK($AY710),$AX710,$AY710),IF($D$4="Forint",0,2))-$AZ710)</f>
        <v>0</v>
      </c>
      <c r="BB710" s="13">
        <f t="shared" ca="1" si="231"/>
        <v>0</v>
      </c>
      <c r="BD710" s="32">
        <v>691</v>
      </c>
      <c r="BE710" s="32">
        <v>58</v>
      </c>
      <c r="BF710" s="32">
        <v>7</v>
      </c>
      <c r="BG710" s="34">
        <f t="shared" ca="1" si="240"/>
        <v>2076</v>
      </c>
      <c r="BH710" s="32" t="str">
        <f ca="1">IF(MOD(MONTH($D$14)+$BD710-1,12)=Paraméterek!$C$288,"Igen","")</f>
        <v/>
      </c>
      <c r="BI710" s="13">
        <f ca="1">IF($BH710="Igen",MIN(ROUNDDOWN((SUMIF($BG$20:$BG$1027,$BG710-1,$K$20:$K$1027)-SUMIF($BG$20:$BG$1027,$BG710-1,$I$20:$I$1027))*Paraméterek!$C$289,IF($D$4="Forint",0,2)),IF($D$4="Forint",Paraméterek!$C$285,Paraméterek!$D$285)),0)</f>
        <v>0</v>
      </c>
      <c r="BJ710" s="13">
        <f t="shared" ca="1" si="232"/>
        <v>0</v>
      </c>
      <c r="BK710" s="13">
        <f t="shared" ca="1" si="241"/>
        <v>0</v>
      </c>
      <c r="BL710" s="33"/>
      <c r="BM710" s="13">
        <f t="shared" ca="1" si="233"/>
        <v>0</v>
      </c>
      <c r="BN710" s="13">
        <f ca="1">ROUNDUP(($BK710+$BM710)*VLOOKUP($BE710,Paraméterek!$P$38:$Q$38,2)/12*IF($D711="Nem",IF($M$13=0,1,$M$13),1),IF($D$4="Forint",0,2))</f>
        <v>0</v>
      </c>
      <c r="BO710" s="13">
        <f t="shared" ca="1" si="234"/>
        <v>0</v>
      </c>
      <c r="BP710" s="13">
        <f ca="1">IF($D711="Nem",$BO710,$BO710-ROUNDUP(SUM($BI$20:$BI710)*120%,IF($D$4="Forint",0,2)))</f>
        <v>0</v>
      </c>
    </row>
    <row r="711" spans="1:68" x14ac:dyDescent="0.2">
      <c r="A711" s="32">
        <v>692</v>
      </c>
      <c r="B711" s="32">
        <v>58</v>
      </c>
      <c r="C711" s="32">
        <v>8</v>
      </c>
      <c r="D711" s="32" t="str">
        <f t="shared" ca="1" si="220"/>
        <v>Nem</v>
      </c>
      <c r="E711" s="13">
        <f t="shared" ca="1" si="221"/>
        <v>0</v>
      </c>
      <c r="F711" s="13"/>
      <c r="G711" s="13"/>
      <c r="H711" s="13"/>
      <c r="I711" s="13">
        <f t="shared" ca="1" si="222"/>
        <v>0</v>
      </c>
      <c r="J711" s="13">
        <f t="shared" ca="1" si="223"/>
        <v>0</v>
      </c>
      <c r="K711" s="13">
        <f t="shared" ca="1" si="224"/>
        <v>0</v>
      </c>
      <c r="L711" s="13" t="e">
        <f ca="1">ROUNDUP(IF($D$2="Egyszeri",$E711,IF($D$2="Havi",SUM($E$20:$E$31),IF(MOD($C711,$M$1)-1=0,SUM($E$20:$E$31),0))/12*$M$1)*VLOOKUP($B711,Paraméterek!$I$28:$P$31,IF($D$2="Egyszeri",8,HLOOKUP(ROUNDUP($M$11+$M$13,0),Paraméterek!$J$26:$O$27,2))),IF($D$4="Forint",0,2))</f>
        <v>#N/A</v>
      </c>
      <c r="M711" s="13">
        <f t="shared" ca="1" si="225"/>
        <v>0</v>
      </c>
      <c r="N711" s="13">
        <f t="shared" ca="1" si="235"/>
        <v>0</v>
      </c>
      <c r="O711" s="13">
        <f ca="1">IF($D711="Igen",IF($W710&gt;=IF($D$4="Forint",Paraméterek!$J$121,Paraméterek!$K$121),0,IF($D$4="Forint",Paraméterek!$J$121,Paraméterek!$K$121)-$W710),0)</f>
        <v>0</v>
      </c>
      <c r="P711" s="13" t="e">
        <f ca="1">ROUNDUP($O711*VLOOKUP($M$4+$B711-1,Paraméterek!$H$58:$I$105,2,0)/Paraméterek!$I$56,IF($D$4="Forint",0,2))</f>
        <v>#N/A</v>
      </c>
      <c r="Q711" s="13">
        <f t="shared" ca="1" si="226"/>
        <v>0</v>
      </c>
      <c r="R711" s="33"/>
      <c r="S711" s="13" t="e">
        <f t="shared" ca="1" si="227"/>
        <v>#N/A</v>
      </c>
      <c r="T711" s="13" t="e">
        <f ca="1">ROUNDUP(($N711-$P711-$Q711+$S711)*VLOOKUP($B711,Paraméterek!$I$38:$K$39,IF($D$2="Egyszeri",3,2))/12*IF($D712="Nem",IF($M$13=0,1,$M$13),1),IF($D$4="Forint",0,2))</f>
        <v>#N/A</v>
      </c>
      <c r="U711" s="13"/>
      <c r="V711" s="13"/>
      <c r="W711" s="13" t="e">
        <f ca="1">$N711-$P711-$Q711+$S711-$T711-IF(ROUNDUP(IF(ISBLANK($V711),$U711*0,$V711)/IF($D$2="Egyszeri",VLOOKUP($B711+IF($C711=12,1,0),Paraméterek!$V$257:$W$262,2),IF($B711=1,1,VLOOKUP($B711+IF($C711=12,1,0),Paraméterek!$I$258:$T$278,HLOOKUP($M$11+1,Paraméterek!$J$256:$T$257,2)))),IF($D$4="Forint",0,2))&gt;$N711-$P711-$Q711+$S711-$T711-IF($D$4="Forint",Paraméterek!$C$216,Paraméterek!$D$216),0,ROUNDUP(IF(ISBLANK($V711),$U711*0,$V711)/IF($D$2="Egyszeri",VLOOKUP($B711+IF($C711=12,1,0),Paraméterek!$V$257:$W$262,2),IF($B711=1,1,VLOOKUP($B711+IF($C711=12,1,0),Paraméterek!$I$258:$T$278,HLOOKUP($M$11+1,Paraméterek!$J$256:$T$257,2)))),IF($D$4="Forint",0,2)))</f>
        <v>#N/A</v>
      </c>
      <c r="X711" s="13" t="e">
        <f ca="1">ROUNDDOWN($W711*IF($D$2="Egyszeri",VLOOKUP($B711+IF($C711=12,1,0),Paraméterek!$V$257:$W$262,2),VLOOKUP($B711+IF($C711=12,1,0),Paraméterek!$I$258:$T$278,HLOOKUP($M$11+1,Paraméterek!$I$256:$T$257,2))),IF($D$4="Forint",0,2))</f>
        <v>#N/A</v>
      </c>
      <c r="Z711" s="32">
        <v>692</v>
      </c>
      <c r="AA711" s="32">
        <v>58</v>
      </c>
      <c r="AB711" s="32">
        <v>8</v>
      </c>
      <c r="AC711" s="13">
        <f t="shared" ca="1" si="236"/>
        <v>0</v>
      </c>
      <c r="AD711" s="33"/>
      <c r="AE711" s="13">
        <f t="shared" ca="1" si="228"/>
        <v>0</v>
      </c>
      <c r="AF711" s="13">
        <f ca="1">ROUNDUP(($AC711+$AE711)*VLOOKUP($AA711,Paraméterek!$P$38:$Q$38,2)/12*IF($D712="Nem",IF($M$13=0,1,$M$13),1),IF($D$4="Forint",0,2))</f>
        <v>0</v>
      </c>
      <c r="AG711" s="13">
        <f ca="1">IF($D$2="Egyszeri",IF($D$7&gt;=IF($D$4="Forint",Paraméterek!$P$223,Paraméterek!$P$224),$D$7-IF($D$4="Forint",Paraméterek!$P$223,Paraméterek!$P$224),0),MIN(IF($AB711=12,AVERAGEIF($E$20:$E711,"&gt;0",$E$20:$E711)*12,0),SUM($E$20:$E$31)))</f>
        <v>0</v>
      </c>
      <c r="AH711" s="13">
        <f>IF($AA711=10,$AG711*IF($AB711=12,IF($AG711&lt;IF($D$4="Forint",Paraméterek!$L$223,Paraméterek!$L$224),0,VLOOKUP($AA711,Paraméterek!$K$226:$M$228,IF($AG711&lt;IF($D$4="Forint",Paraméterek!$M$223,Paraméterek!$M$224),2,3))),0),0)</f>
        <v>0</v>
      </c>
      <c r="AI711" s="13">
        <f ca="1">IF(AND($AA711=$M$11+1,$AB711=$M$12+1),SUMIF($AA$20:$AA$1027,$AA711,$AG$20:$AG$1027)*IF(SUMIF($AA$20:$AA$1027,$AA711,$AG$20:$AG$1027)&lt;IF($D$4="Forint",Paraméterek!$L$223,Paraméterek!$L$224),0,VLOOKUP($AA711,Paraméterek!$K$230:$M$250,IF(SUMIF($AA$20:$AA$1027,$AA711,$AG$20:$AG$1027)&lt;IF($D$4="Forint",Paraméterek!$M$223,Paraméterek!$M$224),2,3))),0)</f>
        <v>0</v>
      </c>
      <c r="AJ711" s="13">
        <f ca="1">IF(AND($AA711&gt;=5,MOD($AA711,5)=0),IF($AB711=12,VLOOKUP($AA711,Paraméterek!$O$225:$P$240,2),0),IF(OR($AA711=3,$AA711=4),IF($AB711=12,VLOOKUP($AA711,Paraméterek!$O$225:$P$240,2,0),0),0))*$AG711</f>
        <v>0</v>
      </c>
      <c r="AK711" s="13">
        <f t="shared" ca="1" si="229"/>
        <v>0</v>
      </c>
      <c r="AL711" s="13">
        <f t="shared" ca="1" si="237"/>
        <v>0</v>
      </c>
      <c r="AM711" s="13">
        <f t="shared" ca="1" si="238"/>
        <v>0</v>
      </c>
      <c r="AO711" s="32">
        <v>692</v>
      </c>
      <c r="AP711" s="32">
        <v>58</v>
      </c>
      <c r="AQ711" s="32">
        <v>8</v>
      </c>
      <c r="AR711" s="13"/>
      <c r="AS711" s="32"/>
      <c r="AT711" s="13">
        <f t="shared" ca="1" si="239"/>
        <v>0</v>
      </c>
      <c r="AU711" s="33"/>
      <c r="AV711" s="13">
        <f t="shared" ca="1" si="230"/>
        <v>0</v>
      </c>
      <c r="AW711" s="13">
        <f ca="1">ROUNDUP(($AT711+$AV711)*VLOOKUP($AP711,Paraméterek!$P$38:$Q$38,2)/12*IF($D712="Nem",IF($M$13=0,1,$M$13),1),IF($D$4="Forint",0,2))</f>
        <v>0</v>
      </c>
      <c r="AX711" s="13"/>
      <c r="AY711" s="13"/>
      <c r="AZ711" s="13">
        <f>ROUNDUP(IF(SUM($AX711:$AY711)=0,0,IF(IF(ISBLANK($AY711),$AX711,$AY711)*Paraméterek!$J$112&lt;IF($D$4="Forint",Paraméterek!$J$113,Paraméterek!$K$113),IF($D$4="Forint",Paraméterek!$J$113,Paraméterek!$K$113),IF(IF(ISBLANK($AY711),$AX711,$AY711)*Paraméterek!$J$112&gt;IF($D$4="Forint",Paraméterek!$J$114,Paraméterek!$K$114),IF($D$4="Forint",Paraméterek!$J$114,Paraméterek!$K$114),IF(ISBLANK($AY711),$AX711,$AY711)*Paraméterek!$J$112))),IF($D$4="Forint",0,2))</f>
        <v>0</v>
      </c>
      <c r="BA711" s="13">
        <f ca="1">$AT711+$AV711-$AW711-IF(ROUNDDOWN(IF(ISBLANK($AY711),$AX711,$AY711),IF($D$4="Forint",0,2))&gt;$AT711+$AV711-$AW711-IF($D$4="Forint",Paraméterek!$J$114,Paraméterek!$K$114),0,ROUNDDOWN(IF(ISBLANK($AY711),$AX711,$AY711),IF($D$4="Forint",0,2))-$AZ711)</f>
        <v>0</v>
      </c>
      <c r="BB711" s="13">
        <f t="shared" ca="1" si="231"/>
        <v>0</v>
      </c>
      <c r="BD711" s="32">
        <v>692</v>
      </c>
      <c r="BE711" s="32">
        <v>58</v>
      </c>
      <c r="BF711" s="32">
        <v>8</v>
      </c>
      <c r="BG711" s="34">
        <f t="shared" ca="1" si="240"/>
        <v>2077</v>
      </c>
      <c r="BH711" s="32" t="str">
        <f ca="1">IF(MOD(MONTH($D$14)+$BD711-1,12)=Paraméterek!$C$288,"Igen","")</f>
        <v/>
      </c>
      <c r="BI711" s="13">
        <f ca="1">IF($BH711="Igen",MIN(ROUNDDOWN((SUMIF($BG$20:$BG$1027,$BG711-1,$K$20:$K$1027)-SUMIF($BG$20:$BG$1027,$BG711-1,$I$20:$I$1027))*Paraméterek!$C$289,IF($D$4="Forint",0,2)),IF($D$4="Forint",Paraméterek!$C$285,Paraméterek!$D$285)),0)</f>
        <v>0</v>
      </c>
      <c r="BJ711" s="13">
        <f t="shared" ca="1" si="232"/>
        <v>0</v>
      </c>
      <c r="BK711" s="13">
        <f t="shared" ca="1" si="241"/>
        <v>0</v>
      </c>
      <c r="BL711" s="33"/>
      <c r="BM711" s="13">
        <f t="shared" ca="1" si="233"/>
        <v>0</v>
      </c>
      <c r="BN711" s="13">
        <f ca="1">ROUNDUP(($BK711+$BM711)*VLOOKUP($BE711,Paraméterek!$P$38:$Q$38,2)/12*IF($D712="Nem",IF($M$13=0,1,$M$13),1),IF($D$4="Forint",0,2))</f>
        <v>0</v>
      </c>
      <c r="BO711" s="13">
        <f t="shared" ca="1" si="234"/>
        <v>0</v>
      </c>
      <c r="BP711" s="13">
        <f ca="1">IF($D712="Nem",$BO711,$BO711-ROUNDUP(SUM($BI$20:$BI711)*120%,IF($D$4="Forint",0,2)))</f>
        <v>0</v>
      </c>
    </row>
    <row r="712" spans="1:68" x14ac:dyDescent="0.2">
      <c r="A712" s="32">
        <v>693</v>
      </c>
      <c r="B712" s="32">
        <v>58</v>
      </c>
      <c r="C712" s="32">
        <v>9</v>
      </c>
      <c r="D712" s="32" t="str">
        <f t="shared" ca="1" si="220"/>
        <v>Nem</v>
      </c>
      <c r="E712" s="13">
        <f t="shared" ca="1" si="221"/>
        <v>0</v>
      </c>
      <c r="F712" s="13"/>
      <c r="G712" s="13"/>
      <c r="H712" s="13"/>
      <c r="I712" s="13">
        <f t="shared" ca="1" si="222"/>
        <v>0</v>
      </c>
      <c r="J712" s="13">
        <f t="shared" ca="1" si="223"/>
        <v>0</v>
      </c>
      <c r="K712" s="13">
        <f t="shared" ca="1" si="224"/>
        <v>0</v>
      </c>
      <c r="L712" s="13" t="e">
        <f ca="1">ROUNDUP(IF($D$2="Egyszeri",$E712,IF($D$2="Havi",SUM($E$20:$E$31),IF(MOD($C712,$M$1)-1=0,SUM($E$20:$E$31),0))/12*$M$1)*VLOOKUP($B712,Paraméterek!$I$28:$P$31,IF($D$2="Egyszeri",8,HLOOKUP(ROUNDUP($M$11+$M$13,0),Paraméterek!$J$26:$O$27,2))),IF($D$4="Forint",0,2))</f>
        <v>#N/A</v>
      </c>
      <c r="M712" s="13">
        <f t="shared" ca="1" si="225"/>
        <v>0</v>
      </c>
      <c r="N712" s="13">
        <f t="shared" ca="1" si="235"/>
        <v>0</v>
      </c>
      <c r="O712" s="13">
        <f ca="1">IF($D712="Igen",IF($W711&gt;=IF($D$4="Forint",Paraméterek!$J$121,Paraméterek!$K$121),0,IF($D$4="Forint",Paraméterek!$J$121,Paraméterek!$K$121)-$W711),0)</f>
        <v>0</v>
      </c>
      <c r="P712" s="13" t="e">
        <f ca="1">ROUNDUP($O712*VLOOKUP($M$4+$B712-1,Paraméterek!$H$58:$I$105,2,0)/Paraméterek!$I$56,IF($D$4="Forint",0,2))</f>
        <v>#N/A</v>
      </c>
      <c r="Q712" s="13">
        <f t="shared" ca="1" si="226"/>
        <v>0</v>
      </c>
      <c r="R712" s="33"/>
      <c r="S712" s="13" t="e">
        <f t="shared" ca="1" si="227"/>
        <v>#N/A</v>
      </c>
      <c r="T712" s="13" t="e">
        <f ca="1">ROUNDUP(($N712-$P712-$Q712+$S712)*VLOOKUP($B712,Paraméterek!$I$38:$K$39,IF($D$2="Egyszeri",3,2))/12*IF($D713="Nem",IF($M$13=0,1,$M$13),1),IF($D$4="Forint",0,2))</f>
        <v>#N/A</v>
      </c>
      <c r="U712" s="13"/>
      <c r="V712" s="13"/>
      <c r="W712" s="13" t="e">
        <f ca="1">$N712-$P712-$Q712+$S712-$T712-IF(ROUNDUP(IF(ISBLANK($V712),$U712*0,$V712)/IF($D$2="Egyszeri",VLOOKUP($B712+IF($C712=12,1,0),Paraméterek!$V$257:$W$262,2),IF($B712=1,1,VLOOKUP($B712+IF($C712=12,1,0),Paraméterek!$I$258:$T$278,HLOOKUP($M$11+1,Paraméterek!$J$256:$T$257,2)))),IF($D$4="Forint",0,2))&gt;$N712-$P712-$Q712+$S712-$T712-IF($D$4="Forint",Paraméterek!$C$216,Paraméterek!$D$216),0,ROUNDUP(IF(ISBLANK($V712),$U712*0,$V712)/IF($D$2="Egyszeri",VLOOKUP($B712+IF($C712=12,1,0),Paraméterek!$V$257:$W$262,2),IF($B712=1,1,VLOOKUP($B712+IF($C712=12,1,0),Paraméterek!$I$258:$T$278,HLOOKUP($M$11+1,Paraméterek!$J$256:$T$257,2)))),IF($D$4="Forint",0,2)))</f>
        <v>#N/A</v>
      </c>
      <c r="X712" s="13" t="e">
        <f ca="1">ROUNDDOWN($W712*IF($D$2="Egyszeri",VLOOKUP($B712+IF($C712=12,1,0),Paraméterek!$V$257:$W$262,2),VLOOKUP($B712+IF($C712=12,1,0),Paraméterek!$I$258:$T$278,HLOOKUP($M$11+1,Paraméterek!$I$256:$T$257,2))),IF($D$4="Forint",0,2))</f>
        <v>#N/A</v>
      </c>
      <c r="Z712" s="32">
        <v>693</v>
      </c>
      <c r="AA712" s="32">
        <v>58</v>
      </c>
      <c r="AB712" s="32">
        <v>9</v>
      </c>
      <c r="AC712" s="13">
        <f t="shared" ca="1" si="236"/>
        <v>0</v>
      </c>
      <c r="AD712" s="33"/>
      <c r="AE712" s="13">
        <f t="shared" ca="1" si="228"/>
        <v>0</v>
      </c>
      <c r="AF712" s="13">
        <f ca="1">ROUNDUP(($AC712+$AE712)*VLOOKUP($AA712,Paraméterek!$P$38:$Q$38,2)/12*IF($D713="Nem",IF($M$13=0,1,$M$13),1),IF($D$4="Forint",0,2))</f>
        <v>0</v>
      </c>
      <c r="AG712" s="13">
        <f ca="1">IF($D$2="Egyszeri",IF($D$7&gt;=IF($D$4="Forint",Paraméterek!$P$223,Paraméterek!$P$224),$D$7-IF($D$4="Forint",Paraméterek!$P$223,Paraméterek!$P$224),0),MIN(IF($AB712=12,AVERAGEIF($E$20:$E712,"&gt;0",$E$20:$E712)*12,0),SUM($E$20:$E$31)))</f>
        <v>0</v>
      </c>
      <c r="AH712" s="13">
        <f>IF($AA712=10,$AG712*IF($AB712=12,IF($AG712&lt;IF($D$4="Forint",Paraméterek!$L$223,Paraméterek!$L$224),0,VLOOKUP($AA712,Paraméterek!$K$226:$M$228,IF($AG712&lt;IF($D$4="Forint",Paraméterek!$M$223,Paraméterek!$M$224),2,3))),0),0)</f>
        <v>0</v>
      </c>
      <c r="AI712" s="13">
        <f ca="1">IF(AND($AA712=$M$11+1,$AB712=$M$12+1),SUMIF($AA$20:$AA$1027,$AA712,$AG$20:$AG$1027)*IF(SUMIF($AA$20:$AA$1027,$AA712,$AG$20:$AG$1027)&lt;IF($D$4="Forint",Paraméterek!$L$223,Paraméterek!$L$224),0,VLOOKUP($AA712,Paraméterek!$K$230:$M$250,IF(SUMIF($AA$20:$AA$1027,$AA712,$AG$20:$AG$1027)&lt;IF($D$4="Forint",Paraméterek!$M$223,Paraméterek!$M$224),2,3))),0)</f>
        <v>0</v>
      </c>
      <c r="AJ712" s="13">
        <f ca="1">IF(AND($AA712&gt;=5,MOD($AA712,5)=0),IF($AB712=12,VLOOKUP($AA712,Paraméterek!$O$225:$P$240,2),0),IF(OR($AA712=3,$AA712=4),IF($AB712=12,VLOOKUP($AA712,Paraméterek!$O$225:$P$240,2,0),0),0))*$AG712</f>
        <v>0</v>
      </c>
      <c r="AK712" s="13">
        <f t="shared" ca="1" si="229"/>
        <v>0</v>
      </c>
      <c r="AL712" s="13">
        <f t="shared" ca="1" si="237"/>
        <v>0</v>
      </c>
      <c r="AM712" s="13">
        <f t="shared" ca="1" si="238"/>
        <v>0</v>
      </c>
      <c r="AO712" s="32">
        <v>693</v>
      </c>
      <c r="AP712" s="32">
        <v>58</v>
      </c>
      <c r="AQ712" s="32">
        <v>9</v>
      </c>
      <c r="AR712" s="13"/>
      <c r="AS712" s="32"/>
      <c r="AT712" s="13">
        <f t="shared" ca="1" si="239"/>
        <v>0</v>
      </c>
      <c r="AU712" s="33"/>
      <c r="AV712" s="13">
        <f t="shared" ca="1" si="230"/>
        <v>0</v>
      </c>
      <c r="AW712" s="13">
        <f ca="1">ROUNDUP(($AT712+$AV712)*VLOOKUP($AP712,Paraméterek!$P$38:$Q$38,2)/12*IF($D713="Nem",IF($M$13=0,1,$M$13),1),IF($D$4="Forint",0,2))</f>
        <v>0</v>
      </c>
      <c r="AX712" s="13"/>
      <c r="AY712" s="13"/>
      <c r="AZ712" s="13">
        <f>ROUNDUP(IF(SUM($AX712:$AY712)=0,0,IF(IF(ISBLANK($AY712),$AX712,$AY712)*Paraméterek!$J$112&lt;IF($D$4="Forint",Paraméterek!$J$113,Paraméterek!$K$113),IF($D$4="Forint",Paraméterek!$J$113,Paraméterek!$K$113),IF(IF(ISBLANK($AY712),$AX712,$AY712)*Paraméterek!$J$112&gt;IF($D$4="Forint",Paraméterek!$J$114,Paraméterek!$K$114),IF($D$4="Forint",Paraméterek!$J$114,Paraméterek!$K$114),IF(ISBLANK($AY712),$AX712,$AY712)*Paraméterek!$J$112))),IF($D$4="Forint",0,2))</f>
        <v>0</v>
      </c>
      <c r="BA712" s="13">
        <f ca="1">$AT712+$AV712-$AW712-IF(ROUNDDOWN(IF(ISBLANK($AY712),$AX712,$AY712),IF($D$4="Forint",0,2))&gt;$AT712+$AV712-$AW712-IF($D$4="Forint",Paraméterek!$J$114,Paraméterek!$K$114),0,ROUNDDOWN(IF(ISBLANK($AY712),$AX712,$AY712),IF($D$4="Forint",0,2))-$AZ712)</f>
        <v>0</v>
      </c>
      <c r="BB712" s="13">
        <f t="shared" ca="1" si="231"/>
        <v>0</v>
      </c>
      <c r="BD712" s="32">
        <v>693</v>
      </c>
      <c r="BE712" s="32">
        <v>58</v>
      </c>
      <c r="BF712" s="32">
        <v>9</v>
      </c>
      <c r="BG712" s="34">
        <f t="shared" ca="1" si="240"/>
        <v>2077</v>
      </c>
      <c r="BH712" s="32" t="str">
        <f ca="1">IF(MOD(MONTH($D$14)+$BD712-1,12)=Paraméterek!$C$288,"Igen","")</f>
        <v/>
      </c>
      <c r="BI712" s="13">
        <f ca="1">IF($BH712="Igen",MIN(ROUNDDOWN((SUMIF($BG$20:$BG$1027,$BG712-1,$K$20:$K$1027)-SUMIF($BG$20:$BG$1027,$BG712-1,$I$20:$I$1027))*Paraméterek!$C$289,IF($D$4="Forint",0,2)),IF($D$4="Forint",Paraméterek!$C$285,Paraméterek!$D$285)),0)</f>
        <v>0</v>
      </c>
      <c r="BJ712" s="13">
        <f t="shared" ca="1" si="232"/>
        <v>0</v>
      </c>
      <c r="BK712" s="13">
        <f t="shared" ca="1" si="241"/>
        <v>0</v>
      </c>
      <c r="BL712" s="33"/>
      <c r="BM712" s="13">
        <f t="shared" ca="1" si="233"/>
        <v>0</v>
      </c>
      <c r="BN712" s="13">
        <f ca="1">ROUNDUP(($BK712+$BM712)*VLOOKUP($BE712,Paraméterek!$P$38:$Q$38,2)/12*IF($D713="Nem",IF($M$13=0,1,$M$13),1),IF($D$4="Forint",0,2))</f>
        <v>0</v>
      </c>
      <c r="BO712" s="13">
        <f t="shared" ca="1" si="234"/>
        <v>0</v>
      </c>
      <c r="BP712" s="13">
        <f ca="1">IF($D713="Nem",$BO712,$BO712-ROUNDUP(SUM($BI$20:$BI712)*120%,IF($D$4="Forint",0,2)))</f>
        <v>0</v>
      </c>
    </row>
    <row r="713" spans="1:68" x14ac:dyDescent="0.2">
      <c r="A713" s="32">
        <v>694</v>
      </c>
      <c r="B713" s="32">
        <v>58</v>
      </c>
      <c r="C713" s="32">
        <v>10</v>
      </c>
      <c r="D713" s="32" t="str">
        <f t="shared" ca="1" si="220"/>
        <v>Nem</v>
      </c>
      <c r="E713" s="13">
        <f t="shared" ca="1" si="221"/>
        <v>0</v>
      </c>
      <c r="F713" s="13"/>
      <c r="G713" s="13"/>
      <c r="H713" s="13"/>
      <c r="I713" s="13">
        <f t="shared" ca="1" si="222"/>
        <v>0</v>
      </c>
      <c r="J713" s="13">
        <f t="shared" ca="1" si="223"/>
        <v>0</v>
      </c>
      <c r="K713" s="13">
        <f t="shared" ca="1" si="224"/>
        <v>0</v>
      </c>
      <c r="L713" s="13" t="e">
        <f ca="1">ROUNDUP(IF($D$2="Egyszeri",$E713,IF($D$2="Havi",SUM($E$20:$E$31),IF(MOD($C713,$M$1)-1=0,SUM($E$20:$E$31),0))/12*$M$1)*VLOOKUP($B713,Paraméterek!$I$28:$P$31,IF($D$2="Egyszeri",8,HLOOKUP(ROUNDUP($M$11+$M$13,0),Paraméterek!$J$26:$O$27,2))),IF($D$4="Forint",0,2))</f>
        <v>#N/A</v>
      </c>
      <c r="M713" s="13">
        <f t="shared" ca="1" si="225"/>
        <v>0</v>
      </c>
      <c r="N713" s="13">
        <f t="shared" ca="1" si="235"/>
        <v>0</v>
      </c>
      <c r="O713" s="13">
        <f ca="1">IF($D713="Igen",IF($W712&gt;=IF($D$4="Forint",Paraméterek!$J$121,Paraméterek!$K$121),0,IF($D$4="Forint",Paraméterek!$J$121,Paraméterek!$K$121)-$W712),0)</f>
        <v>0</v>
      </c>
      <c r="P713" s="13" t="e">
        <f ca="1">ROUNDUP($O713*VLOOKUP($M$4+$B713-1,Paraméterek!$H$58:$I$105,2,0)/Paraméterek!$I$56,IF($D$4="Forint",0,2))</f>
        <v>#N/A</v>
      </c>
      <c r="Q713" s="13">
        <f t="shared" ca="1" si="226"/>
        <v>0</v>
      </c>
      <c r="R713" s="33"/>
      <c r="S713" s="13" t="e">
        <f t="shared" ca="1" si="227"/>
        <v>#N/A</v>
      </c>
      <c r="T713" s="13" t="e">
        <f ca="1">ROUNDUP(($N713-$P713-$Q713+$S713)*VLOOKUP($B713,Paraméterek!$I$38:$K$39,IF($D$2="Egyszeri",3,2))/12*IF($D714="Nem",IF($M$13=0,1,$M$13),1),IF($D$4="Forint",0,2))</f>
        <v>#N/A</v>
      </c>
      <c r="U713" s="13"/>
      <c r="V713" s="13"/>
      <c r="W713" s="13" t="e">
        <f ca="1">$N713-$P713-$Q713+$S713-$T713-IF(ROUNDUP(IF(ISBLANK($V713),$U713*0,$V713)/IF($D$2="Egyszeri",VLOOKUP($B713+IF($C713=12,1,0),Paraméterek!$V$257:$W$262,2),IF($B713=1,1,VLOOKUP($B713+IF($C713=12,1,0),Paraméterek!$I$258:$T$278,HLOOKUP($M$11+1,Paraméterek!$J$256:$T$257,2)))),IF($D$4="Forint",0,2))&gt;$N713-$P713-$Q713+$S713-$T713-IF($D$4="Forint",Paraméterek!$C$216,Paraméterek!$D$216),0,ROUNDUP(IF(ISBLANK($V713),$U713*0,$V713)/IF($D$2="Egyszeri",VLOOKUP($B713+IF($C713=12,1,0),Paraméterek!$V$257:$W$262,2),IF($B713=1,1,VLOOKUP($B713+IF($C713=12,1,0),Paraméterek!$I$258:$T$278,HLOOKUP($M$11+1,Paraméterek!$J$256:$T$257,2)))),IF($D$4="Forint",0,2)))</f>
        <v>#N/A</v>
      </c>
      <c r="X713" s="13" t="e">
        <f ca="1">ROUNDDOWN($W713*IF($D$2="Egyszeri",VLOOKUP($B713+IF($C713=12,1,0),Paraméterek!$V$257:$W$262,2),VLOOKUP($B713+IF($C713=12,1,0),Paraméterek!$I$258:$T$278,HLOOKUP($M$11+1,Paraméterek!$I$256:$T$257,2))),IF($D$4="Forint",0,2))</f>
        <v>#N/A</v>
      </c>
      <c r="Z713" s="32">
        <v>694</v>
      </c>
      <c r="AA713" s="32">
        <v>58</v>
      </c>
      <c r="AB713" s="32">
        <v>10</v>
      </c>
      <c r="AC713" s="13">
        <f t="shared" ca="1" si="236"/>
        <v>0</v>
      </c>
      <c r="AD713" s="33"/>
      <c r="AE713" s="13">
        <f t="shared" ca="1" si="228"/>
        <v>0</v>
      </c>
      <c r="AF713" s="13">
        <f ca="1">ROUNDUP(($AC713+$AE713)*VLOOKUP($AA713,Paraméterek!$P$38:$Q$38,2)/12*IF($D714="Nem",IF($M$13=0,1,$M$13),1),IF($D$4="Forint",0,2))</f>
        <v>0</v>
      </c>
      <c r="AG713" s="13">
        <f ca="1">IF($D$2="Egyszeri",IF($D$7&gt;=IF($D$4="Forint",Paraméterek!$P$223,Paraméterek!$P$224),$D$7-IF($D$4="Forint",Paraméterek!$P$223,Paraméterek!$P$224),0),MIN(IF($AB713=12,AVERAGEIF($E$20:$E713,"&gt;0",$E$20:$E713)*12,0),SUM($E$20:$E$31)))</f>
        <v>0</v>
      </c>
      <c r="AH713" s="13">
        <f>IF($AA713=10,$AG713*IF($AB713=12,IF($AG713&lt;IF($D$4="Forint",Paraméterek!$L$223,Paraméterek!$L$224),0,VLOOKUP($AA713,Paraméterek!$K$226:$M$228,IF($AG713&lt;IF($D$4="Forint",Paraméterek!$M$223,Paraméterek!$M$224),2,3))),0),0)</f>
        <v>0</v>
      </c>
      <c r="AI713" s="13">
        <f ca="1">IF(AND($AA713=$M$11+1,$AB713=$M$12+1),SUMIF($AA$20:$AA$1027,$AA713,$AG$20:$AG$1027)*IF(SUMIF($AA$20:$AA$1027,$AA713,$AG$20:$AG$1027)&lt;IF($D$4="Forint",Paraméterek!$L$223,Paraméterek!$L$224),0,VLOOKUP($AA713,Paraméterek!$K$230:$M$250,IF(SUMIF($AA$20:$AA$1027,$AA713,$AG$20:$AG$1027)&lt;IF($D$4="Forint",Paraméterek!$M$223,Paraméterek!$M$224),2,3))),0)</f>
        <v>0</v>
      </c>
      <c r="AJ713" s="13">
        <f ca="1">IF(AND($AA713&gt;=5,MOD($AA713,5)=0),IF($AB713=12,VLOOKUP($AA713,Paraméterek!$O$225:$P$240,2),0),IF(OR($AA713=3,$AA713=4),IF($AB713=12,VLOOKUP($AA713,Paraméterek!$O$225:$P$240,2,0),0),0))*$AG713</f>
        <v>0</v>
      </c>
      <c r="AK713" s="13">
        <f t="shared" ca="1" si="229"/>
        <v>0</v>
      </c>
      <c r="AL713" s="13">
        <f t="shared" ca="1" si="237"/>
        <v>0</v>
      </c>
      <c r="AM713" s="13">
        <f t="shared" ca="1" si="238"/>
        <v>0</v>
      </c>
      <c r="AO713" s="32">
        <v>694</v>
      </c>
      <c r="AP713" s="32">
        <v>58</v>
      </c>
      <c r="AQ713" s="32">
        <v>10</v>
      </c>
      <c r="AR713" s="13"/>
      <c r="AS713" s="32"/>
      <c r="AT713" s="13">
        <f t="shared" ca="1" si="239"/>
        <v>0</v>
      </c>
      <c r="AU713" s="33"/>
      <c r="AV713" s="13">
        <f t="shared" ca="1" si="230"/>
        <v>0</v>
      </c>
      <c r="AW713" s="13">
        <f ca="1">ROUNDUP(($AT713+$AV713)*VLOOKUP($AP713,Paraméterek!$P$38:$Q$38,2)/12*IF($D714="Nem",IF($M$13=0,1,$M$13),1),IF($D$4="Forint",0,2))</f>
        <v>0</v>
      </c>
      <c r="AX713" s="13"/>
      <c r="AY713" s="13"/>
      <c r="AZ713" s="13">
        <f>ROUNDUP(IF(SUM($AX713:$AY713)=0,0,IF(IF(ISBLANK($AY713),$AX713,$AY713)*Paraméterek!$J$112&lt;IF($D$4="Forint",Paraméterek!$J$113,Paraméterek!$K$113),IF($D$4="Forint",Paraméterek!$J$113,Paraméterek!$K$113),IF(IF(ISBLANK($AY713),$AX713,$AY713)*Paraméterek!$J$112&gt;IF($D$4="Forint",Paraméterek!$J$114,Paraméterek!$K$114),IF($D$4="Forint",Paraméterek!$J$114,Paraméterek!$K$114),IF(ISBLANK($AY713),$AX713,$AY713)*Paraméterek!$J$112))),IF($D$4="Forint",0,2))</f>
        <v>0</v>
      </c>
      <c r="BA713" s="13">
        <f ca="1">$AT713+$AV713-$AW713-IF(ROUNDDOWN(IF(ISBLANK($AY713),$AX713,$AY713),IF($D$4="Forint",0,2))&gt;$AT713+$AV713-$AW713-IF($D$4="Forint",Paraméterek!$J$114,Paraméterek!$K$114),0,ROUNDDOWN(IF(ISBLANK($AY713),$AX713,$AY713),IF($D$4="Forint",0,2))-$AZ713)</f>
        <v>0</v>
      </c>
      <c r="BB713" s="13">
        <f t="shared" ca="1" si="231"/>
        <v>0</v>
      </c>
      <c r="BD713" s="32">
        <v>694</v>
      </c>
      <c r="BE713" s="32">
        <v>58</v>
      </c>
      <c r="BF713" s="32">
        <v>10</v>
      </c>
      <c r="BG713" s="34">
        <f t="shared" ca="1" si="240"/>
        <v>2077</v>
      </c>
      <c r="BH713" s="32" t="str">
        <f ca="1">IF(MOD(MONTH($D$14)+$BD713-1,12)=Paraméterek!$C$288,"Igen","")</f>
        <v/>
      </c>
      <c r="BI713" s="13">
        <f ca="1">IF($BH713="Igen",MIN(ROUNDDOWN((SUMIF($BG$20:$BG$1027,$BG713-1,$K$20:$K$1027)-SUMIF($BG$20:$BG$1027,$BG713-1,$I$20:$I$1027))*Paraméterek!$C$289,IF($D$4="Forint",0,2)),IF($D$4="Forint",Paraméterek!$C$285,Paraméterek!$D$285)),0)</f>
        <v>0</v>
      </c>
      <c r="BJ713" s="13">
        <f t="shared" ca="1" si="232"/>
        <v>0</v>
      </c>
      <c r="BK713" s="13">
        <f t="shared" ca="1" si="241"/>
        <v>0</v>
      </c>
      <c r="BL713" s="33"/>
      <c r="BM713" s="13">
        <f t="shared" ca="1" si="233"/>
        <v>0</v>
      </c>
      <c r="BN713" s="13">
        <f ca="1">ROUNDUP(($BK713+$BM713)*VLOOKUP($BE713,Paraméterek!$P$38:$Q$38,2)/12*IF($D714="Nem",IF($M$13=0,1,$M$13),1),IF($D$4="Forint",0,2))</f>
        <v>0</v>
      </c>
      <c r="BO713" s="13">
        <f t="shared" ca="1" si="234"/>
        <v>0</v>
      </c>
      <c r="BP713" s="13">
        <f ca="1">IF($D714="Nem",$BO713,$BO713-ROUNDUP(SUM($BI$20:$BI713)*120%,IF($D$4="Forint",0,2)))</f>
        <v>0</v>
      </c>
    </row>
    <row r="714" spans="1:68" x14ac:dyDescent="0.2">
      <c r="A714" s="32">
        <v>695</v>
      </c>
      <c r="B714" s="32">
        <v>58</v>
      </c>
      <c r="C714" s="32">
        <v>11</v>
      </c>
      <c r="D714" s="32" t="str">
        <f t="shared" ca="1" si="220"/>
        <v>Nem</v>
      </c>
      <c r="E714" s="13">
        <f t="shared" ca="1" si="221"/>
        <v>0</v>
      </c>
      <c r="F714" s="13"/>
      <c r="G714" s="13"/>
      <c r="H714" s="13"/>
      <c r="I714" s="13">
        <f t="shared" ca="1" si="222"/>
        <v>0</v>
      </c>
      <c r="J714" s="13">
        <f t="shared" ca="1" si="223"/>
        <v>0</v>
      </c>
      <c r="K714" s="13">
        <f t="shared" ca="1" si="224"/>
        <v>0</v>
      </c>
      <c r="L714" s="13" t="e">
        <f ca="1">ROUNDUP(IF($D$2="Egyszeri",$E714,IF($D$2="Havi",SUM($E$20:$E$31),IF(MOD($C714,$M$1)-1=0,SUM($E$20:$E$31),0))/12*$M$1)*VLOOKUP($B714,Paraméterek!$I$28:$P$31,IF($D$2="Egyszeri",8,HLOOKUP(ROUNDUP($M$11+$M$13,0),Paraméterek!$J$26:$O$27,2))),IF($D$4="Forint",0,2))</f>
        <v>#N/A</v>
      </c>
      <c r="M714" s="13">
        <f t="shared" ca="1" si="225"/>
        <v>0</v>
      </c>
      <c r="N714" s="13">
        <f t="shared" ca="1" si="235"/>
        <v>0</v>
      </c>
      <c r="O714" s="13">
        <f ca="1">IF($D714="Igen",IF($W713&gt;=IF($D$4="Forint",Paraméterek!$J$121,Paraméterek!$K$121),0,IF($D$4="Forint",Paraméterek!$J$121,Paraméterek!$K$121)-$W713),0)</f>
        <v>0</v>
      </c>
      <c r="P714" s="13" t="e">
        <f ca="1">ROUNDUP($O714*VLOOKUP($M$4+$B714-1,Paraméterek!$H$58:$I$105,2,0)/Paraméterek!$I$56,IF($D$4="Forint",0,2))</f>
        <v>#N/A</v>
      </c>
      <c r="Q714" s="13">
        <f t="shared" ca="1" si="226"/>
        <v>0</v>
      </c>
      <c r="R714" s="33"/>
      <c r="S714" s="13" t="e">
        <f t="shared" ca="1" si="227"/>
        <v>#N/A</v>
      </c>
      <c r="T714" s="13" t="e">
        <f ca="1">ROUNDUP(($N714-$P714-$Q714+$S714)*VLOOKUP($B714,Paraméterek!$I$38:$K$39,IF($D$2="Egyszeri",3,2))/12*IF($D715="Nem",IF($M$13=0,1,$M$13),1),IF($D$4="Forint",0,2))</f>
        <v>#N/A</v>
      </c>
      <c r="U714" s="13"/>
      <c r="V714" s="13"/>
      <c r="W714" s="13" t="e">
        <f ca="1">$N714-$P714-$Q714+$S714-$T714-IF(ROUNDUP(IF(ISBLANK($V714),$U714*0,$V714)/IF($D$2="Egyszeri",VLOOKUP($B714+IF($C714=12,1,0),Paraméterek!$V$257:$W$262,2),IF($B714=1,1,VLOOKUP($B714+IF($C714=12,1,0),Paraméterek!$I$258:$T$278,HLOOKUP($M$11+1,Paraméterek!$J$256:$T$257,2)))),IF($D$4="Forint",0,2))&gt;$N714-$P714-$Q714+$S714-$T714-IF($D$4="Forint",Paraméterek!$C$216,Paraméterek!$D$216),0,ROUNDUP(IF(ISBLANK($V714),$U714*0,$V714)/IF($D$2="Egyszeri",VLOOKUP($B714+IF($C714=12,1,0),Paraméterek!$V$257:$W$262,2),IF($B714=1,1,VLOOKUP($B714+IF($C714=12,1,0),Paraméterek!$I$258:$T$278,HLOOKUP($M$11+1,Paraméterek!$J$256:$T$257,2)))),IF($D$4="Forint",0,2)))</f>
        <v>#N/A</v>
      </c>
      <c r="X714" s="13" t="e">
        <f ca="1">ROUNDDOWN($W714*IF($D$2="Egyszeri",VLOOKUP($B714+IF($C714=12,1,0),Paraméterek!$V$257:$W$262,2),VLOOKUP($B714+IF($C714=12,1,0),Paraméterek!$I$258:$T$278,HLOOKUP($M$11+1,Paraméterek!$I$256:$T$257,2))),IF($D$4="Forint",0,2))</f>
        <v>#N/A</v>
      </c>
      <c r="Z714" s="32">
        <v>695</v>
      </c>
      <c r="AA714" s="32">
        <v>58</v>
      </c>
      <c r="AB714" s="32">
        <v>11</v>
      </c>
      <c r="AC714" s="13">
        <f t="shared" ca="1" si="236"/>
        <v>0</v>
      </c>
      <c r="AD714" s="33"/>
      <c r="AE714" s="13">
        <f t="shared" ca="1" si="228"/>
        <v>0</v>
      </c>
      <c r="AF714" s="13">
        <f ca="1">ROUNDUP(($AC714+$AE714)*VLOOKUP($AA714,Paraméterek!$P$38:$Q$38,2)/12*IF($D715="Nem",IF($M$13=0,1,$M$13),1),IF($D$4="Forint",0,2))</f>
        <v>0</v>
      </c>
      <c r="AG714" s="13">
        <f ca="1">IF($D$2="Egyszeri",IF($D$7&gt;=IF($D$4="Forint",Paraméterek!$P$223,Paraméterek!$P$224),$D$7-IF($D$4="Forint",Paraméterek!$P$223,Paraméterek!$P$224),0),MIN(IF($AB714=12,AVERAGEIF($E$20:$E714,"&gt;0",$E$20:$E714)*12,0),SUM($E$20:$E$31)))</f>
        <v>0</v>
      </c>
      <c r="AH714" s="13">
        <f>IF($AA714=10,$AG714*IF($AB714=12,IF($AG714&lt;IF($D$4="Forint",Paraméterek!$L$223,Paraméterek!$L$224),0,VLOOKUP($AA714,Paraméterek!$K$226:$M$228,IF($AG714&lt;IF($D$4="Forint",Paraméterek!$M$223,Paraméterek!$M$224),2,3))),0),0)</f>
        <v>0</v>
      </c>
      <c r="AI714" s="13">
        <f ca="1">IF(AND($AA714=$M$11+1,$AB714=$M$12+1),SUMIF($AA$20:$AA$1027,$AA714,$AG$20:$AG$1027)*IF(SUMIF($AA$20:$AA$1027,$AA714,$AG$20:$AG$1027)&lt;IF($D$4="Forint",Paraméterek!$L$223,Paraméterek!$L$224),0,VLOOKUP($AA714,Paraméterek!$K$230:$M$250,IF(SUMIF($AA$20:$AA$1027,$AA714,$AG$20:$AG$1027)&lt;IF($D$4="Forint",Paraméterek!$M$223,Paraméterek!$M$224),2,3))),0)</f>
        <v>0</v>
      </c>
      <c r="AJ714" s="13">
        <f ca="1">IF(AND($AA714&gt;=5,MOD($AA714,5)=0),IF($AB714=12,VLOOKUP($AA714,Paraméterek!$O$225:$P$240,2),0),IF(OR($AA714=3,$AA714=4),IF($AB714=12,VLOOKUP($AA714,Paraméterek!$O$225:$P$240,2,0),0),0))*$AG714</f>
        <v>0</v>
      </c>
      <c r="AK714" s="13">
        <f t="shared" ca="1" si="229"/>
        <v>0</v>
      </c>
      <c r="AL714" s="13">
        <f t="shared" ca="1" si="237"/>
        <v>0</v>
      </c>
      <c r="AM714" s="13">
        <f t="shared" ca="1" si="238"/>
        <v>0</v>
      </c>
      <c r="AO714" s="32">
        <v>695</v>
      </c>
      <c r="AP714" s="32">
        <v>58</v>
      </c>
      <c r="AQ714" s="32">
        <v>11</v>
      </c>
      <c r="AR714" s="13"/>
      <c r="AS714" s="32"/>
      <c r="AT714" s="13">
        <f t="shared" ca="1" si="239"/>
        <v>0</v>
      </c>
      <c r="AU714" s="33"/>
      <c r="AV714" s="13">
        <f t="shared" ca="1" si="230"/>
        <v>0</v>
      </c>
      <c r="AW714" s="13">
        <f ca="1">ROUNDUP(($AT714+$AV714)*VLOOKUP($AP714,Paraméterek!$P$38:$Q$38,2)/12*IF($D715="Nem",IF($M$13=0,1,$M$13),1),IF($D$4="Forint",0,2))</f>
        <v>0</v>
      </c>
      <c r="AX714" s="13"/>
      <c r="AY714" s="13"/>
      <c r="AZ714" s="13">
        <f>ROUNDUP(IF(SUM($AX714:$AY714)=0,0,IF(IF(ISBLANK($AY714),$AX714,$AY714)*Paraméterek!$J$112&lt;IF($D$4="Forint",Paraméterek!$J$113,Paraméterek!$K$113),IF($D$4="Forint",Paraméterek!$J$113,Paraméterek!$K$113),IF(IF(ISBLANK($AY714),$AX714,$AY714)*Paraméterek!$J$112&gt;IF($D$4="Forint",Paraméterek!$J$114,Paraméterek!$K$114),IF($D$4="Forint",Paraméterek!$J$114,Paraméterek!$K$114),IF(ISBLANK($AY714),$AX714,$AY714)*Paraméterek!$J$112))),IF($D$4="Forint",0,2))</f>
        <v>0</v>
      </c>
      <c r="BA714" s="13">
        <f ca="1">$AT714+$AV714-$AW714-IF(ROUNDDOWN(IF(ISBLANK($AY714),$AX714,$AY714),IF($D$4="Forint",0,2))&gt;$AT714+$AV714-$AW714-IF($D$4="Forint",Paraméterek!$J$114,Paraméterek!$K$114),0,ROUNDDOWN(IF(ISBLANK($AY714),$AX714,$AY714),IF($D$4="Forint",0,2))-$AZ714)</f>
        <v>0</v>
      </c>
      <c r="BB714" s="13">
        <f t="shared" ca="1" si="231"/>
        <v>0</v>
      </c>
      <c r="BD714" s="32">
        <v>695</v>
      </c>
      <c r="BE714" s="32">
        <v>58</v>
      </c>
      <c r="BF714" s="32">
        <v>11</v>
      </c>
      <c r="BG714" s="34">
        <f t="shared" ca="1" si="240"/>
        <v>2077</v>
      </c>
      <c r="BH714" s="32" t="str">
        <f ca="1">IF(MOD(MONTH($D$14)+$BD714-1,12)=Paraméterek!$C$288,"Igen","")</f>
        <v/>
      </c>
      <c r="BI714" s="13">
        <f ca="1">IF($BH714="Igen",MIN(ROUNDDOWN((SUMIF($BG$20:$BG$1027,$BG714-1,$K$20:$K$1027)-SUMIF($BG$20:$BG$1027,$BG714-1,$I$20:$I$1027))*Paraméterek!$C$289,IF($D$4="Forint",0,2)),IF($D$4="Forint",Paraméterek!$C$285,Paraméterek!$D$285)),0)</f>
        <v>0</v>
      </c>
      <c r="BJ714" s="13">
        <f t="shared" ca="1" si="232"/>
        <v>0</v>
      </c>
      <c r="BK714" s="13">
        <f t="shared" ca="1" si="241"/>
        <v>0</v>
      </c>
      <c r="BL714" s="33"/>
      <c r="BM714" s="13">
        <f t="shared" ca="1" si="233"/>
        <v>0</v>
      </c>
      <c r="BN714" s="13">
        <f ca="1">ROUNDUP(($BK714+$BM714)*VLOOKUP($BE714,Paraméterek!$P$38:$Q$38,2)/12*IF($D715="Nem",IF($M$13=0,1,$M$13),1),IF($D$4="Forint",0,2))</f>
        <v>0</v>
      </c>
      <c r="BO714" s="13">
        <f t="shared" ca="1" si="234"/>
        <v>0</v>
      </c>
      <c r="BP714" s="13">
        <f ca="1">IF($D715="Nem",$BO714,$BO714-ROUNDUP(SUM($BI$20:$BI714)*120%,IF($D$4="Forint",0,2)))</f>
        <v>0</v>
      </c>
    </row>
    <row r="715" spans="1:68" x14ac:dyDescent="0.2">
      <c r="A715" s="32">
        <v>696</v>
      </c>
      <c r="B715" s="32">
        <v>58</v>
      </c>
      <c r="C715" s="32">
        <v>12</v>
      </c>
      <c r="D715" s="32" t="str">
        <f t="shared" ca="1" si="220"/>
        <v>Nem</v>
      </c>
      <c r="E715" s="13">
        <f t="shared" ca="1" si="221"/>
        <v>0</v>
      </c>
      <c r="F715" s="13"/>
      <c r="G715" s="13"/>
      <c r="H715" s="13"/>
      <c r="I715" s="13">
        <f t="shared" ca="1" si="222"/>
        <v>0</v>
      </c>
      <c r="J715" s="13">
        <f t="shared" ca="1" si="223"/>
        <v>0</v>
      </c>
      <c r="K715" s="13">
        <f t="shared" ca="1" si="224"/>
        <v>0</v>
      </c>
      <c r="L715" s="13" t="e">
        <f ca="1">ROUNDUP(IF($D$2="Egyszeri",$E715,IF($D$2="Havi",SUM($E$20:$E$31),IF(MOD($C715,$M$1)-1=0,SUM($E$20:$E$31),0))/12*$M$1)*VLOOKUP($B715,Paraméterek!$I$28:$P$31,IF($D$2="Egyszeri",8,HLOOKUP(ROUNDUP($M$11+$M$13,0),Paraméterek!$J$26:$O$27,2))),IF($D$4="Forint",0,2))</f>
        <v>#N/A</v>
      </c>
      <c r="M715" s="13">
        <f t="shared" ca="1" si="225"/>
        <v>0</v>
      </c>
      <c r="N715" s="13">
        <f t="shared" ca="1" si="235"/>
        <v>0</v>
      </c>
      <c r="O715" s="13">
        <f ca="1">IF($D715="Igen",IF($W714&gt;=IF($D$4="Forint",Paraméterek!$J$121,Paraméterek!$K$121),0,IF($D$4="Forint",Paraméterek!$J$121,Paraméterek!$K$121)-$W714),0)</f>
        <v>0</v>
      </c>
      <c r="P715" s="13" t="e">
        <f ca="1">ROUNDUP($O715*VLOOKUP($M$4+$B715-1,Paraméterek!$H$58:$I$105,2,0)/Paraméterek!$I$56,IF($D$4="Forint",0,2))</f>
        <v>#N/A</v>
      </c>
      <c r="Q715" s="13">
        <f t="shared" ca="1" si="226"/>
        <v>0</v>
      </c>
      <c r="R715" s="33"/>
      <c r="S715" s="13" t="e">
        <f t="shared" ca="1" si="227"/>
        <v>#N/A</v>
      </c>
      <c r="T715" s="13" t="e">
        <f ca="1">ROUNDUP(($N715-$P715-$Q715+$S715)*VLOOKUP($B715,Paraméterek!$I$38:$K$39,IF($D$2="Egyszeri",3,2))/12*IF($D716="Nem",IF($M$13=0,1,$M$13),1),IF($D$4="Forint",0,2))</f>
        <v>#N/A</v>
      </c>
      <c r="U715" s="13">
        <f>Tranzakciók!$F$89</f>
        <v>0</v>
      </c>
      <c r="V715" s="13"/>
      <c r="W715" s="13" t="e">
        <f ca="1">$N715-$P715-$Q715+$S715-$T715-IF(ROUNDUP(IF(ISBLANK($V715),$U715*0,$V715)/IF($D$2="Egyszeri",VLOOKUP($B715+IF($C715=12,1,0),Paraméterek!$V$257:$W$262,2),IF($B715=1,1,VLOOKUP($B715+IF($C715=12,1,0),Paraméterek!$I$258:$T$278,HLOOKUP($M$11+1,Paraméterek!$J$256:$T$257,2)))),IF($D$4="Forint",0,2))&gt;$N715-$P715-$Q715+$S715-$T715-IF($D$4="Forint",Paraméterek!$C$216,Paraméterek!$D$216),0,ROUNDUP(IF(ISBLANK($V715),$U715*0,$V715)/IF($D$2="Egyszeri",VLOOKUP($B715+IF($C715=12,1,0),Paraméterek!$V$257:$W$262,2),IF($B715=1,1,VLOOKUP($B715+IF($C715=12,1,0),Paraméterek!$I$258:$T$278,HLOOKUP($M$11+1,Paraméterek!$J$256:$T$257,2)))),IF($D$4="Forint",0,2)))</f>
        <v>#N/A</v>
      </c>
      <c r="X715" s="13" t="e">
        <f ca="1">ROUNDDOWN($W715*IF($D$2="Egyszeri",VLOOKUP($B715+IF($C715=12,1,0),Paraméterek!$V$257:$W$262,2),VLOOKUP($B715+IF($C715=12,1,0),Paraméterek!$I$258:$T$278,HLOOKUP($M$11+1,Paraméterek!$I$256:$T$257,2))),IF($D$4="Forint",0,2))</f>
        <v>#N/A</v>
      </c>
      <c r="Z715" s="32">
        <v>696</v>
      </c>
      <c r="AA715" s="32">
        <v>58</v>
      </c>
      <c r="AB715" s="32">
        <v>12</v>
      </c>
      <c r="AC715" s="13">
        <f t="shared" ca="1" si="236"/>
        <v>0</v>
      </c>
      <c r="AD715" s="33"/>
      <c r="AE715" s="13">
        <f t="shared" ca="1" si="228"/>
        <v>0</v>
      </c>
      <c r="AF715" s="13">
        <f ca="1">ROUNDUP(($AC715+$AE715)*VLOOKUP($AA715,Paraméterek!$P$38:$Q$38,2)/12*IF($D716="Nem",IF($M$13=0,1,$M$13),1),IF($D$4="Forint",0,2))</f>
        <v>0</v>
      </c>
      <c r="AG715" s="13" t="e">
        <f ca="1">IF($D$2="Egyszeri",IF($D$7&gt;=IF($D$4="Forint",Paraméterek!$P$223,Paraméterek!$P$224),$D$7-IF($D$4="Forint",Paraméterek!$P$223,Paraméterek!$P$224),0),MIN(IF($AB715=12,AVERAGEIF($E$20:$E715,"&gt;0",$E$20:$E715)*12,0),SUM($E$20:$E$31)))</f>
        <v>#DIV/0!</v>
      </c>
      <c r="AH715" s="13">
        <f>IF($AA715=10,$AG715*IF($AB715=12,IF($AG715&lt;IF($D$4="Forint",Paraméterek!$L$223,Paraméterek!$L$224),0,VLOOKUP($AA715,Paraméterek!$K$226:$M$228,IF($AG715&lt;IF($D$4="Forint",Paraméterek!$M$223,Paraméterek!$M$224),2,3))),0),0)</f>
        <v>0</v>
      </c>
      <c r="AI715" s="13">
        <f ca="1">IF(AND($AA715=$M$11+1,$AB715=$M$12+1),SUMIF($AA$20:$AA$1027,$AA715,$AG$20:$AG$1027)*IF(SUMIF($AA$20:$AA$1027,$AA715,$AG$20:$AG$1027)&lt;IF($D$4="Forint",Paraméterek!$L$223,Paraméterek!$L$224),0,VLOOKUP($AA715,Paraméterek!$K$230:$M$250,IF(SUMIF($AA$20:$AA$1027,$AA715,$AG$20:$AG$1027)&lt;IF($D$4="Forint",Paraméterek!$M$223,Paraméterek!$M$224),2,3))),0)</f>
        <v>0</v>
      </c>
      <c r="AJ715" s="13" t="e">
        <f ca="1">IF(AND($AA715&gt;=5,MOD($AA715,5)=0),IF($AB715=12,VLOOKUP($AA715,Paraméterek!$O$225:$P$240,2),0),IF(OR($AA715=3,$AA715=4),IF($AB715=12,VLOOKUP($AA715,Paraméterek!$O$225:$P$240,2,0),0),0))*$AG715</f>
        <v>#DIV/0!</v>
      </c>
      <c r="AK715" s="13">
        <f t="shared" ca="1" si="229"/>
        <v>0</v>
      </c>
      <c r="AL715" s="13">
        <f t="shared" ca="1" si="237"/>
        <v>0</v>
      </c>
      <c r="AM715" s="13">
        <f t="shared" ca="1" si="238"/>
        <v>0</v>
      </c>
      <c r="AO715" s="32">
        <v>696</v>
      </c>
      <c r="AP715" s="32">
        <v>58</v>
      </c>
      <c r="AQ715" s="32">
        <v>12</v>
      </c>
      <c r="AR715" s="13"/>
      <c r="AS715" s="32"/>
      <c r="AT715" s="13">
        <f t="shared" ca="1" si="239"/>
        <v>0</v>
      </c>
      <c r="AU715" s="33"/>
      <c r="AV715" s="13">
        <f t="shared" ca="1" si="230"/>
        <v>0</v>
      </c>
      <c r="AW715" s="13">
        <f ca="1">ROUNDUP(($AT715+$AV715)*VLOOKUP($AP715,Paraméterek!$P$38:$Q$38,2)/12*IF($D716="Nem",IF($M$13=0,1,$M$13),1),IF($D$4="Forint",0,2))</f>
        <v>0</v>
      </c>
      <c r="AX715" s="13">
        <f>Tranzakciók!$M$89</f>
        <v>0</v>
      </c>
      <c r="AY715" s="13"/>
      <c r="AZ715" s="13">
        <f>ROUNDUP(IF(SUM($AX715:$AY715)=0,0,IF(IF(ISBLANK($AY715),$AX715,$AY715)*Paraméterek!$J$112&lt;IF($D$4="Forint",Paraméterek!$J$113,Paraméterek!$K$113),IF($D$4="Forint",Paraméterek!$J$113,Paraméterek!$K$113),IF(IF(ISBLANK($AY715),$AX715,$AY715)*Paraméterek!$J$112&gt;IF($D$4="Forint",Paraméterek!$J$114,Paraméterek!$K$114),IF($D$4="Forint",Paraméterek!$J$114,Paraméterek!$K$114),IF(ISBLANK($AY715),$AX715,$AY715)*Paraméterek!$J$112))),IF($D$4="Forint",0,2))</f>
        <v>0</v>
      </c>
      <c r="BA715" s="13">
        <f ca="1">$AT715+$AV715-$AW715-IF(ROUNDDOWN(IF(ISBLANK($AY715),$AX715,$AY715),IF($D$4="Forint",0,2))&gt;$AT715+$AV715-$AW715-IF($D$4="Forint",Paraméterek!$J$114,Paraméterek!$K$114),0,ROUNDDOWN(IF(ISBLANK($AY715),$AX715,$AY715),IF($D$4="Forint",0,2))-$AZ715)</f>
        <v>0</v>
      </c>
      <c r="BB715" s="13">
        <f t="shared" ca="1" si="231"/>
        <v>0</v>
      </c>
      <c r="BD715" s="32">
        <v>696</v>
      </c>
      <c r="BE715" s="32">
        <v>58</v>
      </c>
      <c r="BF715" s="32">
        <v>12</v>
      </c>
      <c r="BG715" s="34">
        <f t="shared" ca="1" si="240"/>
        <v>2077</v>
      </c>
      <c r="BH715" s="32" t="str">
        <f ca="1">IF(MOD(MONTH($D$14)+$BD715-1,12)=Paraméterek!$C$288,"Igen","")</f>
        <v/>
      </c>
      <c r="BI715" s="13">
        <f ca="1">IF($BH715="Igen",MIN(ROUNDDOWN((SUMIF($BG$20:$BG$1027,$BG715-1,$K$20:$K$1027)-SUMIF($BG$20:$BG$1027,$BG715-1,$I$20:$I$1027))*Paraméterek!$C$289,IF($D$4="Forint",0,2)),IF($D$4="Forint",Paraméterek!$C$285,Paraméterek!$D$285)),0)</f>
        <v>0</v>
      </c>
      <c r="BJ715" s="13">
        <f t="shared" ca="1" si="232"/>
        <v>0</v>
      </c>
      <c r="BK715" s="13">
        <f t="shared" ca="1" si="241"/>
        <v>0</v>
      </c>
      <c r="BL715" s="33"/>
      <c r="BM715" s="13">
        <f t="shared" ca="1" si="233"/>
        <v>0</v>
      </c>
      <c r="BN715" s="13">
        <f ca="1">ROUNDUP(($BK715+$BM715)*VLOOKUP($BE715,Paraméterek!$P$38:$Q$38,2)/12*IF($D716="Nem",IF($M$13=0,1,$M$13),1),IF($D$4="Forint",0,2))</f>
        <v>0</v>
      </c>
      <c r="BO715" s="13">
        <f t="shared" ca="1" si="234"/>
        <v>0</v>
      </c>
      <c r="BP715" s="13">
        <f ca="1">IF($D716="Nem",$BO715,$BO715-ROUNDUP(SUM($BI$20:$BI715)*120%,IF($D$4="Forint",0,2)))</f>
        <v>0</v>
      </c>
    </row>
    <row r="716" spans="1:68" x14ac:dyDescent="0.2">
      <c r="A716" s="32">
        <v>697</v>
      </c>
      <c r="B716" s="32">
        <v>59</v>
      </c>
      <c r="C716" s="32">
        <v>1</v>
      </c>
      <c r="D716" s="32" t="str">
        <f t="shared" ca="1" si="220"/>
        <v>Nem</v>
      </c>
      <c r="E716" s="13">
        <f t="shared" ca="1" si="221"/>
        <v>0</v>
      </c>
      <c r="F716" s="13"/>
      <c r="G716" s="13">
        <f>Tranzakciók!$D$90</f>
        <v>0</v>
      </c>
      <c r="H716" s="13"/>
      <c r="I716" s="13">
        <f t="shared" ca="1" si="222"/>
        <v>0</v>
      </c>
      <c r="J716" s="13">
        <f t="shared" ca="1" si="223"/>
        <v>0</v>
      </c>
      <c r="K716" s="13">
        <f t="shared" ca="1" si="224"/>
        <v>0</v>
      </c>
      <c r="L716" s="13" t="e">
        <f ca="1">ROUNDUP(IF($D$2="Egyszeri",$E716,IF($D$2="Havi",SUM($E$20:$E$31),IF(MOD($C716,$M$1)-1=0,SUM($E$20:$E$31),0))/12*$M$1)*VLOOKUP($B716,Paraméterek!$I$28:$P$31,IF($D$2="Egyszeri",8,HLOOKUP(ROUNDUP($M$11+$M$13,0),Paraméterek!$J$26:$O$27,2))),IF($D$4="Forint",0,2))</f>
        <v>#N/A</v>
      </c>
      <c r="M716" s="13">
        <f t="shared" ca="1" si="225"/>
        <v>0</v>
      </c>
      <c r="N716" s="13">
        <f t="shared" ca="1" si="235"/>
        <v>0</v>
      </c>
      <c r="O716" s="13">
        <f ca="1">IF($D716="Igen",IF($W715&gt;=IF($D$4="Forint",Paraméterek!$J$121,Paraméterek!$K$121),0,IF($D$4="Forint",Paraméterek!$J$121,Paraméterek!$K$121)-$W715),0)</f>
        <v>0</v>
      </c>
      <c r="P716" s="13" t="e">
        <f ca="1">ROUNDUP($O716*VLOOKUP($M$4+$B716-1,Paraméterek!$H$58:$I$105,2,0)/Paraméterek!$I$56,IF($D$4="Forint",0,2))</f>
        <v>#N/A</v>
      </c>
      <c r="Q716" s="13">
        <f t="shared" ca="1" si="226"/>
        <v>0</v>
      </c>
      <c r="R716" s="33"/>
      <c r="S716" s="13" t="e">
        <f t="shared" ca="1" si="227"/>
        <v>#N/A</v>
      </c>
      <c r="T716" s="13" t="e">
        <f ca="1">ROUNDUP(($N716-$P716-$Q716+$S716)*VLOOKUP($B716,Paraméterek!$I$38:$K$39,IF($D$2="Egyszeri",3,2))/12*IF($D717="Nem",IF($M$13=0,1,$M$13),1),IF($D$4="Forint",0,2))</f>
        <v>#N/A</v>
      </c>
      <c r="U716" s="13"/>
      <c r="V716" s="13"/>
      <c r="W716" s="13" t="e">
        <f ca="1">$N716-$P716-$Q716+$S716-$T716-IF(ROUNDUP(IF(ISBLANK($V716),$U716*0,$V716)/IF($D$2="Egyszeri",VLOOKUP($B716+IF($C716=12,1,0),Paraméterek!$V$257:$W$262,2),IF($B716=1,1,VLOOKUP($B716+IF($C716=12,1,0),Paraméterek!$I$258:$T$278,HLOOKUP($M$11+1,Paraméterek!$J$256:$T$257,2)))),IF($D$4="Forint",0,2))&gt;$N716-$P716-$Q716+$S716-$T716-IF($D$4="Forint",Paraméterek!$C$216,Paraméterek!$D$216),0,ROUNDUP(IF(ISBLANK($V716),$U716*0,$V716)/IF($D$2="Egyszeri",VLOOKUP($B716+IF($C716=12,1,0),Paraméterek!$V$257:$W$262,2),IF($B716=1,1,VLOOKUP($B716+IF($C716=12,1,0),Paraméterek!$I$258:$T$278,HLOOKUP($M$11+1,Paraméterek!$J$256:$T$257,2)))),IF($D$4="Forint",0,2)))</f>
        <v>#N/A</v>
      </c>
      <c r="X716" s="13" t="e">
        <f ca="1">ROUNDDOWN($W716*IF($D$2="Egyszeri",VLOOKUP($B716+IF($C716=12,1,0),Paraméterek!$V$257:$W$262,2),VLOOKUP($B716+IF($C716=12,1,0),Paraméterek!$I$258:$T$278,HLOOKUP($M$11+1,Paraméterek!$I$256:$T$257,2))),IF($D$4="Forint",0,2))</f>
        <v>#N/A</v>
      </c>
      <c r="Z716" s="32">
        <v>697</v>
      </c>
      <c r="AA716" s="32">
        <v>59</v>
      </c>
      <c r="AB716" s="32">
        <v>1</v>
      </c>
      <c r="AC716" s="13">
        <f t="shared" ca="1" si="236"/>
        <v>0</v>
      </c>
      <c r="AD716" s="33"/>
      <c r="AE716" s="13">
        <f t="shared" ca="1" si="228"/>
        <v>0</v>
      </c>
      <c r="AF716" s="13">
        <f ca="1">ROUNDUP(($AC716+$AE716)*VLOOKUP($AA716,Paraméterek!$P$38:$Q$38,2)/12*IF($D717="Nem",IF($M$13=0,1,$M$13),1),IF($D$4="Forint",0,2))</f>
        <v>0</v>
      </c>
      <c r="AG716" s="13">
        <f ca="1">IF($D$2="Egyszeri",IF($D$7&gt;=IF($D$4="Forint",Paraméterek!$P$223,Paraméterek!$P$224),$D$7-IF($D$4="Forint",Paraméterek!$P$223,Paraméterek!$P$224),0),MIN(IF($AB716=12,AVERAGEIF($E$20:$E716,"&gt;0",$E$20:$E716)*12,0),SUM($E$20:$E$31)))</f>
        <v>0</v>
      </c>
      <c r="AH716" s="13">
        <f>IF($AA716=10,$AG716*IF($AB716=12,IF($AG716&lt;IF($D$4="Forint",Paraméterek!$L$223,Paraméterek!$L$224),0,VLOOKUP($AA716,Paraméterek!$K$226:$M$228,IF($AG716&lt;IF($D$4="Forint",Paraméterek!$M$223,Paraméterek!$M$224),2,3))),0),0)</f>
        <v>0</v>
      </c>
      <c r="AI716" s="13">
        <f ca="1">IF(AND($AA716=$M$11+1,$AB716=$M$12+1),SUMIF($AA$20:$AA$1027,$AA716,$AG$20:$AG$1027)*IF(SUMIF($AA$20:$AA$1027,$AA716,$AG$20:$AG$1027)&lt;IF($D$4="Forint",Paraméterek!$L$223,Paraméterek!$L$224),0,VLOOKUP($AA716,Paraméterek!$K$230:$M$250,IF(SUMIF($AA$20:$AA$1027,$AA716,$AG$20:$AG$1027)&lt;IF($D$4="Forint",Paraméterek!$M$223,Paraméterek!$M$224),2,3))),0)</f>
        <v>0</v>
      </c>
      <c r="AJ716" s="13">
        <f ca="1">IF(AND($AA716&gt;=5,MOD($AA716,5)=0),IF($AB716=12,VLOOKUP($AA716,Paraméterek!$O$225:$P$240,2),0),IF(OR($AA716=3,$AA716=4),IF($AB716=12,VLOOKUP($AA716,Paraméterek!$O$225:$P$240,2,0),0),0))*$AG716</f>
        <v>0</v>
      </c>
      <c r="AK716" s="13">
        <f t="shared" ca="1" si="229"/>
        <v>0</v>
      </c>
      <c r="AL716" s="13">
        <f t="shared" ca="1" si="237"/>
        <v>0</v>
      </c>
      <c r="AM716" s="13">
        <f t="shared" ca="1" si="238"/>
        <v>0</v>
      </c>
      <c r="AO716" s="32">
        <v>697</v>
      </c>
      <c r="AP716" s="32">
        <v>59</v>
      </c>
      <c r="AQ716" s="32">
        <v>1</v>
      </c>
      <c r="AR716" s="13">
        <f>Tranzakciók!$K$90</f>
        <v>0</v>
      </c>
      <c r="AS716" s="32"/>
      <c r="AT716" s="13">
        <f t="shared" ca="1" si="239"/>
        <v>0</v>
      </c>
      <c r="AU716" s="33"/>
      <c r="AV716" s="13">
        <f t="shared" ca="1" si="230"/>
        <v>0</v>
      </c>
      <c r="AW716" s="13">
        <f ca="1">ROUNDUP(($AT716+$AV716)*VLOOKUP($AP716,Paraméterek!$P$38:$Q$38,2)/12*IF($D717="Nem",IF($M$13=0,1,$M$13),1),IF($D$4="Forint",0,2))</f>
        <v>0</v>
      </c>
      <c r="AX716" s="13"/>
      <c r="AY716" s="13"/>
      <c r="AZ716" s="13">
        <f>ROUNDUP(IF(SUM($AX716:$AY716)=0,0,IF(IF(ISBLANK($AY716),$AX716,$AY716)*Paraméterek!$J$112&lt;IF($D$4="Forint",Paraméterek!$J$113,Paraméterek!$K$113),IF($D$4="Forint",Paraméterek!$J$113,Paraméterek!$K$113),IF(IF(ISBLANK($AY716),$AX716,$AY716)*Paraméterek!$J$112&gt;IF($D$4="Forint",Paraméterek!$J$114,Paraméterek!$K$114),IF($D$4="Forint",Paraméterek!$J$114,Paraméterek!$K$114),IF(ISBLANK($AY716),$AX716,$AY716)*Paraméterek!$J$112))),IF($D$4="Forint",0,2))</f>
        <v>0</v>
      </c>
      <c r="BA716" s="13">
        <f ca="1">$AT716+$AV716-$AW716-IF(ROUNDDOWN(IF(ISBLANK($AY716),$AX716,$AY716),IF($D$4="Forint",0,2))&gt;$AT716+$AV716-$AW716-IF($D$4="Forint",Paraméterek!$J$114,Paraméterek!$K$114),0,ROUNDDOWN(IF(ISBLANK($AY716),$AX716,$AY716),IF($D$4="Forint",0,2))-$AZ716)</f>
        <v>0</v>
      </c>
      <c r="BB716" s="13">
        <f t="shared" ca="1" si="231"/>
        <v>0</v>
      </c>
      <c r="BD716" s="32">
        <v>697</v>
      </c>
      <c r="BE716" s="32">
        <v>59</v>
      </c>
      <c r="BF716" s="32">
        <v>1</v>
      </c>
      <c r="BG716" s="34">
        <f t="shared" ca="1" si="240"/>
        <v>2077</v>
      </c>
      <c r="BH716" s="32" t="str">
        <f ca="1">IF(MOD(MONTH($D$14)+$BD716-1,12)=Paraméterek!$C$288,"Igen","")</f>
        <v/>
      </c>
      <c r="BI716" s="13">
        <f ca="1">IF($BH716="Igen",MIN(ROUNDDOWN((SUMIF($BG$20:$BG$1027,$BG716-1,$K$20:$K$1027)-SUMIF($BG$20:$BG$1027,$BG716-1,$I$20:$I$1027))*Paraméterek!$C$289,IF($D$4="Forint",0,2)),IF($D$4="Forint",Paraméterek!$C$285,Paraméterek!$D$285)),0)</f>
        <v>0</v>
      </c>
      <c r="BJ716" s="13">
        <f t="shared" ca="1" si="232"/>
        <v>0</v>
      </c>
      <c r="BK716" s="13">
        <f t="shared" ca="1" si="241"/>
        <v>0</v>
      </c>
      <c r="BL716" s="33"/>
      <c r="BM716" s="13">
        <f t="shared" ca="1" si="233"/>
        <v>0</v>
      </c>
      <c r="BN716" s="13">
        <f ca="1">ROUNDUP(($BK716+$BM716)*VLOOKUP($BE716,Paraméterek!$P$38:$Q$38,2)/12*IF($D717="Nem",IF($M$13=0,1,$M$13),1),IF($D$4="Forint",0,2))</f>
        <v>0</v>
      </c>
      <c r="BO716" s="13">
        <f t="shared" ca="1" si="234"/>
        <v>0</v>
      </c>
      <c r="BP716" s="13">
        <f ca="1">IF($D717="Nem",$BO716,$BO716-ROUNDUP(SUM($BI$20:$BI716)*120%,IF($D$4="Forint",0,2)))</f>
        <v>0</v>
      </c>
    </row>
    <row r="717" spans="1:68" x14ac:dyDescent="0.2">
      <c r="A717" s="32">
        <v>698</v>
      </c>
      <c r="B717" s="32">
        <v>59</v>
      </c>
      <c r="C717" s="32">
        <v>2</v>
      </c>
      <c r="D717" s="32" t="str">
        <f t="shared" ca="1" si="220"/>
        <v>Nem</v>
      </c>
      <c r="E717" s="13">
        <f t="shared" ca="1" si="221"/>
        <v>0</v>
      </c>
      <c r="F717" s="13"/>
      <c r="G717" s="13"/>
      <c r="H717" s="13"/>
      <c r="I717" s="13">
        <f t="shared" ca="1" si="222"/>
        <v>0</v>
      </c>
      <c r="J717" s="13">
        <f t="shared" ca="1" si="223"/>
        <v>0</v>
      </c>
      <c r="K717" s="13">
        <f t="shared" ca="1" si="224"/>
        <v>0</v>
      </c>
      <c r="L717" s="13" t="e">
        <f ca="1">ROUNDUP(IF($D$2="Egyszeri",$E717,IF($D$2="Havi",SUM($E$20:$E$31),IF(MOD($C717,$M$1)-1=0,SUM($E$20:$E$31),0))/12*$M$1)*VLOOKUP($B717,Paraméterek!$I$28:$P$31,IF($D$2="Egyszeri",8,HLOOKUP(ROUNDUP($M$11+$M$13,0),Paraméterek!$J$26:$O$27,2))),IF($D$4="Forint",0,2))</f>
        <v>#N/A</v>
      </c>
      <c r="M717" s="13">
        <f t="shared" ca="1" si="225"/>
        <v>0</v>
      </c>
      <c r="N717" s="13">
        <f t="shared" ca="1" si="235"/>
        <v>0</v>
      </c>
      <c r="O717" s="13">
        <f ca="1">IF($D717="Igen",IF($W716&gt;=IF($D$4="Forint",Paraméterek!$J$121,Paraméterek!$K$121),0,IF($D$4="Forint",Paraméterek!$J$121,Paraméterek!$K$121)-$W716),0)</f>
        <v>0</v>
      </c>
      <c r="P717" s="13" t="e">
        <f ca="1">ROUNDUP($O717*VLOOKUP($M$4+$B717-1,Paraméterek!$H$58:$I$105,2,0)/Paraméterek!$I$56,IF($D$4="Forint",0,2))</f>
        <v>#N/A</v>
      </c>
      <c r="Q717" s="13">
        <f t="shared" ca="1" si="226"/>
        <v>0</v>
      </c>
      <c r="R717" s="33"/>
      <c r="S717" s="13" t="e">
        <f t="shared" ca="1" si="227"/>
        <v>#N/A</v>
      </c>
      <c r="T717" s="13" t="e">
        <f ca="1">ROUNDUP(($N717-$P717-$Q717+$S717)*VLOOKUP($B717,Paraméterek!$I$38:$K$39,IF($D$2="Egyszeri",3,2))/12*IF($D718="Nem",IF($M$13=0,1,$M$13),1),IF($D$4="Forint",0,2))</f>
        <v>#N/A</v>
      </c>
      <c r="U717" s="13"/>
      <c r="V717" s="13"/>
      <c r="W717" s="13" t="e">
        <f ca="1">$N717-$P717-$Q717+$S717-$T717-IF(ROUNDUP(IF(ISBLANK($V717),$U717*0,$V717)/IF($D$2="Egyszeri",VLOOKUP($B717+IF($C717=12,1,0),Paraméterek!$V$257:$W$262,2),IF($B717=1,1,VLOOKUP($B717+IF($C717=12,1,0),Paraméterek!$I$258:$T$278,HLOOKUP($M$11+1,Paraméterek!$J$256:$T$257,2)))),IF($D$4="Forint",0,2))&gt;$N717-$P717-$Q717+$S717-$T717-IF($D$4="Forint",Paraméterek!$C$216,Paraméterek!$D$216),0,ROUNDUP(IF(ISBLANK($V717),$U717*0,$V717)/IF($D$2="Egyszeri",VLOOKUP($B717+IF($C717=12,1,0),Paraméterek!$V$257:$W$262,2),IF($B717=1,1,VLOOKUP($B717+IF($C717=12,1,0),Paraméterek!$I$258:$T$278,HLOOKUP($M$11+1,Paraméterek!$J$256:$T$257,2)))),IF($D$4="Forint",0,2)))</f>
        <v>#N/A</v>
      </c>
      <c r="X717" s="13" t="e">
        <f ca="1">ROUNDDOWN($W717*IF($D$2="Egyszeri",VLOOKUP($B717+IF($C717=12,1,0),Paraméterek!$V$257:$W$262,2),VLOOKUP($B717+IF($C717=12,1,0),Paraméterek!$I$258:$T$278,HLOOKUP($M$11+1,Paraméterek!$I$256:$T$257,2))),IF($D$4="Forint",0,2))</f>
        <v>#N/A</v>
      </c>
      <c r="Z717" s="32">
        <v>698</v>
      </c>
      <c r="AA717" s="32">
        <v>59</v>
      </c>
      <c r="AB717" s="32">
        <v>2</v>
      </c>
      <c r="AC717" s="13">
        <f t="shared" ca="1" si="236"/>
        <v>0</v>
      </c>
      <c r="AD717" s="33"/>
      <c r="AE717" s="13">
        <f t="shared" ca="1" si="228"/>
        <v>0</v>
      </c>
      <c r="AF717" s="13">
        <f ca="1">ROUNDUP(($AC717+$AE717)*VLOOKUP($AA717,Paraméterek!$P$38:$Q$38,2)/12*IF($D718="Nem",IF($M$13=0,1,$M$13),1),IF($D$4="Forint",0,2))</f>
        <v>0</v>
      </c>
      <c r="AG717" s="13">
        <f ca="1">IF($D$2="Egyszeri",IF($D$7&gt;=IF($D$4="Forint",Paraméterek!$P$223,Paraméterek!$P$224),$D$7-IF($D$4="Forint",Paraméterek!$P$223,Paraméterek!$P$224),0),MIN(IF($AB717=12,AVERAGEIF($E$20:$E717,"&gt;0",$E$20:$E717)*12,0),SUM($E$20:$E$31)))</f>
        <v>0</v>
      </c>
      <c r="AH717" s="13">
        <f>IF($AA717=10,$AG717*IF($AB717=12,IF($AG717&lt;IF($D$4="Forint",Paraméterek!$L$223,Paraméterek!$L$224),0,VLOOKUP($AA717,Paraméterek!$K$226:$M$228,IF($AG717&lt;IF($D$4="Forint",Paraméterek!$M$223,Paraméterek!$M$224),2,3))),0),0)</f>
        <v>0</v>
      </c>
      <c r="AI717" s="13">
        <f ca="1">IF(AND($AA717=$M$11+1,$AB717=$M$12+1),SUMIF($AA$20:$AA$1027,$AA717,$AG$20:$AG$1027)*IF(SUMIF($AA$20:$AA$1027,$AA717,$AG$20:$AG$1027)&lt;IF($D$4="Forint",Paraméterek!$L$223,Paraméterek!$L$224),0,VLOOKUP($AA717,Paraméterek!$K$230:$M$250,IF(SUMIF($AA$20:$AA$1027,$AA717,$AG$20:$AG$1027)&lt;IF($D$4="Forint",Paraméterek!$M$223,Paraméterek!$M$224),2,3))),0)</f>
        <v>0</v>
      </c>
      <c r="AJ717" s="13">
        <f ca="1">IF(AND($AA717&gt;=5,MOD($AA717,5)=0),IF($AB717=12,VLOOKUP($AA717,Paraméterek!$O$225:$P$240,2),0),IF(OR($AA717=3,$AA717=4),IF($AB717=12,VLOOKUP($AA717,Paraméterek!$O$225:$P$240,2,0),0),0))*$AG717</f>
        <v>0</v>
      </c>
      <c r="AK717" s="13">
        <f t="shared" ca="1" si="229"/>
        <v>0</v>
      </c>
      <c r="AL717" s="13">
        <f t="shared" ca="1" si="237"/>
        <v>0</v>
      </c>
      <c r="AM717" s="13">
        <f t="shared" ca="1" si="238"/>
        <v>0</v>
      </c>
      <c r="AO717" s="32">
        <v>698</v>
      </c>
      <c r="AP717" s="32">
        <v>59</v>
      </c>
      <c r="AQ717" s="32">
        <v>2</v>
      </c>
      <c r="AR717" s="13"/>
      <c r="AS717" s="32"/>
      <c r="AT717" s="13">
        <f t="shared" ca="1" si="239"/>
        <v>0</v>
      </c>
      <c r="AU717" s="33"/>
      <c r="AV717" s="13">
        <f t="shared" ca="1" si="230"/>
        <v>0</v>
      </c>
      <c r="AW717" s="13">
        <f ca="1">ROUNDUP(($AT717+$AV717)*VLOOKUP($AP717,Paraméterek!$P$38:$Q$38,2)/12*IF($D718="Nem",IF($M$13=0,1,$M$13),1),IF($D$4="Forint",0,2))</f>
        <v>0</v>
      </c>
      <c r="AX717" s="13"/>
      <c r="AY717" s="13"/>
      <c r="AZ717" s="13">
        <f>ROUNDUP(IF(SUM($AX717:$AY717)=0,0,IF(IF(ISBLANK($AY717),$AX717,$AY717)*Paraméterek!$J$112&lt;IF($D$4="Forint",Paraméterek!$J$113,Paraméterek!$K$113),IF($D$4="Forint",Paraméterek!$J$113,Paraméterek!$K$113),IF(IF(ISBLANK($AY717),$AX717,$AY717)*Paraméterek!$J$112&gt;IF($D$4="Forint",Paraméterek!$J$114,Paraméterek!$K$114),IF($D$4="Forint",Paraméterek!$J$114,Paraméterek!$K$114),IF(ISBLANK($AY717),$AX717,$AY717)*Paraméterek!$J$112))),IF($D$4="Forint",0,2))</f>
        <v>0</v>
      </c>
      <c r="BA717" s="13">
        <f ca="1">$AT717+$AV717-$AW717-IF(ROUNDDOWN(IF(ISBLANK($AY717),$AX717,$AY717),IF($D$4="Forint",0,2))&gt;$AT717+$AV717-$AW717-IF($D$4="Forint",Paraméterek!$J$114,Paraméterek!$K$114),0,ROUNDDOWN(IF(ISBLANK($AY717),$AX717,$AY717),IF($D$4="Forint",0,2))-$AZ717)</f>
        <v>0</v>
      </c>
      <c r="BB717" s="13">
        <f t="shared" ca="1" si="231"/>
        <v>0</v>
      </c>
      <c r="BD717" s="32">
        <v>698</v>
      </c>
      <c r="BE717" s="32">
        <v>59</v>
      </c>
      <c r="BF717" s="32">
        <v>2</v>
      </c>
      <c r="BG717" s="34">
        <f t="shared" ca="1" si="240"/>
        <v>2077</v>
      </c>
      <c r="BH717" s="32" t="str">
        <f ca="1">IF(MOD(MONTH($D$14)+$BD717-1,12)=Paraméterek!$C$288,"Igen","")</f>
        <v>Igen</v>
      </c>
      <c r="BI717" s="13">
        <f ca="1">IF($BH717="Igen",MIN(ROUNDDOWN((SUMIF($BG$20:$BG$1027,$BG717-1,$K$20:$K$1027)-SUMIF($BG$20:$BG$1027,$BG717-1,$I$20:$I$1027))*Paraméterek!$C$289,IF($D$4="Forint",0,2)),IF($D$4="Forint",Paraméterek!$C$285,Paraméterek!$D$285)),0)</f>
        <v>0</v>
      </c>
      <c r="BJ717" s="13">
        <f t="shared" ca="1" si="232"/>
        <v>0</v>
      </c>
      <c r="BK717" s="13">
        <f t="shared" ca="1" si="241"/>
        <v>0</v>
      </c>
      <c r="BL717" s="33"/>
      <c r="BM717" s="13">
        <f t="shared" ca="1" si="233"/>
        <v>0</v>
      </c>
      <c r="BN717" s="13">
        <f ca="1">ROUNDUP(($BK717+$BM717)*VLOOKUP($BE717,Paraméterek!$P$38:$Q$38,2)/12*IF($D718="Nem",IF($M$13=0,1,$M$13),1),IF($D$4="Forint",0,2))</f>
        <v>0</v>
      </c>
      <c r="BO717" s="13">
        <f t="shared" ca="1" si="234"/>
        <v>0</v>
      </c>
      <c r="BP717" s="13">
        <f ca="1">IF($D718="Nem",$BO717,$BO717-ROUNDUP(SUM($BI$20:$BI717)*120%,IF($D$4="Forint",0,2)))</f>
        <v>0</v>
      </c>
    </row>
    <row r="718" spans="1:68" x14ac:dyDescent="0.2">
      <c r="A718" s="32">
        <v>699</v>
      </c>
      <c r="B718" s="32">
        <v>59</v>
      </c>
      <c r="C718" s="32">
        <v>3</v>
      </c>
      <c r="D718" s="32" t="str">
        <f t="shared" ca="1" si="220"/>
        <v>Nem</v>
      </c>
      <c r="E718" s="13">
        <f t="shared" ca="1" si="221"/>
        <v>0</v>
      </c>
      <c r="F718" s="13"/>
      <c r="G718" s="13"/>
      <c r="H718" s="13"/>
      <c r="I718" s="13">
        <f t="shared" ca="1" si="222"/>
        <v>0</v>
      </c>
      <c r="J718" s="13">
        <f t="shared" ca="1" si="223"/>
        <v>0</v>
      </c>
      <c r="K718" s="13">
        <f t="shared" ca="1" si="224"/>
        <v>0</v>
      </c>
      <c r="L718" s="13" t="e">
        <f ca="1">ROUNDUP(IF($D$2="Egyszeri",$E718,IF($D$2="Havi",SUM($E$20:$E$31),IF(MOD($C718,$M$1)-1=0,SUM($E$20:$E$31),0))/12*$M$1)*VLOOKUP($B718,Paraméterek!$I$28:$P$31,IF($D$2="Egyszeri",8,HLOOKUP(ROUNDUP($M$11+$M$13,0),Paraméterek!$J$26:$O$27,2))),IF($D$4="Forint",0,2))</f>
        <v>#N/A</v>
      </c>
      <c r="M718" s="13">
        <f t="shared" ca="1" si="225"/>
        <v>0</v>
      </c>
      <c r="N718" s="13">
        <f t="shared" ca="1" si="235"/>
        <v>0</v>
      </c>
      <c r="O718" s="13">
        <f ca="1">IF($D718="Igen",IF($W717&gt;=IF($D$4="Forint",Paraméterek!$J$121,Paraméterek!$K$121),0,IF($D$4="Forint",Paraméterek!$J$121,Paraméterek!$K$121)-$W717),0)</f>
        <v>0</v>
      </c>
      <c r="P718" s="13" t="e">
        <f ca="1">ROUNDUP($O718*VLOOKUP($M$4+$B718-1,Paraméterek!$H$58:$I$105,2,0)/Paraméterek!$I$56,IF($D$4="Forint",0,2))</f>
        <v>#N/A</v>
      </c>
      <c r="Q718" s="13">
        <f t="shared" ca="1" si="226"/>
        <v>0</v>
      </c>
      <c r="R718" s="33"/>
      <c r="S718" s="13" t="e">
        <f t="shared" ca="1" si="227"/>
        <v>#N/A</v>
      </c>
      <c r="T718" s="13" t="e">
        <f ca="1">ROUNDUP(($N718-$P718-$Q718+$S718)*VLOOKUP($B718,Paraméterek!$I$38:$K$39,IF($D$2="Egyszeri",3,2))/12*IF($D719="Nem",IF($M$13=0,1,$M$13),1),IF($D$4="Forint",0,2))</f>
        <v>#N/A</v>
      </c>
      <c r="U718" s="13"/>
      <c r="V718" s="13"/>
      <c r="W718" s="13" t="e">
        <f ca="1">$N718-$P718-$Q718+$S718-$T718-IF(ROUNDUP(IF(ISBLANK($V718),$U718*0,$V718)/IF($D$2="Egyszeri",VLOOKUP($B718+IF($C718=12,1,0),Paraméterek!$V$257:$W$262,2),IF($B718=1,1,VLOOKUP($B718+IF($C718=12,1,0),Paraméterek!$I$258:$T$278,HLOOKUP($M$11+1,Paraméterek!$J$256:$T$257,2)))),IF($D$4="Forint",0,2))&gt;$N718-$P718-$Q718+$S718-$T718-IF($D$4="Forint",Paraméterek!$C$216,Paraméterek!$D$216),0,ROUNDUP(IF(ISBLANK($V718),$U718*0,$V718)/IF($D$2="Egyszeri",VLOOKUP($B718+IF($C718=12,1,0),Paraméterek!$V$257:$W$262,2),IF($B718=1,1,VLOOKUP($B718+IF($C718=12,1,0),Paraméterek!$I$258:$T$278,HLOOKUP($M$11+1,Paraméterek!$J$256:$T$257,2)))),IF($D$4="Forint",0,2)))</f>
        <v>#N/A</v>
      </c>
      <c r="X718" s="13" t="e">
        <f ca="1">ROUNDDOWN($W718*IF($D$2="Egyszeri",VLOOKUP($B718+IF($C718=12,1,0),Paraméterek!$V$257:$W$262,2),VLOOKUP($B718+IF($C718=12,1,0),Paraméterek!$I$258:$T$278,HLOOKUP($M$11+1,Paraméterek!$I$256:$T$257,2))),IF($D$4="Forint",0,2))</f>
        <v>#N/A</v>
      </c>
      <c r="Z718" s="32">
        <v>699</v>
      </c>
      <c r="AA718" s="32">
        <v>59</v>
      </c>
      <c r="AB718" s="32">
        <v>3</v>
      </c>
      <c r="AC718" s="13">
        <f t="shared" ca="1" si="236"/>
        <v>0</v>
      </c>
      <c r="AD718" s="33"/>
      <c r="AE718" s="13">
        <f t="shared" ca="1" si="228"/>
        <v>0</v>
      </c>
      <c r="AF718" s="13">
        <f ca="1">ROUNDUP(($AC718+$AE718)*VLOOKUP($AA718,Paraméterek!$P$38:$Q$38,2)/12*IF($D719="Nem",IF($M$13=0,1,$M$13),1),IF($D$4="Forint",0,2))</f>
        <v>0</v>
      </c>
      <c r="AG718" s="13">
        <f ca="1">IF($D$2="Egyszeri",IF($D$7&gt;=IF($D$4="Forint",Paraméterek!$P$223,Paraméterek!$P$224),$D$7-IF($D$4="Forint",Paraméterek!$P$223,Paraméterek!$P$224),0),MIN(IF($AB718=12,AVERAGEIF($E$20:$E718,"&gt;0",$E$20:$E718)*12,0),SUM($E$20:$E$31)))</f>
        <v>0</v>
      </c>
      <c r="AH718" s="13">
        <f>IF($AA718=10,$AG718*IF($AB718=12,IF($AG718&lt;IF($D$4="Forint",Paraméterek!$L$223,Paraméterek!$L$224),0,VLOOKUP($AA718,Paraméterek!$K$226:$M$228,IF($AG718&lt;IF($D$4="Forint",Paraméterek!$M$223,Paraméterek!$M$224),2,3))),0),0)</f>
        <v>0</v>
      </c>
      <c r="AI718" s="13">
        <f ca="1">IF(AND($AA718=$M$11+1,$AB718=$M$12+1),SUMIF($AA$20:$AA$1027,$AA718,$AG$20:$AG$1027)*IF(SUMIF($AA$20:$AA$1027,$AA718,$AG$20:$AG$1027)&lt;IF($D$4="Forint",Paraméterek!$L$223,Paraméterek!$L$224),0,VLOOKUP($AA718,Paraméterek!$K$230:$M$250,IF(SUMIF($AA$20:$AA$1027,$AA718,$AG$20:$AG$1027)&lt;IF($D$4="Forint",Paraméterek!$M$223,Paraméterek!$M$224),2,3))),0)</f>
        <v>0</v>
      </c>
      <c r="AJ718" s="13">
        <f ca="1">IF(AND($AA718&gt;=5,MOD($AA718,5)=0),IF($AB718=12,VLOOKUP($AA718,Paraméterek!$O$225:$P$240,2),0),IF(OR($AA718=3,$AA718=4),IF($AB718=12,VLOOKUP($AA718,Paraméterek!$O$225:$P$240,2,0),0),0))*$AG718</f>
        <v>0</v>
      </c>
      <c r="AK718" s="13">
        <f t="shared" ca="1" si="229"/>
        <v>0</v>
      </c>
      <c r="AL718" s="13">
        <f t="shared" ca="1" si="237"/>
        <v>0</v>
      </c>
      <c r="AM718" s="13">
        <f t="shared" ca="1" si="238"/>
        <v>0</v>
      </c>
      <c r="AO718" s="32">
        <v>699</v>
      </c>
      <c r="AP718" s="32">
        <v>59</v>
      </c>
      <c r="AQ718" s="32">
        <v>3</v>
      </c>
      <c r="AR718" s="13"/>
      <c r="AS718" s="32"/>
      <c r="AT718" s="13">
        <f t="shared" ca="1" si="239"/>
        <v>0</v>
      </c>
      <c r="AU718" s="33"/>
      <c r="AV718" s="13">
        <f t="shared" ca="1" si="230"/>
        <v>0</v>
      </c>
      <c r="AW718" s="13">
        <f ca="1">ROUNDUP(($AT718+$AV718)*VLOOKUP($AP718,Paraméterek!$P$38:$Q$38,2)/12*IF($D719="Nem",IF($M$13=0,1,$M$13),1),IF($D$4="Forint",0,2))</f>
        <v>0</v>
      </c>
      <c r="AX718" s="13"/>
      <c r="AY718" s="13"/>
      <c r="AZ718" s="13">
        <f>ROUNDUP(IF(SUM($AX718:$AY718)=0,0,IF(IF(ISBLANK($AY718),$AX718,$AY718)*Paraméterek!$J$112&lt;IF($D$4="Forint",Paraméterek!$J$113,Paraméterek!$K$113),IF($D$4="Forint",Paraméterek!$J$113,Paraméterek!$K$113),IF(IF(ISBLANK($AY718),$AX718,$AY718)*Paraméterek!$J$112&gt;IF($D$4="Forint",Paraméterek!$J$114,Paraméterek!$K$114),IF($D$4="Forint",Paraméterek!$J$114,Paraméterek!$K$114),IF(ISBLANK($AY718),$AX718,$AY718)*Paraméterek!$J$112))),IF($D$4="Forint",0,2))</f>
        <v>0</v>
      </c>
      <c r="BA718" s="13">
        <f ca="1">$AT718+$AV718-$AW718-IF(ROUNDDOWN(IF(ISBLANK($AY718),$AX718,$AY718),IF($D$4="Forint",0,2))&gt;$AT718+$AV718-$AW718-IF($D$4="Forint",Paraméterek!$J$114,Paraméterek!$K$114),0,ROUNDDOWN(IF(ISBLANK($AY718),$AX718,$AY718),IF($D$4="Forint",0,2))-$AZ718)</f>
        <v>0</v>
      </c>
      <c r="BB718" s="13">
        <f t="shared" ca="1" si="231"/>
        <v>0</v>
      </c>
      <c r="BD718" s="32">
        <v>699</v>
      </c>
      <c r="BE718" s="32">
        <v>59</v>
      </c>
      <c r="BF718" s="32">
        <v>3</v>
      </c>
      <c r="BG718" s="34">
        <f t="shared" ca="1" si="240"/>
        <v>2077</v>
      </c>
      <c r="BH718" s="32" t="str">
        <f ca="1">IF(MOD(MONTH($D$14)+$BD718-1,12)=Paraméterek!$C$288,"Igen","")</f>
        <v/>
      </c>
      <c r="BI718" s="13">
        <f ca="1">IF($BH718="Igen",MIN(ROUNDDOWN((SUMIF($BG$20:$BG$1027,$BG718-1,$K$20:$K$1027)-SUMIF($BG$20:$BG$1027,$BG718-1,$I$20:$I$1027))*Paraméterek!$C$289,IF($D$4="Forint",0,2)),IF($D$4="Forint",Paraméterek!$C$285,Paraméterek!$D$285)),0)</f>
        <v>0</v>
      </c>
      <c r="BJ718" s="13">
        <f t="shared" ca="1" si="232"/>
        <v>0</v>
      </c>
      <c r="BK718" s="13">
        <f t="shared" ca="1" si="241"/>
        <v>0</v>
      </c>
      <c r="BL718" s="33"/>
      <c r="BM718" s="13">
        <f t="shared" ca="1" si="233"/>
        <v>0</v>
      </c>
      <c r="BN718" s="13">
        <f ca="1">ROUNDUP(($BK718+$BM718)*VLOOKUP($BE718,Paraméterek!$P$38:$Q$38,2)/12*IF($D719="Nem",IF($M$13=0,1,$M$13),1),IF($D$4="Forint",0,2))</f>
        <v>0</v>
      </c>
      <c r="BO718" s="13">
        <f t="shared" ca="1" si="234"/>
        <v>0</v>
      </c>
      <c r="BP718" s="13">
        <f ca="1">IF($D719="Nem",$BO718,$BO718-ROUNDUP(SUM($BI$20:$BI718)*120%,IF($D$4="Forint",0,2)))</f>
        <v>0</v>
      </c>
    </row>
    <row r="719" spans="1:68" x14ac:dyDescent="0.2">
      <c r="A719" s="32">
        <v>700</v>
      </c>
      <c r="B719" s="32">
        <v>59</v>
      </c>
      <c r="C719" s="32">
        <v>4</v>
      </c>
      <c r="D719" s="32" t="str">
        <f t="shared" ca="1" si="220"/>
        <v>Nem</v>
      </c>
      <c r="E719" s="13">
        <f t="shared" ca="1" si="221"/>
        <v>0</v>
      </c>
      <c r="F719" s="13"/>
      <c r="G719" s="13"/>
      <c r="H719" s="13"/>
      <c r="I719" s="13">
        <f t="shared" ca="1" si="222"/>
        <v>0</v>
      </c>
      <c r="J719" s="13">
        <f t="shared" ca="1" si="223"/>
        <v>0</v>
      </c>
      <c r="K719" s="13">
        <f t="shared" ca="1" si="224"/>
        <v>0</v>
      </c>
      <c r="L719" s="13" t="e">
        <f ca="1">ROUNDUP(IF($D$2="Egyszeri",$E719,IF($D$2="Havi",SUM($E$20:$E$31),IF(MOD($C719,$M$1)-1=0,SUM($E$20:$E$31),0))/12*$M$1)*VLOOKUP($B719,Paraméterek!$I$28:$P$31,IF($D$2="Egyszeri",8,HLOOKUP(ROUNDUP($M$11+$M$13,0),Paraméterek!$J$26:$O$27,2))),IF($D$4="Forint",0,2))</f>
        <v>#N/A</v>
      </c>
      <c r="M719" s="13">
        <f t="shared" ca="1" si="225"/>
        <v>0</v>
      </c>
      <c r="N719" s="13">
        <f t="shared" ca="1" si="235"/>
        <v>0</v>
      </c>
      <c r="O719" s="13">
        <f ca="1">IF($D719="Igen",IF($W718&gt;=IF($D$4="Forint",Paraméterek!$J$121,Paraméterek!$K$121),0,IF($D$4="Forint",Paraméterek!$J$121,Paraméterek!$K$121)-$W718),0)</f>
        <v>0</v>
      </c>
      <c r="P719" s="13" t="e">
        <f ca="1">ROUNDUP($O719*VLOOKUP($M$4+$B719-1,Paraméterek!$H$58:$I$105,2,0)/Paraméterek!$I$56,IF($D$4="Forint",0,2))</f>
        <v>#N/A</v>
      </c>
      <c r="Q719" s="13">
        <f t="shared" ca="1" si="226"/>
        <v>0</v>
      </c>
      <c r="R719" s="33"/>
      <c r="S719" s="13" t="e">
        <f t="shared" ca="1" si="227"/>
        <v>#N/A</v>
      </c>
      <c r="T719" s="13" t="e">
        <f ca="1">ROUNDUP(($N719-$P719-$Q719+$S719)*VLOOKUP($B719,Paraméterek!$I$38:$K$39,IF($D$2="Egyszeri",3,2))/12*IF($D720="Nem",IF($M$13=0,1,$M$13),1),IF($D$4="Forint",0,2))</f>
        <v>#N/A</v>
      </c>
      <c r="U719" s="13"/>
      <c r="V719" s="13"/>
      <c r="W719" s="13" t="e">
        <f ca="1">$N719-$P719-$Q719+$S719-$T719-IF(ROUNDUP(IF(ISBLANK($V719),$U719*0,$V719)/IF($D$2="Egyszeri",VLOOKUP($B719+IF($C719=12,1,0),Paraméterek!$V$257:$W$262,2),IF($B719=1,1,VLOOKUP($B719+IF($C719=12,1,0),Paraméterek!$I$258:$T$278,HLOOKUP($M$11+1,Paraméterek!$J$256:$T$257,2)))),IF($D$4="Forint",0,2))&gt;$N719-$P719-$Q719+$S719-$T719-IF($D$4="Forint",Paraméterek!$C$216,Paraméterek!$D$216),0,ROUNDUP(IF(ISBLANK($V719),$U719*0,$V719)/IF($D$2="Egyszeri",VLOOKUP($B719+IF($C719=12,1,0),Paraméterek!$V$257:$W$262,2),IF($B719=1,1,VLOOKUP($B719+IF($C719=12,1,0),Paraméterek!$I$258:$T$278,HLOOKUP($M$11+1,Paraméterek!$J$256:$T$257,2)))),IF($D$4="Forint",0,2)))</f>
        <v>#N/A</v>
      </c>
      <c r="X719" s="13" t="e">
        <f ca="1">ROUNDDOWN($W719*IF($D$2="Egyszeri",VLOOKUP($B719+IF($C719=12,1,0),Paraméterek!$V$257:$W$262,2),VLOOKUP($B719+IF($C719=12,1,0),Paraméterek!$I$258:$T$278,HLOOKUP($M$11+1,Paraméterek!$I$256:$T$257,2))),IF($D$4="Forint",0,2))</f>
        <v>#N/A</v>
      </c>
      <c r="Z719" s="32">
        <v>700</v>
      </c>
      <c r="AA719" s="32">
        <v>59</v>
      </c>
      <c r="AB719" s="32">
        <v>4</v>
      </c>
      <c r="AC719" s="13">
        <f t="shared" ca="1" si="236"/>
        <v>0</v>
      </c>
      <c r="AD719" s="33"/>
      <c r="AE719" s="13">
        <f t="shared" ca="1" si="228"/>
        <v>0</v>
      </c>
      <c r="AF719" s="13">
        <f ca="1">ROUNDUP(($AC719+$AE719)*VLOOKUP($AA719,Paraméterek!$P$38:$Q$38,2)/12*IF($D720="Nem",IF($M$13=0,1,$M$13),1),IF($D$4="Forint",0,2))</f>
        <v>0</v>
      </c>
      <c r="AG719" s="13">
        <f ca="1">IF($D$2="Egyszeri",IF($D$7&gt;=IF($D$4="Forint",Paraméterek!$P$223,Paraméterek!$P$224),$D$7-IF($D$4="Forint",Paraméterek!$P$223,Paraméterek!$P$224),0),MIN(IF($AB719=12,AVERAGEIF($E$20:$E719,"&gt;0",$E$20:$E719)*12,0),SUM($E$20:$E$31)))</f>
        <v>0</v>
      </c>
      <c r="AH719" s="13">
        <f>IF($AA719=10,$AG719*IF($AB719=12,IF($AG719&lt;IF($D$4="Forint",Paraméterek!$L$223,Paraméterek!$L$224),0,VLOOKUP($AA719,Paraméterek!$K$226:$M$228,IF($AG719&lt;IF($D$4="Forint",Paraméterek!$M$223,Paraméterek!$M$224),2,3))),0),0)</f>
        <v>0</v>
      </c>
      <c r="AI719" s="13">
        <f ca="1">IF(AND($AA719=$M$11+1,$AB719=$M$12+1),SUMIF($AA$20:$AA$1027,$AA719,$AG$20:$AG$1027)*IF(SUMIF($AA$20:$AA$1027,$AA719,$AG$20:$AG$1027)&lt;IF($D$4="Forint",Paraméterek!$L$223,Paraméterek!$L$224),0,VLOOKUP($AA719,Paraméterek!$K$230:$M$250,IF(SUMIF($AA$20:$AA$1027,$AA719,$AG$20:$AG$1027)&lt;IF($D$4="Forint",Paraméterek!$M$223,Paraméterek!$M$224),2,3))),0)</f>
        <v>0</v>
      </c>
      <c r="AJ719" s="13">
        <f ca="1">IF(AND($AA719&gt;=5,MOD($AA719,5)=0),IF($AB719=12,VLOOKUP($AA719,Paraméterek!$O$225:$P$240,2),0),IF(OR($AA719=3,$AA719=4),IF($AB719=12,VLOOKUP($AA719,Paraméterek!$O$225:$P$240,2,0),0),0))*$AG719</f>
        <v>0</v>
      </c>
      <c r="AK719" s="13">
        <f t="shared" ca="1" si="229"/>
        <v>0</v>
      </c>
      <c r="AL719" s="13">
        <f t="shared" ca="1" si="237"/>
        <v>0</v>
      </c>
      <c r="AM719" s="13">
        <f t="shared" ca="1" si="238"/>
        <v>0</v>
      </c>
      <c r="AO719" s="32">
        <v>700</v>
      </c>
      <c r="AP719" s="32">
        <v>59</v>
      </c>
      <c r="AQ719" s="32">
        <v>4</v>
      </c>
      <c r="AR719" s="13"/>
      <c r="AS719" s="32"/>
      <c r="AT719" s="13">
        <f t="shared" ca="1" si="239"/>
        <v>0</v>
      </c>
      <c r="AU719" s="33"/>
      <c r="AV719" s="13">
        <f t="shared" ca="1" si="230"/>
        <v>0</v>
      </c>
      <c r="AW719" s="13">
        <f ca="1">ROUNDUP(($AT719+$AV719)*VLOOKUP($AP719,Paraméterek!$P$38:$Q$38,2)/12*IF($D720="Nem",IF($M$13=0,1,$M$13),1),IF($D$4="Forint",0,2))</f>
        <v>0</v>
      </c>
      <c r="AX719" s="13"/>
      <c r="AY719" s="13"/>
      <c r="AZ719" s="13">
        <f>ROUNDUP(IF(SUM($AX719:$AY719)=0,0,IF(IF(ISBLANK($AY719),$AX719,$AY719)*Paraméterek!$J$112&lt;IF($D$4="Forint",Paraméterek!$J$113,Paraméterek!$K$113),IF($D$4="Forint",Paraméterek!$J$113,Paraméterek!$K$113),IF(IF(ISBLANK($AY719),$AX719,$AY719)*Paraméterek!$J$112&gt;IF($D$4="Forint",Paraméterek!$J$114,Paraméterek!$K$114),IF($D$4="Forint",Paraméterek!$J$114,Paraméterek!$K$114),IF(ISBLANK($AY719),$AX719,$AY719)*Paraméterek!$J$112))),IF($D$4="Forint",0,2))</f>
        <v>0</v>
      </c>
      <c r="BA719" s="13">
        <f ca="1">$AT719+$AV719-$AW719-IF(ROUNDDOWN(IF(ISBLANK($AY719),$AX719,$AY719),IF($D$4="Forint",0,2))&gt;$AT719+$AV719-$AW719-IF($D$4="Forint",Paraméterek!$J$114,Paraméterek!$K$114),0,ROUNDDOWN(IF(ISBLANK($AY719),$AX719,$AY719),IF($D$4="Forint",0,2))-$AZ719)</f>
        <v>0</v>
      </c>
      <c r="BB719" s="13">
        <f t="shared" ca="1" si="231"/>
        <v>0</v>
      </c>
      <c r="BD719" s="32">
        <v>700</v>
      </c>
      <c r="BE719" s="32">
        <v>59</v>
      </c>
      <c r="BF719" s="32">
        <v>4</v>
      </c>
      <c r="BG719" s="34">
        <f t="shared" ca="1" si="240"/>
        <v>2077</v>
      </c>
      <c r="BH719" s="32" t="str">
        <f ca="1">IF(MOD(MONTH($D$14)+$BD719-1,12)=Paraméterek!$C$288,"Igen","")</f>
        <v/>
      </c>
      <c r="BI719" s="13">
        <f ca="1">IF($BH719="Igen",MIN(ROUNDDOWN((SUMIF($BG$20:$BG$1027,$BG719-1,$K$20:$K$1027)-SUMIF($BG$20:$BG$1027,$BG719-1,$I$20:$I$1027))*Paraméterek!$C$289,IF($D$4="Forint",0,2)),IF($D$4="Forint",Paraméterek!$C$285,Paraméterek!$D$285)),0)</f>
        <v>0</v>
      </c>
      <c r="BJ719" s="13">
        <f t="shared" ca="1" si="232"/>
        <v>0</v>
      </c>
      <c r="BK719" s="13">
        <f t="shared" ca="1" si="241"/>
        <v>0</v>
      </c>
      <c r="BL719" s="33"/>
      <c r="BM719" s="13">
        <f t="shared" ca="1" si="233"/>
        <v>0</v>
      </c>
      <c r="BN719" s="13">
        <f ca="1">ROUNDUP(($BK719+$BM719)*VLOOKUP($BE719,Paraméterek!$P$38:$Q$38,2)/12*IF($D720="Nem",IF($M$13=0,1,$M$13),1),IF($D$4="Forint",0,2))</f>
        <v>0</v>
      </c>
      <c r="BO719" s="13">
        <f t="shared" ca="1" si="234"/>
        <v>0</v>
      </c>
      <c r="BP719" s="13">
        <f ca="1">IF($D720="Nem",$BO719,$BO719-ROUNDUP(SUM($BI$20:$BI719)*120%,IF($D$4="Forint",0,2)))</f>
        <v>0</v>
      </c>
    </row>
    <row r="720" spans="1:68" x14ac:dyDescent="0.2">
      <c r="A720" s="32">
        <v>701</v>
      </c>
      <c r="B720" s="32">
        <v>59</v>
      </c>
      <c r="C720" s="32">
        <v>5</v>
      </c>
      <c r="D720" s="32" t="str">
        <f t="shared" ca="1" si="220"/>
        <v>Nem</v>
      </c>
      <c r="E720" s="13">
        <f t="shared" ca="1" si="221"/>
        <v>0</v>
      </c>
      <c r="F720" s="13"/>
      <c r="G720" s="13"/>
      <c r="H720" s="13"/>
      <c r="I720" s="13">
        <f t="shared" ca="1" si="222"/>
        <v>0</v>
      </c>
      <c r="J720" s="13">
        <f t="shared" ca="1" si="223"/>
        <v>0</v>
      </c>
      <c r="K720" s="13">
        <f t="shared" ca="1" si="224"/>
        <v>0</v>
      </c>
      <c r="L720" s="13" t="e">
        <f ca="1">ROUNDUP(IF($D$2="Egyszeri",$E720,IF($D$2="Havi",SUM($E$20:$E$31),IF(MOD($C720,$M$1)-1=0,SUM($E$20:$E$31),0))/12*$M$1)*VLOOKUP($B720,Paraméterek!$I$28:$P$31,IF($D$2="Egyszeri",8,HLOOKUP(ROUNDUP($M$11+$M$13,0),Paraméterek!$J$26:$O$27,2))),IF($D$4="Forint",0,2))</f>
        <v>#N/A</v>
      </c>
      <c r="M720" s="13">
        <f t="shared" ca="1" si="225"/>
        <v>0</v>
      </c>
      <c r="N720" s="13">
        <f t="shared" ca="1" si="235"/>
        <v>0</v>
      </c>
      <c r="O720" s="13">
        <f ca="1">IF($D720="Igen",IF($W719&gt;=IF($D$4="Forint",Paraméterek!$J$121,Paraméterek!$K$121),0,IF($D$4="Forint",Paraméterek!$J$121,Paraméterek!$K$121)-$W719),0)</f>
        <v>0</v>
      </c>
      <c r="P720" s="13" t="e">
        <f ca="1">ROUNDUP($O720*VLOOKUP($M$4+$B720-1,Paraméterek!$H$58:$I$105,2,0)/Paraméterek!$I$56,IF($D$4="Forint",0,2))</f>
        <v>#N/A</v>
      </c>
      <c r="Q720" s="13">
        <f t="shared" ca="1" si="226"/>
        <v>0</v>
      </c>
      <c r="R720" s="33"/>
      <c r="S720" s="13" t="e">
        <f t="shared" ca="1" si="227"/>
        <v>#N/A</v>
      </c>
      <c r="T720" s="13" t="e">
        <f ca="1">ROUNDUP(($N720-$P720-$Q720+$S720)*VLOOKUP($B720,Paraméterek!$I$38:$K$39,IF($D$2="Egyszeri",3,2))/12*IF($D721="Nem",IF($M$13=0,1,$M$13),1),IF($D$4="Forint",0,2))</f>
        <v>#N/A</v>
      </c>
      <c r="U720" s="13"/>
      <c r="V720" s="13"/>
      <c r="W720" s="13" t="e">
        <f ca="1">$N720-$P720-$Q720+$S720-$T720-IF(ROUNDUP(IF(ISBLANK($V720),$U720*0,$V720)/IF($D$2="Egyszeri",VLOOKUP($B720+IF($C720=12,1,0),Paraméterek!$V$257:$W$262,2),IF($B720=1,1,VLOOKUP($B720+IF($C720=12,1,0),Paraméterek!$I$258:$T$278,HLOOKUP($M$11+1,Paraméterek!$J$256:$T$257,2)))),IF($D$4="Forint",0,2))&gt;$N720-$P720-$Q720+$S720-$T720-IF($D$4="Forint",Paraméterek!$C$216,Paraméterek!$D$216),0,ROUNDUP(IF(ISBLANK($V720),$U720*0,$V720)/IF($D$2="Egyszeri",VLOOKUP($B720+IF($C720=12,1,0),Paraméterek!$V$257:$W$262,2),IF($B720=1,1,VLOOKUP($B720+IF($C720=12,1,0),Paraméterek!$I$258:$T$278,HLOOKUP($M$11+1,Paraméterek!$J$256:$T$257,2)))),IF($D$4="Forint",0,2)))</f>
        <v>#N/A</v>
      </c>
      <c r="X720" s="13" t="e">
        <f ca="1">ROUNDDOWN($W720*IF($D$2="Egyszeri",VLOOKUP($B720+IF($C720=12,1,0),Paraméterek!$V$257:$W$262,2),VLOOKUP($B720+IF($C720=12,1,0),Paraméterek!$I$258:$T$278,HLOOKUP($M$11+1,Paraméterek!$I$256:$T$257,2))),IF($D$4="Forint",0,2))</f>
        <v>#N/A</v>
      </c>
      <c r="Z720" s="32">
        <v>701</v>
      </c>
      <c r="AA720" s="32">
        <v>59</v>
      </c>
      <c r="AB720" s="32">
        <v>5</v>
      </c>
      <c r="AC720" s="13">
        <f t="shared" ca="1" si="236"/>
        <v>0</v>
      </c>
      <c r="AD720" s="33"/>
      <c r="AE720" s="13">
        <f t="shared" ca="1" si="228"/>
        <v>0</v>
      </c>
      <c r="AF720" s="13">
        <f ca="1">ROUNDUP(($AC720+$AE720)*VLOOKUP($AA720,Paraméterek!$P$38:$Q$38,2)/12*IF($D721="Nem",IF($M$13=0,1,$M$13),1),IF($D$4="Forint",0,2))</f>
        <v>0</v>
      </c>
      <c r="AG720" s="13">
        <f ca="1">IF($D$2="Egyszeri",IF($D$7&gt;=IF($D$4="Forint",Paraméterek!$P$223,Paraméterek!$P$224),$D$7-IF($D$4="Forint",Paraméterek!$P$223,Paraméterek!$P$224),0),MIN(IF($AB720=12,AVERAGEIF($E$20:$E720,"&gt;0",$E$20:$E720)*12,0),SUM($E$20:$E$31)))</f>
        <v>0</v>
      </c>
      <c r="AH720" s="13">
        <f>IF($AA720=10,$AG720*IF($AB720=12,IF($AG720&lt;IF($D$4="Forint",Paraméterek!$L$223,Paraméterek!$L$224),0,VLOOKUP($AA720,Paraméterek!$K$226:$M$228,IF($AG720&lt;IF($D$4="Forint",Paraméterek!$M$223,Paraméterek!$M$224),2,3))),0),0)</f>
        <v>0</v>
      </c>
      <c r="AI720" s="13">
        <f ca="1">IF(AND($AA720=$M$11+1,$AB720=$M$12+1),SUMIF($AA$20:$AA$1027,$AA720,$AG$20:$AG$1027)*IF(SUMIF($AA$20:$AA$1027,$AA720,$AG$20:$AG$1027)&lt;IF($D$4="Forint",Paraméterek!$L$223,Paraméterek!$L$224),0,VLOOKUP($AA720,Paraméterek!$K$230:$M$250,IF(SUMIF($AA$20:$AA$1027,$AA720,$AG$20:$AG$1027)&lt;IF($D$4="Forint",Paraméterek!$M$223,Paraméterek!$M$224),2,3))),0)</f>
        <v>0</v>
      </c>
      <c r="AJ720" s="13">
        <f ca="1">IF(AND($AA720&gt;=5,MOD($AA720,5)=0),IF($AB720=12,VLOOKUP($AA720,Paraméterek!$O$225:$P$240,2),0),IF(OR($AA720=3,$AA720=4),IF($AB720=12,VLOOKUP($AA720,Paraméterek!$O$225:$P$240,2,0),0),0))*$AG720</f>
        <v>0</v>
      </c>
      <c r="AK720" s="13">
        <f t="shared" ca="1" si="229"/>
        <v>0</v>
      </c>
      <c r="AL720" s="13">
        <f t="shared" ca="1" si="237"/>
        <v>0</v>
      </c>
      <c r="AM720" s="13">
        <f t="shared" ca="1" si="238"/>
        <v>0</v>
      </c>
      <c r="AO720" s="32">
        <v>701</v>
      </c>
      <c r="AP720" s="32">
        <v>59</v>
      </c>
      <c r="AQ720" s="32">
        <v>5</v>
      </c>
      <c r="AR720" s="13"/>
      <c r="AS720" s="32"/>
      <c r="AT720" s="13">
        <f t="shared" ca="1" si="239"/>
        <v>0</v>
      </c>
      <c r="AU720" s="33"/>
      <c r="AV720" s="13">
        <f t="shared" ca="1" si="230"/>
        <v>0</v>
      </c>
      <c r="AW720" s="13">
        <f ca="1">ROUNDUP(($AT720+$AV720)*VLOOKUP($AP720,Paraméterek!$P$38:$Q$38,2)/12*IF($D721="Nem",IF($M$13=0,1,$M$13),1),IF($D$4="Forint",0,2))</f>
        <v>0</v>
      </c>
      <c r="AX720" s="13"/>
      <c r="AY720" s="13"/>
      <c r="AZ720" s="13">
        <f>ROUNDUP(IF(SUM($AX720:$AY720)=0,0,IF(IF(ISBLANK($AY720),$AX720,$AY720)*Paraméterek!$J$112&lt;IF($D$4="Forint",Paraméterek!$J$113,Paraméterek!$K$113),IF($D$4="Forint",Paraméterek!$J$113,Paraméterek!$K$113),IF(IF(ISBLANK($AY720),$AX720,$AY720)*Paraméterek!$J$112&gt;IF($D$4="Forint",Paraméterek!$J$114,Paraméterek!$K$114),IF($D$4="Forint",Paraméterek!$J$114,Paraméterek!$K$114),IF(ISBLANK($AY720),$AX720,$AY720)*Paraméterek!$J$112))),IF($D$4="Forint",0,2))</f>
        <v>0</v>
      </c>
      <c r="BA720" s="13">
        <f ca="1">$AT720+$AV720-$AW720-IF(ROUNDDOWN(IF(ISBLANK($AY720),$AX720,$AY720),IF($D$4="Forint",0,2))&gt;$AT720+$AV720-$AW720-IF($D$4="Forint",Paraméterek!$J$114,Paraméterek!$K$114),0,ROUNDDOWN(IF(ISBLANK($AY720),$AX720,$AY720),IF($D$4="Forint",0,2))-$AZ720)</f>
        <v>0</v>
      </c>
      <c r="BB720" s="13">
        <f t="shared" ca="1" si="231"/>
        <v>0</v>
      </c>
      <c r="BD720" s="32">
        <v>701</v>
      </c>
      <c r="BE720" s="32">
        <v>59</v>
      </c>
      <c r="BF720" s="32">
        <v>5</v>
      </c>
      <c r="BG720" s="34">
        <f t="shared" ca="1" si="240"/>
        <v>2077</v>
      </c>
      <c r="BH720" s="32" t="str">
        <f ca="1">IF(MOD(MONTH($D$14)+$BD720-1,12)=Paraméterek!$C$288,"Igen","")</f>
        <v/>
      </c>
      <c r="BI720" s="13">
        <f ca="1">IF($BH720="Igen",MIN(ROUNDDOWN((SUMIF($BG$20:$BG$1027,$BG720-1,$K$20:$K$1027)-SUMIF($BG$20:$BG$1027,$BG720-1,$I$20:$I$1027))*Paraméterek!$C$289,IF($D$4="Forint",0,2)),IF($D$4="Forint",Paraméterek!$C$285,Paraméterek!$D$285)),0)</f>
        <v>0</v>
      </c>
      <c r="BJ720" s="13">
        <f t="shared" ca="1" si="232"/>
        <v>0</v>
      </c>
      <c r="BK720" s="13">
        <f t="shared" ca="1" si="241"/>
        <v>0</v>
      </c>
      <c r="BL720" s="33"/>
      <c r="BM720" s="13">
        <f t="shared" ca="1" si="233"/>
        <v>0</v>
      </c>
      <c r="BN720" s="13">
        <f ca="1">ROUNDUP(($BK720+$BM720)*VLOOKUP($BE720,Paraméterek!$P$38:$Q$38,2)/12*IF($D721="Nem",IF($M$13=0,1,$M$13),1),IF($D$4="Forint",0,2))</f>
        <v>0</v>
      </c>
      <c r="BO720" s="13">
        <f t="shared" ca="1" si="234"/>
        <v>0</v>
      </c>
      <c r="BP720" s="13">
        <f ca="1">IF($D721="Nem",$BO720,$BO720-ROUNDUP(SUM($BI$20:$BI720)*120%,IF($D$4="Forint",0,2)))</f>
        <v>0</v>
      </c>
    </row>
    <row r="721" spans="1:68" x14ac:dyDescent="0.2">
      <c r="A721" s="32">
        <v>702</v>
      </c>
      <c r="B721" s="32">
        <v>59</v>
      </c>
      <c r="C721" s="32">
        <v>6</v>
      </c>
      <c r="D721" s="32" t="str">
        <f t="shared" ca="1" si="220"/>
        <v>Nem</v>
      </c>
      <c r="E721" s="13">
        <f t="shared" ca="1" si="221"/>
        <v>0</v>
      </c>
      <c r="F721" s="13"/>
      <c r="G721" s="13"/>
      <c r="H721" s="13"/>
      <c r="I721" s="13">
        <f t="shared" ca="1" si="222"/>
        <v>0</v>
      </c>
      <c r="J721" s="13">
        <f t="shared" ca="1" si="223"/>
        <v>0</v>
      </c>
      <c r="K721" s="13">
        <f t="shared" ca="1" si="224"/>
        <v>0</v>
      </c>
      <c r="L721" s="13" t="e">
        <f ca="1">ROUNDUP(IF($D$2="Egyszeri",$E721,IF($D$2="Havi",SUM($E$20:$E$31),IF(MOD($C721,$M$1)-1=0,SUM($E$20:$E$31),0))/12*$M$1)*VLOOKUP($B721,Paraméterek!$I$28:$P$31,IF($D$2="Egyszeri",8,HLOOKUP(ROUNDUP($M$11+$M$13,0),Paraméterek!$J$26:$O$27,2))),IF($D$4="Forint",0,2))</f>
        <v>#N/A</v>
      </c>
      <c r="M721" s="13">
        <f t="shared" ca="1" si="225"/>
        <v>0</v>
      </c>
      <c r="N721" s="13">
        <f t="shared" ca="1" si="235"/>
        <v>0</v>
      </c>
      <c r="O721" s="13">
        <f ca="1">IF($D721="Igen",IF($W720&gt;=IF($D$4="Forint",Paraméterek!$J$121,Paraméterek!$K$121),0,IF($D$4="Forint",Paraméterek!$J$121,Paraméterek!$K$121)-$W720),0)</f>
        <v>0</v>
      </c>
      <c r="P721" s="13" t="e">
        <f ca="1">ROUNDUP($O721*VLOOKUP($M$4+$B721-1,Paraméterek!$H$58:$I$105,2,0)/Paraméterek!$I$56,IF($D$4="Forint",0,2))</f>
        <v>#N/A</v>
      </c>
      <c r="Q721" s="13">
        <f t="shared" ca="1" si="226"/>
        <v>0</v>
      </c>
      <c r="R721" s="33"/>
      <c r="S721" s="13" t="e">
        <f t="shared" ca="1" si="227"/>
        <v>#N/A</v>
      </c>
      <c r="T721" s="13" t="e">
        <f ca="1">ROUNDUP(($N721-$P721-$Q721+$S721)*VLOOKUP($B721,Paraméterek!$I$38:$K$39,IF($D$2="Egyszeri",3,2))/12*IF($D722="Nem",IF($M$13=0,1,$M$13),1),IF($D$4="Forint",0,2))</f>
        <v>#N/A</v>
      </c>
      <c r="U721" s="13"/>
      <c r="V721" s="13"/>
      <c r="W721" s="13" t="e">
        <f ca="1">$N721-$P721-$Q721+$S721-$T721-IF(ROUNDUP(IF(ISBLANK($V721),$U721*0,$V721)/IF($D$2="Egyszeri",VLOOKUP($B721+IF($C721=12,1,0),Paraméterek!$V$257:$W$262,2),IF($B721=1,1,VLOOKUP($B721+IF($C721=12,1,0),Paraméterek!$I$258:$T$278,HLOOKUP($M$11+1,Paraméterek!$J$256:$T$257,2)))),IF($D$4="Forint",0,2))&gt;$N721-$P721-$Q721+$S721-$T721-IF($D$4="Forint",Paraméterek!$C$216,Paraméterek!$D$216),0,ROUNDUP(IF(ISBLANK($V721),$U721*0,$V721)/IF($D$2="Egyszeri",VLOOKUP($B721+IF($C721=12,1,0),Paraméterek!$V$257:$W$262,2),IF($B721=1,1,VLOOKUP($B721+IF($C721=12,1,0),Paraméterek!$I$258:$T$278,HLOOKUP($M$11+1,Paraméterek!$J$256:$T$257,2)))),IF($D$4="Forint",0,2)))</f>
        <v>#N/A</v>
      </c>
      <c r="X721" s="13" t="e">
        <f ca="1">ROUNDDOWN($W721*IF($D$2="Egyszeri",VLOOKUP($B721+IF($C721=12,1,0),Paraméterek!$V$257:$W$262,2),VLOOKUP($B721+IF($C721=12,1,0),Paraméterek!$I$258:$T$278,HLOOKUP($M$11+1,Paraméterek!$I$256:$T$257,2))),IF($D$4="Forint",0,2))</f>
        <v>#N/A</v>
      </c>
      <c r="Z721" s="32">
        <v>702</v>
      </c>
      <c r="AA721" s="32">
        <v>59</v>
      </c>
      <c r="AB721" s="32">
        <v>6</v>
      </c>
      <c r="AC721" s="13">
        <f t="shared" ca="1" si="236"/>
        <v>0</v>
      </c>
      <c r="AD721" s="33"/>
      <c r="AE721" s="13">
        <f t="shared" ca="1" si="228"/>
        <v>0</v>
      </c>
      <c r="AF721" s="13">
        <f ca="1">ROUNDUP(($AC721+$AE721)*VLOOKUP($AA721,Paraméterek!$P$38:$Q$38,2)/12*IF($D722="Nem",IF($M$13=0,1,$M$13),1),IF($D$4="Forint",0,2))</f>
        <v>0</v>
      </c>
      <c r="AG721" s="13">
        <f ca="1">IF($D$2="Egyszeri",IF($D$7&gt;=IF($D$4="Forint",Paraméterek!$P$223,Paraméterek!$P$224),$D$7-IF($D$4="Forint",Paraméterek!$P$223,Paraméterek!$P$224),0),MIN(IF($AB721=12,AVERAGEIF($E$20:$E721,"&gt;0",$E$20:$E721)*12,0),SUM($E$20:$E$31)))</f>
        <v>0</v>
      </c>
      <c r="AH721" s="13">
        <f>IF($AA721=10,$AG721*IF($AB721=12,IF($AG721&lt;IF($D$4="Forint",Paraméterek!$L$223,Paraméterek!$L$224),0,VLOOKUP($AA721,Paraméterek!$K$226:$M$228,IF($AG721&lt;IF($D$4="Forint",Paraméterek!$M$223,Paraméterek!$M$224),2,3))),0),0)</f>
        <v>0</v>
      </c>
      <c r="AI721" s="13">
        <f ca="1">IF(AND($AA721=$M$11+1,$AB721=$M$12+1),SUMIF($AA$20:$AA$1027,$AA721,$AG$20:$AG$1027)*IF(SUMIF($AA$20:$AA$1027,$AA721,$AG$20:$AG$1027)&lt;IF($D$4="Forint",Paraméterek!$L$223,Paraméterek!$L$224),0,VLOOKUP($AA721,Paraméterek!$K$230:$M$250,IF(SUMIF($AA$20:$AA$1027,$AA721,$AG$20:$AG$1027)&lt;IF($D$4="Forint",Paraméterek!$M$223,Paraméterek!$M$224),2,3))),0)</f>
        <v>0</v>
      </c>
      <c r="AJ721" s="13">
        <f ca="1">IF(AND($AA721&gt;=5,MOD($AA721,5)=0),IF($AB721=12,VLOOKUP($AA721,Paraméterek!$O$225:$P$240,2),0),IF(OR($AA721=3,$AA721=4),IF($AB721=12,VLOOKUP($AA721,Paraméterek!$O$225:$P$240,2,0),0),0))*$AG721</f>
        <v>0</v>
      </c>
      <c r="AK721" s="13">
        <f t="shared" ca="1" si="229"/>
        <v>0</v>
      </c>
      <c r="AL721" s="13">
        <f t="shared" ca="1" si="237"/>
        <v>0</v>
      </c>
      <c r="AM721" s="13">
        <f t="shared" ca="1" si="238"/>
        <v>0</v>
      </c>
      <c r="AO721" s="32">
        <v>702</v>
      </c>
      <c r="AP721" s="32">
        <v>59</v>
      </c>
      <c r="AQ721" s="32">
        <v>6</v>
      </c>
      <c r="AR721" s="13"/>
      <c r="AS721" s="32"/>
      <c r="AT721" s="13">
        <f t="shared" ca="1" si="239"/>
        <v>0</v>
      </c>
      <c r="AU721" s="33"/>
      <c r="AV721" s="13">
        <f t="shared" ca="1" si="230"/>
        <v>0</v>
      </c>
      <c r="AW721" s="13">
        <f ca="1">ROUNDUP(($AT721+$AV721)*VLOOKUP($AP721,Paraméterek!$P$38:$Q$38,2)/12*IF($D722="Nem",IF($M$13=0,1,$M$13),1),IF($D$4="Forint",0,2))</f>
        <v>0</v>
      </c>
      <c r="AX721" s="13"/>
      <c r="AY721" s="13"/>
      <c r="AZ721" s="13">
        <f>ROUNDUP(IF(SUM($AX721:$AY721)=0,0,IF(IF(ISBLANK($AY721),$AX721,$AY721)*Paraméterek!$J$112&lt;IF($D$4="Forint",Paraméterek!$J$113,Paraméterek!$K$113),IF($D$4="Forint",Paraméterek!$J$113,Paraméterek!$K$113),IF(IF(ISBLANK($AY721),$AX721,$AY721)*Paraméterek!$J$112&gt;IF($D$4="Forint",Paraméterek!$J$114,Paraméterek!$K$114),IF($D$4="Forint",Paraméterek!$J$114,Paraméterek!$K$114),IF(ISBLANK($AY721),$AX721,$AY721)*Paraméterek!$J$112))),IF($D$4="Forint",0,2))</f>
        <v>0</v>
      </c>
      <c r="BA721" s="13">
        <f ca="1">$AT721+$AV721-$AW721-IF(ROUNDDOWN(IF(ISBLANK($AY721),$AX721,$AY721),IF($D$4="Forint",0,2))&gt;$AT721+$AV721-$AW721-IF($D$4="Forint",Paraméterek!$J$114,Paraméterek!$K$114),0,ROUNDDOWN(IF(ISBLANK($AY721),$AX721,$AY721),IF($D$4="Forint",0,2))-$AZ721)</f>
        <v>0</v>
      </c>
      <c r="BB721" s="13">
        <f t="shared" ca="1" si="231"/>
        <v>0</v>
      </c>
      <c r="BD721" s="32">
        <v>702</v>
      </c>
      <c r="BE721" s="32">
        <v>59</v>
      </c>
      <c r="BF721" s="32">
        <v>6</v>
      </c>
      <c r="BG721" s="34">
        <f t="shared" ca="1" si="240"/>
        <v>2077</v>
      </c>
      <c r="BH721" s="32" t="str">
        <f ca="1">IF(MOD(MONTH($D$14)+$BD721-1,12)=Paraméterek!$C$288,"Igen","")</f>
        <v/>
      </c>
      <c r="BI721" s="13">
        <f ca="1">IF($BH721="Igen",MIN(ROUNDDOWN((SUMIF($BG$20:$BG$1027,$BG721-1,$K$20:$K$1027)-SUMIF($BG$20:$BG$1027,$BG721-1,$I$20:$I$1027))*Paraméterek!$C$289,IF($D$4="Forint",0,2)),IF($D$4="Forint",Paraméterek!$C$285,Paraméterek!$D$285)),0)</f>
        <v>0</v>
      </c>
      <c r="BJ721" s="13">
        <f t="shared" ca="1" si="232"/>
        <v>0</v>
      </c>
      <c r="BK721" s="13">
        <f t="shared" ca="1" si="241"/>
        <v>0</v>
      </c>
      <c r="BL721" s="33"/>
      <c r="BM721" s="13">
        <f t="shared" ca="1" si="233"/>
        <v>0</v>
      </c>
      <c r="BN721" s="13">
        <f ca="1">ROUNDUP(($BK721+$BM721)*VLOOKUP($BE721,Paraméterek!$P$38:$Q$38,2)/12*IF($D722="Nem",IF($M$13=0,1,$M$13),1),IF($D$4="Forint",0,2))</f>
        <v>0</v>
      </c>
      <c r="BO721" s="13">
        <f t="shared" ca="1" si="234"/>
        <v>0</v>
      </c>
      <c r="BP721" s="13">
        <f ca="1">IF($D722="Nem",$BO721,$BO721-ROUNDUP(SUM($BI$20:$BI721)*120%,IF($D$4="Forint",0,2)))</f>
        <v>0</v>
      </c>
    </row>
    <row r="722" spans="1:68" x14ac:dyDescent="0.2">
      <c r="A722" s="32">
        <v>703</v>
      </c>
      <c r="B722" s="32">
        <v>59</v>
      </c>
      <c r="C722" s="32">
        <v>7</v>
      </c>
      <c r="D722" s="32" t="str">
        <f t="shared" ca="1" si="220"/>
        <v>Nem</v>
      </c>
      <c r="E722" s="13">
        <f t="shared" ca="1" si="221"/>
        <v>0</v>
      </c>
      <c r="F722" s="13"/>
      <c r="G722" s="13"/>
      <c r="H722" s="13"/>
      <c r="I722" s="13">
        <f t="shared" ca="1" si="222"/>
        <v>0</v>
      </c>
      <c r="J722" s="13">
        <f t="shared" ca="1" si="223"/>
        <v>0</v>
      </c>
      <c r="K722" s="13">
        <f t="shared" ca="1" si="224"/>
        <v>0</v>
      </c>
      <c r="L722" s="13" t="e">
        <f ca="1">ROUNDUP(IF($D$2="Egyszeri",$E722,IF($D$2="Havi",SUM($E$20:$E$31),IF(MOD($C722,$M$1)-1=0,SUM($E$20:$E$31),0))/12*$M$1)*VLOOKUP($B722,Paraméterek!$I$28:$P$31,IF($D$2="Egyszeri",8,HLOOKUP(ROUNDUP($M$11+$M$13,0),Paraméterek!$J$26:$O$27,2))),IF($D$4="Forint",0,2))</f>
        <v>#N/A</v>
      </c>
      <c r="M722" s="13">
        <f t="shared" ca="1" si="225"/>
        <v>0</v>
      </c>
      <c r="N722" s="13">
        <f t="shared" ca="1" si="235"/>
        <v>0</v>
      </c>
      <c r="O722" s="13">
        <f ca="1">IF($D722="Igen",IF($W721&gt;=IF($D$4="Forint",Paraméterek!$J$121,Paraméterek!$K$121),0,IF($D$4="Forint",Paraméterek!$J$121,Paraméterek!$K$121)-$W721),0)</f>
        <v>0</v>
      </c>
      <c r="P722" s="13" t="e">
        <f ca="1">ROUNDUP($O722*VLOOKUP($M$4+$B722-1,Paraméterek!$H$58:$I$105,2,0)/Paraméterek!$I$56,IF($D$4="Forint",0,2))</f>
        <v>#N/A</v>
      </c>
      <c r="Q722" s="13">
        <f t="shared" ca="1" si="226"/>
        <v>0</v>
      </c>
      <c r="R722" s="33"/>
      <c r="S722" s="13" t="e">
        <f t="shared" ca="1" si="227"/>
        <v>#N/A</v>
      </c>
      <c r="T722" s="13" t="e">
        <f ca="1">ROUNDUP(($N722-$P722-$Q722+$S722)*VLOOKUP($B722,Paraméterek!$I$38:$K$39,IF($D$2="Egyszeri",3,2))/12*IF($D723="Nem",IF($M$13=0,1,$M$13),1),IF($D$4="Forint",0,2))</f>
        <v>#N/A</v>
      </c>
      <c r="U722" s="13"/>
      <c r="V722" s="13"/>
      <c r="W722" s="13" t="e">
        <f ca="1">$N722-$P722-$Q722+$S722-$T722-IF(ROUNDUP(IF(ISBLANK($V722),$U722*0,$V722)/IF($D$2="Egyszeri",VLOOKUP($B722+IF($C722=12,1,0),Paraméterek!$V$257:$W$262,2),IF($B722=1,1,VLOOKUP($B722+IF($C722=12,1,0),Paraméterek!$I$258:$T$278,HLOOKUP($M$11+1,Paraméterek!$J$256:$T$257,2)))),IF($D$4="Forint",0,2))&gt;$N722-$P722-$Q722+$S722-$T722-IF($D$4="Forint",Paraméterek!$C$216,Paraméterek!$D$216),0,ROUNDUP(IF(ISBLANK($V722),$U722*0,$V722)/IF($D$2="Egyszeri",VLOOKUP($B722+IF($C722=12,1,0),Paraméterek!$V$257:$W$262,2),IF($B722=1,1,VLOOKUP($B722+IF($C722=12,1,0),Paraméterek!$I$258:$T$278,HLOOKUP($M$11+1,Paraméterek!$J$256:$T$257,2)))),IF($D$4="Forint",0,2)))</f>
        <v>#N/A</v>
      </c>
      <c r="X722" s="13" t="e">
        <f ca="1">ROUNDDOWN($W722*IF($D$2="Egyszeri",VLOOKUP($B722+IF($C722=12,1,0),Paraméterek!$V$257:$W$262,2),VLOOKUP($B722+IF($C722=12,1,0),Paraméterek!$I$258:$T$278,HLOOKUP($M$11+1,Paraméterek!$I$256:$T$257,2))),IF($D$4="Forint",0,2))</f>
        <v>#N/A</v>
      </c>
      <c r="Z722" s="32">
        <v>703</v>
      </c>
      <c r="AA722" s="32">
        <v>59</v>
      </c>
      <c r="AB722" s="32">
        <v>7</v>
      </c>
      <c r="AC722" s="13">
        <f t="shared" ca="1" si="236"/>
        <v>0</v>
      </c>
      <c r="AD722" s="33"/>
      <c r="AE722" s="13">
        <f t="shared" ca="1" si="228"/>
        <v>0</v>
      </c>
      <c r="AF722" s="13">
        <f ca="1">ROUNDUP(($AC722+$AE722)*VLOOKUP($AA722,Paraméterek!$P$38:$Q$38,2)/12*IF($D723="Nem",IF($M$13=0,1,$M$13),1),IF($D$4="Forint",0,2))</f>
        <v>0</v>
      </c>
      <c r="AG722" s="13">
        <f ca="1">IF($D$2="Egyszeri",IF($D$7&gt;=IF($D$4="Forint",Paraméterek!$P$223,Paraméterek!$P$224),$D$7-IF($D$4="Forint",Paraméterek!$P$223,Paraméterek!$P$224),0),MIN(IF($AB722=12,AVERAGEIF($E$20:$E722,"&gt;0",$E$20:$E722)*12,0),SUM($E$20:$E$31)))</f>
        <v>0</v>
      </c>
      <c r="AH722" s="13">
        <f>IF($AA722=10,$AG722*IF($AB722=12,IF($AG722&lt;IF($D$4="Forint",Paraméterek!$L$223,Paraméterek!$L$224),0,VLOOKUP($AA722,Paraméterek!$K$226:$M$228,IF($AG722&lt;IF($D$4="Forint",Paraméterek!$M$223,Paraméterek!$M$224),2,3))),0),0)</f>
        <v>0</v>
      </c>
      <c r="AI722" s="13">
        <f ca="1">IF(AND($AA722=$M$11+1,$AB722=$M$12+1),SUMIF($AA$20:$AA$1027,$AA722,$AG$20:$AG$1027)*IF(SUMIF($AA$20:$AA$1027,$AA722,$AG$20:$AG$1027)&lt;IF($D$4="Forint",Paraméterek!$L$223,Paraméterek!$L$224),0,VLOOKUP($AA722,Paraméterek!$K$230:$M$250,IF(SUMIF($AA$20:$AA$1027,$AA722,$AG$20:$AG$1027)&lt;IF($D$4="Forint",Paraméterek!$M$223,Paraméterek!$M$224),2,3))),0)</f>
        <v>0</v>
      </c>
      <c r="AJ722" s="13">
        <f ca="1">IF(AND($AA722&gt;=5,MOD($AA722,5)=0),IF($AB722=12,VLOOKUP($AA722,Paraméterek!$O$225:$P$240,2),0),IF(OR($AA722=3,$AA722=4),IF($AB722=12,VLOOKUP($AA722,Paraméterek!$O$225:$P$240,2,0),0),0))*$AG722</f>
        <v>0</v>
      </c>
      <c r="AK722" s="13">
        <f t="shared" ca="1" si="229"/>
        <v>0</v>
      </c>
      <c r="AL722" s="13">
        <f t="shared" ca="1" si="237"/>
        <v>0</v>
      </c>
      <c r="AM722" s="13">
        <f t="shared" ca="1" si="238"/>
        <v>0</v>
      </c>
      <c r="AO722" s="32">
        <v>703</v>
      </c>
      <c r="AP722" s="32">
        <v>59</v>
      </c>
      <c r="AQ722" s="32">
        <v>7</v>
      </c>
      <c r="AR722" s="13"/>
      <c r="AS722" s="32"/>
      <c r="AT722" s="13">
        <f t="shared" ca="1" si="239"/>
        <v>0</v>
      </c>
      <c r="AU722" s="33"/>
      <c r="AV722" s="13">
        <f t="shared" ca="1" si="230"/>
        <v>0</v>
      </c>
      <c r="AW722" s="13">
        <f ca="1">ROUNDUP(($AT722+$AV722)*VLOOKUP($AP722,Paraméterek!$P$38:$Q$38,2)/12*IF($D723="Nem",IF($M$13=0,1,$M$13),1),IF($D$4="Forint",0,2))</f>
        <v>0</v>
      </c>
      <c r="AX722" s="13"/>
      <c r="AY722" s="13"/>
      <c r="AZ722" s="13">
        <f>ROUNDUP(IF(SUM($AX722:$AY722)=0,0,IF(IF(ISBLANK($AY722),$AX722,$AY722)*Paraméterek!$J$112&lt;IF($D$4="Forint",Paraméterek!$J$113,Paraméterek!$K$113),IF($D$4="Forint",Paraméterek!$J$113,Paraméterek!$K$113),IF(IF(ISBLANK($AY722),$AX722,$AY722)*Paraméterek!$J$112&gt;IF($D$4="Forint",Paraméterek!$J$114,Paraméterek!$K$114),IF($D$4="Forint",Paraméterek!$J$114,Paraméterek!$K$114),IF(ISBLANK($AY722),$AX722,$AY722)*Paraméterek!$J$112))),IF($D$4="Forint",0,2))</f>
        <v>0</v>
      </c>
      <c r="BA722" s="13">
        <f ca="1">$AT722+$AV722-$AW722-IF(ROUNDDOWN(IF(ISBLANK($AY722),$AX722,$AY722),IF($D$4="Forint",0,2))&gt;$AT722+$AV722-$AW722-IF($D$4="Forint",Paraméterek!$J$114,Paraméterek!$K$114),0,ROUNDDOWN(IF(ISBLANK($AY722),$AX722,$AY722),IF($D$4="Forint",0,2))-$AZ722)</f>
        <v>0</v>
      </c>
      <c r="BB722" s="13">
        <f t="shared" ca="1" si="231"/>
        <v>0</v>
      </c>
      <c r="BD722" s="32">
        <v>703</v>
      </c>
      <c r="BE722" s="32">
        <v>59</v>
      </c>
      <c r="BF722" s="32">
        <v>7</v>
      </c>
      <c r="BG722" s="34">
        <f t="shared" ca="1" si="240"/>
        <v>2077</v>
      </c>
      <c r="BH722" s="32" t="str">
        <f ca="1">IF(MOD(MONTH($D$14)+$BD722-1,12)=Paraméterek!$C$288,"Igen","")</f>
        <v/>
      </c>
      <c r="BI722" s="13">
        <f ca="1">IF($BH722="Igen",MIN(ROUNDDOWN((SUMIF($BG$20:$BG$1027,$BG722-1,$K$20:$K$1027)-SUMIF($BG$20:$BG$1027,$BG722-1,$I$20:$I$1027))*Paraméterek!$C$289,IF($D$4="Forint",0,2)),IF($D$4="Forint",Paraméterek!$C$285,Paraméterek!$D$285)),0)</f>
        <v>0</v>
      </c>
      <c r="BJ722" s="13">
        <f t="shared" ca="1" si="232"/>
        <v>0</v>
      </c>
      <c r="BK722" s="13">
        <f t="shared" ca="1" si="241"/>
        <v>0</v>
      </c>
      <c r="BL722" s="33"/>
      <c r="BM722" s="13">
        <f t="shared" ca="1" si="233"/>
        <v>0</v>
      </c>
      <c r="BN722" s="13">
        <f ca="1">ROUNDUP(($BK722+$BM722)*VLOOKUP($BE722,Paraméterek!$P$38:$Q$38,2)/12*IF($D723="Nem",IF($M$13=0,1,$M$13),1),IF($D$4="Forint",0,2))</f>
        <v>0</v>
      </c>
      <c r="BO722" s="13">
        <f t="shared" ca="1" si="234"/>
        <v>0</v>
      </c>
      <c r="BP722" s="13">
        <f ca="1">IF($D723="Nem",$BO722,$BO722-ROUNDUP(SUM($BI$20:$BI722)*120%,IF($D$4="Forint",0,2)))</f>
        <v>0</v>
      </c>
    </row>
    <row r="723" spans="1:68" x14ac:dyDescent="0.2">
      <c r="A723" s="32">
        <v>704</v>
      </c>
      <c r="B723" s="32">
        <v>59</v>
      </c>
      <c r="C723" s="32">
        <v>8</v>
      </c>
      <c r="D723" s="32" t="str">
        <f t="shared" ca="1" si="220"/>
        <v>Nem</v>
      </c>
      <c r="E723" s="13">
        <f t="shared" ca="1" si="221"/>
        <v>0</v>
      </c>
      <c r="F723" s="13"/>
      <c r="G723" s="13"/>
      <c r="H723" s="13"/>
      <c r="I723" s="13">
        <f t="shared" ca="1" si="222"/>
        <v>0</v>
      </c>
      <c r="J723" s="13">
        <f t="shared" ca="1" si="223"/>
        <v>0</v>
      </c>
      <c r="K723" s="13">
        <f t="shared" ca="1" si="224"/>
        <v>0</v>
      </c>
      <c r="L723" s="13" t="e">
        <f ca="1">ROUNDUP(IF($D$2="Egyszeri",$E723,IF($D$2="Havi",SUM($E$20:$E$31),IF(MOD($C723,$M$1)-1=0,SUM($E$20:$E$31),0))/12*$M$1)*VLOOKUP($B723,Paraméterek!$I$28:$P$31,IF($D$2="Egyszeri",8,HLOOKUP(ROUNDUP($M$11+$M$13,0),Paraméterek!$J$26:$O$27,2))),IF($D$4="Forint",0,2))</f>
        <v>#N/A</v>
      </c>
      <c r="M723" s="13">
        <f t="shared" ca="1" si="225"/>
        <v>0</v>
      </c>
      <c r="N723" s="13">
        <f t="shared" ca="1" si="235"/>
        <v>0</v>
      </c>
      <c r="O723" s="13">
        <f ca="1">IF($D723="Igen",IF($W722&gt;=IF($D$4="Forint",Paraméterek!$J$121,Paraméterek!$K$121),0,IF($D$4="Forint",Paraméterek!$J$121,Paraméterek!$K$121)-$W722),0)</f>
        <v>0</v>
      </c>
      <c r="P723" s="13" t="e">
        <f ca="1">ROUNDUP($O723*VLOOKUP($M$4+$B723-1,Paraméterek!$H$58:$I$105,2,0)/Paraméterek!$I$56,IF($D$4="Forint",0,2))</f>
        <v>#N/A</v>
      </c>
      <c r="Q723" s="13">
        <f t="shared" ca="1" si="226"/>
        <v>0</v>
      </c>
      <c r="R723" s="33"/>
      <c r="S723" s="13" t="e">
        <f t="shared" ca="1" si="227"/>
        <v>#N/A</v>
      </c>
      <c r="T723" s="13" t="e">
        <f ca="1">ROUNDUP(($N723-$P723-$Q723+$S723)*VLOOKUP($B723,Paraméterek!$I$38:$K$39,IF($D$2="Egyszeri",3,2))/12*IF($D724="Nem",IF($M$13=0,1,$M$13),1),IF($D$4="Forint",0,2))</f>
        <v>#N/A</v>
      </c>
      <c r="U723" s="13"/>
      <c r="V723" s="13"/>
      <c r="W723" s="13" t="e">
        <f ca="1">$N723-$P723-$Q723+$S723-$T723-IF(ROUNDUP(IF(ISBLANK($V723),$U723*0,$V723)/IF($D$2="Egyszeri",VLOOKUP($B723+IF($C723=12,1,0),Paraméterek!$V$257:$W$262,2),IF($B723=1,1,VLOOKUP($B723+IF($C723=12,1,0),Paraméterek!$I$258:$T$278,HLOOKUP($M$11+1,Paraméterek!$J$256:$T$257,2)))),IF($D$4="Forint",0,2))&gt;$N723-$P723-$Q723+$S723-$T723-IF($D$4="Forint",Paraméterek!$C$216,Paraméterek!$D$216),0,ROUNDUP(IF(ISBLANK($V723),$U723*0,$V723)/IF($D$2="Egyszeri",VLOOKUP($B723+IF($C723=12,1,0),Paraméterek!$V$257:$W$262,2),IF($B723=1,1,VLOOKUP($B723+IF($C723=12,1,0),Paraméterek!$I$258:$T$278,HLOOKUP($M$11+1,Paraméterek!$J$256:$T$257,2)))),IF($D$4="Forint",0,2)))</f>
        <v>#N/A</v>
      </c>
      <c r="X723" s="13" t="e">
        <f ca="1">ROUNDDOWN($W723*IF($D$2="Egyszeri",VLOOKUP($B723+IF($C723=12,1,0),Paraméterek!$V$257:$W$262,2),VLOOKUP($B723+IF($C723=12,1,0),Paraméterek!$I$258:$T$278,HLOOKUP($M$11+1,Paraméterek!$I$256:$T$257,2))),IF($D$4="Forint",0,2))</f>
        <v>#N/A</v>
      </c>
      <c r="Z723" s="32">
        <v>704</v>
      </c>
      <c r="AA723" s="32">
        <v>59</v>
      </c>
      <c r="AB723" s="32">
        <v>8</v>
      </c>
      <c r="AC723" s="13">
        <f t="shared" ca="1" si="236"/>
        <v>0</v>
      </c>
      <c r="AD723" s="33"/>
      <c r="AE723" s="13">
        <f t="shared" ca="1" si="228"/>
        <v>0</v>
      </c>
      <c r="AF723" s="13">
        <f ca="1">ROUNDUP(($AC723+$AE723)*VLOOKUP($AA723,Paraméterek!$P$38:$Q$38,2)/12*IF($D724="Nem",IF($M$13=0,1,$M$13),1),IF($D$4="Forint",0,2))</f>
        <v>0</v>
      </c>
      <c r="AG723" s="13">
        <f ca="1">IF($D$2="Egyszeri",IF($D$7&gt;=IF($D$4="Forint",Paraméterek!$P$223,Paraméterek!$P$224),$D$7-IF($D$4="Forint",Paraméterek!$P$223,Paraméterek!$P$224),0),MIN(IF($AB723=12,AVERAGEIF($E$20:$E723,"&gt;0",$E$20:$E723)*12,0),SUM($E$20:$E$31)))</f>
        <v>0</v>
      </c>
      <c r="AH723" s="13">
        <f>IF($AA723=10,$AG723*IF($AB723=12,IF($AG723&lt;IF($D$4="Forint",Paraméterek!$L$223,Paraméterek!$L$224),0,VLOOKUP($AA723,Paraméterek!$K$226:$M$228,IF($AG723&lt;IF($D$4="Forint",Paraméterek!$M$223,Paraméterek!$M$224),2,3))),0),0)</f>
        <v>0</v>
      </c>
      <c r="AI723" s="13">
        <f ca="1">IF(AND($AA723=$M$11+1,$AB723=$M$12+1),SUMIF($AA$20:$AA$1027,$AA723,$AG$20:$AG$1027)*IF(SUMIF($AA$20:$AA$1027,$AA723,$AG$20:$AG$1027)&lt;IF($D$4="Forint",Paraméterek!$L$223,Paraméterek!$L$224),0,VLOOKUP($AA723,Paraméterek!$K$230:$M$250,IF(SUMIF($AA$20:$AA$1027,$AA723,$AG$20:$AG$1027)&lt;IF($D$4="Forint",Paraméterek!$M$223,Paraméterek!$M$224),2,3))),0)</f>
        <v>0</v>
      </c>
      <c r="AJ723" s="13">
        <f ca="1">IF(AND($AA723&gt;=5,MOD($AA723,5)=0),IF($AB723=12,VLOOKUP($AA723,Paraméterek!$O$225:$P$240,2),0),IF(OR($AA723=3,$AA723=4),IF($AB723=12,VLOOKUP($AA723,Paraméterek!$O$225:$P$240,2,0),0),0))*$AG723</f>
        <v>0</v>
      </c>
      <c r="AK723" s="13">
        <f t="shared" ca="1" si="229"/>
        <v>0</v>
      </c>
      <c r="AL723" s="13">
        <f t="shared" ca="1" si="237"/>
        <v>0</v>
      </c>
      <c r="AM723" s="13">
        <f t="shared" ca="1" si="238"/>
        <v>0</v>
      </c>
      <c r="AO723" s="32">
        <v>704</v>
      </c>
      <c r="AP723" s="32">
        <v>59</v>
      </c>
      <c r="AQ723" s="32">
        <v>8</v>
      </c>
      <c r="AR723" s="13"/>
      <c r="AS723" s="32"/>
      <c r="AT723" s="13">
        <f t="shared" ca="1" si="239"/>
        <v>0</v>
      </c>
      <c r="AU723" s="33"/>
      <c r="AV723" s="13">
        <f t="shared" ca="1" si="230"/>
        <v>0</v>
      </c>
      <c r="AW723" s="13">
        <f ca="1">ROUNDUP(($AT723+$AV723)*VLOOKUP($AP723,Paraméterek!$P$38:$Q$38,2)/12*IF($D724="Nem",IF($M$13=0,1,$M$13),1),IF($D$4="Forint",0,2))</f>
        <v>0</v>
      </c>
      <c r="AX723" s="13"/>
      <c r="AY723" s="13"/>
      <c r="AZ723" s="13">
        <f>ROUNDUP(IF(SUM($AX723:$AY723)=0,0,IF(IF(ISBLANK($AY723),$AX723,$AY723)*Paraméterek!$J$112&lt;IF($D$4="Forint",Paraméterek!$J$113,Paraméterek!$K$113),IF($D$4="Forint",Paraméterek!$J$113,Paraméterek!$K$113),IF(IF(ISBLANK($AY723),$AX723,$AY723)*Paraméterek!$J$112&gt;IF($D$4="Forint",Paraméterek!$J$114,Paraméterek!$K$114),IF($D$4="Forint",Paraméterek!$J$114,Paraméterek!$K$114),IF(ISBLANK($AY723),$AX723,$AY723)*Paraméterek!$J$112))),IF($D$4="Forint",0,2))</f>
        <v>0</v>
      </c>
      <c r="BA723" s="13">
        <f ca="1">$AT723+$AV723-$AW723-IF(ROUNDDOWN(IF(ISBLANK($AY723),$AX723,$AY723),IF($D$4="Forint",0,2))&gt;$AT723+$AV723-$AW723-IF($D$4="Forint",Paraméterek!$J$114,Paraméterek!$K$114),0,ROUNDDOWN(IF(ISBLANK($AY723),$AX723,$AY723),IF($D$4="Forint",0,2))-$AZ723)</f>
        <v>0</v>
      </c>
      <c r="BB723" s="13">
        <f t="shared" ca="1" si="231"/>
        <v>0</v>
      </c>
      <c r="BD723" s="32">
        <v>704</v>
      </c>
      <c r="BE723" s="32">
        <v>59</v>
      </c>
      <c r="BF723" s="32">
        <v>8</v>
      </c>
      <c r="BG723" s="34">
        <f t="shared" ca="1" si="240"/>
        <v>2078</v>
      </c>
      <c r="BH723" s="32" t="str">
        <f ca="1">IF(MOD(MONTH($D$14)+$BD723-1,12)=Paraméterek!$C$288,"Igen","")</f>
        <v/>
      </c>
      <c r="BI723" s="13">
        <f ca="1">IF($BH723="Igen",MIN(ROUNDDOWN((SUMIF($BG$20:$BG$1027,$BG723-1,$K$20:$K$1027)-SUMIF($BG$20:$BG$1027,$BG723-1,$I$20:$I$1027))*Paraméterek!$C$289,IF($D$4="Forint",0,2)),IF($D$4="Forint",Paraméterek!$C$285,Paraméterek!$D$285)),0)</f>
        <v>0</v>
      </c>
      <c r="BJ723" s="13">
        <f t="shared" ca="1" si="232"/>
        <v>0</v>
      </c>
      <c r="BK723" s="13">
        <f t="shared" ca="1" si="241"/>
        <v>0</v>
      </c>
      <c r="BL723" s="33"/>
      <c r="BM723" s="13">
        <f t="shared" ca="1" si="233"/>
        <v>0</v>
      </c>
      <c r="BN723" s="13">
        <f ca="1">ROUNDUP(($BK723+$BM723)*VLOOKUP($BE723,Paraméterek!$P$38:$Q$38,2)/12*IF($D724="Nem",IF($M$13=0,1,$M$13),1),IF($D$4="Forint",0,2))</f>
        <v>0</v>
      </c>
      <c r="BO723" s="13">
        <f t="shared" ca="1" si="234"/>
        <v>0</v>
      </c>
      <c r="BP723" s="13">
        <f ca="1">IF($D724="Nem",$BO723,$BO723-ROUNDUP(SUM($BI$20:$BI723)*120%,IF($D$4="Forint",0,2)))</f>
        <v>0</v>
      </c>
    </row>
    <row r="724" spans="1:68" x14ac:dyDescent="0.2">
      <c r="A724" s="32">
        <v>705</v>
      </c>
      <c r="B724" s="32">
        <v>59</v>
      </c>
      <c r="C724" s="32">
        <v>9</v>
      </c>
      <c r="D724" s="32" t="str">
        <f t="shared" ca="1" si="220"/>
        <v>Nem</v>
      </c>
      <c r="E724" s="13">
        <f t="shared" ca="1" si="221"/>
        <v>0</v>
      </c>
      <c r="F724" s="13"/>
      <c r="G724" s="13"/>
      <c r="H724" s="13"/>
      <c r="I724" s="13">
        <f t="shared" ca="1" si="222"/>
        <v>0</v>
      </c>
      <c r="J724" s="13">
        <f t="shared" ca="1" si="223"/>
        <v>0</v>
      </c>
      <c r="K724" s="13">
        <f t="shared" ca="1" si="224"/>
        <v>0</v>
      </c>
      <c r="L724" s="13" t="e">
        <f ca="1">ROUNDUP(IF($D$2="Egyszeri",$E724,IF($D$2="Havi",SUM($E$20:$E$31),IF(MOD($C724,$M$1)-1=0,SUM($E$20:$E$31),0))/12*$M$1)*VLOOKUP($B724,Paraméterek!$I$28:$P$31,IF($D$2="Egyszeri",8,HLOOKUP(ROUNDUP($M$11+$M$13,0),Paraméterek!$J$26:$O$27,2))),IF($D$4="Forint",0,2))</f>
        <v>#N/A</v>
      </c>
      <c r="M724" s="13">
        <f t="shared" ca="1" si="225"/>
        <v>0</v>
      </c>
      <c r="N724" s="13">
        <f t="shared" ca="1" si="235"/>
        <v>0</v>
      </c>
      <c r="O724" s="13">
        <f ca="1">IF($D724="Igen",IF($W723&gt;=IF($D$4="Forint",Paraméterek!$J$121,Paraméterek!$K$121),0,IF($D$4="Forint",Paraméterek!$J$121,Paraméterek!$K$121)-$W723),0)</f>
        <v>0</v>
      </c>
      <c r="P724" s="13" t="e">
        <f ca="1">ROUNDUP($O724*VLOOKUP($M$4+$B724-1,Paraméterek!$H$58:$I$105,2,0)/Paraméterek!$I$56,IF($D$4="Forint",0,2))</f>
        <v>#N/A</v>
      </c>
      <c r="Q724" s="13">
        <f t="shared" ca="1" si="226"/>
        <v>0</v>
      </c>
      <c r="R724" s="33"/>
      <c r="S724" s="13" t="e">
        <f t="shared" ca="1" si="227"/>
        <v>#N/A</v>
      </c>
      <c r="T724" s="13" t="e">
        <f ca="1">ROUNDUP(($N724-$P724-$Q724+$S724)*VLOOKUP($B724,Paraméterek!$I$38:$K$39,IF($D$2="Egyszeri",3,2))/12*IF($D725="Nem",IF($M$13=0,1,$M$13),1),IF($D$4="Forint",0,2))</f>
        <v>#N/A</v>
      </c>
      <c r="U724" s="13"/>
      <c r="V724" s="13"/>
      <c r="W724" s="13" t="e">
        <f ca="1">$N724-$P724-$Q724+$S724-$T724-IF(ROUNDUP(IF(ISBLANK($V724),$U724*0,$V724)/IF($D$2="Egyszeri",VLOOKUP($B724+IF($C724=12,1,0),Paraméterek!$V$257:$W$262,2),IF($B724=1,1,VLOOKUP($B724+IF($C724=12,1,0),Paraméterek!$I$258:$T$278,HLOOKUP($M$11+1,Paraméterek!$J$256:$T$257,2)))),IF($D$4="Forint",0,2))&gt;$N724-$P724-$Q724+$S724-$T724-IF($D$4="Forint",Paraméterek!$C$216,Paraméterek!$D$216),0,ROUNDUP(IF(ISBLANK($V724),$U724*0,$V724)/IF($D$2="Egyszeri",VLOOKUP($B724+IF($C724=12,1,0),Paraméterek!$V$257:$W$262,2),IF($B724=1,1,VLOOKUP($B724+IF($C724=12,1,0),Paraméterek!$I$258:$T$278,HLOOKUP($M$11+1,Paraméterek!$J$256:$T$257,2)))),IF($D$4="Forint",0,2)))</f>
        <v>#N/A</v>
      </c>
      <c r="X724" s="13" t="e">
        <f ca="1">ROUNDDOWN($W724*IF($D$2="Egyszeri",VLOOKUP($B724+IF($C724=12,1,0),Paraméterek!$V$257:$W$262,2),VLOOKUP($B724+IF($C724=12,1,0),Paraméterek!$I$258:$T$278,HLOOKUP($M$11+1,Paraméterek!$I$256:$T$257,2))),IF($D$4="Forint",0,2))</f>
        <v>#N/A</v>
      </c>
      <c r="Z724" s="32">
        <v>705</v>
      </c>
      <c r="AA724" s="32">
        <v>59</v>
      </c>
      <c r="AB724" s="32">
        <v>9</v>
      </c>
      <c r="AC724" s="13">
        <f t="shared" ca="1" si="236"/>
        <v>0</v>
      </c>
      <c r="AD724" s="33"/>
      <c r="AE724" s="13">
        <f t="shared" ca="1" si="228"/>
        <v>0</v>
      </c>
      <c r="AF724" s="13">
        <f ca="1">ROUNDUP(($AC724+$AE724)*VLOOKUP($AA724,Paraméterek!$P$38:$Q$38,2)/12*IF($D725="Nem",IF($M$13=0,1,$M$13),1),IF($D$4="Forint",0,2))</f>
        <v>0</v>
      </c>
      <c r="AG724" s="13">
        <f ca="1">IF($D$2="Egyszeri",IF($D$7&gt;=IF($D$4="Forint",Paraméterek!$P$223,Paraméterek!$P$224),$D$7-IF($D$4="Forint",Paraméterek!$P$223,Paraméterek!$P$224),0),MIN(IF($AB724=12,AVERAGEIF($E$20:$E724,"&gt;0",$E$20:$E724)*12,0),SUM($E$20:$E$31)))</f>
        <v>0</v>
      </c>
      <c r="AH724" s="13">
        <f>IF($AA724=10,$AG724*IF($AB724=12,IF($AG724&lt;IF($D$4="Forint",Paraméterek!$L$223,Paraméterek!$L$224),0,VLOOKUP($AA724,Paraméterek!$K$226:$M$228,IF($AG724&lt;IF($D$4="Forint",Paraméterek!$M$223,Paraméterek!$M$224),2,3))),0),0)</f>
        <v>0</v>
      </c>
      <c r="AI724" s="13">
        <f ca="1">IF(AND($AA724=$M$11+1,$AB724=$M$12+1),SUMIF($AA$20:$AA$1027,$AA724,$AG$20:$AG$1027)*IF(SUMIF($AA$20:$AA$1027,$AA724,$AG$20:$AG$1027)&lt;IF($D$4="Forint",Paraméterek!$L$223,Paraméterek!$L$224),0,VLOOKUP($AA724,Paraméterek!$K$230:$M$250,IF(SUMIF($AA$20:$AA$1027,$AA724,$AG$20:$AG$1027)&lt;IF($D$4="Forint",Paraméterek!$M$223,Paraméterek!$M$224),2,3))),0)</f>
        <v>0</v>
      </c>
      <c r="AJ724" s="13">
        <f ca="1">IF(AND($AA724&gt;=5,MOD($AA724,5)=0),IF($AB724=12,VLOOKUP($AA724,Paraméterek!$O$225:$P$240,2),0),IF(OR($AA724=3,$AA724=4),IF($AB724=12,VLOOKUP($AA724,Paraméterek!$O$225:$P$240,2,0),0),0))*$AG724</f>
        <v>0</v>
      </c>
      <c r="AK724" s="13">
        <f t="shared" ca="1" si="229"/>
        <v>0</v>
      </c>
      <c r="AL724" s="13">
        <f t="shared" ca="1" si="237"/>
        <v>0</v>
      </c>
      <c r="AM724" s="13">
        <f t="shared" ca="1" si="238"/>
        <v>0</v>
      </c>
      <c r="AO724" s="32">
        <v>705</v>
      </c>
      <c r="AP724" s="32">
        <v>59</v>
      </c>
      <c r="AQ724" s="32">
        <v>9</v>
      </c>
      <c r="AR724" s="13"/>
      <c r="AS724" s="32"/>
      <c r="AT724" s="13">
        <f t="shared" ca="1" si="239"/>
        <v>0</v>
      </c>
      <c r="AU724" s="33"/>
      <c r="AV724" s="13">
        <f t="shared" ca="1" si="230"/>
        <v>0</v>
      </c>
      <c r="AW724" s="13">
        <f ca="1">ROUNDUP(($AT724+$AV724)*VLOOKUP($AP724,Paraméterek!$P$38:$Q$38,2)/12*IF($D725="Nem",IF($M$13=0,1,$M$13),1),IF($D$4="Forint",0,2))</f>
        <v>0</v>
      </c>
      <c r="AX724" s="13"/>
      <c r="AY724" s="13"/>
      <c r="AZ724" s="13">
        <f>ROUNDUP(IF(SUM($AX724:$AY724)=0,0,IF(IF(ISBLANK($AY724),$AX724,$AY724)*Paraméterek!$J$112&lt;IF($D$4="Forint",Paraméterek!$J$113,Paraméterek!$K$113),IF($D$4="Forint",Paraméterek!$J$113,Paraméterek!$K$113),IF(IF(ISBLANK($AY724),$AX724,$AY724)*Paraméterek!$J$112&gt;IF($D$4="Forint",Paraméterek!$J$114,Paraméterek!$K$114),IF($D$4="Forint",Paraméterek!$J$114,Paraméterek!$K$114),IF(ISBLANK($AY724),$AX724,$AY724)*Paraméterek!$J$112))),IF($D$4="Forint",0,2))</f>
        <v>0</v>
      </c>
      <c r="BA724" s="13">
        <f ca="1">$AT724+$AV724-$AW724-IF(ROUNDDOWN(IF(ISBLANK($AY724),$AX724,$AY724),IF($D$4="Forint",0,2))&gt;$AT724+$AV724-$AW724-IF($D$4="Forint",Paraméterek!$J$114,Paraméterek!$K$114),0,ROUNDDOWN(IF(ISBLANK($AY724),$AX724,$AY724),IF($D$4="Forint",0,2))-$AZ724)</f>
        <v>0</v>
      </c>
      <c r="BB724" s="13">
        <f t="shared" ca="1" si="231"/>
        <v>0</v>
      </c>
      <c r="BD724" s="32">
        <v>705</v>
      </c>
      <c r="BE724" s="32">
        <v>59</v>
      </c>
      <c r="BF724" s="32">
        <v>9</v>
      </c>
      <c r="BG724" s="34">
        <f t="shared" ca="1" si="240"/>
        <v>2078</v>
      </c>
      <c r="BH724" s="32" t="str">
        <f ca="1">IF(MOD(MONTH($D$14)+$BD724-1,12)=Paraméterek!$C$288,"Igen","")</f>
        <v/>
      </c>
      <c r="BI724" s="13">
        <f ca="1">IF($BH724="Igen",MIN(ROUNDDOWN((SUMIF($BG$20:$BG$1027,$BG724-1,$K$20:$K$1027)-SUMIF($BG$20:$BG$1027,$BG724-1,$I$20:$I$1027))*Paraméterek!$C$289,IF($D$4="Forint",0,2)),IF($D$4="Forint",Paraméterek!$C$285,Paraméterek!$D$285)),0)</f>
        <v>0</v>
      </c>
      <c r="BJ724" s="13">
        <f t="shared" ca="1" si="232"/>
        <v>0</v>
      </c>
      <c r="BK724" s="13">
        <f t="shared" ca="1" si="241"/>
        <v>0</v>
      </c>
      <c r="BL724" s="33"/>
      <c r="BM724" s="13">
        <f t="shared" ca="1" si="233"/>
        <v>0</v>
      </c>
      <c r="BN724" s="13">
        <f ca="1">ROUNDUP(($BK724+$BM724)*VLOOKUP($BE724,Paraméterek!$P$38:$Q$38,2)/12*IF($D725="Nem",IF($M$13=0,1,$M$13),1),IF($D$4="Forint",0,2))</f>
        <v>0</v>
      </c>
      <c r="BO724" s="13">
        <f t="shared" ca="1" si="234"/>
        <v>0</v>
      </c>
      <c r="BP724" s="13">
        <f ca="1">IF($D725="Nem",$BO724,$BO724-ROUNDUP(SUM($BI$20:$BI724)*120%,IF($D$4="Forint",0,2)))</f>
        <v>0</v>
      </c>
    </row>
    <row r="725" spans="1:68" x14ac:dyDescent="0.2">
      <c r="A725" s="32">
        <v>706</v>
      </c>
      <c r="B725" s="32">
        <v>59</v>
      </c>
      <c r="C725" s="32">
        <v>10</v>
      </c>
      <c r="D725" s="32" t="str">
        <f t="shared" ref="D725:D788" ca="1" si="242">IF($B725&lt;$M$11+1,"Igen",IF($B725&gt;$M$11+1,"Nem",IF($C725&lt;=$M$12+IF($M$13&gt;0,1,0),"Igen","Nem")))</f>
        <v>Nem</v>
      </c>
      <c r="E725" s="13">
        <f t="shared" ref="E725:E788" ca="1" si="243">IF($D725="Igen",IF($D$2="Egyszeri",IF($A725=1,$D$7,0),ROUNDUP(IF($D$2="Havi",$D$7,IF(MOD($C725,$M$1)-1=0,$D$7,0))*(1+$D$6)^($B725-1),IF($D$4="Forint",0,2))),0)</f>
        <v>0</v>
      </c>
      <c r="F725" s="13"/>
      <c r="G725" s="13"/>
      <c r="H725" s="13"/>
      <c r="I725" s="13">
        <f t="shared" ref="I725:I788" ca="1" si="244">ROUNDUP(IF(AND($D$8="Nincs",$D$2&lt;&gt;"Egyszeri"),$E725*10%,0),IF($D$4="Forint",0,2))</f>
        <v>0</v>
      </c>
      <c r="J725" s="13">
        <f t="shared" ref="J725:J788" ca="1" si="245">IF($D725="Igen",IF($D$2="Egyszeri",IF($A725=1,$M$3,0),ROUNDUP(IF($D$2="Havi",$M$3,IF(MOD($C725,$M$1)-1=0,$M$3,0))*(1+$M$2)^($B725-1),IF($D$4="Forint",0,2))),0)</f>
        <v>0</v>
      </c>
      <c r="K725" s="13">
        <f t="shared" ref="K725:K788" ca="1" si="246">IF($D725="Igen",IF(ISBLANK($F725),$E725,$F725)+IF(ISBLANK($H725),$G725,$H725)+$I725+$J725,0)</f>
        <v>0</v>
      </c>
      <c r="L725" s="13" t="e">
        <f ca="1">ROUNDUP(IF($D$2="Egyszeri",$E725,IF($D$2="Havi",SUM($E$20:$E$31),IF(MOD($C725,$M$1)-1=0,SUM($E$20:$E$31),0))/12*$M$1)*VLOOKUP($B725,Paraméterek!$I$28:$P$31,IF($D$2="Egyszeri",8,HLOOKUP(ROUNDUP($M$11+$M$13,0),Paraméterek!$J$26:$O$27,2))),IF($D$4="Forint",0,2))</f>
        <v>#N/A</v>
      </c>
      <c r="M725" s="13">
        <f t="shared" ref="M725:M788" ca="1" si="247">IF($D725="Igen",$E725-$L725+IF(ISBLANK($H725),$G725,$H725),0)</f>
        <v>0</v>
      </c>
      <c r="N725" s="13">
        <f t="shared" ca="1" si="235"/>
        <v>0</v>
      </c>
      <c r="O725" s="13">
        <f ca="1">IF($D725="Igen",IF($W724&gt;=IF($D$4="Forint",Paraméterek!$J$121,Paraméterek!$K$121),0,IF($D$4="Forint",Paraméterek!$J$121,Paraméterek!$K$121)-$W724),0)</f>
        <v>0</v>
      </c>
      <c r="P725" s="13" t="e">
        <f ca="1">ROUNDUP($O725*VLOOKUP($M$4+$B725-1,Paraméterek!$H$58:$I$105,2,0)/Paraméterek!$I$56,IF($D$4="Forint",0,2))</f>
        <v>#N/A</v>
      </c>
      <c r="Q725" s="13">
        <f t="shared" ref="Q725:Q788" ca="1" si="248">IF($D725="Igen",ROUNDUP($M$5*(1+$M$2)^($B725-1),IF($D$4="Forint",0,2)),0)</f>
        <v>0</v>
      </c>
      <c r="R725" s="33"/>
      <c r="S725" s="13" t="e">
        <f t="shared" ref="S725:S788" ca="1" si="249">ROUNDDOWN(($N725-$P725-$Q725)*IF(ISBLANK($R725),$M$6,$R725)*IF($D726="Nem",IF($M$13=0,1,$M$13),1),IF($D$4="Forint",0,2))</f>
        <v>#N/A</v>
      </c>
      <c r="T725" s="13" t="e">
        <f ca="1">ROUNDUP(($N725-$P725-$Q725+$S725)*VLOOKUP($B725,Paraméterek!$I$38:$K$39,IF($D$2="Egyszeri",3,2))/12*IF($D726="Nem",IF($M$13=0,1,$M$13),1),IF($D$4="Forint",0,2))</f>
        <v>#N/A</v>
      </c>
      <c r="U725" s="13"/>
      <c r="V725" s="13"/>
      <c r="W725" s="13" t="e">
        <f ca="1">$N725-$P725-$Q725+$S725-$T725-IF(ROUNDUP(IF(ISBLANK($V725),$U725*0,$V725)/IF($D$2="Egyszeri",VLOOKUP($B725+IF($C725=12,1,0),Paraméterek!$V$257:$W$262,2),IF($B725=1,1,VLOOKUP($B725+IF($C725=12,1,0),Paraméterek!$I$258:$T$278,HLOOKUP($M$11+1,Paraméterek!$J$256:$T$257,2)))),IF($D$4="Forint",0,2))&gt;$N725-$P725-$Q725+$S725-$T725-IF($D$4="Forint",Paraméterek!$C$216,Paraméterek!$D$216),0,ROUNDUP(IF(ISBLANK($V725),$U725*0,$V725)/IF($D$2="Egyszeri",VLOOKUP($B725+IF($C725=12,1,0),Paraméterek!$V$257:$W$262,2),IF($B725=1,1,VLOOKUP($B725+IF($C725=12,1,0),Paraméterek!$I$258:$T$278,HLOOKUP($M$11+1,Paraméterek!$J$256:$T$257,2)))),IF($D$4="Forint",0,2)))</f>
        <v>#N/A</v>
      </c>
      <c r="X725" s="13" t="e">
        <f ca="1">ROUNDDOWN($W725*IF($D$2="Egyszeri",VLOOKUP($B725+IF($C725=12,1,0),Paraméterek!$V$257:$W$262,2),VLOOKUP($B725+IF($C725=12,1,0),Paraméterek!$I$258:$T$278,HLOOKUP($M$11+1,Paraméterek!$I$256:$T$257,2))),IF($D$4="Forint",0,2))</f>
        <v>#N/A</v>
      </c>
      <c r="Z725" s="32">
        <v>706</v>
      </c>
      <c r="AA725" s="32">
        <v>59</v>
      </c>
      <c r="AB725" s="32">
        <v>10</v>
      </c>
      <c r="AC725" s="13">
        <f t="shared" ca="1" si="236"/>
        <v>0</v>
      </c>
      <c r="AD725" s="33"/>
      <c r="AE725" s="13">
        <f t="shared" ref="AE725:AE788" ca="1" si="250">ROUNDDOWN($AC725*IF(ISBLANK($AD725),$M$8,$AD725)*IF($D726="Nem",IF($M$13=0,1,$M$13),1),IF($D$4="Forint",0,2))</f>
        <v>0</v>
      </c>
      <c r="AF725" s="13">
        <f ca="1">ROUNDUP(($AC725+$AE725)*VLOOKUP($AA725,Paraméterek!$P$38:$Q$38,2)/12*IF($D726="Nem",IF($M$13=0,1,$M$13),1),IF($D$4="Forint",0,2))</f>
        <v>0</v>
      </c>
      <c r="AG725" s="13">
        <f ca="1">IF($D$2="Egyszeri",IF($D$7&gt;=IF($D$4="Forint",Paraméterek!$P$223,Paraméterek!$P$224),$D$7-IF($D$4="Forint",Paraméterek!$P$223,Paraméterek!$P$224),0),MIN(IF($AB725=12,AVERAGEIF($E$20:$E725,"&gt;0",$E$20:$E725)*12,0),SUM($E$20:$E$31)))</f>
        <v>0</v>
      </c>
      <c r="AH725" s="13">
        <f>IF($AA725=10,$AG725*IF($AB725=12,IF($AG725&lt;IF($D$4="Forint",Paraméterek!$L$223,Paraméterek!$L$224),0,VLOOKUP($AA725,Paraméterek!$K$226:$M$228,IF($AG725&lt;IF($D$4="Forint",Paraméterek!$M$223,Paraméterek!$M$224),2,3))),0),0)</f>
        <v>0</v>
      </c>
      <c r="AI725" s="13">
        <f ca="1">IF(AND($AA725=$M$11+1,$AB725=$M$12+1),SUMIF($AA$20:$AA$1027,$AA725,$AG$20:$AG$1027)*IF(SUMIF($AA$20:$AA$1027,$AA725,$AG$20:$AG$1027)&lt;IF($D$4="Forint",Paraméterek!$L$223,Paraméterek!$L$224),0,VLOOKUP($AA725,Paraméterek!$K$230:$M$250,IF(SUMIF($AA$20:$AA$1027,$AA725,$AG$20:$AG$1027)&lt;IF($D$4="Forint",Paraméterek!$M$223,Paraméterek!$M$224),2,3))),0)</f>
        <v>0</v>
      </c>
      <c r="AJ725" s="13">
        <f ca="1">IF(AND($AA725&gt;=5,MOD($AA725,5)=0),IF($AB725=12,VLOOKUP($AA725,Paraméterek!$O$225:$P$240,2),0),IF(OR($AA725=3,$AA725=4),IF($AB725=12,VLOOKUP($AA725,Paraméterek!$O$225:$P$240,2,0),0),0))*$AG725</f>
        <v>0</v>
      </c>
      <c r="AK725" s="13">
        <f t="shared" ref="AK725:AK788" ca="1" si="251">ROUNDDOWN(IF($D$2="Egyszeri",$AJ725,$AH725+$AI725),IF($D$4="Forint",0,2))</f>
        <v>0</v>
      </c>
      <c r="AL725" s="13">
        <f t="shared" ca="1" si="237"/>
        <v>0</v>
      </c>
      <c r="AM725" s="13">
        <f t="shared" ca="1" si="238"/>
        <v>0</v>
      </c>
      <c r="AO725" s="32">
        <v>706</v>
      </c>
      <c r="AP725" s="32">
        <v>59</v>
      </c>
      <c r="AQ725" s="32">
        <v>10</v>
      </c>
      <c r="AR725" s="13"/>
      <c r="AS725" s="32"/>
      <c r="AT725" s="13">
        <f t="shared" ca="1" si="239"/>
        <v>0</v>
      </c>
      <c r="AU725" s="33"/>
      <c r="AV725" s="13">
        <f t="shared" ref="AV725:AV788" ca="1" si="252">ROUNDDOWN($AT725*IF(ISBLANK($AU725),$M$7,$AU725)*IF($D726="Nem",IF($M$13=0,1,$M$13),1),IF($D$4="Forint",0,2))</f>
        <v>0</v>
      </c>
      <c r="AW725" s="13">
        <f ca="1">ROUNDUP(($AT725+$AV725)*VLOOKUP($AP725,Paraméterek!$P$38:$Q$38,2)/12*IF($D726="Nem",IF($M$13=0,1,$M$13),1),IF($D$4="Forint",0,2))</f>
        <v>0</v>
      </c>
      <c r="AX725" s="13"/>
      <c r="AY725" s="13"/>
      <c r="AZ725" s="13">
        <f>ROUNDUP(IF(SUM($AX725:$AY725)=0,0,IF(IF(ISBLANK($AY725),$AX725,$AY725)*Paraméterek!$J$112&lt;IF($D$4="Forint",Paraméterek!$J$113,Paraméterek!$K$113),IF($D$4="Forint",Paraméterek!$J$113,Paraméterek!$K$113),IF(IF(ISBLANK($AY725),$AX725,$AY725)*Paraméterek!$J$112&gt;IF($D$4="Forint",Paraméterek!$J$114,Paraméterek!$K$114),IF($D$4="Forint",Paraméterek!$J$114,Paraméterek!$K$114),IF(ISBLANK($AY725),$AX725,$AY725)*Paraméterek!$J$112))),IF($D$4="Forint",0,2))</f>
        <v>0</v>
      </c>
      <c r="BA725" s="13">
        <f ca="1">$AT725+$AV725-$AW725-IF(ROUNDDOWN(IF(ISBLANK($AY725),$AX725,$AY725),IF($D$4="Forint",0,2))&gt;$AT725+$AV725-$AW725-IF($D$4="Forint",Paraméterek!$J$114,Paraméterek!$K$114),0,ROUNDDOWN(IF(ISBLANK($AY725),$AX725,$AY725),IF($D$4="Forint",0,2))-$AZ725)</f>
        <v>0</v>
      </c>
      <c r="BB725" s="13">
        <f t="shared" ref="BB725:BB788" ca="1" si="253">$BA725</f>
        <v>0</v>
      </c>
      <c r="BD725" s="32">
        <v>706</v>
      </c>
      <c r="BE725" s="32">
        <v>59</v>
      </c>
      <c r="BF725" s="32">
        <v>10</v>
      </c>
      <c r="BG725" s="34">
        <f t="shared" ca="1" si="240"/>
        <v>2078</v>
      </c>
      <c r="BH725" s="32" t="str">
        <f ca="1">IF(MOD(MONTH($D$14)+$BD725-1,12)=Paraméterek!$C$288,"Igen","")</f>
        <v/>
      </c>
      <c r="BI725" s="13">
        <f ca="1">IF($BH725="Igen",MIN(ROUNDDOWN((SUMIF($BG$20:$BG$1027,$BG725-1,$K$20:$K$1027)-SUMIF($BG$20:$BG$1027,$BG725-1,$I$20:$I$1027))*Paraméterek!$C$289,IF($D$4="Forint",0,2)),IF($D$4="Forint",Paraméterek!$C$285,Paraméterek!$D$285)),0)</f>
        <v>0</v>
      </c>
      <c r="BJ725" s="13">
        <f t="shared" ref="BJ725:BJ788" ca="1" si="254">IF(AND($D725="Igen",$BH725="Igen"),$BI725,0)</f>
        <v>0</v>
      </c>
      <c r="BK725" s="13">
        <f t="shared" ca="1" si="241"/>
        <v>0</v>
      </c>
      <c r="BL725" s="33"/>
      <c r="BM725" s="13">
        <f t="shared" ref="BM725:BM788" ca="1" si="255">ROUNDDOWN($BK725*IF(ISBLANK($BL725),$M$9,$BL725)*IF($D726="Nem",IF($M$13=0,1,$M$13),1),IF($D$4="Forint",0,2))</f>
        <v>0</v>
      </c>
      <c r="BN725" s="13">
        <f ca="1">ROUNDUP(($BK725+$BM725)*VLOOKUP($BE725,Paraméterek!$P$38:$Q$38,2)/12*IF($D726="Nem",IF($M$13=0,1,$M$13),1),IF($D$4="Forint",0,2))</f>
        <v>0</v>
      </c>
      <c r="BO725" s="13">
        <f t="shared" ref="BO725:BO788" ca="1" si="256">$BK725+$BM725-$BN725</f>
        <v>0</v>
      </c>
      <c r="BP725" s="13">
        <f ca="1">IF($D726="Nem",$BO725,$BO725-ROUNDUP(SUM($BI$20:$BI725)*120%,IF($D$4="Forint",0,2)))</f>
        <v>0</v>
      </c>
    </row>
    <row r="726" spans="1:68" x14ac:dyDescent="0.2">
      <c r="A726" s="32">
        <v>707</v>
      </c>
      <c r="B726" s="32">
        <v>59</v>
      </c>
      <c r="C726" s="32">
        <v>11</v>
      </c>
      <c r="D726" s="32" t="str">
        <f t="shared" ca="1" si="242"/>
        <v>Nem</v>
      </c>
      <c r="E726" s="13">
        <f t="shared" ca="1" si="243"/>
        <v>0</v>
      </c>
      <c r="F726" s="13"/>
      <c r="G726" s="13"/>
      <c r="H726" s="13"/>
      <c r="I726" s="13">
        <f t="shared" ca="1" si="244"/>
        <v>0</v>
      </c>
      <c r="J726" s="13">
        <f t="shared" ca="1" si="245"/>
        <v>0</v>
      </c>
      <c r="K726" s="13">
        <f t="shared" ca="1" si="246"/>
        <v>0</v>
      </c>
      <c r="L726" s="13" t="e">
        <f ca="1">ROUNDUP(IF($D$2="Egyszeri",$E726,IF($D$2="Havi",SUM($E$20:$E$31),IF(MOD($C726,$M$1)-1=0,SUM($E$20:$E$31),0))/12*$M$1)*VLOOKUP($B726,Paraméterek!$I$28:$P$31,IF($D$2="Egyszeri",8,HLOOKUP(ROUNDUP($M$11+$M$13,0),Paraméterek!$J$26:$O$27,2))),IF($D$4="Forint",0,2))</f>
        <v>#N/A</v>
      </c>
      <c r="M726" s="13">
        <f t="shared" ca="1" si="247"/>
        <v>0</v>
      </c>
      <c r="N726" s="13">
        <f t="shared" ref="N726:N789" ca="1" si="257">IF($D726="Igen",$M726+$W725,0)</f>
        <v>0</v>
      </c>
      <c r="O726" s="13">
        <f ca="1">IF($D726="Igen",IF($W725&gt;=IF($D$4="Forint",Paraméterek!$J$121,Paraméterek!$K$121),0,IF($D$4="Forint",Paraméterek!$J$121,Paraméterek!$K$121)-$W725),0)</f>
        <v>0</v>
      </c>
      <c r="P726" s="13" t="e">
        <f ca="1">ROUNDUP($O726*VLOOKUP($M$4+$B726-1,Paraméterek!$H$58:$I$105,2,0)/Paraméterek!$I$56,IF($D$4="Forint",0,2))</f>
        <v>#N/A</v>
      </c>
      <c r="Q726" s="13">
        <f t="shared" ca="1" si="248"/>
        <v>0</v>
      </c>
      <c r="R726" s="33"/>
      <c r="S726" s="13" t="e">
        <f t="shared" ca="1" si="249"/>
        <v>#N/A</v>
      </c>
      <c r="T726" s="13" t="e">
        <f ca="1">ROUNDUP(($N726-$P726-$Q726+$S726)*VLOOKUP($B726,Paraméterek!$I$38:$K$39,IF($D$2="Egyszeri",3,2))/12*IF($D727="Nem",IF($M$13=0,1,$M$13),1),IF($D$4="Forint",0,2))</f>
        <v>#N/A</v>
      </c>
      <c r="U726" s="13"/>
      <c r="V726" s="13"/>
      <c r="W726" s="13" t="e">
        <f ca="1">$N726-$P726-$Q726+$S726-$T726-IF(ROUNDUP(IF(ISBLANK($V726),$U726*0,$V726)/IF($D$2="Egyszeri",VLOOKUP($B726+IF($C726=12,1,0),Paraméterek!$V$257:$W$262,2),IF($B726=1,1,VLOOKUP($B726+IF($C726=12,1,0),Paraméterek!$I$258:$T$278,HLOOKUP($M$11+1,Paraméterek!$J$256:$T$257,2)))),IF($D$4="Forint",0,2))&gt;$N726-$P726-$Q726+$S726-$T726-IF($D$4="Forint",Paraméterek!$C$216,Paraméterek!$D$216),0,ROUNDUP(IF(ISBLANK($V726),$U726*0,$V726)/IF($D$2="Egyszeri",VLOOKUP($B726+IF($C726=12,1,0),Paraméterek!$V$257:$W$262,2),IF($B726=1,1,VLOOKUP($B726+IF($C726=12,1,0),Paraméterek!$I$258:$T$278,HLOOKUP($M$11+1,Paraméterek!$J$256:$T$257,2)))),IF($D$4="Forint",0,2)))</f>
        <v>#N/A</v>
      </c>
      <c r="X726" s="13" t="e">
        <f ca="1">ROUNDDOWN($W726*IF($D$2="Egyszeri",VLOOKUP($B726+IF($C726=12,1,0),Paraméterek!$V$257:$W$262,2),VLOOKUP($B726+IF($C726=12,1,0),Paraméterek!$I$258:$T$278,HLOOKUP($M$11+1,Paraméterek!$I$256:$T$257,2))),IF($D$4="Forint",0,2))</f>
        <v>#N/A</v>
      </c>
      <c r="Z726" s="32">
        <v>707</v>
      </c>
      <c r="AA726" s="32">
        <v>59</v>
      </c>
      <c r="AB726" s="32">
        <v>11</v>
      </c>
      <c r="AC726" s="13">
        <f t="shared" ref="AC726:AC789" ca="1" si="258">IF($D726="Igen",$AL725,0)</f>
        <v>0</v>
      </c>
      <c r="AD726" s="33"/>
      <c r="AE726" s="13">
        <f t="shared" ca="1" si="250"/>
        <v>0</v>
      </c>
      <c r="AF726" s="13">
        <f ca="1">ROUNDUP(($AC726+$AE726)*VLOOKUP($AA726,Paraméterek!$P$38:$Q$38,2)/12*IF($D727="Nem",IF($M$13=0,1,$M$13),1),IF($D$4="Forint",0,2))</f>
        <v>0</v>
      </c>
      <c r="AG726" s="13">
        <f ca="1">IF($D$2="Egyszeri",IF($D$7&gt;=IF($D$4="Forint",Paraméterek!$P$223,Paraméterek!$P$224),$D$7-IF($D$4="Forint",Paraméterek!$P$223,Paraméterek!$P$224),0),MIN(IF($AB726=12,AVERAGEIF($E$20:$E726,"&gt;0",$E$20:$E726)*12,0),SUM($E$20:$E$31)))</f>
        <v>0</v>
      </c>
      <c r="AH726" s="13">
        <f>IF($AA726=10,$AG726*IF($AB726=12,IF($AG726&lt;IF($D$4="Forint",Paraméterek!$L$223,Paraméterek!$L$224),0,VLOOKUP($AA726,Paraméterek!$K$226:$M$228,IF($AG726&lt;IF($D$4="Forint",Paraméterek!$M$223,Paraméterek!$M$224),2,3))),0),0)</f>
        <v>0</v>
      </c>
      <c r="AI726" s="13">
        <f ca="1">IF(AND($AA726=$M$11+1,$AB726=$M$12+1),SUMIF($AA$20:$AA$1027,$AA726,$AG$20:$AG$1027)*IF(SUMIF($AA$20:$AA$1027,$AA726,$AG$20:$AG$1027)&lt;IF($D$4="Forint",Paraméterek!$L$223,Paraméterek!$L$224),0,VLOOKUP($AA726,Paraméterek!$K$230:$M$250,IF(SUMIF($AA$20:$AA$1027,$AA726,$AG$20:$AG$1027)&lt;IF($D$4="Forint",Paraméterek!$M$223,Paraméterek!$M$224),2,3))),0)</f>
        <v>0</v>
      </c>
      <c r="AJ726" s="13">
        <f ca="1">IF(AND($AA726&gt;=5,MOD($AA726,5)=0),IF($AB726=12,VLOOKUP($AA726,Paraméterek!$O$225:$P$240,2),0),IF(OR($AA726=3,$AA726=4),IF($AB726=12,VLOOKUP($AA726,Paraméterek!$O$225:$P$240,2,0),0),0))*$AG726</f>
        <v>0</v>
      </c>
      <c r="AK726" s="13">
        <f t="shared" ca="1" si="251"/>
        <v>0</v>
      </c>
      <c r="AL726" s="13">
        <f t="shared" ref="AL726:AL789" ca="1" si="259">$AC726+$AE726-$AF726+$AK726</f>
        <v>0</v>
      </c>
      <c r="AM726" s="13">
        <f t="shared" ref="AM726:AM789" ca="1" si="260">$AL726</f>
        <v>0</v>
      </c>
      <c r="AO726" s="32">
        <v>707</v>
      </c>
      <c r="AP726" s="32">
        <v>59</v>
      </c>
      <c r="AQ726" s="32">
        <v>11</v>
      </c>
      <c r="AR726" s="13"/>
      <c r="AS726" s="32"/>
      <c r="AT726" s="13">
        <f t="shared" ref="AT726:AT789" ca="1" si="261">IF($D726="Igen",IF(ISBLANK($AS726),$AR726,$AS726)+$BA725,0)</f>
        <v>0</v>
      </c>
      <c r="AU726" s="33"/>
      <c r="AV726" s="13">
        <f t="shared" ca="1" si="252"/>
        <v>0</v>
      </c>
      <c r="AW726" s="13">
        <f ca="1">ROUNDUP(($AT726+$AV726)*VLOOKUP($AP726,Paraméterek!$P$38:$Q$38,2)/12*IF($D727="Nem",IF($M$13=0,1,$M$13),1),IF($D$4="Forint",0,2))</f>
        <v>0</v>
      </c>
      <c r="AX726" s="13"/>
      <c r="AY726" s="13"/>
      <c r="AZ726" s="13">
        <f>ROUNDUP(IF(SUM($AX726:$AY726)=0,0,IF(IF(ISBLANK($AY726),$AX726,$AY726)*Paraméterek!$J$112&lt;IF($D$4="Forint",Paraméterek!$J$113,Paraméterek!$K$113),IF($D$4="Forint",Paraméterek!$J$113,Paraméterek!$K$113),IF(IF(ISBLANK($AY726),$AX726,$AY726)*Paraméterek!$J$112&gt;IF($D$4="Forint",Paraméterek!$J$114,Paraméterek!$K$114),IF($D$4="Forint",Paraméterek!$J$114,Paraméterek!$K$114),IF(ISBLANK($AY726),$AX726,$AY726)*Paraméterek!$J$112))),IF($D$4="Forint",0,2))</f>
        <v>0</v>
      </c>
      <c r="BA726" s="13">
        <f ca="1">$AT726+$AV726-$AW726-IF(ROUNDDOWN(IF(ISBLANK($AY726),$AX726,$AY726),IF($D$4="Forint",0,2))&gt;$AT726+$AV726-$AW726-IF($D$4="Forint",Paraméterek!$J$114,Paraméterek!$K$114),0,ROUNDDOWN(IF(ISBLANK($AY726),$AX726,$AY726),IF($D$4="Forint",0,2))-$AZ726)</f>
        <v>0</v>
      </c>
      <c r="BB726" s="13">
        <f t="shared" ca="1" si="253"/>
        <v>0</v>
      </c>
      <c r="BD726" s="32">
        <v>707</v>
      </c>
      <c r="BE726" s="32">
        <v>59</v>
      </c>
      <c r="BF726" s="32">
        <v>11</v>
      </c>
      <c r="BG726" s="34">
        <f t="shared" ref="BG726:BG789" ca="1" si="262">$BG725+IF(MOD(MONTH($D$14)+$BD726-1,12)=1,1,0)</f>
        <v>2078</v>
      </c>
      <c r="BH726" s="32" t="str">
        <f ca="1">IF(MOD(MONTH($D$14)+$BD726-1,12)=Paraméterek!$C$288,"Igen","")</f>
        <v/>
      </c>
      <c r="BI726" s="13">
        <f ca="1">IF($BH726="Igen",MIN(ROUNDDOWN((SUMIF($BG$20:$BG$1027,$BG726-1,$K$20:$K$1027)-SUMIF($BG$20:$BG$1027,$BG726-1,$I$20:$I$1027))*Paraméterek!$C$289,IF($D$4="Forint",0,2)),IF($D$4="Forint",Paraméterek!$C$285,Paraméterek!$D$285)),0)</f>
        <v>0</v>
      </c>
      <c r="BJ726" s="13">
        <f t="shared" ca="1" si="254"/>
        <v>0</v>
      </c>
      <c r="BK726" s="13">
        <f t="shared" ref="BK726:BK789" ca="1" si="263">$BJ726+IF($D726="Igen",$BO725,0)</f>
        <v>0</v>
      </c>
      <c r="BL726" s="33"/>
      <c r="BM726" s="13">
        <f t="shared" ca="1" si="255"/>
        <v>0</v>
      </c>
      <c r="BN726" s="13">
        <f ca="1">ROUNDUP(($BK726+$BM726)*VLOOKUP($BE726,Paraméterek!$P$38:$Q$38,2)/12*IF($D727="Nem",IF($M$13=0,1,$M$13),1),IF($D$4="Forint",0,2))</f>
        <v>0</v>
      </c>
      <c r="BO726" s="13">
        <f t="shared" ca="1" si="256"/>
        <v>0</v>
      </c>
      <c r="BP726" s="13">
        <f ca="1">IF($D727="Nem",$BO726,$BO726-ROUNDUP(SUM($BI$20:$BI726)*120%,IF($D$4="Forint",0,2)))</f>
        <v>0</v>
      </c>
    </row>
    <row r="727" spans="1:68" x14ac:dyDescent="0.2">
      <c r="A727" s="32">
        <v>708</v>
      </c>
      <c r="B727" s="32">
        <v>59</v>
      </c>
      <c r="C727" s="32">
        <v>12</v>
      </c>
      <c r="D727" s="32" t="str">
        <f t="shared" ca="1" si="242"/>
        <v>Nem</v>
      </c>
      <c r="E727" s="13">
        <f t="shared" ca="1" si="243"/>
        <v>0</v>
      </c>
      <c r="F727" s="13"/>
      <c r="G727" s="13"/>
      <c r="H727" s="13"/>
      <c r="I727" s="13">
        <f t="shared" ca="1" si="244"/>
        <v>0</v>
      </c>
      <c r="J727" s="13">
        <f t="shared" ca="1" si="245"/>
        <v>0</v>
      </c>
      <c r="K727" s="13">
        <f t="shared" ca="1" si="246"/>
        <v>0</v>
      </c>
      <c r="L727" s="13" t="e">
        <f ca="1">ROUNDUP(IF($D$2="Egyszeri",$E727,IF($D$2="Havi",SUM($E$20:$E$31),IF(MOD($C727,$M$1)-1=0,SUM($E$20:$E$31),0))/12*$M$1)*VLOOKUP($B727,Paraméterek!$I$28:$P$31,IF($D$2="Egyszeri",8,HLOOKUP(ROUNDUP($M$11+$M$13,0),Paraméterek!$J$26:$O$27,2))),IF($D$4="Forint",0,2))</f>
        <v>#N/A</v>
      </c>
      <c r="M727" s="13">
        <f t="shared" ca="1" si="247"/>
        <v>0</v>
      </c>
      <c r="N727" s="13">
        <f t="shared" ca="1" si="257"/>
        <v>0</v>
      </c>
      <c r="O727" s="13">
        <f ca="1">IF($D727="Igen",IF($W726&gt;=IF($D$4="Forint",Paraméterek!$J$121,Paraméterek!$K$121),0,IF($D$4="Forint",Paraméterek!$J$121,Paraméterek!$K$121)-$W726),0)</f>
        <v>0</v>
      </c>
      <c r="P727" s="13" t="e">
        <f ca="1">ROUNDUP($O727*VLOOKUP($M$4+$B727-1,Paraméterek!$H$58:$I$105,2,0)/Paraméterek!$I$56,IF($D$4="Forint",0,2))</f>
        <v>#N/A</v>
      </c>
      <c r="Q727" s="13">
        <f t="shared" ca="1" si="248"/>
        <v>0</v>
      </c>
      <c r="R727" s="33"/>
      <c r="S727" s="13" t="e">
        <f t="shared" ca="1" si="249"/>
        <v>#N/A</v>
      </c>
      <c r="T727" s="13" t="e">
        <f ca="1">ROUNDUP(($N727-$P727-$Q727+$S727)*VLOOKUP($B727,Paraméterek!$I$38:$K$39,IF($D$2="Egyszeri",3,2))/12*IF($D728="Nem",IF($M$13=0,1,$M$13),1),IF($D$4="Forint",0,2))</f>
        <v>#N/A</v>
      </c>
      <c r="U727" s="13">
        <f>Tranzakciók!$F$90</f>
        <v>0</v>
      </c>
      <c r="V727" s="13"/>
      <c r="W727" s="13" t="e">
        <f ca="1">$N727-$P727-$Q727+$S727-$T727-IF(ROUNDUP(IF(ISBLANK($V727),$U727*0,$V727)/IF($D$2="Egyszeri",VLOOKUP($B727+IF($C727=12,1,0),Paraméterek!$V$257:$W$262,2),IF($B727=1,1,VLOOKUP($B727+IF($C727=12,1,0),Paraméterek!$I$258:$T$278,HLOOKUP($M$11+1,Paraméterek!$J$256:$T$257,2)))),IF($D$4="Forint",0,2))&gt;$N727-$P727-$Q727+$S727-$T727-IF($D$4="Forint",Paraméterek!$C$216,Paraméterek!$D$216),0,ROUNDUP(IF(ISBLANK($V727),$U727*0,$V727)/IF($D$2="Egyszeri",VLOOKUP($B727+IF($C727=12,1,0),Paraméterek!$V$257:$W$262,2),IF($B727=1,1,VLOOKUP($B727+IF($C727=12,1,0),Paraméterek!$I$258:$T$278,HLOOKUP($M$11+1,Paraméterek!$J$256:$T$257,2)))),IF($D$4="Forint",0,2)))</f>
        <v>#N/A</v>
      </c>
      <c r="X727" s="13" t="e">
        <f ca="1">ROUNDDOWN($W727*IF($D$2="Egyszeri",VLOOKUP($B727+IF($C727=12,1,0),Paraméterek!$V$257:$W$262,2),VLOOKUP($B727+IF($C727=12,1,0),Paraméterek!$I$258:$T$278,HLOOKUP($M$11+1,Paraméterek!$I$256:$T$257,2))),IF($D$4="Forint",0,2))</f>
        <v>#N/A</v>
      </c>
      <c r="Z727" s="32">
        <v>708</v>
      </c>
      <c r="AA727" s="32">
        <v>59</v>
      </c>
      <c r="AB727" s="32">
        <v>12</v>
      </c>
      <c r="AC727" s="13">
        <f t="shared" ca="1" si="258"/>
        <v>0</v>
      </c>
      <c r="AD727" s="33"/>
      <c r="AE727" s="13">
        <f t="shared" ca="1" si="250"/>
        <v>0</v>
      </c>
      <c r="AF727" s="13">
        <f ca="1">ROUNDUP(($AC727+$AE727)*VLOOKUP($AA727,Paraméterek!$P$38:$Q$38,2)/12*IF($D728="Nem",IF($M$13=0,1,$M$13),1),IF($D$4="Forint",0,2))</f>
        <v>0</v>
      </c>
      <c r="AG727" s="13" t="e">
        <f ca="1">IF($D$2="Egyszeri",IF($D$7&gt;=IF($D$4="Forint",Paraméterek!$P$223,Paraméterek!$P$224),$D$7-IF($D$4="Forint",Paraméterek!$P$223,Paraméterek!$P$224),0),MIN(IF($AB727=12,AVERAGEIF($E$20:$E727,"&gt;0",$E$20:$E727)*12,0),SUM($E$20:$E$31)))</f>
        <v>#DIV/0!</v>
      </c>
      <c r="AH727" s="13">
        <f>IF($AA727=10,$AG727*IF($AB727=12,IF($AG727&lt;IF($D$4="Forint",Paraméterek!$L$223,Paraméterek!$L$224),0,VLOOKUP($AA727,Paraméterek!$K$226:$M$228,IF($AG727&lt;IF($D$4="Forint",Paraméterek!$M$223,Paraméterek!$M$224),2,3))),0),0)</f>
        <v>0</v>
      </c>
      <c r="AI727" s="13">
        <f ca="1">IF(AND($AA727=$M$11+1,$AB727=$M$12+1),SUMIF($AA$20:$AA$1027,$AA727,$AG$20:$AG$1027)*IF(SUMIF($AA$20:$AA$1027,$AA727,$AG$20:$AG$1027)&lt;IF($D$4="Forint",Paraméterek!$L$223,Paraméterek!$L$224),0,VLOOKUP($AA727,Paraméterek!$K$230:$M$250,IF(SUMIF($AA$20:$AA$1027,$AA727,$AG$20:$AG$1027)&lt;IF($D$4="Forint",Paraméterek!$M$223,Paraméterek!$M$224),2,3))),0)</f>
        <v>0</v>
      </c>
      <c r="AJ727" s="13" t="e">
        <f ca="1">IF(AND($AA727&gt;=5,MOD($AA727,5)=0),IF($AB727=12,VLOOKUP($AA727,Paraméterek!$O$225:$P$240,2),0),IF(OR($AA727=3,$AA727=4),IF($AB727=12,VLOOKUP($AA727,Paraméterek!$O$225:$P$240,2,0),0),0))*$AG727</f>
        <v>#DIV/0!</v>
      </c>
      <c r="AK727" s="13">
        <f t="shared" ca="1" si="251"/>
        <v>0</v>
      </c>
      <c r="AL727" s="13">
        <f t="shared" ca="1" si="259"/>
        <v>0</v>
      </c>
      <c r="AM727" s="13">
        <f t="shared" ca="1" si="260"/>
        <v>0</v>
      </c>
      <c r="AO727" s="32">
        <v>708</v>
      </c>
      <c r="AP727" s="32">
        <v>59</v>
      </c>
      <c r="AQ727" s="32">
        <v>12</v>
      </c>
      <c r="AR727" s="13"/>
      <c r="AS727" s="32"/>
      <c r="AT727" s="13">
        <f t="shared" ca="1" si="261"/>
        <v>0</v>
      </c>
      <c r="AU727" s="33"/>
      <c r="AV727" s="13">
        <f t="shared" ca="1" si="252"/>
        <v>0</v>
      </c>
      <c r="AW727" s="13">
        <f ca="1">ROUNDUP(($AT727+$AV727)*VLOOKUP($AP727,Paraméterek!$P$38:$Q$38,2)/12*IF($D728="Nem",IF($M$13=0,1,$M$13),1),IF($D$4="Forint",0,2))</f>
        <v>0</v>
      </c>
      <c r="AX727" s="13">
        <f>Tranzakciók!$M$90</f>
        <v>0</v>
      </c>
      <c r="AY727" s="13"/>
      <c r="AZ727" s="13">
        <f>ROUNDUP(IF(SUM($AX727:$AY727)=0,0,IF(IF(ISBLANK($AY727),$AX727,$AY727)*Paraméterek!$J$112&lt;IF($D$4="Forint",Paraméterek!$J$113,Paraméterek!$K$113),IF($D$4="Forint",Paraméterek!$J$113,Paraméterek!$K$113),IF(IF(ISBLANK($AY727),$AX727,$AY727)*Paraméterek!$J$112&gt;IF($D$4="Forint",Paraméterek!$J$114,Paraméterek!$K$114),IF($D$4="Forint",Paraméterek!$J$114,Paraméterek!$K$114),IF(ISBLANK($AY727),$AX727,$AY727)*Paraméterek!$J$112))),IF($D$4="Forint",0,2))</f>
        <v>0</v>
      </c>
      <c r="BA727" s="13">
        <f ca="1">$AT727+$AV727-$AW727-IF(ROUNDDOWN(IF(ISBLANK($AY727),$AX727,$AY727),IF($D$4="Forint",0,2))&gt;$AT727+$AV727-$AW727-IF($D$4="Forint",Paraméterek!$J$114,Paraméterek!$K$114),0,ROUNDDOWN(IF(ISBLANK($AY727),$AX727,$AY727),IF($D$4="Forint",0,2))-$AZ727)</f>
        <v>0</v>
      </c>
      <c r="BB727" s="13">
        <f t="shared" ca="1" si="253"/>
        <v>0</v>
      </c>
      <c r="BD727" s="32">
        <v>708</v>
      </c>
      <c r="BE727" s="32">
        <v>59</v>
      </c>
      <c r="BF727" s="32">
        <v>12</v>
      </c>
      <c r="BG727" s="34">
        <f t="shared" ca="1" si="262"/>
        <v>2078</v>
      </c>
      <c r="BH727" s="32" t="str">
        <f ca="1">IF(MOD(MONTH($D$14)+$BD727-1,12)=Paraméterek!$C$288,"Igen","")</f>
        <v/>
      </c>
      <c r="BI727" s="13">
        <f ca="1">IF($BH727="Igen",MIN(ROUNDDOWN((SUMIF($BG$20:$BG$1027,$BG727-1,$K$20:$K$1027)-SUMIF($BG$20:$BG$1027,$BG727-1,$I$20:$I$1027))*Paraméterek!$C$289,IF($D$4="Forint",0,2)),IF($D$4="Forint",Paraméterek!$C$285,Paraméterek!$D$285)),0)</f>
        <v>0</v>
      </c>
      <c r="BJ727" s="13">
        <f t="shared" ca="1" si="254"/>
        <v>0</v>
      </c>
      <c r="BK727" s="13">
        <f t="shared" ca="1" si="263"/>
        <v>0</v>
      </c>
      <c r="BL727" s="33"/>
      <c r="BM727" s="13">
        <f t="shared" ca="1" si="255"/>
        <v>0</v>
      </c>
      <c r="BN727" s="13">
        <f ca="1">ROUNDUP(($BK727+$BM727)*VLOOKUP($BE727,Paraméterek!$P$38:$Q$38,2)/12*IF($D728="Nem",IF($M$13=0,1,$M$13),1),IF($D$4="Forint",0,2))</f>
        <v>0</v>
      </c>
      <c r="BO727" s="13">
        <f t="shared" ca="1" si="256"/>
        <v>0</v>
      </c>
      <c r="BP727" s="13">
        <f ca="1">IF($D728="Nem",$BO727,$BO727-ROUNDUP(SUM($BI$20:$BI727)*120%,IF($D$4="Forint",0,2)))</f>
        <v>0</v>
      </c>
    </row>
    <row r="728" spans="1:68" x14ac:dyDescent="0.2">
      <c r="A728" s="32">
        <v>709</v>
      </c>
      <c r="B728" s="32">
        <v>60</v>
      </c>
      <c r="C728" s="32">
        <v>1</v>
      </c>
      <c r="D728" s="32" t="str">
        <f t="shared" ca="1" si="242"/>
        <v>Nem</v>
      </c>
      <c r="E728" s="13">
        <f t="shared" ca="1" si="243"/>
        <v>0</v>
      </c>
      <c r="F728" s="13"/>
      <c r="G728" s="13">
        <f>Tranzakciók!$D$91</f>
        <v>0</v>
      </c>
      <c r="H728" s="13"/>
      <c r="I728" s="13">
        <f t="shared" ca="1" si="244"/>
        <v>0</v>
      </c>
      <c r="J728" s="13">
        <f t="shared" ca="1" si="245"/>
        <v>0</v>
      </c>
      <c r="K728" s="13">
        <f t="shared" ca="1" si="246"/>
        <v>0</v>
      </c>
      <c r="L728" s="13" t="e">
        <f ca="1">ROUNDUP(IF($D$2="Egyszeri",$E728,IF($D$2="Havi",SUM($E$20:$E$31),IF(MOD($C728,$M$1)-1=0,SUM($E$20:$E$31),0))/12*$M$1)*VLOOKUP($B728,Paraméterek!$I$28:$P$31,IF($D$2="Egyszeri",8,HLOOKUP(ROUNDUP($M$11+$M$13,0),Paraméterek!$J$26:$O$27,2))),IF($D$4="Forint",0,2))</f>
        <v>#N/A</v>
      </c>
      <c r="M728" s="13">
        <f t="shared" ca="1" si="247"/>
        <v>0</v>
      </c>
      <c r="N728" s="13">
        <f t="shared" ca="1" si="257"/>
        <v>0</v>
      </c>
      <c r="O728" s="13">
        <f ca="1">IF($D728="Igen",IF($W727&gt;=IF($D$4="Forint",Paraméterek!$J$121,Paraméterek!$K$121),0,IF($D$4="Forint",Paraméterek!$J$121,Paraméterek!$K$121)-$W727),0)</f>
        <v>0</v>
      </c>
      <c r="P728" s="13" t="e">
        <f ca="1">ROUNDUP($O728*VLOOKUP($M$4+$B728-1,Paraméterek!$H$58:$I$105,2,0)/Paraméterek!$I$56,IF($D$4="Forint",0,2))</f>
        <v>#N/A</v>
      </c>
      <c r="Q728" s="13">
        <f t="shared" ca="1" si="248"/>
        <v>0</v>
      </c>
      <c r="R728" s="33"/>
      <c r="S728" s="13" t="e">
        <f t="shared" ca="1" si="249"/>
        <v>#N/A</v>
      </c>
      <c r="T728" s="13" t="e">
        <f ca="1">ROUNDUP(($N728-$P728-$Q728+$S728)*VLOOKUP($B728,Paraméterek!$I$38:$K$39,IF($D$2="Egyszeri",3,2))/12*IF($D729="Nem",IF($M$13=0,1,$M$13),1),IF($D$4="Forint",0,2))</f>
        <v>#N/A</v>
      </c>
      <c r="U728" s="13"/>
      <c r="V728" s="13"/>
      <c r="W728" s="13" t="e">
        <f ca="1">$N728-$P728-$Q728+$S728-$T728-IF(ROUNDUP(IF(ISBLANK($V728),$U728*0,$V728)/IF($D$2="Egyszeri",VLOOKUP($B728+IF($C728=12,1,0),Paraméterek!$V$257:$W$262,2),IF($B728=1,1,VLOOKUP($B728+IF($C728=12,1,0),Paraméterek!$I$258:$T$278,HLOOKUP($M$11+1,Paraméterek!$J$256:$T$257,2)))),IF($D$4="Forint",0,2))&gt;$N728-$P728-$Q728+$S728-$T728-IF($D$4="Forint",Paraméterek!$C$216,Paraméterek!$D$216),0,ROUNDUP(IF(ISBLANK($V728),$U728*0,$V728)/IF($D$2="Egyszeri",VLOOKUP($B728+IF($C728=12,1,0),Paraméterek!$V$257:$W$262,2),IF($B728=1,1,VLOOKUP($B728+IF($C728=12,1,0),Paraméterek!$I$258:$T$278,HLOOKUP($M$11+1,Paraméterek!$J$256:$T$257,2)))),IF($D$4="Forint",0,2)))</f>
        <v>#N/A</v>
      </c>
      <c r="X728" s="13" t="e">
        <f ca="1">ROUNDDOWN($W728*IF($D$2="Egyszeri",VLOOKUP($B728+IF($C728=12,1,0),Paraméterek!$V$257:$W$262,2),VLOOKUP($B728+IF($C728=12,1,0),Paraméterek!$I$258:$T$278,HLOOKUP($M$11+1,Paraméterek!$I$256:$T$257,2))),IF($D$4="Forint",0,2))</f>
        <v>#N/A</v>
      </c>
      <c r="Z728" s="32">
        <v>709</v>
      </c>
      <c r="AA728" s="32">
        <v>60</v>
      </c>
      <c r="AB728" s="32">
        <v>1</v>
      </c>
      <c r="AC728" s="13">
        <f t="shared" ca="1" si="258"/>
        <v>0</v>
      </c>
      <c r="AD728" s="33"/>
      <c r="AE728" s="13">
        <f t="shared" ca="1" si="250"/>
        <v>0</v>
      </c>
      <c r="AF728" s="13">
        <f ca="1">ROUNDUP(($AC728+$AE728)*VLOOKUP($AA728,Paraméterek!$P$38:$Q$38,2)/12*IF($D729="Nem",IF($M$13=0,1,$M$13),1),IF($D$4="Forint",0,2))</f>
        <v>0</v>
      </c>
      <c r="AG728" s="13">
        <f ca="1">IF($D$2="Egyszeri",IF($D$7&gt;=IF($D$4="Forint",Paraméterek!$P$223,Paraméterek!$P$224),$D$7-IF($D$4="Forint",Paraméterek!$P$223,Paraméterek!$P$224),0),MIN(IF($AB728=12,AVERAGEIF($E$20:$E728,"&gt;0",$E$20:$E728)*12,0),SUM($E$20:$E$31)))</f>
        <v>0</v>
      </c>
      <c r="AH728" s="13">
        <f>IF($AA728=10,$AG728*IF($AB728=12,IF($AG728&lt;IF($D$4="Forint",Paraméterek!$L$223,Paraméterek!$L$224),0,VLOOKUP($AA728,Paraméterek!$K$226:$M$228,IF($AG728&lt;IF($D$4="Forint",Paraméterek!$M$223,Paraméterek!$M$224),2,3))),0),0)</f>
        <v>0</v>
      </c>
      <c r="AI728" s="13">
        <f ca="1">IF(AND($AA728=$M$11+1,$AB728=$M$12+1),SUMIF($AA$20:$AA$1027,$AA728,$AG$20:$AG$1027)*IF(SUMIF($AA$20:$AA$1027,$AA728,$AG$20:$AG$1027)&lt;IF($D$4="Forint",Paraméterek!$L$223,Paraméterek!$L$224),0,VLOOKUP($AA728,Paraméterek!$K$230:$M$250,IF(SUMIF($AA$20:$AA$1027,$AA728,$AG$20:$AG$1027)&lt;IF($D$4="Forint",Paraméterek!$M$223,Paraméterek!$M$224),2,3))),0)</f>
        <v>0</v>
      </c>
      <c r="AJ728" s="13">
        <f ca="1">IF(AND($AA728&gt;=5,MOD($AA728,5)=0),IF($AB728=12,VLOOKUP($AA728,Paraméterek!$O$225:$P$240,2),0),IF(OR($AA728=3,$AA728=4),IF($AB728=12,VLOOKUP($AA728,Paraméterek!$O$225:$P$240,2,0),0),0))*$AG728</f>
        <v>0</v>
      </c>
      <c r="AK728" s="13">
        <f t="shared" ca="1" si="251"/>
        <v>0</v>
      </c>
      <c r="AL728" s="13">
        <f t="shared" ca="1" si="259"/>
        <v>0</v>
      </c>
      <c r="AM728" s="13">
        <f t="shared" ca="1" si="260"/>
        <v>0</v>
      </c>
      <c r="AO728" s="32">
        <v>709</v>
      </c>
      <c r="AP728" s="32">
        <v>60</v>
      </c>
      <c r="AQ728" s="32">
        <v>1</v>
      </c>
      <c r="AR728" s="13">
        <f>Tranzakciók!$K$91</f>
        <v>0</v>
      </c>
      <c r="AS728" s="32"/>
      <c r="AT728" s="13">
        <f t="shared" ca="1" si="261"/>
        <v>0</v>
      </c>
      <c r="AU728" s="33"/>
      <c r="AV728" s="13">
        <f t="shared" ca="1" si="252"/>
        <v>0</v>
      </c>
      <c r="AW728" s="13">
        <f ca="1">ROUNDUP(($AT728+$AV728)*VLOOKUP($AP728,Paraméterek!$P$38:$Q$38,2)/12*IF($D729="Nem",IF($M$13=0,1,$M$13),1),IF($D$4="Forint",0,2))</f>
        <v>0</v>
      </c>
      <c r="AX728" s="13"/>
      <c r="AY728" s="13"/>
      <c r="AZ728" s="13">
        <f>ROUNDUP(IF(SUM($AX728:$AY728)=0,0,IF(IF(ISBLANK($AY728),$AX728,$AY728)*Paraméterek!$J$112&lt;IF($D$4="Forint",Paraméterek!$J$113,Paraméterek!$K$113),IF($D$4="Forint",Paraméterek!$J$113,Paraméterek!$K$113),IF(IF(ISBLANK($AY728),$AX728,$AY728)*Paraméterek!$J$112&gt;IF($D$4="Forint",Paraméterek!$J$114,Paraméterek!$K$114),IF($D$4="Forint",Paraméterek!$J$114,Paraméterek!$K$114),IF(ISBLANK($AY728),$AX728,$AY728)*Paraméterek!$J$112))),IF($D$4="Forint",0,2))</f>
        <v>0</v>
      </c>
      <c r="BA728" s="13">
        <f ca="1">$AT728+$AV728-$AW728-IF(ROUNDDOWN(IF(ISBLANK($AY728),$AX728,$AY728),IF($D$4="Forint",0,2))&gt;$AT728+$AV728-$AW728-IF($D$4="Forint",Paraméterek!$J$114,Paraméterek!$K$114),0,ROUNDDOWN(IF(ISBLANK($AY728),$AX728,$AY728),IF($D$4="Forint",0,2))-$AZ728)</f>
        <v>0</v>
      </c>
      <c r="BB728" s="13">
        <f t="shared" ca="1" si="253"/>
        <v>0</v>
      </c>
      <c r="BD728" s="32">
        <v>709</v>
      </c>
      <c r="BE728" s="32">
        <v>60</v>
      </c>
      <c r="BF728" s="32">
        <v>1</v>
      </c>
      <c r="BG728" s="34">
        <f t="shared" ca="1" si="262"/>
        <v>2078</v>
      </c>
      <c r="BH728" s="32" t="str">
        <f ca="1">IF(MOD(MONTH($D$14)+$BD728-1,12)=Paraméterek!$C$288,"Igen","")</f>
        <v/>
      </c>
      <c r="BI728" s="13">
        <f ca="1">IF($BH728="Igen",MIN(ROUNDDOWN((SUMIF($BG$20:$BG$1027,$BG728-1,$K$20:$K$1027)-SUMIF($BG$20:$BG$1027,$BG728-1,$I$20:$I$1027))*Paraméterek!$C$289,IF($D$4="Forint",0,2)),IF($D$4="Forint",Paraméterek!$C$285,Paraméterek!$D$285)),0)</f>
        <v>0</v>
      </c>
      <c r="BJ728" s="13">
        <f t="shared" ca="1" si="254"/>
        <v>0</v>
      </c>
      <c r="BK728" s="13">
        <f t="shared" ca="1" si="263"/>
        <v>0</v>
      </c>
      <c r="BL728" s="33"/>
      <c r="BM728" s="13">
        <f t="shared" ca="1" si="255"/>
        <v>0</v>
      </c>
      <c r="BN728" s="13">
        <f ca="1">ROUNDUP(($BK728+$BM728)*VLOOKUP($BE728,Paraméterek!$P$38:$Q$38,2)/12*IF($D729="Nem",IF($M$13=0,1,$M$13),1),IF($D$4="Forint",0,2))</f>
        <v>0</v>
      </c>
      <c r="BO728" s="13">
        <f t="shared" ca="1" si="256"/>
        <v>0</v>
      </c>
      <c r="BP728" s="13">
        <f ca="1">IF($D729="Nem",$BO728,$BO728-ROUNDUP(SUM($BI$20:$BI728)*120%,IF($D$4="Forint",0,2)))</f>
        <v>0</v>
      </c>
    </row>
    <row r="729" spans="1:68" x14ac:dyDescent="0.2">
      <c r="A729" s="32">
        <v>710</v>
      </c>
      <c r="B729" s="32">
        <v>60</v>
      </c>
      <c r="C729" s="32">
        <v>2</v>
      </c>
      <c r="D729" s="32" t="str">
        <f t="shared" ca="1" si="242"/>
        <v>Nem</v>
      </c>
      <c r="E729" s="13">
        <f t="shared" ca="1" si="243"/>
        <v>0</v>
      </c>
      <c r="F729" s="13"/>
      <c r="G729" s="13"/>
      <c r="H729" s="13"/>
      <c r="I729" s="13">
        <f t="shared" ca="1" si="244"/>
        <v>0</v>
      </c>
      <c r="J729" s="13">
        <f t="shared" ca="1" si="245"/>
        <v>0</v>
      </c>
      <c r="K729" s="13">
        <f t="shared" ca="1" si="246"/>
        <v>0</v>
      </c>
      <c r="L729" s="13" t="e">
        <f ca="1">ROUNDUP(IF($D$2="Egyszeri",$E729,IF($D$2="Havi",SUM($E$20:$E$31),IF(MOD($C729,$M$1)-1=0,SUM($E$20:$E$31),0))/12*$M$1)*VLOOKUP($B729,Paraméterek!$I$28:$P$31,IF($D$2="Egyszeri",8,HLOOKUP(ROUNDUP($M$11+$M$13,0),Paraméterek!$J$26:$O$27,2))),IF($D$4="Forint",0,2))</f>
        <v>#N/A</v>
      </c>
      <c r="M729" s="13">
        <f t="shared" ca="1" si="247"/>
        <v>0</v>
      </c>
      <c r="N729" s="13">
        <f t="shared" ca="1" si="257"/>
        <v>0</v>
      </c>
      <c r="O729" s="13">
        <f ca="1">IF($D729="Igen",IF($W728&gt;=IF($D$4="Forint",Paraméterek!$J$121,Paraméterek!$K$121),0,IF($D$4="Forint",Paraméterek!$J$121,Paraméterek!$K$121)-$W728),0)</f>
        <v>0</v>
      </c>
      <c r="P729" s="13" t="e">
        <f ca="1">ROUNDUP($O729*VLOOKUP($M$4+$B729-1,Paraméterek!$H$58:$I$105,2,0)/Paraméterek!$I$56,IF($D$4="Forint",0,2))</f>
        <v>#N/A</v>
      </c>
      <c r="Q729" s="13">
        <f t="shared" ca="1" si="248"/>
        <v>0</v>
      </c>
      <c r="R729" s="33"/>
      <c r="S729" s="13" t="e">
        <f t="shared" ca="1" si="249"/>
        <v>#N/A</v>
      </c>
      <c r="T729" s="13" t="e">
        <f ca="1">ROUNDUP(($N729-$P729-$Q729+$S729)*VLOOKUP($B729,Paraméterek!$I$38:$K$39,IF($D$2="Egyszeri",3,2))/12*IF($D730="Nem",IF($M$13=0,1,$M$13),1),IF($D$4="Forint",0,2))</f>
        <v>#N/A</v>
      </c>
      <c r="U729" s="13"/>
      <c r="V729" s="13"/>
      <c r="W729" s="13" t="e">
        <f ca="1">$N729-$P729-$Q729+$S729-$T729-IF(ROUNDUP(IF(ISBLANK($V729),$U729*0,$V729)/IF($D$2="Egyszeri",VLOOKUP($B729+IF($C729=12,1,0),Paraméterek!$V$257:$W$262,2),IF($B729=1,1,VLOOKUP($B729+IF($C729=12,1,0),Paraméterek!$I$258:$T$278,HLOOKUP($M$11+1,Paraméterek!$J$256:$T$257,2)))),IF($D$4="Forint",0,2))&gt;$N729-$P729-$Q729+$S729-$T729-IF($D$4="Forint",Paraméterek!$C$216,Paraméterek!$D$216),0,ROUNDUP(IF(ISBLANK($V729),$U729*0,$V729)/IF($D$2="Egyszeri",VLOOKUP($B729+IF($C729=12,1,0),Paraméterek!$V$257:$W$262,2),IF($B729=1,1,VLOOKUP($B729+IF($C729=12,1,0),Paraméterek!$I$258:$T$278,HLOOKUP($M$11+1,Paraméterek!$J$256:$T$257,2)))),IF($D$4="Forint",0,2)))</f>
        <v>#N/A</v>
      </c>
      <c r="X729" s="13" t="e">
        <f ca="1">ROUNDDOWN($W729*IF($D$2="Egyszeri",VLOOKUP($B729+IF($C729=12,1,0),Paraméterek!$V$257:$W$262,2),VLOOKUP($B729+IF($C729=12,1,0),Paraméterek!$I$258:$T$278,HLOOKUP($M$11+1,Paraméterek!$I$256:$T$257,2))),IF($D$4="Forint",0,2))</f>
        <v>#N/A</v>
      </c>
      <c r="Z729" s="32">
        <v>710</v>
      </c>
      <c r="AA729" s="32">
        <v>60</v>
      </c>
      <c r="AB729" s="32">
        <v>2</v>
      </c>
      <c r="AC729" s="13">
        <f t="shared" ca="1" si="258"/>
        <v>0</v>
      </c>
      <c r="AD729" s="33"/>
      <c r="AE729" s="13">
        <f t="shared" ca="1" si="250"/>
        <v>0</v>
      </c>
      <c r="AF729" s="13">
        <f ca="1">ROUNDUP(($AC729+$AE729)*VLOOKUP($AA729,Paraméterek!$P$38:$Q$38,2)/12*IF($D730="Nem",IF($M$13=0,1,$M$13),1),IF($D$4="Forint",0,2))</f>
        <v>0</v>
      </c>
      <c r="AG729" s="13">
        <f ca="1">IF($D$2="Egyszeri",IF($D$7&gt;=IF($D$4="Forint",Paraméterek!$P$223,Paraméterek!$P$224),$D$7-IF($D$4="Forint",Paraméterek!$P$223,Paraméterek!$P$224),0),MIN(IF($AB729=12,AVERAGEIF($E$20:$E729,"&gt;0",$E$20:$E729)*12,0),SUM($E$20:$E$31)))</f>
        <v>0</v>
      </c>
      <c r="AH729" s="13">
        <f>IF($AA729=10,$AG729*IF($AB729=12,IF($AG729&lt;IF($D$4="Forint",Paraméterek!$L$223,Paraméterek!$L$224),0,VLOOKUP($AA729,Paraméterek!$K$226:$M$228,IF($AG729&lt;IF($D$4="Forint",Paraméterek!$M$223,Paraméterek!$M$224),2,3))),0),0)</f>
        <v>0</v>
      </c>
      <c r="AI729" s="13">
        <f ca="1">IF(AND($AA729=$M$11+1,$AB729=$M$12+1),SUMIF($AA$20:$AA$1027,$AA729,$AG$20:$AG$1027)*IF(SUMIF($AA$20:$AA$1027,$AA729,$AG$20:$AG$1027)&lt;IF($D$4="Forint",Paraméterek!$L$223,Paraméterek!$L$224),0,VLOOKUP($AA729,Paraméterek!$K$230:$M$250,IF(SUMIF($AA$20:$AA$1027,$AA729,$AG$20:$AG$1027)&lt;IF($D$4="Forint",Paraméterek!$M$223,Paraméterek!$M$224),2,3))),0)</f>
        <v>0</v>
      </c>
      <c r="AJ729" s="13">
        <f ca="1">IF(AND($AA729&gt;=5,MOD($AA729,5)=0),IF($AB729=12,VLOOKUP($AA729,Paraméterek!$O$225:$P$240,2),0),IF(OR($AA729=3,$AA729=4),IF($AB729=12,VLOOKUP($AA729,Paraméterek!$O$225:$P$240,2,0),0),0))*$AG729</f>
        <v>0</v>
      </c>
      <c r="AK729" s="13">
        <f t="shared" ca="1" si="251"/>
        <v>0</v>
      </c>
      <c r="AL729" s="13">
        <f t="shared" ca="1" si="259"/>
        <v>0</v>
      </c>
      <c r="AM729" s="13">
        <f t="shared" ca="1" si="260"/>
        <v>0</v>
      </c>
      <c r="AO729" s="32">
        <v>710</v>
      </c>
      <c r="AP729" s="32">
        <v>60</v>
      </c>
      <c r="AQ729" s="32">
        <v>2</v>
      </c>
      <c r="AR729" s="13"/>
      <c r="AS729" s="32"/>
      <c r="AT729" s="13">
        <f t="shared" ca="1" si="261"/>
        <v>0</v>
      </c>
      <c r="AU729" s="33"/>
      <c r="AV729" s="13">
        <f t="shared" ca="1" si="252"/>
        <v>0</v>
      </c>
      <c r="AW729" s="13">
        <f ca="1">ROUNDUP(($AT729+$AV729)*VLOOKUP($AP729,Paraméterek!$P$38:$Q$38,2)/12*IF($D730="Nem",IF($M$13=0,1,$M$13),1),IF($D$4="Forint",0,2))</f>
        <v>0</v>
      </c>
      <c r="AX729" s="13"/>
      <c r="AY729" s="13"/>
      <c r="AZ729" s="13">
        <f>ROUNDUP(IF(SUM($AX729:$AY729)=0,0,IF(IF(ISBLANK($AY729),$AX729,$AY729)*Paraméterek!$J$112&lt;IF($D$4="Forint",Paraméterek!$J$113,Paraméterek!$K$113),IF($D$4="Forint",Paraméterek!$J$113,Paraméterek!$K$113),IF(IF(ISBLANK($AY729),$AX729,$AY729)*Paraméterek!$J$112&gt;IF($D$4="Forint",Paraméterek!$J$114,Paraméterek!$K$114),IF($D$4="Forint",Paraméterek!$J$114,Paraméterek!$K$114),IF(ISBLANK($AY729),$AX729,$AY729)*Paraméterek!$J$112))),IF($D$4="Forint",0,2))</f>
        <v>0</v>
      </c>
      <c r="BA729" s="13">
        <f ca="1">$AT729+$AV729-$AW729-IF(ROUNDDOWN(IF(ISBLANK($AY729),$AX729,$AY729),IF($D$4="Forint",0,2))&gt;$AT729+$AV729-$AW729-IF($D$4="Forint",Paraméterek!$J$114,Paraméterek!$K$114),0,ROUNDDOWN(IF(ISBLANK($AY729),$AX729,$AY729),IF($D$4="Forint",0,2))-$AZ729)</f>
        <v>0</v>
      </c>
      <c r="BB729" s="13">
        <f t="shared" ca="1" si="253"/>
        <v>0</v>
      </c>
      <c r="BD729" s="32">
        <v>710</v>
      </c>
      <c r="BE729" s="32">
        <v>60</v>
      </c>
      <c r="BF729" s="32">
        <v>2</v>
      </c>
      <c r="BG729" s="34">
        <f t="shared" ca="1" si="262"/>
        <v>2078</v>
      </c>
      <c r="BH729" s="32" t="str">
        <f ca="1">IF(MOD(MONTH($D$14)+$BD729-1,12)=Paraméterek!$C$288,"Igen","")</f>
        <v>Igen</v>
      </c>
      <c r="BI729" s="13">
        <f ca="1">IF($BH729="Igen",MIN(ROUNDDOWN((SUMIF($BG$20:$BG$1027,$BG729-1,$K$20:$K$1027)-SUMIF($BG$20:$BG$1027,$BG729-1,$I$20:$I$1027))*Paraméterek!$C$289,IF($D$4="Forint",0,2)),IF($D$4="Forint",Paraméterek!$C$285,Paraméterek!$D$285)),0)</f>
        <v>0</v>
      </c>
      <c r="BJ729" s="13">
        <f t="shared" ca="1" si="254"/>
        <v>0</v>
      </c>
      <c r="BK729" s="13">
        <f t="shared" ca="1" si="263"/>
        <v>0</v>
      </c>
      <c r="BL729" s="33"/>
      <c r="BM729" s="13">
        <f t="shared" ca="1" si="255"/>
        <v>0</v>
      </c>
      <c r="BN729" s="13">
        <f ca="1">ROUNDUP(($BK729+$BM729)*VLOOKUP($BE729,Paraméterek!$P$38:$Q$38,2)/12*IF($D730="Nem",IF($M$13=0,1,$M$13),1),IF($D$4="Forint",0,2))</f>
        <v>0</v>
      </c>
      <c r="BO729" s="13">
        <f t="shared" ca="1" si="256"/>
        <v>0</v>
      </c>
      <c r="BP729" s="13">
        <f ca="1">IF($D730="Nem",$BO729,$BO729-ROUNDUP(SUM($BI$20:$BI729)*120%,IF($D$4="Forint",0,2)))</f>
        <v>0</v>
      </c>
    </row>
    <row r="730" spans="1:68" x14ac:dyDescent="0.2">
      <c r="A730" s="32">
        <v>711</v>
      </c>
      <c r="B730" s="32">
        <v>60</v>
      </c>
      <c r="C730" s="32">
        <v>3</v>
      </c>
      <c r="D730" s="32" t="str">
        <f t="shared" ca="1" si="242"/>
        <v>Nem</v>
      </c>
      <c r="E730" s="13">
        <f t="shared" ca="1" si="243"/>
        <v>0</v>
      </c>
      <c r="F730" s="13"/>
      <c r="G730" s="13"/>
      <c r="H730" s="13"/>
      <c r="I730" s="13">
        <f t="shared" ca="1" si="244"/>
        <v>0</v>
      </c>
      <c r="J730" s="13">
        <f t="shared" ca="1" si="245"/>
        <v>0</v>
      </c>
      <c r="K730" s="13">
        <f t="shared" ca="1" si="246"/>
        <v>0</v>
      </c>
      <c r="L730" s="13" t="e">
        <f ca="1">ROUNDUP(IF($D$2="Egyszeri",$E730,IF($D$2="Havi",SUM($E$20:$E$31),IF(MOD($C730,$M$1)-1=0,SUM($E$20:$E$31),0))/12*$M$1)*VLOOKUP($B730,Paraméterek!$I$28:$P$31,IF($D$2="Egyszeri",8,HLOOKUP(ROUNDUP($M$11+$M$13,0),Paraméterek!$J$26:$O$27,2))),IF($D$4="Forint",0,2))</f>
        <v>#N/A</v>
      </c>
      <c r="M730" s="13">
        <f t="shared" ca="1" si="247"/>
        <v>0</v>
      </c>
      <c r="N730" s="13">
        <f t="shared" ca="1" si="257"/>
        <v>0</v>
      </c>
      <c r="O730" s="13">
        <f ca="1">IF($D730="Igen",IF($W729&gt;=IF($D$4="Forint",Paraméterek!$J$121,Paraméterek!$K$121),0,IF($D$4="Forint",Paraméterek!$J$121,Paraméterek!$K$121)-$W729),0)</f>
        <v>0</v>
      </c>
      <c r="P730" s="13" t="e">
        <f ca="1">ROUNDUP($O730*VLOOKUP($M$4+$B730-1,Paraméterek!$H$58:$I$105,2,0)/Paraméterek!$I$56,IF($D$4="Forint",0,2))</f>
        <v>#N/A</v>
      </c>
      <c r="Q730" s="13">
        <f t="shared" ca="1" si="248"/>
        <v>0</v>
      </c>
      <c r="R730" s="33"/>
      <c r="S730" s="13" t="e">
        <f t="shared" ca="1" si="249"/>
        <v>#N/A</v>
      </c>
      <c r="T730" s="13" t="e">
        <f ca="1">ROUNDUP(($N730-$P730-$Q730+$S730)*VLOOKUP($B730,Paraméterek!$I$38:$K$39,IF($D$2="Egyszeri",3,2))/12*IF($D731="Nem",IF($M$13=0,1,$M$13),1),IF($D$4="Forint",0,2))</f>
        <v>#N/A</v>
      </c>
      <c r="U730" s="13"/>
      <c r="V730" s="13"/>
      <c r="W730" s="13" t="e">
        <f ca="1">$N730-$P730-$Q730+$S730-$T730-IF(ROUNDUP(IF(ISBLANK($V730),$U730*0,$V730)/IF($D$2="Egyszeri",VLOOKUP($B730+IF($C730=12,1,0),Paraméterek!$V$257:$W$262,2),IF($B730=1,1,VLOOKUP($B730+IF($C730=12,1,0),Paraméterek!$I$258:$T$278,HLOOKUP($M$11+1,Paraméterek!$J$256:$T$257,2)))),IF($D$4="Forint",0,2))&gt;$N730-$P730-$Q730+$S730-$T730-IF($D$4="Forint",Paraméterek!$C$216,Paraméterek!$D$216),0,ROUNDUP(IF(ISBLANK($V730),$U730*0,$V730)/IF($D$2="Egyszeri",VLOOKUP($B730+IF($C730=12,1,0),Paraméterek!$V$257:$W$262,2),IF($B730=1,1,VLOOKUP($B730+IF($C730=12,1,0),Paraméterek!$I$258:$T$278,HLOOKUP($M$11+1,Paraméterek!$J$256:$T$257,2)))),IF($D$4="Forint",0,2)))</f>
        <v>#N/A</v>
      </c>
      <c r="X730" s="13" t="e">
        <f ca="1">ROUNDDOWN($W730*IF($D$2="Egyszeri",VLOOKUP($B730+IF($C730=12,1,0),Paraméterek!$V$257:$W$262,2),VLOOKUP($B730+IF($C730=12,1,0),Paraméterek!$I$258:$T$278,HLOOKUP($M$11+1,Paraméterek!$I$256:$T$257,2))),IF($D$4="Forint",0,2))</f>
        <v>#N/A</v>
      </c>
      <c r="Z730" s="32">
        <v>711</v>
      </c>
      <c r="AA730" s="32">
        <v>60</v>
      </c>
      <c r="AB730" s="32">
        <v>3</v>
      </c>
      <c r="AC730" s="13">
        <f t="shared" ca="1" si="258"/>
        <v>0</v>
      </c>
      <c r="AD730" s="33"/>
      <c r="AE730" s="13">
        <f t="shared" ca="1" si="250"/>
        <v>0</v>
      </c>
      <c r="AF730" s="13">
        <f ca="1">ROUNDUP(($AC730+$AE730)*VLOOKUP($AA730,Paraméterek!$P$38:$Q$38,2)/12*IF($D731="Nem",IF($M$13=0,1,$M$13),1),IF($D$4="Forint",0,2))</f>
        <v>0</v>
      </c>
      <c r="AG730" s="13">
        <f ca="1">IF($D$2="Egyszeri",IF($D$7&gt;=IF($D$4="Forint",Paraméterek!$P$223,Paraméterek!$P$224),$D$7-IF($D$4="Forint",Paraméterek!$P$223,Paraméterek!$P$224),0),MIN(IF($AB730=12,AVERAGEIF($E$20:$E730,"&gt;0",$E$20:$E730)*12,0),SUM($E$20:$E$31)))</f>
        <v>0</v>
      </c>
      <c r="AH730" s="13">
        <f>IF($AA730=10,$AG730*IF($AB730=12,IF($AG730&lt;IF($D$4="Forint",Paraméterek!$L$223,Paraméterek!$L$224),0,VLOOKUP($AA730,Paraméterek!$K$226:$M$228,IF($AG730&lt;IF($D$4="Forint",Paraméterek!$M$223,Paraméterek!$M$224),2,3))),0),0)</f>
        <v>0</v>
      </c>
      <c r="AI730" s="13">
        <f ca="1">IF(AND($AA730=$M$11+1,$AB730=$M$12+1),SUMIF($AA$20:$AA$1027,$AA730,$AG$20:$AG$1027)*IF(SUMIF($AA$20:$AA$1027,$AA730,$AG$20:$AG$1027)&lt;IF($D$4="Forint",Paraméterek!$L$223,Paraméterek!$L$224),0,VLOOKUP($AA730,Paraméterek!$K$230:$M$250,IF(SUMIF($AA$20:$AA$1027,$AA730,$AG$20:$AG$1027)&lt;IF($D$4="Forint",Paraméterek!$M$223,Paraméterek!$M$224),2,3))),0)</f>
        <v>0</v>
      </c>
      <c r="AJ730" s="13">
        <f ca="1">IF(AND($AA730&gt;=5,MOD($AA730,5)=0),IF($AB730=12,VLOOKUP($AA730,Paraméterek!$O$225:$P$240,2),0),IF(OR($AA730=3,$AA730=4),IF($AB730=12,VLOOKUP($AA730,Paraméterek!$O$225:$P$240,2,0),0),0))*$AG730</f>
        <v>0</v>
      </c>
      <c r="AK730" s="13">
        <f t="shared" ca="1" si="251"/>
        <v>0</v>
      </c>
      <c r="AL730" s="13">
        <f t="shared" ca="1" si="259"/>
        <v>0</v>
      </c>
      <c r="AM730" s="13">
        <f t="shared" ca="1" si="260"/>
        <v>0</v>
      </c>
      <c r="AO730" s="32">
        <v>711</v>
      </c>
      <c r="AP730" s="32">
        <v>60</v>
      </c>
      <c r="AQ730" s="32">
        <v>3</v>
      </c>
      <c r="AR730" s="13"/>
      <c r="AS730" s="32"/>
      <c r="AT730" s="13">
        <f t="shared" ca="1" si="261"/>
        <v>0</v>
      </c>
      <c r="AU730" s="33"/>
      <c r="AV730" s="13">
        <f t="shared" ca="1" si="252"/>
        <v>0</v>
      </c>
      <c r="AW730" s="13">
        <f ca="1">ROUNDUP(($AT730+$AV730)*VLOOKUP($AP730,Paraméterek!$P$38:$Q$38,2)/12*IF($D731="Nem",IF($M$13=0,1,$M$13),1),IF($D$4="Forint",0,2))</f>
        <v>0</v>
      </c>
      <c r="AX730" s="13"/>
      <c r="AY730" s="13"/>
      <c r="AZ730" s="13">
        <f>ROUNDUP(IF(SUM($AX730:$AY730)=0,0,IF(IF(ISBLANK($AY730),$AX730,$AY730)*Paraméterek!$J$112&lt;IF($D$4="Forint",Paraméterek!$J$113,Paraméterek!$K$113),IF($D$4="Forint",Paraméterek!$J$113,Paraméterek!$K$113),IF(IF(ISBLANK($AY730),$AX730,$AY730)*Paraméterek!$J$112&gt;IF($D$4="Forint",Paraméterek!$J$114,Paraméterek!$K$114),IF($D$4="Forint",Paraméterek!$J$114,Paraméterek!$K$114),IF(ISBLANK($AY730),$AX730,$AY730)*Paraméterek!$J$112))),IF($D$4="Forint",0,2))</f>
        <v>0</v>
      </c>
      <c r="BA730" s="13">
        <f ca="1">$AT730+$AV730-$AW730-IF(ROUNDDOWN(IF(ISBLANK($AY730),$AX730,$AY730),IF($D$4="Forint",0,2))&gt;$AT730+$AV730-$AW730-IF($D$4="Forint",Paraméterek!$J$114,Paraméterek!$K$114),0,ROUNDDOWN(IF(ISBLANK($AY730),$AX730,$AY730),IF($D$4="Forint",0,2))-$AZ730)</f>
        <v>0</v>
      </c>
      <c r="BB730" s="13">
        <f t="shared" ca="1" si="253"/>
        <v>0</v>
      </c>
      <c r="BD730" s="32">
        <v>711</v>
      </c>
      <c r="BE730" s="32">
        <v>60</v>
      </c>
      <c r="BF730" s="32">
        <v>3</v>
      </c>
      <c r="BG730" s="34">
        <f t="shared" ca="1" si="262"/>
        <v>2078</v>
      </c>
      <c r="BH730" s="32" t="str">
        <f ca="1">IF(MOD(MONTH($D$14)+$BD730-1,12)=Paraméterek!$C$288,"Igen","")</f>
        <v/>
      </c>
      <c r="BI730" s="13">
        <f ca="1">IF($BH730="Igen",MIN(ROUNDDOWN((SUMIF($BG$20:$BG$1027,$BG730-1,$K$20:$K$1027)-SUMIF($BG$20:$BG$1027,$BG730-1,$I$20:$I$1027))*Paraméterek!$C$289,IF($D$4="Forint",0,2)),IF($D$4="Forint",Paraméterek!$C$285,Paraméterek!$D$285)),0)</f>
        <v>0</v>
      </c>
      <c r="BJ730" s="13">
        <f t="shared" ca="1" si="254"/>
        <v>0</v>
      </c>
      <c r="BK730" s="13">
        <f t="shared" ca="1" si="263"/>
        <v>0</v>
      </c>
      <c r="BL730" s="33"/>
      <c r="BM730" s="13">
        <f t="shared" ca="1" si="255"/>
        <v>0</v>
      </c>
      <c r="BN730" s="13">
        <f ca="1">ROUNDUP(($BK730+$BM730)*VLOOKUP($BE730,Paraméterek!$P$38:$Q$38,2)/12*IF($D731="Nem",IF($M$13=0,1,$M$13),1),IF($D$4="Forint",0,2))</f>
        <v>0</v>
      </c>
      <c r="BO730" s="13">
        <f t="shared" ca="1" si="256"/>
        <v>0</v>
      </c>
      <c r="BP730" s="13">
        <f ca="1">IF($D731="Nem",$BO730,$BO730-ROUNDUP(SUM($BI$20:$BI730)*120%,IF($D$4="Forint",0,2)))</f>
        <v>0</v>
      </c>
    </row>
    <row r="731" spans="1:68" x14ac:dyDescent="0.2">
      <c r="A731" s="32">
        <v>712</v>
      </c>
      <c r="B731" s="32">
        <v>60</v>
      </c>
      <c r="C731" s="32">
        <v>4</v>
      </c>
      <c r="D731" s="32" t="str">
        <f t="shared" ca="1" si="242"/>
        <v>Nem</v>
      </c>
      <c r="E731" s="13">
        <f t="shared" ca="1" si="243"/>
        <v>0</v>
      </c>
      <c r="F731" s="13"/>
      <c r="G731" s="13"/>
      <c r="H731" s="13"/>
      <c r="I731" s="13">
        <f t="shared" ca="1" si="244"/>
        <v>0</v>
      </c>
      <c r="J731" s="13">
        <f t="shared" ca="1" si="245"/>
        <v>0</v>
      </c>
      <c r="K731" s="13">
        <f t="shared" ca="1" si="246"/>
        <v>0</v>
      </c>
      <c r="L731" s="13" t="e">
        <f ca="1">ROUNDUP(IF($D$2="Egyszeri",$E731,IF($D$2="Havi",SUM($E$20:$E$31),IF(MOD($C731,$M$1)-1=0,SUM($E$20:$E$31),0))/12*$M$1)*VLOOKUP($B731,Paraméterek!$I$28:$P$31,IF($D$2="Egyszeri",8,HLOOKUP(ROUNDUP($M$11+$M$13,0),Paraméterek!$J$26:$O$27,2))),IF($D$4="Forint",0,2))</f>
        <v>#N/A</v>
      </c>
      <c r="M731" s="13">
        <f t="shared" ca="1" si="247"/>
        <v>0</v>
      </c>
      <c r="N731" s="13">
        <f t="shared" ca="1" si="257"/>
        <v>0</v>
      </c>
      <c r="O731" s="13">
        <f ca="1">IF($D731="Igen",IF($W730&gt;=IF($D$4="Forint",Paraméterek!$J$121,Paraméterek!$K$121),0,IF($D$4="Forint",Paraméterek!$J$121,Paraméterek!$K$121)-$W730),0)</f>
        <v>0</v>
      </c>
      <c r="P731" s="13" t="e">
        <f ca="1">ROUNDUP($O731*VLOOKUP($M$4+$B731-1,Paraméterek!$H$58:$I$105,2,0)/Paraméterek!$I$56,IF($D$4="Forint",0,2))</f>
        <v>#N/A</v>
      </c>
      <c r="Q731" s="13">
        <f t="shared" ca="1" si="248"/>
        <v>0</v>
      </c>
      <c r="R731" s="33"/>
      <c r="S731" s="13" t="e">
        <f t="shared" ca="1" si="249"/>
        <v>#N/A</v>
      </c>
      <c r="T731" s="13" t="e">
        <f ca="1">ROUNDUP(($N731-$P731-$Q731+$S731)*VLOOKUP($B731,Paraméterek!$I$38:$K$39,IF($D$2="Egyszeri",3,2))/12*IF($D732="Nem",IF($M$13=0,1,$M$13),1),IF($D$4="Forint",0,2))</f>
        <v>#N/A</v>
      </c>
      <c r="U731" s="13"/>
      <c r="V731" s="13"/>
      <c r="W731" s="13" t="e">
        <f ca="1">$N731-$P731-$Q731+$S731-$T731-IF(ROUNDUP(IF(ISBLANK($V731),$U731*0,$V731)/IF($D$2="Egyszeri",VLOOKUP($B731+IF($C731=12,1,0),Paraméterek!$V$257:$W$262,2),IF($B731=1,1,VLOOKUP($B731+IF($C731=12,1,0),Paraméterek!$I$258:$T$278,HLOOKUP($M$11+1,Paraméterek!$J$256:$T$257,2)))),IF($D$4="Forint",0,2))&gt;$N731-$P731-$Q731+$S731-$T731-IF($D$4="Forint",Paraméterek!$C$216,Paraméterek!$D$216),0,ROUNDUP(IF(ISBLANK($V731),$U731*0,$V731)/IF($D$2="Egyszeri",VLOOKUP($B731+IF($C731=12,1,0),Paraméterek!$V$257:$W$262,2),IF($B731=1,1,VLOOKUP($B731+IF($C731=12,1,0),Paraméterek!$I$258:$T$278,HLOOKUP($M$11+1,Paraméterek!$J$256:$T$257,2)))),IF($D$4="Forint",0,2)))</f>
        <v>#N/A</v>
      </c>
      <c r="X731" s="13" t="e">
        <f ca="1">ROUNDDOWN($W731*IF($D$2="Egyszeri",VLOOKUP($B731+IF($C731=12,1,0),Paraméterek!$V$257:$W$262,2),VLOOKUP($B731+IF($C731=12,1,0),Paraméterek!$I$258:$T$278,HLOOKUP($M$11+1,Paraméterek!$I$256:$T$257,2))),IF($D$4="Forint",0,2))</f>
        <v>#N/A</v>
      </c>
      <c r="Z731" s="32">
        <v>712</v>
      </c>
      <c r="AA731" s="32">
        <v>60</v>
      </c>
      <c r="AB731" s="32">
        <v>4</v>
      </c>
      <c r="AC731" s="13">
        <f t="shared" ca="1" si="258"/>
        <v>0</v>
      </c>
      <c r="AD731" s="33"/>
      <c r="AE731" s="13">
        <f t="shared" ca="1" si="250"/>
        <v>0</v>
      </c>
      <c r="AF731" s="13">
        <f ca="1">ROUNDUP(($AC731+$AE731)*VLOOKUP($AA731,Paraméterek!$P$38:$Q$38,2)/12*IF($D732="Nem",IF($M$13=0,1,$M$13),1),IF($D$4="Forint",0,2))</f>
        <v>0</v>
      </c>
      <c r="AG731" s="13">
        <f ca="1">IF($D$2="Egyszeri",IF($D$7&gt;=IF($D$4="Forint",Paraméterek!$P$223,Paraméterek!$P$224),$D$7-IF($D$4="Forint",Paraméterek!$P$223,Paraméterek!$P$224),0),MIN(IF($AB731=12,AVERAGEIF($E$20:$E731,"&gt;0",$E$20:$E731)*12,0),SUM($E$20:$E$31)))</f>
        <v>0</v>
      </c>
      <c r="AH731" s="13">
        <f>IF($AA731=10,$AG731*IF($AB731=12,IF($AG731&lt;IF($D$4="Forint",Paraméterek!$L$223,Paraméterek!$L$224),0,VLOOKUP($AA731,Paraméterek!$K$226:$M$228,IF($AG731&lt;IF($D$4="Forint",Paraméterek!$M$223,Paraméterek!$M$224),2,3))),0),0)</f>
        <v>0</v>
      </c>
      <c r="AI731" s="13">
        <f ca="1">IF(AND($AA731=$M$11+1,$AB731=$M$12+1),SUMIF($AA$20:$AA$1027,$AA731,$AG$20:$AG$1027)*IF(SUMIF($AA$20:$AA$1027,$AA731,$AG$20:$AG$1027)&lt;IF($D$4="Forint",Paraméterek!$L$223,Paraméterek!$L$224),0,VLOOKUP($AA731,Paraméterek!$K$230:$M$250,IF(SUMIF($AA$20:$AA$1027,$AA731,$AG$20:$AG$1027)&lt;IF($D$4="Forint",Paraméterek!$M$223,Paraméterek!$M$224),2,3))),0)</f>
        <v>0</v>
      </c>
      <c r="AJ731" s="13">
        <f ca="1">IF(AND($AA731&gt;=5,MOD($AA731,5)=0),IF($AB731=12,VLOOKUP($AA731,Paraméterek!$O$225:$P$240,2),0),IF(OR($AA731=3,$AA731=4),IF($AB731=12,VLOOKUP($AA731,Paraméterek!$O$225:$P$240,2,0),0),0))*$AG731</f>
        <v>0</v>
      </c>
      <c r="AK731" s="13">
        <f t="shared" ca="1" si="251"/>
        <v>0</v>
      </c>
      <c r="AL731" s="13">
        <f t="shared" ca="1" si="259"/>
        <v>0</v>
      </c>
      <c r="AM731" s="13">
        <f t="shared" ca="1" si="260"/>
        <v>0</v>
      </c>
      <c r="AO731" s="32">
        <v>712</v>
      </c>
      <c r="AP731" s="32">
        <v>60</v>
      </c>
      <c r="AQ731" s="32">
        <v>4</v>
      </c>
      <c r="AR731" s="13"/>
      <c r="AS731" s="32"/>
      <c r="AT731" s="13">
        <f t="shared" ca="1" si="261"/>
        <v>0</v>
      </c>
      <c r="AU731" s="33"/>
      <c r="AV731" s="13">
        <f t="shared" ca="1" si="252"/>
        <v>0</v>
      </c>
      <c r="AW731" s="13">
        <f ca="1">ROUNDUP(($AT731+$AV731)*VLOOKUP($AP731,Paraméterek!$P$38:$Q$38,2)/12*IF($D732="Nem",IF($M$13=0,1,$M$13),1),IF($D$4="Forint",0,2))</f>
        <v>0</v>
      </c>
      <c r="AX731" s="13"/>
      <c r="AY731" s="13"/>
      <c r="AZ731" s="13">
        <f>ROUNDUP(IF(SUM($AX731:$AY731)=0,0,IF(IF(ISBLANK($AY731),$AX731,$AY731)*Paraméterek!$J$112&lt;IF($D$4="Forint",Paraméterek!$J$113,Paraméterek!$K$113),IF($D$4="Forint",Paraméterek!$J$113,Paraméterek!$K$113),IF(IF(ISBLANK($AY731),$AX731,$AY731)*Paraméterek!$J$112&gt;IF($D$4="Forint",Paraméterek!$J$114,Paraméterek!$K$114),IF($D$4="Forint",Paraméterek!$J$114,Paraméterek!$K$114),IF(ISBLANK($AY731),$AX731,$AY731)*Paraméterek!$J$112))),IF($D$4="Forint",0,2))</f>
        <v>0</v>
      </c>
      <c r="BA731" s="13">
        <f ca="1">$AT731+$AV731-$AW731-IF(ROUNDDOWN(IF(ISBLANK($AY731),$AX731,$AY731),IF($D$4="Forint",0,2))&gt;$AT731+$AV731-$AW731-IF($D$4="Forint",Paraméterek!$J$114,Paraméterek!$K$114),0,ROUNDDOWN(IF(ISBLANK($AY731),$AX731,$AY731),IF($D$4="Forint",0,2))-$AZ731)</f>
        <v>0</v>
      </c>
      <c r="BB731" s="13">
        <f t="shared" ca="1" si="253"/>
        <v>0</v>
      </c>
      <c r="BD731" s="32">
        <v>712</v>
      </c>
      <c r="BE731" s="32">
        <v>60</v>
      </c>
      <c r="BF731" s="32">
        <v>4</v>
      </c>
      <c r="BG731" s="34">
        <f t="shared" ca="1" si="262"/>
        <v>2078</v>
      </c>
      <c r="BH731" s="32" t="str">
        <f ca="1">IF(MOD(MONTH($D$14)+$BD731-1,12)=Paraméterek!$C$288,"Igen","")</f>
        <v/>
      </c>
      <c r="BI731" s="13">
        <f ca="1">IF($BH731="Igen",MIN(ROUNDDOWN((SUMIF($BG$20:$BG$1027,$BG731-1,$K$20:$K$1027)-SUMIF($BG$20:$BG$1027,$BG731-1,$I$20:$I$1027))*Paraméterek!$C$289,IF($D$4="Forint",0,2)),IF($D$4="Forint",Paraméterek!$C$285,Paraméterek!$D$285)),0)</f>
        <v>0</v>
      </c>
      <c r="BJ731" s="13">
        <f t="shared" ca="1" si="254"/>
        <v>0</v>
      </c>
      <c r="BK731" s="13">
        <f t="shared" ca="1" si="263"/>
        <v>0</v>
      </c>
      <c r="BL731" s="33"/>
      <c r="BM731" s="13">
        <f t="shared" ca="1" si="255"/>
        <v>0</v>
      </c>
      <c r="BN731" s="13">
        <f ca="1">ROUNDUP(($BK731+$BM731)*VLOOKUP($BE731,Paraméterek!$P$38:$Q$38,2)/12*IF($D732="Nem",IF($M$13=0,1,$M$13),1),IF($D$4="Forint",0,2))</f>
        <v>0</v>
      </c>
      <c r="BO731" s="13">
        <f t="shared" ca="1" si="256"/>
        <v>0</v>
      </c>
      <c r="BP731" s="13">
        <f ca="1">IF($D732="Nem",$BO731,$BO731-ROUNDUP(SUM($BI$20:$BI731)*120%,IF($D$4="Forint",0,2)))</f>
        <v>0</v>
      </c>
    </row>
    <row r="732" spans="1:68" x14ac:dyDescent="0.2">
      <c r="A732" s="32">
        <v>713</v>
      </c>
      <c r="B732" s="32">
        <v>60</v>
      </c>
      <c r="C732" s="32">
        <v>5</v>
      </c>
      <c r="D732" s="32" t="str">
        <f t="shared" ca="1" si="242"/>
        <v>Nem</v>
      </c>
      <c r="E732" s="13">
        <f t="shared" ca="1" si="243"/>
        <v>0</v>
      </c>
      <c r="F732" s="13"/>
      <c r="G732" s="13"/>
      <c r="H732" s="13"/>
      <c r="I732" s="13">
        <f t="shared" ca="1" si="244"/>
        <v>0</v>
      </c>
      <c r="J732" s="13">
        <f t="shared" ca="1" si="245"/>
        <v>0</v>
      </c>
      <c r="K732" s="13">
        <f t="shared" ca="1" si="246"/>
        <v>0</v>
      </c>
      <c r="L732" s="13" t="e">
        <f ca="1">ROUNDUP(IF($D$2="Egyszeri",$E732,IF($D$2="Havi",SUM($E$20:$E$31),IF(MOD($C732,$M$1)-1=0,SUM($E$20:$E$31),0))/12*$M$1)*VLOOKUP($B732,Paraméterek!$I$28:$P$31,IF($D$2="Egyszeri",8,HLOOKUP(ROUNDUP($M$11+$M$13,0),Paraméterek!$J$26:$O$27,2))),IF($D$4="Forint",0,2))</f>
        <v>#N/A</v>
      </c>
      <c r="M732" s="13">
        <f t="shared" ca="1" si="247"/>
        <v>0</v>
      </c>
      <c r="N732" s="13">
        <f t="shared" ca="1" si="257"/>
        <v>0</v>
      </c>
      <c r="O732" s="13">
        <f ca="1">IF($D732="Igen",IF($W731&gt;=IF($D$4="Forint",Paraméterek!$J$121,Paraméterek!$K$121),0,IF($D$4="Forint",Paraméterek!$J$121,Paraméterek!$K$121)-$W731),0)</f>
        <v>0</v>
      </c>
      <c r="P732" s="13" t="e">
        <f ca="1">ROUNDUP($O732*VLOOKUP($M$4+$B732-1,Paraméterek!$H$58:$I$105,2,0)/Paraméterek!$I$56,IF($D$4="Forint",0,2))</f>
        <v>#N/A</v>
      </c>
      <c r="Q732" s="13">
        <f t="shared" ca="1" si="248"/>
        <v>0</v>
      </c>
      <c r="R732" s="33"/>
      <c r="S732" s="13" t="e">
        <f t="shared" ca="1" si="249"/>
        <v>#N/A</v>
      </c>
      <c r="T732" s="13" t="e">
        <f ca="1">ROUNDUP(($N732-$P732-$Q732+$S732)*VLOOKUP($B732,Paraméterek!$I$38:$K$39,IF($D$2="Egyszeri",3,2))/12*IF($D733="Nem",IF($M$13=0,1,$M$13),1),IF($D$4="Forint",0,2))</f>
        <v>#N/A</v>
      </c>
      <c r="U732" s="13"/>
      <c r="V732" s="13"/>
      <c r="W732" s="13" t="e">
        <f ca="1">$N732-$P732-$Q732+$S732-$T732-IF(ROUNDUP(IF(ISBLANK($V732),$U732*0,$V732)/IF($D$2="Egyszeri",VLOOKUP($B732+IF($C732=12,1,0),Paraméterek!$V$257:$W$262,2),IF($B732=1,1,VLOOKUP($B732+IF($C732=12,1,0),Paraméterek!$I$258:$T$278,HLOOKUP($M$11+1,Paraméterek!$J$256:$T$257,2)))),IF($D$4="Forint",0,2))&gt;$N732-$P732-$Q732+$S732-$T732-IF($D$4="Forint",Paraméterek!$C$216,Paraméterek!$D$216),0,ROUNDUP(IF(ISBLANK($V732),$U732*0,$V732)/IF($D$2="Egyszeri",VLOOKUP($B732+IF($C732=12,1,0),Paraméterek!$V$257:$W$262,2),IF($B732=1,1,VLOOKUP($B732+IF($C732=12,1,0),Paraméterek!$I$258:$T$278,HLOOKUP($M$11+1,Paraméterek!$J$256:$T$257,2)))),IF($D$4="Forint",0,2)))</f>
        <v>#N/A</v>
      </c>
      <c r="X732" s="13" t="e">
        <f ca="1">ROUNDDOWN($W732*IF($D$2="Egyszeri",VLOOKUP($B732+IF($C732=12,1,0),Paraméterek!$V$257:$W$262,2),VLOOKUP($B732+IF($C732=12,1,0),Paraméterek!$I$258:$T$278,HLOOKUP($M$11+1,Paraméterek!$I$256:$T$257,2))),IF($D$4="Forint",0,2))</f>
        <v>#N/A</v>
      </c>
      <c r="Z732" s="32">
        <v>713</v>
      </c>
      <c r="AA732" s="32">
        <v>60</v>
      </c>
      <c r="AB732" s="32">
        <v>5</v>
      </c>
      <c r="AC732" s="13">
        <f t="shared" ca="1" si="258"/>
        <v>0</v>
      </c>
      <c r="AD732" s="33"/>
      <c r="AE732" s="13">
        <f t="shared" ca="1" si="250"/>
        <v>0</v>
      </c>
      <c r="AF732" s="13">
        <f ca="1">ROUNDUP(($AC732+$AE732)*VLOOKUP($AA732,Paraméterek!$P$38:$Q$38,2)/12*IF($D733="Nem",IF($M$13=0,1,$M$13),1),IF($D$4="Forint",0,2))</f>
        <v>0</v>
      </c>
      <c r="AG732" s="13">
        <f ca="1">IF($D$2="Egyszeri",IF($D$7&gt;=IF($D$4="Forint",Paraméterek!$P$223,Paraméterek!$P$224),$D$7-IF($D$4="Forint",Paraméterek!$P$223,Paraméterek!$P$224),0),MIN(IF($AB732=12,AVERAGEIF($E$20:$E732,"&gt;0",$E$20:$E732)*12,0),SUM($E$20:$E$31)))</f>
        <v>0</v>
      </c>
      <c r="AH732" s="13">
        <f>IF($AA732=10,$AG732*IF($AB732=12,IF($AG732&lt;IF($D$4="Forint",Paraméterek!$L$223,Paraméterek!$L$224),0,VLOOKUP($AA732,Paraméterek!$K$226:$M$228,IF($AG732&lt;IF($D$4="Forint",Paraméterek!$M$223,Paraméterek!$M$224),2,3))),0),0)</f>
        <v>0</v>
      </c>
      <c r="AI732" s="13">
        <f ca="1">IF(AND($AA732=$M$11+1,$AB732=$M$12+1),SUMIF($AA$20:$AA$1027,$AA732,$AG$20:$AG$1027)*IF(SUMIF($AA$20:$AA$1027,$AA732,$AG$20:$AG$1027)&lt;IF($D$4="Forint",Paraméterek!$L$223,Paraméterek!$L$224),0,VLOOKUP($AA732,Paraméterek!$K$230:$M$250,IF(SUMIF($AA$20:$AA$1027,$AA732,$AG$20:$AG$1027)&lt;IF($D$4="Forint",Paraméterek!$M$223,Paraméterek!$M$224),2,3))),0)</f>
        <v>0</v>
      </c>
      <c r="AJ732" s="13">
        <f ca="1">IF(AND($AA732&gt;=5,MOD($AA732,5)=0),IF($AB732=12,VLOOKUP($AA732,Paraméterek!$O$225:$P$240,2),0),IF(OR($AA732=3,$AA732=4),IF($AB732=12,VLOOKUP($AA732,Paraméterek!$O$225:$P$240,2,0),0),0))*$AG732</f>
        <v>0</v>
      </c>
      <c r="AK732" s="13">
        <f t="shared" ca="1" si="251"/>
        <v>0</v>
      </c>
      <c r="AL732" s="13">
        <f t="shared" ca="1" si="259"/>
        <v>0</v>
      </c>
      <c r="AM732" s="13">
        <f t="shared" ca="1" si="260"/>
        <v>0</v>
      </c>
      <c r="AO732" s="32">
        <v>713</v>
      </c>
      <c r="AP732" s="32">
        <v>60</v>
      </c>
      <c r="AQ732" s="32">
        <v>5</v>
      </c>
      <c r="AR732" s="13"/>
      <c r="AS732" s="32"/>
      <c r="AT732" s="13">
        <f t="shared" ca="1" si="261"/>
        <v>0</v>
      </c>
      <c r="AU732" s="33"/>
      <c r="AV732" s="13">
        <f t="shared" ca="1" si="252"/>
        <v>0</v>
      </c>
      <c r="AW732" s="13">
        <f ca="1">ROUNDUP(($AT732+$AV732)*VLOOKUP($AP732,Paraméterek!$P$38:$Q$38,2)/12*IF($D733="Nem",IF($M$13=0,1,$M$13),1),IF($D$4="Forint",0,2))</f>
        <v>0</v>
      </c>
      <c r="AX732" s="13"/>
      <c r="AY732" s="13"/>
      <c r="AZ732" s="13">
        <f>ROUNDUP(IF(SUM($AX732:$AY732)=0,0,IF(IF(ISBLANK($AY732),$AX732,$AY732)*Paraméterek!$J$112&lt;IF($D$4="Forint",Paraméterek!$J$113,Paraméterek!$K$113),IF($D$4="Forint",Paraméterek!$J$113,Paraméterek!$K$113),IF(IF(ISBLANK($AY732),$AX732,$AY732)*Paraméterek!$J$112&gt;IF($D$4="Forint",Paraméterek!$J$114,Paraméterek!$K$114),IF($D$4="Forint",Paraméterek!$J$114,Paraméterek!$K$114),IF(ISBLANK($AY732),$AX732,$AY732)*Paraméterek!$J$112))),IF($D$4="Forint",0,2))</f>
        <v>0</v>
      </c>
      <c r="BA732" s="13">
        <f ca="1">$AT732+$AV732-$AW732-IF(ROUNDDOWN(IF(ISBLANK($AY732),$AX732,$AY732),IF($D$4="Forint",0,2))&gt;$AT732+$AV732-$AW732-IF($D$4="Forint",Paraméterek!$J$114,Paraméterek!$K$114),0,ROUNDDOWN(IF(ISBLANK($AY732),$AX732,$AY732),IF($D$4="Forint",0,2))-$AZ732)</f>
        <v>0</v>
      </c>
      <c r="BB732" s="13">
        <f t="shared" ca="1" si="253"/>
        <v>0</v>
      </c>
      <c r="BD732" s="32">
        <v>713</v>
      </c>
      <c r="BE732" s="32">
        <v>60</v>
      </c>
      <c r="BF732" s="32">
        <v>5</v>
      </c>
      <c r="BG732" s="34">
        <f t="shared" ca="1" si="262"/>
        <v>2078</v>
      </c>
      <c r="BH732" s="32" t="str">
        <f ca="1">IF(MOD(MONTH($D$14)+$BD732-1,12)=Paraméterek!$C$288,"Igen","")</f>
        <v/>
      </c>
      <c r="BI732" s="13">
        <f ca="1">IF($BH732="Igen",MIN(ROUNDDOWN((SUMIF($BG$20:$BG$1027,$BG732-1,$K$20:$K$1027)-SUMIF($BG$20:$BG$1027,$BG732-1,$I$20:$I$1027))*Paraméterek!$C$289,IF($D$4="Forint",0,2)),IF($D$4="Forint",Paraméterek!$C$285,Paraméterek!$D$285)),0)</f>
        <v>0</v>
      </c>
      <c r="BJ732" s="13">
        <f t="shared" ca="1" si="254"/>
        <v>0</v>
      </c>
      <c r="BK732" s="13">
        <f t="shared" ca="1" si="263"/>
        <v>0</v>
      </c>
      <c r="BL732" s="33"/>
      <c r="BM732" s="13">
        <f t="shared" ca="1" si="255"/>
        <v>0</v>
      </c>
      <c r="BN732" s="13">
        <f ca="1">ROUNDUP(($BK732+$BM732)*VLOOKUP($BE732,Paraméterek!$P$38:$Q$38,2)/12*IF($D733="Nem",IF($M$13=0,1,$M$13),1),IF($D$4="Forint",0,2))</f>
        <v>0</v>
      </c>
      <c r="BO732" s="13">
        <f t="shared" ca="1" si="256"/>
        <v>0</v>
      </c>
      <c r="BP732" s="13">
        <f ca="1">IF($D733="Nem",$BO732,$BO732-ROUNDUP(SUM($BI$20:$BI732)*120%,IF($D$4="Forint",0,2)))</f>
        <v>0</v>
      </c>
    </row>
    <row r="733" spans="1:68" x14ac:dyDescent="0.2">
      <c r="A733" s="32">
        <v>714</v>
      </c>
      <c r="B733" s="32">
        <v>60</v>
      </c>
      <c r="C733" s="32">
        <v>6</v>
      </c>
      <c r="D733" s="32" t="str">
        <f t="shared" ca="1" si="242"/>
        <v>Nem</v>
      </c>
      <c r="E733" s="13">
        <f t="shared" ca="1" si="243"/>
        <v>0</v>
      </c>
      <c r="F733" s="13"/>
      <c r="G733" s="13"/>
      <c r="H733" s="13"/>
      <c r="I733" s="13">
        <f t="shared" ca="1" si="244"/>
        <v>0</v>
      </c>
      <c r="J733" s="13">
        <f t="shared" ca="1" si="245"/>
        <v>0</v>
      </c>
      <c r="K733" s="13">
        <f t="shared" ca="1" si="246"/>
        <v>0</v>
      </c>
      <c r="L733" s="13" t="e">
        <f ca="1">ROUNDUP(IF($D$2="Egyszeri",$E733,IF($D$2="Havi",SUM($E$20:$E$31),IF(MOD($C733,$M$1)-1=0,SUM($E$20:$E$31),0))/12*$M$1)*VLOOKUP($B733,Paraméterek!$I$28:$P$31,IF($D$2="Egyszeri",8,HLOOKUP(ROUNDUP($M$11+$M$13,0),Paraméterek!$J$26:$O$27,2))),IF($D$4="Forint",0,2))</f>
        <v>#N/A</v>
      </c>
      <c r="M733" s="13">
        <f t="shared" ca="1" si="247"/>
        <v>0</v>
      </c>
      <c r="N733" s="13">
        <f t="shared" ca="1" si="257"/>
        <v>0</v>
      </c>
      <c r="O733" s="13">
        <f ca="1">IF($D733="Igen",IF($W732&gt;=IF($D$4="Forint",Paraméterek!$J$121,Paraméterek!$K$121),0,IF($D$4="Forint",Paraméterek!$J$121,Paraméterek!$K$121)-$W732),0)</f>
        <v>0</v>
      </c>
      <c r="P733" s="13" t="e">
        <f ca="1">ROUNDUP($O733*VLOOKUP($M$4+$B733-1,Paraméterek!$H$58:$I$105,2,0)/Paraméterek!$I$56,IF($D$4="Forint",0,2))</f>
        <v>#N/A</v>
      </c>
      <c r="Q733" s="13">
        <f t="shared" ca="1" si="248"/>
        <v>0</v>
      </c>
      <c r="R733" s="33"/>
      <c r="S733" s="13" t="e">
        <f t="shared" ca="1" si="249"/>
        <v>#N/A</v>
      </c>
      <c r="T733" s="13" t="e">
        <f ca="1">ROUNDUP(($N733-$P733-$Q733+$S733)*VLOOKUP($B733,Paraméterek!$I$38:$K$39,IF($D$2="Egyszeri",3,2))/12*IF($D734="Nem",IF($M$13=0,1,$M$13),1),IF($D$4="Forint",0,2))</f>
        <v>#N/A</v>
      </c>
      <c r="U733" s="13"/>
      <c r="V733" s="13"/>
      <c r="W733" s="13" t="e">
        <f ca="1">$N733-$P733-$Q733+$S733-$T733-IF(ROUNDUP(IF(ISBLANK($V733),$U733*0,$V733)/IF($D$2="Egyszeri",VLOOKUP($B733+IF($C733=12,1,0),Paraméterek!$V$257:$W$262,2),IF($B733=1,1,VLOOKUP($B733+IF($C733=12,1,0),Paraméterek!$I$258:$T$278,HLOOKUP($M$11+1,Paraméterek!$J$256:$T$257,2)))),IF($D$4="Forint",0,2))&gt;$N733-$P733-$Q733+$S733-$T733-IF($D$4="Forint",Paraméterek!$C$216,Paraméterek!$D$216),0,ROUNDUP(IF(ISBLANK($V733),$U733*0,$V733)/IF($D$2="Egyszeri",VLOOKUP($B733+IF($C733=12,1,0),Paraméterek!$V$257:$W$262,2),IF($B733=1,1,VLOOKUP($B733+IF($C733=12,1,0),Paraméterek!$I$258:$T$278,HLOOKUP($M$11+1,Paraméterek!$J$256:$T$257,2)))),IF($D$4="Forint",0,2)))</f>
        <v>#N/A</v>
      </c>
      <c r="X733" s="13" t="e">
        <f ca="1">ROUNDDOWN($W733*IF($D$2="Egyszeri",VLOOKUP($B733+IF($C733=12,1,0),Paraméterek!$V$257:$W$262,2),VLOOKUP($B733+IF($C733=12,1,0),Paraméterek!$I$258:$T$278,HLOOKUP($M$11+1,Paraméterek!$I$256:$T$257,2))),IF($D$4="Forint",0,2))</f>
        <v>#N/A</v>
      </c>
      <c r="Z733" s="32">
        <v>714</v>
      </c>
      <c r="AA733" s="32">
        <v>60</v>
      </c>
      <c r="AB733" s="32">
        <v>6</v>
      </c>
      <c r="AC733" s="13">
        <f t="shared" ca="1" si="258"/>
        <v>0</v>
      </c>
      <c r="AD733" s="33"/>
      <c r="AE733" s="13">
        <f t="shared" ca="1" si="250"/>
        <v>0</v>
      </c>
      <c r="AF733" s="13">
        <f ca="1">ROUNDUP(($AC733+$AE733)*VLOOKUP($AA733,Paraméterek!$P$38:$Q$38,2)/12*IF($D734="Nem",IF($M$13=0,1,$M$13),1),IF($D$4="Forint",0,2))</f>
        <v>0</v>
      </c>
      <c r="AG733" s="13">
        <f ca="1">IF($D$2="Egyszeri",IF($D$7&gt;=IF($D$4="Forint",Paraméterek!$P$223,Paraméterek!$P$224),$D$7-IF($D$4="Forint",Paraméterek!$P$223,Paraméterek!$P$224),0),MIN(IF($AB733=12,AVERAGEIF($E$20:$E733,"&gt;0",$E$20:$E733)*12,0),SUM($E$20:$E$31)))</f>
        <v>0</v>
      </c>
      <c r="AH733" s="13">
        <f>IF($AA733=10,$AG733*IF($AB733=12,IF($AG733&lt;IF($D$4="Forint",Paraméterek!$L$223,Paraméterek!$L$224),0,VLOOKUP($AA733,Paraméterek!$K$226:$M$228,IF($AG733&lt;IF($D$4="Forint",Paraméterek!$M$223,Paraméterek!$M$224),2,3))),0),0)</f>
        <v>0</v>
      </c>
      <c r="AI733" s="13">
        <f ca="1">IF(AND($AA733=$M$11+1,$AB733=$M$12+1),SUMIF($AA$20:$AA$1027,$AA733,$AG$20:$AG$1027)*IF(SUMIF($AA$20:$AA$1027,$AA733,$AG$20:$AG$1027)&lt;IF($D$4="Forint",Paraméterek!$L$223,Paraméterek!$L$224),0,VLOOKUP($AA733,Paraméterek!$K$230:$M$250,IF(SUMIF($AA$20:$AA$1027,$AA733,$AG$20:$AG$1027)&lt;IF($D$4="Forint",Paraméterek!$M$223,Paraméterek!$M$224),2,3))),0)</f>
        <v>0</v>
      </c>
      <c r="AJ733" s="13">
        <f ca="1">IF(AND($AA733&gt;=5,MOD($AA733,5)=0),IF($AB733=12,VLOOKUP($AA733,Paraméterek!$O$225:$P$240,2),0),IF(OR($AA733=3,$AA733=4),IF($AB733=12,VLOOKUP($AA733,Paraméterek!$O$225:$P$240,2,0),0),0))*$AG733</f>
        <v>0</v>
      </c>
      <c r="AK733" s="13">
        <f t="shared" ca="1" si="251"/>
        <v>0</v>
      </c>
      <c r="AL733" s="13">
        <f t="shared" ca="1" si="259"/>
        <v>0</v>
      </c>
      <c r="AM733" s="13">
        <f t="shared" ca="1" si="260"/>
        <v>0</v>
      </c>
      <c r="AO733" s="32">
        <v>714</v>
      </c>
      <c r="AP733" s="32">
        <v>60</v>
      </c>
      <c r="AQ733" s="32">
        <v>6</v>
      </c>
      <c r="AR733" s="13"/>
      <c r="AS733" s="32"/>
      <c r="AT733" s="13">
        <f t="shared" ca="1" si="261"/>
        <v>0</v>
      </c>
      <c r="AU733" s="33"/>
      <c r="AV733" s="13">
        <f t="shared" ca="1" si="252"/>
        <v>0</v>
      </c>
      <c r="AW733" s="13">
        <f ca="1">ROUNDUP(($AT733+$AV733)*VLOOKUP($AP733,Paraméterek!$P$38:$Q$38,2)/12*IF($D734="Nem",IF($M$13=0,1,$M$13),1),IF($D$4="Forint",0,2))</f>
        <v>0</v>
      </c>
      <c r="AX733" s="13"/>
      <c r="AY733" s="13"/>
      <c r="AZ733" s="13">
        <f>ROUNDUP(IF(SUM($AX733:$AY733)=0,0,IF(IF(ISBLANK($AY733),$AX733,$AY733)*Paraméterek!$J$112&lt;IF($D$4="Forint",Paraméterek!$J$113,Paraméterek!$K$113),IF($D$4="Forint",Paraméterek!$J$113,Paraméterek!$K$113),IF(IF(ISBLANK($AY733),$AX733,$AY733)*Paraméterek!$J$112&gt;IF($D$4="Forint",Paraméterek!$J$114,Paraméterek!$K$114),IF($D$4="Forint",Paraméterek!$J$114,Paraméterek!$K$114),IF(ISBLANK($AY733),$AX733,$AY733)*Paraméterek!$J$112))),IF($D$4="Forint",0,2))</f>
        <v>0</v>
      </c>
      <c r="BA733" s="13">
        <f ca="1">$AT733+$AV733-$AW733-IF(ROUNDDOWN(IF(ISBLANK($AY733),$AX733,$AY733),IF($D$4="Forint",0,2))&gt;$AT733+$AV733-$AW733-IF($D$4="Forint",Paraméterek!$J$114,Paraméterek!$K$114),0,ROUNDDOWN(IF(ISBLANK($AY733),$AX733,$AY733),IF($D$4="Forint",0,2))-$AZ733)</f>
        <v>0</v>
      </c>
      <c r="BB733" s="13">
        <f t="shared" ca="1" si="253"/>
        <v>0</v>
      </c>
      <c r="BD733" s="32">
        <v>714</v>
      </c>
      <c r="BE733" s="32">
        <v>60</v>
      </c>
      <c r="BF733" s="32">
        <v>6</v>
      </c>
      <c r="BG733" s="34">
        <f t="shared" ca="1" si="262"/>
        <v>2078</v>
      </c>
      <c r="BH733" s="32" t="str">
        <f ca="1">IF(MOD(MONTH($D$14)+$BD733-1,12)=Paraméterek!$C$288,"Igen","")</f>
        <v/>
      </c>
      <c r="BI733" s="13">
        <f ca="1">IF($BH733="Igen",MIN(ROUNDDOWN((SUMIF($BG$20:$BG$1027,$BG733-1,$K$20:$K$1027)-SUMIF($BG$20:$BG$1027,$BG733-1,$I$20:$I$1027))*Paraméterek!$C$289,IF($D$4="Forint",0,2)),IF($D$4="Forint",Paraméterek!$C$285,Paraméterek!$D$285)),0)</f>
        <v>0</v>
      </c>
      <c r="BJ733" s="13">
        <f t="shared" ca="1" si="254"/>
        <v>0</v>
      </c>
      <c r="BK733" s="13">
        <f t="shared" ca="1" si="263"/>
        <v>0</v>
      </c>
      <c r="BL733" s="33"/>
      <c r="BM733" s="13">
        <f t="shared" ca="1" si="255"/>
        <v>0</v>
      </c>
      <c r="BN733" s="13">
        <f ca="1">ROUNDUP(($BK733+$BM733)*VLOOKUP($BE733,Paraméterek!$P$38:$Q$38,2)/12*IF($D734="Nem",IF($M$13=0,1,$M$13),1),IF($D$4="Forint",0,2))</f>
        <v>0</v>
      </c>
      <c r="BO733" s="13">
        <f t="shared" ca="1" si="256"/>
        <v>0</v>
      </c>
      <c r="BP733" s="13">
        <f ca="1">IF($D734="Nem",$BO733,$BO733-ROUNDUP(SUM($BI$20:$BI733)*120%,IF($D$4="Forint",0,2)))</f>
        <v>0</v>
      </c>
    </row>
    <row r="734" spans="1:68" x14ac:dyDescent="0.2">
      <c r="A734" s="32">
        <v>715</v>
      </c>
      <c r="B734" s="32">
        <v>60</v>
      </c>
      <c r="C734" s="32">
        <v>7</v>
      </c>
      <c r="D734" s="32" t="str">
        <f t="shared" ca="1" si="242"/>
        <v>Nem</v>
      </c>
      <c r="E734" s="13">
        <f t="shared" ca="1" si="243"/>
        <v>0</v>
      </c>
      <c r="F734" s="13"/>
      <c r="G734" s="13"/>
      <c r="H734" s="13"/>
      <c r="I734" s="13">
        <f t="shared" ca="1" si="244"/>
        <v>0</v>
      </c>
      <c r="J734" s="13">
        <f t="shared" ca="1" si="245"/>
        <v>0</v>
      </c>
      <c r="K734" s="13">
        <f t="shared" ca="1" si="246"/>
        <v>0</v>
      </c>
      <c r="L734" s="13" t="e">
        <f ca="1">ROUNDUP(IF($D$2="Egyszeri",$E734,IF($D$2="Havi",SUM($E$20:$E$31),IF(MOD($C734,$M$1)-1=0,SUM($E$20:$E$31),0))/12*$M$1)*VLOOKUP($B734,Paraméterek!$I$28:$P$31,IF($D$2="Egyszeri",8,HLOOKUP(ROUNDUP($M$11+$M$13,0),Paraméterek!$J$26:$O$27,2))),IF($D$4="Forint",0,2))</f>
        <v>#N/A</v>
      </c>
      <c r="M734" s="13">
        <f t="shared" ca="1" si="247"/>
        <v>0</v>
      </c>
      <c r="N734" s="13">
        <f t="shared" ca="1" si="257"/>
        <v>0</v>
      </c>
      <c r="O734" s="13">
        <f ca="1">IF($D734="Igen",IF($W733&gt;=IF($D$4="Forint",Paraméterek!$J$121,Paraméterek!$K$121),0,IF($D$4="Forint",Paraméterek!$J$121,Paraméterek!$K$121)-$W733),0)</f>
        <v>0</v>
      </c>
      <c r="P734" s="13" t="e">
        <f ca="1">ROUNDUP($O734*VLOOKUP($M$4+$B734-1,Paraméterek!$H$58:$I$105,2,0)/Paraméterek!$I$56,IF($D$4="Forint",0,2))</f>
        <v>#N/A</v>
      </c>
      <c r="Q734" s="13">
        <f t="shared" ca="1" si="248"/>
        <v>0</v>
      </c>
      <c r="R734" s="33"/>
      <c r="S734" s="13" t="e">
        <f t="shared" ca="1" si="249"/>
        <v>#N/A</v>
      </c>
      <c r="T734" s="13" t="e">
        <f ca="1">ROUNDUP(($N734-$P734-$Q734+$S734)*VLOOKUP($B734,Paraméterek!$I$38:$K$39,IF($D$2="Egyszeri",3,2))/12*IF($D735="Nem",IF($M$13=0,1,$M$13),1),IF($D$4="Forint",0,2))</f>
        <v>#N/A</v>
      </c>
      <c r="U734" s="13"/>
      <c r="V734" s="13"/>
      <c r="W734" s="13" t="e">
        <f ca="1">$N734-$P734-$Q734+$S734-$T734-IF(ROUNDUP(IF(ISBLANK($V734),$U734*0,$V734)/IF($D$2="Egyszeri",VLOOKUP($B734+IF($C734=12,1,0),Paraméterek!$V$257:$W$262,2),IF($B734=1,1,VLOOKUP($B734+IF($C734=12,1,0),Paraméterek!$I$258:$T$278,HLOOKUP($M$11+1,Paraméterek!$J$256:$T$257,2)))),IF($D$4="Forint",0,2))&gt;$N734-$P734-$Q734+$S734-$T734-IF($D$4="Forint",Paraméterek!$C$216,Paraméterek!$D$216),0,ROUNDUP(IF(ISBLANK($V734),$U734*0,$V734)/IF($D$2="Egyszeri",VLOOKUP($B734+IF($C734=12,1,0),Paraméterek!$V$257:$W$262,2),IF($B734=1,1,VLOOKUP($B734+IF($C734=12,1,0),Paraméterek!$I$258:$T$278,HLOOKUP($M$11+1,Paraméterek!$J$256:$T$257,2)))),IF($D$4="Forint",0,2)))</f>
        <v>#N/A</v>
      </c>
      <c r="X734" s="13" t="e">
        <f ca="1">ROUNDDOWN($W734*IF($D$2="Egyszeri",VLOOKUP($B734+IF($C734=12,1,0),Paraméterek!$V$257:$W$262,2),VLOOKUP($B734+IF($C734=12,1,0),Paraméterek!$I$258:$T$278,HLOOKUP($M$11+1,Paraméterek!$I$256:$T$257,2))),IF($D$4="Forint",0,2))</f>
        <v>#N/A</v>
      </c>
      <c r="Z734" s="32">
        <v>715</v>
      </c>
      <c r="AA734" s="32">
        <v>60</v>
      </c>
      <c r="AB734" s="32">
        <v>7</v>
      </c>
      <c r="AC734" s="13">
        <f t="shared" ca="1" si="258"/>
        <v>0</v>
      </c>
      <c r="AD734" s="33"/>
      <c r="AE734" s="13">
        <f t="shared" ca="1" si="250"/>
        <v>0</v>
      </c>
      <c r="AF734" s="13">
        <f ca="1">ROUNDUP(($AC734+$AE734)*VLOOKUP($AA734,Paraméterek!$P$38:$Q$38,2)/12*IF($D735="Nem",IF($M$13=0,1,$M$13),1),IF($D$4="Forint",0,2))</f>
        <v>0</v>
      </c>
      <c r="AG734" s="13">
        <f ca="1">IF($D$2="Egyszeri",IF($D$7&gt;=IF($D$4="Forint",Paraméterek!$P$223,Paraméterek!$P$224),$D$7-IF($D$4="Forint",Paraméterek!$P$223,Paraméterek!$P$224),0),MIN(IF($AB734=12,AVERAGEIF($E$20:$E734,"&gt;0",$E$20:$E734)*12,0),SUM($E$20:$E$31)))</f>
        <v>0</v>
      </c>
      <c r="AH734" s="13">
        <f>IF($AA734=10,$AG734*IF($AB734=12,IF($AG734&lt;IF($D$4="Forint",Paraméterek!$L$223,Paraméterek!$L$224),0,VLOOKUP($AA734,Paraméterek!$K$226:$M$228,IF($AG734&lt;IF($D$4="Forint",Paraméterek!$M$223,Paraméterek!$M$224),2,3))),0),0)</f>
        <v>0</v>
      </c>
      <c r="AI734" s="13">
        <f ca="1">IF(AND($AA734=$M$11+1,$AB734=$M$12+1),SUMIF($AA$20:$AA$1027,$AA734,$AG$20:$AG$1027)*IF(SUMIF($AA$20:$AA$1027,$AA734,$AG$20:$AG$1027)&lt;IF($D$4="Forint",Paraméterek!$L$223,Paraméterek!$L$224),0,VLOOKUP($AA734,Paraméterek!$K$230:$M$250,IF(SUMIF($AA$20:$AA$1027,$AA734,$AG$20:$AG$1027)&lt;IF($D$4="Forint",Paraméterek!$M$223,Paraméterek!$M$224),2,3))),0)</f>
        <v>0</v>
      </c>
      <c r="AJ734" s="13">
        <f ca="1">IF(AND($AA734&gt;=5,MOD($AA734,5)=0),IF($AB734=12,VLOOKUP($AA734,Paraméterek!$O$225:$P$240,2),0),IF(OR($AA734=3,$AA734=4),IF($AB734=12,VLOOKUP($AA734,Paraméterek!$O$225:$P$240,2,0),0),0))*$AG734</f>
        <v>0</v>
      </c>
      <c r="AK734" s="13">
        <f t="shared" ca="1" si="251"/>
        <v>0</v>
      </c>
      <c r="AL734" s="13">
        <f t="shared" ca="1" si="259"/>
        <v>0</v>
      </c>
      <c r="AM734" s="13">
        <f t="shared" ca="1" si="260"/>
        <v>0</v>
      </c>
      <c r="AO734" s="32">
        <v>715</v>
      </c>
      <c r="AP734" s="32">
        <v>60</v>
      </c>
      <c r="AQ734" s="32">
        <v>7</v>
      </c>
      <c r="AR734" s="13"/>
      <c r="AS734" s="32"/>
      <c r="AT734" s="13">
        <f t="shared" ca="1" si="261"/>
        <v>0</v>
      </c>
      <c r="AU734" s="33"/>
      <c r="AV734" s="13">
        <f t="shared" ca="1" si="252"/>
        <v>0</v>
      </c>
      <c r="AW734" s="13">
        <f ca="1">ROUNDUP(($AT734+$AV734)*VLOOKUP($AP734,Paraméterek!$P$38:$Q$38,2)/12*IF($D735="Nem",IF($M$13=0,1,$M$13),1),IF($D$4="Forint",0,2))</f>
        <v>0</v>
      </c>
      <c r="AX734" s="13"/>
      <c r="AY734" s="13"/>
      <c r="AZ734" s="13">
        <f>ROUNDUP(IF(SUM($AX734:$AY734)=0,0,IF(IF(ISBLANK($AY734),$AX734,$AY734)*Paraméterek!$J$112&lt;IF($D$4="Forint",Paraméterek!$J$113,Paraméterek!$K$113),IF($D$4="Forint",Paraméterek!$J$113,Paraméterek!$K$113),IF(IF(ISBLANK($AY734),$AX734,$AY734)*Paraméterek!$J$112&gt;IF($D$4="Forint",Paraméterek!$J$114,Paraméterek!$K$114),IF($D$4="Forint",Paraméterek!$J$114,Paraméterek!$K$114),IF(ISBLANK($AY734),$AX734,$AY734)*Paraméterek!$J$112))),IF($D$4="Forint",0,2))</f>
        <v>0</v>
      </c>
      <c r="BA734" s="13">
        <f ca="1">$AT734+$AV734-$AW734-IF(ROUNDDOWN(IF(ISBLANK($AY734),$AX734,$AY734),IF($D$4="Forint",0,2))&gt;$AT734+$AV734-$AW734-IF($D$4="Forint",Paraméterek!$J$114,Paraméterek!$K$114),0,ROUNDDOWN(IF(ISBLANK($AY734),$AX734,$AY734),IF($D$4="Forint",0,2))-$AZ734)</f>
        <v>0</v>
      </c>
      <c r="BB734" s="13">
        <f t="shared" ca="1" si="253"/>
        <v>0</v>
      </c>
      <c r="BD734" s="32">
        <v>715</v>
      </c>
      <c r="BE734" s="32">
        <v>60</v>
      </c>
      <c r="BF734" s="32">
        <v>7</v>
      </c>
      <c r="BG734" s="34">
        <f t="shared" ca="1" si="262"/>
        <v>2078</v>
      </c>
      <c r="BH734" s="32" t="str">
        <f ca="1">IF(MOD(MONTH($D$14)+$BD734-1,12)=Paraméterek!$C$288,"Igen","")</f>
        <v/>
      </c>
      <c r="BI734" s="13">
        <f ca="1">IF($BH734="Igen",MIN(ROUNDDOWN((SUMIF($BG$20:$BG$1027,$BG734-1,$K$20:$K$1027)-SUMIF($BG$20:$BG$1027,$BG734-1,$I$20:$I$1027))*Paraméterek!$C$289,IF($D$4="Forint",0,2)),IF($D$4="Forint",Paraméterek!$C$285,Paraméterek!$D$285)),0)</f>
        <v>0</v>
      </c>
      <c r="BJ734" s="13">
        <f t="shared" ca="1" si="254"/>
        <v>0</v>
      </c>
      <c r="BK734" s="13">
        <f t="shared" ca="1" si="263"/>
        <v>0</v>
      </c>
      <c r="BL734" s="33"/>
      <c r="BM734" s="13">
        <f t="shared" ca="1" si="255"/>
        <v>0</v>
      </c>
      <c r="BN734" s="13">
        <f ca="1">ROUNDUP(($BK734+$BM734)*VLOOKUP($BE734,Paraméterek!$P$38:$Q$38,2)/12*IF($D735="Nem",IF($M$13=0,1,$M$13),1),IF($D$4="Forint",0,2))</f>
        <v>0</v>
      </c>
      <c r="BO734" s="13">
        <f t="shared" ca="1" si="256"/>
        <v>0</v>
      </c>
      <c r="BP734" s="13">
        <f ca="1">IF($D735="Nem",$BO734,$BO734-ROUNDUP(SUM($BI$20:$BI734)*120%,IF($D$4="Forint",0,2)))</f>
        <v>0</v>
      </c>
    </row>
    <row r="735" spans="1:68" x14ac:dyDescent="0.2">
      <c r="A735" s="32">
        <v>716</v>
      </c>
      <c r="B735" s="32">
        <v>60</v>
      </c>
      <c r="C735" s="32">
        <v>8</v>
      </c>
      <c r="D735" s="32" t="str">
        <f t="shared" ca="1" si="242"/>
        <v>Nem</v>
      </c>
      <c r="E735" s="13">
        <f t="shared" ca="1" si="243"/>
        <v>0</v>
      </c>
      <c r="F735" s="13"/>
      <c r="G735" s="13"/>
      <c r="H735" s="13"/>
      <c r="I735" s="13">
        <f t="shared" ca="1" si="244"/>
        <v>0</v>
      </c>
      <c r="J735" s="13">
        <f t="shared" ca="1" si="245"/>
        <v>0</v>
      </c>
      <c r="K735" s="13">
        <f t="shared" ca="1" si="246"/>
        <v>0</v>
      </c>
      <c r="L735" s="13" t="e">
        <f ca="1">ROUNDUP(IF($D$2="Egyszeri",$E735,IF($D$2="Havi",SUM($E$20:$E$31),IF(MOD($C735,$M$1)-1=0,SUM($E$20:$E$31),0))/12*$M$1)*VLOOKUP($B735,Paraméterek!$I$28:$P$31,IF($D$2="Egyszeri",8,HLOOKUP(ROUNDUP($M$11+$M$13,0),Paraméterek!$J$26:$O$27,2))),IF($D$4="Forint",0,2))</f>
        <v>#N/A</v>
      </c>
      <c r="M735" s="13">
        <f t="shared" ca="1" si="247"/>
        <v>0</v>
      </c>
      <c r="N735" s="13">
        <f t="shared" ca="1" si="257"/>
        <v>0</v>
      </c>
      <c r="O735" s="13">
        <f ca="1">IF($D735="Igen",IF($W734&gt;=IF($D$4="Forint",Paraméterek!$J$121,Paraméterek!$K$121),0,IF($D$4="Forint",Paraméterek!$J$121,Paraméterek!$K$121)-$W734),0)</f>
        <v>0</v>
      </c>
      <c r="P735" s="13" t="e">
        <f ca="1">ROUNDUP($O735*VLOOKUP($M$4+$B735-1,Paraméterek!$H$58:$I$105,2,0)/Paraméterek!$I$56,IF($D$4="Forint",0,2))</f>
        <v>#N/A</v>
      </c>
      <c r="Q735" s="13">
        <f t="shared" ca="1" si="248"/>
        <v>0</v>
      </c>
      <c r="R735" s="33"/>
      <c r="S735" s="13" t="e">
        <f t="shared" ca="1" si="249"/>
        <v>#N/A</v>
      </c>
      <c r="T735" s="13" t="e">
        <f ca="1">ROUNDUP(($N735-$P735-$Q735+$S735)*VLOOKUP($B735,Paraméterek!$I$38:$K$39,IF($D$2="Egyszeri",3,2))/12*IF($D736="Nem",IF($M$13=0,1,$M$13),1),IF($D$4="Forint",0,2))</f>
        <v>#N/A</v>
      </c>
      <c r="U735" s="13"/>
      <c r="V735" s="13"/>
      <c r="W735" s="13" t="e">
        <f ca="1">$N735-$P735-$Q735+$S735-$T735-IF(ROUNDUP(IF(ISBLANK($V735),$U735*0,$V735)/IF($D$2="Egyszeri",VLOOKUP($B735+IF($C735=12,1,0),Paraméterek!$V$257:$W$262,2),IF($B735=1,1,VLOOKUP($B735+IF($C735=12,1,0),Paraméterek!$I$258:$T$278,HLOOKUP($M$11+1,Paraméterek!$J$256:$T$257,2)))),IF($D$4="Forint",0,2))&gt;$N735-$P735-$Q735+$S735-$T735-IF($D$4="Forint",Paraméterek!$C$216,Paraméterek!$D$216),0,ROUNDUP(IF(ISBLANK($V735),$U735*0,$V735)/IF($D$2="Egyszeri",VLOOKUP($B735+IF($C735=12,1,0),Paraméterek!$V$257:$W$262,2),IF($B735=1,1,VLOOKUP($B735+IF($C735=12,1,0),Paraméterek!$I$258:$T$278,HLOOKUP($M$11+1,Paraméterek!$J$256:$T$257,2)))),IF($D$4="Forint",0,2)))</f>
        <v>#N/A</v>
      </c>
      <c r="X735" s="13" t="e">
        <f ca="1">ROUNDDOWN($W735*IF($D$2="Egyszeri",VLOOKUP($B735+IF($C735=12,1,0),Paraméterek!$V$257:$W$262,2),VLOOKUP($B735+IF($C735=12,1,0),Paraméterek!$I$258:$T$278,HLOOKUP($M$11+1,Paraméterek!$I$256:$T$257,2))),IF($D$4="Forint",0,2))</f>
        <v>#N/A</v>
      </c>
      <c r="Z735" s="32">
        <v>716</v>
      </c>
      <c r="AA735" s="32">
        <v>60</v>
      </c>
      <c r="AB735" s="32">
        <v>8</v>
      </c>
      <c r="AC735" s="13">
        <f t="shared" ca="1" si="258"/>
        <v>0</v>
      </c>
      <c r="AD735" s="33"/>
      <c r="AE735" s="13">
        <f t="shared" ca="1" si="250"/>
        <v>0</v>
      </c>
      <c r="AF735" s="13">
        <f ca="1">ROUNDUP(($AC735+$AE735)*VLOOKUP($AA735,Paraméterek!$P$38:$Q$38,2)/12*IF($D736="Nem",IF($M$13=0,1,$M$13),1),IF($D$4="Forint",0,2))</f>
        <v>0</v>
      </c>
      <c r="AG735" s="13">
        <f ca="1">IF($D$2="Egyszeri",IF($D$7&gt;=IF($D$4="Forint",Paraméterek!$P$223,Paraméterek!$P$224),$D$7-IF($D$4="Forint",Paraméterek!$P$223,Paraméterek!$P$224),0),MIN(IF($AB735=12,AVERAGEIF($E$20:$E735,"&gt;0",$E$20:$E735)*12,0),SUM($E$20:$E$31)))</f>
        <v>0</v>
      </c>
      <c r="AH735" s="13">
        <f>IF($AA735=10,$AG735*IF($AB735=12,IF($AG735&lt;IF($D$4="Forint",Paraméterek!$L$223,Paraméterek!$L$224),0,VLOOKUP($AA735,Paraméterek!$K$226:$M$228,IF($AG735&lt;IF($D$4="Forint",Paraméterek!$M$223,Paraméterek!$M$224),2,3))),0),0)</f>
        <v>0</v>
      </c>
      <c r="AI735" s="13">
        <f ca="1">IF(AND($AA735=$M$11+1,$AB735=$M$12+1),SUMIF($AA$20:$AA$1027,$AA735,$AG$20:$AG$1027)*IF(SUMIF($AA$20:$AA$1027,$AA735,$AG$20:$AG$1027)&lt;IF($D$4="Forint",Paraméterek!$L$223,Paraméterek!$L$224),0,VLOOKUP($AA735,Paraméterek!$K$230:$M$250,IF(SUMIF($AA$20:$AA$1027,$AA735,$AG$20:$AG$1027)&lt;IF($D$4="Forint",Paraméterek!$M$223,Paraméterek!$M$224),2,3))),0)</f>
        <v>0</v>
      </c>
      <c r="AJ735" s="13">
        <f ca="1">IF(AND($AA735&gt;=5,MOD($AA735,5)=0),IF($AB735=12,VLOOKUP($AA735,Paraméterek!$O$225:$P$240,2),0),IF(OR($AA735=3,$AA735=4),IF($AB735=12,VLOOKUP($AA735,Paraméterek!$O$225:$P$240,2,0),0),0))*$AG735</f>
        <v>0</v>
      </c>
      <c r="AK735" s="13">
        <f t="shared" ca="1" si="251"/>
        <v>0</v>
      </c>
      <c r="AL735" s="13">
        <f t="shared" ca="1" si="259"/>
        <v>0</v>
      </c>
      <c r="AM735" s="13">
        <f t="shared" ca="1" si="260"/>
        <v>0</v>
      </c>
      <c r="AO735" s="32">
        <v>716</v>
      </c>
      <c r="AP735" s="32">
        <v>60</v>
      </c>
      <c r="AQ735" s="32">
        <v>8</v>
      </c>
      <c r="AR735" s="13"/>
      <c r="AS735" s="32"/>
      <c r="AT735" s="13">
        <f t="shared" ca="1" si="261"/>
        <v>0</v>
      </c>
      <c r="AU735" s="33"/>
      <c r="AV735" s="13">
        <f t="shared" ca="1" si="252"/>
        <v>0</v>
      </c>
      <c r="AW735" s="13">
        <f ca="1">ROUNDUP(($AT735+$AV735)*VLOOKUP($AP735,Paraméterek!$P$38:$Q$38,2)/12*IF($D736="Nem",IF($M$13=0,1,$M$13),1),IF($D$4="Forint",0,2))</f>
        <v>0</v>
      </c>
      <c r="AX735" s="13"/>
      <c r="AY735" s="13"/>
      <c r="AZ735" s="13">
        <f>ROUNDUP(IF(SUM($AX735:$AY735)=0,0,IF(IF(ISBLANK($AY735),$AX735,$AY735)*Paraméterek!$J$112&lt;IF($D$4="Forint",Paraméterek!$J$113,Paraméterek!$K$113),IF($D$4="Forint",Paraméterek!$J$113,Paraméterek!$K$113),IF(IF(ISBLANK($AY735),$AX735,$AY735)*Paraméterek!$J$112&gt;IF($D$4="Forint",Paraméterek!$J$114,Paraméterek!$K$114),IF($D$4="Forint",Paraméterek!$J$114,Paraméterek!$K$114),IF(ISBLANK($AY735),$AX735,$AY735)*Paraméterek!$J$112))),IF($D$4="Forint",0,2))</f>
        <v>0</v>
      </c>
      <c r="BA735" s="13">
        <f ca="1">$AT735+$AV735-$AW735-IF(ROUNDDOWN(IF(ISBLANK($AY735),$AX735,$AY735),IF($D$4="Forint",0,2))&gt;$AT735+$AV735-$AW735-IF($D$4="Forint",Paraméterek!$J$114,Paraméterek!$K$114),0,ROUNDDOWN(IF(ISBLANK($AY735),$AX735,$AY735),IF($D$4="Forint",0,2))-$AZ735)</f>
        <v>0</v>
      </c>
      <c r="BB735" s="13">
        <f t="shared" ca="1" si="253"/>
        <v>0</v>
      </c>
      <c r="BD735" s="32">
        <v>716</v>
      </c>
      <c r="BE735" s="32">
        <v>60</v>
      </c>
      <c r="BF735" s="32">
        <v>8</v>
      </c>
      <c r="BG735" s="34">
        <f t="shared" ca="1" si="262"/>
        <v>2079</v>
      </c>
      <c r="BH735" s="32" t="str">
        <f ca="1">IF(MOD(MONTH($D$14)+$BD735-1,12)=Paraméterek!$C$288,"Igen","")</f>
        <v/>
      </c>
      <c r="BI735" s="13">
        <f ca="1">IF($BH735="Igen",MIN(ROUNDDOWN((SUMIF($BG$20:$BG$1027,$BG735-1,$K$20:$K$1027)-SUMIF($BG$20:$BG$1027,$BG735-1,$I$20:$I$1027))*Paraméterek!$C$289,IF($D$4="Forint",0,2)),IF($D$4="Forint",Paraméterek!$C$285,Paraméterek!$D$285)),0)</f>
        <v>0</v>
      </c>
      <c r="BJ735" s="13">
        <f t="shared" ca="1" si="254"/>
        <v>0</v>
      </c>
      <c r="BK735" s="13">
        <f t="shared" ca="1" si="263"/>
        <v>0</v>
      </c>
      <c r="BL735" s="33"/>
      <c r="BM735" s="13">
        <f t="shared" ca="1" si="255"/>
        <v>0</v>
      </c>
      <c r="BN735" s="13">
        <f ca="1">ROUNDUP(($BK735+$BM735)*VLOOKUP($BE735,Paraméterek!$P$38:$Q$38,2)/12*IF($D736="Nem",IF($M$13=0,1,$M$13),1),IF($D$4="Forint",0,2))</f>
        <v>0</v>
      </c>
      <c r="BO735" s="13">
        <f t="shared" ca="1" si="256"/>
        <v>0</v>
      </c>
      <c r="BP735" s="13">
        <f ca="1">IF($D736="Nem",$BO735,$BO735-ROUNDUP(SUM($BI$20:$BI735)*120%,IF($D$4="Forint",0,2)))</f>
        <v>0</v>
      </c>
    </row>
    <row r="736" spans="1:68" x14ac:dyDescent="0.2">
      <c r="A736" s="32">
        <v>717</v>
      </c>
      <c r="B736" s="32">
        <v>60</v>
      </c>
      <c r="C736" s="32">
        <v>9</v>
      </c>
      <c r="D736" s="32" t="str">
        <f t="shared" ca="1" si="242"/>
        <v>Nem</v>
      </c>
      <c r="E736" s="13">
        <f t="shared" ca="1" si="243"/>
        <v>0</v>
      </c>
      <c r="F736" s="13"/>
      <c r="G736" s="13"/>
      <c r="H736" s="13"/>
      <c r="I736" s="13">
        <f t="shared" ca="1" si="244"/>
        <v>0</v>
      </c>
      <c r="J736" s="13">
        <f t="shared" ca="1" si="245"/>
        <v>0</v>
      </c>
      <c r="K736" s="13">
        <f t="shared" ca="1" si="246"/>
        <v>0</v>
      </c>
      <c r="L736" s="13" t="e">
        <f ca="1">ROUNDUP(IF($D$2="Egyszeri",$E736,IF($D$2="Havi",SUM($E$20:$E$31),IF(MOD($C736,$M$1)-1=0,SUM($E$20:$E$31),0))/12*$M$1)*VLOOKUP($B736,Paraméterek!$I$28:$P$31,IF($D$2="Egyszeri",8,HLOOKUP(ROUNDUP($M$11+$M$13,0),Paraméterek!$J$26:$O$27,2))),IF($D$4="Forint",0,2))</f>
        <v>#N/A</v>
      </c>
      <c r="M736" s="13">
        <f t="shared" ca="1" si="247"/>
        <v>0</v>
      </c>
      <c r="N736" s="13">
        <f t="shared" ca="1" si="257"/>
        <v>0</v>
      </c>
      <c r="O736" s="13">
        <f ca="1">IF($D736="Igen",IF($W735&gt;=IF($D$4="Forint",Paraméterek!$J$121,Paraméterek!$K$121),0,IF($D$4="Forint",Paraméterek!$J$121,Paraméterek!$K$121)-$W735),0)</f>
        <v>0</v>
      </c>
      <c r="P736" s="13" t="e">
        <f ca="1">ROUNDUP($O736*VLOOKUP($M$4+$B736-1,Paraméterek!$H$58:$I$105,2,0)/Paraméterek!$I$56,IF($D$4="Forint",0,2))</f>
        <v>#N/A</v>
      </c>
      <c r="Q736" s="13">
        <f t="shared" ca="1" si="248"/>
        <v>0</v>
      </c>
      <c r="R736" s="33"/>
      <c r="S736" s="13" t="e">
        <f t="shared" ca="1" si="249"/>
        <v>#N/A</v>
      </c>
      <c r="T736" s="13" t="e">
        <f ca="1">ROUNDUP(($N736-$P736-$Q736+$S736)*VLOOKUP($B736,Paraméterek!$I$38:$K$39,IF($D$2="Egyszeri",3,2))/12*IF($D737="Nem",IF($M$13=0,1,$M$13),1),IF($D$4="Forint",0,2))</f>
        <v>#N/A</v>
      </c>
      <c r="U736" s="13"/>
      <c r="V736" s="13"/>
      <c r="W736" s="13" t="e">
        <f ca="1">$N736-$P736-$Q736+$S736-$T736-IF(ROUNDUP(IF(ISBLANK($V736),$U736*0,$V736)/IF($D$2="Egyszeri",VLOOKUP($B736+IF($C736=12,1,0),Paraméterek!$V$257:$W$262,2),IF($B736=1,1,VLOOKUP($B736+IF($C736=12,1,0),Paraméterek!$I$258:$T$278,HLOOKUP($M$11+1,Paraméterek!$J$256:$T$257,2)))),IF($D$4="Forint",0,2))&gt;$N736-$P736-$Q736+$S736-$T736-IF($D$4="Forint",Paraméterek!$C$216,Paraméterek!$D$216),0,ROUNDUP(IF(ISBLANK($V736),$U736*0,$V736)/IF($D$2="Egyszeri",VLOOKUP($B736+IF($C736=12,1,0),Paraméterek!$V$257:$W$262,2),IF($B736=1,1,VLOOKUP($B736+IF($C736=12,1,0),Paraméterek!$I$258:$T$278,HLOOKUP($M$11+1,Paraméterek!$J$256:$T$257,2)))),IF($D$4="Forint",0,2)))</f>
        <v>#N/A</v>
      </c>
      <c r="X736" s="13" t="e">
        <f ca="1">ROUNDDOWN($W736*IF($D$2="Egyszeri",VLOOKUP($B736+IF($C736=12,1,0),Paraméterek!$V$257:$W$262,2),VLOOKUP($B736+IF($C736=12,1,0),Paraméterek!$I$258:$T$278,HLOOKUP($M$11+1,Paraméterek!$I$256:$T$257,2))),IF($D$4="Forint",0,2))</f>
        <v>#N/A</v>
      </c>
      <c r="Z736" s="32">
        <v>717</v>
      </c>
      <c r="AA736" s="32">
        <v>60</v>
      </c>
      <c r="AB736" s="32">
        <v>9</v>
      </c>
      <c r="AC736" s="13">
        <f t="shared" ca="1" si="258"/>
        <v>0</v>
      </c>
      <c r="AD736" s="33"/>
      <c r="AE736" s="13">
        <f t="shared" ca="1" si="250"/>
        <v>0</v>
      </c>
      <c r="AF736" s="13">
        <f ca="1">ROUNDUP(($AC736+$AE736)*VLOOKUP($AA736,Paraméterek!$P$38:$Q$38,2)/12*IF($D737="Nem",IF($M$13=0,1,$M$13),1),IF($D$4="Forint",0,2))</f>
        <v>0</v>
      </c>
      <c r="AG736" s="13">
        <f ca="1">IF($D$2="Egyszeri",IF($D$7&gt;=IF($D$4="Forint",Paraméterek!$P$223,Paraméterek!$P$224),$D$7-IF($D$4="Forint",Paraméterek!$P$223,Paraméterek!$P$224),0),MIN(IF($AB736=12,AVERAGEIF($E$20:$E736,"&gt;0",$E$20:$E736)*12,0),SUM($E$20:$E$31)))</f>
        <v>0</v>
      </c>
      <c r="AH736" s="13">
        <f>IF($AA736=10,$AG736*IF($AB736=12,IF($AG736&lt;IF($D$4="Forint",Paraméterek!$L$223,Paraméterek!$L$224),0,VLOOKUP($AA736,Paraméterek!$K$226:$M$228,IF($AG736&lt;IF($D$4="Forint",Paraméterek!$M$223,Paraméterek!$M$224),2,3))),0),0)</f>
        <v>0</v>
      </c>
      <c r="AI736" s="13">
        <f ca="1">IF(AND($AA736=$M$11+1,$AB736=$M$12+1),SUMIF($AA$20:$AA$1027,$AA736,$AG$20:$AG$1027)*IF(SUMIF($AA$20:$AA$1027,$AA736,$AG$20:$AG$1027)&lt;IF($D$4="Forint",Paraméterek!$L$223,Paraméterek!$L$224),0,VLOOKUP($AA736,Paraméterek!$K$230:$M$250,IF(SUMIF($AA$20:$AA$1027,$AA736,$AG$20:$AG$1027)&lt;IF($D$4="Forint",Paraméterek!$M$223,Paraméterek!$M$224),2,3))),0)</f>
        <v>0</v>
      </c>
      <c r="AJ736" s="13">
        <f ca="1">IF(AND($AA736&gt;=5,MOD($AA736,5)=0),IF($AB736=12,VLOOKUP($AA736,Paraméterek!$O$225:$P$240,2),0),IF(OR($AA736=3,$AA736=4),IF($AB736=12,VLOOKUP($AA736,Paraméterek!$O$225:$P$240,2,0),0),0))*$AG736</f>
        <v>0</v>
      </c>
      <c r="AK736" s="13">
        <f t="shared" ca="1" si="251"/>
        <v>0</v>
      </c>
      <c r="AL736" s="13">
        <f t="shared" ca="1" si="259"/>
        <v>0</v>
      </c>
      <c r="AM736" s="13">
        <f t="shared" ca="1" si="260"/>
        <v>0</v>
      </c>
      <c r="AO736" s="32">
        <v>717</v>
      </c>
      <c r="AP736" s="32">
        <v>60</v>
      </c>
      <c r="AQ736" s="32">
        <v>9</v>
      </c>
      <c r="AR736" s="13"/>
      <c r="AS736" s="32"/>
      <c r="AT736" s="13">
        <f t="shared" ca="1" si="261"/>
        <v>0</v>
      </c>
      <c r="AU736" s="33"/>
      <c r="AV736" s="13">
        <f t="shared" ca="1" si="252"/>
        <v>0</v>
      </c>
      <c r="AW736" s="13">
        <f ca="1">ROUNDUP(($AT736+$AV736)*VLOOKUP($AP736,Paraméterek!$P$38:$Q$38,2)/12*IF($D737="Nem",IF($M$13=0,1,$M$13),1),IF($D$4="Forint",0,2))</f>
        <v>0</v>
      </c>
      <c r="AX736" s="13"/>
      <c r="AY736" s="13"/>
      <c r="AZ736" s="13">
        <f>ROUNDUP(IF(SUM($AX736:$AY736)=0,0,IF(IF(ISBLANK($AY736),$AX736,$AY736)*Paraméterek!$J$112&lt;IF($D$4="Forint",Paraméterek!$J$113,Paraméterek!$K$113),IF($D$4="Forint",Paraméterek!$J$113,Paraméterek!$K$113),IF(IF(ISBLANK($AY736),$AX736,$AY736)*Paraméterek!$J$112&gt;IF($D$4="Forint",Paraméterek!$J$114,Paraméterek!$K$114),IF($D$4="Forint",Paraméterek!$J$114,Paraméterek!$K$114),IF(ISBLANK($AY736),$AX736,$AY736)*Paraméterek!$J$112))),IF($D$4="Forint",0,2))</f>
        <v>0</v>
      </c>
      <c r="BA736" s="13">
        <f ca="1">$AT736+$AV736-$AW736-IF(ROUNDDOWN(IF(ISBLANK($AY736),$AX736,$AY736),IF($D$4="Forint",0,2))&gt;$AT736+$AV736-$AW736-IF($D$4="Forint",Paraméterek!$J$114,Paraméterek!$K$114),0,ROUNDDOWN(IF(ISBLANK($AY736),$AX736,$AY736),IF($D$4="Forint",0,2))-$AZ736)</f>
        <v>0</v>
      </c>
      <c r="BB736" s="13">
        <f t="shared" ca="1" si="253"/>
        <v>0</v>
      </c>
      <c r="BD736" s="32">
        <v>717</v>
      </c>
      <c r="BE736" s="32">
        <v>60</v>
      </c>
      <c r="BF736" s="32">
        <v>9</v>
      </c>
      <c r="BG736" s="34">
        <f t="shared" ca="1" si="262"/>
        <v>2079</v>
      </c>
      <c r="BH736" s="32" t="str">
        <f ca="1">IF(MOD(MONTH($D$14)+$BD736-1,12)=Paraméterek!$C$288,"Igen","")</f>
        <v/>
      </c>
      <c r="BI736" s="13">
        <f ca="1">IF($BH736="Igen",MIN(ROUNDDOWN((SUMIF($BG$20:$BG$1027,$BG736-1,$K$20:$K$1027)-SUMIF($BG$20:$BG$1027,$BG736-1,$I$20:$I$1027))*Paraméterek!$C$289,IF($D$4="Forint",0,2)),IF($D$4="Forint",Paraméterek!$C$285,Paraméterek!$D$285)),0)</f>
        <v>0</v>
      </c>
      <c r="BJ736" s="13">
        <f t="shared" ca="1" si="254"/>
        <v>0</v>
      </c>
      <c r="BK736" s="13">
        <f t="shared" ca="1" si="263"/>
        <v>0</v>
      </c>
      <c r="BL736" s="33"/>
      <c r="BM736" s="13">
        <f t="shared" ca="1" si="255"/>
        <v>0</v>
      </c>
      <c r="BN736" s="13">
        <f ca="1">ROUNDUP(($BK736+$BM736)*VLOOKUP($BE736,Paraméterek!$P$38:$Q$38,2)/12*IF($D737="Nem",IF($M$13=0,1,$M$13),1),IF($D$4="Forint",0,2))</f>
        <v>0</v>
      </c>
      <c r="BO736" s="13">
        <f t="shared" ca="1" si="256"/>
        <v>0</v>
      </c>
      <c r="BP736" s="13">
        <f ca="1">IF($D737="Nem",$BO736,$BO736-ROUNDUP(SUM($BI$20:$BI736)*120%,IF($D$4="Forint",0,2)))</f>
        <v>0</v>
      </c>
    </row>
    <row r="737" spans="1:68" x14ac:dyDescent="0.2">
      <c r="A737" s="32">
        <v>718</v>
      </c>
      <c r="B737" s="32">
        <v>60</v>
      </c>
      <c r="C737" s="32">
        <v>10</v>
      </c>
      <c r="D737" s="32" t="str">
        <f t="shared" ca="1" si="242"/>
        <v>Nem</v>
      </c>
      <c r="E737" s="13">
        <f t="shared" ca="1" si="243"/>
        <v>0</v>
      </c>
      <c r="F737" s="13"/>
      <c r="G737" s="13"/>
      <c r="H737" s="13"/>
      <c r="I737" s="13">
        <f t="shared" ca="1" si="244"/>
        <v>0</v>
      </c>
      <c r="J737" s="13">
        <f t="shared" ca="1" si="245"/>
        <v>0</v>
      </c>
      <c r="K737" s="13">
        <f t="shared" ca="1" si="246"/>
        <v>0</v>
      </c>
      <c r="L737" s="13" t="e">
        <f ca="1">ROUNDUP(IF($D$2="Egyszeri",$E737,IF($D$2="Havi",SUM($E$20:$E$31),IF(MOD($C737,$M$1)-1=0,SUM($E$20:$E$31),0))/12*$M$1)*VLOOKUP($B737,Paraméterek!$I$28:$P$31,IF($D$2="Egyszeri",8,HLOOKUP(ROUNDUP($M$11+$M$13,0),Paraméterek!$J$26:$O$27,2))),IF($D$4="Forint",0,2))</f>
        <v>#N/A</v>
      </c>
      <c r="M737" s="13">
        <f t="shared" ca="1" si="247"/>
        <v>0</v>
      </c>
      <c r="N737" s="13">
        <f t="shared" ca="1" si="257"/>
        <v>0</v>
      </c>
      <c r="O737" s="13">
        <f ca="1">IF($D737="Igen",IF($W736&gt;=IF($D$4="Forint",Paraméterek!$J$121,Paraméterek!$K$121),0,IF($D$4="Forint",Paraméterek!$J$121,Paraméterek!$K$121)-$W736),0)</f>
        <v>0</v>
      </c>
      <c r="P737" s="13" t="e">
        <f ca="1">ROUNDUP($O737*VLOOKUP($M$4+$B737-1,Paraméterek!$H$58:$I$105,2,0)/Paraméterek!$I$56,IF($D$4="Forint",0,2))</f>
        <v>#N/A</v>
      </c>
      <c r="Q737" s="13">
        <f t="shared" ca="1" si="248"/>
        <v>0</v>
      </c>
      <c r="R737" s="33"/>
      <c r="S737" s="13" t="e">
        <f t="shared" ca="1" si="249"/>
        <v>#N/A</v>
      </c>
      <c r="T737" s="13" t="e">
        <f ca="1">ROUNDUP(($N737-$P737-$Q737+$S737)*VLOOKUP($B737,Paraméterek!$I$38:$K$39,IF($D$2="Egyszeri",3,2))/12*IF($D738="Nem",IF($M$13=0,1,$M$13),1),IF($D$4="Forint",0,2))</f>
        <v>#N/A</v>
      </c>
      <c r="U737" s="13"/>
      <c r="V737" s="13"/>
      <c r="W737" s="13" t="e">
        <f ca="1">$N737-$P737-$Q737+$S737-$T737-IF(ROUNDUP(IF(ISBLANK($V737),$U737*0,$V737)/IF($D$2="Egyszeri",VLOOKUP($B737+IF($C737=12,1,0),Paraméterek!$V$257:$W$262,2),IF($B737=1,1,VLOOKUP($B737+IF($C737=12,1,0),Paraméterek!$I$258:$T$278,HLOOKUP($M$11+1,Paraméterek!$J$256:$T$257,2)))),IF($D$4="Forint",0,2))&gt;$N737-$P737-$Q737+$S737-$T737-IF($D$4="Forint",Paraméterek!$C$216,Paraméterek!$D$216),0,ROUNDUP(IF(ISBLANK($V737),$U737*0,$V737)/IF($D$2="Egyszeri",VLOOKUP($B737+IF($C737=12,1,0),Paraméterek!$V$257:$W$262,2),IF($B737=1,1,VLOOKUP($B737+IF($C737=12,1,0),Paraméterek!$I$258:$T$278,HLOOKUP($M$11+1,Paraméterek!$J$256:$T$257,2)))),IF($D$4="Forint",0,2)))</f>
        <v>#N/A</v>
      </c>
      <c r="X737" s="13" t="e">
        <f ca="1">ROUNDDOWN($W737*IF($D$2="Egyszeri",VLOOKUP($B737+IF($C737=12,1,0),Paraméterek!$V$257:$W$262,2),VLOOKUP($B737+IF($C737=12,1,0),Paraméterek!$I$258:$T$278,HLOOKUP($M$11+1,Paraméterek!$I$256:$T$257,2))),IF($D$4="Forint",0,2))</f>
        <v>#N/A</v>
      </c>
      <c r="Z737" s="32">
        <v>718</v>
      </c>
      <c r="AA737" s="32">
        <v>60</v>
      </c>
      <c r="AB737" s="32">
        <v>10</v>
      </c>
      <c r="AC737" s="13">
        <f t="shared" ca="1" si="258"/>
        <v>0</v>
      </c>
      <c r="AD737" s="33"/>
      <c r="AE737" s="13">
        <f t="shared" ca="1" si="250"/>
        <v>0</v>
      </c>
      <c r="AF737" s="13">
        <f ca="1">ROUNDUP(($AC737+$AE737)*VLOOKUP($AA737,Paraméterek!$P$38:$Q$38,2)/12*IF($D738="Nem",IF($M$13=0,1,$M$13),1),IF($D$4="Forint",0,2))</f>
        <v>0</v>
      </c>
      <c r="AG737" s="13">
        <f ca="1">IF($D$2="Egyszeri",IF($D$7&gt;=IF($D$4="Forint",Paraméterek!$P$223,Paraméterek!$P$224),$D$7-IF($D$4="Forint",Paraméterek!$P$223,Paraméterek!$P$224),0),MIN(IF($AB737=12,AVERAGEIF($E$20:$E737,"&gt;0",$E$20:$E737)*12,0),SUM($E$20:$E$31)))</f>
        <v>0</v>
      </c>
      <c r="AH737" s="13">
        <f>IF($AA737=10,$AG737*IF($AB737=12,IF($AG737&lt;IF($D$4="Forint",Paraméterek!$L$223,Paraméterek!$L$224),0,VLOOKUP($AA737,Paraméterek!$K$226:$M$228,IF($AG737&lt;IF($D$4="Forint",Paraméterek!$M$223,Paraméterek!$M$224),2,3))),0),0)</f>
        <v>0</v>
      </c>
      <c r="AI737" s="13">
        <f ca="1">IF(AND($AA737=$M$11+1,$AB737=$M$12+1),SUMIF($AA$20:$AA$1027,$AA737,$AG$20:$AG$1027)*IF(SUMIF($AA$20:$AA$1027,$AA737,$AG$20:$AG$1027)&lt;IF($D$4="Forint",Paraméterek!$L$223,Paraméterek!$L$224),0,VLOOKUP($AA737,Paraméterek!$K$230:$M$250,IF(SUMIF($AA$20:$AA$1027,$AA737,$AG$20:$AG$1027)&lt;IF($D$4="Forint",Paraméterek!$M$223,Paraméterek!$M$224),2,3))),0)</f>
        <v>0</v>
      </c>
      <c r="AJ737" s="13">
        <f ca="1">IF(AND($AA737&gt;=5,MOD($AA737,5)=0),IF($AB737=12,VLOOKUP($AA737,Paraméterek!$O$225:$P$240,2),0),IF(OR($AA737=3,$AA737=4),IF($AB737=12,VLOOKUP($AA737,Paraméterek!$O$225:$P$240,2,0),0),0))*$AG737</f>
        <v>0</v>
      </c>
      <c r="AK737" s="13">
        <f t="shared" ca="1" si="251"/>
        <v>0</v>
      </c>
      <c r="AL737" s="13">
        <f t="shared" ca="1" si="259"/>
        <v>0</v>
      </c>
      <c r="AM737" s="13">
        <f t="shared" ca="1" si="260"/>
        <v>0</v>
      </c>
      <c r="AO737" s="32">
        <v>718</v>
      </c>
      <c r="AP737" s="32">
        <v>60</v>
      </c>
      <c r="AQ737" s="32">
        <v>10</v>
      </c>
      <c r="AR737" s="13"/>
      <c r="AS737" s="32"/>
      <c r="AT737" s="13">
        <f t="shared" ca="1" si="261"/>
        <v>0</v>
      </c>
      <c r="AU737" s="33"/>
      <c r="AV737" s="13">
        <f t="shared" ca="1" si="252"/>
        <v>0</v>
      </c>
      <c r="AW737" s="13">
        <f ca="1">ROUNDUP(($AT737+$AV737)*VLOOKUP($AP737,Paraméterek!$P$38:$Q$38,2)/12*IF($D738="Nem",IF($M$13=0,1,$M$13),1),IF($D$4="Forint",0,2))</f>
        <v>0</v>
      </c>
      <c r="AX737" s="13"/>
      <c r="AY737" s="13"/>
      <c r="AZ737" s="13">
        <f>ROUNDUP(IF(SUM($AX737:$AY737)=0,0,IF(IF(ISBLANK($AY737),$AX737,$AY737)*Paraméterek!$J$112&lt;IF($D$4="Forint",Paraméterek!$J$113,Paraméterek!$K$113),IF($D$4="Forint",Paraméterek!$J$113,Paraméterek!$K$113),IF(IF(ISBLANK($AY737),$AX737,$AY737)*Paraméterek!$J$112&gt;IF($D$4="Forint",Paraméterek!$J$114,Paraméterek!$K$114),IF($D$4="Forint",Paraméterek!$J$114,Paraméterek!$K$114),IF(ISBLANK($AY737),$AX737,$AY737)*Paraméterek!$J$112))),IF($D$4="Forint",0,2))</f>
        <v>0</v>
      </c>
      <c r="BA737" s="13">
        <f ca="1">$AT737+$AV737-$AW737-IF(ROUNDDOWN(IF(ISBLANK($AY737),$AX737,$AY737),IF($D$4="Forint",0,2))&gt;$AT737+$AV737-$AW737-IF($D$4="Forint",Paraméterek!$J$114,Paraméterek!$K$114),0,ROUNDDOWN(IF(ISBLANK($AY737),$AX737,$AY737),IF($D$4="Forint",0,2))-$AZ737)</f>
        <v>0</v>
      </c>
      <c r="BB737" s="13">
        <f t="shared" ca="1" si="253"/>
        <v>0</v>
      </c>
      <c r="BD737" s="32">
        <v>718</v>
      </c>
      <c r="BE737" s="32">
        <v>60</v>
      </c>
      <c r="BF737" s="32">
        <v>10</v>
      </c>
      <c r="BG737" s="34">
        <f t="shared" ca="1" si="262"/>
        <v>2079</v>
      </c>
      <c r="BH737" s="32" t="str">
        <f ca="1">IF(MOD(MONTH($D$14)+$BD737-1,12)=Paraméterek!$C$288,"Igen","")</f>
        <v/>
      </c>
      <c r="BI737" s="13">
        <f ca="1">IF($BH737="Igen",MIN(ROUNDDOWN((SUMIF($BG$20:$BG$1027,$BG737-1,$K$20:$K$1027)-SUMIF($BG$20:$BG$1027,$BG737-1,$I$20:$I$1027))*Paraméterek!$C$289,IF($D$4="Forint",0,2)),IF($D$4="Forint",Paraméterek!$C$285,Paraméterek!$D$285)),0)</f>
        <v>0</v>
      </c>
      <c r="BJ737" s="13">
        <f t="shared" ca="1" si="254"/>
        <v>0</v>
      </c>
      <c r="BK737" s="13">
        <f t="shared" ca="1" si="263"/>
        <v>0</v>
      </c>
      <c r="BL737" s="33"/>
      <c r="BM737" s="13">
        <f t="shared" ca="1" si="255"/>
        <v>0</v>
      </c>
      <c r="BN737" s="13">
        <f ca="1">ROUNDUP(($BK737+$BM737)*VLOOKUP($BE737,Paraméterek!$P$38:$Q$38,2)/12*IF($D738="Nem",IF($M$13=0,1,$M$13),1),IF($D$4="Forint",0,2))</f>
        <v>0</v>
      </c>
      <c r="BO737" s="13">
        <f t="shared" ca="1" si="256"/>
        <v>0</v>
      </c>
      <c r="BP737" s="13">
        <f ca="1">IF($D738="Nem",$BO737,$BO737-ROUNDUP(SUM($BI$20:$BI737)*120%,IF($D$4="Forint",0,2)))</f>
        <v>0</v>
      </c>
    </row>
    <row r="738" spans="1:68" x14ac:dyDescent="0.2">
      <c r="A738" s="32">
        <v>719</v>
      </c>
      <c r="B738" s="32">
        <v>60</v>
      </c>
      <c r="C738" s="32">
        <v>11</v>
      </c>
      <c r="D738" s="32" t="str">
        <f t="shared" ca="1" si="242"/>
        <v>Nem</v>
      </c>
      <c r="E738" s="13">
        <f t="shared" ca="1" si="243"/>
        <v>0</v>
      </c>
      <c r="F738" s="13"/>
      <c r="G738" s="13"/>
      <c r="H738" s="13"/>
      <c r="I738" s="13">
        <f t="shared" ca="1" si="244"/>
        <v>0</v>
      </c>
      <c r="J738" s="13">
        <f t="shared" ca="1" si="245"/>
        <v>0</v>
      </c>
      <c r="K738" s="13">
        <f t="shared" ca="1" si="246"/>
        <v>0</v>
      </c>
      <c r="L738" s="13" t="e">
        <f ca="1">ROUNDUP(IF($D$2="Egyszeri",$E738,IF($D$2="Havi",SUM($E$20:$E$31),IF(MOD($C738,$M$1)-1=0,SUM($E$20:$E$31),0))/12*$M$1)*VLOOKUP($B738,Paraméterek!$I$28:$P$31,IF($D$2="Egyszeri",8,HLOOKUP(ROUNDUP($M$11+$M$13,0),Paraméterek!$J$26:$O$27,2))),IF($D$4="Forint",0,2))</f>
        <v>#N/A</v>
      </c>
      <c r="M738" s="13">
        <f t="shared" ca="1" si="247"/>
        <v>0</v>
      </c>
      <c r="N738" s="13">
        <f t="shared" ca="1" si="257"/>
        <v>0</v>
      </c>
      <c r="O738" s="13">
        <f ca="1">IF($D738="Igen",IF($W737&gt;=IF($D$4="Forint",Paraméterek!$J$121,Paraméterek!$K$121),0,IF($D$4="Forint",Paraméterek!$J$121,Paraméterek!$K$121)-$W737),0)</f>
        <v>0</v>
      </c>
      <c r="P738" s="13" t="e">
        <f ca="1">ROUNDUP($O738*VLOOKUP($M$4+$B738-1,Paraméterek!$H$58:$I$105,2,0)/Paraméterek!$I$56,IF($D$4="Forint",0,2))</f>
        <v>#N/A</v>
      </c>
      <c r="Q738" s="13">
        <f t="shared" ca="1" si="248"/>
        <v>0</v>
      </c>
      <c r="R738" s="33"/>
      <c r="S738" s="13" t="e">
        <f t="shared" ca="1" si="249"/>
        <v>#N/A</v>
      </c>
      <c r="T738" s="13" t="e">
        <f ca="1">ROUNDUP(($N738-$P738-$Q738+$S738)*VLOOKUP($B738,Paraméterek!$I$38:$K$39,IF($D$2="Egyszeri",3,2))/12*IF($D739="Nem",IF($M$13=0,1,$M$13),1),IF($D$4="Forint",0,2))</f>
        <v>#N/A</v>
      </c>
      <c r="U738" s="13"/>
      <c r="V738" s="13"/>
      <c r="W738" s="13" t="e">
        <f ca="1">$N738-$P738-$Q738+$S738-$T738-IF(ROUNDUP(IF(ISBLANK($V738),$U738*0,$V738)/IF($D$2="Egyszeri",VLOOKUP($B738+IF($C738=12,1,0),Paraméterek!$V$257:$W$262,2),IF($B738=1,1,VLOOKUP($B738+IF($C738=12,1,0),Paraméterek!$I$258:$T$278,HLOOKUP($M$11+1,Paraméterek!$J$256:$T$257,2)))),IF($D$4="Forint",0,2))&gt;$N738-$P738-$Q738+$S738-$T738-IF($D$4="Forint",Paraméterek!$C$216,Paraméterek!$D$216),0,ROUNDUP(IF(ISBLANK($V738),$U738*0,$V738)/IF($D$2="Egyszeri",VLOOKUP($B738+IF($C738=12,1,0),Paraméterek!$V$257:$W$262,2),IF($B738=1,1,VLOOKUP($B738+IF($C738=12,1,0),Paraméterek!$I$258:$T$278,HLOOKUP($M$11+1,Paraméterek!$J$256:$T$257,2)))),IF($D$4="Forint",0,2)))</f>
        <v>#N/A</v>
      </c>
      <c r="X738" s="13" t="e">
        <f ca="1">ROUNDDOWN($W738*IF($D$2="Egyszeri",VLOOKUP($B738+IF($C738=12,1,0),Paraméterek!$V$257:$W$262,2),VLOOKUP($B738+IF($C738=12,1,0),Paraméterek!$I$258:$T$278,HLOOKUP($M$11+1,Paraméterek!$I$256:$T$257,2))),IF($D$4="Forint",0,2))</f>
        <v>#N/A</v>
      </c>
      <c r="Z738" s="32">
        <v>719</v>
      </c>
      <c r="AA738" s="32">
        <v>60</v>
      </c>
      <c r="AB738" s="32">
        <v>11</v>
      </c>
      <c r="AC738" s="13">
        <f t="shared" ca="1" si="258"/>
        <v>0</v>
      </c>
      <c r="AD738" s="33"/>
      <c r="AE738" s="13">
        <f t="shared" ca="1" si="250"/>
        <v>0</v>
      </c>
      <c r="AF738" s="13">
        <f ca="1">ROUNDUP(($AC738+$AE738)*VLOOKUP($AA738,Paraméterek!$P$38:$Q$38,2)/12*IF($D739="Nem",IF($M$13=0,1,$M$13),1),IF($D$4="Forint",0,2))</f>
        <v>0</v>
      </c>
      <c r="AG738" s="13">
        <f ca="1">IF($D$2="Egyszeri",IF($D$7&gt;=IF($D$4="Forint",Paraméterek!$P$223,Paraméterek!$P$224),$D$7-IF($D$4="Forint",Paraméterek!$P$223,Paraméterek!$P$224),0),MIN(IF($AB738=12,AVERAGEIF($E$20:$E738,"&gt;0",$E$20:$E738)*12,0),SUM($E$20:$E$31)))</f>
        <v>0</v>
      </c>
      <c r="AH738" s="13">
        <f>IF($AA738=10,$AG738*IF($AB738=12,IF($AG738&lt;IF($D$4="Forint",Paraméterek!$L$223,Paraméterek!$L$224),0,VLOOKUP($AA738,Paraméterek!$K$226:$M$228,IF($AG738&lt;IF($D$4="Forint",Paraméterek!$M$223,Paraméterek!$M$224),2,3))),0),0)</f>
        <v>0</v>
      </c>
      <c r="AI738" s="13">
        <f ca="1">IF(AND($AA738=$M$11+1,$AB738=$M$12+1),SUMIF($AA$20:$AA$1027,$AA738,$AG$20:$AG$1027)*IF(SUMIF($AA$20:$AA$1027,$AA738,$AG$20:$AG$1027)&lt;IF($D$4="Forint",Paraméterek!$L$223,Paraméterek!$L$224),0,VLOOKUP($AA738,Paraméterek!$K$230:$M$250,IF(SUMIF($AA$20:$AA$1027,$AA738,$AG$20:$AG$1027)&lt;IF($D$4="Forint",Paraméterek!$M$223,Paraméterek!$M$224),2,3))),0)</f>
        <v>0</v>
      </c>
      <c r="AJ738" s="13">
        <f ca="1">IF(AND($AA738&gt;=5,MOD($AA738,5)=0),IF($AB738=12,VLOOKUP($AA738,Paraméterek!$O$225:$P$240,2),0),IF(OR($AA738=3,$AA738=4),IF($AB738=12,VLOOKUP($AA738,Paraméterek!$O$225:$P$240,2,0),0),0))*$AG738</f>
        <v>0</v>
      </c>
      <c r="AK738" s="13">
        <f t="shared" ca="1" si="251"/>
        <v>0</v>
      </c>
      <c r="AL738" s="13">
        <f t="shared" ca="1" si="259"/>
        <v>0</v>
      </c>
      <c r="AM738" s="13">
        <f t="shared" ca="1" si="260"/>
        <v>0</v>
      </c>
      <c r="AO738" s="32">
        <v>719</v>
      </c>
      <c r="AP738" s="32">
        <v>60</v>
      </c>
      <c r="AQ738" s="32">
        <v>11</v>
      </c>
      <c r="AR738" s="13"/>
      <c r="AS738" s="32"/>
      <c r="AT738" s="13">
        <f t="shared" ca="1" si="261"/>
        <v>0</v>
      </c>
      <c r="AU738" s="33"/>
      <c r="AV738" s="13">
        <f t="shared" ca="1" si="252"/>
        <v>0</v>
      </c>
      <c r="AW738" s="13">
        <f ca="1">ROUNDUP(($AT738+$AV738)*VLOOKUP($AP738,Paraméterek!$P$38:$Q$38,2)/12*IF($D739="Nem",IF($M$13=0,1,$M$13),1),IF($D$4="Forint",0,2))</f>
        <v>0</v>
      </c>
      <c r="AX738" s="13"/>
      <c r="AY738" s="13"/>
      <c r="AZ738" s="13">
        <f>ROUNDUP(IF(SUM($AX738:$AY738)=0,0,IF(IF(ISBLANK($AY738),$AX738,$AY738)*Paraméterek!$J$112&lt;IF($D$4="Forint",Paraméterek!$J$113,Paraméterek!$K$113),IF($D$4="Forint",Paraméterek!$J$113,Paraméterek!$K$113),IF(IF(ISBLANK($AY738),$AX738,$AY738)*Paraméterek!$J$112&gt;IF($D$4="Forint",Paraméterek!$J$114,Paraméterek!$K$114),IF($D$4="Forint",Paraméterek!$J$114,Paraméterek!$K$114),IF(ISBLANK($AY738),$AX738,$AY738)*Paraméterek!$J$112))),IF($D$4="Forint",0,2))</f>
        <v>0</v>
      </c>
      <c r="BA738" s="13">
        <f ca="1">$AT738+$AV738-$AW738-IF(ROUNDDOWN(IF(ISBLANK($AY738),$AX738,$AY738),IF($D$4="Forint",0,2))&gt;$AT738+$AV738-$AW738-IF($D$4="Forint",Paraméterek!$J$114,Paraméterek!$K$114),0,ROUNDDOWN(IF(ISBLANK($AY738),$AX738,$AY738),IF($D$4="Forint",0,2))-$AZ738)</f>
        <v>0</v>
      </c>
      <c r="BB738" s="13">
        <f t="shared" ca="1" si="253"/>
        <v>0</v>
      </c>
      <c r="BD738" s="32">
        <v>719</v>
      </c>
      <c r="BE738" s="32">
        <v>60</v>
      </c>
      <c r="BF738" s="32">
        <v>11</v>
      </c>
      <c r="BG738" s="34">
        <f t="shared" ca="1" si="262"/>
        <v>2079</v>
      </c>
      <c r="BH738" s="32" t="str">
        <f ca="1">IF(MOD(MONTH($D$14)+$BD738-1,12)=Paraméterek!$C$288,"Igen","")</f>
        <v/>
      </c>
      <c r="BI738" s="13">
        <f ca="1">IF($BH738="Igen",MIN(ROUNDDOWN((SUMIF($BG$20:$BG$1027,$BG738-1,$K$20:$K$1027)-SUMIF($BG$20:$BG$1027,$BG738-1,$I$20:$I$1027))*Paraméterek!$C$289,IF($D$4="Forint",0,2)),IF($D$4="Forint",Paraméterek!$C$285,Paraméterek!$D$285)),0)</f>
        <v>0</v>
      </c>
      <c r="BJ738" s="13">
        <f t="shared" ca="1" si="254"/>
        <v>0</v>
      </c>
      <c r="BK738" s="13">
        <f t="shared" ca="1" si="263"/>
        <v>0</v>
      </c>
      <c r="BL738" s="33"/>
      <c r="BM738" s="13">
        <f t="shared" ca="1" si="255"/>
        <v>0</v>
      </c>
      <c r="BN738" s="13">
        <f ca="1">ROUNDUP(($BK738+$BM738)*VLOOKUP($BE738,Paraméterek!$P$38:$Q$38,2)/12*IF($D739="Nem",IF($M$13=0,1,$M$13),1),IF($D$4="Forint",0,2))</f>
        <v>0</v>
      </c>
      <c r="BO738" s="13">
        <f t="shared" ca="1" si="256"/>
        <v>0</v>
      </c>
      <c r="BP738" s="13">
        <f ca="1">IF($D739="Nem",$BO738,$BO738-ROUNDUP(SUM($BI$20:$BI738)*120%,IF($D$4="Forint",0,2)))</f>
        <v>0</v>
      </c>
    </row>
    <row r="739" spans="1:68" x14ac:dyDescent="0.2">
      <c r="A739" s="32">
        <v>720</v>
      </c>
      <c r="B739" s="32">
        <v>60</v>
      </c>
      <c r="C739" s="32">
        <v>12</v>
      </c>
      <c r="D739" s="32" t="str">
        <f t="shared" ca="1" si="242"/>
        <v>Nem</v>
      </c>
      <c r="E739" s="13">
        <f t="shared" ca="1" si="243"/>
        <v>0</v>
      </c>
      <c r="F739" s="13"/>
      <c r="G739" s="13"/>
      <c r="H739" s="13"/>
      <c r="I739" s="13">
        <f t="shared" ca="1" si="244"/>
        <v>0</v>
      </c>
      <c r="J739" s="13">
        <f t="shared" ca="1" si="245"/>
        <v>0</v>
      </c>
      <c r="K739" s="13">
        <f t="shared" ca="1" si="246"/>
        <v>0</v>
      </c>
      <c r="L739" s="13" t="e">
        <f ca="1">ROUNDUP(IF($D$2="Egyszeri",$E739,IF($D$2="Havi",SUM($E$20:$E$31),IF(MOD($C739,$M$1)-1=0,SUM($E$20:$E$31),0))/12*$M$1)*VLOOKUP($B739,Paraméterek!$I$28:$P$31,IF($D$2="Egyszeri",8,HLOOKUP(ROUNDUP($M$11+$M$13,0),Paraméterek!$J$26:$O$27,2))),IF($D$4="Forint",0,2))</f>
        <v>#N/A</v>
      </c>
      <c r="M739" s="13">
        <f t="shared" ca="1" si="247"/>
        <v>0</v>
      </c>
      <c r="N739" s="13">
        <f t="shared" ca="1" si="257"/>
        <v>0</v>
      </c>
      <c r="O739" s="13">
        <f ca="1">IF($D739="Igen",IF($W738&gt;=IF($D$4="Forint",Paraméterek!$J$121,Paraméterek!$K$121),0,IF($D$4="Forint",Paraméterek!$J$121,Paraméterek!$K$121)-$W738),0)</f>
        <v>0</v>
      </c>
      <c r="P739" s="13" t="e">
        <f ca="1">ROUNDUP($O739*VLOOKUP($M$4+$B739-1,Paraméterek!$H$58:$I$105,2,0)/Paraméterek!$I$56,IF($D$4="Forint",0,2))</f>
        <v>#N/A</v>
      </c>
      <c r="Q739" s="13">
        <f t="shared" ca="1" si="248"/>
        <v>0</v>
      </c>
      <c r="R739" s="33"/>
      <c r="S739" s="13" t="e">
        <f t="shared" ca="1" si="249"/>
        <v>#N/A</v>
      </c>
      <c r="T739" s="13" t="e">
        <f ca="1">ROUNDUP(($N739-$P739-$Q739+$S739)*VLOOKUP($B739,Paraméterek!$I$38:$K$39,IF($D$2="Egyszeri",3,2))/12*IF($D740="Nem",IF($M$13=0,1,$M$13),1),IF($D$4="Forint",0,2))</f>
        <v>#N/A</v>
      </c>
      <c r="U739" s="13">
        <f>Tranzakciók!$F$91</f>
        <v>0</v>
      </c>
      <c r="V739" s="13"/>
      <c r="W739" s="13" t="e">
        <f ca="1">$N739-$P739-$Q739+$S739-$T739-IF(ROUNDUP(IF(ISBLANK($V739),$U739*0,$V739)/IF($D$2="Egyszeri",VLOOKUP($B739+IF($C739=12,1,0),Paraméterek!$V$257:$W$262,2),IF($B739=1,1,VLOOKUP($B739+IF($C739=12,1,0),Paraméterek!$I$258:$T$278,HLOOKUP($M$11+1,Paraméterek!$J$256:$T$257,2)))),IF($D$4="Forint",0,2))&gt;$N739-$P739-$Q739+$S739-$T739-IF($D$4="Forint",Paraméterek!$C$216,Paraméterek!$D$216),0,ROUNDUP(IF(ISBLANK($V739),$U739*0,$V739)/IF($D$2="Egyszeri",VLOOKUP($B739+IF($C739=12,1,0),Paraméterek!$V$257:$W$262,2),IF($B739=1,1,VLOOKUP($B739+IF($C739=12,1,0),Paraméterek!$I$258:$T$278,HLOOKUP($M$11+1,Paraméterek!$J$256:$T$257,2)))),IF($D$4="Forint",0,2)))</f>
        <v>#N/A</v>
      </c>
      <c r="X739" s="13" t="e">
        <f ca="1">ROUNDDOWN($W739*IF($D$2="Egyszeri",VLOOKUP($B739+IF($C739=12,1,0),Paraméterek!$V$257:$W$262,2),VLOOKUP($B739+IF($C739=12,1,0),Paraméterek!$I$258:$T$278,HLOOKUP($M$11+1,Paraméterek!$I$256:$T$257,2))),IF($D$4="Forint",0,2))</f>
        <v>#N/A</v>
      </c>
      <c r="Z739" s="32">
        <v>720</v>
      </c>
      <c r="AA739" s="32">
        <v>60</v>
      </c>
      <c r="AB739" s="32">
        <v>12</v>
      </c>
      <c r="AC739" s="13">
        <f t="shared" ca="1" si="258"/>
        <v>0</v>
      </c>
      <c r="AD739" s="33"/>
      <c r="AE739" s="13">
        <f t="shared" ca="1" si="250"/>
        <v>0</v>
      </c>
      <c r="AF739" s="13">
        <f ca="1">ROUNDUP(($AC739+$AE739)*VLOOKUP($AA739,Paraméterek!$P$38:$Q$38,2)/12*IF($D740="Nem",IF($M$13=0,1,$M$13),1),IF($D$4="Forint",0,2))</f>
        <v>0</v>
      </c>
      <c r="AG739" s="13" t="e">
        <f ca="1">IF($D$2="Egyszeri",IF($D$7&gt;=IF($D$4="Forint",Paraméterek!$P$223,Paraméterek!$P$224),$D$7-IF($D$4="Forint",Paraméterek!$P$223,Paraméterek!$P$224),0),MIN(IF($AB739=12,AVERAGEIF($E$20:$E739,"&gt;0",$E$20:$E739)*12,0),SUM($E$20:$E$31)))</f>
        <v>#DIV/0!</v>
      </c>
      <c r="AH739" s="13">
        <f>IF($AA739=10,$AG739*IF($AB739=12,IF($AG739&lt;IF($D$4="Forint",Paraméterek!$L$223,Paraméterek!$L$224),0,VLOOKUP($AA739,Paraméterek!$K$226:$M$228,IF($AG739&lt;IF($D$4="Forint",Paraméterek!$M$223,Paraméterek!$M$224),2,3))),0),0)</f>
        <v>0</v>
      </c>
      <c r="AI739" s="13">
        <f ca="1">IF(AND($AA739=$M$11+1,$AB739=$M$12+1),SUMIF($AA$20:$AA$1027,$AA739,$AG$20:$AG$1027)*IF(SUMIF($AA$20:$AA$1027,$AA739,$AG$20:$AG$1027)&lt;IF($D$4="Forint",Paraméterek!$L$223,Paraméterek!$L$224),0,VLOOKUP($AA739,Paraméterek!$K$230:$M$250,IF(SUMIF($AA$20:$AA$1027,$AA739,$AG$20:$AG$1027)&lt;IF($D$4="Forint",Paraméterek!$M$223,Paraméterek!$M$224),2,3))),0)</f>
        <v>0</v>
      </c>
      <c r="AJ739" s="13" t="e">
        <f ca="1">IF(AND($AA739&gt;=5,MOD($AA739,5)=0),IF($AB739=12,VLOOKUP($AA739,Paraméterek!$O$225:$P$240,2),0),IF(OR($AA739=3,$AA739=4),IF($AB739=12,VLOOKUP($AA739,Paraméterek!$O$225:$P$240,2,0),0),0))*$AG739</f>
        <v>#DIV/0!</v>
      </c>
      <c r="AK739" s="13">
        <f t="shared" ca="1" si="251"/>
        <v>0</v>
      </c>
      <c r="AL739" s="13">
        <f t="shared" ca="1" si="259"/>
        <v>0</v>
      </c>
      <c r="AM739" s="13">
        <f t="shared" ca="1" si="260"/>
        <v>0</v>
      </c>
      <c r="AO739" s="32">
        <v>720</v>
      </c>
      <c r="AP739" s="32">
        <v>60</v>
      </c>
      <c r="AQ739" s="32">
        <v>12</v>
      </c>
      <c r="AR739" s="13"/>
      <c r="AS739" s="32"/>
      <c r="AT739" s="13">
        <f t="shared" ca="1" si="261"/>
        <v>0</v>
      </c>
      <c r="AU739" s="33"/>
      <c r="AV739" s="13">
        <f t="shared" ca="1" si="252"/>
        <v>0</v>
      </c>
      <c r="AW739" s="13">
        <f ca="1">ROUNDUP(($AT739+$AV739)*VLOOKUP($AP739,Paraméterek!$P$38:$Q$38,2)/12*IF($D740="Nem",IF($M$13=0,1,$M$13),1),IF($D$4="Forint",0,2))</f>
        <v>0</v>
      </c>
      <c r="AX739" s="13">
        <f>Tranzakciók!$M$91</f>
        <v>0</v>
      </c>
      <c r="AY739" s="13"/>
      <c r="AZ739" s="13">
        <f>ROUNDUP(IF(SUM($AX739:$AY739)=0,0,IF(IF(ISBLANK($AY739),$AX739,$AY739)*Paraméterek!$J$112&lt;IF($D$4="Forint",Paraméterek!$J$113,Paraméterek!$K$113),IF($D$4="Forint",Paraméterek!$J$113,Paraméterek!$K$113),IF(IF(ISBLANK($AY739),$AX739,$AY739)*Paraméterek!$J$112&gt;IF($D$4="Forint",Paraméterek!$J$114,Paraméterek!$K$114),IF($D$4="Forint",Paraméterek!$J$114,Paraméterek!$K$114),IF(ISBLANK($AY739),$AX739,$AY739)*Paraméterek!$J$112))),IF($D$4="Forint",0,2))</f>
        <v>0</v>
      </c>
      <c r="BA739" s="13">
        <f ca="1">$AT739+$AV739-$AW739-IF(ROUNDDOWN(IF(ISBLANK($AY739),$AX739,$AY739),IF($D$4="Forint",0,2))&gt;$AT739+$AV739-$AW739-IF($D$4="Forint",Paraméterek!$J$114,Paraméterek!$K$114),0,ROUNDDOWN(IF(ISBLANK($AY739),$AX739,$AY739),IF($D$4="Forint",0,2))-$AZ739)</f>
        <v>0</v>
      </c>
      <c r="BB739" s="13">
        <f t="shared" ca="1" si="253"/>
        <v>0</v>
      </c>
      <c r="BD739" s="32">
        <v>720</v>
      </c>
      <c r="BE739" s="32">
        <v>60</v>
      </c>
      <c r="BF739" s="32">
        <v>12</v>
      </c>
      <c r="BG739" s="34">
        <f t="shared" ca="1" si="262"/>
        <v>2079</v>
      </c>
      <c r="BH739" s="32" t="str">
        <f ca="1">IF(MOD(MONTH($D$14)+$BD739-1,12)=Paraméterek!$C$288,"Igen","")</f>
        <v/>
      </c>
      <c r="BI739" s="13">
        <f ca="1">IF($BH739="Igen",MIN(ROUNDDOWN((SUMIF($BG$20:$BG$1027,$BG739-1,$K$20:$K$1027)-SUMIF($BG$20:$BG$1027,$BG739-1,$I$20:$I$1027))*Paraméterek!$C$289,IF($D$4="Forint",0,2)),IF($D$4="Forint",Paraméterek!$C$285,Paraméterek!$D$285)),0)</f>
        <v>0</v>
      </c>
      <c r="BJ739" s="13">
        <f t="shared" ca="1" si="254"/>
        <v>0</v>
      </c>
      <c r="BK739" s="13">
        <f t="shared" ca="1" si="263"/>
        <v>0</v>
      </c>
      <c r="BL739" s="33"/>
      <c r="BM739" s="13">
        <f t="shared" ca="1" si="255"/>
        <v>0</v>
      </c>
      <c r="BN739" s="13">
        <f ca="1">ROUNDUP(($BK739+$BM739)*VLOOKUP($BE739,Paraméterek!$P$38:$Q$38,2)/12*IF($D740="Nem",IF($M$13=0,1,$M$13),1),IF($D$4="Forint",0,2))</f>
        <v>0</v>
      </c>
      <c r="BO739" s="13">
        <f t="shared" ca="1" si="256"/>
        <v>0</v>
      </c>
      <c r="BP739" s="13">
        <f ca="1">IF($D740="Nem",$BO739,$BO739-ROUNDUP(SUM($BI$20:$BI739)*120%,IF($D$4="Forint",0,2)))</f>
        <v>0</v>
      </c>
    </row>
    <row r="740" spans="1:68" x14ac:dyDescent="0.2">
      <c r="A740" s="32">
        <v>721</v>
      </c>
      <c r="B740" s="32">
        <v>61</v>
      </c>
      <c r="C740" s="32">
        <v>1</v>
      </c>
      <c r="D740" s="32" t="str">
        <f t="shared" ca="1" si="242"/>
        <v>Nem</v>
      </c>
      <c r="E740" s="13">
        <f t="shared" ca="1" si="243"/>
        <v>0</v>
      </c>
      <c r="F740" s="13"/>
      <c r="G740" s="13">
        <f>Tranzakciók!$D$92</f>
        <v>0</v>
      </c>
      <c r="H740" s="13"/>
      <c r="I740" s="13">
        <f t="shared" ca="1" si="244"/>
        <v>0</v>
      </c>
      <c r="J740" s="13">
        <f t="shared" ca="1" si="245"/>
        <v>0</v>
      </c>
      <c r="K740" s="13">
        <f t="shared" ca="1" si="246"/>
        <v>0</v>
      </c>
      <c r="L740" s="13" t="e">
        <f ca="1">ROUNDUP(IF($D$2="Egyszeri",$E740,IF($D$2="Havi",SUM($E$20:$E$31),IF(MOD($C740,$M$1)-1=0,SUM($E$20:$E$31),0))/12*$M$1)*VLOOKUP($B740,Paraméterek!$I$28:$P$31,IF($D$2="Egyszeri",8,HLOOKUP(ROUNDUP($M$11+$M$13,0),Paraméterek!$J$26:$O$27,2))),IF($D$4="Forint",0,2))</f>
        <v>#N/A</v>
      </c>
      <c r="M740" s="13">
        <f t="shared" ca="1" si="247"/>
        <v>0</v>
      </c>
      <c r="N740" s="13">
        <f t="shared" ca="1" si="257"/>
        <v>0</v>
      </c>
      <c r="O740" s="13">
        <f ca="1">IF($D740="Igen",IF($W739&gt;=IF($D$4="Forint",Paraméterek!$J$121,Paraméterek!$K$121),0,IF($D$4="Forint",Paraméterek!$J$121,Paraméterek!$K$121)-$W739),0)</f>
        <v>0</v>
      </c>
      <c r="P740" s="13" t="e">
        <f ca="1">ROUNDUP($O740*VLOOKUP($M$4+$B740-1,Paraméterek!$H$58:$I$105,2,0)/Paraméterek!$I$56,IF($D$4="Forint",0,2))</f>
        <v>#N/A</v>
      </c>
      <c r="Q740" s="13">
        <f t="shared" ca="1" si="248"/>
        <v>0</v>
      </c>
      <c r="R740" s="33"/>
      <c r="S740" s="13" t="e">
        <f t="shared" ca="1" si="249"/>
        <v>#N/A</v>
      </c>
      <c r="T740" s="13" t="e">
        <f ca="1">ROUNDUP(($N740-$P740-$Q740+$S740)*VLOOKUP($B740,Paraméterek!$I$38:$K$39,IF($D$2="Egyszeri",3,2))/12*IF($D741="Nem",IF($M$13=0,1,$M$13),1),IF($D$4="Forint",0,2))</f>
        <v>#N/A</v>
      </c>
      <c r="U740" s="13"/>
      <c r="V740" s="13"/>
      <c r="W740" s="13" t="e">
        <f ca="1">$N740-$P740-$Q740+$S740-$T740-IF(ROUNDUP(IF(ISBLANK($V740),$U740*0,$V740)/IF($D$2="Egyszeri",VLOOKUP($B740+IF($C740=12,1,0),Paraméterek!$V$257:$W$262,2),IF($B740=1,1,VLOOKUP($B740+IF($C740=12,1,0),Paraméterek!$I$258:$T$278,HLOOKUP($M$11+1,Paraméterek!$J$256:$T$257,2)))),IF($D$4="Forint",0,2))&gt;$N740-$P740-$Q740+$S740-$T740-IF($D$4="Forint",Paraméterek!$C$216,Paraméterek!$D$216),0,ROUNDUP(IF(ISBLANK($V740),$U740*0,$V740)/IF($D$2="Egyszeri",VLOOKUP($B740+IF($C740=12,1,0),Paraméterek!$V$257:$W$262,2),IF($B740=1,1,VLOOKUP($B740+IF($C740=12,1,0),Paraméterek!$I$258:$T$278,HLOOKUP($M$11+1,Paraméterek!$J$256:$T$257,2)))),IF($D$4="Forint",0,2)))</f>
        <v>#N/A</v>
      </c>
      <c r="X740" s="13" t="e">
        <f ca="1">ROUNDDOWN($W740*IF($D$2="Egyszeri",VLOOKUP($B740+IF($C740=12,1,0),Paraméterek!$V$257:$W$262,2),VLOOKUP($B740+IF($C740=12,1,0),Paraméterek!$I$258:$T$278,HLOOKUP($M$11+1,Paraméterek!$I$256:$T$257,2))),IF($D$4="Forint",0,2))</f>
        <v>#N/A</v>
      </c>
      <c r="Z740" s="32">
        <v>721</v>
      </c>
      <c r="AA740" s="32">
        <v>61</v>
      </c>
      <c r="AB740" s="32">
        <v>1</v>
      </c>
      <c r="AC740" s="13">
        <f t="shared" ca="1" si="258"/>
        <v>0</v>
      </c>
      <c r="AD740" s="33"/>
      <c r="AE740" s="13">
        <f t="shared" ca="1" si="250"/>
        <v>0</v>
      </c>
      <c r="AF740" s="13">
        <f ca="1">ROUNDUP(($AC740+$AE740)*VLOOKUP($AA740,Paraméterek!$P$38:$Q$38,2)/12*IF($D741="Nem",IF($M$13=0,1,$M$13),1),IF($D$4="Forint",0,2))</f>
        <v>0</v>
      </c>
      <c r="AG740" s="13">
        <f ca="1">IF($D$2="Egyszeri",IF($D$7&gt;=IF($D$4="Forint",Paraméterek!$P$223,Paraméterek!$P$224),$D$7-IF($D$4="Forint",Paraméterek!$P$223,Paraméterek!$P$224),0),MIN(IF($AB740=12,AVERAGEIF($E$20:$E740,"&gt;0",$E$20:$E740)*12,0),SUM($E$20:$E$31)))</f>
        <v>0</v>
      </c>
      <c r="AH740" s="13">
        <f>IF($AA740=10,$AG740*IF($AB740=12,IF($AG740&lt;IF($D$4="Forint",Paraméterek!$L$223,Paraméterek!$L$224),0,VLOOKUP($AA740,Paraméterek!$K$226:$M$228,IF($AG740&lt;IF($D$4="Forint",Paraméterek!$M$223,Paraméterek!$M$224),2,3))),0),0)</f>
        <v>0</v>
      </c>
      <c r="AI740" s="13">
        <f ca="1">IF(AND($AA740=$M$11+1,$AB740=$M$12+1),SUMIF($AA$20:$AA$1027,$AA740,$AG$20:$AG$1027)*IF(SUMIF($AA$20:$AA$1027,$AA740,$AG$20:$AG$1027)&lt;IF($D$4="Forint",Paraméterek!$L$223,Paraméterek!$L$224),0,VLOOKUP($AA740,Paraméterek!$K$230:$M$250,IF(SUMIF($AA$20:$AA$1027,$AA740,$AG$20:$AG$1027)&lt;IF($D$4="Forint",Paraméterek!$M$223,Paraméterek!$M$224),2,3))),0)</f>
        <v>0</v>
      </c>
      <c r="AJ740" s="13">
        <f ca="1">IF(AND($AA740&gt;=5,MOD($AA740,5)=0),IF($AB740=12,VLOOKUP($AA740,Paraméterek!$O$225:$P$240,2),0),IF(OR($AA740=3,$AA740=4),IF($AB740=12,VLOOKUP($AA740,Paraméterek!$O$225:$P$240,2,0),0),0))*$AG740</f>
        <v>0</v>
      </c>
      <c r="AK740" s="13">
        <f t="shared" ca="1" si="251"/>
        <v>0</v>
      </c>
      <c r="AL740" s="13">
        <f t="shared" ca="1" si="259"/>
        <v>0</v>
      </c>
      <c r="AM740" s="13">
        <f t="shared" ca="1" si="260"/>
        <v>0</v>
      </c>
      <c r="AO740" s="32">
        <v>721</v>
      </c>
      <c r="AP740" s="32">
        <v>61</v>
      </c>
      <c r="AQ740" s="32">
        <v>1</v>
      </c>
      <c r="AR740" s="13">
        <f>Tranzakciók!$K$92</f>
        <v>0</v>
      </c>
      <c r="AS740" s="32"/>
      <c r="AT740" s="13">
        <f t="shared" ca="1" si="261"/>
        <v>0</v>
      </c>
      <c r="AU740" s="33"/>
      <c r="AV740" s="13">
        <f t="shared" ca="1" si="252"/>
        <v>0</v>
      </c>
      <c r="AW740" s="13">
        <f ca="1">ROUNDUP(($AT740+$AV740)*VLOOKUP($AP740,Paraméterek!$P$38:$Q$38,2)/12*IF($D741="Nem",IF($M$13=0,1,$M$13),1),IF($D$4="Forint",0,2))</f>
        <v>0</v>
      </c>
      <c r="AX740" s="13"/>
      <c r="AY740" s="13"/>
      <c r="AZ740" s="13">
        <f>ROUNDUP(IF(SUM($AX740:$AY740)=0,0,IF(IF(ISBLANK($AY740),$AX740,$AY740)*Paraméterek!$J$112&lt;IF($D$4="Forint",Paraméterek!$J$113,Paraméterek!$K$113),IF($D$4="Forint",Paraméterek!$J$113,Paraméterek!$K$113),IF(IF(ISBLANK($AY740),$AX740,$AY740)*Paraméterek!$J$112&gt;IF($D$4="Forint",Paraméterek!$J$114,Paraméterek!$K$114),IF($D$4="Forint",Paraméterek!$J$114,Paraméterek!$K$114),IF(ISBLANK($AY740),$AX740,$AY740)*Paraméterek!$J$112))),IF($D$4="Forint",0,2))</f>
        <v>0</v>
      </c>
      <c r="BA740" s="13">
        <f ca="1">$AT740+$AV740-$AW740-IF(ROUNDDOWN(IF(ISBLANK($AY740),$AX740,$AY740),IF($D$4="Forint",0,2))&gt;$AT740+$AV740-$AW740-IF($D$4="Forint",Paraméterek!$J$114,Paraméterek!$K$114),0,ROUNDDOWN(IF(ISBLANK($AY740),$AX740,$AY740),IF($D$4="Forint",0,2))-$AZ740)</f>
        <v>0</v>
      </c>
      <c r="BB740" s="13">
        <f t="shared" ca="1" si="253"/>
        <v>0</v>
      </c>
      <c r="BD740" s="32">
        <v>721</v>
      </c>
      <c r="BE740" s="32">
        <v>61</v>
      </c>
      <c r="BF740" s="32">
        <v>1</v>
      </c>
      <c r="BG740" s="34">
        <f t="shared" ca="1" si="262"/>
        <v>2079</v>
      </c>
      <c r="BH740" s="32" t="str">
        <f ca="1">IF(MOD(MONTH($D$14)+$BD740-1,12)=Paraméterek!$C$288,"Igen","")</f>
        <v/>
      </c>
      <c r="BI740" s="13">
        <f ca="1">IF($BH740="Igen",MIN(ROUNDDOWN((SUMIF($BG$20:$BG$1027,$BG740-1,$K$20:$K$1027)-SUMIF($BG$20:$BG$1027,$BG740-1,$I$20:$I$1027))*Paraméterek!$C$289,IF($D$4="Forint",0,2)),IF($D$4="Forint",Paraméterek!$C$285,Paraméterek!$D$285)),0)</f>
        <v>0</v>
      </c>
      <c r="BJ740" s="13">
        <f t="shared" ca="1" si="254"/>
        <v>0</v>
      </c>
      <c r="BK740" s="13">
        <f t="shared" ca="1" si="263"/>
        <v>0</v>
      </c>
      <c r="BL740" s="33"/>
      <c r="BM740" s="13">
        <f t="shared" ca="1" si="255"/>
        <v>0</v>
      </c>
      <c r="BN740" s="13">
        <f ca="1">ROUNDUP(($BK740+$BM740)*VLOOKUP($BE740,Paraméterek!$P$38:$Q$38,2)/12*IF($D741="Nem",IF($M$13=0,1,$M$13),1),IF($D$4="Forint",0,2))</f>
        <v>0</v>
      </c>
      <c r="BO740" s="13">
        <f t="shared" ca="1" si="256"/>
        <v>0</v>
      </c>
      <c r="BP740" s="13">
        <f ca="1">IF($D741="Nem",$BO740,$BO740-ROUNDUP(SUM($BI$20:$BI740)*120%,IF($D$4="Forint",0,2)))</f>
        <v>0</v>
      </c>
    </row>
    <row r="741" spans="1:68" x14ac:dyDescent="0.2">
      <c r="A741" s="32">
        <v>722</v>
      </c>
      <c r="B741" s="32">
        <v>61</v>
      </c>
      <c r="C741" s="32">
        <v>2</v>
      </c>
      <c r="D741" s="32" t="str">
        <f t="shared" ca="1" si="242"/>
        <v>Nem</v>
      </c>
      <c r="E741" s="13">
        <f t="shared" ca="1" si="243"/>
        <v>0</v>
      </c>
      <c r="F741" s="13"/>
      <c r="G741" s="13"/>
      <c r="H741" s="13"/>
      <c r="I741" s="13">
        <f t="shared" ca="1" si="244"/>
        <v>0</v>
      </c>
      <c r="J741" s="13">
        <f t="shared" ca="1" si="245"/>
        <v>0</v>
      </c>
      <c r="K741" s="13">
        <f t="shared" ca="1" si="246"/>
        <v>0</v>
      </c>
      <c r="L741" s="13" t="e">
        <f ca="1">ROUNDUP(IF($D$2="Egyszeri",$E741,IF($D$2="Havi",SUM($E$20:$E$31),IF(MOD($C741,$M$1)-1=0,SUM($E$20:$E$31),0))/12*$M$1)*VLOOKUP($B741,Paraméterek!$I$28:$P$31,IF($D$2="Egyszeri",8,HLOOKUP(ROUNDUP($M$11+$M$13,0),Paraméterek!$J$26:$O$27,2))),IF($D$4="Forint",0,2))</f>
        <v>#N/A</v>
      </c>
      <c r="M741" s="13">
        <f t="shared" ca="1" si="247"/>
        <v>0</v>
      </c>
      <c r="N741" s="13">
        <f t="shared" ca="1" si="257"/>
        <v>0</v>
      </c>
      <c r="O741" s="13">
        <f ca="1">IF($D741="Igen",IF($W740&gt;=IF($D$4="Forint",Paraméterek!$J$121,Paraméterek!$K$121),0,IF($D$4="Forint",Paraméterek!$J$121,Paraméterek!$K$121)-$W740),0)</f>
        <v>0</v>
      </c>
      <c r="P741" s="13" t="e">
        <f ca="1">ROUNDUP($O741*VLOOKUP($M$4+$B741-1,Paraméterek!$H$58:$I$105,2,0)/Paraméterek!$I$56,IF($D$4="Forint",0,2))</f>
        <v>#N/A</v>
      </c>
      <c r="Q741" s="13">
        <f t="shared" ca="1" si="248"/>
        <v>0</v>
      </c>
      <c r="R741" s="33"/>
      <c r="S741" s="13" t="e">
        <f t="shared" ca="1" si="249"/>
        <v>#N/A</v>
      </c>
      <c r="T741" s="13" t="e">
        <f ca="1">ROUNDUP(($N741-$P741-$Q741+$S741)*VLOOKUP($B741,Paraméterek!$I$38:$K$39,IF($D$2="Egyszeri",3,2))/12*IF($D742="Nem",IF($M$13=0,1,$M$13),1),IF($D$4="Forint",0,2))</f>
        <v>#N/A</v>
      </c>
      <c r="U741" s="13"/>
      <c r="V741" s="13"/>
      <c r="W741" s="13" t="e">
        <f ca="1">$N741-$P741-$Q741+$S741-$T741-IF(ROUNDUP(IF(ISBLANK($V741),$U741*0,$V741)/IF($D$2="Egyszeri",VLOOKUP($B741+IF($C741=12,1,0),Paraméterek!$V$257:$W$262,2),IF($B741=1,1,VLOOKUP($B741+IF($C741=12,1,0),Paraméterek!$I$258:$T$278,HLOOKUP($M$11+1,Paraméterek!$J$256:$T$257,2)))),IF($D$4="Forint",0,2))&gt;$N741-$P741-$Q741+$S741-$T741-IF($D$4="Forint",Paraméterek!$C$216,Paraméterek!$D$216),0,ROUNDUP(IF(ISBLANK($V741),$U741*0,$V741)/IF($D$2="Egyszeri",VLOOKUP($B741+IF($C741=12,1,0),Paraméterek!$V$257:$W$262,2),IF($B741=1,1,VLOOKUP($B741+IF($C741=12,1,0),Paraméterek!$I$258:$T$278,HLOOKUP($M$11+1,Paraméterek!$J$256:$T$257,2)))),IF($D$4="Forint",0,2)))</f>
        <v>#N/A</v>
      </c>
      <c r="X741" s="13" t="e">
        <f ca="1">ROUNDDOWN($W741*IF($D$2="Egyszeri",VLOOKUP($B741+IF($C741=12,1,0),Paraméterek!$V$257:$W$262,2),VLOOKUP($B741+IF($C741=12,1,0),Paraméterek!$I$258:$T$278,HLOOKUP($M$11+1,Paraméterek!$I$256:$T$257,2))),IF($D$4="Forint",0,2))</f>
        <v>#N/A</v>
      </c>
      <c r="Z741" s="32">
        <v>722</v>
      </c>
      <c r="AA741" s="32">
        <v>61</v>
      </c>
      <c r="AB741" s="32">
        <v>2</v>
      </c>
      <c r="AC741" s="13">
        <f t="shared" ca="1" si="258"/>
        <v>0</v>
      </c>
      <c r="AD741" s="33"/>
      <c r="AE741" s="13">
        <f t="shared" ca="1" si="250"/>
        <v>0</v>
      </c>
      <c r="AF741" s="13">
        <f ca="1">ROUNDUP(($AC741+$AE741)*VLOOKUP($AA741,Paraméterek!$P$38:$Q$38,2)/12*IF($D742="Nem",IF($M$13=0,1,$M$13),1),IF($D$4="Forint",0,2))</f>
        <v>0</v>
      </c>
      <c r="AG741" s="13">
        <f ca="1">IF($D$2="Egyszeri",IF($D$7&gt;=IF($D$4="Forint",Paraméterek!$P$223,Paraméterek!$P$224),$D$7-IF($D$4="Forint",Paraméterek!$P$223,Paraméterek!$P$224),0),MIN(IF($AB741=12,AVERAGEIF($E$20:$E741,"&gt;0",$E$20:$E741)*12,0),SUM($E$20:$E$31)))</f>
        <v>0</v>
      </c>
      <c r="AH741" s="13">
        <f>IF($AA741=10,$AG741*IF($AB741=12,IF($AG741&lt;IF($D$4="Forint",Paraméterek!$L$223,Paraméterek!$L$224),0,VLOOKUP($AA741,Paraméterek!$K$226:$M$228,IF($AG741&lt;IF($D$4="Forint",Paraméterek!$M$223,Paraméterek!$M$224),2,3))),0),0)</f>
        <v>0</v>
      </c>
      <c r="AI741" s="13">
        <f ca="1">IF(AND($AA741=$M$11+1,$AB741=$M$12+1),SUMIF($AA$20:$AA$1027,$AA741,$AG$20:$AG$1027)*IF(SUMIF($AA$20:$AA$1027,$AA741,$AG$20:$AG$1027)&lt;IF($D$4="Forint",Paraméterek!$L$223,Paraméterek!$L$224),0,VLOOKUP($AA741,Paraméterek!$K$230:$M$250,IF(SUMIF($AA$20:$AA$1027,$AA741,$AG$20:$AG$1027)&lt;IF($D$4="Forint",Paraméterek!$M$223,Paraméterek!$M$224),2,3))),0)</f>
        <v>0</v>
      </c>
      <c r="AJ741" s="13">
        <f ca="1">IF(AND($AA741&gt;=5,MOD($AA741,5)=0),IF($AB741=12,VLOOKUP($AA741,Paraméterek!$O$225:$P$240,2),0),IF(OR($AA741=3,$AA741=4),IF($AB741=12,VLOOKUP($AA741,Paraméterek!$O$225:$P$240,2,0),0),0))*$AG741</f>
        <v>0</v>
      </c>
      <c r="AK741" s="13">
        <f t="shared" ca="1" si="251"/>
        <v>0</v>
      </c>
      <c r="AL741" s="13">
        <f t="shared" ca="1" si="259"/>
        <v>0</v>
      </c>
      <c r="AM741" s="13">
        <f t="shared" ca="1" si="260"/>
        <v>0</v>
      </c>
      <c r="AO741" s="32">
        <v>722</v>
      </c>
      <c r="AP741" s="32">
        <v>61</v>
      </c>
      <c r="AQ741" s="32">
        <v>2</v>
      </c>
      <c r="AR741" s="13"/>
      <c r="AS741" s="32"/>
      <c r="AT741" s="13">
        <f t="shared" ca="1" si="261"/>
        <v>0</v>
      </c>
      <c r="AU741" s="33"/>
      <c r="AV741" s="13">
        <f t="shared" ca="1" si="252"/>
        <v>0</v>
      </c>
      <c r="AW741" s="13">
        <f ca="1">ROUNDUP(($AT741+$AV741)*VLOOKUP($AP741,Paraméterek!$P$38:$Q$38,2)/12*IF($D742="Nem",IF($M$13=0,1,$M$13),1),IF($D$4="Forint",0,2))</f>
        <v>0</v>
      </c>
      <c r="AX741" s="13"/>
      <c r="AY741" s="13"/>
      <c r="AZ741" s="13">
        <f>ROUNDUP(IF(SUM($AX741:$AY741)=0,0,IF(IF(ISBLANK($AY741),$AX741,$AY741)*Paraméterek!$J$112&lt;IF($D$4="Forint",Paraméterek!$J$113,Paraméterek!$K$113),IF($D$4="Forint",Paraméterek!$J$113,Paraméterek!$K$113),IF(IF(ISBLANK($AY741),$AX741,$AY741)*Paraméterek!$J$112&gt;IF($D$4="Forint",Paraméterek!$J$114,Paraméterek!$K$114),IF($D$4="Forint",Paraméterek!$J$114,Paraméterek!$K$114),IF(ISBLANK($AY741),$AX741,$AY741)*Paraméterek!$J$112))),IF($D$4="Forint",0,2))</f>
        <v>0</v>
      </c>
      <c r="BA741" s="13">
        <f ca="1">$AT741+$AV741-$AW741-IF(ROUNDDOWN(IF(ISBLANK($AY741),$AX741,$AY741),IF($D$4="Forint",0,2))&gt;$AT741+$AV741-$AW741-IF($D$4="Forint",Paraméterek!$J$114,Paraméterek!$K$114),0,ROUNDDOWN(IF(ISBLANK($AY741),$AX741,$AY741),IF($D$4="Forint",0,2))-$AZ741)</f>
        <v>0</v>
      </c>
      <c r="BB741" s="13">
        <f t="shared" ca="1" si="253"/>
        <v>0</v>
      </c>
      <c r="BD741" s="32">
        <v>722</v>
      </c>
      <c r="BE741" s="32">
        <v>61</v>
      </c>
      <c r="BF741" s="32">
        <v>2</v>
      </c>
      <c r="BG741" s="34">
        <f t="shared" ca="1" si="262"/>
        <v>2079</v>
      </c>
      <c r="BH741" s="32" t="str">
        <f ca="1">IF(MOD(MONTH($D$14)+$BD741-1,12)=Paraméterek!$C$288,"Igen","")</f>
        <v>Igen</v>
      </c>
      <c r="BI741" s="13">
        <f ca="1">IF($BH741="Igen",MIN(ROUNDDOWN((SUMIF($BG$20:$BG$1027,$BG741-1,$K$20:$K$1027)-SUMIF($BG$20:$BG$1027,$BG741-1,$I$20:$I$1027))*Paraméterek!$C$289,IF($D$4="Forint",0,2)),IF($D$4="Forint",Paraméterek!$C$285,Paraméterek!$D$285)),0)</f>
        <v>0</v>
      </c>
      <c r="BJ741" s="13">
        <f t="shared" ca="1" si="254"/>
        <v>0</v>
      </c>
      <c r="BK741" s="13">
        <f t="shared" ca="1" si="263"/>
        <v>0</v>
      </c>
      <c r="BL741" s="33"/>
      <c r="BM741" s="13">
        <f t="shared" ca="1" si="255"/>
        <v>0</v>
      </c>
      <c r="BN741" s="13">
        <f ca="1">ROUNDUP(($BK741+$BM741)*VLOOKUP($BE741,Paraméterek!$P$38:$Q$38,2)/12*IF($D742="Nem",IF($M$13=0,1,$M$13),1),IF($D$4="Forint",0,2))</f>
        <v>0</v>
      </c>
      <c r="BO741" s="13">
        <f t="shared" ca="1" si="256"/>
        <v>0</v>
      </c>
      <c r="BP741" s="13">
        <f ca="1">IF($D742="Nem",$BO741,$BO741-ROUNDUP(SUM($BI$20:$BI741)*120%,IF($D$4="Forint",0,2)))</f>
        <v>0</v>
      </c>
    </row>
    <row r="742" spans="1:68" x14ac:dyDescent="0.2">
      <c r="A742" s="32">
        <v>723</v>
      </c>
      <c r="B742" s="32">
        <v>61</v>
      </c>
      <c r="C742" s="32">
        <v>3</v>
      </c>
      <c r="D742" s="32" t="str">
        <f t="shared" ca="1" si="242"/>
        <v>Nem</v>
      </c>
      <c r="E742" s="13">
        <f t="shared" ca="1" si="243"/>
        <v>0</v>
      </c>
      <c r="F742" s="13"/>
      <c r="G742" s="13"/>
      <c r="H742" s="13"/>
      <c r="I742" s="13">
        <f t="shared" ca="1" si="244"/>
        <v>0</v>
      </c>
      <c r="J742" s="13">
        <f t="shared" ca="1" si="245"/>
        <v>0</v>
      </c>
      <c r="K742" s="13">
        <f t="shared" ca="1" si="246"/>
        <v>0</v>
      </c>
      <c r="L742" s="13" t="e">
        <f ca="1">ROUNDUP(IF($D$2="Egyszeri",$E742,IF($D$2="Havi",SUM($E$20:$E$31),IF(MOD($C742,$M$1)-1=0,SUM($E$20:$E$31),0))/12*$M$1)*VLOOKUP($B742,Paraméterek!$I$28:$P$31,IF($D$2="Egyszeri",8,HLOOKUP(ROUNDUP($M$11+$M$13,0),Paraméterek!$J$26:$O$27,2))),IF($D$4="Forint",0,2))</f>
        <v>#N/A</v>
      </c>
      <c r="M742" s="13">
        <f t="shared" ca="1" si="247"/>
        <v>0</v>
      </c>
      <c r="N742" s="13">
        <f t="shared" ca="1" si="257"/>
        <v>0</v>
      </c>
      <c r="O742" s="13">
        <f ca="1">IF($D742="Igen",IF($W741&gt;=IF($D$4="Forint",Paraméterek!$J$121,Paraméterek!$K$121),0,IF($D$4="Forint",Paraméterek!$J$121,Paraméterek!$K$121)-$W741),0)</f>
        <v>0</v>
      </c>
      <c r="P742" s="13" t="e">
        <f ca="1">ROUNDUP($O742*VLOOKUP($M$4+$B742-1,Paraméterek!$H$58:$I$105,2,0)/Paraméterek!$I$56,IF($D$4="Forint",0,2))</f>
        <v>#N/A</v>
      </c>
      <c r="Q742" s="13">
        <f t="shared" ca="1" si="248"/>
        <v>0</v>
      </c>
      <c r="R742" s="33"/>
      <c r="S742" s="13" t="e">
        <f t="shared" ca="1" si="249"/>
        <v>#N/A</v>
      </c>
      <c r="T742" s="13" t="e">
        <f ca="1">ROUNDUP(($N742-$P742-$Q742+$S742)*VLOOKUP($B742,Paraméterek!$I$38:$K$39,IF($D$2="Egyszeri",3,2))/12*IF($D743="Nem",IF($M$13=0,1,$M$13),1),IF($D$4="Forint",0,2))</f>
        <v>#N/A</v>
      </c>
      <c r="U742" s="13"/>
      <c r="V742" s="13"/>
      <c r="W742" s="13" t="e">
        <f ca="1">$N742-$P742-$Q742+$S742-$T742-IF(ROUNDUP(IF(ISBLANK($V742),$U742*0,$V742)/IF($D$2="Egyszeri",VLOOKUP($B742+IF($C742=12,1,0),Paraméterek!$V$257:$W$262,2),IF($B742=1,1,VLOOKUP($B742+IF($C742=12,1,0),Paraméterek!$I$258:$T$278,HLOOKUP($M$11+1,Paraméterek!$J$256:$T$257,2)))),IF($D$4="Forint",0,2))&gt;$N742-$P742-$Q742+$S742-$T742-IF($D$4="Forint",Paraméterek!$C$216,Paraméterek!$D$216),0,ROUNDUP(IF(ISBLANK($V742),$U742*0,$V742)/IF($D$2="Egyszeri",VLOOKUP($B742+IF($C742=12,1,0),Paraméterek!$V$257:$W$262,2),IF($B742=1,1,VLOOKUP($B742+IF($C742=12,1,0),Paraméterek!$I$258:$T$278,HLOOKUP($M$11+1,Paraméterek!$J$256:$T$257,2)))),IF($D$4="Forint",0,2)))</f>
        <v>#N/A</v>
      </c>
      <c r="X742" s="13" t="e">
        <f ca="1">ROUNDDOWN($W742*IF($D$2="Egyszeri",VLOOKUP($B742+IF($C742=12,1,0),Paraméterek!$V$257:$W$262,2),VLOOKUP($B742+IF($C742=12,1,0),Paraméterek!$I$258:$T$278,HLOOKUP($M$11+1,Paraméterek!$I$256:$T$257,2))),IF($D$4="Forint",0,2))</f>
        <v>#N/A</v>
      </c>
      <c r="Z742" s="32">
        <v>723</v>
      </c>
      <c r="AA742" s="32">
        <v>61</v>
      </c>
      <c r="AB742" s="32">
        <v>3</v>
      </c>
      <c r="AC742" s="13">
        <f t="shared" ca="1" si="258"/>
        <v>0</v>
      </c>
      <c r="AD742" s="33"/>
      <c r="AE742" s="13">
        <f t="shared" ca="1" si="250"/>
        <v>0</v>
      </c>
      <c r="AF742" s="13">
        <f ca="1">ROUNDUP(($AC742+$AE742)*VLOOKUP($AA742,Paraméterek!$P$38:$Q$38,2)/12*IF($D743="Nem",IF($M$13=0,1,$M$13),1),IF($D$4="Forint",0,2))</f>
        <v>0</v>
      </c>
      <c r="AG742" s="13">
        <f ca="1">IF($D$2="Egyszeri",IF($D$7&gt;=IF($D$4="Forint",Paraméterek!$P$223,Paraméterek!$P$224),$D$7-IF($D$4="Forint",Paraméterek!$P$223,Paraméterek!$P$224),0),MIN(IF($AB742=12,AVERAGEIF($E$20:$E742,"&gt;0",$E$20:$E742)*12,0),SUM($E$20:$E$31)))</f>
        <v>0</v>
      </c>
      <c r="AH742" s="13">
        <f>IF($AA742=10,$AG742*IF($AB742=12,IF($AG742&lt;IF($D$4="Forint",Paraméterek!$L$223,Paraméterek!$L$224),0,VLOOKUP($AA742,Paraméterek!$K$226:$M$228,IF($AG742&lt;IF($D$4="Forint",Paraméterek!$M$223,Paraméterek!$M$224),2,3))),0),0)</f>
        <v>0</v>
      </c>
      <c r="AI742" s="13">
        <f ca="1">IF(AND($AA742=$M$11+1,$AB742=$M$12+1),SUMIF($AA$20:$AA$1027,$AA742,$AG$20:$AG$1027)*IF(SUMIF($AA$20:$AA$1027,$AA742,$AG$20:$AG$1027)&lt;IF($D$4="Forint",Paraméterek!$L$223,Paraméterek!$L$224),0,VLOOKUP($AA742,Paraméterek!$K$230:$M$250,IF(SUMIF($AA$20:$AA$1027,$AA742,$AG$20:$AG$1027)&lt;IF($D$4="Forint",Paraméterek!$M$223,Paraméterek!$M$224),2,3))),0)</f>
        <v>0</v>
      </c>
      <c r="AJ742" s="13">
        <f ca="1">IF(AND($AA742&gt;=5,MOD($AA742,5)=0),IF($AB742=12,VLOOKUP($AA742,Paraméterek!$O$225:$P$240,2),0),IF(OR($AA742=3,$AA742=4),IF($AB742=12,VLOOKUP($AA742,Paraméterek!$O$225:$P$240,2,0),0),0))*$AG742</f>
        <v>0</v>
      </c>
      <c r="AK742" s="13">
        <f t="shared" ca="1" si="251"/>
        <v>0</v>
      </c>
      <c r="AL742" s="13">
        <f t="shared" ca="1" si="259"/>
        <v>0</v>
      </c>
      <c r="AM742" s="13">
        <f t="shared" ca="1" si="260"/>
        <v>0</v>
      </c>
      <c r="AO742" s="32">
        <v>723</v>
      </c>
      <c r="AP742" s="32">
        <v>61</v>
      </c>
      <c r="AQ742" s="32">
        <v>3</v>
      </c>
      <c r="AR742" s="13"/>
      <c r="AS742" s="32"/>
      <c r="AT742" s="13">
        <f t="shared" ca="1" si="261"/>
        <v>0</v>
      </c>
      <c r="AU742" s="33"/>
      <c r="AV742" s="13">
        <f t="shared" ca="1" si="252"/>
        <v>0</v>
      </c>
      <c r="AW742" s="13">
        <f ca="1">ROUNDUP(($AT742+$AV742)*VLOOKUP($AP742,Paraméterek!$P$38:$Q$38,2)/12*IF($D743="Nem",IF($M$13=0,1,$M$13),1),IF($D$4="Forint",0,2))</f>
        <v>0</v>
      </c>
      <c r="AX742" s="13"/>
      <c r="AY742" s="13"/>
      <c r="AZ742" s="13">
        <f>ROUNDUP(IF(SUM($AX742:$AY742)=0,0,IF(IF(ISBLANK($AY742),$AX742,$AY742)*Paraméterek!$J$112&lt;IF($D$4="Forint",Paraméterek!$J$113,Paraméterek!$K$113),IF($D$4="Forint",Paraméterek!$J$113,Paraméterek!$K$113),IF(IF(ISBLANK($AY742),$AX742,$AY742)*Paraméterek!$J$112&gt;IF($D$4="Forint",Paraméterek!$J$114,Paraméterek!$K$114),IF($D$4="Forint",Paraméterek!$J$114,Paraméterek!$K$114),IF(ISBLANK($AY742),$AX742,$AY742)*Paraméterek!$J$112))),IF($D$4="Forint",0,2))</f>
        <v>0</v>
      </c>
      <c r="BA742" s="13">
        <f ca="1">$AT742+$AV742-$AW742-IF(ROUNDDOWN(IF(ISBLANK($AY742),$AX742,$AY742),IF($D$4="Forint",0,2))&gt;$AT742+$AV742-$AW742-IF($D$4="Forint",Paraméterek!$J$114,Paraméterek!$K$114),0,ROUNDDOWN(IF(ISBLANK($AY742),$AX742,$AY742),IF($D$4="Forint",0,2))-$AZ742)</f>
        <v>0</v>
      </c>
      <c r="BB742" s="13">
        <f t="shared" ca="1" si="253"/>
        <v>0</v>
      </c>
      <c r="BD742" s="32">
        <v>723</v>
      </c>
      <c r="BE742" s="32">
        <v>61</v>
      </c>
      <c r="BF742" s="32">
        <v>3</v>
      </c>
      <c r="BG742" s="34">
        <f t="shared" ca="1" si="262"/>
        <v>2079</v>
      </c>
      <c r="BH742" s="32" t="str">
        <f ca="1">IF(MOD(MONTH($D$14)+$BD742-1,12)=Paraméterek!$C$288,"Igen","")</f>
        <v/>
      </c>
      <c r="BI742" s="13">
        <f ca="1">IF($BH742="Igen",MIN(ROUNDDOWN((SUMIF($BG$20:$BG$1027,$BG742-1,$K$20:$K$1027)-SUMIF($BG$20:$BG$1027,$BG742-1,$I$20:$I$1027))*Paraméterek!$C$289,IF($D$4="Forint",0,2)),IF($D$4="Forint",Paraméterek!$C$285,Paraméterek!$D$285)),0)</f>
        <v>0</v>
      </c>
      <c r="BJ742" s="13">
        <f t="shared" ca="1" si="254"/>
        <v>0</v>
      </c>
      <c r="BK742" s="13">
        <f t="shared" ca="1" si="263"/>
        <v>0</v>
      </c>
      <c r="BL742" s="33"/>
      <c r="BM742" s="13">
        <f t="shared" ca="1" si="255"/>
        <v>0</v>
      </c>
      <c r="BN742" s="13">
        <f ca="1">ROUNDUP(($BK742+$BM742)*VLOOKUP($BE742,Paraméterek!$P$38:$Q$38,2)/12*IF($D743="Nem",IF($M$13=0,1,$M$13),1),IF($D$4="Forint",0,2))</f>
        <v>0</v>
      </c>
      <c r="BO742" s="13">
        <f t="shared" ca="1" si="256"/>
        <v>0</v>
      </c>
      <c r="BP742" s="13">
        <f ca="1">IF($D743="Nem",$BO742,$BO742-ROUNDUP(SUM($BI$20:$BI742)*120%,IF($D$4="Forint",0,2)))</f>
        <v>0</v>
      </c>
    </row>
    <row r="743" spans="1:68" x14ac:dyDescent="0.2">
      <c r="A743" s="32">
        <v>724</v>
      </c>
      <c r="B743" s="32">
        <v>61</v>
      </c>
      <c r="C743" s="32">
        <v>4</v>
      </c>
      <c r="D743" s="32" t="str">
        <f t="shared" ca="1" si="242"/>
        <v>Nem</v>
      </c>
      <c r="E743" s="13">
        <f t="shared" ca="1" si="243"/>
        <v>0</v>
      </c>
      <c r="F743" s="13"/>
      <c r="G743" s="13"/>
      <c r="H743" s="13"/>
      <c r="I743" s="13">
        <f t="shared" ca="1" si="244"/>
        <v>0</v>
      </c>
      <c r="J743" s="13">
        <f t="shared" ca="1" si="245"/>
        <v>0</v>
      </c>
      <c r="K743" s="13">
        <f t="shared" ca="1" si="246"/>
        <v>0</v>
      </c>
      <c r="L743" s="13" t="e">
        <f ca="1">ROUNDUP(IF($D$2="Egyszeri",$E743,IF($D$2="Havi",SUM($E$20:$E$31),IF(MOD($C743,$M$1)-1=0,SUM($E$20:$E$31),0))/12*$M$1)*VLOOKUP($B743,Paraméterek!$I$28:$P$31,IF($D$2="Egyszeri",8,HLOOKUP(ROUNDUP($M$11+$M$13,0),Paraméterek!$J$26:$O$27,2))),IF($D$4="Forint",0,2))</f>
        <v>#N/A</v>
      </c>
      <c r="M743" s="13">
        <f t="shared" ca="1" si="247"/>
        <v>0</v>
      </c>
      <c r="N743" s="13">
        <f t="shared" ca="1" si="257"/>
        <v>0</v>
      </c>
      <c r="O743" s="13">
        <f ca="1">IF($D743="Igen",IF($W742&gt;=IF($D$4="Forint",Paraméterek!$J$121,Paraméterek!$K$121),0,IF($D$4="Forint",Paraméterek!$J$121,Paraméterek!$K$121)-$W742),0)</f>
        <v>0</v>
      </c>
      <c r="P743" s="13" t="e">
        <f ca="1">ROUNDUP($O743*VLOOKUP($M$4+$B743-1,Paraméterek!$H$58:$I$105,2,0)/Paraméterek!$I$56,IF($D$4="Forint",0,2))</f>
        <v>#N/A</v>
      </c>
      <c r="Q743" s="13">
        <f t="shared" ca="1" si="248"/>
        <v>0</v>
      </c>
      <c r="R743" s="33"/>
      <c r="S743" s="13" t="e">
        <f t="shared" ca="1" si="249"/>
        <v>#N/A</v>
      </c>
      <c r="T743" s="13" t="e">
        <f ca="1">ROUNDUP(($N743-$P743-$Q743+$S743)*VLOOKUP($B743,Paraméterek!$I$38:$K$39,IF($D$2="Egyszeri",3,2))/12*IF($D744="Nem",IF($M$13=0,1,$M$13),1),IF($D$4="Forint",0,2))</f>
        <v>#N/A</v>
      </c>
      <c r="U743" s="13"/>
      <c r="V743" s="13"/>
      <c r="W743" s="13" t="e">
        <f ca="1">$N743-$P743-$Q743+$S743-$T743-IF(ROUNDUP(IF(ISBLANK($V743),$U743*0,$V743)/IF($D$2="Egyszeri",VLOOKUP($B743+IF($C743=12,1,0),Paraméterek!$V$257:$W$262,2),IF($B743=1,1,VLOOKUP($B743+IF($C743=12,1,0),Paraméterek!$I$258:$T$278,HLOOKUP($M$11+1,Paraméterek!$J$256:$T$257,2)))),IF($D$4="Forint",0,2))&gt;$N743-$P743-$Q743+$S743-$T743-IF($D$4="Forint",Paraméterek!$C$216,Paraméterek!$D$216),0,ROUNDUP(IF(ISBLANK($V743),$U743*0,$V743)/IF($D$2="Egyszeri",VLOOKUP($B743+IF($C743=12,1,0),Paraméterek!$V$257:$W$262,2),IF($B743=1,1,VLOOKUP($B743+IF($C743=12,1,0),Paraméterek!$I$258:$T$278,HLOOKUP($M$11+1,Paraméterek!$J$256:$T$257,2)))),IF($D$4="Forint",0,2)))</f>
        <v>#N/A</v>
      </c>
      <c r="X743" s="13" t="e">
        <f ca="1">ROUNDDOWN($W743*IF($D$2="Egyszeri",VLOOKUP($B743+IF($C743=12,1,0),Paraméterek!$V$257:$W$262,2),VLOOKUP($B743+IF($C743=12,1,0),Paraméterek!$I$258:$T$278,HLOOKUP($M$11+1,Paraméterek!$I$256:$T$257,2))),IF($D$4="Forint",0,2))</f>
        <v>#N/A</v>
      </c>
      <c r="Z743" s="32">
        <v>724</v>
      </c>
      <c r="AA743" s="32">
        <v>61</v>
      </c>
      <c r="AB743" s="32">
        <v>4</v>
      </c>
      <c r="AC743" s="13">
        <f t="shared" ca="1" si="258"/>
        <v>0</v>
      </c>
      <c r="AD743" s="33"/>
      <c r="AE743" s="13">
        <f t="shared" ca="1" si="250"/>
        <v>0</v>
      </c>
      <c r="AF743" s="13">
        <f ca="1">ROUNDUP(($AC743+$AE743)*VLOOKUP($AA743,Paraméterek!$P$38:$Q$38,2)/12*IF($D744="Nem",IF($M$13=0,1,$M$13),1),IF($D$4="Forint",0,2))</f>
        <v>0</v>
      </c>
      <c r="AG743" s="13">
        <f ca="1">IF($D$2="Egyszeri",IF($D$7&gt;=IF($D$4="Forint",Paraméterek!$P$223,Paraméterek!$P$224),$D$7-IF($D$4="Forint",Paraméterek!$P$223,Paraméterek!$P$224),0),MIN(IF($AB743=12,AVERAGEIF($E$20:$E743,"&gt;0",$E$20:$E743)*12,0),SUM($E$20:$E$31)))</f>
        <v>0</v>
      </c>
      <c r="AH743" s="13">
        <f>IF($AA743=10,$AG743*IF($AB743=12,IF($AG743&lt;IF($D$4="Forint",Paraméterek!$L$223,Paraméterek!$L$224),0,VLOOKUP($AA743,Paraméterek!$K$226:$M$228,IF($AG743&lt;IF($D$4="Forint",Paraméterek!$M$223,Paraméterek!$M$224),2,3))),0),0)</f>
        <v>0</v>
      </c>
      <c r="AI743" s="13">
        <f ca="1">IF(AND($AA743=$M$11+1,$AB743=$M$12+1),SUMIF($AA$20:$AA$1027,$AA743,$AG$20:$AG$1027)*IF(SUMIF($AA$20:$AA$1027,$AA743,$AG$20:$AG$1027)&lt;IF($D$4="Forint",Paraméterek!$L$223,Paraméterek!$L$224),0,VLOOKUP($AA743,Paraméterek!$K$230:$M$250,IF(SUMIF($AA$20:$AA$1027,$AA743,$AG$20:$AG$1027)&lt;IF($D$4="Forint",Paraméterek!$M$223,Paraméterek!$M$224),2,3))),0)</f>
        <v>0</v>
      </c>
      <c r="AJ743" s="13">
        <f ca="1">IF(AND($AA743&gt;=5,MOD($AA743,5)=0),IF($AB743=12,VLOOKUP($AA743,Paraméterek!$O$225:$P$240,2),0),IF(OR($AA743=3,$AA743=4),IF($AB743=12,VLOOKUP($AA743,Paraméterek!$O$225:$P$240,2,0),0),0))*$AG743</f>
        <v>0</v>
      </c>
      <c r="AK743" s="13">
        <f t="shared" ca="1" si="251"/>
        <v>0</v>
      </c>
      <c r="AL743" s="13">
        <f t="shared" ca="1" si="259"/>
        <v>0</v>
      </c>
      <c r="AM743" s="13">
        <f t="shared" ca="1" si="260"/>
        <v>0</v>
      </c>
      <c r="AO743" s="32">
        <v>724</v>
      </c>
      <c r="AP743" s="32">
        <v>61</v>
      </c>
      <c r="AQ743" s="32">
        <v>4</v>
      </c>
      <c r="AR743" s="13"/>
      <c r="AS743" s="32"/>
      <c r="AT743" s="13">
        <f t="shared" ca="1" si="261"/>
        <v>0</v>
      </c>
      <c r="AU743" s="33"/>
      <c r="AV743" s="13">
        <f t="shared" ca="1" si="252"/>
        <v>0</v>
      </c>
      <c r="AW743" s="13">
        <f ca="1">ROUNDUP(($AT743+$AV743)*VLOOKUP($AP743,Paraméterek!$P$38:$Q$38,2)/12*IF($D744="Nem",IF($M$13=0,1,$M$13),1),IF($D$4="Forint",0,2))</f>
        <v>0</v>
      </c>
      <c r="AX743" s="13"/>
      <c r="AY743" s="13"/>
      <c r="AZ743" s="13">
        <f>ROUNDUP(IF(SUM($AX743:$AY743)=0,0,IF(IF(ISBLANK($AY743),$AX743,$AY743)*Paraméterek!$J$112&lt;IF($D$4="Forint",Paraméterek!$J$113,Paraméterek!$K$113),IF($D$4="Forint",Paraméterek!$J$113,Paraméterek!$K$113),IF(IF(ISBLANK($AY743),$AX743,$AY743)*Paraméterek!$J$112&gt;IF($D$4="Forint",Paraméterek!$J$114,Paraméterek!$K$114),IF($D$4="Forint",Paraméterek!$J$114,Paraméterek!$K$114),IF(ISBLANK($AY743),$AX743,$AY743)*Paraméterek!$J$112))),IF($D$4="Forint",0,2))</f>
        <v>0</v>
      </c>
      <c r="BA743" s="13">
        <f ca="1">$AT743+$AV743-$AW743-IF(ROUNDDOWN(IF(ISBLANK($AY743),$AX743,$AY743),IF($D$4="Forint",0,2))&gt;$AT743+$AV743-$AW743-IF($D$4="Forint",Paraméterek!$J$114,Paraméterek!$K$114),0,ROUNDDOWN(IF(ISBLANK($AY743),$AX743,$AY743),IF($D$4="Forint",0,2))-$AZ743)</f>
        <v>0</v>
      </c>
      <c r="BB743" s="13">
        <f t="shared" ca="1" si="253"/>
        <v>0</v>
      </c>
      <c r="BD743" s="32">
        <v>724</v>
      </c>
      <c r="BE743" s="32">
        <v>61</v>
      </c>
      <c r="BF743" s="32">
        <v>4</v>
      </c>
      <c r="BG743" s="34">
        <f t="shared" ca="1" si="262"/>
        <v>2079</v>
      </c>
      <c r="BH743" s="32" t="str">
        <f ca="1">IF(MOD(MONTH($D$14)+$BD743-1,12)=Paraméterek!$C$288,"Igen","")</f>
        <v/>
      </c>
      <c r="BI743" s="13">
        <f ca="1">IF($BH743="Igen",MIN(ROUNDDOWN((SUMIF($BG$20:$BG$1027,$BG743-1,$K$20:$K$1027)-SUMIF($BG$20:$BG$1027,$BG743-1,$I$20:$I$1027))*Paraméterek!$C$289,IF($D$4="Forint",0,2)),IF($D$4="Forint",Paraméterek!$C$285,Paraméterek!$D$285)),0)</f>
        <v>0</v>
      </c>
      <c r="BJ743" s="13">
        <f t="shared" ca="1" si="254"/>
        <v>0</v>
      </c>
      <c r="BK743" s="13">
        <f t="shared" ca="1" si="263"/>
        <v>0</v>
      </c>
      <c r="BL743" s="33"/>
      <c r="BM743" s="13">
        <f t="shared" ca="1" si="255"/>
        <v>0</v>
      </c>
      <c r="BN743" s="13">
        <f ca="1">ROUNDUP(($BK743+$BM743)*VLOOKUP($BE743,Paraméterek!$P$38:$Q$38,2)/12*IF($D744="Nem",IF($M$13=0,1,$M$13),1),IF($D$4="Forint",0,2))</f>
        <v>0</v>
      </c>
      <c r="BO743" s="13">
        <f t="shared" ca="1" si="256"/>
        <v>0</v>
      </c>
      <c r="BP743" s="13">
        <f ca="1">IF($D744="Nem",$BO743,$BO743-ROUNDUP(SUM($BI$20:$BI743)*120%,IF($D$4="Forint",0,2)))</f>
        <v>0</v>
      </c>
    </row>
    <row r="744" spans="1:68" x14ac:dyDescent="0.2">
      <c r="A744" s="32">
        <v>725</v>
      </c>
      <c r="B744" s="32">
        <v>61</v>
      </c>
      <c r="C744" s="32">
        <v>5</v>
      </c>
      <c r="D744" s="32" t="str">
        <f t="shared" ca="1" si="242"/>
        <v>Nem</v>
      </c>
      <c r="E744" s="13">
        <f t="shared" ca="1" si="243"/>
        <v>0</v>
      </c>
      <c r="F744" s="13"/>
      <c r="G744" s="13"/>
      <c r="H744" s="13"/>
      <c r="I744" s="13">
        <f t="shared" ca="1" si="244"/>
        <v>0</v>
      </c>
      <c r="J744" s="13">
        <f t="shared" ca="1" si="245"/>
        <v>0</v>
      </c>
      <c r="K744" s="13">
        <f t="shared" ca="1" si="246"/>
        <v>0</v>
      </c>
      <c r="L744" s="13" t="e">
        <f ca="1">ROUNDUP(IF($D$2="Egyszeri",$E744,IF($D$2="Havi",SUM($E$20:$E$31),IF(MOD($C744,$M$1)-1=0,SUM($E$20:$E$31),0))/12*$M$1)*VLOOKUP($B744,Paraméterek!$I$28:$P$31,IF($D$2="Egyszeri",8,HLOOKUP(ROUNDUP($M$11+$M$13,0),Paraméterek!$J$26:$O$27,2))),IF($D$4="Forint",0,2))</f>
        <v>#N/A</v>
      </c>
      <c r="M744" s="13">
        <f t="shared" ca="1" si="247"/>
        <v>0</v>
      </c>
      <c r="N744" s="13">
        <f t="shared" ca="1" si="257"/>
        <v>0</v>
      </c>
      <c r="O744" s="13">
        <f ca="1">IF($D744="Igen",IF($W743&gt;=IF($D$4="Forint",Paraméterek!$J$121,Paraméterek!$K$121),0,IF($D$4="Forint",Paraméterek!$J$121,Paraméterek!$K$121)-$W743),0)</f>
        <v>0</v>
      </c>
      <c r="P744" s="13" t="e">
        <f ca="1">ROUNDUP($O744*VLOOKUP($M$4+$B744-1,Paraméterek!$H$58:$I$105,2,0)/Paraméterek!$I$56,IF($D$4="Forint",0,2))</f>
        <v>#N/A</v>
      </c>
      <c r="Q744" s="13">
        <f t="shared" ca="1" si="248"/>
        <v>0</v>
      </c>
      <c r="R744" s="33"/>
      <c r="S744" s="13" t="e">
        <f t="shared" ca="1" si="249"/>
        <v>#N/A</v>
      </c>
      <c r="T744" s="13" t="e">
        <f ca="1">ROUNDUP(($N744-$P744-$Q744+$S744)*VLOOKUP($B744,Paraméterek!$I$38:$K$39,IF($D$2="Egyszeri",3,2))/12*IF($D745="Nem",IF($M$13=0,1,$M$13),1),IF($D$4="Forint",0,2))</f>
        <v>#N/A</v>
      </c>
      <c r="U744" s="13"/>
      <c r="V744" s="13"/>
      <c r="W744" s="13" t="e">
        <f ca="1">$N744-$P744-$Q744+$S744-$T744-IF(ROUNDUP(IF(ISBLANK($V744),$U744*0,$V744)/IF($D$2="Egyszeri",VLOOKUP($B744+IF($C744=12,1,0),Paraméterek!$V$257:$W$262,2),IF($B744=1,1,VLOOKUP($B744+IF($C744=12,1,0),Paraméterek!$I$258:$T$278,HLOOKUP($M$11+1,Paraméterek!$J$256:$T$257,2)))),IF($D$4="Forint",0,2))&gt;$N744-$P744-$Q744+$S744-$T744-IF($D$4="Forint",Paraméterek!$C$216,Paraméterek!$D$216),0,ROUNDUP(IF(ISBLANK($V744),$U744*0,$V744)/IF($D$2="Egyszeri",VLOOKUP($B744+IF($C744=12,1,0),Paraméterek!$V$257:$W$262,2),IF($B744=1,1,VLOOKUP($B744+IF($C744=12,1,0),Paraméterek!$I$258:$T$278,HLOOKUP($M$11+1,Paraméterek!$J$256:$T$257,2)))),IF($D$4="Forint",0,2)))</f>
        <v>#N/A</v>
      </c>
      <c r="X744" s="13" t="e">
        <f ca="1">ROUNDDOWN($W744*IF($D$2="Egyszeri",VLOOKUP($B744+IF($C744=12,1,0),Paraméterek!$V$257:$W$262,2),VLOOKUP($B744+IF($C744=12,1,0),Paraméterek!$I$258:$T$278,HLOOKUP($M$11+1,Paraméterek!$I$256:$T$257,2))),IF($D$4="Forint",0,2))</f>
        <v>#N/A</v>
      </c>
      <c r="Z744" s="32">
        <v>725</v>
      </c>
      <c r="AA744" s="32">
        <v>61</v>
      </c>
      <c r="AB744" s="32">
        <v>5</v>
      </c>
      <c r="AC744" s="13">
        <f t="shared" ca="1" si="258"/>
        <v>0</v>
      </c>
      <c r="AD744" s="33"/>
      <c r="AE744" s="13">
        <f t="shared" ca="1" si="250"/>
        <v>0</v>
      </c>
      <c r="AF744" s="13">
        <f ca="1">ROUNDUP(($AC744+$AE744)*VLOOKUP($AA744,Paraméterek!$P$38:$Q$38,2)/12*IF($D745="Nem",IF($M$13=0,1,$M$13),1),IF($D$4="Forint",0,2))</f>
        <v>0</v>
      </c>
      <c r="AG744" s="13">
        <f ca="1">IF($D$2="Egyszeri",IF($D$7&gt;=IF($D$4="Forint",Paraméterek!$P$223,Paraméterek!$P$224),$D$7-IF($D$4="Forint",Paraméterek!$P$223,Paraméterek!$P$224),0),MIN(IF($AB744=12,AVERAGEIF($E$20:$E744,"&gt;0",$E$20:$E744)*12,0),SUM($E$20:$E$31)))</f>
        <v>0</v>
      </c>
      <c r="AH744" s="13">
        <f>IF($AA744=10,$AG744*IF($AB744=12,IF($AG744&lt;IF($D$4="Forint",Paraméterek!$L$223,Paraméterek!$L$224),0,VLOOKUP($AA744,Paraméterek!$K$226:$M$228,IF($AG744&lt;IF($D$4="Forint",Paraméterek!$M$223,Paraméterek!$M$224),2,3))),0),0)</f>
        <v>0</v>
      </c>
      <c r="AI744" s="13">
        <f ca="1">IF(AND($AA744=$M$11+1,$AB744=$M$12+1),SUMIF($AA$20:$AA$1027,$AA744,$AG$20:$AG$1027)*IF(SUMIF($AA$20:$AA$1027,$AA744,$AG$20:$AG$1027)&lt;IF($D$4="Forint",Paraméterek!$L$223,Paraméterek!$L$224),0,VLOOKUP($AA744,Paraméterek!$K$230:$M$250,IF(SUMIF($AA$20:$AA$1027,$AA744,$AG$20:$AG$1027)&lt;IF($D$4="Forint",Paraméterek!$M$223,Paraméterek!$M$224),2,3))),0)</f>
        <v>0</v>
      </c>
      <c r="AJ744" s="13">
        <f ca="1">IF(AND($AA744&gt;=5,MOD($AA744,5)=0),IF($AB744=12,VLOOKUP($AA744,Paraméterek!$O$225:$P$240,2),0),IF(OR($AA744=3,$AA744=4),IF($AB744=12,VLOOKUP($AA744,Paraméterek!$O$225:$P$240,2,0),0),0))*$AG744</f>
        <v>0</v>
      </c>
      <c r="AK744" s="13">
        <f t="shared" ca="1" si="251"/>
        <v>0</v>
      </c>
      <c r="AL744" s="13">
        <f t="shared" ca="1" si="259"/>
        <v>0</v>
      </c>
      <c r="AM744" s="13">
        <f t="shared" ca="1" si="260"/>
        <v>0</v>
      </c>
      <c r="AO744" s="32">
        <v>725</v>
      </c>
      <c r="AP744" s="32">
        <v>61</v>
      </c>
      <c r="AQ744" s="32">
        <v>5</v>
      </c>
      <c r="AR744" s="13"/>
      <c r="AS744" s="32"/>
      <c r="AT744" s="13">
        <f t="shared" ca="1" si="261"/>
        <v>0</v>
      </c>
      <c r="AU744" s="33"/>
      <c r="AV744" s="13">
        <f t="shared" ca="1" si="252"/>
        <v>0</v>
      </c>
      <c r="AW744" s="13">
        <f ca="1">ROUNDUP(($AT744+$AV744)*VLOOKUP($AP744,Paraméterek!$P$38:$Q$38,2)/12*IF($D745="Nem",IF($M$13=0,1,$M$13),1),IF($D$4="Forint",0,2))</f>
        <v>0</v>
      </c>
      <c r="AX744" s="13"/>
      <c r="AY744" s="13"/>
      <c r="AZ744" s="13">
        <f>ROUNDUP(IF(SUM($AX744:$AY744)=0,0,IF(IF(ISBLANK($AY744),$AX744,$AY744)*Paraméterek!$J$112&lt;IF($D$4="Forint",Paraméterek!$J$113,Paraméterek!$K$113),IF($D$4="Forint",Paraméterek!$J$113,Paraméterek!$K$113),IF(IF(ISBLANK($AY744),$AX744,$AY744)*Paraméterek!$J$112&gt;IF($D$4="Forint",Paraméterek!$J$114,Paraméterek!$K$114),IF($D$4="Forint",Paraméterek!$J$114,Paraméterek!$K$114),IF(ISBLANK($AY744),$AX744,$AY744)*Paraméterek!$J$112))),IF($D$4="Forint",0,2))</f>
        <v>0</v>
      </c>
      <c r="BA744" s="13">
        <f ca="1">$AT744+$AV744-$AW744-IF(ROUNDDOWN(IF(ISBLANK($AY744),$AX744,$AY744),IF($D$4="Forint",0,2))&gt;$AT744+$AV744-$AW744-IF($D$4="Forint",Paraméterek!$J$114,Paraméterek!$K$114),0,ROUNDDOWN(IF(ISBLANK($AY744),$AX744,$AY744),IF($D$4="Forint",0,2))-$AZ744)</f>
        <v>0</v>
      </c>
      <c r="BB744" s="13">
        <f t="shared" ca="1" si="253"/>
        <v>0</v>
      </c>
      <c r="BD744" s="32">
        <v>725</v>
      </c>
      <c r="BE744" s="32">
        <v>61</v>
      </c>
      <c r="BF744" s="32">
        <v>5</v>
      </c>
      <c r="BG744" s="34">
        <f t="shared" ca="1" si="262"/>
        <v>2079</v>
      </c>
      <c r="BH744" s="32" t="str">
        <f ca="1">IF(MOD(MONTH($D$14)+$BD744-1,12)=Paraméterek!$C$288,"Igen","")</f>
        <v/>
      </c>
      <c r="BI744" s="13">
        <f ca="1">IF($BH744="Igen",MIN(ROUNDDOWN((SUMIF($BG$20:$BG$1027,$BG744-1,$K$20:$K$1027)-SUMIF($BG$20:$BG$1027,$BG744-1,$I$20:$I$1027))*Paraméterek!$C$289,IF($D$4="Forint",0,2)),IF($D$4="Forint",Paraméterek!$C$285,Paraméterek!$D$285)),0)</f>
        <v>0</v>
      </c>
      <c r="BJ744" s="13">
        <f t="shared" ca="1" si="254"/>
        <v>0</v>
      </c>
      <c r="BK744" s="13">
        <f t="shared" ca="1" si="263"/>
        <v>0</v>
      </c>
      <c r="BL744" s="33"/>
      <c r="BM744" s="13">
        <f t="shared" ca="1" si="255"/>
        <v>0</v>
      </c>
      <c r="BN744" s="13">
        <f ca="1">ROUNDUP(($BK744+$BM744)*VLOOKUP($BE744,Paraméterek!$P$38:$Q$38,2)/12*IF($D745="Nem",IF($M$13=0,1,$M$13),1),IF($D$4="Forint",0,2))</f>
        <v>0</v>
      </c>
      <c r="BO744" s="13">
        <f t="shared" ca="1" si="256"/>
        <v>0</v>
      </c>
      <c r="BP744" s="13">
        <f ca="1">IF($D745="Nem",$BO744,$BO744-ROUNDUP(SUM($BI$20:$BI744)*120%,IF($D$4="Forint",0,2)))</f>
        <v>0</v>
      </c>
    </row>
    <row r="745" spans="1:68" x14ac:dyDescent="0.2">
      <c r="A745" s="32">
        <v>726</v>
      </c>
      <c r="B745" s="32">
        <v>61</v>
      </c>
      <c r="C745" s="32">
        <v>6</v>
      </c>
      <c r="D745" s="32" t="str">
        <f t="shared" ca="1" si="242"/>
        <v>Nem</v>
      </c>
      <c r="E745" s="13">
        <f t="shared" ca="1" si="243"/>
        <v>0</v>
      </c>
      <c r="F745" s="13"/>
      <c r="G745" s="13"/>
      <c r="H745" s="13"/>
      <c r="I745" s="13">
        <f t="shared" ca="1" si="244"/>
        <v>0</v>
      </c>
      <c r="J745" s="13">
        <f t="shared" ca="1" si="245"/>
        <v>0</v>
      </c>
      <c r="K745" s="13">
        <f t="shared" ca="1" si="246"/>
        <v>0</v>
      </c>
      <c r="L745" s="13" t="e">
        <f ca="1">ROUNDUP(IF($D$2="Egyszeri",$E745,IF($D$2="Havi",SUM($E$20:$E$31),IF(MOD($C745,$M$1)-1=0,SUM($E$20:$E$31),0))/12*$M$1)*VLOOKUP($B745,Paraméterek!$I$28:$P$31,IF($D$2="Egyszeri",8,HLOOKUP(ROUNDUP($M$11+$M$13,0),Paraméterek!$J$26:$O$27,2))),IF($D$4="Forint",0,2))</f>
        <v>#N/A</v>
      </c>
      <c r="M745" s="13">
        <f t="shared" ca="1" si="247"/>
        <v>0</v>
      </c>
      <c r="N745" s="13">
        <f t="shared" ca="1" si="257"/>
        <v>0</v>
      </c>
      <c r="O745" s="13">
        <f ca="1">IF($D745="Igen",IF($W744&gt;=IF($D$4="Forint",Paraméterek!$J$121,Paraméterek!$K$121),0,IF($D$4="Forint",Paraméterek!$J$121,Paraméterek!$K$121)-$W744),0)</f>
        <v>0</v>
      </c>
      <c r="P745" s="13" t="e">
        <f ca="1">ROUNDUP($O745*VLOOKUP($M$4+$B745-1,Paraméterek!$H$58:$I$105,2,0)/Paraméterek!$I$56,IF($D$4="Forint",0,2))</f>
        <v>#N/A</v>
      </c>
      <c r="Q745" s="13">
        <f t="shared" ca="1" si="248"/>
        <v>0</v>
      </c>
      <c r="R745" s="33"/>
      <c r="S745" s="13" t="e">
        <f t="shared" ca="1" si="249"/>
        <v>#N/A</v>
      </c>
      <c r="T745" s="13" t="e">
        <f ca="1">ROUNDUP(($N745-$P745-$Q745+$S745)*VLOOKUP($B745,Paraméterek!$I$38:$K$39,IF($D$2="Egyszeri",3,2))/12*IF($D746="Nem",IF($M$13=0,1,$M$13),1),IF($D$4="Forint",0,2))</f>
        <v>#N/A</v>
      </c>
      <c r="U745" s="13"/>
      <c r="V745" s="13"/>
      <c r="W745" s="13" t="e">
        <f ca="1">$N745-$P745-$Q745+$S745-$T745-IF(ROUNDUP(IF(ISBLANK($V745),$U745*0,$V745)/IF($D$2="Egyszeri",VLOOKUP($B745+IF($C745=12,1,0),Paraméterek!$V$257:$W$262,2),IF($B745=1,1,VLOOKUP($B745+IF($C745=12,1,0),Paraméterek!$I$258:$T$278,HLOOKUP($M$11+1,Paraméterek!$J$256:$T$257,2)))),IF($D$4="Forint",0,2))&gt;$N745-$P745-$Q745+$S745-$T745-IF($D$4="Forint",Paraméterek!$C$216,Paraméterek!$D$216),0,ROUNDUP(IF(ISBLANK($V745),$U745*0,$V745)/IF($D$2="Egyszeri",VLOOKUP($B745+IF($C745=12,1,0),Paraméterek!$V$257:$W$262,2),IF($B745=1,1,VLOOKUP($B745+IF($C745=12,1,0),Paraméterek!$I$258:$T$278,HLOOKUP($M$11+1,Paraméterek!$J$256:$T$257,2)))),IF($D$4="Forint",0,2)))</f>
        <v>#N/A</v>
      </c>
      <c r="X745" s="13" t="e">
        <f ca="1">ROUNDDOWN($W745*IF($D$2="Egyszeri",VLOOKUP($B745+IF($C745=12,1,0),Paraméterek!$V$257:$W$262,2),VLOOKUP($B745+IF($C745=12,1,0),Paraméterek!$I$258:$T$278,HLOOKUP($M$11+1,Paraméterek!$I$256:$T$257,2))),IF($D$4="Forint",0,2))</f>
        <v>#N/A</v>
      </c>
      <c r="Z745" s="32">
        <v>726</v>
      </c>
      <c r="AA745" s="32">
        <v>61</v>
      </c>
      <c r="AB745" s="32">
        <v>6</v>
      </c>
      <c r="AC745" s="13">
        <f t="shared" ca="1" si="258"/>
        <v>0</v>
      </c>
      <c r="AD745" s="33"/>
      <c r="AE745" s="13">
        <f t="shared" ca="1" si="250"/>
        <v>0</v>
      </c>
      <c r="AF745" s="13">
        <f ca="1">ROUNDUP(($AC745+$AE745)*VLOOKUP($AA745,Paraméterek!$P$38:$Q$38,2)/12*IF($D746="Nem",IF($M$13=0,1,$M$13),1),IF($D$4="Forint",0,2))</f>
        <v>0</v>
      </c>
      <c r="AG745" s="13">
        <f ca="1">IF($D$2="Egyszeri",IF($D$7&gt;=IF($D$4="Forint",Paraméterek!$P$223,Paraméterek!$P$224),$D$7-IF($D$4="Forint",Paraméterek!$P$223,Paraméterek!$P$224),0),MIN(IF($AB745=12,AVERAGEIF($E$20:$E745,"&gt;0",$E$20:$E745)*12,0),SUM($E$20:$E$31)))</f>
        <v>0</v>
      </c>
      <c r="AH745" s="13">
        <f>IF($AA745=10,$AG745*IF($AB745=12,IF($AG745&lt;IF($D$4="Forint",Paraméterek!$L$223,Paraméterek!$L$224),0,VLOOKUP($AA745,Paraméterek!$K$226:$M$228,IF($AG745&lt;IF($D$4="Forint",Paraméterek!$M$223,Paraméterek!$M$224),2,3))),0),0)</f>
        <v>0</v>
      </c>
      <c r="AI745" s="13">
        <f ca="1">IF(AND($AA745=$M$11+1,$AB745=$M$12+1),SUMIF($AA$20:$AA$1027,$AA745,$AG$20:$AG$1027)*IF(SUMIF($AA$20:$AA$1027,$AA745,$AG$20:$AG$1027)&lt;IF($D$4="Forint",Paraméterek!$L$223,Paraméterek!$L$224),0,VLOOKUP($AA745,Paraméterek!$K$230:$M$250,IF(SUMIF($AA$20:$AA$1027,$AA745,$AG$20:$AG$1027)&lt;IF($D$4="Forint",Paraméterek!$M$223,Paraméterek!$M$224),2,3))),0)</f>
        <v>0</v>
      </c>
      <c r="AJ745" s="13">
        <f ca="1">IF(AND($AA745&gt;=5,MOD($AA745,5)=0),IF($AB745=12,VLOOKUP($AA745,Paraméterek!$O$225:$P$240,2),0),IF(OR($AA745=3,$AA745=4),IF($AB745=12,VLOOKUP($AA745,Paraméterek!$O$225:$P$240,2,0),0),0))*$AG745</f>
        <v>0</v>
      </c>
      <c r="AK745" s="13">
        <f t="shared" ca="1" si="251"/>
        <v>0</v>
      </c>
      <c r="AL745" s="13">
        <f t="shared" ca="1" si="259"/>
        <v>0</v>
      </c>
      <c r="AM745" s="13">
        <f t="shared" ca="1" si="260"/>
        <v>0</v>
      </c>
      <c r="AO745" s="32">
        <v>726</v>
      </c>
      <c r="AP745" s="32">
        <v>61</v>
      </c>
      <c r="AQ745" s="32">
        <v>6</v>
      </c>
      <c r="AR745" s="13"/>
      <c r="AS745" s="32"/>
      <c r="AT745" s="13">
        <f t="shared" ca="1" si="261"/>
        <v>0</v>
      </c>
      <c r="AU745" s="33"/>
      <c r="AV745" s="13">
        <f t="shared" ca="1" si="252"/>
        <v>0</v>
      </c>
      <c r="AW745" s="13">
        <f ca="1">ROUNDUP(($AT745+$AV745)*VLOOKUP($AP745,Paraméterek!$P$38:$Q$38,2)/12*IF($D746="Nem",IF($M$13=0,1,$M$13),1),IF($D$4="Forint",0,2))</f>
        <v>0</v>
      </c>
      <c r="AX745" s="13"/>
      <c r="AY745" s="13"/>
      <c r="AZ745" s="13">
        <f>ROUNDUP(IF(SUM($AX745:$AY745)=0,0,IF(IF(ISBLANK($AY745),$AX745,$AY745)*Paraméterek!$J$112&lt;IF($D$4="Forint",Paraméterek!$J$113,Paraméterek!$K$113),IF($D$4="Forint",Paraméterek!$J$113,Paraméterek!$K$113),IF(IF(ISBLANK($AY745),$AX745,$AY745)*Paraméterek!$J$112&gt;IF($D$4="Forint",Paraméterek!$J$114,Paraméterek!$K$114),IF($D$4="Forint",Paraméterek!$J$114,Paraméterek!$K$114),IF(ISBLANK($AY745),$AX745,$AY745)*Paraméterek!$J$112))),IF($D$4="Forint",0,2))</f>
        <v>0</v>
      </c>
      <c r="BA745" s="13">
        <f ca="1">$AT745+$AV745-$AW745-IF(ROUNDDOWN(IF(ISBLANK($AY745),$AX745,$AY745),IF($D$4="Forint",0,2))&gt;$AT745+$AV745-$AW745-IF($D$4="Forint",Paraméterek!$J$114,Paraméterek!$K$114),0,ROUNDDOWN(IF(ISBLANK($AY745),$AX745,$AY745),IF($D$4="Forint",0,2))-$AZ745)</f>
        <v>0</v>
      </c>
      <c r="BB745" s="13">
        <f t="shared" ca="1" si="253"/>
        <v>0</v>
      </c>
      <c r="BD745" s="32">
        <v>726</v>
      </c>
      <c r="BE745" s="32">
        <v>61</v>
      </c>
      <c r="BF745" s="32">
        <v>6</v>
      </c>
      <c r="BG745" s="34">
        <f t="shared" ca="1" si="262"/>
        <v>2079</v>
      </c>
      <c r="BH745" s="32" t="str">
        <f ca="1">IF(MOD(MONTH($D$14)+$BD745-1,12)=Paraméterek!$C$288,"Igen","")</f>
        <v/>
      </c>
      <c r="BI745" s="13">
        <f ca="1">IF($BH745="Igen",MIN(ROUNDDOWN((SUMIF($BG$20:$BG$1027,$BG745-1,$K$20:$K$1027)-SUMIF($BG$20:$BG$1027,$BG745-1,$I$20:$I$1027))*Paraméterek!$C$289,IF($D$4="Forint",0,2)),IF($D$4="Forint",Paraméterek!$C$285,Paraméterek!$D$285)),0)</f>
        <v>0</v>
      </c>
      <c r="BJ745" s="13">
        <f t="shared" ca="1" si="254"/>
        <v>0</v>
      </c>
      <c r="BK745" s="13">
        <f t="shared" ca="1" si="263"/>
        <v>0</v>
      </c>
      <c r="BL745" s="33"/>
      <c r="BM745" s="13">
        <f t="shared" ca="1" si="255"/>
        <v>0</v>
      </c>
      <c r="BN745" s="13">
        <f ca="1">ROUNDUP(($BK745+$BM745)*VLOOKUP($BE745,Paraméterek!$P$38:$Q$38,2)/12*IF($D746="Nem",IF($M$13=0,1,$M$13),1),IF($D$4="Forint",0,2))</f>
        <v>0</v>
      </c>
      <c r="BO745" s="13">
        <f t="shared" ca="1" si="256"/>
        <v>0</v>
      </c>
      <c r="BP745" s="13">
        <f ca="1">IF($D746="Nem",$BO745,$BO745-ROUNDUP(SUM($BI$20:$BI745)*120%,IF($D$4="Forint",0,2)))</f>
        <v>0</v>
      </c>
    </row>
    <row r="746" spans="1:68" x14ac:dyDescent="0.2">
      <c r="A746" s="32">
        <v>727</v>
      </c>
      <c r="B746" s="32">
        <v>61</v>
      </c>
      <c r="C746" s="32">
        <v>7</v>
      </c>
      <c r="D746" s="32" t="str">
        <f t="shared" ca="1" si="242"/>
        <v>Nem</v>
      </c>
      <c r="E746" s="13">
        <f t="shared" ca="1" si="243"/>
        <v>0</v>
      </c>
      <c r="F746" s="13"/>
      <c r="G746" s="13"/>
      <c r="H746" s="13"/>
      <c r="I746" s="13">
        <f t="shared" ca="1" si="244"/>
        <v>0</v>
      </c>
      <c r="J746" s="13">
        <f t="shared" ca="1" si="245"/>
        <v>0</v>
      </c>
      <c r="K746" s="13">
        <f t="shared" ca="1" si="246"/>
        <v>0</v>
      </c>
      <c r="L746" s="13" t="e">
        <f ca="1">ROUNDUP(IF($D$2="Egyszeri",$E746,IF($D$2="Havi",SUM($E$20:$E$31),IF(MOD($C746,$M$1)-1=0,SUM($E$20:$E$31),0))/12*$M$1)*VLOOKUP($B746,Paraméterek!$I$28:$P$31,IF($D$2="Egyszeri",8,HLOOKUP(ROUNDUP($M$11+$M$13,0),Paraméterek!$J$26:$O$27,2))),IF($D$4="Forint",0,2))</f>
        <v>#N/A</v>
      </c>
      <c r="M746" s="13">
        <f t="shared" ca="1" si="247"/>
        <v>0</v>
      </c>
      <c r="N746" s="13">
        <f t="shared" ca="1" si="257"/>
        <v>0</v>
      </c>
      <c r="O746" s="13">
        <f ca="1">IF($D746="Igen",IF($W745&gt;=IF($D$4="Forint",Paraméterek!$J$121,Paraméterek!$K$121),0,IF($D$4="Forint",Paraméterek!$J$121,Paraméterek!$K$121)-$W745),0)</f>
        <v>0</v>
      </c>
      <c r="P746" s="13" t="e">
        <f ca="1">ROUNDUP($O746*VLOOKUP($M$4+$B746-1,Paraméterek!$H$58:$I$105,2,0)/Paraméterek!$I$56,IF($D$4="Forint",0,2))</f>
        <v>#N/A</v>
      </c>
      <c r="Q746" s="13">
        <f t="shared" ca="1" si="248"/>
        <v>0</v>
      </c>
      <c r="R746" s="33"/>
      <c r="S746" s="13" t="e">
        <f t="shared" ca="1" si="249"/>
        <v>#N/A</v>
      </c>
      <c r="T746" s="13" t="e">
        <f ca="1">ROUNDUP(($N746-$P746-$Q746+$S746)*VLOOKUP($B746,Paraméterek!$I$38:$K$39,IF($D$2="Egyszeri",3,2))/12*IF($D747="Nem",IF($M$13=0,1,$M$13),1),IF($D$4="Forint",0,2))</f>
        <v>#N/A</v>
      </c>
      <c r="U746" s="13"/>
      <c r="V746" s="13"/>
      <c r="W746" s="13" t="e">
        <f ca="1">$N746-$P746-$Q746+$S746-$T746-IF(ROUNDUP(IF(ISBLANK($V746),$U746*0,$V746)/IF($D$2="Egyszeri",VLOOKUP($B746+IF($C746=12,1,0),Paraméterek!$V$257:$W$262,2),IF($B746=1,1,VLOOKUP($B746+IF($C746=12,1,0),Paraméterek!$I$258:$T$278,HLOOKUP($M$11+1,Paraméterek!$J$256:$T$257,2)))),IF($D$4="Forint",0,2))&gt;$N746-$P746-$Q746+$S746-$T746-IF($D$4="Forint",Paraméterek!$C$216,Paraméterek!$D$216),0,ROUNDUP(IF(ISBLANK($V746),$U746*0,$V746)/IF($D$2="Egyszeri",VLOOKUP($B746+IF($C746=12,1,0),Paraméterek!$V$257:$W$262,2),IF($B746=1,1,VLOOKUP($B746+IF($C746=12,1,0),Paraméterek!$I$258:$T$278,HLOOKUP($M$11+1,Paraméterek!$J$256:$T$257,2)))),IF($D$4="Forint",0,2)))</f>
        <v>#N/A</v>
      </c>
      <c r="X746" s="13" t="e">
        <f ca="1">ROUNDDOWN($W746*IF($D$2="Egyszeri",VLOOKUP($B746+IF($C746=12,1,0),Paraméterek!$V$257:$W$262,2),VLOOKUP($B746+IF($C746=12,1,0),Paraméterek!$I$258:$T$278,HLOOKUP($M$11+1,Paraméterek!$I$256:$T$257,2))),IF($D$4="Forint",0,2))</f>
        <v>#N/A</v>
      </c>
      <c r="Z746" s="32">
        <v>727</v>
      </c>
      <c r="AA746" s="32">
        <v>61</v>
      </c>
      <c r="AB746" s="32">
        <v>7</v>
      </c>
      <c r="AC746" s="13">
        <f t="shared" ca="1" si="258"/>
        <v>0</v>
      </c>
      <c r="AD746" s="33"/>
      <c r="AE746" s="13">
        <f t="shared" ca="1" si="250"/>
        <v>0</v>
      </c>
      <c r="AF746" s="13">
        <f ca="1">ROUNDUP(($AC746+$AE746)*VLOOKUP($AA746,Paraméterek!$P$38:$Q$38,2)/12*IF($D747="Nem",IF($M$13=0,1,$M$13),1),IF($D$4="Forint",0,2))</f>
        <v>0</v>
      </c>
      <c r="AG746" s="13">
        <f ca="1">IF($D$2="Egyszeri",IF($D$7&gt;=IF($D$4="Forint",Paraméterek!$P$223,Paraméterek!$P$224),$D$7-IF($D$4="Forint",Paraméterek!$P$223,Paraméterek!$P$224),0),MIN(IF($AB746=12,AVERAGEIF($E$20:$E746,"&gt;0",$E$20:$E746)*12,0),SUM($E$20:$E$31)))</f>
        <v>0</v>
      </c>
      <c r="AH746" s="13">
        <f>IF($AA746=10,$AG746*IF($AB746=12,IF($AG746&lt;IF($D$4="Forint",Paraméterek!$L$223,Paraméterek!$L$224),0,VLOOKUP($AA746,Paraméterek!$K$226:$M$228,IF($AG746&lt;IF($D$4="Forint",Paraméterek!$M$223,Paraméterek!$M$224),2,3))),0),0)</f>
        <v>0</v>
      </c>
      <c r="AI746" s="13">
        <f ca="1">IF(AND($AA746=$M$11+1,$AB746=$M$12+1),SUMIF($AA$20:$AA$1027,$AA746,$AG$20:$AG$1027)*IF(SUMIF($AA$20:$AA$1027,$AA746,$AG$20:$AG$1027)&lt;IF($D$4="Forint",Paraméterek!$L$223,Paraméterek!$L$224),0,VLOOKUP($AA746,Paraméterek!$K$230:$M$250,IF(SUMIF($AA$20:$AA$1027,$AA746,$AG$20:$AG$1027)&lt;IF($D$4="Forint",Paraméterek!$M$223,Paraméterek!$M$224),2,3))),0)</f>
        <v>0</v>
      </c>
      <c r="AJ746" s="13">
        <f ca="1">IF(AND($AA746&gt;=5,MOD($AA746,5)=0),IF($AB746=12,VLOOKUP($AA746,Paraméterek!$O$225:$P$240,2),0),IF(OR($AA746=3,$AA746=4),IF($AB746=12,VLOOKUP($AA746,Paraméterek!$O$225:$P$240,2,0),0),0))*$AG746</f>
        <v>0</v>
      </c>
      <c r="AK746" s="13">
        <f t="shared" ca="1" si="251"/>
        <v>0</v>
      </c>
      <c r="AL746" s="13">
        <f t="shared" ca="1" si="259"/>
        <v>0</v>
      </c>
      <c r="AM746" s="13">
        <f t="shared" ca="1" si="260"/>
        <v>0</v>
      </c>
      <c r="AO746" s="32">
        <v>727</v>
      </c>
      <c r="AP746" s="32">
        <v>61</v>
      </c>
      <c r="AQ746" s="32">
        <v>7</v>
      </c>
      <c r="AR746" s="13"/>
      <c r="AS746" s="32"/>
      <c r="AT746" s="13">
        <f t="shared" ca="1" si="261"/>
        <v>0</v>
      </c>
      <c r="AU746" s="33"/>
      <c r="AV746" s="13">
        <f t="shared" ca="1" si="252"/>
        <v>0</v>
      </c>
      <c r="AW746" s="13">
        <f ca="1">ROUNDUP(($AT746+$AV746)*VLOOKUP($AP746,Paraméterek!$P$38:$Q$38,2)/12*IF($D747="Nem",IF($M$13=0,1,$M$13),1),IF($D$4="Forint",0,2))</f>
        <v>0</v>
      </c>
      <c r="AX746" s="13"/>
      <c r="AY746" s="13"/>
      <c r="AZ746" s="13">
        <f>ROUNDUP(IF(SUM($AX746:$AY746)=0,0,IF(IF(ISBLANK($AY746),$AX746,$AY746)*Paraméterek!$J$112&lt;IF($D$4="Forint",Paraméterek!$J$113,Paraméterek!$K$113),IF($D$4="Forint",Paraméterek!$J$113,Paraméterek!$K$113),IF(IF(ISBLANK($AY746),$AX746,$AY746)*Paraméterek!$J$112&gt;IF($D$4="Forint",Paraméterek!$J$114,Paraméterek!$K$114),IF($D$4="Forint",Paraméterek!$J$114,Paraméterek!$K$114),IF(ISBLANK($AY746),$AX746,$AY746)*Paraméterek!$J$112))),IF($D$4="Forint",0,2))</f>
        <v>0</v>
      </c>
      <c r="BA746" s="13">
        <f ca="1">$AT746+$AV746-$AW746-IF(ROUNDDOWN(IF(ISBLANK($AY746),$AX746,$AY746),IF($D$4="Forint",0,2))&gt;$AT746+$AV746-$AW746-IF($D$4="Forint",Paraméterek!$J$114,Paraméterek!$K$114),0,ROUNDDOWN(IF(ISBLANK($AY746),$AX746,$AY746),IF($D$4="Forint",0,2))-$AZ746)</f>
        <v>0</v>
      </c>
      <c r="BB746" s="13">
        <f t="shared" ca="1" si="253"/>
        <v>0</v>
      </c>
      <c r="BD746" s="32">
        <v>727</v>
      </c>
      <c r="BE746" s="32">
        <v>61</v>
      </c>
      <c r="BF746" s="32">
        <v>7</v>
      </c>
      <c r="BG746" s="34">
        <f t="shared" ca="1" si="262"/>
        <v>2079</v>
      </c>
      <c r="BH746" s="32" t="str">
        <f ca="1">IF(MOD(MONTH($D$14)+$BD746-1,12)=Paraméterek!$C$288,"Igen","")</f>
        <v/>
      </c>
      <c r="BI746" s="13">
        <f ca="1">IF($BH746="Igen",MIN(ROUNDDOWN((SUMIF($BG$20:$BG$1027,$BG746-1,$K$20:$K$1027)-SUMIF($BG$20:$BG$1027,$BG746-1,$I$20:$I$1027))*Paraméterek!$C$289,IF($D$4="Forint",0,2)),IF($D$4="Forint",Paraméterek!$C$285,Paraméterek!$D$285)),0)</f>
        <v>0</v>
      </c>
      <c r="BJ746" s="13">
        <f t="shared" ca="1" si="254"/>
        <v>0</v>
      </c>
      <c r="BK746" s="13">
        <f t="shared" ca="1" si="263"/>
        <v>0</v>
      </c>
      <c r="BL746" s="33"/>
      <c r="BM746" s="13">
        <f t="shared" ca="1" si="255"/>
        <v>0</v>
      </c>
      <c r="BN746" s="13">
        <f ca="1">ROUNDUP(($BK746+$BM746)*VLOOKUP($BE746,Paraméterek!$P$38:$Q$38,2)/12*IF($D747="Nem",IF($M$13=0,1,$M$13),1),IF($D$4="Forint",0,2))</f>
        <v>0</v>
      </c>
      <c r="BO746" s="13">
        <f t="shared" ca="1" si="256"/>
        <v>0</v>
      </c>
      <c r="BP746" s="13">
        <f ca="1">IF($D747="Nem",$BO746,$BO746-ROUNDUP(SUM($BI$20:$BI746)*120%,IF($D$4="Forint",0,2)))</f>
        <v>0</v>
      </c>
    </row>
    <row r="747" spans="1:68" x14ac:dyDescent="0.2">
      <c r="A747" s="32">
        <v>728</v>
      </c>
      <c r="B747" s="32">
        <v>61</v>
      </c>
      <c r="C747" s="32">
        <v>8</v>
      </c>
      <c r="D747" s="32" t="str">
        <f t="shared" ca="1" si="242"/>
        <v>Nem</v>
      </c>
      <c r="E747" s="13">
        <f t="shared" ca="1" si="243"/>
        <v>0</v>
      </c>
      <c r="F747" s="13"/>
      <c r="G747" s="13"/>
      <c r="H747" s="13"/>
      <c r="I747" s="13">
        <f t="shared" ca="1" si="244"/>
        <v>0</v>
      </c>
      <c r="J747" s="13">
        <f t="shared" ca="1" si="245"/>
        <v>0</v>
      </c>
      <c r="K747" s="13">
        <f t="shared" ca="1" si="246"/>
        <v>0</v>
      </c>
      <c r="L747" s="13" t="e">
        <f ca="1">ROUNDUP(IF($D$2="Egyszeri",$E747,IF($D$2="Havi",SUM($E$20:$E$31),IF(MOD($C747,$M$1)-1=0,SUM($E$20:$E$31),0))/12*$M$1)*VLOOKUP($B747,Paraméterek!$I$28:$P$31,IF($D$2="Egyszeri",8,HLOOKUP(ROUNDUP($M$11+$M$13,0),Paraméterek!$J$26:$O$27,2))),IF($D$4="Forint",0,2))</f>
        <v>#N/A</v>
      </c>
      <c r="M747" s="13">
        <f t="shared" ca="1" si="247"/>
        <v>0</v>
      </c>
      <c r="N747" s="13">
        <f t="shared" ca="1" si="257"/>
        <v>0</v>
      </c>
      <c r="O747" s="13">
        <f ca="1">IF($D747="Igen",IF($W746&gt;=IF($D$4="Forint",Paraméterek!$J$121,Paraméterek!$K$121),0,IF($D$4="Forint",Paraméterek!$J$121,Paraméterek!$K$121)-$W746),0)</f>
        <v>0</v>
      </c>
      <c r="P747" s="13" t="e">
        <f ca="1">ROUNDUP($O747*VLOOKUP($M$4+$B747-1,Paraméterek!$H$58:$I$105,2,0)/Paraméterek!$I$56,IF($D$4="Forint",0,2))</f>
        <v>#N/A</v>
      </c>
      <c r="Q747" s="13">
        <f t="shared" ca="1" si="248"/>
        <v>0</v>
      </c>
      <c r="R747" s="33"/>
      <c r="S747" s="13" t="e">
        <f t="shared" ca="1" si="249"/>
        <v>#N/A</v>
      </c>
      <c r="T747" s="13" t="e">
        <f ca="1">ROUNDUP(($N747-$P747-$Q747+$S747)*VLOOKUP($B747,Paraméterek!$I$38:$K$39,IF($D$2="Egyszeri",3,2))/12*IF($D748="Nem",IF($M$13=0,1,$M$13),1),IF($D$4="Forint",0,2))</f>
        <v>#N/A</v>
      </c>
      <c r="U747" s="13"/>
      <c r="V747" s="13"/>
      <c r="W747" s="13" t="e">
        <f ca="1">$N747-$P747-$Q747+$S747-$T747-IF(ROUNDUP(IF(ISBLANK($V747),$U747*0,$V747)/IF($D$2="Egyszeri",VLOOKUP($B747+IF($C747=12,1,0),Paraméterek!$V$257:$W$262,2),IF($B747=1,1,VLOOKUP($B747+IF($C747=12,1,0),Paraméterek!$I$258:$T$278,HLOOKUP($M$11+1,Paraméterek!$J$256:$T$257,2)))),IF($D$4="Forint",0,2))&gt;$N747-$P747-$Q747+$S747-$T747-IF($D$4="Forint",Paraméterek!$C$216,Paraméterek!$D$216),0,ROUNDUP(IF(ISBLANK($V747),$U747*0,$V747)/IF($D$2="Egyszeri",VLOOKUP($B747+IF($C747=12,1,0),Paraméterek!$V$257:$W$262,2),IF($B747=1,1,VLOOKUP($B747+IF($C747=12,1,0),Paraméterek!$I$258:$T$278,HLOOKUP($M$11+1,Paraméterek!$J$256:$T$257,2)))),IF($D$4="Forint",0,2)))</f>
        <v>#N/A</v>
      </c>
      <c r="X747" s="13" t="e">
        <f ca="1">ROUNDDOWN($W747*IF($D$2="Egyszeri",VLOOKUP($B747+IF($C747=12,1,0),Paraméterek!$V$257:$W$262,2),VLOOKUP($B747+IF($C747=12,1,0),Paraméterek!$I$258:$T$278,HLOOKUP($M$11+1,Paraméterek!$I$256:$T$257,2))),IF($D$4="Forint",0,2))</f>
        <v>#N/A</v>
      </c>
      <c r="Z747" s="32">
        <v>728</v>
      </c>
      <c r="AA747" s="32">
        <v>61</v>
      </c>
      <c r="AB747" s="32">
        <v>8</v>
      </c>
      <c r="AC747" s="13">
        <f t="shared" ca="1" si="258"/>
        <v>0</v>
      </c>
      <c r="AD747" s="33"/>
      <c r="AE747" s="13">
        <f t="shared" ca="1" si="250"/>
        <v>0</v>
      </c>
      <c r="AF747" s="13">
        <f ca="1">ROUNDUP(($AC747+$AE747)*VLOOKUP($AA747,Paraméterek!$P$38:$Q$38,2)/12*IF($D748="Nem",IF($M$13=0,1,$M$13),1),IF($D$4="Forint",0,2))</f>
        <v>0</v>
      </c>
      <c r="AG747" s="13">
        <f ca="1">IF($D$2="Egyszeri",IF($D$7&gt;=IF($D$4="Forint",Paraméterek!$P$223,Paraméterek!$P$224),$D$7-IF($D$4="Forint",Paraméterek!$P$223,Paraméterek!$P$224),0),MIN(IF($AB747=12,AVERAGEIF($E$20:$E747,"&gt;0",$E$20:$E747)*12,0),SUM($E$20:$E$31)))</f>
        <v>0</v>
      </c>
      <c r="AH747" s="13">
        <f>IF($AA747=10,$AG747*IF($AB747=12,IF($AG747&lt;IF($D$4="Forint",Paraméterek!$L$223,Paraméterek!$L$224),0,VLOOKUP($AA747,Paraméterek!$K$226:$M$228,IF($AG747&lt;IF($D$4="Forint",Paraméterek!$M$223,Paraméterek!$M$224),2,3))),0),0)</f>
        <v>0</v>
      </c>
      <c r="AI747" s="13">
        <f ca="1">IF(AND($AA747=$M$11+1,$AB747=$M$12+1),SUMIF($AA$20:$AA$1027,$AA747,$AG$20:$AG$1027)*IF(SUMIF($AA$20:$AA$1027,$AA747,$AG$20:$AG$1027)&lt;IF($D$4="Forint",Paraméterek!$L$223,Paraméterek!$L$224),0,VLOOKUP($AA747,Paraméterek!$K$230:$M$250,IF(SUMIF($AA$20:$AA$1027,$AA747,$AG$20:$AG$1027)&lt;IF($D$4="Forint",Paraméterek!$M$223,Paraméterek!$M$224),2,3))),0)</f>
        <v>0</v>
      </c>
      <c r="AJ747" s="13">
        <f ca="1">IF(AND($AA747&gt;=5,MOD($AA747,5)=0),IF($AB747=12,VLOOKUP($AA747,Paraméterek!$O$225:$P$240,2),0),IF(OR($AA747=3,$AA747=4),IF($AB747=12,VLOOKUP($AA747,Paraméterek!$O$225:$P$240,2,0),0),0))*$AG747</f>
        <v>0</v>
      </c>
      <c r="AK747" s="13">
        <f t="shared" ca="1" si="251"/>
        <v>0</v>
      </c>
      <c r="AL747" s="13">
        <f t="shared" ca="1" si="259"/>
        <v>0</v>
      </c>
      <c r="AM747" s="13">
        <f t="shared" ca="1" si="260"/>
        <v>0</v>
      </c>
      <c r="AO747" s="32">
        <v>728</v>
      </c>
      <c r="AP747" s="32">
        <v>61</v>
      </c>
      <c r="AQ747" s="32">
        <v>8</v>
      </c>
      <c r="AR747" s="13"/>
      <c r="AS747" s="32"/>
      <c r="AT747" s="13">
        <f t="shared" ca="1" si="261"/>
        <v>0</v>
      </c>
      <c r="AU747" s="33"/>
      <c r="AV747" s="13">
        <f t="shared" ca="1" si="252"/>
        <v>0</v>
      </c>
      <c r="AW747" s="13">
        <f ca="1">ROUNDUP(($AT747+$AV747)*VLOOKUP($AP747,Paraméterek!$P$38:$Q$38,2)/12*IF($D748="Nem",IF($M$13=0,1,$M$13),1),IF($D$4="Forint",0,2))</f>
        <v>0</v>
      </c>
      <c r="AX747" s="13"/>
      <c r="AY747" s="13"/>
      <c r="AZ747" s="13">
        <f>ROUNDUP(IF(SUM($AX747:$AY747)=0,0,IF(IF(ISBLANK($AY747),$AX747,$AY747)*Paraméterek!$J$112&lt;IF($D$4="Forint",Paraméterek!$J$113,Paraméterek!$K$113),IF($D$4="Forint",Paraméterek!$J$113,Paraméterek!$K$113),IF(IF(ISBLANK($AY747),$AX747,$AY747)*Paraméterek!$J$112&gt;IF($D$4="Forint",Paraméterek!$J$114,Paraméterek!$K$114),IF($D$4="Forint",Paraméterek!$J$114,Paraméterek!$K$114),IF(ISBLANK($AY747),$AX747,$AY747)*Paraméterek!$J$112))),IF($D$4="Forint",0,2))</f>
        <v>0</v>
      </c>
      <c r="BA747" s="13">
        <f ca="1">$AT747+$AV747-$AW747-IF(ROUNDDOWN(IF(ISBLANK($AY747),$AX747,$AY747),IF($D$4="Forint",0,2))&gt;$AT747+$AV747-$AW747-IF($D$4="Forint",Paraméterek!$J$114,Paraméterek!$K$114),0,ROUNDDOWN(IF(ISBLANK($AY747),$AX747,$AY747),IF($D$4="Forint",0,2))-$AZ747)</f>
        <v>0</v>
      </c>
      <c r="BB747" s="13">
        <f t="shared" ca="1" si="253"/>
        <v>0</v>
      </c>
      <c r="BD747" s="32">
        <v>728</v>
      </c>
      <c r="BE747" s="32">
        <v>61</v>
      </c>
      <c r="BF747" s="32">
        <v>8</v>
      </c>
      <c r="BG747" s="34">
        <f t="shared" ca="1" si="262"/>
        <v>2080</v>
      </c>
      <c r="BH747" s="32" t="str">
        <f ca="1">IF(MOD(MONTH($D$14)+$BD747-1,12)=Paraméterek!$C$288,"Igen","")</f>
        <v/>
      </c>
      <c r="BI747" s="13">
        <f ca="1">IF($BH747="Igen",MIN(ROUNDDOWN((SUMIF($BG$20:$BG$1027,$BG747-1,$K$20:$K$1027)-SUMIF($BG$20:$BG$1027,$BG747-1,$I$20:$I$1027))*Paraméterek!$C$289,IF($D$4="Forint",0,2)),IF($D$4="Forint",Paraméterek!$C$285,Paraméterek!$D$285)),0)</f>
        <v>0</v>
      </c>
      <c r="BJ747" s="13">
        <f t="shared" ca="1" si="254"/>
        <v>0</v>
      </c>
      <c r="BK747" s="13">
        <f t="shared" ca="1" si="263"/>
        <v>0</v>
      </c>
      <c r="BL747" s="33"/>
      <c r="BM747" s="13">
        <f t="shared" ca="1" si="255"/>
        <v>0</v>
      </c>
      <c r="BN747" s="13">
        <f ca="1">ROUNDUP(($BK747+$BM747)*VLOOKUP($BE747,Paraméterek!$P$38:$Q$38,2)/12*IF($D748="Nem",IF($M$13=0,1,$M$13),1),IF($D$4="Forint",0,2))</f>
        <v>0</v>
      </c>
      <c r="BO747" s="13">
        <f t="shared" ca="1" si="256"/>
        <v>0</v>
      </c>
      <c r="BP747" s="13">
        <f ca="1">IF($D748="Nem",$BO747,$BO747-ROUNDUP(SUM($BI$20:$BI747)*120%,IF($D$4="Forint",0,2)))</f>
        <v>0</v>
      </c>
    </row>
    <row r="748" spans="1:68" x14ac:dyDescent="0.2">
      <c r="A748" s="32">
        <v>729</v>
      </c>
      <c r="B748" s="32">
        <v>61</v>
      </c>
      <c r="C748" s="32">
        <v>9</v>
      </c>
      <c r="D748" s="32" t="str">
        <f t="shared" ca="1" si="242"/>
        <v>Nem</v>
      </c>
      <c r="E748" s="13">
        <f t="shared" ca="1" si="243"/>
        <v>0</v>
      </c>
      <c r="F748" s="13"/>
      <c r="G748" s="13"/>
      <c r="H748" s="13"/>
      <c r="I748" s="13">
        <f t="shared" ca="1" si="244"/>
        <v>0</v>
      </c>
      <c r="J748" s="13">
        <f t="shared" ca="1" si="245"/>
        <v>0</v>
      </c>
      <c r="K748" s="13">
        <f t="shared" ca="1" si="246"/>
        <v>0</v>
      </c>
      <c r="L748" s="13" t="e">
        <f ca="1">ROUNDUP(IF($D$2="Egyszeri",$E748,IF($D$2="Havi",SUM($E$20:$E$31),IF(MOD($C748,$M$1)-1=0,SUM($E$20:$E$31),0))/12*$M$1)*VLOOKUP($B748,Paraméterek!$I$28:$P$31,IF($D$2="Egyszeri",8,HLOOKUP(ROUNDUP($M$11+$M$13,0),Paraméterek!$J$26:$O$27,2))),IF($D$4="Forint",0,2))</f>
        <v>#N/A</v>
      </c>
      <c r="M748" s="13">
        <f t="shared" ca="1" si="247"/>
        <v>0</v>
      </c>
      <c r="N748" s="13">
        <f t="shared" ca="1" si="257"/>
        <v>0</v>
      </c>
      <c r="O748" s="13">
        <f ca="1">IF($D748="Igen",IF($W747&gt;=IF($D$4="Forint",Paraméterek!$J$121,Paraméterek!$K$121),0,IF($D$4="Forint",Paraméterek!$J$121,Paraméterek!$K$121)-$W747),0)</f>
        <v>0</v>
      </c>
      <c r="P748" s="13" t="e">
        <f ca="1">ROUNDUP($O748*VLOOKUP($M$4+$B748-1,Paraméterek!$H$58:$I$105,2,0)/Paraméterek!$I$56,IF($D$4="Forint",0,2))</f>
        <v>#N/A</v>
      </c>
      <c r="Q748" s="13">
        <f t="shared" ca="1" si="248"/>
        <v>0</v>
      </c>
      <c r="R748" s="33"/>
      <c r="S748" s="13" t="e">
        <f t="shared" ca="1" si="249"/>
        <v>#N/A</v>
      </c>
      <c r="T748" s="13" t="e">
        <f ca="1">ROUNDUP(($N748-$P748-$Q748+$S748)*VLOOKUP($B748,Paraméterek!$I$38:$K$39,IF($D$2="Egyszeri",3,2))/12*IF($D749="Nem",IF($M$13=0,1,$M$13),1),IF($D$4="Forint",0,2))</f>
        <v>#N/A</v>
      </c>
      <c r="U748" s="13"/>
      <c r="V748" s="13"/>
      <c r="W748" s="13" t="e">
        <f ca="1">$N748-$P748-$Q748+$S748-$T748-IF(ROUNDUP(IF(ISBLANK($V748),$U748*0,$V748)/IF($D$2="Egyszeri",VLOOKUP($B748+IF($C748=12,1,0),Paraméterek!$V$257:$W$262,2),IF($B748=1,1,VLOOKUP($B748+IF($C748=12,1,0),Paraméterek!$I$258:$T$278,HLOOKUP($M$11+1,Paraméterek!$J$256:$T$257,2)))),IF($D$4="Forint",0,2))&gt;$N748-$P748-$Q748+$S748-$T748-IF($D$4="Forint",Paraméterek!$C$216,Paraméterek!$D$216),0,ROUNDUP(IF(ISBLANK($V748),$U748*0,$V748)/IF($D$2="Egyszeri",VLOOKUP($B748+IF($C748=12,1,0),Paraméterek!$V$257:$W$262,2),IF($B748=1,1,VLOOKUP($B748+IF($C748=12,1,0),Paraméterek!$I$258:$T$278,HLOOKUP($M$11+1,Paraméterek!$J$256:$T$257,2)))),IF($D$4="Forint",0,2)))</f>
        <v>#N/A</v>
      </c>
      <c r="X748" s="13" t="e">
        <f ca="1">ROUNDDOWN($W748*IF($D$2="Egyszeri",VLOOKUP($B748+IF($C748=12,1,0),Paraméterek!$V$257:$W$262,2),VLOOKUP($B748+IF($C748=12,1,0),Paraméterek!$I$258:$T$278,HLOOKUP($M$11+1,Paraméterek!$I$256:$T$257,2))),IF($D$4="Forint",0,2))</f>
        <v>#N/A</v>
      </c>
      <c r="Z748" s="32">
        <v>729</v>
      </c>
      <c r="AA748" s="32">
        <v>61</v>
      </c>
      <c r="AB748" s="32">
        <v>9</v>
      </c>
      <c r="AC748" s="13">
        <f t="shared" ca="1" si="258"/>
        <v>0</v>
      </c>
      <c r="AD748" s="33"/>
      <c r="AE748" s="13">
        <f t="shared" ca="1" si="250"/>
        <v>0</v>
      </c>
      <c r="AF748" s="13">
        <f ca="1">ROUNDUP(($AC748+$AE748)*VLOOKUP($AA748,Paraméterek!$P$38:$Q$38,2)/12*IF($D749="Nem",IF($M$13=0,1,$M$13),1),IF($D$4="Forint",0,2))</f>
        <v>0</v>
      </c>
      <c r="AG748" s="13">
        <f ca="1">IF($D$2="Egyszeri",IF($D$7&gt;=IF($D$4="Forint",Paraméterek!$P$223,Paraméterek!$P$224),$D$7-IF($D$4="Forint",Paraméterek!$P$223,Paraméterek!$P$224),0),MIN(IF($AB748=12,AVERAGEIF($E$20:$E748,"&gt;0",$E$20:$E748)*12,0),SUM($E$20:$E$31)))</f>
        <v>0</v>
      </c>
      <c r="AH748" s="13">
        <f>IF($AA748=10,$AG748*IF($AB748=12,IF($AG748&lt;IF($D$4="Forint",Paraméterek!$L$223,Paraméterek!$L$224),0,VLOOKUP($AA748,Paraméterek!$K$226:$M$228,IF($AG748&lt;IF($D$4="Forint",Paraméterek!$M$223,Paraméterek!$M$224),2,3))),0),0)</f>
        <v>0</v>
      </c>
      <c r="AI748" s="13">
        <f ca="1">IF(AND($AA748=$M$11+1,$AB748=$M$12+1),SUMIF($AA$20:$AA$1027,$AA748,$AG$20:$AG$1027)*IF(SUMIF($AA$20:$AA$1027,$AA748,$AG$20:$AG$1027)&lt;IF($D$4="Forint",Paraméterek!$L$223,Paraméterek!$L$224),0,VLOOKUP($AA748,Paraméterek!$K$230:$M$250,IF(SUMIF($AA$20:$AA$1027,$AA748,$AG$20:$AG$1027)&lt;IF($D$4="Forint",Paraméterek!$M$223,Paraméterek!$M$224),2,3))),0)</f>
        <v>0</v>
      </c>
      <c r="AJ748" s="13">
        <f ca="1">IF(AND($AA748&gt;=5,MOD($AA748,5)=0),IF($AB748=12,VLOOKUP($AA748,Paraméterek!$O$225:$P$240,2),0),IF(OR($AA748=3,$AA748=4),IF($AB748=12,VLOOKUP($AA748,Paraméterek!$O$225:$P$240,2,0),0),0))*$AG748</f>
        <v>0</v>
      </c>
      <c r="AK748" s="13">
        <f t="shared" ca="1" si="251"/>
        <v>0</v>
      </c>
      <c r="AL748" s="13">
        <f t="shared" ca="1" si="259"/>
        <v>0</v>
      </c>
      <c r="AM748" s="13">
        <f t="shared" ca="1" si="260"/>
        <v>0</v>
      </c>
      <c r="AO748" s="32">
        <v>729</v>
      </c>
      <c r="AP748" s="32">
        <v>61</v>
      </c>
      <c r="AQ748" s="32">
        <v>9</v>
      </c>
      <c r="AR748" s="13"/>
      <c r="AS748" s="32"/>
      <c r="AT748" s="13">
        <f t="shared" ca="1" si="261"/>
        <v>0</v>
      </c>
      <c r="AU748" s="33"/>
      <c r="AV748" s="13">
        <f t="shared" ca="1" si="252"/>
        <v>0</v>
      </c>
      <c r="AW748" s="13">
        <f ca="1">ROUNDUP(($AT748+$AV748)*VLOOKUP($AP748,Paraméterek!$P$38:$Q$38,2)/12*IF($D749="Nem",IF($M$13=0,1,$M$13),1),IF($D$4="Forint",0,2))</f>
        <v>0</v>
      </c>
      <c r="AX748" s="13"/>
      <c r="AY748" s="13"/>
      <c r="AZ748" s="13">
        <f>ROUNDUP(IF(SUM($AX748:$AY748)=0,0,IF(IF(ISBLANK($AY748),$AX748,$AY748)*Paraméterek!$J$112&lt;IF($D$4="Forint",Paraméterek!$J$113,Paraméterek!$K$113),IF($D$4="Forint",Paraméterek!$J$113,Paraméterek!$K$113),IF(IF(ISBLANK($AY748),$AX748,$AY748)*Paraméterek!$J$112&gt;IF($D$4="Forint",Paraméterek!$J$114,Paraméterek!$K$114),IF($D$4="Forint",Paraméterek!$J$114,Paraméterek!$K$114),IF(ISBLANK($AY748),$AX748,$AY748)*Paraméterek!$J$112))),IF($D$4="Forint",0,2))</f>
        <v>0</v>
      </c>
      <c r="BA748" s="13">
        <f ca="1">$AT748+$AV748-$AW748-IF(ROUNDDOWN(IF(ISBLANK($AY748),$AX748,$AY748),IF($D$4="Forint",0,2))&gt;$AT748+$AV748-$AW748-IF($D$4="Forint",Paraméterek!$J$114,Paraméterek!$K$114),0,ROUNDDOWN(IF(ISBLANK($AY748),$AX748,$AY748),IF($D$4="Forint",0,2))-$AZ748)</f>
        <v>0</v>
      </c>
      <c r="BB748" s="13">
        <f t="shared" ca="1" si="253"/>
        <v>0</v>
      </c>
      <c r="BD748" s="32">
        <v>729</v>
      </c>
      <c r="BE748" s="32">
        <v>61</v>
      </c>
      <c r="BF748" s="32">
        <v>9</v>
      </c>
      <c r="BG748" s="34">
        <f t="shared" ca="1" si="262"/>
        <v>2080</v>
      </c>
      <c r="BH748" s="32" t="str">
        <f ca="1">IF(MOD(MONTH($D$14)+$BD748-1,12)=Paraméterek!$C$288,"Igen","")</f>
        <v/>
      </c>
      <c r="BI748" s="13">
        <f ca="1">IF($BH748="Igen",MIN(ROUNDDOWN((SUMIF($BG$20:$BG$1027,$BG748-1,$K$20:$K$1027)-SUMIF($BG$20:$BG$1027,$BG748-1,$I$20:$I$1027))*Paraméterek!$C$289,IF($D$4="Forint",0,2)),IF($D$4="Forint",Paraméterek!$C$285,Paraméterek!$D$285)),0)</f>
        <v>0</v>
      </c>
      <c r="BJ748" s="13">
        <f t="shared" ca="1" si="254"/>
        <v>0</v>
      </c>
      <c r="BK748" s="13">
        <f t="shared" ca="1" si="263"/>
        <v>0</v>
      </c>
      <c r="BL748" s="33"/>
      <c r="BM748" s="13">
        <f t="shared" ca="1" si="255"/>
        <v>0</v>
      </c>
      <c r="BN748" s="13">
        <f ca="1">ROUNDUP(($BK748+$BM748)*VLOOKUP($BE748,Paraméterek!$P$38:$Q$38,2)/12*IF($D749="Nem",IF($M$13=0,1,$M$13),1),IF($D$4="Forint",0,2))</f>
        <v>0</v>
      </c>
      <c r="BO748" s="13">
        <f t="shared" ca="1" si="256"/>
        <v>0</v>
      </c>
      <c r="BP748" s="13">
        <f ca="1">IF($D749="Nem",$BO748,$BO748-ROUNDUP(SUM($BI$20:$BI748)*120%,IF($D$4="Forint",0,2)))</f>
        <v>0</v>
      </c>
    </row>
    <row r="749" spans="1:68" x14ac:dyDescent="0.2">
      <c r="A749" s="32">
        <v>730</v>
      </c>
      <c r="B749" s="32">
        <v>61</v>
      </c>
      <c r="C749" s="32">
        <v>10</v>
      </c>
      <c r="D749" s="32" t="str">
        <f t="shared" ca="1" si="242"/>
        <v>Nem</v>
      </c>
      <c r="E749" s="13">
        <f t="shared" ca="1" si="243"/>
        <v>0</v>
      </c>
      <c r="F749" s="13"/>
      <c r="G749" s="13"/>
      <c r="H749" s="13"/>
      <c r="I749" s="13">
        <f t="shared" ca="1" si="244"/>
        <v>0</v>
      </c>
      <c r="J749" s="13">
        <f t="shared" ca="1" si="245"/>
        <v>0</v>
      </c>
      <c r="K749" s="13">
        <f t="shared" ca="1" si="246"/>
        <v>0</v>
      </c>
      <c r="L749" s="13" t="e">
        <f ca="1">ROUNDUP(IF($D$2="Egyszeri",$E749,IF($D$2="Havi",SUM($E$20:$E$31),IF(MOD($C749,$M$1)-1=0,SUM($E$20:$E$31),0))/12*$M$1)*VLOOKUP($B749,Paraméterek!$I$28:$P$31,IF($D$2="Egyszeri",8,HLOOKUP(ROUNDUP($M$11+$M$13,0),Paraméterek!$J$26:$O$27,2))),IF($D$4="Forint",0,2))</f>
        <v>#N/A</v>
      </c>
      <c r="M749" s="13">
        <f t="shared" ca="1" si="247"/>
        <v>0</v>
      </c>
      <c r="N749" s="13">
        <f t="shared" ca="1" si="257"/>
        <v>0</v>
      </c>
      <c r="O749" s="13">
        <f ca="1">IF($D749="Igen",IF($W748&gt;=IF($D$4="Forint",Paraméterek!$J$121,Paraméterek!$K$121),0,IF($D$4="Forint",Paraméterek!$J$121,Paraméterek!$K$121)-$W748),0)</f>
        <v>0</v>
      </c>
      <c r="P749" s="13" t="e">
        <f ca="1">ROUNDUP($O749*VLOOKUP($M$4+$B749-1,Paraméterek!$H$58:$I$105,2,0)/Paraméterek!$I$56,IF($D$4="Forint",0,2))</f>
        <v>#N/A</v>
      </c>
      <c r="Q749" s="13">
        <f t="shared" ca="1" si="248"/>
        <v>0</v>
      </c>
      <c r="R749" s="33"/>
      <c r="S749" s="13" t="e">
        <f t="shared" ca="1" si="249"/>
        <v>#N/A</v>
      </c>
      <c r="T749" s="13" t="e">
        <f ca="1">ROUNDUP(($N749-$P749-$Q749+$S749)*VLOOKUP($B749,Paraméterek!$I$38:$K$39,IF($D$2="Egyszeri",3,2))/12*IF($D750="Nem",IF($M$13=0,1,$M$13),1),IF($D$4="Forint",0,2))</f>
        <v>#N/A</v>
      </c>
      <c r="U749" s="13"/>
      <c r="V749" s="13"/>
      <c r="W749" s="13" t="e">
        <f ca="1">$N749-$P749-$Q749+$S749-$T749-IF(ROUNDUP(IF(ISBLANK($V749),$U749*0,$V749)/IF($D$2="Egyszeri",VLOOKUP($B749+IF($C749=12,1,0),Paraméterek!$V$257:$W$262,2),IF($B749=1,1,VLOOKUP($B749+IF($C749=12,1,0),Paraméterek!$I$258:$T$278,HLOOKUP($M$11+1,Paraméterek!$J$256:$T$257,2)))),IF($D$4="Forint",0,2))&gt;$N749-$P749-$Q749+$S749-$T749-IF($D$4="Forint",Paraméterek!$C$216,Paraméterek!$D$216),0,ROUNDUP(IF(ISBLANK($V749),$U749*0,$V749)/IF($D$2="Egyszeri",VLOOKUP($B749+IF($C749=12,1,0),Paraméterek!$V$257:$W$262,2),IF($B749=1,1,VLOOKUP($B749+IF($C749=12,1,0),Paraméterek!$I$258:$T$278,HLOOKUP($M$11+1,Paraméterek!$J$256:$T$257,2)))),IF($D$4="Forint",0,2)))</f>
        <v>#N/A</v>
      </c>
      <c r="X749" s="13" t="e">
        <f ca="1">ROUNDDOWN($W749*IF($D$2="Egyszeri",VLOOKUP($B749+IF($C749=12,1,0),Paraméterek!$V$257:$W$262,2),VLOOKUP($B749+IF($C749=12,1,0),Paraméterek!$I$258:$T$278,HLOOKUP($M$11+1,Paraméterek!$I$256:$T$257,2))),IF($D$4="Forint",0,2))</f>
        <v>#N/A</v>
      </c>
      <c r="Z749" s="32">
        <v>730</v>
      </c>
      <c r="AA749" s="32">
        <v>61</v>
      </c>
      <c r="AB749" s="32">
        <v>10</v>
      </c>
      <c r="AC749" s="13">
        <f t="shared" ca="1" si="258"/>
        <v>0</v>
      </c>
      <c r="AD749" s="33"/>
      <c r="AE749" s="13">
        <f t="shared" ca="1" si="250"/>
        <v>0</v>
      </c>
      <c r="AF749" s="13">
        <f ca="1">ROUNDUP(($AC749+$AE749)*VLOOKUP($AA749,Paraméterek!$P$38:$Q$38,2)/12*IF($D750="Nem",IF($M$13=0,1,$M$13),1),IF($D$4="Forint",0,2))</f>
        <v>0</v>
      </c>
      <c r="AG749" s="13">
        <f ca="1">IF($D$2="Egyszeri",IF($D$7&gt;=IF($D$4="Forint",Paraméterek!$P$223,Paraméterek!$P$224),$D$7-IF($D$4="Forint",Paraméterek!$P$223,Paraméterek!$P$224),0),MIN(IF($AB749=12,AVERAGEIF($E$20:$E749,"&gt;0",$E$20:$E749)*12,0),SUM($E$20:$E$31)))</f>
        <v>0</v>
      </c>
      <c r="AH749" s="13">
        <f>IF($AA749=10,$AG749*IF($AB749=12,IF($AG749&lt;IF($D$4="Forint",Paraméterek!$L$223,Paraméterek!$L$224),0,VLOOKUP($AA749,Paraméterek!$K$226:$M$228,IF($AG749&lt;IF($D$4="Forint",Paraméterek!$M$223,Paraméterek!$M$224),2,3))),0),0)</f>
        <v>0</v>
      </c>
      <c r="AI749" s="13">
        <f ca="1">IF(AND($AA749=$M$11+1,$AB749=$M$12+1),SUMIF($AA$20:$AA$1027,$AA749,$AG$20:$AG$1027)*IF(SUMIF($AA$20:$AA$1027,$AA749,$AG$20:$AG$1027)&lt;IF($D$4="Forint",Paraméterek!$L$223,Paraméterek!$L$224),0,VLOOKUP($AA749,Paraméterek!$K$230:$M$250,IF(SUMIF($AA$20:$AA$1027,$AA749,$AG$20:$AG$1027)&lt;IF($D$4="Forint",Paraméterek!$M$223,Paraméterek!$M$224),2,3))),0)</f>
        <v>0</v>
      </c>
      <c r="AJ749" s="13">
        <f ca="1">IF(AND($AA749&gt;=5,MOD($AA749,5)=0),IF($AB749=12,VLOOKUP($AA749,Paraméterek!$O$225:$P$240,2),0),IF(OR($AA749=3,$AA749=4),IF($AB749=12,VLOOKUP($AA749,Paraméterek!$O$225:$P$240,2,0),0),0))*$AG749</f>
        <v>0</v>
      </c>
      <c r="AK749" s="13">
        <f t="shared" ca="1" si="251"/>
        <v>0</v>
      </c>
      <c r="AL749" s="13">
        <f t="shared" ca="1" si="259"/>
        <v>0</v>
      </c>
      <c r="AM749" s="13">
        <f t="shared" ca="1" si="260"/>
        <v>0</v>
      </c>
      <c r="AO749" s="32">
        <v>730</v>
      </c>
      <c r="AP749" s="32">
        <v>61</v>
      </c>
      <c r="AQ749" s="32">
        <v>10</v>
      </c>
      <c r="AR749" s="13"/>
      <c r="AS749" s="32"/>
      <c r="AT749" s="13">
        <f t="shared" ca="1" si="261"/>
        <v>0</v>
      </c>
      <c r="AU749" s="33"/>
      <c r="AV749" s="13">
        <f t="shared" ca="1" si="252"/>
        <v>0</v>
      </c>
      <c r="AW749" s="13">
        <f ca="1">ROUNDUP(($AT749+$AV749)*VLOOKUP($AP749,Paraméterek!$P$38:$Q$38,2)/12*IF($D750="Nem",IF($M$13=0,1,$M$13),1),IF($D$4="Forint",0,2))</f>
        <v>0</v>
      </c>
      <c r="AX749" s="13"/>
      <c r="AY749" s="13"/>
      <c r="AZ749" s="13">
        <f>ROUNDUP(IF(SUM($AX749:$AY749)=0,0,IF(IF(ISBLANK($AY749),$AX749,$AY749)*Paraméterek!$J$112&lt;IF($D$4="Forint",Paraméterek!$J$113,Paraméterek!$K$113),IF($D$4="Forint",Paraméterek!$J$113,Paraméterek!$K$113),IF(IF(ISBLANK($AY749),$AX749,$AY749)*Paraméterek!$J$112&gt;IF($D$4="Forint",Paraméterek!$J$114,Paraméterek!$K$114),IF($D$4="Forint",Paraméterek!$J$114,Paraméterek!$K$114),IF(ISBLANK($AY749),$AX749,$AY749)*Paraméterek!$J$112))),IF($D$4="Forint",0,2))</f>
        <v>0</v>
      </c>
      <c r="BA749" s="13">
        <f ca="1">$AT749+$AV749-$AW749-IF(ROUNDDOWN(IF(ISBLANK($AY749),$AX749,$AY749),IF($D$4="Forint",0,2))&gt;$AT749+$AV749-$AW749-IF($D$4="Forint",Paraméterek!$J$114,Paraméterek!$K$114),0,ROUNDDOWN(IF(ISBLANK($AY749),$AX749,$AY749),IF($D$4="Forint",0,2))-$AZ749)</f>
        <v>0</v>
      </c>
      <c r="BB749" s="13">
        <f t="shared" ca="1" si="253"/>
        <v>0</v>
      </c>
      <c r="BD749" s="32">
        <v>730</v>
      </c>
      <c r="BE749" s="32">
        <v>61</v>
      </c>
      <c r="BF749" s="32">
        <v>10</v>
      </c>
      <c r="BG749" s="34">
        <f t="shared" ca="1" si="262"/>
        <v>2080</v>
      </c>
      <c r="BH749" s="32" t="str">
        <f ca="1">IF(MOD(MONTH($D$14)+$BD749-1,12)=Paraméterek!$C$288,"Igen","")</f>
        <v/>
      </c>
      <c r="BI749" s="13">
        <f ca="1">IF($BH749="Igen",MIN(ROUNDDOWN((SUMIF($BG$20:$BG$1027,$BG749-1,$K$20:$K$1027)-SUMIF($BG$20:$BG$1027,$BG749-1,$I$20:$I$1027))*Paraméterek!$C$289,IF($D$4="Forint",0,2)),IF($D$4="Forint",Paraméterek!$C$285,Paraméterek!$D$285)),0)</f>
        <v>0</v>
      </c>
      <c r="BJ749" s="13">
        <f t="shared" ca="1" si="254"/>
        <v>0</v>
      </c>
      <c r="BK749" s="13">
        <f t="shared" ca="1" si="263"/>
        <v>0</v>
      </c>
      <c r="BL749" s="33"/>
      <c r="BM749" s="13">
        <f t="shared" ca="1" si="255"/>
        <v>0</v>
      </c>
      <c r="BN749" s="13">
        <f ca="1">ROUNDUP(($BK749+$BM749)*VLOOKUP($BE749,Paraméterek!$P$38:$Q$38,2)/12*IF($D750="Nem",IF($M$13=0,1,$M$13),1),IF($D$4="Forint",0,2))</f>
        <v>0</v>
      </c>
      <c r="BO749" s="13">
        <f t="shared" ca="1" si="256"/>
        <v>0</v>
      </c>
      <c r="BP749" s="13">
        <f ca="1">IF($D750="Nem",$BO749,$BO749-ROUNDUP(SUM($BI$20:$BI749)*120%,IF($D$4="Forint",0,2)))</f>
        <v>0</v>
      </c>
    </row>
    <row r="750" spans="1:68" x14ac:dyDescent="0.2">
      <c r="A750" s="32">
        <v>731</v>
      </c>
      <c r="B750" s="32">
        <v>61</v>
      </c>
      <c r="C750" s="32">
        <v>11</v>
      </c>
      <c r="D750" s="32" t="str">
        <f t="shared" ca="1" si="242"/>
        <v>Nem</v>
      </c>
      <c r="E750" s="13">
        <f t="shared" ca="1" si="243"/>
        <v>0</v>
      </c>
      <c r="F750" s="13"/>
      <c r="G750" s="13"/>
      <c r="H750" s="13"/>
      <c r="I750" s="13">
        <f t="shared" ca="1" si="244"/>
        <v>0</v>
      </c>
      <c r="J750" s="13">
        <f t="shared" ca="1" si="245"/>
        <v>0</v>
      </c>
      <c r="K750" s="13">
        <f t="shared" ca="1" si="246"/>
        <v>0</v>
      </c>
      <c r="L750" s="13" t="e">
        <f ca="1">ROUNDUP(IF($D$2="Egyszeri",$E750,IF($D$2="Havi",SUM($E$20:$E$31),IF(MOD($C750,$M$1)-1=0,SUM($E$20:$E$31),0))/12*$M$1)*VLOOKUP($B750,Paraméterek!$I$28:$P$31,IF($D$2="Egyszeri",8,HLOOKUP(ROUNDUP($M$11+$M$13,0),Paraméterek!$J$26:$O$27,2))),IF($D$4="Forint",0,2))</f>
        <v>#N/A</v>
      </c>
      <c r="M750" s="13">
        <f t="shared" ca="1" si="247"/>
        <v>0</v>
      </c>
      <c r="N750" s="13">
        <f t="shared" ca="1" si="257"/>
        <v>0</v>
      </c>
      <c r="O750" s="13">
        <f ca="1">IF($D750="Igen",IF($W749&gt;=IF($D$4="Forint",Paraméterek!$J$121,Paraméterek!$K$121),0,IF($D$4="Forint",Paraméterek!$J$121,Paraméterek!$K$121)-$W749),0)</f>
        <v>0</v>
      </c>
      <c r="P750" s="13" t="e">
        <f ca="1">ROUNDUP($O750*VLOOKUP($M$4+$B750-1,Paraméterek!$H$58:$I$105,2,0)/Paraméterek!$I$56,IF($D$4="Forint",0,2))</f>
        <v>#N/A</v>
      </c>
      <c r="Q750" s="13">
        <f t="shared" ca="1" si="248"/>
        <v>0</v>
      </c>
      <c r="R750" s="33"/>
      <c r="S750" s="13" t="e">
        <f t="shared" ca="1" si="249"/>
        <v>#N/A</v>
      </c>
      <c r="T750" s="13" t="e">
        <f ca="1">ROUNDUP(($N750-$P750-$Q750+$S750)*VLOOKUP($B750,Paraméterek!$I$38:$K$39,IF($D$2="Egyszeri",3,2))/12*IF($D751="Nem",IF($M$13=0,1,$M$13),1),IF($D$4="Forint",0,2))</f>
        <v>#N/A</v>
      </c>
      <c r="U750" s="13"/>
      <c r="V750" s="13"/>
      <c r="W750" s="13" t="e">
        <f ca="1">$N750-$P750-$Q750+$S750-$T750-IF(ROUNDUP(IF(ISBLANK($V750),$U750*0,$V750)/IF($D$2="Egyszeri",VLOOKUP($B750+IF($C750=12,1,0),Paraméterek!$V$257:$W$262,2),IF($B750=1,1,VLOOKUP($B750+IF($C750=12,1,0),Paraméterek!$I$258:$T$278,HLOOKUP($M$11+1,Paraméterek!$J$256:$T$257,2)))),IF($D$4="Forint",0,2))&gt;$N750-$P750-$Q750+$S750-$T750-IF($D$4="Forint",Paraméterek!$C$216,Paraméterek!$D$216),0,ROUNDUP(IF(ISBLANK($V750),$U750*0,$V750)/IF($D$2="Egyszeri",VLOOKUP($B750+IF($C750=12,1,0),Paraméterek!$V$257:$W$262,2),IF($B750=1,1,VLOOKUP($B750+IF($C750=12,1,0),Paraméterek!$I$258:$T$278,HLOOKUP($M$11+1,Paraméterek!$J$256:$T$257,2)))),IF($D$4="Forint",0,2)))</f>
        <v>#N/A</v>
      </c>
      <c r="X750" s="13" t="e">
        <f ca="1">ROUNDDOWN($W750*IF($D$2="Egyszeri",VLOOKUP($B750+IF($C750=12,1,0),Paraméterek!$V$257:$W$262,2),VLOOKUP($B750+IF($C750=12,1,0),Paraméterek!$I$258:$T$278,HLOOKUP($M$11+1,Paraméterek!$I$256:$T$257,2))),IF($D$4="Forint",0,2))</f>
        <v>#N/A</v>
      </c>
      <c r="Z750" s="32">
        <v>731</v>
      </c>
      <c r="AA750" s="32">
        <v>61</v>
      </c>
      <c r="AB750" s="32">
        <v>11</v>
      </c>
      <c r="AC750" s="13">
        <f t="shared" ca="1" si="258"/>
        <v>0</v>
      </c>
      <c r="AD750" s="33"/>
      <c r="AE750" s="13">
        <f t="shared" ca="1" si="250"/>
        <v>0</v>
      </c>
      <c r="AF750" s="13">
        <f ca="1">ROUNDUP(($AC750+$AE750)*VLOOKUP($AA750,Paraméterek!$P$38:$Q$38,2)/12*IF($D751="Nem",IF($M$13=0,1,$M$13),1),IF($D$4="Forint",0,2))</f>
        <v>0</v>
      </c>
      <c r="AG750" s="13">
        <f ca="1">IF($D$2="Egyszeri",IF($D$7&gt;=IF($D$4="Forint",Paraméterek!$P$223,Paraméterek!$P$224),$D$7-IF($D$4="Forint",Paraméterek!$P$223,Paraméterek!$P$224),0),MIN(IF($AB750=12,AVERAGEIF($E$20:$E750,"&gt;0",$E$20:$E750)*12,0),SUM($E$20:$E$31)))</f>
        <v>0</v>
      </c>
      <c r="AH750" s="13">
        <f>IF($AA750=10,$AG750*IF($AB750=12,IF($AG750&lt;IF($D$4="Forint",Paraméterek!$L$223,Paraméterek!$L$224),0,VLOOKUP($AA750,Paraméterek!$K$226:$M$228,IF($AG750&lt;IF($D$4="Forint",Paraméterek!$M$223,Paraméterek!$M$224),2,3))),0),0)</f>
        <v>0</v>
      </c>
      <c r="AI750" s="13">
        <f ca="1">IF(AND($AA750=$M$11+1,$AB750=$M$12+1),SUMIF($AA$20:$AA$1027,$AA750,$AG$20:$AG$1027)*IF(SUMIF($AA$20:$AA$1027,$AA750,$AG$20:$AG$1027)&lt;IF($D$4="Forint",Paraméterek!$L$223,Paraméterek!$L$224),0,VLOOKUP($AA750,Paraméterek!$K$230:$M$250,IF(SUMIF($AA$20:$AA$1027,$AA750,$AG$20:$AG$1027)&lt;IF($D$4="Forint",Paraméterek!$M$223,Paraméterek!$M$224),2,3))),0)</f>
        <v>0</v>
      </c>
      <c r="AJ750" s="13">
        <f ca="1">IF(AND($AA750&gt;=5,MOD($AA750,5)=0),IF($AB750=12,VLOOKUP($AA750,Paraméterek!$O$225:$P$240,2),0),IF(OR($AA750=3,$AA750=4),IF($AB750=12,VLOOKUP($AA750,Paraméterek!$O$225:$P$240,2,0),0),0))*$AG750</f>
        <v>0</v>
      </c>
      <c r="AK750" s="13">
        <f t="shared" ca="1" si="251"/>
        <v>0</v>
      </c>
      <c r="AL750" s="13">
        <f t="shared" ca="1" si="259"/>
        <v>0</v>
      </c>
      <c r="AM750" s="13">
        <f t="shared" ca="1" si="260"/>
        <v>0</v>
      </c>
      <c r="AO750" s="32">
        <v>731</v>
      </c>
      <c r="AP750" s="32">
        <v>61</v>
      </c>
      <c r="AQ750" s="32">
        <v>11</v>
      </c>
      <c r="AR750" s="13"/>
      <c r="AS750" s="32"/>
      <c r="AT750" s="13">
        <f t="shared" ca="1" si="261"/>
        <v>0</v>
      </c>
      <c r="AU750" s="33"/>
      <c r="AV750" s="13">
        <f t="shared" ca="1" si="252"/>
        <v>0</v>
      </c>
      <c r="AW750" s="13">
        <f ca="1">ROUNDUP(($AT750+$AV750)*VLOOKUP($AP750,Paraméterek!$P$38:$Q$38,2)/12*IF($D751="Nem",IF($M$13=0,1,$M$13),1),IF($D$4="Forint",0,2))</f>
        <v>0</v>
      </c>
      <c r="AX750" s="13"/>
      <c r="AY750" s="13"/>
      <c r="AZ750" s="13">
        <f>ROUNDUP(IF(SUM($AX750:$AY750)=0,0,IF(IF(ISBLANK($AY750),$AX750,$AY750)*Paraméterek!$J$112&lt;IF($D$4="Forint",Paraméterek!$J$113,Paraméterek!$K$113),IF($D$4="Forint",Paraméterek!$J$113,Paraméterek!$K$113),IF(IF(ISBLANK($AY750),$AX750,$AY750)*Paraméterek!$J$112&gt;IF($D$4="Forint",Paraméterek!$J$114,Paraméterek!$K$114),IF($D$4="Forint",Paraméterek!$J$114,Paraméterek!$K$114),IF(ISBLANK($AY750),$AX750,$AY750)*Paraméterek!$J$112))),IF($D$4="Forint",0,2))</f>
        <v>0</v>
      </c>
      <c r="BA750" s="13">
        <f ca="1">$AT750+$AV750-$AW750-IF(ROUNDDOWN(IF(ISBLANK($AY750),$AX750,$AY750),IF($D$4="Forint",0,2))&gt;$AT750+$AV750-$AW750-IF($D$4="Forint",Paraméterek!$J$114,Paraméterek!$K$114),0,ROUNDDOWN(IF(ISBLANK($AY750),$AX750,$AY750),IF($D$4="Forint",0,2))-$AZ750)</f>
        <v>0</v>
      </c>
      <c r="BB750" s="13">
        <f t="shared" ca="1" si="253"/>
        <v>0</v>
      </c>
      <c r="BD750" s="32">
        <v>731</v>
      </c>
      <c r="BE750" s="32">
        <v>61</v>
      </c>
      <c r="BF750" s="32">
        <v>11</v>
      </c>
      <c r="BG750" s="34">
        <f t="shared" ca="1" si="262"/>
        <v>2080</v>
      </c>
      <c r="BH750" s="32" t="str">
        <f ca="1">IF(MOD(MONTH($D$14)+$BD750-1,12)=Paraméterek!$C$288,"Igen","")</f>
        <v/>
      </c>
      <c r="BI750" s="13">
        <f ca="1">IF($BH750="Igen",MIN(ROUNDDOWN((SUMIF($BG$20:$BG$1027,$BG750-1,$K$20:$K$1027)-SUMIF($BG$20:$BG$1027,$BG750-1,$I$20:$I$1027))*Paraméterek!$C$289,IF($D$4="Forint",0,2)),IF($D$4="Forint",Paraméterek!$C$285,Paraméterek!$D$285)),0)</f>
        <v>0</v>
      </c>
      <c r="BJ750" s="13">
        <f t="shared" ca="1" si="254"/>
        <v>0</v>
      </c>
      <c r="BK750" s="13">
        <f t="shared" ca="1" si="263"/>
        <v>0</v>
      </c>
      <c r="BL750" s="33"/>
      <c r="BM750" s="13">
        <f t="shared" ca="1" si="255"/>
        <v>0</v>
      </c>
      <c r="BN750" s="13">
        <f ca="1">ROUNDUP(($BK750+$BM750)*VLOOKUP($BE750,Paraméterek!$P$38:$Q$38,2)/12*IF($D751="Nem",IF($M$13=0,1,$M$13),1),IF($D$4="Forint",0,2))</f>
        <v>0</v>
      </c>
      <c r="BO750" s="13">
        <f t="shared" ca="1" si="256"/>
        <v>0</v>
      </c>
      <c r="BP750" s="13">
        <f ca="1">IF($D751="Nem",$BO750,$BO750-ROUNDUP(SUM($BI$20:$BI750)*120%,IF($D$4="Forint",0,2)))</f>
        <v>0</v>
      </c>
    </row>
    <row r="751" spans="1:68" x14ac:dyDescent="0.2">
      <c r="A751" s="32">
        <v>732</v>
      </c>
      <c r="B751" s="32">
        <v>61</v>
      </c>
      <c r="C751" s="32">
        <v>12</v>
      </c>
      <c r="D751" s="32" t="str">
        <f t="shared" ca="1" si="242"/>
        <v>Nem</v>
      </c>
      <c r="E751" s="13">
        <f t="shared" ca="1" si="243"/>
        <v>0</v>
      </c>
      <c r="F751" s="13"/>
      <c r="G751" s="13"/>
      <c r="H751" s="13"/>
      <c r="I751" s="13">
        <f t="shared" ca="1" si="244"/>
        <v>0</v>
      </c>
      <c r="J751" s="13">
        <f t="shared" ca="1" si="245"/>
        <v>0</v>
      </c>
      <c r="K751" s="13">
        <f t="shared" ca="1" si="246"/>
        <v>0</v>
      </c>
      <c r="L751" s="13" t="e">
        <f ca="1">ROUNDUP(IF($D$2="Egyszeri",$E751,IF($D$2="Havi",SUM($E$20:$E$31),IF(MOD($C751,$M$1)-1=0,SUM($E$20:$E$31),0))/12*$M$1)*VLOOKUP($B751,Paraméterek!$I$28:$P$31,IF($D$2="Egyszeri",8,HLOOKUP(ROUNDUP($M$11+$M$13,0),Paraméterek!$J$26:$O$27,2))),IF($D$4="Forint",0,2))</f>
        <v>#N/A</v>
      </c>
      <c r="M751" s="13">
        <f t="shared" ca="1" si="247"/>
        <v>0</v>
      </c>
      <c r="N751" s="13">
        <f t="shared" ca="1" si="257"/>
        <v>0</v>
      </c>
      <c r="O751" s="13">
        <f ca="1">IF($D751="Igen",IF($W750&gt;=IF($D$4="Forint",Paraméterek!$J$121,Paraméterek!$K$121),0,IF($D$4="Forint",Paraméterek!$J$121,Paraméterek!$K$121)-$W750),0)</f>
        <v>0</v>
      </c>
      <c r="P751" s="13" t="e">
        <f ca="1">ROUNDUP($O751*VLOOKUP($M$4+$B751-1,Paraméterek!$H$58:$I$105,2,0)/Paraméterek!$I$56,IF($D$4="Forint",0,2))</f>
        <v>#N/A</v>
      </c>
      <c r="Q751" s="13">
        <f t="shared" ca="1" si="248"/>
        <v>0</v>
      </c>
      <c r="R751" s="33"/>
      <c r="S751" s="13" t="e">
        <f t="shared" ca="1" si="249"/>
        <v>#N/A</v>
      </c>
      <c r="T751" s="13" t="e">
        <f ca="1">ROUNDUP(($N751-$P751-$Q751+$S751)*VLOOKUP($B751,Paraméterek!$I$38:$K$39,IF($D$2="Egyszeri",3,2))/12*IF($D752="Nem",IF($M$13=0,1,$M$13),1),IF($D$4="Forint",0,2))</f>
        <v>#N/A</v>
      </c>
      <c r="U751" s="13">
        <f>Tranzakciók!$F$92</f>
        <v>0</v>
      </c>
      <c r="V751" s="13"/>
      <c r="W751" s="13" t="e">
        <f ca="1">$N751-$P751-$Q751+$S751-$T751-IF(ROUNDUP(IF(ISBLANK($V751),$U751*0,$V751)/IF($D$2="Egyszeri",VLOOKUP($B751+IF($C751=12,1,0),Paraméterek!$V$257:$W$262,2),IF($B751=1,1,VLOOKUP($B751+IF($C751=12,1,0),Paraméterek!$I$258:$T$278,HLOOKUP($M$11+1,Paraméterek!$J$256:$T$257,2)))),IF($D$4="Forint",0,2))&gt;$N751-$P751-$Q751+$S751-$T751-IF($D$4="Forint",Paraméterek!$C$216,Paraméterek!$D$216),0,ROUNDUP(IF(ISBLANK($V751),$U751*0,$V751)/IF($D$2="Egyszeri",VLOOKUP($B751+IF($C751=12,1,0),Paraméterek!$V$257:$W$262,2),IF($B751=1,1,VLOOKUP($B751+IF($C751=12,1,0),Paraméterek!$I$258:$T$278,HLOOKUP($M$11+1,Paraméterek!$J$256:$T$257,2)))),IF($D$4="Forint",0,2)))</f>
        <v>#N/A</v>
      </c>
      <c r="X751" s="13" t="e">
        <f ca="1">ROUNDDOWN($W751*IF($D$2="Egyszeri",VLOOKUP($B751+IF($C751=12,1,0),Paraméterek!$V$257:$W$262,2),VLOOKUP($B751+IF($C751=12,1,0),Paraméterek!$I$258:$T$278,HLOOKUP($M$11+1,Paraméterek!$I$256:$T$257,2))),IF($D$4="Forint",0,2))</f>
        <v>#N/A</v>
      </c>
      <c r="Z751" s="32">
        <v>732</v>
      </c>
      <c r="AA751" s="32">
        <v>61</v>
      </c>
      <c r="AB751" s="32">
        <v>12</v>
      </c>
      <c r="AC751" s="13">
        <f t="shared" ca="1" si="258"/>
        <v>0</v>
      </c>
      <c r="AD751" s="33"/>
      <c r="AE751" s="13">
        <f t="shared" ca="1" si="250"/>
        <v>0</v>
      </c>
      <c r="AF751" s="13">
        <f ca="1">ROUNDUP(($AC751+$AE751)*VLOOKUP($AA751,Paraméterek!$P$38:$Q$38,2)/12*IF($D752="Nem",IF($M$13=0,1,$M$13),1),IF($D$4="Forint",0,2))</f>
        <v>0</v>
      </c>
      <c r="AG751" s="13" t="e">
        <f ca="1">IF($D$2="Egyszeri",IF($D$7&gt;=IF($D$4="Forint",Paraméterek!$P$223,Paraméterek!$P$224),$D$7-IF($D$4="Forint",Paraméterek!$P$223,Paraméterek!$P$224),0),MIN(IF($AB751=12,AVERAGEIF($E$20:$E751,"&gt;0",$E$20:$E751)*12,0),SUM($E$20:$E$31)))</f>
        <v>#DIV/0!</v>
      </c>
      <c r="AH751" s="13">
        <f>IF($AA751=10,$AG751*IF($AB751=12,IF($AG751&lt;IF($D$4="Forint",Paraméterek!$L$223,Paraméterek!$L$224),0,VLOOKUP($AA751,Paraméterek!$K$226:$M$228,IF($AG751&lt;IF($D$4="Forint",Paraméterek!$M$223,Paraméterek!$M$224),2,3))),0),0)</f>
        <v>0</v>
      </c>
      <c r="AI751" s="13">
        <f ca="1">IF(AND($AA751=$M$11+1,$AB751=$M$12+1),SUMIF($AA$20:$AA$1027,$AA751,$AG$20:$AG$1027)*IF(SUMIF($AA$20:$AA$1027,$AA751,$AG$20:$AG$1027)&lt;IF($D$4="Forint",Paraméterek!$L$223,Paraméterek!$L$224),0,VLOOKUP($AA751,Paraméterek!$K$230:$M$250,IF(SUMIF($AA$20:$AA$1027,$AA751,$AG$20:$AG$1027)&lt;IF($D$4="Forint",Paraméterek!$M$223,Paraméterek!$M$224),2,3))),0)</f>
        <v>0</v>
      </c>
      <c r="AJ751" s="13" t="e">
        <f ca="1">IF(AND($AA751&gt;=5,MOD($AA751,5)=0),IF($AB751=12,VLOOKUP($AA751,Paraméterek!$O$225:$P$240,2),0),IF(OR($AA751=3,$AA751=4),IF($AB751=12,VLOOKUP($AA751,Paraméterek!$O$225:$P$240,2,0),0),0))*$AG751</f>
        <v>#DIV/0!</v>
      </c>
      <c r="AK751" s="13">
        <f t="shared" ca="1" si="251"/>
        <v>0</v>
      </c>
      <c r="AL751" s="13">
        <f t="shared" ca="1" si="259"/>
        <v>0</v>
      </c>
      <c r="AM751" s="13">
        <f t="shared" ca="1" si="260"/>
        <v>0</v>
      </c>
      <c r="AO751" s="32">
        <v>732</v>
      </c>
      <c r="AP751" s="32">
        <v>61</v>
      </c>
      <c r="AQ751" s="32">
        <v>12</v>
      </c>
      <c r="AR751" s="13"/>
      <c r="AS751" s="32"/>
      <c r="AT751" s="13">
        <f t="shared" ca="1" si="261"/>
        <v>0</v>
      </c>
      <c r="AU751" s="33"/>
      <c r="AV751" s="13">
        <f t="shared" ca="1" si="252"/>
        <v>0</v>
      </c>
      <c r="AW751" s="13">
        <f ca="1">ROUNDUP(($AT751+$AV751)*VLOOKUP($AP751,Paraméterek!$P$38:$Q$38,2)/12*IF($D752="Nem",IF($M$13=0,1,$M$13),1),IF($D$4="Forint",0,2))</f>
        <v>0</v>
      </c>
      <c r="AX751" s="13">
        <f>Tranzakciók!$M$92</f>
        <v>0</v>
      </c>
      <c r="AY751" s="13"/>
      <c r="AZ751" s="13">
        <f>ROUNDUP(IF(SUM($AX751:$AY751)=0,0,IF(IF(ISBLANK($AY751),$AX751,$AY751)*Paraméterek!$J$112&lt;IF($D$4="Forint",Paraméterek!$J$113,Paraméterek!$K$113),IF($D$4="Forint",Paraméterek!$J$113,Paraméterek!$K$113),IF(IF(ISBLANK($AY751),$AX751,$AY751)*Paraméterek!$J$112&gt;IF($D$4="Forint",Paraméterek!$J$114,Paraméterek!$K$114),IF($D$4="Forint",Paraméterek!$J$114,Paraméterek!$K$114),IF(ISBLANK($AY751),$AX751,$AY751)*Paraméterek!$J$112))),IF($D$4="Forint",0,2))</f>
        <v>0</v>
      </c>
      <c r="BA751" s="13">
        <f ca="1">$AT751+$AV751-$AW751-IF(ROUNDDOWN(IF(ISBLANK($AY751),$AX751,$AY751),IF($D$4="Forint",0,2))&gt;$AT751+$AV751-$AW751-IF($D$4="Forint",Paraméterek!$J$114,Paraméterek!$K$114),0,ROUNDDOWN(IF(ISBLANK($AY751),$AX751,$AY751),IF($D$4="Forint",0,2))-$AZ751)</f>
        <v>0</v>
      </c>
      <c r="BB751" s="13">
        <f t="shared" ca="1" si="253"/>
        <v>0</v>
      </c>
      <c r="BD751" s="32">
        <v>732</v>
      </c>
      <c r="BE751" s="32">
        <v>61</v>
      </c>
      <c r="BF751" s="32">
        <v>12</v>
      </c>
      <c r="BG751" s="34">
        <f t="shared" ca="1" si="262"/>
        <v>2080</v>
      </c>
      <c r="BH751" s="32" t="str">
        <f ca="1">IF(MOD(MONTH($D$14)+$BD751-1,12)=Paraméterek!$C$288,"Igen","")</f>
        <v/>
      </c>
      <c r="BI751" s="13">
        <f ca="1">IF($BH751="Igen",MIN(ROUNDDOWN((SUMIF($BG$20:$BG$1027,$BG751-1,$K$20:$K$1027)-SUMIF($BG$20:$BG$1027,$BG751-1,$I$20:$I$1027))*Paraméterek!$C$289,IF($D$4="Forint",0,2)),IF($D$4="Forint",Paraméterek!$C$285,Paraméterek!$D$285)),0)</f>
        <v>0</v>
      </c>
      <c r="BJ751" s="13">
        <f t="shared" ca="1" si="254"/>
        <v>0</v>
      </c>
      <c r="BK751" s="13">
        <f t="shared" ca="1" si="263"/>
        <v>0</v>
      </c>
      <c r="BL751" s="33"/>
      <c r="BM751" s="13">
        <f t="shared" ca="1" si="255"/>
        <v>0</v>
      </c>
      <c r="BN751" s="13">
        <f ca="1">ROUNDUP(($BK751+$BM751)*VLOOKUP($BE751,Paraméterek!$P$38:$Q$38,2)/12*IF($D752="Nem",IF($M$13=0,1,$M$13),1),IF($D$4="Forint",0,2))</f>
        <v>0</v>
      </c>
      <c r="BO751" s="13">
        <f t="shared" ca="1" si="256"/>
        <v>0</v>
      </c>
      <c r="BP751" s="13">
        <f ca="1">IF($D752="Nem",$BO751,$BO751-ROUNDUP(SUM($BI$20:$BI751)*120%,IF($D$4="Forint",0,2)))</f>
        <v>0</v>
      </c>
    </row>
    <row r="752" spans="1:68" x14ac:dyDescent="0.2">
      <c r="A752" s="32">
        <v>733</v>
      </c>
      <c r="B752" s="32">
        <v>62</v>
      </c>
      <c r="C752" s="32">
        <v>1</v>
      </c>
      <c r="D752" s="32" t="str">
        <f t="shared" ca="1" si="242"/>
        <v>Nem</v>
      </c>
      <c r="E752" s="13">
        <f t="shared" ca="1" si="243"/>
        <v>0</v>
      </c>
      <c r="F752" s="13"/>
      <c r="G752" s="13">
        <f>Tranzakciók!$D$93</f>
        <v>0</v>
      </c>
      <c r="H752" s="13"/>
      <c r="I752" s="13">
        <f t="shared" ca="1" si="244"/>
        <v>0</v>
      </c>
      <c r="J752" s="13">
        <f t="shared" ca="1" si="245"/>
        <v>0</v>
      </c>
      <c r="K752" s="13">
        <f t="shared" ca="1" si="246"/>
        <v>0</v>
      </c>
      <c r="L752" s="13" t="e">
        <f ca="1">ROUNDUP(IF($D$2="Egyszeri",$E752,IF($D$2="Havi",SUM($E$20:$E$31),IF(MOD($C752,$M$1)-1=0,SUM($E$20:$E$31),0))/12*$M$1)*VLOOKUP($B752,Paraméterek!$I$28:$P$31,IF($D$2="Egyszeri",8,HLOOKUP(ROUNDUP($M$11+$M$13,0),Paraméterek!$J$26:$O$27,2))),IF($D$4="Forint",0,2))</f>
        <v>#N/A</v>
      </c>
      <c r="M752" s="13">
        <f t="shared" ca="1" si="247"/>
        <v>0</v>
      </c>
      <c r="N752" s="13">
        <f t="shared" ca="1" si="257"/>
        <v>0</v>
      </c>
      <c r="O752" s="13">
        <f ca="1">IF($D752="Igen",IF($W751&gt;=IF($D$4="Forint",Paraméterek!$J$121,Paraméterek!$K$121),0,IF($D$4="Forint",Paraméterek!$J$121,Paraméterek!$K$121)-$W751),0)</f>
        <v>0</v>
      </c>
      <c r="P752" s="13" t="e">
        <f ca="1">ROUNDUP($O752*VLOOKUP($M$4+$B752-1,Paraméterek!$H$58:$I$105,2,0)/Paraméterek!$I$56,IF($D$4="Forint",0,2))</f>
        <v>#N/A</v>
      </c>
      <c r="Q752" s="13">
        <f t="shared" ca="1" si="248"/>
        <v>0</v>
      </c>
      <c r="R752" s="33"/>
      <c r="S752" s="13" t="e">
        <f t="shared" ca="1" si="249"/>
        <v>#N/A</v>
      </c>
      <c r="T752" s="13" t="e">
        <f ca="1">ROUNDUP(($N752-$P752-$Q752+$S752)*VLOOKUP($B752,Paraméterek!$I$38:$K$39,IF($D$2="Egyszeri",3,2))/12*IF($D753="Nem",IF($M$13=0,1,$M$13),1),IF($D$4="Forint",0,2))</f>
        <v>#N/A</v>
      </c>
      <c r="U752" s="13"/>
      <c r="V752" s="13"/>
      <c r="W752" s="13" t="e">
        <f ca="1">$N752-$P752-$Q752+$S752-$T752-IF(ROUNDUP(IF(ISBLANK($V752),$U752*0,$V752)/IF($D$2="Egyszeri",VLOOKUP($B752+IF($C752=12,1,0),Paraméterek!$V$257:$W$262,2),IF($B752=1,1,VLOOKUP($B752+IF($C752=12,1,0),Paraméterek!$I$258:$T$278,HLOOKUP($M$11+1,Paraméterek!$J$256:$T$257,2)))),IF($D$4="Forint",0,2))&gt;$N752-$P752-$Q752+$S752-$T752-IF($D$4="Forint",Paraméterek!$C$216,Paraméterek!$D$216),0,ROUNDUP(IF(ISBLANK($V752),$U752*0,$V752)/IF($D$2="Egyszeri",VLOOKUP($B752+IF($C752=12,1,0),Paraméterek!$V$257:$W$262,2),IF($B752=1,1,VLOOKUP($B752+IF($C752=12,1,0),Paraméterek!$I$258:$T$278,HLOOKUP($M$11+1,Paraméterek!$J$256:$T$257,2)))),IF($D$4="Forint",0,2)))</f>
        <v>#N/A</v>
      </c>
      <c r="X752" s="13" t="e">
        <f ca="1">ROUNDDOWN($W752*IF($D$2="Egyszeri",VLOOKUP($B752+IF($C752=12,1,0),Paraméterek!$V$257:$W$262,2),VLOOKUP($B752+IF($C752=12,1,0),Paraméterek!$I$258:$T$278,HLOOKUP($M$11+1,Paraméterek!$I$256:$T$257,2))),IF($D$4="Forint",0,2))</f>
        <v>#N/A</v>
      </c>
      <c r="Z752" s="32">
        <v>733</v>
      </c>
      <c r="AA752" s="32">
        <v>62</v>
      </c>
      <c r="AB752" s="32">
        <v>1</v>
      </c>
      <c r="AC752" s="13">
        <f t="shared" ca="1" si="258"/>
        <v>0</v>
      </c>
      <c r="AD752" s="33"/>
      <c r="AE752" s="13">
        <f t="shared" ca="1" si="250"/>
        <v>0</v>
      </c>
      <c r="AF752" s="13">
        <f ca="1">ROUNDUP(($AC752+$AE752)*VLOOKUP($AA752,Paraméterek!$P$38:$Q$38,2)/12*IF($D753="Nem",IF($M$13=0,1,$M$13),1),IF($D$4="Forint",0,2))</f>
        <v>0</v>
      </c>
      <c r="AG752" s="13">
        <f ca="1">IF($D$2="Egyszeri",IF($D$7&gt;=IF($D$4="Forint",Paraméterek!$P$223,Paraméterek!$P$224),$D$7-IF($D$4="Forint",Paraméterek!$P$223,Paraméterek!$P$224),0),MIN(IF($AB752=12,AVERAGEIF($E$20:$E752,"&gt;0",$E$20:$E752)*12,0),SUM($E$20:$E$31)))</f>
        <v>0</v>
      </c>
      <c r="AH752" s="13">
        <f>IF($AA752=10,$AG752*IF($AB752=12,IF($AG752&lt;IF($D$4="Forint",Paraméterek!$L$223,Paraméterek!$L$224),0,VLOOKUP($AA752,Paraméterek!$K$226:$M$228,IF($AG752&lt;IF($D$4="Forint",Paraméterek!$M$223,Paraméterek!$M$224),2,3))),0),0)</f>
        <v>0</v>
      </c>
      <c r="AI752" s="13">
        <f ca="1">IF(AND($AA752=$M$11+1,$AB752=$M$12+1),SUMIF($AA$20:$AA$1027,$AA752,$AG$20:$AG$1027)*IF(SUMIF($AA$20:$AA$1027,$AA752,$AG$20:$AG$1027)&lt;IF($D$4="Forint",Paraméterek!$L$223,Paraméterek!$L$224),0,VLOOKUP($AA752,Paraméterek!$K$230:$M$250,IF(SUMIF($AA$20:$AA$1027,$AA752,$AG$20:$AG$1027)&lt;IF($D$4="Forint",Paraméterek!$M$223,Paraméterek!$M$224),2,3))),0)</f>
        <v>0</v>
      </c>
      <c r="AJ752" s="13">
        <f ca="1">IF(AND($AA752&gt;=5,MOD($AA752,5)=0),IF($AB752=12,VLOOKUP($AA752,Paraméterek!$O$225:$P$240,2),0),IF(OR($AA752=3,$AA752=4),IF($AB752=12,VLOOKUP($AA752,Paraméterek!$O$225:$P$240,2,0),0),0))*$AG752</f>
        <v>0</v>
      </c>
      <c r="AK752" s="13">
        <f t="shared" ca="1" si="251"/>
        <v>0</v>
      </c>
      <c r="AL752" s="13">
        <f t="shared" ca="1" si="259"/>
        <v>0</v>
      </c>
      <c r="AM752" s="13">
        <f t="shared" ca="1" si="260"/>
        <v>0</v>
      </c>
      <c r="AO752" s="32">
        <v>733</v>
      </c>
      <c r="AP752" s="32">
        <v>62</v>
      </c>
      <c r="AQ752" s="32">
        <v>1</v>
      </c>
      <c r="AR752" s="13">
        <f>Tranzakciók!$K$93</f>
        <v>0</v>
      </c>
      <c r="AS752" s="32"/>
      <c r="AT752" s="13">
        <f t="shared" ca="1" si="261"/>
        <v>0</v>
      </c>
      <c r="AU752" s="33"/>
      <c r="AV752" s="13">
        <f t="shared" ca="1" si="252"/>
        <v>0</v>
      </c>
      <c r="AW752" s="13">
        <f ca="1">ROUNDUP(($AT752+$AV752)*VLOOKUP($AP752,Paraméterek!$P$38:$Q$38,2)/12*IF($D753="Nem",IF($M$13=0,1,$M$13),1),IF($D$4="Forint",0,2))</f>
        <v>0</v>
      </c>
      <c r="AX752" s="13"/>
      <c r="AY752" s="13"/>
      <c r="AZ752" s="13">
        <f>ROUNDUP(IF(SUM($AX752:$AY752)=0,0,IF(IF(ISBLANK($AY752),$AX752,$AY752)*Paraméterek!$J$112&lt;IF($D$4="Forint",Paraméterek!$J$113,Paraméterek!$K$113),IF($D$4="Forint",Paraméterek!$J$113,Paraméterek!$K$113),IF(IF(ISBLANK($AY752),$AX752,$AY752)*Paraméterek!$J$112&gt;IF($D$4="Forint",Paraméterek!$J$114,Paraméterek!$K$114),IF($D$4="Forint",Paraméterek!$J$114,Paraméterek!$K$114),IF(ISBLANK($AY752),$AX752,$AY752)*Paraméterek!$J$112))),IF($D$4="Forint",0,2))</f>
        <v>0</v>
      </c>
      <c r="BA752" s="13">
        <f ca="1">$AT752+$AV752-$AW752-IF(ROUNDDOWN(IF(ISBLANK($AY752),$AX752,$AY752),IF($D$4="Forint",0,2))&gt;$AT752+$AV752-$AW752-IF($D$4="Forint",Paraméterek!$J$114,Paraméterek!$K$114),0,ROUNDDOWN(IF(ISBLANK($AY752),$AX752,$AY752),IF($D$4="Forint",0,2))-$AZ752)</f>
        <v>0</v>
      </c>
      <c r="BB752" s="13">
        <f t="shared" ca="1" si="253"/>
        <v>0</v>
      </c>
      <c r="BD752" s="32">
        <v>733</v>
      </c>
      <c r="BE752" s="32">
        <v>62</v>
      </c>
      <c r="BF752" s="32">
        <v>1</v>
      </c>
      <c r="BG752" s="34">
        <f t="shared" ca="1" si="262"/>
        <v>2080</v>
      </c>
      <c r="BH752" s="32" t="str">
        <f ca="1">IF(MOD(MONTH($D$14)+$BD752-1,12)=Paraméterek!$C$288,"Igen","")</f>
        <v/>
      </c>
      <c r="BI752" s="13">
        <f ca="1">IF($BH752="Igen",MIN(ROUNDDOWN((SUMIF($BG$20:$BG$1027,$BG752-1,$K$20:$K$1027)-SUMIF($BG$20:$BG$1027,$BG752-1,$I$20:$I$1027))*Paraméterek!$C$289,IF($D$4="Forint",0,2)),IF($D$4="Forint",Paraméterek!$C$285,Paraméterek!$D$285)),0)</f>
        <v>0</v>
      </c>
      <c r="BJ752" s="13">
        <f t="shared" ca="1" si="254"/>
        <v>0</v>
      </c>
      <c r="BK752" s="13">
        <f t="shared" ca="1" si="263"/>
        <v>0</v>
      </c>
      <c r="BL752" s="33"/>
      <c r="BM752" s="13">
        <f t="shared" ca="1" si="255"/>
        <v>0</v>
      </c>
      <c r="BN752" s="13">
        <f ca="1">ROUNDUP(($BK752+$BM752)*VLOOKUP($BE752,Paraméterek!$P$38:$Q$38,2)/12*IF($D753="Nem",IF($M$13=0,1,$M$13),1),IF($D$4="Forint",0,2))</f>
        <v>0</v>
      </c>
      <c r="BO752" s="13">
        <f t="shared" ca="1" si="256"/>
        <v>0</v>
      </c>
      <c r="BP752" s="13">
        <f ca="1">IF($D753="Nem",$BO752,$BO752-ROUNDUP(SUM($BI$20:$BI752)*120%,IF($D$4="Forint",0,2)))</f>
        <v>0</v>
      </c>
    </row>
    <row r="753" spans="1:68" x14ac:dyDescent="0.2">
      <c r="A753" s="32">
        <v>734</v>
      </c>
      <c r="B753" s="32">
        <v>62</v>
      </c>
      <c r="C753" s="32">
        <v>2</v>
      </c>
      <c r="D753" s="32" t="str">
        <f t="shared" ca="1" si="242"/>
        <v>Nem</v>
      </c>
      <c r="E753" s="13">
        <f t="shared" ca="1" si="243"/>
        <v>0</v>
      </c>
      <c r="F753" s="13"/>
      <c r="G753" s="13"/>
      <c r="H753" s="13"/>
      <c r="I753" s="13">
        <f t="shared" ca="1" si="244"/>
        <v>0</v>
      </c>
      <c r="J753" s="13">
        <f t="shared" ca="1" si="245"/>
        <v>0</v>
      </c>
      <c r="K753" s="13">
        <f t="shared" ca="1" si="246"/>
        <v>0</v>
      </c>
      <c r="L753" s="13" t="e">
        <f ca="1">ROUNDUP(IF($D$2="Egyszeri",$E753,IF($D$2="Havi",SUM($E$20:$E$31),IF(MOD($C753,$M$1)-1=0,SUM($E$20:$E$31),0))/12*$M$1)*VLOOKUP($B753,Paraméterek!$I$28:$P$31,IF($D$2="Egyszeri",8,HLOOKUP(ROUNDUP($M$11+$M$13,0),Paraméterek!$J$26:$O$27,2))),IF($D$4="Forint",0,2))</f>
        <v>#N/A</v>
      </c>
      <c r="M753" s="13">
        <f t="shared" ca="1" si="247"/>
        <v>0</v>
      </c>
      <c r="N753" s="13">
        <f t="shared" ca="1" si="257"/>
        <v>0</v>
      </c>
      <c r="O753" s="13">
        <f ca="1">IF($D753="Igen",IF($W752&gt;=IF($D$4="Forint",Paraméterek!$J$121,Paraméterek!$K$121),0,IF($D$4="Forint",Paraméterek!$J$121,Paraméterek!$K$121)-$W752),0)</f>
        <v>0</v>
      </c>
      <c r="P753" s="13" t="e">
        <f ca="1">ROUNDUP($O753*VLOOKUP($M$4+$B753-1,Paraméterek!$H$58:$I$105,2,0)/Paraméterek!$I$56,IF($D$4="Forint",0,2))</f>
        <v>#N/A</v>
      </c>
      <c r="Q753" s="13">
        <f t="shared" ca="1" si="248"/>
        <v>0</v>
      </c>
      <c r="R753" s="33"/>
      <c r="S753" s="13" t="e">
        <f t="shared" ca="1" si="249"/>
        <v>#N/A</v>
      </c>
      <c r="T753" s="13" t="e">
        <f ca="1">ROUNDUP(($N753-$P753-$Q753+$S753)*VLOOKUP($B753,Paraméterek!$I$38:$K$39,IF($D$2="Egyszeri",3,2))/12*IF($D754="Nem",IF($M$13=0,1,$M$13),1),IF($D$4="Forint",0,2))</f>
        <v>#N/A</v>
      </c>
      <c r="U753" s="13"/>
      <c r="V753" s="13"/>
      <c r="W753" s="13" t="e">
        <f ca="1">$N753-$P753-$Q753+$S753-$T753-IF(ROUNDUP(IF(ISBLANK($V753),$U753*0,$V753)/IF($D$2="Egyszeri",VLOOKUP($B753+IF($C753=12,1,0),Paraméterek!$V$257:$W$262,2),IF($B753=1,1,VLOOKUP($B753+IF($C753=12,1,0),Paraméterek!$I$258:$T$278,HLOOKUP($M$11+1,Paraméterek!$J$256:$T$257,2)))),IF($D$4="Forint",0,2))&gt;$N753-$P753-$Q753+$S753-$T753-IF($D$4="Forint",Paraméterek!$C$216,Paraméterek!$D$216),0,ROUNDUP(IF(ISBLANK($V753),$U753*0,$V753)/IF($D$2="Egyszeri",VLOOKUP($B753+IF($C753=12,1,0),Paraméterek!$V$257:$W$262,2),IF($B753=1,1,VLOOKUP($B753+IF($C753=12,1,0),Paraméterek!$I$258:$T$278,HLOOKUP($M$11+1,Paraméterek!$J$256:$T$257,2)))),IF($D$4="Forint",0,2)))</f>
        <v>#N/A</v>
      </c>
      <c r="X753" s="13" t="e">
        <f ca="1">ROUNDDOWN($W753*IF($D$2="Egyszeri",VLOOKUP($B753+IF($C753=12,1,0),Paraméterek!$V$257:$W$262,2),VLOOKUP($B753+IF($C753=12,1,0),Paraméterek!$I$258:$T$278,HLOOKUP($M$11+1,Paraméterek!$I$256:$T$257,2))),IF($D$4="Forint",0,2))</f>
        <v>#N/A</v>
      </c>
      <c r="Z753" s="32">
        <v>734</v>
      </c>
      <c r="AA753" s="32">
        <v>62</v>
      </c>
      <c r="AB753" s="32">
        <v>2</v>
      </c>
      <c r="AC753" s="13">
        <f t="shared" ca="1" si="258"/>
        <v>0</v>
      </c>
      <c r="AD753" s="33"/>
      <c r="AE753" s="13">
        <f t="shared" ca="1" si="250"/>
        <v>0</v>
      </c>
      <c r="AF753" s="13">
        <f ca="1">ROUNDUP(($AC753+$AE753)*VLOOKUP($AA753,Paraméterek!$P$38:$Q$38,2)/12*IF($D754="Nem",IF($M$13=0,1,$M$13),1),IF($D$4="Forint",0,2))</f>
        <v>0</v>
      </c>
      <c r="AG753" s="13">
        <f ca="1">IF($D$2="Egyszeri",IF($D$7&gt;=IF($D$4="Forint",Paraméterek!$P$223,Paraméterek!$P$224),$D$7-IF($D$4="Forint",Paraméterek!$P$223,Paraméterek!$P$224),0),MIN(IF($AB753=12,AVERAGEIF($E$20:$E753,"&gt;0",$E$20:$E753)*12,0),SUM($E$20:$E$31)))</f>
        <v>0</v>
      </c>
      <c r="AH753" s="13">
        <f>IF($AA753=10,$AG753*IF($AB753=12,IF($AG753&lt;IF($D$4="Forint",Paraméterek!$L$223,Paraméterek!$L$224),0,VLOOKUP($AA753,Paraméterek!$K$226:$M$228,IF($AG753&lt;IF($D$4="Forint",Paraméterek!$M$223,Paraméterek!$M$224),2,3))),0),0)</f>
        <v>0</v>
      </c>
      <c r="AI753" s="13">
        <f ca="1">IF(AND($AA753=$M$11+1,$AB753=$M$12+1),SUMIF($AA$20:$AA$1027,$AA753,$AG$20:$AG$1027)*IF(SUMIF($AA$20:$AA$1027,$AA753,$AG$20:$AG$1027)&lt;IF($D$4="Forint",Paraméterek!$L$223,Paraméterek!$L$224),0,VLOOKUP($AA753,Paraméterek!$K$230:$M$250,IF(SUMIF($AA$20:$AA$1027,$AA753,$AG$20:$AG$1027)&lt;IF($D$4="Forint",Paraméterek!$M$223,Paraméterek!$M$224),2,3))),0)</f>
        <v>0</v>
      </c>
      <c r="AJ753" s="13">
        <f ca="1">IF(AND($AA753&gt;=5,MOD($AA753,5)=0),IF($AB753=12,VLOOKUP($AA753,Paraméterek!$O$225:$P$240,2),0),IF(OR($AA753=3,$AA753=4),IF($AB753=12,VLOOKUP($AA753,Paraméterek!$O$225:$P$240,2,0),0),0))*$AG753</f>
        <v>0</v>
      </c>
      <c r="AK753" s="13">
        <f t="shared" ca="1" si="251"/>
        <v>0</v>
      </c>
      <c r="AL753" s="13">
        <f t="shared" ca="1" si="259"/>
        <v>0</v>
      </c>
      <c r="AM753" s="13">
        <f t="shared" ca="1" si="260"/>
        <v>0</v>
      </c>
      <c r="AO753" s="32">
        <v>734</v>
      </c>
      <c r="AP753" s="32">
        <v>62</v>
      </c>
      <c r="AQ753" s="32">
        <v>2</v>
      </c>
      <c r="AR753" s="13"/>
      <c r="AS753" s="32"/>
      <c r="AT753" s="13">
        <f t="shared" ca="1" si="261"/>
        <v>0</v>
      </c>
      <c r="AU753" s="33"/>
      <c r="AV753" s="13">
        <f t="shared" ca="1" si="252"/>
        <v>0</v>
      </c>
      <c r="AW753" s="13">
        <f ca="1">ROUNDUP(($AT753+$AV753)*VLOOKUP($AP753,Paraméterek!$P$38:$Q$38,2)/12*IF($D754="Nem",IF($M$13=0,1,$M$13),1),IF($D$4="Forint",0,2))</f>
        <v>0</v>
      </c>
      <c r="AX753" s="13"/>
      <c r="AY753" s="13"/>
      <c r="AZ753" s="13">
        <f>ROUNDUP(IF(SUM($AX753:$AY753)=0,0,IF(IF(ISBLANK($AY753),$AX753,$AY753)*Paraméterek!$J$112&lt;IF($D$4="Forint",Paraméterek!$J$113,Paraméterek!$K$113),IF($D$4="Forint",Paraméterek!$J$113,Paraméterek!$K$113),IF(IF(ISBLANK($AY753),$AX753,$AY753)*Paraméterek!$J$112&gt;IF($D$4="Forint",Paraméterek!$J$114,Paraméterek!$K$114),IF($D$4="Forint",Paraméterek!$J$114,Paraméterek!$K$114),IF(ISBLANK($AY753),$AX753,$AY753)*Paraméterek!$J$112))),IF($D$4="Forint",0,2))</f>
        <v>0</v>
      </c>
      <c r="BA753" s="13">
        <f ca="1">$AT753+$AV753-$AW753-IF(ROUNDDOWN(IF(ISBLANK($AY753),$AX753,$AY753),IF($D$4="Forint",0,2))&gt;$AT753+$AV753-$AW753-IF($D$4="Forint",Paraméterek!$J$114,Paraméterek!$K$114),0,ROUNDDOWN(IF(ISBLANK($AY753),$AX753,$AY753),IF($D$4="Forint",0,2))-$AZ753)</f>
        <v>0</v>
      </c>
      <c r="BB753" s="13">
        <f t="shared" ca="1" si="253"/>
        <v>0</v>
      </c>
      <c r="BD753" s="32">
        <v>734</v>
      </c>
      <c r="BE753" s="32">
        <v>62</v>
      </c>
      <c r="BF753" s="32">
        <v>2</v>
      </c>
      <c r="BG753" s="34">
        <f t="shared" ca="1" si="262"/>
        <v>2080</v>
      </c>
      <c r="BH753" s="32" t="str">
        <f ca="1">IF(MOD(MONTH($D$14)+$BD753-1,12)=Paraméterek!$C$288,"Igen","")</f>
        <v>Igen</v>
      </c>
      <c r="BI753" s="13">
        <f ca="1">IF($BH753="Igen",MIN(ROUNDDOWN((SUMIF($BG$20:$BG$1027,$BG753-1,$K$20:$K$1027)-SUMIF($BG$20:$BG$1027,$BG753-1,$I$20:$I$1027))*Paraméterek!$C$289,IF($D$4="Forint",0,2)),IF($D$4="Forint",Paraméterek!$C$285,Paraméterek!$D$285)),0)</f>
        <v>0</v>
      </c>
      <c r="BJ753" s="13">
        <f t="shared" ca="1" si="254"/>
        <v>0</v>
      </c>
      <c r="BK753" s="13">
        <f t="shared" ca="1" si="263"/>
        <v>0</v>
      </c>
      <c r="BL753" s="33"/>
      <c r="BM753" s="13">
        <f t="shared" ca="1" si="255"/>
        <v>0</v>
      </c>
      <c r="BN753" s="13">
        <f ca="1">ROUNDUP(($BK753+$BM753)*VLOOKUP($BE753,Paraméterek!$P$38:$Q$38,2)/12*IF($D754="Nem",IF($M$13=0,1,$M$13),1),IF($D$4="Forint",0,2))</f>
        <v>0</v>
      </c>
      <c r="BO753" s="13">
        <f t="shared" ca="1" si="256"/>
        <v>0</v>
      </c>
      <c r="BP753" s="13">
        <f ca="1">IF($D754="Nem",$BO753,$BO753-ROUNDUP(SUM($BI$20:$BI753)*120%,IF($D$4="Forint",0,2)))</f>
        <v>0</v>
      </c>
    </row>
    <row r="754" spans="1:68" x14ac:dyDescent="0.2">
      <c r="A754" s="32">
        <v>735</v>
      </c>
      <c r="B754" s="32">
        <v>62</v>
      </c>
      <c r="C754" s="32">
        <v>3</v>
      </c>
      <c r="D754" s="32" t="str">
        <f t="shared" ca="1" si="242"/>
        <v>Nem</v>
      </c>
      <c r="E754" s="13">
        <f t="shared" ca="1" si="243"/>
        <v>0</v>
      </c>
      <c r="F754" s="13"/>
      <c r="G754" s="13"/>
      <c r="H754" s="13"/>
      <c r="I754" s="13">
        <f t="shared" ca="1" si="244"/>
        <v>0</v>
      </c>
      <c r="J754" s="13">
        <f t="shared" ca="1" si="245"/>
        <v>0</v>
      </c>
      <c r="K754" s="13">
        <f t="shared" ca="1" si="246"/>
        <v>0</v>
      </c>
      <c r="L754" s="13" t="e">
        <f ca="1">ROUNDUP(IF($D$2="Egyszeri",$E754,IF($D$2="Havi",SUM($E$20:$E$31),IF(MOD($C754,$M$1)-1=0,SUM($E$20:$E$31),0))/12*$M$1)*VLOOKUP($B754,Paraméterek!$I$28:$P$31,IF($D$2="Egyszeri",8,HLOOKUP(ROUNDUP($M$11+$M$13,0),Paraméterek!$J$26:$O$27,2))),IF($D$4="Forint",0,2))</f>
        <v>#N/A</v>
      </c>
      <c r="M754" s="13">
        <f t="shared" ca="1" si="247"/>
        <v>0</v>
      </c>
      <c r="N754" s="13">
        <f t="shared" ca="1" si="257"/>
        <v>0</v>
      </c>
      <c r="O754" s="13">
        <f ca="1">IF($D754="Igen",IF($W753&gt;=IF($D$4="Forint",Paraméterek!$J$121,Paraméterek!$K$121),0,IF($D$4="Forint",Paraméterek!$J$121,Paraméterek!$K$121)-$W753),0)</f>
        <v>0</v>
      </c>
      <c r="P754" s="13" t="e">
        <f ca="1">ROUNDUP($O754*VLOOKUP($M$4+$B754-1,Paraméterek!$H$58:$I$105,2,0)/Paraméterek!$I$56,IF($D$4="Forint",0,2))</f>
        <v>#N/A</v>
      </c>
      <c r="Q754" s="13">
        <f t="shared" ca="1" si="248"/>
        <v>0</v>
      </c>
      <c r="R754" s="33"/>
      <c r="S754" s="13" t="e">
        <f t="shared" ca="1" si="249"/>
        <v>#N/A</v>
      </c>
      <c r="T754" s="13" t="e">
        <f ca="1">ROUNDUP(($N754-$P754-$Q754+$S754)*VLOOKUP($B754,Paraméterek!$I$38:$K$39,IF($D$2="Egyszeri",3,2))/12*IF($D755="Nem",IF($M$13=0,1,$M$13),1),IF($D$4="Forint",0,2))</f>
        <v>#N/A</v>
      </c>
      <c r="U754" s="13"/>
      <c r="V754" s="13"/>
      <c r="W754" s="13" t="e">
        <f ca="1">$N754-$P754-$Q754+$S754-$T754-IF(ROUNDUP(IF(ISBLANK($V754),$U754*0,$V754)/IF($D$2="Egyszeri",VLOOKUP($B754+IF($C754=12,1,0),Paraméterek!$V$257:$W$262,2),IF($B754=1,1,VLOOKUP($B754+IF($C754=12,1,0),Paraméterek!$I$258:$T$278,HLOOKUP($M$11+1,Paraméterek!$J$256:$T$257,2)))),IF($D$4="Forint",0,2))&gt;$N754-$P754-$Q754+$S754-$T754-IF($D$4="Forint",Paraméterek!$C$216,Paraméterek!$D$216),0,ROUNDUP(IF(ISBLANK($V754),$U754*0,$V754)/IF($D$2="Egyszeri",VLOOKUP($B754+IF($C754=12,1,0),Paraméterek!$V$257:$W$262,2),IF($B754=1,1,VLOOKUP($B754+IF($C754=12,1,0),Paraméterek!$I$258:$T$278,HLOOKUP($M$11+1,Paraméterek!$J$256:$T$257,2)))),IF($D$4="Forint",0,2)))</f>
        <v>#N/A</v>
      </c>
      <c r="X754" s="13" t="e">
        <f ca="1">ROUNDDOWN($W754*IF($D$2="Egyszeri",VLOOKUP($B754+IF($C754=12,1,0),Paraméterek!$V$257:$W$262,2),VLOOKUP($B754+IF($C754=12,1,0),Paraméterek!$I$258:$T$278,HLOOKUP($M$11+1,Paraméterek!$I$256:$T$257,2))),IF($D$4="Forint",0,2))</f>
        <v>#N/A</v>
      </c>
      <c r="Z754" s="32">
        <v>735</v>
      </c>
      <c r="AA754" s="32">
        <v>62</v>
      </c>
      <c r="AB754" s="32">
        <v>3</v>
      </c>
      <c r="AC754" s="13">
        <f t="shared" ca="1" si="258"/>
        <v>0</v>
      </c>
      <c r="AD754" s="33"/>
      <c r="AE754" s="13">
        <f t="shared" ca="1" si="250"/>
        <v>0</v>
      </c>
      <c r="AF754" s="13">
        <f ca="1">ROUNDUP(($AC754+$AE754)*VLOOKUP($AA754,Paraméterek!$P$38:$Q$38,2)/12*IF($D755="Nem",IF($M$13=0,1,$M$13),1),IF($D$4="Forint",0,2))</f>
        <v>0</v>
      </c>
      <c r="AG754" s="13">
        <f ca="1">IF($D$2="Egyszeri",IF($D$7&gt;=IF($D$4="Forint",Paraméterek!$P$223,Paraméterek!$P$224),$D$7-IF($D$4="Forint",Paraméterek!$P$223,Paraméterek!$P$224),0),MIN(IF($AB754=12,AVERAGEIF($E$20:$E754,"&gt;0",$E$20:$E754)*12,0),SUM($E$20:$E$31)))</f>
        <v>0</v>
      </c>
      <c r="AH754" s="13">
        <f>IF($AA754=10,$AG754*IF($AB754=12,IF($AG754&lt;IF($D$4="Forint",Paraméterek!$L$223,Paraméterek!$L$224),0,VLOOKUP($AA754,Paraméterek!$K$226:$M$228,IF($AG754&lt;IF($D$4="Forint",Paraméterek!$M$223,Paraméterek!$M$224),2,3))),0),0)</f>
        <v>0</v>
      </c>
      <c r="AI754" s="13">
        <f ca="1">IF(AND($AA754=$M$11+1,$AB754=$M$12+1),SUMIF($AA$20:$AA$1027,$AA754,$AG$20:$AG$1027)*IF(SUMIF($AA$20:$AA$1027,$AA754,$AG$20:$AG$1027)&lt;IF($D$4="Forint",Paraméterek!$L$223,Paraméterek!$L$224),0,VLOOKUP($AA754,Paraméterek!$K$230:$M$250,IF(SUMIF($AA$20:$AA$1027,$AA754,$AG$20:$AG$1027)&lt;IF($D$4="Forint",Paraméterek!$M$223,Paraméterek!$M$224),2,3))),0)</f>
        <v>0</v>
      </c>
      <c r="AJ754" s="13">
        <f ca="1">IF(AND($AA754&gt;=5,MOD($AA754,5)=0),IF($AB754=12,VLOOKUP($AA754,Paraméterek!$O$225:$P$240,2),0),IF(OR($AA754=3,$AA754=4),IF($AB754=12,VLOOKUP($AA754,Paraméterek!$O$225:$P$240,2,0),0),0))*$AG754</f>
        <v>0</v>
      </c>
      <c r="AK754" s="13">
        <f t="shared" ca="1" si="251"/>
        <v>0</v>
      </c>
      <c r="AL754" s="13">
        <f t="shared" ca="1" si="259"/>
        <v>0</v>
      </c>
      <c r="AM754" s="13">
        <f t="shared" ca="1" si="260"/>
        <v>0</v>
      </c>
      <c r="AO754" s="32">
        <v>735</v>
      </c>
      <c r="AP754" s="32">
        <v>62</v>
      </c>
      <c r="AQ754" s="32">
        <v>3</v>
      </c>
      <c r="AR754" s="13"/>
      <c r="AS754" s="32"/>
      <c r="AT754" s="13">
        <f t="shared" ca="1" si="261"/>
        <v>0</v>
      </c>
      <c r="AU754" s="33"/>
      <c r="AV754" s="13">
        <f t="shared" ca="1" si="252"/>
        <v>0</v>
      </c>
      <c r="AW754" s="13">
        <f ca="1">ROUNDUP(($AT754+$AV754)*VLOOKUP($AP754,Paraméterek!$P$38:$Q$38,2)/12*IF($D755="Nem",IF($M$13=0,1,$M$13),1),IF($D$4="Forint",0,2))</f>
        <v>0</v>
      </c>
      <c r="AX754" s="13"/>
      <c r="AY754" s="13"/>
      <c r="AZ754" s="13">
        <f>ROUNDUP(IF(SUM($AX754:$AY754)=0,0,IF(IF(ISBLANK($AY754),$AX754,$AY754)*Paraméterek!$J$112&lt;IF($D$4="Forint",Paraméterek!$J$113,Paraméterek!$K$113),IF($D$4="Forint",Paraméterek!$J$113,Paraméterek!$K$113),IF(IF(ISBLANK($AY754),$AX754,$AY754)*Paraméterek!$J$112&gt;IF($D$4="Forint",Paraméterek!$J$114,Paraméterek!$K$114),IF($D$4="Forint",Paraméterek!$J$114,Paraméterek!$K$114),IF(ISBLANK($AY754),$AX754,$AY754)*Paraméterek!$J$112))),IF($D$4="Forint",0,2))</f>
        <v>0</v>
      </c>
      <c r="BA754" s="13">
        <f ca="1">$AT754+$AV754-$AW754-IF(ROUNDDOWN(IF(ISBLANK($AY754),$AX754,$AY754),IF($D$4="Forint",0,2))&gt;$AT754+$AV754-$AW754-IF($D$4="Forint",Paraméterek!$J$114,Paraméterek!$K$114),0,ROUNDDOWN(IF(ISBLANK($AY754),$AX754,$AY754),IF($D$4="Forint",0,2))-$AZ754)</f>
        <v>0</v>
      </c>
      <c r="BB754" s="13">
        <f t="shared" ca="1" si="253"/>
        <v>0</v>
      </c>
      <c r="BD754" s="32">
        <v>735</v>
      </c>
      <c r="BE754" s="32">
        <v>62</v>
      </c>
      <c r="BF754" s="32">
        <v>3</v>
      </c>
      <c r="BG754" s="34">
        <f t="shared" ca="1" si="262"/>
        <v>2080</v>
      </c>
      <c r="BH754" s="32" t="str">
        <f ca="1">IF(MOD(MONTH($D$14)+$BD754-1,12)=Paraméterek!$C$288,"Igen","")</f>
        <v/>
      </c>
      <c r="BI754" s="13">
        <f ca="1">IF($BH754="Igen",MIN(ROUNDDOWN((SUMIF($BG$20:$BG$1027,$BG754-1,$K$20:$K$1027)-SUMIF($BG$20:$BG$1027,$BG754-1,$I$20:$I$1027))*Paraméterek!$C$289,IF($D$4="Forint",0,2)),IF($D$4="Forint",Paraméterek!$C$285,Paraméterek!$D$285)),0)</f>
        <v>0</v>
      </c>
      <c r="BJ754" s="13">
        <f t="shared" ca="1" si="254"/>
        <v>0</v>
      </c>
      <c r="BK754" s="13">
        <f t="shared" ca="1" si="263"/>
        <v>0</v>
      </c>
      <c r="BL754" s="33"/>
      <c r="BM754" s="13">
        <f t="shared" ca="1" si="255"/>
        <v>0</v>
      </c>
      <c r="BN754" s="13">
        <f ca="1">ROUNDUP(($BK754+$BM754)*VLOOKUP($BE754,Paraméterek!$P$38:$Q$38,2)/12*IF($D755="Nem",IF($M$13=0,1,$M$13),1),IF($D$4="Forint",0,2))</f>
        <v>0</v>
      </c>
      <c r="BO754" s="13">
        <f t="shared" ca="1" si="256"/>
        <v>0</v>
      </c>
      <c r="BP754" s="13">
        <f ca="1">IF($D755="Nem",$BO754,$BO754-ROUNDUP(SUM($BI$20:$BI754)*120%,IF($D$4="Forint",0,2)))</f>
        <v>0</v>
      </c>
    </row>
    <row r="755" spans="1:68" x14ac:dyDescent="0.2">
      <c r="A755" s="32">
        <v>736</v>
      </c>
      <c r="B755" s="32">
        <v>62</v>
      </c>
      <c r="C755" s="32">
        <v>4</v>
      </c>
      <c r="D755" s="32" t="str">
        <f t="shared" ca="1" si="242"/>
        <v>Nem</v>
      </c>
      <c r="E755" s="13">
        <f t="shared" ca="1" si="243"/>
        <v>0</v>
      </c>
      <c r="F755" s="13"/>
      <c r="G755" s="13"/>
      <c r="H755" s="13"/>
      <c r="I755" s="13">
        <f t="shared" ca="1" si="244"/>
        <v>0</v>
      </c>
      <c r="J755" s="13">
        <f t="shared" ca="1" si="245"/>
        <v>0</v>
      </c>
      <c r="K755" s="13">
        <f t="shared" ca="1" si="246"/>
        <v>0</v>
      </c>
      <c r="L755" s="13" t="e">
        <f ca="1">ROUNDUP(IF($D$2="Egyszeri",$E755,IF($D$2="Havi",SUM($E$20:$E$31),IF(MOD($C755,$M$1)-1=0,SUM($E$20:$E$31),0))/12*$M$1)*VLOOKUP($B755,Paraméterek!$I$28:$P$31,IF($D$2="Egyszeri",8,HLOOKUP(ROUNDUP($M$11+$M$13,0),Paraméterek!$J$26:$O$27,2))),IF($D$4="Forint",0,2))</f>
        <v>#N/A</v>
      </c>
      <c r="M755" s="13">
        <f t="shared" ca="1" si="247"/>
        <v>0</v>
      </c>
      <c r="N755" s="13">
        <f t="shared" ca="1" si="257"/>
        <v>0</v>
      </c>
      <c r="O755" s="13">
        <f ca="1">IF($D755="Igen",IF($W754&gt;=IF($D$4="Forint",Paraméterek!$J$121,Paraméterek!$K$121),0,IF($D$4="Forint",Paraméterek!$J$121,Paraméterek!$K$121)-$W754),0)</f>
        <v>0</v>
      </c>
      <c r="P755" s="13" t="e">
        <f ca="1">ROUNDUP($O755*VLOOKUP($M$4+$B755-1,Paraméterek!$H$58:$I$105,2,0)/Paraméterek!$I$56,IF($D$4="Forint",0,2))</f>
        <v>#N/A</v>
      </c>
      <c r="Q755" s="13">
        <f t="shared" ca="1" si="248"/>
        <v>0</v>
      </c>
      <c r="R755" s="33"/>
      <c r="S755" s="13" t="e">
        <f t="shared" ca="1" si="249"/>
        <v>#N/A</v>
      </c>
      <c r="T755" s="13" t="e">
        <f ca="1">ROUNDUP(($N755-$P755-$Q755+$S755)*VLOOKUP($B755,Paraméterek!$I$38:$K$39,IF($D$2="Egyszeri",3,2))/12*IF($D756="Nem",IF($M$13=0,1,$M$13),1),IF($D$4="Forint",0,2))</f>
        <v>#N/A</v>
      </c>
      <c r="U755" s="13"/>
      <c r="V755" s="13"/>
      <c r="W755" s="13" t="e">
        <f ca="1">$N755-$P755-$Q755+$S755-$T755-IF(ROUNDUP(IF(ISBLANK($V755),$U755*0,$V755)/IF($D$2="Egyszeri",VLOOKUP($B755+IF($C755=12,1,0),Paraméterek!$V$257:$W$262,2),IF($B755=1,1,VLOOKUP($B755+IF($C755=12,1,0),Paraméterek!$I$258:$T$278,HLOOKUP($M$11+1,Paraméterek!$J$256:$T$257,2)))),IF($D$4="Forint",0,2))&gt;$N755-$P755-$Q755+$S755-$T755-IF($D$4="Forint",Paraméterek!$C$216,Paraméterek!$D$216),0,ROUNDUP(IF(ISBLANK($V755),$U755*0,$V755)/IF($D$2="Egyszeri",VLOOKUP($B755+IF($C755=12,1,0),Paraméterek!$V$257:$W$262,2),IF($B755=1,1,VLOOKUP($B755+IF($C755=12,1,0),Paraméterek!$I$258:$T$278,HLOOKUP($M$11+1,Paraméterek!$J$256:$T$257,2)))),IF($D$4="Forint",0,2)))</f>
        <v>#N/A</v>
      </c>
      <c r="X755" s="13" t="e">
        <f ca="1">ROUNDDOWN($W755*IF($D$2="Egyszeri",VLOOKUP($B755+IF($C755=12,1,0),Paraméterek!$V$257:$W$262,2),VLOOKUP($B755+IF($C755=12,1,0),Paraméterek!$I$258:$T$278,HLOOKUP($M$11+1,Paraméterek!$I$256:$T$257,2))),IF($D$4="Forint",0,2))</f>
        <v>#N/A</v>
      </c>
      <c r="Z755" s="32">
        <v>736</v>
      </c>
      <c r="AA755" s="32">
        <v>62</v>
      </c>
      <c r="AB755" s="32">
        <v>4</v>
      </c>
      <c r="AC755" s="13">
        <f t="shared" ca="1" si="258"/>
        <v>0</v>
      </c>
      <c r="AD755" s="33"/>
      <c r="AE755" s="13">
        <f t="shared" ca="1" si="250"/>
        <v>0</v>
      </c>
      <c r="AF755" s="13">
        <f ca="1">ROUNDUP(($AC755+$AE755)*VLOOKUP($AA755,Paraméterek!$P$38:$Q$38,2)/12*IF($D756="Nem",IF($M$13=0,1,$M$13),1),IF($D$4="Forint",0,2))</f>
        <v>0</v>
      </c>
      <c r="AG755" s="13">
        <f ca="1">IF($D$2="Egyszeri",IF($D$7&gt;=IF($D$4="Forint",Paraméterek!$P$223,Paraméterek!$P$224),$D$7-IF($D$4="Forint",Paraméterek!$P$223,Paraméterek!$P$224),0),MIN(IF($AB755=12,AVERAGEIF($E$20:$E755,"&gt;0",$E$20:$E755)*12,0),SUM($E$20:$E$31)))</f>
        <v>0</v>
      </c>
      <c r="AH755" s="13">
        <f>IF($AA755=10,$AG755*IF($AB755=12,IF($AG755&lt;IF($D$4="Forint",Paraméterek!$L$223,Paraméterek!$L$224),0,VLOOKUP($AA755,Paraméterek!$K$226:$M$228,IF($AG755&lt;IF($D$4="Forint",Paraméterek!$M$223,Paraméterek!$M$224),2,3))),0),0)</f>
        <v>0</v>
      </c>
      <c r="AI755" s="13">
        <f ca="1">IF(AND($AA755=$M$11+1,$AB755=$M$12+1),SUMIF($AA$20:$AA$1027,$AA755,$AG$20:$AG$1027)*IF(SUMIF($AA$20:$AA$1027,$AA755,$AG$20:$AG$1027)&lt;IF($D$4="Forint",Paraméterek!$L$223,Paraméterek!$L$224),0,VLOOKUP($AA755,Paraméterek!$K$230:$M$250,IF(SUMIF($AA$20:$AA$1027,$AA755,$AG$20:$AG$1027)&lt;IF($D$4="Forint",Paraméterek!$M$223,Paraméterek!$M$224),2,3))),0)</f>
        <v>0</v>
      </c>
      <c r="AJ755" s="13">
        <f ca="1">IF(AND($AA755&gt;=5,MOD($AA755,5)=0),IF($AB755=12,VLOOKUP($AA755,Paraméterek!$O$225:$P$240,2),0),IF(OR($AA755=3,$AA755=4),IF($AB755=12,VLOOKUP($AA755,Paraméterek!$O$225:$P$240,2,0),0),0))*$AG755</f>
        <v>0</v>
      </c>
      <c r="AK755" s="13">
        <f t="shared" ca="1" si="251"/>
        <v>0</v>
      </c>
      <c r="AL755" s="13">
        <f t="shared" ca="1" si="259"/>
        <v>0</v>
      </c>
      <c r="AM755" s="13">
        <f t="shared" ca="1" si="260"/>
        <v>0</v>
      </c>
      <c r="AO755" s="32">
        <v>736</v>
      </c>
      <c r="AP755" s="32">
        <v>62</v>
      </c>
      <c r="AQ755" s="32">
        <v>4</v>
      </c>
      <c r="AR755" s="13"/>
      <c r="AS755" s="32"/>
      <c r="AT755" s="13">
        <f t="shared" ca="1" si="261"/>
        <v>0</v>
      </c>
      <c r="AU755" s="33"/>
      <c r="AV755" s="13">
        <f t="shared" ca="1" si="252"/>
        <v>0</v>
      </c>
      <c r="AW755" s="13">
        <f ca="1">ROUNDUP(($AT755+$AV755)*VLOOKUP($AP755,Paraméterek!$P$38:$Q$38,2)/12*IF($D756="Nem",IF($M$13=0,1,$M$13),1),IF($D$4="Forint",0,2))</f>
        <v>0</v>
      </c>
      <c r="AX755" s="13"/>
      <c r="AY755" s="13"/>
      <c r="AZ755" s="13">
        <f>ROUNDUP(IF(SUM($AX755:$AY755)=0,0,IF(IF(ISBLANK($AY755),$AX755,$AY755)*Paraméterek!$J$112&lt;IF($D$4="Forint",Paraméterek!$J$113,Paraméterek!$K$113),IF($D$4="Forint",Paraméterek!$J$113,Paraméterek!$K$113),IF(IF(ISBLANK($AY755),$AX755,$AY755)*Paraméterek!$J$112&gt;IF($D$4="Forint",Paraméterek!$J$114,Paraméterek!$K$114),IF($D$4="Forint",Paraméterek!$J$114,Paraméterek!$K$114),IF(ISBLANK($AY755),$AX755,$AY755)*Paraméterek!$J$112))),IF($D$4="Forint",0,2))</f>
        <v>0</v>
      </c>
      <c r="BA755" s="13">
        <f ca="1">$AT755+$AV755-$AW755-IF(ROUNDDOWN(IF(ISBLANK($AY755),$AX755,$AY755),IF($D$4="Forint",0,2))&gt;$AT755+$AV755-$AW755-IF($D$4="Forint",Paraméterek!$J$114,Paraméterek!$K$114),0,ROUNDDOWN(IF(ISBLANK($AY755),$AX755,$AY755),IF($D$4="Forint",0,2))-$AZ755)</f>
        <v>0</v>
      </c>
      <c r="BB755" s="13">
        <f t="shared" ca="1" si="253"/>
        <v>0</v>
      </c>
      <c r="BD755" s="32">
        <v>736</v>
      </c>
      <c r="BE755" s="32">
        <v>62</v>
      </c>
      <c r="BF755" s="32">
        <v>4</v>
      </c>
      <c r="BG755" s="34">
        <f t="shared" ca="1" si="262"/>
        <v>2080</v>
      </c>
      <c r="BH755" s="32" t="str">
        <f ca="1">IF(MOD(MONTH($D$14)+$BD755-1,12)=Paraméterek!$C$288,"Igen","")</f>
        <v/>
      </c>
      <c r="BI755" s="13">
        <f ca="1">IF($BH755="Igen",MIN(ROUNDDOWN((SUMIF($BG$20:$BG$1027,$BG755-1,$K$20:$K$1027)-SUMIF($BG$20:$BG$1027,$BG755-1,$I$20:$I$1027))*Paraméterek!$C$289,IF($D$4="Forint",0,2)),IF($D$4="Forint",Paraméterek!$C$285,Paraméterek!$D$285)),0)</f>
        <v>0</v>
      </c>
      <c r="BJ755" s="13">
        <f t="shared" ca="1" si="254"/>
        <v>0</v>
      </c>
      <c r="BK755" s="13">
        <f t="shared" ca="1" si="263"/>
        <v>0</v>
      </c>
      <c r="BL755" s="33"/>
      <c r="BM755" s="13">
        <f t="shared" ca="1" si="255"/>
        <v>0</v>
      </c>
      <c r="BN755" s="13">
        <f ca="1">ROUNDUP(($BK755+$BM755)*VLOOKUP($BE755,Paraméterek!$P$38:$Q$38,2)/12*IF($D756="Nem",IF($M$13=0,1,$M$13),1),IF($D$4="Forint",0,2))</f>
        <v>0</v>
      </c>
      <c r="BO755" s="13">
        <f t="shared" ca="1" si="256"/>
        <v>0</v>
      </c>
      <c r="BP755" s="13">
        <f ca="1">IF($D756="Nem",$BO755,$BO755-ROUNDUP(SUM($BI$20:$BI755)*120%,IF($D$4="Forint",0,2)))</f>
        <v>0</v>
      </c>
    </row>
    <row r="756" spans="1:68" x14ac:dyDescent="0.2">
      <c r="A756" s="32">
        <v>737</v>
      </c>
      <c r="B756" s="32">
        <v>62</v>
      </c>
      <c r="C756" s="32">
        <v>5</v>
      </c>
      <c r="D756" s="32" t="str">
        <f t="shared" ca="1" si="242"/>
        <v>Nem</v>
      </c>
      <c r="E756" s="13">
        <f t="shared" ca="1" si="243"/>
        <v>0</v>
      </c>
      <c r="F756" s="13"/>
      <c r="G756" s="13"/>
      <c r="H756" s="13"/>
      <c r="I756" s="13">
        <f t="shared" ca="1" si="244"/>
        <v>0</v>
      </c>
      <c r="J756" s="13">
        <f t="shared" ca="1" si="245"/>
        <v>0</v>
      </c>
      <c r="K756" s="13">
        <f t="shared" ca="1" si="246"/>
        <v>0</v>
      </c>
      <c r="L756" s="13" t="e">
        <f ca="1">ROUNDUP(IF($D$2="Egyszeri",$E756,IF($D$2="Havi",SUM($E$20:$E$31),IF(MOD($C756,$M$1)-1=0,SUM($E$20:$E$31),0))/12*$M$1)*VLOOKUP($B756,Paraméterek!$I$28:$P$31,IF($D$2="Egyszeri",8,HLOOKUP(ROUNDUP($M$11+$M$13,0),Paraméterek!$J$26:$O$27,2))),IF($D$4="Forint",0,2))</f>
        <v>#N/A</v>
      </c>
      <c r="M756" s="13">
        <f t="shared" ca="1" si="247"/>
        <v>0</v>
      </c>
      <c r="N756" s="13">
        <f t="shared" ca="1" si="257"/>
        <v>0</v>
      </c>
      <c r="O756" s="13">
        <f ca="1">IF($D756="Igen",IF($W755&gt;=IF($D$4="Forint",Paraméterek!$J$121,Paraméterek!$K$121),0,IF($D$4="Forint",Paraméterek!$J$121,Paraméterek!$K$121)-$W755),0)</f>
        <v>0</v>
      </c>
      <c r="P756" s="13" t="e">
        <f ca="1">ROUNDUP($O756*VLOOKUP($M$4+$B756-1,Paraméterek!$H$58:$I$105,2,0)/Paraméterek!$I$56,IF($D$4="Forint",0,2))</f>
        <v>#N/A</v>
      </c>
      <c r="Q756" s="13">
        <f t="shared" ca="1" si="248"/>
        <v>0</v>
      </c>
      <c r="R756" s="33"/>
      <c r="S756" s="13" t="e">
        <f t="shared" ca="1" si="249"/>
        <v>#N/A</v>
      </c>
      <c r="T756" s="13" t="e">
        <f ca="1">ROUNDUP(($N756-$P756-$Q756+$S756)*VLOOKUP($B756,Paraméterek!$I$38:$K$39,IF($D$2="Egyszeri",3,2))/12*IF($D757="Nem",IF($M$13=0,1,$M$13),1),IF($D$4="Forint",0,2))</f>
        <v>#N/A</v>
      </c>
      <c r="U756" s="13"/>
      <c r="V756" s="13"/>
      <c r="W756" s="13" t="e">
        <f ca="1">$N756-$P756-$Q756+$S756-$T756-IF(ROUNDUP(IF(ISBLANK($V756),$U756*0,$V756)/IF($D$2="Egyszeri",VLOOKUP($B756+IF($C756=12,1,0),Paraméterek!$V$257:$W$262,2),IF($B756=1,1,VLOOKUP($B756+IF($C756=12,1,0),Paraméterek!$I$258:$T$278,HLOOKUP($M$11+1,Paraméterek!$J$256:$T$257,2)))),IF($D$4="Forint",0,2))&gt;$N756-$P756-$Q756+$S756-$T756-IF($D$4="Forint",Paraméterek!$C$216,Paraméterek!$D$216),0,ROUNDUP(IF(ISBLANK($V756),$U756*0,$V756)/IF($D$2="Egyszeri",VLOOKUP($B756+IF($C756=12,1,0),Paraméterek!$V$257:$W$262,2),IF($B756=1,1,VLOOKUP($B756+IF($C756=12,1,0),Paraméterek!$I$258:$T$278,HLOOKUP($M$11+1,Paraméterek!$J$256:$T$257,2)))),IF($D$4="Forint",0,2)))</f>
        <v>#N/A</v>
      </c>
      <c r="X756" s="13" t="e">
        <f ca="1">ROUNDDOWN($W756*IF($D$2="Egyszeri",VLOOKUP($B756+IF($C756=12,1,0),Paraméterek!$V$257:$W$262,2),VLOOKUP($B756+IF($C756=12,1,0),Paraméterek!$I$258:$T$278,HLOOKUP($M$11+1,Paraméterek!$I$256:$T$257,2))),IF($D$4="Forint",0,2))</f>
        <v>#N/A</v>
      </c>
      <c r="Z756" s="32">
        <v>737</v>
      </c>
      <c r="AA756" s="32">
        <v>62</v>
      </c>
      <c r="AB756" s="32">
        <v>5</v>
      </c>
      <c r="AC756" s="13">
        <f t="shared" ca="1" si="258"/>
        <v>0</v>
      </c>
      <c r="AD756" s="33"/>
      <c r="AE756" s="13">
        <f t="shared" ca="1" si="250"/>
        <v>0</v>
      </c>
      <c r="AF756" s="13">
        <f ca="1">ROUNDUP(($AC756+$AE756)*VLOOKUP($AA756,Paraméterek!$P$38:$Q$38,2)/12*IF($D757="Nem",IF($M$13=0,1,$M$13),1),IF($D$4="Forint",0,2))</f>
        <v>0</v>
      </c>
      <c r="AG756" s="13">
        <f ca="1">IF($D$2="Egyszeri",IF($D$7&gt;=IF($D$4="Forint",Paraméterek!$P$223,Paraméterek!$P$224),$D$7-IF($D$4="Forint",Paraméterek!$P$223,Paraméterek!$P$224),0),MIN(IF($AB756=12,AVERAGEIF($E$20:$E756,"&gt;0",$E$20:$E756)*12,0),SUM($E$20:$E$31)))</f>
        <v>0</v>
      </c>
      <c r="AH756" s="13">
        <f>IF($AA756=10,$AG756*IF($AB756=12,IF($AG756&lt;IF($D$4="Forint",Paraméterek!$L$223,Paraméterek!$L$224),0,VLOOKUP($AA756,Paraméterek!$K$226:$M$228,IF($AG756&lt;IF($D$4="Forint",Paraméterek!$M$223,Paraméterek!$M$224),2,3))),0),0)</f>
        <v>0</v>
      </c>
      <c r="AI756" s="13">
        <f ca="1">IF(AND($AA756=$M$11+1,$AB756=$M$12+1),SUMIF($AA$20:$AA$1027,$AA756,$AG$20:$AG$1027)*IF(SUMIF($AA$20:$AA$1027,$AA756,$AG$20:$AG$1027)&lt;IF($D$4="Forint",Paraméterek!$L$223,Paraméterek!$L$224),0,VLOOKUP($AA756,Paraméterek!$K$230:$M$250,IF(SUMIF($AA$20:$AA$1027,$AA756,$AG$20:$AG$1027)&lt;IF($D$4="Forint",Paraméterek!$M$223,Paraméterek!$M$224),2,3))),0)</f>
        <v>0</v>
      </c>
      <c r="AJ756" s="13">
        <f ca="1">IF(AND($AA756&gt;=5,MOD($AA756,5)=0),IF($AB756=12,VLOOKUP($AA756,Paraméterek!$O$225:$P$240,2),0),IF(OR($AA756=3,$AA756=4),IF($AB756=12,VLOOKUP($AA756,Paraméterek!$O$225:$P$240,2,0),0),0))*$AG756</f>
        <v>0</v>
      </c>
      <c r="AK756" s="13">
        <f t="shared" ca="1" si="251"/>
        <v>0</v>
      </c>
      <c r="AL756" s="13">
        <f t="shared" ca="1" si="259"/>
        <v>0</v>
      </c>
      <c r="AM756" s="13">
        <f t="shared" ca="1" si="260"/>
        <v>0</v>
      </c>
      <c r="AO756" s="32">
        <v>737</v>
      </c>
      <c r="AP756" s="32">
        <v>62</v>
      </c>
      <c r="AQ756" s="32">
        <v>5</v>
      </c>
      <c r="AR756" s="13"/>
      <c r="AS756" s="32"/>
      <c r="AT756" s="13">
        <f t="shared" ca="1" si="261"/>
        <v>0</v>
      </c>
      <c r="AU756" s="33"/>
      <c r="AV756" s="13">
        <f t="shared" ca="1" si="252"/>
        <v>0</v>
      </c>
      <c r="AW756" s="13">
        <f ca="1">ROUNDUP(($AT756+$AV756)*VLOOKUP($AP756,Paraméterek!$P$38:$Q$38,2)/12*IF($D757="Nem",IF($M$13=0,1,$M$13),1),IF($D$4="Forint",0,2))</f>
        <v>0</v>
      </c>
      <c r="AX756" s="13"/>
      <c r="AY756" s="13"/>
      <c r="AZ756" s="13">
        <f>ROUNDUP(IF(SUM($AX756:$AY756)=0,0,IF(IF(ISBLANK($AY756),$AX756,$AY756)*Paraméterek!$J$112&lt;IF($D$4="Forint",Paraméterek!$J$113,Paraméterek!$K$113),IF($D$4="Forint",Paraméterek!$J$113,Paraméterek!$K$113),IF(IF(ISBLANK($AY756),$AX756,$AY756)*Paraméterek!$J$112&gt;IF($D$4="Forint",Paraméterek!$J$114,Paraméterek!$K$114),IF($D$4="Forint",Paraméterek!$J$114,Paraméterek!$K$114),IF(ISBLANK($AY756),$AX756,$AY756)*Paraméterek!$J$112))),IF($D$4="Forint",0,2))</f>
        <v>0</v>
      </c>
      <c r="BA756" s="13">
        <f ca="1">$AT756+$AV756-$AW756-IF(ROUNDDOWN(IF(ISBLANK($AY756),$AX756,$AY756),IF($D$4="Forint",0,2))&gt;$AT756+$AV756-$AW756-IF($D$4="Forint",Paraméterek!$J$114,Paraméterek!$K$114),0,ROUNDDOWN(IF(ISBLANK($AY756),$AX756,$AY756),IF($D$4="Forint",0,2))-$AZ756)</f>
        <v>0</v>
      </c>
      <c r="BB756" s="13">
        <f t="shared" ca="1" si="253"/>
        <v>0</v>
      </c>
      <c r="BD756" s="32">
        <v>737</v>
      </c>
      <c r="BE756" s="32">
        <v>62</v>
      </c>
      <c r="BF756" s="32">
        <v>5</v>
      </c>
      <c r="BG756" s="34">
        <f t="shared" ca="1" si="262"/>
        <v>2080</v>
      </c>
      <c r="BH756" s="32" t="str">
        <f ca="1">IF(MOD(MONTH($D$14)+$BD756-1,12)=Paraméterek!$C$288,"Igen","")</f>
        <v/>
      </c>
      <c r="BI756" s="13">
        <f ca="1">IF($BH756="Igen",MIN(ROUNDDOWN((SUMIF($BG$20:$BG$1027,$BG756-1,$K$20:$K$1027)-SUMIF($BG$20:$BG$1027,$BG756-1,$I$20:$I$1027))*Paraméterek!$C$289,IF($D$4="Forint",0,2)),IF($D$4="Forint",Paraméterek!$C$285,Paraméterek!$D$285)),0)</f>
        <v>0</v>
      </c>
      <c r="BJ756" s="13">
        <f t="shared" ca="1" si="254"/>
        <v>0</v>
      </c>
      <c r="BK756" s="13">
        <f t="shared" ca="1" si="263"/>
        <v>0</v>
      </c>
      <c r="BL756" s="33"/>
      <c r="BM756" s="13">
        <f t="shared" ca="1" si="255"/>
        <v>0</v>
      </c>
      <c r="BN756" s="13">
        <f ca="1">ROUNDUP(($BK756+$BM756)*VLOOKUP($BE756,Paraméterek!$P$38:$Q$38,2)/12*IF($D757="Nem",IF($M$13=0,1,$M$13),1),IF($D$4="Forint",0,2))</f>
        <v>0</v>
      </c>
      <c r="BO756" s="13">
        <f t="shared" ca="1" si="256"/>
        <v>0</v>
      </c>
      <c r="BP756" s="13">
        <f ca="1">IF($D757="Nem",$BO756,$BO756-ROUNDUP(SUM($BI$20:$BI756)*120%,IF($D$4="Forint",0,2)))</f>
        <v>0</v>
      </c>
    </row>
    <row r="757" spans="1:68" x14ac:dyDescent="0.2">
      <c r="A757" s="32">
        <v>738</v>
      </c>
      <c r="B757" s="32">
        <v>62</v>
      </c>
      <c r="C757" s="32">
        <v>6</v>
      </c>
      <c r="D757" s="32" t="str">
        <f t="shared" ca="1" si="242"/>
        <v>Nem</v>
      </c>
      <c r="E757" s="13">
        <f t="shared" ca="1" si="243"/>
        <v>0</v>
      </c>
      <c r="F757" s="13"/>
      <c r="G757" s="13"/>
      <c r="H757" s="13"/>
      <c r="I757" s="13">
        <f t="shared" ca="1" si="244"/>
        <v>0</v>
      </c>
      <c r="J757" s="13">
        <f t="shared" ca="1" si="245"/>
        <v>0</v>
      </c>
      <c r="K757" s="13">
        <f t="shared" ca="1" si="246"/>
        <v>0</v>
      </c>
      <c r="L757" s="13" t="e">
        <f ca="1">ROUNDUP(IF($D$2="Egyszeri",$E757,IF($D$2="Havi",SUM($E$20:$E$31),IF(MOD($C757,$M$1)-1=0,SUM($E$20:$E$31),0))/12*$M$1)*VLOOKUP($B757,Paraméterek!$I$28:$P$31,IF($D$2="Egyszeri",8,HLOOKUP(ROUNDUP($M$11+$M$13,0),Paraméterek!$J$26:$O$27,2))),IF($D$4="Forint",0,2))</f>
        <v>#N/A</v>
      </c>
      <c r="M757" s="13">
        <f t="shared" ca="1" si="247"/>
        <v>0</v>
      </c>
      <c r="N757" s="13">
        <f t="shared" ca="1" si="257"/>
        <v>0</v>
      </c>
      <c r="O757" s="13">
        <f ca="1">IF($D757="Igen",IF($W756&gt;=IF($D$4="Forint",Paraméterek!$J$121,Paraméterek!$K$121),0,IF($D$4="Forint",Paraméterek!$J$121,Paraméterek!$K$121)-$W756),0)</f>
        <v>0</v>
      </c>
      <c r="P757" s="13" t="e">
        <f ca="1">ROUNDUP($O757*VLOOKUP($M$4+$B757-1,Paraméterek!$H$58:$I$105,2,0)/Paraméterek!$I$56,IF($D$4="Forint",0,2))</f>
        <v>#N/A</v>
      </c>
      <c r="Q757" s="13">
        <f t="shared" ca="1" si="248"/>
        <v>0</v>
      </c>
      <c r="R757" s="33"/>
      <c r="S757" s="13" t="e">
        <f t="shared" ca="1" si="249"/>
        <v>#N/A</v>
      </c>
      <c r="T757" s="13" t="e">
        <f ca="1">ROUNDUP(($N757-$P757-$Q757+$S757)*VLOOKUP($B757,Paraméterek!$I$38:$K$39,IF($D$2="Egyszeri",3,2))/12*IF($D758="Nem",IF($M$13=0,1,$M$13),1),IF($D$4="Forint",0,2))</f>
        <v>#N/A</v>
      </c>
      <c r="U757" s="13"/>
      <c r="V757" s="13"/>
      <c r="W757" s="13" t="e">
        <f ca="1">$N757-$P757-$Q757+$S757-$T757-IF(ROUNDUP(IF(ISBLANK($V757),$U757*0,$V757)/IF($D$2="Egyszeri",VLOOKUP($B757+IF($C757=12,1,0),Paraméterek!$V$257:$W$262,2),IF($B757=1,1,VLOOKUP($B757+IF($C757=12,1,0),Paraméterek!$I$258:$T$278,HLOOKUP($M$11+1,Paraméterek!$J$256:$T$257,2)))),IF($D$4="Forint",0,2))&gt;$N757-$P757-$Q757+$S757-$T757-IF($D$4="Forint",Paraméterek!$C$216,Paraméterek!$D$216),0,ROUNDUP(IF(ISBLANK($V757),$U757*0,$V757)/IF($D$2="Egyszeri",VLOOKUP($B757+IF($C757=12,1,0),Paraméterek!$V$257:$W$262,2),IF($B757=1,1,VLOOKUP($B757+IF($C757=12,1,0),Paraméterek!$I$258:$T$278,HLOOKUP($M$11+1,Paraméterek!$J$256:$T$257,2)))),IF($D$4="Forint",0,2)))</f>
        <v>#N/A</v>
      </c>
      <c r="X757" s="13" t="e">
        <f ca="1">ROUNDDOWN($W757*IF($D$2="Egyszeri",VLOOKUP($B757+IF($C757=12,1,0),Paraméterek!$V$257:$W$262,2),VLOOKUP($B757+IF($C757=12,1,0),Paraméterek!$I$258:$T$278,HLOOKUP($M$11+1,Paraméterek!$I$256:$T$257,2))),IF($D$4="Forint",0,2))</f>
        <v>#N/A</v>
      </c>
      <c r="Z757" s="32">
        <v>738</v>
      </c>
      <c r="AA757" s="32">
        <v>62</v>
      </c>
      <c r="AB757" s="32">
        <v>6</v>
      </c>
      <c r="AC757" s="13">
        <f t="shared" ca="1" si="258"/>
        <v>0</v>
      </c>
      <c r="AD757" s="33"/>
      <c r="AE757" s="13">
        <f t="shared" ca="1" si="250"/>
        <v>0</v>
      </c>
      <c r="AF757" s="13">
        <f ca="1">ROUNDUP(($AC757+$AE757)*VLOOKUP($AA757,Paraméterek!$P$38:$Q$38,2)/12*IF($D758="Nem",IF($M$13=0,1,$M$13),1),IF($D$4="Forint",0,2))</f>
        <v>0</v>
      </c>
      <c r="AG757" s="13">
        <f ca="1">IF($D$2="Egyszeri",IF($D$7&gt;=IF($D$4="Forint",Paraméterek!$P$223,Paraméterek!$P$224),$D$7-IF($D$4="Forint",Paraméterek!$P$223,Paraméterek!$P$224),0),MIN(IF($AB757=12,AVERAGEIF($E$20:$E757,"&gt;0",$E$20:$E757)*12,0),SUM($E$20:$E$31)))</f>
        <v>0</v>
      </c>
      <c r="AH757" s="13">
        <f>IF($AA757=10,$AG757*IF($AB757=12,IF($AG757&lt;IF($D$4="Forint",Paraméterek!$L$223,Paraméterek!$L$224),0,VLOOKUP($AA757,Paraméterek!$K$226:$M$228,IF($AG757&lt;IF($D$4="Forint",Paraméterek!$M$223,Paraméterek!$M$224),2,3))),0),0)</f>
        <v>0</v>
      </c>
      <c r="AI757" s="13">
        <f ca="1">IF(AND($AA757=$M$11+1,$AB757=$M$12+1),SUMIF($AA$20:$AA$1027,$AA757,$AG$20:$AG$1027)*IF(SUMIF($AA$20:$AA$1027,$AA757,$AG$20:$AG$1027)&lt;IF($D$4="Forint",Paraméterek!$L$223,Paraméterek!$L$224),0,VLOOKUP($AA757,Paraméterek!$K$230:$M$250,IF(SUMIF($AA$20:$AA$1027,$AA757,$AG$20:$AG$1027)&lt;IF($D$4="Forint",Paraméterek!$M$223,Paraméterek!$M$224),2,3))),0)</f>
        <v>0</v>
      </c>
      <c r="AJ757" s="13">
        <f ca="1">IF(AND($AA757&gt;=5,MOD($AA757,5)=0),IF($AB757=12,VLOOKUP($AA757,Paraméterek!$O$225:$P$240,2),0),IF(OR($AA757=3,$AA757=4),IF($AB757=12,VLOOKUP($AA757,Paraméterek!$O$225:$P$240,2,0),0),0))*$AG757</f>
        <v>0</v>
      </c>
      <c r="AK757" s="13">
        <f t="shared" ca="1" si="251"/>
        <v>0</v>
      </c>
      <c r="AL757" s="13">
        <f t="shared" ca="1" si="259"/>
        <v>0</v>
      </c>
      <c r="AM757" s="13">
        <f t="shared" ca="1" si="260"/>
        <v>0</v>
      </c>
      <c r="AO757" s="32">
        <v>738</v>
      </c>
      <c r="AP757" s="32">
        <v>62</v>
      </c>
      <c r="AQ757" s="32">
        <v>6</v>
      </c>
      <c r="AR757" s="13"/>
      <c r="AS757" s="32"/>
      <c r="AT757" s="13">
        <f t="shared" ca="1" si="261"/>
        <v>0</v>
      </c>
      <c r="AU757" s="33"/>
      <c r="AV757" s="13">
        <f t="shared" ca="1" si="252"/>
        <v>0</v>
      </c>
      <c r="AW757" s="13">
        <f ca="1">ROUNDUP(($AT757+$AV757)*VLOOKUP($AP757,Paraméterek!$P$38:$Q$38,2)/12*IF($D758="Nem",IF($M$13=0,1,$M$13),1),IF($D$4="Forint",0,2))</f>
        <v>0</v>
      </c>
      <c r="AX757" s="13"/>
      <c r="AY757" s="13"/>
      <c r="AZ757" s="13">
        <f>ROUNDUP(IF(SUM($AX757:$AY757)=0,0,IF(IF(ISBLANK($AY757),$AX757,$AY757)*Paraméterek!$J$112&lt;IF($D$4="Forint",Paraméterek!$J$113,Paraméterek!$K$113),IF($D$4="Forint",Paraméterek!$J$113,Paraméterek!$K$113),IF(IF(ISBLANK($AY757),$AX757,$AY757)*Paraméterek!$J$112&gt;IF($D$4="Forint",Paraméterek!$J$114,Paraméterek!$K$114),IF($D$4="Forint",Paraméterek!$J$114,Paraméterek!$K$114),IF(ISBLANK($AY757),$AX757,$AY757)*Paraméterek!$J$112))),IF($D$4="Forint",0,2))</f>
        <v>0</v>
      </c>
      <c r="BA757" s="13">
        <f ca="1">$AT757+$AV757-$AW757-IF(ROUNDDOWN(IF(ISBLANK($AY757),$AX757,$AY757),IF($D$4="Forint",0,2))&gt;$AT757+$AV757-$AW757-IF($D$4="Forint",Paraméterek!$J$114,Paraméterek!$K$114),0,ROUNDDOWN(IF(ISBLANK($AY757),$AX757,$AY757),IF($D$4="Forint",0,2))-$AZ757)</f>
        <v>0</v>
      </c>
      <c r="BB757" s="13">
        <f t="shared" ca="1" si="253"/>
        <v>0</v>
      </c>
      <c r="BD757" s="32">
        <v>738</v>
      </c>
      <c r="BE757" s="32">
        <v>62</v>
      </c>
      <c r="BF757" s="32">
        <v>6</v>
      </c>
      <c r="BG757" s="34">
        <f t="shared" ca="1" si="262"/>
        <v>2080</v>
      </c>
      <c r="BH757" s="32" t="str">
        <f ca="1">IF(MOD(MONTH($D$14)+$BD757-1,12)=Paraméterek!$C$288,"Igen","")</f>
        <v/>
      </c>
      <c r="BI757" s="13">
        <f ca="1">IF($BH757="Igen",MIN(ROUNDDOWN((SUMIF($BG$20:$BG$1027,$BG757-1,$K$20:$K$1027)-SUMIF($BG$20:$BG$1027,$BG757-1,$I$20:$I$1027))*Paraméterek!$C$289,IF($D$4="Forint",0,2)),IF($D$4="Forint",Paraméterek!$C$285,Paraméterek!$D$285)),0)</f>
        <v>0</v>
      </c>
      <c r="BJ757" s="13">
        <f t="shared" ca="1" si="254"/>
        <v>0</v>
      </c>
      <c r="BK757" s="13">
        <f t="shared" ca="1" si="263"/>
        <v>0</v>
      </c>
      <c r="BL757" s="33"/>
      <c r="BM757" s="13">
        <f t="shared" ca="1" si="255"/>
        <v>0</v>
      </c>
      <c r="BN757" s="13">
        <f ca="1">ROUNDUP(($BK757+$BM757)*VLOOKUP($BE757,Paraméterek!$P$38:$Q$38,2)/12*IF($D758="Nem",IF($M$13=0,1,$M$13),1),IF($D$4="Forint",0,2))</f>
        <v>0</v>
      </c>
      <c r="BO757" s="13">
        <f t="shared" ca="1" si="256"/>
        <v>0</v>
      </c>
      <c r="BP757" s="13">
        <f ca="1">IF($D758="Nem",$BO757,$BO757-ROUNDUP(SUM($BI$20:$BI757)*120%,IF($D$4="Forint",0,2)))</f>
        <v>0</v>
      </c>
    </row>
    <row r="758" spans="1:68" x14ac:dyDescent="0.2">
      <c r="A758" s="32">
        <v>739</v>
      </c>
      <c r="B758" s="32">
        <v>62</v>
      </c>
      <c r="C758" s="32">
        <v>7</v>
      </c>
      <c r="D758" s="32" t="str">
        <f t="shared" ca="1" si="242"/>
        <v>Nem</v>
      </c>
      <c r="E758" s="13">
        <f t="shared" ca="1" si="243"/>
        <v>0</v>
      </c>
      <c r="F758" s="13"/>
      <c r="G758" s="13"/>
      <c r="H758" s="13"/>
      <c r="I758" s="13">
        <f t="shared" ca="1" si="244"/>
        <v>0</v>
      </c>
      <c r="J758" s="13">
        <f t="shared" ca="1" si="245"/>
        <v>0</v>
      </c>
      <c r="K758" s="13">
        <f t="shared" ca="1" si="246"/>
        <v>0</v>
      </c>
      <c r="L758" s="13" t="e">
        <f ca="1">ROUNDUP(IF($D$2="Egyszeri",$E758,IF($D$2="Havi",SUM($E$20:$E$31),IF(MOD($C758,$M$1)-1=0,SUM($E$20:$E$31),0))/12*$M$1)*VLOOKUP($B758,Paraméterek!$I$28:$P$31,IF($D$2="Egyszeri",8,HLOOKUP(ROUNDUP($M$11+$M$13,0),Paraméterek!$J$26:$O$27,2))),IF($D$4="Forint",0,2))</f>
        <v>#N/A</v>
      </c>
      <c r="M758" s="13">
        <f t="shared" ca="1" si="247"/>
        <v>0</v>
      </c>
      <c r="N758" s="13">
        <f t="shared" ca="1" si="257"/>
        <v>0</v>
      </c>
      <c r="O758" s="13">
        <f ca="1">IF($D758="Igen",IF($W757&gt;=IF($D$4="Forint",Paraméterek!$J$121,Paraméterek!$K$121),0,IF($D$4="Forint",Paraméterek!$J$121,Paraméterek!$K$121)-$W757),0)</f>
        <v>0</v>
      </c>
      <c r="P758" s="13" t="e">
        <f ca="1">ROUNDUP($O758*VLOOKUP($M$4+$B758-1,Paraméterek!$H$58:$I$105,2,0)/Paraméterek!$I$56,IF($D$4="Forint",0,2))</f>
        <v>#N/A</v>
      </c>
      <c r="Q758" s="13">
        <f t="shared" ca="1" si="248"/>
        <v>0</v>
      </c>
      <c r="R758" s="33"/>
      <c r="S758" s="13" t="e">
        <f t="shared" ca="1" si="249"/>
        <v>#N/A</v>
      </c>
      <c r="T758" s="13" t="e">
        <f ca="1">ROUNDUP(($N758-$P758-$Q758+$S758)*VLOOKUP($B758,Paraméterek!$I$38:$K$39,IF($D$2="Egyszeri",3,2))/12*IF($D759="Nem",IF($M$13=0,1,$M$13),1),IF($D$4="Forint",0,2))</f>
        <v>#N/A</v>
      </c>
      <c r="U758" s="13"/>
      <c r="V758" s="13"/>
      <c r="W758" s="13" t="e">
        <f ca="1">$N758-$P758-$Q758+$S758-$T758-IF(ROUNDUP(IF(ISBLANK($V758),$U758*0,$V758)/IF($D$2="Egyszeri",VLOOKUP($B758+IF($C758=12,1,0),Paraméterek!$V$257:$W$262,2),IF($B758=1,1,VLOOKUP($B758+IF($C758=12,1,0),Paraméterek!$I$258:$T$278,HLOOKUP($M$11+1,Paraméterek!$J$256:$T$257,2)))),IF($D$4="Forint",0,2))&gt;$N758-$P758-$Q758+$S758-$T758-IF($D$4="Forint",Paraméterek!$C$216,Paraméterek!$D$216),0,ROUNDUP(IF(ISBLANK($V758),$U758*0,$V758)/IF($D$2="Egyszeri",VLOOKUP($B758+IF($C758=12,1,0),Paraméterek!$V$257:$W$262,2),IF($B758=1,1,VLOOKUP($B758+IF($C758=12,1,0),Paraméterek!$I$258:$T$278,HLOOKUP($M$11+1,Paraméterek!$J$256:$T$257,2)))),IF($D$4="Forint",0,2)))</f>
        <v>#N/A</v>
      </c>
      <c r="X758" s="13" t="e">
        <f ca="1">ROUNDDOWN($W758*IF($D$2="Egyszeri",VLOOKUP($B758+IF($C758=12,1,0),Paraméterek!$V$257:$W$262,2),VLOOKUP($B758+IF($C758=12,1,0),Paraméterek!$I$258:$T$278,HLOOKUP($M$11+1,Paraméterek!$I$256:$T$257,2))),IF($D$4="Forint",0,2))</f>
        <v>#N/A</v>
      </c>
      <c r="Z758" s="32">
        <v>739</v>
      </c>
      <c r="AA758" s="32">
        <v>62</v>
      </c>
      <c r="AB758" s="32">
        <v>7</v>
      </c>
      <c r="AC758" s="13">
        <f t="shared" ca="1" si="258"/>
        <v>0</v>
      </c>
      <c r="AD758" s="33"/>
      <c r="AE758" s="13">
        <f t="shared" ca="1" si="250"/>
        <v>0</v>
      </c>
      <c r="AF758" s="13">
        <f ca="1">ROUNDUP(($AC758+$AE758)*VLOOKUP($AA758,Paraméterek!$P$38:$Q$38,2)/12*IF($D759="Nem",IF($M$13=0,1,$M$13),1),IF($D$4="Forint",0,2))</f>
        <v>0</v>
      </c>
      <c r="AG758" s="13">
        <f ca="1">IF($D$2="Egyszeri",IF($D$7&gt;=IF($D$4="Forint",Paraméterek!$P$223,Paraméterek!$P$224),$D$7-IF($D$4="Forint",Paraméterek!$P$223,Paraméterek!$P$224),0),MIN(IF($AB758=12,AVERAGEIF($E$20:$E758,"&gt;0",$E$20:$E758)*12,0),SUM($E$20:$E$31)))</f>
        <v>0</v>
      </c>
      <c r="AH758" s="13">
        <f>IF($AA758=10,$AG758*IF($AB758=12,IF($AG758&lt;IF($D$4="Forint",Paraméterek!$L$223,Paraméterek!$L$224),0,VLOOKUP($AA758,Paraméterek!$K$226:$M$228,IF($AG758&lt;IF($D$4="Forint",Paraméterek!$M$223,Paraméterek!$M$224),2,3))),0),0)</f>
        <v>0</v>
      </c>
      <c r="AI758" s="13">
        <f ca="1">IF(AND($AA758=$M$11+1,$AB758=$M$12+1),SUMIF($AA$20:$AA$1027,$AA758,$AG$20:$AG$1027)*IF(SUMIF($AA$20:$AA$1027,$AA758,$AG$20:$AG$1027)&lt;IF($D$4="Forint",Paraméterek!$L$223,Paraméterek!$L$224),0,VLOOKUP($AA758,Paraméterek!$K$230:$M$250,IF(SUMIF($AA$20:$AA$1027,$AA758,$AG$20:$AG$1027)&lt;IF($D$4="Forint",Paraméterek!$M$223,Paraméterek!$M$224),2,3))),0)</f>
        <v>0</v>
      </c>
      <c r="AJ758" s="13">
        <f ca="1">IF(AND($AA758&gt;=5,MOD($AA758,5)=0),IF($AB758=12,VLOOKUP($AA758,Paraméterek!$O$225:$P$240,2),0),IF(OR($AA758=3,$AA758=4),IF($AB758=12,VLOOKUP($AA758,Paraméterek!$O$225:$P$240,2,0),0),0))*$AG758</f>
        <v>0</v>
      </c>
      <c r="AK758" s="13">
        <f t="shared" ca="1" si="251"/>
        <v>0</v>
      </c>
      <c r="AL758" s="13">
        <f t="shared" ca="1" si="259"/>
        <v>0</v>
      </c>
      <c r="AM758" s="13">
        <f t="shared" ca="1" si="260"/>
        <v>0</v>
      </c>
      <c r="AO758" s="32">
        <v>739</v>
      </c>
      <c r="AP758" s="32">
        <v>62</v>
      </c>
      <c r="AQ758" s="32">
        <v>7</v>
      </c>
      <c r="AR758" s="13"/>
      <c r="AS758" s="32"/>
      <c r="AT758" s="13">
        <f t="shared" ca="1" si="261"/>
        <v>0</v>
      </c>
      <c r="AU758" s="33"/>
      <c r="AV758" s="13">
        <f t="shared" ca="1" si="252"/>
        <v>0</v>
      </c>
      <c r="AW758" s="13">
        <f ca="1">ROUNDUP(($AT758+$AV758)*VLOOKUP($AP758,Paraméterek!$P$38:$Q$38,2)/12*IF($D759="Nem",IF($M$13=0,1,$M$13),1),IF($D$4="Forint",0,2))</f>
        <v>0</v>
      </c>
      <c r="AX758" s="13"/>
      <c r="AY758" s="13"/>
      <c r="AZ758" s="13">
        <f>ROUNDUP(IF(SUM($AX758:$AY758)=0,0,IF(IF(ISBLANK($AY758),$AX758,$AY758)*Paraméterek!$J$112&lt;IF($D$4="Forint",Paraméterek!$J$113,Paraméterek!$K$113),IF($D$4="Forint",Paraméterek!$J$113,Paraméterek!$K$113),IF(IF(ISBLANK($AY758),$AX758,$AY758)*Paraméterek!$J$112&gt;IF($D$4="Forint",Paraméterek!$J$114,Paraméterek!$K$114),IF($D$4="Forint",Paraméterek!$J$114,Paraméterek!$K$114),IF(ISBLANK($AY758),$AX758,$AY758)*Paraméterek!$J$112))),IF($D$4="Forint",0,2))</f>
        <v>0</v>
      </c>
      <c r="BA758" s="13">
        <f ca="1">$AT758+$AV758-$AW758-IF(ROUNDDOWN(IF(ISBLANK($AY758),$AX758,$AY758),IF($D$4="Forint",0,2))&gt;$AT758+$AV758-$AW758-IF($D$4="Forint",Paraméterek!$J$114,Paraméterek!$K$114),0,ROUNDDOWN(IF(ISBLANK($AY758),$AX758,$AY758),IF($D$4="Forint",0,2))-$AZ758)</f>
        <v>0</v>
      </c>
      <c r="BB758" s="13">
        <f t="shared" ca="1" si="253"/>
        <v>0</v>
      </c>
      <c r="BD758" s="32">
        <v>739</v>
      </c>
      <c r="BE758" s="32">
        <v>62</v>
      </c>
      <c r="BF758" s="32">
        <v>7</v>
      </c>
      <c r="BG758" s="34">
        <f t="shared" ca="1" si="262"/>
        <v>2080</v>
      </c>
      <c r="BH758" s="32" t="str">
        <f ca="1">IF(MOD(MONTH($D$14)+$BD758-1,12)=Paraméterek!$C$288,"Igen","")</f>
        <v/>
      </c>
      <c r="BI758" s="13">
        <f ca="1">IF($BH758="Igen",MIN(ROUNDDOWN((SUMIF($BG$20:$BG$1027,$BG758-1,$K$20:$K$1027)-SUMIF($BG$20:$BG$1027,$BG758-1,$I$20:$I$1027))*Paraméterek!$C$289,IF($D$4="Forint",0,2)),IF($D$4="Forint",Paraméterek!$C$285,Paraméterek!$D$285)),0)</f>
        <v>0</v>
      </c>
      <c r="BJ758" s="13">
        <f t="shared" ca="1" si="254"/>
        <v>0</v>
      </c>
      <c r="BK758" s="13">
        <f t="shared" ca="1" si="263"/>
        <v>0</v>
      </c>
      <c r="BL758" s="33"/>
      <c r="BM758" s="13">
        <f t="shared" ca="1" si="255"/>
        <v>0</v>
      </c>
      <c r="BN758" s="13">
        <f ca="1">ROUNDUP(($BK758+$BM758)*VLOOKUP($BE758,Paraméterek!$P$38:$Q$38,2)/12*IF($D759="Nem",IF($M$13=0,1,$M$13),1),IF($D$4="Forint",0,2))</f>
        <v>0</v>
      </c>
      <c r="BO758" s="13">
        <f t="shared" ca="1" si="256"/>
        <v>0</v>
      </c>
      <c r="BP758" s="13">
        <f ca="1">IF($D759="Nem",$BO758,$BO758-ROUNDUP(SUM($BI$20:$BI758)*120%,IF($D$4="Forint",0,2)))</f>
        <v>0</v>
      </c>
    </row>
    <row r="759" spans="1:68" x14ac:dyDescent="0.2">
      <c r="A759" s="32">
        <v>740</v>
      </c>
      <c r="B759" s="32">
        <v>62</v>
      </c>
      <c r="C759" s="32">
        <v>8</v>
      </c>
      <c r="D759" s="32" t="str">
        <f t="shared" ca="1" si="242"/>
        <v>Nem</v>
      </c>
      <c r="E759" s="13">
        <f t="shared" ca="1" si="243"/>
        <v>0</v>
      </c>
      <c r="F759" s="13"/>
      <c r="G759" s="13"/>
      <c r="H759" s="13"/>
      <c r="I759" s="13">
        <f t="shared" ca="1" si="244"/>
        <v>0</v>
      </c>
      <c r="J759" s="13">
        <f t="shared" ca="1" si="245"/>
        <v>0</v>
      </c>
      <c r="K759" s="13">
        <f t="shared" ca="1" si="246"/>
        <v>0</v>
      </c>
      <c r="L759" s="13" t="e">
        <f ca="1">ROUNDUP(IF($D$2="Egyszeri",$E759,IF($D$2="Havi",SUM($E$20:$E$31),IF(MOD($C759,$M$1)-1=0,SUM($E$20:$E$31),0))/12*$M$1)*VLOOKUP($B759,Paraméterek!$I$28:$P$31,IF($D$2="Egyszeri",8,HLOOKUP(ROUNDUP($M$11+$M$13,0),Paraméterek!$J$26:$O$27,2))),IF($D$4="Forint",0,2))</f>
        <v>#N/A</v>
      </c>
      <c r="M759" s="13">
        <f t="shared" ca="1" si="247"/>
        <v>0</v>
      </c>
      <c r="N759" s="13">
        <f t="shared" ca="1" si="257"/>
        <v>0</v>
      </c>
      <c r="O759" s="13">
        <f ca="1">IF($D759="Igen",IF($W758&gt;=IF($D$4="Forint",Paraméterek!$J$121,Paraméterek!$K$121),0,IF($D$4="Forint",Paraméterek!$J$121,Paraméterek!$K$121)-$W758),0)</f>
        <v>0</v>
      </c>
      <c r="P759" s="13" t="e">
        <f ca="1">ROUNDUP($O759*VLOOKUP($M$4+$B759-1,Paraméterek!$H$58:$I$105,2,0)/Paraméterek!$I$56,IF($D$4="Forint",0,2))</f>
        <v>#N/A</v>
      </c>
      <c r="Q759" s="13">
        <f t="shared" ca="1" si="248"/>
        <v>0</v>
      </c>
      <c r="R759" s="33"/>
      <c r="S759" s="13" t="e">
        <f t="shared" ca="1" si="249"/>
        <v>#N/A</v>
      </c>
      <c r="T759" s="13" t="e">
        <f ca="1">ROUNDUP(($N759-$P759-$Q759+$S759)*VLOOKUP($B759,Paraméterek!$I$38:$K$39,IF($D$2="Egyszeri",3,2))/12*IF($D760="Nem",IF($M$13=0,1,$M$13),1),IF($D$4="Forint",0,2))</f>
        <v>#N/A</v>
      </c>
      <c r="U759" s="13"/>
      <c r="V759" s="13"/>
      <c r="W759" s="13" t="e">
        <f ca="1">$N759-$P759-$Q759+$S759-$T759-IF(ROUNDUP(IF(ISBLANK($V759),$U759*0,$V759)/IF($D$2="Egyszeri",VLOOKUP($B759+IF($C759=12,1,0),Paraméterek!$V$257:$W$262,2),IF($B759=1,1,VLOOKUP($B759+IF($C759=12,1,0),Paraméterek!$I$258:$T$278,HLOOKUP($M$11+1,Paraméterek!$J$256:$T$257,2)))),IF($D$4="Forint",0,2))&gt;$N759-$P759-$Q759+$S759-$T759-IF($D$4="Forint",Paraméterek!$C$216,Paraméterek!$D$216),0,ROUNDUP(IF(ISBLANK($V759),$U759*0,$V759)/IF($D$2="Egyszeri",VLOOKUP($B759+IF($C759=12,1,0),Paraméterek!$V$257:$W$262,2),IF($B759=1,1,VLOOKUP($B759+IF($C759=12,1,0),Paraméterek!$I$258:$T$278,HLOOKUP($M$11+1,Paraméterek!$J$256:$T$257,2)))),IF($D$4="Forint",0,2)))</f>
        <v>#N/A</v>
      </c>
      <c r="X759" s="13" t="e">
        <f ca="1">ROUNDDOWN($W759*IF($D$2="Egyszeri",VLOOKUP($B759+IF($C759=12,1,0),Paraméterek!$V$257:$W$262,2),VLOOKUP($B759+IF($C759=12,1,0),Paraméterek!$I$258:$T$278,HLOOKUP($M$11+1,Paraméterek!$I$256:$T$257,2))),IF($D$4="Forint",0,2))</f>
        <v>#N/A</v>
      </c>
      <c r="Z759" s="32">
        <v>740</v>
      </c>
      <c r="AA759" s="32">
        <v>62</v>
      </c>
      <c r="AB759" s="32">
        <v>8</v>
      </c>
      <c r="AC759" s="13">
        <f t="shared" ca="1" si="258"/>
        <v>0</v>
      </c>
      <c r="AD759" s="33"/>
      <c r="AE759" s="13">
        <f t="shared" ca="1" si="250"/>
        <v>0</v>
      </c>
      <c r="AF759" s="13">
        <f ca="1">ROUNDUP(($AC759+$AE759)*VLOOKUP($AA759,Paraméterek!$P$38:$Q$38,2)/12*IF($D760="Nem",IF($M$13=0,1,$M$13),1),IF($D$4="Forint",0,2))</f>
        <v>0</v>
      </c>
      <c r="AG759" s="13">
        <f ca="1">IF($D$2="Egyszeri",IF($D$7&gt;=IF($D$4="Forint",Paraméterek!$P$223,Paraméterek!$P$224),$D$7-IF($D$4="Forint",Paraméterek!$P$223,Paraméterek!$P$224),0),MIN(IF($AB759=12,AVERAGEIF($E$20:$E759,"&gt;0",$E$20:$E759)*12,0),SUM($E$20:$E$31)))</f>
        <v>0</v>
      </c>
      <c r="AH759" s="13">
        <f>IF($AA759=10,$AG759*IF($AB759=12,IF($AG759&lt;IF($D$4="Forint",Paraméterek!$L$223,Paraméterek!$L$224),0,VLOOKUP($AA759,Paraméterek!$K$226:$M$228,IF($AG759&lt;IF($D$4="Forint",Paraméterek!$M$223,Paraméterek!$M$224),2,3))),0),0)</f>
        <v>0</v>
      </c>
      <c r="AI759" s="13">
        <f ca="1">IF(AND($AA759=$M$11+1,$AB759=$M$12+1),SUMIF($AA$20:$AA$1027,$AA759,$AG$20:$AG$1027)*IF(SUMIF($AA$20:$AA$1027,$AA759,$AG$20:$AG$1027)&lt;IF($D$4="Forint",Paraméterek!$L$223,Paraméterek!$L$224),0,VLOOKUP($AA759,Paraméterek!$K$230:$M$250,IF(SUMIF($AA$20:$AA$1027,$AA759,$AG$20:$AG$1027)&lt;IF($D$4="Forint",Paraméterek!$M$223,Paraméterek!$M$224),2,3))),0)</f>
        <v>0</v>
      </c>
      <c r="AJ759" s="13">
        <f ca="1">IF(AND($AA759&gt;=5,MOD($AA759,5)=0),IF($AB759=12,VLOOKUP($AA759,Paraméterek!$O$225:$P$240,2),0),IF(OR($AA759=3,$AA759=4),IF($AB759=12,VLOOKUP($AA759,Paraméterek!$O$225:$P$240,2,0),0),0))*$AG759</f>
        <v>0</v>
      </c>
      <c r="AK759" s="13">
        <f t="shared" ca="1" si="251"/>
        <v>0</v>
      </c>
      <c r="AL759" s="13">
        <f t="shared" ca="1" si="259"/>
        <v>0</v>
      </c>
      <c r="AM759" s="13">
        <f t="shared" ca="1" si="260"/>
        <v>0</v>
      </c>
      <c r="AO759" s="32">
        <v>740</v>
      </c>
      <c r="AP759" s="32">
        <v>62</v>
      </c>
      <c r="AQ759" s="32">
        <v>8</v>
      </c>
      <c r="AR759" s="13"/>
      <c r="AS759" s="32"/>
      <c r="AT759" s="13">
        <f t="shared" ca="1" si="261"/>
        <v>0</v>
      </c>
      <c r="AU759" s="33"/>
      <c r="AV759" s="13">
        <f t="shared" ca="1" si="252"/>
        <v>0</v>
      </c>
      <c r="AW759" s="13">
        <f ca="1">ROUNDUP(($AT759+$AV759)*VLOOKUP($AP759,Paraméterek!$P$38:$Q$38,2)/12*IF($D760="Nem",IF($M$13=0,1,$M$13),1),IF($D$4="Forint",0,2))</f>
        <v>0</v>
      </c>
      <c r="AX759" s="13"/>
      <c r="AY759" s="13"/>
      <c r="AZ759" s="13">
        <f>ROUNDUP(IF(SUM($AX759:$AY759)=0,0,IF(IF(ISBLANK($AY759),$AX759,$AY759)*Paraméterek!$J$112&lt;IF($D$4="Forint",Paraméterek!$J$113,Paraméterek!$K$113),IF($D$4="Forint",Paraméterek!$J$113,Paraméterek!$K$113),IF(IF(ISBLANK($AY759),$AX759,$AY759)*Paraméterek!$J$112&gt;IF($D$4="Forint",Paraméterek!$J$114,Paraméterek!$K$114),IF($D$4="Forint",Paraméterek!$J$114,Paraméterek!$K$114),IF(ISBLANK($AY759),$AX759,$AY759)*Paraméterek!$J$112))),IF($D$4="Forint",0,2))</f>
        <v>0</v>
      </c>
      <c r="BA759" s="13">
        <f ca="1">$AT759+$AV759-$AW759-IF(ROUNDDOWN(IF(ISBLANK($AY759),$AX759,$AY759),IF($D$4="Forint",0,2))&gt;$AT759+$AV759-$AW759-IF($D$4="Forint",Paraméterek!$J$114,Paraméterek!$K$114),0,ROUNDDOWN(IF(ISBLANK($AY759),$AX759,$AY759),IF($D$4="Forint",0,2))-$AZ759)</f>
        <v>0</v>
      </c>
      <c r="BB759" s="13">
        <f t="shared" ca="1" si="253"/>
        <v>0</v>
      </c>
      <c r="BD759" s="32">
        <v>740</v>
      </c>
      <c r="BE759" s="32">
        <v>62</v>
      </c>
      <c r="BF759" s="32">
        <v>8</v>
      </c>
      <c r="BG759" s="34">
        <f t="shared" ca="1" si="262"/>
        <v>2081</v>
      </c>
      <c r="BH759" s="32" t="str">
        <f ca="1">IF(MOD(MONTH($D$14)+$BD759-1,12)=Paraméterek!$C$288,"Igen","")</f>
        <v/>
      </c>
      <c r="BI759" s="13">
        <f ca="1">IF($BH759="Igen",MIN(ROUNDDOWN((SUMIF($BG$20:$BG$1027,$BG759-1,$K$20:$K$1027)-SUMIF($BG$20:$BG$1027,$BG759-1,$I$20:$I$1027))*Paraméterek!$C$289,IF($D$4="Forint",0,2)),IF($D$4="Forint",Paraméterek!$C$285,Paraméterek!$D$285)),0)</f>
        <v>0</v>
      </c>
      <c r="BJ759" s="13">
        <f t="shared" ca="1" si="254"/>
        <v>0</v>
      </c>
      <c r="BK759" s="13">
        <f t="shared" ca="1" si="263"/>
        <v>0</v>
      </c>
      <c r="BL759" s="33"/>
      <c r="BM759" s="13">
        <f t="shared" ca="1" si="255"/>
        <v>0</v>
      </c>
      <c r="BN759" s="13">
        <f ca="1">ROUNDUP(($BK759+$BM759)*VLOOKUP($BE759,Paraméterek!$P$38:$Q$38,2)/12*IF($D760="Nem",IF($M$13=0,1,$M$13),1),IF($D$4="Forint",0,2))</f>
        <v>0</v>
      </c>
      <c r="BO759" s="13">
        <f t="shared" ca="1" si="256"/>
        <v>0</v>
      </c>
      <c r="BP759" s="13">
        <f ca="1">IF($D760="Nem",$BO759,$BO759-ROUNDUP(SUM($BI$20:$BI759)*120%,IF($D$4="Forint",0,2)))</f>
        <v>0</v>
      </c>
    </row>
    <row r="760" spans="1:68" x14ac:dyDescent="0.2">
      <c r="A760" s="32">
        <v>741</v>
      </c>
      <c r="B760" s="32">
        <v>62</v>
      </c>
      <c r="C760" s="32">
        <v>9</v>
      </c>
      <c r="D760" s="32" t="str">
        <f t="shared" ca="1" si="242"/>
        <v>Nem</v>
      </c>
      <c r="E760" s="13">
        <f t="shared" ca="1" si="243"/>
        <v>0</v>
      </c>
      <c r="F760" s="13"/>
      <c r="G760" s="13"/>
      <c r="H760" s="13"/>
      <c r="I760" s="13">
        <f t="shared" ca="1" si="244"/>
        <v>0</v>
      </c>
      <c r="J760" s="13">
        <f t="shared" ca="1" si="245"/>
        <v>0</v>
      </c>
      <c r="K760" s="13">
        <f t="shared" ca="1" si="246"/>
        <v>0</v>
      </c>
      <c r="L760" s="13" t="e">
        <f ca="1">ROUNDUP(IF($D$2="Egyszeri",$E760,IF($D$2="Havi",SUM($E$20:$E$31),IF(MOD($C760,$M$1)-1=0,SUM($E$20:$E$31),0))/12*$M$1)*VLOOKUP($B760,Paraméterek!$I$28:$P$31,IF($D$2="Egyszeri",8,HLOOKUP(ROUNDUP($M$11+$M$13,0),Paraméterek!$J$26:$O$27,2))),IF($D$4="Forint",0,2))</f>
        <v>#N/A</v>
      </c>
      <c r="M760" s="13">
        <f t="shared" ca="1" si="247"/>
        <v>0</v>
      </c>
      <c r="N760" s="13">
        <f t="shared" ca="1" si="257"/>
        <v>0</v>
      </c>
      <c r="O760" s="13">
        <f ca="1">IF($D760="Igen",IF($W759&gt;=IF($D$4="Forint",Paraméterek!$J$121,Paraméterek!$K$121),0,IF($D$4="Forint",Paraméterek!$J$121,Paraméterek!$K$121)-$W759),0)</f>
        <v>0</v>
      </c>
      <c r="P760" s="13" t="e">
        <f ca="1">ROUNDUP($O760*VLOOKUP($M$4+$B760-1,Paraméterek!$H$58:$I$105,2,0)/Paraméterek!$I$56,IF($D$4="Forint",0,2))</f>
        <v>#N/A</v>
      </c>
      <c r="Q760" s="13">
        <f t="shared" ca="1" si="248"/>
        <v>0</v>
      </c>
      <c r="R760" s="33"/>
      <c r="S760" s="13" t="e">
        <f t="shared" ca="1" si="249"/>
        <v>#N/A</v>
      </c>
      <c r="T760" s="13" t="e">
        <f ca="1">ROUNDUP(($N760-$P760-$Q760+$S760)*VLOOKUP($B760,Paraméterek!$I$38:$K$39,IF($D$2="Egyszeri",3,2))/12*IF($D761="Nem",IF($M$13=0,1,$M$13),1),IF($D$4="Forint",0,2))</f>
        <v>#N/A</v>
      </c>
      <c r="U760" s="13"/>
      <c r="V760" s="13"/>
      <c r="W760" s="13" t="e">
        <f ca="1">$N760-$P760-$Q760+$S760-$T760-IF(ROUNDUP(IF(ISBLANK($V760),$U760*0,$V760)/IF($D$2="Egyszeri",VLOOKUP($B760+IF($C760=12,1,0),Paraméterek!$V$257:$W$262,2),IF($B760=1,1,VLOOKUP($B760+IF($C760=12,1,0),Paraméterek!$I$258:$T$278,HLOOKUP($M$11+1,Paraméterek!$J$256:$T$257,2)))),IF($D$4="Forint",0,2))&gt;$N760-$P760-$Q760+$S760-$T760-IF($D$4="Forint",Paraméterek!$C$216,Paraméterek!$D$216),0,ROUNDUP(IF(ISBLANK($V760),$U760*0,$V760)/IF($D$2="Egyszeri",VLOOKUP($B760+IF($C760=12,1,0),Paraméterek!$V$257:$W$262,2),IF($B760=1,1,VLOOKUP($B760+IF($C760=12,1,0),Paraméterek!$I$258:$T$278,HLOOKUP($M$11+1,Paraméterek!$J$256:$T$257,2)))),IF($D$4="Forint",0,2)))</f>
        <v>#N/A</v>
      </c>
      <c r="X760" s="13" t="e">
        <f ca="1">ROUNDDOWN($W760*IF($D$2="Egyszeri",VLOOKUP($B760+IF($C760=12,1,0),Paraméterek!$V$257:$W$262,2),VLOOKUP($B760+IF($C760=12,1,0),Paraméterek!$I$258:$T$278,HLOOKUP($M$11+1,Paraméterek!$I$256:$T$257,2))),IF($D$4="Forint",0,2))</f>
        <v>#N/A</v>
      </c>
      <c r="Z760" s="32">
        <v>741</v>
      </c>
      <c r="AA760" s="32">
        <v>62</v>
      </c>
      <c r="AB760" s="32">
        <v>9</v>
      </c>
      <c r="AC760" s="13">
        <f t="shared" ca="1" si="258"/>
        <v>0</v>
      </c>
      <c r="AD760" s="33"/>
      <c r="AE760" s="13">
        <f t="shared" ca="1" si="250"/>
        <v>0</v>
      </c>
      <c r="AF760" s="13">
        <f ca="1">ROUNDUP(($AC760+$AE760)*VLOOKUP($AA760,Paraméterek!$P$38:$Q$38,2)/12*IF($D761="Nem",IF($M$13=0,1,$M$13),1),IF($D$4="Forint",0,2))</f>
        <v>0</v>
      </c>
      <c r="AG760" s="13">
        <f ca="1">IF($D$2="Egyszeri",IF($D$7&gt;=IF($D$4="Forint",Paraméterek!$P$223,Paraméterek!$P$224),$D$7-IF($D$4="Forint",Paraméterek!$P$223,Paraméterek!$P$224),0),MIN(IF($AB760=12,AVERAGEIF($E$20:$E760,"&gt;0",$E$20:$E760)*12,0),SUM($E$20:$E$31)))</f>
        <v>0</v>
      </c>
      <c r="AH760" s="13">
        <f>IF($AA760=10,$AG760*IF($AB760=12,IF($AG760&lt;IF($D$4="Forint",Paraméterek!$L$223,Paraméterek!$L$224),0,VLOOKUP($AA760,Paraméterek!$K$226:$M$228,IF($AG760&lt;IF($D$4="Forint",Paraméterek!$M$223,Paraméterek!$M$224),2,3))),0),0)</f>
        <v>0</v>
      </c>
      <c r="AI760" s="13">
        <f ca="1">IF(AND($AA760=$M$11+1,$AB760=$M$12+1),SUMIF($AA$20:$AA$1027,$AA760,$AG$20:$AG$1027)*IF(SUMIF($AA$20:$AA$1027,$AA760,$AG$20:$AG$1027)&lt;IF($D$4="Forint",Paraméterek!$L$223,Paraméterek!$L$224),0,VLOOKUP($AA760,Paraméterek!$K$230:$M$250,IF(SUMIF($AA$20:$AA$1027,$AA760,$AG$20:$AG$1027)&lt;IF($D$4="Forint",Paraméterek!$M$223,Paraméterek!$M$224),2,3))),0)</f>
        <v>0</v>
      </c>
      <c r="AJ760" s="13">
        <f ca="1">IF(AND($AA760&gt;=5,MOD($AA760,5)=0),IF($AB760=12,VLOOKUP($AA760,Paraméterek!$O$225:$P$240,2),0),IF(OR($AA760=3,$AA760=4),IF($AB760=12,VLOOKUP($AA760,Paraméterek!$O$225:$P$240,2,0),0),0))*$AG760</f>
        <v>0</v>
      </c>
      <c r="AK760" s="13">
        <f t="shared" ca="1" si="251"/>
        <v>0</v>
      </c>
      <c r="AL760" s="13">
        <f t="shared" ca="1" si="259"/>
        <v>0</v>
      </c>
      <c r="AM760" s="13">
        <f t="shared" ca="1" si="260"/>
        <v>0</v>
      </c>
      <c r="AO760" s="32">
        <v>741</v>
      </c>
      <c r="AP760" s="32">
        <v>62</v>
      </c>
      <c r="AQ760" s="32">
        <v>9</v>
      </c>
      <c r="AR760" s="13"/>
      <c r="AS760" s="32"/>
      <c r="AT760" s="13">
        <f t="shared" ca="1" si="261"/>
        <v>0</v>
      </c>
      <c r="AU760" s="33"/>
      <c r="AV760" s="13">
        <f t="shared" ca="1" si="252"/>
        <v>0</v>
      </c>
      <c r="AW760" s="13">
        <f ca="1">ROUNDUP(($AT760+$AV760)*VLOOKUP($AP760,Paraméterek!$P$38:$Q$38,2)/12*IF($D761="Nem",IF($M$13=0,1,$M$13),1),IF($D$4="Forint",0,2))</f>
        <v>0</v>
      </c>
      <c r="AX760" s="13"/>
      <c r="AY760" s="13"/>
      <c r="AZ760" s="13">
        <f>ROUNDUP(IF(SUM($AX760:$AY760)=0,0,IF(IF(ISBLANK($AY760),$AX760,$AY760)*Paraméterek!$J$112&lt;IF($D$4="Forint",Paraméterek!$J$113,Paraméterek!$K$113),IF($D$4="Forint",Paraméterek!$J$113,Paraméterek!$K$113),IF(IF(ISBLANK($AY760),$AX760,$AY760)*Paraméterek!$J$112&gt;IF($D$4="Forint",Paraméterek!$J$114,Paraméterek!$K$114),IF($D$4="Forint",Paraméterek!$J$114,Paraméterek!$K$114),IF(ISBLANK($AY760),$AX760,$AY760)*Paraméterek!$J$112))),IF($D$4="Forint",0,2))</f>
        <v>0</v>
      </c>
      <c r="BA760" s="13">
        <f ca="1">$AT760+$AV760-$AW760-IF(ROUNDDOWN(IF(ISBLANK($AY760),$AX760,$AY760),IF($D$4="Forint",0,2))&gt;$AT760+$AV760-$AW760-IF($D$4="Forint",Paraméterek!$J$114,Paraméterek!$K$114),0,ROUNDDOWN(IF(ISBLANK($AY760),$AX760,$AY760),IF($D$4="Forint",0,2))-$AZ760)</f>
        <v>0</v>
      </c>
      <c r="BB760" s="13">
        <f t="shared" ca="1" si="253"/>
        <v>0</v>
      </c>
      <c r="BD760" s="32">
        <v>741</v>
      </c>
      <c r="BE760" s="32">
        <v>62</v>
      </c>
      <c r="BF760" s="32">
        <v>9</v>
      </c>
      <c r="BG760" s="34">
        <f t="shared" ca="1" si="262"/>
        <v>2081</v>
      </c>
      <c r="BH760" s="32" t="str">
        <f ca="1">IF(MOD(MONTH($D$14)+$BD760-1,12)=Paraméterek!$C$288,"Igen","")</f>
        <v/>
      </c>
      <c r="BI760" s="13">
        <f ca="1">IF($BH760="Igen",MIN(ROUNDDOWN((SUMIF($BG$20:$BG$1027,$BG760-1,$K$20:$K$1027)-SUMIF($BG$20:$BG$1027,$BG760-1,$I$20:$I$1027))*Paraméterek!$C$289,IF($D$4="Forint",0,2)),IF($D$4="Forint",Paraméterek!$C$285,Paraméterek!$D$285)),0)</f>
        <v>0</v>
      </c>
      <c r="BJ760" s="13">
        <f t="shared" ca="1" si="254"/>
        <v>0</v>
      </c>
      <c r="BK760" s="13">
        <f t="shared" ca="1" si="263"/>
        <v>0</v>
      </c>
      <c r="BL760" s="33"/>
      <c r="BM760" s="13">
        <f t="shared" ca="1" si="255"/>
        <v>0</v>
      </c>
      <c r="BN760" s="13">
        <f ca="1">ROUNDUP(($BK760+$BM760)*VLOOKUP($BE760,Paraméterek!$P$38:$Q$38,2)/12*IF($D761="Nem",IF($M$13=0,1,$M$13),1),IF($D$4="Forint",0,2))</f>
        <v>0</v>
      </c>
      <c r="BO760" s="13">
        <f t="shared" ca="1" si="256"/>
        <v>0</v>
      </c>
      <c r="BP760" s="13">
        <f ca="1">IF($D761="Nem",$BO760,$BO760-ROUNDUP(SUM($BI$20:$BI760)*120%,IF($D$4="Forint",0,2)))</f>
        <v>0</v>
      </c>
    </row>
    <row r="761" spans="1:68" x14ac:dyDescent="0.2">
      <c r="A761" s="32">
        <v>742</v>
      </c>
      <c r="B761" s="32">
        <v>62</v>
      </c>
      <c r="C761" s="32">
        <v>10</v>
      </c>
      <c r="D761" s="32" t="str">
        <f t="shared" ca="1" si="242"/>
        <v>Nem</v>
      </c>
      <c r="E761" s="13">
        <f t="shared" ca="1" si="243"/>
        <v>0</v>
      </c>
      <c r="F761" s="13"/>
      <c r="G761" s="13"/>
      <c r="H761" s="13"/>
      <c r="I761" s="13">
        <f t="shared" ca="1" si="244"/>
        <v>0</v>
      </c>
      <c r="J761" s="13">
        <f t="shared" ca="1" si="245"/>
        <v>0</v>
      </c>
      <c r="K761" s="13">
        <f t="shared" ca="1" si="246"/>
        <v>0</v>
      </c>
      <c r="L761" s="13" t="e">
        <f ca="1">ROUNDUP(IF($D$2="Egyszeri",$E761,IF($D$2="Havi",SUM($E$20:$E$31),IF(MOD($C761,$M$1)-1=0,SUM($E$20:$E$31),0))/12*$M$1)*VLOOKUP($B761,Paraméterek!$I$28:$P$31,IF($D$2="Egyszeri",8,HLOOKUP(ROUNDUP($M$11+$M$13,0),Paraméterek!$J$26:$O$27,2))),IF($D$4="Forint",0,2))</f>
        <v>#N/A</v>
      </c>
      <c r="M761" s="13">
        <f t="shared" ca="1" si="247"/>
        <v>0</v>
      </c>
      <c r="N761" s="13">
        <f t="shared" ca="1" si="257"/>
        <v>0</v>
      </c>
      <c r="O761" s="13">
        <f ca="1">IF($D761="Igen",IF($W760&gt;=IF($D$4="Forint",Paraméterek!$J$121,Paraméterek!$K$121),0,IF($D$4="Forint",Paraméterek!$J$121,Paraméterek!$K$121)-$W760),0)</f>
        <v>0</v>
      </c>
      <c r="P761" s="13" t="e">
        <f ca="1">ROUNDUP($O761*VLOOKUP($M$4+$B761-1,Paraméterek!$H$58:$I$105,2,0)/Paraméterek!$I$56,IF($D$4="Forint",0,2))</f>
        <v>#N/A</v>
      </c>
      <c r="Q761" s="13">
        <f t="shared" ca="1" si="248"/>
        <v>0</v>
      </c>
      <c r="R761" s="33"/>
      <c r="S761" s="13" t="e">
        <f t="shared" ca="1" si="249"/>
        <v>#N/A</v>
      </c>
      <c r="T761" s="13" t="e">
        <f ca="1">ROUNDUP(($N761-$P761-$Q761+$S761)*VLOOKUP($B761,Paraméterek!$I$38:$K$39,IF($D$2="Egyszeri",3,2))/12*IF($D762="Nem",IF($M$13=0,1,$M$13),1),IF($D$4="Forint",0,2))</f>
        <v>#N/A</v>
      </c>
      <c r="U761" s="13"/>
      <c r="V761" s="13"/>
      <c r="W761" s="13" t="e">
        <f ca="1">$N761-$P761-$Q761+$S761-$T761-IF(ROUNDUP(IF(ISBLANK($V761),$U761*0,$V761)/IF($D$2="Egyszeri",VLOOKUP($B761+IF($C761=12,1,0),Paraméterek!$V$257:$W$262,2),IF($B761=1,1,VLOOKUP($B761+IF($C761=12,1,0),Paraméterek!$I$258:$T$278,HLOOKUP($M$11+1,Paraméterek!$J$256:$T$257,2)))),IF($D$4="Forint",0,2))&gt;$N761-$P761-$Q761+$S761-$T761-IF($D$4="Forint",Paraméterek!$C$216,Paraméterek!$D$216),0,ROUNDUP(IF(ISBLANK($V761),$U761*0,$V761)/IF($D$2="Egyszeri",VLOOKUP($B761+IF($C761=12,1,0),Paraméterek!$V$257:$W$262,2),IF($B761=1,1,VLOOKUP($B761+IF($C761=12,1,0),Paraméterek!$I$258:$T$278,HLOOKUP($M$11+1,Paraméterek!$J$256:$T$257,2)))),IF($D$4="Forint",0,2)))</f>
        <v>#N/A</v>
      </c>
      <c r="X761" s="13" t="e">
        <f ca="1">ROUNDDOWN($W761*IF($D$2="Egyszeri",VLOOKUP($B761+IF($C761=12,1,0),Paraméterek!$V$257:$W$262,2),VLOOKUP($B761+IF($C761=12,1,0),Paraméterek!$I$258:$T$278,HLOOKUP($M$11+1,Paraméterek!$I$256:$T$257,2))),IF($D$4="Forint",0,2))</f>
        <v>#N/A</v>
      </c>
      <c r="Z761" s="32">
        <v>742</v>
      </c>
      <c r="AA761" s="32">
        <v>62</v>
      </c>
      <c r="AB761" s="32">
        <v>10</v>
      </c>
      <c r="AC761" s="13">
        <f t="shared" ca="1" si="258"/>
        <v>0</v>
      </c>
      <c r="AD761" s="33"/>
      <c r="AE761" s="13">
        <f t="shared" ca="1" si="250"/>
        <v>0</v>
      </c>
      <c r="AF761" s="13">
        <f ca="1">ROUNDUP(($AC761+$AE761)*VLOOKUP($AA761,Paraméterek!$P$38:$Q$38,2)/12*IF($D762="Nem",IF($M$13=0,1,$M$13),1),IF($D$4="Forint",0,2))</f>
        <v>0</v>
      </c>
      <c r="AG761" s="13">
        <f ca="1">IF($D$2="Egyszeri",IF($D$7&gt;=IF($D$4="Forint",Paraméterek!$P$223,Paraméterek!$P$224),$D$7-IF($D$4="Forint",Paraméterek!$P$223,Paraméterek!$P$224),0),MIN(IF($AB761=12,AVERAGEIF($E$20:$E761,"&gt;0",$E$20:$E761)*12,0),SUM($E$20:$E$31)))</f>
        <v>0</v>
      </c>
      <c r="AH761" s="13">
        <f>IF($AA761=10,$AG761*IF($AB761=12,IF($AG761&lt;IF($D$4="Forint",Paraméterek!$L$223,Paraméterek!$L$224),0,VLOOKUP($AA761,Paraméterek!$K$226:$M$228,IF($AG761&lt;IF($D$4="Forint",Paraméterek!$M$223,Paraméterek!$M$224),2,3))),0),0)</f>
        <v>0</v>
      </c>
      <c r="AI761" s="13">
        <f ca="1">IF(AND($AA761=$M$11+1,$AB761=$M$12+1),SUMIF($AA$20:$AA$1027,$AA761,$AG$20:$AG$1027)*IF(SUMIF($AA$20:$AA$1027,$AA761,$AG$20:$AG$1027)&lt;IF($D$4="Forint",Paraméterek!$L$223,Paraméterek!$L$224),0,VLOOKUP($AA761,Paraméterek!$K$230:$M$250,IF(SUMIF($AA$20:$AA$1027,$AA761,$AG$20:$AG$1027)&lt;IF($D$4="Forint",Paraméterek!$M$223,Paraméterek!$M$224),2,3))),0)</f>
        <v>0</v>
      </c>
      <c r="AJ761" s="13">
        <f ca="1">IF(AND($AA761&gt;=5,MOD($AA761,5)=0),IF($AB761=12,VLOOKUP($AA761,Paraméterek!$O$225:$P$240,2),0),IF(OR($AA761=3,$AA761=4),IF($AB761=12,VLOOKUP($AA761,Paraméterek!$O$225:$P$240,2,0),0),0))*$AG761</f>
        <v>0</v>
      </c>
      <c r="AK761" s="13">
        <f t="shared" ca="1" si="251"/>
        <v>0</v>
      </c>
      <c r="AL761" s="13">
        <f t="shared" ca="1" si="259"/>
        <v>0</v>
      </c>
      <c r="AM761" s="13">
        <f t="shared" ca="1" si="260"/>
        <v>0</v>
      </c>
      <c r="AO761" s="32">
        <v>742</v>
      </c>
      <c r="AP761" s="32">
        <v>62</v>
      </c>
      <c r="AQ761" s="32">
        <v>10</v>
      </c>
      <c r="AR761" s="13"/>
      <c r="AS761" s="32"/>
      <c r="AT761" s="13">
        <f t="shared" ca="1" si="261"/>
        <v>0</v>
      </c>
      <c r="AU761" s="33"/>
      <c r="AV761" s="13">
        <f t="shared" ca="1" si="252"/>
        <v>0</v>
      </c>
      <c r="AW761" s="13">
        <f ca="1">ROUNDUP(($AT761+$AV761)*VLOOKUP($AP761,Paraméterek!$P$38:$Q$38,2)/12*IF($D762="Nem",IF($M$13=0,1,$M$13),1),IF($D$4="Forint",0,2))</f>
        <v>0</v>
      </c>
      <c r="AX761" s="13"/>
      <c r="AY761" s="13"/>
      <c r="AZ761" s="13">
        <f>ROUNDUP(IF(SUM($AX761:$AY761)=0,0,IF(IF(ISBLANK($AY761),$AX761,$AY761)*Paraméterek!$J$112&lt;IF($D$4="Forint",Paraméterek!$J$113,Paraméterek!$K$113),IF($D$4="Forint",Paraméterek!$J$113,Paraméterek!$K$113),IF(IF(ISBLANK($AY761),$AX761,$AY761)*Paraméterek!$J$112&gt;IF($D$4="Forint",Paraméterek!$J$114,Paraméterek!$K$114),IF($D$4="Forint",Paraméterek!$J$114,Paraméterek!$K$114),IF(ISBLANK($AY761),$AX761,$AY761)*Paraméterek!$J$112))),IF($D$4="Forint",0,2))</f>
        <v>0</v>
      </c>
      <c r="BA761" s="13">
        <f ca="1">$AT761+$AV761-$AW761-IF(ROUNDDOWN(IF(ISBLANK($AY761),$AX761,$AY761),IF($D$4="Forint",0,2))&gt;$AT761+$AV761-$AW761-IF($D$4="Forint",Paraméterek!$J$114,Paraméterek!$K$114),0,ROUNDDOWN(IF(ISBLANK($AY761),$AX761,$AY761),IF($D$4="Forint",0,2))-$AZ761)</f>
        <v>0</v>
      </c>
      <c r="BB761" s="13">
        <f t="shared" ca="1" si="253"/>
        <v>0</v>
      </c>
      <c r="BD761" s="32">
        <v>742</v>
      </c>
      <c r="BE761" s="32">
        <v>62</v>
      </c>
      <c r="BF761" s="32">
        <v>10</v>
      </c>
      <c r="BG761" s="34">
        <f t="shared" ca="1" si="262"/>
        <v>2081</v>
      </c>
      <c r="BH761" s="32" t="str">
        <f ca="1">IF(MOD(MONTH($D$14)+$BD761-1,12)=Paraméterek!$C$288,"Igen","")</f>
        <v/>
      </c>
      <c r="BI761" s="13">
        <f ca="1">IF($BH761="Igen",MIN(ROUNDDOWN((SUMIF($BG$20:$BG$1027,$BG761-1,$K$20:$K$1027)-SUMIF($BG$20:$BG$1027,$BG761-1,$I$20:$I$1027))*Paraméterek!$C$289,IF($D$4="Forint",0,2)),IF($D$4="Forint",Paraméterek!$C$285,Paraméterek!$D$285)),0)</f>
        <v>0</v>
      </c>
      <c r="BJ761" s="13">
        <f t="shared" ca="1" si="254"/>
        <v>0</v>
      </c>
      <c r="BK761" s="13">
        <f t="shared" ca="1" si="263"/>
        <v>0</v>
      </c>
      <c r="BL761" s="33"/>
      <c r="BM761" s="13">
        <f t="shared" ca="1" si="255"/>
        <v>0</v>
      </c>
      <c r="BN761" s="13">
        <f ca="1">ROUNDUP(($BK761+$BM761)*VLOOKUP($BE761,Paraméterek!$P$38:$Q$38,2)/12*IF($D762="Nem",IF($M$13=0,1,$M$13),1),IF($D$4="Forint",0,2))</f>
        <v>0</v>
      </c>
      <c r="BO761" s="13">
        <f t="shared" ca="1" si="256"/>
        <v>0</v>
      </c>
      <c r="BP761" s="13">
        <f ca="1">IF($D762="Nem",$BO761,$BO761-ROUNDUP(SUM($BI$20:$BI761)*120%,IF($D$4="Forint",0,2)))</f>
        <v>0</v>
      </c>
    </row>
    <row r="762" spans="1:68" x14ac:dyDescent="0.2">
      <c r="A762" s="32">
        <v>743</v>
      </c>
      <c r="B762" s="32">
        <v>62</v>
      </c>
      <c r="C762" s="32">
        <v>11</v>
      </c>
      <c r="D762" s="32" t="str">
        <f t="shared" ca="1" si="242"/>
        <v>Nem</v>
      </c>
      <c r="E762" s="13">
        <f t="shared" ca="1" si="243"/>
        <v>0</v>
      </c>
      <c r="F762" s="13"/>
      <c r="G762" s="13"/>
      <c r="H762" s="13"/>
      <c r="I762" s="13">
        <f t="shared" ca="1" si="244"/>
        <v>0</v>
      </c>
      <c r="J762" s="13">
        <f t="shared" ca="1" si="245"/>
        <v>0</v>
      </c>
      <c r="K762" s="13">
        <f t="shared" ca="1" si="246"/>
        <v>0</v>
      </c>
      <c r="L762" s="13" t="e">
        <f ca="1">ROUNDUP(IF($D$2="Egyszeri",$E762,IF($D$2="Havi",SUM($E$20:$E$31),IF(MOD($C762,$M$1)-1=0,SUM($E$20:$E$31),0))/12*$M$1)*VLOOKUP($B762,Paraméterek!$I$28:$P$31,IF($D$2="Egyszeri",8,HLOOKUP(ROUNDUP($M$11+$M$13,0),Paraméterek!$J$26:$O$27,2))),IF($D$4="Forint",0,2))</f>
        <v>#N/A</v>
      </c>
      <c r="M762" s="13">
        <f t="shared" ca="1" si="247"/>
        <v>0</v>
      </c>
      <c r="N762" s="13">
        <f t="shared" ca="1" si="257"/>
        <v>0</v>
      </c>
      <c r="O762" s="13">
        <f ca="1">IF($D762="Igen",IF($W761&gt;=IF($D$4="Forint",Paraméterek!$J$121,Paraméterek!$K$121),0,IF($D$4="Forint",Paraméterek!$J$121,Paraméterek!$K$121)-$W761),0)</f>
        <v>0</v>
      </c>
      <c r="P762" s="13" t="e">
        <f ca="1">ROUNDUP($O762*VLOOKUP($M$4+$B762-1,Paraméterek!$H$58:$I$105,2,0)/Paraméterek!$I$56,IF($D$4="Forint",0,2))</f>
        <v>#N/A</v>
      </c>
      <c r="Q762" s="13">
        <f t="shared" ca="1" si="248"/>
        <v>0</v>
      </c>
      <c r="R762" s="33"/>
      <c r="S762" s="13" t="e">
        <f t="shared" ca="1" si="249"/>
        <v>#N/A</v>
      </c>
      <c r="T762" s="13" t="e">
        <f ca="1">ROUNDUP(($N762-$P762-$Q762+$S762)*VLOOKUP($B762,Paraméterek!$I$38:$K$39,IF($D$2="Egyszeri",3,2))/12*IF($D763="Nem",IF($M$13=0,1,$M$13),1),IF($D$4="Forint",0,2))</f>
        <v>#N/A</v>
      </c>
      <c r="U762" s="13"/>
      <c r="V762" s="13"/>
      <c r="W762" s="13" t="e">
        <f ca="1">$N762-$P762-$Q762+$S762-$T762-IF(ROUNDUP(IF(ISBLANK($V762),$U762*0,$V762)/IF($D$2="Egyszeri",VLOOKUP($B762+IF($C762=12,1,0),Paraméterek!$V$257:$W$262,2),IF($B762=1,1,VLOOKUP($B762+IF($C762=12,1,0),Paraméterek!$I$258:$T$278,HLOOKUP($M$11+1,Paraméterek!$J$256:$T$257,2)))),IF($D$4="Forint",0,2))&gt;$N762-$P762-$Q762+$S762-$T762-IF($D$4="Forint",Paraméterek!$C$216,Paraméterek!$D$216),0,ROUNDUP(IF(ISBLANK($V762),$U762*0,$V762)/IF($D$2="Egyszeri",VLOOKUP($B762+IF($C762=12,1,0),Paraméterek!$V$257:$W$262,2),IF($B762=1,1,VLOOKUP($B762+IF($C762=12,1,0),Paraméterek!$I$258:$T$278,HLOOKUP($M$11+1,Paraméterek!$J$256:$T$257,2)))),IF($D$4="Forint",0,2)))</f>
        <v>#N/A</v>
      </c>
      <c r="X762" s="13" t="e">
        <f ca="1">ROUNDDOWN($W762*IF($D$2="Egyszeri",VLOOKUP($B762+IF($C762=12,1,0),Paraméterek!$V$257:$W$262,2),VLOOKUP($B762+IF($C762=12,1,0),Paraméterek!$I$258:$T$278,HLOOKUP($M$11+1,Paraméterek!$I$256:$T$257,2))),IF($D$4="Forint",0,2))</f>
        <v>#N/A</v>
      </c>
      <c r="Z762" s="32">
        <v>743</v>
      </c>
      <c r="AA762" s="32">
        <v>62</v>
      </c>
      <c r="AB762" s="32">
        <v>11</v>
      </c>
      <c r="AC762" s="13">
        <f t="shared" ca="1" si="258"/>
        <v>0</v>
      </c>
      <c r="AD762" s="33"/>
      <c r="AE762" s="13">
        <f t="shared" ca="1" si="250"/>
        <v>0</v>
      </c>
      <c r="AF762" s="13">
        <f ca="1">ROUNDUP(($AC762+$AE762)*VLOOKUP($AA762,Paraméterek!$P$38:$Q$38,2)/12*IF($D763="Nem",IF($M$13=0,1,$M$13),1),IF($D$4="Forint",0,2))</f>
        <v>0</v>
      </c>
      <c r="AG762" s="13">
        <f ca="1">IF($D$2="Egyszeri",IF($D$7&gt;=IF($D$4="Forint",Paraméterek!$P$223,Paraméterek!$P$224),$D$7-IF($D$4="Forint",Paraméterek!$P$223,Paraméterek!$P$224),0),MIN(IF($AB762=12,AVERAGEIF($E$20:$E762,"&gt;0",$E$20:$E762)*12,0),SUM($E$20:$E$31)))</f>
        <v>0</v>
      </c>
      <c r="AH762" s="13">
        <f>IF($AA762=10,$AG762*IF($AB762=12,IF($AG762&lt;IF($D$4="Forint",Paraméterek!$L$223,Paraméterek!$L$224),0,VLOOKUP($AA762,Paraméterek!$K$226:$M$228,IF($AG762&lt;IF($D$4="Forint",Paraméterek!$M$223,Paraméterek!$M$224),2,3))),0),0)</f>
        <v>0</v>
      </c>
      <c r="AI762" s="13">
        <f ca="1">IF(AND($AA762=$M$11+1,$AB762=$M$12+1),SUMIF($AA$20:$AA$1027,$AA762,$AG$20:$AG$1027)*IF(SUMIF($AA$20:$AA$1027,$AA762,$AG$20:$AG$1027)&lt;IF($D$4="Forint",Paraméterek!$L$223,Paraméterek!$L$224),0,VLOOKUP($AA762,Paraméterek!$K$230:$M$250,IF(SUMIF($AA$20:$AA$1027,$AA762,$AG$20:$AG$1027)&lt;IF($D$4="Forint",Paraméterek!$M$223,Paraméterek!$M$224),2,3))),0)</f>
        <v>0</v>
      </c>
      <c r="AJ762" s="13">
        <f ca="1">IF(AND($AA762&gt;=5,MOD($AA762,5)=0),IF($AB762=12,VLOOKUP($AA762,Paraméterek!$O$225:$P$240,2),0),IF(OR($AA762=3,$AA762=4),IF($AB762=12,VLOOKUP($AA762,Paraméterek!$O$225:$P$240,2,0),0),0))*$AG762</f>
        <v>0</v>
      </c>
      <c r="AK762" s="13">
        <f t="shared" ca="1" si="251"/>
        <v>0</v>
      </c>
      <c r="AL762" s="13">
        <f t="shared" ca="1" si="259"/>
        <v>0</v>
      </c>
      <c r="AM762" s="13">
        <f t="shared" ca="1" si="260"/>
        <v>0</v>
      </c>
      <c r="AO762" s="32">
        <v>743</v>
      </c>
      <c r="AP762" s="32">
        <v>62</v>
      </c>
      <c r="AQ762" s="32">
        <v>11</v>
      </c>
      <c r="AR762" s="13"/>
      <c r="AS762" s="32"/>
      <c r="AT762" s="13">
        <f t="shared" ca="1" si="261"/>
        <v>0</v>
      </c>
      <c r="AU762" s="33"/>
      <c r="AV762" s="13">
        <f t="shared" ca="1" si="252"/>
        <v>0</v>
      </c>
      <c r="AW762" s="13">
        <f ca="1">ROUNDUP(($AT762+$AV762)*VLOOKUP($AP762,Paraméterek!$P$38:$Q$38,2)/12*IF($D763="Nem",IF($M$13=0,1,$M$13),1),IF($D$4="Forint",0,2))</f>
        <v>0</v>
      </c>
      <c r="AX762" s="13"/>
      <c r="AY762" s="13"/>
      <c r="AZ762" s="13">
        <f>ROUNDUP(IF(SUM($AX762:$AY762)=0,0,IF(IF(ISBLANK($AY762),$AX762,$AY762)*Paraméterek!$J$112&lt;IF($D$4="Forint",Paraméterek!$J$113,Paraméterek!$K$113),IF($D$4="Forint",Paraméterek!$J$113,Paraméterek!$K$113),IF(IF(ISBLANK($AY762),$AX762,$AY762)*Paraméterek!$J$112&gt;IF($D$4="Forint",Paraméterek!$J$114,Paraméterek!$K$114),IF($D$4="Forint",Paraméterek!$J$114,Paraméterek!$K$114),IF(ISBLANK($AY762),$AX762,$AY762)*Paraméterek!$J$112))),IF($D$4="Forint",0,2))</f>
        <v>0</v>
      </c>
      <c r="BA762" s="13">
        <f ca="1">$AT762+$AV762-$AW762-IF(ROUNDDOWN(IF(ISBLANK($AY762),$AX762,$AY762),IF($D$4="Forint",0,2))&gt;$AT762+$AV762-$AW762-IF($D$4="Forint",Paraméterek!$J$114,Paraméterek!$K$114),0,ROUNDDOWN(IF(ISBLANK($AY762),$AX762,$AY762),IF($D$4="Forint",0,2))-$AZ762)</f>
        <v>0</v>
      </c>
      <c r="BB762" s="13">
        <f t="shared" ca="1" si="253"/>
        <v>0</v>
      </c>
      <c r="BD762" s="32">
        <v>743</v>
      </c>
      <c r="BE762" s="32">
        <v>62</v>
      </c>
      <c r="BF762" s="32">
        <v>11</v>
      </c>
      <c r="BG762" s="34">
        <f t="shared" ca="1" si="262"/>
        <v>2081</v>
      </c>
      <c r="BH762" s="32" t="str">
        <f ca="1">IF(MOD(MONTH($D$14)+$BD762-1,12)=Paraméterek!$C$288,"Igen","")</f>
        <v/>
      </c>
      <c r="BI762" s="13">
        <f ca="1">IF($BH762="Igen",MIN(ROUNDDOWN((SUMIF($BG$20:$BG$1027,$BG762-1,$K$20:$K$1027)-SUMIF($BG$20:$BG$1027,$BG762-1,$I$20:$I$1027))*Paraméterek!$C$289,IF($D$4="Forint",0,2)),IF($D$4="Forint",Paraméterek!$C$285,Paraméterek!$D$285)),0)</f>
        <v>0</v>
      </c>
      <c r="BJ762" s="13">
        <f t="shared" ca="1" si="254"/>
        <v>0</v>
      </c>
      <c r="BK762" s="13">
        <f t="shared" ca="1" si="263"/>
        <v>0</v>
      </c>
      <c r="BL762" s="33"/>
      <c r="BM762" s="13">
        <f t="shared" ca="1" si="255"/>
        <v>0</v>
      </c>
      <c r="BN762" s="13">
        <f ca="1">ROUNDUP(($BK762+$BM762)*VLOOKUP($BE762,Paraméterek!$P$38:$Q$38,2)/12*IF($D763="Nem",IF($M$13=0,1,$M$13),1),IF($D$4="Forint",0,2))</f>
        <v>0</v>
      </c>
      <c r="BO762" s="13">
        <f t="shared" ca="1" si="256"/>
        <v>0</v>
      </c>
      <c r="BP762" s="13">
        <f ca="1">IF($D763="Nem",$BO762,$BO762-ROUNDUP(SUM($BI$20:$BI762)*120%,IF($D$4="Forint",0,2)))</f>
        <v>0</v>
      </c>
    </row>
    <row r="763" spans="1:68" x14ac:dyDescent="0.2">
      <c r="A763" s="32">
        <v>744</v>
      </c>
      <c r="B763" s="32">
        <v>62</v>
      </c>
      <c r="C763" s="32">
        <v>12</v>
      </c>
      <c r="D763" s="32" t="str">
        <f t="shared" ca="1" si="242"/>
        <v>Nem</v>
      </c>
      <c r="E763" s="13">
        <f t="shared" ca="1" si="243"/>
        <v>0</v>
      </c>
      <c r="F763" s="13"/>
      <c r="G763" s="13"/>
      <c r="H763" s="13"/>
      <c r="I763" s="13">
        <f t="shared" ca="1" si="244"/>
        <v>0</v>
      </c>
      <c r="J763" s="13">
        <f t="shared" ca="1" si="245"/>
        <v>0</v>
      </c>
      <c r="K763" s="13">
        <f t="shared" ca="1" si="246"/>
        <v>0</v>
      </c>
      <c r="L763" s="13" t="e">
        <f ca="1">ROUNDUP(IF($D$2="Egyszeri",$E763,IF($D$2="Havi",SUM($E$20:$E$31),IF(MOD($C763,$M$1)-1=0,SUM($E$20:$E$31),0))/12*$M$1)*VLOOKUP($B763,Paraméterek!$I$28:$P$31,IF($D$2="Egyszeri",8,HLOOKUP(ROUNDUP($M$11+$M$13,0),Paraméterek!$J$26:$O$27,2))),IF($D$4="Forint",0,2))</f>
        <v>#N/A</v>
      </c>
      <c r="M763" s="13">
        <f t="shared" ca="1" si="247"/>
        <v>0</v>
      </c>
      <c r="N763" s="13">
        <f t="shared" ca="1" si="257"/>
        <v>0</v>
      </c>
      <c r="O763" s="13">
        <f ca="1">IF($D763="Igen",IF($W762&gt;=IF($D$4="Forint",Paraméterek!$J$121,Paraméterek!$K$121),0,IF($D$4="Forint",Paraméterek!$J$121,Paraméterek!$K$121)-$W762),0)</f>
        <v>0</v>
      </c>
      <c r="P763" s="13" t="e">
        <f ca="1">ROUNDUP($O763*VLOOKUP($M$4+$B763-1,Paraméterek!$H$58:$I$105,2,0)/Paraméterek!$I$56,IF($D$4="Forint",0,2))</f>
        <v>#N/A</v>
      </c>
      <c r="Q763" s="13">
        <f t="shared" ca="1" si="248"/>
        <v>0</v>
      </c>
      <c r="R763" s="33"/>
      <c r="S763" s="13" t="e">
        <f t="shared" ca="1" si="249"/>
        <v>#N/A</v>
      </c>
      <c r="T763" s="13" t="e">
        <f ca="1">ROUNDUP(($N763-$P763-$Q763+$S763)*VLOOKUP($B763,Paraméterek!$I$38:$K$39,IF($D$2="Egyszeri",3,2))/12*IF($D764="Nem",IF($M$13=0,1,$M$13),1),IF($D$4="Forint",0,2))</f>
        <v>#N/A</v>
      </c>
      <c r="U763" s="13">
        <f>Tranzakciók!$F$93</f>
        <v>0</v>
      </c>
      <c r="V763" s="13"/>
      <c r="W763" s="13" t="e">
        <f ca="1">$N763-$P763-$Q763+$S763-$T763-IF(ROUNDUP(IF(ISBLANK($V763),$U763*0,$V763)/IF($D$2="Egyszeri",VLOOKUP($B763+IF($C763=12,1,0),Paraméterek!$V$257:$W$262,2),IF($B763=1,1,VLOOKUP($B763+IF($C763=12,1,0),Paraméterek!$I$258:$T$278,HLOOKUP($M$11+1,Paraméterek!$J$256:$T$257,2)))),IF($D$4="Forint",0,2))&gt;$N763-$P763-$Q763+$S763-$T763-IF($D$4="Forint",Paraméterek!$C$216,Paraméterek!$D$216),0,ROUNDUP(IF(ISBLANK($V763),$U763*0,$V763)/IF($D$2="Egyszeri",VLOOKUP($B763+IF($C763=12,1,0),Paraméterek!$V$257:$W$262,2),IF($B763=1,1,VLOOKUP($B763+IF($C763=12,1,0),Paraméterek!$I$258:$T$278,HLOOKUP($M$11+1,Paraméterek!$J$256:$T$257,2)))),IF($D$4="Forint",0,2)))</f>
        <v>#N/A</v>
      </c>
      <c r="X763" s="13" t="e">
        <f ca="1">ROUNDDOWN($W763*IF($D$2="Egyszeri",VLOOKUP($B763+IF($C763=12,1,0),Paraméterek!$V$257:$W$262,2),VLOOKUP($B763+IF($C763=12,1,0),Paraméterek!$I$258:$T$278,HLOOKUP($M$11+1,Paraméterek!$I$256:$T$257,2))),IF($D$4="Forint",0,2))</f>
        <v>#N/A</v>
      </c>
      <c r="Z763" s="32">
        <v>744</v>
      </c>
      <c r="AA763" s="32">
        <v>62</v>
      </c>
      <c r="AB763" s="32">
        <v>12</v>
      </c>
      <c r="AC763" s="13">
        <f t="shared" ca="1" si="258"/>
        <v>0</v>
      </c>
      <c r="AD763" s="33"/>
      <c r="AE763" s="13">
        <f t="shared" ca="1" si="250"/>
        <v>0</v>
      </c>
      <c r="AF763" s="13">
        <f ca="1">ROUNDUP(($AC763+$AE763)*VLOOKUP($AA763,Paraméterek!$P$38:$Q$38,2)/12*IF($D764="Nem",IF($M$13=0,1,$M$13),1),IF($D$4="Forint",0,2))</f>
        <v>0</v>
      </c>
      <c r="AG763" s="13" t="e">
        <f ca="1">IF($D$2="Egyszeri",IF($D$7&gt;=IF($D$4="Forint",Paraméterek!$P$223,Paraméterek!$P$224),$D$7-IF($D$4="Forint",Paraméterek!$P$223,Paraméterek!$P$224),0),MIN(IF($AB763=12,AVERAGEIF($E$20:$E763,"&gt;0",$E$20:$E763)*12,0),SUM($E$20:$E$31)))</f>
        <v>#DIV/0!</v>
      </c>
      <c r="AH763" s="13">
        <f>IF($AA763=10,$AG763*IF($AB763=12,IF($AG763&lt;IF($D$4="Forint",Paraméterek!$L$223,Paraméterek!$L$224),0,VLOOKUP($AA763,Paraméterek!$K$226:$M$228,IF($AG763&lt;IF($D$4="Forint",Paraméterek!$M$223,Paraméterek!$M$224),2,3))),0),0)</f>
        <v>0</v>
      </c>
      <c r="AI763" s="13">
        <f ca="1">IF(AND($AA763=$M$11+1,$AB763=$M$12+1),SUMIF($AA$20:$AA$1027,$AA763,$AG$20:$AG$1027)*IF(SUMIF($AA$20:$AA$1027,$AA763,$AG$20:$AG$1027)&lt;IF($D$4="Forint",Paraméterek!$L$223,Paraméterek!$L$224),0,VLOOKUP($AA763,Paraméterek!$K$230:$M$250,IF(SUMIF($AA$20:$AA$1027,$AA763,$AG$20:$AG$1027)&lt;IF($D$4="Forint",Paraméterek!$M$223,Paraméterek!$M$224),2,3))),0)</f>
        <v>0</v>
      </c>
      <c r="AJ763" s="13" t="e">
        <f ca="1">IF(AND($AA763&gt;=5,MOD($AA763,5)=0),IF($AB763=12,VLOOKUP($AA763,Paraméterek!$O$225:$P$240,2),0),IF(OR($AA763=3,$AA763=4),IF($AB763=12,VLOOKUP($AA763,Paraméterek!$O$225:$P$240,2,0),0),0))*$AG763</f>
        <v>#DIV/0!</v>
      </c>
      <c r="AK763" s="13">
        <f t="shared" ca="1" si="251"/>
        <v>0</v>
      </c>
      <c r="AL763" s="13">
        <f t="shared" ca="1" si="259"/>
        <v>0</v>
      </c>
      <c r="AM763" s="13">
        <f t="shared" ca="1" si="260"/>
        <v>0</v>
      </c>
      <c r="AO763" s="32">
        <v>744</v>
      </c>
      <c r="AP763" s="32">
        <v>62</v>
      </c>
      <c r="AQ763" s="32">
        <v>12</v>
      </c>
      <c r="AR763" s="13"/>
      <c r="AS763" s="32"/>
      <c r="AT763" s="13">
        <f t="shared" ca="1" si="261"/>
        <v>0</v>
      </c>
      <c r="AU763" s="33"/>
      <c r="AV763" s="13">
        <f t="shared" ca="1" si="252"/>
        <v>0</v>
      </c>
      <c r="AW763" s="13">
        <f ca="1">ROUNDUP(($AT763+$AV763)*VLOOKUP($AP763,Paraméterek!$P$38:$Q$38,2)/12*IF($D764="Nem",IF($M$13=0,1,$M$13),1),IF($D$4="Forint",0,2))</f>
        <v>0</v>
      </c>
      <c r="AX763" s="13">
        <f>Tranzakciók!$M$93</f>
        <v>0</v>
      </c>
      <c r="AY763" s="13"/>
      <c r="AZ763" s="13">
        <f>ROUNDUP(IF(SUM($AX763:$AY763)=0,0,IF(IF(ISBLANK($AY763),$AX763,$AY763)*Paraméterek!$J$112&lt;IF($D$4="Forint",Paraméterek!$J$113,Paraméterek!$K$113),IF($D$4="Forint",Paraméterek!$J$113,Paraméterek!$K$113),IF(IF(ISBLANK($AY763),$AX763,$AY763)*Paraméterek!$J$112&gt;IF($D$4="Forint",Paraméterek!$J$114,Paraméterek!$K$114),IF($D$4="Forint",Paraméterek!$J$114,Paraméterek!$K$114),IF(ISBLANK($AY763),$AX763,$AY763)*Paraméterek!$J$112))),IF($D$4="Forint",0,2))</f>
        <v>0</v>
      </c>
      <c r="BA763" s="13">
        <f ca="1">$AT763+$AV763-$AW763-IF(ROUNDDOWN(IF(ISBLANK($AY763),$AX763,$AY763),IF($D$4="Forint",0,2))&gt;$AT763+$AV763-$AW763-IF($D$4="Forint",Paraméterek!$J$114,Paraméterek!$K$114),0,ROUNDDOWN(IF(ISBLANK($AY763),$AX763,$AY763),IF($D$4="Forint",0,2))-$AZ763)</f>
        <v>0</v>
      </c>
      <c r="BB763" s="13">
        <f t="shared" ca="1" si="253"/>
        <v>0</v>
      </c>
      <c r="BD763" s="32">
        <v>744</v>
      </c>
      <c r="BE763" s="32">
        <v>62</v>
      </c>
      <c r="BF763" s="32">
        <v>12</v>
      </c>
      <c r="BG763" s="34">
        <f t="shared" ca="1" si="262"/>
        <v>2081</v>
      </c>
      <c r="BH763" s="32" t="str">
        <f ca="1">IF(MOD(MONTH($D$14)+$BD763-1,12)=Paraméterek!$C$288,"Igen","")</f>
        <v/>
      </c>
      <c r="BI763" s="13">
        <f ca="1">IF($BH763="Igen",MIN(ROUNDDOWN((SUMIF($BG$20:$BG$1027,$BG763-1,$K$20:$K$1027)-SUMIF($BG$20:$BG$1027,$BG763-1,$I$20:$I$1027))*Paraméterek!$C$289,IF($D$4="Forint",0,2)),IF($D$4="Forint",Paraméterek!$C$285,Paraméterek!$D$285)),0)</f>
        <v>0</v>
      </c>
      <c r="BJ763" s="13">
        <f t="shared" ca="1" si="254"/>
        <v>0</v>
      </c>
      <c r="BK763" s="13">
        <f t="shared" ca="1" si="263"/>
        <v>0</v>
      </c>
      <c r="BL763" s="33"/>
      <c r="BM763" s="13">
        <f t="shared" ca="1" si="255"/>
        <v>0</v>
      </c>
      <c r="BN763" s="13">
        <f ca="1">ROUNDUP(($BK763+$BM763)*VLOOKUP($BE763,Paraméterek!$P$38:$Q$38,2)/12*IF($D764="Nem",IF($M$13=0,1,$M$13),1),IF($D$4="Forint",0,2))</f>
        <v>0</v>
      </c>
      <c r="BO763" s="13">
        <f t="shared" ca="1" si="256"/>
        <v>0</v>
      </c>
      <c r="BP763" s="13">
        <f ca="1">IF($D764="Nem",$BO763,$BO763-ROUNDUP(SUM($BI$20:$BI763)*120%,IF($D$4="Forint",0,2)))</f>
        <v>0</v>
      </c>
    </row>
    <row r="764" spans="1:68" x14ac:dyDescent="0.2">
      <c r="A764" s="32">
        <v>745</v>
      </c>
      <c r="B764" s="32">
        <v>63</v>
      </c>
      <c r="C764" s="32">
        <v>1</v>
      </c>
      <c r="D764" s="32" t="str">
        <f t="shared" ca="1" si="242"/>
        <v>Nem</v>
      </c>
      <c r="E764" s="13">
        <f t="shared" ca="1" si="243"/>
        <v>0</v>
      </c>
      <c r="F764" s="13"/>
      <c r="G764" s="13">
        <f>Tranzakciók!$D$94</f>
        <v>0</v>
      </c>
      <c r="H764" s="13"/>
      <c r="I764" s="13">
        <f t="shared" ca="1" si="244"/>
        <v>0</v>
      </c>
      <c r="J764" s="13">
        <f t="shared" ca="1" si="245"/>
        <v>0</v>
      </c>
      <c r="K764" s="13">
        <f t="shared" ca="1" si="246"/>
        <v>0</v>
      </c>
      <c r="L764" s="13" t="e">
        <f ca="1">ROUNDUP(IF($D$2="Egyszeri",$E764,IF($D$2="Havi",SUM($E$20:$E$31),IF(MOD($C764,$M$1)-1=0,SUM($E$20:$E$31),0))/12*$M$1)*VLOOKUP($B764,Paraméterek!$I$28:$P$31,IF($D$2="Egyszeri",8,HLOOKUP(ROUNDUP($M$11+$M$13,0),Paraméterek!$J$26:$O$27,2))),IF($D$4="Forint",0,2))</f>
        <v>#N/A</v>
      </c>
      <c r="M764" s="13">
        <f t="shared" ca="1" si="247"/>
        <v>0</v>
      </c>
      <c r="N764" s="13">
        <f t="shared" ca="1" si="257"/>
        <v>0</v>
      </c>
      <c r="O764" s="13">
        <f ca="1">IF($D764="Igen",IF($W763&gt;=IF($D$4="Forint",Paraméterek!$J$121,Paraméterek!$K$121),0,IF($D$4="Forint",Paraméterek!$J$121,Paraméterek!$K$121)-$W763),0)</f>
        <v>0</v>
      </c>
      <c r="P764" s="13" t="e">
        <f ca="1">ROUNDUP($O764*VLOOKUP($M$4+$B764-1,Paraméterek!$H$58:$I$105,2,0)/Paraméterek!$I$56,IF($D$4="Forint",0,2))</f>
        <v>#N/A</v>
      </c>
      <c r="Q764" s="13">
        <f t="shared" ca="1" si="248"/>
        <v>0</v>
      </c>
      <c r="R764" s="33"/>
      <c r="S764" s="13" t="e">
        <f t="shared" ca="1" si="249"/>
        <v>#N/A</v>
      </c>
      <c r="T764" s="13" t="e">
        <f ca="1">ROUNDUP(($N764-$P764-$Q764+$S764)*VLOOKUP($B764,Paraméterek!$I$38:$K$39,IF($D$2="Egyszeri",3,2))/12*IF($D765="Nem",IF($M$13=0,1,$M$13),1),IF($D$4="Forint",0,2))</f>
        <v>#N/A</v>
      </c>
      <c r="U764" s="13"/>
      <c r="V764" s="13"/>
      <c r="W764" s="13" t="e">
        <f ca="1">$N764-$P764-$Q764+$S764-$T764-IF(ROUNDUP(IF(ISBLANK($V764),$U764*0,$V764)/IF($D$2="Egyszeri",VLOOKUP($B764+IF($C764=12,1,0),Paraméterek!$V$257:$W$262,2),IF($B764=1,1,VLOOKUP($B764+IF($C764=12,1,0),Paraméterek!$I$258:$T$278,HLOOKUP($M$11+1,Paraméterek!$J$256:$T$257,2)))),IF($D$4="Forint",0,2))&gt;$N764-$P764-$Q764+$S764-$T764-IF($D$4="Forint",Paraméterek!$C$216,Paraméterek!$D$216),0,ROUNDUP(IF(ISBLANK($V764),$U764*0,$V764)/IF($D$2="Egyszeri",VLOOKUP($B764+IF($C764=12,1,0),Paraméterek!$V$257:$W$262,2),IF($B764=1,1,VLOOKUP($B764+IF($C764=12,1,0),Paraméterek!$I$258:$T$278,HLOOKUP($M$11+1,Paraméterek!$J$256:$T$257,2)))),IF($D$4="Forint",0,2)))</f>
        <v>#N/A</v>
      </c>
      <c r="X764" s="13" t="e">
        <f ca="1">ROUNDDOWN($W764*IF($D$2="Egyszeri",VLOOKUP($B764+IF($C764=12,1,0),Paraméterek!$V$257:$W$262,2),VLOOKUP($B764+IF($C764=12,1,0),Paraméterek!$I$258:$T$278,HLOOKUP($M$11+1,Paraméterek!$I$256:$T$257,2))),IF($D$4="Forint",0,2))</f>
        <v>#N/A</v>
      </c>
      <c r="Z764" s="32">
        <v>745</v>
      </c>
      <c r="AA764" s="32">
        <v>63</v>
      </c>
      <c r="AB764" s="32">
        <v>1</v>
      </c>
      <c r="AC764" s="13">
        <f t="shared" ca="1" si="258"/>
        <v>0</v>
      </c>
      <c r="AD764" s="33"/>
      <c r="AE764" s="13">
        <f t="shared" ca="1" si="250"/>
        <v>0</v>
      </c>
      <c r="AF764" s="13">
        <f ca="1">ROUNDUP(($AC764+$AE764)*VLOOKUP($AA764,Paraméterek!$P$38:$Q$38,2)/12*IF($D765="Nem",IF($M$13=0,1,$M$13),1),IF($D$4="Forint",0,2))</f>
        <v>0</v>
      </c>
      <c r="AG764" s="13">
        <f ca="1">IF($D$2="Egyszeri",IF($D$7&gt;=IF($D$4="Forint",Paraméterek!$P$223,Paraméterek!$P$224),$D$7-IF($D$4="Forint",Paraméterek!$P$223,Paraméterek!$P$224),0),MIN(IF($AB764=12,AVERAGEIF($E$20:$E764,"&gt;0",$E$20:$E764)*12,0),SUM($E$20:$E$31)))</f>
        <v>0</v>
      </c>
      <c r="AH764" s="13">
        <f>IF($AA764=10,$AG764*IF($AB764=12,IF($AG764&lt;IF($D$4="Forint",Paraméterek!$L$223,Paraméterek!$L$224),0,VLOOKUP($AA764,Paraméterek!$K$226:$M$228,IF($AG764&lt;IF($D$4="Forint",Paraméterek!$M$223,Paraméterek!$M$224),2,3))),0),0)</f>
        <v>0</v>
      </c>
      <c r="AI764" s="13">
        <f ca="1">IF(AND($AA764=$M$11+1,$AB764=$M$12+1),SUMIF($AA$20:$AA$1027,$AA764,$AG$20:$AG$1027)*IF(SUMIF($AA$20:$AA$1027,$AA764,$AG$20:$AG$1027)&lt;IF($D$4="Forint",Paraméterek!$L$223,Paraméterek!$L$224),0,VLOOKUP($AA764,Paraméterek!$K$230:$M$250,IF(SUMIF($AA$20:$AA$1027,$AA764,$AG$20:$AG$1027)&lt;IF($D$4="Forint",Paraméterek!$M$223,Paraméterek!$M$224),2,3))),0)</f>
        <v>0</v>
      </c>
      <c r="AJ764" s="13">
        <f ca="1">IF(AND($AA764&gt;=5,MOD($AA764,5)=0),IF($AB764=12,VLOOKUP($AA764,Paraméterek!$O$225:$P$240,2),0),IF(OR($AA764=3,$AA764=4),IF($AB764=12,VLOOKUP($AA764,Paraméterek!$O$225:$P$240,2,0),0),0))*$AG764</f>
        <v>0</v>
      </c>
      <c r="AK764" s="13">
        <f t="shared" ca="1" si="251"/>
        <v>0</v>
      </c>
      <c r="AL764" s="13">
        <f t="shared" ca="1" si="259"/>
        <v>0</v>
      </c>
      <c r="AM764" s="13">
        <f t="shared" ca="1" si="260"/>
        <v>0</v>
      </c>
      <c r="AO764" s="32">
        <v>745</v>
      </c>
      <c r="AP764" s="32">
        <v>63</v>
      </c>
      <c r="AQ764" s="32">
        <v>1</v>
      </c>
      <c r="AR764" s="13">
        <f>Tranzakciók!$K$94</f>
        <v>0</v>
      </c>
      <c r="AS764" s="32"/>
      <c r="AT764" s="13">
        <f t="shared" ca="1" si="261"/>
        <v>0</v>
      </c>
      <c r="AU764" s="33"/>
      <c r="AV764" s="13">
        <f t="shared" ca="1" si="252"/>
        <v>0</v>
      </c>
      <c r="AW764" s="13">
        <f ca="1">ROUNDUP(($AT764+$AV764)*VLOOKUP($AP764,Paraméterek!$P$38:$Q$38,2)/12*IF($D765="Nem",IF($M$13=0,1,$M$13),1),IF($D$4="Forint",0,2))</f>
        <v>0</v>
      </c>
      <c r="AX764" s="13"/>
      <c r="AY764" s="13"/>
      <c r="AZ764" s="13">
        <f>ROUNDUP(IF(SUM($AX764:$AY764)=0,0,IF(IF(ISBLANK($AY764),$AX764,$AY764)*Paraméterek!$J$112&lt;IF($D$4="Forint",Paraméterek!$J$113,Paraméterek!$K$113),IF($D$4="Forint",Paraméterek!$J$113,Paraméterek!$K$113),IF(IF(ISBLANK($AY764),$AX764,$AY764)*Paraméterek!$J$112&gt;IF($D$4="Forint",Paraméterek!$J$114,Paraméterek!$K$114),IF($D$4="Forint",Paraméterek!$J$114,Paraméterek!$K$114),IF(ISBLANK($AY764),$AX764,$AY764)*Paraméterek!$J$112))),IF($D$4="Forint",0,2))</f>
        <v>0</v>
      </c>
      <c r="BA764" s="13">
        <f ca="1">$AT764+$AV764-$AW764-IF(ROUNDDOWN(IF(ISBLANK($AY764),$AX764,$AY764),IF($D$4="Forint",0,2))&gt;$AT764+$AV764-$AW764-IF($D$4="Forint",Paraméterek!$J$114,Paraméterek!$K$114),0,ROUNDDOWN(IF(ISBLANK($AY764),$AX764,$AY764),IF($D$4="Forint",0,2))-$AZ764)</f>
        <v>0</v>
      </c>
      <c r="BB764" s="13">
        <f t="shared" ca="1" si="253"/>
        <v>0</v>
      </c>
      <c r="BD764" s="32">
        <v>745</v>
      </c>
      <c r="BE764" s="32">
        <v>63</v>
      </c>
      <c r="BF764" s="32">
        <v>1</v>
      </c>
      <c r="BG764" s="34">
        <f t="shared" ca="1" si="262"/>
        <v>2081</v>
      </c>
      <c r="BH764" s="32" t="str">
        <f ca="1">IF(MOD(MONTH($D$14)+$BD764-1,12)=Paraméterek!$C$288,"Igen","")</f>
        <v/>
      </c>
      <c r="BI764" s="13">
        <f ca="1">IF($BH764="Igen",MIN(ROUNDDOWN((SUMIF($BG$20:$BG$1027,$BG764-1,$K$20:$K$1027)-SUMIF($BG$20:$BG$1027,$BG764-1,$I$20:$I$1027))*Paraméterek!$C$289,IF($D$4="Forint",0,2)),IF($D$4="Forint",Paraméterek!$C$285,Paraméterek!$D$285)),0)</f>
        <v>0</v>
      </c>
      <c r="BJ764" s="13">
        <f t="shared" ca="1" si="254"/>
        <v>0</v>
      </c>
      <c r="BK764" s="13">
        <f t="shared" ca="1" si="263"/>
        <v>0</v>
      </c>
      <c r="BL764" s="33"/>
      <c r="BM764" s="13">
        <f t="shared" ca="1" si="255"/>
        <v>0</v>
      </c>
      <c r="BN764" s="13">
        <f ca="1">ROUNDUP(($BK764+$BM764)*VLOOKUP($BE764,Paraméterek!$P$38:$Q$38,2)/12*IF($D765="Nem",IF($M$13=0,1,$M$13),1),IF($D$4="Forint",0,2))</f>
        <v>0</v>
      </c>
      <c r="BO764" s="13">
        <f t="shared" ca="1" si="256"/>
        <v>0</v>
      </c>
      <c r="BP764" s="13">
        <f ca="1">IF($D765="Nem",$BO764,$BO764-ROUNDUP(SUM($BI$20:$BI764)*120%,IF($D$4="Forint",0,2)))</f>
        <v>0</v>
      </c>
    </row>
    <row r="765" spans="1:68" x14ac:dyDescent="0.2">
      <c r="A765" s="32">
        <v>746</v>
      </c>
      <c r="B765" s="32">
        <v>63</v>
      </c>
      <c r="C765" s="32">
        <v>2</v>
      </c>
      <c r="D765" s="32" t="str">
        <f t="shared" ca="1" si="242"/>
        <v>Nem</v>
      </c>
      <c r="E765" s="13">
        <f t="shared" ca="1" si="243"/>
        <v>0</v>
      </c>
      <c r="F765" s="13"/>
      <c r="G765" s="13"/>
      <c r="H765" s="13"/>
      <c r="I765" s="13">
        <f t="shared" ca="1" si="244"/>
        <v>0</v>
      </c>
      <c r="J765" s="13">
        <f t="shared" ca="1" si="245"/>
        <v>0</v>
      </c>
      <c r="K765" s="13">
        <f t="shared" ca="1" si="246"/>
        <v>0</v>
      </c>
      <c r="L765" s="13" t="e">
        <f ca="1">ROUNDUP(IF($D$2="Egyszeri",$E765,IF($D$2="Havi",SUM($E$20:$E$31),IF(MOD($C765,$M$1)-1=0,SUM($E$20:$E$31),0))/12*$M$1)*VLOOKUP($B765,Paraméterek!$I$28:$P$31,IF($D$2="Egyszeri",8,HLOOKUP(ROUNDUP($M$11+$M$13,0),Paraméterek!$J$26:$O$27,2))),IF($D$4="Forint",0,2))</f>
        <v>#N/A</v>
      </c>
      <c r="M765" s="13">
        <f t="shared" ca="1" si="247"/>
        <v>0</v>
      </c>
      <c r="N765" s="13">
        <f t="shared" ca="1" si="257"/>
        <v>0</v>
      </c>
      <c r="O765" s="13">
        <f ca="1">IF($D765="Igen",IF($W764&gt;=IF($D$4="Forint",Paraméterek!$J$121,Paraméterek!$K$121),0,IF($D$4="Forint",Paraméterek!$J$121,Paraméterek!$K$121)-$W764),0)</f>
        <v>0</v>
      </c>
      <c r="P765" s="13" t="e">
        <f ca="1">ROUNDUP($O765*VLOOKUP($M$4+$B765-1,Paraméterek!$H$58:$I$105,2,0)/Paraméterek!$I$56,IF($D$4="Forint",0,2))</f>
        <v>#N/A</v>
      </c>
      <c r="Q765" s="13">
        <f t="shared" ca="1" si="248"/>
        <v>0</v>
      </c>
      <c r="R765" s="33"/>
      <c r="S765" s="13" t="e">
        <f t="shared" ca="1" si="249"/>
        <v>#N/A</v>
      </c>
      <c r="T765" s="13" t="e">
        <f ca="1">ROUNDUP(($N765-$P765-$Q765+$S765)*VLOOKUP($B765,Paraméterek!$I$38:$K$39,IF($D$2="Egyszeri",3,2))/12*IF($D766="Nem",IF($M$13=0,1,$M$13),1),IF($D$4="Forint",0,2))</f>
        <v>#N/A</v>
      </c>
      <c r="U765" s="13"/>
      <c r="V765" s="13"/>
      <c r="W765" s="13" t="e">
        <f ca="1">$N765-$P765-$Q765+$S765-$T765-IF(ROUNDUP(IF(ISBLANK($V765),$U765*0,$V765)/IF($D$2="Egyszeri",VLOOKUP($B765+IF($C765=12,1,0),Paraméterek!$V$257:$W$262,2),IF($B765=1,1,VLOOKUP($B765+IF($C765=12,1,0),Paraméterek!$I$258:$T$278,HLOOKUP($M$11+1,Paraméterek!$J$256:$T$257,2)))),IF($D$4="Forint",0,2))&gt;$N765-$P765-$Q765+$S765-$T765-IF($D$4="Forint",Paraméterek!$C$216,Paraméterek!$D$216),0,ROUNDUP(IF(ISBLANK($V765),$U765*0,$V765)/IF($D$2="Egyszeri",VLOOKUP($B765+IF($C765=12,1,0),Paraméterek!$V$257:$W$262,2),IF($B765=1,1,VLOOKUP($B765+IF($C765=12,1,0),Paraméterek!$I$258:$T$278,HLOOKUP($M$11+1,Paraméterek!$J$256:$T$257,2)))),IF($D$4="Forint",0,2)))</f>
        <v>#N/A</v>
      </c>
      <c r="X765" s="13" t="e">
        <f ca="1">ROUNDDOWN($W765*IF($D$2="Egyszeri",VLOOKUP($B765+IF($C765=12,1,0),Paraméterek!$V$257:$W$262,2),VLOOKUP($B765+IF($C765=12,1,0),Paraméterek!$I$258:$T$278,HLOOKUP($M$11+1,Paraméterek!$I$256:$T$257,2))),IF($D$4="Forint",0,2))</f>
        <v>#N/A</v>
      </c>
      <c r="Z765" s="32">
        <v>746</v>
      </c>
      <c r="AA765" s="32">
        <v>63</v>
      </c>
      <c r="AB765" s="32">
        <v>2</v>
      </c>
      <c r="AC765" s="13">
        <f t="shared" ca="1" si="258"/>
        <v>0</v>
      </c>
      <c r="AD765" s="33"/>
      <c r="AE765" s="13">
        <f t="shared" ca="1" si="250"/>
        <v>0</v>
      </c>
      <c r="AF765" s="13">
        <f ca="1">ROUNDUP(($AC765+$AE765)*VLOOKUP($AA765,Paraméterek!$P$38:$Q$38,2)/12*IF($D766="Nem",IF($M$13=0,1,$M$13),1),IF($D$4="Forint",0,2))</f>
        <v>0</v>
      </c>
      <c r="AG765" s="13">
        <f ca="1">IF($D$2="Egyszeri",IF($D$7&gt;=IF($D$4="Forint",Paraméterek!$P$223,Paraméterek!$P$224),$D$7-IF($D$4="Forint",Paraméterek!$P$223,Paraméterek!$P$224),0),MIN(IF($AB765=12,AVERAGEIF($E$20:$E765,"&gt;0",$E$20:$E765)*12,0),SUM($E$20:$E$31)))</f>
        <v>0</v>
      </c>
      <c r="AH765" s="13">
        <f>IF($AA765=10,$AG765*IF($AB765=12,IF($AG765&lt;IF($D$4="Forint",Paraméterek!$L$223,Paraméterek!$L$224),0,VLOOKUP($AA765,Paraméterek!$K$226:$M$228,IF($AG765&lt;IF($D$4="Forint",Paraméterek!$M$223,Paraméterek!$M$224),2,3))),0),0)</f>
        <v>0</v>
      </c>
      <c r="AI765" s="13">
        <f ca="1">IF(AND($AA765=$M$11+1,$AB765=$M$12+1),SUMIF($AA$20:$AA$1027,$AA765,$AG$20:$AG$1027)*IF(SUMIF($AA$20:$AA$1027,$AA765,$AG$20:$AG$1027)&lt;IF($D$4="Forint",Paraméterek!$L$223,Paraméterek!$L$224),0,VLOOKUP($AA765,Paraméterek!$K$230:$M$250,IF(SUMIF($AA$20:$AA$1027,$AA765,$AG$20:$AG$1027)&lt;IF($D$4="Forint",Paraméterek!$M$223,Paraméterek!$M$224),2,3))),0)</f>
        <v>0</v>
      </c>
      <c r="AJ765" s="13">
        <f ca="1">IF(AND($AA765&gt;=5,MOD($AA765,5)=0),IF($AB765=12,VLOOKUP($AA765,Paraméterek!$O$225:$P$240,2),0),IF(OR($AA765=3,$AA765=4),IF($AB765=12,VLOOKUP($AA765,Paraméterek!$O$225:$P$240,2,0),0),0))*$AG765</f>
        <v>0</v>
      </c>
      <c r="AK765" s="13">
        <f t="shared" ca="1" si="251"/>
        <v>0</v>
      </c>
      <c r="AL765" s="13">
        <f t="shared" ca="1" si="259"/>
        <v>0</v>
      </c>
      <c r="AM765" s="13">
        <f t="shared" ca="1" si="260"/>
        <v>0</v>
      </c>
      <c r="AO765" s="32">
        <v>746</v>
      </c>
      <c r="AP765" s="32">
        <v>63</v>
      </c>
      <c r="AQ765" s="32">
        <v>2</v>
      </c>
      <c r="AR765" s="13"/>
      <c r="AS765" s="32"/>
      <c r="AT765" s="13">
        <f t="shared" ca="1" si="261"/>
        <v>0</v>
      </c>
      <c r="AU765" s="33"/>
      <c r="AV765" s="13">
        <f t="shared" ca="1" si="252"/>
        <v>0</v>
      </c>
      <c r="AW765" s="13">
        <f ca="1">ROUNDUP(($AT765+$AV765)*VLOOKUP($AP765,Paraméterek!$P$38:$Q$38,2)/12*IF($D766="Nem",IF($M$13=0,1,$M$13),1),IF($D$4="Forint",0,2))</f>
        <v>0</v>
      </c>
      <c r="AX765" s="13"/>
      <c r="AY765" s="13"/>
      <c r="AZ765" s="13">
        <f>ROUNDUP(IF(SUM($AX765:$AY765)=0,0,IF(IF(ISBLANK($AY765),$AX765,$AY765)*Paraméterek!$J$112&lt;IF($D$4="Forint",Paraméterek!$J$113,Paraméterek!$K$113),IF($D$4="Forint",Paraméterek!$J$113,Paraméterek!$K$113),IF(IF(ISBLANK($AY765),$AX765,$AY765)*Paraméterek!$J$112&gt;IF($D$4="Forint",Paraméterek!$J$114,Paraméterek!$K$114),IF($D$4="Forint",Paraméterek!$J$114,Paraméterek!$K$114),IF(ISBLANK($AY765),$AX765,$AY765)*Paraméterek!$J$112))),IF($D$4="Forint",0,2))</f>
        <v>0</v>
      </c>
      <c r="BA765" s="13">
        <f ca="1">$AT765+$AV765-$AW765-IF(ROUNDDOWN(IF(ISBLANK($AY765),$AX765,$AY765),IF($D$4="Forint",0,2))&gt;$AT765+$AV765-$AW765-IF($D$4="Forint",Paraméterek!$J$114,Paraméterek!$K$114),0,ROUNDDOWN(IF(ISBLANK($AY765),$AX765,$AY765),IF($D$4="Forint",0,2))-$AZ765)</f>
        <v>0</v>
      </c>
      <c r="BB765" s="13">
        <f t="shared" ca="1" si="253"/>
        <v>0</v>
      </c>
      <c r="BD765" s="32">
        <v>746</v>
      </c>
      <c r="BE765" s="32">
        <v>63</v>
      </c>
      <c r="BF765" s="32">
        <v>2</v>
      </c>
      <c r="BG765" s="34">
        <f t="shared" ca="1" si="262"/>
        <v>2081</v>
      </c>
      <c r="BH765" s="32" t="str">
        <f ca="1">IF(MOD(MONTH($D$14)+$BD765-1,12)=Paraméterek!$C$288,"Igen","")</f>
        <v>Igen</v>
      </c>
      <c r="BI765" s="13">
        <f ca="1">IF($BH765="Igen",MIN(ROUNDDOWN((SUMIF($BG$20:$BG$1027,$BG765-1,$K$20:$K$1027)-SUMIF($BG$20:$BG$1027,$BG765-1,$I$20:$I$1027))*Paraméterek!$C$289,IF($D$4="Forint",0,2)),IF($D$4="Forint",Paraméterek!$C$285,Paraméterek!$D$285)),0)</f>
        <v>0</v>
      </c>
      <c r="BJ765" s="13">
        <f t="shared" ca="1" si="254"/>
        <v>0</v>
      </c>
      <c r="BK765" s="13">
        <f t="shared" ca="1" si="263"/>
        <v>0</v>
      </c>
      <c r="BL765" s="33"/>
      <c r="BM765" s="13">
        <f t="shared" ca="1" si="255"/>
        <v>0</v>
      </c>
      <c r="BN765" s="13">
        <f ca="1">ROUNDUP(($BK765+$BM765)*VLOOKUP($BE765,Paraméterek!$P$38:$Q$38,2)/12*IF($D766="Nem",IF($M$13=0,1,$M$13),1),IF($D$4="Forint",0,2))</f>
        <v>0</v>
      </c>
      <c r="BO765" s="13">
        <f t="shared" ca="1" si="256"/>
        <v>0</v>
      </c>
      <c r="BP765" s="13">
        <f ca="1">IF($D766="Nem",$BO765,$BO765-ROUNDUP(SUM($BI$20:$BI765)*120%,IF($D$4="Forint",0,2)))</f>
        <v>0</v>
      </c>
    </row>
    <row r="766" spans="1:68" x14ac:dyDescent="0.2">
      <c r="A766" s="32">
        <v>747</v>
      </c>
      <c r="B766" s="32">
        <v>63</v>
      </c>
      <c r="C766" s="32">
        <v>3</v>
      </c>
      <c r="D766" s="32" t="str">
        <f t="shared" ca="1" si="242"/>
        <v>Nem</v>
      </c>
      <c r="E766" s="13">
        <f t="shared" ca="1" si="243"/>
        <v>0</v>
      </c>
      <c r="F766" s="13"/>
      <c r="G766" s="13"/>
      <c r="H766" s="13"/>
      <c r="I766" s="13">
        <f t="shared" ca="1" si="244"/>
        <v>0</v>
      </c>
      <c r="J766" s="13">
        <f t="shared" ca="1" si="245"/>
        <v>0</v>
      </c>
      <c r="K766" s="13">
        <f t="shared" ca="1" si="246"/>
        <v>0</v>
      </c>
      <c r="L766" s="13" t="e">
        <f ca="1">ROUNDUP(IF($D$2="Egyszeri",$E766,IF($D$2="Havi",SUM($E$20:$E$31),IF(MOD($C766,$M$1)-1=0,SUM($E$20:$E$31),0))/12*$M$1)*VLOOKUP($B766,Paraméterek!$I$28:$P$31,IF($D$2="Egyszeri",8,HLOOKUP(ROUNDUP($M$11+$M$13,0),Paraméterek!$J$26:$O$27,2))),IF($D$4="Forint",0,2))</f>
        <v>#N/A</v>
      </c>
      <c r="M766" s="13">
        <f t="shared" ca="1" si="247"/>
        <v>0</v>
      </c>
      <c r="N766" s="13">
        <f t="shared" ca="1" si="257"/>
        <v>0</v>
      </c>
      <c r="O766" s="13">
        <f ca="1">IF($D766="Igen",IF($W765&gt;=IF($D$4="Forint",Paraméterek!$J$121,Paraméterek!$K$121),0,IF($D$4="Forint",Paraméterek!$J$121,Paraméterek!$K$121)-$W765),0)</f>
        <v>0</v>
      </c>
      <c r="P766" s="13" t="e">
        <f ca="1">ROUNDUP($O766*VLOOKUP($M$4+$B766-1,Paraméterek!$H$58:$I$105,2,0)/Paraméterek!$I$56,IF($D$4="Forint",0,2))</f>
        <v>#N/A</v>
      </c>
      <c r="Q766" s="13">
        <f t="shared" ca="1" si="248"/>
        <v>0</v>
      </c>
      <c r="R766" s="33"/>
      <c r="S766" s="13" t="e">
        <f t="shared" ca="1" si="249"/>
        <v>#N/A</v>
      </c>
      <c r="T766" s="13" t="e">
        <f ca="1">ROUNDUP(($N766-$P766-$Q766+$S766)*VLOOKUP($B766,Paraméterek!$I$38:$K$39,IF($D$2="Egyszeri",3,2))/12*IF($D767="Nem",IF($M$13=0,1,$M$13),1),IF($D$4="Forint",0,2))</f>
        <v>#N/A</v>
      </c>
      <c r="U766" s="13"/>
      <c r="V766" s="13"/>
      <c r="W766" s="13" t="e">
        <f ca="1">$N766-$P766-$Q766+$S766-$T766-IF(ROUNDUP(IF(ISBLANK($V766),$U766*0,$V766)/IF($D$2="Egyszeri",VLOOKUP($B766+IF($C766=12,1,0),Paraméterek!$V$257:$W$262,2),IF($B766=1,1,VLOOKUP($B766+IF($C766=12,1,0),Paraméterek!$I$258:$T$278,HLOOKUP($M$11+1,Paraméterek!$J$256:$T$257,2)))),IF($D$4="Forint",0,2))&gt;$N766-$P766-$Q766+$S766-$T766-IF($D$4="Forint",Paraméterek!$C$216,Paraméterek!$D$216),0,ROUNDUP(IF(ISBLANK($V766),$U766*0,$V766)/IF($D$2="Egyszeri",VLOOKUP($B766+IF($C766=12,1,0),Paraméterek!$V$257:$W$262,2),IF($B766=1,1,VLOOKUP($B766+IF($C766=12,1,0),Paraméterek!$I$258:$T$278,HLOOKUP($M$11+1,Paraméterek!$J$256:$T$257,2)))),IF($D$4="Forint",0,2)))</f>
        <v>#N/A</v>
      </c>
      <c r="X766" s="13" t="e">
        <f ca="1">ROUNDDOWN($W766*IF($D$2="Egyszeri",VLOOKUP($B766+IF($C766=12,1,0),Paraméterek!$V$257:$W$262,2),VLOOKUP($B766+IF($C766=12,1,0),Paraméterek!$I$258:$T$278,HLOOKUP($M$11+1,Paraméterek!$I$256:$T$257,2))),IF($D$4="Forint",0,2))</f>
        <v>#N/A</v>
      </c>
      <c r="Z766" s="32">
        <v>747</v>
      </c>
      <c r="AA766" s="32">
        <v>63</v>
      </c>
      <c r="AB766" s="32">
        <v>3</v>
      </c>
      <c r="AC766" s="13">
        <f t="shared" ca="1" si="258"/>
        <v>0</v>
      </c>
      <c r="AD766" s="33"/>
      <c r="AE766" s="13">
        <f t="shared" ca="1" si="250"/>
        <v>0</v>
      </c>
      <c r="AF766" s="13">
        <f ca="1">ROUNDUP(($AC766+$AE766)*VLOOKUP($AA766,Paraméterek!$P$38:$Q$38,2)/12*IF($D767="Nem",IF($M$13=0,1,$M$13),1),IF($D$4="Forint",0,2))</f>
        <v>0</v>
      </c>
      <c r="AG766" s="13">
        <f ca="1">IF($D$2="Egyszeri",IF($D$7&gt;=IF($D$4="Forint",Paraméterek!$P$223,Paraméterek!$P$224),$D$7-IF($D$4="Forint",Paraméterek!$P$223,Paraméterek!$P$224),0),MIN(IF($AB766=12,AVERAGEIF($E$20:$E766,"&gt;0",$E$20:$E766)*12,0),SUM($E$20:$E$31)))</f>
        <v>0</v>
      </c>
      <c r="AH766" s="13">
        <f>IF($AA766=10,$AG766*IF($AB766=12,IF($AG766&lt;IF($D$4="Forint",Paraméterek!$L$223,Paraméterek!$L$224),0,VLOOKUP($AA766,Paraméterek!$K$226:$M$228,IF($AG766&lt;IF($D$4="Forint",Paraméterek!$M$223,Paraméterek!$M$224),2,3))),0),0)</f>
        <v>0</v>
      </c>
      <c r="AI766" s="13">
        <f ca="1">IF(AND($AA766=$M$11+1,$AB766=$M$12+1),SUMIF($AA$20:$AA$1027,$AA766,$AG$20:$AG$1027)*IF(SUMIF($AA$20:$AA$1027,$AA766,$AG$20:$AG$1027)&lt;IF($D$4="Forint",Paraméterek!$L$223,Paraméterek!$L$224),0,VLOOKUP($AA766,Paraméterek!$K$230:$M$250,IF(SUMIF($AA$20:$AA$1027,$AA766,$AG$20:$AG$1027)&lt;IF($D$4="Forint",Paraméterek!$M$223,Paraméterek!$M$224),2,3))),0)</f>
        <v>0</v>
      </c>
      <c r="AJ766" s="13">
        <f ca="1">IF(AND($AA766&gt;=5,MOD($AA766,5)=0),IF($AB766=12,VLOOKUP($AA766,Paraméterek!$O$225:$P$240,2),0),IF(OR($AA766=3,$AA766=4),IF($AB766=12,VLOOKUP($AA766,Paraméterek!$O$225:$P$240,2,0),0),0))*$AG766</f>
        <v>0</v>
      </c>
      <c r="AK766" s="13">
        <f t="shared" ca="1" si="251"/>
        <v>0</v>
      </c>
      <c r="AL766" s="13">
        <f t="shared" ca="1" si="259"/>
        <v>0</v>
      </c>
      <c r="AM766" s="13">
        <f t="shared" ca="1" si="260"/>
        <v>0</v>
      </c>
      <c r="AO766" s="32">
        <v>747</v>
      </c>
      <c r="AP766" s="32">
        <v>63</v>
      </c>
      <c r="AQ766" s="32">
        <v>3</v>
      </c>
      <c r="AR766" s="13"/>
      <c r="AS766" s="32"/>
      <c r="AT766" s="13">
        <f t="shared" ca="1" si="261"/>
        <v>0</v>
      </c>
      <c r="AU766" s="33"/>
      <c r="AV766" s="13">
        <f t="shared" ca="1" si="252"/>
        <v>0</v>
      </c>
      <c r="AW766" s="13">
        <f ca="1">ROUNDUP(($AT766+$AV766)*VLOOKUP($AP766,Paraméterek!$P$38:$Q$38,2)/12*IF($D767="Nem",IF($M$13=0,1,$M$13),1),IF($D$4="Forint",0,2))</f>
        <v>0</v>
      </c>
      <c r="AX766" s="13"/>
      <c r="AY766" s="13"/>
      <c r="AZ766" s="13">
        <f>ROUNDUP(IF(SUM($AX766:$AY766)=0,0,IF(IF(ISBLANK($AY766),$AX766,$AY766)*Paraméterek!$J$112&lt;IF($D$4="Forint",Paraméterek!$J$113,Paraméterek!$K$113),IF($D$4="Forint",Paraméterek!$J$113,Paraméterek!$K$113),IF(IF(ISBLANK($AY766),$AX766,$AY766)*Paraméterek!$J$112&gt;IF($D$4="Forint",Paraméterek!$J$114,Paraméterek!$K$114),IF($D$4="Forint",Paraméterek!$J$114,Paraméterek!$K$114),IF(ISBLANK($AY766),$AX766,$AY766)*Paraméterek!$J$112))),IF($D$4="Forint",0,2))</f>
        <v>0</v>
      </c>
      <c r="BA766" s="13">
        <f ca="1">$AT766+$AV766-$AW766-IF(ROUNDDOWN(IF(ISBLANK($AY766),$AX766,$AY766),IF($D$4="Forint",0,2))&gt;$AT766+$AV766-$AW766-IF($D$4="Forint",Paraméterek!$J$114,Paraméterek!$K$114),0,ROUNDDOWN(IF(ISBLANK($AY766),$AX766,$AY766),IF($D$4="Forint",0,2))-$AZ766)</f>
        <v>0</v>
      </c>
      <c r="BB766" s="13">
        <f t="shared" ca="1" si="253"/>
        <v>0</v>
      </c>
      <c r="BD766" s="32">
        <v>747</v>
      </c>
      <c r="BE766" s="32">
        <v>63</v>
      </c>
      <c r="BF766" s="32">
        <v>3</v>
      </c>
      <c r="BG766" s="34">
        <f t="shared" ca="1" si="262"/>
        <v>2081</v>
      </c>
      <c r="BH766" s="32" t="str">
        <f ca="1">IF(MOD(MONTH($D$14)+$BD766-1,12)=Paraméterek!$C$288,"Igen","")</f>
        <v/>
      </c>
      <c r="BI766" s="13">
        <f ca="1">IF($BH766="Igen",MIN(ROUNDDOWN((SUMIF($BG$20:$BG$1027,$BG766-1,$K$20:$K$1027)-SUMIF($BG$20:$BG$1027,$BG766-1,$I$20:$I$1027))*Paraméterek!$C$289,IF($D$4="Forint",0,2)),IF($D$4="Forint",Paraméterek!$C$285,Paraméterek!$D$285)),0)</f>
        <v>0</v>
      </c>
      <c r="BJ766" s="13">
        <f t="shared" ca="1" si="254"/>
        <v>0</v>
      </c>
      <c r="BK766" s="13">
        <f t="shared" ca="1" si="263"/>
        <v>0</v>
      </c>
      <c r="BL766" s="33"/>
      <c r="BM766" s="13">
        <f t="shared" ca="1" si="255"/>
        <v>0</v>
      </c>
      <c r="BN766" s="13">
        <f ca="1">ROUNDUP(($BK766+$BM766)*VLOOKUP($BE766,Paraméterek!$P$38:$Q$38,2)/12*IF($D767="Nem",IF($M$13=0,1,$M$13),1),IF($D$4="Forint",0,2))</f>
        <v>0</v>
      </c>
      <c r="BO766" s="13">
        <f t="shared" ca="1" si="256"/>
        <v>0</v>
      </c>
      <c r="BP766" s="13">
        <f ca="1">IF($D767="Nem",$BO766,$BO766-ROUNDUP(SUM($BI$20:$BI766)*120%,IF($D$4="Forint",0,2)))</f>
        <v>0</v>
      </c>
    </row>
    <row r="767" spans="1:68" x14ac:dyDescent="0.2">
      <c r="A767" s="32">
        <v>748</v>
      </c>
      <c r="B767" s="32">
        <v>63</v>
      </c>
      <c r="C767" s="32">
        <v>4</v>
      </c>
      <c r="D767" s="32" t="str">
        <f t="shared" ca="1" si="242"/>
        <v>Nem</v>
      </c>
      <c r="E767" s="13">
        <f t="shared" ca="1" si="243"/>
        <v>0</v>
      </c>
      <c r="F767" s="13"/>
      <c r="G767" s="13"/>
      <c r="H767" s="13"/>
      <c r="I767" s="13">
        <f t="shared" ca="1" si="244"/>
        <v>0</v>
      </c>
      <c r="J767" s="13">
        <f t="shared" ca="1" si="245"/>
        <v>0</v>
      </c>
      <c r="K767" s="13">
        <f t="shared" ca="1" si="246"/>
        <v>0</v>
      </c>
      <c r="L767" s="13" t="e">
        <f ca="1">ROUNDUP(IF($D$2="Egyszeri",$E767,IF($D$2="Havi",SUM($E$20:$E$31),IF(MOD($C767,$M$1)-1=0,SUM($E$20:$E$31),0))/12*$M$1)*VLOOKUP($B767,Paraméterek!$I$28:$P$31,IF($D$2="Egyszeri",8,HLOOKUP(ROUNDUP($M$11+$M$13,0),Paraméterek!$J$26:$O$27,2))),IF($D$4="Forint",0,2))</f>
        <v>#N/A</v>
      </c>
      <c r="M767" s="13">
        <f t="shared" ca="1" si="247"/>
        <v>0</v>
      </c>
      <c r="N767" s="13">
        <f t="shared" ca="1" si="257"/>
        <v>0</v>
      </c>
      <c r="O767" s="13">
        <f ca="1">IF($D767="Igen",IF($W766&gt;=IF($D$4="Forint",Paraméterek!$J$121,Paraméterek!$K$121),0,IF($D$4="Forint",Paraméterek!$J$121,Paraméterek!$K$121)-$W766),0)</f>
        <v>0</v>
      </c>
      <c r="P767" s="13" t="e">
        <f ca="1">ROUNDUP($O767*VLOOKUP($M$4+$B767-1,Paraméterek!$H$58:$I$105,2,0)/Paraméterek!$I$56,IF($D$4="Forint",0,2))</f>
        <v>#N/A</v>
      </c>
      <c r="Q767" s="13">
        <f t="shared" ca="1" si="248"/>
        <v>0</v>
      </c>
      <c r="R767" s="33"/>
      <c r="S767" s="13" t="e">
        <f t="shared" ca="1" si="249"/>
        <v>#N/A</v>
      </c>
      <c r="T767" s="13" t="e">
        <f ca="1">ROUNDUP(($N767-$P767-$Q767+$S767)*VLOOKUP($B767,Paraméterek!$I$38:$K$39,IF($D$2="Egyszeri",3,2))/12*IF($D768="Nem",IF($M$13=0,1,$M$13),1),IF($D$4="Forint",0,2))</f>
        <v>#N/A</v>
      </c>
      <c r="U767" s="13"/>
      <c r="V767" s="13"/>
      <c r="W767" s="13" t="e">
        <f ca="1">$N767-$P767-$Q767+$S767-$T767-IF(ROUNDUP(IF(ISBLANK($V767),$U767*0,$V767)/IF($D$2="Egyszeri",VLOOKUP($B767+IF($C767=12,1,0),Paraméterek!$V$257:$W$262,2),IF($B767=1,1,VLOOKUP($B767+IF($C767=12,1,0),Paraméterek!$I$258:$T$278,HLOOKUP($M$11+1,Paraméterek!$J$256:$T$257,2)))),IF($D$4="Forint",0,2))&gt;$N767-$P767-$Q767+$S767-$T767-IF($D$4="Forint",Paraméterek!$C$216,Paraméterek!$D$216),0,ROUNDUP(IF(ISBLANK($V767),$U767*0,$V767)/IF($D$2="Egyszeri",VLOOKUP($B767+IF($C767=12,1,0),Paraméterek!$V$257:$W$262,2),IF($B767=1,1,VLOOKUP($B767+IF($C767=12,1,0),Paraméterek!$I$258:$T$278,HLOOKUP($M$11+1,Paraméterek!$J$256:$T$257,2)))),IF($D$4="Forint",0,2)))</f>
        <v>#N/A</v>
      </c>
      <c r="X767" s="13" t="e">
        <f ca="1">ROUNDDOWN($W767*IF($D$2="Egyszeri",VLOOKUP($B767+IF($C767=12,1,0),Paraméterek!$V$257:$W$262,2),VLOOKUP($B767+IF($C767=12,1,0),Paraméterek!$I$258:$T$278,HLOOKUP($M$11+1,Paraméterek!$I$256:$T$257,2))),IF($D$4="Forint",0,2))</f>
        <v>#N/A</v>
      </c>
      <c r="Z767" s="32">
        <v>748</v>
      </c>
      <c r="AA767" s="32">
        <v>63</v>
      </c>
      <c r="AB767" s="32">
        <v>4</v>
      </c>
      <c r="AC767" s="13">
        <f t="shared" ca="1" si="258"/>
        <v>0</v>
      </c>
      <c r="AD767" s="33"/>
      <c r="AE767" s="13">
        <f t="shared" ca="1" si="250"/>
        <v>0</v>
      </c>
      <c r="AF767" s="13">
        <f ca="1">ROUNDUP(($AC767+$AE767)*VLOOKUP($AA767,Paraméterek!$P$38:$Q$38,2)/12*IF($D768="Nem",IF($M$13=0,1,$M$13),1),IF($D$4="Forint",0,2))</f>
        <v>0</v>
      </c>
      <c r="AG767" s="13">
        <f ca="1">IF($D$2="Egyszeri",IF($D$7&gt;=IF($D$4="Forint",Paraméterek!$P$223,Paraméterek!$P$224),$D$7-IF($D$4="Forint",Paraméterek!$P$223,Paraméterek!$P$224),0),MIN(IF($AB767=12,AVERAGEIF($E$20:$E767,"&gt;0",$E$20:$E767)*12,0),SUM($E$20:$E$31)))</f>
        <v>0</v>
      </c>
      <c r="AH767" s="13">
        <f>IF($AA767=10,$AG767*IF($AB767=12,IF($AG767&lt;IF($D$4="Forint",Paraméterek!$L$223,Paraméterek!$L$224),0,VLOOKUP($AA767,Paraméterek!$K$226:$M$228,IF($AG767&lt;IF($D$4="Forint",Paraméterek!$M$223,Paraméterek!$M$224),2,3))),0),0)</f>
        <v>0</v>
      </c>
      <c r="AI767" s="13">
        <f ca="1">IF(AND($AA767=$M$11+1,$AB767=$M$12+1),SUMIF($AA$20:$AA$1027,$AA767,$AG$20:$AG$1027)*IF(SUMIF($AA$20:$AA$1027,$AA767,$AG$20:$AG$1027)&lt;IF($D$4="Forint",Paraméterek!$L$223,Paraméterek!$L$224),0,VLOOKUP($AA767,Paraméterek!$K$230:$M$250,IF(SUMIF($AA$20:$AA$1027,$AA767,$AG$20:$AG$1027)&lt;IF($D$4="Forint",Paraméterek!$M$223,Paraméterek!$M$224),2,3))),0)</f>
        <v>0</v>
      </c>
      <c r="AJ767" s="13">
        <f ca="1">IF(AND($AA767&gt;=5,MOD($AA767,5)=0),IF($AB767=12,VLOOKUP($AA767,Paraméterek!$O$225:$P$240,2),0),IF(OR($AA767=3,$AA767=4),IF($AB767=12,VLOOKUP($AA767,Paraméterek!$O$225:$P$240,2,0),0),0))*$AG767</f>
        <v>0</v>
      </c>
      <c r="AK767" s="13">
        <f t="shared" ca="1" si="251"/>
        <v>0</v>
      </c>
      <c r="AL767" s="13">
        <f t="shared" ca="1" si="259"/>
        <v>0</v>
      </c>
      <c r="AM767" s="13">
        <f t="shared" ca="1" si="260"/>
        <v>0</v>
      </c>
      <c r="AO767" s="32">
        <v>748</v>
      </c>
      <c r="AP767" s="32">
        <v>63</v>
      </c>
      <c r="AQ767" s="32">
        <v>4</v>
      </c>
      <c r="AR767" s="13"/>
      <c r="AS767" s="32"/>
      <c r="AT767" s="13">
        <f t="shared" ca="1" si="261"/>
        <v>0</v>
      </c>
      <c r="AU767" s="33"/>
      <c r="AV767" s="13">
        <f t="shared" ca="1" si="252"/>
        <v>0</v>
      </c>
      <c r="AW767" s="13">
        <f ca="1">ROUNDUP(($AT767+$AV767)*VLOOKUP($AP767,Paraméterek!$P$38:$Q$38,2)/12*IF($D768="Nem",IF($M$13=0,1,$M$13),1),IF($D$4="Forint",0,2))</f>
        <v>0</v>
      </c>
      <c r="AX767" s="13"/>
      <c r="AY767" s="13"/>
      <c r="AZ767" s="13">
        <f>ROUNDUP(IF(SUM($AX767:$AY767)=0,0,IF(IF(ISBLANK($AY767),$AX767,$AY767)*Paraméterek!$J$112&lt;IF($D$4="Forint",Paraméterek!$J$113,Paraméterek!$K$113),IF($D$4="Forint",Paraméterek!$J$113,Paraméterek!$K$113),IF(IF(ISBLANK($AY767),$AX767,$AY767)*Paraméterek!$J$112&gt;IF($D$4="Forint",Paraméterek!$J$114,Paraméterek!$K$114),IF($D$4="Forint",Paraméterek!$J$114,Paraméterek!$K$114),IF(ISBLANK($AY767),$AX767,$AY767)*Paraméterek!$J$112))),IF($D$4="Forint",0,2))</f>
        <v>0</v>
      </c>
      <c r="BA767" s="13">
        <f ca="1">$AT767+$AV767-$AW767-IF(ROUNDDOWN(IF(ISBLANK($AY767),$AX767,$AY767),IF($D$4="Forint",0,2))&gt;$AT767+$AV767-$AW767-IF($D$4="Forint",Paraméterek!$J$114,Paraméterek!$K$114),0,ROUNDDOWN(IF(ISBLANK($AY767),$AX767,$AY767),IF($D$4="Forint",0,2))-$AZ767)</f>
        <v>0</v>
      </c>
      <c r="BB767" s="13">
        <f t="shared" ca="1" si="253"/>
        <v>0</v>
      </c>
      <c r="BD767" s="32">
        <v>748</v>
      </c>
      <c r="BE767" s="32">
        <v>63</v>
      </c>
      <c r="BF767" s="32">
        <v>4</v>
      </c>
      <c r="BG767" s="34">
        <f t="shared" ca="1" si="262"/>
        <v>2081</v>
      </c>
      <c r="BH767" s="32" t="str">
        <f ca="1">IF(MOD(MONTH($D$14)+$BD767-1,12)=Paraméterek!$C$288,"Igen","")</f>
        <v/>
      </c>
      <c r="BI767" s="13">
        <f ca="1">IF($BH767="Igen",MIN(ROUNDDOWN((SUMIF($BG$20:$BG$1027,$BG767-1,$K$20:$K$1027)-SUMIF($BG$20:$BG$1027,$BG767-1,$I$20:$I$1027))*Paraméterek!$C$289,IF($D$4="Forint",0,2)),IF($D$4="Forint",Paraméterek!$C$285,Paraméterek!$D$285)),0)</f>
        <v>0</v>
      </c>
      <c r="BJ767" s="13">
        <f t="shared" ca="1" si="254"/>
        <v>0</v>
      </c>
      <c r="BK767" s="13">
        <f t="shared" ca="1" si="263"/>
        <v>0</v>
      </c>
      <c r="BL767" s="33"/>
      <c r="BM767" s="13">
        <f t="shared" ca="1" si="255"/>
        <v>0</v>
      </c>
      <c r="BN767" s="13">
        <f ca="1">ROUNDUP(($BK767+$BM767)*VLOOKUP($BE767,Paraméterek!$P$38:$Q$38,2)/12*IF($D768="Nem",IF($M$13=0,1,$M$13),1),IF($D$4="Forint",0,2))</f>
        <v>0</v>
      </c>
      <c r="BO767" s="13">
        <f t="shared" ca="1" si="256"/>
        <v>0</v>
      </c>
      <c r="BP767" s="13">
        <f ca="1">IF($D768="Nem",$BO767,$BO767-ROUNDUP(SUM($BI$20:$BI767)*120%,IF($D$4="Forint",0,2)))</f>
        <v>0</v>
      </c>
    </row>
    <row r="768" spans="1:68" x14ac:dyDescent="0.2">
      <c r="A768" s="32">
        <v>749</v>
      </c>
      <c r="B768" s="32">
        <v>63</v>
      </c>
      <c r="C768" s="32">
        <v>5</v>
      </c>
      <c r="D768" s="32" t="str">
        <f t="shared" ca="1" si="242"/>
        <v>Nem</v>
      </c>
      <c r="E768" s="13">
        <f t="shared" ca="1" si="243"/>
        <v>0</v>
      </c>
      <c r="F768" s="13"/>
      <c r="G768" s="13"/>
      <c r="H768" s="13"/>
      <c r="I768" s="13">
        <f t="shared" ca="1" si="244"/>
        <v>0</v>
      </c>
      <c r="J768" s="13">
        <f t="shared" ca="1" si="245"/>
        <v>0</v>
      </c>
      <c r="K768" s="13">
        <f t="shared" ca="1" si="246"/>
        <v>0</v>
      </c>
      <c r="L768" s="13" t="e">
        <f ca="1">ROUNDUP(IF($D$2="Egyszeri",$E768,IF($D$2="Havi",SUM($E$20:$E$31),IF(MOD($C768,$M$1)-1=0,SUM($E$20:$E$31),0))/12*$M$1)*VLOOKUP($B768,Paraméterek!$I$28:$P$31,IF($D$2="Egyszeri",8,HLOOKUP(ROUNDUP($M$11+$M$13,0),Paraméterek!$J$26:$O$27,2))),IF($D$4="Forint",0,2))</f>
        <v>#N/A</v>
      </c>
      <c r="M768" s="13">
        <f t="shared" ca="1" si="247"/>
        <v>0</v>
      </c>
      <c r="N768" s="13">
        <f t="shared" ca="1" si="257"/>
        <v>0</v>
      </c>
      <c r="O768" s="13">
        <f ca="1">IF($D768="Igen",IF($W767&gt;=IF($D$4="Forint",Paraméterek!$J$121,Paraméterek!$K$121),0,IF($D$4="Forint",Paraméterek!$J$121,Paraméterek!$K$121)-$W767),0)</f>
        <v>0</v>
      </c>
      <c r="P768" s="13" t="e">
        <f ca="1">ROUNDUP($O768*VLOOKUP($M$4+$B768-1,Paraméterek!$H$58:$I$105,2,0)/Paraméterek!$I$56,IF($D$4="Forint",0,2))</f>
        <v>#N/A</v>
      </c>
      <c r="Q768" s="13">
        <f t="shared" ca="1" si="248"/>
        <v>0</v>
      </c>
      <c r="R768" s="33"/>
      <c r="S768" s="13" t="e">
        <f t="shared" ca="1" si="249"/>
        <v>#N/A</v>
      </c>
      <c r="T768" s="13" t="e">
        <f ca="1">ROUNDUP(($N768-$P768-$Q768+$S768)*VLOOKUP($B768,Paraméterek!$I$38:$K$39,IF($D$2="Egyszeri",3,2))/12*IF($D769="Nem",IF($M$13=0,1,$M$13),1),IF($D$4="Forint",0,2))</f>
        <v>#N/A</v>
      </c>
      <c r="U768" s="13"/>
      <c r="V768" s="13"/>
      <c r="W768" s="13" t="e">
        <f ca="1">$N768-$P768-$Q768+$S768-$T768-IF(ROUNDUP(IF(ISBLANK($V768),$U768*0,$V768)/IF($D$2="Egyszeri",VLOOKUP($B768+IF($C768=12,1,0),Paraméterek!$V$257:$W$262,2),IF($B768=1,1,VLOOKUP($B768+IF($C768=12,1,0),Paraméterek!$I$258:$T$278,HLOOKUP($M$11+1,Paraméterek!$J$256:$T$257,2)))),IF($D$4="Forint",0,2))&gt;$N768-$P768-$Q768+$S768-$T768-IF($D$4="Forint",Paraméterek!$C$216,Paraméterek!$D$216),0,ROUNDUP(IF(ISBLANK($V768),$U768*0,$V768)/IF($D$2="Egyszeri",VLOOKUP($B768+IF($C768=12,1,0),Paraméterek!$V$257:$W$262,2),IF($B768=1,1,VLOOKUP($B768+IF($C768=12,1,0),Paraméterek!$I$258:$T$278,HLOOKUP($M$11+1,Paraméterek!$J$256:$T$257,2)))),IF($D$4="Forint",0,2)))</f>
        <v>#N/A</v>
      </c>
      <c r="X768" s="13" t="e">
        <f ca="1">ROUNDDOWN($W768*IF($D$2="Egyszeri",VLOOKUP($B768+IF($C768=12,1,0),Paraméterek!$V$257:$W$262,2),VLOOKUP($B768+IF($C768=12,1,0),Paraméterek!$I$258:$T$278,HLOOKUP($M$11+1,Paraméterek!$I$256:$T$257,2))),IF($D$4="Forint",0,2))</f>
        <v>#N/A</v>
      </c>
      <c r="Z768" s="32">
        <v>749</v>
      </c>
      <c r="AA768" s="32">
        <v>63</v>
      </c>
      <c r="AB768" s="32">
        <v>5</v>
      </c>
      <c r="AC768" s="13">
        <f t="shared" ca="1" si="258"/>
        <v>0</v>
      </c>
      <c r="AD768" s="33"/>
      <c r="AE768" s="13">
        <f t="shared" ca="1" si="250"/>
        <v>0</v>
      </c>
      <c r="AF768" s="13">
        <f ca="1">ROUNDUP(($AC768+$AE768)*VLOOKUP($AA768,Paraméterek!$P$38:$Q$38,2)/12*IF($D769="Nem",IF($M$13=0,1,$M$13),1),IF($D$4="Forint",0,2))</f>
        <v>0</v>
      </c>
      <c r="AG768" s="13">
        <f ca="1">IF($D$2="Egyszeri",IF($D$7&gt;=IF($D$4="Forint",Paraméterek!$P$223,Paraméterek!$P$224),$D$7-IF($D$4="Forint",Paraméterek!$P$223,Paraméterek!$P$224),0),MIN(IF($AB768=12,AVERAGEIF($E$20:$E768,"&gt;0",$E$20:$E768)*12,0),SUM($E$20:$E$31)))</f>
        <v>0</v>
      </c>
      <c r="AH768" s="13">
        <f>IF($AA768=10,$AG768*IF($AB768=12,IF($AG768&lt;IF($D$4="Forint",Paraméterek!$L$223,Paraméterek!$L$224),0,VLOOKUP($AA768,Paraméterek!$K$226:$M$228,IF($AG768&lt;IF($D$4="Forint",Paraméterek!$M$223,Paraméterek!$M$224),2,3))),0),0)</f>
        <v>0</v>
      </c>
      <c r="AI768" s="13">
        <f ca="1">IF(AND($AA768=$M$11+1,$AB768=$M$12+1),SUMIF($AA$20:$AA$1027,$AA768,$AG$20:$AG$1027)*IF(SUMIF($AA$20:$AA$1027,$AA768,$AG$20:$AG$1027)&lt;IF($D$4="Forint",Paraméterek!$L$223,Paraméterek!$L$224),0,VLOOKUP($AA768,Paraméterek!$K$230:$M$250,IF(SUMIF($AA$20:$AA$1027,$AA768,$AG$20:$AG$1027)&lt;IF($D$4="Forint",Paraméterek!$M$223,Paraméterek!$M$224),2,3))),0)</f>
        <v>0</v>
      </c>
      <c r="AJ768" s="13">
        <f ca="1">IF(AND($AA768&gt;=5,MOD($AA768,5)=0),IF($AB768=12,VLOOKUP($AA768,Paraméterek!$O$225:$P$240,2),0),IF(OR($AA768=3,$AA768=4),IF($AB768=12,VLOOKUP($AA768,Paraméterek!$O$225:$P$240,2,0),0),0))*$AG768</f>
        <v>0</v>
      </c>
      <c r="AK768" s="13">
        <f t="shared" ca="1" si="251"/>
        <v>0</v>
      </c>
      <c r="AL768" s="13">
        <f t="shared" ca="1" si="259"/>
        <v>0</v>
      </c>
      <c r="AM768" s="13">
        <f t="shared" ca="1" si="260"/>
        <v>0</v>
      </c>
      <c r="AO768" s="32">
        <v>749</v>
      </c>
      <c r="AP768" s="32">
        <v>63</v>
      </c>
      <c r="AQ768" s="32">
        <v>5</v>
      </c>
      <c r="AR768" s="13"/>
      <c r="AS768" s="32"/>
      <c r="AT768" s="13">
        <f t="shared" ca="1" si="261"/>
        <v>0</v>
      </c>
      <c r="AU768" s="33"/>
      <c r="AV768" s="13">
        <f t="shared" ca="1" si="252"/>
        <v>0</v>
      </c>
      <c r="AW768" s="13">
        <f ca="1">ROUNDUP(($AT768+$AV768)*VLOOKUP($AP768,Paraméterek!$P$38:$Q$38,2)/12*IF($D769="Nem",IF($M$13=0,1,$M$13),1),IF($D$4="Forint",0,2))</f>
        <v>0</v>
      </c>
      <c r="AX768" s="13"/>
      <c r="AY768" s="13"/>
      <c r="AZ768" s="13">
        <f>ROUNDUP(IF(SUM($AX768:$AY768)=0,0,IF(IF(ISBLANK($AY768),$AX768,$AY768)*Paraméterek!$J$112&lt;IF($D$4="Forint",Paraméterek!$J$113,Paraméterek!$K$113),IF($D$4="Forint",Paraméterek!$J$113,Paraméterek!$K$113),IF(IF(ISBLANK($AY768),$AX768,$AY768)*Paraméterek!$J$112&gt;IF($D$4="Forint",Paraméterek!$J$114,Paraméterek!$K$114),IF($D$4="Forint",Paraméterek!$J$114,Paraméterek!$K$114),IF(ISBLANK($AY768),$AX768,$AY768)*Paraméterek!$J$112))),IF($D$4="Forint",0,2))</f>
        <v>0</v>
      </c>
      <c r="BA768" s="13">
        <f ca="1">$AT768+$AV768-$AW768-IF(ROUNDDOWN(IF(ISBLANK($AY768),$AX768,$AY768),IF($D$4="Forint",0,2))&gt;$AT768+$AV768-$AW768-IF($D$4="Forint",Paraméterek!$J$114,Paraméterek!$K$114),0,ROUNDDOWN(IF(ISBLANK($AY768),$AX768,$AY768),IF($D$4="Forint",0,2))-$AZ768)</f>
        <v>0</v>
      </c>
      <c r="BB768" s="13">
        <f t="shared" ca="1" si="253"/>
        <v>0</v>
      </c>
      <c r="BD768" s="32">
        <v>749</v>
      </c>
      <c r="BE768" s="32">
        <v>63</v>
      </c>
      <c r="BF768" s="32">
        <v>5</v>
      </c>
      <c r="BG768" s="34">
        <f t="shared" ca="1" si="262"/>
        <v>2081</v>
      </c>
      <c r="BH768" s="32" t="str">
        <f ca="1">IF(MOD(MONTH($D$14)+$BD768-1,12)=Paraméterek!$C$288,"Igen","")</f>
        <v/>
      </c>
      <c r="BI768" s="13">
        <f ca="1">IF($BH768="Igen",MIN(ROUNDDOWN((SUMIF($BG$20:$BG$1027,$BG768-1,$K$20:$K$1027)-SUMIF($BG$20:$BG$1027,$BG768-1,$I$20:$I$1027))*Paraméterek!$C$289,IF($D$4="Forint",0,2)),IF($D$4="Forint",Paraméterek!$C$285,Paraméterek!$D$285)),0)</f>
        <v>0</v>
      </c>
      <c r="BJ768" s="13">
        <f t="shared" ca="1" si="254"/>
        <v>0</v>
      </c>
      <c r="BK768" s="13">
        <f t="shared" ca="1" si="263"/>
        <v>0</v>
      </c>
      <c r="BL768" s="33"/>
      <c r="BM768" s="13">
        <f t="shared" ca="1" si="255"/>
        <v>0</v>
      </c>
      <c r="BN768" s="13">
        <f ca="1">ROUNDUP(($BK768+$BM768)*VLOOKUP($BE768,Paraméterek!$P$38:$Q$38,2)/12*IF($D769="Nem",IF($M$13=0,1,$M$13),1),IF($D$4="Forint",0,2))</f>
        <v>0</v>
      </c>
      <c r="BO768" s="13">
        <f t="shared" ca="1" si="256"/>
        <v>0</v>
      </c>
      <c r="BP768" s="13">
        <f ca="1">IF($D769="Nem",$BO768,$BO768-ROUNDUP(SUM($BI$20:$BI768)*120%,IF($D$4="Forint",0,2)))</f>
        <v>0</v>
      </c>
    </row>
    <row r="769" spans="1:68" x14ac:dyDescent="0.2">
      <c r="A769" s="32">
        <v>750</v>
      </c>
      <c r="B769" s="32">
        <v>63</v>
      </c>
      <c r="C769" s="32">
        <v>6</v>
      </c>
      <c r="D769" s="32" t="str">
        <f t="shared" ca="1" si="242"/>
        <v>Nem</v>
      </c>
      <c r="E769" s="13">
        <f t="shared" ca="1" si="243"/>
        <v>0</v>
      </c>
      <c r="F769" s="13"/>
      <c r="G769" s="13"/>
      <c r="H769" s="13"/>
      <c r="I769" s="13">
        <f t="shared" ca="1" si="244"/>
        <v>0</v>
      </c>
      <c r="J769" s="13">
        <f t="shared" ca="1" si="245"/>
        <v>0</v>
      </c>
      <c r="K769" s="13">
        <f t="shared" ca="1" si="246"/>
        <v>0</v>
      </c>
      <c r="L769" s="13" t="e">
        <f ca="1">ROUNDUP(IF($D$2="Egyszeri",$E769,IF($D$2="Havi",SUM($E$20:$E$31),IF(MOD($C769,$M$1)-1=0,SUM($E$20:$E$31),0))/12*$M$1)*VLOOKUP($B769,Paraméterek!$I$28:$P$31,IF($D$2="Egyszeri",8,HLOOKUP(ROUNDUP($M$11+$M$13,0),Paraméterek!$J$26:$O$27,2))),IF($D$4="Forint",0,2))</f>
        <v>#N/A</v>
      </c>
      <c r="M769" s="13">
        <f t="shared" ca="1" si="247"/>
        <v>0</v>
      </c>
      <c r="N769" s="13">
        <f t="shared" ca="1" si="257"/>
        <v>0</v>
      </c>
      <c r="O769" s="13">
        <f ca="1">IF($D769="Igen",IF($W768&gt;=IF($D$4="Forint",Paraméterek!$J$121,Paraméterek!$K$121),0,IF($D$4="Forint",Paraméterek!$J$121,Paraméterek!$K$121)-$W768),0)</f>
        <v>0</v>
      </c>
      <c r="P769" s="13" t="e">
        <f ca="1">ROUNDUP($O769*VLOOKUP($M$4+$B769-1,Paraméterek!$H$58:$I$105,2,0)/Paraméterek!$I$56,IF($D$4="Forint",0,2))</f>
        <v>#N/A</v>
      </c>
      <c r="Q769" s="13">
        <f t="shared" ca="1" si="248"/>
        <v>0</v>
      </c>
      <c r="R769" s="33"/>
      <c r="S769" s="13" t="e">
        <f t="shared" ca="1" si="249"/>
        <v>#N/A</v>
      </c>
      <c r="T769" s="13" t="e">
        <f ca="1">ROUNDUP(($N769-$P769-$Q769+$S769)*VLOOKUP($B769,Paraméterek!$I$38:$K$39,IF($D$2="Egyszeri",3,2))/12*IF($D770="Nem",IF($M$13=0,1,$M$13),1),IF($D$4="Forint",0,2))</f>
        <v>#N/A</v>
      </c>
      <c r="U769" s="13"/>
      <c r="V769" s="13"/>
      <c r="W769" s="13" t="e">
        <f ca="1">$N769-$P769-$Q769+$S769-$T769-IF(ROUNDUP(IF(ISBLANK($V769),$U769*0,$V769)/IF($D$2="Egyszeri",VLOOKUP($B769+IF($C769=12,1,0),Paraméterek!$V$257:$W$262,2),IF($B769=1,1,VLOOKUP($B769+IF($C769=12,1,0),Paraméterek!$I$258:$T$278,HLOOKUP($M$11+1,Paraméterek!$J$256:$T$257,2)))),IF($D$4="Forint",0,2))&gt;$N769-$P769-$Q769+$S769-$T769-IF($D$4="Forint",Paraméterek!$C$216,Paraméterek!$D$216),0,ROUNDUP(IF(ISBLANK($V769),$U769*0,$V769)/IF($D$2="Egyszeri",VLOOKUP($B769+IF($C769=12,1,0),Paraméterek!$V$257:$W$262,2),IF($B769=1,1,VLOOKUP($B769+IF($C769=12,1,0),Paraméterek!$I$258:$T$278,HLOOKUP($M$11+1,Paraméterek!$J$256:$T$257,2)))),IF($D$4="Forint",0,2)))</f>
        <v>#N/A</v>
      </c>
      <c r="X769" s="13" t="e">
        <f ca="1">ROUNDDOWN($W769*IF($D$2="Egyszeri",VLOOKUP($B769+IF($C769=12,1,0),Paraméterek!$V$257:$W$262,2),VLOOKUP($B769+IF($C769=12,1,0),Paraméterek!$I$258:$T$278,HLOOKUP($M$11+1,Paraméterek!$I$256:$T$257,2))),IF($D$4="Forint",0,2))</f>
        <v>#N/A</v>
      </c>
      <c r="Z769" s="32">
        <v>750</v>
      </c>
      <c r="AA769" s="32">
        <v>63</v>
      </c>
      <c r="AB769" s="32">
        <v>6</v>
      </c>
      <c r="AC769" s="13">
        <f t="shared" ca="1" si="258"/>
        <v>0</v>
      </c>
      <c r="AD769" s="33"/>
      <c r="AE769" s="13">
        <f t="shared" ca="1" si="250"/>
        <v>0</v>
      </c>
      <c r="AF769" s="13">
        <f ca="1">ROUNDUP(($AC769+$AE769)*VLOOKUP($AA769,Paraméterek!$P$38:$Q$38,2)/12*IF($D770="Nem",IF($M$13=0,1,$M$13),1),IF($D$4="Forint",0,2))</f>
        <v>0</v>
      </c>
      <c r="AG769" s="13">
        <f ca="1">IF($D$2="Egyszeri",IF($D$7&gt;=IF($D$4="Forint",Paraméterek!$P$223,Paraméterek!$P$224),$D$7-IF($D$4="Forint",Paraméterek!$P$223,Paraméterek!$P$224),0),MIN(IF($AB769=12,AVERAGEIF($E$20:$E769,"&gt;0",$E$20:$E769)*12,0),SUM($E$20:$E$31)))</f>
        <v>0</v>
      </c>
      <c r="AH769" s="13">
        <f>IF($AA769=10,$AG769*IF($AB769=12,IF($AG769&lt;IF($D$4="Forint",Paraméterek!$L$223,Paraméterek!$L$224),0,VLOOKUP($AA769,Paraméterek!$K$226:$M$228,IF($AG769&lt;IF($D$4="Forint",Paraméterek!$M$223,Paraméterek!$M$224),2,3))),0),0)</f>
        <v>0</v>
      </c>
      <c r="AI769" s="13">
        <f ca="1">IF(AND($AA769=$M$11+1,$AB769=$M$12+1),SUMIF($AA$20:$AA$1027,$AA769,$AG$20:$AG$1027)*IF(SUMIF($AA$20:$AA$1027,$AA769,$AG$20:$AG$1027)&lt;IF($D$4="Forint",Paraméterek!$L$223,Paraméterek!$L$224),0,VLOOKUP($AA769,Paraméterek!$K$230:$M$250,IF(SUMIF($AA$20:$AA$1027,$AA769,$AG$20:$AG$1027)&lt;IF($D$4="Forint",Paraméterek!$M$223,Paraméterek!$M$224),2,3))),0)</f>
        <v>0</v>
      </c>
      <c r="AJ769" s="13">
        <f ca="1">IF(AND($AA769&gt;=5,MOD($AA769,5)=0),IF($AB769=12,VLOOKUP($AA769,Paraméterek!$O$225:$P$240,2),0),IF(OR($AA769=3,$AA769=4),IF($AB769=12,VLOOKUP($AA769,Paraméterek!$O$225:$P$240,2,0),0),0))*$AG769</f>
        <v>0</v>
      </c>
      <c r="AK769" s="13">
        <f t="shared" ca="1" si="251"/>
        <v>0</v>
      </c>
      <c r="AL769" s="13">
        <f t="shared" ca="1" si="259"/>
        <v>0</v>
      </c>
      <c r="AM769" s="13">
        <f t="shared" ca="1" si="260"/>
        <v>0</v>
      </c>
      <c r="AO769" s="32">
        <v>750</v>
      </c>
      <c r="AP769" s="32">
        <v>63</v>
      </c>
      <c r="AQ769" s="32">
        <v>6</v>
      </c>
      <c r="AR769" s="13"/>
      <c r="AS769" s="32"/>
      <c r="AT769" s="13">
        <f t="shared" ca="1" si="261"/>
        <v>0</v>
      </c>
      <c r="AU769" s="33"/>
      <c r="AV769" s="13">
        <f t="shared" ca="1" si="252"/>
        <v>0</v>
      </c>
      <c r="AW769" s="13">
        <f ca="1">ROUNDUP(($AT769+$AV769)*VLOOKUP($AP769,Paraméterek!$P$38:$Q$38,2)/12*IF($D770="Nem",IF($M$13=0,1,$M$13),1),IF($D$4="Forint",0,2))</f>
        <v>0</v>
      </c>
      <c r="AX769" s="13"/>
      <c r="AY769" s="13"/>
      <c r="AZ769" s="13">
        <f>ROUNDUP(IF(SUM($AX769:$AY769)=0,0,IF(IF(ISBLANK($AY769),$AX769,$AY769)*Paraméterek!$J$112&lt;IF($D$4="Forint",Paraméterek!$J$113,Paraméterek!$K$113),IF($D$4="Forint",Paraméterek!$J$113,Paraméterek!$K$113),IF(IF(ISBLANK($AY769),$AX769,$AY769)*Paraméterek!$J$112&gt;IF($D$4="Forint",Paraméterek!$J$114,Paraméterek!$K$114),IF($D$4="Forint",Paraméterek!$J$114,Paraméterek!$K$114),IF(ISBLANK($AY769),$AX769,$AY769)*Paraméterek!$J$112))),IF($D$4="Forint",0,2))</f>
        <v>0</v>
      </c>
      <c r="BA769" s="13">
        <f ca="1">$AT769+$AV769-$AW769-IF(ROUNDDOWN(IF(ISBLANK($AY769),$AX769,$AY769),IF($D$4="Forint",0,2))&gt;$AT769+$AV769-$AW769-IF($D$4="Forint",Paraméterek!$J$114,Paraméterek!$K$114),0,ROUNDDOWN(IF(ISBLANK($AY769),$AX769,$AY769),IF($D$4="Forint",0,2))-$AZ769)</f>
        <v>0</v>
      </c>
      <c r="BB769" s="13">
        <f t="shared" ca="1" si="253"/>
        <v>0</v>
      </c>
      <c r="BD769" s="32">
        <v>750</v>
      </c>
      <c r="BE769" s="32">
        <v>63</v>
      </c>
      <c r="BF769" s="32">
        <v>6</v>
      </c>
      <c r="BG769" s="34">
        <f t="shared" ca="1" si="262"/>
        <v>2081</v>
      </c>
      <c r="BH769" s="32" t="str">
        <f ca="1">IF(MOD(MONTH($D$14)+$BD769-1,12)=Paraméterek!$C$288,"Igen","")</f>
        <v/>
      </c>
      <c r="BI769" s="13">
        <f ca="1">IF($BH769="Igen",MIN(ROUNDDOWN((SUMIF($BG$20:$BG$1027,$BG769-1,$K$20:$K$1027)-SUMIF($BG$20:$BG$1027,$BG769-1,$I$20:$I$1027))*Paraméterek!$C$289,IF($D$4="Forint",0,2)),IF($D$4="Forint",Paraméterek!$C$285,Paraméterek!$D$285)),0)</f>
        <v>0</v>
      </c>
      <c r="BJ769" s="13">
        <f t="shared" ca="1" si="254"/>
        <v>0</v>
      </c>
      <c r="BK769" s="13">
        <f t="shared" ca="1" si="263"/>
        <v>0</v>
      </c>
      <c r="BL769" s="33"/>
      <c r="BM769" s="13">
        <f t="shared" ca="1" si="255"/>
        <v>0</v>
      </c>
      <c r="BN769" s="13">
        <f ca="1">ROUNDUP(($BK769+$BM769)*VLOOKUP($BE769,Paraméterek!$P$38:$Q$38,2)/12*IF($D770="Nem",IF($M$13=0,1,$M$13),1),IF($D$4="Forint",0,2))</f>
        <v>0</v>
      </c>
      <c r="BO769" s="13">
        <f t="shared" ca="1" si="256"/>
        <v>0</v>
      </c>
      <c r="BP769" s="13">
        <f ca="1">IF($D770="Nem",$BO769,$BO769-ROUNDUP(SUM($BI$20:$BI769)*120%,IF($D$4="Forint",0,2)))</f>
        <v>0</v>
      </c>
    </row>
    <row r="770" spans="1:68" x14ac:dyDescent="0.2">
      <c r="A770" s="32">
        <v>751</v>
      </c>
      <c r="B770" s="32">
        <v>63</v>
      </c>
      <c r="C770" s="32">
        <v>7</v>
      </c>
      <c r="D770" s="32" t="str">
        <f t="shared" ca="1" si="242"/>
        <v>Nem</v>
      </c>
      <c r="E770" s="13">
        <f t="shared" ca="1" si="243"/>
        <v>0</v>
      </c>
      <c r="F770" s="13"/>
      <c r="G770" s="13"/>
      <c r="H770" s="13"/>
      <c r="I770" s="13">
        <f t="shared" ca="1" si="244"/>
        <v>0</v>
      </c>
      <c r="J770" s="13">
        <f t="shared" ca="1" si="245"/>
        <v>0</v>
      </c>
      <c r="K770" s="13">
        <f t="shared" ca="1" si="246"/>
        <v>0</v>
      </c>
      <c r="L770" s="13" t="e">
        <f ca="1">ROUNDUP(IF($D$2="Egyszeri",$E770,IF($D$2="Havi",SUM($E$20:$E$31),IF(MOD($C770,$M$1)-1=0,SUM($E$20:$E$31),0))/12*$M$1)*VLOOKUP($B770,Paraméterek!$I$28:$P$31,IF($D$2="Egyszeri",8,HLOOKUP(ROUNDUP($M$11+$M$13,0),Paraméterek!$J$26:$O$27,2))),IF($D$4="Forint",0,2))</f>
        <v>#N/A</v>
      </c>
      <c r="M770" s="13">
        <f t="shared" ca="1" si="247"/>
        <v>0</v>
      </c>
      <c r="N770" s="13">
        <f t="shared" ca="1" si="257"/>
        <v>0</v>
      </c>
      <c r="O770" s="13">
        <f ca="1">IF($D770="Igen",IF($W769&gt;=IF($D$4="Forint",Paraméterek!$J$121,Paraméterek!$K$121),0,IF($D$4="Forint",Paraméterek!$J$121,Paraméterek!$K$121)-$W769),0)</f>
        <v>0</v>
      </c>
      <c r="P770" s="13" t="e">
        <f ca="1">ROUNDUP($O770*VLOOKUP($M$4+$B770-1,Paraméterek!$H$58:$I$105,2,0)/Paraméterek!$I$56,IF($D$4="Forint",0,2))</f>
        <v>#N/A</v>
      </c>
      <c r="Q770" s="13">
        <f t="shared" ca="1" si="248"/>
        <v>0</v>
      </c>
      <c r="R770" s="33"/>
      <c r="S770" s="13" t="e">
        <f t="shared" ca="1" si="249"/>
        <v>#N/A</v>
      </c>
      <c r="T770" s="13" t="e">
        <f ca="1">ROUNDUP(($N770-$P770-$Q770+$S770)*VLOOKUP($B770,Paraméterek!$I$38:$K$39,IF($D$2="Egyszeri",3,2))/12*IF($D771="Nem",IF($M$13=0,1,$M$13),1),IF($D$4="Forint",0,2))</f>
        <v>#N/A</v>
      </c>
      <c r="U770" s="13"/>
      <c r="V770" s="13"/>
      <c r="W770" s="13" t="e">
        <f ca="1">$N770-$P770-$Q770+$S770-$T770-IF(ROUNDUP(IF(ISBLANK($V770),$U770*0,$V770)/IF($D$2="Egyszeri",VLOOKUP($B770+IF($C770=12,1,0),Paraméterek!$V$257:$W$262,2),IF($B770=1,1,VLOOKUP($B770+IF($C770=12,1,0),Paraméterek!$I$258:$T$278,HLOOKUP($M$11+1,Paraméterek!$J$256:$T$257,2)))),IF($D$4="Forint",0,2))&gt;$N770-$P770-$Q770+$S770-$T770-IF($D$4="Forint",Paraméterek!$C$216,Paraméterek!$D$216),0,ROUNDUP(IF(ISBLANK($V770),$U770*0,$V770)/IF($D$2="Egyszeri",VLOOKUP($B770+IF($C770=12,1,0),Paraméterek!$V$257:$W$262,2),IF($B770=1,1,VLOOKUP($B770+IF($C770=12,1,0),Paraméterek!$I$258:$T$278,HLOOKUP($M$11+1,Paraméterek!$J$256:$T$257,2)))),IF($D$4="Forint",0,2)))</f>
        <v>#N/A</v>
      </c>
      <c r="X770" s="13" t="e">
        <f ca="1">ROUNDDOWN($W770*IF($D$2="Egyszeri",VLOOKUP($B770+IF($C770=12,1,0),Paraméterek!$V$257:$W$262,2),VLOOKUP($B770+IF($C770=12,1,0),Paraméterek!$I$258:$T$278,HLOOKUP($M$11+1,Paraméterek!$I$256:$T$257,2))),IF($D$4="Forint",0,2))</f>
        <v>#N/A</v>
      </c>
      <c r="Z770" s="32">
        <v>751</v>
      </c>
      <c r="AA770" s="32">
        <v>63</v>
      </c>
      <c r="AB770" s="32">
        <v>7</v>
      </c>
      <c r="AC770" s="13">
        <f t="shared" ca="1" si="258"/>
        <v>0</v>
      </c>
      <c r="AD770" s="33"/>
      <c r="AE770" s="13">
        <f t="shared" ca="1" si="250"/>
        <v>0</v>
      </c>
      <c r="AF770" s="13">
        <f ca="1">ROUNDUP(($AC770+$AE770)*VLOOKUP($AA770,Paraméterek!$P$38:$Q$38,2)/12*IF($D771="Nem",IF($M$13=0,1,$M$13),1),IF($D$4="Forint",0,2))</f>
        <v>0</v>
      </c>
      <c r="AG770" s="13">
        <f ca="1">IF($D$2="Egyszeri",IF($D$7&gt;=IF($D$4="Forint",Paraméterek!$P$223,Paraméterek!$P$224),$D$7-IF($D$4="Forint",Paraméterek!$P$223,Paraméterek!$P$224),0),MIN(IF($AB770=12,AVERAGEIF($E$20:$E770,"&gt;0",$E$20:$E770)*12,0),SUM($E$20:$E$31)))</f>
        <v>0</v>
      </c>
      <c r="AH770" s="13">
        <f>IF($AA770=10,$AG770*IF($AB770=12,IF($AG770&lt;IF($D$4="Forint",Paraméterek!$L$223,Paraméterek!$L$224),0,VLOOKUP($AA770,Paraméterek!$K$226:$M$228,IF($AG770&lt;IF($D$4="Forint",Paraméterek!$M$223,Paraméterek!$M$224),2,3))),0),0)</f>
        <v>0</v>
      </c>
      <c r="AI770" s="13">
        <f ca="1">IF(AND($AA770=$M$11+1,$AB770=$M$12+1),SUMIF($AA$20:$AA$1027,$AA770,$AG$20:$AG$1027)*IF(SUMIF($AA$20:$AA$1027,$AA770,$AG$20:$AG$1027)&lt;IF($D$4="Forint",Paraméterek!$L$223,Paraméterek!$L$224),0,VLOOKUP($AA770,Paraméterek!$K$230:$M$250,IF(SUMIF($AA$20:$AA$1027,$AA770,$AG$20:$AG$1027)&lt;IF($D$4="Forint",Paraméterek!$M$223,Paraméterek!$M$224),2,3))),0)</f>
        <v>0</v>
      </c>
      <c r="AJ770" s="13">
        <f ca="1">IF(AND($AA770&gt;=5,MOD($AA770,5)=0),IF($AB770=12,VLOOKUP($AA770,Paraméterek!$O$225:$P$240,2),0),IF(OR($AA770=3,$AA770=4),IF($AB770=12,VLOOKUP($AA770,Paraméterek!$O$225:$P$240,2,0),0),0))*$AG770</f>
        <v>0</v>
      </c>
      <c r="AK770" s="13">
        <f t="shared" ca="1" si="251"/>
        <v>0</v>
      </c>
      <c r="AL770" s="13">
        <f t="shared" ca="1" si="259"/>
        <v>0</v>
      </c>
      <c r="AM770" s="13">
        <f t="shared" ca="1" si="260"/>
        <v>0</v>
      </c>
      <c r="AO770" s="32">
        <v>751</v>
      </c>
      <c r="AP770" s="32">
        <v>63</v>
      </c>
      <c r="AQ770" s="32">
        <v>7</v>
      </c>
      <c r="AR770" s="13"/>
      <c r="AS770" s="32"/>
      <c r="AT770" s="13">
        <f t="shared" ca="1" si="261"/>
        <v>0</v>
      </c>
      <c r="AU770" s="33"/>
      <c r="AV770" s="13">
        <f t="shared" ca="1" si="252"/>
        <v>0</v>
      </c>
      <c r="AW770" s="13">
        <f ca="1">ROUNDUP(($AT770+$AV770)*VLOOKUP($AP770,Paraméterek!$P$38:$Q$38,2)/12*IF($D771="Nem",IF($M$13=0,1,$M$13),1),IF($D$4="Forint",0,2))</f>
        <v>0</v>
      </c>
      <c r="AX770" s="13"/>
      <c r="AY770" s="13"/>
      <c r="AZ770" s="13">
        <f>ROUNDUP(IF(SUM($AX770:$AY770)=0,0,IF(IF(ISBLANK($AY770),$AX770,$AY770)*Paraméterek!$J$112&lt;IF($D$4="Forint",Paraméterek!$J$113,Paraméterek!$K$113),IF($D$4="Forint",Paraméterek!$J$113,Paraméterek!$K$113),IF(IF(ISBLANK($AY770),$AX770,$AY770)*Paraméterek!$J$112&gt;IF($D$4="Forint",Paraméterek!$J$114,Paraméterek!$K$114),IF($D$4="Forint",Paraméterek!$J$114,Paraméterek!$K$114),IF(ISBLANK($AY770),$AX770,$AY770)*Paraméterek!$J$112))),IF($D$4="Forint",0,2))</f>
        <v>0</v>
      </c>
      <c r="BA770" s="13">
        <f ca="1">$AT770+$AV770-$AW770-IF(ROUNDDOWN(IF(ISBLANK($AY770),$AX770,$AY770),IF($D$4="Forint",0,2))&gt;$AT770+$AV770-$AW770-IF($D$4="Forint",Paraméterek!$J$114,Paraméterek!$K$114),0,ROUNDDOWN(IF(ISBLANK($AY770),$AX770,$AY770),IF($D$4="Forint",0,2))-$AZ770)</f>
        <v>0</v>
      </c>
      <c r="BB770" s="13">
        <f t="shared" ca="1" si="253"/>
        <v>0</v>
      </c>
      <c r="BD770" s="32">
        <v>751</v>
      </c>
      <c r="BE770" s="32">
        <v>63</v>
      </c>
      <c r="BF770" s="32">
        <v>7</v>
      </c>
      <c r="BG770" s="34">
        <f t="shared" ca="1" si="262"/>
        <v>2081</v>
      </c>
      <c r="BH770" s="32" t="str">
        <f ca="1">IF(MOD(MONTH($D$14)+$BD770-1,12)=Paraméterek!$C$288,"Igen","")</f>
        <v/>
      </c>
      <c r="BI770" s="13">
        <f ca="1">IF($BH770="Igen",MIN(ROUNDDOWN((SUMIF($BG$20:$BG$1027,$BG770-1,$K$20:$K$1027)-SUMIF($BG$20:$BG$1027,$BG770-1,$I$20:$I$1027))*Paraméterek!$C$289,IF($D$4="Forint",0,2)),IF($D$4="Forint",Paraméterek!$C$285,Paraméterek!$D$285)),0)</f>
        <v>0</v>
      </c>
      <c r="BJ770" s="13">
        <f t="shared" ca="1" si="254"/>
        <v>0</v>
      </c>
      <c r="BK770" s="13">
        <f t="shared" ca="1" si="263"/>
        <v>0</v>
      </c>
      <c r="BL770" s="33"/>
      <c r="BM770" s="13">
        <f t="shared" ca="1" si="255"/>
        <v>0</v>
      </c>
      <c r="BN770" s="13">
        <f ca="1">ROUNDUP(($BK770+$BM770)*VLOOKUP($BE770,Paraméterek!$P$38:$Q$38,2)/12*IF($D771="Nem",IF($M$13=0,1,$M$13),1),IF($D$4="Forint",0,2))</f>
        <v>0</v>
      </c>
      <c r="BO770" s="13">
        <f t="shared" ca="1" si="256"/>
        <v>0</v>
      </c>
      <c r="BP770" s="13">
        <f ca="1">IF($D771="Nem",$BO770,$BO770-ROUNDUP(SUM($BI$20:$BI770)*120%,IF($D$4="Forint",0,2)))</f>
        <v>0</v>
      </c>
    </row>
    <row r="771" spans="1:68" x14ac:dyDescent="0.2">
      <c r="A771" s="32">
        <v>752</v>
      </c>
      <c r="B771" s="32">
        <v>63</v>
      </c>
      <c r="C771" s="32">
        <v>8</v>
      </c>
      <c r="D771" s="32" t="str">
        <f t="shared" ca="1" si="242"/>
        <v>Nem</v>
      </c>
      <c r="E771" s="13">
        <f t="shared" ca="1" si="243"/>
        <v>0</v>
      </c>
      <c r="F771" s="13"/>
      <c r="G771" s="13"/>
      <c r="H771" s="13"/>
      <c r="I771" s="13">
        <f t="shared" ca="1" si="244"/>
        <v>0</v>
      </c>
      <c r="J771" s="13">
        <f t="shared" ca="1" si="245"/>
        <v>0</v>
      </c>
      <c r="K771" s="13">
        <f t="shared" ca="1" si="246"/>
        <v>0</v>
      </c>
      <c r="L771" s="13" t="e">
        <f ca="1">ROUNDUP(IF($D$2="Egyszeri",$E771,IF($D$2="Havi",SUM($E$20:$E$31),IF(MOD($C771,$M$1)-1=0,SUM($E$20:$E$31),0))/12*$M$1)*VLOOKUP($B771,Paraméterek!$I$28:$P$31,IF($D$2="Egyszeri",8,HLOOKUP(ROUNDUP($M$11+$M$13,0),Paraméterek!$J$26:$O$27,2))),IF($D$4="Forint",0,2))</f>
        <v>#N/A</v>
      </c>
      <c r="M771" s="13">
        <f t="shared" ca="1" si="247"/>
        <v>0</v>
      </c>
      <c r="N771" s="13">
        <f t="shared" ca="1" si="257"/>
        <v>0</v>
      </c>
      <c r="O771" s="13">
        <f ca="1">IF($D771="Igen",IF($W770&gt;=IF($D$4="Forint",Paraméterek!$J$121,Paraméterek!$K$121),0,IF($D$4="Forint",Paraméterek!$J$121,Paraméterek!$K$121)-$W770),0)</f>
        <v>0</v>
      </c>
      <c r="P771" s="13" t="e">
        <f ca="1">ROUNDUP($O771*VLOOKUP($M$4+$B771-1,Paraméterek!$H$58:$I$105,2,0)/Paraméterek!$I$56,IF($D$4="Forint",0,2))</f>
        <v>#N/A</v>
      </c>
      <c r="Q771" s="13">
        <f t="shared" ca="1" si="248"/>
        <v>0</v>
      </c>
      <c r="R771" s="33"/>
      <c r="S771" s="13" t="e">
        <f t="shared" ca="1" si="249"/>
        <v>#N/A</v>
      </c>
      <c r="T771" s="13" t="e">
        <f ca="1">ROUNDUP(($N771-$P771-$Q771+$S771)*VLOOKUP($B771,Paraméterek!$I$38:$K$39,IF($D$2="Egyszeri",3,2))/12*IF($D772="Nem",IF($M$13=0,1,$M$13),1),IF($D$4="Forint",0,2))</f>
        <v>#N/A</v>
      </c>
      <c r="U771" s="13"/>
      <c r="V771" s="13"/>
      <c r="W771" s="13" t="e">
        <f ca="1">$N771-$P771-$Q771+$S771-$T771-IF(ROUNDUP(IF(ISBLANK($V771),$U771*0,$V771)/IF($D$2="Egyszeri",VLOOKUP($B771+IF($C771=12,1,0),Paraméterek!$V$257:$W$262,2),IF($B771=1,1,VLOOKUP($B771+IF($C771=12,1,0),Paraméterek!$I$258:$T$278,HLOOKUP($M$11+1,Paraméterek!$J$256:$T$257,2)))),IF($D$4="Forint",0,2))&gt;$N771-$P771-$Q771+$S771-$T771-IF($D$4="Forint",Paraméterek!$C$216,Paraméterek!$D$216),0,ROUNDUP(IF(ISBLANK($V771),$U771*0,$V771)/IF($D$2="Egyszeri",VLOOKUP($B771+IF($C771=12,1,0),Paraméterek!$V$257:$W$262,2),IF($B771=1,1,VLOOKUP($B771+IF($C771=12,1,0),Paraméterek!$I$258:$T$278,HLOOKUP($M$11+1,Paraméterek!$J$256:$T$257,2)))),IF($D$4="Forint",0,2)))</f>
        <v>#N/A</v>
      </c>
      <c r="X771" s="13" t="e">
        <f ca="1">ROUNDDOWN($W771*IF($D$2="Egyszeri",VLOOKUP($B771+IF($C771=12,1,0),Paraméterek!$V$257:$W$262,2),VLOOKUP($B771+IF($C771=12,1,0),Paraméterek!$I$258:$T$278,HLOOKUP($M$11+1,Paraméterek!$I$256:$T$257,2))),IF($D$4="Forint",0,2))</f>
        <v>#N/A</v>
      </c>
      <c r="Z771" s="32">
        <v>752</v>
      </c>
      <c r="AA771" s="32">
        <v>63</v>
      </c>
      <c r="AB771" s="32">
        <v>8</v>
      </c>
      <c r="AC771" s="13">
        <f t="shared" ca="1" si="258"/>
        <v>0</v>
      </c>
      <c r="AD771" s="33"/>
      <c r="AE771" s="13">
        <f t="shared" ca="1" si="250"/>
        <v>0</v>
      </c>
      <c r="AF771" s="13">
        <f ca="1">ROUNDUP(($AC771+$AE771)*VLOOKUP($AA771,Paraméterek!$P$38:$Q$38,2)/12*IF($D772="Nem",IF($M$13=0,1,$M$13),1),IF($D$4="Forint",0,2))</f>
        <v>0</v>
      </c>
      <c r="AG771" s="13">
        <f ca="1">IF($D$2="Egyszeri",IF($D$7&gt;=IF($D$4="Forint",Paraméterek!$P$223,Paraméterek!$P$224),$D$7-IF($D$4="Forint",Paraméterek!$P$223,Paraméterek!$P$224),0),MIN(IF($AB771=12,AVERAGEIF($E$20:$E771,"&gt;0",$E$20:$E771)*12,0),SUM($E$20:$E$31)))</f>
        <v>0</v>
      </c>
      <c r="AH771" s="13">
        <f>IF($AA771=10,$AG771*IF($AB771=12,IF($AG771&lt;IF($D$4="Forint",Paraméterek!$L$223,Paraméterek!$L$224),0,VLOOKUP($AA771,Paraméterek!$K$226:$M$228,IF($AG771&lt;IF($D$4="Forint",Paraméterek!$M$223,Paraméterek!$M$224),2,3))),0),0)</f>
        <v>0</v>
      </c>
      <c r="AI771" s="13">
        <f ca="1">IF(AND($AA771=$M$11+1,$AB771=$M$12+1),SUMIF($AA$20:$AA$1027,$AA771,$AG$20:$AG$1027)*IF(SUMIF($AA$20:$AA$1027,$AA771,$AG$20:$AG$1027)&lt;IF($D$4="Forint",Paraméterek!$L$223,Paraméterek!$L$224),0,VLOOKUP($AA771,Paraméterek!$K$230:$M$250,IF(SUMIF($AA$20:$AA$1027,$AA771,$AG$20:$AG$1027)&lt;IF($D$4="Forint",Paraméterek!$M$223,Paraméterek!$M$224),2,3))),0)</f>
        <v>0</v>
      </c>
      <c r="AJ771" s="13">
        <f ca="1">IF(AND($AA771&gt;=5,MOD($AA771,5)=0),IF($AB771=12,VLOOKUP($AA771,Paraméterek!$O$225:$P$240,2),0),IF(OR($AA771=3,$AA771=4),IF($AB771=12,VLOOKUP($AA771,Paraméterek!$O$225:$P$240,2,0),0),0))*$AG771</f>
        <v>0</v>
      </c>
      <c r="AK771" s="13">
        <f t="shared" ca="1" si="251"/>
        <v>0</v>
      </c>
      <c r="AL771" s="13">
        <f t="shared" ca="1" si="259"/>
        <v>0</v>
      </c>
      <c r="AM771" s="13">
        <f t="shared" ca="1" si="260"/>
        <v>0</v>
      </c>
      <c r="AO771" s="32">
        <v>752</v>
      </c>
      <c r="AP771" s="32">
        <v>63</v>
      </c>
      <c r="AQ771" s="32">
        <v>8</v>
      </c>
      <c r="AR771" s="13"/>
      <c r="AS771" s="32"/>
      <c r="AT771" s="13">
        <f t="shared" ca="1" si="261"/>
        <v>0</v>
      </c>
      <c r="AU771" s="33"/>
      <c r="AV771" s="13">
        <f t="shared" ca="1" si="252"/>
        <v>0</v>
      </c>
      <c r="AW771" s="13">
        <f ca="1">ROUNDUP(($AT771+$AV771)*VLOOKUP($AP771,Paraméterek!$P$38:$Q$38,2)/12*IF($D772="Nem",IF($M$13=0,1,$M$13),1),IF($D$4="Forint",0,2))</f>
        <v>0</v>
      </c>
      <c r="AX771" s="13"/>
      <c r="AY771" s="13"/>
      <c r="AZ771" s="13">
        <f>ROUNDUP(IF(SUM($AX771:$AY771)=0,0,IF(IF(ISBLANK($AY771),$AX771,$AY771)*Paraméterek!$J$112&lt;IF($D$4="Forint",Paraméterek!$J$113,Paraméterek!$K$113),IF($D$4="Forint",Paraméterek!$J$113,Paraméterek!$K$113),IF(IF(ISBLANK($AY771),$AX771,$AY771)*Paraméterek!$J$112&gt;IF($D$4="Forint",Paraméterek!$J$114,Paraméterek!$K$114),IF($D$4="Forint",Paraméterek!$J$114,Paraméterek!$K$114),IF(ISBLANK($AY771),$AX771,$AY771)*Paraméterek!$J$112))),IF($D$4="Forint",0,2))</f>
        <v>0</v>
      </c>
      <c r="BA771" s="13">
        <f ca="1">$AT771+$AV771-$AW771-IF(ROUNDDOWN(IF(ISBLANK($AY771),$AX771,$AY771),IF($D$4="Forint",0,2))&gt;$AT771+$AV771-$AW771-IF($D$4="Forint",Paraméterek!$J$114,Paraméterek!$K$114),0,ROUNDDOWN(IF(ISBLANK($AY771),$AX771,$AY771),IF($D$4="Forint",0,2))-$AZ771)</f>
        <v>0</v>
      </c>
      <c r="BB771" s="13">
        <f t="shared" ca="1" si="253"/>
        <v>0</v>
      </c>
      <c r="BD771" s="32">
        <v>752</v>
      </c>
      <c r="BE771" s="32">
        <v>63</v>
      </c>
      <c r="BF771" s="32">
        <v>8</v>
      </c>
      <c r="BG771" s="34">
        <f t="shared" ca="1" si="262"/>
        <v>2082</v>
      </c>
      <c r="BH771" s="32" t="str">
        <f ca="1">IF(MOD(MONTH($D$14)+$BD771-1,12)=Paraméterek!$C$288,"Igen","")</f>
        <v/>
      </c>
      <c r="BI771" s="13">
        <f ca="1">IF($BH771="Igen",MIN(ROUNDDOWN((SUMIF($BG$20:$BG$1027,$BG771-1,$K$20:$K$1027)-SUMIF($BG$20:$BG$1027,$BG771-1,$I$20:$I$1027))*Paraméterek!$C$289,IF($D$4="Forint",0,2)),IF($D$4="Forint",Paraméterek!$C$285,Paraméterek!$D$285)),0)</f>
        <v>0</v>
      </c>
      <c r="BJ771" s="13">
        <f t="shared" ca="1" si="254"/>
        <v>0</v>
      </c>
      <c r="BK771" s="13">
        <f t="shared" ca="1" si="263"/>
        <v>0</v>
      </c>
      <c r="BL771" s="33"/>
      <c r="BM771" s="13">
        <f t="shared" ca="1" si="255"/>
        <v>0</v>
      </c>
      <c r="BN771" s="13">
        <f ca="1">ROUNDUP(($BK771+$BM771)*VLOOKUP($BE771,Paraméterek!$P$38:$Q$38,2)/12*IF($D772="Nem",IF($M$13=0,1,$M$13),1),IF($D$4="Forint",0,2))</f>
        <v>0</v>
      </c>
      <c r="BO771" s="13">
        <f t="shared" ca="1" si="256"/>
        <v>0</v>
      </c>
      <c r="BP771" s="13">
        <f ca="1">IF($D772="Nem",$BO771,$BO771-ROUNDUP(SUM($BI$20:$BI771)*120%,IF($D$4="Forint",0,2)))</f>
        <v>0</v>
      </c>
    </row>
    <row r="772" spans="1:68" x14ac:dyDescent="0.2">
      <c r="A772" s="32">
        <v>753</v>
      </c>
      <c r="B772" s="32">
        <v>63</v>
      </c>
      <c r="C772" s="32">
        <v>9</v>
      </c>
      <c r="D772" s="32" t="str">
        <f t="shared" ca="1" si="242"/>
        <v>Nem</v>
      </c>
      <c r="E772" s="13">
        <f t="shared" ca="1" si="243"/>
        <v>0</v>
      </c>
      <c r="F772" s="13"/>
      <c r="G772" s="13"/>
      <c r="H772" s="13"/>
      <c r="I772" s="13">
        <f t="shared" ca="1" si="244"/>
        <v>0</v>
      </c>
      <c r="J772" s="13">
        <f t="shared" ca="1" si="245"/>
        <v>0</v>
      </c>
      <c r="K772" s="13">
        <f t="shared" ca="1" si="246"/>
        <v>0</v>
      </c>
      <c r="L772" s="13" t="e">
        <f ca="1">ROUNDUP(IF($D$2="Egyszeri",$E772,IF($D$2="Havi",SUM($E$20:$E$31),IF(MOD($C772,$M$1)-1=0,SUM($E$20:$E$31),0))/12*$M$1)*VLOOKUP($B772,Paraméterek!$I$28:$P$31,IF($D$2="Egyszeri",8,HLOOKUP(ROUNDUP($M$11+$M$13,0),Paraméterek!$J$26:$O$27,2))),IF($D$4="Forint",0,2))</f>
        <v>#N/A</v>
      </c>
      <c r="M772" s="13">
        <f t="shared" ca="1" si="247"/>
        <v>0</v>
      </c>
      <c r="N772" s="13">
        <f t="shared" ca="1" si="257"/>
        <v>0</v>
      </c>
      <c r="O772" s="13">
        <f ca="1">IF($D772="Igen",IF($W771&gt;=IF($D$4="Forint",Paraméterek!$J$121,Paraméterek!$K$121),0,IF($D$4="Forint",Paraméterek!$J$121,Paraméterek!$K$121)-$W771),0)</f>
        <v>0</v>
      </c>
      <c r="P772" s="13" t="e">
        <f ca="1">ROUNDUP($O772*VLOOKUP($M$4+$B772-1,Paraméterek!$H$58:$I$105,2,0)/Paraméterek!$I$56,IF($D$4="Forint",0,2))</f>
        <v>#N/A</v>
      </c>
      <c r="Q772" s="13">
        <f t="shared" ca="1" si="248"/>
        <v>0</v>
      </c>
      <c r="R772" s="33"/>
      <c r="S772" s="13" t="e">
        <f t="shared" ca="1" si="249"/>
        <v>#N/A</v>
      </c>
      <c r="T772" s="13" t="e">
        <f ca="1">ROUNDUP(($N772-$P772-$Q772+$S772)*VLOOKUP($B772,Paraméterek!$I$38:$K$39,IF($D$2="Egyszeri",3,2))/12*IF($D773="Nem",IF($M$13=0,1,$M$13),1),IF($D$4="Forint",0,2))</f>
        <v>#N/A</v>
      </c>
      <c r="U772" s="13"/>
      <c r="V772" s="13"/>
      <c r="W772" s="13" t="e">
        <f ca="1">$N772-$P772-$Q772+$S772-$T772-IF(ROUNDUP(IF(ISBLANK($V772),$U772*0,$V772)/IF($D$2="Egyszeri",VLOOKUP($B772+IF($C772=12,1,0),Paraméterek!$V$257:$W$262,2),IF($B772=1,1,VLOOKUP($B772+IF($C772=12,1,0),Paraméterek!$I$258:$T$278,HLOOKUP($M$11+1,Paraméterek!$J$256:$T$257,2)))),IF($D$4="Forint",0,2))&gt;$N772-$P772-$Q772+$S772-$T772-IF($D$4="Forint",Paraméterek!$C$216,Paraméterek!$D$216),0,ROUNDUP(IF(ISBLANK($V772),$U772*0,$V772)/IF($D$2="Egyszeri",VLOOKUP($B772+IF($C772=12,1,0),Paraméterek!$V$257:$W$262,2),IF($B772=1,1,VLOOKUP($B772+IF($C772=12,1,0),Paraméterek!$I$258:$T$278,HLOOKUP($M$11+1,Paraméterek!$J$256:$T$257,2)))),IF($D$4="Forint",0,2)))</f>
        <v>#N/A</v>
      </c>
      <c r="X772" s="13" t="e">
        <f ca="1">ROUNDDOWN($W772*IF($D$2="Egyszeri",VLOOKUP($B772+IF($C772=12,1,0),Paraméterek!$V$257:$W$262,2),VLOOKUP($B772+IF($C772=12,1,0),Paraméterek!$I$258:$T$278,HLOOKUP($M$11+1,Paraméterek!$I$256:$T$257,2))),IF($D$4="Forint",0,2))</f>
        <v>#N/A</v>
      </c>
      <c r="Z772" s="32">
        <v>753</v>
      </c>
      <c r="AA772" s="32">
        <v>63</v>
      </c>
      <c r="AB772" s="32">
        <v>9</v>
      </c>
      <c r="AC772" s="13">
        <f t="shared" ca="1" si="258"/>
        <v>0</v>
      </c>
      <c r="AD772" s="33"/>
      <c r="AE772" s="13">
        <f t="shared" ca="1" si="250"/>
        <v>0</v>
      </c>
      <c r="AF772" s="13">
        <f ca="1">ROUNDUP(($AC772+$AE772)*VLOOKUP($AA772,Paraméterek!$P$38:$Q$38,2)/12*IF($D773="Nem",IF($M$13=0,1,$M$13),1),IF($D$4="Forint",0,2))</f>
        <v>0</v>
      </c>
      <c r="AG772" s="13">
        <f ca="1">IF($D$2="Egyszeri",IF($D$7&gt;=IF($D$4="Forint",Paraméterek!$P$223,Paraméterek!$P$224),$D$7-IF($D$4="Forint",Paraméterek!$P$223,Paraméterek!$P$224),0),MIN(IF($AB772=12,AVERAGEIF($E$20:$E772,"&gt;0",$E$20:$E772)*12,0),SUM($E$20:$E$31)))</f>
        <v>0</v>
      </c>
      <c r="AH772" s="13">
        <f>IF($AA772=10,$AG772*IF($AB772=12,IF($AG772&lt;IF($D$4="Forint",Paraméterek!$L$223,Paraméterek!$L$224),0,VLOOKUP($AA772,Paraméterek!$K$226:$M$228,IF($AG772&lt;IF($D$4="Forint",Paraméterek!$M$223,Paraméterek!$M$224),2,3))),0),0)</f>
        <v>0</v>
      </c>
      <c r="AI772" s="13">
        <f ca="1">IF(AND($AA772=$M$11+1,$AB772=$M$12+1),SUMIF($AA$20:$AA$1027,$AA772,$AG$20:$AG$1027)*IF(SUMIF($AA$20:$AA$1027,$AA772,$AG$20:$AG$1027)&lt;IF($D$4="Forint",Paraméterek!$L$223,Paraméterek!$L$224),0,VLOOKUP($AA772,Paraméterek!$K$230:$M$250,IF(SUMIF($AA$20:$AA$1027,$AA772,$AG$20:$AG$1027)&lt;IF($D$4="Forint",Paraméterek!$M$223,Paraméterek!$M$224),2,3))),0)</f>
        <v>0</v>
      </c>
      <c r="AJ772" s="13">
        <f ca="1">IF(AND($AA772&gt;=5,MOD($AA772,5)=0),IF($AB772=12,VLOOKUP($AA772,Paraméterek!$O$225:$P$240,2),0),IF(OR($AA772=3,$AA772=4),IF($AB772=12,VLOOKUP($AA772,Paraméterek!$O$225:$P$240,2,0),0),0))*$AG772</f>
        <v>0</v>
      </c>
      <c r="AK772" s="13">
        <f t="shared" ca="1" si="251"/>
        <v>0</v>
      </c>
      <c r="AL772" s="13">
        <f t="shared" ca="1" si="259"/>
        <v>0</v>
      </c>
      <c r="AM772" s="13">
        <f t="shared" ca="1" si="260"/>
        <v>0</v>
      </c>
      <c r="AO772" s="32">
        <v>753</v>
      </c>
      <c r="AP772" s="32">
        <v>63</v>
      </c>
      <c r="AQ772" s="32">
        <v>9</v>
      </c>
      <c r="AR772" s="13"/>
      <c r="AS772" s="32"/>
      <c r="AT772" s="13">
        <f t="shared" ca="1" si="261"/>
        <v>0</v>
      </c>
      <c r="AU772" s="33"/>
      <c r="AV772" s="13">
        <f t="shared" ca="1" si="252"/>
        <v>0</v>
      </c>
      <c r="AW772" s="13">
        <f ca="1">ROUNDUP(($AT772+$AV772)*VLOOKUP($AP772,Paraméterek!$P$38:$Q$38,2)/12*IF($D773="Nem",IF($M$13=0,1,$M$13),1),IF($D$4="Forint",0,2))</f>
        <v>0</v>
      </c>
      <c r="AX772" s="13"/>
      <c r="AY772" s="13"/>
      <c r="AZ772" s="13">
        <f>ROUNDUP(IF(SUM($AX772:$AY772)=0,0,IF(IF(ISBLANK($AY772),$AX772,$AY772)*Paraméterek!$J$112&lt;IF($D$4="Forint",Paraméterek!$J$113,Paraméterek!$K$113),IF($D$4="Forint",Paraméterek!$J$113,Paraméterek!$K$113),IF(IF(ISBLANK($AY772),$AX772,$AY772)*Paraméterek!$J$112&gt;IF($D$4="Forint",Paraméterek!$J$114,Paraméterek!$K$114),IF($D$4="Forint",Paraméterek!$J$114,Paraméterek!$K$114),IF(ISBLANK($AY772),$AX772,$AY772)*Paraméterek!$J$112))),IF($D$4="Forint",0,2))</f>
        <v>0</v>
      </c>
      <c r="BA772" s="13">
        <f ca="1">$AT772+$AV772-$AW772-IF(ROUNDDOWN(IF(ISBLANK($AY772),$AX772,$AY772),IF($D$4="Forint",0,2))&gt;$AT772+$AV772-$AW772-IF($D$4="Forint",Paraméterek!$J$114,Paraméterek!$K$114),0,ROUNDDOWN(IF(ISBLANK($AY772),$AX772,$AY772),IF($D$4="Forint",0,2))-$AZ772)</f>
        <v>0</v>
      </c>
      <c r="BB772" s="13">
        <f t="shared" ca="1" si="253"/>
        <v>0</v>
      </c>
      <c r="BD772" s="32">
        <v>753</v>
      </c>
      <c r="BE772" s="32">
        <v>63</v>
      </c>
      <c r="BF772" s="32">
        <v>9</v>
      </c>
      <c r="BG772" s="34">
        <f t="shared" ca="1" si="262"/>
        <v>2082</v>
      </c>
      <c r="BH772" s="32" t="str">
        <f ca="1">IF(MOD(MONTH($D$14)+$BD772-1,12)=Paraméterek!$C$288,"Igen","")</f>
        <v/>
      </c>
      <c r="BI772" s="13">
        <f ca="1">IF($BH772="Igen",MIN(ROUNDDOWN((SUMIF($BG$20:$BG$1027,$BG772-1,$K$20:$K$1027)-SUMIF($BG$20:$BG$1027,$BG772-1,$I$20:$I$1027))*Paraméterek!$C$289,IF($D$4="Forint",0,2)),IF($D$4="Forint",Paraméterek!$C$285,Paraméterek!$D$285)),0)</f>
        <v>0</v>
      </c>
      <c r="BJ772" s="13">
        <f t="shared" ca="1" si="254"/>
        <v>0</v>
      </c>
      <c r="BK772" s="13">
        <f t="shared" ca="1" si="263"/>
        <v>0</v>
      </c>
      <c r="BL772" s="33"/>
      <c r="BM772" s="13">
        <f t="shared" ca="1" si="255"/>
        <v>0</v>
      </c>
      <c r="BN772" s="13">
        <f ca="1">ROUNDUP(($BK772+$BM772)*VLOOKUP($BE772,Paraméterek!$P$38:$Q$38,2)/12*IF($D773="Nem",IF($M$13=0,1,$M$13),1),IF($D$4="Forint",0,2))</f>
        <v>0</v>
      </c>
      <c r="BO772" s="13">
        <f t="shared" ca="1" si="256"/>
        <v>0</v>
      </c>
      <c r="BP772" s="13">
        <f ca="1">IF($D773="Nem",$BO772,$BO772-ROUNDUP(SUM($BI$20:$BI772)*120%,IF($D$4="Forint",0,2)))</f>
        <v>0</v>
      </c>
    </row>
    <row r="773" spans="1:68" x14ac:dyDescent="0.2">
      <c r="A773" s="32">
        <v>754</v>
      </c>
      <c r="B773" s="32">
        <v>63</v>
      </c>
      <c r="C773" s="32">
        <v>10</v>
      </c>
      <c r="D773" s="32" t="str">
        <f t="shared" ca="1" si="242"/>
        <v>Nem</v>
      </c>
      <c r="E773" s="13">
        <f t="shared" ca="1" si="243"/>
        <v>0</v>
      </c>
      <c r="F773" s="13"/>
      <c r="G773" s="13"/>
      <c r="H773" s="13"/>
      <c r="I773" s="13">
        <f t="shared" ca="1" si="244"/>
        <v>0</v>
      </c>
      <c r="J773" s="13">
        <f t="shared" ca="1" si="245"/>
        <v>0</v>
      </c>
      <c r="K773" s="13">
        <f t="shared" ca="1" si="246"/>
        <v>0</v>
      </c>
      <c r="L773" s="13" t="e">
        <f ca="1">ROUNDUP(IF($D$2="Egyszeri",$E773,IF($D$2="Havi",SUM($E$20:$E$31),IF(MOD($C773,$M$1)-1=0,SUM($E$20:$E$31),0))/12*$M$1)*VLOOKUP($B773,Paraméterek!$I$28:$P$31,IF($D$2="Egyszeri",8,HLOOKUP(ROUNDUP($M$11+$M$13,0),Paraméterek!$J$26:$O$27,2))),IF($D$4="Forint",0,2))</f>
        <v>#N/A</v>
      </c>
      <c r="M773" s="13">
        <f t="shared" ca="1" si="247"/>
        <v>0</v>
      </c>
      <c r="N773" s="13">
        <f t="shared" ca="1" si="257"/>
        <v>0</v>
      </c>
      <c r="O773" s="13">
        <f ca="1">IF($D773="Igen",IF($W772&gt;=IF($D$4="Forint",Paraméterek!$J$121,Paraméterek!$K$121),0,IF($D$4="Forint",Paraméterek!$J$121,Paraméterek!$K$121)-$W772),0)</f>
        <v>0</v>
      </c>
      <c r="P773" s="13" t="e">
        <f ca="1">ROUNDUP($O773*VLOOKUP($M$4+$B773-1,Paraméterek!$H$58:$I$105,2,0)/Paraméterek!$I$56,IF($D$4="Forint",0,2))</f>
        <v>#N/A</v>
      </c>
      <c r="Q773" s="13">
        <f t="shared" ca="1" si="248"/>
        <v>0</v>
      </c>
      <c r="R773" s="33"/>
      <c r="S773" s="13" t="e">
        <f t="shared" ca="1" si="249"/>
        <v>#N/A</v>
      </c>
      <c r="T773" s="13" t="e">
        <f ca="1">ROUNDUP(($N773-$P773-$Q773+$S773)*VLOOKUP($B773,Paraméterek!$I$38:$K$39,IF($D$2="Egyszeri",3,2))/12*IF($D774="Nem",IF($M$13=0,1,$M$13),1),IF($D$4="Forint",0,2))</f>
        <v>#N/A</v>
      </c>
      <c r="U773" s="13"/>
      <c r="V773" s="13"/>
      <c r="W773" s="13" t="e">
        <f ca="1">$N773-$P773-$Q773+$S773-$T773-IF(ROUNDUP(IF(ISBLANK($V773),$U773*0,$V773)/IF($D$2="Egyszeri",VLOOKUP($B773+IF($C773=12,1,0),Paraméterek!$V$257:$W$262,2),IF($B773=1,1,VLOOKUP($B773+IF($C773=12,1,0),Paraméterek!$I$258:$T$278,HLOOKUP($M$11+1,Paraméterek!$J$256:$T$257,2)))),IF($D$4="Forint",0,2))&gt;$N773-$P773-$Q773+$S773-$T773-IF($D$4="Forint",Paraméterek!$C$216,Paraméterek!$D$216),0,ROUNDUP(IF(ISBLANK($V773),$U773*0,$V773)/IF($D$2="Egyszeri",VLOOKUP($B773+IF($C773=12,1,0),Paraméterek!$V$257:$W$262,2),IF($B773=1,1,VLOOKUP($B773+IF($C773=12,1,0),Paraméterek!$I$258:$T$278,HLOOKUP($M$11+1,Paraméterek!$J$256:$T$257,2)))),IF($D$4="Forint",0,2)))</f>
        <v>#N/A</v>
      </c>
      <c r="X773" s="13" t="e">
        <f ca="1">ROUNDDOWN($W773*IF($D$2="Egyszeri",VLOOKUP($B773+IF($C773=12,1,0),Paraméterek!$V$257:$W$262,2),VLOOKUP($B773+IF($C773=12,1,0),Paraméterek!$I$258:$T$278,HLOOKUP($M$11+1,Paraméterek!$I$256:$T$257,2))),IF($D$4="Forint",0,2))</f>
        <v>#N/A</v>
      </c>
      <c r="Z773" s="32">
        <v>754</v>
      </c>
      <c r="AA773" s="32">
        <v>63</v>
      </c>
      <c r="AB773" s="32">
        <v>10</v>
      </c>
      <c r="AC773" s="13">
        <f t="shared" ca="1" si="258"/>
        <v>0</v>
      </c>
      <c r="AD773" s="33"/>
      <c r="AE773" s="13">
        <f t="shared" ca="1" si="250"/>
        <v>0</v>
      </c>
      <c r="AF773" s="13">
        <f ca="1">ROUNDUP(($AC773+$AE773)*VLOOKUP($AA773,Paraméterek!$P$38:$Q$38,2)/12*IF($D774="Nem",IF($M$13=0,1,$M$13),1),IF($D$4="Forint",0,2))</f>
        <v>0</v>
      </c>
      <c r="AG773" s="13">
        <f ca="1">IF($D$2="Egyszeri",IF($D$7&gt;=IF($D$4="Forint",Paraméterek!$P$223,Paraméterek!$P$224),$D$7-IF($D$4="Forint",Paraméterek!$P$223,Paraméterek!$P$224),0),MIN(IF($AB773=12,AVERAGEIF($E$20:$E773,"&gt;0",$E$20:$E773)*12,0),SUM($E$20:$E$31)))</f>
        <v>0</v>
      </c>
      <c r="AH773" s="13">
        <f>IF($AA773=10,$AG773*IF($AB773=12,IF($AG773&lt;IF($D$4="Forint",Paraméterek!$L$223,Paraméterek!$L$224),0,VLOOKUP($AA773,Paraméterek!$K$226:$M$228,IF($AG773&lt;IF($D$4="Forint",Paraméterek!$M$223,Paraméterek!$M$224),2,3))),0),0)</f>
        <v>0</v>
      </c>
      <c r="AI773" s="13">
        <f ca="1">IF(AND($AA773=$M$11+1,$AB773=$M$12+1),SUMIF($AA$20:$AA$1027,$AA773,$AG$20:$AG$1027)*IF(SUMIF($AA$20:$AA$1027,$AA773,$AG$20:$AG$1027)&lt;IF($D$4="Forint",Paraméterek!$L$223,Paraméterek!$L$224),0,VLOOKUP($AA773,Paraméterek!$K$230:$M$250,IF(SUMIF($AA$20:$AA$1027,$AA773,$AG$20:$AG$1027)&lt;IF($D$4="Forint",Paraméterek!$M$223,Paraméterek!$M$224),2,3))),0)</f>
        <v>0</v>
      </c>
      <c r="AJ773" s="13">
        <f ca="1">IF(AND($AA773&gt;=5,MOD($AA773,5)=0),IF($AB773=12,VLOOKUP($AA773,Paraméterek!$O$225:$P$240,2),0),IF(OR($AA773=3,$AA773=4),IF($AB773=12,VLOOKUP($AA773,Paraméterek!$O$225:$P$240,2,0),0),0))*$AG773</f>
        <v>0</v>
      </c>
      <c r="AK773" s="13">
        <f t="shared" ca="1" si="251"/>
        <v>0</v>
      </c>
      <c r="AL773" s="13">
        <f t="shared" ca="1" si="259"/>
        <v>0</v>
      </c>
      <c r="AM773" s="13">
        <f t="shared" ca="1" si="260"/>
        <v>0</v>
      </c>
      <c r="AO773" s="32">
        <v>754</v>
      </c>
      <c r="AP773" s="32">
        <v>63</v>
      </c>
      <c r="AQ773" s="32">
        <v>10</v>
      </c>
      <c r="AR773" s="13"/>
      <c r="AS773" s="32"/>
      <c r="AT773" s="13">
        <f t="shared" ca="1" si="261"/>
        <v>0</v>
      </c>
      <c r="AU773" s="33"/>
      <c r="AV773" s="13">
        <f t="shared" ca="1" si="252"/>
        <v>0</v>
      </c>
      <c r="AW773" s="13">
        <f ca="1">ROUNDUP(($AT773+$AV773)*VLOOKUP($AP773,Paraméterek!$P$38:$Q$38,2)/12*IF($D774="Nem",IF($M$13=0,1,$M$13),1),IF($D$4="Forint",0,2))</f>
        <v>0</v>
      </c>
      <c r="AX773" s="13"/>
      <c r="AY773" s="13"/>
      <c r="AZ773" s="13">
        <f>ROUNDUP(IF(SUM($AX773:$AY773)=0,0,IF(IF(ISBLANK($AY773),$AX773,$AY773)*Paraméterek!$J$112&lt;IF($D$4="Forint",Paraméterek!$J$113,Paraméterek!$K$113),IF($D$4="Forint",Paraméterek!$J$113,Paraméterek!$K$113),IF(IF(ISBLANK($AY773),$AX773,$AY773)*Paraméterek!$J$112&gt;IF($D$4="Forint",Paraméterek!$J$114,Paraméterek!$K$114),IF($D$4="Forint",Paraméterek!$J$114,Paraméterek!$K$114),IF(ISBLANK($AY773),$AX773,$AY773)*Paraméterek!$J$112))),IF($D$4="Forint",0,2))</f>
        <v>0</v>
      </c>
      <c r="BA773" s="13">
        <f ca="1">$AT773+$AV773-$AW773-IF(ROUNDDOWN(IF(ISBLANK($AY773),$AX773,$AY773),IF($D$4="Forint",0,2))&gt;$AT773+$AV773-$AW773-IF($D$4="Forint",Paraméterek!$J$114,Paraméterek!$K$114),0,ROUNDDOWN(IF(ISBLANK($AY773),$AX773,$AY773),IF($D$4="Forint",0,2))-$AZ773)</f>
        <v>0</v>
      </c>
      <c r="BB773" s="13">
        <f t="shared" ca="1" si="253"/>
        <v>0</v>
      </c>
      <c r="BD773" s="32">
        <v>754</v>
      </c>
      <c r="BE773" s="32">
        <v>63</v>
      </c>
      <c r="BF773" s="32">
        <v>10</v>
      </c>
      <c r="BG773" s="34">
        <f t="shared" ca="1" si="262"/>
        <v>2082</v>
      </c>
      <c r="BH773" s="32" t="str">
        <f ca="1">IF(MOD(MONTH($D$14)+$BD773-1,12)=Paraméterek!$C$288,"Igen","")</f>
        <v/>
      </c>
      <c r="BI773" s="13">
        <f ca="1">IF($BH773="Igen",MIN(ROUNDDOWN((SUMIF($BG$20:$BG$1027,$BG773-1,$K$20:$K$1027)-SUMIF($BG$20:$BG$1027,$BG773-1,$I$20:$I$1027))*Paraméterek!$C$289,IF($D$4="Forint",0,2)),IF($D$4="Forint",Paraméterek!$C$285,Paraméterek!$D$285)),0)</f>
        <v>0</v>
      </c>
      <c r="BJ773" s="13">
        <f t="shared" ca="1" si="254"/>
        <v>0</v>
      </c>
      <c r="BK773" s="13">
        <f t="shared" ca="1" si="263"/>
        <v>0</v>
      </c>
      <c r="BL773" s="33"/>
      <c r="BM773" s="13">
        <f t="shared" ca="1" si="255"/>
        <v>0</v>
      </c>
      <c r="BN773" s="13">
        <f ca="1">ROUNDUP(($BK773+$BM773)*VLOOKUP($BE773,Paraméterek!$P$38:$Q$38,2)/12*IF($D774="Nem",IF($M$13=0,1,$M$13),1),IF($D$4="Forint",0,2))</f>
        <v>0</v>
      </c>
      <c r="BO773" s="13">
        <f t="shared" ca="1" si="256"/>
        <v>0</v>
      </c>
      <c r="BP773" s="13">
        <f ca="1">IF($D774="Nem",$BO773,$BO773-ROUNDUP(SUM($BI$20:$BI773)*120%,IF($D$4="Forint",0,2)))</f>
        <v>0</v>
      </c>
    </row>
    <row r="774" spans="1:68" x14ac:dyDescent="0.2">
      <c r="A774" s="32">
        <v>755</v>
      </c>
      <c r="B774" s="32">
        <v>63</v>
      </c>
      <c r="C774" s="32">
        <v>11</v>
      </c>
      <c r="D774" s="32" t="str">
        <f t="shared" ca="1" si="242"/>
        <v>Nem</v>
      </c>
      <c r="E774" s="13">
        <f t="shared" ca="1" si="243"/>
        <v>0</v>
      </c>
      <c r="F774" s="13"/>
      <c r="G774" s="13"/>
      <c r="H774" s="13"/>
      <c r="I774" s="13">
        <f t="shared" ca="1" si="244"/>
        <v>0</v>
      </c>
      <c r="J774" s="13">
        <f t="shared" ca="1" si="245"/>
        <v>0</v>
      </c>
      <c r="K774" s="13">
        <f t="shared" ca="1" si="246"/>
        <v>0</v>
      </c>
      <c r="L774" s="13" t="e">
        <f ca="1">ROUNDUP(IF($D$2="Egyszeri",$E774,IF($D$2="Havi",SUM($E$20:$E$31),IF(MOD($C774,$M$1)-1=0,SUM($E$20:$E$31),0))/12*$M$1)*VLOOKUP($B774,Paraméterek!$I$28:$P$31,IF($D$2="Egyszeri",8,HLOOKUP(ROUNDUP($M$11+$M$13,0),Paraméterek!$J$26:$O$27,2))),IF($D$4="Forint",0,2))</f>
        <v>#N/A</v>
      </c>
      <c r="M774" s="13">
        <f t="shared" ca="1" si="247"/>
        <v>0</v>
      </c>
      <c r="N774" s="13">
        <f t="shared" ca="1" si="257"/>
        <v>0</v>
      </c>
      <c r="O774" s="13">
        <f ca="1">IF($D774="Igen",IF($W773&gt;=IF($D$4="Forint",Paraméterek!$J$121,Paraméterek!$K$121),0,IF($D$4="Forint",Paraméterek!$J$121,Paraméterek!$K$121)-$W773),0)</f>
        <v>0</v>
      </c>
      <c r="P774" s="13" t="e">
        <f ca="1">ROUNDUP($O774*VLOOKUP($M$4+$B774-1,Paraméterek!$H$58:$I$105,2,0)/Paraméterek!$I$56,IF($D$4="Forint",0,2))</f>
        <v>#N/A</v>
      </c>
      <c r="Q774" s="13">
        <f t="shared" ca="1" si="248"/>
        <v>0</v>
      </c>
      <c r="R774" s="33"/>
      <c r="S774" s="13" t="e">
        <f t="shared" ca="1" si="249"/>
        <v>#N/A</v>
      </c>
      <c r="T774" s="13" t="e">
        <f ca="1">ROUNDUP(($N774-$P774-$Q774+$S774)*VLOOKUP($B774,Paraméterek!$I$38:$K$39,IF($D$2="Egyszeri",3,2))/12*IF($D775="Nem",IF($M$13=0,1,$M$13),1),IF($D$4="Forint",0,2))</f>
        <v>#N/A</v>
      </c>
      <c r="U774" s="13"/>
      <c r="V774" s="13"/>
      <c r="W774" s="13" t="e">
        <f ca="1">$N774-$P774-$Q774+$S774-$T774-IF(ROUNDUP(IF(ISBLANK($V774),$U774*0,$V774)/IF($D$2="Egyszeri",VLOOKUP($B774+IF($C774=12,1,0),Paraméterek!$V$257:$W$262,2),IF($B774=1,1,VLOOKUP($B774+IF($C774=12,1,0),Paraméterek!$I$258:$T$278,HLOOKUP($M$11+1,Paraméterek!$J$256:$T$257,2)))),IF($D$4="Forint",0,2))&gt;$N774-$P774-$Q774+$S774-$T774-IF($D$4="Forint",Paraméterek!$C$216,Paraméterek!$D$216),0,ROUNDUP(IF(ISBLANK($V774),$U774*0,$V774)/IF($D$2="Egyszeri",VLOOKUP($B774+IF($C774=12,1,0),Paraméterek!$V$257:$W$262,2),IF($B774=1,1,VLOOKUP($B774+IF($C774=12,1,0),Paraméterek!$I$258:$T$278,HLOOKUP($M$11+1,Paraméterek!$J$256:$T$257,2)))),IF($D$4="Forint",0,2)))</f>
        <v>#N/A</v>
      </c>
      <c r="X774" s="13" t="e">
        <f ca="1">ROUNDDOWN($W774*IF($D$2="Egyszeri",VLOOKUP($B774+IF($C774=12,1,0),Paraméterek!$V$257:$W$262,2),VLOOKUP($B774+IF($C774=12,1,0),Paraméterek!$I$258:$T$278,HLOOKUP($M$11+1,Paraméterek!$I$256:$T$257,2))),IF($D$4="Forint",0,2))</f>
        <v>#N/A</v>
      </c>
      <c r="Z774" s="32">
        <v>755</v>
      </c>
      <c r="AA774" s="32">
        <v>63</v>
      </c>
      <c r="AB774" s="32">
        <v>11</v>
      </c>
      <c r="AC774" s="13">
        <f t="shared" ca="1" si="258"/>
        <v>0</v>
      </c>
      <c r="AD774" s="33"/>
      <c r="AE774" s="13">
        <f t="shared" ca="1" si="250"/>
        <v>0</v>
      </c>
      <c r="AF774" s="13">
        <f ca="1">ROUNDUP(($AC774+$AE774)*VLOOKUP($AA774,Paraméterek!$P$38:$Q$38,2)/12*IF($D775="Nem",IF($M$13=0,1,$M$13),1),IF($D$4="Forint",0,2))</f>
        <v>0</v>
      </c>
      <c r="AG774" s="13">
        <f ca="1">IF($D$2="Egyszeri",IF($D$7&gt;=IF($D$4="Forint",Paraméterek!$P$223,Paraméterek!$P$224),$D$7-IF($D$4="Forint",Paraméterek!$P$223,Paraméterek!$P$224),0),MIN(IF($AB774=12,AVERAGEIF($E$20:$E774,"&gt;0",$E$20:$E774)*12,0),SUM($E$20:$E$31)))</f>
        <v>0</v>
      </c>
      <c r="AH774" s="13">
        <f>IF($AA774=10,$AG774*IF($AB774=12,IF($AG774&lt;IF($D$4="Forint",Paraméterek!$L$223,Paraméterek!$L$224),0,VLOOKUP($AA774,Paraméterek!$K$226:$M$228,IF($AG774&lt;IF($D$4="Forint",Paraméterek!$M$223,Paraméterek!$M$224),2,3))),0),0)</f>
        <v>0</v>
      </c>
      <c r="AI774" s="13">
        <f ca="1">IF(AND($AA774=$M$11+1,$AB774=$M$12+1),SUMIF($AA$20:$AA$1027,$AA774,$AG$20:$AG$1027)*IF(SUMIF($AA$20:$AA$1027,$AA774,$AG$20:$AG$1027)&lt;IF($D$4="Forint",Paraméterek!$L$223,Paraméterek!$L$224),0,VLOOKUP($AA774,Paraméterek!$K$230:$M$250,IF(SUMIF($AA$20:$AA$1027,$AA774,$AG$20:$AG$1027)&lt;IF($D$4="Forint",Paraméterek!$M$223,Paraméterek!$M$224),2,3))),0)</f>
        <v>0</v>
      </c>
      <c r="AJ774" s="13">
        <f ca="1">IF(AND($AA774&gt;=5,MOD($AA774,5)=0),IF($AB774=12,VLOOKUP($AA774,Paraméterek!$O$225:$P$240,2),0),IF(OR($AA774=3,$AA774=4),IF($AB774=12,VLOOKUP($AA774,Paraméterek!$O$225:$P$240,2,0),0),0))*$AG774</f>
        <v>0</v>
      </c>
      <c r="AK774" s="13">
        <f t="shared" ca="1" si="251"/>
        <v>0</v>
      </c>
      <c r="AL774" s="13">
        <f t="shared" ca="1" si="259"/>
        <v>0</v>
      </c>
      <c r="AM774" s="13">
        <f t="shared" ca="1" si="260"/>
        <v>0</v>
      </c>
      <c r="AO774" s="32">
        <v>755</v>
      </c>
      <c r="AP774" s="32">
        <v>63</v>
      </c>
      <c r="AQ774" s="32">
        <v>11</v>
      </c>
      <c r="AR774" s="13"/>
      <c r="AS774" s="32"/>
      <c r="AT774" s="13">
        <f t="shared" ca="1" si="261"/>
        <v>0</v>
      </c>
      <c r="AU774" s="33"/>
      <c r="AV774" s="13">
        <f t="shared" ca="1" si="252"/>
        <v>0</v>
      </c>
      <c r="AW774" s="13">
        <f ca="1">ROUNDUP(($AT774+$AV774)*VLOOKUP($AP774,Paraméterek!$P$38:$Q$38,2)/12*IF($D775="Nem",IF($M$13=0,1,$M$13),1),IF($D$4="Forint",0,2))</f>
        <v>0</v>
      </c>
      <c r="AX774" s="13"/>
      <c r="AY774" s="13"/>
      <c r="AZ774" s="13">
        <f>ROUNDUP(IF(SUM($AX774:$AY774)=0,0,IF(IF(ISBLANK($AY774),$AX774,$AY774)*Paraméterek!$J$112&lt;IF($D$4="Forint",Paraméterek!$J$113,Paraméterek!$K$113),IF($D$4="Forint",Paraméterek!$J$113,Paraméterek!$K$113),IF(IF(ISBLANK($AY774),$AX774,$AY774)*Paraméterek!$J$112&gt;IF($D$4="Forint",Paraméterek!$J$114,Paraméterek!$K$114),IF($D$4="Forint",Paraméterek!$J$114,Paraméterek!$K$114),IF(ISBLANK($AY774),$AX774,$AY774)*Paraméterek!$J$112))),IF($D$4="Forint",0,2))</f>
        <v>0</v>
      </c>
      <c r="BA774" s="13">
        <f ca="1">$AT774+$AV774-$AW774-IF(ROUNDDOWN(IF(ISBLANK($AY774),$AX774,$AY774),IF($D$4="Forint",0,2))&gt;$AT774+$AV774-$AW774-IF($D$4="Forint",Paraméterek!$J$114,Paraméterek!$K$114),0,ROUNDDOWN(IF(ISBLANK($AY774),$AX774,$AY774),IF($D$4="Forint",0,2))-$AZ774)</f>
        <v>0</v>
      </c>
      <c r="BB774" s="13">
        <f t="shared" ca="1" si="253"/>
        <v>0</v>
      </c>
      <c r="BD774" s="32">
        <v>755</v>
      </c>
      <c r="BE774" s="32">
        <v>63</v>
      </c>
      <c r="BF774" s="32">
        <v>11</v>
      </c>
      <c r="BG774" s="34">
        <f t="shared" ca="1" si="262"/>
        <v>2082</v>
      </c>
      <c r="BH774" s="32" t="str">
        <f ca="1">IF(MOD(MONTH($D$14)+$BD774-1,12)=Paraméterek!$C$288,"Igen","")</f>
        <v/>
      </c>
      <c r="BI774" s="13">
        <f ca="1">IF($BH774="Igen",MIN(ROUNDDOWN((SUMIF($BG$20:$BG$1027,$BG774-1,$K$20:$K$1027)-SUMIF($BG$20:$BG$1027,$BG774-1,$I$20:$I$1027))*Paraméterek!$C$289,IF($D$4="Forint",0,2)),IF($D$4="Forint",Paraméterek!$C$285,Paraméterek!$D$285)),0)</f>
        <v>0</v>
      </c>
      <c r="BJ774" s="13">
        <f t="shared" ca="1" si="254"/>
        <v>0</v>
      </c>
      <c r="BK774" s="13">
        <f t="shared" ca="1" si="263"/>
        <v>0</v>
      </c>
      <c r="BL774" s="33"/>
      <c r="BM774" s="13">
        <f t="shared" ca="1" si="255"/>
        <v>0</v>
      </c>
      <c r="BN774" s="13">
        <f ca="1">ROUNDUP(($BK774+$BM774)*VLOOKUP($BE774,Paraméterek!$P$38:$Q$38,2)/12*IF($D775="Nem",IF($M$13=0,1,$M$13),1),IF($D$4="Forint",0,2))</f>
        <v>0</v>
      </c>
      <c r="BO774" s="13">
        <f t="shared" ca="1" si="256"/>
        <v>0</v>
      </c>
      <c r="BP774" s="13">
        <f ca="1">IF($D775="Nem",$BO774,$BO774-ROUNDUP(SUM($BI$20:$BI774)*120%,IF($D$4="Forint",0,2)))</f>
        <v>0</v>
      </c>
    </row>
    <row r="775" spans="1:68" x14ac:dyDescent="0.2">
      <c r="A775" s="32">
        <v>756</v>
      </c>
      <c r="B775" s="32">
        <v>63</v>
      </c>
      <c r="C775" s="32">
        <v>12</v>
      </c>
      <c r="D775" s="32" t="str">
        <f t="shared" ca="1" si="242"/>
        <v>Nem</v>
      </c>
      <c r="E775" s="13">
        <f t="shared" ca="1" si="243"/>
        <v>0</v>
      </c>
      <c r="F775" s="13"/>
      <c r="G775" s="13"/>
      <c r="H775" s="13"/>
      <c r="I775" s="13">
        <f t="shared" ca="1" si="244"/>
        <v>0</v>
      </c>
      <c r="J775" s="13">
        <f t="shared" ca="1" si="245"/>
        <v>0</v>
      </c>
      <c r="K775" s="13">
        <f t="shared" ca="1" si="246"/>
        <v>0</v>
      </c>
      <c r="L775" s="13" t="e">
        <f ca="1">ROUNDUP(IF($D$2="Egyszeri",$E775,IF($D$2="Havi",SUM($E$20:$E$31),IF(MOD($C775,$M$1)-1=0,SUM($E$20:$E$31),0))/12*$M$1)*VLOOKUP($B775,Paraméterek!$I$28:$P$31,IF($D$2="Egyszeri",8,HLOOKUP(ROUNDUP($M$11+$M$13,0),Paraméterek!$J$26:$O$27,2))),IF($D$4="Forint",0,2))</f>
        <v>#N/A</v>
      </c>
      <c r="M775" s="13">
        <f t="shared" ca="1" si="247"/>
        <v>0</v>
      </c>
      <c r="N775" s="13">
        <f t="shared" ca="1" si="257"/>
        <v>0</v>
      </c>
      <c r="O775" s="13">
        <f ca="1">IF($D775="Igen",IF($W774&gt;=IF($D$4="Forint",Paraméterek!$J$121,Paraméterek!$K$121),0,IF($D$4="Forint",Paraméterek!$J$121,Paraméterek!$K$121)-$W774),0)</f>
        <v>0</v>
      </c>
      <c r="P775" s="13" t="e">
        <f ca="1">ROUNDUP($O775*VLOOKUP($M$4+$B775-1,Paraméterek!$H$58:$I$105,2,0)/Paraméterek!$I$56,IF($D$4="Forint",0,2))</f>
        <v>#N/A</v>
      </c>
      <c r="Q775" s="13">
        <f t="shared" ca="1" si="248"/>
        <v>0</v>
      </c>
      <c r="R775" s="33"/>
      <c r="S775" s="13" t="e">
        <f t="shared" ca="1" si="249"/>
        <v>#N/A</v>
      </c>
      <c r="T775" s="13" t="e">
        <f ca="1">ROUNDUP(($N775-$P775-$Q775+$S775)*VLOOKUP($B775,Paraméterek!$I$38:$K$39,IF($D$2="Egyszeri",3,2))/12*IF($D776="Nem",IF($M$13=0,1,$M$13),1),IF($D$4="Forint",0,2))</f>
        <v>#N/A</v>
      </c>
      <c r="U775" s="13">
        <f>Tranzakciók!$F$94</f>
        <v>0</v>
      </c>
      <c r="V775" s="13"/>
      <c r="W775" s="13" t="e">
        <f ca="1">$N775-$P775-$Q775+$S775-$T775-IF(ROUNDUP(IF(ISBLANK($V775),$U775*0,$V775)/IF($D$2="Egyszeri",VLOOKUP($B775+IF($C775=12,1,0),Paraméterek!$V$257:$W$262,2),IF($B775=1,1,VLOOKUP($B775+IF($C775=12,1,0),Paraméterek!$I$258:$T$278,HLOOKUP($M$11+1,Paraméterek!$J$256:$T$257,2)))),IF($D$4="Forint",0,2))&gt;$N775-$P775-$Q775+$S775-$T775-IF($D$4="Forint",Paraméterek!$C$216,Paraméterek!$D$216),0,ROUNDUP(IF(ISBLANK($V775),$U775*0,$V775)/IF($D$2="Egyszeri",VLOOKUP($B775+IF($C775=12,1,0),Paraméterek!$V$257:$W$262,2),IF($B775=1,1,VLOOKUP($B775+IF($C775=12,1,0),Paraméterek!$I$258:$T$278,HLOOKUP($M$11+1,Paraméterek!$J$256:$T$257,2)))),IF($D$4="Forint",0,2)))</f>
        <v>#N/A</v>
      </c>
      <c r="X775" s="13" t="e">
        <f ca="1">ROUNDDOWN($W775*IF($D$2="Egyszeri",VLOOKUP($B775+IF($C775=12,1,0),Paraméterek!$V$257:$W$262,2),VLOOKUP($B775+IF($C775=12,1,0),Paraméterek!$I$258:$T$278,HLOOKUP($M$11+1,Paraméterek!$I$256:$T$257,2))),IF($D$4="Forint",0,2))</f>
        <v>#N/A</v>
      </c>
      <c r="Z775" s="32">
        <v>756</v>
      </c>
      <c r="AA775" s="32">
        <v>63</v>
      </c>
      <c r="AB775" s="32">
        <v>12</v>
      </c>
      <c r="AC775" s="13">
        <f t="shared" ca="1" si="258"/>
        <v>0</v>
      </c>
      <c r="AD775" s="33"/>
      <c r="AE775" s="13">
        <f t="shared" ca="1" si="250"/>
        <v>0</v>
      </c>
      <c r="AF775" s="13">
        <f ca="1">ROUNDUP(($AC775+$AE775)*VLOOKUP($AA775,Paraméterek!$P$38:$Q$38,2)/12*IF($D776="Nem",IF($M$13=0,1,$M$13),1),IF($D$4="Forint",0,2))</f>
        <v>0</v>
      </c>
      <c r="AG775" s="13" t="e">
        <f ca="1">IF($D$2="Egyszeri",IF($D$7&gt;=IF($D$4="Forint",Paraméterek!$P$223,Paraméterek!$P$224),$D$7-IF($D$4="Forint",Paraméterek!$P$223,Paraméterek!$P$224),0),MIN(IF($AB775=12,AVERAGEIF($E$20:$E775,"&gt;0",$E$20:$E775)*12,0),SUM($E$20:$E$31)))</f>
        <v>#DIV/0!</v>
      </c>
      <c r="AH775" s="13">
        <f>IF($AA775=10,$AG775*IF($AB775=12,IF($AG775&lt;IF($D$4="Forint",Paraméterek!$L$223,Paraméterek!$L$224),0,VLOOKUP($AA775,Paraméterek!$K$226:$M$228,IF($AG775&lt;IF($D$4="Forint",Paraméterek!$M$223,Paraméterek!$M$224),2,3))),0),0)</f>
        <v>0</v>
      </c>
      <c r="AI775" s="13">
        <f ca="1">IF(AND($AA775=$M$11+1,$AB775=$M$12+1),SUMIF($AA$20:$AA$1027,$AA775,$AG$20:$AG$1027)*IF(SUMIF($AA$20:$AA$1027,$AA775,$AG$20:$AG$1027)&lt;IF($D$4="Forint",Paraméterek!$L$223,Paraméterek!$L$224),0,VLOOKUP($AA775,Paraméterek!$K$230:$M$250,IF(SUMIF($AA$20:$AA$1027,$AA775,$AG$20:$AG$1027)&lt;IF($D$4="Forint",Paraméterek!$M$223,Paraméterek!$M$224),2,3))),0)</f>
        <v>0</v>
      </c>
      <c r="AJ775" s="13" t="e">
        <f ca="1">IF(AND($AA775&gt;=5,MOD($AA775,5)=0),IF($AB775=12,VLOOKUP($AA775,Paraméterek!$O$225:$P$240,2),0),IF(OR($AA775=3,$AA775=4),IF($AB775=12,VLOOKUP($AA775,Paraméterek!$O$225:$P$240,2,0),0),0))*$AG775</f>
        <v>#DIV/0!</v>
      </c>
      <c r="AK775" s="13">
        <f t="shared" ca="1" si="251"/>
        <v>0</v>
      </c>
      <c r="AL775" s="13">
        <f t="shared" ca="1" si="259"/>
        <v>0</v>
      </c>
      <c r="AM775" s="13">
        <f t="shared" ca="1" si="260"/>
        <v>0</v>
      </c>
      <c r="AO775" s="32">
        <v>756</v>
      </c>
      <c r="AP775" s="32">
        <v>63</v>
      </c>
      <c r="AQ775" s="32">
        <v>12</v>
      </c>
      <c r="AR775" s="13"/>
      <c r="AS775" s="32"/>
      <c r="AT775" s="13">
        <f t="shared" ca="1" si="261"/>
        <v>0</v>
      </c>
      <c r="AU775" s="33"/>
      <c r="AV775" s="13">
        <f t="shared" ca="1" si="252"/>
        <v>0</v>
      </c>
      <c r="AW775" s="13">
        <f ca="1">ROUNDUP(($AT775+$AV775)*VLOOKUP($AP775,Paraméterek!$P$38:$Q$38,2)/12*IF($D776="Nem",IF($M$13=0,1,$M$13),1),IF($D$4="Forint",0,2))</f>
        <v>0</v>
      </c>
      <c r="AX775" s="13">
        <f>Tranzakciók!$M$94</f>
        <v>0</v>
      </c>
      <c r="AY775" s="13"/>
      <c r="AZ775" s="13">
        <f>ROUNDUP(IF(SUM($AX775:$AY775)=0,0,IF(IF(ISBLANK($AY775),$AX775,$AY775)*Paraméterek!$J$112&lt;IF($D$4="Forint",Paraméterek!$J$113,Paraméterek!$K$113),IF($D$4="Forint",Paraméterek!$J$113,Paraméterek!$K$113),IF(IF(ISBLANK($AY775),$AX775,$AY775)*Paraméterek!$J$112&gt;IF($D$4="Forint",Paraméterek!$J$114,Paraméterek!$K$114),IF($D$4="Forint",Paraméterek!$J$114,Paraméterek!$K$114),IF(ISBLANK($AY775),$AX775,$AY775)*Paraméterek!$J$112))),IF($D$4="Forint",0,2))</f>
        <v>0</v>
      </c>
      <c r="BA775" s="13">
        <f ca="1">$AT775+$AV775-$AW775-IF(ROUNDDOWN(IF(ISBLANK($AY775),$AX775,$AY775),IF($D$4="Forint",0,2))&gt;$AT775+$AV775-$AW775-IF($D$4="Forint",Paraméterek!$J$114,Paraméterek!$K$114),0,ROUNDDOWN(IF(ISBLANK($AY775),$AX775,$AY775),IF($D$4="Forint",0,2))-$AZ775)</f>
        <v>0</v>
      </c>
      <c r="BB775" s="13">
        <f t="shared" ca="1" si="253"/>
        <v>0</v>
      </c>
      <c r="BD775" s="32">
        <v>756</v>
      </c>
      <c r="BE775" s="32">
        <v>63</v>
      </c>
      <c r="BF775" s="32">
        <v>12</v>
      </c>
      <c r="BG775" s="34">
        <f t="shared" ca="1" si="262"/>
        <v>2082</v>
      </c>
      <c r="BH775" s="32" t="str">
        <f ca="1">IF(MOD(MONTH($D$14)+$BD775-1,12)=Paraméterek!$C$288,"Igen","")</f>
        <v/>
      </c>
      <c r="BI775" s="13">
        <f ca="1">IF($BH775="Igen",MIN(ROUNDDOWN((SUMIF($BG$20:$BG$1027,$BG775-1,$K$20:$K$1027)-SUMIF($BG$20:$BG$1027,$BG775-1,$I$20:$I$1027))*Paraméterek!$C$289,IF($D$4="Forint",0,2)),IF($D$4="Forint",Paraméterek!$C$285,Paraméterek!$D$285)),0)</f>
        <v>0</v>
      </c>
      <c r="BJ775" s="13">
        <f t="shared" ca="1" si="254"/>
        <v>0</v>
      </c>
      <c r="BK775" s="13">
        <f t="shared" ca="1" si="263"/>
        <v>0</v>
      </c>
      <c r="BL775" s="33"/>
      <c r="BM775" s="13">
        <f t="shared" ca="1" si="255"/>
        <v>0</v>
      </c>
      <c r="BN775" s="13">
        <f ca="1">ROUNDUP(($BK775+$BM775)*VLOOKUP($BE775,Paraméterek!$P$38:$Q$38,2)/12*IF($D776="Nem",IF($M$13=0,1,$M$13),1),IF($D$4="Forint",0,2))</f>
        <v>0</v>
      </c>
      <c r="BO775" s="13">
        <f t="shared" ca="1" si="256"/>
        <v>0</v>
      </c>
      <c r="BP775" s="13">
        <f ca="1">IF($D776="Nem",$BO775,$BO775-ROUNDUP(SUM($BI$20:$BI775)*120%,IF($D$4="Forint",0,2)))</f>
        <v>0</v>
      </c>
    </row>
    <row r="776" spans="1:68" x14ac:dyDescent="0.2">
      <c r="A776" s="32">
        <v>757</v>
      </c>
      <c r="B776" s="32">
        <v>64</v>
      </c>
      <c r="C776" s="32">
        <v>1</v>
      </c>
      <c r="D776" s="32" t="str">
        <f t="shared" ca="1" si="242"/>
        <v>Nem</v>
      </c>
      <c r="E776" s="13">
        <f t="shared" ca="1" si="243"/>
        <v>0</v>
      </c>
      <c r="F776" s="13"/>
      <c r="G776" s="13">
        <f>Tranzakciók!$D$95</f>
        <v>0</v>
      </c>
      <c r="H776" s="13"/>
      <c r="I776" s="13">
        <f t="shared" ca="1" si="244"/>
        <v>0</v>
      </c>
      <c r="J776" s="13">
        <f t="shared" ca="1" si="245"/>
        <v>0</v>
      </c>
      <c r="K776" s="13">
        <f t="shared" ca="1" si="246"/>
        <v>0</v>
      </c>
      <c r="L776" s="13" t="e">
        <f ca="1">ROUNDUP(IF($D$2="Egyszeri",$E776,IF($D$2="Havi",SUM($E$20:$E$31),IF(MOD($C776,$M$1)-1=0,SUM($E$20:$E$31),0))/12*$M$1)*VLOOKUP($B776,Paraméterek!$I$28:$P$31,IF($D$2="Egyszeri",8,HLOOKUP(ROUNDUP($M$11+$M$13,0),Paraméterek!$J$26:$O$27,2))),IF($D$4="Forint",0,2))</f>
        <v>#N/A</v>
      </c>
      <c r="M776" s="13">
        <f t="shared" ca="1" si="247"/>
        <v>0</v>
      </c>
      <c r="N776" s="13">
        <f t="shared" ca="1" si="257"/>
        <v>0</v>
      </c>
      <c r="O776" s="13">
        <f ca="1">IF($D776="Igen",IF($W775&gt;=IF($D$4="Forint",Paraméterek!$J$121,Paraméterek!$K$121),0,IF($D$4="Forint",Paraméterek!$J$121,Paraméterek!$K$121)-$W775),0)</f>
        <v>0</v>
      </c>
      <c r="P776" s="13" t="e">
        <f ca="1">ROUNDUP($O776*VLOOKUP($M$4+$B776-1,Paraméterek!$H$58:$I$105,2,0)/Paraméterek!$I$56,IF($D$4="Forint",0,2))</f>
        <v>#N/A</v>
      </c>
      <c r="Q776" s="13">
        <f t="shared" ca="1" si="248"/>
        <v>0</v>
      </c>
      <c r="R776" s="33"/>
      <c r="S776" s="13" t="e">
        <f t="shared" ca="1" si="249"/>
        <v>#N/A</v>
      </c>
      <c r="T776" s="13" t="e">
        <f ca="1">ROUNDUP(($N776-$P776-$Q776+$S776)*VLOOKUP($B776,Paraméterek!$I$38:$K$39,IF($D$2="Egyszeri",3,2))/12*IF($D777="Nem",IF($M$13=0,1,$M$13),1),IF($D$4="Forint",0,2))</f>
        <v>#N/A</v>
      </c>
      <c r="U776" s="13"/>
      <c r="V776" s="13"/>
      <c r="W776" s="13" t="e">
        <f ca="1">$N776-$P776-$Q776+$S776-$T776-IF(ROUNDUP(IF(ISBLANK($V776),$U776*0,$V776)/IF($D$2="Egyszeri",VLOOKUP($B776+IF($C776=12,1,0),Paraméterek!$V$257:$W$262,2),IF($B776=1,1,VLOOKUP($B776+IF($C776=12,1,0),Paraméterek!$I$258:$T$278,HLOOKUP($M$11+1,Paraméterek!$J$256:$T$257,2)))),IF($D$4="Forint",0,2))&gt;$N776-$P776-$Q776+$S776-$T776-IF($D$4="Forint",Paraméterek!$C$216,Paraméterek!$D$216),0,ROUNDUP(IF(ISBLANK($V776),$U776*0,$V776)/IF($D$2="Egyszeri",VLOOKUP($B776+IF($C776=12,1,0),Paraméterek!$V$257:$W$262,2),IF($B776=1,1,VLOOKUP($B776+IF($C776=12,1,0),Paraméterek!$I$258:$T$278,HLOOKUP($M$11+1,Paraméterek!$J$256:$T$257,2)))),IF($D$4="Forint",0,2)))</f>
        <v>#N/A</v>
      </c>
      <c r="X776" s="13" t="e">
        <f ca="1">ROUNDDOWN($W776*IF($D$2="Egyszeri",VLOOKUP($B776+IF($C776=12,1,0),Paraméterek!$V$257:$W$262,2),VLOOKUP($B776+IF($C776=12,1,0),Paraméterek!$I$258:$T$278,HLOOKUP($M$11+1,Paraméterek!$I$256:$T$257,2))),IF($D$4="Forint",0,2))</f>
        <v>#N/A</v>
      </c>
      <c r="Z776" s="32">
        <v>757</v>
      </c>
      <c r="AA776" s="32">
        <v>64</v>
      </c>
      <c r="AB776" s="32">
        <v>1</v>
      </c>
      <c r="AC776" s="13">
        <f t="shared" ca="1" si="258"/>
        <v>0</v>
      </c>
      <c r="AD776" s="33"/>
      <c r="AE776" s="13">
        <f t="shared" ca="1" si="250"/>
        <v>0</v>
      </c>
      <c r="AF776" s="13">
        <f ca="1">ROUNDUP(($AC776+$AE776)*VLOOKUP($AA776,Paraméterek!$P$38:$Q$38,2)/12*IF($D777="Nem",IF($M$13=0,1,$M$13),1),IF($D$4="Forint",0,2))</f>
        <v>0</v>
      </c>
      <c r="AG776" s="13">
        <f ca="1">IF($D$2="Egyszeri",IF($D$7&gt;=IF($D$4="Forint",Paraméterek!$P$223,Paraméterek!$P$224),$D$7-IF($D$4="Forint",Paraméterek!$P$223,Paraméterek!$P$224),0),MIN(IF($AB776=12,AVERAGEIF($E$20:$E776,"&gt;0",$E$20:$E776)*12,0),SUM($E$20:$E$31)))</f>
        <v>0</v>
      </c>
      <c r="AH776" s="13">
        <f>IF($AA776=10,$AG776*IF($AB776=12,IF($AG776&lt;IF($D$4="Forint",Paraméterek!$L$223,Paraméterek!$L$224),0,VLOOKUP($AA776,Paraméterek!$K$226:$M$228,IF($AG776&lt;IF($D$4="Forint",Paraméterek!$M$223,Paraméterek!$M$224),2,3))),0),0)</f>
        <v>0</v>
      </c>
      <c r="AI776" s="13">
        <f ca="1">IF(AND($AA776=$M$11+1,$AB776=$M$12+1),SUMIF($AA$20:$AA$1027,$AA776,$AG$20:$AG$1027)*IF(SUMIF($AA$20:$AA$1027,$AA776,$AG$20:$AG$1027)&lt;IF($D$4="Forint",Paraméterek!$L$223,Paraméterek!$L$224),0,VLOOKUP($AA776,Paraméterek!$K$230:$M$250,IF(SUMIF($AA$20:$AA$1027,$AA776,$AG$20:$AG$1027)&lt;IF($D$4="Forint",Paraméterek!$M$223,Paraméterek!$M$224),2,3))),0)</f>
        <v>0</v>
      </c>
      <c r="AJ776" s="13">
        <f ca="1">IF(AND($AA776&gt;=5,MOD($AA776,5)=0),IF($AB776=12,VLOOKUP($AA776,Paraméterek!$O$225:$P$240,2),0),IF(OR($AA776=3,$AA776=4),IF($AB776=12,VLOOKUP($AA776,Paraméterek!$O$225:$P$240,2,0),0),0))*$AG776</f>
        <v>0</v>
      </c>
      <c r="AK776" s="13">
        <f t="shared" ca="1" si="251"/>
        <v>0</v>
      </c>
      <c r="AL776" s="13">
        <f t="shared" ca="1" si="259"/>
        <v>0</v>
      </c>
      <c r="AM776" s="13">
        <f t="shared" ca="1" si="260"/>
        <v>0</v>
      </c>
      <c r="AO776" s="32">
        <v>757</v>
      </c>
      <c r="AP776" s="32">
        <v>64</v>
      </c>
      <c r="AQ776" s="32">
        <v>1</v>
      </c>
      <c r="AR776" s="13">
        <f>Tranzakciók!$K$95</f>
        <v>0</v>
      </c>
      <c r="AS776" s="32"/>
      <c r="AT776" s="13">
        <f t="shared" ca="1" si="261"/>
        <v>0</v>
      </c>
      <c r="AU776" s="33"/>
      <c r="AV776" s="13">
        <f t="shared" ca="1" si="252"/>
        <v>0</v>
      </c>
      <c r="AW776" s="13">
        <f ca="1">ROUNDUP(($AT776+$AV776)*VLOOKUP($AP776,Paraméterek!$P$38:$Q$38,2)/12*IF($D777="Nem",IF($M$13=0,1,$M$13),1),IF($D$4="Forint",0,2))</f>
        <v>0</v>
      </c>
      <c r="AX776" s="13"/>
      <c r="AY776" s="13"/>
      <c r="AZ776" s="13">
        <f>ROUNDUP(IF(SUM($AX776:$AY776)=0,0,IF(IF(ISBLANK($AY776),$AX776,$AY776)*Paraméterek!$J$112&lt;IF($D$4="Forint",Paraméterek!$J$113,Paraméterek!$K$113),IF($D$4="Forint",Paraméterek!$J$113,Paraméterek!$K$113),IF(IF(ISBLANK($AY776),$AX776,$AY776)*Paraméterek!$J$112&gt;IF($D$4="Forint",Paraméterek!$J$114,Paraméterek!$K$114),IF($D$4="Forint",Paraméterek!$J$114,Paraméterek!$K$114),IF(ISBLANK($AY776),$AX776,$AY776)*Paraméterek!$J$112))),IF($D$4="Forint",0,2))</f>
        <v>0</v>
      </c>
      <c r="BA776" s="13">
        <f ca="1">$AT776+$AV776-$AW776-IF(ROUNDDOWN(IF(ISBLANK($AY776),$AX776,$AY776),IF($D$4="Forint",0,2))&gt;$AT776+$AV776-$AW776-IF($D$4="Forint",Paraméterek!$J$114,Paraméterek!$K$114),0,ROUNDDOWN(IF(ISBLANK($AY776),$AX776,$AY776),IF($D$4="Forint",0,2))-$AZ776)</f>
        <v>0</v>
      </c>
      <c r="BB776" s="13">
        <f t="shared" ca="1" si="253"/>
        <v>0</v>
      </c>
      <c r="BD776" s="32">
        <v>757</v>
      </c>
      <c r="BE776" s="32">
        <v>64</v>
      </c>
      <c r="BF776" s="32">
        <v>1</v>
      </c>
      <c r="BG776" s="34">
        <f t="shared" ca="1" si="262"/>
        <v>2082</v>
      </c>
      <c r="BH776" s="32" t="str">
        <f ca="1">IF(MOD(MONTH($D$14)+$BD776-1,12)=Paraméterek!$C$288,"Igen","")</f>
        <v/>
      </c>
      <c r="BI776" s="13">
        <f ca="1">IF($BH776="Igen",MIN(ROUNDDOWN((SUMIF($BG$20:$BG$1027,$BG776-1,$K$20:$K$1027)-SUMIF($BG$20:$BG$1027,$BG776-1,$I$20:$I$1027))*Paraméterek!$C$289,IF($D$4="Forint",0,2)),IF($D$4="Forint",Paraméterek!$C$285,Paraméterek!$D$285)),0)</f>
        <v>0</v>
      </c>
      <c r="BJ776" s="13">
        <f t="shared" ca="1" si="254"/>
        <v>0</v>
      </c>
      <c r="BK776" s="13">
        <f t="shared" ca="1" si="263"/>
        <v>0</v>
      </c>
      <c r="BL776" s="33"/>
      <c r="BM776" s="13">
        <f t="shared" ca="1" si="255"/>
        <v>0</v>
      </c>
      <c r="BN776" s="13">
        <f ca="1">ROUNDUP(($BK776+$BM776)*VLOOKUP($BE776,Paraméterek!$P$38:$Q$38,2)/12*IF($D777="Nem",IF($M$13=0,1,$M$13),1),IF($D$4="Forint",0,2))</f>
        <v>0</v>
      </c>
      <c r="BO776" s="13">
        <f t="shared" ca="1" si="256"/>
        <v>0</v>
      </c>
      <c r="BP776" s="13">
        <f ca="1">IF($D777="Nem",$BO776,$BO776-ROUNDUP(SUM($BI$20:$BI776)*120%,IF($D$4="Forint",0,2)))</f>
        <v>0</v>
      </c>
    </row>
    <row r="777" spans="1:68" x14ac:dyDescent="0.2">
      <c r="A777" s="32">
        <v>758</v>
      </c>
      <c r="B777" s="32">
        <v>64</v>
      </c>
      <c r="C777" s="32">
        <v>2</v>
      </c>
      <c r="D777" s="32" t="str">
        <f t="shared" ca="1" si="242"/>
        <v>Nem</v>
      </c>
      <c r="E777" s="13">
        <f t="shared" ca="1" si="243"/>
        <v>0</v>
      </c>
      <c r="F777" s="13"/>
      <c r="G777" s="13"/>
      <c r="H777" s="13"/>
      <c r="I777" s="13">
        <f t="shared" ca="1" si="244"/>
        <v>0</v>
      </c>
      <c r="J777" s="13">
        <f t="shared" ca="1" si="245"/>
        <v>0</v>
      </c>
      <c r="K777" s="13">
        <f t="shared" ca="1" si="246"/>
        <v>0</v>
      </c>
      <c r="L777" s="13" t="e">
        <f ca="1">ROUNDUP(IF($D$2="Egyszeri",$E777,IF($D$2="Havi",SUM($E$20:$E$31),IF(MOD($C777,$M$1)-1=0,SUM($E$20:$E$31),0))/12*$M$1)*VLOOKUP($B777,Paraméterek!$I$28:$P$31,IF($D$2="Egyszeri",8,HLOOKUP(ROUNDUP($M$11+$M$13,0),Paraméterek!$J$26:$O$27,2))),IF($D$4="Forint",0,2))</f>
        <v>#N/A</v>
      </c>
      <c r="M777" s="13">
        <f t="shared" ca="1" si="247"/>
        <v>0</v>
      </c>
      <c r="N777" s="13">
        <f t="shared" ca="1" si="257"/>
        <v>0</v>
      </c>
      <c r="O777" s="13">
        <f ca="1">IF($D777="Igen",IF($W776&gt;=IF($D$4="Forint",Paraméterek!$J$121,Paraméterek!$K$121),0,IF($D$4="Forint",Paraméterek!$J$121,Paraméterek!$K$121)-$W776),0)</f>
        <v>0</v>
      </c>
      <c r="P777" s="13" t="e">
        <f ca="1">ROUNDUP($O777*VLOOKUP($M$4+$B777-1,Paraméterek!$H$58:$I$105,2,0)/Paraméterek!$I$56,IF($D$4="Forint",0,2))</f>
        <v>#N/A</v>
      </c>
      <c r="Q777" s="13">
        <f t="shared" ca="1" si="248"/>
        <v>0</v>
      </c>
      <c r="R777" s="33"/>
      <c r="S777" s="13" t="e">
        <f t="shared" ca="1" si="249"/>
        <v>#N/A</v>
      </c>
      <c r="T777" s="13" t="e">
        <f ca="1">ROUNDUP(($N777-$P777-$Q777+$S777)*VLOOKUP($B777,Paraméterek!$I$38:$K$39,IF($D$2="Egyszeri",3,2))/12*IF($D778="Nem",IF($M$13=0,1,$M$13),1),IF($D$4="Forint",0,2))</f>
        <v>#N/A</v>
      </c>
      <c r="U777" s="13"/>
      <c r="V777" s="13"/>
      <c r="W777" s="13" t="e">
        <f ca="1">$N777-$P777-$Q777+$S777-$T777-IF(ROUNDUP(IF(ISBLANK($V777),$U777*0,$V777)/IF($D$2="Egyszeri",VLOOKUP($B777+IF($C777=12,1,0),Paraméterek!$V$257:$W$262,2),IF($B777=1,1,VLOOKUP($B777+IF($C777=12,1,0),Paraméterek!$I$258:$T$278,HLOOKUP($M$11+1,Paraméterek!$J$256:$T$257,2)))),IF($D$4="Forint",0,2))&gt;$N777-$P777-$Q777+$S777-$T777-IF($D$4="Forint",Paraméterek!$C$216,Paraméterek!$D$216),0,ROUNDUP(IF(ISBLANK($V777),$U777*0,$V777)/IF($D$2="Egyszeri",VLOOKUP($B777+IF($C777=12,1,0),Paraméterek!$V$257:$W$262,2),IF($B777=1,1,VLOOKUP($B777+IF($C777=12,1,0),Paraméterek!$I$258:$T$278,HLOOKUP($M$11+1,Paraméterek!$J$256:$T$257,2)))),IF($D$4="Forint",0,2)))</f>
        <v>#N/A</v>
      </c>
      <c r="X777" s="13" t="e">
        <f ca="1">ROUNDDOWN($W777*IF($D$2="Egyszeri",VLOOKUP($B777+IF($C777=12,1,0),Paraméterek!$V$257:$W$262,2),VLOOKUP($B777+IF($C777=12,1,0),Paraméterek!$I$258:$T$278,HLOOKUP($M$11+1,Paraméterek!$I$256:$T$257,2))),IF($D$4="Forint",0,2))</f>
        <v>#N/A</v>
      </c>
      <c r="Z777" s="32">
        <v>758</v>
      </c>
      <c r="AA777" s="32">
        <v>64</v>
      </c>
      <c r="AB777" s="32">
        <v>2</v>
      </c>
      <c r="AC777" s="13">
        <f t="shared" ca="1" si="258"/>
        <v>0</v>
      </c>
      <c r="AD777" s="33"/>
      <c r="AE777" s="13">
        <f t="shared" ca="1" si="250"/>
        <v>0</v>
      </c>
      <c r="AF777" s="13">
        <f ca="1">ROUNDUP(($AC777+$AE777)*VLOOKUP($AA777,Paraméterek!$P$38:$Q$38,2)/12*IF($D778="Nem",IF($M$13=0,1,$M$13),1),IF($D$4="Forint",0,2))</f>
        <v>0</v>
      </c>
      <c r="AG777" s="13">
        <f ca="1">IF($D$2="Egyszeri",IF($D$7&gt;=IF($D$4="Forint",Paraméterek!$P$223,Paraméterek!$P$224),$D$7-IF($D$4="Forint",Paraméterek!$P$223,Paraméterek!$P$224),0),MIN(IF($AB777=12,AVERAGEIF($E$20:$E777,"&gt;0",$E$20:$E777)*12,0),SUM($E$20:$E$31)))</f>
        <v>0</v>
      </c>
      <c r="AH777" s="13">
        <f>IF($AA777=10,$AG777*IF($AB777=12,IF($AG777&lt;IF($D$4="Forint",Paraméterek!$L$223,Paraméterek!$L$224),0,VLOOKUP($AA777,Paraméterek!$K$226:$M$228,IF($AG777&lt;IF($D$4="Forint",Paraméterek!$M$223,Paraméterek!$M$224),2,3))),0),0)</f>
        <v>0</v>
      </c>
      <c r="AI777" s="13">
        <f ca="1">IF(AND($AA777=$M$11+1,$AB777=$M$12+1),SUMIF($AA$20:$AA$1027,$AA777,$AG$20:$AG$1027)*IF(SUMIF($AA$20:$AA$1027,$AA777,$AG$20:$AG$1027)&lt;IF($D$4="Forint",Paraméterek!$L$223,Paraméterek!$L$224),0,VLOOKUP($AA777,Paraméterek!$K$230:$M$250,IF(SUMIF($AA$20:$AA$1027,$AA777,$AG$20:$AG$1027)&lt;IF($D$4="Forint",Paraméterek!$M$223,Paraméterek!$M$224),2,3))),0)</f>
        <v>0</v>
      </c>
      <c r="AJ777" s="13">
        <f ca="1">IF(AND($AA777&gt;=5,MOD($AA777,5)=0),IF($AB777=12,VLOOKUP($AA777,Paraméterek!$O$225:$P$240,2),0),IF(OR($AA777=3,$AA777=4),IF($AB777=12,VLOOKUP($AA777,Paraméterek!$O$225:$P$240,2,0),0),0))*$AG777</f>
        <v>0</v>
      </c>
      <c r="AK777" s="13">
        <f t="shared" ca="1" si="251"/>
        <v>0</v>
      </c>
      <c r="AL777" s="13">
        <f t="shared" ca="1" si="259"/>
        <v>0</v>
      </c>
      <c r="AM777" s="13">
        <f t="shared" ca="1" si="260"/>
        <v>0</v>
      </c>
      <c r="AO777" s="32">
        <v>758</v>
      </c>
      <c r="AP777" s="32">
        <v>64</v>
      </c>
      <c r="AQ777" s="32">
        <v>2</v>
      </c>
      <c r="AR777" s="13"/>
      <c r="AS777" s="32"/>
      <c r="AT777" s="13">
        <f t="shared" ca="1" si="261"/>
        <v>0</v>
      </c>
      <c r="AU777" s="33"/>
      <c r="AV777" s="13">
        <f t="shared" ca="1" si="252"/>
        <v>0</v>
      </c>
      <c r="AW777" s="13">
        <f ca="1">ROUNDUP(($AT777+$AV777)*VLOOKUP($AP777,Paraméterek!$P$38:$Q$38,2)/12*IF($D778="Nem",IF($M$13=0,1,$M$13),1),IF($D$4="Forint",0,2))</f>
        <v>0</v>
      </c>
      <c r="AX777" s="13"/>
      <c r="AY777" s="13"/>
      <c r="AZ777" s="13">
        <f>ROUNDUP(IF(SUM($AX777:$AY777)=0,0,IF(IF(ISBLANK($AY777),$AX777,$AY777)*Paraméterek!$J$112&lt;IF($D$4="Forint",Paraméterek!$J$113,Paraméterek!$K$113),IF($D$4="Forint",Paraméterek!$J$113,Paraméterek!$K$113),IF(IF(ISBLANK($AY777),$AX777,$AY777)*Paraméterek!$J$112&gt;IF($D$4="Forint",Paraméterek!$J$114,Paraméterek!$K$114),IF($D$4="Forint",Paraméterek!$J$114,Paraméterek!$K$114),IF(ISBLANK($AY777),$AX777,$AY777)*Paraméterek!$J$112))),IF($D$4="Forint",0,2))</f>
        <v>0</v>
      </c>
      <c r="BA777" s="13">
        <f ca="1">$AT777+$AV777-$AW777-IF(ROUNDDOWN(IF(ISBLANK($AY777),$AX777,$AY777),IF($D$4="Forint",0,2))&gt;$AT777+$AV777-$AW777-IF($D$4="Forint",Paraméterek!$J$114,Paraméterek!$K$114),0,ROUNDDOWN(IF(ISBLANK($AY777),$AX777,$AY777),IF($D$4="Forint",0,2))-$AZ777)</f>
        <v>0</v>
      </c>
      <c r="BB777" s="13">
        <f t="shared" ca="1" si="253"/>
        <v>0</v>
      </c>
      <c r="BD777" s="32">
        <v>758</v>
      </c>
      <c r="BE777" s="32">
        <v>64</v>
      </c>
      <c r="BF777" s="32">
        <v>2</v>
      </c>
      <c r="BG777" s="34">
        <f t="shared" ca="1" si="262"/>
        <v>2082</v>
      </c>
      <c r="BH777" s="32" t="str">
        <f ca="1">IF(MOD(MONTH($D$14)+$BD777-1,12)=Paraméterek!$C$288,"Igen","")</f>
        <v>Igen</v>
      </c>
      <c r="BI777" s="13">
        <f ca="1">IF($BH777="Igen",MIN(ROUNDDOWN((SUMIF($BG$20:$BG$1027,$BG777-1,$K$20:$K$1027)-SUMIF($BG$20:$BG$1027,$BG777-1,$I$20:$I$1027))*Paraméterek!$C$289,IF($D$4="Forint",0,2)),IF($D$4="Forint",Paraméterek!$C$285,Paraméterek!$D$285)),0)</f>
        <v>0</v>
      </c>
      <c r="BJ777" s="13">
        <f t="shared" ca="1" si="254"/>
        <v>0</v>
      </c>
      <c r="BK777" s="13">
        <f t="shared" ca="1" si="263"/>
        <v>0</v>
      </c>
      <c r="BL777" s="33"/>
      <c r="BM777" s="13">
        <f t="shared" ca="1" si="255"/>
        <v>0</v>
      </c>
      <c r="BN777" s="13">
        <f ca="1">ROUNDUP(($BK777+$BM777)*VLOOKUP($BE777,Paraméterek!$P$38:$Q$38,2)/12*IF($D778="Nem",IF($M$13=0,1,$M$13),1),IF($D$4="Forint",0,2))</f>
        <v>0</v>
      </c>
      <c r="BO777" s="13">
        <f t="shared" ca="1" si="256"/>
        <v>0</v>
      </c>
      <c r="BP777" s="13">
        <f ca="1">IF($D778="Nem",$BO777,$BO777-ROUNDUP(SUM($BI$20:$BI777)*120%,IF($D$4="Forint",0,2)))</f>
        <v>0</v>
      </c>
    </row>
    <row r="778" spans="1:68" x14ac:dyDescent="0.2">
      <c r="A778" s="32">
        <v>759</v>
      </c>
      <c r="B778" s="32">
        <v>64</v>
      </c>
      <c r="C778" s="32">
        <v>3</v>
      </c>
      <c r="D778" s="32" t="str">
        <f t="shared" ca="1" si="242"/>
        <v>Nem</v>
      </c>
      <c r="E778" s="13">
        <f t="shared" ca="1" si="243"/>
        <v>0</v>
      </c>
      <c r="F778" s="13"/>
      <c r="G778" s="13"/>
      <c r="H778" s="13"/>
      <c r="I778" s="13">
        <f t="shared" ca="1" si="244"/>
        <v>0</v>
      </c>
      <c r="J778" s="13">
        <f t="shared" ca="1" si="245"/>
        <v>0</v>
      </c>
      <c r="K778" s="13">
        <f t="shared" ca="1" si="246"/>
        <v>0</v>
      </c>
      <c r="L778" s="13" t="e">
        <f ca="1">ROUNDUP(IF($D$2="Egyszeri",$E778,IF($D$2="Havi",SUM($E$20:$E$31),IF(MOD($C778,$M$1)-1=0,SUM($E$20:$E$31),0))/12*$M$1)*VLOOKUP($B778,Paraméterek!$I$28:$P$31,IF($D$2="Egyszeri",8,HLOOKUP(ROUNDUP($M$11+$M$13,0),Paraméterek!$J$26:$O$27,2))),IF($D$4="Forint",0,2))</f>
        <v>#N/A</v>
      </c>
      <c r="M778" s="13">
        <f t="shared" ca="1" si="247"/>
        <v>0</v>
      </c>
      <c r="N778" s="13">
        <f t="shared" ca="1" si="257"/>
        <v>0</v>
      </c>
      <c r="O778" s="13">
        <f ca="1">IF($D778="Igen",IF($W777&gt;=IF($D$4="Forint",Paraméterek!$J$121,Paraméterek!$K$121),0,IF($D$4="Forint",Paraméterek!$J$121,Paraméterek!$K$121)-$W777),0)</f>
        <v>0</v>
      </c>
      <c r="P778" s="13" t="e">
        <f ca="1">ROUNDUP($O778*VLOOKUP($M$4+$B778-1,Paraméterek!$H$58:$I$105,2,0)/Paraméterek!$I$56,IF($D$4="Forint",0,2))</f>
        <v>#N/A</v>
      </c>
      <c r="Q778" s="13">
        <f t="shared" ca="1" si="248"/>
        <v>0</v>
      </c>
      <c r="R778" s="33"/>
      <c r="S778" s="13" t="e">
        <f t="shared" ca="1" si="249"/>
        <v>#N/A</v>
      </c>
      <c r="T778" s="13" t="e">
        <f ca="1">ROUNDUP(($N778-$P778-$Q778+$S778)*VLOOKUP($B778,Paraméterek!$I$38:$K$39,IF($D$2="Egyszeri",3,2))/12*IF($D779="Nem",IF($M$13=0,1,$M$13),1),IF($D$4="Forint",0,2))</f>
        <v>#N/A</v>
      </c>
      <c r="U778" s="13"/>
      <c r="V778" s="13"/>
      <c r="W778" s="13" t="e">
        <f ca="1">$N778-$P778-$Q778+$S778-$T778-IF(ROUNDUP(IF(ISBLANK($V778),$U778*0,$V778)/IF($D$2="Egyszeri",VLOOKUP($B778+IF($C778=12,1,0),Paraméterek!$V$257:$W$262,2),IF($B778=1,1,VLOOKUP($B778+IF($C778=12,1,0),Paraméterek!$I$258:$T$278,HLOOKUP($M$11+1,Paraméterek!$J$256:$T$257,2)))),IF($D$4="Forint",0,2))&gt;$N778-$P778-$Q778+$S778-$T778-IF($D$4="Forint",Paraméterek!$C$216,Paraméterek!$D$216),0,ROUNDUP(IF(ISBLANK($V778),$U778*0,$V778)/IF($D$2="Egyszeri",VLOOKUP($B778+IF($C778=12,1,0),Paraméterek!$V$257:$W$262,2),IF($B778=1,1,VLOOKUP($B778+IF($C778=12,1,0),Paraméterek!$I$258:$T$278,HLOOKUP($M$11+1,Paraméterek!$J$256:$T$257,2)))),IF($D$4="Forint",0,2)))</f>
        <v>#N/A</v>
      </c>
      <c r="X778" s="13" t="e">
        <f ca="1">ROUNDDOWN($W778*IF($D$2="Egyszeri",VLOOKUP($B778+IF($C778=12,1,0),Paraméterek!$V$257:$W$262,2),VLOOKUP($B778+IF($C778=12,1,0),Paraméterek!$I$258:$T$278,HLOOKUP($M$11+1,Paraméterek!$I$256:$T$257,2))),IF($D$4="Forint",0,2))</f>
        <v>#N/A</v>
      </c>
      <c r="Z778" s="32">
        <v>759</v>
      </c>
      <c r="AA778" s="32">
        <v>64</v>
      </c>
      <c r="AB778" s="32">
        <v>3</v>
      </c>
      <c r="AC778" s="13">
        <f t="shared" ca="1" si="258"/>
        <v>0</v>
      </c>
      <c r="AD778" s="33"/>
      <c r="AE778" s="13">
        <f t="shared" ca="1" si="250"/>
        <v>0</v>
      </c>
      <c r="AF778" s="13">
        <f ca="1">ROUNDUP(($AC778+$AE778)*VLOOKUP($AA778,Paraméterek!$P$38:$Q$38,2)/12*IF($D779="Nem",IF($M$13=0,1,$M$13),1),IF($D$4="Forint",0,2))</f>
        <v>0</v>
      </c>
      <c r="AG778" s="13">
        <f ca="1">IF($D$2="Egyszeri",IF($D$7&gt;=IF($D$4="Forint",Paraméterek!$P$223,Paraméterek!$P$224),$D$7-IF($D$4="Forint",Paraméterek!$P$223,Paraméterek!$P$224),0),MIN(IF($AB778=12,AVERAGEIF($E$20:$E778,"&gt;0",$E$20:$E778)*12,0),SUM($E$20:$E$31)))</f>
        <v>0</v>
      </c>
      <c r="AH778" s="13">
        <f>IF($AA778=10,$AG778*IF($AB778=12,IF($AG778&lt;IF($D$4="Forint",Paraméterek!$L$223,Paraméterek!$L$224),0,VLOOKUP($AA778,Paraméterek!$K$226:$M$228,IF($AG778&lt;IF($D$4="Forint",Paraméterek!$M$223,Paraméterek!$M$224),2,3))),0),0)</f>
        <v>0</v>
      </c>
      <c r="AI778" s="13">
        <f ca="1">IF(AND($AA778=$M$11+1,$AB778=$M$12+1),SUMIF($AA$20:$AA$1027,$AA778,$AG$20:$AG$1027)*IF(SUMIF($AA$20:$AA$1027,$AA778,$AG$20:$AG$1027)&lt;IF($D$4="Forint",Paraméterek!$L$223,Paraméterek!$L$224),0,VLOOKUP($AA778,Paraméterek!$K$230:$M$250,IF(SUMIF($AA$20:$AA$1027,$AA778,$AG$20:$AG$1027)&lt;IF($D$4="Forint",Paraméterek!$M$223,Paraméterek!$M$224),2,3))),0)</f>
        <v>0</v>
      </c>
      <c r="AJ778" s="13">
        <f ca="1">IF(AND($AA778&gt;=5,MOD($AA778,5)=0),IF($AB778=12,VLOOKUP($AA778,Paraméterek!$O$225:$P$240,2),0),IF(OR($AA778=3,$AA778=4),IF($AB778=12,VLOOKUP($AA778,Paraméterek!$O$225:$P$240,2,0),0),0))*$AG778</f>
        <v>0</v>
      </c>
      <c r="AK778" s="13">
        <f t="shared" ca="1" si="251"/>
        <v>0</v>
      </c>
      <c r="AL778" s="13">
        <f t="shared" ca="1" si="259"/>
        <v>0</v>
      </c>
      <c r="AM778" s="13">
        <f t="shared" ca="1" si="260"/>
        <v>0</v>
      </c>
      <c r="AO778" s="32">
        <v>759</v>
      </c>
      <c r="AP778" s="32">
        <v>64</v>
      </c>
      <c r="AQ778" s="32">
        <v>3</v>
      </c>
      <c r="AR778" s="13"/>
      <c r="AS778" s="32"/>
      <c r="AT778" s="13">
        <f t="shared" ca="1" si="261"/>
        <v>0</v>
      </c>
      <c r="AU778" s="33"/>
      <c r="AV778" s="13">
        <f t="shared" ca="1" si="252"/>
        <v>0</v>
      </c>
      <c r="AW778" s="13">
        <f ca="1">ROUNDUP(($AT778+$AV778)*VLOOKUP($AP778,Paraméterek!$P$38:$Q$38,2)/12*IF($D779="Nem",IF($M$13=0,1,$M$13),1),IF($D$4="Forint",0,2))</f>
        <v>0</v>
      </c>
      <c r="AX778" s="13"/>
      <c r="AY778" s="13"/>
      <c r="AZ778" s="13">
        <f>ROUNDUP(IF(SUM($AX778:$AY778)=0,0,IF(IF(ISBLANK($AY778),$AX778,$AY778)*Paraméterek!$J$112&lt;IF($D$4="Forint",Paraméterek!$J$113,Paraméterek!$K$113),IF($D$4="Forint",Paraméterek!$J$113,Paraméterek!$K$113),IF(IF(ISBLANK($AY778),$AX778,$AY778)*Paraméterek!$J$112&gt;IF($D$4="Forint",Paraméterek!$J$114,Paraméterek!$K$114),IF($D$4="Forint",Paraméterek!$J$114,Paraméterek!$K$114),IF(ISBLANK($AY778),$AX778,$AY778)*Paraméterek!$J$112))),IF($D$4="Forint",0,2))</f>
        <v>0</v>
      </c>
      <c r="BA778" s="13">
        <f ca="1">$AT778+$AV778-$AW778-IF(ROUNDDOWN(IF(ISBLANK($AY778),$AX778,$AY778),IF($D$4="Forint",0,2))&gt;$AT778+$AV778-$AW778-IF($D$4="Forint",Paraméterek!$J$114,Paraméterek!$K$114),0,ROUNDDOWN(IF(ISBLANK($AY778),$AX778,$AY778),IF($D$4="Forint",0,2))-$AZ778)</f>
        <v>0</v>
      </c>
      <c r="BB778" s="13">
        <f t="shared" ca="1" si="253"/>
        <v>0</v>
      </c>
      <c r="BD778" s="32">
        <v>759</v>
      </c>
      <c r="BE778" s="32">
        <v>64</v>
      </c>
      <c r="BF778" s="32">
        <v>3</v>
      </c>
      <c r="BG778" s="34">
        <f t="shared" ca="1" si="262"/>
        <v>2082</v>
      </c>
      <c r="BH778" s="32" t="str">
        <f ca="1">IF(MOD(MONTH($D$14)+$BD778-1,12)=Paraméterek!$C$288,"Igen","")</f>
        <v/>
      </c>
      <c r="BI778" s="13">
        <f ca="1">IF($BH778="Igen",MIN(ROUNDDOWN((SUMIF($BG$20:$BG$1027,$BG778-1,$K$20:$K$1027)-SUMIF($BG$20:$BG$1027,$BG778-1,$I$20:$I$1027))*Paraméterek!$C$289,IF($D$4="Forint",0,2)),IF($D$4="Forint",Paraméterek!$C$285,Paraméterek!$D$285)),0)</f>
        <v>0</v>
      </c>
      <c r="BJ778" s="13">
        <f t="shared" ca="1" si="254"/>
        <v>0</v>
      </c>
      <c r="BK778" s="13">
        <f t="shared" ca="1" si="263"/>
        <v>0</v>
      </c>
      <c r="BL778" s="33"/>
      <c r="BM778" s="13">
        <f t="shared" ca="1" si="255"/>
        <v>0</v>
      </c>
      <c r="BN778" s="13">
        <f ca="1">ROUNDUP(($BK778+$BM778)*VLOOKUP($BE778,Paraméterek!$P$38:$Q$38,2)/12*IF($D779="Nem",IF($M$13=0,1,$M$13),1),IF($D$4="Forint",0,2))</f>
        <v>0</v>
      </c>
      <c r="BO778" s="13">
        <f t="shared" ca="1" si="256"/>
        <v>0</v>
      </c>
      <c r="BP778" s="13">
        <f ca="1">IF($D779="Nem",$BO778,$BO778-ROUNDUP(SUM($BI$20:$BI778)*120%,IF($D$4="Forint",0,2)))</f>
        <v>0</v>
      </c>
    </row>
    <row r="779" spans="1:68" x14ac:dyDescent="0.2">
      <c r="A779" s="32">
        <v>760</v>
      </c>
      <c r="B779" s="32">
        <v>64</v>
      </c>
      <c r="C779" s="32">
        <v>4</v>
      </c>
      <c r="D779" s="32" t="str">
        <f t="shared" ca="1" si="242"/>
        <v>Nem</v>
      </c>
      <c r="E779" s="13">
        <f t="shared" ca="1" si="243"/>
        <v>0</v>
      </c>
      <c r="F779" s="13"/>
      <c r="G779" s="13"/>
      <c r="H779" s="13"/>
      <c r="I779" s="13">
        <f t="shared" ca="1" si="244"/>
        <v>0</v>
      </c>
      <c r="J779" s="13">
        <f t="shared" ca="1" si="245"/>
        <v>0</v>
      </c>
      <c r="K779" s="13">
        <f t="shared" ca="1" si="246"/>
        <v>0</v>
      </c>
      <c r="L779" s="13" t="e">
        <f ca="1">ROUNDUP(IF($D$2="Egyszeri",$E779,IF($D$2="Havi",SUM($E$20:$E$31),IF(MOD($C779,$M$1)-1=0,SUM($E$20:$E$31),0))/12*$M$1)*VLOOKUP($B779,Paraméterek!$I$28:$P$31,IF($D$2="Egyszeri",8,HLOOKUP(ROUNDUP($M$11+$M$13,0),Paraméterek!$J$26:$O$27,2))),IF($D$4="Forint",0,2))</f>
        <v>#N/A</v>
      </c>
      <c r="M779" s="13">
        <f t="shared" ca="1" si="247"/>
        <v>0</v>
      </c>
      <c r="N779" s="13">
        <f t="shared" ca="1" si="257"/>
        <v>0</v>
      </c>
      <c r="O779" s="13">
        <f ca="1">IF($D779="Igen",IF($W778&gt;=IF($D$4="Forint",Paraméterek!$J$121,Paraméterek!$K$121),0,IF($D$4="Forint",Paraméterek!$J$121,Paraméterek!$K$121)-$W778),0)</f>
        <v>0</v>
      </c>
      <c r="P779" s="13" t="e">
        <f ca="1">ROUNDUP($O779*VLOOKUP($M$4+$B779-1,Paraméterek!$H$58:$I$105,2,0)/Paraméterek!$I$56,IF($D$4="Forint",0,2))</f>
        <v>#N/A</v>
      </c>
      <c r="Q779" s="13">
        <f t="shared" ca="1" si="248"/>
        <v>0</v>
      </c>
      <c r="R779" s="33"/>
      <c r="S779" s="13" t="e">
        <f t="shared" ca="1" si="249"/>
        <v>#N/A</v>
      </c>
      <c r="T779" s="13" t="e">
        <f ca="1">ROUNDUP(($N779-$P779-$Q779+$S779)*VLOOKUP($B779,Paraméterek!$I$38:$K$39,IF($D$2="Egyszeri",3,2))/12*IF($D780="Nem",IF($M$13=0,1,$M$13),1),IF($D$4="Forint",0,2))</f>
        <v>#N/A</v>
      </c>
      <c r="U779" s="13"/>
      <c r="V779" s="13"/>
      <c r="W779" s="13" t="e">
        <f ca="1">$N779-$P779-$Q779+$S779-$T779-IF(ROUNDUP(IF(ISBLANK($V779),$U779*0,$V779)/IF($D$2="Egyszeri",VLOOKUP($B779+IF($C779=12,1,0),Paraméterek!$V$257:$W$262,2),IF($B779=1,1,VLOOKUP($B779+IF($C779=12,1,0),Paraméterek!$I$258:$T$278,HLOOKUP($M$11+1,Paraméterek!$J$256:$T$257,2)))),IF($D$4="Forint",0,2))&gt;$N779-$P779-$Q779+$S779-$T779-IF($D$4="Forint",Paraméterek!$C$216,Paraméterek!$D$216),0,ROUNDUP(IF(ISBLANK($V779),$U779*0,$V779)/IF($D$2="Egyszeri",VLOOKUP($B779+IF($C779=12,1,0),Paraméterek!$V$257:$W$262,2),IF($B779=1,1,VLOOKUP($B779+IF($C779=12,1,0),Paraméterek!$I$258:$T$278,HLOOKUP($M$11+1,Paraméterek!$J$256:$T$257,2)))),IF($D$4="Forint",0,2)))</f>
        <v>#N/A</v>
      </c>
      <c r="X779" s="13" t="e">
        <f ca="1">ROUNDDOWN($W779*IF($D$2="Egyszeri",VLOOKUP($B779+IF($C779=12,1,0),Paraméterek!$V$257:$W$262,2),VLOOKUP($B779+IF($C779=12,1,0),Paraméterek!$I$258:$T$278,HLOOKUP($M$11+1,Paraméterek!$I$256:$T$257,2))),IF($D$4="Forint",0,2))</f>
        <v>#N/A</v>
      </c>
      <c r="Z779" s="32">
        <v>760</v>
      </c>
      <c r="AA779" s="32">
        <v>64</v>
      </c>
      <c r="AB779" s="32">
        <v>4</v>
      </c>
      <c r="AC779" s="13">
        <f t="shared" ca="1" si="258"/>
        <v>0</v>
      </c>
      <c r="AD779" s="33"/>
      <c r="AE779" s="13">
        <f t="shared" ca="1" si="250"/>
        <v>0</v>
      </c>
      <c r="AF779" s="13">
        <f ca="1">ROUNDUP(($AC779+$AE779)*VLOOKUP($AA779,Paraméterek!$P$38:$Q$38,2)/12*IF($D780="Nem",IF($M$13=0,1,$M$13),1),IF($D$4="Forint",0,2))</f>
        <v>0</v>
      </c>
      <c r="AG779" s="13">
        <f ca="1">IF($D$2="Egyszeri",IF($D$7&gt;=IF($D$4="Forint",Paraméterek!$P$223,Paraméterek!$P$224),$D$7-IF($D$4="Forint",Paraméterek!$P$223,Paraméterek!$P$224),0),MIN(IF($AB779=12,AVERAGEIF($E$20:$E779,"&gt;0",$E$20:$E779)*12,0),SUM($E$20:$E$31)))</f>
        <v>0</v>
      </c>
      <c r="AH779" s="13">
        <f>IF($AA779=10,$AG779*IF($AB779=12,IF($AG779&lt;IF($D$4="Forint",Paraméterek!$L$223,Paraméterek!$L$224),0,VLOOKUP($AA779,Paraméterek!$K$226:$M$228,IF($AG779&lt;IF($D$4="Forint",Paraméterek!$M$223,Paraméterek!$M$224),2,3))),0),0)</f>
        <v>0</v>
      </c>
      <c r="AI779" s="13">
        <f ca="1">IF(AND($AA779=$M$11+1,$AB779=$M$12+1),SUMIF($AA$20:$AA$1027,$AA779,$AG$20:$AG$1027)*IF(SUMIF($AA$20:$AA$1027,$AA779,$AG$20:$AG$1027)&lt;IF($D$4="Forint",Paraméterek!$L$223,Paraméterek!$L$224),0,VLOOKUP($AA779,Paraméterek!$K$230:$M$250,IF(SUMIF($AA$20:$AA$1027,$AA779,$AG$20:$AG$1027)&lt;IF($D$4="Forint",Paraméterek!$M$223,Paraméterek!$M$224),2,3))),0)</f>
        <v>0</v>
      </c>
      <c r="AJ779" s="13">
        <f ca="1">IF(AND($AA779&gt;=5,MOD($AA779,5)=0),IF($AB779=12,VLOOKUP($AA779,Paraméterek!$O$225:$P$240,2),0),IF(OR($AA779=3,$AA779=4),IF($AB779=12,VLOOKUP($AA779,Paraméterek!$O$225:$P$240,2,0),0),0))*$AG779</f>
        <v>0</v>
      </c>
      <c r="AK779" s="13">
        <f t="shared" ca="1" si="251"/>
        <v>0</v>
      </c>
      <c r="AL779" s="13">
        <f t="shared" ca="1" si="259"/>
        <v>0</v>
      </c>
      <c r="AM779" s="13">
        <f t="shared" ca="1" si="260"/>
        <v>0</v>
      </c>
      <c r="AO779" s="32">
        <v>760</v>
      </c>
      <c r="AP779" s="32">
        <v>64</v>
      </c>
      <c r="AQ779" s="32">
        <v>4</v>
      </c>
      <c r="AR779" s="13"/>
      <c r="AS779" s="32"/>
      <c r="AT779" s="13">
        <f t="shared" ca="1" si="261"/>
        <v>0</v>
      </c>
      <c r="AU779" s="33"/>
      <c r="AV779" s="13">
        <f t="shared" ca="1" si="252"/>
        <v>0</v>
      </c>
      <c r="AW779" s="13">
        <f ca="1">ROUNDUP(($AT779+$AV779)*VLOOKUP($AP779,Paraméterek!$P$38:$Q$38,2)/12*IF($D780="Nem",IF($M$13=0,1,$M$13),1),IF($D$4="Forint",0,2))</f>
        <v>0</v>
      </c>
      <c r="AX779" s="13"/>
      <c r="AY779" s="13"/>
      <c r="AZ779" s="13">
        <f>ROUNDUP(IF(SUM($AX779:$AY779)=0,0,IF(IF(ISBLANK($AY779),$AX779,$AY779)*Paraméterek!$J$112&lt;IF($D$4="Forint",Paraméterek!$J$113,Paraméterek!$K$113),IF($D$4="Forint",Paraméterek!$J$113,Paraméterek!$K$113),IF(IF(ISBLANK($AY779),$AX779,$AY779)*Paraméterek!$J$112&gt;IF($D$4="Forint",Paraméterek!$J$114,Paraméterek!$K$114),IF($D$4="Forint",Paraméterek!$J$114,Paraméterek!$K$114),IF(ISBLANK($AY779),$AX779,$AY779)*Paraméterek!$J$112))),IF($D$4="Forint",0,2))</f>
        <v>0</v>
      </c>
      <c r="BA779" s="13">
        <f ca="1">$AT779+$AV779-$AW779-IF(ROUNDDOWN(IF(ISBLANK($AY779),$AX779,$AY779),IF($D$4="Forint",0,2))&gt;$AT779+$AV779-$AW779-IF($D$4="Forint",Paraméterek!$J$114,Paraméterek!$K$114),0,ROUNDDOWN(IF(ISBLANK($AY779),$AX779,$AY779),IF($D$4="Forint",0,2))-$AZ779)</f>
        <v>0</v>
      </c>
      <c r="BB779" s="13">
        <f t="shared" ca="1" si="253"/>
        <v>0</v>
      </c>
      <c r="BD779" s="32">
        <v>760</v>
      </c>
      <c r="BE779" s="32">
        <v>64</v>
      </c>
      <c r="BF779" s="32">
        <v>4</v>
      </c>
      <c r="BG779" s="34">
        <f t="shared" ca="1" si="262"/>
        <v>2082</v>
      </c>
      <c r="BH779" s="32" t="str">
        <f ca="1">IF(MOD(MONTH($D$14)+$BD779-1,12)=Paraméterek!$C$288,"Igen","")</f>
        <v/>
      </c>
      <c r="BI779" s="13">
        <f ca="1">IF($BH779="Igen",MIN(ROUNDDOWN((SUMIF($BG$20:$BG$1027,$BG779-1,$K$20:$K$1027)-SUMIF($BG$20:$BG$1027,$BG779-1,$I$20:$I$1027))*Paraméterek!$C$289,IF($D$4="Forint",0,2)),IF($D$4="Forint",Paraméterek!$C$285,Paraméterek!$D$285)),0)</f>
        <v>0</v>
      </c>
      <c r="BJ779" s="13">
        <f t="shared" ca="1" si="254"/>
        <v>0</v>
      </c>
      <c r="BK779" s="13">
        <f t="shared" ca="1" si="263"/>
        <v>0</v>
      </c>
      <c r="BL779" s="33"/>
      <c r="BM779" s="13">
        <f t="shared" ca="1" si="255"/>
        <v>0</v>
      </c>
      <c r="BN779" s="13">
        <f ca="1">ROUNDUP(($BK779+$BM779)*VLOOKUP($BE779,Paraméterek!$P$38:$Q$38,2)/12*IF($D780="Nem",IF($M$13=0,1,$M$13),1),IF($D$4="Forint",0,2))</f>
        <v>0</v>
      </c>
      <c r="BO779" s="13">
        <f t="shared" ca="1" si="256"/>
        <v>0</v>
      </c>
      <c r="BP779" s="13">
        <f ca="1">IF($D780="Nem",$BO779,$BO779-ROUNDUP(SUM($BI$20:$BI779)*120%,IF($D$4="Forint",0,2)))</f>
        <v>0</v>
      </c>
    </row>
    <row r="780" spans="1:68" x14ac:dyDescent="0.2">
      <c r="A780" s="32">
        <v>761</v>
      </c>
      <c r="B780" s="32">
        <v>64</v>
      </c>
      <c r="C780" s="32">
        <v>5</v>
      </c>
      <c r="D780" s="32" t="str">
        <f t="shared" ca="1" si="242"/>
        <v>Nem</v>
      </c>
      <c r="E780" s="13">
        <f t="shared" ca="1" si="243"/>
        <v>0</v>
      </c>
      <c r="F780" s="13"/>
      <c r="G780" s="13"/>
      <c r="H780" s="13"/>
      <c r="I780" s="13">
        <f t="shared" ca="1" si="244"/>
        <v>0</v>
      </c>
      <c r="J780" s="13">
        <f t="shared" ca="1" si="245"/>
        <v>0</v>
      </c>
      <c r="K780" s="13">
        <f t="shared" ca="1" si="246"/>
        <v>0</v>
      </c>
      <c r="L780" s="13" t="e">
        <f ca="1">ROUNDUP(IF($D$2="Egyszeri",$E780,IF($D$2="Havi",SUM($E$20:$E$31),IF(MOD($C780,$M$1)-1=0,SUM($E$20:$E$31),0))/12*$M$1)*VLOOKUP($B780,Paraméterek!$I$28:$P$31,IF($D$2="Egyszeri",8,HLOOKUP(ROUNDUP($M$11+$M$13,0),Paraméterek!$J$26:$O$27,2))),IF($D$4="Forint",0,2))</f>
        <v>#N/A</v>
      </c>
      <c r="M780" s="13">
        <f t="shared" ca="1" si="247"/>
        <v>0</v>
      </c>
      <c r="N780" s="13">
        <f t="shared" ca="1" si="257"/>
        <v>0</v>
      </c>
      <c r="O780" s="13">
        <f ca="1">IF($D780="Igen",IF($W779&gt;=IF($D$4="Forint",Paraméterek!$J$121,Paraméterek!$K$121),0,IF($D$4="Forint",Paraméterek!$J$121,Paraméterek!$K$121)-$W779),0)</f>
        <v>0</v>
      </c>
      <c r="P780" s="13" t="e">
        <f ca="1">ROUNDUP($O780*VLOOKUP($M$4+$B780-1,Paraméterek!$H$58:$I$105,2,0)/Paraméterek!$I$56,IF($D$4="Forint",0,2))</f>
        <v>#N/A</v>
      </c>
      <c r="Q780" s="13">
        <f t="shared" ca="1" si="248"/>
        <v>0</v>
      </c>
      <c r="R780" s="33"/>
      <c r="S780" s="13" t="e">
        <f t="shared" ca="1" si="249"/>
        <v>#N/A</v>
      </c>
      <c r="T780" s="13" t="e">
        <f ca="1">ROUNDUP(($N780-$P780-$Q780+$S780)*VLOOKUP($B780,Paraméterek!$I$38:$K$39,IF($D$2="Egyszeri",3,2))/12*IF($D781="Nem",IF($M$13=0,1,$M$13),1),IF($D$4="Forint",0,2))</f>
        <v>#N/A</v>
      </c>
      <c r="U780" s="13"/>
      <c r="V780" s="13"/>
      <c r="W780" s="13" t="e">
        <f ca="1">$N780-$P780-$Q780+$S780-$T780-IF(ROUNDUP(IF(ISBLANK($V780),$U780*0,$V780)/IF($D$2="Egyszeri",VLOOKUP($B780+IF($C780=12,1,0),Paraméterek!$V$257:$W$262,2),IF($B780=1,1,VLOOKUP($B780+IF($C780=12,1,0),Paraméterek!$I$258:$T$278,HLOOKUP($M$11+1,Paraméterek!$J$256:$T$257,2)))),IF($D$4="Forint",0,2))&gt;$N780-$P780-$Q780+$S780-$T780-IF($D$4="Forint",Paraméterek!$C$216,Paraméterek!$D$216),0,ROUNDUP(IF(ISBLANK($V780),$U780*0,$V780)/IF($D$2="Egyszeri",VLOOKUP($B780+IF($C780=12,1,0),Paraméterek!$V$257:$W$262,2),IF($B780=1,1,VLOOKUP($B780+IF($C780=12,1,0),Paraméterek!$I$258:$T$278,HLOOKUP($M$11+1,Paraméterek!$J$256:$T$257,2)))),IF($D$4="Forint",0,2)))</f>
        <v>#N/A</v>
      </c>
      <c r="X780" s="13" t="e">
        <f ca="1">ROUNDDOWN($W780*IF($D$2="Egyszeri",VLOOKUP($B780+IF($C780=12,1,0),Paraméterek!$V$257:$W$262,2),VLOOKUP($B780+IF($C780=12,1,0),Paraméterek!$I$258:$T$278,HLOOKUP($M$11+1,Paraméterek!$I$256:$T$257,2))),IF($D$4="Forint",0,2))</f>
        <v>#N/A</v>
      </c>
      <c r="Z780" s="32">
        <v>761</v>
      </c>
      <c r="AA780" s="32">
        <v>64</v>
      </c>
      <c r="AB780" s="32">
        <v>5</v>
      </c>
      <c r="AC780" s="13">
        <f t="shared" ca="1" si="258"/>
        <v>0</v>
      </c>
      <c r="AD780" s="33"/>
      <c r="AE780" s="13">
        <f t="shared" ca="1" si="250"/>
        <v>0</v>
      </c>
      <c r="AF780" s="13">
        <f ca="1">ROUNDUP(($AC780+$AE780)*VLOOKUP($AA780,Paraméterek!$P$38:$Q$38,2)/12*IF($D781="Nem",IF($M$13=0,1,$M$13),1),IF($D$4="Forint",0,2))</f>
        <v>0</v>
      </c>
      <c r="AG780" s="13">
        <f ca="1">IF($D$2="Egyszeri",IF($D$7&gt;=IF($D$4="Forint",Paraméterek!$P$223,Paraméterek!$P$224),$D$7-IF($D$4="Forint",Paraméterek!$P$223,Paraméterek!$P$224),0),MIN(IF($AB780=12,AVERAGEIF($E$20:$E780,"&gt;0",$E$20:$E780)*12,0),SUM($E$20:$E$31)))</f>
        <v>0</v>
      </c>
      <c r="AH780" s="13">
        <f>IF($AA780=10,$AG780*IF($AB780=12,IF($AG780&lt;IF($D$4="Forint",Paraméterek!$L$223,Paraméterek!$L$224),0,VLOOKUP($AA780,Paraméterek!$K$226:$M$228,IF($AG780&lt;IF($D$4="Forint",Paraméterek!$M$223,Paraméterek!$M$224),2,3))),0),0)</f>
        <v>0</v>
      </c>
      <c r="AI780" s="13">
        <f ca="1">IF(AND($AA780=$M$11+1,$AB780=$M$12+1),SUMIF($AA$20:$AA$1027,$AA780,$AG$20:$AG$1027)*IF(SUMIF($AA$20:$AA$1027,$AA780,$AG$20:$AG$1027)&lt;IF($D$4="Forint",Paraméterek!$L$223,Paraméterek!$L$224),0,VLOOKUP($AA780,Paraméterek!$K$230:$M$250,IF(SUMIF($AA$20:$AA$1027,$AA780,$AG$20:$AG$1027)&lt;IF($D$4="Forint",Paraméterek!$M$223,Paraméterek!$M$224),2,3))),0)</f>
        <v>0</v>
      </c>
      <c r="AJ780" s="13">
        <f ca="1">IF(AND($AA780&gt;=5,MOD($AA780,5)=0),IF($AB780=12,VLOOKUP($AA780,Paraméterek!$O$225:$P$240,2),0),IF(OR($AA780=3,$AA780=4),IF($AB780=12,VLOOKUP($AA780,Paraméterek!$O$225:$P$240,2,0),0),0))*$AG780</f>
        <v>0</v>
      </c>
      <c r="AK780" s="13">
        <f t="shared" ca="1" si="251"/>
        <v>0</v>
      </c>
      <c r="AL780" s="13">
        <f t="shared" ca="1" si="259"/>
        <v>0</v>
      </c>
      <c r="AM780" s="13">
        <f t="shared" ca="1" si="260"/>
        <v>0</v>
      </c>
      <c r="AO780" s="32">
        <v>761</v>
      </c>
      <c r="AP780" s="32">
        <v>64</v>
      </c>
      <c r="AQ780" s="32">
        <v>5</v>
      </c>
      <c r="AR780" s="13"/>
      <c r="AS780" s="32"/>
      <c r="AT780" s="13">
        <f t="shared" ca="1" si="261"/>
        <v>0</v>
      </c>
      <c r="AU780" s="33"/>
      <c r="AV780" s="13">
        <f t="shared" ca="1" si="252"/>
        <v>0</v>
      </c>
      <c r="AW780" s="13">
        <f ca="1">ROUNDUP(($AT780+$AV780)*VLOOKUP($AP780,Paraméterek!$P$38:$Q$38,2)/12*IF($D781="Nem",IF($M$13=0,1,$M$13),1),IF($D$4="Forint",0,2))</f>
        <v>0</v>
      </c>
      <c r="AX780" s="13"/>
      <c r="AY780" s="13"/>
      <c r="AZ780" s="13">
        <f>ROUNDUP(IF(SUM($AX780:$AY780)=0,0,IF(IF(ISBLANK($AY780),$AX780,$AY780)*Paraméterek!$J$112&lt;IF($D$4="Forint",Paraméterek!$J$113,Paraméterek!$K$113),IF($D$4="Forint",Paraméterek!$J$113,Paraméterek!$K$113),IF(IF(ISBLANK($AY780),$AX780,$AY780)*Paraméterek!$J$112&gt;IF($D$4="Forint",Paraméterek!$J$114,Paraméterek!$K$114),IF($D$4="Forint",Paraméterek!$J$114,Paraméterek!$K$114),IF(ISBLANK($AY780),$AX780,$AY780)*Paraméterek!$J$112))),IF($D$4="Forint",0,2))</f>
        <v>0</v>
      </c>
      <c r="BA780" s="13">
        <f ca="1">$AT780+$AV780-$AW780-IF(ROUNDDOWN(IF(ISBLANK($AY780),$AX780,$AY780),IF($D$4="Forint",0,2))&gt;$AT780+$AV780-$AW780-IF($D$4="Forint",Paraméterek!$J$114,Paraméterek!$K$114),0,ROUNDDOWN(IF(ISBLANK($AY780),$AX780,$AY780),IF($D$4="Forint",0,2))-$AZ780)</f>
        <v>0</v>
      </c>
      <c r="BB780" s="13">
        <f t="shared" ca="1" si="253"/>
        <v>0</v>
      </c>
      <c r="BD780" s="32">
        <v>761</v>
      </c>
      <c r="BE780" s="32">
        <v>64</v>
      </c>
      <c r="BF780" s="32">
        <v>5</v>
      </c>
      <c r="BG780" s="34">
        <f t="shared" ca="1" si="262"/>
        <v>2082</v>
      </c>
      <c r="BH780" s="32" t="str">
        <f ca="1">IF(MOD(MONTH($D$14)+$BD780-1,12)=Paraméterek!$C$288,"Igen","")</f>
        <v/>
      </c>
      <c r="BI780" s="13">
        <f ca="1">IF($BH780="Igen",MIN(ROUNDDOWN((SUMIF($BG$20:$BG$1027,$BG780-1,$K$20:$K$1027)-SUMIF($BG$20:$BG$1027,$BG780-1,$I$20:$I$1027))*Paraméterek!$C$289,IF($D$4="Forint",0,2)),IF($D$4="Forint",Paraméterek!$C$285,Paraméterek!$D$285)),0)</f>
        <v>0</v>
      </c>
      <c r="BJ780" s="13">
        <f t="shared" ca="1" si="254"/>
        <v>0</v>
      </c>
      <c r="BK780" s="13">
        <f t="shared" ca="1" si="263"/>
        <v>0</v>
      </c>
      <c r="BL780" s="33"/>
      <c r="BM780" s="13">
        <f t="shared" ca="1" si="255"/>
        <v>0</v>
      </c>
      <c r="BN780" s="13">
        <f ca="1">ROUNDUP(($BK780+$BM780)*VLOOKUP($BE780,Paraméterek!$P$38:$Q$38,2)/12*IF($D781="Nem",IF($M$13=0,1,$M$13),1),IF($D$4="Forint",0,2))</f>
        <v>0</v>
      </c>
      <c r="BO780" s="13">
        <f t="shared" ca="1" si="256"/>
        <v>0</v>
      </c>
      <c r="BP780" s="13">
        <f ca="1">IF($D781="Nem",$BO780,$BO780-ROUNDUP(SUM($BI$20:$BI780)*120%,IF($D$4="Forint",0,2)))</f>
        <v>0</v>
      </c>
    </row>
    <row r="781" spans="1:68" x14ac:dyDescent="0.2">
      <c r="A781" s="32">
        <v>762</v>
      </c>
      <c r="B781" s="32">
        <v>64</v>
      </c>
      <c r="C781" s="32">
        <v>6</v>
      </c>
      <c r="D781" s="32" t="str">
        <f t="shared" ca="1" si="242"/>
        <v>Nem</v>
      </c>
      <c r="E781" s="13">
        <f t="shared" ca="1" si="243"/>
        <v>0</v>
      </c>
      <c r="F781" s="13"/>
      <c r="G781" s="13"/>
      <c r="H781" s="13"/>
      <c r="I781" s="13">
        <f t="shared" ca="1" si="244"/>
        <v>0</v>
      </c>
      <c r="J781" s="13">
        <f t="shared" ca="1" si="245"/>
        <v>0</v>
      </c>
      <c r="K781" s="13">
        <f t="shared" ca="1" si="246"/>
        <v>0</v>
      </c>
      <c r="L781" s="13" t="e">
        <f ca="1">ROUNDUP(IF($D$2="Egyszeri",$E781,IF($D$2="Havi",SUM($E$20:$E$31),IF(MOD($C781,$M$1)-1=0,SUM($E$20:$E$31),0))/12*$M$1)*VLOOKUP($B781,Paraméterek!$I$28:$P$31,IF($D$2="Egyszeri",8,HLOOKUP(ROUNDUP($M$11+$M$13,0),Paraméterek!$J$26:$O$27,2))),IF($D$4="Forint",0,2))</f>
        <v>#N/A</v>
      </c>
      <c r="M781" s="13">
        <f t="shared" ca="1" si="247"/>
        <v>0</v>
      </c>
      <c r="N781" s="13">
        <f t="shared" ca="1" si="257"/>
        <v>0</v>
      </c>
      <c r="O781" s="13">
        <f ca="1">IF($D781="Igen",IF($W780&gt;=IF($D$4="Forint",Paraméterek!$J$121,Paraméterek!$K$121),0,IF($D$4="Forint",Paraméterek!$J$121,Paraméterek!$K$121)-$W780),0)</f>
        <v>0</v>
      </c>
      <c r="P781" s="13" t="e">
        <f ca="1">ROUNDUP($O781*VLOOKUP($M$4+$B781-1,Paraméterek!$H$58:$I$105,2,0)/Paraméterek!$I$56,IF($D$4="Forint",0,2))</f>
        <v>#N/A</v>
      </c>
      <c r="Q781" s="13">
        <f t="shared" ca="1" si="248"/>
        <v>0</v>
      </c>
      <c r="R781" s="33"/>
      <c r="S781" s="13" t="e">
        <f t="shared" ca="1" si="249"/>
        <v>#N/A</v>
      </c>
      <c r="T781" s="13" t="e">
        <f ca="1">ROUNDUP(($N781-$P781-$Q781+$S781)*VLOOKUP($B781,Paraméterek!$I$38:$K$39,IF($D$2="Egyszeri",3,2))/12*IF($D782="Nem",IF($M$13=0,1,$M$13),1),IF($D$4="Forint",0,2))</f>
        <v>#N/A</v>
      </c>
      <c r="U781" s="13"/>
      <c r="V781" s="13"/>
      <c r="W781" s="13" t="e">
        <f ca="1">$N781-$P781-$Q781+$S781-$T781-IF(ROUNDUP(IF(ISBLANK($V781),$U781*0,$V781)/IF($D$2="Egyszeri",VLOOKUP($B781+IF($C781=12,1,0),Paraméterek!$V$257:$W$262,2),IF($B781=1,1,VLOOKUP($B781+IF($C781=12,1,0),Paraméterek!$I$258:$T$278,HLOOKUP($M$11+1,Paraméterek!$J$256:$T$257,2)))),IF($D$4="Forint",0,2))&gt;$N781-$P781-$Q781+$S781-$T781-IF($D$4="Forint",Paraméterek!$C$216,Paraméterek!$D$216),0,ROUNDUP(IF(ISBLANK($V781),$U781*0,$V781)/IF($D$2="Egyszeri",VLOOKUP($B781+IF($C781=12,1,0),Paraméterek!$V$257:$W$262,2),IF($B781=1,1,VLOOKUP($B781+IF($C781=12,1,0),Paraméterek!$I$258:$T$278,HLOOKUP($M$11+1,Paraméterek!$J$256:$T$257,2)))),IF($D$4="Forint",0,2)))</f>
        <v>#N/A</v>
      </c>
      <c r="X781" s="13" t="e">
        <f ca="1">ROUNDDOWN($W781*IF($D$2="Egyszeri",VLOOKUP($B781+IF($C781=12,1,0),Paraméterek!$V$257:$W$262,2),VLOOKUP($B781+IF($C781=12,1,0),Paraméterek!$I$258:$T$278,HLOOKUP($M$11+1,Paraméterek!$I$256:$T$257,2))),IF($D$4="Forint",0,2))</f>
        <v>#N/A</v>
      </c>
      <c r="Z781" s="32">
        <v>762</v>
      </c>
      <c r="AA781" s="32">
        <v>64</v>
      </c>
      <c r="AB781" s="32">
        <v>6</v>
      </c>
      <c r="AC781" s="13">
        <f t="shared" ca="1" si="258"/>
        <v>0</v>
      </c>
      <c r="AD781" s="33"/>
      <c r="AE781" s="13">
        <f t="shared" ca="1" si="250"/>
        <v>0</v>
      </c>
      <c r="AF781" s="13">
        <f ca="1">ROUNDUP(($AC781+$AE781)*VLOOKUP($AA781,Paraméterek!$P$38:$Q$38,2)/12*IF($D782="Nem",IF($M$13=0,1,$M$13),1),IF($D$4="Forint",0,2))</f>
        <v>0</v>
      </c>
      <c r="AG781" s="13">
        <f ca="1">IF($D$2="Egyszeri",IF($D$7&gt;=IF($D$4="Forint",Paraméterek!$P$223,Paraméterek!$P$224),$D$7-IF($D$4="Forint",Paraméterek!$P$223,Paraméterek!$P$224),0),MIN(IF($AB781=12,AVERAGEIF($E$20:$E781,"&gt;0",$E$20:$E781)*12,0),SUM($E$20:$E$31)))</f>
        <v>0</v>
      </c>
      <c r="AH781" s="13">
        <f>IF($AA781=10,$AG781*IF($AB781=12,IF($AG781&lt;IF($D$4="Forint",Paraméterek!$L$223,Paraméterek!$L$224),0,VLOOKUP($AA781,Paraméterek!$K$226:$M$228,IF($AG781&lt;IF($D$4="Forint",Paraméterek!$M$223,Paraméterek!$M$224),2,3))),0),0)</f>
        <v>0</v>
      </c>
      <c r="AI781" s="13">
        <f ca="1">IF(AND($AA781=$M$11+1,$AB781=$M$12+1),SUMIF($AA$20:$AA$1027,$AA781,$AG$20:$AG$1027)*IF(SUMIF($AA$20:$AA$1027,$AA781,$AG$20:$AG$1027)&lt;IF($D$4="Forint",Paraméterek!$L$223,Paraméterek!$L$224),0,VLOOKUP($AA781,Paraméterek!$K$230:$M$250,IF(SUMIF($AA$20:$AA$1027,$AA781,$AG$20:$AG$1027)&lt;IF($D$4="Forint",Paraméterek!$M$223,Paraméterek!$M$224),2,3))),0)</f>
        <v>0</v>
      </c>
      <c r="AJ781" s="13">
        <f ca="1">IF(AND($AA781&gt;=5,MOD($AA781,5)=0),IF($AB781=12,VLOOKUP($AA781,Paraméterek!$O$225:$P$240,2),0),IF(OR($AA781=3,$AA781=4),IF($AB781=12,VLOOKUP($AA781,Paraméterek!$O$225:$P$240,2,0),0),0))*$AG781</f>
        <v>0</v>
      </c>
      <c r="AK781" s="13">
        <f t="shared" ca="1" si="251"/>
        <v>0</v>
      </c>
      <c r="AL781" s="13">
        <f t="shared" ca="1" si="259"/>
        <v>0</v>
      </c>
      <c r="AM781" s="13">
        <f t="shared" ca="1" si="260"/>
        <v>0</v>
      </c>
      <c r="AO781" s="32">
        <v>762</v>
      </c>
      <c r="AP781" s="32">
        <v>64</v>
      </c>
      <c r="AQ781" s="32">
        <v>6</v>
      </c>
      <c r="AR781" s="13"/>
      <c r="AS781" s="32"/>
      <c r="AT781" s="13">
        <f t="shared" ca="1" si="261"/>
        <v>0</v>
      </c>
      <c r="AU781" s="33"/>
      <c r="AV781" s="13">
        <f t="shared" ca="1" si="252"/>
        <v>0</v>
      </c>
      <c r="AW781" s="13">
        <f ca="1">ROUNDUP(($AT781+$AV781)*VLOOKUP($AP781,Paraméterek!$P$38:$Q$38,2)/12*IF($D782="Nem",IF($M$13=0,1,$M$13),1),IF($D$4="Forint",0,2))</f>
        <v>0</v>
      </c>
      <c r="AX781" s="13"/>
      <c r="AY781" s="13"/>
      <c r="AZ781" s="13">
        <f>ROUNDUP(IF(SUM($AX781:$AY781)=0,0,IF(IF(ISBLANK($AY781),$AX781,$AY781)*Paraméterek!$J$112&lt;IF($D$4="Forint",Paraméterek!$J$113,Paraméterek!$K$113),IF($D$4="Forint",Paraméterek!$J$113,Paraméterek!$K$113),IF(IF(ISBLANK($AY781),$AX781,$AY781)*Paraméterek!$J$112&gt;IF($D$4="Forint",Paraméterek!$J$114,Paraméterek!$K$114),IF($D$4="Forint",Paraméterek!$J$114,Paraméterek!$K$114),IF(ISBLANK($AY781),$AX781,$AY781)*Paraméterek!$J$112))),IF($D$4="Forint",0,2))</f>
        <v>0</v>
      </c>
      <c r="BA781" s="13">
        <f ca="1">$AT781+$AV781-$AW781-IF(ROUNDDOWN(IF(ISBLANK($AY781),$AX781,$AY781),IF($D$4="Forint",0,2))&gt;$AT781+$AV781-$AW781-IF($D$4="Forint",Paraméterek!$J$114,Paraméterek!$K$114),0,ROUNDDOWN(IF(ISBLANK($AY781),$AX781,$AY781),IF($D$4="Forint",0,2))-$AZ781)</f>
        <v>0</v>
      </c>
      <c r="BB781" s="13">
        <f t="shared" ca="1" si="253"/>
        <v>0</v>
      </c>
      <c r="BD781" s="32">
        <v>762</v>
      </c>
      <c r="BE781" s="32">
        <v>64</v>
      </c>
      <c r="BF781" s="32">
        <v>6</v>
      </c>
      <c r="BG781" s="34">
        <f t="shared" ca="1" si="262"/>
        <v>2082</v>
      </c>
      <c r="BH781" s="32" t="str">
        <f ca="1">IF(MOD(MONTH($D$14)+$BD781-1,12)=Paraméterek!$C$288,"Igen","")</f>
        <v/>
      </c>
      <c r="BI781" s="13">
        <f ca="1">IF($BH781="Igen",MIN(ROUNDDOWN((SUMIF($BG$20:$BG$1027,$BG781-1,$K$20:$K$1027)-SUMIF($BG$20:$BG$1027,$BG781-1,$I$20:$I$1027))*Paraméterek!$C$289,IF($D$4="Forint",0,2)),IF($D$4="Forint",Paraméterek!$C$285,Paraméterek!$D$285)),0)</f>
        <v>0</v>
      </c>
      <c r="BJ781" s="13">
        <f t="shared" ca="1" si="254"/>
        <v>0</v>
      </c>
      <c r="BK781" s="13">
        <f t="shared" ca="1" si="263"/>
        <v>0</v>
      </c>
      <c r="BL781" s="33"/>
      <c r="BM781" s="13">
        <f t="shared" ca="1" si="255"/>
        <v>0</v>
      </c>
      <c r="BN781" s="13">
        <f ca="1">ROUNDUP(($BK781+$BM781)*VLOOKUP($BE781,Paraméterek!$P$38:$Q$38,2)/12*IF($D782="Nem",IF($M$13=0,1,$M$13),1),IF($D$4="Forint",0,2))</f>
        <v>0</v>
      </c>
      <c r="BO781" s="13">
        <f t="shared" ca="1" si="256"/>
        <v>0</v>
      </c>
      <c r="BP781" s="13">
        <f ca="1">IF($D782="Nem",$BO781,$BO781-ROUNDUP(SUM($BI$20:$BI781)*120%,IF($D$4="Forint",0,2)))</f>
        <v>0</v>
      </c>
    </row>
    <row r="782" spans="1:68" x14ac:dyDescent="0.2">
      <c r="A782" s="32">
        <v>763</v>
      </c>
      <c r="B782" s="32">
        <v>64</v>
      </c>
      <c r="C782" s="32">
        <v>7</v>
      </c>
      <c r="D782" s="32" t="str">
        <f t="shared" ca="1" si="242"/>
        <v>Nem</v>
      </c>
      <c r="E782" s="13">
        <f t="shared" ca="1" si="243"/>
        <v>0</v>
      </c>
      <c r="F782" s="13"/>
      <c r="G782" s="13"/>
      <c r="H782" s="13"/>
      <c r="I782" s="13">
        <f t="shared" ca="1" si="244"/>
        <v>0</v>
      </c>
      <c r="J782" s="13">
        <f t="shared" ca="1" si="245"/>
        <v>0</v>
      </c>
      <c r="K782" s="13">
        <f t="shared" ca="1" si="246"/>
        <v>0</v>
      </c>
      <c r="L782" s="13" t="e">
        <f ca="1">ROUNDUP(IF($D$2="Egyszeri",$E782,IF($D$2="Havi",SUM($E$20:$E$31),IF(MOD($C782,$M$1)-1=0,SUM($E$20:$E$31),0))/12*$M$1)*VLOOKUP($B782,Paraméterek!$I$28:$P$31,IF($D$2="Egyszeri",8,HLOOKUP(ROUNDUP($M$11+$M$13,0),Paraméterek!$J$26:$O$27,2))),IF($D$4="Forint",0,2))</f>
        <v>#N/A</v>
      </c>
      <c r="M782" s="13">
        <f t="shared" ca="1" si="247"/>
        <v>0</v>
      </c>
      <c r="N782" s="13">
        <f t="shared" ca="1" si="257"/>
        <v>0</v>
      </c>
      <c r="O782" s="13">
        <f ca="1">IF($D782="Igen",IF($W781&gt;=IF($D$4="Forint",Paraméterek!$J$121,Paraméterek!$K$121),0,IF($D$4="Forint",Paraméterek!$J$121,Paraméterek!$K$121)-$W781),0)</f>
        <v>0</v>
      </c>
      <c r="P782" s="13" t="e">
        <f ca="1">ROUNDUP($O782*VLOOKUP($M$4+$B782-1,Paraméterek!$H$58:$I$105,2,0)/Paraméterek!$I$56,IF($D$4="Forint",0,2))</f>
        <v>#N/A</v>
      </c>
      <c r="Q782" s="13">
        <f t="shared" ca="1" si="248"/>
        <v>0</v>
      </c>
      <c r="R782" s="33"/>
      <c r="S782" s="13" t="e">
        <f t="shared" ca="1" si="249"/>
        <v>#N/A</v>
      </c>
      <c r="T782" s="13" t="e">
        <f ca="1">ROUNDUP(($N782-$P782-$Q782+$S782)*VLOOKUP($B782,Paraméterek!$I$38:$K$39,IF($D$2="Egyszeri",3,2))/12*IF($D783="Nem",IF($M$13=0,1,$M$13),1),IF($D$4="Forint",0,2))</f>
        <v>#N/A</v>
      </c>
      <c r="U782" s="13"/>
      <c r="V782" s="13"/>
      <c r="W782" s="13" t="e">
        <f ca="1">$N782-$P782-$Q782+$S782-$T782-IF(ROUNDUP(IF(ISBLANK($V782),$U782*0,$V782)/IF($D$2="Egyszeri",VLOOKUP($B782+IF($C782=12,1,0),Paraméterek!$V$257:$W$262,2),IF($B782=1,1,VLOOKUP($B782+IF($C782=12,1,0),Paraméterek!$I$258:$T$278,HLOOKUP($M$11+1,Paraméterek!$J$256:$T$257,2)))),IF($D$4="Forint",0,2))&gt;$N782-$P782-$Q782+$S782-$T782-IF($D$4="Forint",Paraméterek!$C$216,Paraméterek!$D$216),0,ROUNDUP(IF(ISBLANK($V782),$U782*0,$V782)/IF($D$2="Egyszeri",VLOOKUP($B782+IF($C782=12,1,0),Paraméterek!$V$257:$W$262,2),IF($B782=1,1,VLOOKUP($B782+IF($C782=12,1,0),Paraméterek!$I$258:$T$278,HLOOKUP($M$11+1,Paraméterek!$J$256:$T$257,2)))),IF($D$4="Forint",0,2)))</f>
        <v>#N/A</v>
      </c>
      <c r="X782" s="13" t="e">
        <f ca="1">ROUNDDOWN($W782*IF($D$2="Egyszeri",VLOOKUP($B782+IF($C782=12,1,0),Paraméterek!$V$257:$W$262,2),VLOOKUP($B782+IF($C782=12,1,0),Paraméterek!$I$258:$T$278,HLOOKUP($M$11+1,Paraméterek!$I$256:$T$257,2))),IF($D$4="Forint",0,2))</f>
        <v>#N/A</v>
      </c>
      <c r="Z782" s="32">
        <v>763</v>
      </c>
      <c r="AA782" s="32">
        <v>64</v>
      </c>
      <c r="AB782" s="32">
        <v>7</v>
      </c>
      <c r="AC782" s="13">
        <f t="shared" ca="1" si="258"/>
        <v>0</v>
      </c>
      <c r="AD782" s="33"/>
      <c r="AE782" s="13">
        <f t="shared" ca="1" si="250"/>
        <v>0</v>
      </c>
      <c r="AF782" s="13">
        <f ca="1">ROUNDUP(($AC782+$AE782)*VLOOKUP($AA782,Paraméterek!$P$38:$Q$38,2)/12*IF($D783="Nem",IF($M$13=0,1,$M$13),1),IF($D$4="Forint",0,2))</f>
        <v>0</v>
      </c>
      <c r="AG782" s="13">
        <f ca="1">IF($D$2="Egyszeri",IF($D$7&gt;=IF($D$4="Forint",Paraméterek!$P$223,Paraméterek!$P$224),$D$7-IF($D$4="Forint",Paraméterek!$P$223,Paraméterek!$P$224),0),MIN(IF($AB782=12,AVERAGEIF($E$20:$E782,"&gt;0",$E$20:$E782)*12,0),SUM($E$20:$E$31)))</f>
        <v>0</v>
      </c>
      <c r="AH782" s="13">
        <f>IF($AA782=10,$AG782*IF($AB782=12,IF($AG782&lt;IF($D$4="Forint",Paraméterek!$L$223,Paraméterek!$L$224),0,VLOOKUP($AA782,Paraméterek!$K$226:$M$228,IF($AG782&lt;IF($D$4="Forint",Paraméterek!$M$223,Paraméterek!$M$224),2,3))),0),0)</f>
        <v>0</v>
      </c>
      <c r="AI782" s="13">
        <f ca="1">IF(AND($AA782=$M$11+1,$AB782=$M$12+1),SUMIF($AA$20:$AA$1027,$AA782,$AG$20:$AG$1027)*IF(SUMIF($AA$20:$AA$1027,$AA782,$AG$20:$AG$1027)&lt;IF($D$4="Forint",Paraméterek!$L$223,Paraméterek!$L$224),0,VLOOKUP($AA782,Paraméterek!$K$230:$M$250,IF(SUMIF($AA$20:$AA$1027,$AA782,$AG$20:$AG$1027)&lt;IF($D$4="Forint",Paraméterek!$M$223,Paraméterek!$M$224),2,3))),0)</f>
        <v>0</v>
      </c>
      <c r="AJ782" s="13">
        <f ca="1">IF(AND($AA782&gt;=5,MOD($AA782,5)=0),IF($AB782=12,VLOOKUP($AA782,Paraméterek!$O$225:$P$240,2),0),IF(OR($AA782=3,$AA782=4),IF($AB782=12,VLOOKUP($AA782,Paraméterek!$O$225:$P$240,2,0),0),0))*$AG782</f>
        <v>0</v>
      </c>
      <c r="AK782" s="13">
        <f t="shared" ca="1" si="251"/>
        <v>0</v>
      </c>
      <c r="AL782" s="13">
        <f t="shared" ca="1" si="259"/>
        <v>0</v>
      </c>
      <c r="AM782" s="13">
        <f t="shared" ca="1" si="260"/>
        <v>0</v>
      </c>
      <c r="AO782" s="32">
        <v>763</v>
      </c>
      <c r="AP782" s="32">
        <v>64</v>
      </c>
      <c r="AQ782" s="32">
        <v>7</v>
      </c>
      <c r="AR782" s="13"/>
      <c r="AS782" s="32"/>
      <c r="AT782" s="13">
        <f t="shared" ca="1" si="261"/>
        <v>0</v>
      </c>
      <c r="AU782" s="33"/>
      <c r="AV782" s="13">
        <f t="shared" ca="1" si="252"/>
        <v>0</v>
      </c>
      <c r="AW782" s="13">
        <f ca="1">ROUNDUP(($AT782+$AV782)*VLOOKUP($AP782,Paraméterek!$P$38:$Q$38,2)/12*IF($D783="Nem",IF($M$13=0,1,$M$13),1),IF($D$4="Forint",0,2))</f>
        <v>0</v>
      </c>
      <c r="AX782" s="13"/>
      <c r="AY782" s="13"/>
      <c r="AZ782" s="13">
        <f>ROUNDUP(IF(SUM($AX782:$AY782)=0,0,IF(IF(ISBLANK($AY782),$AX782,$AY782)*Paraméterek!$J$112&lt;IF($D$4="Forint",Paraméterek!$J$113,Paraméterek!$K$113),IF($D$4="Forint",Paraméterek!$J$113,Paraméterek!$K$113),IF(IF(ISBLANK($AY782),$AX782,$AY782)*Paraméterek!$J$112&gt;IF($D$4="Forint",Paraméterek!$J$114,Paraméterek!$K$114),IF($D$4="Forint",Paraméterek!$J$114,Paraméterek!$K$114),IF(ISBLANK($AY782),$AX782,$AY782)*Paraméterek!$J$112))),IF($D$4="Forint",0,2))</f>
        <v>0</v>
      </c>
      <c r="BA782" s="13">
        <f ca="1">$AT782+$AV782-$AW782-IF(ROUNDDOWN(IF(ISBLANK($AY782),$AX782,$AY782),IF($D$4="Forint",0,2))&gt;$AT782+$AV782-$AW782-IF($D$4="Forint",Paraméterek!$J$114,Paraméterek!$K$114),0,ROUNDDOWN(IF(ISBLANK($AY782),$AX782,$AY782),IF($D$4="Forint",0,2))-$AZ782)</f>
        <v>0</v>
      </c>
      <c r="BB782" s="13">
        <f t="shared" ca="1" si="253"/>
        <v>0</v>
      </c>
      <c r="BD782" s="32">
        <v>763</v>
      </c>
      <c r="BE782" s="32">
        <v>64</v>
      </c>
      <c r="BF782" s="32">
        <v>7</v>
      </c>
      <c r="BG782" s="34">
        <f t="shared" ca="1" si="262"/>
        <v>2082</v>
      </c>
      <c r="BH782" s="32" t="str">
        <f ca="1">IF(MOD(MONTH($D$14)+$BD782-1,12)=Paraméterek!$C$288,"Igen","")</f>
        <v/>
      </c>
      <c r="BI782" s="13">
        <f ca="1">IF($BH782="Igen",MIN(ROUNDDOWN((SUMIF($BG$20:$BG$1027,$BG782-1,$K$20:$K$1027)-SUMIF($BG$20:$BG$1027,$BG782-1,$I$20:$I$1027))*Paraméterek!$C$289,IF($D$4="Forint",0,2)),IF($D$4="Forint",Paraméterek!$C$285,Paraméterek!$D$285)),0)</f>
        <v>0</v>
      </c>
      <c r="BJ782" s="13">
        <f t="shared" ca="1" si="254"/>
        <v>0</v>
      </c>
      <c r="BK782" s="13">
        <f t="shared" ca="1" si="263"/>
        <v>0</v>
      </c>
      <c r="BL782" s="33"/>
      <c r="BM782" s="13">
        <f t="shared" ca="1" si="255"/>
        <v>0</v>
      </c>
      <c r="BN782" s="13">
        <f ca="1">ROUNDUP(($BK782+$BM782)*VLOOKUP($BE782,Paraméterek!$P$38:$Q$38,2)/12*IF($D783="Nem",IF($M$13=0,1,$M$13),1),IF($D$4="Forint",0,2))</f>
        <v>0</v>
      </c>
      <c r="BO782" s="13">
        <f t="shared" ca="1" si="256"/>
        <v>0</v>
      </c>
      <c r="BP782" s="13">
        <f ca="1">IF($D783="Nem",$BO782,$BO782-ROUNDUP(SUM($BI$20:$BI782)*120%,IF($D$4="Forint",0,2)))</f>
        <v>0</v>
      </c>
    </row>
    <row r="783" spans="1:68" x14ac:dyDescent="0.2">
      <c r="A783" s="32">
        <v>764</v>
      </c>
      <c r="B783" s="32">
        <v>64</v>
      </c>
      <c r="C783" s="32">
        <v>8</v>
      </c>
      <c r="D783" s="32" t="str">
        <f t="shared" ca="1" si="242"/>
        <v>Nem</v>
      </c>
      <c r="E783" s="13">
        <f t="shared" ca="1" si="243"/>
        <v>0</v>
      </c>
      <c r="F783" s="13"/>
      <c r="G783" s="13"/>
      <c r="H783" s="13"/>
      <c r="I783" s="13">
        <f t="shared" ca="1" si="244"/>
        <v>0</v>
      </c>
      <c r="J783" s="13">
        <f t="shared" ca="1" si="245"/>
        <v>0</v>
      </c>
      <c r="K783" s="13">
        <f t="shared" ca="1" si="246"/>
        <v>0</v>
      </c>
      <c r="L783" s="13" t="e">
        <f ca="1">ROUNDUP(IF($D$2="Egyszeri",$E783,IF($D$2="Havi",SUM($E$20:$E$31),IF(MOD($C783,$M$1)-1=0,SUM($E$20:$E$31),0))/12*$M$1)*VLOOKUP($B783,Paraméterek!$I$28:$P$31,IF($D$2="Egyszeri",8,HLOOKUP(ROUNDUP($M$11+$M$13,0),Paraméterek!$J$26:$O$27,2))),IF($D$4="Forint",0,2))</f>
        <v>#N/A</v>
      </c>
      <c r="M783" s="13">
        <f t="shared" ca="1" si="247"/>
        <v>0</v>
      </c>
      <c r="N783" s="13">
        <f t="shared" ca="1" si="257"/>
        <v>0</v>
      </c>
      <c r="O783" s="13">
        <f ca="1">IF($D783="Igen",IF($W782&gt;=IF($D$4="Forint",Paraméterek!$J$121,Paraméterek!$K$121),0,IF($D$4="Forint",Paraméterek!$J$121,Paraméterek!$K$121)-$W782),0)</f>
        <v>0</v>
      </c>
      <c r="P783" s="13" t="e">
        <f ca="1">ROUNDUP($O783*VLOOKUP($M$4+$B783-1,Paraméterek!$H$58:$I$105,2,0)/Paraméterek!$I$56,IF($D$4="Forint",0,2))</f>
        <v>#N/A</v>
      </c>
      <c r="Q783" s="13">
        <f t="shared" ca="1" si="248"/>
        <v>0</v>
      </c>
      <c r="R783" s="33"/>
      <c r="S783" s="13" t="e">
        <f t="shared" ca="1" si="249"/>
        <v>#N/A</v>
      </c>
      <c r="T783" s="13" t="e">
        <f ca="1">ROUNDUP(($N783-$P783-$Q783+$S783)*VLOOKUP($B783,Paraméterek!$I$38:$K$39,IF($D$2="Egyszeri",3,2))/12*IF($D784="Nem",IF($M$13=0,1,$M$13),1),IF($D$4="Forint",0,2))</f>
        <v>#N/A</v>
      </c>
      <c r="U783" s="13"/>
      <c r="V783" s="13"/>
      <c r="W783" s="13" t="e">
        <f ca="1">$N783-$P783-$Q783+$S783-$T783-IF(ROUNDUP(IF(ISBLANK($V783),$U783*0,$V783)/IF($D$2="Egyszeri",VLOOKUP($B783+IF($C783=12,1,0),Paraméterek!$V$257:$W$262,2),IF($B783=1,1,VLOOKUP($B783+IF($C783=12,1,0),Paraméterek!$I$258:$T$278,HLOOKUP($M$11+1,Paraméterek!$J$256:$T$257,2)))),IF($D$4="Forint",0,2))&gt;$N783-$P783-$Q783+$S783-$T783-IF($D$4="Forint",Paraméterek!$C$216,Paraméterek!$D$216),0,ROUNDUP(IF(ISBLANK($V783),$U783*0,$V783)/IF($D$2="Egyszeri",VLOOKUP($B783+IF($C783=12,1,0),Paraméterek!$V$257:$W$262,2),IF($B783=1,1,VLOOKUP($B783+IF($C783=12,1,0),Paraméterek!$I$258:$T$278,HLOOKUP($M$11+1,Paraméterek!$J$256:$T$257,2)))),IF($D$4="Forint",0,2)))</f>
        <v>#N/A</v>
      </c>
      <c r="X783" s="13" t="e">
        <f ca="1">ROUNDDOWN($W783*IF($D$2="Egyszeri",VLOOKUP($B783+IF($C783=12,1,0),Paraméterek!$V$257:$W$262,2),VLOOKUP($B783+IF($C783=12,1,0),Paraméterek!$I$258:$T$278,HLOOKUP($M$11+1,Paraméterek!$I$256:$T$257,2))),IF($D$4="Forint",0,2))</f>
        <v>#N/A</v>
      </c>
      <c r="Z783" s="32">
        <v>764</v>
      </c>
      <c r="AA783" s="32">
        <v>64</v>
      </c>
      <c r="AB783" s="32">
        <v>8</v>
      </c>
      <c r="AC783" s="13">
        <f t="shared" ca="1" si="258"/>
        <v>0</v>
      </c>
      <c r="AD783" s="33"/>
      <c r="AE783" s="13">
        <f t="shared" ca="1" si="250"/>
        <v>0</v>
      </c>
      <c r="AF783" s="13">
        <f ca="1">ROUNDUP(($AC783+$AE783)*VLOOKUP($AA783,Paraméterek!$P$38:$Q$38,2)/12*IF($D784="Nem",IF($M$13=0,1,$M$13),1),IF($D$4="Forint",0,2))</f>
        <v>0</v>
      </c>
      <c r="AG783" s="13">
        <f ca="1">IF($D$2="Egyszeri",IF($D$7&gt;=IF($D$4="Forint",Paraméterek!$P$223,Paraméterek!$P$224),$D$7-IF($D$4="Forint",Paraméterek!$P$223,Paraméterek!$P$224),0),MIN(IF($AB783=12,AVERAGEIF($E$20:$E783,"&gt;0",$E$20:$E783)*12,0),SUM($E$20:$E$31)))</f>
        <v>0</v>
      </c>
      <c r="AH783" s="13">
        <f>IF($AA783=10,$AG783*IF($AB783=12,IF($AG783&lt;IF($D$4="Forint",Paraméterek!$L$223,Paraméterek!$L$224),0,VLOOKUP($AA783,Paraméterek!$K$226:$M$228,IF($AG783&lt;IF($D$4="Forint",Paraméterek!$M$223,Paraméterek!$M$224),2,3))),0),0)</f>
        <v>0</v>
      </c>
      <c r="AI783" s="13">
        <f ca="1">IF(AND($AA783=$M$11+1,$AB783=$M$12+1),SUMIF($AA$20:$AA$1027,$AA783,$AG$20:$AG$1027)*IF(SUMIF($AA$20:$AA$1027,$AA783,$AG$20:$AG$1027)&lt;IF($D$4="Forint",Paraméterek!$L$223,Paraméterek!$L$224),0,VLOOKUP($AA783,Paraméterek!$K$230:$M$250,IF(SUMIF($AA$20:$AA$1027,$AA783,$AG$20:$AG$1027)&lt;IF($D$4="Forint",Paraméterek!$M$223,Paraméterek!$M$224),2,3))),0)</f>
        <v>0</v>
      </c>
      <c r="AJ783" s="13">
        <f ca="1">IF(AND($AA783&gt;=5,MOD($AA783,5)=0),IF($AB783=12,VLOOKUP($AA783,Paraméterek!$O$225:$P$240,2),0),IF(OR($AA783=3,$AA783=4),IF($AB783=12,VLOOKUP($AA783,Paraméterek!$O$225:$P$240,2,0),0),0))*$AG783</f>
        <v>0</v>
      </c>
      <c r="AK783" s="13">
        <f t="shared" ca="1" si="251"/>
        <v>0</v>
      </c>
      <c r="AL783" s="13">
        <f t="shared" ca="1" si="259"/>
        <v>0</v>
      </c>
      <c r="AM783" s="13">
        <f t="shared" ca="1" si="260"/>
        <v>0</v>
      </c>
      <c r="AO783" s="32">
        <v>764</v>
      </c>
      <c r="AP783" s="32">
        <v>64</v>
      </c>
      <c r="AQ783" s="32">
        <v>8</v>
      </c>
      <c r="AR783" s="13"/>
      <c r="AS783" s="32"/>
      <c r="AT783" s="13">
        <f t="shared" ca="1" si="261"/>
        <v>0</v>
      </c>
      <c r="AU783" s="33"/>
      <c r="AV783" s="13">
        <f t="shared" ca="1" si="252"/>
        <v>0</v>
      </c>
      <c r="AW783" s="13">
        <f ca="1">ROUNDUP(($AT783+$AV783)*VLOOKUP($AP783,Paraméterek!$P$38:$Q$38,2)/12*IF($D784="Nem",IF($M$13=0,1,$M$13),1),IF($D$4="Forint",0,2))</f>
        <v>0</v>
      </c>
      <c r="AX783" s="13"/>
      <c r="AY783" s="13"/>
      <c r="AZ783" s="13">
        <f>ROUNDUP(IF(SUM($AX783:$AY783)=0,0,IF(IF(ISBLANK($AY783),$AX783,$AY783)*Paraméterek!$J$112&lt;IF($D$4="Forint",Paraméterek!$J$113,Paraméterek!$K$113),IF($D$4="Forint",Paraméterek!$J$113,Paraméterek!$K$113),IF(IF(ISBLANK($AY783),$AX783,$AY783)*Paraméterek!$J$112&gt;IF($D$4="Forint",Paraméterek!$J$114,Paraméterek!$K$114),IF($D$4="Forint",Paraméterek!$J$114,Paraméterek!$K$114),IF(ISBLANK($AY783),$AX783,$AY783)*Paraméterek!$J$112))),IF($D$4="Forint",0,2))</f>
        <v>0</v>
      </c>
      <c r="BA783" s="13">
        <f ca="1">$AT783+$AV783-$AW783-IF(ROUNDDOWN(IF(ISBLANK($AY783),$AX783,$AY783),IF($D$4="Forint",0,2))&gt;$AT783+$AV783-$AW783-IF($D$4="Forint",Paraméterek!$J$114,Paraméterek!$K$114),0,ROUNDDOWN(IF(ISBLANK($AY783),$AX783,$AY783),IF($D$4="Forint",0,2))-$AZ783)</f>
        <v>0</v>
      </c>
      <c r="BB783" s="13">
        <f t="shared" ca="1" si="253"/>
        <v>0</v>
      </c>
      <c r="BD783" s="32">
        <v>764</v>
      </c>
      <c r="BE783" s="32">
        <v>64</v>
      </c>
      <c r="BF783" s="32">
        <v>8</v>
      </c>
      <c r="BG783" s="34">
        <f t="shared" ca="1" si="262"/>
        <v>2083</v>
      </c>
      <c r="BH783" s="32" t="str">
        <f ca="1">IF(MOD(MONTH($D$14)+$BD783-1,12)=Paraméterek!$C$288,"Igen","")</f>
        <v/>
      </c>
      <c r="BI783" s="13">
        <f ca="1">IF($BH783="Igen",MIN(ROUNDDOWN((SUMIF($BG$20:$BG$1027,$BG783-1,$K$20:$K$1027)-SUMIF($BG$20:$BG$1027,$BG783-1,$I$20:$I$1027))*Paraméterek!$C$289,IF($D$4="Forint",0,2)),IF($D$4="Forint",Paraméterek!$C$285,Paraméterek!$D$285)),0)</f>
        <v>0</v>
      </c>
      <c r="BJ783" s="13">
        <f t="shared" ca="1" si="254"/>
        <v>0</v>
      </c>
      <c r="BK783" s="13">
        <f t="shared" ca="1" si="263"/>
        <v>0</v>
      </c>
      <c r="BL783" s="33"/>
      <c r="BM783" s="13">
        <f t="shared" ca="1" si="255"/>
        <v>0</v>
      </c>
      <c r="BN783" s="13">
        <f ca="1">ROUNDUP(($BK783+$BM783)*VLOOKUP($BE783,Paraméterek!$P$38:$Q$38,2)/12*IF($D784="Nem",IF($M$13=0,1,$M$13),1),IF($D$4="Forint",0,2))</f>
        <v>0</v>
      </c>
      <c r="BO783" s="13">
        <f t="shared" ca="1" si="256"/>
        <v>0</v>
      </c>
      <c r="BP783" s="13">
        <f ca="1">IF($D784="Nem",$BO783,$BO783-ROUNDUP(SUM($BI$20:$BI783)*120%,IF($D$4="Forint",0,2)))</f>
        <v>0</v>
      </c>
    </row>
    <row r="784" spans="1:68" x14ac:dyDescent="0.2">
      <c r="A784" s="32">
        <v>765</v>
      </c>
      <c r="B784" s="32">
        <v>64</v>
      </c>
      <c r="C784" s="32">
        <v>9</v>
      </c>
      <c r="D784" s="32" t="str">
        <f t="shared" ca="1" si="242"/>
        <v>Nem</v>
      </c>
      <c r="E784" s="13">
        <f t="shared" ca="1" si="243"/>
        <v>0</v>
      </c>
      <c r="F784" s="13"/>
      <c r="G784" s="13"/>
      <c r="H784" s="13"/>
      <c r="I784" s="13">
        <f t="shared" ca="1" si="244"/>
        <v>0</v>
      </c>
      <c r="J784" s="13">
        <f t="shared" ca="1" si="245"/>
        <v>0</v>
      </c>
      <c r="K784" s="13">
        <f t="shared" ca="1" si="246"/>
        <v>0</v>
      </c>
      <c r="L784" s="13" t="e">
        <f ca="1">ROUNDUP(IF($D$2="Egyszeri",$E784,IF($D$2="Havi",SUM($E$20:$E$31),IF(MOD($C784,$M$1)-1=0,SUM($E$20:$E$31),0))/12*$M$1)*VLOOKUP($B784,Paraméterek!$I$28:$P$31,IF($D$2="Egyszeri",8,HLOOKUP(ROUNDUP($M$11+$M$13,0),Paraméterek!$J$26:$O$27,2))),IF($D$4="Forint",0,2))</f>
        <v>#N/A</v>
      </c>
      <c r="M784" s="13">
        <f t="shared" ca="1" si="247"/>
        <v>0</v>
      </c>
      <c r="N784" s="13">
        <f t="shared" ca="1" si="257"/>
        <v>0</v>
      </c>
      <c r="O784" s="13">
        <f ca="1">IF($D784="Igen",IF($W783&gt;=IF($D$4="Forint",Paraméterek!$J$121,Paraméterek!$K$121),0,IF($D$4="Forint",Paraméterek!$J$121,Paraméterek!$K$121)-$W783),0)</f>
        <v>0</v>
      </c>
      <c r="P784" s="13" t="e">
        <f ca="1">ROUNDUP($O784*VLOOKUP($M$4+$B784-1,Paraméterek!$H$58:$I$105,2,0)/Paraméterek!$I$56,IF($D$4="Forint",0,2))</f>
        <v>#N/A</v>
      </c>
      <c r="Q784" s="13">
        <f t="shared" ca="1" si="248"/>
        <v>0</v>
      </c>
      <c r="R784" s="33"/>
      <c r="S784" s="13" t="e">
        <f t="shared" ca="1" si="249"/>
        <v>#N/A</v>
      </c>
      <c r="T784" s="13" t="e">
        <f ca="1">ROUNDUP(($N784-$P784-$Q784+$S784)*VLOOKUP($B784,Paraméterek!$I$38:$K$39,IF($D$2="Egyszeri",3,2))/12*IF($D785="Nem",IF($M$13=0,1,$M$13),1),IF($D$4="Forint",0,2))</f>
        <v>#N/A</v>
      </c>
      <c r="U784" s="13"/>
      <c r="V784" s="13"/>
      <c r="W784" s="13" t="e">
        <f ca="1">$N784-$P784-$Q784+$S784-$T784-IF(ROUNDUP(IF(ISBLANK($V784),$U784*0,$V784)/IF($D$2="Egyszeri",VLOOKUP($B784+IF($C784=12,1,0),Paraméterek!$V$257:$W$262,2),IF($B784=1,1,VLOOKUP($B784+IF($C784=12,1,0),Paraméterek!$I$258:$T$278,HLOOKUP($M$11+1,Paraméterek!$J$256:$T$257,2)))),IF($D$4="Forint",0,2))&gt;$N784-$P784-$Q784+$S784-$T784-IF($D$4="Forint",Paraméterek!$C$216,Paraméterek!$D$216),0,ROUNDUP(IF(ISBLANK($V784),$U784*0,$V784)/IF($D$2="Egyszeri",VLOOKUP($B784+IF($C784=12,1,0),Paraméterek!$V$257:$W$262,2),IF($B784=1,1,VLOOKUP($B784+IF($C784=12,1,0),Paraméterek!$I$258:$T$278,HLOOKUP($M$11+1,Paraméterek!$J$256:$T$257,2)))),IF($D$4="Forint",0,2)))</f>
        <v>#N/A</v>
      </c>
      <c r="X784" s="13" t="e">
        <f ca="1">ROUNDDOWN($W784*IF($D$2="Egyszeri",VLOOKUP($B784+IF($C784=12,1,0),Paraméterek!$V$257:$W$262,2),VLOOKUP($B784+IF($C784=12,1,0),Paraméterek!$I$258:$T$278,HLOOKUP($M$11+1,Paraméterek!$I$256:$T$257,2))),IF($D$4="Forint",0,2))</f>
        <v>#N/A</v>
      </c>
      <c r="Z784" s="32">
        <v>765</v>
      </c>
      <c r="AA784" s="32">
        <v>64</v>
      </c>
      <c r="AB784" s="32">
        <v>9</v>
      </c>
      <c r="AC784" s="13">
        <f t="shared" ca="1" si="258"/>
        <v>0</v>
      </c>
      <c r="AD784" s="33"/>
      <c r="AE784" s="13">
        <f t="shared" ca="1" si="250"/>
        <v>0</v>
      </c>
      <c r="AF784" s="13">
        <f ca="1">ROUNDUP(($AC784+$AE784)*VLOOKUP($AA784,Paraméterek!$P$38:$Q$38,2)/12*IF($D785="Nem",IF($M$13=0,1,$M$13),1),IF($D$4="Forint",0,2))</f>
        <v>0</v>
      </c>
      <c r="AG784" s="13">
        <f ca="1">IF($D$2="Egyszeri",IF($D$7&gt;=IF($D$4="Forint",Paraméterek!$P$223,Paraméterek!$P$224),$D$7-IF($D$4="Forint",Paraméterek!$P$223,Paraméterek!$P$224),0),MIN(IF($AB784=12,AVERAGEIF($E$20:$E784,"&gt;0",$E$20:$E784)*12,0),SUM($E$20:$E$31)))</f>
        <v>0</v>
      </c>
      <c r="AH784" s="13">
        <f>IF($AA784=10,$AG784*IF($AB784=12,IF($AG784&lt;IF($D$4="Forint",Paraméterek!$L$223,Paraméterek!$L$224),0,VLOOKUP($AA784,Paraméterek!$K$226:$M$228,IF($AG784&lt;IF($D$4="Forint",Paraméterek!$M$223,Paraméterek!$M$224),2,3))),0),0)</f>
        <v>0</v>
      </c>
      <c r="AI784" s="13">
        <f ca="1">IF(AND($AA784=$M$11+1,$AB784=$M$12+1),SUMIF($AA$20:$AA$1027,$AA784,$AG$20:$AG$1027)*IF(SUMIF($AA$20:$AA$1027,$AA784,$AG$20:$AG$1027)&lt;IF($D$4="Forint",Paraméterek!$L$223,Paraméterek!$L$224),0,VLOOKUP($AA784,Paraméterek!$K$230:$M$250,IF(SUMIF($AA$20:$AA$1027,$AA784,$AG$20:$AG$1027)&lt;IF($D$4="Forint",Paraméterek!$M$223,Paraméterek!$M$224),2,3))),0)</f>
        <v>0</v>
      </c>
      <c r="AJ784" s="13">
        <f ca="1">IF(AND($AA784&gt;=5,MOD($AA784,5)=0),IF($AB784=12,VLOOKUP($AA784,Paraméterek!$O$225:$P$240,2),0),IF(OR($AA784=3,$AA784=4),IF($AB784=12,VLOOKUP($AA784,Paraméterek!$O$225:$P$240,2,0),0),0))*$AG784</f>
        <v>0</v>
      </c>
      <c r="AK784" s="13">
        <f t="shared" ca="1" si="251"/>
        <v>0</v>
      </c>
      <c r="AL784" s="13">
        <f t="shared" ca="1" si="259"/>
        <v>0</v>
      </c>
      <c r="AM784" s="13">
        <f t="shared" ca="1" si="260"/>
        <v>0</v>
      </c>
      <c r="AO784" s="32">
        <v>765</v>
      </c>
      <c r="AP784" s="32">
        <v>64</v>
      </c>
      <c r="AQ784" s="32">
        <v>9</v>
      </c>
      <c r="AR784" s="13"/>
      <c r="AS784" s="32"/>
      <c r="AT784" s="13">
        <f t="shared" ca="1" si="261"/>
        <v>0</v>
      </c>
      <c r="AU784" s="33"/>
      <c r="AV784" s="13">
        <f t="shared" ca="1" si="252"/>
        <v>0</v>
      </c>
      <c r="AW784" s="13">
        <f ca="1">ROUNDUP(($AT784+$AV784)*VLOOKUP($AP784,Paraméterek!$P$38:$Q$38,2)/12*IF($D785="Nem",IF($M$13=0,1,$M$13),1),IF($D$4="Forint",0,2))</f>
        <v>0</v>
      </c>
      <c r="AX784" s="13"/>
      <c r="AY784" s="13"/>
      <c r="AZ784" s="13">
        <f>ROUNDUP(IF(SUM($AX784:$AY784)=0,0,IF(IF(ISBLANK($AY784),$AX784,$AY784)*Paraméterek!$J$112&lt;IF($D$4="Forint",Paraméterek!$J$113,Paraméterek!$K$113),IF($D$4="Forint",Paraméterek!$J$113,Paraméterek!$K$113),IF(IF(ISBLANK($AY784),$AX784,$AY784)*Paraméterek!$J$112&gt;IF($D$4="Forint",Paraméterek!$J$114,Paraméterek!$K$114),IF($D$4="Forint",Paraméterek!$J$114,Paraméterek!$K$114),IF(ISBLANK($AY784),$AX784,$AY784)*Paraméterek!$J$112))),IF($D$4="Forint",0,2))</f>
        <v>0</v>
      </c>
      <c r="BA784" s="13">
        <f ca="1">$AT784+$AV784-$AW784-IF(ROUNDDOWN(IF(ISBLANK($AY784),$AX784,$AY784),IF($D$4="Forint",0,2))&gt;$AT784+$AV784-$AW784-IF($D$4="Forint",Paraméterek!$J$114,Paraméterek!$K$114),0,ROUNDDOWN(IF(ISBLANK($AY784),$AX784,$AY784),IF($D$4="Forint",0,2))-$AZ784)</f>
        <v>0</v>
      </c>
      <c r="BB784" s="13">
        <f t="shared" ca="1" si="253"/>
        <v>0</v>
      </c>
      <c r="BD784" s="32">
        <v>765</v>
      </c>
      <c r="BE784" s="32">
        <v>64</v>
      </c>
      <c r="BF784" s="32">
        <v>9</v>
      </c>
      <c r="BG784" s="34">
        <f t="shared" ca="1" si="262"/>
        <v>2083</v>
      </c>
      <c r="BH784" s="32" t="str">
        <f ca="1">IF(MOD(MONTH($D$14)+$BD784-1,12)=Paraméterek!$C$288,"Igen","")</f>
        <v/>
      </c>
      <c r="BI784" s="13">
        <f ca="1">IF($BH784="Igen",MIN(ROUNDDOWN((SUMIF($BG$20:$BG$1027,$BG784-1,$K$20:$K$1027)-SUMIF($BG$20:$BG$1027,$BG784-1,$I$20:$I$1027))*Paraméterek!$C$289,IF($D$4="Forint",0,2)),IF($D$4="Forint",Paraméterek!$C$285,Paraméterek!$D$285)),0)</f>
        <v>0</v>
      </c>
      <c r="BJ784" s="13">
        <f t="shared" ca="1" si="254"/>
        <v>0</v>
      </c>
      <c r="BK784" s="13">
        <f t="shared" ca="1" si="263"/>
        <v>0</v>
      </c>
      <c r="BL784" s="33"/>
      <c r="BM784" s="13">
        <f t="shared" ca="1" si="255"/>
        <v>0</v>
      </c>
      <c r="BN784" s="13">
        <f ca="1">ROUNDUP(($BK784+$BM784)*VLOOKUP($BE784,Paraméterek!$P$38:$Q$38,2)/12*IF($D785="Nem",IF($M$13=0,1,$M$13),1),IF($D$4="Forint",0,2))</f>
        <v>0</v>
      </c>
      <c r="BO784" s="13">
        <f t="shared" ca="1" si="256"/>
        <v>0</v>
      </c>
      <c r="BP784" s="13">
        <f ca="1">IF($D785="Nem",$BO784,$BO784-ROUNDUP(SUM($BI$20:$BI784)*120%,IF($D$4="Forint",0,2)))</f>
        <v>0</v>
      </c>
    </row>
    <row r="785" spans="1:68" x14ac:dyDescent="0.2">
      <c r="A785" s="32">
        <v>766</v>
      </c>
      <c r="B785" s="32">
        <v>64</v>
      </c>
      <c r="C785" s="32">
        <v>10</v>
      </c>
      <c r="D785" s="32" t="str">
        <f t="shared" ca="1" si="242"/>
        <v>Nem</v>
      </c>
      <c r="E785" s="13">
        <f t="shared" ca="1" si="243"/>
        <v>0</v>
      </c>
      <c r="F785" s="13"/>
      <c r="G785" s="13"/>
      <c r="H785" s="13"/>
      <c r="I785" s="13">
        <f t="shared" ca="1" si="244"/>
        <v>0</v>
      </c>
      <c r="J785" s="13">
        <f t="shared" ca="1" si="245"/>
        <v>0</v>
      </c>
      <c r="K785" s="13">
        <f t="shared" ca="1" si="246"/>
        <v>0</v>
      </c>
      <c r="L785" s="13" t="e">
        <f ca="1">ROUNDUP(IF($D$2="Egyszeri",$E785,IF($D$2="Havi",SUM($E$20:$E$31),IF(MOD($C785,$M$1)-1=0,SUM($E$20:$E$31),0))/12*$M$1)*VLOOKUP($B785,Paraméterek!$I$28:$P$31,IF($D$2="Egyszeri",8,HLOOKUP(ROUNDUP($M$11+$M$13,0),Paraméterek!$J$26:$O$27,2))),IF($D$4="Forint",0,2))</f>
        <v>#N/A</v>
      </c>
      <c r="M785" s="13">
        <f t="shared" ca="1" si="247"/>
        <v>0</v>
      </c>
      <c r="N785" s="13">
        <f t="shared" ca="1" si="257"/>
        <v>0</v>
      </c>
      <c r="O785" s="13">
        <f ca="1">IF($D785="Igen",IF($W784&gt;=IF($D$4="Forint",Paraméterek!$J$121,Paraméterek!$K$121),0,IF($D$4="Forint",Paraméterek!$J$121,Paraméterek!$K$121)-$W784),0)</f>
        <v>0</v>
      </c>
      <c r="P785" s="13" t="e">
        <f ca="1">ROUNDUP($O785*VLOOKUP($M$4+$B785-1,Paraméterek!$H$58:$I$105,2,0)/Paraméterek!$I$56,IF($D$4="Forint",0,2))</f>
        <v>#N/A</v>
      </c>
      <c r="Q785" s="13">
        <f t="shared" ca="1" si="248"/>
        <v>0</v>
      </c>
      <c r="R785" s="33"/>
      <c r="S785" s="13" t="e">
        <f t="shared" ca="1" si="249"/>
        <v>#N/A</v>
      </c>
      <c r="T785" s="13" t="e">
        <f ca="1">ROUNDUP(($N785-$P785-$Q785+$S785)*VLOOKUP($B785,Paraméterek!$I$38:$K$39,IF($D$2="Egyszeri",3,2))/12*IF($D786="Nem",IF($M$13=0,1,$M$13),1),IF($D$4="Forint",0,2))</f>
        <v>#N/A</v>
      </c>
      <c r="U785" s="13"/>
      <c r="V785" s="13"/>
      <c r="W785" s="13" t="e">
        <f ca="1">$N785-$P785-$Q785+$S785-$T785-IF(ROUNDUP(IF(ISBLANK($V785),$U785*0,$V785)/IF($D$2="Egyszeri",VLOOKUP($B785+IF($C785=12,1,0),Paraméterek!$V$257:$W$262,2),IF($B785=1,1,VLOOKUP($B785+IF($C785=12,1,0),Paraméterek!$I$258:$T$278,HLOOKUP($M$11+1,Paraméterek!$J$256:$T$257,2)))),IF($D$4="Forint",0,2))&gt;$N785-$P785-$Q785+$S785-$T785-IF($D$4="Forint",Paraméterek!$C$216,Paraméterek!$D$216),0,ROUNDUP(IF(ISBLANK($V785),$U785*0,$V785)/IF($D$2="Egyszeri",VLOOKUP($B785+IF($C785=12,1,0),Paraméterek!$V$257:$W$262,2),IF($B785=1,1,VLOOKUP($B785+IF($C785=12,1,0),Paraméterek!$I$258:$T$278,HLOOKUP($M$11+1,Paraméterek!$J$256:$T$257,2)))),IF($D$4="Forint",0,2)))</f>
        <v>#N/A</v>
      </c>
      <c r="X785" s="13" t="e">
        <f ca="1">ROUNDDOWN($W785*IF($D$2="Egyszeri",VLOOKUP($B785+IF($C785=12,1,0),Paraméterek!$V$257:$W$262,2),VLOOKUP($B785+IF($C785=12,1,0),Paraméterek!$I$258:$T$278,HLOOKUP($M$11+1,Paraméterek!$I$256:$T$257,2))),IF($D$4="Forint",0,2))</f>
        <v>#N/A</v>
      </c>
      <c r="Z785" s="32">
        <v>766</v>
      </c>
      <c r="AA785" s="32">
        <v>64</v>
      </c>
      <c r="AB785" s="32">
        <v>10</v>
      </c>
      <c r="AC785" s="13">
        <f t="shared" ca="1" si="258"/>
        <v>0</v>
      </c>
      <c r="AD785" s="33"/>
      <c r="AE785" s="13">
        <f t="shared" ca="1" si="250"/>
        <v>0</v>
      </c>
      <c r="AF785" s="13">
        <f ca="1">ROUNDUP(($AC785+$AE785)*VLOOKUP($AA785,Paraméterek!$P$38:$Q$38,2)/12*IF($D786="Nem",IF($M$13=0,1,$M$13),1),IF($D$4="Forint",0,2))</f>
        <v>0</v>
      </c>
      <c r="AG785" s="13">
        <f ca="1">IF($D$2="Egyszeri",IF($D$7&gt;=IF($D$4="Forint",Paraméterek!$P$223,Paraméterek!$P$224),$D$7-IF($D$4="Forint",Paraméterek!$P$223,Paraméterek!$P$224),0),MIN(IF($AB785=12,AVERAGEIF($E$20:$E785,"&gt;0",$E$20:$E785)*12,0),SUM($E$20:$E$31)))</f>
        <v>0</v>
      </c>
      <c r="AH785" s="13">
        <f>IF($AA785=10,$AG785*IF($AB785=12,IF($AG785&lt;IF($D$4="Forint",Paraméterek!$L$223,Paraméterek!$L$224),0,VLOOKUP($AA785,Paraméterek!$K$226:$M$228,IF($AG785&lt;IF($D$4="Forint",Paraméterek!$M$223,Paraméterek!$M$224),2,3))),0),0)</f>
        <v>0</v>
      </c>
      <c r="AI785" s="13">
        <f ca="1">IF(AND($AA785=$M$11+1,$AB785=$M$12+1),SUMIF($AA$20:$AA$1027,$AA785,$AG$20:$AG$1027)*IF(SUMIF($AA$20:$AA$1027,$AA785,$AG$20:$AG$1027)&lt;IF($D$4="Forint",Paraméterek!$L$223,Paraméterek!$L$224),0,VLOOKUP($AA785,Paraméterek!$K$230:$M$250,IF(SUMIF($AA$20:$AA$1027,$AA785,$AG$20:$AG$1027)&lt;IF($D$4="Forint",Paraméterek!$M$223,Paraméterek!$M$224),2,3))),0)</f>
        <v>0</v>
      </c>
      <c r="AJ785" s="13">
        <f ca="1">IF(AND($AA785&gt;=5,MOD($AA785,5)=0),IF($AB785=12,VLOOKUP($AA785,Paraméterek!$O$225:$P$240,2),0),IF(OR($AA785=3,$AA785=4),IF($AB785=12,VLOOKUP($AA785,Paraméterek!$O$225:$P$240,2,0),0),0))*$AG785</f>
        <v>0</v>
      </c>
      <c r="AK785" s="13">
        <f t="shared" ca="1" si="251"/>
        <v>0</v>
      </c>
      <c r="AL785" s="13">
        <f t="shared" ca="1" si="259"/>
        <v>0</v>
      </c>
      <c r="AM785" s="13">
        <f t="shared" ca="1" si="260"/>
        <v>0</v>
      </c>
      <c r="AO785" s="32">
        <v>766</v>
      </c>
      <c r="AP785" s="32">
        <v>64</v>
      </c>
      <c r="AQ785" s="32">
        <v>10</v>
      </c>
      <c r="AR785" s="13"/>
      <c r="AS785" s="32"/>
      <c r="AT785" s="13">
        <f t="shared" ca="1" si="261"/>
        <v>0</v>
      </c>
      <c r="AU785" s="33"/>
      <c r="AV785" s="13">
        <f t="shared" ca="1" si="252"/>
        <v>0</v>
      </c>
      <c r="AW785" s="13">
        <f ca="1">ROUNDUP(($AT785+$AV785)*VLOOKUP($AP785,Paraméterek!$P$38:$Q$38,2)/12*IF($D786="Nem",IF($M$13=0,1,$M$13),1),IF($D$4="Forint",0,2))</f>
        <v>0</v>
      </c>
      <c r="AX785" s="13"/>
      <c r="AY785" s="13"/>
      <c r="AZ785" s="13">
        <f>ROUNDUP(IF(SUM($AX785:$AY785)=0,0,IF(IF(ISBLANK($AY785),$AX785,$AY785)*Paraméterek!$J$112&lt;IF($D$4="Forint",Paraméterek!$J$113,Paraméterek!$K$113),IF($D$4="Forint",Paraméterek!$J$113,Paraméterek!$K$113),IF(IF(ISBLANK($AY785),$AX785,$AY785)*Paraméterek!$J$112&gt;IF($D$4="Forint",Paraméterek!$J$114,Paraméterek!$K$114),IF($D$4="Forint",Paraméterek!$J$114,Paraméterek!$K$114),IF(ISBLANK($AY785),$AX785,$AY785)*Paraméterek!$J$112))),IF($D$4="Forint",0,2))</f>
        <v>0</v>
      </c>
      <c r="BA785" s="13">
        <f ca="1">$AT785+$AV785-$AW785-IF(ROUNDDOWN(IF(ISBLANK($AY785),$AX785,$AY785),IF($D$4="Forint",0,2))&gt;$AT785+$AV785-$AW785-IF($D$4="Forint",Paraméterek!$J$114,Paraméterek!$K$114),0,ROUNDDOWN(IF(ISBLANK($AY785),$AX785,$AY785),IF($D$4="Forint",0,2))-$AZ785)</f>
        <v>0</v>
      </c>
      <c r="BB785" s="13">
        <f t="shared" ca="1" si="253"/>
        <v>0</v>
      </c>
      <c r="BD785" s="32">
        <v>766</v>
      </c>
      <c r="BE785" s="32">
        <v>64</v>
      </c>
      <c r="BF785" s="32">
        <v>10</v>
      </c>
      <c r="BG785" s="34">
        <f t="shared" ca="1" si="262"/>
        <v>2083</v>
      </c>
      <c r="BH785" s="32" t="str">
        <f ca="1">IF(MOD(MONTH($D$14)+$BD785-1,12)=Paraméterek!$C$288,"Igen","")</f>
        <v/>
      </c>
      <c r="BI785" s="13">
        <f ca="1">IF($BH785="Igen",MIN(ROUNDDOWN((SUMIF($BG$20:$BG$1027,$BG785-1,$K$20:$K$1027)-SUMIF($BG$20:$BG$1027,$BG785-1,$I$20:$I$1027))*Paraméterek!$C$289,IF($D$4="Forint",0,2)),IF($D$4="Forint",Paraméterek!$C$285,Paraméterek!$D$285)),0)</f>
        <v>0</v>
      </c>
      <c r="BJ785" s="13">
        <f t="shared" ca="1" si="254"/>
        <v>0</v>
      </c>
      <c r="BK785" s="13">
        <f t="shared" ca="1" si="263"/>
        <v>0</v>
      </c>
      <c r="BL785" s="33"/>
      <c r="BM785" s="13">
        <f t="shared" ca="1" si="255"/>
        <v>0</v>
      </c>
      <c r="BN785" s="13">
        <f ca="1">ROUNDUP(($BK785+$BM785)*VLOOKUP($BE785,Paraméterek!$P$38:$Q$38,2)/12*IF($D786="Nem",IF($M$13=0,1,$M$13),1),IF($D$4="Forint",0,2))</f>
        <v>0</v>
      </c>
      <c r="BO785" s="13">
        <f t="shared" ca="1" si="256"/>
        <v>0</v>
      </c>
      <c r="BP785" s="13">
        <f ca="1">IF($D786="Nem",$BO785,$BO785-ROUNDUP(SUM($BI$20:$BI785)*120%,IF($D$4="Forint",0,2)))</f>
        <v>0</v>
      </c>
    </row>
    <row r="786" spans="1:68" x14ac:dyDescent="0.2">
      <c r="A786" s="32">
        <v>767</v>
      </c>
      <c r="B786" s="32">
        <v>64</v>
      </c>
      <c r="C786" s="32">
        <v>11</v>
      </c>
      <c r="D786" s="32" t="str">
        <f t="shared" ca="1" si="242"/>
        <v>Nem</v>
      </c>
      <c r="E786" s="13">
        <f t="shared" ca="1" si="243"/>
        <v>0</v>
      </c>
      <c r="F786" s="13"/>
      <c r="G786" s="13"/>
      <c r="H786" s="13"/>
      <c r="I786" s="13">
        <f t="shared" ca="1" si="244"/>
        <v>0</v>
      </c>
      <c r="J786" s="13">
        <f t="shared" ca="1" si="245"/>
        <v>0</v>
      </c>
      <c r="K786" s="13">
        <f t="shared" ca="1" si="246"/>
        <v>0</v>
      </c>
      <c r="L786" s="13" t="e">
        <f ca="1">ROUNDUP(IF($D$2="Egyszeri",$E786,IF($D$2="Havi",SUM($E$20:$E$31),IF(MOD($C786,$M$1)-1=0,SUM($E$20:$E$31),0))/12*$M$1)*VLOOKUP($B786,Paraméterek!$I$28:$P$31,IF($D$2="Egyszeri",8,HLOOKUP(ROUNDUP($M$11+$M$13,0),Paraméterek!$J$26:$O$27,2))),IF($D$4="Forint",0,2))</f>
        <v>#N/A</v>
      </c>
      <c r="M786" s="13">
        <f t="shared" ca="1" si="247"/>
        <v>0</v>
      </c>
      <c r="N786" s="13">
        <f t="shared" ca="1" si="257"/>
        <v>0</v>
      </c>
      <c r="O786" s="13">
        <f ca="1">IF($D786="Igen",IF($W785&gt;=IF($D$4="Forint",Paraméterek!$J$121,Paraméterek!$K$121),0,IF($D$4="Forint",Paraméterek!$J$121,Paraméterek!$K$121)-$W785),0)</f>
        <v>0</v>
      </c>
      <c r="P786" s="13" t="e">
        <f ca="1">ROUNDUP($O786*VLOOKUP($M$4+$B786-1,Paraméterek!$H$58:$I$105,2,0)/Paraméterek!$I$56,IF($D$4="Forint",0,2))</f>
        <v>#N/A</v>
      </c>
      <c r="Q786" s="13">
        <f t="shared" ca="1" si="248"/>
        <v>0</v>
      </c>
      <c r="R786" s="33"/>
      <c r="S786" s="13" t="e">
        <f t="shared" ca="1" si="249"/>
        <v>#N/A</v>
      </c>
      <c r="T786" s="13" t="e">
        <f ca="1">ROUNDUP(($N786-$P786-$Q786+$S786)*VLOOKUP($B786,Paraméterek!$I$38:$K$39,IF($D$2="Egyszeri",3,2))/12*IF($D787="Nem",IF($M$13=0,1,$M$13),1),IF($D$4="Forint",0,2))</f>
        <v>#N/A</v>
      </c>
      <c r="U786" s="13"/>
      <c r="V786" s="13"/>
      <c r="W786" s="13" t="e">
        <f ca="1">$N786-$P786-$Q786+$S786-$T786-IF(ROUNDUP(IF(ISBLANK($V786),$U786*0,$V786)/IF($D$2="Egyszeri",VLOOKUP($B786+IF($C786=12,1,0),Paraméterek!$V$257:$W$262,2),IF($B786=1,1,VLOOKUP($B786+IF($C786=12,1,0),Paraméterek!$I$258:$T$278,HLOOKUP($M$11+1,Paraméterek!$J$256:$T$257,2)))),IF($D$4="Forint",0,2))&gt;$N786-$P786-$Q786+$S786-$T786-IF($D$4="Forint",Paraméterek!$C$216,Paraméterek!$D$216),0,ROUNDUP(IF(ISBLANK($V786),$U786*0,$V786)/IF($D$2="Egyszeri",VLOOKUP($B786+IF($C786=12,1,0),Paraméterek!$V$257:$W$262,2),IF($B786=1,1,VLOOKUP($B786+IF($C786=12,1,0),Paraméterek!$I$258:$T$278,HLOOKUP($M$11+1,Paraméterek!$J$256:$T$257,2)))),IF($D$4="Forint",0,2)))</f>
        <v>#N/A</v>
      </c>
      <c r="X786" s="13" t="e">
        <f ca="1">ROUNDDOWN($W786*IF($D$2="Egyszeri",VLOOKUP($B786+IF($C786=12,1,0),Paraméterek!$V$257:$W$262,2),VLOOKUP($B786+IF($C786=12,1,0),Paraméterek!$I$258:$T$278,HLOOKUP($M$11+1,Paraméterek!$I$256:$T$257,2))),IF($D$4="Forint",0,2))</f>
        <v>#N/A</v>
      </c>
      <c r="Z786" s="32">
        <v>767</v>
      </c>
      <c r="AA786" s="32">
        <v>64</v>
      </c>
      <c r="AB786" s="32">
        <v>11</v>
      </c>
      <c r="AC786" s="13">
        <f t="shared" ca="1" si="258"/>
        <v>0</v>
      </c>
      <c r="AD786" s="33"/>
      <c r="AE786" s="13">
        <f t="shared" ca="1" si="250"/>
        <v>0</v>
      </c>
      <c r="AF786" s="13">
        <f ca="1">ROUNDUP(($AC786+$AE786)*VLOOKUP($AA786,Paraméterek!$P$38:$Q$38,2)/12*IF($D787="Nem",IF($M$13=0,1,$M$13),1),IF($D$4="Forint",0,2))</f>
        <v>0</v>
      </c>
      <c r="AG786" s="13">
        <f ca="1">IF($D$2="Egyszeri",IF($D$7&gt;=IF($D$4="Forint",Paraméterek!$P$223,Paraméterek!$P$224),$D$7-IF($D$4="Forint",Paraméterek!$P$223,Paraméterek!$P$224),0),MIN(IF($AB786=12,AVERAGEIF($E$20:$E786,"&gt;0",$E$20:$E786)*12,0),SUM($E$20:$E$31)))</f>
        <v>0</v>
      </c>
      <c r="AH786" s="13">
        <f>IF($AA786=10,$AG786*IF($AB786=12,IF($AG786&lt;IF($D$4="Forint",Paraméterek!$L$223,Paraméterek!$L$224),0,VLOOKUP($AA786,Paraméterek!$K$226:$M$228,IF($AG786&lt;IF($D$4="Forint",Paraméterek!$M$223,Paraméterek!$M$224),2,3))),0),0)</f>
        <v>0</v>
      </c>
      <c r="AI786" s="13">
        <f ca="1">IF(AND($AA786=$M$11+1,$AB786=$M$12+1),SUMIF($AA$20:$AA$1027,$AA786,$AG$20:$AG$1027)*IF(SUMIF($AA$20:$AA$1027,$AA786,$AG$20:$AG$1027)&lt;IF($D$4="Forint",Paraméterek!$L$223,Paraméterek!$L$224),0,VLOOKUP($AA786,Paraméterek!$K$230:$M$250,IF(SUMIF($AA$20:$AA$1027,$AA786,$AG$20:$AG$1027)&lt;IF($D$4="Forint",Paraméterek!$M$223,Paraméterek!$M$224),2,3))),0)</f>
        <v>0</v>
      </c>
      <c r="AJ786" s="13">
        <f ca="1">IF(AND($AA786&gt;=5,MOD($AA786,5)=0),IF($AB786=12,VLOOKUP($AA786,Paraméterek!$O$225:$P$240,2),0),IF(OR($AA786=3,$AA786=4),IF($AB786=12,VLOOKUP($AA786,Paraméterek!$O$225:$P$240,2,0),0),0))*$AG786</f>
        <v>0</v>
      </c>
      <c r="AK786" s="13">
        <f t="shared" ca="1" si="251"/>
        <v>0</v>
      </c>
      <c r="AL786" s="13">
        <f t="shared" ca="1" si="259"/>
        <v>0</v>
      </c>
      <c r="AM786" s="13">
        <f t="shared" ca="1" si="260"/>
        <v>0</v>
      </c>
      <c r="AO786" s="32">
        <v>767</v>
      </c>
      <c r="AP786" s="32">
        <v>64</v>
      </c>
      <c r="AQ786" s="32">
        <v>11</v>
      </c>
      <c r="AR786" s="13"/>
      <c r="AS786" s="32"/>
      <c r="AT786" s="13">
        <f t="shared" ca="1" si="261"/>
        <v>0</v>
      </c>
      <c r="AU786" s="33"/>
      <c r="AV786" s="13">
        <f t="shared" ca="1" si="252"/>
        <v>0</v>
      </c>
      <c r="AW786" s="13">
        <f ca="1">ROUNDUP(($AT786+$AV786)*VLOOKUP($AP786,Paraméterek!$P$38:$Q$38,2)/12*IF($D787="Nem",IF($M$13=0,1,$M$13),1),IF($D$4="Forint",0,2))</f>
        <v>0</v>
      </c>
      <c r="AX786" s="13"/>
      <c r="AY786" s="13"/>
      <c r="AZ786" s="13">
        <f>ROUNDUP(IF(SUM($AX786:$AY786)=0,0,IF(IF(ISBLANK($AY786),$AX786,$AY786)*Paraméterek!$J$112&lt;IF($D$4="Forint",Paraméterek!$J$113,Paraméterek!$K$113),IF($D$4="Forint",Paraméterek!$J$113,Paraméterek!$K$113),IF(IF(ISBLANK($AY786),$AX786,$AY786)*Paraméterek!$J$112&gt;IF($D$4="Forint",Paraméterek!$J$114,Paraméterek!$K$114),IF($D$4="Forint",Paraméterek!$J$114,Paraméterek!$K$114),IF(ISBLANK($AY786),$AX786,$AY786)*Paraméterek!$J$112))),IF($D$4="Forint",0,2))</f>
        <v>0</v>
      </c>
      <c r="BA786" s="13">
        <f ca="1">$AT786+$AV786-$AW786-IF(ROUNDDOWN(IF(ISBLANK($AY786),$AX786,$AY786),IF($D$4="Forint",0,2))&gt;$AT786+$AV786-$AW786-IF($D$4="Forint",Paraméterek!$J$114,Paraméterek!$K$114),0,ROUNDDOWN(IF(ISBLANK($AY786),$AX786,$AY786),IF($D$4="Forint",0,2))-$AZ786)</f>
        <v>0</v>
      </c>
      <c r="BB786" s="13">
        <f t="shared" ca="1" si="253"/>
        <v>0</v>
      </c>
      <c r="BD786" s="32">
        <v>767</v>
      </c>
      <c r="BE786" s="32">
        <v>64</v>
      </c>
      <c r="BF786" s="32">
        <v>11</v>
      </c>
      <c r="BG786" s="34">
        <f t="shared" ca="1" si="262"/>
        <v>2083</v>
      </c>
      <c r="BH786" s="32" t="str">
        <f ca="1">IF(MOD(MONTH($D$14)+$BD786-1,12)=Paraméterek!$C$288,"Igen","")</f>
        <v/>
      </c>
      <c r="BI786" s="13">
        <f ca="1">IF($BH786="Igen",MIN(ROUNDDOWN((SUMIF($BG$20:$BG$1027,$BG786-1,$K$20:$K$1027)-SUMIF($BG$20:$BG$1027,$BG786-1,$I$20:$I$1027))*Paraméterek!$C$289,IF($D$4="Forint",0,2)),IF($D$4="Forint",Paraméterek!$C$285,Paraméterek!$D$285)),0)</f>
        <v>0</v>
      </c>
      <c r="BJ786" s="13">
        <f t="shared" ca="1" si="254"/>
        <v>0</v>
      </c>
      <c r="BK786" s="13">
        <f t="shared" ca="1" si="263"/>
        <v>0</v>
      </c>
      <c r="BL786" s="33"/>
      <c r="BM786" s="13">
        <f t="shared" ca="1" si="255"/>
        <v>0</v>
      </c>
      <c r="BN786" s="13">
        <f ca="1">ROUNDUP(($BK786+$BM786)*VLOOKUP($BE786,Paraméterek!$P$38:$Q$38,2)/12*IF($D787="Nem",IF($M$13=0,1,$M$13),1),IF($D$4="Forint",0,2))</f>
        <v>0</v>
      </c>
      <c r="BO786" s="13">
        <f t="shared" ca="1" si="256"/>
        <v>0</v>
      </c>
      <c r="BP786" s="13">
        <f ca="1">IF($D787="Nem",$BO786,$BO786-ROUNDUP(SUM($BI$20:$BI786)*120%,IF($D$4="Forint",0,2)))</f>
        <v>0</v>
      </c>
    </row>
    <row r="787" spans="1:68" x14ac:dyDescent="0.2">
      <c r="A787" s="32">
        <v>768</v>
      </c>
      <c r="B787" s="32">
        <v>64</v>
      </c>
      <c r="C787" s="32">
        <v>12</v>
      </c>
      <c r="D787" s="32" t="str">
        <f t="shared" ca="1" si="242"/>
        <v>Nem</v>
      </c>
      <c r="E787" s="13">
        <f t="shared" ca="1" si="243"/>
        <v>0</v>
      </c>
      <c r="F787" s="13"/>
      <c r="G787" s="13"/>
      <c r="H787" s="13"/>
      <c r="I787" s="13">
        <f t="shared" ca="1" si="244"/>
        <v>0</v>
      </c>
      <c r="J787" s="13">
        <f t="shared" ca="1" si="245"/>
        <v>0</v>
      </c>
      <c r="K787" s="13">
        <f t="shared" ca="1" si="246"/>
        <v>0</v>
      </c>
      <c r="L787" s="13" t="e">
        <f ca="1">ROUNDUP(IF($D$2="Egyszeri",$E787,IF($D$2="Havi",SUM($E$20:$E$31),IF(MOD($C787,$M$1)-1=0,SUM($E$20:$E$31),0))/12*$M$1)*VLOOKUP($B787,Paraméterek!$I$28:$P$31,IF($D$2="Egyszeri",8,HLOOKUP(ROUNDUP($M$11+$M$13,0),Paraméterek!$J$26:$O$27,2))),IF($D$4="Forint",0,2))</f>
        <v>#N/A</v>
      </c>
      <c r="M787" s="13">
        <f t="shared" ca="1" si="247"/>
        <v>0</v>
      </c>
      <c r="N787" s="13">
        <f t="shared" ca="1" si="257"/>
        <v>0</v>
      </c>
      <c r="O787" s="13">
        <f ca="1">IF($D787="Igen",IF($W786&gt;=IF($D$4="Forint",Paraméterek!$J$121,Paraméterek!$K$121),0,IF($D$4="Forint",Paraméterek!$J$121,Paraméterek!$K$121)-$W786),0)</f>
        <v>0</v>
      </c>
      <c r="P787" s="13" t="e">
        <f ca="1">ROUNDUP($O787*VLOOKUP($M$4+$B787-1,Paraméterek!$H$58:$I$105,2,0)/Paraméterek!$I$56,IF($D$4="Forint",0,2))</f>
        <v>#N/A</v>
      </c>
      <c r="Q787" s="13">
        <f t="shared" ca="1" si="248"/>
        <v>0</v>
      </c>
      <c r="R787" s="33"/>
      <c r="S787" s="13" t="e">
        <f t="shared" ca="1" si="249"/>
        <v>#N/A</v>
      </c>
      <c r="T787" s="13" t="e">
        <f ca="1">ROUNDUP(($N787-$P787-$Q787+$S787)*VLOOKUP($B787,Paraméterek!$I$38:$K$39,IF($D$2="Egyszeri",3,2))/12*IF($D788="Nem",IF($M$13=0,1,$M$13),1),IF($D$4="Forint",0,2))</f>
        <v>#N/A</v>
      </c>
      <c r="U787" s="13">
        <f>Tranzakciók!$F$95</f>
        <v>0</v>
      </c>
      <c r="V787" s="13"/>
      <c r="W787" s="13" t="e">
        <f ca="1">$N787-$P787-$Q787+$S787-$T787-IF(ROUNDUP(IF(ISBLANK($V787),$U787*0,$V787)/IF($D$2="Egyszeri",VLOOKUP($B787+IF($C787=12,1,0),Paraméterek!$V$257:$W$262,2),IF($B787=1,1,VLOOKUP($B787+IF($C787=12,1,0),Paraméterek!$I$258:$T$278,HLOOKUP($M$11+1,Paraméterek!$J$256:$T$257,2)))),IF($D$4="Forint",0,2))&gt;$N787-$P787-$Q787+$S787-$T787-IF($D$4="Forint",Paraméterek!$C$216,Paraméterek!$D$216),0,ROUNDUP(IF(ISBLANK($V787),$U787*0,$V787)/IF($D$2="Egyszeri",VLOOKUP($B787+IF($C787=12,1,0),Paraméterek!$V$257:$W$262,2),IF($B787=1,1,VLOOKUP($B787+IF($C787=12,1,0),Paraméterek!$I$258:$T$278,HLOOKUP($M$11+1,Paraméterek!$J$256:$T$257,2)))),IF($D$4="Forint",0,2)))</f>
        <v>#N/A</v>
      </c>
      <c r="X787" s="13" t="e">
        <f ca="1">ROUNDDOWN($W787*IF($D$2="Egyszeri",VLOOKUP($B787+IF($C787=12,1,0),Paraméterek!$V$257:$W$262,2),VLOOKUP($B787+IF($C787=12,1,0),Paraméterek!$I$258:$T$278,HLOOKUP($M$11+1,Paraméterek!$I$256:$T$257,2))),IF($D$4="Forint",0,2))</f>
        <v>#N/A</v>
      </c>
      <c r="Z787" s="32">
        <v>768</v>
      </c>
      <c r="AA787" s="32">
        <v>64</v>
      </c>
      <c r="AB787" s="32">
        <v>12</v>
      </c>
      <c r="AC787" s="13">
        <f t="shared" ca="1" si="258"/>
        <v>0</v>
      </c>
      <c r="AD787" s="33"/>
      <c r="AE787" s="13">
        <f t="shared" ca="1" si="250"/>
        <v>0</v>
      </c>
      <c r="AF787" s="13">
        <f ca="1">ROUNDUP(($AC787+$AE787)*VLOOKUP($AA787,Paraméterek!$P$38:$Q$38,2)/12*IF($D788="Nem",IF($M$13=0,1,$M$13),1),IF($D$4="Forint",0,2))</f>
        <v>0</v>
      </c>
      <c r="AG787" s="13" t="e">
        <f ca="1">IF($D$2="Egyszeri",IF($D$7&gt;=IF($D$4="Forint",Paraméterek!$P$223,Paraméterek!$P$224),$D$7-IF($D$4="Forint",Paraméterek!$P$223,Paraméterek!$P$224),0),MIN(IF($AB787=12,AVERAGEIF($E$20:$E787,"&gt;0",$E$20:$E787)*12,0),SUM($E$20:$E$31)))</f>
        <v>#DIV/0!</v>
      </c>
      <c r="AH787" s="13">
        <f>IF($AA787=10,$AG787*IF($AB787=12,IF($AG787&lt;IF($D$4="Forint",Paraméterek!$L$223,Paraméterek!$L$224),0,VLOOKUP($AA787,Paraméterek!$K$226:$M$228,IF($AG787&lt;IF($D$4="Forint",Paraméterek!$M$223,Paraméterek!$M$224),2,3))),0),0)</f>
        <v>0</v>
      </c>
      <c r="AI787" s="13">
        <f ca="1">IF(AND($AA787=$M$11+1,$AB787=$M$12+1),SUMIF($AA$20:$AA$1027,$AA787,$AG$20:$AG$1027)*IF(SUMIF($AA$20:$AA$1027,$AA787,$AG$20:$AG$1027)&lt;IF($D$4="Forint",Paraméterek!$L$223,Paraméterek!$L$224),0,VLOOKUP($AA787,Paraméterek!$K$230:$M$250,IF(SUMIF($AA$20:$AA$1027,$AA787,$AG$20:$AG$1027)&lt;IF($D$4="Forint",Paraméterek!$M$223,Paraméterek!$M$224),2,3))),0)</f>
        <v>0</v>
      </c>
      <c r="AJ787" s="13" t="e">
        <f ca="1">IF(AND($AA787&gt;=5,MOD($AA787,5)=0),IF($AB787=12,VLOOKUP($AA787,Paraméterek!$O$225:$P$240,2),0),IF(OR($AA787=3,$AA787=4),IF($AB787=12,VLOOKUP($AA787,Paraméterek!$O$225:$P$240,2,0),0),0))*$AG787</f>
        <v>#DIV/0!</v>
      </c>
      <c r="AK787" s="13">
        <f t="shared" ca="1" si="251"/>
        <v>0</v>
      </c>
      <c r="AL787" s="13">
        <f t="shared" ca="1" si="259"/>
        <v>0</v>
      </c>
      <c r="AM787" s="13">
        <f t="shared" ca="1" si="260"/>
        <v>0</v>
      </c>
      <c r="AO787" s="32">
        <v>768</v>
      </c>
      <c r="AP787" s="32">
        <v>64</v>
      </c>
      <c r="AQ787" s="32">
        <v>12</v>
      </c>
      <c r="AR787" s="13"/>
      <c r="AS787" s="32"/>
      <c r="AT787" s="13">
        <f t="shared" ca="1" si="261"/>
        <v>0</v>
      </c>
      <c r="AU787" s="33"/>
      <c r="AV787" s="13">
        <f t="shared" ca="1" si="252"/>
        <v>0</v>
      </c>
      <c r="AW787" s="13">
        <f ca="1">ROUNDUP(($AT787+$AV787)*VLOOKUP($AP787,Paraméterek!$P$38:$Q$38,2)/12*IF($D788="Nem",IF($M$13=0,1,$M$13),1),IF($D$4="Forint",0,2))</f>
        <v>0</v>
      </c>
      <c r="AX787" s="13">
        <f>Tranzakciók!$M$95</f>
        <v>0</v>
      </c>
      <c r="AY787" s="13"/>
      <c r="AZ787" s="13">
        <f>ROUNDUP(IF(SUM($AX787:$AY787)=0,0,IF(IF(ISBLANK($AY787),$AX787,$AY787)*Paraméterek!$J$112&lt;IF($D$4="Forint",Paraméterek!$J$113,Paraméterek!$K$113),IF($D$4="Forint",Paraméterek!$J$113,Paraméterek!$K$113),IF(IF(ISBLANK($AY787),$AX787,$AY787)*Paraméterek!$J$112&gt;IF($D$4="Forint",Paraméterek!$J$114,Paraméterek!$K$114),IF($D$4="Forint",Paraméterek!$J$114,Paraméterek!$K$114),IF(ISBLANK($AY787),$AX787,$AY787)*Paraméterek!$J$112))),IF($D$4="Forint",0,2))</f>
        <v>0</v>
      </c>
      <c r="BA787" s="13">
        <f ca="1">$AT787+$AV787-$AW787-IF(ROUNDDOWN(IF(ISBLANK($AY787),$AX787,$AY787),IF($D$4="Forint",0,2))&gt;$AT787+$AV787-$AW787-IF($D$4="Forint",Paraméterek!$J$114,Paraméterek!$K$114),0,ROUNDDOWN(IF(ISBLANK($AY787),$AX787,$AY787),IF($D$4="Forint",0,2))-$AZ787)</f>
        <v>0</v>
      </c>
      <c r="BB787" s="13">
        <f t="shared" ca="1" si="253"/>
        <v>0</v>
      </c>
      <c r="BD787" s="32">
        <v>768</v>
      </c>
      <c r="BE787" s="32">
        <v>64</v>
      </c>
      <c r="BF787" s="32">
        <v>12</v>
      </c>
      <c r="BG787" s="34">
        <f t="shared" ca="1" si="262"/>
        <v>2083</v>
      </c>
      <c r="BH787" s="32" t="str">
        <f ca="1">IF(MOD(MONTH($D$14)+$BD787-1,12)=Paraméterek!$C$288,"Igen","")</f>
        <v/>
      </c>
      <c r="BI787" s="13">
        <f ca="1">IF($BH787="Igen",MIN(ROUNDDOWN((SUMIF($BG$20:$BG$1027,$BG787-1,$K$20:$K$1027)-SUMIF($BG$20:$BG$1027,$BG787-1,$I$20:$I$1027))*Paraméterek!$C$289,IF($D$4="Forint",0,2)),IF($D$4="Forint",Paraméterek!$C$285,Paraméterek!$D$285)),0)</f>
        <v>0</v>
      </c>
      <c r="BJ787" s="13">
        <f t="shared" ca="1" si="254"/>
        <v>0</v>
      </c>
      <c r="BK787" s="13">
        <f t="shared" ca="1" si="263"/>
        <v>0</v>
      </c>
      <c r="BL787" s="33"/>
      <c r="BM787" s="13">
        <f t="shared" ca="1" si="255"/>
        <v>0</v>
      </c>
      <c r="BN787" s="13">
        <f ca="1">ROUNDUP(($BK787+$BM787)*VLOOKUP($BE787,Paraméterek!$P$38:$Q$38,2)/12*IF($D788="Nem",IF($M$13=0,1,$M$13),1),IF($D$4="Forint",0,2))</f>
        <v>0</v>
      </c>
      <c r="BO787" s="13">
        <f t="shared" ca="1" si="256"/>
        <v>0</v>
      </c>
      <c r="BP787" s="13">
        <f ca="1">IF($D788="Nem",$BO787,$BO787-ROUNDUP(SUM($BI$20:$BI787)*120%,IF($D$4="Forint",0,2)))</f>
        <v>0</v>
      </c>
    </row>
    <row r="788" spans="1:68" x14ac:dyDescent="0.2">
      <c r="A788" s="32">
        <v>769</v>
      </c>
      <c r="B788" s="32">
        <v>65</v>
      </c>
      <c r="C788" s="32">
        <v>1</v>
      </c>
      <c r="D788" s="32" t="str">
        <f t="shared" ca="1" si="242"/>
        <v>Nem</v>
      </c>
      <c r="E788" s="13">
        <f t="shared" ca="1" si="243"/>
        <v>0</v>
      </c>
      <c r="F788" s="13"/>
      <c r="G788" s="13">
        <f>Tranzakciók!$D$96</f>
        <v>0</v>
      </c>
      <c r="H788" s="13"/>
      <c r="I788" s="13">
        <f t="shared" ca="1" si="244"/>
        <v>0</v>
      </c>
      <c r="J788" s="13">
        <f t="shared" ca="1" si="245"/>
        <v>0</v>
      </c>
      <c r="K788" s="13">
        <f t="shared" ca="1" si="246"/>
        <v>0</v>
      </c>
      <c r="L788" s="13" t="e">
        <f ca="1">ROUNDUP(IF($D$2="Egyszeri",$E788,IF($D$2="Havi",SUM($E$20:$E$31),IF(MOD($C788,$M$1)-1=0,SUM($E$20:$E$31),0))/12*$M$1)*VLOOKUP($B788,Paraméterek!$I$28:$P$31,IF($D$2="Egyszeri",8,HLOOKUP(ROUNDUP($M$11+$M$13,0),Paraméterek!$J$26:$O$27,2))),IF($D$4="Forint",0,2))</f>
        <v>#N/A</v>
      </c>
      <c r="M788" s="13">
        <f t="shared" ca="1" si="247"/>
        <v>0</v>
      </c>
      <c r="N788" s="13">
        <f t="shared" ca="1" si="257"/>
        <v>0</v>
      </c>
      <c r="O788" s="13">
        <f ca="1">IF($D788="Igen",IF($W787&gt;=IF($D$4="Forint",Paraméterek!$J$121,Paraméterek!$K$121),0,IF($D$4="Forint",Paraméterek!$J$121,Paraméterek!$K$121)-$W787),0)</f>
        <v>0</v>
      </c>
      <c r="P788" s="13" t="e">
        <f ca="1">ROUNDUP($O788*VLOOKUP($M$4+$B788-1,Paraméterek!$H$58:$I$105,2,0)/Paraméterek!$I$56,IF($D$4="Forint",0,2))</f>
        <v>#N/A</v>
      </c>
      <c r="Q788" s="13">
        <f t="shared" ca="1" si="248"/>
        <v>0</v>
      </c>
      <c r="R788" s="33"/>
      <c r="S788" s="13" t="e">
        <f t="shared" ca="1" si="249"/>
        <v>#N/A</v>
      </c>
      <c r="T788" s="13" t="e">
        <f ca="1">ROUNDUP(($N788-$P788-$Q788+$S788)*VLOOKUP($B788,Paraméterek!$I$38:$K$39,IF($D$2="Egyszeri",3,2))/12*IF($D789="Nem",IF($M$13=0,1,$M$13),1),IF($D$4="Forint",0,2))</f>
        <v>#N/A</v>
      </c>
      <c r="U788" s="13"/>
      <c r="V788" s="13"/>
      <c r="W788" s="13" t="e">
        <f ca="1">$N788-$P788-$Q788+$S788-$T788-IF(ROUNDUP(IF(ISBLANK($V788),$U788*0,$V788)/IF($D$2="Egyszeri",VLOOKUP($B788+IF($C788=12,1,0),Paraméterek!$V$257:$W$262,2),IF($B788=1,1,VLOOKUP($B788+IF($C788=12,1,0),Paraméterek!$I$258:$T$278,HLOOKUP($M$11+1,Paraméterek!$J$256:$T$257,2)))),IF($D$4="Forint",0,2))&gt;$N788-$P788-$Q788+$S788-$T788-IF($D$4="Forint",Paraméterek!$C$216,Paraméterek!$D$216),0,ROUNDUP(IF(ISBLANK($V788),$U788*0,$V788)/IF($D$2="Egyszeri",VLOOKUP($B788+IF($C788=12,1,0),Paraméterek!$V$257:$W$262,2),IF($B788=1,1,VLOOKUP($B788+IF($C788=12,1,0),Paraméterek!$I$258:$T$278,HLOOKUP($M$11+1,Paraméterek!$J$256:$T$257,2)))),IF($D$4="Forint",0,2)))</f>
        <v>#N/A</v>
      </c>
      <c r="X788" s="13" t="e">
        <f ca="1">ROUNDDOWN($W788*IF($D$2="Egyszeri",VLOOKUP($B788+IF($C788=12,1,0),Paraméterek!$V$257:$W$262,2),VLOOKUP($B788+IF($C788=12,1,0),Paraméterek!$I$258:$T$278,HLOOKUP($M$11+1,Paraméterek!$I$256:$T$257,2))),IF($D$4="Forint",0,2))</f>
        <v>#N/A</v>
      </c>
      <c r="Z788" s="32">
        <v>769</v>
      </c>
      <c r="AA788" s="32">
        <v>65</v>
      </c>
      <c r="AB788" s="32">
        <v>1</v>
      </c>
      <c r="AC788" s="13">
        <f t="shared" ca="1" si="258"/>
        <v>0</v>
      </c>
      <c r="AD788" s="33"/>
      <c r="AE788" s="13">
        <f t="shared" ca="1" si="250"/>
        <v>0</v>
      </c>
      <c r="AF788" s="13">
        <f ca="1">ROUNDUP(($AC788+$AE788)*VLOOKUP($AA788,Paraméterek!$P$38:$Q$38,2)/12*IF($D789="Nem",IF($M$13=0,1,$M$13),1),IF($D$4="Forint",0,2))</f>
        <v>0</v>
      </c>
      <c r="AG788" s="13">
        <f ca="1">IF($D$2="Egyszeri",IF($D$7&gt;=IF($D$4="Forint",Paraméterek!$P$223,Paraméterek!$P$224),$D$7-IF($D$4="Forint",Paraméterek!$P$223,Paraméterek!$P$224),0),MIN(IF($AB788=12,AVERAGEIF($E$20:$E788,"&gt;0",$E$20:$E788)*12,0),SUM($E$20:$E$31)))</f>
        <v>0</v>
      </c>
      <c r="AH788" s="13">
        <f>IF($AA788=10,$AG788*IF($AB788=12,IF($AG788&lt;IF($D$4="Forint",Paraméterek!$L$223,Paraméterek!$L$224),0,VLOOKUP($AA788,Paraméterek!$K$226:$M$228,IF($AG788&lt;IF($D$4="Forint",Paraméterek!$M$223,Paraméterek!$M$224),2,3))),0),0)</f>
        <v>0</v>
      </c>
      <c r="AI788" s="13">
        <f ca="1">IF(AND($AA788=$M$11+1,$AB788=$M$12+1),SUMIF($AA$20:$AA$1027,$AA788,$AG$20:$AG$1027)*IF(SUMIF($AA$20:$AA$1027,$AA788,$AG$20:$AG$1027)&lt;IF($D$4="Forint",Paraméterek!$L$223,Paraméterek!$L$224),0,VLOOKUP($AA788,Paraméterek!$K$230:$M$250,IF(SUMIF($AA$20:$AA$1027,$AA788,$AG$20:$AG$1027)&lt;IF($D$4="Forint",Paraméterek!$M$223,Paraméterek!$M$224),2,3))),0)</f>
        <v>0</v>
      </c>
      <c r="AJ788" s="13">
        <f ca="1">IF(AND($AA788&gt;=5,MOD($AA788,5)=0),IF($AB788=12,VLOOKUP($AA788,Paraméterek!$O$225:$P$240,2),0),IF(OR($AA788=3,$AA788=4),IF($AB788=12,VLOOKUP($AA788,Paraméterek!$O$225:$P$240,2,0),0),0))*$AG788</f>
        <v>0</v>
      </c>
      <c r="AK788" s="13">
        <f t="shared" ca="1" si="251"/>
        <v>0</v>
      </c>
      <c r="AL788" s="13">
        <f t="shared" ca="1" si="259"/>
        <v>0</v>
      </c>
      <c r="AM788" s="13">
        <f t="shared" ca="1" si="260"/>
        <v>0</v>
      </c>
      <c r="AO788" s="32">
        <v>769</v>
      </c>
      <c r="AP788" s="32">
        <v>65</v>
      </c>
      <c r="AQ788" s="32">
        <v>1</v>
      </c>
      <c r="AR788" s="13">
        <f>Tranzakciók!$K$96</f>
        <v>0</v>
      </c>
      <c r="AS788" s="32"/>
      <c r="AT788" s="13">
        <f t="shared" ca="1" si="261"/>
        <v>0</v>
      </c>
      <c r="AU788" s="33"/>
      <c r="AV788" s="13">
        <f t="shared" ca="1" si="252"/>
        <v>0</v>
      </c>
      <c r="AW788" s="13">
        <f ca="1">ROUNDUP(($AT788+$AV788)*VLOOKUP($AP788,Paraméterek!$P$38:$Q$38,2)/12*IF($D789="Nem",IF($M$13=0,1,$M$13),1),IF($D$4="Forint",0,2))</f>
        <v>0</v>
      </c>
      <c r="AX788" s="13"/>
      <c r="AY788" s="13"/>
      <c r="AZ788" s="13">
        <f>ROUNDUP(IF(SUM($AX788:$AY788)=0,0,IF(IF(ISBLANK($AY788),$AX788,$AY788)*Paraméterek!$J$112&lt;IF($D$4="Forint",Paraméterek!$J$113,Paraméterek!$K$113),IF($D$4="Forint",Paraméterek!$J$113,Paraméterek!$K$113),IF(IF(ISBLANK($AY788),$AX788,$AY788)*Paraméterek!$J$112&gt;IF($D$4="Forint",Paraméterek!$J$114,Paraméterek!$K$114),IF($D$4="Forint",Paraméterek!$J$114,Paraméterek!$K$114),IF(ISBLANK($AY788),$AX788,$AY788)*Paraméterek!$J$112))),IF($D$4="Forint",0,2))</f>
        <v>0</v>
      </c>
      <c r="BA788" s="13">
        <f ca="1">$AT788+$AV788-$AW788-IF(ROUNDDOWN(IF(ISBLANK($AY788),$AX788,$AY788),IF($D$4="Forint",0,2))&gt;$AT788+$AV788-$AW788-IF($D$4="Forint",Paraméterek!$J$114,Paraméterek!$K$114),0,ROUNDDOWN(IF(ISBLANK($AY788),$AX788,$AY788),IF($D$4="Forint",0,2))-$AZ788)</f>
        <v>0</v>
      </c>
      <c r="BB788" s="13">
        <f t="shared" ca="1" si="253"/>
        <v>0</v>
      </c>
      <c r="BD788" s="32">
        <v>769</v>
      </c>
      <c r="BE788" s="32">
        <v>65</v>
      </c>
      <c r="BF788" s="32">
        <v>1</v>
      </c>
      <c r="BG788" s="34">
        <f t="shared" ca="1" si="262"/>
        <v>2083</v>
      </c>
      <c r="BH788" s="32" t="str">
        <f ca="1">IF(MOD(MONTH($D$14)+$BD788-1,12)=Paraméterek!$C$288,"Igen","")</f>
        <v/>
      </c>
      <c r="BI788" s="13">
        <f ca="1">IF($BH788="Igen",MIN(ROUNDDOWN((SUMIF($BG$20:$BG$1027,$BG788-1,$K$20:$K$1027)-SUMIF($BG$20:$BG$1027,$BG788-1,$I$20:$I$1027))*Paraméterek!$C$289,IF($D$4="Forint",0,2)),IF($D$4="Forint",Paraméterek!$C$285,Paraméterek!$D$285)),0)</f>
        <v>0</v>
      </c>
      <c r="BJ788" s="13">
        <f t="shared" ca="1" si="254"/>
        <v>0</v>
      </c>
      <c r="BK788" s="13">
        <f t="shared" ca="1" si="263"/>
        <v>0</v>
      </c>
      <c r="BL788" s="33"/>
      <c r="BM788" s="13">
        <f t="shared" ca="1" si="255"/>
        <v>0</v>
      </c>
      <c r="BN788" s="13">
        <f ca="1">ROUNDUP(($BK788+$BM788)*VLOOKUP($BE788,Paraméterek!$P$38:$Q$38,2)/12*IF($D789="Nem",IF($M$13=0,1,$M$13),1),IF($D$4="Forint",0,2))</f>
        <v>0</v>
      </c>
      <c r="BO788" s="13">
        <f t="shared" ca="1" si="256"/>
        <v>0</v>
      </c>
      <c r="BP788" s="13">
        <f ca="1">IF($D789="Nem",$BO788,$BO788-ROUNDUP(SUM($BI$20:$BI788)*120%,IF($D$4="Forint",0,2)))</f>
        <v>0</v>
      </c>
    </row>
    <row r="789" spans="1:68" x14ac:dyDescent="0.2">
      <c r="A789" s="32">
        <v>770</v>
      </c>
      <c r="B789" s="32">
        <v>65</v>
      </c>
      <c r="C789" s="32">
        <v>2</v>
      </c>
      <c r="D789" s="32" t="str">
        <f t="shared" ref="D789:D852" ca="1" si="264">IF($B789&lt;$M$11+1,"Igen",IF($B789&gt;$M$11+1,"Nem",IF($C789&lt;=$M$12+IF($M$13&gt;0,1,0),"Igen","Nem")))</f>
        <v>Nem</v>
      </c>
      <c r="E789" s="13">
        <f t="shared" ref="E789:E852" ca="1" si="265">IF($D789="Igen",IF($D$2="Egyszeri",IF($A789=1,$D$7,0),ROUNDUP(IF($D$2="Havi",$D$7,IF(MOD($C789,$M$1)-1=0,$D$7,0))*(1+$D$6)^($B789-1),IF($D$4="Forint",0,2))),0)</f>
        <v>0</v>
      </c>
      <c r="F789" s="13"/>
      <c r="G789" s="13"/>
      <c r="H789" s="13"/>
      <c r="I789" s="13">
        <f t="shared" ref="I789:I852" ca="1" si="266">ROUNDUP(IF(AND($D$8="Nincs",$D$2&lt;&gt;"Egyszeri"),$E789*10%,0),IF($D$4="Forint",0,2))</f>
        <v>0</v>
      </c>
      <c r="J789" s="13">
        <f t="shared" ref="J789:J852" ca="1" si="267">IF($D789="Igen",IF($D$2="Egyszeri",IF($A789=1,$M$3,0),ROUNDUP(IF($D$2="Havi",$M$3,IF(MOD($C789,$M$1)-1=0,$M$3,0))*(1+$M$2)^($B789-1),IF($D$4="Forint",0,2))),0)</f>
        <v>0</v>
      </c>
      <c r="K789" s="13">
        <f t="shared" ref="K789:K852" ca="1" si="268">IF($D789="Igen",IF(ISBLANK($F789),$E789,$F789)+IF(ISBLANK($H789),$G789,$H789)+$I789+$J789,0)</f>
        <v>0</v>
      </c>
      <c r="L789" s="13" t="e">
        <f ca="1">ROUNDUP(IF($D$2="Egyszeri",$E789,IF($D$2="Havi",SUM($E$20:$E$31),IF(MOD($C789,$M$1)-1=0,SUM($E$20:$E$31),0))/12*$M$1)*VLOOKUP($B789,Paraméterek!$I$28:$P$31,IF($D$2="Egyszeri",8,HLOOKUP(ROUNDUP($M$11+$M$13,0),Paraméterek!$J$26:$O$27,2))),IF($D$4="Forint",0,2))</f>
        <v>#N/A</v>
      </c>
      <c r="M789" s="13">
        <f t="shared" ref="M789:M852" ca="1" si="269">IF($D789="Igen",$E789-$L789+IF(ISBLANK($H789),$G789,$H789),0)</f>
        <v>0</v>
      </c>
      <c r="N789" s="13">
        <f t="shared" ca="1" si="257"/>
        <v>0</v>
      </c>
      <c r="O789" s="13">
        <f ca="1">IF($D789="Igen",IF($W788&gt;=IF($D$4="Forint",Paraméterek!$J$121,Paraméterek!$K$121),0,IF($D$4="Forint",Paraméterek!$J$121,Paraméterek!$K$121)-$W788),0)</f>
        <v>0</v>
      </c>
      <c r="P789" s="13" t="e">
        <f ca="1">ROUNDUP($O789*VLOOKUP($M$4+$B789-1,Paraméterek!$H$58:$I$105,2,0)/Paraméterek!$I$56,IF($D$4="Forint",0,2))</f>
        <v>#N/A</v>
      </c>
      <c r="Q789" s="13">
        <f t="shared" ref="Q789:Q852" ca="1" si="270">IF($D789="Igen",ROUNDUP($M$5*(1+$M$2)^($B789-1),IF($D$4="Forint",0,2)),0)</f>
        <v>0</v>
      </c>
      <c r="R789" s="33"/>
      <c r="S789" s="13" t="e">
        <f t="shared" ref="S789:S852" ca="1" si="271">ROUNDDOWN(($N789-$P789-$Q789)*IF(ISBLANK($R789),$M$6,$R789)*IF($D790="Nem",IF($M$13=0,1,$M$13),1),IF($D$4="Forint",0,2))</f>
        <v>#N/A</v>
      </c>
      <c r="T789" s="13" t="e">
        <f ca="1">ROUNDUP(($N789-$P789-$Q789+$S789)*VLOOKUP($B789,Paraméterek!$I$38:$K$39,IF($D$2="Egyszeri",3,2))/12*IF($D790="Nem",IF($M$13=0,1,$M$13),1),IF($D$4="Forint",0,2))</f>
        <v>#N/A</v>
      </c>
      <c r="U789" s="13"/>
      <c r="V789" s="13"/>
      <c r="W789" s="13" t="e">
        <f ca="1">$N789-$P789-$Q789+$S789-$T789-IF(ROUNDUP(IF(ISBLANK($V789),$U789*0,$V789)/IF($D$2="Egyszeri",VLOOKUP($B789+IF($C789=12,1,0),Paraméterek!$V$257:$W$262,2),IF($B789=1,1,VLOOKUP($B789+IF($C789=12,1,0),Paraméterek!$I$258:$T$278,HLOOKUP($M$11+1,Paraméterek!$J$256:$T$257,2)))),IF($D$4="Forint",0,2))&gt;$N789-$P789-$Q789+$S789-$T789-IF($D$4="Forint",Paraméterek!$C$216,Paraméterek!$D$216),0,ROUNDUP(IF(ISBLANK($V789),$U789*0,$V789)/IF($D$2="Egyszeri",VLOOKUP($B789+IF($C789=12,1,0),Paraméterek!$V$257:$W$262,2),IF($B789=1,1,VLOOKUP($B789+IF($C789=12,1,0),Paraméterek!$I$258:$T$278,HLOOKUP($M$11+1,Paraméterek!$J$256:$T$257,2)))),IF($D$4="Forint",0,2)))</f>
        <v>#N/A</v>
      </c>
      <c r="X789" s="13" t="e">
        <f ca="1">ROUNDDOWN($W789*IF($D$2="Egyszeri",VLOOKUP($B789+IF($C789=12,1,0),Paraméterek!$V$257:$W$262,2),VLOOKUP($B789+IF($C789=12,1,0),Paraméterek!$I$258:$T$278,HLOOKUP($M$11+1,Paraméterek!$I$256:$T$257,2))),IF($D$4="Forint",0,2))</f>
        <v>#N/A</v>
      </c>
      <c r="Z789" s="32">
        <v>770</v>
      </c>
      <c r="AA789" s="32">
        <v>65</v>
      </c>
      <c r="AB789" s="32">
        <v>2</v>
      </c>
      <c r="AC789" s="13">
        <f t="shared" ca="1" si="258"/>
        <v>0</v>
      </c>
      <c r="AD789" s="33"/>
      <c r="AE789" s="13">
        <f t="shared" ref="AE789:AE852" ca="1" si="272">ROUNDDOWN($AC789*IF(ISBLANK($AD789),$M$8,$AD789)*IF($D790="Nem",IF($M$13=0,1,$M$13),1),IF($D$4="Forint",0,2))</f>
        <v>0</v>
      </c>
      <c r="AF789" s="13">
        <f ca="1">ROUNDUP(($AC789+$AE789)*VLOOKUP($AA789,Paraméterek!$P$38:$Q$38,2)/12*IF($D790="Nem",IF($M$13=0,1,$M$13),1),IF($D$4="Forint",0,2))</f>
        <v>0</v>
      </c>
      <c r="AG789" s="13">
        <f ca="1">IF($D$2="Egyszeri",IF($D$7&gt;=IF($D$4="Forint",Paraméterek!$P$223,Paraméterek!$P$224),$D$7-IF($D$4="Forint",Paraméterek!$P$223,Paraméterek!$P$224),0),MIN(IF($AB789=12,AVERAGEIF($E$20:$E789,"&gt;0",$E$20:$E789)*12,0),SUM($E$20:$E$31)))</f>
        <v>0</v>
      </c>
      <c r="AH789" s="13">
        <f>IF($AA789=10,$AG789*IF($AB789=12,IF($AG789&lt;IF($D$4="Forint",Paraméterek!$L$223,Paraméterek!$L$224),0,VLOOKUP($AA789,Paraméterek!$K$226:$M$228,IF($AG789&lt;IF($D$4="Forint",Paraméterek!$M$223,Paraméterek!$M$224),2,3))),0),0)</f>
        <v>0</v>
      </c>
      <c r="AI789" s="13">
        <f ca="1">IF(AND($AA789=$M$11+1,$AB789=$M$12+1),SUMIF($AA$20:$AA$1027,$AA789,$AG$20:$AG$1027)*IF(SUMIF($AA$20:$AA$1027,$AA789,$AG$20:$AG$1027)&lt;IF($D$4="Forint",Paraméterek!$L$223,Paraméterek!$L$224),0,VLOOKUP($AA789,Paraméterek!$K$230:$M$250,IF(SUMIF($AA$20:$AA$1027,$AA789,$AG$20:$AG$1027)&lt;IF($D$4="Forint",Paraméterek!$M$223,Paraméterek!$M$224),2,3))),0)</f>
        <v>0</v>
      </c>
      <c r="AJ789" s="13">
        <f ca="1">IF(AND($AA789&gt;=5,MOD($AA789,5)=0),IF($AB789=12,VLOOKUP($AA789,Paraméterek!$O$225:$P$240,2),0),IF(OR($AA789=3,$AA789=4),IF($AB789=12,VLOOKUP($AA789,Paraméterek!$O$225:$P$240,2,0),0),0))*$AG789</f>
        <v>0</v>
      </c>
      <c r="AK789" s="13">
        <f t="shared" ref="AK789:AK852" ca="1" si="273">ROUNDDOWN(IF($D$2="Egyszeri",$AJ789,$AH789+$AI789),IF($D$4="Forint",0,2))</f>
        <v>0</v>
      </c>
      <c r="AL789" s="13">
        <f t="shared" ca="1" si="259"/>
        <v>0</v>
      </c>
      <c r="AM789" s="13">
        <f t="shared" ca="1" si="260"/>
        <v>0</v>
      </c>
      <c r="AO789" s="32">
        <v>770</v>
      </c>
      <c r="AP789" s="32">
        <v>65</v>
      </c>
      <c r="AQ789" s="32">
        <v>2</v>
      </c>
      <c r="AR789" s="13"/>
      <c r="AS789" s="32"/>
      <c r="AT789" s="13">
        <f t="shared" ca="1" si="261"/>
        <v>0</v>
      </c>
      <c r="AU789" s="33"/>
      <c r="AV789" s="13">
        <f t="shared" ref="AV789:AV852" ca="1" si="274">ROUNDDOWN($AT789*IF(ISBLANK($AU789),$M$7,$AU789)*IF($D790="Nem",IF($M$13=0,1,$M$13),1),IF($D$4="Forint",0,2))</f>
        <v>0</v>
      </c>
      <c r="AW789" s="13">
        <f ca="1">ROUNDUP(($AT789+$AV789)*VLOOKUP($AP789,Paraméterek!$P$38:$Q$38,2)/12*IF($D790="Nem",IF($M$13=0,1,$M$13),1),IF($D$4="Forint",0,2))</f>
        <v>0</v>
      </c>
      <c r="AX789" s="13"/>
      <c r="AY789" s="13"/>
      <c r="AZ789" s="13">
        <f>ROUNDUP(IF(SUM($AX789:$AY789)=0,0,IF(IF(ISBLANK($AY789),$AX789,$AY789)*Paraméterek!$J$112&lt;IF($D$4="Forint",Paraméterek!$J$113,Paraméterek!$K$113),IF($D$4="Forint",Paraméterek!$J$113,Paraméterek!$K$113),IF(IF(ISBLANK($AY789),$AX789,$AY789)*Paraméterek!$J$112&gt;IF($D$4="Forint",Paraméterek!$J$114,Paraméterek!$K$114),IF($D$4="Forint",Paraméterek!$J$114,Paraméterek!$K$114),IF(ISBLANK($AY789),$AX789,$AY789)*Paraméterek!$J$112))),IF($D$4="Forint",0,2))</f>
        <v>0</v>
      </c>
      <c r="BA789" s="13">
        <f ca="1">$AT789+$AV789-$AW789-IF(ROUNDDOWN(IF(ISBLANK($AY789),$AX789,$AY789),IF($D$4="Forint",0,2))&gt;$AT789+$AV789-$AW789-IF($D$4="Forint",Paraméterek!$J$114,Paraméterek!$K$114),0,ROUNDDOWN(IF(ISBLANK($AY789),$AX789,$AY789),IF($D$4="Forint",0,2))-$AZ789)</f>
        <v>0</v>
      </c>
      <c r="BB789" s="13">
        <f t="shared" ref="BB789:BB852" ca="1" si="275">$BA789</f>
        <v>0</v>
      </c>
      <c r="BD789" s="32">
        <v>770</v>
      </c>
      <c r="BE789" s="32">
        <v>65</v>
      </c>
      <c r="BF789" s="32">
        <v>2</v>
      </c>
      <c r="BG789" s="34">
        <f t="shared" ca="1" si="262"/>
        <v>2083</v>
      </c>
      <c r="BH789" s="32" t="str">
        <f ca="1">IF(MOD(MONTH($D$14)+$BD789-1,12)=Paraméterek!$C$288,"Igen","")</f>
        <v>Igen</v>
      </c>
      <c r="BI789" s="13">
        <f ca="1">IF($BH789="Igen",MIN(ROUNDDOWN((SUMIF($BG$20:$BG$1027,$BG789-1,$K$20:$K$1027)-SUMIF($BG$20:$BG$1027,$BG789-1,$I$20:$I$1027))*Paraméterek!$C$289,IF($D$4="Forint",0,2)),IF($D$4="Forint",Paraméterek!$C$285,Paraméterek!$D$285)),0)</f>
        <v>0</v>
      </c>
      <c r="BJ789" s="13">
        <f t="shared" ref="BJ789:BJ852" ca="1" si="276">IF(AND($D789="Igen",$BH789="Igen"),$BI789,0)</f>
        <v>0</v>
      </c>
      <c r="BK789" s="13">
        <f t="shared" ca="1" si="263"/>
        <v>0</v>
      </c>
      <c r="BL789" s="33"/>
      <c r="BM789" s="13">
        <f t="shared" ref="BM789:BM852" ca="1" si="277">ROUNDDOWN($BK789*IF(ISBLANK($BL789),$M$9,$BL789)*IF($D790="Nem",IF($M$13=0,1,$M$13),1),IF($D$4="Forint",0,2))</f>
        <v>0</v>
      </c>
      <c r="BN789" s="13">
        <f ca="1">ROUNDUP(($BK789+$BM789)*VLOOKUP($BE789,Paraméterek!$P$38:$Q$38,2)/12*IF($D790="Nem",IF($M$13=0,1,$M$13),1),IF($D$4="Forint",0,2))</f>
        <v>0</v>
      </c>
      <c r="BO789" s="13">
        <f t="shared" ref="BO789:BO852" ca="1" si="278">$BK789+$BM789-$BN789</f>
        <v>0</v>
      </c>
      <c r="BP789" s="13">
        <f ca="1">IF($D790="Nem",$BO789,$BO789-ROUNDUP(SUM($BI$20:$BI789)*120%,IF($D$4="Forint",0,2)))</f>
        <v>0</v>
      </c>
    </row>
    <row r="790" spans="1:68" x14ac:dyDescent="0.2">
      <c r="A790" s="32">
        <v>771</v>
      </c>
      <c r="B790" s="32">
        <v>65</v>
      </c>
      <c r="C790" s="32">
        <v>3</v>
      </c>
      <c r="D790" s="32" t="str">
        <f t="shared" ca="1" si="264"/>
        <v>Nem</v>
      </c>
      <c r="E790" s="13">
        <f t="shared" ca="1" si="265"/>
        <v>0</v>
      </c>
      <c r="F790" s="13"/>
      <c r="G790" s="13"/>
      <c r="H790" s="13"/>
      <c r="I790" s="13">
        <f t="shared" ca="1" si="266"/>
        <v>0</v>
      </c>
      <c r="J790" s="13">
        <f t="shared" ca="1" si="267"/>
        <v>0</v>
      </c>
      <c r="K790" s="13">
        <f t="shared" ca="1" si="268"/>
        <v>0</v>
      </c>
      <c r="L790" s="13" t="e">
        <f ca="1">ROUNDUP(IF($D$2="Egyszeri",$E790,IF($D$2="Havi",SUM($E$20:$E$31),IF(MOD($C790,$M$1)-1=0,SUM($E$20:$E$31),0))/12*$M$1)*VLOOKUP($B790,Paraméterek!$I$28:$P$31,IF($D$2="Egyszeri",8,HLOOKUP(ROUNDUP($M$11+$M$13,0),Paraméterek!$J$26:$O$27,2))),IF($D$4="Forint",0,2))</f>
        <v>#N/A</v>
      </c>
      <c r="M790" s="13">
        <f t="shared" ca="1" si="269"/>
        <v>0</v>
      </c>
      <c r="N790" s="13">
        <f t="shared" ref="N790:N853" ca="1" si="279">IF($D790="Igen",$M790+$W789,0)</f>
        <v>0</v>
      </c>
      <c r="O790" s="13">
        <f ca="1">IF($D790="Igen",IF($W789&gt;=IF($D$4="Forint",Paraméterek!$J$121,Paraméterek!$K$121),0,IF($D$4="Forint",Paraméterek!$J$121,Paraméterek!$K$121)-$W789),0)</f>
        <v>0</v>
      </c>
      <c r="P790" s="13" t="e">
        <f ca="1">ROUNDUP($O790*VLOOKUP($M$4+$B790-1,Paraméterek!$H$58:$I$105,2,0)/Paraméterek!$I$56,IF($D$4="Forint",0,2))</f>
        <v>#N/A</v>
      </c>
      <c r="Q790" s="13">
        <f t="shared" ca="1" si="270"/>
        <v>0</v>
      </c>
      <c r="R790" s="33"/>
      <c r="S790" s="13" t="e">
        <f t="shared" ca="1" si="271"/>
        <v>#N/A</v>
      </c>
      <c r="T790" s="13" t="e">
        <f ca="1">ROUNDUP(($N790-$P790-$Q790+$S790)*VLOOKUP($B790,Paraméterek!$I$38:$K$39,IF($D$2="Egyszeri",3,2))/12*IF($D791="Nem",IF($M$13=0,1,$M$13),1),IF($D$4="Forint",0,2))</f>
        <v>#N/A</v>
      </c>
      <c r="U790" s="13"/>
      <c r="V790" s="13"/>
      <c r="W790" s="13" t="e">
        <f ca="1">$N790-$P790-$Q790+$S790-$T790-IF(ROUNDUP(IF(ISBLANK($V790),$U790*0,$V790)/IF($D$2="Egyszeri",VLOOKUP($B790+IF($C790=12,1,0),Paraméterek!$V$257:$W$262,2),IF($B790=1,1,VLOOKUP($B790+IF($C790=12,1,0),Paraméterek!$I$258:$T$278,HLOOKUP($M$11+1,Paraméterek!$J$256:$T$257,2)))),IF($D$4="Forint",0,2))&gt;$N790-$P790-$Q790+$S790-$T790-IF($D$4="Forint",Paraméterek!$C$216,Paraméterek!$D$216),0,ROUNDUP(IF(ISBLANK($V790),$U790*0,$V790)/IF($D$2="Egyszeri",VLOOKUP($B790+IF($C790=12,1,0),Paraméterek!$V$257:$W$262,2),IF($B790=1,1,VLOOKUP($B790+IF($C790=12,1,0),Paraméterek!$I$258:$T$278,HLOOKUP($M$11+1,Paraméterek!$J$256:$T$257,2)))),IF($D$4="Forint",0,2)))</f>
        <v>#N/A</v>
      </c>
      <c r="X790" s="13" t="e">
        <f ca="1">ROUNDDOWN($W790*IF($D$2="Egyszeri",VLOOKUP($B790+IF($C790=12,1,0),Paraméterek!$V$257:$W$262,2),VLOOKUP($B790+IF($C790=12,1,0),Paraméterek!$I$258:$T$278,HLOOKUP($M$11+1,Paraméterek!$I$256:$T$257,2))),IF($D$4="Forint",0,2))</f>
        <v>#N/A</v>
      </c>
      <c r="Z790" s="32">
        <v>771</v>
      </c>
      <c r="AA790" s="32">
        <v>65</v>
      </c>
      <c r="AB790" s="32">
        <v>3</v>
      </c>
      <c r="AC790" s="13">
        <f t="shared" ref="AC790:AC853" ca="1" si="280">IF($D790="Igen",$AL789,0)</f>
        <v>0</v>
      </c>
      <c r="AD790" s="33"/>
      <c r="AE790" s="13">
        <f t="shared" ca="1" si="272"/>
        <v>0</v>
      </c>
      <c r="AF790" s="13">
        <f ca="1">ROUNDUP(($AC790+$AE790)*VLOOKUP($AA790,Paraméterek!$P$38:$Q$38,2)/12*IF($D791="Nem",IF($M$13=0,1,$M$13),1),IF($D$4="Forint",0,2))</f>
        <v>0</v>
      </c>
      <c r="AG790" s="13">
        <f ca="1">IF($D$2="Egyszeri",IF($D$7&gt;=IF($D$4="Forint",Paraméterek!$P$223,Paraméterek!$P$224),$D$7-IF($D$4="Forint",Paraméterek!$P$223,Paraméterek!$P$224),0),MIN(IF($AB790=12,AVERAGEIF($E$20:$E790,"&gt;0",$E$20:$E790)*12,0),SUM($E$20:$E$31)))</f>
        <v>0</v>
      </c>
      <c r="AH790" s="13">
        <f>IF($AA790=10,$AG790*IF($AB790=12,IF($AG790&lt;IF($D$4="Forint",Paraméterek!$L$223,Paraméterek!$L$224),0,VLOOKUP($AA790,Paraméterek!$K$226:$M$228,IF($AG790&lt;IF($D$4="Forint",Paraméterek!$M$223,Paraméterek!$M$224),2,3))),0),0)</f>
        <v>0</v>
      </c>
      <c r="AI790" s="13">
        <f ca="1">IF(AND($AA790=$M$11+1,$AB790=$M$12+1),SUMIF($AA$20:$AA$1027,$AA790,$AG$20:$AG$1027)*IF(SUMIF($AA$20:$AA$1027,$AA790,$AG$20:$AG$1027)&lt;IF($D$4="Forint",Paraméterek!$L$223,Paraméterek!$L$224),0,VLOOKUP($AA790,Paraméterek!$K$230:$M$250,IF(SUMIF($AA$20:$AA$1027,$AA790,$AG$20:$AG$1027)&lt;IF($D$4="Forint",Paraméterek!$M$223,Paraméterek!$M$224),2,3))),0)</f>
        <v>0</v>
      </c>
      <c r="AJ790" s="13">
        <f ca="1">IF(AND($AA790&gt;=5,MOD($AA790,5)=0),IF($AB790=12,VLOOKUP($AA790,Paraméterek!$O$225:$P$240,2),0),IF(OR($AA790=3,$AA790=4),IF($AB790=12,VLOOKUP($AA790,Paraméterek!$O$225:$P$240,2,0),0),0))*$AG790</f>
        <v>0</v>
      </c>
      <c r="AK790" s="13">
        <f t="shared" ca="1" si="273"/>
        <v>0</v>
      </c>
      <c r="AL790" s="13">
        <f t="shared" ref="AL790:AL853" ca="1" si="281">$AC790+$AE790-$AF790+$AK790</f>
        <v>0</v>
      </c>
      <c r="AM790" s="13">
        <f t="shared" ref="AM790:AM853" ca="1" si="282">$AL790</f>
        <v>0</v>
      </c>
      <c r="AO790" s="32">
        <v>771</v>
      </c>
      <c r="AP790" s="32">
        <v>65</v>
      </c>
      <c r="AQ790" s="32">
        <v>3</v>
      </c>
      <c r="AR790" s="13"/>
      <c r="AS790" s="32"/>
      <c r="AT790" s="13">
        <f t="shared" ref="AT790:AT853" ca="1" si="283">IF($D790="Igen",IF(ISBLANK($AS790),$AR790,$AS790)+$BA789,0)</f>
        <v>0</v>
      </c>
      <c r="AU790" s="33"/>
      <c r="AV790" s="13">
        <f t="shared" ca="1" si="274"/>
        <v>0</v>
      </c>
      <c r="AW790" s="13">
        <f ca="1">ROUNDUP(($AT790+$AV790)*VLOOKUP($AP790,Paraméterek!$P$38:$Q$38,2)/12*IF($D791="Nem",IF($M$13=0,1,$M$13),1),IF($D$4="Forint",0,2))</f>
        <v>0</v>
      </c>
      <c r="AX790" s="13"/>
      <c r="AY790" s="13"/>
      <c r="AZ790" s="13">
        <f>ROUNDUP(IF(SUM($AX790:$AY790)=0,0,IF(IF(ISBLANK($AY790),$AX790,$AY790)*Paraméterek!$J$112&lt;IF($D$4="Forint",Paraméterek!$J$113,Paraméterek!$K$113),IF($D$4="Forint",Paraméterek!$J$113,Paraméterek!$K$113),IF(IF(ISBLANK($AY790),$AX790,$AY790)*Paraméterek!$J$112&gt;IF($D$4="Forint",Paraméterek!$J$114,Paraméterek!$K$114),IF($D$4="Forint",Paraméterek!$J$114,Paraméterek!$K$114),IF(ISBLANK($AY790),$AX790,$AY790)*Paraméterek!$J$112))),IF($D$4="Forint",0,2))</f>
        <v>0</v>
      </c>
      <c r="BA790" s="13">
        <f ca="1">$AT790+$AV790-$AW790-IF(ROUNDDOWN(IF(ISBLANK($AY790),$AX790,$AY790),IF($D$4="Forint",0,2))&gt;$AT790+$AV790-$AW790-IF($D$4="Forint",Paraméterek!$J$114,Paraméterek!$K$114),0,ROUNDDOWN(IF(ISBLANK($AY790),$AX790,$AY790),IF($D$4="Forint",0,2))-$AZ790)</f>
        <v>0</v>
      </c>
      <c r="BB790" s="13">
        <f t="shared" ca="1" si="275"/>
        <v>0</v>
      </c>
      <c r="BD790" s="32">
        <v>771</v>
      </c>
      <c r="BE790" s="32">
        <v>65</v>
      </c>
      <c r="BF790" s="32">
        <v>3</v>
      </c>
      <c r="BG790" s="34">
        <f t="shared" ref="BG790:BG853" ca="1" si="284">$BG789+IF(MOD(MONTH($D$14)+$BD790-1,12)=1,1,0)</f>
        <v>2083</v>
      </c>
      <c r="BH790" s="32" t="str">
        <f ca="1">IF(MOD(MONTH($D$14)+$BD790-1,12)=Paraméterek!$C$288,"Igen","")</f>
        <v/>
      </c>
      <c r="BI790" s="13">
        <f ca="1">IF($BH790="Igen",MIN(ROUNDDOWN((SUMIF($BG$20:$BG$1027,$BG790-1,$K$20:$K$1027)-SUMIF($BG$20:$BG$1027,$BG790-1,$I$20:$I$1027))*Paraméterek!$C$289,IF($D$4="Forint",0,2)),IF($D$4="Forint",Paraméterek!$C$285,Paraméterek!$D$285)),0)</f>
        <v>0</v>
      </c>
      <c r="BJ790" s="13">
        <f t="shared" ca="1" si="276"/>
        <v>0</v>
      </c>
      <c r="BK790" s="13">
        <f t="shared" ref="BK790:BK853" ca="1" si="285">$BJ790+IF($D790="Igen",$BO789,0)</f>
        <v>0</v>
      </c>
      <c r="BL790" s="33"/>
      <c r="BM790" s="13">
        <f t="shared" ca="1" si="277"/>
        <v>0</v>
      </c>
      <c r="BN790" s="13">
        <f ca="1">ROUNDUP(($BK790+$BM790)*VLOOKUP($BE790,Paraméterek!$P$38:$Q$38,2)/12*IF($D791="Nem",IF($M$13=0,1,$M$13),1),IF($D$4="Forint",0,2))</f>
        <v>0</v>
      </c>
      <c r="BO790" s="13">
        <f t="shared" ca="1" si="278"/>
        <v>0</v>
      </c>
      <c r="BP790" s="13">
        <f ca="1">IF($D791="Nem",$BO790,$BO790-ROUNDUP(SUM($BI$20:$BI790)*120%,IF($D$4="Forint",0,2)))</f>
        <v>0</v>
      </c>
    </row>
    <row r="791" spans="1:68" x14ac:dyDescent="0.2">
      <c r="A791" s="32">
        <v>772</v>
      </c>
      <c r="B791" s="32">
        <v>65</v>
      </c>
      <c r="C791" s="32">
        <v>4</v>
      </c>
      <c r="D791" s="32" t="str">
        <f t="shared" ca="1" si="264"/>
        <v>Nem</v>
      </c>
      <c r="E791" s="13">
        <f t="shared" ca="1" si="265"/>
        <v>0</v>
      </c>
      <c r="F791" s="13"/>
      <c r="G791" s="13"/>
      <c r="H791" s="13"/>
      <c r="I791" s="13">
        <f t="shared" ca="1" si="266"/>
        <v>0</v>
      </c>
      <c r="J791" s="13">
        <f t="shared" ca="1" si="267"/>
        <v>0</v>
      </c>
      <c r="K791" s="13">
        <f t="shared" ca="1" si="268"/>
        <v>0</v>
      </c>
      <c r="L791" s="13" t="e">
        <f ca="1">ROUNDUP(IF($D$2="Egyszeri",$E791,IF($D$2="Havi",SUM($E$20:$E$31),IF(MOD($C791,$M$1)-1=0,SUM($E$20:$E$31),0))/12*$M$1)*VLOOKUP($B791,Paraméterek!$I$28:$P$31,IF($D$2="Egyszeri",8,HLOOKUP(ROUNDUP($M$11+$M$13,0),Paraméterek!$J$26:$O$27,2))),IF($D$4="Forint",0,2))</f>
        <v>#N/A</v>
      </c>
      <c r="M791" s="13">
        <f t="shared" ca="1" si="269"/>
        <v>0</v>
      </c>
      <c r="N791" s="13">
        <f t="shared" ca="1" si="279"/>
        <v>0</v>
      </c>
      <c r="O791" s="13">
        <f ca="1">IF($D791="Igen",IF($W790&gt;=IF($D$4="Forint",Paraméterek!$J$121,Paraméterek!$K$121),0,IF($D$4="Forint",Paraméterek!$J$121,Paraméterek!$K$121)-$W790),0)</f>
        <v>0</v>
      </c>
      <c r="P791" s="13" t="e">
        <f ca="1">ROUNDUP($O791*VLOOKUP($M$4+$B791-1,Paraméterek!$H$58:$I$105,2,0)/Paraméterek!$I$56,IF($D$4="Forint",0,2))</f>
        <v>#N/A</v>
      </c>
      <c r="Q791" s="13">
        <f t="shared" ca="1" si="270"/>
        <v>0</v>
      </c>
      <c r="R791" s="33"/>
      <c r="S791" s="13" t="e">
        <f t="shared" ca="1" si="271"/>
        <v>#N/A</v>
      </c>
      <c r="T791" s="13" t="e">
        <f ca="1">ROUNDUP(($N791-$P791-$Q791+$S791)*VLOOKUP($B791,Paraméterek!$I$38:$K$39,IF($D$2="Egyszeri",3,2))/12*IF($D792="Nem",IF($M$13=0,1,$M$13),1),IF($D$4="Forint",0,2))</f>
        <v>#N/A</v>
      </c>
      <c r="U791" s="13"/>
      <c r="V791" s="13"/>
      <c r="W791" s="13" t="e">
        <f ca="1">$N791-$P791-$Q791+$S791-$T791-IF(ROUNDUP(IF(ISBLANK($V791),$U791*0,$V791)/IF($D$2="Egyszeri",VLOOKUP($B791+IF($C791=12,1,0),Paraméterek!$V$257:$W$262,2),IF($B791=1,1,VLOOKUP($B791+IF($C791=12,1,0),Paraméterek!$I$258:$T$278,HLOOKUP($M$11+1,Paraméterek!$J$256:$T$257,2)))),IF($D$4="Forint",0,2))&gt;$N791-$P791-$Q791+$S791-$T791-IF($D$4="Forint",Paraméterek!$C$216,Paraméterek!$D$216),0,ROUNDUP(IF(ISBLANK($V791),$U791*0,$V791)/IF($D$2="Egyszeri",VLOOKUP($B791+IF($C791=12,1,0),Paraméterek!$V$257:$W$262,2),IF($B791=1,1,VLOOKUP($B791+IF($C791=12,1,0),Paraméterek!$I$258:$T$278,HLOOKUP($M$11+1,Paraméterek!$J$256:$T$257,2)))),IF($D$4="Forint",0,2)))</f>
        <v>#N/A</v>
      </c>
      <c r="X791" s="13" t="e">
        <f ca="1">ROUNDDOWN($W791*IF($D$2="Egyszeri",VLOOKUP($B791+IF($C791=12,1,0),Paraméterek!$V$257:$W$262,2),VLOOKUP($B791+IF($C791=12,1,0),Paraméterek!$I$258:$T$278,HLOOKUP($M$11+1,Paraméterek!$I$256:$T$257,2))),IF($D$4="Forint",0,2))</f>
        <v>#N/A</v>
      </c>
      <c r="Z791" s="32">
        <v>772</v>
      </c>
      <c r="AA791" s="32">
        <v>65</v>
      </c>
      <c r="AB791" s="32">
        <v>4</v>
      </c>
      <c r="AC791" s="13">
        <f t="shared" ca="1" si="280"/>
        <v>0</v>
      </c>
      <c r="AD791" s="33"/>
      <c r="AE791" s="13">
        <f t="shared" ca="1" si="272"/>
        <v>0</v>
      </c>
      <c r="AF791" s="13">
        <f ca="1">ROUNDUP(($AC791+$AE791)*VLOOKUP($AA791,Paraméterek!$P$38:$Q$38,2)/12*IF($D792="Nem",IF($M$13=0,1,$M$13),1),IF($D$4="Forint",0,2))</f>
        <v>0</v>
      </c>
      <c r="AG791" s="13">
        <f ca="1">IF($D$2="Egyszeri",IF($D$7&gt;=IF($D$4="Forint",Paraméterek!$P$223,Paraméterek!$P$224),$D$7-IF($D$4="Forint",Paraméterek!$P$223,Paraméterek!$P$224),0),MIN(IF($AB791=12,AVERAGEIF($E$20:$E791,"&gt;0",$E$20:$E791)*12,0),SUM($E$20:$E$31)))</f>
        <v>0</v>
      </c>
      <c r="AH791" s="13">
        <f>IF($AA791=10,$AG791*IF($AB791=12,IF($AG791&lt;IF($D$4="Forint",Paraméterek!$L$223,Paraméterek!$L$224),0,VLOOKUP($AA791,Paraméterek!$K$226:$M$228,IF($AG791&lt;IF($D$4="Forint",Paraméterek!$M$223,Paraméterek!$M$224),2,3))),0),0)</f>
        <v>0</v>
      </c>
      <c r="AI791" s="13">
        <f ca="1">IF(AND($AA791=$M$11+1,$AB791=$M$12+1),SUMIF($AA$20:$AA$1027,$AA791,$AG$20:$AG$1027)*IF(SUMIF($AA$20:$AA$1027,$AA791,$AG$20:$AG$1027)&lt;IF($D$4="Forint",Paraméterek!$L$223,Paraméterek!$L$224),0,VLOOKUP($AA791,Paraméterek!$K$230:$M$250,IF(SUMIF($AA$20:$AA$1027,$AA791,$AG$20:$AG$1027)&lt;IF($D$4="Forint",Paraméterek!$M$223,Paraméterek!$M$224),2,3))),0)</f>
        <v>0</v>
      </c>
      <c r="AJ791" s="13">
        <f ca="1">IF(AND($AA791&gt;=5,MOD($AA791,5)=0),IF($AB791=12,VLOOKUP($AA791,Paraméterek!$O$225:$P$240,2),0),IF(OR($AA791=3,$AA791=4),IF($AB791=12,VLOOKUP($AA791,Paraméterek!$O$225:$P$240,2,0),0),0))*$AG791</f>
        <v>0</v>
      </c>
      <c r="AK791" s="13">
        <f t="shared" ca="1" si="273"/>
        <v>0</v>
      </c>
      <c r="AL791" s="13">
        <f t="shared" ca="1" si="281"/>
        <v>0</v>
      </c>
      <c r="AM791" s="13">
        <f t="shared" ca="1" si="282"/>
        <v>0</v>
      </c>
      <c r="AO791" s="32">
        <v>772</v>
      </c>
      <c r="AP791" s="32">
        <v>65</v>
      </c>
      <c r="AQ791" s="32">
        <v>4</v>
      </c>
      <c r="AR791" s="13"/>
      <c r="AS791" s="32"/>
      <c r="AT791" s="13">
        <f t="shared" ca="1" si="283"/>
        <v>0</v>
      </c>
      <c r="AU791" s="33"/>
      <c r="AV791" s="13">
        <f t="shared" ca="1" si="274"/>
        <v>0</v>
      </c>
      <c r="AW791" s="13">
        <f ca="1">ROUNDUP(($AT791+$AV791)*VLOOKUP($AP791,Paraméterek!$P$38:$Q$38,2)/12*IF($D792="Nem",IF($M$13=0,1,$M$13),1),IF($D$4="Forint",0,2))</f>
        <v>0</v>
      </c>
      <c r="AX791" s="13"/>
      <c r="AY791" s="13"/>
      <c r="AZ791" s="13">
        <f>ROUNDUP(IF(SUM($AX791:$AY791)=0,0,IF(IF(ISBLANK($AY791),$AX791,$AY791)*Paraméterek!$J$112&lt;IF($D$4="Forint",Paraméterek!$J$113,Paraméterek!$K$113),IF($D$4="Forint",Paraméterek!$J$113,Paraméterek!$K$113),IF(IF(ISBLANK($AY791),$AX791,$AY791)*Paraméterek!$J$112&gt;IF($D$4="Forint",Paraméterek!$J$114,Paraméterek!$K$114),IF($D$4="Forint",Paraméterek!$J$114,Paraméterek!$K$114),IF(ISBLANK($AY791),$AX791,$AY791)*Paraméterek!$J$112))),IF($D$4="Forint",0,2))</f>
        <v>0</v>
      </c>
      <c r="BA791" s="13">
        <f ca="1">$AT791+$AV791-$AW791-IF(ROUNDDOWN(IF(ISBLANK($AY791),$AX791,$AY791),IF($D$4="Forint",0,2))&gt;$AT791+$AV791-$AW791-IF($D$4="Forint",Paraméterek!$J$114,Paraméterek!$K$114),0,ROUNDDOWN(IF(ISBLANK($AY791),$AX791,$AY791),IF($D$4="Forint",0,2))-$AZ791)</f>
        <v>0</v>
      </c>
      <c r="BB791" s="13">
        <f t="shared" ca="1" si="275"/>
        <v>0</v>
      </c>
      <c r="BD791" s="32">
        <v>772</v>
      </c>
      <c r="BE791" s="32">
        <v>65</v>
      </c>
      <c r="BF791" s="32">
        <v>4</v>
      </c>
      <c r="BG791" s="34">
        <f t="shared" ca="1" si="284"/>
        <v>2083</v>
      </c>
      <c r="BH791" s="32" t="str">
        <f ca="1">IF(MOD(MONTH($D$14)+$BD791-1,12)=Paraméterek!$C$288,"Igen","")</f>
        <v/>
      </c>
      <c r="BI791" s="13">
        <f ca="1">IF($BH791="Igen",MIN(ROUNDDOWN((SUMIF($BG$20:$BG$1027,$BG791-1,$K$20:$K$1027)-SUMIF($BG$20:$BG$1027,$BG791-1,$I$20:$I$1027))*Paraméterek!$C$289,IF($D$4="Forint",0,2)),IF($D$4="Forint",Paraméterek!$C$285,Paraméterek!$D$285)),0)</f>
        <v>0</v>
      </c>
      <c r="BJ791" s="13">
        <f t="shared" ca="1" si="276"/>
        <v>0</v>
      </c>
      <c r="BK791" s="13">
        <f t="shared" ca="1" si="285"/>
        <v>0</v>
      </c>
      <c r="BL791" s="33"/>
      <c r="BM791" s="13">
        <f t="shared" ca="1" si="277"/>
        <v>0</v>
      </c>
      <c r="BN791" s="13">
        <f ca="1">ROUNDUP(($BK791+$BM791)*VLOOKUP($BE791,Paraméterek!$P$38:$Q$38,2)/12*IF($D792="Nem",IF($M$13=0,1,$M$13),1),IF($D$4="Forint",0,2))</f>
        <v>0</v>
      </c>
      <c r="BO791" s="13">
        <f t="shared" ca="1" si="278"/>
        <v>0</v>
      </c>
      <c r="BP791" s="13">
        <f ca="1">IF($D792="Nem",$BO791,$BO791-ROUNDUP(SUM($BI$20:$BI791)*120%,IF($D$4="Forint",0,2)))</f>
        <v>0</v>
      </c>
    </row>
    <row r="792" spans="1:68" x14ac:dyDescent="0.2">
      <c r="A792" s="32">
        <v>773</v>
      </c>
      <c r="B792" s="32">
        <v>65</v>
      </c>
      <c r="C792" s="32">
        <v>5</v>
      </c>
      <c r="D792" s="32" t="str">
        <f t="shared" ca="1" si="264"/>
        <v>Nem</v>
      </c>
      <c r="E792" s="13">
        <f t="shared" ca="1" si="265"/>
        <v>0</v>
      </c>
      <c r="F792" s="13"/>
      <c r="G792" s="13"/>
      <c r="H792" s="13"/>
      <c r="I792" s="13">
        <f t="shared" ca="1" si="266"/>
        <v>0</v>
      </c>
      <c r="J792" s="13">
        <f t="shared" ca="1" si="267"/>
        <v>0</v>
      </c>
      <c r="K792" s="13">
        <f t="shared" ca="1" si="268"/>
        <v>0</v>
      </c>
      <c r="L792" s="13" t="e">
        <f ca="1">ROUNDUP(IF($D$2="Egyszeri",$E792,IF($D$2="Havi",SUM($E$20:$E$31),IF(MOD($C792,$M$1)-1=0,SUM($E$20:$E$31),0))/12*$M$1)*VLOOKUP($B792,Paraméterek!$I$28:$P$31,IF($D$2="Egyszeri",8,HLOOKUP(ROUNDUP($M$11+$M$13,0),Paraméterek!$J$26:$O$27,2))),IF($D$4="Forint",0,2))</f>
        <v>#N/A</v>
      </c>
      <c r="M792" s="13">
        <f t="shared" ca="1" si="269"/>
        <v>0</v>
      </c>
      <c r="N792" s="13">
        <f t="shared" ca="1" si="279"/>
        <v>0</v>
      </c>
      <c r="O792" s="13">
        <f ca="1">IF($D792="Igen",IF($W791&gt;=IF($D$4="Forint",Paraméterek!$J$121,Paraméterek!$K$121),0,IF($D$4="Forint",Paraméterek!$J$121,Paraméterek!$K$121)-$W791),0)</f>
        <v>0</v>
      </c>
      <c r="P792" s="13" t="e">
        <f ca="1">ROUNDUP($O792*VLOOKUP($M$4+$B792-1,Paraméterek!$H$58:$I$105,2,0)/Paraméterek!$I$56,IF($D$4="Forint",0,2))</f>
        <v>#N/A</v>
      </c>
      <c r="Q792" s="13">
        <f t="shared" ca="1" si="270"/>
        <v>0</v>
      </c>
      <c r="R792" s="33"/>
      <c r="S792" s="13" t="e">
        <f t="shared" ca="1" si="271"/>
        <v>#N/A</v>
      </c>
      <c r="T792" s="13" t="e">
        <f ca="1">ROUNDUP(($N792-$P792-$Q792+$S792)*VLOOKUP($B792,Paraméterek!$I$38:$K$39,IF($D$2="Egyszeri",3,2))/12*IF($D793="Nem",IF($M$13=0,1,$M$13),1),IF($D$4="Forint",0,2))</f>
        <v>#N/A</v>
      </c>
      <c r="U792" s="13"/>
      <c r="V792" s="13"/>
      <c r="W792" s="13" t="e">
        <f ca="1">$N792-$P792-$Q792+$S792-$T792-IF(ROUNDUP(IF(ISBLANK($V792),$U792*0,$V792)/IF($D$2="Egyszeri",VLOOKUP($B792+IF($C792=12,1,0),Paraméterek!$V$257:$W$262,2),IF($B792=1,1,VLOOKUP($B792+IF($C792=12,1,0),Paraméterek!$I$258:$T$278,HLOOKUP($M$11+1,Paraméterek!$J$256:$T$257,2)))),IF($D$4="Forint",0,2))&gt;$N792-$P792-$Q792+$S792-$T792-IF($D$4="Forint",Paraméterek!$C$216,Paraméterek!$D$216),0,ROUNDUP(IF(ISBLANK($V792),$U792*0,$V792)/IF($D$2="Egyszeri",VLOOKUP($B792+IF($C792=12,1,0),Paraméterek!$V$257:$W$262,2),IF($B792=1,1,VLOOKUP($B792+IF($C792=12,1,0),Paraméterek!$I$258:$T$278,HLOOKUP($M$11+1,Paraméterek!$J$256:$T$257,2)))),IF($D$4="Forint",0,2)))</f>
        <v>#N/A</v>
      </c>
      <c r="X792" s="13" t="e">
        <f ca="1">ROUNDDOWN($W792*IF($D$2="Egyszeri",VLOOKUP($B792+IF($C792=12,1,0),Paraméterek!$V$257:$W$262,2),VLOOKUP($B792+IF($C792=12,1,0),Paraméterek!$I$258:$T$278,HLOOKUP($M$11+1,Paraméterek!$I$256:$T$257,2))),IF($D$4="Forint",0,2))</f>
        <v>#N/A</v>
      </c>
      <c r="Z792" s="32">
        <v>773</v>
      </c>
      <c r="AA792" s="32">
        <v>65</v>
      </c>
      <c r="AB792" s="32">
        <v>5</v>
      </c>
      <c r="AC792" s="13">
        <f t="shared" ca="1" si="280"/>
        <v>0</v>
      </c>
      <c r="AD792" s="33"/>
      <c r="AE792" s="13">
        <f t="shared" ca="1" si="272"/>
        <v>0</v>
      </c>
      <c r="AF792" s="13">
        <f ca="1">ROUNDUP(($AC792+$AE792)*VLOOKUP($AA792,Paraméterek!$P$38:$Q$38,2)/12*IF($D793="Nem",IF($M$13=0,1,$M$13),1),IF($D$4="Forint",0,2))</f>
        <v>0</v>
      </c>
      <c r="AG792" s="13">
        <f ca="1">IF($D$2="Egyszeri",IF($D$7&gt;=IF($D$4="Forint",Paraméterek!$P$223,Paraméterek!$P$224),$D$7-IF($D$4="Forint",Paraméterek!$P$223,Paraméterek!$P$224),0),MIN(IF($AB792=12,AVERAGEIF($E$20:$E792,"&gt;0",$E$20:$E792)*12,0),SUM($E$20:$E$31)))</f>
        <v>0</v>
      </c>
      <c r="AH792" s="13">
        <f>IF($AA792=10,$AG792*IF($AB792=12,IF($AG792&lt;IF($D$4="Forint",Paraméterek!$L$223,Paraméterek!$L$224),0,VLOOKUP($AA792,Paraméterek!$K$226:$M$228,IF($AG792&lt;IF($D$4="Forint",Paraméterek!$M$223,Paraméterek!$M$224),2,3))),0),0)</f>
        <v>0</v>
      </c>
      <c r="AI792" s="13">
        <f ca="1">IF(AND($AA792=$M$11+1,$AB792=$M$12+1),SUMIF($AA$20:$AA$1027,$AA792,$AG$20:$AG$1027)*IF(SUMIF($AA$20:$AA$1027,$AA792,$AG$20:$AG$1027)&lt;IF($D$4="Forint",Paraméterek!$L$223,Paraméterek!$L$224),0,VLOOKUP($AA792,Paraméterek!$K$230:$M$250,IF(SUMIF($AA$20:$AA$1027,$AA792,$AG$20:$AG$1027)&lt;IF($D$4="Forint",Paraméterek!$M$223,Paraméterek!$M$224),2,3))),0)</f>
        <v>0</v>
      </c>
      <c r="AJ792" s="13">
        <f ca="1">IF(AND($AA792&gt;=5,MOD($AA792,5)=0),IF($AB792=12,VLOOKUP($AA792,Paraméterek!$O$225:$P$240,2),0),IF(OR($AA792=3,$AA792=4),IF($AB792=12,VLOOKUP($AA792,Paraméterek!$O$225:$P$240,2,0),0),0))*$AG792</f>
        <v>0</v>
      </c>
      <c r="AK792" s="13">
        <f t="shared" ca="1" si="273"/>
        <v>0</v>
      </c>
      <c r="AL792" s="13">
        <f t="shared" ca="1" si="281"/>
        <v>0</v>
      </c>
      <c r="AM792" s="13">
        <f t="shared" ca="1" si="282"/>
        <v>0</v>
      </c>
      <c r="AO792" s="32">
        <v>773</v>
      </c>
      <c r="AP792" s="32">
        <v>65</v>
      </c>
      <c r="AQ792" s="32">
        <v>5</v>
      </c>
      <c r="AR792" s="13"/>
      <c r="AS792" s="32"/>
      <c r="AT792" s="13">
        <f t="shared" ca="1" si="283"/>
        <v>0</v>
      </c>
      <c r="AU792" s="33"/>
      <c r="AV792" s="13">
        <f t="shared" ca="1" si="274"/>
        <v>0</v>
      </c>
      <c r="AW792" s="13">
        <f ca="1">ROUNDUP(($AT792+$AV792)*VLOOKUP($AP792,Paraméterek!$P$38:$Q$38,2)/12*IF($D793="Nem",IF($M$13=0,1,$M$13),1),IF($D$4="Forint",0,2))</f>
        <v>0</v>
      </c>
      <c r="AX792" s="13"/>
      <c r="AY792" s="13"/>
      <c r="AZ792" s="13">
        <f>ROUNDUP(IF(SUM($AX792:$AY792)=0,0,IF(IF(ISBLANK($AY792),$AX792,$AY792)*Paraméterek!$J$112&lt;IF($D$4="Forint",Paraméterek!$J$113,Paraméterek!$K$113),IF($D$4="Forint",Paraméterek!$J$113,Paraméterek!$K$113),IF(IF(ISBLANK($AY792),$AX792,$AY792)*Paraméterek!$J$112&gt;IF($D$4="Forint",Paraméterek!$J$114,Paraméterek!$K$114),IF($D$4="Forint",Paraméterek!$J$114,Paraméterek!$K$114),IF(ISBLANK($AY792),$AX792,$AY792)*Paraméterek!$J$112))),IF($D$4="Forint",0,2))</f>
        <v>0</v>
      </c>
      <c r="BA792" s="13">
        <f ca="1">$AT792+$AV792-$AW792-IF(ROUNDDOWN(IF(ISBLANK($AY792),$AX792,$AY792),IF($D$4="Forint",0,2))&gt;$AT792+$AV792-$AW792-IF($D$4="Forint",Paraméterek!$J$114,Paraméterek!$K$114),0,ROUNDDOWN(IF(ISBLANK($AY792),$AX792,$AY792),IF($D$4="Forint",0,2))-$AZ792)</f>
        <v>0</v>
      </c>
      <c r="BB792" s="13">
        <f t="shared" ca="1" si="275"/>
        <v>0</v>
      </c>
      <c r="BD792" s="32">
        <v>773</v>
      </c>
      <c r="BE792" s="32">
        <v>65</v>
      </c>
      <c r="BF792" s="32">
        <v>5</v>
      </c>
      <c r="BG792" s="34">
        <f t="shared" ca="1" si="284"/>
        <v>2083</v>
      </c>
      <c r="BH792" s="32" t="str">
        <f ca="1">IF(MOD(MONTH($D$14)+$BD792-1,12)=Paraméterek!$C$288,"Igen","")</f>
        <v/>
      </c>
      <c r="BI792" s="13">
        <f ca="1">IF($BH792="Igen",MIN(ROUNDDOWN((SUMIF($BG$20:$BG$1027,$BG792-1,$K$20:$K$1027)-SUMIF($BG$20:$BG$1027,$BG792-1,$I$20:$I$1027))*Paraméterek!$C$289,IF($D$4="Forint",0,2)),IF($D$4="Forint",Paraméterek!$C$285,Paraméterek!$D$285)),0)</f>
        <v>0</v>
      </c>
      <c r="BJ792" s="13">
        <f t="shared" ca="1" si="276"/>
        <v>0</v>
      </c>
      <c r="BK792" s="13">
        <f t="shared" ca="1" si="285"/>
        <v>0</v>
      </c>
      <c r="BL792" s="33"/>
      <c r="BM792" s="13">
        <f t="shared" ca="1" si="277"/>
        <v>0</v>
      </c>
      <c r="BN792" s="13">
        <f ca="1">ROUNDUP(($BK792+$BM792)*VLOOKUP($BE792,Paraméterek!$P$38:$Q$38,2)/12*IF($D793="Nem",IF($M$13=0,1,$M$13),1),IF($D$4="Forint",0,2))</f>
        <v>0</v>
      </c>
      <c r="BO792" s="13">
        <f t="shared" ca="1" si="278"/>
        <v>0</v>
      </c>
      <c r="BP792" s="13">
        <f ca="1">IF($D793="Nem",$BO792,$BO792-ROUNDUP(SUM($BI$20:$BI792)*120%,IF($D$4="Forint",0,2)))</f>
        <v>0</v>
      </c>
    </row>
    <row r="793" spans="1:68" x14ac:dyDescent="0.2">
      <c r="A793" s="32">
        <v>774</v>
      </c>
      <c r="B793" s="32">
        <v>65</v>
      </c>
      <c r="C793" s="32">
        <v>6</v>
      </c>
      <c r="D793" s="32" t="str">
        <f t="shared" ca="1" si="264"/>
        <v>Nem</v>
      </c>
      <c r="E793" s="13">
        <f t="shared" ca="1" si="265"/>
        <v>0</v>
      </c>
      <c r="F793" s="13"/>
      <c r="G793" s="13"/>
      <c r="H793" s="13"/>
      <c r="I793" s="13">
        <f t="shared" ca="1" si="266"/>
        <v>0</v>
      </c>
      <c r="J793" s="13">
        <f t="shared" ca="1" si="267"/>
        <v>0</v>
      </c>
      <c r="K793" s="13">
        <f t="shared" ca="1" si="268"/>
        <v>0</v>
      </c>
      <c r="L793" s="13" t="e">
        <f ca="1">ROUNDUP(IF($D$2="Egyszeri",$E793,IF($D$2="Havi",SUM($E$20:$E$31),IF(MOD($C793,$M$1)-1=0,SUM($E$20:$E$31),0))/12*$M$1)*VLOOKUP($B793,Paraméterek!$I$28:$P$31,IF($D$2="Egyszeri",8,HLOOKUP(ROUNDUP($M$11+$M$13,0),Paraméterek!$J$26:$O$27,2))),IF($D$4="Forint",0,2))</f>
        <v>#N/A</v>
      </c>
      <c r="M793" s="13">
        <f t="shared" ca="1" si="269"/>
        <v>0</v>
      </c>
      <c r="N793" s="13">
        <f t="shared" ca="1" si="279"/>
        <v>0</v>
      </c>
      <c r="O793" s="13">
        <f ca="1">IF($D793="Igen",IF($W792&gt;=IF($D$4="Forint",Paraméterek!$J$121,Paraméterek!$K$121),0,IF($D$4="Forint",Paraméterek!$J$121,Paraméterek!$K$121)-$W792),0)</f>
        <v>0</v>
      </c>
      <c r="P793" s="13" t="e">
        <f ca="1">ROUNDUP($O793*VLOOKUP($M$4+$B793-1,Paraméterek!$H$58:$I$105,2,0)/Paraméterek!$I$56,IF($D$4="Forint",0,2))</f>
        <v>#N/A</v>
      </c>
      <c r="Q793" s="13">
        <f t="shared" ca="1" si="270"/>
        <v>0</v>
      </c>
      <c r="R793" s="33"/>
      <c r="S793" s="13" t="e">
        <f t="shared" ca="1" si="271"/>
        <v>#N/A</v>
      </c>
      <c r="T793" s="13" t="e">
        <f ca="1">ROUNDUP(($N793-$P793-$Q793+$S793)*VLOOKUP($B793,Paraméterek!$I$38:$K$39,IF($D$2="Egyszeri",3,2))/12*IF($D794="Nem",IF($M$13=0,1,$M$13),1),IF($D$4="Forint",0,2))</f>
        <v>#N/A</v>
      </c>
      <c r="U793" s="13"/>
      <c r="V793" s="13"/>
      <c r="W793" s="13" t="e">
        <f ca="1">$N793-$P793-$Q793+$S793-$T793-IF(ROUNDUP(IF(ISBLANK($V793),$U793*0,$V793)/IF($D$2="Egyszeri",VLOOKUP($B793+IF($C793=12,1,0),Paraméterek!$V$257:$W$262,2),IF($B793=1,1,VLOOKUP($B793+IF($C793=12,1,0),Paraméterek!$I$258:$T$278,HLOOKUP($M$11+1,Paraméterek!$J$256:$T$257,2)))),IF($D$4="Forint",0,2))&gt;$N793-$P793-$Q793+$S793-$T793-IF($D$4="Forint",Paraméterek!$C$216,Paraméterek!$D$216),0,ROUNDUP(IF(ISBLANK($V793),$U793*0,$V793)/IF($D$2="Egyszeri",VLOOKUP($B793+IF($C793=12,1,0),Paraméterek!$V$257:$W$262,2),IF($B793=1,1,VLOOKUP($B793+IF($C793=12,1,0),Paraméterek!$I$258:$T$278,HLOOKUP($M$11+1,Paraméterek!$J$256:$T$257,2)))),IF($D$4="Forint",0,2)))</f>
        <v>#N/A</v>
      </c>
      <c r="X793" s="13" t="e">
        <f ca="1">ROUNDDOWN($W793*IF($D$2="Egyszeri",VLOOKUP($B793+IF($C793=12,1,0),Paraméterek!$V$257:$W$262,2),VLOOKUP($B793+IF($C793=12,1,0),Paraméterek!$I$258:$T$278,HLOOKUP($M$11+1,Paraméterek!$I$256:$T$257,2))),IF($D$4="Forint",0,2))</f>
        <v>#N/A</v>
      </c>
      <c r="Z793" s="32">
        <v>774</v>
      </c>
      <c r="AA793" s="32">
        <v>65</v>
      </c>
      <c r="AB793" s="32">
        <v>6</v>
      </c>
      <c r="AC793" s="13">
        <f t="shared" ca="1" si="280"/>
        <v>0</v>
      </c>
      <c r="AD793" s="33"/>
      <c r="AE793" s="13">
        <f t="shared" ca="1" si="272"/>
        <v>0</v>
      </c>
      <c r="AF793" s="13">
        <f ca="1">ROUNDUP(($AC793+$AE793)*VLOOKUP($AA793,Paraméterek!$P$38:$Q$38,2)/12*IF($D794="Nem",IF($M$13=0,1,$M$13),1),IF($D$4="Forint",0,2))</f>
        <v>0</v>
      </c>
      <c r="AG793" s="13">
        <f ca="1">IF($D$2="Egyszeri",IF($D$7&gt;=IF($D$4="Forint",Paraméterek!$P$223,Paraméterek!$P$224),$D$7-IF($D$4="Forint",Paraméterek!$P$223,Paraméterek!$P$224),0),MIN(IF($AB793=12,AVERAGEIF($E$20:$E793,"&gt;0",$E$20:$E793)*12,0),SUM($E$20:$E$31)))</f>
        <v>0</v>
      </c>
      <c r="AH793" s="13">
        <f>IF($AA793=10,$AG793*IF($AB793=12,IF($AG793&lt;IF($D$4="Forint",Paraméterek!$L$223,Paraméterek!$L$224),0,VLOOKUP($AA793,Paraméterek!$K$226:$M$228,IF($AG793&lt;IF($D$4="Forint",Paraméterek!$M$223,Paraméterek!$M$224),2,3))),0),0)</f>
        <v>0</v>
      </c>
      <c r="AI793" s="13">
        <f ca="1">IF(AND($AA793=$M$11+1,$AB793=$M$12+1),SUMIF($AA$20:$AA$1027,$AA793,$AG$20:$AG$1027)*IF(SUMIF($AA$20:$AA$1027,$AA793,$AG$20:$AG$1027)&lt;IF($D$4="Forint",Paraméterek!$L$223,Paraméterek!$L$224),0,VLOOKUP($AA793,Paraméterek!$K$230:$M$250,IF(SUMIF($AA$20:$AA$1027,$AA793,$AG$20:$AG$1027)&lt;IF($D$4="Forint",Paraméterek!$M$223,Paraméterek!$M$224),2,3))),0)</f>
        <v>0</v>
      </c>
      <c r="AJ793" s="13">
        <f ca="1">IF(AND($AA793&gt;=5,MOD($AA793,5)=0),IF($AB793=12,VLOOKUP($AA793,Paraméterek!$O$225:$P$240,2),0),IF(OR($AA793=3,$AA793=4),IF($AB793=12,VLOOKUP($AA793,Paraméterek!$O$225:$P$240,2,0),0),0))*$AG793</f>
        <v>0</v>
      </c>
      <c r="AK793" s="13">
        <f t="shared" ca="1" si="273"/>
        <v>0</v>
      </c>
      <c r="AL793" s="13">
        <f t="shared" ca="1" si="281"/>
        <v>0</v>
      </c>
      <c r="AM793" s="13">
        <f t="shared" ca="1" si="282"/>
        <v>0</v>
      </c>
      <c r="AO793" s="32">
        <v>774</v>
      </c>
      <c r="AP793" s="32">
        <v>65</v>
      </c>
      <c r="AQ793" s="32">
        <v>6</v>
      </c>
      <c r="AR793" s="13"/>
      <c r="AS793" s="32"/>
      <c r="AT793" s="13">
        <f t="shared" ca="1" si="283"/>
        <v>0</v>
      </c>
      <c r="AU793" s="33"/>
      <c r="AV793" s="13">
        <f t="shared" ca="1" si="274"/>
        <v>0</v>
      </c>
      <c r="AW793" s="13">
        <f ca="1">ROUNDUP(($AT793+$AV793)*VLOOKUP($AP793,Paraméterek!$P$38:$Q$38,2)/12*IF($D794="Nem",IF($M$13=0,1,$M$13),1),IF($D$4="Forint",0,2))</f>
        <v>0</v>
      </c>
      <c r="AX793" s="13"/>
      <c r="AY793" s="13"/>
      <c r="AZ793" s="13">
        <f>ROUNDUP(IF(SUM($AX793:$AY793)=0,0,IF(IF(ISBLANK($AY793),$AX793,$AY793)*Paraméterek!$J$112&lt;IF($D$4="Forint",Paraméterek!$J$113,Paraméterek!$K$113),IF($D$4="Forint",Paraméterek!$J$113,Paraméterek!$K$113),IF(IF(ISBLANK($AY793),$AX793,$AY793)*Paraméterek!$J$112&gt;IF($D$4="Forint",Paraméterek!$J$114,Paraméterek!$K$114),IF($D$4="Forint",Paraméterek!$J$114,Paraméterek!$K$114),IF(ISBLANK($AY793),$AX793,$AY793)*Paraméterek!$J$112))),IF($D$4="Forint",0,2))</f>
        <v>0</v>
      </c>
      <c r="BA793" s="13">
        <f ca="1">$AT793+$AV793-$AW793-IF(ROUNDDOWN(IF(ISBLANK($AY793),$AX793,$AY793),IF($D$4="Forint",0,2))&gt;$AT793+$AV793-$AW793-IF($D$4="Forint",Paraméterek!$J$114,Paraméterek!$K$114),0,ROUNDDOWN(IF(ISBLANK($AY793),$AX793,$AY793),IF($D$4="Forint",0,2))-$AZ793)</f>
        <v>0</v>
      </c>
      <c r="BB793" s="13">
        <f t="shared" ca="1" si="275"/>
        <v>0</v>
      </c>
      <c r="BD793" s="32">
        <v>774</v>
      </c>
      <c r="BE793" s="32">
        <v>65</v>
      </c>
      <c r="BF793" s="32">
        <v>6</v>
      </c>
      <c r="BG793" s="34">
        <f t="shared" ca="1" si="284"/>
        <v>2083</v>
      </c>
      <c r="BH793" s="32" t="str">
        <f ca="1">IF(MOD(MONTH($D$14)+$BD793-1,12)=Paraméterek!$C$288,"Igen","")</f>
        <v/>
      </c>
      <c r="BI793" s="13">
        <f ca="1">IF($BH793="Igen",MIN(ROUNDDOWN((SUMIF($BG$20:$BG$1027,$BG793-1,$K$20:$K$1027)-SUMIF($BG$20:$BG$1027,$BG793-1,$I$20:$I$1027))*Paraméterek!$C$289,IF($D$4="Forint",0,2)),IF($D$4="Forint",Paraméterek!$C$285,Paraméterek!$D$285)),0)</f>
        <v>0</v>
      </c>
      <c r="BJ793" s="13">
        <f t="shared" ca="1" si="276"/>
        <v>0</v>
      </c>
      <c r="BK793" s="13">
        <f t="shared" ca="1" si="285"/>
        <v>0</v>
      </c>
      <c r="BL793" s="33"/>
      <c r="BM793" s="13">
        <f t="shared" ca="1" si="277"/>
        <v>0</v>
      </c>
      <c r="BN793" s="13">
        <f ca="1">ROUNDUP(($BK793+$BM793)*VLOOKUP($BE793,Paraméterek!$P$38:$Q$38,2)/12*IF($D794="Nem",IF($M$13=0,1,$M$13),1),IF($D$4="Forint",0,2))</f>
        <v>0</v>
      </c>
      <c r="BO793" s="13">
        <f t="shared" ca="1" si="278"/>
        <v>0</v>
      </c>
      <c r="BP793" s="13">
        <f ca="1">IF($D794="Nem",$BO793,$BO793-ROUNDUP(SUM($BI$20:$BI793)*120%,IF($D$4="Forint",0,2)))</f>
        <v>0</v>
      </c>
    </row>
    <row r="794" spans="1:68" x14ac:dyDescent="0.2">
      <c r="A794" s="32">
        <v>775</v>
      </c>
      <c r="B794" s="32">
        <v>65</v>
      </c>
      <c r="C794" s="32">
        <v>7</v>
      </c>
      <c r="D794" s="32" t="str">
        <f t="shared" ca="1" si="264"/>
        <v>Nem</v>
      </c>
      <c r="E794" s="13">
        <f t="shared" ca="1" si="265"/>
        <v>0</v>
      </c>
      <c r="F794" s="13"/>
      <c r="G794" s="13"/>
      <c r="H794" s="13"/>
      <c r="I794" s="13">
        <f t="shared" ca="1" si="266"/>
        <v>0</v>
      </c>
      <c r="J794" s="13">
        <f t="shared" ca="1" si="267"/>
        <v>0</v>
      </c>
      <c r="K794" s="13">
        <f t="shared" ca="1" si="268"/>
        <v>0</v>
      </c>
      <c r="L794" s="13" t="e">
        <f ca="1">ROUNDUP(IF($D$2="Egyszeri",$E794,IF($D$2="Havi",SUM($E$20:$E$31),IF(MOD($C794,$M$1)-1=0,SUM($E$20:$E$31),0))/12*$M$1)*VLOOKUP($B794,Paraméterek!$I$28:$P$31,IF($D$2="Egyszeri",8,HLOOKUP(ROUNDUP($M$11+$M$13,0),Paraméterek!$J$26:$O$27,2))),IF($D$4="Forint",0,2))</f>
        <v>#N/A</v>
      </c>
      <c r="M794" s="13">
        <f t="shared" ca="1" si="269"/>
        <v>0</v>
      </c>
      <c r="N794" s="13">
        <f t="shared" ca="1" si="279"/>
        <v>0</v>
      </c>
      <c r="O794" s="13">
        <f ca="1">IF($D794="Igen",IF($W793&gt;=IF($D$4="Forint",Paraméterek!$J$121,Paraméterek!$K$121),0,IF($D$4="Forint",Paraméterek!$J$121,Paraméterek!$K$121)-$W793),0)</f>
        <v>0</v>
      </c>
      <c r="P794" s="13" t="e">
        <f ca="1">ROUNDUP($O794*VLOOKUP($M$4+$B794-1,Paraméterek!$H$58:$I$105,2,0)/Paraméterek!$I$56,IF($D$4="Forint",0,2))</f>
        <v>#N/A</v>
      </c>
      <c r="Q794" s="13">
        <f t="shared" ca="1" si="270"/>
        <v>0</v>
      </c>
      <c r="R794" s="33"/>
      <c r="S794" s="13" t="e">
        <f t="shared" ca="1" si="271"/>
        <v>#N/A</v>
      </c>
      <c r="T794" s="13" t="e">
        <f ca="1">ROUNDUP(($N794-$P794-$Q794+$S794)*VLOOKUP($B794,Paraméterek!$I$38:$K$39,IF($D$2="Egyszeri",3,2))/12*IF($D795="Nem",IF($M$13=0,1,$M$13),1),IF($D$4="Forint",0,2))</f>
        <v>#N/A</v>
      </c>
      <c r="U794" s="13"/>
      <c r="V794" s="13"/>
      <c r="W794" s="13" t="e">
        <f ca="1">$N794-$P794-$Q794+$S794-$T794-IF(ROUNDUP(IF(ISBLANK($V794),$U794*0,$V794)/IF($D$2="Egyszeri",VLOOKUP($B794+IF($C794=12,1,0),Paraméterek!$V$257:$W$262,2),IF($B794=1,1,VLOOKUP($B794+IF($C794=12,1,0),Paraméterek!$I$258:$T$278,HLOOKUP($M$11+1,Paraméterek!$J$256:$T$257,2)))),IF($D$4="Forint",0,2))&gt;$N794-$P794-$Q794+$S794-$T794-IF($D$4="Forint",Paraméterek!$C$216,Paraméterek!$D$216),0,ROUNDUP(IF(ISBLANK($V794),$U794*0,$V794)/IF($D$2="Egyszeri",VLOOKUP($B794+IF($C794=12,1,0),Paraméterek!$V$257:$W$262,2),IF($B794=1,1,VLOOKUP($B794+IF($C794=12,1,0),Paraméterek!$I$258:$T$278,HLOOKUP($M$11+1,Paraméterek!$J$256:$T$257,2)))),IF($D$4="Forint",0,2)))</f>
        <v>#N/A</v>
      </c>
      <c r="X794" s="13" t="e">
        <f ca="1">ROUNDDOWN($W794*IF($D$2="Egyszeri",VLOOKUP($B794+IF($C794=12,1,0),Paraméterek!$V$257:$W$262,2),VLOOKUP($B794+IF($C794=12,1,0),Paraméterek!$I$258:$T$278,HLOOKUP($M$11+1,Paraméterek!$I$256:$T$257,2))),IF($D$4="Forint",0,2))</f>
        <v>#N/A</v>
      </c>
      <c r="Z794" s="32">
        <v>775</v>
      </c>
      <c r="AA794" s="32">
        <v>65</v>
      </c>
      <c r="AB794" s="32">
        <v>7</v>
      </c>
      <c r="AC794" s="13">
        <f t="shared" ca="1" si="280"/>
        <v>0</v>
      </c>
      <c r="AD794" s="33"/>
      <c r="AE794" s="13">
        <f t="shared" ca="1" si="272"/>
        <v>0</v>
      </c>
      <c r="AF794" s="13">
        <f ca="1">ROUNDUP(($AC794+$AE794)*VLOOKUP($AA794,Paraméterek!$P$38:$Q$38,2)/12*IF($D795="Nem",IF($M$13=0,1,$M$13),1),IF($D$4="Forint",0,2))</f>
        <v>0</v>
      </c>
      <c r="AG794" s="13">
        <f ca="1">IF($D$2="Egyszeri",IF($D$7&gt;=IF($D$4="Forint",Paraméterek!$P$223,Paraméterek!$P$224),$D$7-IF($D$4="Forint",Paraméterek!$P$223,Paraméterek!$P$224),0),MIN(IF($AB794=12,AVERAGEIF($E$20:$E794,"&gt;0",$E$20:$E794)*12,0),SUM($E$20:$E$31)))</f>
        <v>0</v>
      </c>
      <c r="AH794" s="13">
        <f>IF($AA794=10,$AG794*IF($AB794=12,IF($AG794&lt;IF($D$4="Forint",Paraméterek!$L$223,Paraméterek!$L$224),0,VLOOKUP($AA794,Paraméterek!$K$226:$M$228,IF($AG794&lt;IF($D$4="Forint",Paraméterek!$M$223,Paraméterek!$M$224),2,3))),0),0)</f>
        <v>0</v>
      </c>
      <c r="AI794" s="13">
        <f ca="1">IF(AND($AA794=$M$11+1,$AB794=$M$12+1),SUMIF($AA$20:$AA$1027,$AA794,$AG$20:$AG$1027)*IF(SUMIF($AA$20:$AA$1027,$AA794,$AG$20:$AG$1027)&lt;IF($D$4="Forint",Paraméterek!$L$223,Paraméterek!$L$224),0,VLOOKUP($AA794,Paraméterek!$K$230:$M$250,IF(SUMIF($AA$20:$AA$1027,$AA794,$AG$20:$AG$1027)&lt;IF($D$4="Forint",Paraméterek!$M$223,Paraméterek!$M$224),2,3))),0)</f>
        <v>0</v>
      </c>
      <c r="AJ794" s="13">
        <f ca="1">IF(AND($AA794&gt;=5,MOD($AA794,5)=0),IF($AB794=12,VLOOKUP($AA794,Paraméterek!$O$225:$P$240,2),0),IF(OR($AA794=3,$AA794=4),IF($AB794=12,VLOOKUP($AA794,Paraméterek!$O$225:$P$240,2,0),0),0))*$AG794</f>
        <v>0</v>
      </c>
      <c r="AK794" s="13">
        <f t="shared" ca="1" si="273"/>
        <v>0</v>
      </c>
      <c r="AL794" s="13">
        <f t="shared" ca="1" si="281"/>
        <v>0</v>
      </c>
      <c r="AM794" s="13">
        <f t="shared" ca="1" si="282"/>
        <v>0</v>
      </c>
      <c r="AO794" s="32">
        <v>775</v>
      </c>
      <c r="AP794" s="32">
        <v>65</v>
      </c>
      <c r="AQ794" s="32">
        <v>7</v>
      </c>
      <c r="AR794" s="13"/>
      <c r="AS794" s="32"/>
      <c r="AT794" s="13">
        <f t="shared" ca="1" si="283"/>
        <v>0</v>
      </c>
      <c r="AU794" s="33"/>
      <c r="AV794" s="13">
        <f t="shared" ca="1" si="274"/>
        <v>0</v>
      </c>
      <c r="AW794" s="13">
        <f ca="1">ROUNDUP(($AT794+$AV794)*VLOOKUP($AP794,Paraméterek!$P$38:$Q$38,2)/12*IF($D795="Nem",IF($M$13=0,1,$M$13),1),IF($D$4="Forint",0,2))</f>
        <v>0</v>
      </c>
      <c r="AX794" s="13"/>
      <c r="AY794" s="13"/>
      <c r="AZ794" s="13">
        <f>ROUNDUP(IF(SUM($AX794:$AY794)=0,0,IF(IF(ISBLANK($AY794),$AX794,$AY794)*Paraméterek!$J$112&lt;IF($D$4="Forint",Paraméterek!$J$113,Paraméterek!$K$113),IF($D$4="Forint",Paraméterek!$J$113,Paraméterek!$K$113),IF(IF(ISBLANK($AY794),$AX794,$AY794)*Paraméterek!$J$112&gt;IF($D$4="Forint",Paraméterek!$J$114,Paraméterek!$K$114),IF($D$4="Forint",Paraméterek!$J$114,Paraméterek!$K$114),IF(ISBLANK($AY794),$AX794,$AY794)*Paraméterek!$J$112))),IF($D$4="Forint",0,2))</f>
        <v>0</v>
      </c>
      <c r="BA794" s="13">
        <f ca="1">$AT794+$AV794-$AW794-IF(ROUNDDOWN(IF(ISBLANK($AY794),$AX794,$AY794),IF($D$4="Forint",0,2))&gt;$AT794+$AV794-$AW794-IF($D$4="Forint",Paraméterek!$J$114,Paraméterek!$K$114),0,ROUNDDOWN(IF(ISBLANK($AY794),$AX794,$AY794),IF($D$4="Forint",0,2))-$AZ794)</f>
        <v>0</v>
      </c>
      <c r="BB794" s="13">
        <f t="shared" ca="1" si="275"/>
        <v>0</v>
      </c>
      <c r="BD794" s="32">
        <v>775</v>
      </c>
      <c r="BE794" s="32">
        <v>65</v>
      </c>
      <c r="BF794" s="32">
        <v>7</v>
      </c>
      <c r="BG794" s="34">
        <f t="shared" ca="1" si="284"/>
        <v>2083</v>
      </c>
      <c r="BH794" s="32" t="str">
        <f ca="1">IF(MOD(MONTH($D$14)+$BD794-1,12)=Paraméterek!$C$288,"Igen","")</f>
        <v/>
      </c>
      <c r="BI794" s="13">
        <f ca="1">IF($BH794="Igen",MIN(ROUNDDOWN((SUMIF($BG$20:$BG$1027,$BG794-1,$K$20:$K$1027)-SUMIF($BG$20:$BG$1027,$BG794-1,$I$20:$I$1027))*Paraméterek!$C$289,IF($D$4="Forint",0,2)),IF($D$4="Forint",Paraméterek!$C$285,Paraméterek!$D$285)),0)</f>
        <v>0</v>
      </c>
      <c r="BJ794" s="13">
        <f t="shared" ca="1" si="276"/>
        <v>0</v>
      </c>
      <c r="BK794" s="13">
        <f t="shared" ca="1" si="285"/>
        <v>0</v>
      </c>
      <c r="BL794" s="33"/>
      <c r="BM794" s="13">
        <f t="shared" ca="1" si="277"/>
        <v>0</v>
      </c>
      <c r="BN794" s="13">
        <f ca="1">ROUNDUP(($BK794+$BM794)*VLOOKUP($BE794,Paraméterek!$P$38:$Q$38,2)/12*IF($D795="Nem",IF($M$13=0,1,$M$13),1),IF($D$4="Forint",0,2))</f>
        <v>0</v>
      </c>
      <c r="BO794" s="13">
        <f t="shared" ca="1" si="278"/>
        <v>0</v>
      </c>
      <c r="BP794" s="13">
        <f ca="1">IF($D795="Nem",$BO794,$BO794-ROUNDUP(SUM($BI$20:$BI794)*120%,IF($D$4="Forint",0,2)))</f>
        <v>0</v>
      </c>
    </row>
    <row r="795" spans="1:68" x14ac:dyDescent="0.2">
      <c r="A795" s="32">
        <v>776</v>
      </c>
      <c r="B795" s="32">
        <v>65</v>
      </c>
      <c r="C795" s="32">
        <v>8</v>
      </c>
      <c r="D795" s="32" t="str">
        <f t="shared" ca="1" si="264"/>
        <v>Nem</v>
      </c>
      <c r="E795" s="13">
        <f t="shared" ca="1" si="265"/>
        <v>0</v>
      </c>
      <c r="F795" s="13"/>
      <c r="G795" s="13"/>
      <c r="H795" s="13"/>
      <c r="I795" s="13">
        <f t="shared" ca="1" si="266"/>
        <v>0</v>
      </c>
      <c r="J795" s="13">
        <f t="shared" ca="1" si="267"/>
        <v>0</v>
      </c>
      <c r="K795" s="13">
        <f t="shared" ca="1" si="268"/>
        <v>0</v>
      </c>
      <c r="L795" s="13" t="e">
        <f ca="1">ROUNDUP(IF($D$2="Egyszeri",$E795,IF($D$2="Havi",SUM($E$20:$E$31),IF(MOD($C795,$M$1)-1=0,SUM($E$20:$E$31),0))/12*$M$1)*VLOOKUP($B795,Paraméterek!$I$28:$P$31,IF($D$2="Egyszeri",8,HLOOKUP(ROUNDUP($M$11+$M$13,0),Paraméterek!$J$26:$O$27,2))),IF($D$4="Forint",0,2))</f>
        <v>#N/A</v>
      </c>
      <c r="M795" s="13">
        <f t="shared" ca="1" si="269"/>
        <v>0</v>
      </c>
      <c r="N795" s="13">
        <f t="shared" ca="1" si="279"/>
        <v>0</v>
      </c>
      <c r="O795" s="13">
        <f ca="1">IF($D795="Igen",IF($W794&gt;=IF($D$4="Forint",Paraméterek!$J$121,Paraméterek!$K$121),0,IF($D$4="Forint",Paraméterek!$J$121,Paraméterek!$K$121)-$W794),0)</f>
        <v>0</v>
      </c>
      <c r="P795" s="13" t="e">
        <f ca="1">ROUNDUP($O795*VLOOKUP($M$4+$B795-1,Paraméterek!$H$58:$I$105,2,0)/Paraméterek!$I$56,IF($D$4="Forint",0,2))</f>
        <v>#N/A</v>
      </c>
      <c r="Q795" s="13">
        <f t="shared" ca="1" si="270"/>
        <v>0</v>
      </c>
      <c r="R795" s="33"/>
      <c r="S795" s="13" t="e">
        <f t="shared" ca="1" si="271"/>
        <v>#N/A</v>
      </c>
      <c r="T795" s="13" t="e">
        <f ca="1">ROUNDUP(($N795-$P795-$Q795+$S795)*VLOOKUP($B795,Paraméterek!$I$38:$K$39,IF($D$2="Egyszeri",3,2))/12*IF($D796="Nem",IF($M$13=0,1,$M$13),1),IF($D$4="Forint",0,2))</f>
        <v>#N/A</v>
      </c>
      <c r="U795" s="13"/>
      <c r="V795" s="13"/>
      <c r="W795" s="13" t="e">
        <f ca="1">$N795-$P795-$Q795+$S795-$T795-IF(ROUNDUP(IF(ISBLANK($V795),$U795*0,$V795)/IF($D$2="Egyszeri",VLOOKUP($B795+IF($C795=12,1,0),Paraméterek!$V$257:$W$262,2),IF($B795=1,1,VLOOKUP($B795+IF($C795=12,1,0),Paraméterek!$I$258:$T$278,HLOOKUP($M$11+1,Paraméterek!$J$256:$T$257,2)))),IF($D$4="Forint",0,2))&gt;$N795-$P795-$Q795+$S795-$T795-IF($D$4="Forint",Paraméterek!$C$216,Paraméterek!$D$216),0,ROUNDUP(IF(ISBLANK($V795),$U795*0,$V795)/IF($D$2="Egyszeri",VLOOKUP($B795+IF($C795=12,1,0),Paraméterek!$V$257:$W$262,2),IF($B795=1,1,VLOOKUP($B795+IF($C795=12,1,0),Paraméterek!$I$258:$T$278,HLOOKUP($M$11+1,Paraméterek!$J$256:$T$257,2)))),IF($D$4="Forint",0,2)))</f>
        <v>#N/A</v>
      </c>
      <c r="X795" s="13" t="e">
        <f ca="1">ROUNDDOWN($W795*IF($D$2="Egyszeri",VLOOKUP($B795+IF($C795=12,1,0),Paraméterek!$V$257:$W$262,2),VLOOKUP($B795+IF($C795=12,1,0),Paraméterek!$I$258:$T$278,HLOOKUP($M$11+1,Paraméterek!$I$256:$T$257,2))),IF($D$4="Forint",0,2))</f>
        <v>#N/A</v>
      </c>
      <c r="Z795" s="32">
        <v>776</v>
      </c>
      <c r="AA795" s="32">
        <v>65</v>
      </c>
      <c r="AB795" s="32">
        <v>8</v>
      </c>
      <c r="AC795" s="13">
        <f t="shared" ca="1" si="280"/>
        <v>0</v>
      </c>
      <c r="AD795" s="33"/>
      <c r="AE795" s="13">
        <f t="shared" ca="1" si="272"/>
        <v>0</v>
      </c>
      <c r="AF795" s="13">
        <f ca="1">ROUNDUP(($AC795+$AE795)*VLOOKUP($AA795,Paraméterek!$P$38:$Q$38,2)/12*IF($D796="Nem",IF($M$13=0,1,$M$13),1),IF($D$4="Forint",0,2))</f>
        <v>0</v>
      </c>
      <c r="AG795" s="13">
        <f ca="1">IF($D$2="Egyszeri",IF($D$7&gt;=IF($D$4="Forint",Paraméterek!$P$223,Paraméterek!$P$224),$D$7-IF($D$4="Forint",Paraméterek!$P$223,Paraméterek!$P$224),0),MIN(IF($AB795=12,AVERAGEIF($E$20:$E795,"&gt;0",$E$20:$E795)*12,0),SUM($E$20:$E$31)))</f>
        <v>0</v>
      </c>
      <c r="AH795" s="13">
        <f>IF($AA795=10,$AG795*IF($AB795=12,IF($AG795&lt;IF($D$4="Forint",Paraméterek!$L$223,Paraméterek!$L$224),0,VLOOKUP($AA795,Paraméterek!$K$226:$M$228,IF($AG795&lt;IF($D$4="Forint",Paraméterek!$M$223,Paraméterek!$M$224),2,3))),0),0)</f>
        <v>0</v>
      </c>
      <c r="AI795" s="13">
        <f ca="1">IF(AND($AA795=$M$11+1,$AB795=$M$12+1),SUMIF($AA$20:$AA$1027,$AA795,$AG$20:$AG$1027)*IF(SUMIF($AA$20:$AA$1027,$AA795,$AG$20:$AG$1027)&lt;IF($D$4="Forint",Paraméterek!$L$223,Paraméterek!$L$224),0,VLOOKUP($AA795,Paraméterek!$K$230:$M$250,IF(SUMIF($AA$20:$AA$1027,$AA795,$AG$20:$AG$1027)&lt;IF($D$4="Forint",Paraméterek!$M$223,Paraméterek!$M$224),2,3))),0)</f>
        <v>0</v>
      </c>
      <c r="AJ795" s="13">
        <f ca="1">IF(AND($AA795&gt;=5,MOD($AA795,5)=0),IF($AB795=12,VLOOKUP($AA795,Paraméterek!$O$225:$P$240,2),0),IF(OR($AA795=3,$AA795=4),IF($AB795=12,VLOOKUP($AA795,Paraméterek!$O$225:$P$240,2,0),0),0))*$AG795</f>
        <v>0</v>
      </c>
      <c r="AK795" s="13">
        <f t="shared" ca="1" si="273"/>
        <v>0</v>
      </c>
      <c r="AL795" s="13">
        <f t="shared" ca="1" si="281"/>
        <v>0</v>
      </c>
      <c r="AM795" s="13">
        <f t="shared" ca="1" si="282"/>
        <v>0</v>
      </c>
      <c r="AO795" s="32">
        <v>776</v>
      </c>
      <c r="AP795" s="32">
        <v>65</v>
      </c>
      <c r="AQ795" s="32">
        <v>8</v>
      </c>
      <c r="AR795" s="13"/>
      <c r="AS795" s="32"/>
      <c r="AT795" s="13">
        <f t="shared" ca="1" si="283"/>
        <v>0</v>
      </c>
      <c r="AU795" s="33"/>
      <c r="AV795" s="13">
        <f t="shared" ca="1" si="274"/>
        <v>0</v>
      </c>
      <c r="AW795" s="13">
        <f ca="1">ROUNDUP(($AT795+$AV795)*VLOOKUP($AP795,Paraméterek!$P$38:$Q$38,2)/12*IF($D796="Nem",IF($M$13=0,1,$M$13),1),IF($D$4="Forint",0,2))</f>
        <v>0</v>
      </c>
      <c r="AX795" s="13"/>
      <c r="AY795" s="13"/>
      <c r="AZ795" s="13">
        <f>ROUNDUP(IF(SUM($AX795:$AY795)=0,0,IF(IF(ISBLANK($AY795),$AX795,$AY795)*Paraméterek!$J$112&lt;IF($D$4="Forint",Paraméterek!$J$113,Paraméterek!$K$113),IF($D$4="Forint",Paraméterek!$J$113,Paraméterek!$K$113),IF(IF(ISBLANK($AY795),$AX795,$AY795)*Paraméterek!$J$112&gt;IF($D$4="Forint",Paraméterek!$J$114,Paraméterek!$K$114),IF($D$4="Forint",Paraméterek!$J$114,Paraméterek!$K$114),IF(ISBLANK($AY795),$AX795,$AY795)*Paraméterek!$J$112))),IF($D$4="Forint",0,2))</f>
        <v>0</v>
      </c>
      <c r="BA795" s="13">
        <f ca="1">$AT795+$AV795-$AW795-IF(ROUNDDOWN(IF(ISBLANK($AY795),$AX795,$AY795),IF($D$4="Forint",0,2))&gt;$AT795+$AV795-$AW795-IF($D$4="Forint",Paraméterek!$J$114,Paraméterek!$K$114),0,ROUNDDOWN(IF(ISBLANK($AY795),$AX795,$AY795),IF($D$4="Forint",0,2))-$AZ795)</f>
        <v>0</v>
      </c>
      <c r="BB795" s="13">
        <f t="shared" ca="1" si="275"/>
        <v>0</v>
      </c>
      <c r="BD795" s="32">
        <v>776</v>
      </c>
      <c r="BE795" s="32">
        <v>65</v>
      </c>
      <c r="BF795" s="32">
        <v>8</v>
      </c>
      <c r="BG795" s="34">
        <f t="shared" ca="1" si="284"/>
        <v>2084</v>
      </c>
      <c r="BH795" s="32" t="str">
        <f ca="1">IF(MOD(MONTH($D$14)+$BD795-1,12)=Paraméterek!$C$288,"Igen","")</f>
        <v/>
      </c>
      <c r="BI795" s="13">
        <f ca="1">IF($BH795="Igen",MIN(ROUNDDOWN((SUMIF($BG$20:$BG$1027,$BG795-1,$K$20:$K$1027)-SUMIF($BG$20:$BG$1027,$BG795-1,$I$20:$I$1027))*Paraméterek!$C$289,IF($D$4="Forint",0,2)),IF($D$4="Forint",Paraméterek!$C$285,Paraméterek!$D$285)),0)</f>
        <v>0</v>
      </c>
      <c r="BJ795" s="13">
        <f t="shared" ca="1" si="276"/>
        <v>0</v>
      </c>
      <c r="BK795" s="13">
        <f t="shared" ca="1" si="285"/>
        <v>0</v>
      </c>
      <c r="BL795" s="33"/>
      <c r="BM795" s="13">
        <f t="shared" ca="1" si="277"/>
        <v>0</v>
      </c>
      <c r="BN795" s="13">
        <f ca="1">ROUNDUP(($BK795+$BM795)*VLOOKUP($BE795,Paraméterek!$P$38:$Q$38,2)/12*IF($D796="Nem",IF($M$13=0,1,$M$13),1),IF($D$4="Forint",0,2))</f>
        <v>0</v>
      </c>
      <c r="BO795" s="13">
        <f t="shared" ca="1" si="278"/>
        <v>0</v>
      </c>
      <c r="BP795" s="13">
        <f ca="1">IF($D796="Nem",$BO795,$BO795-ROUNDUP(SUM($BI$20:$BI795)*120%,IF($D$4="Forint",0,2)))</f>
        <v>0</v>
      </c>
    </row>
    <row r="796" spans="1:68" x14ac:dyDescent="0.2">
      <c r="A796" s="32">
        <v>777</v>
      </c>
      <c r="B796" s="32">
        <v>65</v>
      </c>
      <c r="C796" s="32">
        <v>9</v>
      </c>
      <c r="D796" s="32" t="str">
        <f t="shared" ca="1" si="264"/>
        <v>Nem</v>
      </c>
      <c r="E796" s="13">
        <f t="shared" ca="1" si="265"/>
        <v>0</v>
      </c>
      <c r="F796" s="13"/>
      <c r="G796" s="13"/>
      <c r="H796" s="13"/>
      <c r="I796" s="13">
        <f t="shared" ca="1" si="266"/>
        <v>0</v>
      </c>
      <c r="J796" s="13">
        <f t="shared" ca="1" si="267"/>
        <v>0</v>
      </c>
      <c r="K796" s="13">
        <f t="shared" ca="1" si="268"/>
        <v>0</v>
      </c>
      <c r="L796" s="13" t="e">
        <f ca="1">ROUNDUP(IF($D$2="Egyszeri",$E796,IF($D$2="Havi",SUM($E$20:$E$31),IF(MOD($C796,$M$1)-1=0,SUM($E$20:$E$31),0))/12*$M$1)*VLOOKUP($B796,Paraméterek!$I$28:$P$31,IF($D$2="Egyszeri",8,HLOOKUP(ROUNDUP($M$11+$M$13,0),Paraméterek!$J$26:$O$27,2))),IF($D$4="Forint",0,2))</f>
        <v>#N/A</v>
      </c>
      <c r="M796" s="13">
        <f t="shared" ca="1" si="269"/>
        <v>0</v>
      </c>
      <c r="N796" s="13">
        <f t="shared" ca="1" si="279"/>
        <v>0</v>
      </c>
      <c r="O796" s="13">
        <f ca="1">IF($D796="Igen",IF($W795&gt;=IF($D$4="Forint",Paraméterek!$J$121,Paraméterek!$K$121),0,IF($D$4="Forint",Paraméterek!$J$121,Paraméterek!$K$121)-$W795),0)</f>
        <v>0</v>
      </c>
      <c r="P796" s="13" t="e">
        <f ca="1">ROUNDUP($O796*VLOOKUP($M$4+$B796-1,Paraméterek!$H$58:$I$105,2,0)/Paraméterek!$I$56,IF($D$4="Forint",0,2))</f>
        <v>#N/A</v>
      </c>
      <c r="Q796" s="13">
        <f t="shared" ca="1" si="270"/>
        <v>0</v>
      </c>
      <c r="R796" s="33"/>
      <c r="S796" s="13" t="e">
        <f t="shared" ca="1" si="271"/>
        <v>#N/A</v>
      </c>
      <c r="T796" s="13" t="e">
        <f ca="1">ROUNDUP(($N796-$P796-$Q796+$S796)*VLOOKUP($B796,Paraméterek!$I$38:$K$39,IF($D$2="Egyszeri",3,2))/12*IF($D797="Nem",IF($M$13=0,1,$M$13),1),IF($D$4="Forint",0,2))</f>
        <v>#N/A</v>
      </c>
      <c r="U796" s="13"/>
      <c r="V796" s="13"/>
      <c r="W796" s="13" t="e">
        <f ca="1">$N796-$P796-$Q796+$S796-$T796-IF(ROUNDUP(IF(ISBLANK($V796),$U796*0,$V796)/IF($D$2="Egyszeri",VLOOKUP($B796+IF($C796=12,1,0),Paraméterek!$V$257:$W$262,2),IF($B796=1,1,VLOOKUP($B796+IF($C796=12,1,0),Paraméterek!$I$258:$T$278,HLOOKUP($M$11+1,Paraméterek!$J$256:$T$257,2)))),IF($D$4="Forint",0,2))&gt;$N796-$P796-$Q796+$S796-$T796-IF($D$4="Forint",Paraméterek!$C$216,Paraméterek!$D$216),0,ROUNDUP(IF(ISBLANK($V796),$U796*0,$V796)/IF($D$2="Egyszeri",VLOOKUP($B796+IF($C796=12,1,0),Paraméterek!$V$257:$W$262,2),IF($B796=1,1,VLOOKUP($B796+IF($C796=12,1,0),Paraméterek!$I$258:$T$278,HLOOKUP($M$11+1,Paraméterek!$J$256:$T$257,2)))),IF($D$4="Forint",0,2)))</f>
        <v>#N/A</v>
      </c>
      <c r="X796" s="13" t="e">
        <f ca="1">ROUNDDOWN($W796*IF($D$2="Egyszeri",VLOOKUP($B796+IF($C796=12,1,0),Paraméterek!$V$257:$W$262,2),VLOOKUP($B796+IF($C796=12,1,0),Paraméterek!$I$258:$T$278,HLOOKUP($M$11+1,Paraméterek!$I$256:$T$257,2))),IF($D$4="Forint",0,2))</f>
        <v>#N/A</v>
      </c>
      <c r="Z796" s="32">
        <v>777</v>
      </c>
      <c r="AA796" s="32">
        <v>65</v>
      </c>
      <c r="AB796" s="32">
        <v>9</v>
      </c>
      <c r="AC796" s="13">
        <f t="shared" ca="1" si="280"/>
        <v>0</v>
      </c>
      <c r="AD796" s="33"/>
      <c r="AE796" s="13">
        <f t="shared" ca="1" si="272"/>
        <v>0</v>
      </c>
      <c r="AF796" s="13">
        <f ca="1">ROUNDUP(($AC796+$AE796)*VLOOKUP($AA796,Paraméterek!$P$38:$Q$38,2)/12*IF($D797="Nem",IF($M$13=0,1,$M$13),1),IF($D$4="Forint",0,2))</f>
        <v>0</v>
      </c>
      <c r="AG796" s="13">
        <f ca="1">IF($D$2="Egyszeri",IF($D$7&gt;=IF($D$4="Forint",Paraméterek!$P$223,Paraméterek!$P$224),$D$7-IF($D$4="Forint",Paraméterek!$P$223,Paraméterek!$P$224),0),MIN(IF($AB796=12,AVERAGEIF($E$20:$E796,"&gt;0",$E$20:$E796)*12,0),SUM($E$20:$E$31)))</f>
        <v>0</v>
      </c>
      <c r="AH796" s="13">
        <f>IF($AA796=10,$AG796*IF($AB796=12,IF($AG796&lt;IF($D$4="Forint",Paraméterek!$L$223,Paraméterek!$L$224),0,VLOOKUP($AA796,Paraméterek!$K$226:$M$228,IF($AG796&lt;IF($D$4="Forint",Paraméterek!$M$223,Paraméterek!$M$224),2,3))),0),0)</f>
        <v>0</v>
      </c>
      <c r="AI796" s="13">
        <f ca="1">IF(AND($AA796=$M$11+1,$AB796=$M$12+1),SUMIF($AA$20:$AA$1027,$AA796,$AG$20:$AG$1027)*IF(SUMIF($AA$20:$AA$1027,$AA796,$AG$20:$AG$1027)&lt;IF($D$4="Forint",Paraméterek!$L$223,Paraméterek!$L$224),0,VLOOKUP($AA796,Paraméterek!$K$230:$M$250,IF(SUMIF($AA$20:$AA$1027,$AA796,$AG$20:$AG$1027)&lt;IF($D$4="Forint",Paraméterek!$M$223,Paraméterek!$M$224),2,3))),0)</f>
        <v>0</v>
      </c>
      <c r="AJ796" s="13">
        <f ca="1">IF(AND($AA796&gt;=5,MOD($AA796,5)=0),IF($AB796=12,VLOOKUP($AA796,Paraméterek!$O$225:$P$240,2),0),IF(OR($AA796=3,$AA796=4),IF($AB796=12,VLOOKUP($AA796,Paraméterek!$O$225:$P$240,2,0),0),0))*$AG796</f>
        <v>0</v>
      </c>
      <c r="AK796" s="13">
        <f t="shared" ca="1" si="273"/>
        <v>0</v>
      </c>
      <c r="AL796" s="13">
        <f t="shared" ca="1" si="281"/>
        <v>0</v>
      </c>
      <c r="AM796" s="13">
        <f t="shared" ca="1" si="282"/>
        <v>0</v>
      </c>
      <c r="AO796" s="32">
        <v>777</v>
      </c>
      <c r="AP796" s="32">
        <v>65</v>
      </c>
      <c r="AQ796" s="32">
        <v>9</v>
      </c>
      <c r="AR796" s="13"/>
      <c r="AS796" s="32"/>
      <c r="AT796" s="13">
        <f t="shared" ca="1" si="283"/>
        <v>0</v>
      </c>
      <c r="AU796" s="33"/>
      <c r="AV796" s="13">
        <f t="shared" ca="1" si="274"/>
        <v>0</v>
      </c>
      <c r="AW796" s="13">
        <f ca="1">ROUNDUP(($AT796+$AV796)*VLOOKUP($AP796,Paraméterek!$P$38:$Q$38,2)/12*IF($D797="Nem",IF($M$13=0,1,$M$13),1),IF($D$4="Forint",0,2))</f>
        <v>0</v>
      </c>
      <c r="AX796" s="13"/>
      <c r="AY796" s="13"/>
      <c r="AZ796" s="13">
        <f>ROUNDUP(IF(SUM($AX796:$AY796)=0,0,IF(IF(ISBLANK($AY796),$AX796,$AY796)*Paraméterek!$J$112&lt;IF($D$4="Forint",Paraméterek!$J$113,Paraméterek!$K$113),IF($D$4="Forint",Paraméterek!$J$113,Paraméterek!$K$113),IF(IF(ISBLANK($AY796),$AX796,$AY796)*Paraméterek!$J$112&gt;IF($D$4="Forint",Paraméterek!$J$114,Paraméterek!$K$114),IF($D$4="Forint",Paraméterek!$J$114,Paraméterek!$K$114),IF(ISBLANK($AY796),$AX796,$AY796)*Paraméterek!$J$112))),IF($D$4="Forint",0,2))</f>
        <v>0</v>
      </c>
      <c r="BA796" s="13">
        <f ca="1">$AT796+$AV796-$AW796-IF(ROUNDDOWN(IF(ISBLANK($AY796),$AX796,$AY796),IF($D$4="Forint",0,2))&gt;$AT796+$AV796-$AW796-IF($D$4="Forint",Paraméterek!$J$114,Paraméterek!$K$114),0,ROUNDDOWN(IF(ISBLANK($AY796),$AX796,$AY796),IF($D$4="Forint",0,2))-$AZ796)</f>
        <v>0</v>
      </c>
      <c r="BB796" s="13">
        <f t="shared" ca="1" si="275"/>
        <v>0</v>
      </c>
      <c r="BD796" s="32">
        <v>777</v>
      </c>
      <c r="BE796" s="32">
        <v>65</v>
      </c>
      <c r="BF796" s="32">
        <v>9</v>
      </c>
      <c r="BG796" s="34">
        <f t="shared" ca="1" si="284"/>
        <v>2084</v>
      </c>
      <c r="BH796" s="32" t="str">
        <f ca="1">IF(MOD(MONTH($D$14)+$BD796-1,12)=Paraméterek!$C$288,"Igen","")</f>
        <v/>
      </c>
      <c r="BI796" s="13">
        <f ca="1">IF($BH796="Igen",MIN(ROUNDDOWN((SUMIF($BG$20:$BG$1027,$BG796-1,$K$20:$K$1027)-SUMIF($BG$20:$BG$1027,$BG796-1,$I$20:$I$1027))*Paraméterek!$C$289,IF($D$4="Forint",0,2)),IF($D$4="Forint",Paraméterek!$C$285,Paraméterek!$D$285)),0)</f>
        <v>0</v>
      </c>
      <c r="BJ796" s="13">
        <f t="shared" ca="1" si="276"/>
        <v>0</v>
      </c>
      <c r="BK796" s="13">
        <f t="shared" ca="1" si="285"/>
        <v>0</v>
      </c>
      <c r="BL796" s="33"/>
      <c r="BM796" s="13">
        <f t="shared" ca="1" si="277"/>
        <v>0</v>
      </c>
      <c r="BN796" s="13">
        <f ca="1">ROUNDUP(($BK796+$BM796)*VLOOKUP($BE796,Paraméterek!$P$38:$Q$38,2)/12*IF($D797="Nem",IF($M$13=0,1,$M$13),1),IF($D$4="Forint",0,2))</f>
        <v>0</v>
      </c>
      <c r="BO796" s="13">
        <f t="shared" ca="1" si="278"/>
        <v>0</v>
      </c>
      <c r="BP796" s="13">
        <f ca="1">IF($D797="Nem",$BO796,$BO796-ROUNDUP(SUM($BI$20:$BI796)*120%,IF($D$4="Forint",0,2)))</f>
        <v>0</v>
      </c>
    </row>
    <row r="797" spans="1:68" x14ac:dyDescent="0.2">
      <c r="A797" s="32">
        <v>778</v>
      </c>
      <c r="B797" s="32">
        <v>65</v>
      </c>
      <c r="C797" s="32">
        <v>10</v>
      </c>
      <c r="D797" s="32" t="str">
        <f t="shared" ca="1" si="264"/>
        <v>Nem</v>
      </c>
      <c r="E797" s="13">
        <f t="shared" ca="1" si="265"/>
        <v>0</v>
      </c>
      <c r="F797" s="13"/>
      <c r="G797" s="13"/>
      <c r="H797" s="13"/>
      <c r="I797" s="13">
        <f t="shared" ca="1" si="266"/>
        <v>0</v>
      </c>
      <c r="J797" s="13">
        <f t="shared" ca="1" si="267"/>
        <v>0</v>
      </c>
      <c r="K797" s="13">
        <f t="shared" ca="1" si="268"/>
        <v>0</v>
      </c>
      <c r="L797" s="13" t="e">
        <f ca="1">ROUNDUP(IF($D$2="Egyszeri",$E797,IF($D$2="Havi",SUM($E$20:$E$31),IF(MOD($C797,$M$1)-1=0,SUM($E$20:$E$31),0))/12*$M$1)*VLOOKUP($B797,Paraméterek!$I$28:$P$31,IF($D$2="Egyszeri",8,HLOOKUP(ROUNDUP($M$11+$M$13,0),Paraméterek!$J$26:$O$27,2))),IF($D$4="Forint",0,2))</f>
        <v>#N/A</v>
      </c>
      <c r="M797" s="13">
        <f t="shared" ca="1" si="269"/>
        <v>0</v>
      </c>
      <c r="N797" s="13">
        <f t="shared" ca="1" si="279"/>
        <v>0</v>
      </c>
      <c r="O797" s="13">
        <f ca="1">IF($D797="Igen",IF($W796&gt;=IF($D$4="Forint",Paraméterek!$J$121,Paraméterek!$K$121),0,IF($D$4="Forint",Paraméterek!$J$121,Paraméterek!$K$121)-$W796),0)</f>
        <v>0</v>
      </c>
      <c r="P797" s="13" t="e">
        <f ca="1">ROUNDUP($O797*VLOOKUP($M$4+$B797-1,Paraméterek!$H$58:$I$105,2,0)/Paraméterek!$I$56,IF($D$4="Forint",0,2))</f>
        <v>#N/A</v>
      </c>
      <c r="Q797" s="13">
        <f t="shared" ca="1" si="270"/>
        <v>0</v>
      </c>
      <c r="R797" s="33"/>
      <c r="S797" s="13" t="e">
        <f t="shared" ca="1" si="271"/>
        <v>#N/A</v>
      </c>
      <c r="T797" s="13" t="e">
        <f ca="1">ROUNDUP(($N797-$P797-$Q797+$S797)*VLOOKUP($B797,Paraméterek!$I$38:$K$39,IF($D$2="Egyszeri",3,2))/12*IF($D798="Nem",IF($M$13=0,1,$M$13),1),IF($D$4="Forint",0,2))</f>
        <v>#N/A</v>
      </c>
      <c r="U797" s="13"/>
      <c r="V797" s="13"/>
      <c r="W797" s="13" t="e">
        <f ca="1">$N797-$P797-$Q797+$S797-$T797-IF(ROUNDUP(IF(ISBLANK($V797),$U797*0,$V797)/IF($D$2="Egyszeri",VLOOKUP($B797+IF($C797=12,1,0),Paraméterek!$V$257:$W$262,2),IF($B797=1,1,VLOOKUP($B797+IF($C797=12,1,0),Paraméterek!$I$258:$T$278,HLOOKUP($M$11+1,Paraméterek!$J$256:$T$257,2)))),IF($D$4="Forint",0,2))&gt;$N797-$P797-$Q797+$S797-$T797-IF($D$4="Forint",Paraméterek!$C$216,Paraméterek!$D$216),0,ROUNDUP(IF(ISBLANK($V797),$U797*0,$V797)/IF($D$2="Egyszeri",VLOOKUP($B797+IF($C797=12,1,0),Paraméterek!$V$257:$W$262,2),IF($B797=1,1,VLOOKUP($B797+IF($C797=12,1,0),Paraméterek!$I$258:$T$278,HLOOKUP($M$11+1,Paraméterek!$J$256:$T$257,2)))),IF($D$4="Forint",0,2)))</f>
        <v>#N/A</v>
      </c>
      <c r="X797" s="13" t="e">
        <f ca="1">ROUNDDOWN($W797*IF($D$2="Egyszeri",VLOOKUP($B797+IF($C797=12,1,0),Paraméterek!$V$257:$W$262,2),VLOOKUP($B797+IF($C797=12,1,0),Paraméterek!$I$258:$T$278,HLOOKUP($M$11+1,Paraméterek!$I$256:$T$257,2))),IF($D$4="Forint",0,2))</f>
        <v>#N/A</v>
      </c>
      <c r="Z797" s="32">
        <v>778</v>
      </c>
      <c r="AA797" s="32">
        <v>65</v>
      </c>
      <c r="AB797" s="32">
        <v>10</v>
      </c>
      <c r="AC797" s="13">
        <f t="shared" ca="1" si="280"/>
        <v>0</v>
      </c>
      <c r="AD797" s="33"/>
      <c r="AE797" s="13">
        <f t="shared" ca="1" si="272"/>
        <v>0</v>
      </c>
      <c r="AF797" s="13">
        <f ca="1">ROUNDUP(($AC797+$AE797)*VLOOKUP($AA797,Paraméterek!$P$38:$Q$38,2)/12*IF($D798="Nem",IF($M$13=0,1,$M$13),1),IF($D$4="Forint",0,2))</f>
        <v>0</v>
      </c>
      <c r="AG797" s="13">
        <f ca="1">IF($D$2="Egyszeri",IF($D$7&gt;=IF($D$4="Forint",Paraméterek!$P$223,Paraméterek!$P$224),$D$7-IF($D$4="Forint",Paraméterek!$P$223,Paraméterek!$P$224),0),MIN(IF($AB797=12,AVERAGEIF($E$20:$E797,"&gt;0",$E$20:$E797)*12,0),SUM($E$20:$E$31)))</f>
        <v>0</v>
      </c>
      <c r="AH797" s="13">
        <f>IF($AA797=10,$AG797*IF($AB797=12,IF($AG797&lt;IF($D$4="Forint",Paraméterek!$L$223,Paraméterek!$L$224),0,VLOOKUP($AA797,Paraméterek!$K$226:$M$228,IF($AG797&lt;IF($D$4="Forint",Paraméterek!$M$223,Paraméterek!$M$224),2,3))),0),0)</f>
        <v>0</v>
      </c>
      <c r="AI797" s="13">
        <f ca="1">IF(AND($AA797=$M$11+1,$AB797=$M$12+1),SUMIF($AA$20:$AA$1027,$AA797,$AG$20:$AG$1027)*IF(SUMIF($AA$20:$AA$1027,$AA797,$AG$20:$AG$1027)&lt;IF($D$4="Forint",Paraméterek!$L$223,Paraméterek!$L$224),0,VLOOKUP($AA797,Paraméterek!$K$230:$M$250,IF(SUMIF($AA$20:$AA$1027,$AA797,$AG$20:$AG$1027)&lt;IF($D$4="Forint",Paraméterek!$M$223,Paraméterek!$M$224),2,3))),0)</f>
        <v>0</v>
      </c>
      <c r="AJ797" s="13">
        <f ca="1">IF(AND($AA797&gt;=5,MOD($AA797,5)=0),IF($AB797=12,VLOOKUP($AA797,Paraméterek!$O$225:$P$240,2),0),IF(OR($AA797=3,$AA797=4),IF($AB797=12,VLOOKUP($AA797,Paraméterek!$O$225:$P$240,2,0),0),0))*$AG797</f>
        <v>0</v>
      </c>
      <c r="AK797" s="13">
        <f t="shared" ca="1" si="273"/>
        <v>0</v>
      </c>
      <c r="AL797" s="13">
        <f t="shared" ca="1" si="281"/>
        <v>0</v>
      </c>
      <c r="AM797" s="13">
        <f t="shared" ca="1" si="282"/>
        <v>0</v>
      </c>
      <c r="AO797" s="32">
        <v>778</v>
      </c>
      <c r="AP797" s="32">
        <v>65</v>
      </c>
      <c r="AQ797" s="32">
        <v>10</v>
      </c>
      <c r="AR797" s="13"/>
      <c r="AS797" s="32"/>
      <c r="AT797" s="13">
        <f t="shared" ca="1" si="283"/>
        <v>0</v>
      </c>
      <c r="AU797" s="33"/>
      <c r="AV797" s="13">
        <f t="shared" ca="1" si="274"/>
        <v>0</v>
      </c>
      <c r="AW797" s="13">
        <f ca="1">ROUNDUP(($AT797+$AV797)*VLOOKUP($AP797,Paraméterek!$P$38:$Q$38,2)/12*IF($D798="Nem",IF($M$13=0,1,$M$13),1),IF($D$4="Forint",0,2))</f>
        <v>0</v>
      </c>
      <c r="AX797" s="13"/>
      <c r="AY797" s="13"/>
      <c r="AZ797" s="13">
        <f>ROUNDUP(IF(SUM($AX797:$AY797)=0,0,IF(IF(ISBLANK($AY797),$AX797,$AY797)*Paraméterek!$J$112&lt;IF($D$4="Forint",Paraméterek!$J$113,Paraméterek!$K$113),IF($D$4="Forint",Paraméterek!$J$113,Paraméterek!$K$113),IF(IF(ISBLANK($AY797),$AX797,$AY797)*Paraméterek!$J$112&gt;IF($D$4="Forint",Paraméterek!$J$114,Paraméterek!$K$114),IF($D$4="Forint",Paraméterek!$J$114,Paraméterek!$K$114),IF(ISBLANK($AY797),$AX797,$AY797)*Paraméterek!$J$112))),IF($D$4="Forint",0,2))</f>
        <v>0</v>
      </c>
      <c r="BA797" s="13">
        <f ca="1">$AT797+$AV797-$AW797-IF(ROUNDDOWN(IF(ISBLANK($AY797),$AX797,$AY797),IF($D$4="Forint",0,2))&gt;$AT797+$AV797-$AW797-IF($D$4="Forint",Paraméterek!$J$114,Paraméterek!$K$114),0,ROUNDDOWN(IF(ISBLANK($AY797),$AX797,$AY797),IF($D$4="Forint",0,2))-$AZ797)</f>
        <v>0</v>
      </c>
      <c r="BB797" s="13">
        <f t="shared" ca="1" si="275"/>
        <v>0</v>
      </c>
      <c r="BD797" s="32">
        <v>778</v>
      </c>
      <c r="BE797" s="32">
        <v>65</v>
      </c>
      <c r="BF797" s="32">
        <v>10</v>
      </c>
      <c r="BG797" s="34">
        <f t="shared" ca="1" si="284"/>
        <v>2084</v>
      </c>
      <c r="BH797" s="32" t="str">
        <f ca="1">IF(MOD(MONTH($D$14)+$BD797-1,12)=Paraméterek!$C$288,"Igen","")</f>
        <v/>
      </c>
      <c r="BI797" s="13">
        <f ca="1">IF($BH797="Igen",MIN(ROUNDDOWN((SUMIF($BG$20:$BG$1027,$BG797-1,$K$20:$K$1027)-SUMIF($BG$20:$BG$1027,$BG797-1,$I$20:$I$1027))*Paraméterek!$C$289,IF($D$4="Forint",0,2)),IF($D$4="Forint",Paraméterek!$C$285,Paraméterek!$D$285)),0)</f>
        <v>0</v>
      </c>
      <c r="BJ797" s="13">
        <f t="shared" ca="1" si="276"/>
        <v>0</v>
      </c>
      <c r="BK797" s="13">
        <f t="shared" ca="1" si="285"/>
        <v>0</v>
      </c>
      <c r="BL797" s="33"/>
      <c r="BM797" s="13">
        <f t="shared" ca="1" si="277"/>
        <v>0</v>
      </c>
      <c r="BN797" s="13">
        <f ca="1">ROUNDUP(($BK797+$BM797)*VLOOKUP($BE797,Paraméterek!$P$38:$Q$38,2)/12*IF($D798="Nem",IF($M$13=0,1,$M$13),1),IF($D$4="Forint",0,2))</f>
        <v>0</v>
      </c>
      <c r="BO797" s="13">
        <f t="shared" ca="1" si="278"/>
        <v>0</v>
      </c>
      <c r="BP797" s="13">
        <f ca="1">IF($D798="Nem",$BO797,$BO797-ROUNDUP(SUM($BI$20:$BI797)*120%,IF($D$4="Forint",0,2)))</f>
        <v>0</v>
      </c>
    </row>
    <row r="798" spans="1:68" x14ac:dyDescent="0.2">
      <c r="A798" s="32">
        <v>779</v>
      </c>
      <c r="B798" s="32">
        <v>65</v>
      </c>
      <c r="C798" s="32">
        <v>11</v>
      </c>
      <c r="D798" s="32" t="str">
        <f t="shared" ca="1" si="264"/>
        <v>Nem</v>
      </c>
      <c r="E798" s="13">
        <f t="shared" ca="1" si="265"/>
        <v>0</v>
      </c>
      <c r="F798" s="13"/>
      <c r="G798" s="13"/>
      <c r="H798" s="13"/>
      <c r="I798" s="13">
        <f t="shared" ca="1" si="266"/>
        <v>0</v>
      </c>
      <c r="J798" s="13">
        <f t="shared" ca="1" si="267"/>
        <v>0</v>
      </c>
      <c r="K798" s="13">
        <f t="shared" ca="1" si="268"/>
        <v>0</v>
      </c>
      <c r="L798" s="13" t="e">
        <f ca="1">ROUNDUP(IF($D$2="Egyszeri",$E798,IF($D$2="Havi",SUM($E$20:$E$31),IF(MOD($C798,$M$1)-1=0,SUM($E$20:$E$31),0))/12*$M$1)*VLOOKUP($B798,Paraméterek!$I$28:$P$31,IF($D$2="Egyszeri",8,HLOOKUP(ROUNDUP($M$11+$M$13,0),Paraméterek!$J$26:$O$27,2))),IF($D$4="Forint",0,2))</f>
        <v>#N/A</v>
      </c>
      <c r="M798" s="13">
        <f t="shared" ca="1" si="269"/>
        <v>0</v>
      </c>
      <c r="N798" s="13">
        <f t="shared" ca="1" si="279"/>
        <v>0</v>
      </c>
      <c r="O798" s="13">
        <f ca="1">IF($D798="Igen",IF($W797&gt;=IF($D$4="Forint",Paraméterek!$J$121,Paraméterek!$K$121),0,IF($D$4="Forint",Paraméterek!$J$121,Paraméterek!$K$121)-$W797),0)</f>
        <v>0</v>
      </c>
      <c r="P798" s="13" t="e">
        <f ca="1">ROUNDUP($O798*VLOOKUP($M$4+$B798-1,Paraméterek!$H$58:$I$105,2,0)/Paraméterek!$I$56,IF($D$4="Forint",0,2))</f>
        <v>#N/A</v>
      </c>
      <c r="Q798" s="13">
        <f t="shared" ca="1" si="270"/>
        <v>0</v>
      </c>
      <c r="R798" s="33"/>
      <c r="S798" s="13" t="e">
        <f t="shared" ca="1" si="271"/>
        <v>#N/A</v>
      </c>
      <c r="T798" s="13" t="e">
        <f ca="1">ROUNDUP(($N798-$P798-$Q798+$S798)*VLOOKUP($B798,Paraméterek!$I$38:$K$39,IF($D$2="Egyszeri",3,2))/12*IF($D799="Nem",IF($M$13=0,1,$M$13),1),IF($D$4="Forint",0,2))</f>
        <v>#N/A</v>
      </c>
      <c r="U798" s="13"/>
      <c r="V798" s="13"/>
      <c r="W798" s="13" t="e">
        <f ca="1">$N798-$P798-$Q798+$S798-$T798-IF(ROUNDUP(IF(ISBLANK($V798),$U798*0,$V798)/IF($D$2="Egyszeri",VLOOKUP($B798+IF($C798=12,1,0),Paraméterek!$V$257:$W$262,2),IF($B798=1,1,VLOOKUP($B798+IF($C798=12,1,0),Paraméterek!$I$258:$T$278,HLOOKUP($M$11+1,Paraméterek!$J$256:$T$257,2)))),IF($D$4="Forint",0,2))&gt;$N798-$P798-$Q798+$S798-$T798-IF($D$4="Forint",Paraméterek!$C$216,Paraméterek!$D$216),0,ROUNDUP(IF(ISBLANK($V798),$U798*0,$V798)/IF($D$2="Egyszeri",VLOOKUP($B798+IF($C798=12,1,0),Paraméterek!$V$257:$W$262,2),IF($B798=1,1,VLOOKUP($B798+IF($C798=12,1,0),Paraméterek!$I$258:$T$278,HLOOKUP($M$11+1,Paraméterek!$J$256:$T$257,2)))),IF($D$4="Forint",0,2)))</f>
        <v>#N/A</v>
      </c>
      <c r="X798" s="13" t="e">
        <f ca="1">ROUNDDOWN($W798*IF($D$2="Egyszeri",VLOOKUP($B798+IF($C798=12,1,0),Paraméterek!$V$257:$W$262,2),VLOOKUP($B798+IF($C798=12,1,0),Paraméterek!$I$258:$T$278,HLOOKUP($M$11+1,Paraméterek!$I$256:$T$257,2))),IF($D$4="Forint",0,2))</f>
        <v>#N/A</v>
      </c>
      <c r="Z798" s="32">
        <v>779</v>
      </c>
      <c r="AA798" s="32">
        <v>65</v>
      </c>
      <c r="AB798" s="32">
        <v>11</v>
      </c>
      <c r="AC798" s="13">
        <f t="shared" ca="1" si="280"/>
        <v>0</v>
      </c>
      <c r="AD798" s="33"/>
      <c r="AE798" s="13">
        <f t="shared" ca="1" si="272"/>
        <v>0</v>
      </c>
      <c r="AF798" s="13">
        <f ca="1">ROUNDUP(($AC798+$AE798)*VLOOKUP($AA798,Paraméterek!$P$38:$Q$38,2)/12*IF($D799="Nem",IF($M$13=0,1,$M$13),1),IF($D$4="Forint",0,2))</f>
        <v>0</v>
      </c>
      <c r="AG798" s="13">
        <f ca="1">IF($D$2="Egyszeri",IF($D$7&gt;=IF($D$4="Forint",Paraméterek!$P$223,Paraméterek!$P$224),$D$7-IF($D$4="Forint",Paraméterek!$P$223,Paraméterek!$P$224),0),MIN(IF($AB798=12,AVERAGEIF($E$20:$E798,"&gt;0",$E$20:$E798)*12,0),SUM($E$20:$E$31)))</f>
        <v>0</v>
      </c>
      <c r="AH798" s="13">
        <f>IF($AA798=10,$AG798*IF($AB798=12,IF($AG798&lt;IF($D$4="Forint",Paraméterek!$L$223,Paraméterek!$L$224),0,VLOOKUP($AA798,Paraméterek!$K$226:$M$228,IF($AG798&lt;IF($D$4="Forint",Paraméterek!$M$223,Paraméterek!$M$224),2,3))),0),0)</f>
        <v>0</v>
      </c>
      <c r="AI798" s="13">
        <f ca="1">IF(AND($AA798=$M$11+1,$AB798=$M$12+1),SUMIF($AA$20:$AA$1027,$AA798,$AG$20:$AG$1027)*IF(SUMIF($AA$20:$AA$1027,$AA798,$AG$20:$AG$1027)&lt;IF($D$4="Forint",Paraméterek!$L$223,Paraméterek!$L$224),0,VLOOKUP($AA798,Paraméterek!$K$230:$M$250,IF(SUMIF($AA$20:$AA$1027,$AA798,$AG$20:$AG$1027)&lt;IF($D$4="Forint",Paraméterek!$M$223,Paraméterek!$M$224),2,3))),0)</f>
        <v>0</v>
      </c>
      <c r="AJ798" s="13">
        <f ca="1">IF(AND($AA798&gt;=5,MOD($AA798,5)=0),IF($AB798=12,VLOOKUP($AA798,Paraméterek!$O$225:$P$240,2),0),IF(OR($AA798=3,$AA798=4),IF($AB798=12,VLOOKUP($AA798,Paraméterek!$O$225:$P$240,2,0),0),0))*$AG798</f>
        <v>0</v>
      </c>
      <c r="AK798" s="13">
        <f t="shared" ca="1" si="273"/>
        <v>0</v>
      </c>
      <c r="AL798" s="13">
        <f t="shared" ca="1" si="281"/>
        <v>0</v>
      </c>
      <c r="AM798" s="13">
        <f t="shared" ca="1" si="282"/>
        <v>0</v>
      </c>
      <c r="AO798" s="32">
        <v>779</v>
      </c>
      <c r="AP798" s="32">
        <v>65</v>
      </c>
      <c r="AQ798" s="32">
        <v>11</v>
      </c>
      <c r="AR798" s="13"/>
      <c r="AS798" s="32"/>
      <c r="AT798" s="13">
        <f t="shared" ca="1" si="283"/>
        <v>0</v>
      </c>
      <c r="AU798" s="33"/>
      <c r="AV798" s="13">
        <f t="shared" ca="1" si="274"/>
        <v>0</v>
      </c>
      <c r="AW798" s="13">
        <f ca="1">ROUNDUP(($AT798+$AV798)*VLOOKUP($AP798,Paraméterek!$P$38:$Q$38,2)/12*IF($D799="Nem",IF($M$13=0,1,$M$13),1),IF($D$4="Forint",0,2))</f>
        <v>0</v>
      </c>
      <c r="AX798" s="13"/>
      <c r="AY798" s="13"/>
      <c r="AZ798" s="13">
        <f>ROUNDUP(IF(SUM($AX798:$AY798)=0,0,IF(IF(ISBLANK($AY798),$AX798,$AY798)*Paraméterek!$J$112&lt;IF($D$4="Forint",Paraméterek!$J$113,Paraméterek!$K$113),IF($D$4="Forint",Paraméterek!$J$113,Paraméterek!$K$113),IF(IF(ISBLANK($AY798),$AX798,$AY798)*Paraméterek!$J$112&gt;IF($D$4="Forint",Paraméterek!$J$114,Paraméterek!$K$114),IF($D$4="Forint",Paraméterek!$J$114,Paraméterek!$K$114),IF(ISBLANK($AY798),$AX798,$AY798)*Paraméterek!$J$112))),IF($D$4="Forint",0,2))</f>
        <v>0</v>
      </c>
      <c r="BA798" s="13">
        <f ca="1">$AT798+$AV798-$AW798-IF(ROUNDDOWN(IF(ISBLANK($AY798),$AX798,$AY798),IF($D$4="Forint",0,2))&gt;$AT798+$AV798-$AW798-IF($D$4="Forint",Paraméterek!$J$114,Paraméterek!$K$114),0,ROUNDDOWN(IF(ISBLANK($AY798),$AX798,$AY798),IF($D$4="Forint",0,2))-$AZ798)</f>
        <v>0</v>
      </c>
      <c r="BB798" s="13">
        <f t="shared" ca="1" si="275"/>
        <v>0</v>
      </c>
      <c r="BD798" s="32">
        <v>779</v>
      </c>
      <c r="BE798" s="32">
        <v>65</v>
      </c>
      <c r="BF798" s="32">
        <v>11</v>
      </c>
      <c r="BG798" s="34">
        <f t="shared" ca="1" si="284"/>
        <v>2084</v>
      </c>
      <c r="BH798" s="32" t="str">
        <f ca="1">IF(MOD(MONTH($D$14)+$BD798-1,12)=Paraméterek!$C$288,"Igen","")</f>
        <v/>
      </c>
      <c r="BI798" s="13">
        <f ca="1">IF($BH798="Igen",MIN(ROUNDDOWN((SUMIF($BG$20:$BG$1027,$BG798-1,$K$20:$K$1027)-SUMIF($BG$20:$BG$1027,$BG798-1,$I$20:$I$1027))*Paraméterek!$C$289,IF($D$4="Forint",0,2)),IF($D$4="Forint",Paraméterek!$C$285,Paraméterek!$D$285)),0)</f>
        <v>0</v>
      </c>
      <c r="BJ798" s="13">
        <f t="shared" ca="1" si="276"/>
        <v>0</v>
      </c>
      <c r="BK798" s="13">
        <f t="shared" ca="1" si="285"/>
        <v>0</v>
      </c>
      <c r="BL798" s="33"/>
      <c r="BM798" s="13">
        <f t="shared" ca="1" si="277"/>
        <v>0</v>
      </c>
      <c r="BN798" s="13">
        <f ca="1">ROUNDUP(($BK798+$BM798)*VLOOKUP($BE798,Paraméterek!$P$38:$Q$38,2)/12*IF($D799="Nem",IF($M$13=0,1,$M$13),1),IF($D$4="Forint",0,2))</f>
        <v>0</v>
      </c>
      <c r="BO798" s="13">
        <f t="shared" ca="1" si="278"/>
        <v>0</v>
      </c>
      <c r="BP798" s="13">
        <f ca="1">IF($D799="Nem",$BO798,$BO798-ROUNDUP(SUM($BI$20:$BI798)*120%,IF($D$4="Forint",0,2)))</f>
        <v>0</v>
      </c>
    </row>
    <row r="799" spans="1:68" x14ac:dyDescent="0.2">
      <c r="A799" s="32">
        <v>780</v>
      </c>
      <c r="B799" s="32">
        <v>65</v>
      </c>
      <c r="C799" s="32">
        <v>12</v>
      </c>
      <c r="D799" s="32" t="str">
        <f t="shared" ca="1" si="264"/>
        <v>Nem</v>
      </c>
      <c r="E799" s="13">
        <f t="shared" ca="1" si="265"/>
        <v>0</v>
      </c>
      <c r="F799" s="13"/>
      <c r="G799" s="13"/>
      <c r="H799" s="13"/>
      <c r="I799" s="13">
        <f t="shared" ca="1" si="266"/>
        <v>0</v>
      </c>
      <c r="J799" s="13">
        <f t="shared" ca="1" si="267"/>
        <v>0</v>
      </c>
      <c r="K799" s="13">
        <f t="shared" ca="1" si="268"/>
        <v>0</v>
      </c>
      <c r="L799" s="13" t="e">
        <f ca="1">ROUNDUP(IF($D$2="Egyszeri",$E799,IF($D$2="Havi",SUM($E$20:$E$31),IF(MOD($C799,$M$1)-1=0,SUM($E$20:$E$31),0))/12*$M$1)*VLOOKUP($B799,Paraméterek!$I$28:$P$31,IF($D$2="Egyszeri",8,HLOOKUP(ROUNDUP($M$11+$M$13,0),Paraméterek!$J$26:$O$27,2))),IF($D$4="Forint",0,2))</f>
        <v>#N/A</v>
      </c>
      <c r="M799" s="13">
        <f t="shared" ca="1" si="269"/>
        <v>0</v>
      </c>
      <c r="N799" s="13">
        <f t="shared" ca="1" si="279"/>
        <v>0</v>
      </c>
      <c r="O799" s="13">
        <f ca="1">IF($D799="Igen",IF($W798&gt;=IF($D$4="Forint",Paraméterek!$J$121,Paraméterek!$K$121),0,IF($D$4="Forint",Paraméterek!$J$121,Paraméterek!$K$121)-$W798),0)</f>
        <v>0</v>
      </c>
      <c r="P799" s="13" t="e">
        <f ca="1">ROUNDUP($O799*VLOOKUP($M$4+$B799-1,Paraméterek!$H$58:$I$105,2,0)/Paraméterek!$I$56,IF($D$4="Forint",0,2))</f>
        <v>#N/A</v>
      </c>
      <c r="Q799" s="13">
        <f t="shared" ca="1" si="270"/>
        <v>0</v>
      </c>
      <c r="R799" s="33"/>
      <c r="S799" s="13" t="e">
        <f t="shared" ca="1" si="271"/>
        <v>#N/A</v>
      </c>
      <c r="T799" s="13" t="e">
        <f ca="1">ROUNDUP(($N799-$P799-$Q799+$S799)*VLOOKUP($B799,Paraméterek!$I$38:$K$39,IF($D$2="Egyszeri",3,2))/12*IF($D800="Nem",IF($M$13=0,1,$M$13),1),IF($D$4="Forint",0,2))</f>
        <v>#N/A</v>
      </c>
      <c r="U799" s="13">
        <f>Tranzakciók!$F$96</f>
        <v>0</v>
      </c>
      <c r="V799" s="13"/>
      <c r="W799" s="13" t="e">
        <f ca="1">$N799-$P799-$Q799+$S799-$T799-IF(ROUNDUP(IF(ISBLANK($V799),$U799*0,$V799)/IF($D$2="Egyszeri",VLOOKUP($B799+IF($C799=12,1,0),Paraméterek!$V$257:$W$262,2),IF($B799=1,1,VLOOKUP($B799+IF($C799=12,1,0),Paraméterek!$I$258:$T$278,HLOOKUP($M$11+1,Paraméterek!$J$256:$T$257,2)))),IF($D$4="Forint",0,2))&gt;$N799-$P799-$Q799+$S799-$T799-IF($D$4="Forint",Paraméterek!$C$216,Paraméterek!$D$216),0,ROUNDUP(IF(ISBLANK($V799),$U799*0,$V799)/IF($D$2="Egyszeri",VLOOKUP($B799+IF($C799=12,1,0),Paraméterek!$V$257:$W$262,2),IF($B799=1,1,VLOOKUP($B799+IF($C799=12,1,0),Paraméterek!$I$258:$T$278,HLOOKUP($M$11+1,Paraméterek!$J$256:$T$257,2)))),IF($D$4="Forint",0,2)))</f>
        <v>#N/A</v>
      </c>
      <c r="X799" s="13" t="e">
        <f ca="1">ROUNDDOWN($W799*IF($D$2="Egyszeri",VLOOKUP($B799+IF($C799=12,1,0),Paraméterek!$V$257:$W$262,2),VLOOKUP($B799+IF($C799=12,1,0),Paraméterek!$I$258:$T$278,HLOOKUP($M$11+1,Paraméterek!$I$256:$T$257,2))),IF($D$4="Forint",0,2))</f>
        <v>#N/A</v>
      </c>
      <c r="Z799" s="32">
        <v>780</v>
      </c>
      <c r="AA799" s="32">
        <v>65</v>
      </c>
      <c r="AB799" s="32">
        <v>12</v>
      </c>
      <c r="AC799" s="13">
        <f t="shared" ca="1" si="280"/>
        <v>0</v>
      </c>
      <c r="AD799" s="33"/>
      <c r="AE799" s="13">
        <f t="shared" ca="1" si="272"/>
        <v>0</v>
      </c>
      <c r="AF799" s="13">
        <f ca="1">ROUNDUP(($AC799+$AE799)*VLOOKUP($AA799,Paraméterek!$P$38:$Q$38,2)/12*IF($D800="Nem",IF($M$13=0,1,$M$13),1),IF($D$4="Forint",0,2))</f>
        <v>0</v>
      </c>
      <c r="AG799" s="13" t="e">
        <f ca="1">IF($D$2="Egyszeri",IF($D$7&gt;=IF($D$4="Forint",Paraméterek!$P$223,Paraméterek!$P$224),$D$7-IF($D$4="Forint",Paraméterek!$P$223,Paraméterek!$P$224),0),MIN(IF($AB799=12,AVERAGEIF($E$20:$E799,"&gt;0",$E$20:$E799)*12,0),SUM($E$20:$E$31)))</f>
        <v>#DIV/0!</v>
      </c>
      <c r="AH799" s="13">
        <f>IF($AA799=10,$AG799*IF($AB799=12,IF($AG799&lt;IF($D$4="Forint",Paraméterek!$L$223,Paraméterek!$L$224),0,VLOOKUP($AA799,Paraméterek!$K$226:$M$228,IF($AG799&lt;IF($D$4="Forint",Paraméterek!$M$223,Paraméterek!$M$224),2,3))),0),0)</f>
        <v>0</v>
      </c>
      <c r="AI799" s="13">
        <f ca="1">IF(AND($AA799=$M$11+1,$AB799=$M$12+1),SUMIF($AA$20:$AA$1027,$AA799,$AG$20:$AG$1027)*IF(SUMIF($AA$20:$AA$1027,$AA799,$AG$20:$AG$1027)&lt;IF($D$4="Forint",Paraméterek!$L$223,Paraméterek!$L$224),0,VLOOKUP($AA799,Paraméterek!$K$230:$M$250,IF(SUMIF($AA$20:$AA$1027,$AA799,$AG$20:$AG$1027)&lt;IF($D$4="Forint",Paraméterek!$M$223,Paraméterek!$M$224),2,3))),0)</f>
        <v>0</v>
      </c>
      <c r="AJ799" s="13" t="e">
        <f ca="1">IF(AND($AA799&gt;=5,MOD($AA799,5)=0),IF($AB799=12,VLOOKUP($AA799,Paraméterek!$O$225:$P$240,2),0),IF(OR($AA799=3,$AA799=4),IF($AB799=12,VLOOKUP($AA799,Paraméterek!$O$225:$P$240,2,0),0),0))*$AG799</f>
        <v>#DIV/0!</v>
      </c>
      <c r="AK799" s="13">
        <f t="shared" ca="1" si="273"/>
        <v>0</v>
      </c>
      <c r="AL799" s="13">
        <f t="shared" ca="1" si="281"/>
        <v>0</v>
      </c>
      <c r="AM799" s="13">
        <f t="shared" ca="1" si="282"/>
        <v>0</v>
      </c>
      <c r="AO799" s="32">
        <v>780</v>
      </c>
      <c r="AP799" s="32">
        <v>65</v>
      </c>
      <c r="AQ799" s="32">
        <v>12</v>
      </c>
      <c r="AR799" s="13"/>
      <c r="AS799" s="32"/>
      <c r="AT799" s="13">
        <f t="shared" ca="1" si="283"/>
        <v>0</v>
      </c>
      <c r="AU799" s="33"/>
      <c r="AV799" s="13">
        <f t="shared" ca="1" si="274"/>
        <v>0</v>
      </c>
      <c r="AW799" s="13">
        <f ca="1">ROUNDUP(($AT799+$AV799)*VLOOKUP($AP799,Paraméterek!$P$38:$Q$38,2)/12*IF($D800="Nem",IF($M$13=0,1,$M$13),1),IF($D$4="Forint",0,2))</f>
        <v>0</v>
      </c>
      <c r="AX799" s="13">
        <f>Tranzakciók!$M$96</f>
        <v>0</v>
      </c>
      <c r="AY799" s="13"/>
      <c r="AZ799" s="13">
        <f>ROUNDUP(IF(SUM($AX799:$AY799)=0,0,IF(IF(ISBLANK($AY799),$AX799,$AY799)*Paraméterek!$J$112&lt;IF($D$4="Forint",Paraméterek!$J$113,Paraméterek!$K$113),IF($D$4="Forint",Paraméterek!$J$113,Paraméterek!$K$113),IF(IF(ISBLANK($AY799),$AX799,$AY799)*Paraméterek!$J$112&gt;IF($D$4="Forint",Paraméterek!$J$114,Paraméterek!$K$114),IF($D$4="Forint",Paraméterek!$J$114,Paraméterek!$K$114),IF(ISBLANK($AY799),$AX799,$AY799)*Paraméterek!$J$112))),IF($D$4="Forint",0,2))</f>
        <v>0</v>
      </c>
      <c r="BA799" s="13">
        <f ca="1">$AT799+$AV799-$AW799-IF(ROUNDDOWN(IF(ISBLANK($AY799),$AX799,$AY799),IF($D$4="Forint",0,2))&gt;$AT799+$AV799-$AW799-IF($D$4="Forint",Paraméterek!$J$114,Paraméterek!$K$114),0,ROUNDDOWN(IF(ISBLANK($AY799),$AX799,$AY799),IF($D$4="Forint",0,2))-$AZ799)</f>
        <v>0</v>
      </c>
      <c r="BB799" s="13">
        <f t="shared" ca="1" si="275"/>
        <v>0</v>
      </c>
      <c r="BD799" s="32">
        <v>780</v>
      </c>
      <c r="BE799" s="32">
        <v>65</v>
      </c>
      <c r="BF799" s="32">
        <v>12</v>
      </c>
      <c r="BG799" s="34">
        <f t="shared" ca="1" si="284"/>
        <v>2084</v>
      </c>
      <c r="BH799" s="32" t="str">
        <f ca="1">IF(MOD(MONTH($D$14)+$BD799-1,12)=Paraméterek!$C$288,"Igen","")</f>
        <v/>
      </c>
      <c r="BI799" s="13">
        <f ca="1">IF($BH799="Igen",MIN(ROUNDDOWN((SUMIF($BG$20:$BG$1027,$BG799-1,$K$20:$K$1027)-SUMIF($BG$20:$BG$1027,$BG799-1,$I$20:$I$1027))*Paraméterek!$C$289,IF($D$4="Forint",0,2)),IF($D$4="Forint",Paraméterek!$C$285,Paraméterek!$D$285)),0)</f>
        <v>0</v>
      </c>
      <c r="BJ799" s="13">
        <f t="shared" ca="1" si="276"/>
        <v>0</v>
      </c>
      <c r="BK799" s="13">
        <f t="shared" ca="1" si="285"/>
        <v>0</v>
      </c>
      <c r="BL799" s="33"/>
      <c r="BM799" s="13">
        <f t="shared" ca="1" si="277"/>
        <v>0</v>
      </c>
      <c r="BN799" s="13">
        <f ca="1">ROUNDUP(($BK799+$BM799)*VLOOKUP($BE799,Paraméterek!$P$38:$Q$38,2)/12*IF($D800="Nem",IF($M$13=0,1,$M$13),1),IF($D$4="Forint",0,2))</f>
        <v>0</v>
      </c>
      <c r="BO799" s="13">
        <f t="shared" ca="1" si="278"/>
        <v>0</v>
      </c>
      <c r="BP799" s="13">
        <f ca="1">IF($D800="Nem",$BO799,$BO799-ROUNDUP(SUM($BI$20:$BI799)*120%,IF($D$4="Forint",0,2)))</f>
        <v>0</v>
      </c>
    </row>
    <row r="800" spans="1:68" x14ac:dyDescent="0.2">
      <c r="A800" s="32">
        <v>781</v>
      </c>
      <c r="B800" s="32">
        <v>66</v>
      </c>
      <c r="C800" s="32">
        <v>1</v>
      </c>
      <c r="D800" s="32" t="str">
        <f t="shared" ca="1" si="264"/>
        <v>Nem</v>
      </c>
      <c r="E800" s="13">
        <f t="shared" ca="1" si="265"/>
        <v>0</v>
      </c>
      <c r="F800" s="13"/>
      <c r="G800" s="13">
        <f>Tranzakciók!$D$97</f>
        <v>0</v>
      </c>
      <c r="H800" s="13"/>
      <c r="I800" s="13">
        <f t="shared" ca="1" si="266"/>
        <v>0</v>
      </c>
      <c r="J800" s="13">
        <f t="shared" ca="1" si="267"/>
        <v>0</v>
      </c>
      <c r="K800" s="13">
        <f t="shared" ca="1" si="268"/>
        <v>0</v>
      </c>
      <c r="L800" s="13" t="e">
        <f ca="1">ROUNDUP(IF($D$2="Egyszeri",$E800,IF($D$2="Havi",SUM($E$20:$E$31),IF(MOD($C800,$M$1)-1=0,SUM($E$20:$E$31),0))/12*$M$1)*VLOOKUP($B800,Paraméterek!$I$28:$P$31,IF($D$2="Egyszeri",8,HLOOKUP(ROUNDUP($M$11+$M$13,0),Paraméterek!$J$26:$O$27,2))),IF($D$4="Forint",0,2))</f>
        <v>#N/A</v>
      </c>
      <c r="M800" s="13">
        <f t="shared" ca="1" si="269"/>
        <v>0</v>
      </c>
      <c r="N800" s="13">
        <f t="shared" ca="1" si="279"/>
        <v>0</v>
      </c>
      <c r="O800" s="13">
        <f ca="1">IF($D800="Igen",IF($W799&gt;=IF($D$4="Forint",Paraméterek!$J$121,Paraméterek!$K$121),0,IF($D$4="Forint",Paraméterek!$J$121,Paraméterek!$K$121)-$W799),0)</f>
        <v>0</v>
      </c>
      <c r="P800" s="13" t="e">
        <f ca="1">ROUNDUP($O800*VLOOKUP($M$4+$B800-1,Paraméterek!$H$58:$I$105,2,0)/Paraméterek!$I$56,IF($D$4="Forint",0,2))</f>
        <v>#N/A</v>
      </c>
      <c r="Q800" s="13">
        <f t="shared" ca="1" si="270"/>
        <v>0</v>
      </c>
      <c r="R800" s="33"/>
      <c r="S800" s="13" t="e">
        <f t="shared" ca="1" si="271"/>
        <v>#N/A</v>
      </c>
      <c r="T800" s="13" t="e">
        <f ca="1">ROUNDUP(($N800-$P800-$Q800+$S800)*VLOOKUP($B800,Paraméterek!$I$38:$K$39,IF($D$2="Egyszeri",3,2))/12*IF($D801="Nem",IF($M$13=0,1,$M$13),1),IF($D$4="Forint",0,2))</f>
        <v>#N/A</v>
      </c>
      <c r="U800" s="13"/>
      <c r="V800" s="13"/>
      <c r="W800" s="13" t="e">
        <f ca="1">$N800-$P800-$Q800+$S800-$T800-IF(ROUNDUP(IF(ISBLANK($V800),$U800*0,$V800)/IF($D$2="Egyszeri",VLOOKUP($B800+IF($C800=12,1,0),Paraméterek!$V$257:$W$262,2),IF($B800=1,1,VLOOKUP($B800+IF($C800=12,1,0),Paraméterek!$I$258:$T$278,HLOOKUP($M$11+1,Paraméterek!$J$256:$T$257,2)))),IF($D$4="Forint",0,2))&gt;$N800-$P800-$Q800+$S800-$T800-IF($D$4="Forint",Paraméterek!$C$216,Paraméterek!$D$216),0,ROUNDUP(IF(ISBLANK($V800),$U800*0,$V800)/IF($D$2="Egyszeri",VLOOKUP($B800+IF($C800=12,1,0),Paraméterek!$V$257:$W$262,2),IF($B800=1,1,VLOOKUP($B800+IF($C800=12,1,0),Paraméterek!$I$258:$T$278,HLOOKUP($M$11+1,Paraméterek!$J$256:$T$257,2)))),IF($D$4="Forint",0,2)))</f>
        <v>#N/A</v>
      </c>
      <c r="X800" s="13" t="e">
        <f ca="1">ROUNDDOWN($W800*IF($D$2="Egyszeri",VLOOKUP($B800+IF($C800=12,1,0),Paraméterek!$V$257:$W$262,2),VLOOKUP($B800+IF($C800=12,1,0),Paraméterek!$I$258:$T$278,HLOOKUP($M$11+1,Paraméterek!$I$256:$T$257,2))),IF($D$4="Forint",0,2))</f>
        <v>#N/A</v>
      </c>
      <c r="Z800" s="32">
        <v>781</v>
      </c>
      <c r="AA800" s="32">
        <v>66</v>
      </c>
      <c r="AB800" s="32">
        <v>1</v>
      </c>
      <c r="AC800" s="13">
        <f t="shared" ca="1" si="280"/>
        <v>0</v>
      </c>
      <c r="AD800" s="33"/>
      <c r="AE800" s="13">
        <f t="shared" ca="1" si="272"/>
        <v>0</v>
      </c>
      <c r="AF800" s="13">
        <f ca="1">ROUNDUP(($AC800+$AE800)*VLOOKUP($AA800,Paraméterek!$P$38:$Q$38,2)/12*IF($D801="Nem",IF($M$13=0,1,$M$13),1),IF($D$4="Forint",0,2))</f>
        <v>0</v>
      </c>
      <c r="AG800" s="13">
        <f ca="1">IF($D$2="Egyszeri",IF($D$7&gt;=IF($D$4="Forint",Paraméterek!$P$223,Paraméterek!$P$224),$D$7-IF($D$4="Forint",Paraméterek!$P$223,Paraméterek!$P$224),0),MIN(IF($AB800=12,AVERAGEIF($E$20:$E800,"&gt;0",$E$20:$E800)*12,0),SUM($E$20:$E$31)))</f>
        <v>0</v>
      </c>
      <c r="AH800" s="13">
        <f>IF($AA800=10,$AG800*IF($AB800=12,IF($AG800&lt;IF($D$4="Forint",Paraméterek!$L$223,Paraméterek!$L$224),0,VLOOKUP($AA800,Paraméterek!$K$226:$M$228,IF($AG800&lt;IF($D$4="Forint",Paraméterek!$M$223,Paraméterek!$M$224),2,3))),0),0)</f>
        <v>0</v>
      </c>
      <c r="AI800" s="13">
        <f ca="1">IF(AND($AA800=$M$11+1,$AB800=$M$12+1),SUMIF($AA$20:$AA$1027,$AA800,$AG$20:$AG$1027)*IF(SUMIF($AA$20:$AA$1027,$AA800,$AG$20:$AG$1027)&lt;IF($D$4="Forint",Paraméterek!$L$223,Paraméterek!$L$224),0,VLOOKUP($AA800,Paraméterek!$K$230:$M$250,IF(SUMIF($AA$20:$AA$1027,$AA800,$AG$20:$AG$1027)&lt;IF($D$4="Forint",Paraméterek!$M$223,Paraméterek!$M$224),2,3))),0)</f>
        <v>0</v>
      </c>
      <c r="AJ800" s="13">
        <f ca="1">IF(AND($AA800&gt;=5,MOD($AA800,5)=0),IF($AB800=12,VLOOKUP($AA800,Paraméterek!$O$225:$P$240,2),0),IF(OR($AA800=3,$AA800=4),IF($AB800=12,VLOOKUP($AA800,Paraméterek!$O$225:$P$240,2,0),0),0))*$AG800</f>
        <v>0</v>
      </c>
      <c r="AK800" s="13">
        <f t="shared" ca="1" si="273"/>
        <v>0</v>
      </c>
      <c r="AL800" s="13">
        <f t="shared" ca="1" si="281"/>
        <v>0</v>
      </c>
      <c r="AM800" s="13">
        <f t="shared" ca="1" si="282"/>
        <v>0</v>
      </c>
      <c r="AO800" s="32">
        <v>781</v>
      </c>
      <c r="AP800" s="32">
        <v>66</v>
      </c>
      <c r="AQ800" s="32">
        <v>1</v>
      </c>
      <c r="AR800" s="13">
        <f>Tranzakciók!$K$97</f>
        <v>0</v>
      </c>
      <c r="AS800" s="32"/>
      <c r="AT800" s="13">
        <f t="shared" ca="1" si="283"/>
        <v>0</v>
      </c>
      <c r="AU800" s="33"/>
      <c r="AV800" s="13">
        <f t="shared" ca="1" si="274"/>
        <v>0</v>
      </c>
      <c r="AW800" s="13">
        <f ca="1">ROUNDUP(($AT800+$AV800)*VLOOKUP($AP800,Paraméterek!$P$38:$Q$38,2)/12*IF($D801="Nem",IF($M$13=0,1,$M$13),1),IF($D$4="Forint",0,2))</f>
        <v>0</v>
      </c>
      <c r="AX800" s="13"/>
      <c r="AY800" s="13"/>
      <c r="AZ800" s="13">
        <f>ROUNDUP(IF(SUM($AX800:$AY800)=0,0,IF(IF(ISBLANK($AY800),$AX800,$AY800)*Paraméterek!$J$112&lt;IF($D$4="Forint",Paraméterek!$J$113,Paraméterek!$K$113),IF($D$4="Forint",Paraméterek!$J$113,Paraméterek!$K$113),IF(IF(ISBLANK($AY800),$AX800,$AY800)*Paraméterek!$J$112&gt;IF($D$4="Forint",Paraméterek!$J$114,Paraméterek!$K$114),IF($D$4="Forint",Paraméterek!$J$114,Paraméterek!$K$114),IF(ISBLANK($AY800),$AX800,$AY800)*Paraméterek!$J$112))),IF($D$4="Forint",0,2))</f>
        <v>0</v>
      </c>
      <c r="BA800" s="13">
        <f ca="1">$AT800+$AV800-$AW800-IF(ROUNDDOWN(IF(ISBLANK($AY800),$AX800,$AY800),IF($D$4="Forint",0,2))&gt;$AT800+$AV800-$AW800-IF($D$4="Forint",Paraméterek!$J$114,Paraméterek!$K$114),0,ROUNDDOWN(IF(ISBLANK($AY800),$AX800,$AY800),IF($D$4="Forint",0,2))-$AZ800)</f>
        <v>0</v>
      </c>
      <c r="BB800" s="13">
        <f t="shared" ca="1" si="275"/>
        <v>0</v>
      </c>
      <c r="BD800" s="32">
        <v>781</v>
      </c>
      <c r="BE800" s="32">
        <v>66</v>
      </c>
      <c r="BF800" s="32">
        <v>1</v>
      </c>
      <c r="BG800" s="34">
        <f t="shared" ca="1" si="284"/>
        <v>2084</v>
      </c>
      <c r="BH800" s="32" t="str">
        <f ca="1">IF(MOD(MONTH($D$14)+$BD800-1,12)=Paraméterek!$C$288,"Igen","")</f>
        <v/>
      </c>
      <c r="BI800" s="13">
        <f ca="1">IF($BH800="Igen",MIN(ROUNDDOWN((SUMIF($BG$20:$BG$1027,$BG800-1,$K$20:$K$1027)-SUMIF($BG$20:$BG$1027,$BG800-1,$I$20:$I$1027))*Paraméterek!$C$289,IF($D$4="Forint",0,2)),IF($D$4="Forint",Paraméterek!$C$285,Paraméterek!$D$285)),0)</f>
        <v>0</v>
      </c>
      <c r="BJ800" s="13">
        <f t="shared" ca="1" si="276"/>
        <v>0</v>
      </c>
      <c r="BK800" s="13">
        <f t="shared" ca="1" si="285"/>
        <v>0</v>
      </c>
      <c r="BL800" s="33"/>
      <c r="BM800" s="13">
        <f t="shared" ca="1" si="277"/>
        <v>0</v>
      </c>
      <c r="BN800" s="13">
        <f ca="1">ROUNDUP(($BK800+$BM800)*VLOOKUP($BE800,Paraméterek!$P$38:$Q$38,2)/12*IF($D801="Nem",IF($M$13=0,1,$M$13),1),IF($D$4="Forint",0,2))</f>
        <v>0</v>
      </c>
      <c r="BO800" s="13">
        <f t="shared" ca="1" si="278"/>
        <v>0</v>
      </c>
      <c r="BP800" s="13">
        <f ca="1">IF($D801="Nem",$BO800,$BO800-ROUNDUP(SUM($BI$20:$BI800)*120%,IF($D$4="Forint",0,2)))</f>
        <v>0</v>
      </c>
    </row>
    <row r="801" spans="1:68" x14ac:dyDescent="0.2">
      <c r="A801" s="32">
        <v>782</v>
      </c>
      <c r="B801" s="32">
        <v>66</v>
      </c>
      <c r="C801" s="32">
        <v>2</v>
      </c>
      <c r="D801" s="32" t="str">
        <f t="shared" ca="1" si="264"/>
        <v>Nem</v>
      </c>
      <c r="E801" s="13">
        <f t="shared" ca="1" si="265"/>
        <v>0</v>
      </c>
      <c r="F801" s="13"/>
      <c r="G801" s="13"/>
      <c r="H801" s="13"/>
      <c r="I801" s="13">
        <f t="shared" ca="1" si="266"/>
        <v>0</v>
      </c>
      <c r="J801" s="13">
        <f t="shared" ca="1" si="267"/>
        <v>0</v>
      </c>
      <c r="K801" s="13">
        <f t="shared" ca="1" si="268"/>
        <v>0</v>
      </c>
      <c r="L801" s="13" t="e">
        <f ca="1">ROUNDUP(IF($D$2="Egyszeri",$E801,IF($D$2="Havi",SUM($E$20:$E$31),IF(MOD($C801,$M$1)-1=0,SUM($E$20:$E$31),0))/12*$M$1)*VLOOKUP($B801,Paraméterek!$I$28:$P$31,IF($D$2="Egyszeri",8,HLOOKUP(ROUNDUP($M$11+$M$13,0),Paraméterek!$J$26:$O$27,2))),IF($D$4="Forint",0,2))</f>
        <v>#N/A</v>
      </c>
      <c r="M801" s="13">
        <f t="shared" ca="1" si="269"/>
        <v>0</v>
      </c>
      <c r="N801" s="13">
        <f t="shared" ca="1" si="279"/>
        <v>0</v>
      </c>
      <c r="O801" s="13">
        <f ca="1">IF($D801="Igen",IF($W800&gt;=IF($D$4="Forint",Paraméterek!$J$121,Paraméterek!$K$121),0,IF($D$4="Forint",Paraméterek!$J$121,Paraméterek!$K$121)-$W800),0)</f>
        <v>0</v>
      </c>
      <c r="P801" s="13" t="e">
        <f ca="1">ROUNDUP($O801*VLOOKUP($M$4+$B801-1,Paraméterek!$H$58:$I$105,2,0)/Paraméterek!$I$56,IF($D$4="Forint",0,2))</f>
        <v>#N/A</v>
      </c>
      <c r="Q801" s="13">
        <f t="shared" ca="1" si="270"/>
        <v>0</v>
      </c>
      <c r="R801" s="33"/>
      <c r="S801" s="13" t="e">
        <f t="shared" ca="1" si="271"/>
        <v>#N/A</v>
      </c>
      <c r="T801" s="13" t="e">
        <f ca="1">ROUNDUP(($N801-$P801-$Q801+$S801)*VLOOKUP($B801,Paraméterek!$I$38:$K$39,IF($D$2="Egyszeri",3,2))/12*IF($D802="Nem",IF($M$13=0,1,$M$13),1),IF($D$4="Forint",0,2))</f>
        <v>#N/A</v>
      </c>
      <c r="U801" s="13"/>
      <c r="V801" s="13"/>
      <c r="W801" s="13" t="e">
        <f ca="1">$N801-$P801-$Q801+$S801-$T801-IF(ROUNDUP(IF(ISBLANK($V801),$U801*0,$V801)/IF($D$2="Egyszeri",VLOOKUP($B801+IF($C801=12,1,0),Paraméterek!$V$257:$W$262,2),IF($B801=1,1,VLOOKUP($B801+IF($C801=12,1,0),Paraméterek!$I$258:$T$278,HLOOKUP($M$11+1,Paraméterek!$J$256:$T$257,2)))),IF($D$4="Forint",0,2))&gt;$N801-$P801-$Q801+$S801-$T801-IF($D$4="Forint",Paraméterek!$C$216,Paraméterek!$D$216),0,ROUNDUP(IF(ISBLANK($V801),$U801*0,$V801)/IF($D$2="Egyszeri",VLOOKUP($B801+IF($C801=12,1,0),Paraméterek!$V$257:$W$262,2),IF($B801=1,1,VLOOKUP($B801+IF($C801=12,1,0),Paraméterek!$I$258:$T$278,HLOOKUP($M$11+1,Paraméterek!$J$256:$T$257,2)))),IF($D$4="Forint",0,2)))</f>
        <v>#N/A</v>
      </c>
      <c r="X801" s="13" t="e">
        <f ca="1">ROUNDDOWN($W801*IF($D$2="Egyszeri",VLOOKUP($B801+IF($C801=12,1,0),Paraméterek!$V$257:$W$262,2),VLOOKUP($B801+IF($C801=12,1,0),Paraméterek!$I$258:$T$278,HLOOKUP($M$11+1,Paraméterek!$I$256:$T$257,2))),IF($D$4="Forint",0,2))</f>
        <v>#N/A</v>
      </c>
      <c r="Z801" s="32">
        <v>782</v>
      </c>
      <c r="AA801" s="32">
        <v>66</v>
      </c>
      <c r="AB801" s="32">
        <v>2</v>
      </c>
      <c r="AC801" s="13">
        <f t="shared" ca="1" si="280"/>
        <v>0</v>
      </c>
      <c r="AD801" s="33"/>
      <c r="AE801" s="13">
        <f t="shared" ca="1" si="272"/>
        <v>0</v>
      </c>
      <c r="AF801" s="13">
        <f ca="1">ROUNDUP(($AC801+$AE801)*VLOOKUP($AA801,Paraméterek!$P$38:$Q$38,2)/12*IF($D802="Nem",IF($M$13=0,1,$M$13),1),IF($D$4="Forint",0,2))</f>
        <v>0</v>
      </c>
      <c r="AG801" s="13">
        <f ca="1">IF($D$2="Egyszeri",IF($D$7&gt;=IF($D$4="Forint",Paraméterek!$P$223,Paraméterek!$P$224),$D$7-IF($D$4="Forint",Paraméterek!$P$223,Paraméterek!$P$224),0),MIN(IF($AB801=12,AVERAGEIF($E$20:$E801,"&gt;0",$E$20:$E801)*12,0),SUM($E$20:$E$31)))</f>
        <v>0</v>
      </c>
      <c r="AH801" s="13">
        <f>IF($AA801=10,$AG801*IF($AB801=12,IF($AG801&lt;IF($D$4="Forint",Paraméterek!$L$223,Paraméterek!$L$224),0,VLOOKUP($AA801,Paraméterek!$K$226:$M$228,IF($AG801&lt;IF($D$4="Forint",Paraméterek!$M$223,Paraméterek!$M$224),2,3))),0),0)</f>
        <v>0</v>
      </c>
      <c r="AI801" s="13">
        <f ca="1">IF(AND($AA801=$M$11+1,$AB801=$M$12+1),SUMIF($AA$20:$AA$1027,$AA801,$AG$20:$AG$1027)*IF(SUMIF($AA$20:$AA$1027,$AA801,$AG$20:$AG$1027)&lt;IF($D$4="Forint",Paraméterek!$L$223,Paraméterek!$L$224),0,VLOOKUP($AA801,Paraméterek!$K$230:$M$250,IF(SUMIF($AA$20:$AA$1027,$AA801,$AG$20:$AG$1027)&lt;IF($D$4="Forint",Paraméterek!$M$223,Paraméterek!$M$224),2,3))),0)</f>
        <v>0</v>
      </c>
      <c r="AJ801" s="13">
        <f ca="1">IF(AND($AA801&gt;=5,MOD($AA801,5)=0),IF($AB801=12,VLOOKUP($AA801,Paraméterek!$O$225:$P$240,2),0),IF(OR($AA801=3,$AA801=4),IF($AB801=12,VLOOKUP($AA801,Paraméterek!$O$225:$P$240,2,0),0),0))*$AG801</f>
        <v>0</v>
      </c>
      <c r="AK801" s="13">
        <f t="shared" ca="1" si="273"/>
        <v>0</v>
      </c>
      <c r="AL801" s="13">
        <f t="shared" ca="1" si="281"/>
        <v>0</v>
      </c>
      <c r="AM801" s="13">
        <f t="shared" ca="1" si="282"/>
        <v>0</v>
      </c>
      <c r="AO801" s="32">
        <v>782</v>
      </c>
      <c r="AP801" s="32">
        <v>66</v>
      </c>
      <c r="AQ801" s="32">
        <v>2</v>
      </c>
      <c r="AR801" s="13"/>
      <c r="AS801" s="32"/>
      <c r="AT801" s="13">
        <f t="shared" ca="1" si="283"/>
        <v>0</v>
      </c>
      <c r="AU801" s="33"/>
      <c r="AV801" s="13">
        <f t="shared" ca="1" si="274"/>
        <v>0</v>
      </c>
      <c r="AW801" s="13">
        <f ca="1">ROUNDUP(($AT801+$AV801)*VLOOKUP($AP801,Paraméterek!$P$38:$Q$38,2)/12*IF($D802="Nem",IF($M$13=0,1,$M$13),1),IF($D$4="Forint",0,2))</f>
        <v>0</v>
      </c>
      <c r="AX801" s="13"/>
      <c r="AY801" s="13"/>
      <c r="AZ801" s="13">
        <f>ROUNDUP(IF(SUM($AX801:$AY801)=0,0,IF(IF(ISBLANK($AY801),$AX801,$AY801)*Paraméterek!$J$112&lt;IF($D$4="Forint",Paraméterek!$J$113,Paraméterek!$K$113),IF($D$4="Forint",Paraméterek!$J$113,Paraméterek!$K$113),IF(IF(ISBLANK($AY801),$AX801,$AY801)*Paraméterek!$J$112&gt;IF($D$4="Forint",Paraméterek!$J$114,Paraméterek!$K$114),IF($D$4="Forint",Paraméterek!$J$114,Paraméterek!$K$114),IF(ISBLANK($AY801),$AX801,$AY801)*Paraméterek!$J$112))),IF($D$4="Forint",0,2))</f>
        <v>0</v>
      </c>
      <c r="BA801" s="13">
        <f ca="1">$AT801+$AV801-$AW801-IF(ROUNDDOWN(IF(ISBLANK($AY801),$AX801,$AY801),IF($D$4="Forint",0,2))&gt;$AT801+$AV801-$AW801-IF($D$4="Forint",Paraméterek!$J$114,Paraméterek!$K$114),0,ROUNDDOWN(IF(ISBLANK($AY801),$AX801,$AY801),IF($D$4="Forint",0,2))-$AZ801)</f>
        <v>0</v>
      </c>
      <c r="BB801" s="13">
        <f t="shared" ca="1" si="275"/>
        <v>0</v>
      </c>
      <c r="BD801" s="32">
        <v>782</v>
      </c>
      <c r="BE801" s="32">
        <v>66</v>
      </c>
      <c r="BF801" s="32">
        <v>2</v>
      </c>
      <c r="BG801" s="34">
        <f t="shared" ca="1" si="284"/>
        <v>2084</v>
      </c>
      <c r="BH801" s="32" t="str">
        <f ca="1">IF(MOD(MONTH($D$14)+$BD801-1,12)=Paraméterek!$C$288,"Igen","")</f>
        <v>Igen</v>
      </c>
      <c r="BI801" s="13">
        <f ca="1">IF($BH801="Igen",MIN(ROUNDDOWN((SUMIF($BG$20:$BG$1027,$BG801-1,$K$20:$K$1027)-SUMIF($BG$20:$BG$1027,$BG801-1,$I$20:$I$1027))*Paraméterek!$C$289,IF($D$4="Forint",0,2)),IF($D$4="Forint",Paraméterek!$C$285,Paraméterek!$D$285)),0)</f>
        <v>0</v>
      </c>
      <c r="BJ801" s="13">
        <f t="shared" ca="1" si="276"/>
        <v>0</v>
      </c>
      <c r="BK801" s="13">
        <f t="shared" ca="1" si="285"/>
        <v>0</v>
      </c>
      <c r="BL801" s="33"/>
      <c r="BM801" s="13">
        <f t="shared" ca="1" si="277"/>
        <v>0</v>
      </c>
      <c r="BN801" s="13">
        <f ca="1">ROUNDUP(($BK801+$BM801)*VLOOKUP($BE801,Paraméterek!$P$38:$Q$38,2)/12*IF($D802="Nem",IF($M$13=0,1,$M$13),1),IF($D$4="Forint",0,2))</f>
        <v>0</v>
      </c>
      <c r="BO801" s="13">
        <f t="shared" ca="1" si="278"/>
        <v>0</v>
      </c>
      <c r="BP801" s="13">
        <f ca="1">IF($D802="Nem",$BO801,$BO801-ROUNDUP(SUM($BI$20:$BI801)*120%,IF($D$4="Forint",0,2)))</f>
        <v>0</v>
      </c>
    </row>
    <row r="802" spans="1:68" x14ac:dyDescent="0.2">
      <c r="A802" s="32">
        <v>783</v>
      </c>
      <c r="B802" s="32">
        <v>66</v>
      </c>
      <c r="C802" s="32">
        <v>3</v>
      </c>
      <c r="D802" s="32" t="str">
        <f t="shared" ca="1" si="264"/>
        <v>Nem</v>
      </c>
      <c r="E802" s="13">
        <f t="shared" ca="1" si="265"/>
        <v>0</v>
      </c>
      <c r="F802" s="13"/>
      <c r="G802" s="13"/>
      <c r="H802" s="13"/>
      <c r="I802" s="13">
        <f t="shared" ca="1" si="266"/>
        <v>0</v>
      </c>
      <c r="J802" s="13">
        <f t="shared" ca="1" si="267"/>
        <v>0</v>
      </c>
      <c r="K802" s="13">
        <f t="shared" ca="1" si="268"/>
        <v>0</v>
      </c>
      <c r="L802" s="13" t="e">
        <f ca="1">ROUNDUP(IF($D$2="Egyszeri",$E802,IF($D$2="Havi",SUM($E$20:$E$31),IF(MOD($C802,$M$1)-1=0,SUM($E$20:$E$31),0))/12*$M$1)*VLOOKUP($B802,Paraméterek!$I$28:$P$31,IF($D$2="Egyszeri",8,HLOOKUP(ROUNDUP($M$11+$M$13,0),Paraméterek!$J$26:$O$27,2))),IF($D$4="Forint",0,2))</f>
        <v>#N/A</v>
      </c>
      <c r="M802" s="13">
        <f t="shared" ca="1" si="269"/>
        <v>0</v>
      </c>
      <c r="N802" s="13">
        <f t="shared" ca="1" si="279"/>
        <v>0</v>
      </c>
      <c r="O802" s="13">
        <f ca="1">IF($D802="Igen",IF($W801&gt;=IF($D$4="Forint",Paraméterek!$J$121,Paraméterek!$K$121),0,IF($D$4="Forint",Paraméterek!$J$121,Paraméterek!$K$121)-$W801),0)</f>
        <v>0</v>
      </c>
      <c r="P802" s="13" t="e">
        <f ca="1">ROUNDUP($O802*VLOOKUP($M$4+$B802-1,Paraméterek!$H$58:$I$105,2,0)/Paraméterek!$I$56,IF($D$4="Forint",0,2))</f>
        <v>#N/A</v>
      </c>
      <c r="Q802" s="13">
        <f t="shared" ca="1" si="270"/>
        <v>0</v>
      </c>
      <c r="R802" s="33"/>
      <c r="S802" s="13" t="e">
        <f t="shared" ca="1" si="271"/>
        <v>#N/A</v>
      </c>
      <c r="T802" s="13" t="e">
        <f ca="1">ROUNDUP(($N802-$P802-$Q802+$S802)*VLOOKUP($B802,Paraméterek!$I$38:$K$39,IF($D$2="Egyszeri",3,2))/12*IF($D803="Nem",IF($M$13=0,1,$M$13),1),IF($D$4="Forint",0,2))</f>
        <v>#N/A</v>
      </c>
      <c r="U802" s="13"/>
      <c r="V802" s="13"/>
      <c r="W802" s="13" t="e">
        <f ca="1">$N802-$P802-$Q802+$S802-$T802-IF(ROUNDUP(IF(ISBLANK($V802),$U802*0,$V802)/IF($D$2="Egyszeri",VLOOKUP($B802+IF($C802=12,1,0),Paraméterek!$V$257:$W$262,2),IF($B802=1,1,VLOOKUP($B802+IF($C802=12,1,0),Paraméterek!$I$258:$T$278,HLOOKUP($M$11+1,Paraméterek!$J$256:$T$257,2)))),IF($D$4="Forint",0,2))&gt;$N802-$P802-$Q802+$S802-$T802-IF($D$4="Forint",Paraméterek!$C$216,Paraméterek!$D$216),0,ROUNDUP(IF(ISBLANK($V802),$U802*0,$V802)/IF($D$2="Egyszeri",VLOOKUP($B802+IF($C802=12,1,0),Paraméterek!$V$257:$W$262,2),IF($B802=1,1,VLOOKUP($B802+IF($C802=12,1,0),Paraméterek!$I$258:$T$278,HLOOKUP($M$11+1,Paraméterek!$J$256:$T$257,2)))),IF($D$4="Forint",0,2)))</f>
        <v>#N/A</v>
      </c>
      <c r="X802" s="13" t="e">
        <f ca="1">ROUNDDOWN($W802*IF($D$2="Egyszeri",VLOOKUP($B802+IF($C802=12,1,0),Paraméterek!$V$257:$W$262,2),VLOOKUP($B802+IF($C802=12,1,0),Paraméterek!$I$258:$T$278,HLOOKUP($M$11+1,Paraméterek!$I$256:$T$257,2))),IF($D$4="Forint",0,2))</f>
        <v>#N/A</v>
      </c>
      <c r="Z802" s="32">
        <v>783</v>
      </c>
      <c r="AA802" s="32">
        <v>66</v>
      </c>
      <c r="AB802" s="32">
        <v>3</v>
      </c>
      <c r="AC802" s="13">
        <f t="shared" ca="1" si="280"/>
        <v>0</v>
      </c>
      <c r="AD802" s="33"/>
      <c r="AE802" s="13">
        <f t="shared" ca="1" si="272"/>
        <v>0</v>
      </c>
      <c r="AF802" s="13">
        <f ca="1">ROUNDUP(($AC802+$AE802)*VLOOKUP($AA802,Paraméterek!$P$38:$Q$38,2)/12*IF($D803="Nem",IF($M$13=0,1,$M$13),1),IF($D$4="Forint",0,2))</f>
        <v>0</v>
      </c>
      <c r="AG802" s="13">
        <f ca="1">IF($D$2="Egyszeri",IF($D$7&gt;=IF($D$4="Forint",Paraméterek!$P$223,Paraméterek!$P$224),$D$7-IF($D$4="Forint",Paraméterek!$P$223,Paraméterek!$P$224),0),MIN(IF($AB802=12,AVERAGEIF($E$20:$E802,"&gt;0",$E$20:$E802)*12,0),SUM($E$20:$E$31)))</f>
        <v>0</v>
      </c>
      <c r="AH802" s="13">
        <f>IF($AA802=10,$AG802*IF($AB802=12,IF($AG802&lt;IF($D$4="Forint",Paraméterek!$L$223,Paraméterek!$L$224),0,VLOOKUP($AA802,Paraméterek!$K$226:$M$228,IF($AG802&lt;IF($D$4="Forint",Paraméterek!$M$223,Paraméterek!$M$224),2,3))),0),0)</f>
        <v>0</v>
      </c>
      <c r="AI802" s="13">
        <f ca="1">IF(AND($AA802=$M$11+1,$AB802=$M$12+1),SUMIF($AA$20:$AA$1027,$AA802,$AG$20:$AG$1027)*IF(SUMIF($AA$20:$AA$1027,$AA802,$AG$20:$AG$1027)&lt;IF($D$4="Forint",Paraméterek!$L$223,Paraméterek!$L$224),0,VLOOKUP($AA802,Paraméterek!$K$230:$M$250,IF(SUMIF($AA$20:$AA$1027,$AA802,$AG$20:$AG$1027)&lt;IF($D$4="Forint",Paraméterek!$M$223,Paraméterek!$M$224),2,3))),0)</f>
        <v>0</v>
      </c>
      <c r="AJ802" s="13">
        <f ca="1">IF(AND($AA802&gt;=5,MOD($AA802,5)=0),IF($AB802=12,VLOOKUP($AA802,Paraméterek!$O$225:$P$240,2),0),IF(OR($AA802=3,$AA802=4),IF($AB802=12,VLOOKUP($AA802,Paraméterek!$O$225:$P$240,2,0),0),0))*$AG802</f>
        <v>0</v>
      </c>
      <c r="AK802" s="13">
        <f t="shared" ca="1" si="273"/>
        <v>0</v>
      </c>
      <c r="AL802" s="13">
        <f t="shared" ca="1" si="281"/>
        <v>0</v>
      </c>
      <c r="AM802" s="13">
        <f t="shared" ca="1" si="282"/>
        <v>0</v>
      </c>
      <c r="AO802" s="32">
        <v>783</v>
      </c>
      <c r="AP802" s="32">
        <v>66</v>
      </c>
      <c r="AQ802" s="32">
        <v>3</v>
      </c>
      <c r="AR802" s="13"/>
      <c r="AS802" s="32"/>
      <c r="AT802" s="13">
        <f t="shared" ca="1" si="283"/>
        <v>0</v>
      </c>
      <c r="AU802" s="33"/>
      <c r="AV802" s="13">
        <f t="shared" ca="1" si="274"/>
        <v>0</v>
      </c>
      <c r="AW802" s="13">
        <f ca="1">ROUNDUP(($AT802+$AV802)*VLOOKUP($AP802,Paraméterek!$P$38:$Q$38,2)/12*IF($D803="Nem",IF($M$13=0,1,$M$13),1),IF($D$4="Forint",0,2))</f>
        <v>0</v>
      </c>
      <c r="AX802" s="13"/>
      <c r="AY802" s="13"/>
      <c r="AZ802" s="13">
        <f>ROUNDUP(IF(SUM($AX802:$AY802)=0,0,IF(IF(ISBLANK($AY802),$AX802,$AY802)*Paraméterek!$J$112&lt;IF($D$4="Forint",Paraméterek!$J$113,Paraméterek!$K$113),IF($D$4="Forint",Paraméterek!$J$113,Paraméterek!$K$113),IF(IF(ISBLANK($AY802),$AX802,$AY802)*Paraméterek!$J$112&gt;IF($D$4="Forint",Paraméterek!$J$114,Paraméterek!$K$114),IF($D$4="Forint",Paraméterek!$J$114,Paraméterek!$K$114),IF(ISBLANK($AY802),$AX802,$AY802)*Paraméterek!$J$112))),IF($D$4="Forint",0,2))</f>
        <v>0</v>
      </c>
      <c r="BA802" s="13">
        <f ca="1">$AT802+$AV802-$AW802-IF(ROUNDDOWN(IF(ISBLANK($AY802),$AX802,$AY802),IF($D$4="Forint",0,2))&gt;$AT802+$AV802-$AW802-IF($D$4="Forint",Paraméterek!$J$114,Paraméterek!$K$114),0,ROUNDDOWN(IF(ISBLANK($AY802),$AX802,$AY802),IF($D$4="Forint",0,2))-$AZ802)</f>
        <v>0</v>
      </c>
      <c r="BB802" s="13">
        <f t="shared" ca="1" si="275"/>
        <v>0</v>
      </c>
      <c r="BD802" s="32">
        <v>783</v>
      </c>
      <c r="BE802" s="32">
        <v>66</v>
      </c>
      <c r="BF802" s="32">
        <v>3</v>
      </c>
      <c r="BG802" s="34">
        <f t="shared" ca="1" si="284"/>
        <v>2084</v>
      </c>
      <c r="BH802" s="32" t="str">
        <f ca="1">IF(MOD(MONTH($D$14)+$BD802-1,12)=Paraméterek!$C$288,"Igen","")</f>
        <v/>
      </c>
      <c r="BI802" s="13">
        <f ca="1">IF($BH802="Igen",MIN(ROUNDDOWN((SUMIF($BG$20:$BG$1027,$BG802-1,$K$20:$K$1027)-SUMIF($BG$20:$BG$1027,$BG802-1,$I$20:$I$1027))*Paraméterek!$C$289,IF($D$4="Forint",0,2)),IF($D$4="Forint",Paraméterek!$C$285,Paraméterek!$D$285)),0)</f>
        <v>0</v>
      </c>
      <c r="BJ802" s="13">
        <f t="shared" ca="1" si="276"/>
        <v>0</v>
      </c>
      <c r="BK802" s="13">
        <f t="shared" ca="1" si="285"/>
        <v>0</v>
      </c>
      <c r="BL802" s="33"/>
      <c r="BM802" s="13">
        <f t="shared" ca="1" si="277"/>
        <v>0</v>
      </c>
      <c r="BN802" s="13">
        <f ca="1">ROUNDUP(($BK802+$BM802)*VLOOKUP($BE802,Paraméterek!$P$38:$Q$38,2)/12*IF($D803="Nem",IF($M$13=0,1,$M$13),1),IF($D$4="Forint",0,2))</f>
        <v>0</v>
      </c>
      <c r="BO802" s="13">
        <f t="shared" ca="1" si="278"/>
        <v>0</v>
      </c>
      <c r="BP802" s="13">
        <f ca="1">IF($D803="Nem",$BO802,$BO802-ROUNDUP(SUM($BI$20:$BI802)*120%,IF($D$4="Forint",0,2)))</f>
        <v>0</v>
      </c>
    </row>
    <row r="803" spans="1:68" x14ac:dyDescent="0.2">
      <c r="A803" s="32">
        <v>784</v>
      </c>
      <c r="B803" s="32">
        <v>66</v>
      </c>
      <c r="C803" s="32">
        <v>4</v>
      </c>
      <c r="D803" s="32" t="str">
        <f t="shared" ca="1" si="264"/>
        <v>Nem</v>
      </c>
      <c r="E803" s="13">
        <f t="shared" ca="1" si="265"/>
        <v>0</v>
      </c>
      <c r="F803" s="13"/>
      <c r="G803" s="13"/>
      <c r="H803" s="13"/>
      <c r="I803" s="13">
        <f t="shared" ca="1" si="266"/>
        <v>0</v>
      </c>
      <c r="J803" s="13">
        <f t="shared" ca="1" si="267"/>
        <v>0</v>
      </c>
      <c r="K803" s="13">
        <f t="shared" ca="1" si="268"/>
        <v>0</v>
      </c>
      <c r="L803" s="13" t="e">
        <f ca="1">ROUNDUP(IF($D$2="Egyszeri",$E803,IF($D$2="Havi",SUM($E$20:$E$31),IF(MOD($C803,$M$1)-1=0,SUM($E$20:$E$31),0))/12*$M$1)*VLOOKUP($B803,Paraméterek!$I$28:$P$31,IF($D$2="Egyszeri",8,HLOOKUP(ROUNDUP($M$11+$M$13,0),Paraméterek!$J$26:$O$27,2))),IF($D$4="Forint",0,2))</f>
        <v>#N/A</v>
      </c>
      <c r="M803" s="13">
        <f t="shared" ca="1" si="269"/>
        <v>0</v>
      </c>
      <c r="N803" s="13">
        <f t="shared" ca="1" si="279"/>
        <v>0</v>
      </c>
      <c r="O803" s="13">
        <f ca="1">IF($D803="Igen",IF($W802&gt;=IF($D$4="Forint",Paraméterek!$J$121,Paraméterek!$K$121),0,IF($D$4="Forint",Paraméterek!$J$121,Paraméterek!$K$121)-$W802),0)</f>
        <v>0</v>
      </c>
      <c r="P803" s="13" t="e">
        <f ca="1">ROUNDUP($O803*VLOOKUP($M$4+$B803-1,Paraméterek!$H$58:$I$105,2,0)/Paraméterek!$I$56,IF($D$4="Forint",0,2))</f>
        <v>#N/A</v>
      </c>
      <c r="Q803" s="13">
        <f t="shared" ca="1" si="270"/>
        <v>0</v>
      </c>
      <c r="R803" s="33"/>
      <c r="S803" s="13" t="e">
        <f t="shared" ca="1" si="271"/>
        <v>#N/A</v>
      </c>
      <c r="T803" s="13" t="e">
        <f ca="1">ROUNDUP(($N803-$P803-$Q803+$S803)*VLOOKUP($B803,Paraméterek!$I$38:$K$39,IF($D$2="Egyszeri",3,2))/12*IF($D804="Nem",IF($M$13=0,1,$M$13),1),IF($D$4="Forint",0,2))</f>
        <v>#N/A</v>
      </c>
      <c r="U803" s="13"/>
      <c r="V803" s="13"/>
      <c r="W803" s="13" t="e">
        <f ca="1">$N803-$P803-$Q803+$S803-$T803-IF(ROUNDUP(IF(ISBLANK($V803),$U803*0,$V803)/IF($D$2="Egyszeri",VLOOKUP($B803+IF($C803=12,1,0),Paraméterek!$V$257:$W$262,2),IF($B803=1,1,VLOOKUP($B803+IF($C803=12,1,0),Paraméterek!$I$258:$T$278,HLOOKUP($M$11+1,Paraméterek!$J$256:$T$257,2)))),IF($D$4="Forint",0,2))&gt;$N803-$P803-$Q803+$S803-$T803-IF($D$4="Forint",Paraméterek!$C$216,Paraméterek!$D$216),0,ROUNDUP(IF(ISBLANK($V803),$U803*0,$V803)/IF($D$2="Egyszeri",VLOOKUP($B803+IF($C803=12,1,0),Paraméterek!$V$257:$W$262,2),IF($B803=1,1,VLOOKUP($B803+IF($C803=12,1,0),Paraméterek!$I$258:$T$278,HLOOKUP($M$11+1,Paraméterek!$J$256:$T$257,2)))),IF($D$4="Forint",0,2)))</f>
        <v>#N/A</v>
      </c>
      <c r="X803" s="13" t="e">
        <f ca="1">ROUNDDOWN($W803*IF($D$2="Egyszeri",VLOOKUP($B803+IF($C803=12,1,0),Paraméterek!$V$257:$W$262,2),VLOOKUP($B803+IF($C803=12,1,0),Paraméterek!$I$258:$T$278,HLOOKUP($M$11+1,Paraméterek!$I$256:$T$257,2))),IF($D$4="Forint",0,2))</f>
        <v>#N/A</v>
      </c>
      <c r="Z803" s="32">
        <v>784</v>
      </c>
      <c r="AA803" s="32">
        <v>66</v>
      </c>
      <c r="AB803" s="32">
        <v>4</v>
      </c>
      <c r="AC803" s="13">
        <f t="shared" ca="1" si="280"/>
        <v>0</v>
      </c>
      <c r="AD803" s="33"/>
      <c r="AE803" s="13">
        <f t="shared" ca="1" si="272"/>
        <v>0</v>
      </c>
      <c r="AF803" s="13">
        <f ca="1">ROUNDUP(($AC803+$AE803)*VLOOKUP($AA803,Paraméterek!$P$38:$Q$38,2)/12*IF($D804="Nem",IF($M$13=0,1,$M$13),1),IF($D$4="Forint",0,2))</f>
        <v>0</v>
      </c>
      <c r="AG803" s="13">
        <f ca="1">IF($D$2="Egyszeri",IF($D$7&gt;=IF($D$4="Forint",Paraméterek!$P$223,Paraméterek!$P$224),$D$7-IF($D$4="Forint",Paraméterek!$P$223,Paraméterek!$P$224),0),MIN(IF($AB803=12,AVERAGEIF($E$20:$E803,"&gt;0",$E$20:$E803)*12,0),SUM($E$20:$E$31)))</f>
        <v>0</v>
      </c>
      <c r="AH803" s="13">
        <f>IF($AA803=10,$AG803*IF($AB803=12,IF($AG803&lt;IF($D$4="Forint",Paraméterek!$L$223,Paraméterek!$L$224),0,VLOOKUP($AA803,Paraméterek!$K$226:$M$228,IF($AG803&lt;IF($D$4="Forint",Paraméterek!$M$223,Paraméterek!$M$224),2,3))),0),0)</f>
        <v>0</v>
      </c>
      <c r="AI803" s="13">
        <f ca="1">IF(AND($AA803=$M$11+1,$AB803=$M$12+1),SUMIF($AA$20:$AA$1027,$AA803,$AG$20:$AG$1027)*IF(SUMIF($AA$20:$AA$1027,$AA803,$AG$20:$AG$1027)&lt;IF($D$4="Forint",Paraméterek!$L$223,Paraméterek!$L$224),0,VLOOKUP($AA803,Paraméterek!$K$230:$M$250,IF(SUMIF($AA$20:$AA$1027,$AA803,$AG$20:$AG$1027)&lt;IF($D$4="Forint",Paraméterek!$M$223,Paraméterek!$M$224),2,3))),0)</f>
        <v>0</v>
      </c>
      <c r="AJ803" s="13">
        <f ca="1">IF(AND($AA803&gt;=5,MOD($AA803,5)=0),IF($AB803=12,VLOOKUP($AA803,Paraméterek!$O$225:$P$240,2),0),IF(OR($AA803=3,$AA803=4),IF($AB803=12,VLOOKUP($AA803,Paraméterek!$O$225:$P$240,2,0),0),0))*$AG803</f>
        <v>0</v>
      </c>
      <c r="AK803" s="13">
        <f t="shared" ca="1" si="273"/>
        <v>0</v>
      </c>
      <c r="AL803" s="13">
        <f t="shared" ca="1" si="281"/>
        <v>0</v>
      </c>
      <c r="AM803" s="13">
        <f t="shared" ca="1" si="282"/>
        <v>0</v>
      </c>
      <c r="AO803" s="32">
        <v>784</v>
      </c>
      <c r="AP803" s="32">
        <v>66</v>
      </c>
      <c r="AQ803" s="32">
        <v>4</v>
      </c>
      <c r="AR803" s="13"/>
      <c r="AS803" s="32"/>
      <c r="AT803" s="13">
        <f t="shared" ca="1" si="283"/>
        <v>0</v>
      </c>
      <c r="AU803" s="33"/>
      <c r="AV803" s="13">
        <f t="shared" ca="1" si="274"/>
        <v>0</v>
      </c>
      <c r="AW803" s="13">
        <f ca="1">ROUNDUP(($AT803+$AV803)*VLOOKUP($AP803,Paraméterek!$P$38:$Q$38,2)/12*IF($D804="Nem",IF($M$13=0,1,$M$13),1),IF($D$4="Forint",0,2))</f>
        <v>0</v>
      </c>
      <c r="AX803" s="13"/>
      <c r="AY803" s="13"/>
      <c r="AZ803" s="13">
        <f>ROUNDUP(IF(SUM($AX803:$AY803)=0,0,IF(IF(ISBLANK($AY803),$AX803,$AY803)*Paraméterek!$J$112&lt;IF($D$4="Forint",Paraméterek!$J$113,Paraméterek!$K$113),IF($D$4="Forint",Paraméterek!$J$113,Paraméterek!$K$113),IF(IF(ISBLANK($AY803),$AX803,$AY803)*Paraméterek!$J$112&gt;IF($D$4="Forint",Paraméterek!$J$114,Paraméterek!$K$114),IF($D$4="Forint",Paraméterek!$J$114,Paraméterek!$K$114),IF(ISBLANK($AY803),$AX803,$AY803)*Paraméterek!$J$112))),IF($D$4="Forint",0,2))</f>
        <v>0</v>
      </c>
      <c r="BA803" s="13">
        <f ca="1">$AT803+$AV803-$AW803-IF(ROUNDDOWN(IF(ISBLANK($AY803),$AX803,$AY803),IF($D$4="Forint",0,2))&gt;$AT803+$AV803-$AW803-IF($D$4="Forint",Paraméterek!$J$114,Paraméterek!$K$114),0,ROUNDDOWN(IF(ISBLANK($AY803),$AX803,$AY803),IF($D$4="Forint",0,2))-$AZ803)</f>
        <v>0</v>
      </c>
      <c r="BB803" s="13">
        <f t="shared" ca="1" si="275"/>
        <v>0</v>
      </c>
      <c r="BD803" s="32">
        <v>784</v>
      </c>
      <c r="BE803" s="32">
        <v>66</v>
      </c>
      <c r="BF803" s="32">
        <v>4</v>
      </c>
      <c r="BG803" s="34">
        <f t="shared" ca="1" si="284"/>
        <v>2084</v>
      </c>
      <c r="BH803" s="32" t="str">
        <f ca="1">IF(MOD(MONTH($D$14)+$BD803-1,12)=Paraméterek!$C$288,"Igen","")</f>
        <v/>
      </c>
      <c r="BI803" s="13">
        <f ca="1">IF($BH803="Igen",MIN(ROUNDDOWN((SUMIF($BG$20:$BG$1027,$BG803-1,$K$20:$K$1027)-SUMIF($BG$20:$BG$1027,$BG803-1,$I$20:$I$1027))*Paraméterek!$C$289,IF($D$4="Forint",0,2)),IF($D$4="Forint",Paraméterek!$C$285,Paraméterek!$D$285)),0)</f>
        <v>0</v>
      </c>
      <c r="BJ803" s="13">
        <f t="shared" ca="1" si="276"/>
        <v>0</v>
      </c>
      <c r="BK803" s="13">
        <f t="shared" ca="1" si="285"/>
        <v>0</v>
      </c>
      <c r="BL803" s="33"/>
      <c r="BM803" s="13">
        <f t="shared" ca="1" si="277"/>
        <v>0</v>
      </c>
      <c r="BN803" s="13">
        <f ca="1">ROUNDUP(($BK803+$BM803)*VLOOKUP($BE803,Paraméterek!$P$38:$Q$38,2)/12*IF($D804="Nem",IF($M$13=0,1,$M$13),1),IF($D$4="Forint",0,2))</f>
        <v>0</v>
      </c>
      <c r="BO803" s="13">
        <f t="shared" ca="1" si="278"/>
        <v>0</v>
      </c>
      <c r="BP803" s="13">
        <f ca="1">IF($D804="Nem",$BO803,$BO803-ROUNDUP(SUM($BI$20:$BI803)*120%,IF($D$4="Forint",0,2)))</f>
        <v>0</v>
      </c>
    </row>
    <row r="804" spans="1:68" x14ac:dyDescent="0.2">
      <c r="A804" s="32">
        <v>785</v>
      </c>
      <c r="B804" s="32">
        <v>66</v>
      </c>
      <c r="C804" s="32">
        <v>5</v>
      </c>
      <c r="D804" s="32" t="str">
        <f t="shared" ca="1" si="264"/>
        <v>Nem</v>
      </c>
      <c r="E804" s="13">
        <f t="shared" ca="1" si="265"/>
        <v>0</v>
      </c>
      <c r="F804" s="13"/>
      <c r="G804" s="13"/>
      <c r="H804" s="13"/>
      <c r="I804" s="13">
        <f t="shared" ca="1" si="266"/>
        <v>0</v>
      </c>
      <c r="J804" s="13">
        <f t="shared" ca="1" si="267"/>
        <v>0</v>
      </c>
      <c r="K804" s="13">
        <f t="shared" ca="1" si="268"/>
        <v>0</v>
      </c>
      <c r="L804" s="13" t="e">
        <f ca="1">ROUNDUP(IF($D$2="Egyszeri",$E804,IF($D$2="Havi",SUM($E$20:$E$31),IF(MOD($C804,$M$1)-1=0,SUM($E$20:$E$31),0))/12*$M$1)*VLOOKUP($B804,Paraméterek!$I$28:$P$31,IF($D$2="Egyszeri",8,HLOOKUP(ROUNDUP($M$11+$M$13,0),Paraméterek!$J$26:$O$27,2))),IF($D$4="Forint",0,2))</f>
        <v>#N/A</v>
      </c>
      <c r="M804" s="13">
        <f t="shared" ca="1" si="269"/>
        <v>0</v>
      </c>
      <c r="N804" s="13">
        <f t="shared" ca="1" si="279"/>
        <v>0</v>
      </c>
      <c r="O804" s="13">
        <f ca="1">IF($D804="Igen",IF($W803&gt;=IF($D$4="Forint",Paraméterek!$J$121,Paraméterek!$K$121),0,IF($D$4="Forint",Paraméterek!$J$121,Paraméterek!$K$121)-$W803),0)</f>
        <v>0</v>
      </c>
      <c r="P804" s="13" t="e">
        <f ca="1">ROUNDUP($O804*VLOOKUP($M$4+$B804-1,Paraméterek!$H$58:$I$105,2,0)/Paraméterek!$I$56,IF($D$4="Forint",0,2))</f>
        <v>#N/A</v>
      </c>
      <c r="Q804" s="13">
        <f t="shared" ca="1" si="270"/>
        <v>0</v>
      </c>
      <c r="R804" s="33"/>
      <c r="S804" s="13" t="e">
        <f t="shared" ca="1" si="271"/>
        <v>#N/A</v>
      </c>
      <c r="T804" s="13" t="e">
        <f ca="1">ROUNDUP(($N804-$P804-$Q804+$S804)*VLOOKUP($B804,Paraméterek!$I$38:$K$39,IF($D$2="Egyszeri",3,2))/12*IF($D805="Nem",IF($M$13=0,1,$M$13),1),IF($D$4="Forint",0,2))</f>
        <v>#N/A</v>
      </c>
      <c r="U804" s="13"/>
      <c r="V804" s="13"/>
      <c r="W804" s="13" t="e">
        <f ca="1">$N804-$P804-$Q804+$S804-$T804-IF(ROUNDUP(IF(ISBLANK($V804),$U804*0,$V804)/IF($D$2="Egyszeri",VLOOKUP($B804+IF($C804=12,1,0),Paraméterek!$V$257:$W$262,2),IF($B804=1,1,VLOOKUP($B804+IF($C804=12,1,0),Paraméterek!$I$258:$T$278,HLOOKUP($M$11+1,Paraméterek!$J$256:$T$257,2)))),IF($D$4="Forint",0,2))&gt;$N804-$P804-$Q804+$S804-$T804-IF($D$4="Forint",Paraméterek!$C$216,Paraméterek!$D$216),0,ROUNDUP(IF(ISBLANK($V804),$U804*0,$V804)/IF($D$2="Egyszeri",VLOOKUP($B804+IF($C804=12,1,0),Paraméterek!$V$257:$W$262,2),IF($B804=1,1,VLOOKUP($B804+IF($C804=12,1,0),Paraméterek!$I$258:$T$278,HLOOKUP($M$11+1,Paraméterek!$J$256:$T$257,2)))),IF($D$4="Forint",0,2)))</f>
        <v>#N/A</v>
      </c>
      <c r="X804" s="13" t="e">
        <f ca="1">ROUNDDOWN($W804*IF($D$2="Egyszeri",VLOOKUP($B804+IF($C804=12,1,0),Paraméterek!$V$257:$W$262,2),VLOOKUP($B804+IF($C804=12,1,0),Paraméterek!$I$258:$T$278,HLOOKUP($M$11+1,Paraméterek!$I$256:$T$257,2))),IF($D$4="Forint",0,2))</f>
        <v>#N/A</v>
      </c>
      <c r="Z804" s="32">
        <v>785</v>
      </c>
      <c r="AA804" s="32">
        <v>66</v>
      </c>
      <c r="AB804" s="32">
        <v>5</v>
      </c>
      <c r="AC804" s="13">
        <f t="shared" ca="1" si="280"/>
        <v>0</v>
      </c>
      <c r="AD804" s="33"/>
      <c r="AE804" s="13">
        <f t="shared" ca="1" si="272"/>
        <v>0</v>
      </c>
      <c r="AF804" s="13">
        <f ca="1">ROUNDUP(($AC804+$AE804)*VLOOKUP($AA804,Paraméterek!$P$38:$Q$38,2)/12*IF($D805="Nem",IF($M$13=0,1,$M$13),1),IF($D$4="Forint",0,2))</f>
        <v>0</v>
      </c>
      <c r="AG804" s="13">
        <f ca="1">IF($D$2="Egyszeri",IF($D$7&gt;=IF($D$4="Forint",Paraméterek!$P$223,Paraméterek!$P$224),$D$7-IF($D$4="Forint",Paraméterek!$P$223,Paraméterek!$P$224),0),MIN(IF($AB804=12,AVERAGEIF($E$20:$E804,"&gt;0",$E$20:$E804)*12,0),SUM($E$20:$E$31)))</f>
        <v>0</v>
      </c>
      <c r="AH804" s="13">
        <f>IF($AA804=10,$AG804*IF($AB804=12,IF($AG804&lt;IF($D$4="Forint",Paraméterek!$L$223,Paraméterek!$L$224),0,VLOOKUP($AA804,Paraméterek!$K$226:$M$228,IF($AG804&lt;IF($D$4="Forint",Paraméterek!$M$223,Paraméterek!$M$224),2,3))),0),0)</f>
        <v>0</v>
      </c>
      <c r="AI804" s="13">
        <f ca="1">IF(AND($AA804=$M$11+1,$AB804=$M$12+1),SUMIF($AA$20:$AA$1027,$AA804,$AG$20:$AG$1027)*IF(SUMIF($AA$20:$AA$1027,$AA804,$AG$20:$AG$1027)&lt;IF($D$4="Forint",Paraméterek!$L$223,Paraméterek!$L$224),0,VLOOKUP($AA804,Paraméterek!$K$230:$M$250,IF(SUMIF($AA$20:$AA$1027,$AA804,$AG$20:$AG$1027)&lt;IF($D$4="Forint",Paraméterek!$M$223,Paraméterek!$M$224),2,3))),0)</f>
        <v>0</v>
      </c>
      <c r="AJ804" s="13">
        <f ca="1">IF(AND($AA804&gt;=5,MOD($AA804,5)=0),IF($AB804=12,VLOOKUP($AA804,Paraméterek!$O$225:$P$240,2),0),IF(OR($AA804=3,$AA804=4),IF($AB804=12,VLOOKUP($AA804,Paraméterek!$O$225:$P$240,2,0),0),0))*$AG804</f>
        <v>0</v>
      </c>
      <c r="AK804" s="13">
        <f t="shared" ca="1" si="273"/>
        <v>0</v>
      </c>
      <c r="AL804" s="13">
        <f t="shared" ca="1" si="281"/>
        <v>0</v>
      </c>
      <c r="AM804" s="13">
        <f t="shared" ca="1" si="282"/>
        <v>0</v>
      </c>
      <c r="AO804" s="32">
        <v>785</v>
      </c>
      <c r="AP804" s="32">
        <v>66</v>
      </c>
      <c r="AQ804" s="32">
        <v>5</v>
      </c>
      <c r="AR804" s="13"/>
      <c r="AS804" s="32"/>
      <c r="AT804" s="13">
        <f t="shared" ca="1" si="283"/>
        <v>0</v>
      </c>
      <c r="AU804" s="33"/>
      <c r="AV804" s="13">
        <f t="shared" ca="1" si="274"/>
        <v>0</v>
      </c>
      <c r="AW804" s="13">
        <f ca="1">ROUNDUP(($AT804+$AV804)*VLOOKUP($AP804,Paraméterek!$P$38:$Q$38,2)/12*IF($D805="Nem",IF($M$13=0,1,$M$13),1),IF($D$4="Forint",0,2))</f>
        <v>0</v>
      </c>
      <c r="AX804" s="13"/>
      <c r="AY804" s="13"/>
      <c r="AZ804" s="13">
        <f>ROUNDUP(IF(SUM($AX804:$AY804)=0,0,IF(IF(ISBLANK($AY804),$AX804,$AY804)*Paraméterek!$J$112&lt;IF($D$4="Forint",Paraméterek!$J$113,Paraméterek!$K$113),IF($D$4="Forint",Paraméterek!$J$113,Paraméterek!$K$113),IF(IF(ISBLANK($AY804),$AX804,$AY804)*Paraméterek!$J$112&gt;IF($D$4="Forint",Paraméterek!$J$114,Paraméterek!$K$114),IF($D$4="Forint",Paraméterek!$J$114,Paraméterek!$K$114),IF(ISBLANK($AY804),$AX804,$AY804)*Paraméterek!$J$112))),IF($D$4="Forint",0,2))</f>
        <v>0</v>
      </c>
      <c r="BA804" s="13">
        <f ca="1">$AT804+$AV804-$AW804-IF(ROUNDDOWN(IF(ISBLANK($AY804),$AX804,$AY804),IF($D$4="Forint",0,2))&gt;$AT804+$AV804-$AW804-IF($D$4="Forint",Paraméterek!$J$114,Paraméterek!$K$114),0,ROUNDDOWN(IF(ISBLANK($AY804),$AX804,$AY804),IF($D$4="Forint",0,2))-$AZ804)</f>
        <v>0</v>
      </c>
      <c r="BB804" s="13">
        <f t="shared" ca="1" si="275"/>
        <v>0</v>
      </c>
      <c r="BD804" s="32">
        <v>785</v>
      </c>
      <c r="BE804" s="32">
        <v>66</v>
      </c>
      <c r="BF804" s="32">
        <v>5</v>
      </c>
      <c r="BG804" s="34">
        <f t="shared" ca="1" si="284"/>
        <v>2084</v>
      </c>
      <c r="BH804" s="32" t="str">
        <f ca="1">IF(MOD(MONTH($D$14)+$BD804-1,12)=Paraméterek!$C$288,"Igen","")</f>
        <v/>
      </c>
      <c r="BI804" s="13">
        <f ca="1">IF($BH804="Igen",MIN(ROUNDDOWN((SUMIF($BG$20:$BG$1027,$BG804-1,$K$20:$K$1027)-SUMIF($BG$20:$BG$1027,$BG804-1,$I$20:$I$1027))*Paraméterek!$C$289,IF($D$4="Forint",0,2)),IF($D$4="Forint",Paraméterek!$C$285,Paraméterek!$D$285)),0)</f>
        <v>0</v>
      </c>
      <c r="BJ804" s="13">
        <f t="shared" ca="1" si="276"/>
        <v>0</v>
      </c>
      <c r="BK804" s="13">
        <f t="shared" ca="1" si="285"/>
        <v>0</v>
      </c>
      <c r="BL804" s="33"/>
      <c r="BM804" s="13">
        <f t="shared" ca="1" si="277"/>
        <v>0</v>
      </c>
      <c r="BN804" s="13">
        <f ca="1">ROUNDUP(($BK804+$BM804)*VLOOKUP($BE804,Paraméterek!$P$38:$Q$38,2)/12*IF($D805="Nem",IF($M$13=0,1,$M$13),1),IF($D$4="Forint",0,2))</f>
        <v>0</v>
      </c>
      <c r="BO804" s="13">
        <f t="shared" ca="1" si="278"/>
        <v>0</v>
      </c>
      <c r="BP804" s="13">
        <f ca="1">IF($D805="Nem",$BO804,$BO804-ROUNDUP(SUM($BI$20:$BI804)*120%,IF($D$4="Forint",0,2)))</f>
        <v>0</v>
      </c>
    </row>
    <row r="805" spans="1:68" x14ac:dyDescent="0.2">
      <c r="A805" s="32">
        <v>786</v>
      </c>
      <c r="B805" s="32">
        <v>66</v>
      </c>
      <c r="C805" s="32">
        <v>6</v>
      </c>
      <c r="D805" s="32" t="str">
        <f t="shared" ca="1" si="264"/>
        <v>Nem</v>
      </c>
      <c r="E805" s="13">
        <f t="shared" ca="1" si="265"/>
        <v>0</v>
      </c>
      <c r="F805" s="13"/>
      <c r="G805" s="13"/>
      <c r="H805" s="13"/>
      <c r="I805" s="13">
        <f t="shared" ca="1" si="266"/>
        <v>0</v>
      </c>
      <c r="J805" s="13">
        <f t="shared" ca="1" si="267"/>
        <v>0</v>
      </c>
      <c r="K805" s="13">
        <f t="shared" ca="1" si="268"/>
        <v>0</v>
      </c>
      <c r="L805" s="13" t="e">
        <f ca="1">ROUNDUP(IF($D$2="Egyszeri",$E805,IF($D$2="Havi",SUM($E$20:$E$31),IF(MOD($C805,$M$1)-1=0,SUM($E$20:$E$31),0))/12*$M$1)*VLOOKUP($B805,Paraméterek!$I$28:$P$31,IF($D$2="Egyszeri",8,HLOOKUP(ROUNDUP($M$11+$M$13,0),Paraméterek!$J$26:$O$27,2))),IF($D$4="Forint",0,2))</f>
        <v>#N/A</v>
      </c>
      <c r="M805" s="13">
        <f t="shared" ca="1" si="269"/>
        <v>0</v>
      </c>
      <c r="N805" s="13">
        <f t="shared" ca="1" si="279"/>
        <v>0</v>
      </c>
      <c r="O805" s="13">
        <f ca="1">IF($D805="Igen",IF($W804&gt;=IF($D$4="Forint",Paraméterek!$J$121,Paraméterek!$K$121),0,IF($D$4="Forint",Paraméterek!$J$121,Paraméterek!$K$121)-$W804),0)</f>
        <v>0</v>
      </c>
      <c r="P805" s="13" t="e">
        <f ca="1">ROUNDUP($O805*VLOOKUP($M$4+$B805-1,Paraméterek!$H$58:$I$105,2,0)/Paraméterek!$I$56,IF($D$4="Forint",0,2))</f>
        <v>#N/A</v>
      </c>
      <c r="Q805" s="13">
        <f t="shared" ca="1" si="270"/>
        <v>0</v>
      </c>
      <c r="R805" s="33"/>
      <c r="S805" s="13" t="e">
        <f t="shared" ca="1" si="271"/>
        <v>#N/A</v>
      </c>
      <c r="T805" s="13" t="e">
        <f ca="1">ROUNDUP(($N805-$P805-$Q805+$S805)*VLOOKUP($B805,Paraméterek!$I$38:$K$39,IF($D$2="Egyszeri",3,2))/12*IF($D806="Nem",IF($M$13=0,1,$M$13),1),IF($D$4="Forint",0,2))</f>
        <v>#N/A</v>
      </c>
      <c r="U805" s="13"/>
      <c r="V805" s="13"/>
      <c r="W805" s="13" t="e">
        <f ca="1">$N805-$P805-$Q805+$S805-$T805-IF(ROUNDUP(IF(ISBLANK($V805),$U805*0,$V805)/IF($D$2="Egyszeri",VLOOKUP($B805+IF($C805=12,1,0),Paraméterek!$V$257:$W$262,2),IF($B805=1,1,VLOOKUP($B805+IF($C805=12,1,0),Paraméterek!$I$258:$T$278,HLOOKUP($M$11+1,Paraméterek!$J$256:$T$257,2)))),IF($D$4="Forint",0,2))&gt;$N805-$P805-$Q805+$S805-$T805-IF($D$4="Forint",Paraméterek!$C$216,Paraméterek!$D$216),0,ROUNDUP(IF(ISBLANK($V805),$U805*0,$V805)/IF($D$2="Egyszeri",VLOOKUP($B805+IF($C805=12,1,0),Paraméterek!$V$257:$W$262,2),IF($B805=1,1,VLOOKUP($B805+IF($C805=12,1,0),Paraméterek!$I$258:$T$278,HLOOKUP($M$11+1,Paraméterek!$J$256:$T$257,2)))),IF($D$4="Forint",0,2)))</f>
        <v>#N/A</v>
      </c>
      <c r="X805" s="13" t="e">
        <f ca="1">ROUNDDOWN($W805*IF($D$2="Egyszeri",VLOOKUP($B805+IF($C805=12,1,0),Paraméterek!$V$257:$W$262,2),VLOOKUP($B805+IF($C805=12,1,0),Paraméterek!$I$258:$T$278,HLOOKUP($M$11+1,Paraméterek!$I$256:$T$257,2))),IF($D$4="Forint",0,2))</f>
        <v>#N/A</v>
      </c>
      <c r="Z805" s="32">
        <v>786</v>
      </c>
      <c r="AA805" s="32">
        <v>66</v>
      </c>
      <c r="AB805" s="32">
        <v>6</v>
      </c>
      <c r="AC805" s="13">
        <f t="shared" ca="1" si="280"/>
        <v>0</v>
      </c>
      <c r="AD805" s="33"/>
      <c r="AE805" s="13">
        <f t="shared" ca="1" si="272"/>
        <v>0</v>
      </c>
      <c r="AF805" s="13">
        <f ca="1">ROUNDUP(($AC805+$AE805)*VLOOKUP($AA805,Paraméterek!$P$38:$Q$38,2)/12*IF($D806="Nem",IF($M$13=0,1,$M$13),1),IF($D$4="Forint",0,2))</f>
        <v>0</v>
      </c>
      <c r="AG805" s="13">
        <f ca="1">IF($D$2="Egyszeri",IF($D$7&gt;=IF($D$4="Forint",Paraméterek!$P$223,Paraméterek!$P$224),$D$7-IF($D$4="Forint",Paraméterek!$P$223,Paraméterek!$P$224),0),MIN(IF($AB805=12,AVERAGEIF($E$20:$E805,"&gt;0",$E$20:$E805)*12,0),SUM($E$20:$E$31)))</f>
        <v>0</v>
      </c>
      <c r="AH805" s="13">
        <f>IF($AA805=10,$AG805*IF($AB805=12,IF($AG805&lt;IF($D$4="Forint",Paraméterek!$L$223,Paraméterek!$L$224),0,VLOOKUP($AA805,Paraméterek!$K$226:$M$228,IF($AG805&lt;IF($D$4="Forint",Paraméterek!$M$223,Paraméterek!$M$224),2,3))),0),0)</f>
        <v>0</v>
      </c>
      <c r="AI805" s="13">
        <f ca="1">IF(AND($AA805=$M$11+1,$AB805=$M$12+1),SUMIF($AA$20:$AA$1027,$AA805,$AG$20:$AG$1027)*IF(SUMIF($AA$20:$AA$1027,$AA805,$AG$20:$AG$1027)&lt;IF($D$4="Forint",Paraméterek!$L$223,Paraméterek!$L$224),0,VLOOKUP($AA805,Paraméterek!$K$230:$M$250,IF(SUMIF($AA$20:$AA$1027,$AA805,$AG$20:$AG$1027)&lt;IF($D$4="Forint",Paraméterek!$M$223,Paraméterek!$M$224),2,3))),0)</f>
        <v>0</v>
      </c>
      <c r="AJ805" s="13">
        <f ca="1">IF(AND($AA805&gt;=5,MOD($AA805,5)=0),IF($AB805=12,VLOOKUP($AA805,Paraméterek!$O$225:$P$240,2),0),IF(OR($AA805=3,$AA805=4),IF($AB805=12,VLOOKUP($AA805,Paraméterek!$O$225:$P$240,2,0),0),0))*$AG805</f>
        <v>0</v>
      </c>
      <c r="AK805" s="13">
        <f t="shared" ca="1" si="273"/>
        <v>0</v>
      </c>
      <c r="AL805" s="13">
        <f t="shared" ca="1" si="281"/>
        <v>0</v>
      </c>
      <c r="AM805" s="13">
        <f t="shared" ca="1" si="282"/>
        <v>0</v>
      </c>
      <c r="AO805" s="32">
        <v>786</v>
      </c>
      <c r="AP805" s="32">
        <v>66</v>
      </c>
      <c r="AQ805" s="32">
        <v>6</v>
      </c>
      <c r="AR805" s="13"/>
      <c r="AS805" s="32"/>
      <c r="AT805" s="13">
        <f t="shared" ca="1" si="283"/>
        <v>0</v>
      </c>
      <c r="AU805" s="33"/>
      <c r="AV805" s="13">
        <f t="shared" ca="1" si="274"/>
        <v>0</v>
      </c>
      <c r="AW805" s="13">
        <f ca="1">ROUNDUP(($AT805+$AV805)*VLOOKUP($AP805,Paraméterek!$P$38:$Q$38,2)/12*IF($D806="Nem",IF($M$13=0,1,$M$13),1),IF($D$4="Forint",0,2))</f>
        <v>0</v>
      </c>
      <c r="AX805" s="13"/>
      <c r="AY805" s="13"/>
      <c r="AZ805" s="13">
        <f>ROUNDUP(IF(SUM($AX805:$AY805)=0,0,IF(IF(ISBLANK($AY805),$AX805,$AY805)*Paraméterek!$J$112&lt;IF($D$4="Forint",Paraméterek!$J$113,Paraméterek!$K$113),IF($D$4="Forint",Paraméterek!$J$113,Paraméterek!$K$113),IF(IF(ISBLANK($AY805),$AX805,$AY805)*Paraméterek!$J$112&gt;IF($D$4="Forint",Paraméterek!$J$114,Paraméterek!$K$114),IF($D$4="Forint",Paraméterek!$J$114,Paraméterek!$K$114),IF(ISBLANK($AY805),$AX805,$AY805)*Paraméterek!$J$112))),IF($D$4="Forint",0,2))</f>
        <v>0</v>
      </c>
      <c r="BA805" s="13">
        <f ca="1">$AT805+$AV805-$AW805-IF(ROUNDDOWN(IF(ISBLANK($AY805),$AX805,$AY805),IF($D$4="Forint",0,2))&gt;$AT805+$AV805-$AW805-IF($D$4="Forint",Paraméterek!$J$114,Paraméterek!$K$114),0,ROUNDDOWN(IF(ISBLANK($AY805),$AX805,$AY805),IF($D$4="Forint",0,2))-$AZ805)</f>
        <v>0</v>
      </c>
      <c r="BB805" s="13">
        <f t="shared" ca="1" si="275"/>
        <v>0</v>
      </c>
      <c r="BD805" s="32">
        <v>786</v>
      </c>
      <c r="BE805" s="32">
        <v>66</v>
      </c>
      <c r="BF805" s="32">
        <v>6</v>
      </c>
      <c r="BG805" s="34">
        <f t="shared" ca="1" si="284"/>
        <v>2084</v>
      </c>
      <c r="BH805" s="32" t="str">
        <f ca="1">IF(MOD(MONTH($D$14)+$BD805-1,12)=Paraméterek!$C$288,"Igen","")</f>
        <v/>
      </c>
      <c r="BI805" s="13">
        <f ca="1">IF($BH805="Igen",MIN(ROUNDDOWN((SUMIF($BG$20:$BG$1027,$BG805-1,$K$20:$K$1027)-SUMIF($BG$20:$BG$1027,$BG805-1,$I$20:$I$1027))*Paraméterek!$C$289,IF($D$4="Forint",0,2)),IF($D$4="Forint",Paraméterek!$C$285,Paraméterek!$D$285)),0)</f>
        <v>0</v>
      </c>
      <c r="BJ805" s="13">
        <f t="shared" ca="1" si="276"/>
        <v>0</v>
      </c>
      <c r="BK805" s="13">
        <f t="shared" ca="1" si="285"/>
        <v>0</v>
      </c>
      <c r="BL805" s="33"/>
      <c r="BM805" s="13">
        <f t="shared" ca="1" si="277"/>
        <v>0</v>
      </c>
      <c r="BN805" s="13">
        <f ca="1">ROUNDUP(($BK805+$BM805)*VLOOKUP($BE805,Paraméterek!$P$38:$Q$38,2)/12*IF($D806="Nem",IF($M$13=0,1,$M$13),1),IF($D$4="Forint",0,2))</f>
        <v>0</v>
      </c>
      <c r="BO805" s="13">
        <f t="shared" ca="1" si="278"/>
        <v>0</v>
      </c>
      <c r="BP805" s="13">
        <f ca="1">IF($D806="Nem",$BO805,$BO805-ROUNDUP(SUM($BI$20:$BI805)*120%,IF($D$4="Forint",0,2)))</f>
        <v>0</v>
      </c>
    </row>
    <row r="806" spans="1:68" x14ac:dyDescent="0.2">
      <c r="A806" s="32">
        <v>787</v>
      </c>
      <c r="B806" s="32">
        <v>66</v>
      </c>
      <c r="C806" s="32">
        <v>7</v>
      </c>
      <c r="D806" s="32" t="str">
        <f t="shared" ca="1" si="264"/>
        <v>Nem</v>
      </c>
      <c r="E806" s="13">
        <f t="shared" ca="1" si="265"/>
        <v>0</v>
      </c>
      <c r="F806" s="13"/>
      <c r="G806" s="13"/>
      <c r="H806" s="13"/>
      <c r="I806" s="13">
        <f t="shared" ca="1" si="266"/>
        <v>0</v>
      </c>
      <c r="J806" s="13">
        <f t="shared" ca="1" si="267"/>
        <v>0</v>
      </c>
      <c r="K806" s="13">
        <f t="shared" ca="1" si="268"/>
        <v>0</v>
      </c>
      <c r="L806" s="13" t="e">
        <f ca="1">ROUNDUP(IF($D$2="Egyszeri",$E806,IF($D$2="Havi",SUM($E$20:$E$31),IF(MOD($C806,$M$1)-1=0,SUM($E$20:$E$31),0))/12*$M$1)*VLOOKUP($B806,Paraméterek!$I$28:$P$31,IF($D$2="Egyszeri",8,HLOOKUP(ROUNDUP($M$11+$M$13,0),Paraméterek!$J$26:$O$27,2))),IF($D$4="Forint",0,2))</f>
        <v>#N/A</v>
      </c>
      <c r="M806" s="13">
        <f t="shared" ca="1" si="269"/>
        <v>0</v>
      </c>
      <c r="N806" s="13">
        <f t="shared" ca="1" si="279"/>
        <v>0</v>
      </c>
      <c r="O806" s="13">
        <f ca="1">IF($D806="Igen",IF($W805&gt;=IF($D$4="Forint",Paraméterek!$J$121,Paraméterek!$K$121),0,IF($D$4="Forint",Paraméterek!$J$121,Paraméterek!$K$121)-$W805),0)</f>
        <v>0</v>
      </c>
      <c r="P806" s="13" t="e">
        <f ca="1">ROUNDUP($O806*VLOOKUP($M$4+$B806-1,Paraméterek!$H$58:$I$105,2,0)/Paraméterek!$I$56,IF($D$4="Forint",0,2))</f>
        <v>#N/A</v>
      </c>
      <c r="Q806" s="13">
        <f t="shared" ca="1" si="270"/>
        <v>0</v>
      </c>
      <c r="R806" s="33"/>
      <c r="S806" s="13" t="e">
        <f t="shared" ca="1" si="271"/>
        <v>#N/A</v>
      </c>
      <c r="T806" s="13" t="e">
        <f ca="1">ROUNDUP(($N806-$P806-$Q806+$S806)*VLOOKUP($B806,Paraméterek!$I$38:$K$39,IF($D$2="Egyszeri",3,2))/12*IF($D807="Nem",IF($M$13=0,1,$M$13),1),IF($D$4="Forint",0,2))</f>
        <v>#N/A</v>
      </c>
      <c r="U806" s="13"/>
      <c r="V806" s="13"/>
      <c r="W806" s="13" t="e">
        <f ca="1">$N806-$P806-$Q806+$S806-$T806-IF(ROUNDUP(IF(ISBLANK($V806),$U806*0,$V806)/IF($D$2="Egyszeri",VLOOKUP($B806+IF($C806=12,1,0),Paraméterek!$V$257:$W$262,2),IF($B806=1,1,VLOOKUP($B806+IF($C806=12,1,0),Paraméterek!$I$258:$T$278,HLOOKUP($M$11+1,Paraméterek!$J$256:$T$257,2)))),IF($D$4="Forint",0,2))&gt;$N806-$P806-$Q806+$S806-$T806-IF($D$4="Forint",Paraméterek!$C$216,Paraméterek!$D$216),0,ROUNDUP(IF(ISBLANK($V806),$U806*0,$V806)/IF($D$2="Egyszeri",VLOOKUP($B806+IF($C806=12,1,0),Paraméterek!$V$257:$W$262,2),IF($B806=1,1,VLOOKUP($B806+IF($C806=12,1,0),Paraméterek!$I$258:$T$278,HLOOKUP($M$11+1,Paraméterek!$J$256:$T$257,2)))),IF($D$4="Forint",0,2)))</f>
        <v>#N/A</v>
      </c>
      <c r="X806" s="13" t="e">
        <f ca="1">ROUNDDOWN($W806*IF($D$2="Egyszeri",VLOOKUP($B806+IF($C806=12,1,0),Paraméterek!$V$257:$W$262,2),VLOOKUP($B806+IF($C806=12,1,0),Paraméterek!$I$258:$T$278,HLOOKUP($M$11+1,Paraméterek!$I$256:$T$257,2))),IF($D$4="Forint",0,2))</f>
        <v>#N/A</v>
      </c>
      <c r="Z806" s="32">
        <v>787</v>
      </c>
      <c r="AA806" s="32">
        <v>66</v>
      </c>
      <c r="AB806" s="32">
        <v>7</v>
      </c>
      <c r="AC806" s="13">
        <f t="shared" ca="1" si="280"/>
        <v>0</v>
      </c>
      <c r="AD806" s="33"/>
      <c r="AE806" s="13">
        <f t="shared" ca="1" si="272"/>
        <v>0</v>
      </c>
      <c r="AF806" s="13">
        <f ca="1">ROUNDUP(($AC806+$AE806)*VLOOKUP($AA806,Paraméterek!$P$38:$Q$38,2)/12*IF($D807="Nem",IF($M$13=0,1,$M$13),1),IF($D$4="Forint",0,2))</f>
        <v>0</v>
      </c>
      <c r="AG806" s="13">
        <f ca="1">IF($D$2="Egyszeri",IF($D$7&gt;=IF($D$4="Forint",Paraméterek!$P$223,Paraméterek!$P$224),$D$7-IF($D$4="Forint",Paraméterek!$P$223,Paraméterek!$P$224),0),MIN(IF($AB806=12,AVERAGEIF($E$20:$E806,"&gt;0",$E$20:$E806)*12,0),SUM($E$20:$E$31)))</f>
        <v>0</v>
      </c>
      <c r="AH806" s="13">
        <f>IF($AA806=10,$AG806*IF($AB806=12,IF($AG806&lt;IF($D$4="Forint",Paraméterek!$L$223,Paraméterek!$L$224),0,VLOOKUP($AA806,Paraméterek!$K$226:$M$228,IF($AG806&lt;IF($D$4="Forint",Paraméterek!$M$223,Paraméterek!$M$224),2,3))),0),0)</f>
        <v>0</v>
      </c>
      <c r="AI806" s="13">
        <f ca="1">IF(AND($AA806=$M$11+1,$AB806=$M$12+1),SUMIF($AA$20:$AA$1027,$AA806,$AG$20:$AG$1027)*IF(SUMIF($AA$20:$AA$1027,$AA806,$AG$20:$AG$1027)&lt;IF($D$4="Forint",Paraméterek!$L$223,Paraméterek!$L$224),0,VLOOKUP($AA806,Paraméterek!$K$230:$M$250,IF(SUMIF($AA$20:$AA$1027,$AA806,$AG$20:$AG$1027)&lt;IF($D$4="Forint",Paraméterek!$M$223,Paraméterek!$M$224),2,3))),0)</f>
        <v>0</v>
      </c>
      <c r="AJ806" s="13">
        <f ca="1">IF(AND($AA806&gt;=5,MOD($AA806,5)=0),IF($AB806=12,VLOOKUP($AA806,Paraméterek!$O$225:$P$240,2),0),IF(OR($AA806=3,$AA806=4),IF($AB806=12,VLOOKUP($AA806,Paraméterek!$O$225:$P$240,2,0),0),0))*$AG806</f>
        <v>0</v>
      </c>
      <c r="AK806" s="13">
        <f t="shared" ca="1" si="273"/>
        <v>0</v>
      </c>
      <c r="AL806" s="13">
        <f t="shared" ca="1" si="281"/>
        <v>0</v>
      </c>
      <c r="AM806" s="13">
        <f t="shared" ca="1" si="282"/>
        <v>0</v>
      </c>
      <c r="AO806" s="32">
        <v>787</v>
      </c>
      <c r="AP806" s="32">
        <v>66</v>
      </c>
      <c r="AQ806" s="32">
        <v>7</v>
      </c>
      <c r="AR806" s="13"/>
      <c r="AS806" s="32"/>
      <c r="AT806" s="13">
        <f t="shared" ca="1" si="283"/>
        <v>0</v>
      </c>
      <c r="AU806" s="33"/>
      <c r="AV806" s="13">
        <f t="shared" ca="1" si="274"/>
        <v>0</v>
      </c>
      <c r="AW806" s="13">
        <f ca="1">ROUNDUP(($AT806+$AV806)*VLOOKUP($AP806,Paraméterek!$P$38:$Q$38,2)/12*IF($D807="Nem",IF($M$13=0,1,$M$13),1),IF($D$4="Forint",0,2))</f>
        <v>0</v>
      </c>
      <c r="AX806" s="13"/>
      <c r="AY806" s="13"/>
      <c r="AZ806" s="13">
        <f>ROUNDUP(IF(SUM($AX806:$AY806)=0,0,IF(IF(ISBLANK($AY806),$AX806,$AY806)*Paraméterek!$J$112&lt;IF($D$4="Forint",Paraméterek!$J$113,Paraméterek!$K$113),IF($D$4="Forint",Paraméterek!$J$113,Paraméterek!$K$113),IF(IF(ISBLANK($AY806),$AX806,$AY806)*Paraméterek!$J$112&gt;IF($D$4="Forint",Paraméterek!$J$114,Paraméterek!$K$114),IF($D$4="Forint",Paraméterek!$J$114,Paraméterek!$K$114),IF(ISBLANK($AY806),$AX806,$AY806)*Paraméterek!$J$112))),IF($D$4="Forint",0,2))</f>
        <v>0</v>
      </c>
      <c r="BA806" s="13">
        <f ca="1">$AT806+$AV806-$AW806-IF(ROUNDDOWN(IF(ISBLANK($AY806),$AX806,$AY806),IF($D$4="Forint",0,2))&gt;$AT806+$AV806-$AW806-IF($D$4="Forint",Paraméterek!$J$114,Paraméterek!$K$114),0,ROUNDDOWN(IF(ISBLANK($AY806),$AX806,$AY806),IF($D$4="Forint",0,2))-$AZ806)</f>
        <v>0</v>
      </c>
      <c r="BB806" s="13">
        <f t="shared" ca="1" si="275"/>
        <v>0</v>
      </c>
      <c r="BD806" s="32">
        <v>787</v>
      </c>
      <c r="BE806" s="32">
        <v>66</v>
      </c>
      <c r="BF806" s="32">
        <v>7</v>
      </c>
      <c r="BG806" s="34">
        <f t="shared" ca="1" si="284"/>
        <v>2084</v>
      </c>
      <c r="BH806" s="32" t="str">
        <f ca="1">IF(MOD(MONTH($D$14)+$BD806-1,12)=Paraméterek!$C$288,"Igen","")</f>
        <v/>
      </c>
      <c r="BI806" s="13">
        <f ca="1">IF($BH806="Igen",MIN(ROUNDDOWN((SUMIF($BG$20:$BG$1027,$BG806-1,$K$20:$K$1027)-SUMIF($BG$20:$BG$1027,$BG806-1,$I$20:$I$1027))*Paraméterek!$C$289,IF($D$4="Forint",0,2)),IF($D$4="Forint",Paraméterek!$C$285,Paraméterek!$D$285)),0)</f>
        <v>0</v>
      </c>
      <c r="BJ806" s="13">
        <f t="shared" ca="1" si="276"/>
        <v>0</v>
      </c>
      <c r="BK806" s="13">
        <f t="shared" ca="1" si="285"/>
        <v>0</v>
      </c>
      <c r="BL806" s="33"/>
      <c r="BM806" s="13">
        <f t="shared" ca="1" si="277"/>
        <v>0</v>
      </c>
      <c r="BN806" s="13">
        <f ca="1">ROUNDUP(($BK806+$BM806)*VLOOKUP($BE806,Paraméterek!$P$38:$Q$38,2)/12*IF($D807="Nem",IF($M$13=0,1,$M$13),1),IF($D$4="Forint",0,2))</f>
        <v>0</v>
      </c>
      <c r="BO806" s="13">
        <f t="shared" ca="1" si="278"/>
        <v>0</v>
      </c>
      <c r="BP806" s="13">
        <f ca="1">IF($D807="Nem",$BO806,$BO806-ROUNDUP(SUM($BI$20:$BI806)*120%,IF($D$4="Forint",0,2)))</f>
        <v>0</v>
      </c>
    </row>
    <row r="807" spans="1:68" x14ac:dyDescent="0.2">
      <c r="A807" s="32">
        <v>788</v>
      </c>
      <c r="B807" s="32">
        <v>66</v>
      </c>
      <c r="C807" s="32">
        <v>8</v>
      </c>
      <c r="D807" s="32" t="str">
        <f t="shared" ca="1" si="264"/>
        <v>Nem</v>
      </c>
      <c r="E807" s="13">
        <f t="shared" ca="1" si="265"/>
        <v>0</v>
      </c>
      <c r="F807" s="13"/>
      <c r="G807" s="13"/>
      <c r="H807" s="13"/>
      <c r="I807" s="13">
        <f t="shared" ca="1" si="266"/>
        <v>0</v>
      </c>
      <c r="J807" s="13">
        <f t="shared" ca="1" si="267"/>
        <v>0</v>
      </c>
      <c r="K807" s="13">
        <f t="shared" ca="1" si="268"/>
        <v>0</v>
      </c>
      <c r="L807" s="13" t="e">
        <f ca="1">ROUNDUP(IF($D$2="Egyszeri",$E807,IF($D$2="Havi",SUM($E$20:$E$31),IF(MOD($C807,$M$1)-1=0,SUM($E$20:$E$31),0))/12*$M$1)*VLOOKUP($B807,Paraméterek!$I$28:$P$31,IF($D$2="Egyszeri",8,HLOOKUP(ROUNDUP($M$11+$M$13,0),Paraméterek!$J$26:$O$27,2))),IF($D$4="Forint",0,2))</f>
        <v>#N/A</v>
      </c>
      <c r="M807" s="13">
        <f t="shared" ca="1" si="269"/>
        <v>0</v>
      </c>
      <c r="N807" s="13">
        <f t="shared" ca="1" si="279"/>
        <v>0</v>
      </c>
      <c r="O807" s="13">
        <f ca="1">IF($D807="Igen",IF($W806&gt;=IF($D$4="Forint",Paraméterek!$J$121,Paraméterek!$K$121),0,IF($D$4="Forint",Paraméterek!$J$121,Paraméterek!$K$121)-$W806),0)</f>
        <v>0</v>
      </c>
      <c r="P807" s="13" t="e">
        <f ca="1">ROUNDUP($O807*VLOOKUP($M$4+$B807-1,Paraméterek!$H$58:$I$105,2,0)/Paraméterek!$I$56,IF($D$4="Forint",0,2))</f>
        <v>#N/A</v>
      </c>
      <c r="Q807" s="13">
        <f t="shared" ca="1" si="270"/>
        <v>0</v>
      </c>
      <c r="R807" s="33"/>
      <c r="S807" s="13" t="e">
        <f t="shared" ca="1" si="271"/>
        <v>#N/A</v>
      </c>
      <c r="T807" s="13" t="e">
        <f ca="1">ROUNDUP(($N807-$P807-$Q807+$S807)*VLOOKUP($B807,Paraméterek!$I$38:$K$39,IF($D$2="Egyszeri",3,2))/12*IF($D808="Nem",IF($M$13=0,1,$M$13),1),IF($D$4="Forint",0,2))</f>
        <v>#N/A</v>
      </c>
      <c r="U807" s="13"/>
      <c r="V807" s="13"/>
      <c r="W807" s="13" t="e">
        <f ca="1">$N807-$P807-$Q807+$S807-$T807-IF(ROUNDUP(IF(ISBLANK($V807),$U807*0,$V807)/IF($D$2="Egyszeri",VLOOKUP($B807+IF($C807=12,1,0),Paraméterek!$V$257:$W$262,2),IF($B807=1,1,VLOOKUP($B807+IF($C807=12,1,0),Paraméterek!$I$258:$T$278,HLOOKUP($M$11+1,Paraméterek!$J$256:$T$257,2)))),IF($D$4="Forint",0,2))&gt;$N807-$P807-$Q807+$S807-$T807-IF($D$4="Forint",Paraméterek!$C$216,Paraméterek!$D$216),0,ROUNDUP(IF(ISBLANK($V807),$U807*0,$V807)/IF($D$2="Egyszeri",VLOOKUP($B807+IF($C807=12,1,0),Paraméterek!$V$257:$W$262,2),IF($B807=1,1,VLOOKUP($B807+IF($C807=12,1,0),Paraméterek!$I$258:$T$278,HLOOKUP($M$11+1,Paraméterek!$J$256:$T$257,2)))),IF($D$4="Forint",0,2)))</f>
        <v>#N/A</v>
      </c>
      <c r="X807" s="13" t="e">
        <f ca="1">ROUNDDOWN($W807*IF($D$2="Egyszeri",VLOOKUP($B807+IF($C807=12,1,0),Paraméterek!$V$257:$W$262,2),VLOOKUP($B807+IF($C807=12,1,0),Paraméterek!$I$258:$T$278,HLOOKUP($M$11+1,Paraméterek!$I$256:$T$257,2))),IF($D$4="Forint",0,2))</f>
        <v>#N/A</v>
      </c>
      <c r="Z807" s="32">
        <v>788</v>
      </c>
      <c r="AA807" s="32">
        <v>66</v>
      </c>
      <c r="AB807" s="32">
        <v>8</v>
      </c>
      <c r="AC807" s="13">
        <f t="shared" ca="1" si="280"/>
        <v>0</v>
      </c>
      <c r="AD807" s="33"/>
      <c r="AE807" s="13">
        <f t="shared" ca="1" si="272"/>
        <v>0</v>
      </c>
      <c r="AF807" s="13">
        <f ca="1">ROUNDUP(($AC807+$AE807)*VLOOKUP($AA807,Paraméterek!$P$38:$Q$38,2)/12*IF($D808="Nem",IF($M$13=0,1,$M$13),1),IF($D$4="Forint",0,2))</f>
        <v>0</v>
      </c>
      <c r="AG807" s="13">
        <f ca="1">IF($D$2="Egyszeri",IF($D$7&gt;=IF($D$4="Forint",Paraméterek!$P$223,Paraméterek!$P$224),$D$7-IF($D$4="Forint",Paraméterek!$P$223,Paraméterek!$P$224),0),MIN(IF($AB807=12,AVERAGEIF($E$20:$E807,"&gt;0",$E$20:$E807)*12,0),SUM($E$20:$E$31)))</f>
        <v>0</v>
      </c>
      <c r="AH807" s="13">
        <f>IF($AA807=10,$AG807*IF($AB807=12,IF($AG807&lt;IF($D$4="Forint",Paraméterek!$L$223,Paraméterek!$L$224),0,VLOOKUP($AA807,Paraméterek!$K$226:$M$228,IF($AG807&lt;IF($D$4="Forint",Paraméterek!$M$223,Paraméterek!$M$224),2,3))),0),0)</f>
        <v>0</v>
      </c>
      <c r="AI807" s="13">
        <f ca="1">IF(AND($AA807=$M$11+1,$AB807=$M$12+1),SUMIF($AA$20:$AA$1027,$AA807,$AG$20:$AG$1027)*IF(SUMIF($AA$20:$AA$1027,$AA807,$AG$20:$AG$1027)&lt;IF($D$4="Forint",Paraméterek!$L$223,Paraméterek!$L$224),0,VLOOKUP($AA807,Paraméterek!$K$230:$M$250,IF(SUMIF($AA$20:$AA$1027,$AA807,$AG$20:$AG$1027)&lt;IF($D$4="Forint",Paraméterek!$M$223,Paraméterek!$M$224),2,3))),0)</f>
        <v>0</v>
      </c>
      <c r="AJ807" s="13">
        <f ca="1">IF(AND($AA807&gt;=5,MOD($AA807,5)=0),IF($AB807=12,VLOOKUP($AA807,Paraméterek!$O$225:$P$240,2),0),IF(OR($AA807=3,$AA807=4),IF($AB807=12,VLOOKUP($AA807,Paraméterek!$O$225:$P$240,2,0),0),0))*$AG807</f>
        <v>0</v>
      </c>
      <c r="AK807" s="13">
        <f t="shared" ca="1" si="273"/>
        <v>0</v>
      </c>
      <c r="AL807" s="13">
        <f t="shared" ca="1" si="281"/>
        <v>0</v>
      </c>
      <c r="AM807" s="13">
        <f t="shared" ca="1" si="282"/>
        <v>0</v>
      </c>
      <c r="AO807" s="32">
        <v>788</v>
      </c>
      <c r="AP807" s="32">
        <v>66</v>
      </c>
      <c r="AQ807" s="32">
        <v>8</v>
      </c>
      <c r="AR807" s="13"/>
      <c r="AS807" s="32"/>
      <c r="AT807" s="13">
        <f t="shared" ca="1" si="283"/>
        <v>0</v>
      </c>
      <c r="AU807" s="33"/>
      <c r="AV807" s="13">
        <f t="shared" ca="1" si="274"/>
        <v>0</v>
      </c>
      <c r="AW807" s="13">
        <f ca="1">ROUNDUP(($AT807+$AV807)*VLOOKUP($AP807,Paraméterek!$P$38:$Q$38,2)/12*IF($D808="Nem",IF($M$13=0,1,$M$13),1),IF($D$4="Forint",0,2))</f>
        <v>0</v>
      </c>
      <c r="AX807" s="13"/>
      <c r="AY807" s="13"/>
      <c r="AZ807" s="13">
        <f>ROUNDUP(IF(SUM($AX807:$AY807)=0,0,IF(IF(ISBLANK($AY807),$AX807,$AY807)*Paraméterek!$J$112&lt;IF($D$4="Forint",Paraméterek!$J$113,Paraméterek!$K$113),IF($D$4="Forint",Paraméterek!$J$113,Paraméterek!$K$113),IF(IF(ISBLANK($AY807),$AX807,$AY807)*Paraméterek!$J$112&gt;IF($D$4="Forint",Paraméterek!$J$114,Paraméterek!$K$114),IF($D$4="Forint",Paraméterek!$J$114,Paraméterek!$K$114),IF(ISBLANK($AY807),$AX807,$AY807)*Paraméterek!$J$112))),IF($D$4="Forint",0,2))</f>
        <v>0</v>
      </c>
      <c r="BA807" s="13">
        <f ca="1">$AT807+$AV807-$AW807-IF(ROUNDDOWN(IF(ISBLANK($AY807),$AX807,$AY807),IF($D$4="Forint",0,2))&gt;$AT807+$AV807-$AW807-IF($D$4="Forint",Paraméterek!$J$114,Paraméterek!$K$114),0,ROUNDDOWN(IF(ISBLANK($AY807),$AX807,$AY807),IF($D$4="Forint",0,2))-$AZ807)</f>
        <v>0</v>
      </c>
      <c r="BB807" s="13">
        <f t="shared" ca="1" si="275"/>
        <v>0</v>
      </c>
      <c r="BD807" s="32">
        <v>788</v>
      </c>
      <c r="BE807" s="32">
        <v>66</v>
      </c>
      <c r="BF807" s="32">
        <v>8</v>
      </c>
      <c r="BG807" s="34">
        <f t="shared" ca="1" si="284"/>
        <v>2085</v>
      </c>
      <c r="BH807" s="32" t="str">
        <f ca="1">IF(MOD(MONTH($D$14)+$BD807-1,12)=Paraméterek!$C$288,"Igen","")</f>
        <v/>
      </c>
      <c r="BI807" s="13">
        <f ca="1">IF($BH807="Igen",MIN(ROUNDDOWN((SUMIF($BG$20:$BG$1027,$BG807-1,$K$20:$K$1027)-SUMIF($BG$20:$BG$1027,$BG807-1,$I$20:$I$1027))*Paraméterek!$C$289,IF($D$4="Forint",0,2)),IF($D$4="Forint",Paraméterek!$C$285,Paraméterek!$D$285)),0)</f>
        <v>0</v>
      </c>
      <c r="BJ807" s="13">
        <f t="shared" ca="1" si="276"/>
        <v>0</v>
      </c>
      <c r="BK807" s="13">
        <f t="shared" ca="1" si="285"/>
        <v>0</v>
      </c>
      <c r="BL807" s="33"/>
      <c r="BM807" s="13">
        <f t="shared" ca="1" si="277"/>
        <v>0</v>
      </c>
      <c r="BN807" s="13">
        <f ca="1">ROUNDUP(($BK807+$BM807)*VLOOKUP($BE807,Paraméterek!$P$38:$Q$38,2)/12*IF($D808="Nem",IF($M$13=0,1,$M$13),1),IF($D$4="Forint",0,2))</f>
        <v>0</v>
      </c>
      <c r="BO807" s="13">
        <f t="shared" ca="1" si="278"/>
        <v>0</v>
      </c>
      <c r="BP807" s="13">
        <f ca="1">IF($D808="Nem",$BO807,$BO807-ROUNDUP(SUM($BI$20:$BI807)*120%,IF($D$4="Forint",0,2)))</f>
        <v>0</v>
      </c>
    </row>
    <row r="808" spans="1:68" x14ac:dyDescent="0.2">
      <c r="A808" s="32">
        <v>789</v>
      </c>
      <c r="B808" s="32">
        <v>66</v>
      </c>
      <c r="C808" s="32">
        <v>9</v>
      </c>
      <c r="D808" s="32" t="str">
        <f t="shared" ca="1" si="264"/>
        <v>Nem</v>
      </c>
      <c r="E808" s="13">
        <f t="shared" ca="1" si="265"/>
        <v>0</v>
      </c>
      <c r="F808" s="13"/>
      <c r="G808" s="13"/>
      <c r="H808" s="13"/>
      <c r="I808" s="13">
        <f t="shared" ca="1" si="266"/>
        <v>0</v>
      </c>
      <c r="J808" s="13">
        <f t="shared" ca="1" si="267"/>
        <v>0</v>
      </c>
      <c r="K808" s="13">
        <f t="shared" ca="1" si="268"/>
        <v>0</v>
      </c>
      <c r="L808" s="13" t="e">
        <f ca="1">ROUNDUP(IF($D$2="Egyszeri",$E808,IF($D$2="Havi",SUM($E$20:$E$31),IF(MOD($C808,$M$1)-1=0,SUM($E$20:$E$31),0))/12*$M$1)*VLOOKUP($B808,Paraméterek!$I$28:$P$31,IF($D$2="Egyszeri",8,HLOOKUP(ROUNDUP($M$11+$M$13,0),Paraméterek!$J$26:$O$27,2))),IF($D$4="Forint",0,2))</f>
        <v>#N/A</v>
      </c>
      <c r="M808" s="13">
        <f t="shared" ca="1" si="269"/>
        <v>0</v>
      </c>
      <c r="N808" s="13">
        <f t="shared" ca="1" si="279"/>
        <v>0</v>
      </c>
      <c r="O808" s="13">
        <f ca="1">IF($D808="Igen",IF($W807&gt;=IF($D$4="Forint",Paraméterek!$J$121,Paraméterek!$K$121),0,IF($D$4="Forint",Paraméterek!$J$121,Paraméterek!$K$121)-$W807),0)</f>
        <v>0</v>
      </c>
      <c r="P808" s="13" t="e">
        <f ca="1">ROUNDUP($O808*VLOOKUP($M$4+$B808-1,Paraméterek!$H$58:$I$105,2,0)/Paraméterek!$I$56,IF($D$4="Forint",0,2))</f>
        <v>#N/A</v>
      </c>
      <c r="Q808" s="13">
        <f t="shared" ca="1" si="270"/>
        <v>0</v>
      </c>
      <c r="R808" s="33"/>
      <c r="S808" s="13" t="e">
        <f t="shared" ca="1" si="271"/>
        <v>#N/A</v>
      </c>
      <c r="T808" s="13" t="e">
        <f ca="1">ROUNDUP(($N808-$P808-$Q808+$S808)*VLOOKUP($B808,Paraméterek!$I$38:$K$39,IF($D$2="Egyszeri",3,2))/12*IF($D809="Nem",IF($M$13=0,1,$M$13),1),IF($D$4="Forint",0,2))</f>
        <v>#N/A</v>
      </c>
      <c r="U808" s="13"/>
      <c r="V808" s="13"/>
      <c r="W808" s="13" t="e">
        <f ca="1">$N808-$P808-$Q808+$S808-$T808-IF(ROUNDUP(IF(ISBLANK($V808),$U808*0,$V808)/IF($D$2="Egyszeri",VLOOKUP($B808+IF($C808=12,1,0),Paraméterek!$V$257:$W$262,2),IF($B808=1,1,VLOOKUP($B808+IF($C808=12,1,0),Paraméterek!$I$258:$T$278,HLOOKUP($M$11+1,Paraméterek!$J$256:$T$257,2)))),IF($D$4="Forint",0,2))&gt;$N808-$P808-$Q808+$S808-$T808-IF($D$4="Forint",Paraméterek!$C$216,Paraméterek!$D$216),0,ROUNDUP(IF(ISBLANK($V808),$U808*0,$V808)/IF($D$2="Egyszeri",VLOOKUP($B808+IF($C808=12,1,0),Paraméterek!$V$257:$W$262,2),IF($B808=1,1,VLOOKUP($B808+IF($C808=12,1,0),Paraméterek!$I$258:$T$278,HLOOKUP($M$11+1,Paraméterek!$J$256:$T$257,2)))),IF($D$4="Forint",0,2)))</f>
        <v>#N/A</v>
      </c>
      <c r="X808" s="13" t="e">
        <f ca="1">ROUNDDOWN($W808*IF($D$2="Egyszeri",VLOOKUP($B808+IF($C808=12,1,0),Paraméterek!$V$257:$W$262,2),VLOOKUP($B808+IF($C808=12,1,0),Paraméterek!$I$258:$T$278,HLOOKUP($M$11+1,Paraméterek!$I$256:$T$257,2))),IF($D$4="Forint",0,2))</f>
        <v>#N/A</v>
      </c>
      <c r="Z808" s="32">
        <v>789</v>
      </c>
      <c r="AA808" s="32">
        <v>66</v>
      </c>
      <c r="AB808" s="32">
        <v>9</v>
      </c>
      <c r="AC808" s="13">
        <f t="shared" ca="1" si="280"/>
        <v>0</v>
      </c>
      <c r="AD808" s="33"/>
      <c r="AE808" s="13">
        <f t="shared" ca="1" si="272"/>
        <v>0</v>
      </c>
      <c r="AF808" s="13">
        <f ca="1">ROUNDUP(($AC808+$AE808)*VLOOKUP($AA808,Paraméterek!$P$38:$Q$38,2)/12*IF($D809="Nem",IF($M$13=0,1,$M$13),1),IF($D$4="Forint",0,2))</f>
        <v>0</v>
      </c>
      <c r="AG808" s="13">
        <f ca="1">IF($D$2="Egyszeri",IF($D$7&gt;=IF($D$4="Forint",Paraméterek!$P$223,Paraméterek!$P$224),$D$7-IF($D$4="Forint",Paraméterek!$P$223,Paraméterek!$P$224),0),MIN(IF($AB808=12,AVERAGEIF($E$20:$E808,"&gt;0",$E$20:$E808)*12,0),SUM($E$20:$E$31)))</f>
        <v>0</v>
      </c>
      <c r="AH808" s="13">
        <f>IF($AA808=10,$AG808*IF($AB808=12,IF($AG808&lt;IF($D$4="Forint",Paraméterek!$L$223,Paraméterek!$L$224),0,VLOOKUP($AA808,Paraméterek!$K$226:$M$228,IF($AG808&lt;IF($D$4="Forint",Paraméterek!$M$223,Paraméterek!$M$224),2,3))),0),0)</f>
        <v>0</v>
      </c>
      <c r="AI808" s="13">
        <f ca="1">IF(AND($AA808=$M$11+1,$AB808=$M$12+1),SUMIF($AA$20:$AA$1027,$AA808,$AG$20:$AG$1027)*IF(SUMIF($AA$20:$AA$1027,$AA808,$AG$20:$AG$1027)&lt;IF($D$4="Forint",Paraméterek!$L$223,Paraméterek!$L$224),0,VLOOKUP($AA808,Paraméterek!$K$230:$M$250,IF(SUMIF($AA$20:$AA$1027,$AA808,$AG$20:$AG$1027)&lt;IF($D$4="Forint",Paraméterek!$M$223,Paraméterek!$M$224),2,3))),0)</f>
        <v>0</v>
      </c>
      <c r="AJ808" s="13">
        <f ca="1">IF(AND($AA808&gt;=5,MOD($AA808,5)=0),IF($AB808=12,VLOOKUP($AA808,Paraméterek!$O$225:$P$240,2),0),IF(OR($AA808=3,$AA808=4),IF($AB808=12,VLOOKUP($AA808,Paraméterek!$O$225:$P$240,2,0),0),0))*$AG808</f>
        <v>0</v>
      </c>
      <c r="AK808" s="13">
        <f t="shared" ca="1" si="273"/>
        <v>0</v>
      </c>
      <c r="AL808" s="13">
        <f t="shared" ca="1" si="281"/>
        <v>0</v>
      </c>
      <c r="AM808" s="13">
        <f t="shared" ca="1" si="282"/>
        <v>0</v>
      </c>
      <c r="AO808" s="32">
        <v>789</v>
      </c>
      <c r="AP808" s="32">
        <v>66</v>
      </c>
      <c r="AQ808" s="32">
        <v>9</v>
      </c>
      <c r="AR808" s="13"/>
      <c r="AS808" s="32"/>
      <c r="AT808" s="13">
        <f t="shared" ca="1" si="283"/>
        <v>0</v>
      </c>
      <c r="AU808" s="33"/>
      <c r="AV808" s="13">
        <f t="shared" ca="1" si="274"/>
        <v>0</v>
      </c>
      <c r="AW808" s="13">
        <f ca="1">ROUNDUP(($AT808+$AV808)*VLOOKUP($AP808,Paraméterek!$P$38:$Q$38,2)/12*IF($D809="Nem",IF($M$13=0,1,$M$13),1),IF($D$4="Forint",0,2))</f>
        <v>0</v>
      </c>
      <c r="AX808" s="13"/>
      <c r="AY808" s="13"/>
      <c r="AZ808" s="13">
        <f>ROUNDUP(IF(SUM($AX808:$AY808)=0,0,IF(IF(ISBLANK($AY808),$AX808,$AY808)*Paraméterek!$J$112&lt;IF($D$4="Forint",Paraméterek!$J$113,Paraméterek!$K$113),IF($D$4="Forint",Paraméterek!$J$113,Paraméterek!$K$113),IF(IF(ISBLANK($AY808),$AX808,$AY808)*Paraméterek!$J$112&gt;IF($D$4="Forint",Paraméterek!$J$114,Paraméterek!$K$114),IF($D$4="Forint",Paraméterek!$J$114,Paraméterek!$K$114),IF(ISBLANK($AY808),$AX808,$AY808)*Paraméterek!$J$112))),IF($D$4="Forint",0,2))</f>
        <v>0</v>
      </c>
      <c r="BA808" s="13">
        <f ca="1">$AT808+$AV808-$AW808-IF(ROUNDDOWN(IF(ISBLANK($AY808),$AX808,$AY808),IF($D$4="Forint",0,2))&gt;$AT808+$AV808-$AW808-IF($D$4="Forint",Paraméterek!$J$114,Paraméterek!$K$114),0,ROUNDDOWN(IF(ISBLANK($AY808),$AX808,$AY808),IF($D$4="Forint",0,2))-$AZ808)</f>
        <v>0</v>
      </c>
      <c r="BB808" s="13">
        <f t="shared" ca="1" si="275"/>
        <v>0</v>
      </c>
      <c r="BD808" s="32">
        <v>789</v>
      </c>
      <c r="BE808" s="32">
        <v>66</v>
      </c>
      <c r="BF808" s="32">
        <v>9</v>
      </c>
      <c r="BG808" s="34">
        <f t="shared" ca="1" si="284"/>
        <v>2085</v>
      </c>
      <c r="BH808" s="32" t="str">
        <f ca="1">IF(MOD(MONTH($D$14)+$BD808-1,12)=Paraméterek!$C$288,"Igen","")</f>
        <v/>
      </c>
      <c r="BI808" s="13">
        <f ca="1">IF($BH808="Igen",MIN(ROUNDDOWN((SUMIF($BG$20:$BG$1027,$BG808-1,$K$20:$K$1027)-SUMIF($BG$20:$BG$1027,$BG808-1,$I$20:$I$1027))*Paraméterek!$C$289,IF($D$4="Forint",0,2)),IF($D$4="Forint",Paraméterek!$C$285,Paraméterek!$D$285)),0)</f>
        <v>0</v>
      </c>
      <c r="BJ808" s="13">
        <f t="shared" ca="1" si="276"/>
        <v>0</v>
      </c>
      <c r="BK808" s="13">
        <f t="shared" ca="1" si="285"/>
        <v>0</v>
      </c>
      <c r="BL808" s="33"/>
      <c r="BM808" s="13">
        <f t="shared" ca="1" si="277"/>
        <v>0</v>
      </c>
      <c r="BN808" s="13">
        <f ca="1">ROUNDUP(($BK808+$BM808)*VLOOKUP($BE808,Paraméterek!$P$38:$Q$38,2)/12*IF($D809="Nem",IF($M$13=0,1,$M$13),1),IF($D$4="Forint",0,2))</f>
        <v>0</v>
      </c>
      <c r="BO808" s="13">
        <f t="shared" ca="1" si="278"/>
        <v>0</v>
      </c>
      <c r="BP808" s="13">
        <f ca="1">IF($D809="Nem",$BO808,$BO808-ROUNDUP(SUM($BI$20:$BI808)*120%,IF($D$4="Forint",0,2)))</f>
        <v>0</v>
      </c>
    </row>
    <row r="809" spans="1:68" x14ac:dyDescent="0.2">
      <c r="A809" s="32">
        <v>790</v>
      </c>
      <c r="B809" s="32">
        <v>66</v>
      </c>
      <c r="C809" s="32">
        <v>10</v>
      </c>
      <c r="D809" s="32" t="str">
        <f t="shared" ca="1" si="264"/>
        <v>Nem</v>
      </c>
      <c r="E809" s="13">
        <f t="shared" ca="1" si="265"/>
        <v>0</v>
      </c>
      <c r="F809" s="13"/>
      <c r="G809" s="13"/>
      <c r="H809" s="13"/>
      <c r="I809" s="13">
        <f t="shared" ca="1" si="266"/>
        <v>0</v>
      </c>
      <c r="J809" s="13">
        <f t="shared" ca="1" si="267"/>
        <v>0</v>
      </c>
      <c r="K809" s="13">
        <f t="shared" ca="1" si="268"/>
        <v>0</v>
      </c>
      <c r="L809" s="13" t="e">
        <f ca="1">ROUNDUP(IF($D$2="Egyszeri",$E809,IF($D$2="Havi",SUM($E$20:$E$31),IF(MOD($C809,$M$1)-1=0,SUM($E$20:$E$31),0))/12*$M$1)*VLOOKUP($B809,Paraméterek!$I$28:$P$31,IF($D$2="Egyszeri",8,HLOOKUP(ROUNDUP($M$11+$M$13,0),Paraméterek!$J$26:$O$27,2))),IF($D$4="Forint",0,2))</f>
        <v>#N/A</v>
      </c>
      <c r="M809" s="13">
        <f t="shared" ca="1" si="269"/>
        <v>0</v>
      </c>
      <c r="N809" s="13">
        <f t="shared" ca="1" si="279"/>
        <v>0</v>
      </c>
      <c r="O809" s="13">
        <f ca="1">IF($D809="Igen",IF($W808&gt;=IF($D$4="Forint",Paraméterek!$J$121,Paraméterek!$K$121),0,IF($D$4="Forint",Paraméterek!$J$121,Paraméterek!$K$121)-$W808),0)</f>
        <v>0</v>
      </c>
      <c r="P809" s="13" t="e">
        <f ca="1">ROUNDUP($O809*VLOOKUP($M$4+$B809-1,Paraméterek!$H$58:$I$105,2,0)/Paraméterek!$I$56,IF($D$4="Forint",0,2))</f>
        <v>#N/A</v>
      </c>
      <c r="Q809" s="13">
        <f t="shared" ca="1" si="270"/>
        <v>0</v>
      </c>
      <c r="R809" s="33"/>
      <c r="S809" s="13" t="e">
        <f t="shared" ca="1" si="271"/>
        <v>#N/A</v>
      </c>
      <c r="T809" s="13" t="e">
        <f ca="1">ROUNDUP(($N809-$P809-$Q809+$S809)*VLOOKUP($B809,Paraméterek!$I$38:$K$39,IF($D$2="Egyszeri",3,2))/12*IF($D810="Nem",IF($M$13=0,1,$M$13),1),IF($D$4="Forint",0,2))</f>
        <v>#N/A</v>
      </c>
      <c r="U809" s="13"/>
      <c r="V809" s="13"/>
      <c r="W809" s="13" t="e">
        <f ca="1">$N809-$P809-$Q809+$S809-$T809-IF(ROUNDUP(IF(ISBLANK($V809),$U809*0,$V809)/IF($D$2="Egyszeri",VLOOKUP($B809+IF($C809=12,1,0),Paraméterek!$V$257:$W$262,2),IF($B809=1,1,VLOOKUP($B809+IF($C809=12,1,0),Paraméterek!$I$258:$T$278,HLOOKUP($M$11+1,Paraméterek!$J$256:$T$257,2)))),IF($D$4="Forint",0,2))&gt;$N809-$P809-$Q809+$S809-$T809-IF($D$4="Forint",Paraméterek!$C$216,Paraméterek!$D$216),0,ROUNDUP(IF(ISBLANK($V809),$U809*0,$V809)/IF($D$2="Egyszeri",VLOOKUP($B809+IF($C809=12,1,0),Paraméterek!$V$257:$W$262,2),IF($B809=1,1,VLOOKUP($B809+IF($C809=12,1,0),Paraméterek!$I$258:$T$278,HLOOKUP($M$11+1,Paraméterek!$J$256:$T$257,2)))),IF($D$4="Forint",0,2)))</f>
        <v>#N/A</v>
      </c>
      <c r="X809" s="13" t="e">
        <f ca="1">ROUNDDOWN($W809*IF($D$2="Egyszeri",VLOOKUP($B809+IF($C809=12,1,0),Paraméterek!$V$257:$W$262,2),VLOOKUP($B809+IF($C809=12,1,0),Paraméterek!$I$258:$T$278,HLOOKUP($M$11+1,Paraméterek!$I$256:$T$257,2))),IF($D$4="Forint",0,2))</f>
        <v>#N/A</v>
      </c>
      <c r="Z809" s="32">
        <v>790</v>
      </c>
      <c r="AA809" s="32">
        <v>66</v>
      </c>
      <c r="AB809" s="32">
        <v>10</v>
      </c>
      <c r="AC809" s="13">
        <f t="shared" ca="1" si="280"/>
        <v>0</v>
      </c>
      <c r="AD809" s="33"/>
      <c r="AE809" s="13">
        <f t="shared" ca="1" si="272"/>
        <v>0</v>
      </c>
      <c r="AF809" s="13">
        <f ca="1">ROUNDUP(($AC809+$AE809)*VLOOKUP($AA809,Paraméterek!$P$38:$Q$38,2)/12*IF($D810="Nem",IF($M$13=0,1,$M$13),1),IF($D$4="Forint",0,2))</f>
        <v>0</v>
      </c>
      <c r="AG809" s="13">
        <f ca="1">IF($D$2="Egyszeri",IF($D$7&gt;=IF($D$4="Forint",Paraméterek!$P$223,Paraméterek!$P$224),$D$7-IF($D$4="Forint",Paraméterek!$P$223,Paraméterek!$P$224),0),MIN(IF($AB809=12,AVERAGEIF($E$20:$E809,"&gt;0",$E$20:$E809)*12,0),SUM($E$20:$E$31)))</f>
        <v>0</v>
      </c>
      <c r="AH809" s="13">
        <f>IF($AA809=10,$AG809*IF($AB809=12,IF($AG809&lt;IF($D$4="Forint",Paraméterek!$L$223,Paraméterek!$L$224),0,VLOOKUP($AA809,Paraméterek!$K$226:$M$228,IF($AG809&lt;IF($D$4="Forint",Paraméterek!$M$223,Paraméterek!$M$224),2,3))),0),0)</f>
        <v>0</v>
      </c>
      <c r="AI809" s="13">
        <f ca="1">IF(AND($AA809=$M$11+1,$AB809=$M$12+1),SUMIF($AA$20:$AA$1027,$AA809,$AG$20:$AG$1027)*IF(SUMIF($AA$20:$AA$1027,$AA809,$AG$20:$AG$1027)&lt;IF($D$4="Forint",Paraméterek!$L$223,Paraméterek!$L$224),0,VLOOKUP($AA809,Paraméterek!$K$230:$M$250,IF(SUMIF($AA$20:$AA$1027,$AA809,$AG$20:$AG$1027)&lt;IF($D$4="Forint",Paraméterek!$M$223,Paraméterek!$M$224),2,3))),0)</f>
        <v>0</v>
      </c>
      <c r="AJ809" s="13">
        <f ca="1">IF(AND($AA809&gt;=5,MOD($AA809,5)=0),IF($AB809=12,VLOOKUP($AA809,Paraméterek!$O$225:$P$240,2),0),IF(OR($AA809=3,$AA809=4),IF($AB809=12,VLOOKUP($AA809,Paraméterek!$O$225:$P$240,2,0),0),0))*$AG809</f>
        <v>0</v>
      </c>
      <c r="AK809" s="13">
        <f t="shared" ca="1" si="273"/>
        <v>0</v>
      </c>
      <c r="AL809" s="13">
        <f t="shared" ca="1" si="281"/>
        <v>0</v>
      </c>
      <c r="AM809" s="13">
        <f t="shared" ca="1" si="282"/>
        <v>0</v>
      </c>
      <c r="AO809" s="32">
        <v>790</v>
      </c>
      <c r="AP809" s="32">
        <v>66</v>
      </c>
      <c r="AQ809" s="32">
        <v>10</v>
      </c>
      <c r="AR809" s="13"/>
      <c r="AS809" s="32"/>
      <c r="AT809" s="13">
        <f t="shared" ca="1" si="283"/>
        <v>0</v>
      </c>
      <c r="AU809" s="33"/>
      <c r="AV809" s="13">
        <f t="shared" ca="1" si="274"/>
        <v>0</v>
      </c>
      <c r="AW809" s="13">
        <f ca="1">ROUNDUP(($AT809+$AV809)*VLOOKUP($AP809,Paraméterek!$P$38:$Q$38,2)/12*IF($D810="Nem",IF($M$13=0,1,$M$13),1),IF($D$4="Forint",0,2))</f>
        <v>0</v>
      </c>
      <c r="AX809" s="13"/>
      <c r="AY809" s="13"/>
      <c r="AZ809" s="13">
        <f>ROUNDUP(IF(SUM($AX809:$AY809)=0,0,IF(IF(ISBLANK($AY809),$AX809,$AY809)*Paraméterek!$J$112&lt;IF($D$4="Forint",Paraméterek!$J$113,Paraméterek!$K$113),IF($D$4="Forint",Paraméterek!$J$113,Paraméterek!$K$113),IF(IF(ISBLANK($AY809),$AX809,$AY809)*Paraméterek!$J$112&gt;IF($D$4="Forint",Paraméterek!$J$114,Paraméterek!$K$114),IF($D$4="Forint",Paraméterek!$J$114,Paraméterek!$K$114),IF(ISBLANK($AY809),$AX809,$AY809)*Paraméterek!$J$112))),IF($D$4="Forint",0,2))</f>
        <v>0</v>
      </c>
      <c r="BA809" s="13">
        <f ca="1">$AT809+$AV809-$AW809-IF(ROUNDDOWN(IF(ISBLANK($AY809),$AX809,$AY809),IF($D$4="Forint",0,2))&gt;$AT809+$AV809-$AW809-IF($D$4="Forint",Paraméterek!$J$114,Paraméterek!$K$114),0,ROUNDDOWN(IF(ISBLANK($AY809),$AX809,$AY809),IF($D$4="Forint",0,2))-$AZ809)</f>
        <v>0</v>
      </c>
      <c r="BB809" s="13">
        <f t="shared" ca="1" si="275"/>
        <v>0</v>
      </c>
      <c r="BD809" s="32">
        <v>790</v>
      </c>
      <c r="BE809" s="32">
        <v>66</v>
      </c>
      <c r="BF809" s="32">
        <v>10</v>
      </c>
      <c r="BG809" s="34">
        <f t="shared" ca="1" si="284"/>
        <v>2085</v>
      </c>
      <c r="BH809" s="32" t="str">
        <f ca="1">IF(MOD(MONTH($D$14)+$BD809-1,12)=Paraméterek!$C$288,"Igen","")</f>
        <v/>
      </c>
      <c r="BI809" s="13">
        <f ca="1">IF($BH809="Igen",MIN(ROUNDDOWN((SUMIF($BG$20:$BG$1027,$BG809-1,$K$20:$K$1027)-SUMIF($BG$20:$BG$1027,$BG809-1,$I$20:$I$1027))*Paraméterek!$C$289,IF($D$4="Forint",0,2)),IF($D$4="Forint",Paraméterek!$C$285,Paraméterek!$D$285)),0)</f>
        <v>0</v>
      </c>
      <c r="BJ809" s="13">
        <f t="shared" ca="1" si="276"/>
        <v>0</v>
      </c>
      <c r="BK809" s="13">
        <f t="shared" ca="1" si="285"/>
        <v>0</v>
      </c>
      <c r="BL809" s="33"/>
      <c r="BM809" s="13">
        <f t="shared" ca="1" si="277"/>
        <v>0</v>
      </c>
      <c r="BN809" s="13">
        <f ca="1">ROUNDUP(($BK809+$BM809)*VLOOKUP($BE809,Paraméterek!$P$38:$Q$38,2)/12*IF($D810="Nem",IF($M$13=0,1,$M$13),1),IF($D$4="Forint",0,2))</f>
        <v>0</v>
      </c>
      <c r="BO809" s="13">
        <f t="shared" ca="1" si="278"/>
        <v>0</v>
      </c>
      <c r="BP809" s="13">
        <f ca="1">IF($D810="Nem",$BO809,$BO809-ROUNDUP(SUM($BI$20:$BI809)*120%,IF($D$4="Forint",0,2)))</f>
        <v>0</v>
      </c>
    </row>
    <row r="810" spans="1:68" x14ac:dyDescent="0.2">
      <c r="A810" s="32">
        <v>791</v>
      </c>
      <c r="B810" s="32">
        <v>66</v>
      </c>
      <c r="C810" s="32">
        <v>11</v>
      </c>
      <c r="D810" s="32" t="str">
        <f t="shared" ca="1" si="264"/>
        <v>Nem</v>
      </c>
      <c r="E810" s="13">
        <f t="shared" ca="1" si="265"/>
        <v>0</v>
      </c>
      <c r="F810" s="13"/>
      <c r="G810" s="13"/>
      <c r="H810" s="13"/>
      <c r="I810" s="13">
        <f t="shared" ca="1" si="266"/>
        <v>0</v>
      </c>
      <c r="J810" s="13">
        <f t="shared" ca="1" si="267"/>
        <v>0</v>
      </c>
      <c r="K810" s="13">
        <f t="shared" ca="1" si="268"/>
        <v>0</v>
      </c>
      <c r="L810" s="13" t="e">
        <f ca="1">ROUNDUP(IF($D$2="Egyszeri",$E810,IF($D$2="Havi",SUM($E$20:$E$31),IF(MOD($C810,$M$1)-1=0,SUM($E$20:$E$31),0))/12*$M$1)*VLOOKUP($B810,Paraméterek!$I$28:$P$31,IF($D$2="Egyszeri",8,HLOOKUP(ROUNDUP($M$11+$M$13,0),Paraméterek!$J$26:$O$27,2))),IF($D$4="Forint",0,2))</f>
        <v>#N/A</v>
      </c>
      <c r="M810" s="13">
        <f t="shared" ca="1" si="269"/>
        <v>0</v>
      </c>
      <c r="N810" s="13">
        <f t="shared" ca="1" si="279"/>
        <v>0</v>
      </c>
      <c r="O810" s="13">
        <f ca="1">IF($D810="Igen",IF($W809&gt;=IF($D$4="Forint",Paraméterek!$J$121,Paraméterek!$K$121),0,IF($D$4="Forint",Paraméterek!$J$121,Paraméterek!$K$121)-$W809),0)</f>
        <v>0</v>
      </c>
      <c r="P810" s="13" t="e">
        <f ca="1">ROUNDUP($O810*VLOOKUP($M$4+$B810-1,Paraméterek!$H$58:$I$105,2,0)/Paraméterek!$I$56,IF($D$4="Forint",0,2))</f>
        <v>#N/A</v>
      </c>
      <c r="Q810" s="13">
        <f t="shared" ca="1" si="270"/>
        <v>0</v>
      </c>
      <c r="R810" s="33"/>
      <c r="S810" s="13" t="e">
        <f t="shared" ca="1" si="271"/>
        <v>#N/A</v>
      </c>
      <c r="T810" s="13" t="e">
        <f ca="1">ROUNDUP(($N810-$P810-$Q810+$S810)*VLOOKUP($B810,Paraméterek!$I$38:$K$39,IF($D$2="Egyszeri",3,2))/12*IF($D811="Nem",IF($M$13=0,1,$M$13),1),IF($D$4="Forint",0,2))</f>
        <v>#N/A</v>
      </c>
      <c r="U810" s="13"/>
      <c r="V810" s="13"/>
      <c r="W810" s="13" t="e">
        <f ca="1">$N810-$P810-$Q810+$S810-$T810-IF(ROUNDUP(IF(ISBLANK($V810),$U810*0,$V810)/IF($D$2="Egyszeri",VLOOKUP($B810+IF($C810=12,1,0),Paraméterek!$V$257:$W$262,2),IF($B810=1,1,VLOOKUP($B810+IF($C810=12,1,0),Paraméterek!$I$258:$T$278,HLOOKUP($M$11+1,Paraméterek!$J$256:$T$257,2)))),IF($D$4="Forint",0,2))&gt;$N810-$P810-$Q810+$S810-$T810-IF($D$4="Forint",Paraméterek!$C$216,Paraméterek!$D$216),0,ROUNDUP(IF(ISBLANK($V810),$U810*0,$V810)/IF($D$2="Egyszeri",VLOOKUP($B810+IF($C810=12,1,0),Paraméterek!$V$257:$W$262,2),IF($B810=1,1,VLOOKUP($B810+IF($C810=12,1,0),Paraméterek!$I$258:$T$278,HLOOKUP($M$11+1,Paraméterek!$J$256:$T$257,2)))),IF($D$4="Forint",0,2)))</f>
        <v>#N/A</v>
      </c>
      <c r="X810" s="13" t="e">
        <f ca="1">ROUNDDOWN($W810*IF($D$2="Egyszeri",VLOOKUP($B810+IF($C810=12,1,0),Paraméterek!$V$257:$W$262,2),VLOOKUP($B810+IF($C810=12,1,0),Paraméterek!$I$258:$T$278,HLOOKUP($M$11+1,Paraméterek!$I$256:$T$257,2))),IF($D$4="Forint",0,2))</f>
        <v>#N/A</v>
      </c>
      <c r="Z810" s="32">
        <v>791</v>
      </c>
      <c r="AA810" s="32">
        <v>66</v>
      </c>
      <c r="AB810" s="32">
        <v>11</v>
      </c>
      <c r="AC810" s="13">
        <f t="shared" ca="1" si="280"/>
        <v>0</v>
      </c>
      <c r="AD810" s="33"/>
      <c r="AE810" s="13">
        <f t="shared" ca="1" si="272"/>
        <v>0</v>
      </c>
      <c r="AF810" s="13">
        <f ca="1">ROUNDUP(($AC810+$AE810)*VLOOKUP($AA810,Paraméterek!$P$38:$Q$38,2)/12*IF($D811="Nem",IF($M$13=0,1,$M$13),1),IF($D$4="Forint",0,2))</f>
        <v>0</v>
      </c>
      <c r="AG810" s="13">
        <f ca="1">IF($D$2="Egyszeri",IF($D$7&gt;=IF($D$4="Forint",Paraméterek!$P$223,Paraméterek!$P$224),$D$7-IF($D$4="Forint",Paraméterek!$P$223,Paraméterek!$P$224),0),MIN(IF($AB810=12,AVERAGEIF($E$20:$E810,"&gt;0",$E$20:$E810)*12,0),SUM($E$20:$E$31)))</f>
        <v>0</v>
      </c>
      <c r="AH810" s="13">
        <f>IF($AA810=10,$AG810*IF($AB810=12,IF($AG810&lt;IF($D$4="Forint",Paraméterek!$L$223,Paraméterek!$L$224),0,VLOOKUP($AA810,Paraméterek!$K$226:$M$228,IF($AG810&lt;IF($D$4="Forint",Paraméterek!$M$223,Paraméterek!$M$224),2,3))),0),0)</f>
        <v>0</v>
      </c>
      <c r="AI810" s="13">
        <f ca="1">IF(AND($AA810=$M$11+1,$AB810=$M$12+1),SUMIF($AA$20:$AA$1027,$AA810,$AG$20:$AG$1027)*IF(SUMIF($AA$20:$AA$1027,$AA810,$AG$20:$AG$1027)&lt;IF($D$4="Forint",Paraméterek!$L$223,Paraméterek!$L$224),0,VLOOKUP($AA810,Paraméterek!$K$230:$M$250,IF(SUMIF($AA$20:$AA$1027,$AA810,$AG$20:$AG$1027)&lt;IF($D$4="Forint",Paraméterek!$M$223,Paraméterek!$M$224),2,3))),0)</f>
        <v>0</v>
      </c>
      <c r="AJ810" s="13">
        <f ca="1">IF(AND($AA810&gt;=5,MOD($AA810,5)=0),IF($AB810=12,VLOOKUP($AA810,Paraméterek!$O$225:$P$240,2),0),IF(OR($AA810=3,$AA810=4),IF($AB810=12,VLOOKUP($AA810,Paraméterek!$O$225:$P$240,2,0),0),0))*$AG810</f>
        <v>0</v>
      </c>
      <c r="AK810" s="13">
        <f t="shared" ca="1" si="273"/>
        <v>0</v>
      </c>
      <c r="AL810" s="13">
        <f t="shared" ca="1" si="281"/>
        <v>0</v>
      </c>
      <c r="AM810" s="13">
        <f t="shared" ca="1" si="282"/>
        <v>0</v>
      </c>
      <c r="AO810" s="32">
        <v>791</v>
      </c>
      <c r="AP810" s="32">
        <v>66</v>
      </c>
      <c r="AQ810" s="32">
        <v>11</v>
      </c>
      <c r="AR810" s="13"/>
      <c r="AS810" s="32"/>
      <c r="AT810" s="13">
        <f t="shared" ca="1" si="283"/>
        <v>0</v>
      </c>
      <c r="AU810" s="33"/>
      <c r="AV810" s="13">
        <f t="shared" ca="1" si="274"/>
        <v>0</v>
      </c>
      <c r="AW810" s="13">
        <f ca="1">ROUNDUP(($AT810+$AV810)*VLOOKUP($AP810,Paraméterek!$P$38:$Q$38,2)/12*IF($D811="Nem",IF($M$13=0,1,$M$13),1),IF($D$4="Forint",0,2))</f>
        <v>0</v>
      </c>
      <c r="AX810" s="13"/>
      <c r="AY810" s="13"/>
      <c r="AZ810" s="13">
        <f>ROUNDUP(IF(SUM($AX810:$AY810)=0,0,IF(IF(ISBLANK($AY810),$AX810,$AY810)*Paraméterek!$J$112&lt;IF($D$4="Forint",Paraméterek!$J$113,Paraméterek!$K$113),IF($D$4="Forint",Paraméterek!$J$113,Paraméterek!$K$113),IF(IF(ISBLANK($AY810),$AX810,$AY810)*Paraméterek!$J$112&gt;IF($D$4="Forint",Paraméterek!$J$114,Paraméterek!$K$114),IF($D$4="Forint",Paraméterek!$J$114,Paraméterek!$K$114),IF(ISBLANK($AY810),$AX810,$AY810)*Paraméterek!$J$112))),IF($D$4="Forint",0,2))</f>
        <v>0</v>
      </c>
      <c r="BA810" s="13">
        <f ca="1">$AT810+$AV810-$AW810-IF(ROUNDDOWN(IF(ISBLANK($AY810),$AX810,$AY810),IF($D$4="Forint",0,2))&gt;$AT810+$AV810-$AW810-IF($D$4="Forint",Paraméterek!$J$114,Paraméterek!$K$114),0,ROUNDDOWN(IF(ISBLANK($AY810),$AX810,$AY810),IF($D$4="Forint",0,2))-$AZ810)</f>
        <v>0</v>
      </c>
      <c r="BB810" s="13">
        <f t="shared" ca="1" si="275"/>
        <v>0</v>
      </c>
      <c r="BD810" s="32">
        <v>791</v>
      </c>
      <c r="BE810" s="32">
        <v>66</v>
      </c>
      <c r="BF810" s="32">
        <v>11</v>
      </c>
      <c r="BG810" s="34">
        <f t="shared" ca="1" si="284"/>
        <v>2085</v>
      </c>
      <c r="BH810" s="32" t="str">
        <f ca="1">IF(MOD(MONTH($D$14)+$BD810-1,12)=Paraméterek!$C$288,"Igen","")</f>
        <v/>
      </c>
      <c r="BI810" s="13">
        <f ca="1">IF($BH810="Igen",MIN(ROUNDDOWN((SUMIF($BG$20:$BG$1027,$BG810-1,$K$20:$K$1027)-SUMIF($BG$20:$BG$1027,$BG810-1,$I$20:$I$1027))*Paraméterek!$C$289,IF($D$4="Forint",0,2)),IF($D$4="Forint",Paraméterek!$C$285,Paraméterek!$D$285)),0)</f>
        <v>0</v>
      </c>
      <c r="BJ810" s="13">
        <f t="shared" ca="1" si="276"/>
        <v>0</v>
      </c>
      <c r="BK810" s="13">
        <f t="shared" ca="1" si="285"/>
        <v>0</v>
      </c>
      <c r="BL810" s="33"/>
      <c r="BM810" s="13">
        <f t="shared" ca="1" si="277"/>
        <v>0</v>
      </c>
      <c r="BN810" s="13">
        <f ca="1">ROUNDUP(($BK810+$BM810)*VLOOKUP($BE810,Paraméterek!$P$38:$Q$38,2)/12*IF($D811="Nem",IF($M$13=0,1,$M$13),1),IF($D$4="Forint",0,2))</f>
        <v>0</v>
      </c>
      <c r="BO810" s="13">
        <f t="shared" ca="1" si="278"/>
        <v>0</v>
      </c>
      <c r="BP810" s="13">
        <f ca="1">IF($D811="Nem",$BO810,$BO810-ROUNDUP(SUM($BI$20:$BI810)*120%,IF($D$4="Forint",0,2)))</f>
        <v>0</v>
      </c>
    </row>
    <row r="811" spans="1:68" x14ac:dyDescent="0.2">
      <c r="A811" s="32">
        <v>792</v>
      </c>
      <c r="B811" s="32">
        <v>66</v>
      </c>
      <c r="C811" s="32">
        <v>12</v>
      </c>
      <c r="D811" s="32" t="str">
        <f t="shared" ca="1" si="264"/>
        <v>Nem</v>
      </c>
      <c r="E811" s="13">
        <f t="shared" ca="1" si="265"/>
        <v>0</v>
      </c>
      <c r="F811" s="13"/>
      <c r="G811" s="13"/>
      <c r="H811" s="13"/>
      <c r="I811" s="13">
        <f t="shared" ca="1" si="266"/>
        <v>0</v>
      </c>
      <c r="J811" s="13">
        <f t="shared" ca="1" si="267"/>
        <v>0</v>
      </c>
      <c r="K811" s="13">
        <f t="shared" ca="1" si="268"/>
        <v>0</v>
      </c>
      <c r="L811" s="13" t="e">
        <f ca="1">ROUNDUP(IF($D$2="Egyszeri",$E811,IF($D$2="Havi",SUM($E$20:$E$31),IF(MOD($C811,$M$1)-1=0,SUM($E$20:$E$31),0))/12*$M$1)*VLOOKUP($B811,Paraméterek!$I$28:$P$31,IF($D$2="Egyszeri",8,HLOOKUP(ROUNDUP($M$11+$M$13,0),Paraméterek!$J$26:$O$27,2))),IF($D$4="Forint",0,2))</f>
        <v>#N/A</v>
      </c>
      <c r="M811" s="13">
        <f t="shared" ca="1" si="269"/>
        <v>0</v>
      </c>
      <c r="N811" s="13">
        <f t="shared" ca="1" si="279"/>
        <v>0</v>
      </c>
      <c r="O811" s="13">
        <f ca="1">IF($D811="Igen",IF($W810&gt;=IF($D$4="Forint",Paraméterek!$J$121,Paraméterek!$K$121),0,IF($D$4="Forint",Paraméterek!$J$121,Paraméterek!$K$121)-$W810),0)</f>
        <v>0</v>
      </c>
      <c r="P811" s="13" t="e">
        <f ca="1">ROUNDUP($O811*VLOOKUP($M$4+$B811-1,Paraméterek!$H$58:$I$105,2,0)/Paraméterek!$I$56,IF($D$4="Forint",0,2))</f>
        <v>#N/A</v>
      </c>
      <c r="Q811" s="13">
        <f t="shared" ca="1" si="270"/>
        <v>0</v>
      </c>
      <c r="R811" s="33"/>
      <c r="S811" s="13" t="e">
        <f t="shared" ca="1" si="271"/>
        <v>#N/A</v>
      </c>
      <c r="T811" s="13" t="e">
        <f ca="1">ROUNDUP(($N811-$P811-$Q811+$S811)*VLOOKUP($B811,Paraméterek!$I$38:$K$39,IF($D$2="Egyszeri",3,2))/12*IF($D812="Nem",IF($M$13=0,1,$M$13),1),IF($D$4="Forint",0,2))</f>
        <v>#N/A</v>
      </c>
      <c r="U811" s="13">
        <f>Tranzakciók!$F$97</f>
        <v>0</v>
      </c>
      <c r="V811" s="13"/>
      <c r="W811" s="13" t="e">
        <f ca="1">$N811-$P811-$Q811+$S811-$T811-IF(ROUNDUP(IF(ISBLANK($V811),$U811*0,$V811)/IF($D$2="Egyszeri",VLOOKUP($B811+IF($C811=12,1,0),Paraméterek!$V$257:$W$262,2),IF($B811=1,1,VLOOKUP($B811+IF($C811=12,1,0),Paraméterek!$I$258:$T$278,HLOOKUP($M$11+1,Paraméterek!$J$256:$T$257,2)))),IF($D$4="Forint",0,2))&gt;$N811-$P811-$Q811+$S811-$T811-IF($D$4="Forint",Paraméterek!$C$216,Paraméterek!$D$216),0,ROUNDUP(IF(ISBLANK($V811),$U811*0,$V811)/IF($D$2="Egyszeri",VLOOKUP($B811+IF($C811=12,1,0),Paraméterek!$V$257:$W$262,2),IF($B811=1,1,VLOOKUP($B811+IF($C811=12,1,0),Paraméterek!$I$258:$T$278,HLOOKUP($M$11+1,Paraméterek!$J$256:$T$257,2)))),IF($D$4="Forint",0,2)))</f>
        <v>#N/A</v>
      </c>
      <c r="X811" s="13" t="e">
        <f ca="1">ROUNDDOWN($W811*IF($D$2="Egyszeri",VLOOKUP($B811+IF($C811=12,1,0),Paraméterek!$V$257:$W$262,2),VLOOKUP($B811+IF($C811=12,1,0),Paraméterek!$I$258:$T$278,HLOOKUP($M$11+1,Paraméterek!$I$256:$T$257,2))),IF($D$4="Forint",0,2))</f>
        <v>#N/A</v>
      </c>
      <c r="Z811" s="32">
        <v>792</v>
      </c>
      <c r="AA811" s="32">
        <v>66</v>
      </c>
      <c r="AB811" s="32">
        <v>12</v>
      </c>
      <c r="AC811" s="13">
        <f t="shared" ca="1" si="280"/>
        <v>0</v>
      </c>
      <c r="AD811" s="33"/>
      <c r="AE811" s="13">
        <f t="shared" ca="1" si="272"/>
        <v>0</v>
      </c>
      <c r="AF811" s="13">
        <f ca="1">ROUNDUP(($AC811+$AE811)*VLOOKUP($AA811,Paraméterek!$P$38:$Q$38,2)/12*IF($D812="Nem",IF($M$13=0,1,$M$13),1),IF($D$4="Forint",0,2))</f>
        <v>0</v>
      </c>
      <c r="AG811" s="13" t="e">
        <f ca="1">IF($D$2="Egyszeri",IF($D$7&gt;=IF($D$4="Forint",Paraméterek!$P$223,Paraméterek!$P$224),$D$7-IF($D$4="Forint",Paraméterek!$P$223,Paraméterek!$P$224),0),MIN(IF($AB811=12,AVERAGEIF($E$20:$E811,"&gt;0",$E$20:$E811)*12,0),SUM($E$20:$E$31)))</f>
        <v>#DIV/0!</v>
      </c>
      <c r="AH811" s="13">
        <f>IF($AA811=10,$AG811*IF($AB811=12,IF($AG811&lt;IF($D$4="Forint",Paraméterek!$L$223,Paraméterek!$L$224),0,VLOOKUP($AA811,Paraméterek!$K$226:$M$228,IF($AG811&lt;IF($D$4="Forint",Paraméterek!$M$223,Paraméterek!$M$224),2,3))),0),0)</f>
        <v>0</v>
      </c>
      <c r="AI811" s="13">
        <f ca="1">IF(AND($AA811=$M$11+1,$AB811=$M$12+1),SUMIF($AA$20:$AA$1027,$AA811,$AG$20:$AG$1027)*IF(SUMIF($AA$20:$AA$1027,$AA811,$AG$20:$AG$1027)&lt;IF($D$4="Forint",Paraméterek!$L$223,Paraméterek!$L$224),0,VLOOKUP($AA811,Paraméterek!$K$230:$M$250,IF(SUMIF($AA$20:$AA$1027,$AA811,$AG$20:$AG$1027)&lt;IF($D$4="Forint",Paraméterek!$M$223,Paraméterek!$M$224),2,3))),0)</f>
        <v>0</v>
      </c>
      <c r="AJ811" s="13" t="e">
        <f ca="1">IF(AND($AA811&gt;=5,MOD($AA811,5)=0),IF($AB811=12,VLOOKUP($AA811,Paraméterek!$O$225:$P$240,2),0),IF(OR($AA811=3,$AA811=4),IF($AB811=12,VLOOKUP($AA811,Paraméterek!$O$225:$P$240,2,0),0),0))*$AG811</f>
        <v>#DIV/0!</v>
      </c>
      <c r="AK811" s="13">
        <f t="shared" ca="1" si="273"/>
        <v>0</v>
      </c>
      <c r="AL811" s="13">
        <f t="shared" ca="1" si="281"/>
        <v>0</v>
      </c>
      <c r="AM811" s="13">
        <f t="shared" ca="1" si="282"/>
        <v>0</v>
      </c>
      <c r="AO811" s="32">
        <v>792</v>
      </c>
      <c r="AP811" s="32">
        <v>66</v>
      </c>
      <c r="AQ811" s="32">
        <v>12</v>
      </c>
      <c r="AR811" s="13"/>
      <c r="AS811" s="32"/>
      <c r="AT811" s="13">
        <f t="shared" ca="1" si="283"/>
        <v>0</v>
      </c>
      <c r="AU811" s="33"/>
      <c r="AV811" s="13">
        <f t="shared" ca="1" si="274"/>
        <v>0</v>
      </c>
      <c r="AW811" s="13">
        <f ca="1">ROUNDUP(($AT811+$AV811)*VLOOKUP($AP811,Paraméterek!$P$38:$Q$38,2)/12*IF($D812="Nem",IF($M$13=0,1,$M$13),1),IF($D$4="Forint",0,2))</f>
        <v>0</v>
      </c>
      <c r="AX811" s="13">
        <f>Tranzakciók!$M$97</f>
        <v>0</v>
      </c>
      <c r="AY811" s="13"/>
      <c r="AZ811" s="13">
        <f>ROUNDUP(IF(SUM($AX811:$AY811)=0,0,IF(IF(ISBLANK($AY811),$AX811,$AY811)*Paraméterek!$J$112&lt;IF($D$4="Forint",Paraméterek!$J$113,Paraméterek!$K$113),IF($D$4="Forint",Paraméterek!$J$113,Paraméterek!$K$113),IF(IF(ISBLANK($AY811),$AX811,$AY811)*Paraméterek!$J$112&gt;IF($D$4="Forint",Paraméterek!$J$114,Paraméterek!$K$114),IF($D$4="Forint",Paraméterek!$J$114,Paraméterek!$K$114),IF(ISBLANK($AY811),$AX811,$AY811)*Paraméterek!$J$112))),IF($D$4="Forint",0,2))</f>
        <v>0</v>
      </c>
      <c r="BA811" s="13">
        <f ca="1">$AT811+$AV811-$AW811-IF(ROUNDDOWN(IF(ISBLANK($AY811),$AX811,$AY811),IF($D$4="Forint",0,2))&gt;$AT811+$AV811-$AW811-IF($D$4="Forint",Paraméterek!$J$114,Paraméterek!$K$114),0,ROUNDDOWN(IF(ISBLANK($AY811),$AX811,$AY811),IF($D$4="Forint",0,2))-$AZ811)</f>
        <v>0</v>
      </c>
      <c r="BB811" s="13">
        <f t="shared" ca="1" si="275"/>
        <v>0</v>
      </c>
      <c r="BD811" s="32">
        <v>792</v>
      </c>
      <c r="BE811" s="32">
        <v>66</v>
      </c>
      <c r="BF811" s="32">
        <v>12</v>
      </c>
      <c r="BG811" s="34">
        <f t="shared" ca="1" si="284"/>
        <v>2085</v>
      </c>
      <c r="BH811" s="32" t="str">
        <f ca="1">IF(MOD(MONTH($D$14)+$BD811-1,12)=Paraméterek!$C$288,"Igen","")</f>
        <v/>
      </c>
      <c r="BI811" s="13">
        <f ca="1">IF($BH811="Igen",MIN(ROUNDDOWN((SUMIF($BG$20:$BG$1027,$BG811-1,$K$20:$K$1027)-SUMIF($BG$20:$BG$1027,$BG811-1,$I$20:$I$1027))*Paraméterek!$C$289,IF($D$4="Forint",0,2)),IF($D$4="Forint",Paraméterek!$C$285,Paraméterek!$D$285)),0)</f>
        <v>0</v>
      </c>
      <c r="BJ811" s="13">
        <f t="shared" ca="1" si="276"/>
        <v>0</v>
      </c>
      <c r="BK811" s="13">
        <f t="shared" ca="1" si="285"/>
        <v>0</v>
      </c>
      <c r="BL811" s="33"/>
      <c r="BM811" s="13">
        <f t="shared" ca="1" si="277"/>
        <v>0</v>
      </c>
      <c r="BN811" s="13">
        <f ca="1">ROUNDUP(($BK811+$BM811)*VLOOKUP($BE811,Paraméterek!$P$38:$Q$38,2)/12*IF($D812="Nem",IF($M$13=0,1,$M$13),1),IF($D$4="Forint",0,2))</f>
        <v>0</v>
      </c>
      <c r="BO811" s="13">
        <f t="shared" ca="1" si="278"/>
        <v>0</v>
      </c>
      <c r="BP811" s="13">
        <f ca="1">IF($D812="Nem",$BO811,$BO811-ROUNDUP(SUM($BI$20:$BI811)*120%,IF($D$4="Forint",0,2)))</f>
        <v>0</v>
      </c>
    </row>
    <row r="812" spans="1:68" x14ac:dyDescent="0.2">
      <c r="A812" s="32">
        <v>793</v>
      </c>
      <c r="B812" s="32">
        <v>67</v>
      </c>
      <c r="C812" s="32">
        <v>1</v>
      </c>
      <c r="D812" s="32" t="str">
        <f t="shared" ca="1" si="264"/>
        <v>Nem</v>
      </c>
      <c r="E812" s="13">
        <f t="shared" ca="1" si="265"/>
        <v>0</v>
      </c>
      <c r="F812" s="13"/>
      <c r="G812" s="13">
        <f>Tranzakciók!$D$98</f>
        <v>0</v>
      </c>
      <c r="H812" s="13"/>
      <c r="I812" s="13">
        <f t="shared" ca="1" si="266"/>
        <v>0</v>
      </c>
      <c r="J812" s="13">
        <f t="shared" ca="1" si="267"/>
        <v>0</v>
      </c>
      <c r="K812" s="13">
        <f t="shared" ca="1" si="268"/>
        <v>0</v>
      </c>
      <c r="L812" s="13" t="e">
        <f ca="1">ROUNDUP(IF($D$2="Egyszeri",$E812,IF($D$2="Havi",SUM($E$20:$E$31),IF(MOD($C812,$M$1)-1=0,SUM($E$20:$E$31),0))/12*$M$1)*VLOOKUP($B812,Paraméterek!$I$28:$P$31,IF($D$2="Egyszeri",8,HLOOKUP(ROUNDUP($M$11+$M$13,0),Paraméterek!$J$26:$O$27,2))),IF($D$4="Forint",0,2))</f>
        <v>#N/A</v>
      </c>
      <c r="M812" s="13">
        <f t="shared" ca="1" si="269"/>
        <v>0</v>
      </c>
      <c r="N812" s="13">
        <f t="shared" ca="1" si="279"/>
        <v>0</v>
      </c>
      <c r="O812" s="13">
        <f ca="1">IF($D812="Igen",IF($W811&gt;=IF($D$4="Forint",Paraméterek!$J$121,Paraméterek!$K$121),0,IF($D$4="Forint",Paraméterek!$J$121,Paraméterek!$K$121)-$W811),0)</f>
        <v>0</v>
      </c>
      <c r="P812" s="13" t="e">
        <f ca="1">ROUNDUP($O812*VLOOKUP($M$4+$B812-1,Paraméterek!$H$58:$I$105,2,0)/Paraméterek!$I$56,IF($D$4="Forint",0,2))</f>
        <v>#N/A</v>
      </c>
      <c r="Q812" s="13">
        <f t="shared" ca="1" si="270"/>
        <v>0</v>
      </c>
      <c r="R812" s="33"/>
      <c r="S812" s="13" t="e">
        <f t="shared" ca="1" si="271"/>
        <v>#N/A</v>
      </c>
      <c r="T812" s="13" t="e">
        <f ca="1">ROUNDUP(($N812-$P812-$Q812+$S812)*VLOOKUP($B812,Paraméterek!$I$38:$K$39,IF($D$2="Egyszeri",3,2))/12*IF($D813="Nem",IF($M$13=0,1,$M$13),1),IF($D$4="Forint",0,2))</f>
        <v>#N/A</v>
      </c>
      <c r="U812" s="13"/>
      <c r="V812" s="13"/>
      <c r="W812" s="13" t="e">
        <f ca="1">$N812-$P812-$Q812+$S812-$T812-IF(ROUNDUP(IF(ISBLANK($V812),$U812*0,$V812)/IF($D$2="Egyszeri",VLOOKUP($B812+IF($C812=12,1,0),Paraméterek!$V$257:$W$262,2),IF($B812=1,1,VLOOKUP($B812+IF($C812=12,1,0),Paraméterek!$I$258:$T$278,HLOOKUP($M$11+1,Paraméterek!$J$256:$T$257,2)))),IF($D$4="Forint",0,2))&gt;$N812-$P812-$Q812+$S812-$T812-IF($D$4="Forint",Paraméterek!$C$216,Paraméterek!$D$216),0,ROUNDUP(IF(ISBLANK($V812),$U812*0,$V812)/IF($D$2="Egyszeri",VLOOKUP($B812+IF($C812=12,1,0),Paraméterek!$V$257:$W$262,2),IF($B812=1,1,VLOOKUP($B812+IF($C812=12,1,0),Paraméterek!$I$258:$T$278,HLOOKUP($M$11+1,Paraméterek!$J$256:$T$257,2)))),IF($D$4="Forint",0,2)))</f>
        <v>#N/A</v>
      </c>
      <c r="X812" s="13" t="e">
        <f ca="1">ROUNDDOWN($W812*IF($D$2="Egyszeri",VLOOKUP($B812+IF($C812=12,1,0),Paraméterek!$V$257:$W$262,2),VLOOKUP($B812+IF($C812=12,1,0),Paraméterek!$I$258:$T$278,HLOOKUP($M$11+1,Paraméterek!$I$256:$T$257,2))),IF($D$4="Forint",0,2))</f>
        <v>#N/A</v>
      </c>
      <c r="Z812" s="32">
        <v>793</v>
      </c>
      <c r="AA812" s="32">
        <v>67</v>
      </c>
      <c r="AB812" s="32">
        <v>1</v>
      </c>
      <c r="AC812" s="13">
        <f t="shared" ca="1" si="280"/>
        <v>0</v>
      </c>
      <c r="AD812" s="33"/>
      <c r="AE812" s="13">
        <f t="shared" ca="1" si="272"/>
        <v>0</v>
      </c>
      <c r="AF812" s="13">
        <f ca="1">ROUNDUP(($AC812+$AE812)*VLOOKUP($AA812,Paraméterek!$P$38:$Q$38,2)/12*IF($D813="Nem",IF($M$13=0,1,$M$13),1),IF($D$4="Forint",0,2))</f>
        <v>0</v>
      </c>
      <c r="AG812" s="13">
        <f ca="1">IF($D$2="Egyszeri",IF($D$7&gt;=IF($D$4="Forint",Paraméterek!$P$223,Paraméterek!$P$224),$D$7-IF($D$4="Forint",Paraméterek!$P$223,Paraméterek!$P$224),0),MIN(IF($AB812=12,AVERAGEIF($E$20:$E812,"&gt;0",$E$20:$E812)*12,0),SUM($E$20:$E$31)))</f>
        <v>0</v>
      </c>
      <c r="AH812" s="13">
        <f>IF($AA812=10,$AG812*IF($AB812=12,IF($AG812&lt;IF($D$4="Forint",Paraméterek!$L$223,Paraméterek!$L$224),0,VLOOKUP($AA812,Paraméterek!$K$226:$M$228,IF($AG812&lt;IF($D$4="Forint",Paraméterek!$M$223,Paraméterek!$M$224),2,3))),0),0)</f>
        <v>0</v>
      </c>
      <c r="AI812" s="13">
        <f ca="1">IF(AND($AA812=$M$11+1,$AB812=$M$12+1),SUMIF($AA$20:$AA$1027,$AA812,$AG$20:$AG$1027)*IF(SUMIF($AA$20:$AA$1027,$AA812,$AG$20:$AG$1027)&lt;IF($D$4="Forint",Paraméterek!$L$223,Paraméterek!$L$224),0,VLOOKUP($AA812,Paraméterek!$K$230:$M$250,IF(SUMIF($AA$20:$AA$1027,$AA812,$AG$20:$AG$1027)&lt;IF($D$4="Forint",Paraméterek!$M$223,Paraméterek!$M$224),2,3))),0)</f>
        <v>0</v>
      </c>
      <c r="AJ812" s="13">
        <f ca="1">IF(AND($AA812&gt;=5,MOD($AA812,5)=0),IF($AB812=12,VLOOKUP($AA812,Paraméterek!$O$225:$P$240,2),0),IF(OR($AA812=3,$AA812=4),IF($AB812=12,VLOOKUP($AA812,Paraméterek!$O$225:$P$240,2,0),0),0))*$AG812</f>
        <v>0</v>
      </c>
      <c r="AK812" s="13">
        <f t="shared" ca="1" si="273"/>
        <v>0</v>
      </c>
      <c r="AL812" s="13">
        <f t="shared" ca="1" si="281"/>
        <v>0</v>
      </c>
      <c r="AM812" s="13">
        <f t="shared" ca="1" si="282"/>
        <v>0</v>
      </c>
      <c r="AO812" s="32">
        <v>793</v>
      </c>
      <c r="AP812" s="32">
        <v>67</v>
      </c>
      <c r="AQ812" s="32">
        <v>1</v>
      </c>
      <c r="AR812" s="13">
        <f>Tranzakciók!$K$98</f>
        <v>0</v>
      </c>
      <c r="AS812" s="32"/>
      <c r="AT812" s="13">
        <f t="shared" ca="1" si="283"/>
        <v>0</v>
      </c>
      <c r="AU812" s="33"/>
      <c r="AV812" s="13">
        <f t="shared" ca="1" si="274"/>
        <v>0</v>
      </c>
      <c r="AW812" s="13">
        <f ca="1">ROUNDUP(($AT812+$AV812)*VLOOKUP($AP812,Paraméterek!$P$38:$Q$38,2)/12*IF($D813="Nem",IF($M$13=0,1,$M$13),1),IF($D$4="Forint",0,2))</f>
        <v>0</v>
      </c>
      <c r="AX812" s="13"/>
      <c r="AY812" s="13"/>
      <c r="AZ812" s="13">
        <f>ROUNDUP(IF(SUM($AX812:$AY812)=0,0,IF(IF(ISBLANK($AY812),$AX812,$AY812)*Paraméterek!$J$112&lt;IF($D$4="Forint",Paraméterek!$J$113,Paraméterek!$K$113),IF($D$4="Forint",Paraméterek!$J$113,Paraméterek!$K$113),IF(IF(ISBLANK($AY812),$AX812,$AY812)*Paraméterek!$J$112&gt;IF($D$4="Forint",Paraméterek!$J$114,Paraméterek!$K$114),IF($D$4="Forint",Paraméterek!$J$114,Paraméterek!$K$114),IF(ISBLANK($AY812),$AX812,$AY812)*Paraméterek!$J$112))),IF($D$4="Forint",0,2))</f>
        <v>0</v>
      </c>
      <c r="BA812" s="13">
        <f ca="1">$AT812+$AV812-$AW812-IF(ROUNDDOWN(IF(ISBLANK($AY812),$AX812,$AY812),IF($D$4="Forint",0,2))&gt;$AT812+$AV812-$AW812-IF($D$4="Forint",Paraméterek!$J$114,Paraméterek!$K$114),0,ROUNDDOWN(IF(ISBLANK($AY812),$AX812,$AY812),IF($D$4="Forint",0,2))-$AZ812)</f>
        <v>0</v>
      </c>
      <c r="BB812" s="13">
        <f t="shared" ca="1" si="275"/>
        <v>0</v>
      </c>
      <c r="BD812" s="32">
        <v>793</v>
      </c>
      <c r="BE812" s="32">
        <v>67</v>
      </c>
      <c r="BF812" s="32">
        <v>1</v>
      </c>
      <c r="BG812" s="34">
        <f t="shared" ca="1" si="284"/>
        <v>2085</v>
      </c>
      <c r="BH812" s="32" t="str">
        <f ca="1">IF(MOD(MONTH($D$14)+$BD812-1,12)=Paraméterek!$C$288,"Igen","")</f>
        <v/>
      </c>
      <c r="BI812" s="13">
        <f ca="1">IF($BH812="Igen",MIN(ROUNDDOWN((SUMIF($BG$20:$BG$1027,$BG812-1,$K$20:$K$1027)-SUMIF($BG$20:$BG$1027,$BG812-1,$I$20:$I$1027))*Paraméterek!$C$289,IF($D$4="Forint",0,2)),IF($D$4="Forint",Paraméterek!$C$285,Paraméterek!$D$285)),0)</f>
        <v>0</v>
      </c>
      <c r="BJ812" s="13">
        <f t="shared" ca="1" si="276"/>
        <v>0</v>
      </c>
      <c r="BK812" s="13">
        <f t="shared" ca="1" si="285"/>
        <v>0</v>
      </c>
      <c r="BL812" s="33"/>
      <c r="BM812" s="13">
        <f t="shared" ca="1" si="277"/>
        <v>0</v>
      </c>
      <c r="BN812" s="13">
        <f ca="1">ROUNDUP(($BK812+$BM812)*VLOOKUP($BE812,Paraméterek!$P$38:$Q$38,2)/12*IF($D813="Nem",IF($M$13=0,1,$M$13),1),IF($D$4="Forint",0,2))</f>
        <v>0</v>
      </c>
      <c r="BO812" s="13">
        <f t="shared" ca="1" si="278"/>
        <v>0</v>
      </c>
      <c r="BP812" s="13">
        <f ca="1">IF($D813="Nem",$BO812,$BO812-ROUNDUP(SUM($BI$20:$BI812)*120%,IF($D$4="Forint",0,2)))</f>
        <v>0</v>
      </c>
    </row>
    <row r="813" spans="1:68" x14ac:dyDescent="0.2">
      <c r="A813" s="32">
        <v>794</v>
      </c>
      <c r="B813" s="32">
        <v>67</v>
      </c>
      <c r="C813" s="32">
        <v>2</v>
      </c>
      <c r="D813" s="32" t="str">
        <f t="shared" ca="1" si="264"/>
        <v>Nem</v>
      </c>
      <c r="E813" s="13">
        <f t="shared" ca="1" si="265"/>
        <v>0</v>
      </c>
      <c r="F813" s="13"/>
      <c r="G813" s="13"/>
      <c r="H813" s="13"/>
      <c r="I813" s="13">
        <f t="shared" ca="1" si="266"/>
        <v>0</v>
      </c>
      <c r="J813" s="13">
        <f t="shared" ca="1" si="267"/>
        <v>0</v>
      </c>
      <c r="K813" s="13">
        <f t="shared" ca="1" si="268"/>
        <v>0</v>
      </c>
      <c r="L813" s="13" t="e">
        <f ca="1">ROUNDUP(IF($D$2="Egyszeri",$E813,IF($D$2="Havi",SUM($E$20:$E$31),IF(MOD($C813,$M$1)-1=0,SUM($E$20:$E$31),0))/12*$M$1)*VLOOKUP($B813,Paraméterek!$I$28:$P$31,IF($D$2="Egyszeri",8,HLOOKUP(ROUNDUP($M$11+$M$13,0),Paraméterek!$J$26:$O$27,2))),IF($D$4="Forint",0,2))</f>
        <v>#N/A</v>
      </c>
      <c r="M813" s="13">
        <f t="shared" ca="1" si="269"/>
        <v>0</v>
      </c>
      <c r="N813" s="13">
        <f t="shared" ca="1" si="279"/>
        <v>0</v>
      </c>
      <c r="O813" s="13">
        <f ca="1">IF($D813="Igen",IF($W812&gt;=IF($D$4="Forint",Paraméterek!$J$121,Paraméterek!$K$121),0,IF($D$4="Forint",Paraméterek!$J$121,Paraméterek!$K$121)-$W812),0)</f>
        <v>0</v>
      </c>
      <c r="P813" s="13" t="e">
        <f ca="1">ROUNDUP($O813*VLOOKUP($M$4+$B813-1,Paraméterek!$H$58:$I$105,2,0)/Paraméterek!$I$56,IF($D$4="Forint",0,2))</f>
        <v>#N/A</v>
      </c>
      <c r="Q813" s="13">
        <f t="shared" ca="1" si="270"/>
        <v>0</v>
      </c>
      <c r="R813" s="33"/>
      <c r="S813" s="13" t="e">
        <f t="shared" ca="1" si="271"/>
        <v>#N/A</v>
      </c>
      <c r="T813" s="13" t="e">
        <f ca="1">ROUNDUP(($N813-$P813-$Q813+$S813)*VLOOKUP($B813,Paraméterek!$I$38:$K$39,IF($D$2="Egyszeri",3,2))/12*IF($D814="Nem",IF($M$13=0,1,$M$13),1),IF($D$4="Forint",0,2))</f>
        <v>#N/A</v>
      </c>
      <c r="U813" s="13"/>
      <c r="V813" s="13"/>
      <c r="W813" s="13" t="e">
        <f ca="1">$N813-$P813-$Q813+$S813-$T813-IF(ROUNDUP(IF(ISBLANK($V813),$U813*0,$V813)/IF($D$2="Egyszeri",VLOOKUP($B813+IF($C813=12,1,0),Paraméterek!$V$257:$W$262,2),IF($B813=1,1,VLOOKUP($B813+IF($C813=12,1,0),Paraméterek!$I$258:$T$278,HLOOKUP($M$11+1,Paraméterek!$J$256:$T$257,2)))),IF($D$4="Forint",0,2))&gt;$N813-$P813-$Q813+$S813-$T813-IF($D$4="Forint",Paraméterek!$C$216,Paraméterek!$D$216),0,ROUNDUP(IF(ISBLANK($V813),$U813*0,$V813)/IF($D$2="Egyszeri",VLOOKUP($B813+IF($C813=12,1,0),Paraméterek!$V$257:$W$262,2),IF($B813=1,1,VLOOKUP($B813+IF($C813=12,1,0),Paraméterek!$I$258:$T$278,HLOOKUP($M$11+1,Paraméterek!$J$256:$T$257,2)))),IF($D$4="Forint",0,2)))</f>
        <v>#N/A</v>
      </c>
      <c r="X813" s="13" t="e">
        <f ca="1">ROUNDDOWN($W813*IF($D$2="Egyszeri",VLOOKUP($B813+IF($C813=12,1,0),Paraméterek!$V$257:$W$262,2),VLOOKUP($B813+IF($C813=12,1,0),Paraméterek!$I$258:$T$278,HLOOKUP($M$11+1,Paraméterek!$I$256:$T$257,2))),IF($D$4="Forint",0,2))</f>
        <v>#N/A</v>
      </c>
      <c r="Z813" s="32">
        <v>794</v>
      </c>
      <c r="AA813" s="32">
        <v>67</v>
      </c>
      <c r="AB813" s="32">
        <v>2</v>
      </c>
      <c r="AC813" s="13">
        <f t="shared" ca="1" si="280"/>
        <v>0</v>
      </c>
      <c r="AD813" s="33"/>
      <c r="AE813" s="13">
        <f t="shared" ca="1" si="272"/>
        <v>0</v>
      </c>
      <c r="AF813" s="13">
        <f ca="1">ROUNDUP(($AC813+$AE813)*VLOOKUP($AA813,Paraméterek!$P$38:$Q$38,2)/12*IF($D814="Nem",IF($M$13=0,1,$M$13),1),IF($D$4="Forint",0,2))</f>
        <v>0</v>
      </c>
      <c r="AG813" s="13">
        <f ca="1">IF($D$2="Egyszeri",IF($D$7&gt;=IF($D$4="Forint",Paraméterek!$P$223,Paraméterek!$P$224),$D$7-IF($D$4="Forint",Paraméterek!$P$223,Paraméterek!$P$224),0),MIN(IF($AB813=12,AVERAGEIF($E$20:$E813,"&gt;0",$E$20:$E813)*12,0),SUM($E$20:$E$31)))</f>
        <v>0</v>
      </c>
      <c r="AH813" s="13">
        <f>IF($AA813=10,$AG813*IF($AB813=12,IF($AG813&lt;IF($D$4="Forint",Paraméterek!$L$223,Paraméterek!$L$224),0,VLOOKUP($AA813,Paraméterek!$K$226:$M$228,IF($AG813&lt;IF($D$4="Forint",Paraméterek!$M$223,Paraméterek!$M$224),2,3))),0),0)</f>
        <v>0</v>
      </c>
      <c r="AI813" s="13">
        <f ca="1">IF(AND($AA813=$M$11+1,$AB813=$M$12+1),SUMIF($AA$20:$AA$1027,$AA813,$AG$20:$AG$1027)*IF(SUMIF($AA$20:$AA$1027,$AA813,$AG$20:$AG$1027)&lt;IF($D$4="Forint",Paraméterek!$L$223,Paraméterek!$L$224),0,VLOOKUP($AA813,Paraméterek!$K$230:$M$250,IF(SUMIF($AA$20:$AA$1027,$AA813,$AG$20:$AG$1027)&lt;IF($D$4="Forint",Paraméterek!$M$223,Paraméterek!$M$224),2,3))),0)</f>
        <v>0</v>
      </c>
      <c r="AJ813" s="13">
        <f ca="1">IF(AND($AA813&gt;=5,MOD($AA813,5)=0),IF($AB813=12,VLOOKUP($AA813,Paraméterek!$O$225:$P$240,2),0),IF(OR($AA813=3,$AA813=4),IF($AB813=12,VLOOKUP($AA813,Paraméterek!$O$225:$P$240,2,0),0),0))*$AG813</f>
        <v>0</v>
      </c>
      <c r="AK813" s="13">
        <f t="shared" ca="1" si="273"/>
        <v>0</v>
      </c>
      <c r="AL813" s="13">
        <f t="shared" ca="1" si="281"/>
        <v>0</v>
      </c>
      <c r="AM813" s="13">
        <f t="shared" ca="1" si="282"/>
        <v>0</v>
      </c>
      <c r="AO813" s="32">
        <v>794</v>
      </c>
      <c r="AP813" s="32">
        <v>67</v>
      </c>
      <c r="AQ813" s="32">
        <v>2</v>
      </c>
      <c r="AR813" s="13"/>
      <c r="AS813" s="32"/>
      <c r="AT813" s="13">
        <f t="shared" ca="1" si="283"/>
        <v>0</v>
      </c>
      <c r="AU813" s="33"/>
      <c r="AV813" s="13">
        <f t="shared" ca="1" si="274"/>
        <v>0</v>
      </c>
      <c r="AW813" s="13">
        <f ca="1">ROUNDUP(($AT813+$AV813)*VLOOKUP($AP813,Paraméterek!$P$38:$Q$38,2)/12*IF($D814="Nem",IF($M$13=0,1,$M$13),1),IF($D$4="Forint",0,2))</f>
        <v>0</v>
      </c>
      <c r="AX813" s="13"/>
      <c r="AY813" s="13"/>
      <c r="AZ813" s="13">
        <f>ROUNDUP(IF(SUM($AX813:$AY813)=0,0,IF(IF(ISBLANK($AY813),$AX813,$AY813)*Paraméterek!$J$112&lt;IF($D$4="Forint",Paraméterek!$J$113,Paraméterek!$K$113),IF($D$4="Forint",Paraméterek!$J$113,Paraméterek!$K$113),IF(IF(ISBLANK($AY813),$AX813,$AY813)*Paraméterek!$J$112&gt;IF($D$4="Forint",Paraméterek!$J$114,Paraméterek!$K$114),IF($D$4="Forint",Paraméterek!$J$114,Paraméterek!$K$114),IF(ISBLANK($AY813),$AX813,$AY813)*Paraméterek!$J$112))),IF($D$4="Forint",0,2))</f>
        <v>0</v>
      </c>
      <c r="BA813" s="13">
        <f ca="1">$AT813+$AV813-$AW813-IF(ROUNDDOWN(IF(ISBLANK($AY813),$AX813,$AY813),IF($D$4="Forint",0,2))&gt;$AT813+$AV813-$AW813-IF($D$4="Forint",Paraméterek!$J$114,Paraméterek!$K$114),0,ROUNDDOWN(IF(ISBLANK($AY813),$AX813,$AY813),IF($D$4="Forint",0,2))-$AZ813)</f>
        <v>0</v>
      </c>
      <c r="BB813" s="13">
        <f t="shared" ca="1" si="275"/>
        <v>0</v>
      </c>
      <c r="BD813" s="32">
        <v>794</v>
      </c>
      <c r="BE813" s="32">
        <v>67</v>
      </c>
      <c r="BF813" s="32">
        <v>2</v>
      </c>
      <c r="BG813" s="34">
        <f t="shared" ca="1" si="284"/>
        <v>2085</v>
      </c>
      <c r="BH813" s="32" t="str">
        <f ca="1">IF(MOD(MONTH($D$14)+$BD813-1,12)=Paraméterek!$C$288,"Igen","")</f>
        <v>Igen</v>
      </c>
      <c r="BI813" s="13">
        <f ca="1">IF($BH813="Igen",MIN(ROUNDDOWN((SUMIF($BG$20:$BG$1027,$BG813-1,$K$20:$K$1027)-SUMIF($BG$20:$BG$1027,$BG813-1,$I$20:$I$1027))*Paraméterek!$C$289,IF($D$4="Forint",0,2)),IF($D$4="Forint",Paraméterek!$C$285,Paraméterek!$D$285)),0)</f>
        <v>0</v>
      </c>
      <c r="BJ813" s="13">
        <f t="shared" ca="1" si="276"/>
        <v>0</v>
      </c>
      <c r="BK813" s="13">
        <f t="shared" ca="1" si="285"/>
        <v>0</v>
      </c>
      <c r="BL813" s="33"/>
      <c r="BM813" s="13">
        <f t="shared" ca="1" si="277"/>
        <v>0</v>
      </c>
      <c r="BN813" s="13">
        <f ca="1">ROUNDUP(($BK813+$BM813)*VLOOKUP($BE813,Paraméterek!$P$38:$Q$38,2)/12*IF($D814="Nem",IF($M$13=0,1,$M$13),1),IF($D$4="Forint",0,2))</f>
        <v>0</v>
      </c>
      <c r="BO813" s="13">
        <f t="shared" ca="1" si="278"/>
        <v>0</v>
      </c>
      <c r="BP813" s="13">
        <f ca="1">IF($D814="Nem",$BO813,$BO813-ROUNDUP(SUM($BI$20:$BI813)*120%,IF($D$4="Forint",0,2)))</f>
        <v>0</v>
      </c>
    </row>
    <row r="814" spans="1:68" x14ac:dyDescent="0.2">
      <c r="A814" s="32">
        <v>795</v>
      </c>
      <c r="B814" s="32">
        <v>67</v>
      </c>
      <c r="C814" s="32">
        <v>3</v>
      </c>
      <c r="D814" s="32" t="str">
        <f t="shared" ca="1" si="264"/>
        <v>Nem</v>
      </c>
      <c r="E814" s="13">
        <f t="shared" ca="1" si="265"/>
        <v>0</v>
      </c>
      <c r="F814" s="13"/>
      <c r="G814" s="13"/>
      <c r="H814" s="13"/>
      <c r="I814" s="13">
        <f t="shared" ca="1" si="266"/>
        <v>0</v>
      </c>
      <c r="J814" s="13">
        <f t="shared" ca="1" si="267"/>
        <v>0</v>
      </c>
      <c r="K814" s="13">
        <f t="shared" ca="1" si="268"/>
        <v>0</v>
      </c>
      <c r="L814" s="13" t="e">
        <f ca="1">ROUNDUP(IF($D$2="Egyszeri",$E814,IF($D$2="Havi",SUM($E$20:$E$31),IF(MOD($C814,$M$1)-1=0,SUM($E$20:$E$31),0))/12*$M$1)*VLOOKUP($B814,Paraméterek!$I$28:$P$31,IF($D$2="Egyszeri",8,HLOOKUP(ROUNDUP($M$11+$M$13,0),Paraméterek!$J$26:$O$27,2))),IF($D$4="Forint",0,2))</f>
        <v>#N/A</v>
      </c>
      <c r="M814" s="13">
        <f t="shared" ca="1" si="269"/>
        <v>0</v>
      </c>
      <c r="N814" s="13">
        <f t="shared" ca="1" si="279"/>
        <v>0</v>
      </c>
      <c r="O814" s="13">
        <f ca="1">IF($D814="Igen",IF($W813&gt;=IF($D$4="Forint",Paraméterek!$J$121,Paraméterek!$K$121),0,IF($D$4="Forint",Paraméterek!$J$121,Paraméterek!$K$121)-$W813),0)</f>
        <v>0</v>
      </c>
      <c r="P814" s="13" t="e">
        <f ca="1">ROUNDUP($O814*VLOOKUP($M$4+$B814-1,Paraméterek!$H$58:$I$105,2,0)/Paraméterek!$I$56,IF($D$4="Forint",0,2))</f>
        <v>#N/A</v>
      </c>
      <c r="Q814" s="13">
        <f t="shared" ca="1" si="270"/>
        <v>0</v>
      </c>
      <c r="R814" s="33"/>
      <c r="S814" s="13" t="e">
        <f t="shared" ca="1" si="271"/>
        <v>#N/A</v>
      </c>
      <c r="T814" s="13" t="e">
        <f ca="1">ROUNDUP(($N814-$P814-$Q814+$S814)*VLOOKUP($B814,Paraméterek!$I$38:$K$39,IF($D$2="Egyszeri",3,2))/12*IF($D815="Nem",IF($M$13=0,1,$M$13),1),IF($D$4="Forint",0,2))</f>
        <v>#N/A</v>
      </c>
      <c r="U814" s="13"/>
      <c r="V814" s="13"/>
      <c r="W814" s="13" t="e">
        <f ca="1">$N814-$P814-$Q814+$S814-$T814-IF(ROUNDUP(IF(ISBLANK($V814),$U814*0,$V814)/IF($D$2="Egyszeri",VLOOKUP($B814+IF($C814=12,1,0),Paraméterek!$V$257:$W$262,2),IF($B814=1,1,VLOOKUP($B814+IF($C814=12,1,0),Paraméterek!$I$258:$T$278,HLOOKUP($M$11+1,Paraméterek!$J$256:$T$257,2)))),IF($D$4="Forint",0,2))&gt;$N814-$P814-$Q814+$S814-$T814-IF($D$4="Forint",Paraméterek!$C$216,Paraméterek!$D$216),0,ROUNDUP(IF(ISBLANK($V814),$U814*0,$V814)/IF($D$2="Egyszeri",VLOOKUP($B814+IF($C814=12,1,0),Paraméterek!$V$257:$W$262,2),IF($B814=1,1,VLOOKUP($B814+IF($C814=12,1,0),Paraméterek!$I$258:$T$278,HLOOKUP($M$11+1,Paraméterek!$J$256:$T$257,2)))),IF($D$4="Forint",0,2)))</f>
        <v>#N/A</v>
      </c>
      <c r="X814" s="13" t="e">
        <f ca="1">ROUNDDOWN($W814*IF($D$2="Egyszeri",VLOOKUP($B814+IF($C814=12,1,0),Paraméterek!$V$257:$W$262,2),VLOOKUP($B814+IF($C814=12,1,0),Paraméterek!$I$258:$T$278,HLOOKUP($M$11+1,Paraméterek!$I$256:$T$257,2))),IF($D$4="Forint",0,2))</f>
        <v>#N/A</v>
      </c>
      <c r="Z814" s="32">
        <v>795</v>
      </c>
      <c r="AA814" s="32">
        <v>67</v>
      </c>
      <c r="AB814" s="32">
        <v>3</v>
      </c>
      <c r="AC814" s="13">
        <f t="shared" ca="1" si="280"/>
        <v>0</v>
      </c>
      <c r="AD814" s="33"/>
      <c r="AE814" s="13">
        <f t="shared" ca="1" si="272"/>
        <v>0</v>
      </c>
      <c r="AF814" s="13">
        <f ca="1">ROUNDUP(($AC814+$AE814)*VLOOKUP($AA814,Paraméterek!$P$38:$Q$38,2)/12*IF($D815="Nem",IF($M$13=0,1,$M$13),1),IF($D$4="Forint",0,2))</f>
        <v>0</v>
      </c>
      <c r="AG814" s="13">
        <f ca="1">IF($D$2="Egyszeri",IF($D$7&gt;=IF($D$4="Forint",Paraméterek!$P$223,Paraméterek!$P$224),$D$7-IF($D$4="Forint",Paraméterek!$P$223,Paraméterek!$P$224),0),MIN(IF($AB814=12,AVERAGEIF($E$20:$E814,"&gt;0",$E$20:$E814)*12,0),SUM($E$20:$E$31)))</f>
        <v>0</v>
      </c>
      <c r="AH814" s="13">
        <f>IF($AA814=10,$AG814*IF($AB814=12,IF($AG814&lt;IF($D$4="Forint",Paraméterek!$L$223,Paraméterek!$L$224),0,VLOOKUP($AA814,Paraméterek!$K$226:$M$228,IF($AG814&lt;IF($D$4="Forint",Paraméterek!$M$223,Paraméterek!$M$224),2,3))),0),0)</f>
        <v>0</v>
      </c>
      <c r="AI814" s="13">
        <f ca="1">IF(AND($AA814=$M$11+1,$AB814=$M$12+1),SUMIF($AA$20:$AA$1027,$AA814,$AG$20:$AG$1027)*IF(SUMIF($AA$20:$AA$1027,$AA814,$AG$20:$AG$1027)&lt;IF($D$4="Forint",Paraméterek!$L$223,Paraméterek!$L$224),0,VLOOKUP($AA814,Paraméterek!$K$230:$M$250,IF(SUMIF($AA$20:$AA$1027,$AA814,$AG$20:$AG$1027)&lt;IF($D$4="Forint",Paraméterek!$M$223,Paraméterek!$M$224),2,3))),0)</f>
        <v>0</v>
      </c>
      <c r="AJ814" s="13">
        <f ca="1">IF(AND($AA814&gt;=5,MOD($AA814,5)=0),IF($AB814=12,VLOOKUP($AA814,Paraméterek!$O$225:$P$240,2),0),IF(OR($AA814=3,$AA814=4),IF($AB814=12,VLOOKUP($AA814,Paraméterek!$O$225:$P$240,2,0),0),0))*$AG814</f>
        <v>0</v>
      </c>
      <c r="AK814" s="13">
        <f t="shared" ca="1" si="273"/>
        <v>0</v>
      </c>
      <c r="AL814" s="13">
        <f t="shared" ca="1" si="281"/>
        <v>0</v>
      </c>
      <c r="AM814" s="13">
        <f t="shared" ca="1" si="282"/>
        <v>0</v>
      </c>
      <c r="AO814" s="32">
        <v>795</v>
      </c>
      <c r="AP814" s="32">
        <v>67</v>
      </c>
      <c r="AQ814" s="32">
        <v>3</v>
      </c>
      <c r="AR814" s="13"/>
      <c r="AS814" s="32"/>
      <c r="AT814" s="13">
        <f t="shared" ca="1" si="283"/>
        <v>0</v>
      </c>
      <c r="AU814" s="33"/>
      <c r="AV814" s="13">
        <f t="shared" ca="1" si="274"/>
        <v>0</v>
      </c>
      <c r="AW814" s="13">
        <f ca="1">ROUNDUP(($AT814+$AV814)*VLOOKUP($AP814,Paraméterek!$P$38:$Q$38,2)/12*IF($D815="Nem",IF($M$13=0,1,$M$13),1),IF($D$4="Forint",0,2))</f>
        <v>0</v>
      </c>
      <c r="AX814" s="13"/>
      <c r="AY814" s="13"/>
      <c r="AZ814" s="13">
        <f>ROUNDUP(IF(SUM($AX814:$AY814)=0,0,IF(IF(ISBLANK($AY814),$AX814,$AY814)*Paraméterek!$J$112&lt;IF($D$4="Forint",Paraméterek!$J$113,Paraméterek!$K$113),IF($D$4="Forint",Paraméterek!$J$113,Paraméterek!$K$113),IF(IF(ISBLANK($AY814),$AX814,$AY814)*Paraméterek!$J$112&gt;IF($D$4="Forint",Paraméterek!$J$114,Paraméterek!$K$114),IF($D$4="Forint",Paraméterek!$J$114,Paraméterek!$K$114),IF(ISBLANK($AY814),$AX814,$AY814)*Paraméterek!$J$112))),IF($D$4="Forint",0,2))</f>
        <v>0</v>
      </c>
      <c r="BA814" s="13">
        <f ca="1">$AT814+$AV814-$AW814-IF(ROUNDDOWN(IF(ISBLANK($AY814),$AX814,$AY814),IF($D$4="Forint",0,2))&gt;$AT814+$AV814-$AW814-IF($D$4="Forint",Paraméterek!$J$114,Paraméterek!$K$114),0,ROUNDDOWN(IF(ISBLANK($AY814),$AX814,$AY814),IF($D$4="Forint",0,2))-$AZ814)</f>
        <v>0</v>
      </c>
      <c r="BB814" s="13">
        <f t="shared" ca="1" si="275"/>
        <v>0</v>
      </c>
      <c r="BD814" s="32">
        <v>795</v>
      </c>
      <c r="BE814" s="32">
        <v>67</v>
      </c>
      <c r="BF814" s="32">
        <v>3</v>
      </c>
      <c r="BG814" s="34">
        <f t="shared" ca="1" si="284"/>
        <v>2085</v>
      </c>
      <c r="BH814" s="32" t="str">
        <f ca="1">IF(MOD(MONTH($D$14)+$BD814-1,12)=Paraméterek!$C$288,"Igen","")</f>
        <v/>
      </c>
      <c r="BI814" s="13">
        <f ca="1">IF($BH814="Igen",MIN(ROUNDDOWN((SUMIF($BG$20:$BG$1027,$BG814-1,$K$20:$K$1027)-SUMIF($BG$20:$BG$1027,$BG814-1,$I$20:$I$1027))*Paraméterek!$C$289,IF($D$4="Forint",0,2)),IF($D$4="Forint",Paraméterek!$C$285,Paraméterek!$D$285)),0)</f>
        <v>0</v>
      </c>
      <c r="BJ814" s="13">
        <f t="shared" ca="1" si="276"/>
        <v>0</v>
      </c>
      <c r="BK814" s="13">
        <f t="shared" ca="1" si="285"/>
        <v>0</v>
      </c>
      <c r="BL814" s="33"/>
      <c r="BM814" s="13">
        <f t="shared" ca="1" si="277"/>
        <v>0</v>
      </c>
      <c r="BN814" s="13">
        <f ca="1">ROUNDUP(($BK814+$BM814)*VLOOKUP($BE814,Paraméterek!$P$38:$Q$38,2)/12*IF($D815="Nem",IF($M$13=0,1,$M$13),1),IF($D$4="Forint",0,2))</f>
        <v>0</v>
      </c>
      <c r="BO814" s="13">
        <f t="shared" ca="1" si="278"/>
        <v>0</v>
      </c>
      <c r="BP814" s="13">
        <f ca="1">IF($D815="Nem",$BO814,$BO814-ROUNDUP(SUM($BI$20:$BI814)*120%,IF($D$4="Forint",0,2)))</f>
        <v>0</v>
      </c>
    </row>
    <row r="815" spans="1:68" x14ac:dyDescent="0.2">
      <c r="A815" s="32">
        <v>796</v>
      </c>
      <c r="B815" s="32">
        <v>67</v>
      </c>
      <c r="C815" s="32">
        <v>4</v>
      </c>
      <c r="D815" s="32" t="str">
        <f t="shared" ca="1" si="264"/>
        <v>Nem</v>
      </c>
      <c r="E815" s="13">
        <f t="shared" ca="1" si="265"/>
        <v>0</v>
      </c>
      <c r="F815" s="13"/>
      <c r="G815" s="13"/>
      <c r="H815" s="13"/>
      <c r="I815" s="13">
        <f t="shared" ca="1" si="266"/>
        <v>0</v>
      </c>
      <c r="J815" s="13">
        <f t="shared" ca="1" si="267"/>
        <v>0</v>
      </c>
      <c r="K815" s="13">
        <f t="shared" ca="1" si="268"/>
        <v>0</v>
      </c>
      <c r="L815" s="13" t="e">
        <f ca="1">ROUNDUP(IF($D$2="Egyszeri",$E815,IF($D$2="Havi",SUM($E$20:$E$31),IF(MOD($C815,$M$1)-1=0,SUM($E$20:$E$31),0))/12*$M$1)*VLOOKUP($B815,Paraméterek!$I$28:$P$31,IF($D$2="Egyszeri",8,HLOOKUP(ROUNDUP($M$11+$M$13,0),Paraméterek!$J$26:$O$27,2))),IF($D$4="Forint",0,2))</f>
        <v>#N/A</v>
      </c>
      <c r="M815" s="13">
        <f t="shared" ca="1" si="269"/>
        <v>0</v>
      </c>
      <c r="N815" s="13">
        <f t="shared" ca="1" si="279"/>
        <v>0</v>
      </c>
      <c r="O815" s="13">
        <f ca="1">IF($D815="Igen",IF($W814&gt;=IF($D$4="Forint",Paraméterek!$J$121,Paraméterek!$K$121),0,IF($D$4="Forint",Paraméterek!$J$121,Paraméterek!$K$121)-$W814),0)</f>
        <v>0</v>
      </c>
      <c r="P815" s="13" t="e">
        <f ca="1">ROUNDUP($O815*VLOOKUP($M$4+$B815-1,Paraméterek!$H$58:$I$105,2,0)/Paraméterek!$I$56,IF($D$4="Forint",0,2))</f>
        <v>#N/A</v>
      </c>
      <c r="Q815" s="13">
        <f t="shared" ca="1" si="270"/>
        <v>0</v>
      </c>
      <c r="R815" s="33"/>
      <c r="S815" s="13" t="e">
        <f t="shared" ca="1" si="271"/>
        <v>#N/A</v>
      </c>
      <c r="T815" s="13" t="e">
        <f ca="1">ROUNDUP(($N815-$P815-$Q815+$S815)*VLOOKUP($B815,Paraméterek!$I$38:$K$39,IF($D$2="Egyszeri",3,2))/12*IF($D816="Nem",IF($M$13=0,1,$M$13),1),IF($D$4="Forint",0,2))</f>
        <v>#N/A</v>
      </c>
      <c r="U815" s="13"/>
      <c r="V815" s="13"/>
      <c r="W815" s="13" t="e">
        <f ca="1">$N815-$P815-$Q815+$S815-$T815-IF(ROUNDUP(IF(ISBLANK($V815),$U815*0,$V815)/IF($D$2="Egyszeri",VLOOKUP($B815+IF($C815=12,1,0),Paraméterek!$V$257:$W$262,2),IF($B815=1,1,VLOOKUP($B815+IF($C815=12,1,0),Paraméterek!$I$258:$T$278,HLOOKUP($M$11+1,Paraméterek!$J$256:$T$257,2)))),IF($D$4="Forint",0,2))&gt;$N815-$P815-$Q815+$S815-$T815-IF($D$4="Forint",Paraméterek!$C$216,Paraméterek!$D$216),0,ROUNDUP(IF(ISBLANK($V815),$U815*0,$V815)/IF($D$2="Egyszeri",VLOOKUP($B815+IF($C815=12,1,0),Paraméterek!$V$257:$W$262,2),IF($B815=1,1,VLOOKUP($B815+IF($C815=12,1,0),Paraméterek!$I$258:$T$278,HLOOKUP($M$11+1,Paraméterek!$J$256:$T$257,2)))),IF($D$4="Forint",0,2)))</f>
        <v>#N/A</v>
      </c>
      <c r="X815" s="13" t="e">
        <f ca="1">ROUNDDOWN($W815*IF($D$2="Egyszeri",VLOOKUP($B815+IF($C815=12,1,0),Paraméterek!$V$257:$W$262,2),VLOOKUP($B815+IF($C815=12,1,0),Paraméterek!$I$258:$T$278,HLOOKUP($M$11+1,Paraméterek!$I$256:$T$257,2))),IF($D$4="Forint",0,2))</f>
        <v>#N/A</v>
      </c>
      <c r="Z815" s="32">
        <v>796</v>
      </c>
      <c r="AA815" s="32">
        <v>67</v>
      </c>
      <c r="AB815" s="32">
        <v>4</v>
      </c>
      <c r="AC815" s="13">
        <f t="shared" ca="1" si="280"/>
        <v>0</v>
      </c>
      <c r="AD815" s="33"/>
      <c r="AE815" s="13">
        <f t="shared" ca="1" si="272"/>
        <v>0</v>
      </c>
      <c r="AF815" s="13">
        <f ca="1">ROUNDUP(($AC815+$AE815)*VLOOKUP($AA815,Paraméterek!$P$38:$Q$38,2)/12*IF($D816="Nem",IF($M$13=0,1,$M$13),1),IF($D$4="Forint",0,2))</f>
        <v>0</v>
      </c>
      <c r="AG815" s="13">
        <f ca="1">IF($D$2="Egyszeri",IF($D$7&gt;=IF($D$4="Forint",Paraméterek!$P$223,Paraméterek!$P$224),$D$7-IF($D$4="Forint",Paraméterek!$P$223,Paraméterek!$P$224),0),MIN(IF($AB815=12,AVERAGEIF($E$20:$E815,"&gt;0",$E$20:$E815)*12,0),SUM($E$20:$E$31)))</f>
        <v>0</v>
      </c>
      <c r="AH815" s="13">
        <f>IF($AA815=10,$AG815*IF($AB815=12,IF($AG815&lt;IF($D$4="Forint",Paraméterek!$L$223,Paraméterek!$L$224),0,VLOOKUP($AA815,Paraméterek!$K$226:$M$228,IF($AG815&lt;IF($D$4="Forint",Paraméterek!$M$223,Paraméterek!$M$224),2,3))),0),0)</f>
        <v>0</v>
      </c>
      <c r="AI815" s="13">
        <f ca="1">IF(AND($AA815=$M$11+1,$AB815=$M$12+1),SUMIF($AA$20:$AA$1027,$AA815,$AG$20:$AG$1027)*IF(SUMIF($AA$20:$AA$1027,$AA815,$AG$20:$AG$1027)&lt;IF($D$4="Forint",Paraméterek!$L$223,Paraméterek!$L$224),0,VLOOKUP($AA815,Paraméterek!$K$230:$M$250,IF(SUMIF($AA$20:$AA$1027,$AA815,$AG$20:$AG$1027)&lt;IF($D$4="Forint",Paraméterek!$M$223,Paraméterek!$M$224),2,3))),0)</f>
        <v>0</v>
      </c>
      <c r="AJ815" s="13">
        <f ca="1">IF(AND($AA815&gt;=5,MOD($AA815,5)=0),IF($AB815=12,VLOOKUP($AA815,Paraméterek!$O$225:$P$240,2),0),IF(OR($AA815=3,$AA815=4),IF($AB815=12,VLOOKUP($AA815,Paraméterek!$O$225:$P$240,2,0),0),0))*$AG815</f>
        <v>0</v>
      </c>
      <c r="AK815" s="13">
        <f t="shared" ca="1" si="273"/>
        <v>0</v>
      </c>
      <c r="AL815" s="13">
        <f t="shared" ca="1" si="281"/>
        <v>0</v>
      </c>
      <c r="AM815" s="13">
        <f t="shared" ca="1" si="282"/>
        <v>0</v>
      </c>
      <c r="AO815" s="32">
        <v>796</v>
      </c>
      <c r="AP815" s="32">
        <v>67</v>
      </c>
      <c r="AQ815" s="32">
        <v>4</v>
      </c>
      <c r="AR815" s="13"/>
      <c r="AS815" s="32"/>
      <c r="AT815" s="13">
        <f t="shared" ca="1" si="283"/>
        <v>0</v>
      </c>
      <c r="AU815" s="33"/>
      <c r="AV815" s="13">
        <f t="shared" ca="1" si="274"/>
        <v>0</v>
      </c>
      <c r="AW815" s="13">
        <f ca="1">ROUNDUP(($AT815+$AV815)*VLOOKUP($AP815,Paraméterek!$P$38:$Q$38,2)/12*IF($D816="Nem",IF($M$13=0,1,$M$13),1),IF($D$4="Forint",0,2))</f>
        <v>0</v>
      </c>
      <c r="AX815" s="13"/>
      <c r="AY815" s="13"/>
      <c r="AZ815" s="13">
        <f>ROUNDUP(IF(SUM($AX815:$AY815)=0,0,IF(IF(ISBLANK($AY815),$AX815,$AY815)*Paraméterek!$J$112&lt;IF($D$4="Forint",Paraméterek!$J$113,Paraméterek!$K$113),IF($D$4="Forint",Paraméterek!$J$113,Paraméterek!$K$113),IF(IF(ISBLANK($AY815),$AX815,$AY815)*Paraméterek!$J$112&gt;IF($D$4="Forint",Paraméterek!$J$114,Paraméterek!$K$114),IF($D$4="Forint",Paraméterek!$J$114,Paraméterek!$K$114),IF(ISBLANK($AY815),$AX815,$AY815)*Paraméterek!$J$112))),IF($D$4="Forint",0,2))</f>
        <v>0</v>
      </c>
      <c r="BA815" s="13">
        <f ca="1">$AT815+$AV815-$AW815-IF(ROUNDDOWN(IF(ISBLANK($AY815),$AX815,$AY815),IF($D$4="Forint",0,2))&gt;$AT815+$AV815-$AW815-IF($D$4="Forint",Paraméterek!$J$114,Paraméterek!$K$114),0,ROUNDDOWN(IF(ISBLANK($AY815),$AX815,$AY815),IF($D$4="Forint",0,2))-$AZ815)</f>
        <v>0</v>
      </c>
      <c r="BB815" s="13">
        <f t="shared" ca="1" si="275"/>
        <v>0</v>
      </c>
      <c r="BD815" s="32">
        <v>796</v>
      </c>
      <c r="BE815" s="32">
        <v>67</v>
      </c>
      <c r="BF815" s="32">
        <v>4</v>
      </c>
      <c r="BG815" s="34">
        <f t="shared" ca="1" si="284"/>
        <v>2085</v>
      </c>
      <c r="BH815" s="32" t="str">
        <f ca="1">IF(MOD(MONTH($D$14)+$BD815-1,12)=Paraméterek!$C$288,"Igen","")</f>
        <v/>
      </c>
      <c r="BI815" s="13">
        <f ca="1">IF($BH815="Igen",MIN(ROUNDDOWN((SUMIF($BG$20:$BG$1027,$BG815-1,$K$20:$K$1027)-SUMIF($BG$20:$BG$1027,$BG815-1,$I$20:$I$1027))*Paraméterek!$C$289,IF($D$4="Forint",0,2)),IF($D$4="Forint",Paraméterek!$C$285,Paraméterek!$D$285)),0)</f>
        <v>0</v>
      </c>
      <c r="BJ815" s="13">
        <f t="shared" ca="1" si="276"/>
        <v>0</v>
      </c>
      <c r="BK815" s="13">
        <f t="shared" ca="1" si="285"/>
        <v>0</v>
      </c>
      <c r="BL815" s="33"/>
      <c r="BM815" s="13">
        <f t="shared" ca="1" si="277"/>
        <v>0</v>
      </c>
      <c r="BN815" s="13">
        <f ca="1">ROUNDUP(($BK815+$BM815)*VLOOKUP($BE815,Paraméterek!$P$38:$Q$38,2)/12*IF($D816="Nem",IF($M$13=0,1,$M$13),1),IF($D$4="Forint",0,2))</f>
        <v>0</v>
      </c>
      <c r="BO815" s="13">
        <f t="shared" ca="1" si="278"/>
        <v>0</v>
      </c>
      <c r="BP815" s="13">
        <f ca="1">IF($D816="Nem",$BO815,$BO815-ROUNDUP(SUM($BI$20:$BI815)*120%,IF($D$4="Forint",0,2)))</f>
        <v>0</v>
      </c>
    </row>
    <row r="816" spans="1:68" x14ac:dyDescent="0.2">
      <c r="A816" s="32">
        <v>797</v>
      </c>
      <c r="B816" s="32">
        <v>67</v>
      </c>
      <c r="C816" s="32">
        <v>5</v>
      </c>
      <c r="D816" s="32" t="str">
        <f t="shared" ca="1" si="264"/>
        <v>Nem</v>
      </c>
      <c r="E816" s="13">
        <f t="shared" ca="1" si="265"/>
        <v>0</v>
      </c>
      <c r="F816" s="13"/>
      <c r="G816" s="13"/>
      <c r="H816" s="13"/>
      <c r="I816" s="13">
        <f t="shared" ca="1" si="266"/>
        <v>0</v>
      </c>
      <c r="J816" s="13">
        <f t="shared" ca="1" si="267"/>
        <v>0</v>
      </c>
      <c r="K816" s="13">
        <f t="shared" ca="1" si="268"/>
        <v>0</v>
      </c>
      <c r="L816" s="13" t="e">
        <f ca="1">ROUNDUP(IF($D$2="Egyszeri",$E816,IF($D$2="Havi",SUM($E$20:$E$31),IF(MOD($C816,$M$1)-1=0,SUM($E$20:$E$31),0))/12*$M$1)*VLOOKUP($B816,Paraméterek!$I$28:$P$31,IF($D$2="Egyszeri",8,HLOOKUP(ROUNDUP($M$11+$M$13,0),Paraméterek!$J$26:$O$27,2))),IF($D$4="Forint",0,2))</f>
        <v>#N/A</v>
      </c>
      <c r="M816" s="13">
        <f t="shared" ca="1" si="269"/>
        <v>0</v>
      </c>
      <c r="N816" s="13">
        <f t="shared" ca="1" si="279"/>
        <v>0</v>
      </c>
      <c r="O816" s="13">
        <f ca="1">IF($D816="Igen",IF($W815&gt;=IF($D$4="Forint",Paraméterek!$J$121,Paraméterek!$K$121),0,IF($D$4="Forint",Paraméterek!$J$121,Paraméterek!$K$121)-$W815),0)</f>
        <v>0</v>
      </c>
      <c r="P816" s="13" t="e">
        <f ca="1">ROUNDUP($O816*VLOOKUP($M$4+$B816-1,Paraméterek!$H$58:$I$105,2,0)/Paraméterek!$I$56,IF($D$4="Forint",0,2))</f>
        <v>#N/A</v>
      </c>
      <c r="Q816" s="13">
        <f t="shared" ca="1" si="270"/>
        <v>0</v>
      </c>
      <c r="R816" s="33"/>
      <c r="S816" s="13" t="e">
        <f t="shared" ca="1" si="271"/>
        <v>#N/A</v>
      </c>
      <c r="T816" s="13" t="e">
        <f ca="1">ROUNDUP(($N816-$P816-$Q816+$S816)*VLOOKUP($B816,Paraméterek!$I$38:$K$39,IF($D$2="Egyszeri",3,2))/12*IF($D817="Nem",IF($M$13=0,1,$M$13),1),IF($D$4="Forint",0,2))</f>
        <v>#N/A</v>
      </c>
      <c r="U816" s="13"/>
      <c r="V816" s="13"/>
      <c r="W816" s="13" t="e">
        <f ca="1">$N816-$P816-$Q816+$S816-$T816-IF(ROUNDUP(IF(ISBLANK($V816),$U816*0,$V816)/IF($D$2="Egyszeri",VLOOKUP($B816+IF($C816=12,1,0),Paraméterek!$V$257:$W$262,2),IF($B816=1,1,VLOOKUP($B816+IF($C816=12,1,0),Paraméterek!$I$258:$T$278,HLOOKUP($M$11+1,Paraméterek!$J$256:$T$257,2)))),IF($D$4="Forint",0,2))&gt;$N816-$P816-$Q816+$S816-$T816-IF($D$4="Forint",Paraméterek!$C$216,Paraméterek!$D$216),0,ROUNDUP(IF(ISBLANK($V816),$U816*0,$V816)/IF($D$2="Egyszeri",VLOOKUP($B816+IF($C816=12,1,0),Paraméterek!$V$257:$W$262,2),IF($B816=1,1,VLOOKUP($B816+IF($C816=12,1,0),Paraméterek!$I$258:$T$278,HLOOKUP($M$11+1,Paraméterek!$J$256:$T$257,2)))),IF($D$4="Forint",0,2)))</f>
        <v>#N/A</v>
      </c>
      <c r="X816" s="13" t="e">
        <f ca="1">ROUNDDOWN($W816*IF($D$2="Egyszeri",VLOOKUP($B816+IF($C816=12,1,0),Paraméterek!$V$257:$W$262,2),VLOOKUP($B816+IF($C816=12,1,0),Paraméterek!$I$258:$T$278,HLOOKUP($M$11+1,Paraméterek!$I$256:$T$257,2))),IF($D$4="Forint",0,2))</f>
        <v>#N/A</v>
      </c>
      <c r="Z816" s="32">
        <v>797</v>
      </c>
      <c r="AA816" s="32">
        <v>67</v>
      </c>
      <c r="AB816" s="32">
        <v>5</v>
      </c>
      <c r="AC816" s="13">
        <f t="shared" ca="1" si="280"/>
        <v>0</v>
      </c>
      <c r="AD816" s="33"/>
      <c r="AE816" s="13">
        <f t="shared" ca="1" si="272"/>
        <v>0</v>
      </c>
      <c r="AF816" s="13">
        <f ca="1">ROUNDUP(($AC816+$AE816)*VLOOKUP($AA816,Paraméterek!$P$38:$Q$38,2)/12*IF($D817="Nem",IF($M$13=0,1,$M$13),1),IF($D$4="Forint",0,2))</f>
        <v>0</v>
      </c>
      <c r="AG816" s="13">
        <f ca="1">IF($D$2="Egyszeri",IF($D$7&gt;=IF($D$4="Forint",Paraméterek!$P$223,Paraméterek!$P$224),$D$7-IF($D$4="Forint",Paraméterek!$P$223,Paraméterek!$P$224),0),MIN(IF($AB816=12,AVERAGEIF($E$20:$E816,"&gt;0",$E$20:$E816)*12,0),SUM($E$20:$E$31)))</f>
        <v>0</v>
      </c>
      <c r="AH816" s="13">
        <f>IF($AA816=10,$AG816*IF($AB816=12,IF($AG816&lt;IF($D$4="Forint",Paraméterek!$L$223,Paraméterek!$L$224),0,VLOOKUP($AA816,Paraméterek!$K$226:$M$228,IF($AG816&lt;IF($D$4="Forint",Paraméterek!$M$223,Paraméterek!$M$224),2,3))),0),0)</f>
        <v>0</v>
      </c>
      <c r="AI816" s="13">
        <f ca="1">IF(AND($AA816=$M$11+1,$AB816=$M$12+1),SUMIF($AA$20:$AA$1027,$AA816,$AG$20:$AG$1027)*IF(SUMIF($AA$20:$AA$1027,$AA816,$AG$20:$AG$1027)&lt;IF($D$4="Forint",Paraméterek!$L$223,Paraméterek!$L$224),0,VLOOKUP($AA816,Paraméterek!$K$230:$M$250,IF(SUMIF($AA$20:$AA$1027,$AA816,$AG$20:$AG$1027)&lt;IF($D$4="Forint",Paraméterek!$M$223,Paraméterek!$M$224),2,3))),0)</f>
        <v>0</v>
      </c>
      <c r="AJ816" s="13">
        <f ca="1">IF(AND($AA816&gt;=5,MOD($AA816,5)=0),IF($AB816=12,VLOOKUP($AA816,Paraméterek!$O$225:$P$240,2),0),IF(OR($AA816=3,$AA816=4),IF($AB816=12,VLOOKUP($AA816,Paraméterek!$O$225:$P$240,2,0),0),0))*$AG816</f>
        <v>0</v>
      </c>
      <c r="AK816" s="13">
        <f t="shared" ca="1" si="273"/>
        <v>0</v>
      </c>
      <c r="AL816" s="13">
        <f t="shared" ca="1" si="281"/>
        <v>0</v>
      </c>
      <c r="AM816" s="13">
        <f t="shared" ca="1" si="282"/>
        <v>0</v>
      </c>
      <c r="AO816" s="32">
        <v>797</v>
      </c>
      <c r="AP816" s="32">
        <v>67</v>
      </c>
      <c r="AQ816" s="32">
        <v>5</v>
      </c>
      <c r="AR816" s="13"/>
      <c r="AS816" s="32"/>
      <c r="AT816" s="13">
        <f t="shared" ca="1" si="283"/>
        <v>0</v>
      </c>
      <c r="AU816" s="33"/>
      <c r="AV816" s="13">
        <f t="shared" ca="1" si="274"/>
        <v>0</v>
      </c>
      <c r="AW816" s="13">
        <f ca="1">ROUNDUP(($AT816+$AV816)*VLOOKUP($AP816,Paraméterek!$P$38:$Q$38,2)/12*IF($D817="Nem",IF($M$13=0,1,$M$13),1),IF($D$4="Forint",0,2))</f>
        <v>0</v>
      </c>
      <c r="AX816" s="13"/>
      <c r="AY816" s="13"/>
      <c r="AZ816" s="13">
        <f>ROUNDUP(IF(SUM($AX816:$AY816)=0,0,IF(IF(ISBLANK($AY816),$AX816,$AY816)*Paraméterek!$J$112&lt;IF($D$4="Forint",Paraméterek!$J$113,Paraméterek!$K$113),IF($D$4="Forint",Paraméterek!$J$113,Paraméterek!$K$113),IF(IF(ISBLANK($AY816),$AX816,$AY816)*Paraméterek!$J$112&gt;IF($D$4="Forint",Paraméterek!$J$114,Paraméterek!$K$114),IF($D$4="Forint",Paraméterek!$J$114,Paraméterek!$K$114),IF(ISBLANK($AY816),$AX816,$AY816)*Paraméterek!$J$112))),IF($D$4="Forint",0,2))</f>
        <v>0</v>
      </c>
      <c r="BA816" s="13">
        <f ca="1">$AT816+$AV816-$AW816-IF(ROUNDDOWN(IF(ISBLANK($AY816),$AX816,$AY816),IF($D$4="Forint",0,2))&gt;$AT816+$AV816-$AW816-IF($D$4="Forint",Paraméterek!$J$114,Paraméterek!$K$114),0,ROUNDDOWN(IF(ISBLANK($AY816),$AX816,$AY816),IF($D$4="Forint",0,2))-$AZ816)</f>
        <v>0</v>
      </c>
      <c r="BB816" s="13">
        <f t="shared" ca="1" si="275"/>
        <v>0</v>
      </c>
      <c r="BD816" s="32">
        <v>797</v>
      </c>
      <c r="BE816" s="32">
        <v>67</v>
      </c>
      <c r="BF816" s="32">
        <v>5</v>
      </c>
      <c r="BG816" s="34">
        <f t="shared" ca="1" si="284"/>
        <v>2085</v>
      </c>
      <c r="BH816" s="32" t="str">
        <f ca="1">IF(MOD(MONTH($D$14)+$BD816-1,12)=Paraméterek!$C$288,"Igen","")</f>
        <v/>
      </c>
      <c r="BI816" s="13">
        <f ca="1">IF($BH816="Igen",MIN(ROUNDDOWN((SUMIF($BG$20:$BG$1027,$BG816-1,$K$20:$K$1027)-SUMIF($BG$20:$BG$1027,$BG816-1,$I$20:$I$1027))*Paraméterek!$C$289,IF($D$4="Forint",0,2)),IF($D$4="Forint",Paraméterek!$C$285,Paraméterek!$D$285)),0)</f>
        <v>0</v>
      </c>
      <c r="BJ816" s="13">
        <f t="shared" ca="1" si="276"/>
        <v>0</v>
      </c>
      <c r="BK816" s="13">
        <f t="shared" ca="1" si="285"/>
        <v>0</v>
      </c>
      <c r="BL816" s="33"/>
      <c r="BM816" s="13">
        <f t="shared" ca="1" si="277"/>
        <v>0</v>
      </c>
      <c r="BN816" s="13">
        <f ca="1">ROUNDUP(($BK816+$BM816)*VLOOKUP($BE816,Paraméterek!$P$38:$Q$38,2)/12*IF($D817="Nem",IF($M$13=0,1,$M$13),1),IF($D$4="Forint",0,2))</f>
        <v>0</v>
      </c>
      <c r="BO816" s="13">
        <f t="shared" ca="1" si="278"/>
        <v>0</v>
      </c>
      <c r="BP816" s="13">
        <f ca="1">IF($D817="Nem",$BO816,$BO816-ROUNDUP(SUM($BI$20:$BI816)*120%,IF($D$4="Forint",0,2)))</f>
        <v>0</v>
      </c>
    </row>
    <row r="817" spans="1:68" x14ac:dyDescent="0.2">
      <c r="A817" s="32">
        <v>798</v>
      </c>
      <c r="B817" s="32">
        <v>67</v>
      </c>
      <c r="C817" s="32">
        <v>6</v>
      </c>
      <c r="D817" s="32" t="str">
        <f t="shared" ca="1" si="264"/>
        <v>Nem</v>
      </c>
      <c r="E817" s="13">
        <f t="shared" ca="1" si="265"/>
        <v>0</v>
      </c>
      <c r="F817" s="13"/>
      <c r="G817" s="13"/>
      <c r="H817" s="13"/>
      <c r="I817" s="13">
        <f t="shared" ca="1" si="266"/>
        <v>0</v>
      </c>
      <c r="J817" s="13">
        <f t="shared" ca="1" si="267"/>
        <v>0</v>
      </c>
      <c r="K817" s="13">
        <f t="shared" ca="1" si="268"/>
        <v>0</v>
      </c>
      <c r="L817" s="13" t="e">
        <f ca="1">ROUNDUP(IF($D$2="Egyszeri",$E817,IF($D$2="Havi",SUM($E$20:$E$31),IF(MOD($C817,$M$1)-1=0,SUM($E$20:$E$31),0))/12*$M$1)*VLOOKUP($B817,Paraméterek!$I$28:$P$31,IF($D$2="Egyszeri",8,HLOOKUP(ROUNDUP($M$11+$M$13,0),Paraméterek!$J$26:$O$27,2))),IF($D$4="Forint",0,2))</f>
        <v>#N/A</v>
      </c>
      <c r="M817" s="13">
        <f t="shared" ca="1" si="269"/>
        <v>0</v>
      </c>
      <c r="N817" s="13">
        <f t="shared" ca="1" si="279"/>
        <v>0</v>
      </c>
      <c r="O817" s="13">
        <f ca="1">IF($D817="Igen",IF($W816&gt;=IF($D$4="Forint",Paraméterek!$J$121,Paraméterek!$K$121),0,IF($D$4="Forint",Paraméterek!$J$121,Paraméterek!$K$121)-$W816),0)</f>
        <v>0</v>
      </c>
      <c r="P817" s="13" t="e">
        <f ca="1">ROUNDUP($O817*VLOOKUP($M$4+$B817-1,Paraméterek!$H$58:$I$105,2,0)/Paraméterek!$I$56,IF($D$4="Forint",0,2))</f>
        <v>#N/A</v>
      </c>
      <c r="Q817" s="13">
        <f t="shared" ca="1" si="270"/>
        <v>0</v>
      </c>
      <c r="R817" s="33"/>
      <c r="S817" s="13" t="e">
        <f t="shared" ca="1" si="271"/>
        <v>#N/A</v>
      </c>
      <c r="T817" s="13" t="e">
        <f ca="1">ROUNDUP(($N817-$P817-$Q817+$S817)*VLOOKUP($B817,Paraméterek!$I$38:$K$39,IF($D$2="Egyszeri",3,2))/12*IF($D818="Nem",IF($M$13=0,1,$M$13),1),IF($D$4="Forint",0,2))</f>
        <v>#N/A</v>
      </c>
      <c r="U817" s="13"/>
      <c r="V817" s="13"/>
      <c r="W817" s="13" t="e">
        <f ca="1">$N817-$P817-$Q817+$S817-$T817-IF(ROUNDUP(IF(ISBLANK($V817),$U817*0,$V817)/IF($D$2="Egyszeri",VLOOKUP($B817+IF($C817=12,1,0),Paraméterek!$V$257:$W$262,2),IF($B817=1,1,VLOOKUP($B817+IF($C817=12,1,0),Paraméterek!$I$258:$T$278,HLOOKUP($M$11+1,Paraméterek!$J$256:$T$257,2)))),IF($D$4="Forint",0,2))&gt;$N817-$P817-$Q817+$S817-$T817-IF($D$4="Forint",Paraméterek!$C$216,Paraméterek!$D$216),0,ROUNDUP(IF(ISBLANK($V817),$U817*0,$V817)/IF($D$2="Egyszeri",VLOOKUP($B817+IF($C817=12,1,0),Paraméterek!$V$257:$W$262,2),IF($B817=1,1,VLOOKUP($B817+IF($C817=12,1,0),Paraméterek!$I$258:$T$278,HLOOKUP($M$11+1,Paraméterek!$J$256:$T$257,2)))),IF($D$4="Forint",0,2)))</f>
        <v>#N/A</v>
      </c>
      <c r="X817" s="13" t="e">
        <f ca="1">ROUNDDOWN($W817*IF($D$2="Egyszeri",VLOOKUP($B817+IF($C817=12,1,0),Paraméterek!$V$257:$W$262,2),VLOOKUP($B817+IF($C817=12,1,0),Paraméterek!$I$258:$T$278,HLOOKUP($M$11+1,Paraméterek!$I$256:$T$257,2))),IF($D$4="Forint",0,2))</f>
        <v>#N/A</v>
      </c>
      <c r="Z817" s="32">
        <v>798</v>
      </c>
      <c r="AA817" s="32">
        <v>67</v>
      </c>
      <c r="AB817" s="32">
        <v>6</v>
      </c>
      <c r="AC817" s="13">
        <f t="shared" ca="1" si="280"/>
        <v>0</v>
      </c>
      <c r="AD817" s="33"/>
      <c r="AE817" s="13">
        <f t="shared" ca="1" si="272"/>
        <v>0</v>
      </c>
      <c r="AF817" s="13">
        <f ca="1">ROUNDUP(($AC817+$AE817)*VLOOKUP($AA817,Paraméterek!$P$38:$Q$38,2)/12*IF($D818="Nem",IF($M$13=0,1,$M$13),1),IF($D$4="Forint",0,2))</f>
        <v>0</v>
      </c>
      <c r="AG817" s="13">
        <f ca="1">IF($D$2="Egyszeri",IF($D$7&gt;=IF($D$4="Forint",Paraméterek!$P$223,Paraméterek!$P$224),$D$7-IF($D$4="Forint",Paraméterek!$P$223,Paraméterek!$P$224),0),MIN(IF($AB817=12,AVERAGEIF($E$20:$E817,"&gt;0",$E$20:$E817)*12,0),SUM($E$20:$E$31)))</f>
        <v>0</v>
      </c>
      <c r="AH817" s="13">
        <f>IF($AA817=10,$AG817*IF($AB817=12,IF($AG817&lt;IF($D$4="Forint",Paraméterek!$L$223,Paraméterek!$L$224),0,VLOOKUP($AA817,Paraméterek!$K$226:$M$228,IF($AG817&lt;IF($D$4="Forint",Paraméterek!$M$223,Paraméterek!$M$224),2,3))),0),0)</f>
        <v>0</v>
      </c>
      <c r="AI817" s="13">
        <f ca="1">IF(AND($AA817=$M$11+1,$AB817=$M$12+1),SUMIF($AA$20:$AA$1027,$AA817,$AG$20:$AG$1027)*IF(SUMIF($AA$20:$AA$1027,$AA817,$AG$20:$AG$1027)&lt;IF($D$4="Forint",Paraméterek!$L$223,Paraméterek!$L$224),0,VLOOKUP($AA817,Paraméterek!$K$230:$M$250,IF(SUMIF($AA$20:$AA$1027,$AA817,$AG$20:$AG$1027)&lt;IF($D$4="Forint",Paraméterek!$M$223,Paraméterek!$M$224),2,3))),0)</f>
        <v>0</v>
      </c>
      <c r="AJ817" s="13">
        <f ca="1">IF(AND($AA817&gt;=5,MOD($AA817,5)=0),IF($AB817=12,VLOOKUP($AA817,Paraméterek!$O$225:$P$240,2),0),IF(OR($AA817=3,$AA817=4),IF($AB817=12,VLOOKUP($AA817,Paraméterek!$O$225:$P$240,2,0),0),0))*$AG817</f>
        <v>0</v>
      </c>
      <c r="AK817" s="13">
        <f t="shared" ca="1" si="273"/>
        <v>0</v>
      </c>
      <c r="AL817" s="13">
        <f t="shared" ca="1" si="281"/>
        <v>0</v>
      </c>
      <c r="AM817" s="13">
        <f t="shared" ca="1" si="282"/>
        <v>0</v>
      </c>
      <c r="AO817" s="32">
        <v>798</v>
      </c>
      <c r="AP817" s="32">
        <v>67</v>
      </c>
      <c r="AQ817" s="32">
        <v>6</v>
      </c>
      <c r="AR817" s="13"/>
      <c r="AS817" s="32"/>
      <c r="AT817" s="13">
        <f t="shared" ca="1" si="283"/>
        <v>0</v>
      </c>
      <c r="AU817" s="33"/>
      <c r="AV817" s="13">
        <f t="shared" ca="1" si="274"/>
        <v>0</v>
      </c>
      <c r="AW817" s="13">
        <f ca="1">ROUNDUP(($AT817+$AV817)*VLOOKUP($AP817,Paraméterek!$P$38:$Q$38,2)/12*IF($D818="Nem",IF($M$13=0,1,$M$13),1),IF($D$4="Forint",0,2))</f>
        <v>0</v>
      </c>
      <c r="AX817" s="13"/>
      <c r="AY817" s="13"/>
      <c r="AZ817" s="13">
        <f>ROUNDUP(IF(SUM($AX817:$AY817)=0,0,IF(IF(ISBLANK($AY817),$AX817,$AY817)*Paraméterek!$J$112&lt;IF($D$4="Forint",Paraméterek!$J$113,Paraméterek!$K$113),IF($D$4="Forint",Paraméterek!$J$113,Paraméterek!$K$113),IF(IF(ISBLANK($AY817),$AX817,$AY817)*Paraméterek!$J$112&gt;IF($D$4="Forint",Paraméterek!$J$114,Paraméterek!$K$114),IF($D$4="Forint",Paraméterek!$J$114,Paraméterek!$K$114),IF(ISBLANK($AY817),$AX817,$AY817)*Paraméterek!$J$112))),IF($D$4="Forint",0,2))</f>
        <v>0</v>
      </c>
      <c r="BA817" s="13">
        <f ca="1">$AT817+$AV817-$AW817-IF(ROUNDDOWN(IF(ISBLANK($AY817),$AX817,$AY817),IF($D$4="Forint",0,2))&gt;$AT817+$AV817-$AW817-IF($D$4="Forint",Paraméterek!$J$114,Paraméterek!$K$114),0,ROUNDDOWN(IF(ISBLANK($AY817),$AX817,$AY817),IF($D$4="Forint",0,2))-$AZ817)</f>
        <v>0</v>
      </c>
      <c r="BB817" s="13">
        <f t="shared" ca="1" si="275"/>
        <v>0</v>
      </c>
      <c r="BD817" s="32">
        <v>798</v>
      </c>
      <c r="BE817" s="32">
        <v>67</v>
      </c>
      <c r="BF817" s="32">
        <v>6</v>
      </c>
      <c r="BG817" s="34">
        <f t="shared" ca="1" si="284"/>
        <v>2085</v>
      </c>
      <c r="BH817" s="32" t="str">
        <f ca="1">IF(MOD(MONTH($D$14)+$BD817-1,12)=Paraméterek!$C$288,"Igen","")</f>
        <v/>
      </c>
      <c r="BI817" s="13">
        <f ca="1">IF($BH817="Igen",MIN(ROUNDDOWN((SUMIF($BG$20:$BG$1027,$BG817-1,$K$20:$K$1027)-SUMIF($BG$20:$BG$1027,$BG817-1,$I$20:$I$1027))*Paraméterek!$C$289,IF($D$4="Forint",0,2)),IF($D$4="Forint",Paraméterek!$C$285,Paraméterek!$D$285)),0)</f>
        <v>0</v>
      </c>
      <c r="BJ817" s="13">
        <f t="shared" ca="1" si="276"/>
        <v>0</v>
      </c>
      <c r="BK817" s="13">
        <f t="shared" ca="1" si="285"/>
        <v>0</v>
      </c>
      <c r="BL817" s="33"/>
      <c r="BM817" s="13">
        <f t="shared" ca="1" si="277"/>
        <v>0</v>
      </c>
      <c r="BN817" s="13">
        <f ca="1">ROUNDUP(($BK817+$BM817)*VLOOKUP($BE817,Paraméterek!$P$38:$Q$38,2)/12*IF($D818="Nem",IF($M$13=0,1,$M$13),1),IF($D$4="Forint",0,2))</f>
        <v>0</v>
      </c>
      <c r="BO817" s="13">
        <f t="shared" ca="1" si="278"/>
        <v>0</v>
      </c>
      <c r="BP817" s="13">
        <f ca="1">IF($D818="Nem",$BO817,$BO817-ROUNDUP(SUM($BI$20:$BI817)*120%,IF($D$4="Forint",0,2)))</f>
        <v>0</v>
      </c>
    </row>
    <row r="818" spans="1:68" x14ac:dyDescent="0.2">
      <c r="A818" s="32">
        <v>799</v>
      </c>
      <c r="B818" s="32">
        <v>67</v>
      </c>
      <c r="C818" s="32">
        <v>7</v>
      </c>
      <c r="D818" s="32" t="str">
        <f t="shared" ca="1" si="264"/>
        <v>Nem</v>
      </c>
      <c r="E818" s="13">
        <f t="shared" ca="1" si="265"/>
        <v>0</v>
      </c>
      <c r="F818" s="13"/>
      <c r="G818" s="13"/>
      <c r="H818" s="13"/>
      <c r="I818" s="13">
        <f t="shared" ca="1" si="266"/>
        <v>0</v>
      </c>
      <c r="J818" s="13">
        <f t="shared" ca="1" si="267"/>
        <v>0</v>
      </c>
      <c r="K818" s="13">
        <f t="shared" ca="1" si="268"/>
        <v>0</v>
      </c>
      <c r="L818" s="13" t="e">
        <f ca="1">ROUNDUP(IF($D$2="Egyszeri",$E818,IF($D$2="Havi",SUM($E$20:$E$31),IF(MOD($C818,$M$1)-1=0,SUM($E$20:$E$31),0))/12*$M$1)*VLOOKUP($B818,Paraméterek!$I$28:$P$31,IF($D$2="Egyszeri",8,HLOOKUP(ROUNDUP($M$11+$M$13,0),Paraméterek!$J$26:$O$27,2))),IF($D$4="Forint",0,2))</f>
        <v>#N/A</v>
      </c>
      <c r="M818" s="13">
        <f t="shared" ca="1" si="269"/>
        <v>0</v>
      </c>
      <c r="N818" s="13">
        <f t="shared" ca="1" si="279"/>
        <v>0</v>
      </c>
      <c r="O818" s="13">
        <f ca="1">IF($D818="Igen",IF($W817&gt;=IF($D$4="Forint",Paraméterek!$J$121,Paraméterek!$K$121),0,IF($D$4="Forint",Paraméterek!$J$121,Paraméterek!$K$121)-$W817),0)</f>
        <v>0</v>
      </c>
      <c r="P818" s="13" t="e">
        <f ca="1">ROUNDUP($O818*VLOOKUP($M$4+$B818-1,Paraméterek!$H$58:$I$105,2,0)/Paraméterek!$I$56,IF($D$4="Forint",0,2))</f>
        <v>#N/A</v>
      </c>
      <c r="Q818" s="13">
        <f t="shared" ca="1" si="270"/>
        <v>0</v>
      </c>
      <c r="R818" s="33"/>
      <c r="S818" s="13" t="e">
        <f t="shared" ca="1" si="271"/>
        <v>#N/A</v>
      </c>
      <c r="T818" s="13" t="e">
        <f ca="1">ROUNDUP(($N818-$P818-$Q818+$S818)*VLOOKUP($B818,Paraméterek!$I$38:$K$39,IF($D$2="Egyszeri",3,2))/12*IF($D819="Nem",IF($M$13=0,1,$M$13),1),IF($D$4="Forint",0,2))</f>
        <v>#N/A</v>
      </c>
      <c r="U818" s="13"/>
      <c r="V818" s="13"/>
      <c r="W818" s="13" t="e">
        <f ca="1">$N818-$P818-$Q818+$S818-$T818-IF(ROUNDUP(IF(ISBLANK($V818),$U818*0,$V818)/IF($D$2="Egyszeri",VLOOKUP($B818+IF($C818=12,1,0),Paraméterek!$V$257:$W$262,2),IF($B818=1,1,VLOOKUP($B818+IF($C818=12,1,0),Paraméterek!$I$258:$T$278,HLOOKUP($M$11+1,Paraméterek!$J$256:$T$257,2)))),IF($D$4="Forint",0,2))&gt;$N818-$P818-$Q818+$S818-$T818-IF($D$4="Forint",Paraméterek!$C$216,Paraméterek!$D$216),0,ROUNDUP(IF(ISBLANK($V818),$U818*0,$V818)/IF($D$2="Egyszeri",VLOOKUP($B818+IF($C818=12,1,0),Paraméterek!$V$257:$W$262,2),IF($B818=1,1,VLOOKUP($B818+IF($C818=12,1,0),Paraméterek!$I$258:$T$278,HLOOKUP($M$11+1,Paraméterek!$J$256:$T$257,2)))),IF($D$4="Forint",0,2)))</f>
        <v>#N/A</v>
      </c>
      <c r="X818" s="13" t="e">
        <f ca="1">ROUNDDOWN($W818*IF($D$2="Egyszeri",VLOOKUP($B818+IF($C818=12,1,0),Paraméterek!$V$257:$W$262,2),VLOOKUP($B818+IF($C818=12,1,0),Paraméterek!$I$258:$T$278,HLOOKUP($M$11+1,Paraméterek!$I$256:$T$257,2))),IF($D$4="Forint",0,2))</f>
        <v>#N/A</v>
      </c>
      <c r="Z818" s="32">
        <v>799</v>
      </c>
      <c r="AA818" s="32">
        <v>67</v>
      </c>
      <c r="AB818" s="32">
        <v>7</v>
      </c>
      <c r="AC818" s="13">
        <f t="shared" ca="1" si="280"/>
        <v>0</v>
      </c>
      <c r="AD818" s="33"/>
      <c r="AE818" s="13">
        <f t="shared" ca="1" si="272"/>
        <v>0</v>
      </c>
      <c r="AF818" s="13">
        <f ca="1">ROUNDUP(($AC818+$AE818)*VLOOKUP($AA818,Paraméterek!$P$38:$Q$38,2)/12*IF($D819="Nem",IF($M$13=0,1,$M$13),1),IF($D$4="Forint",0,2))</f>
        <v>0</v>
      </c>
      <c r="AG818" s="13">
        <f ca="1">IF($D$2="Egyszeri",IF($D$7&gt;=IF($D$4="Forint",Paraméterek!$P$223,Paraméterek!$P$224),$D$7-IF($D$4="Forint",Paraméterek!$P$223,Paraméterek!$P$224),0),MIN(IF($AB818=12,AVERAGEIF($E$20:$E818,"&gt;0",$E$20:$E818)*12,0),SUM($E$20:$E$31)))</f>
        <v>0</v>
      </c>
      <c r="AH818" s="13">
        <f>IF($AA818=10,$AG818*IF($AB818=12,IF($AG818&lt;IF($D$4="Forint",Paraméterek!$L$223,Paraméterek!$L$224),0,VLOOKUP($AA818,Paraméterek!$K$226:$M$228,IF($AG818&lt;IF($D$4="Forint",Paraméterek!$M$223,Paraméterek!$M$224),2,3))),0),0)</f>
        <v>0</v>
      </c>
      <c r="AI818" s="13">
        <f ca="1">IF(AND($AA818=$M$11+1,$AB818=$M$12+1),SUMIF($AA$20:$AA$1027,$AA818,$AG$20:$AG$1027)*IF(SUMIF($AA$20:$AA$1027,$AA818,$AG$20:$AG$1027)&lt;IF($D$4="Forint",Paraméterek!$L$223,Paraméterek!$L$224),0,VLOOKUP($AA818,Paraméterek!$K$230:$M$250,IF(SUMIF($AA$20:$AA$1027,$AA818,$AG$20:$AG$1027)&lt;IF($D$4="Forint",Paraméterek!$M$223,Paraméterek!$M$224),2,3))),0)</f>
        <v>0</v>
      </c>
      <c r="AJ818" s="13">
        <f ca="1">IF(AND($AA818&gt;=5,MOD($AA818,5)=0),IF($AB818=12,VLOOKUP($AA818,Paraméterek!$O$225:$P$240,2),0),IF(OR($AA818=3,$AA818=4),IF($AB818=12,VLOOKUP($AA818,Paraméterek!$O$225:$P$240,2,0),0),0))*$AG818</f>
        <v>0</v>
      </c>
      <c r="AK818" s="13">
        <f t="shared" ca="1" si="273"/>
        <v>0</v>
      </c>
      <c r="AL818" s="13">
        <f t="shared" ca="1" si="281"/>
        <v>0</v>
      </c>
      <c r="AM818" s="13">
        <f t="shared" ca="1" si="282"/>
        <v>0</v>
      </c>
      <c r="AO818" s="32">
        <v>799</v>
      </c>
      <c r="AP818" s="32">
        <v>67</v>
      </c>
      <c r="AQ818" s="32">
        <v>7</v>
      </c>
      <c r="AR818" s="13"/>
      <c r="AS818" s="32"/>
      <c r="AT818" s="13">
        <f t="shared" ca="1" si="283"/>
        <v>0</v>
      </c>
      <c r="AU818" s="33"/>
      <c r="AV818" s="13">
        <f t="shared" ca="1" si="274"/>
        <v>0</v>
      </c>
      <c r="AW818" s="13">
        <f ca="1">ROUNDUP(($AT818+$AV818)*VLOOKUP($AP818,Paraméterek!$P$38:$Q$38,2)/12*IF($D819="Nem",IF($M$13=0,1,$M$13),1),IF($D$4="Forint",0,2))</f>
        <v>0</v>
      </c>
      <c r="AX818" s="13"/>
      <c r="AY818" s="13"/>
      <c r="AZ818" s="13">
        <f>ROUNDUP(IF(SUM($AX818:$AY818)=0,0,IF(IF(ISBLANK($AY818),$AX818,$AY818)*Paraméterek!$J$112&lt;IF($D$4="Forint",Paraméterek!$J$113,Paraméterek!$K$113),IF($D$4="Forint",Paraméterek!$J$113,Paraméterek!$K$113),IF(IF(ISBLANK($AY818),$AX818,$AY818)*Paraméterek!$J$112&gt;IF($D$4="Forint",Paraméterek!$J$114,Paraméterek!$K$114),IF($D$4="Forint",Paraméterek!$J$114,Paraméterek!$K$114),IF(ISBLANK($AY818),$AX818,$AY818)*Paraméterek!$J$112))),IF($D$4="Forint",0,2))</f>
        <v>0</v>
      </c>
      <c r="BA818" s="13">
        <f ca="1">$AT818+$AV818-$AW818-IF(ROUNDDOWN(IF(ISBLANK($AY818),$AX818,$AY818),IF($D$4="Forint",0,2))&gt;$AT818+$AV818-$AW818-IF($D$4="Forint",Paraméterek!$J$114,Paraméterek!$K$114),0,ROUNDDOWN(IF(ISBLANK($AY818),$AX818,$AY818),IF($D$4="Forint",0,2))-$AZ818)</f>
        <v>0</v>
      </c>
      <c r="BB818" s="13">
        <f t="shared" ca="1" si="275"/>
        <v>0</v>
      </c>
      <c r="BD818" s="32">
        <v>799</v>
      </c>
      <c r="BE818" s="32">
        <v>67</v>
      </c>
      <c r="BF818" s="32">
        <v>7</v>
      </c>
      <c r="BG818" s="34">
        <f t="shared" ca="1" si="284"/>
        <v>2085</v>
      </c>
      <c r="BH818" s="32" t="str">
        <f ca="1">IF(MOD(MONTH($D$14)+$BD818-1,12)=Paraméterek!$C$288,"Igen","")</f>
        <v/>
      </c>
      <c r="BI818" s="13">
        <f ca="1">IF($BH818="Igen",MIN(ROUNDDOWN((SUMIF($BG$20:$BG$1027,$BG818-1,$K$20:$K$1027)-SUMIF($BG$20:$BG$1027,$BG818-1,$I$20:$I$1027))*Paraméterek!$C$289,IF($D$4="Forint",0,2)),IF($D$4="Forint",Paraméterek!$C$285,Paraméterek!$D$285)),0)</f>
        <v>0</v>
      </c>
      <c r="BJ818" s="13">
        <f t="shared" ca="1" si="276"/>
        <v>0</v>
      </c>
      <c r="BK818" s="13">
        <f t="shared" ca="1" si="285"/>
        <v>0</v>
      </c>
      <c r="BL818" s="33"/>
      <c r="BM818" s="13">
        <f t="shared" ca="1" si="277"/>
        <v>0</v>
      </c>
      <c r="BN818" s="13">
        <f ca="1">ROUNDUP(($BK818+$BM818)*VLOOKUP($BE818,Paraméterek!$P$38:$Q$38,2)/12*IF($D819="Nem",IF($M$13=0,1,$M$13),1),IF($D$4="Forint",0,2))</f>
        <v>0</v>
      </c>
      <c r="BO818" s="13">
        <f t="shared" ca="1" si="278"/>
        <v>0</v>
      </c>
      <c r="BP818" s="13">
        <f ca="1">IF($D819="Nem",$BO818,$BO818-ROUNDUP(SUM($BI$20:$BI818)*120%,IF($D$4="Forint",0,2)))</f>
        <v>0</v>
      </c>
    </row>
    <row r="819" spans="1:68" x14ac:dyDescent="0.2">
      <c r="A819" s="32">
        <v>800</v>
      </c>
      <c r="B819" s="32">
        <v>67</v>
      </c>
      <c r="C819" s="32">
        <v>8</v>
      </c>
      <c r="D819" s="32" t="str">
        <f t="shared" ca="1" si="264"/>
        <v>Nem</v>
      </c>
      <c r="E819" s="13">
        <f t="shared" ca="1" si="265"/>
        <v>0</v>
      </c>
      <c r="F819" s="13"/>
      <c r="G819" s="13"/>
      <c r="H819" s="13"/>
      <c r="I819" s="13">
        <f t="shared" ca="1" si="266"/>
        <v>0</v>
      </c>
      <c r="J819" s="13">
        <f t="shared" ca="1" si="267"/>
        <v>0</v>
      </c>
      <c r="K819" s="13">
        <f t="shared" ca="1" si="268"/>
        <v>0</v>
      </c>
      <c r="L819" s="13" t="e">
        <f ca="1">ROUNDUP(IF($D$2="Egyszeri",$E819,IF($D$2="Havi",SUM($E$20:$E$31),IF(MOD($C819,$M$1)-1=0,SUM($E$20:$E$31),0))/12*$M$1)*VLOOKUP($B819,Paraméterek!$I$28:$P$31,IF($D$2="Egyszeri",8,HLOOKUP(ROUNDUP($M$11+$M$13,0),Paraméterek!$J$26:$O$27,2))),IF($D$4="Forint",0,2))</f>
        <v>#N/A</v>
      </c>
      <c r="M819" s="13">
        <f t="shared" ca="1" si="269"/>
        <v>0</v>
      </c>
      <c r="N819" s="13">
        <f t="shared" ca="1" si="279"/>
        <v>0</v>
      </c>
      <c r="O819" s="13">
        <f ca="1">IF($D819="Igen",IF($W818&gt;=IF($D$4="Forint",Paraméterek!$J$121,Paraméterek!$K$121),0,IF($D$4="Forint",Paraméterek!$J$121,Paraméterek!$K$121)-$W818),0)</f>
        <v>0</v>
      </c>
      <c r="P819" s="13" t="e">
        <f ca="1">ROUNDUP($O819*VLOOKUP($M$4+$B819-1,Paraméterek!$H$58:$I$105,2,0)/Paraméterek!$I$56,IF($D$4="Forint",0,2))</f>
        <v>#N/A</v>
      </c>
      <c r="Q819" s="13">
        <f t="shared" ca="1" si="270"/>
        <v>0</v>
      </c>
      <c r="R819" s="33"/>
      <c r="S819" s="13" t="e">
        <f t="shared" ca="1" si="271"/>
        <v>#N/A</v>
      </c>
      <c r="T819" s="13" t="e">
        <f ca="1">ROUNDUP(($N819-$P819-$Q819+$S819)*VLOOKUP($B819,Paraméterek!$I$38:$K$39,IF($D$2="Egyszeri",3,2))/12*IF($D820="Nem",IF($M$13=0,1,$M$13),1),IF($D$4="Forint",0,2))</f>
        <v>#N/A</v>
      </c>
      <c r="U819" s="13"/>
      <c r="V819" s="13"/>
      <c r="W819" s="13" t="e">
        <f ca="1">$N819-$P819-$Q819+$S819-$T819-IF(ROUNDUP(IF(ISBLANK($V819),$U819*0,$V819)/IF($D$2="Egyszeri",VLOOKUP($B819+IF($C819=12,1,0),Paraméterek!$V$257:$W$262,2),IF($B819=1,1,VLOOKUP($B819+IF($C819=12,1,0),Paraméterek!$I$258:$T$278,HLOOKUP($M$11+1,Paraméterek!$J$256:$T$257,2)))),IF($D$4="Forint",0,2))&gt;$N819-$P819-$Q819+$S819-$T819-IF($D$4="Forint",Paraméterek!$C$216,Paraméterek!$D$216),0,ROUNDUP(IF(ISBLANK($V819),$U819*0,$V819)/IF($D$2="Egyszeri",VLOOKUP($B819+IF($C819=12,1,0),Paraméterek!$V$257:$W$262,2),IF($B819=1,1,VLOOKUP($B819+IF($C819=12,1,0),Paraméterek!$I$258:$T$278,HLOOKUP($M$11+1,Paraméterek!$J$256:$T$257,2)))),IF($D$4="Forint",0,2)))</f>
        <v>#N/A</v>
      </c>
      <c r="X819" s="13" t="e">
        <f ca="1">ROUNDDOWN($W819*IF($D$2="Egyszeri",VLOOKUP($B819+IF($C819=12,1,0),Paraméterek!$V$257:$W$262,2),VLOOKUP($B819+IF($C819=12,1,0),Paraméterek!$I$258:$T$278,HLOOKUP($M$11+1,Paraméterek!$I$256:$T$257,2))),IF($D$4="Forint",0,2))</f>
        <v>#N/A</v>
      </c>
      <c r="Z819" s="32">
        <v>800</v>
      </c>
      <c r="AA819" s="32">
        <v>67</v>
      </c>
      <c r="AB819" s="32">
        <v>8</v>
      </c>
      <c r="AC819" s="13">
        <f t="shared" ca="1" si="280"/>
        <v>0</v>
      </c>
      <c r="AD819" s="33"/>
      <c r="AE819" s="13">
        <f t="shared" ca="1" si="272"/>
        <v>0</v>
      </c>
      <c r="AF819" s="13">
        <f ca="1">ROUNDUP(($AC819+$AE819)*VLOOKUP($AA819,Paraméterek!$P$38:$Q$38,2)/12*IF($D820="Nem",IF($M$13=0,1,$M$13),1),IF($D$4="Forint",0,2))</f>
        <v>0</v>
      </c>
      <c r="AG819" s="13">
        <f ca="1">IF($D$2="Egyszeri",IF($D$7&gt;=IF($D$4="Forint",Paraméterek!$P$223,Paraméterek!$P$224),$D$7-IF($D$4="Forint",Paraméterek!$P$223,Paraméterek!$P$224),0),MIN(IF($AB819=12,AVERAGEIF($E$20:$E819,"&gt;0",$E$20:$E819)*12,0),SUM($E$20:$E$31)))</f>
        <v>0</v>
      </c>
      <c r="AH819" s="13">
        <f>IF($AA819=10,$AG819*IF($AB819=12,IF($AG819&lt;IF($D$4="Forint",Paraméterek!$L$223,Paraméterek!$L$224),0,VLOOKUP($AA819,Paraméterek!$K$226:$M$228,IF($AG819&lt;IF($D$4="Forint",Paraméterek!$M$223,Paraméterek!$M$224),2,3))),0),0)</f>
        <v>0</v>
      </c>
      <c r="AI819" s="13">
        <f ca="1">IF(AND($AA819=$M$11+1,$AB819=$M$12+1),SUMIF($AA$20:$AA$1027,$AA819,$AG$20:$AG$1027)*IF(SUMIF($AA$20:$AA$1027,$AA819,$AG$20:$AG$1027)&lt;IF($D$4="Forint",Paraméterek!$L$223,Paraméterek!$L$224),0,VLOOKUP($AA819,Paraméterek!$K$230:$M$250,IF(SUMIF($AA$20:$AA$1027,$AA819,$AG$20:$AG$1027)&lt;IF($D$4="Forint",Paraméterek!$M$223,Paraméterek!$M$224),2,3))),0)</f>
        <v>0</v>
      </c>
      <c r="AJ819" s="13">
        <f ca="1">IF(AND($AA819&gt;=5,MOD($AA819,5)=0),IF($AB819=12,VLOOKUP($AA819,Paraméterek!$O$225:$P$240,2),0),IF(OR($AA819=3,$AA819=4),IF($AB819=12,VLOOKUP($AA819,Paraméterek!$O$225:$P$240,2,0),0),0))*$AG819</f>
        <v>0</v>
      </c>
      <c r="AK819" s="13">
        <f t="shared" ca="1" si="273"/>
        <v>0</v>
      </c>
      <c r="AL819" s="13">
        <f t="shared" ca="1" si="281"/>
        <v>0</v>
      </c>
      <c r="AM819" s="13">
        <f t="shared" ca="1" si="282"/>
        <v>0</v>
      </c>
      <c r="AO819" s="32">
        <v>800</v>
      </c>
      <c r="AP819" s="32">
        <v>67</v>
      </c>
      <c r="AQ819" s="32">
        <v>8</v>
      </c>
      <c r="AR819" s="13"/>
      <c r="AS819" s="32"/>
      <c r="AT819" s="13">
        <f t="shared" ca="1" si="283"/>
        <v>0</v>
      </c>
      <c r="AU819" s="33"/>
      <c r="AV819" s="13">
        <f t="shared" ca="1" si="274"/>
        <v>0</v>
      </c>
      <c r="AW819" s="13">
        <f ca="1">ROUNDUP(($AT819+$AV819)*VLOOKUP($AP819,Paraméterek!$P$38:$Q$38,2)/12*IF($D820="Nem",IF($M$13=0,1,$M$13),1),IF($D$4="Forint",0,2))</f>
        <v>0</v>
      </c>
      <c r="AX819" s="13"/>
      <c r="AY819" s="13"/>
      <c r="AZ819" s="13">
        <f>ROUNDUP(IF(SUM($AX819:$AY819)=0,0,IF(IF(ISBLANK($AY819),$AX819,$AY819)*Paraméterek!$J$112&lt;IF($D$4="Forint",Paraméterek!$J$113,Paraméterek!$K$113),IF($D$4="Forint",Paraméterek!$J$113,Paraméterek!$K$113),IF(IF(ISBLANK($AY819),$AX819,$AY819)*Paraméterek!$J$112&gt;IF($D$4="Forint",Paraméterek!$J$114,Paraméterek!$K$114),IF($D$4="Forint",Paraméterek!$J$114,Paraméterek!$K$114),IF(ISBLANK($AY819),$AX819,$AY819)*Paraméterek!$J$112))),IF($D$4="Forint",0,2))</f>
        <v>0</v>
      </c>
      <c r="BA819" s="13">
        <f ca="1">$AT819+$AV819-$AW819-IF(ROUNDDOWN(IF(ISBLANK($AY819),$AX819,$AY819),IF($D$4="Forint",0,2))&gt;$AT819+$AV819-$AW819-IF($D$4="Forint",Paraméterek!$J$114,Paraméterek!$K$114),0,ROUNDDOWN(IF(ISBLANK($AY819),$AX819,$AY819),IF($D$4="Forint",0,2))-$AZ819)</f>
        <v>0</v>
      </c>
      <c r="BB819" s="13">
        <f t="shared" ca="1" si="275"/>
        <v>0</v>
      </c>
      <c r="BD819" s="32">
        <v>800</v>
      </c>
      <c r="BE819" s="32">
        <v>67</v>
      </c>
      <c r="BF819" s="32">
        <v>8</v>
      </c>
      <c r="BG819" s="34">
        <f t="shared" ca="1" si="284"/>
        <v>2086</v>
      </c>
      <c r="BH819" s="32" t="str">
        <f ca="1">IF(MOD(MONTH($D$14)+$BD819-1,12)=Paraméterek!$C$288,"Igen","")</f>
        <v/>
      </c>
      <c r="BI819" s="13">
        <f ca="1">IF($BH819="Igen",MIN(ROUNDDOWN((SUMIF($BG$20:$BG$1027,$BG819-1,$K$20:$K$1027)-SUMIF($BG$20:$BG$1027,$BG819-1,$I$20:$I$1027))*Paraméterek!$C$289,IF($D$4="Forint",0,2)),IF($D$4="Forint",Paraméterek!$C$285,Paraméterek!$D$285)),0)</f>
        <v>0</v>
      </c>
      <c r="BJ819" s="13">
        <f t="shared" ca="1" si="276"/>
        <v>0</v>
      </c>
      <c r="BK819" s="13">
        <f t="shared" ca="1" si="285"/>
        <v>0</v>
      </c>
      <c r="BL819" s="33"/>
      <c r="BM819" s="13">
        <f t="shared" ca="1" si="277"/>
        <v>0</v>
      </c>
      <c r="BN819" s="13">
        <f ca="1">ROUNDUP(($BK819+$BM819)*VLOOKUP($BE819,Paraméterek!$P$38:$Q$38,2)/12*IF($D820="Nem",IF($M$13=0,1,$M$13),1),IF($D$4="Forint",0,2))</f>
        <v>0</v>
      </c>
      <c r="BO819" s="13">
        <f t="shared" ca="1" si="278"/>
        <v>0</v>
      </c>
      <c r="BP819" s="13">
        <f ca="1">IF($D820="Nem",$BO819,$BO819-ROUNDUP(SUM($BI$20:$BI819)*120%,IF($D$4="Forint",0,2)))</f>
        <v>0</v>
      </c>
    </row>
    <row r="820" spans="1:68" x14ac:dyDescent="0.2">
      <c r="A820" s="32">
        <v>801</v>
      </c>
      <c r="B820" s="32">
        <v>67</v>
      </c>
      <c r="C820" s="32">
        <v>9</v>
      </c>
      <c r="D820" s="32" t="str">
        <f t="shared" ca="1" si="264"/>
        <v>Nem</v>
      </c>
      <c r="E820" s="13">
        <f t="shared" ca="1" si="265"/>
        <v>0</v>
      </c>
      <c r="F820" s="13"/>
      <c r="G820" s="13"/>
      <c r="H820" s="13"/>
      <c r="I820" s="13">
        <f t="shared" ca="1" si="266"/>
        <v>0</v>
      </c>
      <c r="J820" s="13">
        <f t="shared" ca="1" si="267"/>
        <v>0</v>
      </c>
      <c r="K820" s="13">
        <f t="shared" ca="1" si="268"/>
        <v>0</v>
      </c>
      <c r="L820" s="13" t="e">
        <f ca="1">ROUNDUP(IF($D$2="Egyszeri",$E820,IF($D$2="Havi",SUM($E$20:$E$31),IF(MOD($C820,$M$1)-1=0,SUM($E$20:$E$31),0))/12*$M$1)*VLOOKUP($B820,Paraméterek!$I$28:$P$31,IF($D$2="Egyszeri",8,HLOOKUP(ROUNDUP($M$11+$M$13,0),Paraméterek!$J$26:$O$27,2))),IF($D$4="Forint",0,2))</f>
        <v>#N/A</v>
      </c>
      <c r="M820" s="13">
        <f t="shared" ca="1" si="269"/>
        <v>0</v>
      </c>
      <c r="N820" s="13">
        <f t="shared" ca="1" si="279"/>
        <v>0</v>
      </c>
      <c r="O820" s="13">
        <f ca="1">IF($D820="Igen",IF($W819&gt;=IF($D$4="Forint",Paraméterek!$J$121,Paraméterek!$K$121),0,IF($D$4="Forint",Paraméterek!$J$121,Paraméterek!$K$121)-$W819),0)</f>
        <v>0</v>
      </c>
      <c r="P820" s="13" t="e">
        <f ca="1">ROUNDUP($O820*VLOOKUP($M$4+$B820-1,Paraméterek!$H$58:$I$105,2,0)/Paraméterek!$I$56,IF($D$4="Forint",0,2))</f>
        <v>#N/A</v>
      </c>
      <c r="Q820" s="13">
        <f t="shared" ca="1" si="270"/>
        <v>0</v>
      </c>
      <c r="R820" s="33"/>
      <c r="S820" s="13" t="e">
        <f t="shared" ca="1" si="271"/>
        <v>#N/A</v>
      </c>
      <c r="T820" s="13" t="e">
        <f ca="1">ROUNDUP(($N820-$P820-$Q820+$S820)*VLOOKUP($B820,Paraméterek!$I$38:$K$39,IF($D$2="Egyszeri",3,2))/12*IF($D821="Nem",IF($M$13=0,1,$M$13),1),IF($D$4="Forint",0,2))</f>
        <v>#N/A</v>
      </c>
      <c r="U820" s="13"/>
      <c r="V820" s="13"/>
      <c r="W820" s="13" t="e">
        <f ca="1">$N820-$P820-$Q820+$S820-$T820-IF(ROUNDUP(IF(ISBLANK($V820),$U820*0,$V820)/IF($D$2="Egyszeri",VLOOKUP($B820+IF($C820=12,1,0),Paraméterek!$V$257:$W$262,2),IF($B820=1,1,VLOOKUP($B820+IF($C820=12,1,0),Paraméterek!$I$258:$T$278,HLOOKUP($M$11+1,Paraméterek!$J$256:$T$257,2)))),IF($D$4="Forint",0,2))&gt;$N820-$P820-$Q820+$S820-$T820-IF($D$4="Forint",Paraméterek!$C$216,Paraméterek!$D$216),0,ROUNDUP(IF(ISBLANK($V820),$U820*0,$V820)/IF($D$2="Egyszeri",VLOOKUP($B820+IF($C820=12,1,0),Paraméterek!$V$257:$W$262,2),IF($B820=1,1,VLOOKUP($B820+IF($C820=12,1,0),Paraméterek!$I$258:$T$278,HLOOKUP($M$11+1,Paraméterek!$J$256:$T$257,2)))),IF($D$4="Forint",0,2)))</f>
        <v>#N/A</v>
      </c>
      <c r="X820" s="13" t="e">
        <f ca="1">ROUNDDOWN($W820*IF($D$2="Egyszeri",VLOOKUP($B820+IF($C820=12,1,0),Paraméterek!$V$257:$W$262,2),VLOOKUP($B820+IF($C820=12,1,0),Paraméterek!$I$258:$T$278,HLOOKUP($M$11+1,Paraméterek!$I$256:$T$257,2))),IF($D$4="Forint",0,2))</f>
        <v>#N/A</v>
      </c>
      <c r="Z820" s="32">
        <v>801</v>
      </c>
      <c r="AA820" s="32">
        <v>67</v>
      </c>
      <c r="AB820" s="32">
        <v>9</v>
      </c>
      <c r="AC820" s="13">
        <f t="shared" ca="1" si="280"/>
        <v>0</v>
      </c>
      <c r="AD820" s="33"/>
      <c r="AE820" s="13">
        <f t="shared" ca="1" si="272"/>
        <v>0</v>
      </c>
      <c r="AF820" s="13">
        <f ca="1">ROUNDUP(($AC820+$AE820)*VLOOKUP($AA820,Paraméterek!$P$38:$Q$38,2)/12*IF($D821="Nem",IF($M$13=0,1,$M$13),1),IF($D$4="Forint",0,2))</f>
        <v>0</v>
      </c>
      <c r="AG820" s="13">
        <f ca="1">IF($D$2="Egyszeri",IF($D$7&gt;=IF($D$4="Forint",Paraméterek!$P$223,Paraméterek!$P$224),$D$7-IF($D$4="Forint",Paraméterek!$P$223,Paraméterek!$P$224),0),MIN(IF($AB820=12,AVERAGEIF($E$20:$E820,"&gt;0",$E$20:$E820)*12,0),SUM($E$20:$E$31)))</f>
        <v>0</v>
      </c>
      <c r="AH820" s="13">
        <f>IF($AA820=10,$AG820*IF($AB820=12,IF($AG820&lt;IF($D$4="Forint",Paraméterek!$L$223,Paraméterek!$L$224),0,VLOOKUP($AA820,Paraméterek!$K$226:$M$228,IF($AG820&lt;IF($D$4="Forint",Paraméterek!$M$223,Paraméterek!$M$224),2,3))),0),0)</f>
        <v>0</v>
      </c>
      <c r="AI820" s="13">
        <f ca="1">IF(AND($AA820=$M$11+1,$AB820=$M$12+1),SUMIF($AA$20:$AA$1027,$AA820,$AG$20:$AG$1027)*IF(SUMIF($AA$20:$AA$1027,$AA820,$AG$20:$AG$1027)&lt;IF($D$4="Forint",Paraméterek!$L$223,Paraméterek!$L$224),0,VLOOKUP($AA820,Paraméterek!$K$230:$M$250,IF(SUMIF($AA$20:$AA$1027,$AA820,$AG$20:$AG$1027)&lt;IF($D$4="Forint",Paraméterek!$M$223,Paraméterek!$M$224),2,3))),0)</f>
        <v>0</v>
      </c>
      <c r="AJ820" s="13">
        <f ca="1">IF(AND($AA820&gt;=5,MOD($AA820,5)=0),IF($AB820=12,VLOOKUP($AA820,Paraméterek!$O$225:$P$240,2),0),IF(OR($AA820=3,$AA820=4),IF($AB820=12,VLOOKUP($AA820,Paraméterek!$O$225:$P$240,2,0),0),0))*$AG820</f>
        <v>0</v>
      </c>
      <c r="AK820" s="13">
        <f t="shared" ca="1" si="273"/>
        <v>0</v>
      </c>
      <c r="AL820" s="13">
        <f t="shared" ca="1" si="281"/>
        <v>0</v>
      </c>
      <c r="AM820" s="13">
        <f t="shared" ca="1" si="282"/>
        <v>0</v>
      </c>
      <c r="AO820" s="32">
        <v>801</v>
      </c>
      <c r="AP820" s="32">
        <v>67</v>
      </c>
      <c r="AQ820" s="32">
        <v>9</v>
      </c>
      <c r="AR820" s="13"/>
      <c r="AS820" s="32"/>
      <c r="AT820" s="13">
        <f t="shared" ca="1" si="283"/>
        <v>0</v>
      </c>
      <c r="AU820" s="33"/>
      <c r="AV820" s="13">
        <f t="shared" ca="1" si="274"/>
        <v>0</v>
      </c>
      <c r="AW820" s="13">
        <f ca="1">ROUNDUP(($AT820+$AV820)*VLOOKUP($AP820,Paraméterek!$P$38:$Q$38,2)/12*IF($D821="Nem",IF($M$13=0,1,$M$13),1),IF($D$4="Forint",0,2))</f>
        <v>0</v>
      </c>
      <c r="AX820" s="13"/>
      <c r="AY820" s="13"/>
      <c r="AZ820" s="13">
        <f>ROUNDUP(IF(SUM($AX820:$AY820)=0,0,IF(IF(ISBLANK($AY820),$AX820,$AY820)*Paraméterek!$J$112&lt;IF($D$4="Forint",Paraméterek!$J$113,Paraméterek!$K$113),IF($D$4="Forint",Paraméterek!$J$113,Paraméterek!$K$113),IF(IF(ISBLANK($AY820),$AX820,$AY820)*Paraméterek!$J$112&gt;IF($D$4="Forint",Paraméterek!$J$114,Paraméterek!$K$114),IF($D$4="Forint",Paraméterek!$J$114,Paraméterek!$K$114),IF(ISBLANK($AY820),$AX820,$AY820)*Paraméterek!$J$112))),IF($D$4="Forint",0,2))</f>
        <v>0</v>
      </c>
      <c r="BA820" s="13">
        <f ca="1">$AT820+$AV820-$AW820-IF(ROUNDDOWN(IF(ISBLANK($AY820),$AX820,$AY820),IF($D$4="Forint",0,2))&gt;$AT820+$AV820-$AW820-IF($D$4="Forint",Paraméterek!$J$114,Paraméterek!$K$114),0,ROUNDDOWN(IF(ISBLANK($AY820),$AX820,$AY820),IF($D$4="Forint",0,2))-$AZ820)</f>
        <v>0</v>
      </c>
      <c r="BB820" s="13">
        <f t="shared" ca="1" si="275"/>
        <v>0</v>
      </c>
      <c r="BD820" s="32">
        <v>801</v>
      </c>
      <c r="BE820" s="32">
        <v>67</v>
      </c>
      <c r="BF820" s="32">
        <v>9</v>
      </c>
      <c r="BG820" s="34">
        <f t="shared" ca="1" si="284"/>
        <v>2086</v>
      </c>
      <c r="BH820" s="32" t="str">
        <f ca="1">IF(MOD(MONTH($D$14)+$BD820-1,12)=Paraméterek!$C$288,"Igen","")</f>
        <v/>
      </c>
      <c r="BI820" s="13">
        <f ca="1">IF($BH820="Igen",MIN(ROUNDDOWN((SUMIF($BG$20:$BG$1027,$BG820-1,$K$20:$K$1027)-SUMIF($BG$20:$BG$1027,$BG820-1,$I$20:$I$1027))*Paraméterek!$C$289,IF($D$4="Forint",0,2)),IF($D$4="Forint",Paraméterek!$C$285,Paraméterek!$D$285)),0)</f>
        <v>0</v>
      </c>
      <c r="BJ820" s="13">
        <f t="shared" ca="1" si="276"/>
        <v>0</v>
      </c>
      <c r="BK820" s="13">
        <f t="shared" ca="1" si="285"/>
        <v>0</v>
      </c>
      <c r="BL820" s="33"/>
      <c r="BM820" s="13">
        <f t="shared" ca="1" si="277"/>
        <v>0</v>
      </c>
      <c r="BN820" s="13">
        <f ca="1">ROUNDUP(($BK820+$BM820)*VLOOKUP($BE820,Paraméterek!$P$38:$Q$38,2)/12*IF($D821="Nem",IF($M$13=0,1,$M$13),1),IF($D$4="Forint",0,2))</f>
        <v>0</v>
      </c>
      <c r="BO820" s="13">
        <f t="shared" ca="1" si="278"/>
        <v>0</v>
      </c>
      <c r="BP820" s="13">
        <f ca="1">IF($D821="Nem",$BO820,$BO820-ROUNDUP(SUM($BI$20:$BI820)*120%,IF($D$4="Forint",0,2)))</f>
        <v>0</v>
      </c>
    </row>
    <row r="821" spans="1:68" x14ac:dyDescent="0.2">
      <c r="A821" s="32">
        <v>802</v>
      </c>
      <c r="B821" s="32">
        <v>67</v>
      </c>
      <c r="C821" s="32">
        <v>10</v>
      </c>
      <c r="D821" s="32" t="str">
        <f t="shared" ca="1" si="264"/>
        <v>Nem</v>
      </c>
      <c r="E821" s="13">
        <f t="shared" ca="1" si="265"/>
        <v>0</v>
      </c>
      <c r="F821" s="13"/>
      <c r="G821" s="13"/>
      <c r="H821" s="13"/>
      <c r="I821" s="13">
        <f t="shared" ca="1" si="266"/>
        <v>0</v>
      </c>
      <c r="J821" s="13">
        <f t="shared" ca="1" si="267"/>
        <v>0</v>
      </c>
      <c r="K821" s="13">
        <f t="shared" ca="1" si="268"/>
        <v>0</v>
      </c>
      <c r="L821" s="13" t="e">
        <f ca="1">ROUNDUP(IF($D$2="Egyszeri",$E821,IF($D$2="Havi",SUM($E$20:$E$31),IF(MOD($C821,$M$1)-1=0,SUM($E$20:$E$31),0))/12*$M$1)*VLOOKUP($B821,Paraméterek!$I$28:$P$31,IF($D$2="Egyszeri",8,HLOOKUP(ROUNDUP($M$11+$M$13,0),Paraméterek!$J$26:$O$27,2))),IF($D$4="Forint",0,2))</f>
        <v>#N/A</v>
      </c>
      <c r="M821" s="13">
        <f t="shared" ca="1" si="269"/>
        <v>0</v>
      </c>
      <c r="N821" s="13">
        <f t="shared" ca="1" si="279"/>
        <v>0</v>
      </c>
      <c r="O821" s="13">
        <f ca="1">IF($D821="Igen",IF($W820&gt;=IF($D$4="Forint",Paraméterek!$J$121,Paraméterek!$K$121),0,IF($D$4="Forint",Paraméterek!$J$121,Paraméterek!$K$121)-$W820),0)</f>
        <v>0</v>
      </c>
      <c r="P821" s="13" t="e">
        <f ca="1">ROUNDUP($O821*VLOOKUP($M$4+$B821-1,Paraméterek!$H$58:$I$105,2,0)/Paraméterek!$I$56,IF($D$4="Forint",0,2))</f>
        <v>#N/A</v>
      </c>
      <c r="Q821" s="13">
        <f t="shared" ca="1" si="270"/>
        <v>0</v>
      </c>
      <c r="R821" s="33"/>
      <c r="S821" s="13" t="e">
        <f t="shared" ca="1" si="271"/>
        <v>#N/A</v>
      </c>
      <c r="T821" s="13" t="e">
        <f ca="1">ROUNDUP(($N821-$P821-$Q821+$S821)*VLOOKUP($B821,Paraméterek!$I$38:$K$39,IF($D$2="Egyszeri",3,2))/12*IF($D822="Nem",IF($M$13=0,1,$M$13),1),IF($D$4="Forint",0,2))</f>
        <v>#N/A</v>
      </c>
      <c r="U821" s="13"/>
      <c r="V821" s="13"/>
      <c r="W821" s="13" t="e">
        <f ca="1">$N821-$P821-$Q821+$S821-$T821-IF(ROUNDUP(IF(ISBLANK($V821),$U821*0,$V821)/IF($D$2="Egyszeri",VLOOKUP($B821+IF($C821=12,1,0),Paraméterek!$V$257:$W$262,2),IF($B821=1,1,VLOOKUP($B821+IF($C821=12,1,0),Paraméterek!$I$258:$T$278,HLOOKUP($M$11+1,Paraméterek!$J$256:$T$257,2)))),IF($D$4="Forint",0,2))&gt;$N821-$P821-$Q821+$S821-$T821-IF($D$4="Forint",Paraméterek!$C$216,Paraméterek!$D$216),0,ROUNDUP(IF(ISBLANK($V821),$U821*0,$V821)/IF($D$2="Egyszeri",VLOOKUP($B821+IF($C821=12,1,0),Paraméterek!$V$257:$W$262,2),IF($B821=1,1,VLOOKUP($B821+IF($C821=12,1,0),Paraméterek!$I$258:$T$278,HLOOKUP($M$11+1,Paraméterek!$J$256:$T$257,2)))),IF($D$4="Forint",0,2)))</f>
        <v>#N/A</v>
      </c>
      <c r="X821" s="13" t="e">
        <f ca="1">ROUNDDOWN($W821*IF($D$2="Egyszeri",VLOOKUP($B821+IF($C821=12,1,0),Paraméterek!$V$257:$W$262,2),VLOOKUP($B821+IF($C821=12,1,0),Paraméterek!$I$258:$T$278,HLOOKUP($M$11+1,Paraméterek!$I$256:$T$257,2))),IF($D$4="Forint",0,2))</f>
        <v>#N/A</v>
      </c>
      <c r="Z821" s="32">
        <v>802</v>
      </c>
      <c r="AA821" s="32">
        <v>67</v>
      </c>
      <c r="AB821" s="32">
        <v>10</v>
      </c>
      <c r="AC821" s="13">
        <f t="shared" ca="1" si="280"/>
        <v>0</v>
      </c>
      <c r="AD821" s="33"/>
      <c r="AE821" s="13">
        <f t="shared" ca="1" si="272"/>
        <v>0</v>
      </c>
      <c r="AF821" s="13">
        <f ca="1">ROUNDUP(($AC821+$AE821)*VLOOKUP($AA821,Paraméterek!$P$38:$Q$38,2)/12*IF($D822="Nem",IF($M$13=0,1,$M$13),1),IF($D$4="Forint",0,2))</f>
        <v>0</v>
      </c>
      <c r="AG821" s="13">
        <f ca="1">IF($D$2="Egyszeri",IF($D$7&gt;=IF($D$4="Forint",Paraméterek!$P$223,Paraméterek!$P$224),$D$7-IF($D$4="Forint",Paraméterek!$P$223,Paraméterek!$P$224),0),MIN(IF($AB821=12,AVERAGEIF($E$20:$E821,"&gt;0",$E$20:$E821)*12,0),SUM($E$20:$E$31)))</f>
        <v>0</v>
      </c>
      <c r="AH821" s="13">
        <f>IF($AA821=10,$AG821*IF($AB821=12,IF($AG821&lt;IF($D$4="Forint",Paraméterek!$L$223,Paraméterek!$L$224),0,VLOOKUP($AA821,Paraméterek!$K$226:$M$228,IF($AG821&lt;IF($D$4="Forint",Paraméterek!$M$223,Paraméterek!$M$224),2,3))),0),0)</f>
        <v>0</v>
      </c>
      <c r="AI821" s="13">
        <f ca="1">IF(AND($AA821=$M$11+1,$AB821=$M$12+1),SUMIF($AA$20:$AA$1027,$AA821,$AG$20:$AG$1027)*IF(SUMIF($AA$20:$AA$1027,$AA821,$AG$20:$AG$1027)&lt;IF($D$4="Forint",Paraméterek!$L$223,Paraméterek!$L$224),0,VLOOKUP($AA821,Paraméterek!$K$230:$M$250,IF(SUMIF($AA$20:$AA$1027,$AA821,$AG$20:$AG$1027)&lt;IF($D$4="Forint",Paraméterek!$M$223,Paraméterek!$M$224),2,3))),0)</f>
        <v>0</v>
      </c>
      <c r="AJ821" s="13">
        <f ca="1">IF(AND($AA821&gt;=5,MOD($AA821,5)=0),IF($AB821=12,VLOOKUP($AA821,Paraméterek!$O$225:$P$240,2),0),IF(OR($AA821=3,$AA821=4),IF($AB821=12,VLOOKUP($AA821,Paraméterek!$O$225:$P$240,2,0),0),0))*$AG821</f>
        <v>0</v>
      </c>
      <c r="AK821" s="13">
        <f t="shared" ca="1" si="273"/>
        <v>0</v>
      </c>
      <c r="AL821" s="13">
        <f t="shared" ca="1" si="281"/>
        <v>0</v>
      </c>
      <c r="AM821" s="13">
        <f t="shared" ca="1" si="282"/>
        <v>0</v>
      </c>
      <c r="AO821" s="32">
        <v>802</v>
      </c>
      <c r="AP821" s="32">
        <v>67</v>
      </c>
      <c r="AQ821" s="32">
        <v>10</v>
      </c>
      <c r="AR821" s="13"/>
      <c r="AS821" s="32"/>
      <c r="AT821" s="13">
        <f t="shared" ca="1" si="283"/>
        <v>0</v>
      </c>
      <c r="AU821" s="33"/>
      <c r="AV821" s="13">
        <f t="shared" ca="1" si="274"/>
        <v>0</v>
      </c>
      <c r="AW821" s="13">
        <f ca="1">ROUNDUP(($AT821+$AV821)*VLOOKUP($AP821,Paraméterek!$P$38:$Q$38,2)/12*IF($D822="Nem",IF($M$13=0,1,$M$13),1),IF($D$4="Forint",0,2))</f>
        <v>0</v>
      </c>
      <c r="AX821" s="13"/>
      <c r="AY821" s="13"/>
      <c r="AZ821" s="13">
        <f>ROUNDUP(IF(SUM($AX821:$AY821)=0,0,IF(IF(ISBLANK($AY821),$AX821,$AY821)*Paraméterek!$J$112&lt;IF($D$4="Forint",Paraméterek!$J$113,Paraméterek!$K$113),IF($D$4="Forint",Paraméterek!$J$113,Paraméterek!$K$113),IF(IF(ISBLANK($AY821),$AX821,$AY821)*Paraméterek!$J$112&gt;IF($D$4="Forint",Paraméterek!$J$114,Paraméterek!$K$114),IF($D$4="Forint",Paraméterek!$J$114,Paraméterek!$K$114),IF(ISBLANK($AY821),$AX821,$AY821)*Paraméterek!$J$112))),IF($D$4="Forint",0,2))</f>
        <v>0</v>
      </c>
      <c r="BA821" s="13">
        <f ca="1">$AT821+$AV821-$AW821-IF(ROUNDDOWN(IF(ISBLANK($AY821),$AX821,$AY821),IF($D$4="Forint",0,2))&gt;$AT821+$AV821-$AW821-IF($D$4="Forint",Paraméterek!$J$114,Paraméterek!$K$114),0,ROUNDDOWN(IF(ISBLANK($AY821),$AX821,$AY821),IF($D$4="Forint",0,2))-$AZ821)</f>
        <v>0</v>
      </c>
      <c r="BB821" s="13">
        <f t="shared" ca="1" si="275"/>
        <v>0</v>
      </c>
      <c r="BD821" s="32">
        <v>802</v>
      </c>
      <c r="BE821" s="32">
        <v>67</v>
      </c>
      <c r="BF821" s="32">
        <v>10</v>
      </c>
      <c r="BG821" s="34">
        <f t="shared" ca="1" si="284"/>
        <v>2086</v>
      </c>
      <c r="BH821" s="32" t="str">
        <f ca="1">IF(MOD(MONTH($D$14)+$BD821-1,12)=Paraméterek!$C$288,"Igen","")</f>
        <v/>
      </c>
      <c r="BI821" s="13">
        <f ca="1">IF($BH821="Igen",MIN(ROUNDDOWN((SUMIF($BG$20:$BG$1027,$BG821-1,$K$20:$K$1027)-SUMIF($BG$20:$BG$1027,$BG821-1,$I$20:$I$1027))*Paraméterek!$C$289,IF($D$4="Forint",0,2)),IF($D$4="Forint",Paraméterek!$C$285,Paraméterek!$D$285)),0)</f>
        <v>0</v>
      </c>
      <c r="BJ821" s="13">
        <f t="shared" ca="1" si="276"/>
        <v>0</v>
      </c>
      <c r="BK821" s="13">
        <f t="shared" ca="1" si="285"/>
        <v>0</v>
      </c>
      <c r="BL821" s="33"/>
      <c r="BM821" s="13">
        <f t="shared" ca="1" si="277"/>
        <v>0</v>
      </c>
      <c r="BN821" s="13">
        <f ca="1">ROUNDUP(($BK821+$BM821)*VLOOKUP($BE821,Paraméterek!$P$38:$Q$38,2)/12*IF($D822="Nem",IF($M$13=0,1,$M$13),1),IF($D$4="Forint",0,2))</f>
        <v>0</v>
      </c>
      <c r="BO821" s="13">
        <f t="shared" ca="1" si="278"/>
        <v>0</v>
      </c>
      <c r="BP821" s="13">
        <f ca="1">IF($D822="Nem",$BO821,$BO821-ROUNDUP(SUM($BI$20:$BI821)*120%,IF($D$4="Forint",0,2)))</f>
        <v>0</v>
      </c>
    </row>
    <row r="822" spans="1:68" x14ac:dyDescent="0.2">
      <c r="A822" s="32">
        <v>803</v>
      </c>
      <c r="B822" s="32">
        <v>67</v>
      </c>
      <c r="C822" s="32">
        <v>11</v>
      </c>
      <c r="D822" s="32" t="str">
        <f t="shared" ca="1" si="264"/>
        <v>Nem</v>
      </c>
      <c r="E822" s="13">
        <f t="shared" ca="1" si="265"/>
        <v>0</v>
      </c>
      <c r="F822" s="13"/>
      <c r="G822" s="13"/>
      <c r="H822" s="13"/>
      <c r="I822" s="13">
        <f t="shared" ca="1" si="266"/>
        <v>0</v>
      </c>
      <c r="J822" s="13">
        <f t="shared" ca="1" si="267"/>
        <v>0</v>
      </c>
      <c r="K822" s="13">
        <f t="shared" ca="1" si="268"/>
        <v>0</v>
      </c>
      <c r="L822" s="13" t="e">
        <f ca="1">ROUNDUP(IF($D$2="Egyszeri",$E822,IF($D$2="Havi",SUM($E$20:$E$31),IF(MOD($C822,$M$1)-1=0,SUM($E$20:$E$31),0))/12*$M$1)*VLOOKUP($B822,Paraméterek!$I$28:$P$31,IF($D$2="Egyszeri",8,HLOOKUP(ROUNDUP($M$11+$M$13,0),Paraméterek!$J$26:$O$27,2))),IF($D$4="Forint",0,2))</f>
        <v>#N/A</v>
      </c>
      <c r="M822" s="13">
        <f t="shared" ca="1" si="269"/>
        <v>0</v>
      </c>
      <c r="N822" s="13">
        <f t="shared" ca="1" si="279"/>
        <v>0</v>
      </c>
      <c r="O822" s="13">
        <f ca="1">IF($D822="Igen",IF($W821&gt;=IF($D$4="Forint",Paraméterek!$J$121,Paraméterek!$K$121),0,IF($D$4="Forint",Paraméterek!$J$121,Paraméterek!$K$121)-$W821),0)</f>
        <v>0</v>
      </c>
      <c r="P822" s="13" t="e">
        <f ca="1">ROUNDUP($O822*VLOOKUP($M$4+$B822-1,Paraméterek!$H$58:$I$105,2,0)/Paraméterek!$I$56,IF($D$4="Forint",0,2))</f>
        <v>#N/A</v>
      </c>
      <c r="Q822" s="13">
        <f t="shared" ca="1" si="270"/>
        <v>0</v>
      </c>
      <c r="R822" s="33"/>
      <c r="S822" s="13" t="e">
        <f t="shared" ca="1" si="271"/>
        <v>#N/A</v>
      </c>
      <c r="T822" s="13" t="e">
        <f ca="1">ROUNDUP(($N822-$P822-$Q822+$S822)*VLOOKUP($B822,Paraméterek!$I$38:$K$39,IF($D$2="Egyszeri",3,2))/12*IF($D823="Nem",IF($M$13=0,1,$M$13),1),IF($D$4="Forint",0,2))</f>
        <v>#N/A</v>
      </c>
      <c r="U822" s="13"/>
      <c r="V822" s="13"/>
      <c r="W822" s="13" t="e">
        <f ca="1">$N822-$P822-$Q822+$S822-$T822-IF(ROUNDUP(IF(ISBLANK($V822),$U822*0,$V822)/IF($D$2="Egyszeri",VLOOKUP($B822+IF($C822=12,1,0),Paraméterek!$V$257:$W$262,2),IF($B822=1,1,VLOOKUP($B822+IF($C822=12,1,0),Paraméterek!$I$258:$T$278,HLOOKUP($M$11+1,Paraméterek!$J$256:$T$257,2)))),IF($D$4="Forint",0,2))&gt;$N822-$P822-$Q822+$S822-$T822-IF($D$4="Forint",Paraméterek!$C$216,Paraméterek!$D$216),0,ROUNDUP(IF(ISBLANK($V822),$U822*0,$V822)/IF($D$2="Egyszeri",VLOOKUP($B822+IF($C822=12,1,0),Paraméterek!$V$257:$W$262,2),IF($B822=1,1,VLOOKUP($B822+IF($C822=12,1,0),Paraméterek!$I$258:$T$278,HLOOKUP($M$11+1,Paraméterek!$J$256:$T$257,2)))),IF($D$4="Forint",0,2)))</f>
        <v>#N/A</v>
      </c>
      <c r="X822" s="13" t="e">
        <f ca="1">ROUNDDOWN($W822*IF($D$2="Egyszeri",VLOOKUP($B822+IF($C822=12,1,0),Paraméterek!$V$257:$W$262,2),VLOOKUP($B822+IF($C822=12,1,0),Paraméterek!$I$258:$T$278,HLOOKUP($M$11+1,Paraméterek!$I$256:$T$257,2))),IF($D$4="Forint",0,2))</f>
        <v>#N/A</v>
      </c>
      <c r="Z822" s="32">
        <v>803</v>
      </c>
      <c r="AA822" s="32">
        <v>67</v>
      </c>
      <c r="AB822" s="32">
        <v>11</v>
      </c>
      <c r="AC822" s="13">
        <f t="shared" ca="1" si="280"/>
        <v>0</v>
      </c>
      <c r="AD822" s="33"/>
      <c r="AE822" s="13">
        <f t="shared" ca="1" si="272"/>
        <v>0</v>
      </c>
      <c r="AF822" s="13">
        <f ca="1">ROUNDUP(($AC822+$AE822)*VLOOKUP($AA822,Paraméterek!$P$38:$Q$38,2)/12*IF($D823="Nem",IF($M$13=0,1,$M$13),1),IF($D$4="Forint",0,2))</f>
        <v>0</v>
      </c>
      <c r="AG822" s="13">
        <f ca="1">IF($D$2="Egyszeri",IF($D$7&gt;=IF($D$4="Forint",Paraméterek!$P$223,Paraméterek!$P$224),$D$7-IF($D$4="Forint",Paraméterek!$P$223,Paraméterek!$P$224),0),MIN(IF($AB822=12,AVERAGEIF($E$20:$E822,"&gt;0",$E$20:$E822)*12,0),SUM($E$20:$E$31)))</f>
        <v>0</v>
      </c>
      <c r="AH822" s="13">
        <f>IF($AA822=10,$AG822*IF($AB822=12,IF($AG822&lt;IF($D$4="Forint",Paraméterek!$L$223,Paraméterek!$L$224),0,VLOOKUP($AA822,Paraméterek!$K$226:$M$228,IF($AG822&lt;IF($D$4="Forint",Paraméterek!$M$223,Paraméterek!$M$224),2,3))),0),0)</f>
        <v>0</v>
      </c>
      <c r="AI822" s="13">
        <f ca="1">IF(AND($AA822=$M$11+1,$AB822=$M$12+1),SUMIF($AA$20:$AA$1027,$AA822,$AG$20:$AG$1027)*IF(SUMIF($AA$20:$AA$1027,$AA822,$AG$20:$AG$1027)&lt;IF($D$4="Forint",Paraméterek!$L$223,Paraméterek!$L$224),0,VLOOKUP($AA822,Paraméterek!$K$230:$M$250,IF(SUMIF($AA$20:$AA$1027,$AA822,$AG$20:$AG$1027)&lt;IF($D$4="Forint",Paraméterek!$M$223,Paraméterek!$M$224),2,3))),0)</f>
        <v>0</v>
      </c>
      <c r="AJ822" s="13">
        <f ca="1">IF(AND($AA822&gt;=5,MOD($AA822,5)=0),IF($AB822=12,VLOOKUP($AA822,Paraméterek!$O$225:$P$240,2),0),IF(OR($AA822=3,$AA822=4),IF($AB822=12,VLOOKUP($AA822,Paraméterek!$O$225:$P$240,2,0),0),0))*$AG822</f>
        <v>0</v>
      </c>
      <c r="AK822" s="13">
        <f t="shared" ca="1" si="273"/>
        <v>0</v>
      </c>
      <c r="AL822" s="13">
        <f t="shared" ca="1" si="281"/>
        <v>0</v>
      </c>
      <c r="AM822" s="13">
        <f t="shared" ca="1" si="282"/>
        <v>0</v>
      </c>
      <c r="AO822" s="32">
        <v>803</v>
      </c>
      <c r="AP822" s="32">
        <v>67</v>
      </c>
      <c r="AQ822" s="32">
        <v>11</v>
      </c>
      <c r="AR822" s="13"/>
      <c r="AS822" s="32"/>
      <c r="AT822" s="13">
        <f t="shared" ca="1" si="283"/>
        <v>0</v>
      </c>
      <c r="AU822" s="33"/>
      <c r="AV822" s="13">
        <f t="shared" ca="1" si="274"/>
        <v>0</v>
      </c>
      <c r="AW822" s="13">
        <f ca="1">ROUNDUP(($AT822+$AV822)*VLOOKUP($AP822,Paraméterek!$P$38:$Q$38,2)/12*IF($D823="Nem",IF($M$13=0,1,$M$13),1),IF($D$4="Forint",0,2))</f>
        <v>0</v>
      </c>
      <c r="AX822" s="13"/>
      <c r="AY822" s="13"/>
      <c r="AZ822" s="13">
        <f>ROUNDUP(IF(SUM($AX822:$AY822)=0,0,IF(IF(ISBLANK($AY822),$AX822,$AY822)*Paraméterek!$J$112&lt;IF($D$4="Forint",Paraméterek!$J$113,Paraméterek!$K$113),IF($D$4="Forint",Paraméterek!$J$113,Paraméterek!$K$113),IF(IF(ISBLANK($AY822),$AX822,$AY822)*Paraméterek!$J$112&gt;IF($D$4="Forint",Paraméterek!$J$114,Paraméterek!$K$114),IF($D$4="Forint",Paraméterek!$J$114,Paraméterek!$K$114),IF(ISBLANK($AY822),$AX822,$AY822)*Paraméterek!$J$112))),IF($D$4="Forint",0,2))</f>
        <v>0</v>
      </c>
      <c r="BA822" s="13">
        <f ca="1">$AT822+$AV822-$AW822-IF(ROUNDDOWN(IF(ISBLANK($AY822),$AX822,$AY822),IF($D$4="Forint",0,2))&gt;$AT822+$AV822-$AW822-IF($D$4="Forint",Paraméterek!$J$114,Paraméterek!$K$114),0,ROUNDDOWN(IF(ISBLANK($AY822),$AX822,$AY822),IF($D$4="Forint",0,2))-$AZ822)</f>
        <v>0</v>
      </c>
      <c r="BB822" s="13">
        <f t="shared" ca="1" si="275"/>
        <v>0</v>
      </c>
      <c r="BD822" s="32">
        <v>803</v>
      </c>
      <c r="BE822" s="32">
        <v>67</v>
      </c>
      <c r="BF822" s="32">
        <v>11</v>
      </c>
      <c r="BG822" s="34">
        <f t="shared" ca="1" si="284"/>
        <v>2086</v>
      </c>
      <c r="BH822" s="32" t="str">
        <f ca="1">IF(MOD(MONTH($D$14)+$BD822-1,12)=Paraméterek!$C$288,"Igen","")</f>
        <v/>
      </c>
      <c r="BI822" s="13">
        <f ca="1">IF($BH822="Igen",MIN(ROUNDDOWN((SUMIF($BG$20:$BG$1027,$BG822-1,$K$20:$K$1027)-SUMIF($BG$20:$BG$1027,$BG822-1,$I$20:$I$1027))*Paraméterek!$C$289,IF($D$4="Forint",0,2)),IF($D$4="Forint",Paraméterek!$C$285,Paraméterek!$D$285)),0)</f>
        <v>0</v>
      </c>
      <c r="BJ822" s="13">
        <f t="shared" ca="1" si="276"/>
        <v>0</v>
      </c>
      <c r="BK822" s="13">
        <f t="shared" ca="1" si="285"/>
        <v>0</v>
      </c>
      <c r="BL822" s="33"/>
      <c r="BM822" s="13">
        <f t="shared" ca="1" si="277"/>
        <v>0</v>
      </c>
      <c r="BN822" s="13">
        <f ca="1">ROUNDUP(($BK822+$BM822)*VLOOKUP($BE822,Paraméterek!$P$38:$Q$38,2)/12*IF($D823="Nem",IF($M$13=0,1,$M$13),1),IF($D$4="Forint",0,2))</f>
        <v>0</v>
      </c>
      <c r="BO822" s="13">
        <f t="shared" ca="1" si="278"/>
        <v>0</v>
      </c>
      <c r="BP822" s="13">
        <f ca="1">IF($D823="Nem",$BO822,$BO822-ROUNDUP(SUM($BI$20:$BI822)*120%,IF($D$4="Forint",0,2)))</f>
        <v>0</v>
      </c>
    </row>
    <row r="823" spans="1:68" x14ac:dyDescent="0.2">
      <c r="A823" s="32">
        <v>804</v>
      </c>
      <c r="B823" s="32">
        <v>67</v>
      </c>
      <c r="C823" s="32">
        <v>12</v>
      </c>
      <c r="D823" s="32" t="str">
        <f t="shared" ca="1" si="264"/>
        <v>Nem</v>
      </c>
      <c r="E823" s="13">
        <f t="shared" ca="1" si="265"/>
        <v>0</v>
      </c>
      <c r="F823" s="13"/>
      <c r="G823" s="13"/>
      <c r="H823" s="13"/>
      <c r="I823" s="13">
        <f t="shared" ca="1" si="266"/>
        <v>0</v>
      </c>
      <c r="J823" s="13">
        <f t="shared" ca="1" si="267"/>
        <v>0</v>
      </c>
      <c r="K823" s="13">
        <f t="shared" ca="1" si="268"/>
        <v>0</v>
      </c>
      <c r="L823" s="13" t="e">
        <f ca="1">ROUNDUP(IF($D$2="Egyszeri",$E823,IF($D$2="Havi",SUM($E$20:$E$31),IF(MOD($C823,$M$1)-1=0,SUM($E$20:$E$31),0))/12*$M$1)*VLOOKUP($B823,Paraméterek!$I$28:$P$31,IF($D$2="Egyszeri",8,HLOOKUP(ROUNDUP($M$11+$M$13,0),Paraméterek!$J$26:$O$27,2))),IF($D$4="Forint",0,2))</f>
        <v>#N/A</v>
      </c>
      <c r="M823" s="13">
        <f t="shared" ca="1" si="269"/>
        <v>0</v>
      </c>
      <c r="N823" s="13">
        <f t="shared" ca="1" si="279"/>
        <v>0</v>
      </c>
      <c r="O823" s="13">
        <f ca="1">IF($D823="Igen",IF($W822&gt;=IF($D$4="Forint",Paraméterek!$J$121,Paraméterek!$K$121),0,IF($D$4="Forint",Paraméterek!$J$121,Paraméterek!$K$121)-$W822),0)</f>
        <v>0</v>
      </c>
      <c r="P823" s="13" t="e">
        <f ca="1">ROUNDUP($O823*VLOOKUP($M$4+$B823-1,Paraméterek!$H$58:$I$105,2,0)/Paraméterek!$I$56,IF($D$4="Forint",0,2))</f>
        <v>#N/A</v>
      </c>
      <c r="Q823" s="13">
        <f t="shared" ca="1" si="270"/>
        <v>0</v>
      </c>
      <c r="R823" s="33"/>
      <c r="S823" s="13" t="e">
        <f t="shared" ca="1" si="271"/>
        <v>#N/A</v>
      </c>
      <c r="T823" s="13" t="e">
        <f ca="1">ROUNDUP(($N823-$P823-$Q823+$S823)*VLOOKUP($B823,Paraméterek!$I$38:$K$39,IF($D$2="Egyszeri",3,2))/12*IF($D824="Nem",IF($M$13=0,1,$M$13),1),IF($D$4="Forint",0,2))</f>
        <v>#N/A</v>
      </c>
      <c r="U823" s="13">
        <f>Tranzakciók!$F$98</f>
        <v>0</v>
      </c>
      <c r="V823" s="13"/>
      <c r="W823" s="13" t="e">
        <f ca="1">$N823-$P823-$Q823+$S823-$T823-IF(ROUNDUP(IF(ISBLANK($V823),$U823*0,$V823)/IF($D$2="Egyszeri",VLOOKUP($B823+IF($C823=12,1,0),Paraméterek!$V$257:$W$262,2),IF($B823=1,1,VLOOKUP($B823+IF($C823=12,1,0),Paraméterek!$I$258:$T$278,HLOOKUP($M$11+1,Paraméterek!$J$256:$T$257,2)))),IF($D$4="Forint",0,2))&gt;$N823-$P823-$Q823+$S823-$T823-IF($D$4="Forint",Paraméterek!$C$216,Paraméterek!$D$216),0,ROUNDUP(IF(ISBLANK($V823),$U823*0,$V823)/IF($D$2="Egyszeri",VLOOKUP($B823+IF($C823=12,1,0),Paraméterek!$V$257:$W$262,2),IF($B823=1,1,VLOOKUP($B823+IF($C823=12,1,0),Paraméterek!$I$258:$T$278,HLOOKUP($M$11+1,Paraméterek!$J$256:$T$257,2)))),IF($D$4="Forint",0,2)))</f>
        <v>#N/A</v>
      </c>
      <c r="X823" s="13" t="e">
        <f ca="1">ROUNDDOWN($W823*IF($D$2="Egyszeri",VLOOKUP($B823+IF($C823=12,1,0),Paraméterek!$V$257:$W$262,2),VLOOKUP($B823+IF($C823=12,1,0),Paraméterek!$I$258:$T$278,HLOOKUP($M$11+1,Paraméterek!$I$256:$T$257,2))),IF($D$4="Forint",0,2))</f>
        <v>#N/A</v>
      </c>
      <c r="Z823" s="32">
        <v>804</v>
      </c>
      <c r="AA823" s="32">
        <v>67</v>
      </c>
      <c r="AB823" s="32">
        <v>12</v>
      </c>
      <c r="AC823" s="13">
        <f t="shared" ca="1" si="280"/>
        <v>0</v>
      </c>
      <c r="AD823" s="33"/>
      <c r="AE823" s="13">
        <f t="shared" ca="1" si="272"/>
        <v>0</v>
      </c>
      <c r="AF823" s="13">
        <f ca="1">ROUNDUP(($AC823+$AE823)*VLOOKUP($AA823,Paraméterek!$P$38:$Q$38,2)/12*IF($D824="Nem",IF($M$13=0,1,$M$13),1),IF($D$4="Forint",0,2))</f>
        <v>0</v>
      </c>
      <c r="AG823" s="13" t="e">
        <f ca="1">IF($D$2="Egyszeri",IF($D$7&gt;=IF($D$4="Forint",Paraméterek!$P$223,Paraméterek!$P$224),$D$7-IF($D$4="Forint",Paraméterek!$P$223,Paraméterek!$P$224),0),MIN(IF($AB823=12,AVERAGEIF($E$20:$E823,"&gt;0",$E$20:$E823)*12,0),SUM($E$20:$E$31)))</f>
        <v>#DIV/0!</v>
      </c>
      <c r="AH823" s="13">
        <f>IF($AA823=10,$AG823*IF($AB823=12,IF($AG823&lt;IF($D$4="Forint",Paraméterek!$L$223,Paraméterek!$L$224),0,VLOOKUP($AA823,Paraméterek!$K$226:$M$228,IF($AG823&lt;IF($D$4="Forint",Paraméterek!$M$223,Paraméterek!$M$224),2,3))),0),0)</f>
        <v>0</v>
      </c>
      <c r="AI823" s="13">
        <f ca="1">IF(AND($AA823=$M$11+1,$AB823=$M$12+1),SUMIF($AA$20:$AA$1027,$AA823,$AG$20:$AG$1027)*IF(SUMIF($AA$20:$AA$1027,$AA823,$AG$20:$AG$1027)&lt;IF($D$4="Forint",Paraméterek!$L$223,Paraméterek!$L$224),0,VLOOKUP($AA823,Paraméterek!$K$230:$M$250,IF(SUMIF($AA$20:$AA$1027,$AA823,$AG$20:$AG$1027)&lt;IF($D$4="Forint",Paraméterek!$M$223,Paraméterek!$M$224),2,3))),0)</f>
        <v>0</v>
      </c>
      <c r="AJ823" s="13" t="e">
        <f ca="1">IF(AND($AA823&gt;=5,MOD($AA823,5)=0),IF($AB823=12,VLOOKUP($AA823,Paraméterek!$O$225:$P$240,2),0),IF(OR($AA823=3,$AA823=4),IF($AB823=12,VLOOKUP($AA823,Paraméterek!$O$225:$P$240,2,0),0),0))*$AG823</f>
        <v>#DIV/0!</v>
      </c>
      <c r="AK823" s="13">
        <f t="shared" ca="1" si="273"/>
        <v>0</v>
      </c>
      <c r="AL823" s="13">
        <f t="shared" ca="1" si="281"/>
        <v>0</v>
      </c>
      <c r="AM823" s="13">
        <f t="shared" ca="1" si="282"/>
        <v>0</v>
      </c>
      <c r="AO823" s="32">
        <v>804</v>
      </c>
      <c r="AP823" s="32">
        <v>67</v>
      </c>
      <c r="AQ823" s="32">
        <v>12</v>
      </c>
      <c r="AR823" s="13"/>
      <c r="AS823" s="32"/>
      <c r="AT823" s="13">
        <f t="shared" ca="1" si="283"/>
        <v>0</v>
      </c>
      <c r="AU823" s="33"/>
      <c r="AV823" s="13">
        <f t="shared" ca="1" si="274"/>
        <v>0</v>
      </c>
      <c r="AW823" s="13">
        <f ca="1">ROUNDUP(($AT823+$AV823)*VLOOKUP($AP823,Paraméterek!$P$38:$Q$38,2)/12*IF($D824="Nem",IF($M$13=0,1,$M$13),1),IF($D$4="Forint",0,2))</f>
        <v>0</v>
      </c>
      <c r="AX823" s="13">
        <f>Tranzakciók!$M$98</f>
        <v>0</v>
      </c>
      <c r="AY823" s="13"/>
      <c r="AZ823" s="13">
        <f>ROUNDUP(IF(SUM($AX823:$AY823)=0,0,IF(IF(ISBLANK($AY823),$AX823,$AY823)*Paraméterek!$J$112&lt;IF($D$4="Forint",Paraméterek!$J$113,Paraméterek!$K$113),IF($D$4="Forint",Paraméterek!$J$113,Paraméterek!$K$113),IF(IF(ISBLANK($AY823),$AX823,$AY823)*Paraméterek!$J$112&gt;IF($D$4="Forint",Paraméterek!$J$114,Paraméterek!$K$114),IF($D$4="Forint",Paraméterek!$J$114,Paraméterek!$K$114),IF(ISBLANK($AY823),$AX823,$AY823)*Paraméterek!$J$112))),IF($D$4="Forint",0,2))</f>
        <v>0</v>
      </c>
      <c r="BA823" s="13">
        <f ca="1">$AT823+$AV823-$AW823-IF(ROUNDDOWN(IF(ISBLANK($AY823),$AX823,$AY823),IF($D$4="Forint",0,2))&gt;$AT823+$AV823-$AW823-IF($D$4="Forint",Paraméterek!$J$114,Paraméterek!$K$114),0,ROUNDDOWN(IF(ISBLANK($AY823),$AX823,$AY823),IF($D$4="Forint",0,2))-$AZ823)</f>
        <v>0</v>
      </c>
      <c r="BB823" s="13">
        <f t="shared" ca="1" si="275"/>
        <v>0</v>
      </c>
      <c r="BD823" s="32">
        <v>804</v>
      </c>
      <c r="BE823" s="32">
        <v>67</v>
      </c>
      <c r="BF823" s="32">
        <v>12</v>
      </c>
      <c r="BG823" s="34">
        <f t="shared" ca="1" si="284"/>
        <v>2086</v>
      </c>
      <c r="BH823" s="32" t="str">
        <f ca="1">IF(MOD(MONTH($D$14)+$BD823-1,12)=Paraméterek!$C$288,"Igen","")</f>
        <v/>
      </c>
      <c r="BI823" s="13">
        <f ca="1">IF($BH823="Igen",MIN(ROUNDDOWN((SUMIF($BG$20:$BG$1027,$BG823-1,$K$20:$K$1027)-SUMIF($BG$20:$BG$1027,$BG823-1,$I$20:$I$1027))*Paraméterek!$C$289,IF($D$4="Forint",0,2)),IF($D$4="Forint",Paraméterek!$C$285,Paraméterek!$D$285)),0)</f>
        <v>0</v>
      </c>
      <c r="BJ823" s="13">
        <f t="shared" ca="1" si="276"/>
        <v>0</v>
      </c>
      <c r="BK823" s="13">
        <f t="shared" ca="1" si="285"/>
        <v>0</v>
      </c>
      <c r="BL823" s="33"/>
      <c r="BM823" s="13">
        <f t="shared" ca="1" si="277"/>
        <v>0</v>
      </c>
      <c r="BN823" s="13">
        <f ca="1">ROUNDUP(($BK823+$BM823)*VLOOKUP($BE823,Paraméterek!$P$38:$Q$38,2)/12*IF($D824="Nem",IF($M$13=0,1,$M$13),1),IF($D$4="Forint",0,2))</f>
        <v>0</v>
      </c>
      <c r="BO823" s="13">
        <f t="shared" ca="1" si="278"/>
        <v>0</v>
      </c>
      <c r="BP823" s="13">
        <f ca="1">IF($D824="Nem",$BO823,$BO823-ROUNDUP(SUM($BI$20:$BI823)*120%,IF($D$4="Forint",0,2)))</f>
        <v>0</v>
      </c>
    </row>
    <row r="824" spans="1:68" x14ac:dyDescent="0.2">
      <c r="A824" s="32">
        <v>805</v>
      </c>
      <c r="B824" s="32">
        <v>68</v>
      </c>
      <c r="C824" s="32">
        <v>1</v>
      </c>
      <c r="D824" s="32" t="str">
        <f t="shared" ca="1" si="264"/>
        <v>Nem</v>
      </c>
      <c r="E824" s="13">
        <f t="shared" ca="1" si="265"/>
        <v>0</v>
      </c>
      <c r="F824" s="13"/>
      <c r="G824" s="13">
        <f>Tranzakciók!$D$99</f>
        <v>0</v>
      </c>
      <c r="H824" s="13"/>
      <c r="I824" s="13">
        <f t="shared" ca="1" si="266"/>
        <v>0</v>
      </c>
      <c r="J824" s="13">
        <f t="shared" ca="1" si="267"/>
        <v>0</v>
      </c>
      <c r="K824" s="13">
        <f t="shared" ca="1" si="268"/>
        <v>0</v>
      </c>
      <c r="L824" s="13" t="e">
        <f ca="1">ROUNDUP(IF($D$2="Egyszeri",$E824,IF($D$2="Havi",SUM($E$20:$E$31),IF(MOD($C824,$M$1)-1=0,SUM($E$20:$E$31),0))/12*$M$1)*VLOOKUP($B824,Paraméterek!$I$28:$P$31,IF($D$2="Egyszeri",8,HLOOKUP(ROUNDUP($M$11+$M$13,0),Paraméterek!$J$26:$O$27,2))),IF($D$4="Forint",0,2))</f>
        <v>#N/A</v>
      </c>
      <c r="M824" s="13">
        <f t="shared" ca="1" si="269"/>
        <v>0</v>
      </c>
      <c r="N824" s="13">
        <f t="shared" ca="1" si="279"/>
        <v>0</v>
      </c>
      <c r="O824" s="13">
        <f ca="1">IF($D824="Igen",IF($W823&gt;=IF($D$4="Forint",Paraméterek!$J$121,Paraméterek!$K$121),0,IF($D$4="Forint",Paraméterek!$J$121,Paraméterek!$K$121)-$W823),0)</f>
        <v>0</v>
      </c>
      <c r="P824" s="13" t="e">
        <f ca="1">ROUNDUP($O824*VLOOKUP($M$4+$B824-1,Paraméterek!$H$58:$I$105,2,0)/Paraméterek!$I$56,IF($D$4="Forint",0,2))</f>
        <v>#N/A</v>
      </c>
      <c r="Q824" s="13">
        <f t="shared" ca="1" si="270"/>
        <v>0</v>
      </c>
      <c r="R824" s="33"/>
      <c r="S824" s="13" t="e">
        <f t="shared" ca="1" si="271"/>
        <v>#N/A</v>
      </c>
      <c r="T824" s="13" t="e">
        <f ca="1">ROUNDUP(($N824-$P824-$Q824+$S824)*VLOOKUP($B824,Paraméterek!$I$38:$K$39,IF($D$2="Egyszeri",3,2))/12*IF($D825="Nem",IF($M$13=0,1,$M$13),1),IF($D$4="Forint",0,2))</f>
        <v>#N/A</v>
      </c>
      <c r="U824" s="13"/>
      <c r="V824" s="13"/>
      <c r="W824" s="13" t="e">
        <f ca="1">$N824-$P824-$Q824+$S824-$T824-IF(ROUNDUP(IF(ISBLANK($V824),$U824*0,$V824)/IF($D$2="Egyszeri",VLOOKUP($B824+IF($C824=12,1,0),Paraméterek!$V$257:$W$262,2),IF($B824=1,1,VLOOKUP($B824+IF($C824=12,1,0),Paraméterek!$I$258:$T$278,HLOOKUP($M$11+1,Paraméterek!$J$256:$T$257,2)))),IF($D$4="Forint",0,2))&gt;$N824-$P824-$Q824+$S824-$T824-IF($D$4="Forint",Paraméterek!$C$216,Paraméterek!$D$216),0,ROUNDUP(IF(ISBLANK($V824),$U824*0,$V824)/IF($D$2="Egyszeri",VLOOKUP($B824+IF($C824=12,1,0),Paraméterek!$V$257:$W$262,2),IF($B824=1,1,VLOOKUP($B824+IF($C824=12,1,0),Paraméterek!$I$258:$T$278,HLOOKUP($M$11+1,Paraméterek!$J$256:$T$257,2)))),IF($D$4="Forint",0,2)))</f>
        <v>#N/A</v>
      </c>
      <c r="X824" s="13" t="e">
        <f ca="1">ROUNDDOWN($W824*IF($D$2="Egyszeri",VLOOKUP($B824+IF($C824=12,1,0),Paraméterek!$V$257:$W$262,2),VLOOKUP($B824+IF($C824=12,1,0),Paraméterek!$I$258:$T$278,HLOOKUP($M$11+1,Paraméterek!$I$256:$T$257,2))),IF($D$4="Forint",0,2))</f>
        <v>#N/A</v>
      </c>
      <c r="Z824" s="32">
        <v>805</v>
      </c>
      <c r="AA824" s="32">
        <v>68</v>
      </c>
      <c r="AB824" s="32">
        <v>1</v>
      </c>
      <c r="AC824" s="13">
        <f t="shared" ca="1" si="280"/>
        <v>0</v>
      </c>
      <c r="AD824" s="33"/>
      <c r="AE824" s="13">
        <f t="shared" ca="1" si="272"/>
        <v>0</v>
      </c>
      <c r="AF824" s="13">
        <f ca="1">ROUNDUP(($AC824+$AE824)*VLOOKUP($AA824,Paraméterek!$P$38:$Q$38,2)/12*IF($D825="Nem",IF($M$13=0,1,$M$13),1),IF($D$4="Forint",0,2))</f>
        <v>0</v>
      </c>
      <c r="AG824" s="13">
        <f ca="1">IF($D$2="Egyszeri",IF($D$7&gt;=IF($D$4="Forint",Paraméterek!$P$223,Paraméterek!$P$224),$D$7-IF($D$4="Forint",Paraméterek!$P$223,Paraméterek!$P$224),0),MIN(IF($AB824=12,AVERAGEIF($E$20:$E824,"&gt;0",$E$20:$E824)*12,0),SUM($E$20:$E$31)))</f>
        <v>0</v>
      </c>
      <c r="AH824" s="13">
        <f>IF($AA824=10,$AG824*IF($AB824=12,IF($AG824&lt;IF($D$4="Forint",Paraméterek!$L$223,Paraméterek!$L$224),0,VLOOKUP($AA824,Paraméterek!$K$226:$M$228,IF($AG824&lt;IF($D$4="Forint",Paraméterek!$M$223,Paraméterek!$M$224),2,3))),0),0)</f>
        <v>0</v>
      </c>
      <c r="AI824" s="13">
        <f ca="1">IF(AND($AA824=$M$11+1,$AB824=$M$12+1),SUMIF($AA$20:$AA$1027,$AA824,$AG$20:$AG$1027)*IF(SUMIF($AA$20:$AA$1027,$AA824,$AG$20:$AG$1027)&lt;IF($D$4="Forint",Paraméterek!$L$223,Paraméterek!$L$224),0,VLOOKUP($AA824,Paraméterek!$K$230:$M$250,IF(SUMIF($AA$20:$AA$1027,$AA824,$AG$20:$AG$1027)&lt;IF($D$4="Forint",Paraméterek!$M$223,Paraméterek!$M$224),2,3))),0)</f>
        <v>0</v>
      </c>
      <c r="AJ824" s="13">
        <f ca="1">IF(AND($AA824&gt;=5,MOD($AA824,5)=0),IF($AB824=12,VLOOKUP($AA824,Paraméterek!$O$225:$P$240,2),0),IF(OR($AA824=3,$AA824=4),IF($AB824=12,VLOOKUP($AA824,Paraméterek!$O$225:$P$240,2,0),0),0))*$AG824</f>
        <v>0</v>
      </c>
      <c r="AK824" s="13">
        <f t="shared" ca="1" si="273"/>
        <v>0</v>
      </c>
      <c r="AL824" s="13">
        <f t="shared" ca="1" si="281"/>
        <v>0</v>
      </c>
      <c r="AM824" s="13">
        <f t="shared" ca="1" si="282"/>
        <v>0</v>
      </c>
      <c r="AO824" s="32">
        <v>805</v>
      </c>
      <c r="AP824" s="32">
        <v>68</v>
      </c>
      <c r="AQ824" s="32">
        <v>1</v>
      </c>
      <c r="AR824" s="13">
        <f>Tranzakciók!$K$99</f>
        <v>0</v>
      </c>
      <c r="AS824" s="32"/>
      <c r="AT824" s="13">
        <f t="shared" ca="1" si="283"/>
        <v>0</v>
      </c>
      <c r="AU824" s="33"/>
      <c r="AV824" s="13">
        <f t="shared" ca="1" si="274"/>
        <v>0</v>
      </c>
      <c r="AW824" s="13">
        <f ca="1">ROUNDUP(($AT824+$AV824)*VLOOKUP($AP824,Paraméterek!$P$38:$Q$38,2)/12*IF($D825="Nem",IF($M$13=0,1,$M$13),1),IF($D$4="Forint",0,2))</f>
        <v>0</v>
      </c>
      <c r="AX824" s="13"/>
      <c r="AY824" s="13"/>
      <c r="AZ824" s="13">
        <f>ROUNDUP(IF(SUM($AX824:$AY824)=0,0,IF(IF(ISBLANK($AY824),$AX824,$AY824)*Paraméterek!$J$112&lt;IF($D$4="Forint",Paraméterek!$J$113,Paraméterek!$K$113),IF($D$4="Forint",Paraméterek!$J$113,Paraméterek!$K$113),IF(IF(ISBLANK($AY824),$AX824,$AY824)*Paraméterek!$J$112&gt;IF($D$4="Forint",Paraméterek!$J$114,Paraméterek!$K$114),IF($D$4="Forint",Paraméterek!$J$114,Paraméterek!$K$114),IF(ISBLANK($AY824),$AX824,$AY824)*Paraméterek!$J$112))),IF($D$4="Forint",0,2))</f>
        <v>0</v>
      </c>
      <c r="BA824" s="13">
        <f ca="1">$AT824+$AV824-$AW824-IF(ROUNDDOWN(IF(ISBLANK($AY824),$AX824,$AY824),IF($D$4="Forint",0,2))&gt;$AT824+$AV824-$AW824-IF($D$4="Forint",Paraméterek!$J$114,Paraméterek!$K$114),0,ROUNDDOWN(IF(ISBLANK($AY824),$AX824,$AY824),IF($D$4="Forint",0,2))-$AZ824)</f>
        <v>0</v>
      </c>
      <c r="BB824" s="13">
        <f t="shared" ca="1" si="275"/>
        <v>0</v>
      </c>
      <c r="BD824" s="32">
        <v>805</v>
      </c>
      <c r="BE824" s="32">
        <v>68</v>
      </c>
      <c r="BF824" s="32">
        <v>1</v>
      </c>
      <c r="BG824" s="34">
        <f t="shared" ca="1" si="284"/>
        <v>2086</v>
      </c>
      <c r="BH824" s="32" t="str">
        <f ca="1">IF(MOD(MONTH($D$14)+$BD824-1,12)=Paraméterek!$C$288,"Igen","")</f>
        <v/>
      </c>
      <c r="BI824" s="13">
        <f ca="1">IF($BH824="Igen",MIN(ROUNDDOWN((SUMIF($BG$20:$BG$1027,$BG824-1,$K$20:$K$1027)-SUMIF($BG$20:$BG$1027,$BG824-1,$I$20:$I$1027))*Paraméterek!$C$289,IF($D$4="Forint",0,2)),IF($D$4="Forint",Paraméterek!$C$285,Paraméterek!$D$285)),0)</f>
        <v>0</v>
      </c>
      <c r="BJ824" s="13">
        <f t="shared" ca="1" si="276"/>
        <v>0</v>
      </c>
      <c r="BK824" s="13">
        <f t="shared" ca="1" si="285"/>
        <v>0</v>
      </c>
      <c r="BL824" s="33"/>
      <c r="BM824" s="13">
        <f t="shared" ca="1" si="277"/>
        <v>0</v>
      </c>
      <c r="BN824" s="13">
        <f ca="1">ROUNDUP(($BK824+$BM824)*VLOOKUP($BE824,Paraméterek!$P$38:$Q$38,2)/12*IF($D825="Nem",IF($M$13=0,1,$M$13),1),IF($D$4="Forint",0,2))</f>
        <v>0</v>
      </c>
      <c r="BO824" s="13">
        <f t="shared" ca="1" si="278"/>
        <v>0</v>
      </c>
      <c r="BP824" s="13">
        <f ca="1">IF($D825="Nem",$BO824,$BO824-ROUNDUP(SUM($BI$20:$BI824)*120%,IF($D$4="Forint",0,2)))</f>
        <v>0</v>
      </c>
    </row>
    <row r="825" spans="1:68" x14ac:dyDescent="0.2">
      <c r="A825" s="32">
        <v>806</v>
      </c>
      <c r="B825" s="32">
        <v>68</v>
      </c>
      <c r="C825" s="32">
        <v>2</v>
      </c>
      <c r="D825" s="32" t="str">
        <f t="shared" ca="1" si="264"/>
        <v>Nem</v>
      </c>
      <c r="E825" s="13">
        <f t="shared" ca="1" si="265"/>
        <v>0</v>
      </c>
      <c r="F825" s="13"/>
      <c r="G825" s="13"/>
      <c r="H825" s="13"/>
      <c r="I825" s="13">
        <f t="shared" ca="1" si="266"/>
        <v>0</v>
      </c>
      <c r="J825" s="13">
        <f t="shared" ca="1" si="267"/>
        <v>0</v>
      </c>
      <c r="K825" s="13">
        <f t="shared" ca="1" si="268"/>
        <v>0</v>
      </c>
      <c r="L825" s="13" t="e">
        <f ca="1">ROUNDUP(IF($D$2="Egyszeri",$E825,IF($D$2="Havi",SUM($E$20:$E$31),IF(MOD($C825,$M$1)-1=0,SUM($E$20:$E$31),0))/12*$M$1)*VLOOKUP($B825,Paraméterek!$I$28:$P$31,IF($D$2="Egyszeri",8,HLOOKUP(ROUNDUP($M$11+$M$13,0),Paraméterek!$J$26:$O$27,2))),IF($D$4="Forint",0,2))</f>
        <v>#N/A</v>
      </c>
      <c r="M825" s="13">
        <f t="shared" ca="1" si="269"/>
        <v>0</v>
      </c>
      <c r="N825" s="13">
        <f t="shared" ca="1" si="279"/>
        <v>0</v>
      </c>
      <c r="O825" s="13">
        <f ca="1">IF($D825="Igen",IF($W824&gt;=IF($D$4="Forint",Paraméterek!$J$121,Paraméterek!$K$121),0,IF($D$4="Forint",Paraméterek!$J$121,Paraméterek!$K$121)-$W824),0)</f>
        <v>0</v>
      </c>
      <c r="P825" s="13" t="e">
        <f ca="1">ROUNDUP($O825*VLOOKUP($M$4+$B825-1,Paraméterek!$H$58:$I$105,2,0)/Paraméterek!$I$56,IF($D$4="Forint",0,2))</f>
        <v>#N/A</v>
      </c>
      <c r="Q825" s="13">
        <f t="shared" ca="1" si="270"/>
        <v>0</v>
      </c>
      <c r="R825" s="33"/>
      <c r="S825" s="13" t="e">
        <f t="shared" ca="1" si="271"/>
        <v>#N/A</v>
      </c>
      <c r="T825" s="13" t="e">
        <f ca="1">ROUNDUP(($N825-$P825-$Q825+$S825)*VLOOKUP($B825,Paraméterek!$I$38:$K$39,IF($D$2="Egyszeri",3,2))/12*IF($D826="Nem",IF($M$13=0,1,$M$13),1),IF($D$4="Forint",0,2))</f>
        <v>#N/A</v>
      </c>
      <c r="U825" s="13"/>
      <c r="V825" s="13"/>
      <c r="W825" s="13" t="e">
        <f ca="1">$N825-$P825-$Q825+$S825-$T825-IF(ROUNDUP(IF(ISBLANK($V825),$U825*0,$V825)/IF($D$2="Egyszeri",VLOOKUP($B825+IF($C825=12,1,0),Paraméterek!$V$257:$W$262,2),IF($B825=1,1,VLOOKUP($B825+IF($C825=12,1,0),Paraméterek!$I$258:$T$278,HLOOKUP($M$11+1,Paraméterek!$J$256:$T$257,2)))),IF($D$4="Forint",0,2))&gt;$N825-$P825-$Q825+$S825-$T825-IF($D$4="Forint",Paraméterek!$C$216,Paraméterek!$D$216),0,ROUNDUP(IF(ISBLANK($V825),$U825*0,$V825)/IF($D$2="Egyszeri",VLOOKUP($B825+IF($C825=12,1,0),Paraméterek!$V$257:$W$262,2),IF($B825=1,1,VLOOKUP($B825+IF($C825=12,1,0),Paraméterek!$I$258:$T$278,HLOOKUP($M$11+1,Paraméterek!$J$256:$T$257,2)))),IF($D$4="Forint",0,2)))</f>
        <v>#N/A</v>
      </c>
      <c r="X825" s="13" t="e">
        <f ca="1">ROUNDDOWN($W825*IF($D$2="Egyszeri",VLOOKUP($B825+IF($C825=12,1,0),Paraméterek!$V$257:$W$262,2),VLOOKUP($B825+IF($C825=12,1,0),Paraméterek!$I$258:$T$278,HLOOKUP($M$11+1,Paraméterek!$I$256:$T$257,2))),IF($D$4="Forint",0,2))</f>
        <v>#N/A</v>
      </c>
      <c r="Z825" s="32">
        <v>806</v>
      </c>
      <c r="AA825" s="32">
        <v>68</v>
      </c>
      <c r="AB825" s="32">
        <v>2</v>
      </c>
      <c r="AC825" s="13">
        <f t="shared" ca="1" si="280"/>
        <v>0</v>
      </c>
      <c r="AD825" s="33"/>
      <c r="AE825" s="13">
        <f t="shared" ca="1" si="272"/>
        <v>0</v>
      </c>
      <c r="AF825" s="13">
        <f ca="1">ROUNDUP(($AC825+$AE825)*VLOOKUP($AA825,Paraméterek!$P$38:$Q$38,2)/12*IF($D826="Nem",IF($M$13=0,1,$M$13),1),IF($D$4="Forint",0,2))</f>
        <v>0</v>
      </c>
      <c r="AG825" s="13">
        <f ca="1">IF($D$2="Egyszeri",IF($D$7&gt;=IF($D$4="Forint",Paraméterek!$P$223,Paraméterek!$P$224),$D$7-IF($D$4="Forint",Paraméterek!$P$223,Paraméterek!$P$224),0),MIN(IF($AB825=12,AVERAGEIF($E$20:$E825,"&gt;0",$E$20:$E825)*12,0),SUM($E$20:$E$31)))</f>
        <v>0</v>
      </c>
      <c r="AH825" s="13">
        <f>IF($AA825=10,$AG825*IF($AB825=12,IF($AG825&lt;IF($D$4="Forint",Paraméterek!$L$223,Paraméterek!$L$224),0,VLOOKUP($AA825,Paraméterek!$K$226:$M$228,IF($AG825&lt;IF($D$4="Forint",Paraméterek!$M$223,Paraméterek!$M$224),2,3))),0),0)</f>
        <v>0</v>
      </c>
      <c r="AI825" s="13">
        <f ca="1">IF(AND($AA825=$M$11+1,$AB825=$M$12+1),SUMIF($AA$20:$AA$1027,$AA825,$AG$20:$AG$1027)*IF(SUMIF($AA$20:$AA$1027,$AA825,$AG$20:$AG$1027)&lt;IF($D$4="Forint",Paraméterek!$L$223,Paraméterek!$L$224),0,VLOOKUP($AA825,Paraméterek!$K$230:$M$250,IF(SUMIF($AA$20:$AA$1027,$AA825,$AG$20:$AG$1027)&lt;IF($D$4="Forint",Paraméterek!$M$223,Paraméterek!$M$224),2,3))),0)</f>
        <v>0</v>
      </c>
      <c r="AJ825" s="13">
        <f ca="1">IF(AND($AA825&gt;=5,MOD($AA825,5)=0),IF($AB825=12,VLOOKUP($AA825,Paraméterek!$O$225:$P$240,2),0),IF(OR($AA825=3,$AA825=4),IF($AB825=12,VLOOKUP($AA825,Paraméterek!$O$225:$P$240,2,0),0),0))*$AG825</f>
        <v>0</v>
      </c>
      <c r="AK825" s="13">
        <f t="shared" ca="1" si="273"/>
        <v>0</v>
      </c>
      <c r="AL825" s="13">
        <f t="shared" ca="1" si="281"/>
        <v>0</v>
      </c>
      <c r="AM825" s="13">
        <f t="shared" ca="1" si="282"/>
        <v>0</v>
      </c>
      <c r="AO825" s="32">
        <v>806</v>
      </c>
      <c r="AP825" s="32">
        <v>68</v>
      </c>
      <c r="AQ825" s="32">
        <v>2</v>
      </c>
      <c r="AR825" s="13"/>
      <c r="AS825" s="32"/>
      <c r="AT825" s="13">
        <f t="shared" ca="1" si="283"/>
        <v>0</v>
      </c>
      <c r="AU825" s="33"/>
      <c r="AV825" s="13">
        <f t="shared" ca="1" si="274"/>
        <v>0</v>
      </c>
      <c r="AW825" s="13">
        <f ca="1">ROUNDUP(($AT825+$AV825)*VLOOKUP($AP825,Paraméterek!$P$38:$Q$38,2)/12*IF($D826="Nem",IF($M$13=0,1,$M$13),1),IF($D$4="Forint",0,2))</f>
        <v>0</v>
      </c>
      <c r="AX825" s="13"/>
      <c r="AY825" s="13"/>
      <c r="AZ825" s="13">
        <f>ROUNDUP(IF(SUM($AX825:$AY825)=0,0,IF(IF(ISBLANK($AY825),$AX825,$AY825)*Paraméterek!$J$112&lt;IF($D$4="Forint",Paraméterek!$J$113,Paraméterek!$K$113),IF($D$4="Forint",Paraméterek!$J$113,Paraméterek!$K$113),IF(IF(ISBLANK($AY825),$AX825,$AY825)*Paraméterek!$J$112&gt;IF($D$4="Forint",Paraméterek!$J$114,Paraméterek!$K$114),IF($D$4="Forint",Paraméterek!$J$114,Paraméterek!$K$114),IF(ISBLANK($AY825),$AX825,$AY825)*Paraméterek!$J$112))),IF($D$4="Forint",0,2))</f>
        <v>0</v>
      </c>
      <c r="BA825" s="13">
        <f ca="1">$AT825+$AV825-$AW825-IF(ROUNDDOWN(IF(ISBLANK($AY825),$AX825,$AY825),IF($D$4="Forint",0,2))&gt;$AT825+$AV825-$AW825-IF($D$4="Forint",Paraméterek!$J$114,Paraméterek!$K$114),0,ROUNDDOWN(IF(ISBLANK($AY825),$AX825,$AY825),IF($D$4="Forint",0,2))-$AZ825)</f>
        <v>0</v>
      </c>
      <c r="BB825" s="13">
        <f t="shared" ca="1" si="275"/>
        <v>0</v>
      </c>
      <c r="BD825" s="32">
        <v>806</v>
      </c>
      <c r="BE825" s="32">
        <v>68</v>
      </c>
      <c r="BF825" s="32">
        <v>2</v>
      </c>
      <c r="BG825" s="34">
        <f t="shared" ca="1" si="284"/>
        <v>2086</v>
      </c>
      <c r="BH825" s="32" t="str">
        <f ca="1">IF(MOD(MONTH($D$14)+$BD825-1,12)=Paraméterek!$C$288,"Igen","")</f>
        <v>Igen</v>
      </c>
      <c r="BI825" s="13">
        <f ca="1">IF($BH825="Igen",MIN(ROUNDDOWN((SUMIF($BG$20:$BG$1027,$BG825-1,$K$20:$K$1027)-SUMIF($BG$20:$BG$1027,$BG825-1,$I$20:$I$1027))*Paraméterek!$C$289,IF($D$4="Forint",0,2)),IF($D$4="Forint",Paraméterek!$C$285,Paraméterek!$D$285)),0)</f>
        <v>0</v>
      </c>
      <c r="BJ825" s="13">
        <f t="shared" ca="1" si="276"/>
        <v>0</v>
      </c>
      <c r="BK825" s="13">
        <f t="shared" ca="1" si="285"/>
        <v>0</v>
      </c>
      <c r="BL825" s="33"/>
      <c r="BM825" s="13">
        <f t="shared" ca="1" si="277"/>
        <v>0</v>
      </c>
      <c r="BN825" s="13">
        <f ca="1">ROUNDUP(($BK825+$BM825)*VLOOKUP($BE825,Paraméterek!$P$38:$Q$38,2)/12*IF($D826="Nem",IF($M$13=0,1,$M$13),1),IF($D$4="Forint",0,2))</f>
        <v>0</v>
      </c>
      <c r="BO825" s="13">
        <f t="shared" ca="1" si="278"/>
        <v>0</v>
      </c>
      <c r="BP825" s="13">
        <f ca="1">IF($D826="Nem",$BO825,$BO825-ROUNDUP(SUM($BI$20:$BI825)*120%,IF($D$4="Forint",0,2)))</f>
        <v>0</v>
      </c>
    </row>
    <row r="826" spans="1:68" x14ac:dyDescent="0.2">
      <c r="A826" s="32">
        <v>807</v>
      </c>
      <c r="B826" s="32">
        <v>68</v>
      </c>
      <c r="C826" s="32">
        <v>3</v>
      </c>
      <c r="D826" s="32" t="str">
        <f t="shared" ca="1" si="264"/>
        <v>Nem</v>
      </c>
      <c r="E826" s="13">
        <f t="shared" ca="1" si="265"/>
        <v>0</v>
      </c>
      <c r="F826" s="13"/>
      <c r="G826" s="13"/>
      <c r="H826" s="13"/>
      <c r="I826" s="13">
        <f t="shared" ca="1" si="266"/>
        <v>0</v>
      </c>
      <c r="J826" s="13">
        <f t="shared" ca="1" si="267"/>
        <v>0</v>
      </c>
      <c r="K826" s="13">
        <f t="shared" ca="1" si="268"/>
        <v>0</v>
      </c>
      <c r="L826" s="13" t="e">
        <f ca="1">ROUNDUP(IF($D$2="Egyszeri",$E826,IF($D$2="Havi",SUM($E$20:$E$31),IF(MOD($C826,$M$1)-1=0,SUM($E$20:$E$31),0))/12*$M$1)*VLOOKUP($B826,Paraméterek!$I$28:$P$31,IF($D$2="Egyszeri",8,HLOOKUP(ROUNDUP($M$11+$M$13,0),Paraméterek!$J$26:$O$27,2))),IF($D$4="Forint",0,2))</f>
        <v>#N/A</v>
      </c>
      <c r="M826" s="13">
        <f t="shared" ca="1" si="269"/>
        <v>0</v>
      </c>
      <c r="N826" s="13">
        <f t="shared" ca="1" si="279"/>
        <v>0</v>
      </c>
      <c r="O826" s="13">
        <f ca="1">IF($D826="Igen",IF($W825&gt;=IF($D$4="Forint",Paraméterek!$J$121,Paraméterek!$K$121),0,IF($D$4="Forint",Paraméterek!$J$121,Paraméterek!$K$121)-$W825),0)</f>
        <v>0</v>
      </c>
      <c r="P826" s="13" t="e">
        <f ca="1">ROUNDUP($O826*VLOOKUP($M$4+$B826-1,Paraméterek!$H$58:$I$105,2,0)/Paraméterek!$I$56,IF($D$4="Forint",0,2))</f>
        <v>#N/A</v>
      </c>
      <c r="Q826" s="13">
        <f t="shared" ca="1" si="270"/>
        <v>0</v>
      </c>
      <c r="R826" s="33"/>
      <c r="S826" s="13" t="e">
        <f t="shared" ca="1" si="271"/>
        <v>#N/A</v>
      </c>
      <c r="T826" s="13" t="e">
        <f ca="1">ROUNDUP(($N826-$P826-$Q826+$S826)*VLOOKUP($B826,Paraméterek!$I$38:$K$39,IF($D$2="Egyszeri",3,2))/12*IF($D827="Nem",IF($M$13=0,1,$M$13),1),IF($D$4="Forint",0,2))</f>
        <v>#N/A</v>
      </c>
      <c r="U826" s="13"/>
      <c r="V826" s="13"/>
      <c r="W826" s="13" t="e">
        <f ca="1">$N826-$P826-$Q826+$S826-$T826-IF(ROUNDUP(IF(ISBLANK($V826),$U826*0,$V826)/IF($D$2="Egyszeri",VLOOKUP($B826+IF($C826=12,1,0),Paraméterek!$V$257:$W$262,2),IF($B826=1,1,VLOOKUP($B826+IF($C826=12,1,0),Paraméterek!$I$258:$T$278,HLOOKUP($M$11+1,Paraméterek!$J$256:$T$257,2)))),IF($D$4="Forint",0,2))&gt;$N826-$P826-$Q826+$S826-$T826-IF($D$4="Forint",Paraméterek!$C$216,Paraméterek!$D$216),0,ROUNDUP(IF(ISBLANK($V826),$U826*0,$V826)/IF($D$2="Egyszeri",VLOOKUP($B826+IF($C826=12,1,0),Paraméterek!$V$257:$W$262,2),IF($B826=1,1,VLOOKUP($B826+IF($C826=12,1,0),Paraméterek!$I$258:$T$278,HLOOKUP($M$11+1,Paraméterek!$J$256:$T$257,2)))),IF($D$4="Forint",0,2)))</f>
        <v>#N/A</v>
      </c>
      <c r="X826" s="13" t="e">
        <f ca="1">ROUNDDOWN($W826*IF($D$2="Egyszeri",VLOOKUP($B826+IF($C826=12,1,0),Paraméterek!$V$257:$W$262,2),VLOOKUP($B826+IF($C826=12,1,0),Paraméterek!$I$258:$T$278,HLOOKUP($M$11+1,Paraméterek!$I$256:$T$257,2))),IF($D$4="Forint",0,2))</f>
        <v>#N/A</v>
      </c>
      <c r="Z826" s="32">
        <v>807</v>
      </c>
      <c r="AA826" s="32">
        <v>68</v>
      </c>
      <c r="AB826" s="32">
        <v>3</v>
      </c>
      <c r="AC826" s="13">
        <f t="shared" ca="1" si="280"/>
        <v>0</v>
      </c>
      <c r="AD826" s="33"/>
      <c r="AE826" s="13">
        <f t="shared" ca="1" si="272"/>
        <v>0</v>
      </c>
      <c r="AF826" s="13">
        <f ca="1">ROUNDUP(($AC826+$AE826)*VLOOKUP($AA826,Paraméterek!$P$38:$Q$38,2)/12*IF($D827="Nem",IF($M$13=0,1,$M$13),1),IF($D$4="Forint",0,2))</f>
        <v>0</v>
      </c>
      <c r="AG826" s="13">
        <f ca="1">IF($D$2="Egyszeri",IF($D$7&gt;=IF($D$4="Forint",Paraméterek!$P$223,Paraméterek!$P$224),$D$7-IF($D$4="Forint",Paraméterek!$P$223,Paraméterek!$P$224),0),MIN(IF($AB826=12,AVERAGEIF($E$20:$E826,"&gt;0",$E$20:$E826)*12,0),SUM($E$20:$E$31)))</f>
        <v>0</v>
      </c>
      <c r="AH826" s="13">
        <f>IF($AA826=10,$AG826*IF($AB826=12,IF($AG826&lt;IF($D$4="Forint",Paraméterek!$L$223,Paraméterek!$L$224),0,VLOOKUP($AA826,Paraméterek!$K$226:$M$228,IF($AG826&lt;IF($D$4="Forint",Paraméterek!$M$223,Paraméterek!$M$224),2,3))),0),0)</f>
        <v>0</v>
      </c>
      <c r="AI826" s="13">
        <f ca="1">IF(AND($AA826=$M$11+1,$AB826=$M$12+1),SUMIF($AA$20:$AA$1027,$AA826,$AG$20:$AG$1027)*IF(SUMIF($AA$20:$AA$1027,$AA826,$AG$20:$AG$1027)&lt;IF($D$4="Forint",Paraméterek!$L$223,Paraméterek!$L$224),0,VLOOKUP($AA826,Paraméterek!$K$230:$M$250,IF(SUMIF($AA$20:$AA$1027,$AA826,$AG$20:$AG$1027)&lt;IF($D$4="Forint",Paraméterek!$M$223,Paraméterek!$M$224),2,3))),0)</f>
        <v>0</v>
      </c>
      <c r="AJ826" s="13">
        <f ca="1">IF(AND($AA826&gt;=5,MOD($AA826,5)=0),IF($AB826=12,VLOOKUP($AA826,Paraméterek!$O$225:$P$240,2),0),IF(OR($AA826=3,$AA826=4),IF($AB826=12,VLOOKUP($AA826,Paraméterek!$O$225:$P$240,2,0),0),0))*$AG826</f>
        <v>0</v>
      </c>
      <c r="AK826" s="13">
        <f t="shared" ca="1" si="273"/>
        <v>0</v>
      </c>
      <c r="AL826" s="13">
        <f t="shared" ca="1" si="281"/>
        <v>0</v>
      </c>
      <c r="AM826" s="13">
        <f t="shared" ca="1" si="282"/>
        <v>0</v>
      </c>
      <c r="AO826" s="32">
        <v>807</v>
      </c>
      <c r="AP826" s="32">
        <v>68</v>
      </c>
      <c r="AQ826" s="32">
        <v>3</v>
      </c>
      <c r="AR826" s="13"/>
      <c r="AS826" s="32"/>
      <c r="AT826" s="13">
        <f t="shared" ca="1" si="283"/>
        <v>0</v>
      </c>
      <c r="AU826" s="33"/>
      <c r="AV826" s="13">
        <f t="shared" ca="1" si="274"/>
        <v>0</v>
      </c>
      <c r="AW826" s="13">
        <f ca="1">ROUNDUP(($AT826+$AV826)*VLOOKUP($AP826,Paraméterek!$P$38:$Q$38,2)/12*IF($D827="Nem",IF($M$13=0,1,$M$13),1),IF($D$4="Forint",0,2))</f>
        <v>0</v>
      </c>
      <c r="AX826" s="13"/>
      <c r="AY826" s="13"/>
      <c r="AZ826" s="13">
        <f>ROUNDUP(IF(SUM($AX826:$AY826)=0,0,IF(IF(ISBLANK($AY826),$AX826,$AY826)*Paraméterek!$J$112&lt;IF($D$4="Forint",Paraméterek!$J$113,Paraméterek!$K$113),IF($D$4="Forint",Paraméterek!$J$113,Paraméterek!$K$113),IF(IF(ISBLANK($AY826),$AX826,$AY826)*Paraméterek!$J$112&gt;IF($D$4="Forint",Paraméterek!$J$114,Paraméterek!$K$114),IF($D$4="Forint",Paraméterek!$J$114,Paraméterek!$K$114),IF(ISBLANK($AY826),$AX826,$AY826)*Paraméterek!$J$112))),IF($D$4="Forint",0,2))</f>
        <v>0</v>
      </c>
      <c r="BA826" s="13">
        <f ca="1">$AT826+$AV826-$AW826-IF(ROUNDDOWN(IF(ISBLANK($AY826),$AX826,$AY826),IF($D$4="Forint",0,2))&gt;$AT826+$AV826-$AW826-IF($D$4="Forint",Paraméterek!$J$114,Paraméterek!$K$114),0,ROUNDDOWN(IF(ISBLANK($AY826),$AX826,$AY826),IF($D$4="Forint",0,2))-$AZ826)</f>
        <v>0</v>
      </c>
      <c r="BB826" s="13">
        <f t="shared" ca="1" si="275"/>
        <v>0</v>
      </c>
      <c r="BD826" s="32">
        <v>807</v>
      </c>
      <c r="BE826" s="32">
        <v>68</v>
      </c>
      <c r="BF826" s="32">
        <v>3</v>
      </c>
      <c r="BG826" s="34">
        <f t="shared" ca="1" si="284"/>
        <v>2086</v>
      </c>
      <c r="BH826" s="32" t="str">
        <f ca="1">IF(MOD(MONTH($D$14)+$BD826-1,12)=Paraméterek!$C$288,"Igen","")</f>
        <v/>
      </c>
      <c r="BI826" s="13">
        <f ca="1">IF($BH826="Igen",MIN(ROUNDDOWN((SUMIF($BG$20:$BG$1027,$BG826-1,$K$20:$K$1027)-SUMIF($BG$20:$BG$1027,$BG826-1,$I$20:$I$1027))*Paraméterek!$C$289,IF($D$4="Forint",0,2)),IF($D$4="Forint",Paraméterek!$C$285,Paraméterek!$D$285)),0)</f>
        <v>0</v>
      </c>
      <c r="BJ826" s="13">
        <f t="shared" ca="1" si="276"/>
        <v>0</v>
      </c>
      <c r="BK826" s="13">
        <f t="shared" ca="1" si="285"/>
        <v>0</v>
      </c>
      <c r="BL826" s="33"/>
      <c r="BM826" s="13">
        <f t="shared" ca="1" si="277"/>
        <v>0</v>
      </c>
      <c r="BN826" s="13">
        <f ca="1">ROUNDUP(($BK826+$BM826)*VLOOKUP($BE826,Paraméterek!$P$38:$Q$38,2)/12*IF($D827="Nem",IF($M$13=0,1,$M$13),1),IF($D$4="Forint",0,2))</f>
        <v>0</v>
      </c>
      <c r="BO826" s="13">
        <f t="shared" ca="1" si="278"/>
        <v>0</v>
      </c>
      <c r="BP826" s="13">
        <f ca="1">IF($D827="Nem",$BO826,$BO826-ROUNDUP(SUM($BI$20:$BI826)*120%,IF($D$4="Forint",0,2)))</f>
        <v>0</v>
      </c>
    </row>
    <row r="827" spans="1:68" x14ac:dyDescent="0.2">
      <c r="A827" s="32">
        <v>808</v>
      </c>
      <c r="B827" s="32">
        <v>68</v>
      </c>
      <c r="C827" s="32">
        <v>4</v>
      </c>
      <c r="D827" s="32" t="str">
        <f t="shared" ca="1" si="264"/>
        <v>Nem</v>
      </c>
      <c r="E827" s="13">
        <f t="shared" ca="1" si="265"/>
        <v>0</v>
      </c>
      <c r="F827" s="13"/>
      <c r="G827" s="13"/>
      <c r="H827" s="13"/>
      <c r="I827" s="13">
        <f t="shared" ca="1" si="266"/>
        <v>0</v>
      </c>
      <c r="J827" s="13">
        <f t="shared" ca="1" si="267"/>
        <v>0</v>
      </c>
      <c r="K827" s="13">
        <f t="shared" ca="1" si="268"/>
        <v>0</v>
      </c>
      <c r="L827" s="13" t="e">
        <f ca="1">ROUNDUP(IF($D$2="Egyszeri",$E827,IF($D$2="Havi",SUM($E$20:$E$31),IF(MOD($C827,$M$1)-1=0,SUM($E$20:$E$31),0))/12*$M$1)*VLOOKUP($B827,Paraméterek!$I$28:$P$31,IF($D$2="Egyszeri",8,HLOOKUP(ROUNDUP($M$11+$M$13,0),Paraméterek!$J$26:$O$27,2))),IF($D$4="Forint",0,2))</f>
        <v>#N/A</v>
      </c>
      <c r="M827" s="13">
        <f t="shared" ca="1" si="269"/>
        <v>0</v>
      </c>
      <c r="N827" s="13">
        <f t="shared" ca="1" si="279"/>
        <v>0</v>
      </c>
      <c r="O827" s="13">
        <f ca="1">IF($D827="Igen",IF($W826&gt;=IF($D$4="Forint",Paraméterek!$J$121,Paraméterek!$K$121),0,IF($D$4="Forint",Paraméterek!$J$121,Paraméterek!$K$121)-$W826),0)</f>
        <v>0</v>
      </c>
      <c r="P827" s="13" t="e">
        <f ca="1">ROUNDUP($O827*VLOOKUP($M$4+$B827-1,Paraméterek!$H$58:$I$105,2,0)/Paraméterek!$I$56,IF($D$4="Forint",0,2))</f>
        <v>#N/A</v>
      </c>
      <c r="Q827" s="13">
        <f t="shared" ca="1" si="270"/>
        <v>0</v>
      </c>
      <c r="R827" s="33"/>
      <c r="S827" s="13" t="e">
        <f t="shared" ca="1" si="271"/>
        <v>#N/A</v>
      </c>
      <c r="T827" s="13" t="e">
        <f ca="1">ROUNDUP(($N827-$P827-$Q827+$S827)*VLOOKUP($B827,Paraméterek!$I$38:$K$39,IF($D$2="Egyszeri",3,2))/12*IF($D828="Nem",IF($M$13=0,1,$M$13),1),IF($D$4="Forint",0,2))</f>
        <v>#N/A</v>
      </c>
      <c r="U827" s="13"/>
      <c r="V827" s="13"/>
      <c r="W827" s="13" t="e">
        <f ca="1">$N827-$P827-$Q827+$S827-$T827-IF(ROUNDUP(IF(ISBLANK($V827),$U827*0,$V827)/IF($D$2="Egyszeri",VLOOKUP($B827+IF($C827=12,1,0),Paraméterek!$V$257:$W$262,2),IF($B827=1,1,VLOOKUP($B827+IF($C827=12,1,0),Paraméterek!$I$258:$T$278,HLOOKUP($M$11+1,Paraméterek!$J$256:$T$257,2)))),IF($D$4="Forint",0,2))&gt;$N827-$P827-$Q827+$S827-$T827-IF($D$4="Forint",Paraméterek!$C$216,Paraméterek!$D$216),0,ROUNDUP(IF(ISBLANK($V827),$U827*0,$V827)/IF($D$2="Egyszeri",VLOOKUP($B827+IF($C827=12,1,0),Paraméterek!$V$257:$W$262,2),IF($B827=1,1,VLOOKUP($B827+IF($C827=12,1,0),Paraméterek!$I$258:$T$278,HLOOKUP($M$11+1,Paraméterek!$J$256:$T$257,2)))),IF($D$4="Forint",0,2)))</f>
        <v>#N/A</v>
      </c>
      <c r="X827" s="13" t="e">
        <f ca="1">ROUNDDOWN($W827*IF($D$2="Egyszeri",VLOOKUP($B827+IF($C827=12,1,0),Paraméterek!$V$257:$W$262,2),VLOOKUP($B827+IF($C827=12,1,0),Paraméterek!$I$258:$T$278,HLOOKUP($M$11+1,Paraméterek!$I$256:$T$257,2))),IF($D$4="Forint",0,2))</f>
        <v>#N/A</v>
      </c>
      <c r="Z827" s="32">
        <v>808</v>
      </c>
      <c r="AA827" s="32">
        <v>68</v>
      </c>
      <c r="AB827" s="32">
        <v>4</v>
      </c>
      <c r="AC827" s="13">
        <f t="shared" ca="1" si="280"/>
        <v>0</v>
      </c>
      <c r="AD827" s="33"/>
      <c r="AE827" s="13">
        <f t="shared" ca="1" si="272"/>
        <v>0</v>
      </c>
      <c r="AF827" s="13">
        <f ca="1">ROUNDUP(($AC827+$AE827)*VLOOKUP($AA827,Paraméterek!$P$38:$Q$38,2)/12*IF($D828="Nem",IF($M$13=0,1,$M$13),1),IF($D$4="Forint",0,2))</f>
        <v>0</v>
      </c>
      <c r="AG827" s="13">
        <f ca="1">IF($D$2="Egyszeri",IF($D$7&gt;=IF($D$4="Forint",Paraméterek!$P$223,Paraméterek!$P$224),$D$7-IF($D$4="Forint",Paraméterek!$P$223,Paraméterek!$P$224),0),MIN(IF($AB827=12,AVERAGEIF($E$20:$E827,"&gt;0",$E$20:$E827)*12,0),SUM($E$20:$E$31)))</f>
        <v>0</v>
      </c>
      <c r="AH827" s="13">
        <f>IF($AA827=10,$AG827*IF($AB827=12,IF($AG827&lt;IF($D$4="Forint",Paraméterek!$L$223,Paraméterek!$L$224),0,VLOOKUP($AA827,Paraméterek!$K$226:$M$228,IF($AG827&lt;IF($D$4="Forint",Paraméterek!$M$223,Paraméterek!$M$224),2,3))),0),0)</f>
        <v>0</v>
      </c>
      <c r="AI827" s="13">
        <f ca="1">IF(AND($AA827=$M$11+1,$AB827=$M$12+1),SUMIF($AA$20:$AA$1027,$AA827,$AG$20:$AG$1027)*IF(SUMIF($AA$20:$AA$1027,$AA827,$AG$20:$AG$1027)&lt;IF($D$4="Forint",Paraméterek!$L$223,Paraméterek!$L$224),0,VLOOKUP($AA827,Paraméterek!$K$230:$M$250,IF(SUMIF($AA$20:$AA$1027,$AA827,$AG$20:$AG$1027)&lt;IF($D$4="Forint",Paraméterek!$M$223,Paraméterek!$M$224),2,3))),0)</f>
        <v>0</v>
      </c>
      <c r="AJ827" s="13">
        <f ca="1">IF(AND($AA827&gt;=5,MOD($AA827,5)=0),IF($AB827=12,VLOOKUP($AA827,Paraméterek!$O$225:$P$240,2),0),IF(OR($AA827=3,$AA827=4),IF($AB827=12,VLOOKUP($AA827,Paraméterek!$O$225:$P$240,2,0),0),0))*$AG827</f>
        <v>0</v>
      </c>
      <c r="AK827" s="13">
        <f t="shared" ca="1" si="273"/>
        <v>0</v>
      </c>
      <c r="AL827" s="13">
        <f t="shared" ca="1" si="281"/>
        <v>0</v>
      </c>
      <c r="AM827" s="13">
        <f t="shared" ca="1" si="282"/>
        <v>0</v>
      </c>
      <c r="AO827" s="32">
        <v>808</v>
      </c>
      <c r="AP827" s="32">
        <v>68</v>
      </c>
      <c r="AQ827" s="32">
        <v>4</v>
      </c>
      <c r="AR827" s="13"/>
      <c r="AS827" s="32"/>
      <c r="AT827" s="13">
        <f t="shared" ca="1" si="283"/>
        <v>0</v>
      </c>
      <c r="AU827" s="33"/>
      <c r="AV827" s="13">
        <f t="shared" ca="1" si="274"/>
        <v>0</v>
      </c>
      <c r="AW827" s="13">
        <f ca="1">ROUNDUP(($AT827+$AV827)*VLOOKUP($AP827,Paraméterek!$P$38:$Q$38,2)/12*IF($D828="Nem",IF($M$13=0,1,$M$13),1),IF($D$4="Forint",0,2))</f>
        <v>0</v>
      </c>
      <c r="AX827" s="13"/>
      <c r="AY827" s="13"/>
      <c r="AZ827" s="13">
        <f>ROUNDUP(IF(SUM($AX827:$AY827)=0,0,IF(IF(ISBLANK($AY827),$AX827,$AY827)*Paraméterek!$J$112&lt;IF($D$4="Forint",Paraméterek!$J$113,Paraméterek!$K$113),IF($D$4="Forint",Paraméterek!$J$113,Paraméterek!$K$113),IF(IF(ISBLANK($AY827),$AX827,$AY827)*Paraméterek!$J$112&gt;IF($D$4="Forint",Paraméterek!$J$114,Paraméterek!$K$114),IF($D$4="Forint",Paraméterek!$J$114,Paraméterek!$K$114),IF(ISBLANK($AY827),$AX827,$AY827)*Paraméterek!$J$112))),IF($D$4="Forint",0,2))</f>
        <v>0</v>
      </c>
      <c r="BA827" s="13">
        <f ca="1">$AT827+$AV827-$AW827-IF(ROUNDDOWN(IF(ISBLANK($AY827),$AX827,$AY827),IF($D$4="Forint",0,2))&gt;$AT827+$AV827-$AW827-IF($D$4="Forint",Paraméterek!$J$114,Paraméterek!$K$114),0,ROUNDDOWN(IF(ISBLANK($AY827),$AX827,$AY827),IF($D$4="Forint",0,2))-$AZ827)</f>
        <v>0</v>
      </c>
      <c r="BB827" s="13">
        <f t="shared" ca="1" si="275"/>
        <v>0</v>
      </c>
      <c r="BD827" s="32">
        <v>808</v>
      </c>
      <c r="BE827" s="32">
        <v>68</v>
      </c>
      <c r="BF827" s="32">
        <v>4</v>
      </c>
      <c r="BG827" s="34">
        <f t="shared" ca="1" si="284"/>
        <v>2086</v>
      </c>
      <c r="BH827" s="32" t="str">
        <f ca="1">IF(MOD(MONTH($D$14)+$BD827-1,12)=Paraméterek!$C$288,"Igen","")</f>
        <v/>
      </c>
      <c r="BI827" s="13">
        <f ca="1">IF($BH827="Igen",MIN(ROUNDDOWN((SUMIF($BG$20:$BG$1027,$BG827-1,$K$20:$K$1027)-SUMIF($BG$20:$BG$1027,$BG827-1,$I$20:$I$1027))*Paraméterek!$C$289,IF($D$4="Forint",0,2)),IF($D$4="Forint",Paraméterek!$C$285,Paraméterek!$D$285)),0)</f>
        <v>0</v>
      </c>
      <c r="BJ827" s="13">
        <f t="shared" ca="1" si="276"/>
        <v>0</v>
      </c>
      <c r="BK827" s="13">
        <f t="shared" ca="1" si="285"/>
        <v>0</v>
      </c>
      <c r="BL827" s="33"/>
      <c r="BM827" s="13">
        <f t="shared" ca="1" si="277"/>
        <v>0</v>
      </c>
      <c r="BN827" s="13">
        <f ca="1">ROUNDUP(($BK827+$BM827)*VLOOKUP($BE827,Paraméterek!$P$38:$Q$38,2)/12*IF($D828="Nem",IF($M$13=0,1,$M$13),1),IF($D$4="Forint",0,2))</f>
        <v>0</v>
      </c>
      <c r="BO827" s="13">
        <f t="shared" ca="1" si="278"/>
        <v>0</v>
      </c>
      <c r="BP827" s="13">
        <f ca="1">IF($D828="Nem",$BO827,$BO827-ROUNDUP(SUM($BI$20:$BI827)*120%,IF($D$4="Forint",0,2)))</f>
        <v>0</v>
      </c>
    </row>
    <row r="828" spans="1:68" x14ac:dyDescent="0.2">
      <c r="A828" s="32">
        <v>809</v>
      </c>
      <c r="B828" s="32">
        <v>68</v>
      </c>
      <c r="C828" s="32">
        <v>5</v>
      </c>
      <c r="D828" s="32" t="str">
        <f t="shared" ca="1" si="264"/>
        <v>Nem</v>
      </c>
      <c r="E828" s="13">
        <f t="shared" ca="1" si="265"/>
        <v>0</v>
      </c>
      <c r="F828" s="13"/>
      <c r="G828" s="13"/>
      <c r="H828" s="13"/>
      <c r="I828" s="13">
        <f t="shared" ca="1" si="266"/>
        <v>0</v>
      </c>
      <c r="J828" s="13">
        <f t="shared" ca="1" si="267"/>
        <v>0</v>
      </c>
      <c r="K828" s="13">
        <f t="shared" ca="1" si="268"/>
        <v>0</v>
      </c>
      <c r="L828" s="13" t="e">
        <f ca="1">ROUNDUP(IF($D$2="Egyszeri",$E828,IF($D$2="Havi",SUM($E$20:$E$31),IF(MOD($C828,$M$1)-1=0,SUM($E$20:$E$31),0))/12*$M$1)*VLOOKUP($B828,Paraméterek!$I$28:$P$31,IF($D$2="Egyszeri",8,HLOOKUP(ROUNDUP($M$11+$M$13,0),Paraméterek!$J$26:$O$27,2))),IF($D$4="Forint",0,2))</f>
        <v>#N/A</v>
      </c>
      <c r="M828" s="13">
        <f t="shared" ca="1" si="269"/>
        <v>0</v>
      </c>
      <c r="N828" s="13">
        <f t="shared" ca="1" si="279"/>
        <v>0</v>
      </c>
      <c r="O828" s="13">
        <f ca="1">IF($D828="Igen",IF($W827&gt;=IF($D$4="Forint",Paraméterek!$J$121,Paraméterek!$K$121),0,IF($D$4="Forint",Paraméterek!$J$121,Paraméterek!$K$121)-$W827),0)</f>
        <v>0</v>
      </c>
      <c r="P828" s="13" t="e">
        <f ca="1">ROUNDUP($O828*VLOOKUP($M$4+$B828-1,Paraméterek!$H$58:$I$105,2,0)/Paraméterek!$I$56,IF($D$4="Forint",0,2))</f>
        <v>#N/A</v>
      </c>
      <c r="Q828" s="13">
        <f t="shared" ca="1" si="270"/>
        <v>0</v>
      </c>
      <c r="R828" s="33"/>
      <c r="S828" s="13" t="e">
        <f t="shared" ca="1" si="271"/>
        <v>#N/A</v>
      </c>
      <c r="T828" s="13" t="e">
        <f ca="1">ROUNDUP(($N828-$P828-$Q828+$S828)*VLOOKUP($B828,Paraméterek!$I$38:$K$39,IF($D$2="Egyszeri",3,2))/12*IF($D829="Nem",IF($M$13=0,1,$M$13),1),IF($D$4="Forint",0,2))</f>
        <v>#N/A</v>
      </c>
      <c r="U828" s="13"/>
      <c r="V828" s="13"/>
      <c r="W828" s="13" t="e">
        <f ca="1">$N828-$P828-$Q828+$S828-$T828-IF(ROUNDUP(IF(ISBLANK($V828),$U828*0,$V828)/IF($D$2="Egyszeri",VLOOKUP($B828+IF($C828=12,1,0),Paraméterek!$V$257:$W$262,2),IF($B828=1,1,VLOOKUP($B828+IF($C828=12,1,0),Paraméterek!$I$258:$T$278,HLOOKUP($M$11+1,Paraméterek!$J$256:$T$257,2)))),IF($D$4="Forint",0,2))&gt;$N828-$P828-$Q828+$S828-$T828-IF($D$4="Forint",Paraméterek!$C$216,Paraméterek!$D$216),0,ROUNDUP(IF(ISBLANK($V828),$U828*0,$V828)/IF($D$2="Egyszeri",VLOOKUP($B828+IF($C828=12,1,0),Paraméterek!$V$257:$W$262,2),IF($B828=1,1,VLOOKUP($B828+IF($C828=12,1,0),Paraméterek!$I$258:$T$278,HLOOKUP($M$11+1,Paraméterek!$J$256:$T$257,2)))),IF($D$4="Forint",0,2)))</f>
        <v>#N/A</v>
      </c>
      <c r="X828" s="13" t="e">
        <f ca="1">ROUNDDOWN($W828*IF($D$2="Egyszeri",VLOOKUP($B828+IF($C828=12,1,0),Paraméterek!$V$257:$W$262,2),VLOOKUP($B828+IF($C828=12,1,0),Paraméterek!$I$258:$T$278,HLOOKUP($M$11+1,Paraméterek!$I$256:$T$257,2))),IF($D$4="Forint",0,2))</f>
        <v>#N/A</v>
      </c>
      <c r="Z828" s="32">
        <v>809</v>
      </c>
      <c r="AA828" s="32">
        <v>68</v>
      </c>
      <c r="AB828" s="32">
        <v>5</v>
      </c>
      <c r="AC828" s="13">
        <f t="shared" ca="1" si="280"/>
        <v>0</v>
      </c>
      <c r="AD828" s="33"/>
      <c r="AE828" s="13">
        <f t="shared" ca="1" si="272"/>
        <v>0</v>
      </c>
      <c r="AF828" s="13">
        <f ca="1">ROUNDUP(($AC828+$AE828)*VLOOKUP($AA828,Paraméterek!$P$38:$Q$38,2)/12*IF($D829="Nem",IF($M$13=0,1,$M$13),1),IF($D$4="Forint",0,2))</f>
        <v>0</v>
      </c>
      <c r="AG828" s="13">
        <f ca="1">IF($D$2="Egyszeri",IF($D$7&gt;=IF($D$4="Forint",Paraméterek!$P$223,Paraméterek!$P$224),$D$7-IF($D$4="Forint",Paraméterek!$P$223,Paraméterek!$P$224),0),MIN(IF($AB828=12,AVERAGEIF($E$20:$E828,"&gt;0",$E$20:$E828)*12,0),SUM($E$20:$E$31)))</f>
        <v>0</v>
      </c>
      <c r="AH828" s="13">
        <f>IF($AA828=10,$AG828*IF($AB828=12,IF($AG828&lt;IF($D$4="Forint",Paraméterek!$L$223,Paraméterek!$L$224),0,VLOOKUP($AA828,Paraméterek!$K$226:$M$228,IF($AG828&lt;IF($D$4="Forint",Paraméterek!$M$223,Paraméterek!$M$224),2,3))),0),0)</f>
        <v>0</v>
      </c>
      <c r="AI828" s="13">
        <f ca="1">IF(AND($AA828=$M$11+1,$AB828=$M$12+1),SUMIF($AA$20:$AA$1027,$AA828,$AG$20:$AG$1027)*IF(SUMIF($AA$20:$AA$1027,$AA828,$AG$20:$AG$1027)&lt;IF($D$4="Forint",Paraméterek!$L$223,Paraméterek!$L$224),0,VLOOKUP($AA828,Paraméterek!$K$230:$M$250,IF(SUMIF($AA$20:$AA$1027,$AA828,$AG$20:$AG$1027)&lt;IF($D$4="Forint",Paraméterek!$M$223,Paraméterek!$M$224),2,3))),0)</f>
        <v>0</v>
      </c>
      <c r="AJ828" s="13">
        <f ca="1">IF(AND($AA828&gt;=5,MOD($AA828,5)=0),IF($AB828=12,VLOOKUP($AA828,Paraméterek!$O$225:$P$240,2),0),IF(OR($AA828=3,$AA828=4),IF($AB828=12,VLOOKUP($AA828,Paraméterek!$O$225:$P$240,2,0),0),0))*$AG828</f>
        <v>0</v>
      </c>
      <c r="AK828" s="13">
        <f t="shared" ca="1" si="273"/>
        <v>0</v>
      </c>
      <c r="AL828" s="13">
        <f t="shared" ca="1" si="281"/>
        <v>0</v>
      </c>
      <c r="AM828" s="13">
        <f t="shared" ca="1" si="282"/>
        <v>0</v>
      </c>
      <c r="AO828" s="32">
        <v>809</v>
      </c>
      <c r="AP828" s="32">
        <v>68</v>
      </c>
      <c r="AQ828" s="32">
        <v>5</v>
      </c>
      <c r="AR828" s="13"/>
      <c r="AS828" s="32"/>
      <c r="AT828" s="13">
        <f t="shared" ca="1" si="283"/>
        <v>0</v>
      </c>
      <c r="AU828" s="33"/>
      <c r="AV828" s="13">
        <f t="shared" ca="1" si="274"/>
        <v>0</v>
      </c>
      <c r="AW828" s="13">
        <f ca="1">ROUNDUP(($AT828+$AV828)*VLOOKUP($AP828,Paraméterek!$P$38:$Q$38,2)/12*IF($D829="Nem",IF($M$13=0,1,$M$13),1),IF($D$4="Forint",0,2))</f>
        <v>0</v>
      </c>
      <c r="AX828" s="13"/>
      <c r="AY828" s="13"/>
      <c r="AZ828" s="13">
        <f>ROUNDUP(IF(SUM($AX828:$AY828)=0,0,IF(IF(ISBLANK($AY828),$AX828,$AY828)*Paraméterek!$J$112&lt;IF($D$4="Forint",Paraméterek!$J$113,Paraméterek!$K$113),IF($D$4="Forint",Paraméterek!$J$113,Paraméterek!$K$113),IF(IF(ISBLANK($AY828),$AX828,$AY828)*Paraméterek!$J$112&gt;IF($D$4="Forint",Paraméterek!$J$114,Paraméterek!$K$114),IF($D$4="Forint",Paraméterek!$J$114,Paraméterek!$K$114),IF(ISBLANK($AY828),$AX828,$AY828)*Paraméterek!$J$112))),IF($D$4="Forint",0,2))</f>
        <v>0</v>
      </c>
      <c r="BA828" s="13">
        <f ca="1">$AT828+$AV828-$AW828-IF(ROUNDDOWN(IF(ISBLANK($AY828),$AX828,$AY828),IF($D$4="Forint",0,2))&gt;$AT828+$AV828-$AW828-IF($D$4="Forint",Paraméterek!$J$114,Paraméterek!$K$114),0,ROUNDDOWN(IF(ISBLANK($AY828),$AX828,$AY828),IF($D$4="Forint",0,2))-$AZ828)</f>
        <v>0</v>
      </c>
      <c r="BB828" s="13">
        <f t="shared" ca="1" si="275"/>
        <v>0</v>
      </c>
      <c r="BD828" s="32">
        <v>809</v>
      </c>
      <c r="BE828" s="32">
        <v>68</v>
      </c>
      <c r="BF828" s="32">
        <v>5</v>
      </c>
      <c r="BG828" s="34">
        <f t="shared" ca="1" si="284"/>
        <v>2086</v>
      </c>
      <c r="BH828" s="32" t="str">
        <f ca="1">IF(MOD(MONTH($D$14)+$BD828-1,12)=Paraméterek!$C$288,"Igen","")</f>
        <v/>
      </c>
      <c r="BI828" s="13">
        <f ca="1">IF($BH828="Igen",MIN(ROUNDDOWN((SUMIF($BG$20:$BG$1027,$BG828-1,$K$20:$K$1027)-SUMIF($BG$20:$BG$1027,$BG828-1,$I$20:$I$1027))*Paraméterek!$C$289,IF($D$4="Forint",0,2)),IF($D$4="Forint",Paraméterek!$C$285,Paraméterek!$D$285)),0)</f>
        <v>0</v>
      </c>
      <c r="BJ828" s="13">
        <f t="shared" ca="1" si="276"/>
        <v>0</v>
      </c>
      <c r="BK828" s="13">
        <f t="shared" ca="1" si="285"/>
        <v>0</v>
      </c>
      <c r="BL828" s="33"/>
      <c r="BM828" s="13">
        <f t="shared" ca="1" si="277"/>
        <v>0</v>
      </c>
      <c r="BN828" s="13">
        <f ca="1">ROUNDUP(($BK828+$BM828)*VLOOKUP($BE828,Paraméterek!$P$38:$Q$38,2)/12*IF($D829="Nem",IF($M$13=0,1,$M$13),1),IF($D$4="Forint",0,2))</f>
        <v>0</v>
      </c>
      <c r="BO828" s="13">
        <f t="shared" ca="1" si="278"/>
        <v>0</v>
      </c>
      <c r="BP828" s="13">
        <f ca="1">IF($D829="Nem",$BO828,$BO828-ROUNDUP(SUM($BI$20:$BI828)*120%,IF($D$4="Forint",0,2)))</f>
        <v>0</v>
      </c>
    </row>
    <row r="829" spans="1:68" x14ac:dyDescent="0.2">
      <c r="A829" s="32">
        <v>810</v>
      </c>
      <c r="B829" s="32">
        <v>68</v>
      </c>
      <c r="C829" s="32">
        <v>6</v>
      </c>
      <c r="D829" s="32" t="str">
        <f t="shared" ca="1" si="264"/>
        <v>Nem</v>
      </c>
      <c r="E829" s="13">
        <f t="shared" ca="1" si="265"/>
        <v>0</v>
      </c>
      <c r="F829" s="13"/>
      <c r="G829" s="13"/>
      <c r="H829" s="13"/>
      <c r="I829" s="13">
        <f t="shared" ca="1" si="266"/>
        <v>0</v>
      </c>
      <c r="J829" s="13">
        <f t="shared" ca="1" si="267"/>
        <v>0</v>
      </c>
      <c r="K829" s="13">
        <f t="shared" ca="1" si="268"/>
        <v>0</v>
      </c>
      <c r="L829" s="13" t="e">
        <f ca="1">ROUNDUP(IF($D$2="Egyszeri",$E829,IF($D$2="Havi",SUM($E$20:$E$31),IF(MOD($C829,$M$1)-1=0,SUM($E$20:$E$31),0))/12*$M$1)*VLOOKUP($B829,Paraméterek!$I$28:$P$31,IF($D$2="Egyszeri",8,HLOOKUP(ROUNDUP($M$11+$M$13,0),Paraméterek!$J$26:$O$27,2))),IF($D$4="Forint",0,2))</f>
        <v>#N/A</v>
      </c>
      <c r="M829" s="13">
        <f t="shared" ca="1" si="269"/>
        <v>0</v>
      </c>
      <c r="N829" s="13">
        <f t="shared" ca="1" si="279"/>
        <v>0</v>
      </c>
      <c r="O829" s="13">
        <f ca="1">IF($D829="Igen",IF($W828&gt;=IF($D$4="Forint",Paraméterek!$J$121,Paraméterek!$K$121),0,IF($D$4="Forint",Paraméterek!$J$121,Paraméterek!$K$121)-$W828),0)</f>
        <v>0</v>
      </c>
      <c r="P829" s="13" t="e">
        <f ca="1">ROUNDUP($O829*VLOOKUP($M$4+$B829-1,Paraméterek!$H$58:$I$105,2,0)/Paraméterek!$I$56,IF($D$4="Forint",0,2))</f>
        <v>#N/A</v>
      </c>
      <c r="Q829" s="13">
        <f t="shared" ca="1" si="270"/>
        <v>0</v>
      </c>
      <c r="R829" s="33"/>
      <c r="S829" s="13" t="e">
        <f t="shared" ca="1" si="271"/>
        <v>#N/A</v>
      </c>
      <c r="T829" s="13" t="e">
        <f ca="1">ROUNDUP(($N829-$P829-$Q829+$S829)*VLOOKUP($B829,Paraméterek!$I$38:$K$39,IF($D$2="Egyszeri",3,2))/12*IF($D830="Nem",IF($M$13=0,1,$M$13),1),IF($D$4="Forint",0,2))</f>
        <v>#N/A</v>
      </c>
      <c r="U829" s="13"/>
      <c r="V829" s="13"/>
      <c r="W829" s="13" t="e">
        <f ca="1">$N829-$P829-$Q829+$S829-$T829-IF(ROUNDUP(IF(ISBLANK($V829),$U829*0,$V829)/IF($D$2="Egyszeri",VLOOKUP($B829+IF($C829=12,1,0),Paraméterek!$V$257:$W$262,2),IF($B829=1,1,VLOOKUP($B829+IF($C829=12,1,0),Paraméterek!$I$258:$T$278,HLOOKUP($M$11+1,Paraméterek!$J$256:$T$257,2)))),IF($D$4="Forint",0,2))&gt;$N829-$P829-$Q829+$S829-$T829-IF($D$4="Forint",Paraméterek!$C$216,Paraméterek!$D$216),0,ROUNDUP(IF(ISBLANK($V829),$U829*0,$V829)/IF($D$2="Egyszeri",VLOOKUP($B829+IF($C829=12,1,0),Paraméterek!$V$257:$W$262,2),IF($B829=1,1,VLOOKUP($B829+IF($C829=12,1,0),Paraméterek!$I$258:$T$278,HLOOKUP($M$11+1,Paraméterek!$J$256:$T$257,2)))),IF($D$4="Forint",0,2)))</f>
        <v>#N/A</v>
      </c>
      <c r="X829" s="13" t="e">
        <f ca="1">ROUNDDOWN($W829*IF($D$2="Egyszeri",VLOOKUP($B829+IF($C829=12,1,0),Paraméterek!$V$257:$W$262,2),VLOOKUP($B829+IF($C829=12,1,0),Paraméterek!$I$258:$T$278,HLOOKUP($M$11+1,Paraméterek!$I$256:$T$257,2))),IF($D$4="Forint",0,2))</f>
        <v>#N/A</v>
      </c>
      <c r="Z829" s="32">
        <v>810</v>
      </c>
      <c r="AA829" s="32">
        <v>68</v>
      </c>
      <c r="AB829" s="32">
        <v>6</v>
      </c>
      <c r="AC829" s="13">
        <f t="shared" ca="1" si="280"/>
        <v>0</v>
      </c>
      <c r="AD829" s="33"/>
      <c r="AE829" s="13">
        <f t="shared" ca="1" si="272"/>
        <v>0</v>
      </c>
      <c r="AF829" s="13">
        <f ca="1">ROUNDUP(($AC829+$AE829)*VLOOKUP($AA829,Paraméterek!$P$38:$Q$38,2)/12*IF($D830="Nem",IF($M$13=0,1,$M$13),1),IF($D$4="Forint",0,2))</f>
        <v>0</v>
      </c>
      <c r="AG829" s="13">
        <f ca="1">IF($D$2="Egyszeri",IF($D$7&gt;=IF($D$4="Forint",Paraméterek!$P$223,Paraméterek!$P$224),$D$7-IF($D$4="Forint",Paraméterek!$P$223,Paraméterek!$P$224),0),MIN(IF($AB829=12,AVERAGEIF($E$20:$E829,"&gt;0",$E$20:$E829)*12,0),SUM($E$20:$E$31)))</f>
        <v>0</v>
      </c>
      <c r="AH829" s="13">
        <f>IF($AA829=10,$AG829*IF($AB829=12,IF($AG829&lt;IF($D$4="Forint",Paraméterek!$L$223,Paraméterek!$L$224),0,VLOOKUP($AA829,Paraméterek!$K$226:$M$228,IF($AG829&lt;IF($D$4="Forint",Paraméterek!$M$223,Paraméterek!$M$224),2,3))),0),0)</f>
        <v>0</v>
      </c>
      <c r="AI829" s="13">
        <f ca="1">IF(AND($AA829=$M$11+1,$AB829=$M$12+1),SUMIF($AA$20:$AA$1027,$AA829,$AG$20:$AG$1027)*IF(SUMIF($AA$20:$AA$1027,$AA829,$AG$20:$AG$1027)&lt;IF($D$4="Forint",Paraméterek!$L$223,Paraméterek!$L$224),0,VLOOKUP($AA829,Paraméterek!$K$230:$M$250,IF(SUMIF($AA$20:$AA$1027,$AA829,$AG$20:$AG$1027)&lt;IF($D$4="Forint",Paraméterek!$M$223,Paraméterek!$M$224),2,3))),0)</f>
        <v>0</v>
      </c>
      <c r="AJ829" s="13">
        <f ca="1">IF(AND($AA829&gt;=5,MOD($AA829,5)=0),IF($AB829=12,VLOOKUP($AA829,Paraméterek!$O$225:$P$240,2),0),IF(OR($AA829=3,$AA829=4),IF($AB829=12,VLOOKUP($AA829,Paraméterek!$O$225:$P$240,2,0),0),0))*$AG829</f>
        <v>0</v>
      </c>
      <c r="AK829" s="13">
        <f t="shared" ca="1" si="273"/>
        <v>0</v>
      </c>
      <c r="AL829" s="13">
        <f t="shared" ca="1" si="281"/>
        <v>0</v>
      </c>
      <c r="AM829" s="13">
        <f t="shared" ca="1" si="282"/>
        <v>0</v>
      </c>
      <c r="AO829" s="32">
        <v>810</v>
      </c>
      <c r="AP829" s="32">
        <v>68</v>
      </c>
      <c r="AQ829" s="32">
        <v>6</v>
      </c>
      <c r="AR829" s="13"/>
      <c r="AS829" s="32"/>
      <c r="AT829" s="13">
        <f t="shared" ca="1" si="283"/>
        <v>0</v>
      </c>
      <c r="AU829" s="33"/>
      <c r="AV829" s="13">
        <f t="shared" ca="1" si="274"/>
        <v>0</v>
      </c>
      <c r="AW829" s="13">
        <f ca="1">ROUNDUP(($AT829+$AV829)*VLOOKUP($AP829,Paraméterek!$P$38:$Q$38,2)/12*IF($D830="Nem",IF($M$13=0,1,$M$13),1),IF($D$4="Forint",0,2))</f>
        <v>0</v>
      </c>
      <c r="AX829" s="13"/>
      <c r="AY829" s="13"/>
      <c r="AZ829" s="13">
        <f>ROUNDUP(IF(SUM($AX829:$AY829)=0,0,IF(IF(ISBLANK($AY829),$AX829,$AY829)*Paraméterek!$J$112&lt;IF($D$4="Forint",Paraméterek!$J$113,Paraméterek!$K$113),IF($D$4="Forint",Paraméterek!$J$113,Paraméterek!$K$113),IF(IF(ISBLANK($AY829),$AX829,$AY829)*Paraméterek!$J$112&gt;IF($D$4="Forint",Paraméterek!$J$114,Paraméterek!$K$114),IF($D$4="Forint",Paraméterek!$J$114,Paraméterek!$K$114),IF(ISBLANK($AY829),$AX829,$AY829)*Paraméterek!$J$112))),IF($D$4="Forint",0,2))</f>
        <v>0</v>
      </c>
      <c r="BA829" s="13">
        <f ca="1">$AT829+$AV829-$AW829-IF(ROUNDDOWN(IF(ISBLANK($AY829),$AX829,$AY829),IF($D$4="Forint",0,2))&gt;$AT829+$AV829-$AW829-IF($D$4="Forint",Paraméterek!$J$114,Paraméterek!$K$114),0,ROUNDDOWN(IF(ISBLANK($AY829),$AX829,$AY829),IF($D$4="Forint",0,2))-$AZ829)</f>
        <v>0</v>
      </c>
      <c r="BB829" s="13">
        <f t="shared" ca="1" si="275"/>
        <v>0</v>
      </c>
      <c r="BD829" s="32">
        <v>810</v>
      </c>
      <c r="BE829" s="32">
        <v>68</v>
      </c>
      <c r="BF829" s="32">
        <v>6</v>
      </c>
      <c r="BG829" s="34">
        <f t="shared" ca="1" si="284"/>
        <v>2086</v>
      </c>
      <c r="BH829" s="32" t="str">
        <f ca="1">IF(MOD(MONTH($D$14)+$BD829-1,12)=Paraméterek!$C$288,"Igen","")</f>
        <v/>
      </c>
      <c r="BI829" s="13">
        <f ca="1">IF($BH829="Igen",MIN(ROUNDDOWN((SUMIF($BG$20:$BG$1027,$BG829-1,$K$20:$K$1027)-SUMIF($BG$20:$BG$1027,$BG829-1,$I$20:$I$1027))*Paraméterek!$C$289,IF($D$4="Forint",0,2)),IF($D$4="Forint",Paraméterek!$C$285,Paraméterek!$D$285)),0)</f>
        <v>0</v>
      </c>
      <c r="BJ829" s="13">
        <f t="shared" ca="1" si="276"/>
        <v>0</v>
      </c>
      <c r="BK829" s="13">
        <f t="shared" ca="1" si="285"/>
        <v>0</v>
      </c>
      <c r="BL829" s="33"/>
      <c r="BM829" s="13">
        <f t="shared" ca="1" si="277"/>
        <v>0</v>
      </c>
      <c r="BN829" s="13">
        <f ca="1">ROUNDUP(($BK829+$BM829)*VLOOKUP($BE829,Paraméterek!$P$38:$Q$38,2)/12*IF($D830="Nem",IF($M$13=0,1,$M$13),1),IF($D$4="Forint",0,2))</f>
        <v>0</v>
      </c>
      <c r="BO829" s="13">
        <f t="shared" ca="1" si="278"/>
        <v>0</v>
      </c>
      <c r="BP829" s="13">
        <f ca="1">IF($D830="Nem",$BO829,$BO829-ROUNDUP(SUM($BI$20:$BI829)*120%,IF($D$4="Forint",0,2)))</f>
        <v>0</v>
      </c>
    </row>
    <row r="830" spans="1:68" x14ac:dyDescent="0.2">
      <c r="A830" s="32">
        <v>811</v>
      </c>
      <c r="B830" s="32">
        <v>68</v>
      </c>
      <c r="C830" s="32">
        <v>7</v>
      </c>
      <c r="D830" s="32" t="str">
        <f t="shared" ca="1" si="264"/>
        <v>Nem</v>
      </c>
      <c r="E830" s="13">
        <f t="shared" ca="1" si="265"/>
        <v>0</v>
      </c>
      <c r="F830" s="13"/>
      <c r="G830" s="13"/>
      <c r="H830" s="13"/>
      <c r="I830" s="13">
        <f t="shared" ca="1" si="266"/>
        <v>0</v>
      </c>
      <c r="J830" s="13">
        <f t="shared" ca="1" si="267"/>
        <v>0</v>
      </c>
      <c r="K830" s="13">
        <f t="shared" ca="1" si="268"/>
        <v>0</v>
      </c>
      <c r="L830" s="13" t="e">
        <f ca="1">ROUNDUP(IF($D$2="Egyszeri",$E830,IF($D$2="Havi",SUM($E$20:$E$31),IF(MOD($C830,$M$1)-1=0,SUM($E$20:$E$31),0))/12*$M$1)*VLOOKUP($B830,Paraméterek!$I$28:$P$31,IF($D$2="Egyszeri",8,HLOOKUP(ROUNDUP($M$11+$M$13,0),Paraméterek!$J$26:$O$27,2))),IF($D$4="Forint",0,2))</f>
        <v>#N/A</v>
      </c>
      <c r="M830" s="13">
        <f t="shared" ca="1" si="269"/>
        <v>0</v>
      </c>
      <c r="N830" s="13">
        <f t="shared" ca="1" si="279"/>
        <v>0</v>
      </c>
      <c r="O830" s="13">
        <f ca="1">IF($D830="Igen",IF($W829&gt;=IF($D$4="Forint",Paraméterek!$J$121,Paraméterek!$K$121),0,IF($D$4="Forint",Paraméterek!$J$121,Paraméterek!$K$121)-$W829),0)</f>
        <v>0</v>
      </c>
      <c r="P830" s="13" t="e">
        <f ca="1">ROUNDUP($O830*VLOOKUP($M$4+$B830-1,Paraméterek!$H$58:$I$105,2,0)/Paraméterek!$I$56,IF($D$4="Forint",0,2))</f>
        <v>#N/A</v>
      </c>
      <c r="Q830" s="13">
        <f t="shared" ca="1" si="270"/>
        <v>0</v>
      </c>
      <c r="R830" s="33"/>
      <c r="S830" s="13" t="e">
        <f t="shared" ca="1" si="271"/>
        <v>#N/A</v>
      </c>
      <c r="T830" s="13" t="e">
        <f ca="1">ROUNDUP(($N830-$P830-$Q830+$S830)*VLOOKUP($B830,Paraméterek!$I$38:$K$39,IF($D$2="Egyszeri",3,2))/12*IF($D831="Nem",IF($M$13=0,1,$M$13),1),IF($D$4="Forint",0,2))</f>
        <v>#N/A</v>
      </c>
      <c r="U830" s="13"/>
      <c r="V830" s="13"/>
      <c r="W830" s="13" t="e">
        <f ca="1">$N830-$P830-$Q830+$S830-$T830-IF(ROUNDUP(IF(ISBLANK($V830),$U830*0,$V830)/IF($D$2="Egyszeri",VLOOKUP($B830+IF($C830=12,1,0),Paraméterek!$V$257:$W$262,2),IF($B830=1,1,VLOOKUP($B830+IF($C830=12,1,0),Paraméterek!$I$258:$T$278,HLOOKUP($M$11+1,Paraméterek!$J$256:$T$257,2)))),IF($D$4="Forint",0,2))&gt;$N830-$P830-$Q830+$S830-$T830-IF($D$4="Forint",Paraméterek!$C$216,Paraméterek!$D$216),0,ROUNDUP(IF(ISBLANK($V830),$U830*0,$V830)/IF($D$2="Egyszeri",VLOOKUP($B830+IF($C830=12,1,0),Paraméterek!$V$257:$W$262,2),IF($B830=1,1,VLOOKUP($B830+IF($C830=12,1,0),Paraméterek!$I$258:$T$278,HLOOKUP($M$11+1,Paraméterek!$J$256:$T$257,2)))),IF($D$4="Forint",0,2)))</f>
        <v>#N/A</v>
      </c>
      <c r="X830" s="13" t="e">
        <f ca="1">ROUNDDOWN($W830*IF($D$2="Egyszeri",VLOOKUP($B830+IF($C830=12,1,0),Paraméterek!$V$257:$W$262,2),VLOOKUP($B830+IF($C830=12,1,0),Paraméterek!$I$258:$T$278,HLOOKUP($M$11+1,Paraméterek!$I$256:$T$257,2))),IF($D$4="Forint",0,2))</f>
        <v>#N/A</v>
      </c>
      <c r="Z830" s="32">
        <v>811</v>
      </c>
      <c r="AA830" s="32">
        <v>68</v>
      </c>
      <c r="AB830" s="32">
        <v>7</v>
      </c>
      <c r="AC830" s="13">
        <f t="shared" ca="1" si="280"/>
        <v>0</v>
      </c>
      <c r="AD830" s="33"/>
      <c r="AE830" s="13">
        <f t="shared" ca="1" si="272"/>
        <v>0</v>
      </c>
      <c r="AF830" s="13">
        <f ca="1">ROUNDUP(($AC830+$AE830)*VLOOKUP($AA830,Paraméterek!$P$38:$Q$38,2)/12*IF($D831="Nem",IF($M$13=0,1,$M$13),1),IF($D$4="Forint",0,2))</f>
        <v>0</v>
      </c>
      <c r="AG830" s="13">
        <f ca="1">IF($D$2="Egyszeri",IF($D$7&gt;=IF($D$4="Forint",Paraméterek!$P$223,Paraméterek!$P$224),$D$7-IF($D$4="Forint",Paraméterek!$P$223,Paraméterek!$P$224),0),MIN(IF($AB830=12,AVERAGEIF($E$20:$E830,"&gt;0",$E$20:$E830)*12,0),SUM($E$20:$E$31)))</f>
        <v>0</v>
      </c>
      <c r="AH830" s="13">
        <f>IF($AA830=10,$AG830*IF($AB830=12,IF($AG830&lt;IF($D$4="Forint",Paraméterek!$L$223,Paraméterek!$L$224),0,VLOOKUP($AA830,Paraméterek!$K$226:$M$228,IF($AG830&lt;IF($D$4="Forint",Paraméterek!$M$223,Paraméterek!$M$224),2,3))),0),0)</f>
        <v>0</v>
      </c>
      <c r="AI830" s="13">
        <f ca="1">IF(AND($AA830=$M$11+1,$AB830=$M$12+1),SUMIF($AA$20:$AA$1027,$AA830,$AG$20:$AG$1027)*IF(SUMIF($AA$20:$AA$1027,$AA830,$AG$20:$AG$1027)&lt;IF($D$4="Forint",Paraméterek!$L$223,Paraméterek!$L$224),0,VLOOKUP($AA830,Paraméterek!$K$230:$M$250,IF(SUMIF($AA$20:$AA$1027,$AA830,$AG$20:$AG$1027)&lt;IF($D$4="Forint",Paraméterek!$M$223,Paraméterek!$M$224),2,3))),0)</f>
        <v>0</v>
      </c>
      <c r="AJ830" s="13">
        <f ca="1">IF(AND($AA830&gt;=5,MOD($AA830,5)=0),IF($AB830=12,VLOOKUP($AA830,Paraméterek!$O$225:$P$240,2),0),IF(OR($AA830=3,$AA830=4),IF($AB830=12,VLOOKUP($AA830,Paraméterek!$O$225:$P$240,2,0),0),0))*$AG830</f>
        <v>0</v>
      </c>
      <c r="AK830" s="13">
        <f t="shared" ca="1" si="273"/>
        <v>0</v>
      </c>
      <c r="AL830" s="13">
        <f t="shared" ca="1" si="281"/>
        <v>0</v>
      </c>
      <c r="AM830" s="13">
        <f t="shared" ca="1" si="282"/>
        <v>0</v>
      </c>
      <c r="AO830" s="32">
        <v>811</v>
      </c>
      <c r="AP830" s="32">
        <v>68</v>
      </c>
      <c r="AQ830" s="32">
        <v>7</v>
      </c>
      <c r="AR830" s="13"/>
      <c r="AS830" s="32"/>
      <c r="AT830" s="13">
        <f t="shared" ca="1" si="283"/>
        <v>0</v>
      </c>
      <c r="AU830" s="33"/>
      <c r="AV830" s="13">
        <f t="shared" ca="1" si="274"/>
        <v>0</v>
      </c>
      <c r="AW830" s="13">
        <f ca="1">ROUNDUP(($AT830+$AV830)*VLOOKUP($AP830,Paraméterek!$P$38:$Q$38,2)/12*IF($D831="Nem",IF($M$13=0,1,$M$13),1),IF($D$4="Forint",0,2))</f>
        <v>0</v>
      </c>
      <c r="AX830" s="13"/>
      <c r="AY830" s="13"/>
      <c r="AZ830" s="13">
        <f>ROUNDUP(IF(SUM($AX830:$AY830)=0,0,IF(IF(ISBLANK($AY830),$AX830,$AY830)*Paraméterek!$J$112&lt;IF($D$4="Forint",Paraméterek!$J$113,Paraméterek!$K$113),IF($D$4="Forint",Paraméterek!$J$113,Paraméterek!$K$113),IF(IF(ISBLANK($AY830),$AX830,$AY830)*Paraméterek!$J$112&gt;IF($D$4="Forint",Paraméterek!$J$114,Paraméterek!$K$114),IF($D$4="Forint",Paraméterek!$J$114,Paraméterek!$K$114),IF(ISBLANK($AY830),$AX830,$AY830)*Paraméterek!$J$112))),IF($D$4="Forint",0,2))</f>
        <v>0</v>
      </c>
      <c r="BA830" s="13">
        <f ca="1">$AT830+$AV830-$AW830-IF(ROUNDDOWN(IF(ISBLANK($AY830),$AX830,$AY830),IF($D$4="Forint",0,2))&gt;$AT830+$AV830-$AW830-IF($D$4="Forint",Paraméterek!$J$114,Paraméterek!$K$114),0,ROUNDDOWN(IF(ISBLANK($AY830),$AX830,$AY830),IF($D$4="Forint",0,2))-$AZ830)</f>
        <v>0</v>
      </c>
      <c r="BB830" s="13">
        <f t="shared" ca="1" si="275"/>
        <v>0</v>
      </c>
      <c r="BD830" s="32">
        <v>811</v>
      </c>
      <c r="BE830" s="32">
        <v>68</v>
      </c>
      <c r="BF830" s="32">
        <v>7</v>
      </c>
      <c r="BG830" s="34">
        <f t="shared" ca="1" si="284"/>
        <v>2086</v>
      </c>
      <c r="BH830" s="32" t="str">
        <f ca="1">IF(MOD(MONTH($D$14)+$BD830-1,12)=Paraméterek!$C$288,"Igen","")</f>
        <v/>
      </c>
      <c r="BI830" s="13">
        <f ca="1">IF($BH830="Igen",MIN(ROUNDDOWN((SUMIF($BG$20:$BG$1027,$BG830-1,$K$20:$K$1027)-SUMIF($BG$20:$BG$1027,$BG830-1,$I$20:$I$1027))*Paraméterek!$C$289,IF($D$4="Forint",0,2)),IF($D$4="Forint",Paraméterek!$C$285,Paraméterek!$D$285)),0)</f>
        <v>0</v>
      </c>
      <c r="BJ830" s="13">
        <f t="shared" ca="1" si="276"/>
        <v>0</v>
      </c>
      <c r="BK830" s="13">
        <f t="shared" ca="1" si="285"/>
        <v>0</v>
      </c>
      <c r="BL830" s="33"/>
      <c r="BM830" s="13">
        <f t="shared" ca="1" si="277"/>
        <v>0</v>
      </c>
      <c r="BN830" s="13">
        <f ca="1">ROUNDUP(($BK830+$BM830)*VLOOKUP($BE830,Paraméterek!$P$38:$Q$38,2)/12*IF($D831="Nem",IF($M$13=0,1,$M$13),1),IF($D$4="Forint",0,2))</f>
        <v>0</v>
      </c>
      <c r="BO830" s="13">
        <f t="shared" ca="1" si="278"/>
        <v>0</v>
      </c>
      <c r="BP830" s="13">
        <f ca="1">IF($D831="Nem",$BO830,$BO830-ROUNDUP(SUM($BI$20:$BI830)*120%,IF($D$4="Forint",0,2)))</f>
        <v>0</v>
      </c>
    </row>
    <row r="831" spans="1:68" x14ac:dyDescent="0.2">
      <c r="A831" s="32">
        <v>812</v>
      </c>
      <c r="B831" s="32">
        <v>68</v>
      </c>
      <c r="C831" s="32">
        <v>8</v>
      </c>
      <c r="D831" s="32" t="str">
        <f t="shared" ca="1" si="264"/>
        <v>Nem</v>
      </c>
      <c r="E831" s="13">
        <f t="shared" ca="1" si="265"/>
        <v>0</v>
      </c>
      <c r="F831" s="13"/>
      <c r="G831" s="13"/>
      <c r="H831" s="13"/>
      <c r="I831" s="13">
        <f t="shared" ca="1" si="266"/>
        <v>0</v>
      </c>
      <c r="J831" s="13">
        <f t="shared" ca="1" si="267"/>
        <v>0</v>
      </c>
      <c r="K831" s="13">
        <f t="shared" ca="1" si="268"/>
        <v>0</v>
      </c>
      <c r="L831" s="13" t="e">
        <f ca="1">ROUNDUP(IF($D$2="Egyszeri",$E831,IF($D$2="Havi",SUM($E$20:$E$31),IF(MOD($C831,$M$1)-1=0,SUM($E$20:$E$31),0))/12*$M$1)*VLOOKUP($B831,Paraméterek!$I$28:$P$31,IF($D$2="Egyszeri",8,HLOOKUP(ROUNDUP($M$11+$M$13,0),Paraméterek!$J$26:$O$27,2))),IF($D$4="Forint",0,2))</f>
        <v>#N/A</v>
      </c>
      <c r="M831" s="13">
        <f t="shared" ca="1" si="269"/>
        <v>0</v>
      </c>
      <c r="N831" s="13">
        <f t="shared" ca="1" si="279"/>
        <v>0</v>
      </c>
      <c r="O831" s="13">
        <f ca="1">IF($D831="Igen",IF($W830&gt;=IF($D$4="Forint",Paraméterek!$J$121,Paraméterek!$K$121),0,IF($D$4="Forint",Paraméterek!$J$121,Paraméterek!$K$121)-$W830),0)</f>
        <v>0</v>
      </c>
      <c r="P831" s="13" t="e">
        <f ca="1">ROUNDUP($O831*VLOOKUP($M$4+$B831-1,Paraméterek!$H$58:$I$105,2,0)/Paraméterek!$I$56,IF($D$4="Forint",0,2))</f>
        <v>#N/A</v>
      </c>
      <c r="Q831" s="13">
        <f t="shared" ca="1" si="270"/>
        <v>0</v>
      </c>
      <c r="R831" s="33"/>
      <c r="S831" s="13" t="e">
        <f t="shared" ca="1" si="271"/>
        <v>#N/A</v>
      </c>
      <c r="T831" s="13" t="e">
        <f ca="1">ROUNDUP(($N831-$P831-$Q831+$S831)*VLOOKUP($B831,Paraméterek!$I$38:$K$39,IF($D$2="Egyszeri",3,2))/12*IF($D832="Nem",IF($M$13=0,1,$M$13),1),IF($D$4="Forint",0,2))</f>
        <v>#N/A</v>
      </c>
      <c r="U831" s="13"/>
      <c r="V831" s="13"/>
      <c r="W831" s="13" t="e">
        <f ca="1">$N831-$P831-$Q831+$S831-$T831-IF(ROUNDUP(IF(ISBLANK($V831),$U831*0,$V831)/IF($D$2="Egyszeri",VLOOKUP($B831+IF($C831=12,1,0),Paraméterek!$V$257:$W$262,2),IF($B831=1,1,VLOOKUP($B831+IF($C831=12,1,0),Paraméterek!$I$258:$T$278,HLOOKUP($M$11+1,Paraméterek!$J$256:$T$257,2)))),IF($D$4="Forint",0,2))&gt;$N831-$P831-$Q831+$S831-$T831-IF($D$4="Forint",Paraméterek!$C$216,Paraméterek!$D$216),0,ROUNDUP(IF(ISBLANK($V831),$U831*0,$V831)/IF($D$2="Egyszeri",VLOOKUP($B831+IF($C831=12,1,0),Paraméterek!$V$257:$W$262,2),IF($B831=1,1,VLOOKUP($B831+IF($C831=12,1,0),Paraméterek!$I$258:$T$278,HLOOKUP($M$11+1,Paraméterek!$J$256:$T$257,2)))),IF($D$4="Forint",0,2)))</f>
        <v>#N/A</v>
      </c>
      <c r="X831" s="13" t="e">
        <f ca="1">ROUNDDOWN($W831*IF($D$2="Egyszeri",VLOOKUP($B831+IF($C831=12,1,0),Paraméterek!$V$257:$W$262,2),VLOOKUP($B831+IF($C831=12,1,0),Paraméterek!$I$258:$T$278,HLOOKUP($M$11+1,Paraméterek!$I$256:$T$257,2))),IF($D$4="Forint",0,2))</f>
        <v>#N/A</v>
      </c>
      <c r="Z831" s="32">
        <v>812</v>
      </c>
      <c r="AA831" s="32">
        <v>68</v>
      </c>
      <c r="AB831" s="32">
        <v>8</v>
      </c>
      <c r="AC831" s="13">
        <f t="shared" ca="1" si="280"/>
        <v>0</v>
      </c>
      <c r="AD831" s="33"/>
      <c r="AE831" s="13">
        <f t="shared" ca="1" si="272"/>
        <v>0</v>
      </c>
      <c r="AF831" s="13">
        <f ca="1">ROUNDUP(($AC831+$AE831)*VLOOKUP($AA831,Paraméterek!$P$38:$Q$38,2)/12*IF($D832="Nem",IF($M$13=0,1,$M$13),1),IF($D$4="Forint",0,2))</f>
        <v>0</v>
      </c>
      <c r="AG831" s="13">
        <f ca="1">IF($D$2="Egyszeri",IF($D$7&gt;=IF($D$4="Forint",Paraméterek!$P$223,Paraméterek!$P$224),$D$7-IF($D$4="Forint",Paraméterek!$P$223,Paraméterek!$P$224),0),MIN(IF($AB831=12,AVERAGEIF($E$20:$E831,"&gt;0",$E$20:$E831)*12,0),SUM($E$20:$E$31)))</f>
        <v>0</v>
      </c>
      <c r="AH831" s="13">
        <f>IF($AA831=10,$AG831*IF($AB831=12,IF($AG831&lt;IF($D$4="Forint",Paraméterek!$L$223,Paraméterek!$L$224),0,VLOOKUP($AA831,Paraméterek!$K$226:$M$228,IF($AG831&lt;IF($D$4="Forint",Paraméterek!$M$223,Paraméterek!$M$224),2,3))),0),0)</f>
        <v>0</v>
      </c>
      <c r="AI831" s="13">
        <f ca="1">IF(AND($AA831=$M$11+1,$AB831=$M$12+1),SUMIF($AA$20:$AA$1027,$AA831,$AG$20:$AG$1027)*IF(SUMIF($AA$20:$AA$1027,$AA831,$AG$20:$AG$1027)&lt;IF($D$4="Forint",Paraméterek!$L$223,Paraméterek!$L$224),0,VLOOKUP($AA831,Paraméterek!$K$230:$M$250,IF(SUMIF($AA$20:$AA$1027,$AA831,$AG$20:$AG$1027)&lt;IF($D$4="Forint",Paraméterek!$M$223,Paraméterek!$M$224),2,3))),0)</f>
        <v>0</v>
      </c>
      <c r="AJ831" s="13">
        <f ca="1">IF(AND($AA831&gt;=5,MOD($AA831,5)=0),IF($AB831=12,VLOOKUP($AA831,Paraméterek!$O$225:$P$240,2),0),IF(OR($AA831=3,$AA831=4),IF($AB831=12,VLOOKUP($AA831,Paraméterek!$O$225:$P$240,2,0),0),0))*$AG831</f>
        <v>0</v>
      </c>
      <c r="AK831" s="13">
        <f t="shared" ca="1" si="273"/>
        <v>0</v>
      </c>
      <c r="AL831" s="13">
        <f t="shared" ca="1" si="281"/>
        <v>0</v>
      </c>
      <c r="AM831" s="13">
        <f t="shared" ca="1" si="282"/>
        <v>0</v>
      </c>
      <c r="AO831" s="32">
        <v>812</v>
      </c>
      <c r="AP831" s="32">
        <v>68</v>
      </c>
      <c r="AQ831" s="32">
        <v>8</v>
      </c>
      <c r="AR831" s="13"/>
      <c r="AS831" s="32"/>
      <c r="AT831" s="13">
        <f t="shared" ca="1" si="283"/>
        <v>0</v>
      </c>
      <c r="AU831" s="33"/>
      <c r="AV831" s="13">
        <f t="shared" ca="1" si="274"/>
        <v>0</v>
      </c>
      <c r="AW831" s="13">
        <f ca="1">ROUNDUP(($AT831+$AV831)*VLOOKUP($AP831,Paraméterek!$P$38:$Q$38,2)/12*IF($D832="Nem",IF($M$13=0,1,$M$13),1),IF($D$4="Forint",0,2))</f>
        <v>0</v>
      </c>
      <c r="AX831" s="13"/>
      <c r="AY831" s="13"/>
      <c r="AZ831" s="13">
        <f>ROUNDUP(IF(SUM($AX831:$AY831)=0,0,IF(IF(ISBLANK($AY831),$AX831,$AY831)*Paraméterek!$J$112&lt;IF($D$4="Forint",Paraméterek!$J$113,Paraméterek!$K$113),IF($D$4="Forint",Paraméterek!$J$113,Paraméterek!$K$113),IF(IF(ISBLANK($AY831),$AX831,$AY831)*Paraméterek!$J$112&gt;IF($D$4="Forint",Paraméterek!$J$114,Paraméterek!$K$114),IF($D$4="Forint",Paraméterek!$J$114,Paraméterek!$K$114),IF(ISBLANK($AY831),$AX831,$AY831)*Paraméterek!$J$112))),IF($D$4="Forint",0,2))</f>
        <v>0</v>
      </c>
      <c r="BA831" s="13">
        <f ca="1">$AT831+$AV831-$AW831-IF(ROUNDDOWN(IF(ISBLANK($AY831),$AX831,$AY831),IF($D$4="Forint",0,2))&gt;$AT831+$AV831-$AW831-IF($D$4="Forint",Paraméterek!$J$114,Paraméterek!$K$114),0,ROUNDDOWN(IF(ISBLANK($AY831),$AX831,$AY831),IF($D$4="Forint",0,2))-$AZ831)</f>
        <v>0</v>
      </c>
      <c r="BB831" s="13">
        <f t="shared" ca="1" si="275"/>
        <v>0</v>
      </c>
      <c r="BD831" s="32">
        <v>812</v>
      </c>
      <c r="BE831" s="32">
        <v>68</v>
      </c>
      <c r="BF831" s="32">
        <v>8</v>
      </c>
      <c r="BG831" s="34">
        <f t="shared" ca="1" si="284"/>
        <v>2087</v>
      </c>
      <c r="BH831" s="32" t="str">
        <f ca="1">IF(MOD(MONTH($D$14)+$BD831-1,12)=Paraméterek!$C$288,"Igen","")</f>
        <v/>
      </c>
      <c r="BI831" s="13">
        <f ca="1">IF($BH831="Igen",MIN(ROUNDDOWN((SUMIF($BG$20:$BG$1027,$BG831-1,$K$20:$K$1027)-SUMIF($BG$20:$BG$1027,$BG831-1,$I$20:$I$1027))*Paraméterek!$C$289,IF($D$4="Forint",0,2)),IF($D$4="Forint",Paraméterek!$C$285,Paraméterek!$D$285)),0)</f>
        <v>0</v>
      </c>
      <c r="BJ831" s="13">
        <f t="shared" ca="1" si="276"/>
        <v>0</v>
      </c>
      <c r="BK831" s="13">
        <f t="shared" ca="1" si="285"/>
        <v>0</v>
      </c>
      <c r="BL831" s="33"/>
      <c r="BM831" s="13">
        <f t="shared" ca="1" si="277"/>
        <v>0</v>
      </c>
      <c r="BN831" s="13">
        <f ca="1">ROUNDUP(($BK831+$BM831)*VLOOKUP($BE831,Paraméterek!$P$38:$Q$38,2)/12*IF($D832="Nem",IF($M$13=0,1,$M$13),1),IF($D$4="Forint",0,2))</f>
        <v>0</v>
      </c>
      <c r="BO831" s="13">
        <f t="shared" ca="1" si="278"/>
        <v>0</v>
      </c>
      <c r="BP831" s="13">
        <f ca="1">IF($D832="Nem",$BO831,$BO831-ROUNDUP(SUM($BI$20:$BI831)*120%,IF($D$4="Forint",0,2)))</f>
        <v>0</v>
      </c>
    </row>
    <row r="832" spans="1:68" x14ac:dyDescent="0.2">
      <c r="A832" s="32">
        <v>813</v>
      </c>
      <c r="B832" s="32">
        <v>68</v>
      </c>
      <c r="C832" s="32">
        <v>9</v>
      </c>
      <c r="D832" s="32" t="str">
        <f t="shared" ca="1" si="264"/>
        <v>Nem</v>
      </c>
      <c r="E832" s="13">
        <f t="shared" ca="1" si="265"/>
        <v>0</v>
      </c>
      <c r="F832" s="13"/>
      <c r="G832" s="13"/>
      <c r="H832" s="13"/>
      <c r="I832" s="13">
        <f t="shared" ca="1" si="266"/>
        <v>0</v>
      </c>
      <c r="J832" s="13">
        <f t="shared" ca="1" si="267"/>
        <v>0</v>
      </c>
      <c r="K832" s="13">
        <f t="shared" ca="1" si="268"/>
        <v>0</v>
      </c>
      <c r="L832" s="13" t="e">
        <f ca="1">ROUNDUP(IF($D$2="Egyszeri",$E832,IF($D$2="Havi",SUM($E$20:$E$31),IF(MOD($C832,$M$1)-1=0,SUM($E$20:$E$31),0))/12*$M$1)*VLOOKUP($B832,Paraméterek!$I$28:$P$31,IF($D$2="Egyszeri",8,HLOOKUP(ROUNDUP($M$11+$M$13,0),Paraméterek!$J$26:$O$27,2))),IF($D$4="Forint",0,2))</f>
        <v>#N/A</v>
      </c>
      <c r="M832" s="13">
        <f t="shared" ca="1" si="269"/>
        <v>0</v>
      </c>
      <c r="N832" s="13">
        <f t="shared" ca="1" si="279"/>
        <v>0</v>
      </c>
      <c r="O832" s="13">
        <f ca="1">IF($D832="Igen",IF($W831&gt;=IF($D$4="Forint",Paraméterek!$J$121,Paraméterek!$K$121),0,IF($D$4="Forint",Paraméterek!$J$121,Paraméterek!$K$121)-$W831),0)</f>
        <v>0</v>
      </c>
      <c r="P832" s="13" t="e">
        <f ca="1">ROUNDUP($O832*VLOOKUP($M$4+$B832-1,Paraméterek!$H$58:$I$105,2,0)/Paraméterek!$I$56,IF($D$4="Forint",0,2))</f>
        <v>#N/A</v>
      </c>
      <c r="Q832" s="13">
        <f t="shared" ca="1" si="270"/>
        <v>0</v>
      </c>
      <c r="R832" s="33"/>
      <c r="S832" s="13" t="e">
        <f t="shared" ca="1" si="271"/>
        <v>#N/A</v>
      </c>
      <c r="T832" s="13" t="e">
        <f ca="1">ROUNDUP(($N832-$P832-$Q832+$S832)*VLOOKUP($B832,Paraméterek!$I$38:$K$39,IF($D$2="Egyszeri",3,2))/12*IF($D833="Nem",IF($M$13=0,1,$M$13),1),IF($D$4="Forint",0,2))</f>
        <v>#N/A</v>
      </c>
      <c r="U832" s="13"/>
      <c r="V832" s="13"/>
      <c r="W832" s="13" t="e">
        <f ca="1">$N832-$P832-$Q832+$S832-$T832-IF(ROUNDUP(IF(ISBLANK($V832),$U832*0,$V832)/IF($D$2="Egyszeri",VLOOKUP($B832+IF($C832=12,1,0),Paraméterek!$V$257:$W$262,2),IF($B832=1,1,VLOOKUP($B832+IF($C832=12,1,0),Paraméterek!$I$258:$T$278,HLOOKUP($M$11+1,Paraméterek!$J$256:$T$257,2)))),IF($D$4="Forint",0,2))&gt;$N832-$P832-$Q832+$S832-$T832-IF($D$4="Forint",Paraméterek!$C$216,Paraméterek!$D$216),0,ROUNDUP(IF(ISBLANK($V832),$U832*0,$V832)/IF($D$2="Egyszeri",VLOOKUP($B832+IF($C832=12,1,0),Paraméterek!$V$257:$W$262,2),IF($B832=1,1,VLOOKUP($B832+IF($C832=12,1,0),Paraméterek!$I$258:$T$278,HLOOKUP($M$11+1,Paraméterek!$J$256:$T$257,2)))),IF($D$4="Forint",0,2)))</f>
        <v>#N/A</v>
      </c>
      <c r="X832" s="13" t="e">
        <f ca="1">ROUNDDOWN($W832*IF($D$2="Egyszeri",VLOOKUP($B832+IF($C832=12,1,0),Paraméterek!$V$257:$W$262,2),VLOOKUP($B832+IF($C832=12,1,0),Paraméterek!$I$258:$T$278,HLOOKUP($M$11+1,Paraméterek!$I$256:$T$257,2))),IF($D$4="Forint",0,2))</f>
        <v>#N/A</v>
      </c>
      <c r="Z832" s="32">
        <v>813</v>
      </c>
      <c r="AA832" s="32">
        <v>68</v>
      </c>
      <c r="AB832" s="32">
        <v>9</v>
      </c>
      <c r="AC832" s="13">
        <f t="shared" ca="1" si="280"/>
        <v>0</v>
      </c>
      <c r="AD832" s="33"/>
      <c r="AE832" s="13">
        <f t="shared" ca="1" si="272"/>
        <v>0</v>
      </c>
      <c r="AF832" s="13">
        <f ca="1">ROUNDUP(($AC832+$AE832)*VLOOKUP($AA832,Paraméterek!$P$38:$Q$38,2)/12*IF($D833="Nem",IF($M$13=0,1,$M$13),1),IF($D$4="Forint",0,2))</f>
        <v>0</v>
      </c>
      <c r="AG832" s="13">
        <f ca="1">IF($D$2="Egyszeri",IF($D$7&gt;=IF($D$4="Forint",Paraméterek!$P$223,Paraméterek!$P$224),$D$7-IF($D$4="Forint",Paraméterek!$P$223,Paraméterek!$P$224),0),MIN(IF($AB832=12,AVERAGEIF($E$20:$E832,"&gt;0",$E$20:$E832)*12,0),SUM($E$20:$E$31)))</f>
        <v>0</v>
      </c>
      <c r="AH832" s="13">
        <f>IF($AA832=10,$AG832*IF($AB832=12,IF($AG832&lt;IF($D$4="Forint",Paraméterek!$L$223,Paraméterek!$L$224),0,VLOOKUP($AA832,Paraméterek!$K$226:$M$228,IF($AG832&lt;IF($D$4="Forint",Paraméterek!$M$223,Paraméterek!$M$224),2,3))),0),0)</f>
        <v>0</v>
      </c>
      <c r="AI832" s="13">
        <f ca="1">IF(AND($AA832=$M$11+1,$AB832=$M$12+1),SUMIF($AA$20:$AA$1027,$AA832,$AG$20:$AG$1027)*IF(SUMIF($AA$20:$AA$1027,$AA832,$AG$20:$AG$1027)&lt;IF($D$4="Forint",Paraméterek!$L$223,Paraméterek!$L$224),0,VLOOKUP($AA832,Paraméterek!$K$230:$M$250,IF(SUMIF($AA$20:$AA$1027,$AA832,$AG$20:$AG$1027)&lt;IF($D$4="Forint",Paraméterek!$M$223,Paraméterek!$M$224),2,3))),0)</f>
        <v>0</v>
      </c>
      <c r="AJ832" s="13">
        <f ca="1">IF(AND($AA832&gt;=5,MOD($AA832,5)=0),IF($AB832=12,VLOOKUP($AA832,Paraméterek!$O$225:$P$240,2),0),IF(OR($AA832=3,$AA832=4),IF($AB832=12,VLOOKUP($AA832,Paraméterek!$O$225:$P$240,2,0),0),0))*$AG832</f>
        <v>0</v>
      </c>
      <c r="AK832" s="13">
        <f t="shared" ca="1" si="273"/>
        <v>0</v>
      </c>
      <c r="AL832" s="13">
        <f t="shared" ca="1" si="281"/>
        <v>0</v>
      </c>
      <c r="AM832" s="13">
        <f t="shared" ca="1" si="282"/>
        <v>0</v>
      </c>
      <c r="AO832" s="32">
        <v>813</v>
      </c>
      <c r="AP832" s="32">
        <v>68</v>
      </c>
      <c r="AQ832" s="32">
        <v>9</v>
      </c>
      <c r="AR832" s="13"/>
      <c r="AS832" s="32"/>
      <c r="AT832" s="13">
        <f t="shared" ca="1" si="283"/>
        <v>0</v>
      </c>
      <c r="AU832" s="33"/>
      <c r="AV832" s="13">
        <f t="shared" ca="1" si="274"/>
        <v>0</v>
      </c>
      <c r="AW832" s="13">
        <f ca="1">ROUNDUP(($AT832+$AV832)*VLOOKUP($AP832,Paraméterek!$P$38:$Q$38,2)/12*IF($D833="Nem",IF($M$13=0,1,$M$13),1),IF($D$4="Forint",0,2))</f>
        <v>0</v>
      </c>
      <c r="AX832" s="13"/>
      <c r="AY832" s="13"/>
      <c r="AZ832" s="13">
        <f>ROUNDUP(IF(SUM($AX832:$AY832)=0,0,IF(IF(ISBLANK($AY832),$AX832,$AY832)*Paraméterek!$J$112&lt;IF($D$4="Forint",Paraméterek!$J$113,Paraméterek!$K$113),IF($D$4="Forint",Paraméterek!$J$113,Paraméterek!$K$113),IF(IF(ISBLANK($AY832),$AX832,$AY832)*Paraméterek!$J$112&gt;IF($D$4="Forint",Paraméterek!$J$114,Paraméterek!$K$114),IF($D$4="Forint",Paraméterek!$J$114,Paraméterek!$K$114),IF(ISBLANK($AY832),$AX832,$AY832)*Paraméterek!$J$112))),IF($D$4="Forint",0,2))</f>
        <v>0</v>
      </c>
      <c r="BA832" s="13">
        <f ca="1">$AT832+$AV832-$AW832-IF(ROUNDDOWN(IF(ISBLANK($AY832),$AX832,$AY832),IF($D$4="Forint",0,2))&gt;$AT832+$AV832-$AW832-IF($D$4="Forint",Paraméterek!$J$114,Paraméterek!$K$114),0,ROUNDDOWN(IF(ISBLANK($AY832),$AX832,$AY832),IF($D$4="Forint",0,2))-$AZ832)</f>
        <v>0</v>
      </c>
      <c r="BB832" s="13">
        <f t="shared" ca="1" si="275"/>
        <v>0</v>
      </c>
      <c r="BD832" s="32">
        <v>813</v>
      </c>
      <c r="BE832" s="32">
        <v>68</v>
      </c>
      <c r="BF832" s="32">
        <v>9</v>
      </c>
      <c r="BG832" s="34">
        <f t="shared" ca="1" si="284"/>
        <v>2087</v>
      </c>
      <c r="BH832" s="32" t="str">
        <f ca="1">IF(MOD(MONTH($D$14)+$BD832-1,12)=Paraméterek!$C$288,"Igen","")</f>
        <v/>
      </c>
      <c r="BI832" s="13">
        <f ca="1">IF($BH832="Igen",MIN(ROUNDDOWN((SUMIF($BG$20:$BG$1027,$BG832-1,$K$20:$K$1027)-SUMIF($BG$20:$BG$1027,$BG832-1,$I$20:$I$1027))*Paraméterek!$C$289,IF($D$4="Forint",0,2)),IF($D$4="Forint",Paraméterek!$C$285,Paraméterek!$D$285)),0)</f>
        <v>0</v>
      </c>
      <c r="BJ832" s="13">
        <f t="shared" ca="1" si="276"/>
        <v>0</v>
      </c>
      <c r="BK832" s="13">
        <f t="shared" ca="1" si="285"/>
        <v>0</v>
      </c>
      <c r="BL832" s="33"/>
      <c r="BM832" s="13">
        <f t="shared" ca="1" si="277"/>
        <v>0</v>
      </c>
      <c r="BN832" s="13">
        <f ca="1">ROUNDUP(($BK832+$BM832)*VLOOKUP($BE832,Paraméterek!$P$38:$Q$38,2)/12*IF($D833="Nem",IF($M$13=0,1,$M$13),1),IF($D$4="Forint",0,2))</f>
        <v>0</v>
      </c>
      <c r="BO832" s="13">
        <f t="shared" ca="1" si="278"/>
        <v>0</v>
      </c>
      <c r="BP832" s="13">
        <f ca="1">IF($D833="Nem",$BO832,$BO832-ROUNDUP(SUM($BI$20:$BI832)*120%,IF($D$4="Forint",0,2)))</f>
        <v>0</v>
      </c>
    </row>
    <row r="833" spans="1:68" x14ac:dyDescent="0.2">
      <c r="A833" s="32">
        <v>814</v>
      </c>
      <c r="B833" s="32">
        <v>68</v>
      </c>
      <c r="C833" s="32">
        <v>10</v>
      </c>
      <c r="D833" s="32" t="str">
        <f t="shared" ca="1" si="264"/>
        <v>Nem</v>
      </c>
      <c r="E833" s="13">
        <f t="shared" ca="1" si="265"/>
        <v>0</v>
      </c>
      <c r="F833" s="13"/>
      <c r="G833" s="13"/>
      <c r="H833" s="13"/>
      <c r="I833" s="13">
        <f t="shared" ca="1" si="266"/>
        <v>0</v>
      </c>
      <c r="J833" s="13">
        <f t="shared" ca="1" si="267"/>
        <v>0</v>
      </c>
      <c r="K833" s="13">
        <f t="shared" ca="1" si="268"/>
        <v>0</v>
      </c>
      <c r="L833" s="13" t="e">
        <f ca="1">ROUNDUP(IF($D$2="Egyszeri",$E833,IF($D$2="Havi",SUM($E$20:$E$31),IF(MOD($C833,$M$1)-1=0,SUM($E$20:$E$31),0))/12*$M$1)*VLOOKUP($B833,Paraméterek!$I$28:$P$31,IF($D$2="Egyszeri",8,HLOOKUP(ROUNDUP($M$11+$M$13,0),Paraméterek!$J$26:$O$27,2))),IF($D$4="Forint",0,2))</f>
        <v>#N/A</v>
      </c>
      <c r="M833" s="13">
        <f t="shared" ca="1" si="269"/>
        <v>0</v>
      </c>
      <c r="N833" s="13">
        <f t="shared" ca="1" si="279"/>
        <v>0</v>
      </c>
      <c r="O833" s="13">
        <f ca="1">IF($D833="Igen",IF($W832&gt;=IF($D$4="Forint",Paraméterek!$J$121,Paraméterek!$K$121),0,IF($D$4="Forint",Paraméterek!$J$121,Paraméterek!$K$121)-$W832),0)</f>
        <v>0</v>
      </c>
      <c r="P833" s="13" t="e">
        <f ca="1">ROUNDUP($O833*VLOOKUP($M$4+$B833-1,Paraméterek!$H$58:$I$105,2,0)/Paraméterek!$I$56,IF($D$4="Forint",0,2))</f>
        <v>#N/A</v>
      </c>
      <c r="Q833" s="13">
        <f t="shared" ca="1" si="270"/>
        <v>0</v>
      </c>
      <c r="R833" s="33"/>
      <c r="S833" s="13" t="e">
        <f t="shared" ca="1" si="271"/>
        <v>#N/A</v>
      </c>
      <c r="T833" s="13" t="e">
        <f ca="1">ROUNDUP(($N833-$P833-$Q833+$S833)*VLOOKUP($B833,Paraméterek!$I$38:$K$39,IF($D$2="Egyszeri",3,2))/12*IF($D834="Nem",IF($M$13=0,1,$M$13),1),IF($D$4="Forint",0,2))</f>
        <v>#N/A</v>
      </c>
      <c r="U833" s="13"/>
      <c r="V833" s="13"/>
      <c r="W833" s="13" t="e">
        <f ca="1">$N833-$P833-$Q833+$S833-$T833-IF(ROUNDUP(IF(ISBLANK($V833),$U833*0,$V833)/IF($D$2="Egyszeri",VLOOKUP($B833+IF($C833=12,1,0),Paraméterek!$V$257:$W$262,2),IF($B833=1,1,VLOOKUP($B833+IF($C833=12,1,0),Paraméterek!$I$258:$T$278,HLOOKUP($M$11+1,Paraméterek!$J$256:$T$257,2)))),IF($D$4="Forint",0,2))&gt;$N833-$P833-$Q833+$S833-$T833-IF($D$4="Forint",Paraméterek!$C$216,Paraméterek!$D$216),0,ROUNDUP(IF(ISBLANK($V833),$U833*0,$V833)/IF($D$2="Egyszeri",VLOOKUP($B833+IF($C833=12,1,0),Paraméterek!$V$257:$W$262,2),IF($B833=1,1,VLOOKUP($B833+IF($C833=12,1,0),Paraméterek!$I$258:$T$278,HLOOKUP($M$11+1,Paraméterek!$J$256:$T$257,2)))),IF($D$4="Forint",0,2)))</f>
        <v>#N/A</v>
      </c>
      <c r="X833" s="13" t="e">
        <f ca="1">ROUNDDOWN($W833*IF($D$2="Egyszeri",VLOOKUP($B833+IF($C833=12,1,0),Paraméterek!$V$257:$W$262,2),VLOOKUP($B833+IF($C833=12,1,0),Paraméterek!$I$258:$T$278,HLOOKUP($M$11+1,Paraméterek!$I$256:$T$257,2))),IF($D$4="Forint",0,2))</f>
        <v>#N/A</v>
      </c>
      <c r="Z833" s="32">
        <v>814</v>
      </c>
      <c r="AA833" s="32">
        <v>68</v>
      </c>
      <c r="AB833" s="32">
        <v>10</v>
      </c>
      <c r="AC833" s="13">
        <f t="shared" ca="1" si="280"/>
        <v>0</v>
      </c>
      <c r="AD833" s="33"/>
      <c r="AE833" s="13">
        <f t="shared" ca="1" si="272"/>
        <v>0</v>
      </c>
      <c r="AF833" s="13">
        <f ca="1">ROUNDUP(($AC833+$AE833)*VLOOKUP($AA833,Paraméterek!$P$38:$Q$38,2)/12*IF($D834="Nem",IF($M$13=0,1,$M$13),1),IF($D$4="Forint",0,2))</f>
        <v>0</v>
      </c>
      <c r="AG833" s="13">
        <f ca="1">IF($D$2="Egyszeri",IF($D$7&gt;=IF($D$4="Forint",Paraméterek!$P$223,Paraméterek!$P$224),$D$7-IF($D$4="Forint",Paraméterek!$P$223,Paraméterek!$P$224),0),MIN(IF($AB833=12,AVERAGEIF($E$20:$E833,"&gt;0",$E$20:$E833)*12,0),SUM($E$20:$E$31)))</f>
        <v>0</v>
      </c>
      <c r="AH833" s="13">
        <f>IF($AA833=10,$AG833*IF($AB833=12,IF($AG833&lt;IF($D$4="Forint",Paraméterek!$L$223,Paraméterek!$L$224),0,VLOOKUP($AA833,Paraméterek!$K$226:$M$228,IF($AG833&lt;IF($D$4="Forint",Paraméterek!$M$223,Paraméterek!$M$224),2,3))),0),0)</f>
        <v>0</v>
      </c>
      <c r="AI833" s="13">
        <f ca="1">IF(AND($AA833=$M$11+1,$AB833=$M$12+1),SUMIF($AA$20:$AA$1027,$AA833,$AG$20:$AG$1027)*IF(SUMIF($AA$20:$AA$1027,$AA833,$AG$20:$AG$1027)&lt;IF($D$4="Forint",Paraméterek!$L$223,Paraméterek!$L$224),0,VLOOKUP($AA833,Paraméterek!$K$230:$M$250,IF(SUMIF($AA$20:$AA$1027,$AA833,$AG$20:$AG$1027)&lt;IF($D$4="Forint",Paraméterek!$M$223,Paraméterek!$M$224),2,3))),0)</f>
        <v>0</v>
      </c>
      <c r="AJ833" s="13">
        <f ca="1">IF(AND($AA833&gt;=5,MOD($AA833,5)=0),IF($AB833=12,VLOOKUP($AA833,Paraméterek!$O$225:$P$240,2),0),IF(OR($AA833=3,$AA833=4),IF($AB833=12,VLOOKUP($AA833,Paraméterek!$O$225:$P$240,2,0),0),0))*$AG833</f>
        <v>0</v>
      </c>
      <c r="AK833" s="13">
        <f t="shared" ca="1" si="273"/>
        <v>0</v>
      </c>
      <c r="AL833" s="13">
        <f t="shared" ca="1" si="281"/>
        <v>0</v>
      </c>
      <c r="AM833" s="13">
        <f t="shared" ca="1" si="282"/>
        <v>0</v>
      </c>
      <c r="AO833" s="32">
        <v>814</v>
      </c>
      <c r="AP833" s="32">
        <v>68</v>
      </c>
      <c r="AQ833" s="32">
        <v>10</v>
      </c>
      <c r="AR833" s="13"/>
      <c r="AS833" s="32"/>
      <c r="AT833" s="13">
        <f t="shared" ca="1" si="283"/>
        <v>0</v>
      </c>
      <c r="AU833" s="33"/>
      <c r="AV833" s="13">
        <f t="shared" ca="1" si="274"/>
        <v>0</v>
      </c>
      <c r="AW833" s="13">
        <f ca="1">ROUNDUP(($AT833+$AV833)*VLOOKUP($AP833,Paraméterek!$P$38:$Q$38,2)/12*IF($D834="Nem",IF($M$13=0,1,$M$13),1),IF($D$4="Forint",0,2))</f>
        <v>0</v>
      </c>
      <c r="AX833" s="13"/>
      <c r="AY833" s="13"/>
      <c r="AZ833" s="13">
        <f>ROUNDUP(IF(SUM($AX833:$AY833)=0,0,IF(IF(ISBLANK($AY833),$AX833,$AY833)*Paraméterek!$J$112&lt;IF($D$4="Forint",Paraméterek!$J$113,Paraméterek!$K$113),IF($D$4="Forint",Paraméterek!$J$113,Paraméterek!$K$113),IF(IF(ISBLANK($AY833),$AX833,$AY833)*Paraméterek!$J$112&gt;IF($D$4="Forint",Paraméterek!$J$114,Paraméterek!$K$114),IF($D$4="Forint",Paraméterek!$J$114,Paraméterek!$K$114),IF(ISBLANK($AY833),$AX833,$AY833)*Paraméterek!$J$112))),IF($D$4="Forint",0,2))</f>
        <v>0</v>
      </c>
      <c r="BA833" s="13">
        <f ca="1">$AT833+$AV833-$AW833-IF(ROUNDDOWN(IF(ISBLANK($AY833),$AX833,$AY833),IF($D$4="Forint",0,2))&gt;$AT833+$AV833-$AW833-IF($D$4="Forint",Paraméterek!$J$114,Paraméterek!$K$114),0,ROUNDDOWN(IF(ISBLANK($AY833),$AX833,$AY833),IF($D$4="Forint",0,2))-$AZ833)</f>
        <v>0</v>
      </c>
      <c r="BB833" s="13">
        <f t="shared" ca="1" si="275"/>
        <v>0</v>
      </c>
      <c r="BD833" s="32">
        <v>814</v>
      </c>
      <c r="BE833" s="32">
        <v>68</v>
      </c>
      <c r="BF833" s="32">
        <v>10</v>
      </c>
      <c r="BG833" s="34">
        <f t="shared" ca="1" si="284"/>
        <v>2087</v>
      </c>
      <c r="BH833" s="32" t="str">
        <f ca="1">IF(MOD(MONTH($D$14)+$BD833-1,12)=Paraméterek!$C$288,"Igen","")</f>
        <v/>
      </c>
      <c r="BI833" s="13">
        <f ca="1">IF($BH833="Igen",MIN(ROUNDDOWN((SUMIF($BG$20:$BG$1027,$BG833-1,$K$20:$K$1027)-SUMIF($BG$20:$BG$1027,$BG833-1,$I$20:$I$1027))*Paraméterek!$C$289,IF($D$4="Forint",0,2)),IF($D$4="Forint",Paraméterek!$C$285,Paraméterek!$D$285)),0)</f>
        <v>0</v>
      </c>
      <c r="BJ833" s="13">
        <f t="shared" ca="1" si="276"/>
        <v>0</v>
      </c>
      <c r="BK833" s="13">
        <f t="shared" ca="1" si="285"/>
        <v>0</v>
      </c>
      <c r="BL833" s="33"/>
      <c r="BM833" s="13">
        <f t="shared" ca="1" si="277"/>
        <v>0</v>
      </c>
      <c r="BN833" s="13">
        <f ca="1">ROUNDUP(($BK833+$BM833)*VLOOKUP($BE833,Paraméterek!$P$38:$Q$38,2)/12*IF($D834="Nem",IF($M$13=0,1,$M$13),1),IF($D$4="Forint",0,2))</f>
        <v>0</v>
      </c>
      <c r="BO833" s="13">
        <f t="shared" ca="1" si="278"/>
        <v>0</v>
      </c>
      <c r="BP833" s="13">
        <f ca="1">IF($D834="Nem",$BO833,$BO833-ROUNDUP(SUM($BI$20:$BI833)*120%,IF($D$4="Forint",0,2)))</f>
        <v>0</v>
      </c>
    </row>
    <row r="834" spans="1:68" x14ac:dyDescent="0.2">
      <c r="A834" s="32">
        <v>815</v>
      </c>
      <c r="B834" s="32">
        <v>68</v>
      </c>
      <c r="C834" s="32">
        <v>11</v>
      </c>
      <c r="D834" s="32" t="str">
        <f t="shared" ca="1" si="264"/>
        <v>Nem</v>
      </c>
      <c r="E834" s="13">
        <f t="shared" ca="1" si="265"/>
        <v>0</v>
      </c>
      <c r="F834" s="13"/>
      <c r="G834" s="13"/>
      <c r="H834" s="13"/>
      <c r="I834" s="13">
        <f t="shared" ca="1" si="266"/>
        <v>0</v>
      </c>
      <c r="J834" s="13">
        <f t="shared" ca="1" si="267"/>
        <v>0</v>
      </c>
      <c r="K834" s="13">
        <f t="shared" ca="1" si="268"/>
        <v>0</v>
      </c>
      <c r="L834" s="13" t="e">
        <f ca="1">ROUNDUP(IF($D$2="Egyszeri",$E834,IF($D$2="Havi",SUM($E$20:$E$31),IF(MOD($C834,$M$1)-1=0,SUM($E$20:$E$31),0))/12*$M$1)*VLOOKUP($B834,Paraméterek!$I$28:$P$31,IF($D$2="Egyszeri",8,HLOOKUP(ROUNDUP($M$11+$M$13,0),Paraméterek!$J$26:$O$27,2))),IF($D$4="Forint",0,2))</f>
        <v>#N/A</v>
      </c>
      <c r="M834" s="13">
        <f t="shared" ca="1" si="269"/>
        <v>0</v>
      </c>
      <c r="N834" s="13">
        <f t="shared" ca="1" si="279"/>
        <v>0</v>
      </c>
      <c r="O834" s="13">
        <f ca="1">IF($D834="Igen",IF($W833&gt;=IF($D$4="Forint",Paraméterek!$J$121,Paraméterek!$K$121),0,IF($D$4="Forint",Paraméterek!$J$121,Paraméterek!$K$121)-$W833),0)</f>
        <v>0</v>
      </c>
      <c r="P834" s="13" t="e">
        <f ca="1">ROUNDUP($O834*VLOOKUP($M$4+$B834-1,Paraméterek!$H$58:$I$105,2,0)/Paraméterek!$I$56,IF($D$4="Forint",0,2))</f>
        <v>#N/A</v>
      </c>
      <c r="Q834" s="13">
        <f t="shared" ca="1" si="270"/>
        <v>0</v>
      </c>
      <c r="R834" s="33"/>
      <c r="S834" s="13" t="e">
        <f t="shared" ca="1" si="271"/>
        <v>#N/A</v>
      </c>
      <c r="T834" s="13" t="e">
        <f ca="1">ROUNDUP(($N834-$P834-$Q834+$S834)*VLOOKUP($B834,Paraméterek!$I$38:$K$39,IF($D$2="Egyszeri",3,2))/12*IF($D835="Nem",IF($M$13=0,1,$M$13),1),IF($D$4="Forint",0,2))</f>
        <v>#N/A</v>
      </c>
      <c r="U834" s="13"/>
      <c r="V834" s="13"/>
      <c r="W834" s="13" t="e">
        <f ca="1">$N834-$P834-$Q834+$S834-$T834-IF(ROUNDUP(IF(ISBLANK($V834),$U834*0,$V834)/IF($D$2="Egyszeri",VLOOKUP($B834+IF($C834=12,1,0),Paraméterek!$V$257:$W$262,2),IF($B834=1,1,VLOOKUP($B834+IF($C834=12,1,0),Paraméterek!$I$258:$T$278,HLOOKUP($M$11+1,Paraméterek!$J$256:$T$257,2)))),IF($D$4="Forint",0,2))&gt;$N834-$P834-$Q834+$S834-$T834-IF($D$4="Forint",Paraméterek!$C$216,Paraméterek!$D$216),0,ROUNDUP(IF(ISBLANK($V834),$U834*0,$V834)/IF($D$2="Egyszeri",VLOOKUP($B834+IF($C834=12,1,0),Paraméterek!$V$257:$W$262,2),IF($B834=1,1,VLOOKUP($B834+IF($C834=12,1,0),Paraméterek!$I$258:$T$278,HLOOKUP($M$11+1,Paraméterek!$J$256:$T$257,2)))),IF($D$4="Forint",0,2)))</f>
        <v>#N/A</v>
      </c>
      <c r="X834" s="13" t="e">
        <f ca="1">ROUNDDOWN($W834*IF($D$2="Egyszeri",VLOOKUP($B834+IF($C834=12,1,0),Paraméterek!$V$257:$W$262,2),VLOOKUP($B834+IF($C834=12,1,0),Paraméterek!$I$258:$T$278,HLOOKUP($M$11+1,Paraméterek!$I$256:$T$257,2))),IF($D$4="Forint",0,2))</f>
        <v>#N/A</v>
      </c>
      <c r="Z834" s="32">
        <v>815</v>
      </c>
      <c r="AA834" s="32">
        <v>68</v>
      </c>
      <c r="AB834" s="32">
        <v>11</v>
      </c>
      <c r="AC834" s="13">
        <f t="shared" ca="1" si="280"/>
        <v>0</v>
      </c>
      <c r="AD834" s="33"/>
      <c r="AE834" s="13">
        <f t="shared" ca="1" si="272"/>
        <v>0</v>
      </c>
      <c r="AF834" s="13">
        <f ca="1">ROUNDUP(($AC834+$AE834)*VLOOKUP($AA834,Paraméterek!$P$38:$Q$38,2)/12*IF($D835="Nem",IF($M$13=0,1,$M$13),1),IF($D$4="Forint",0,2))</f>
        <v>0</v>
      </c>
      <c r="AG834" s="13">
        <f ca="1">IF($D$2="Egyszeri",IF($D$7&gt;=IF($D$4="Forint",Paraméterek!$P$223,Paraméterek!$P$224),$D$7-IF($D$4="Forint",Paraméterek!$P$223,Paraméterek!$P$224),0),MIN(IF($AB834=12,AVERAGEIF($E$20:$E834,"&gt;0",$E$20:$E834)*12,0),SUM($E$20:$E$31)))</f>
        <v>0</v>
      </c>
      <c r="AH834" s="13">
        <f>IF($AA834=10,$AG834*IF($AB834=12,IF($AG834&lt;IF($D$4="Forint",Paraméterek!$L$223,Paraméterek!$L$224),0,VLOOKUP($AA834,Paraméterek!$K$226:$M$228,IF($AG834&lt;IF($D$4="Forint",Paraméterek!$M$223,Paraméterek!$M$224),2,3))),0),0)</f>
        <v>0</v>
      </c>
      <c r="AI834" s="13">
        <f ca="1">IF(AND($AA834=$M$11+1,$AB834=$M$12+1),SUMIF($AA$20:$AA$1027,$AA834,$AG$20:$AG$1027)*IF(SUMIF($AA$20:$AA$1027,$AA834,$AG$20:$AG$1027)&lt;IF($D$4="Forint",Paraméterek!$L$223,Paraméterek!$L$224),0,VLOOKUP($AA834,Paraméterek!$K$230:$M$250,IF(SUMIF($AA$20:$AA$1027,$AA834,$AG$20:$AG$1027)&lt;IF($D$4="Forint",Paraméterek!$M$223,Paraméterek!$M$224),2,3))),0)</f>
        <v>0</v>
      </c>
      <c r="AJ834" s="13">
        <f ca="1">IF(AND($AA834&gt;=5,MOD($AA834,5)=0),IF($AB834=12,VLOOKUP($AA834,Paraméterek!$O$225:$P$240,2),0),IF(OR($AA834=3,$AA834=4),IF($AB834=12,VLOOKUP($AA834,Paraméterek!$O$225:$P$240,2,0),0),0))*$AG834</f>
        <v>0</v>
      </c>
      <c r="AK834" s="13">
        <f t="shared" ca="1" si="273"/>
        <v>0</v>
      </c>
      <c r="AL834" s="13">
        <f t="shared" ca="1" si="281"/>
        <v>0</v>
      </c>
      <c r="AM834" s="13">
        <f t="shared" ca="1" si="282"/>
        <v>0</v>
      </c>
      <c r="AO834" s="32">
        <v>815</v>
      </c>
      <c r="AP834" s="32">
        <v>68</v>
      </c>
      <c r="AQ834" s="32">
        <v>11</v>
      </c>
      <c r="AR834" s="13"/>
      <c r="AS834" s="32"/>
      <c r="AT834" s="13">
        <f t="shared" ca="1" si="283"/>
        <v>0</v>
      </c>
      <c r="AU834" s="33"/>
      <c r="AV834" s="13">
        <f t="shared" ca="1" si="274"/>
        <v>0</v>
      </c>
      <c r="AW834" s="13">
        <f ca="1">ROUNDUP(($AT834+$AV834)*VLOOKUP($AP834,Paraméterek!$P$38:$Q$38,2)/12*IF($D835="Nem",IF($M$13=0,1,$M$13),1),IF($D$4="Forint",0,2))</f>
        <v>0</v>
      </c>
      <c r="AX834" s="13"/>
      <c r="AY834" s="13"/>
      <c r="AZ834" s="13">
        <f>ROUNDUP(IF(SUM($AX834:$AY834)=0,0,IF(IF(ISBLANK($AY834),$AX834,$AY834)*Paraméterek!$J$112&lt;IF($D$4="Forint",Paraméterek!$J$113,Paraméterek!$K$113),IF($D$4="Forint",Paraméterek!$J$113,Paraméterek!$K$113),IF(IF(ISBLANK($AY834),$AX834,$AY834)*Paraméterek!$J$112&gt;IF($D$4="Forint",Paraméterek!$J$114,Paraméterek!$K$114),IF($D$4="Forint",Paraméterek!$J$114,Paraméterek!$K$114),IF(ISBLANK($AY834),$AX834,$AY834)*Paraméterek!$J$112))),IF($D$4="Forint",0,2))</f>
        <v>0</v>
      </c>
      <c r="BA834" s="13">
        <f ca="1">$AT834+$AV834-$AW834-IF(ROUNDDOWN(IF(ISBLANK($AY834),$AX834,$AY834),IF($D$4="Forint",0,2))&gt;$AT834+$AV834-$AW834-IF($D$4="Forint",Paraméterek!$J$114,Paraméterek!$K$114),0,ROUNDDOWN(IF(ISBLANK($AY834),$AX834,$AY834),IF($D$4="Forint",0,2))-$AZ834)</f>
        <v>0</v>
      </c>
      <c r="BB834" s="13">
        <f t="shared" ca="1" si="275"/>
        <v>0</v>
      </c>
      <c r="BD834" s="32">
        <v>815</v>
      </c>
      <c r="BE834" s="32">
        <v>68</v>
      </c>
      <c r="BF834" s="32">
        <v>11</v>
      </c>
      <c r="BG834" s="34">
        <f t="shared" ca="1" si="284"/>
        <v>2087</v>
      </c>
      <c r="BH834" s="32" t="str">
        <f ca="1">IF(MOD(MONTH($D$14)+$BD834-1,12)=Paraméterek!$C$288,"Igen","")</f>
        <v/>
      </c>
      <c r="BI834" s="13">
        <f ca="1">IF($BH834="Igen",MIN(ROUNDDOWN((SUMIF($BG$20:$BG$1027,$BG834-1,$K$20:$K$1027)-SUMIF($BG$20:$BG$1027,$BG834-1,$I$20:$I$1027))*Paraméterek!$C$289,IF($D$4="Forint",0,2)),IF($D$4="Forint",Paraméterek!$C$285,Paraméterek!$D$285)),0)</f>
        <v>0</v>
      </c>
      <c r="BJ834" s="13">
        <f t="shared" ca="1" si="276"/>
        <v>0</v>
      </c>
      <c r="BK834" s="13">
        <f t="shared" ca="1" si="285"/>
        <v>0</v>
      </c>
      <c r="BL834" s="33"/>
      <c r="BM834" s="13">
        <f t="shared" ca="1" si="277"/>
        <v>0</v>
      </c>
      <c r="BN834" s="13">
        <f ca="1">ROUNDUP(($BK834+$BM834)*VLOOKUP($BE834,Paraméterek!$P$38:$Q$38,2)/12*IF($D835="Nem",IF($M$13=0,1,$M$13),1),IF($D$4="Forint",0,2))</f>
        <v>0</v>
      </c>
      <c r="BO834" s="13">
        <f t="shared" ca="1" si="278"/>
        <v>0</v>
      </c>
      <c r="BP834" s="13">
        <f ca="1">IF($D835="Nem",$BO834,$BO834-ROUNDUP(SUM($BI$20:$BI834)*120%,IF($D$4="Forint",0,2)))</f>
        <v>0</v>
      </c>
    </row>
    <row r="835" spans="1:68" x14ac:dyDescent="0.2">
      <c r="A835" s="32">
        <v>816</v>
      </c>
      <c r="B835" s="32">
        <v>68</v>
      </c>
      <c r="C835" s="32">
        <v>12</v>
      </c>
      <c r="D835" s="32" t="str">
        <f t="shared" ca="1" si="264"/>
        <v>Nem</v>
      </c>
      <c r="E835" s="13">
        <f t="shared" ca="1" si="265"/>
        <v>0</v>
      </c>
      <c r="F835" s="13"/>
      <c r="G835" s="13"/>
      <c r="H835" s="13"/>
      <c r="I835" s="13">
        <f t="shared" ca="1" si="266"/>
        <v>0</v>
      </c>
      <c r="J835" s="13">
        <f t="shared" ca="1" si="267"/>
        <v>0</v>
      </c>
      <c r="K835" s="13">
        <f t="shared" ca="1" si="268"/>
        <v>0</v>
      </c>
      <c r="L835" s="13" t="e">
        <f ca="1">ROUNDUP(IF($D$2="Egyszeri",$E835,IF($D$2="Havi",SUM($E$20:$E$31),IF(MOD($C835,$M$1)-1=0,SUM($E$20:$E$31),0))/12*$M$1)*VLOOKUP($B835,Paraméterek!$I$28:$P$31,IF($D$2="Egyszeri",8,HLOOKUP(ROUNDUP($M$11+$M$13,0),Paraméterek!$J$26:$O$27,2))),IF($D$4="Forint",0,2))</f>
        <v>#N/A</v>
      </c>
      <c r="M835" s="13">
        <f t="shared" ca="1" si="269"/>
        <v>0</v>
      </c>
      <c r="N835" s="13">
        <f t="shared" ca="1" si="279"/>
        <v>0</v>
      </c>
      <c r="O835" s="13">
        <f ca="1">IF($D835="Igen",IF($W834&gt;=IF($D$4="Forint",Paraméterek!$J$121,Paraméterek!$K$121),0,IF($D$4="Forint",Paraméterek!$J$121,Paraméterek!$K$121)-$W834),0)</f>
        <v>0</v>
      </c>
      <c r="P835" s="13" t="e">
        <f ca="1">ROUNDUP($O835*VLOOKUP($M$4+$B835-1,Paraméterek!$H$58:$I$105,2,0)/Paraméterek!$I$56,IF($D$4="Forint",0,2))</f>
        <v>#N/A</v>
      </c>
      <c r="Q835" s="13">
        <f t="shared" ca="1" si="270"/>
        <v>0</v>
      </c>
      <c r="R835" s="33"/>
      <c r="S835" s="13" t="e">
        <f t="shared" ca="1" si="271"/>
        <v>#N/A</v>
      </c>
      <c r="T835" s="13" t="e">
        <f ca="1">ROUNDUP(($N835-$P835-$Q835+$S835)*VLOOKUP($B835,Paraméterek!$I$38:$K$39,IF($D$2="Egyszeri",3,2))/12*IF($D836="Nem",IF($M$13=0,1,$M$13),1),IF($D$4="Forint",0,2))</f>
        <v>#N/A</v>
      </c>
      <c r="U835" s="13">
        <f>Tranzakciók!$F$99</f>
        <v>0</v>
      </c>
      <c r="V835" s="13"/>
      <c r="W835" s="13" t="e">
        <f ca="1">$N835-$P835-$Q835+$S835-$T835-IF(ROUNDUP(IF(ISBLANK($V835),$U835*0,$V835)/IF($D$2="Egyszeri",VLOOKUP($B835+IF($C835=12,1,0),Paraméterek!$V$257:$W$262,2),IF($B835=1,1,VLOOKUP($B835+IF($C835=12,1,0),Paraméterek!$I$258:$T$278,HLOOKUP($M$11+1,Paraméterek!$J$256:$T$257,2)))),IF($D$4="Forint",0,2))&gt;$N835-$P835-$Q835+$S835-$T835-IF($D$4="Forint",Paraméterek!$C$216,Paraméterek!$D$216),0,ROUNDUP(IF(ISBLANK($V835),$U835*0,$V835)/IF($D$2="Egyszeri",VLOOKUP($B835+IF($C835=12,1,0),Paraméterek!$V$257:$W$262,2),IF($B835=1,1,VLOOKUP($B835+IF($C835=12,1,0),Paraméterek!$I$258:$T$278,HLOOKUP($M$11+1,Paraméterek!$J$256:$T$257,2)))),IF($D$4="Forint",0,2)))</f>
        <v>#N/A</v>
      </c>
      <c r="X835" s="13" t="e">
        <f ca="1">ROUNDDOWN($W835*IF($D$2="Egyszeri",VLOOKUP($B835+IF($C835=12,1,0),Paraméterek!$V$257:$W$262,2),VLOOKUP($B835+IF($C835=12,1,0),Paraméterek!$I$258:$T$278,HLOOKUP($M$11+1,Paraméterek!$I$256:$T$257,2))),IF($D$4="Forint",0,2))</f>
        <v>#N/A</v>
      </c>
      <c r="Z835" s="32">
        <v>816</v>
      </c>
      <c r="AA835" s="32">
        <v>68</v>
      </c>
      <c r="AB835" s="32">
        <v>12</v>
      </c>
      <c r="AC835" s="13">
        <f t="shared" ca="1" si="280"/>
        <v>0</v>
      </c>
      <c r="AD835" s="33"/>
      <c r="AE835" s="13">
        <f t="shared" ca="1" si="272"/>
        <v>0</v>
      </c>
      <c r="AF835" s="13">
        <f ca="1">ROUNDUP(($AC835+$AE835)*VLOOKUP($AA835,Paraméterek!$P$38:$Q$38,2)/12*IF($D836="Nem",IF($M$13=0,1,$M$13),1),IF($D$4="Forint",0,2))</f>
        <v>0</v>
      </c>
      <c r="AG835" s="13" t="e">
        <f ca="1">IF($D$2="Egyszeri",IF($D$7&gt;=IF($D$4="Forint",Paraméterek!$P$223,Paraméterek!$P$224),$D$7-IF($D$4="Forint",Paraméterek!$P$223,Paraméterek!$P$224),0),MIN(IF($AB835=12,AVERAGEIF($E$20:$E835,"&gt;0",$E$20:$E835)*12,0),SUM($E$20:$E$31)))</f>
        <v>#DIV/0!</v>
      </c>
      <c r="AH835" s="13">
        <f>IF($AA835=10,$AG835*IF($AB835=12,IF($AG835&lt;IF($D$4="Forint",Paraméterek!$L$223,Paraméterek!$L$224),0,VLOOKUP($AA835,Paraméterek!$K$226:$M$228,IF($AG835&lt;IF($D$4="Forint",Paraméterek!$M$223,Paraméterek!$M$224),2,3))),0),0)</f>
        <v>0</v>
      </c>
      <c r="AI835" s="13">
        <f ca="1">IF(AND($AA835=$M$11+1,$AB835=$M$12+1),SUMIF($AA$20:$AA$1027,$AA835,$AG$20:$AG$1027)*IF(SUMIF($AA$20:$AA$1027,$AA835,$AG$20:$AG$1027)&lt;IF($D$4="Forint",Paraméterek!$L$223,Paraméterek!$L$224),0,VLOOKUP($AA835,Paraméterek!$K$230:$M$250,IF(SUMIF($AA$20:$AA$1027,$AA835,$AG$20:$AG$1027)&lt;IF($D$4="Forint",Paraméterek!$M$223,Paraméterek!$M$224),2,3))),0)</f>
        <v>0</v>
      </c>
      <c r="AJ835" s="13" t="e">
        <f ca="1">IF(AND($AA835&gt;=5,MOD($AA835,5)=0),IF($AB835=12,VLOOKUP($AA835,Paraméterek!$O$225:$P$240,2),0),IF(OR($AA835=3,$AA835=4),IF($AB835=12,VLOOKUP($AA835,Paraméterek!$O$225:$P$240,2,0),0),0))*$AG835</f>
        <v>#DIV/0!</v>
      </c>
      <c r="AK835" s="13">
        <f t="shared" ca="1" si="273"/>
        <v>0</v>
      </c>
      <c r="AL835" s="13">
        <f t="shared" ca="1" si="281"/>
        <v>0</v>
      </c>
      <c r="AM835" s="13">
        <f t="shared" ca="1" si="282"/>
        <v>0</v>
      </c>
      <c r="AO835" s="32">
        <v>816</v>
      </c>
      <c r="AP835" s="32">
        <v>68</v>
      </c>
      <c r="AQ835" s="32">
        <v>12</v>
      </c>
      <c r="AR835" s="13"/>
      <c r="AS835" s="32"/>
      <c r="AT835" s="13">
        <f t="shared" ca="1" si="283"/>
        <v>0</v>
      </c>
      <c r="AU835" s="33"/>
      <c r="AV835" s="13">
        <f t="shared" ca="1" si="274"/>
        <v>0</v>
      </c>
      <c r="AW835" s="13">
        <f ca="1">ROUNDUP(($AT835+$AV835)*VLOOKUP($AP835,Paraméterek!$P$38:$Q$38,2)/12*IF($D836="Nem",IF($M$13=0,1,$M$13),1),IF($D$4="Forint",0,2))</f>
        <v>0</v>
      </c>
      <c r="AX835" s="13">
        <f>Tranzakciók!$M$99</f>
        <v>0</v>
      </c>
      <c r="AY835" s="13"/>
      <c r="AZ835" s="13">
        <f>ROUNDUP(IF(SUM($AX835:$AY835)=0,0,IF(IF(ISBLANK($AY835),$AX835,$AY835)*Paraméterek!$J$112&lt;IF($D$4="Forint",Paraméterek!$J$113,Paraméterek!$K$113),IF($D$4="Forint",Paraméterek!$J$113,Paraméterek!$K$113),IF(IF(ISBLANK($AY835),$AX835,$AY835)*Paraméterek!$J$112&gt;IF($D$4="Forint",Paraméterek!$J$114,Paraméterek!$K$114),IF($D$4="Forint",Paraméterek!$J$114,Paraméterek!$K$114),IF(ISBLANK($AY835),$AX835,$AY835)*Paraméterek!$J$112))),IF($D$4="Forint",0,2))</f>
        <v>0</v>
      </c>
      <c r="BA835" s="13">
        <f ca="1">$AT835+$AV835-$AW835-IF(ROUNDDOWN(IF(ISBLANK($AY835),$AX835,$AY835),IF($D$4="Forint",0,2))&gt;$AT835+$AV835-$AW835-IF($D$4="Forint",Paraméterek!$J$114,Paraméterek!$K$114),0,ROUNDDOWN(IF(ISBLANK($AY835),$AX835,$AY835),IF($D$4="Forint",0,2))-$AZ835)</f>
        <v>0</v>
      </c>
      <c r="BB835" s="13">
        <f t="shared" ca="1" si="275"/>
        <v>0</v>
      </c>
      <c r="BD835" s="32">
        <v>816</v>
      </c>
      <c r="BE835" s="32">
        <v>68</v>
      </c>
      <c r="BF835" s="32">
        <v>12</v>
      </c>
      <c r="BG835" s="34">
        <f t="shared" ca="1" si="284"/>
        <v>2087</v>
      </c>
      <c r="BH835" s="32" t="str">
        <f ca="1">IF(MOD(MONTH($D$14)+$BD835-1,12)=Paraméterek!$C$288,"Igen","")</f>
        <v/>
      </c>
      <c r="BI835" s="13">
        <f ca="1">IF($BH835="Igen",MIN(ROUNDDOWN((SUMIF($BG$20:$BG$1027,$BG835-1,$K$20:$K$1027)-SUMIF($BG$20:$BG$1027,$BG835-1,$I$20:$I$1027))*Paraméterek!$C$289,IF($D$4="Forint",0,2)),IF($D$4="Forint",Paraméterek!$C$285,Paraméterek!$D$285)),0)</f>
        <v>0</v>
      </c>
      <c r="BJ835" s="13">
        <f t="shared" ca="1" si="276"/>
        <v>0</v>
      </c>
      <c r="BK835" s="13">
        <f t="shared" ca="1" si="285"/>
        <v>0</v>
      </c>
      <c r="BL835" s="33"/>
      <c r="BM835" s="13">
        <f t="shared" ca="1" si="277"/>
        <v>0</v>
      </c>
      <c r="BN835" s="13">
        <f ca="1">ROUNDUP(($BK835+$BM835)*VLOOKUP($BE835,Paraméterek!$P$38:$Q$38,2)/12*IF($D836="Nem",IF($M$13=0,1,$M$13),1),IF($D$4="Forint",0,2))</f>
        <v>0</v>
      </c>
      <c r="BO835" s="13">
        <f t="shared" ca="1" si="278"/>
        <v>0</v>
      </c>
      <c r="BP835" s="13">
        <f ca="1">IF($D836="Nem",$BO835,$BO835-ROUNDUP(SUM($BI$20:$BI835)*120%,IF($D$4="Forint",0,2)))</f>
        <v>0</v>
      </c>
    </row>
    <row r="836" spans="1:68" x14ac:dyDescent="0.2">
      <c r="A836" s="32">
        <v>817</v>
      </c>
      <c r="B836" s="32">
        <v>69</v>
      </c>
      <c r="C836" s="32">
        <v>1</v>
      </c>
      <c r="D836" s="32" t="str">
        <f t="shared" ca="1" si="264"/>
        <v>Nem</v>
      </c>
      <c r="E836" s="13">
        <f t="shared" ca="1" si="265"/>
        <v>0</v>
      </c>
      <c r="F836" s="13"/>
      <c r="G836" s="13">
        <f>Tranzakciók!$D$100</f>
        <v>0</v>
      </c>
      <c r="H836" s="13"/>
      <c r="I836" s="13">
        <f t="shared" ca="1" si="266"/>
        <v>0</v>
      </c>
      <c r="J836" s="13">
        <f t="shared" ca="1" si="267"/>
        <v>0</v>
      </c>
      <c r="K836" s="13">
        <f t="shared" ca="1" si="268"/>
        <v>0</v>
      </c>
      <c r="L836" s="13" t="e">
        <f ca="1">ROUNDUP(IF($D$2="Egyszeri",$E836,IF($D$2="Havi",SUM($E$20:$E$31),IF(MOD($C836,$M$1)-1=0,SUM($E$20:$E$31),0))/12*$M$1)*VLOOKUP($B836,Paraméterek!$I$28:$P$31,IF($D$2="Egyszeri",8,HLOOKUP(ROUNDUP($M$11+$M$13,0),Paraméterek!$J$26:$O$27,2))),IF($D$4="Forint",0,2))</f>
        <v>#N/A</v>
      </c>
      <c r="M836" s="13">
        <f t="shared" ca="1" si="269"/>
        <v>0</v>
      </c>
      <c r="N836" s="13">
        <f t="shared" ca="1" si="279"/>
        <v>0</v>
      </c>
      <c r="O836" s="13">
        <f ca="1">IF($D836="Igen",IF($W835&gt;=IF($D$4="Forint",Paraméterek!$J$121,Paraméterek!$K$121),0,IF($D$4="Forint",Paraméterek!$J$121,Paraméterek!$K$121)-$W835),0)</f>
        <v>0</v>
      </c>
      <c r="P836" s="13" t="e">
        <f ca="1">ROUNDUP($O836*VLOOKUP($M$4+$B836-1,Paraméterek!$H$58:$I$105,2,0)/Paraméterek!$I$56,IF($D$4="Forint",0,2))</f>
        <v>#N/A</v>
      </c>
      <c r="Q836" s="13">
        <f t="shared" ca="1" si="270"/>
        <v>0</v>
      </c>
      <c r="R836" s="33"/>
      <c r="S836" s="13" t="e">
        <f t="shared" ca="1" si="271"/>
        <v>#N/A</v>
      </c>
      <c r="T836" s="13" t="e">
        <f ca="1">ROUNDUP(($N836-$P836-$Q836+$S836)*VLOOKUP($B836,Paraméterek!$I$38:$K$39,IF($D$2="Egyszeri",3,2))/12*IF($D837="Nem",IF($M$13=0,1,$M$13),1),IF($D$4="Forint",0,2))</f>
        <v>#N/A</v>
      </c>
      <c r="U836" s="13"/>
      <c r="V836" s="13"/>
      <c r="W836" s="13" t="e">
        <f ca="1">$N836-$P836-$Q836+$S836-$T836-IF(ROUNDUP(IF(ISBLANK($V836),$U836*0,$V836)/IF($D$2="Egyszeri",VLOOKUP($B836+IF($C836=12,1,0),Paraméterek!$V$257:$W$262,2),IF($B836=1,1,VLOOKUP($B836+IF($C836=12,1,0),Paraméterek!$I$258:$T$278,HLOOKUP($M$11+1,Paraméterek!$J$256:$T$257,2)))),IF($D$4="Forint",0,2))&gt;$N836-$P836-$Q836+$S836-$T836-IF($D$4="Forint",Paraméterek!$C$216,Paraméterek!$D$216),0,ROUNDUP(IF(ISBLANK($V836),$U836*0,$V836)/IF($D$2="Egyszeri",VLOOKUP($B836+IF($C836=12,1,0),Paraméterek!$V$257:$W$262,2),IF($B836=1,1,VLOOKUP($B836+IF($C836=12,1,0),Paraméterek!$I$258:$T$278,HLOOKUP($M$11+1,Paraméterek!$J$256:$T$257,2)))),IF($D$4="Forint",0,2)))</f>
        <v>#N/A</v>
      </c>
      <c r="X836" s="13" t="e">
        <f ca="1">ROUNDDOWN($W836*IF($D$2="Egyszeri",VLOOKUP($B836+IF($C836=12,1,0),Paraméterek!$V$257:$W$262,2),VLOOKUP($B836+IF($C836=12,1,0),Paraméterek!$I$258:$T$278,HLOOKUP($M$11+1,Paraméterek!$I$256:$T$257,2))),IF($D$4="Forint",0,2))</f>
        <v>#N/A</v>
      </c>
      <c r="Z836" s="32">
        <v>817</v>
      </c>
      <c r="AA836" s="32">
        <v>69</v>
      </c>
      <c r="AB836" s="32">
        <v>1</v>
      </c>
      <c r="AC836" s="13">
        <f t="shared" ca="1" si="280"/>
        <v>0</v>
      </c>
      <c r="AD836" s="33"/>
      <c r="AE836" s="13">
        <f t="shared" ca="1" si="272"/>
        <v>0</v>
      </c>
      <c r="AF836" s="13">
        <f ca="1">ROUNDUP(($AC836+$AE836)*VLOOKUP($AA836,Paraméterek!$P$38:$Q$38,2)/12*IF($D837="Nem",IF($M$13=0,1,$M$13),1),IF($D$4="Forint",0,2))</f>
        <v>0</v>
      </c>
      <c r="AG836" s="13">
        <f ca="1">IF($D$2="Egyszeri",IF($D$7&gt;=IF($D$4="Forint",Paraméterek!$P$223,Paraméterek!$P$224),$D$7-IF($D$4="Forint",Paraméterek!$P$223,Paraméterek!$P$224),0),MIN(IF($AB836=12,AVERAGEIF($E$20:$E836,"&gt;0",$E$20:$E836)*12,0),SUM($E$20:$E$31)))</f>
        <v>0</v>
      </c>
      <c r="AH836" s="13">
        <f>IF($AA836=10,$AG836*IF($AB836=12,IF($AG836&lt;IF($D$4="Forint",Paraméterek!$L$223,Paraméterek!$L$224),0,VLOOKUP($AA836,Paraméterek!$K$226:$M$228,IF($AG836&lt;IF($D$4="Forint",Paraméterek!$M$223,Paraméterek!$M$224),2,3))),0),0)</f>
        <v>0</v>
      </c>
      <c r="AI836" s="13">
        <f ca="1">IF(AND($AA836=$M$11+1,$AB836=$M$12+1),SUMIF($AA$20:$AA$1027,$AA836,$AG$20:$AG$1027)*IF(SUMIF($AA$20:$AA$1027,$AA836,$AG$20:$AG$1027)&lt;IF($D$4="Forint",Paraméterek!$L$223,Paraméterek!$L$224),0,VLOOKUP($AA836,Paraméterek!$K$230:$M$250,IF(SUMIF($AA$20:$AA$1027,$AA836,$AG$20:$AG$1027)&lt;IF($D$4="Forint",Paraméterek!$M$223,Paraméterek!$M$224),2,3))),0)</f>
        <v>0</v>
      </c>
      <c r="AJ836" s="13">
        <f ca="1">IF(AND($AA836&gt;=5,MOD($AA836,5)=0),IF($AB836=12,VLOOKUP($AA836,Paraméterek!$O$225:$P$240,2),0),IF(OR($AA836=3,$AA836=4),IF($AB836=12,VLOOKUP($AA836,Paraméterek!$O$225:$P$240,2,0),0),0))*$AG836</f>
        <v>0</v>
      </c>
      <c r="AK836" s="13">
        <f t="shared" ca="1" si="273"/>
        <v>0</v>
      </c>
      <c r="AL836" s="13">
        <f t="shared" ca="1" si="281"/>
        <v>0</v>
      </c>
      <c r="AM836" s="13">
        <f t="shared" ca="1" si="282"/>
        <v>0</v>
      </c>
      <c r="AO836" s="32">
        <v>817</v>
      </c>
      <c r="AP836" s="32">
        <v>69</v>
      </c>
      <c r="AQ836" s="32">
        <v>1</v>
      </c>
      <c r="AR836" s="13">
        <f>Tranzakciók!$K$100</f>
        <v>0</v>
      </c>
      <c r="AS836" s="32"/>
      <c r="AT836" s="13">
        <f t="shared" ca="1" si="283"/>
        <v>0</v>
      </c>
      <c r="AU836" s="33"/>
      <c r="AV836" s="13">
        <f t="shared" ca="1" si="274"/>
        <v>0</v>
      </c>
      <c r="AW836" s="13">
        <f ca="1">ROUNDUP(($AT836+$AV836)*VLOOKUP($AP836,Paraméterek!$P$38:$Q$38,2)/12*IF($D837="Nem",IF($M$13=0,1,$M$13),1),IF($D$4="Forint",0,2))</f>
        <v>0</v>
      </c>
      <c r="AX836" s="13"/>
      <c r="AY836" s="13"/>
      <c r="AZ836" s="13">
        <f>ROUNDUP(IF(SUM($AX836:$AY836)=0,0,IF(IF(ISBLANK($AY836),$AX836,$AY836)*Paraméterek!$J$112&lt;IF($D$4="Forint",Paraméterek!$J$113,Paraméterek!$K$113),IF($D$4="Forint",Paraméterek!$J$113,Paraméterek!$K$113),IF(IF(ISBLANK($AY836),$AX836,$AY836)*Paraméterek!$J$112&gt;IF($D$4="Forint",Paraméterek!$J$114,Paraméterek!$K$114),IF($D$4="Forint",Paraméterek!$J$114,Paraméterek!$K$114),IF(ISBLANK($AY836),$AX836,$AY836)*Paraméterek!$J$112))),IF($D$4="Forint",0,2))</f>
        <v>0</v>
      </c>
      <c r="BA836" s="13">
        <f ca="1">$AT836+$AV836-$AW836-IF(ROUNDDOWN(IF(ISBLANK($AY836),$AX836,$AY836),IF($D$4="Forint",0,2))&gt;$AT836+$AV836-$AW836-IF($D$4="Forint",Paraméterek!$J$114,Paraméterek!$K$114),0,ROUNDDOWN(IF(ISBLANK($AY836),$AX836,$AY836),IF($D$4="Forint",0,2))-$AZ836)</f>
        <v>0</v>
      </c>
      <c r="BB836" s="13">
        <f t="shared" ca="1" si="275"/>
        <v>0</v>
      </c>
      <c r="BD836" s="32">
        <v>817</v>
      </c>
      <c r="BE836" s="32">
        <v>69</v>
      </c>
      <c r="BF836" s="32">
        <v>1</v>
      </c>
      <c r="BG836" s="34">
        <f t="shared" ca="1" si="284"/>
        <v>2087</v>
      </c>
      <c r="BH836" s="32" t="str">
        <f ca="1">IF(MOD(MONTH($D$14)+$BD836-1,12)=Paraméterek!$C$288,"Igen","")</f>
        <v/>
      </c>
      <c r="BI836" s="13">
        <f ca="1">IF($BH836="Igen",MIN(ROUNDDOWN((SUMIF($BG$20:$BG$1027,$BG836-1,$K$20:$K$1027)-SUMIF($BG$20:$BG$1027,$BG836-1,$I$20:$I$1027))*Paraméterek!$C$289,IF($D$4="Forint",0,2)),IF($D$4="Forint",Paraméterek!$C$285,Paraméterek!$D$285)),0)</f>
        <v>0</v>
      </c>
      <c r="BJ836" s="13">
        <f t="shared" ca="1" si="276"/>
        <v>0</v>
      </c>
      <c r="BK836" s="13">
        <f t="shared" ca="1" si="285"/>
        <v>0</v>
      </c>
      <c r="BL836" s="33"/>
      <c r="BM836" s="13">
        <f t="shared" ca="1" si="277"/>
        <v>0</v>
      </c>
      <c r="BN836" s="13">
        <f ca="1">ROUNDUP(($BK836+$BM836)*VLOOKUP($BE836,Paraméterek!$P$38:$Q$38,2)/12*IF($D837="Nem",IF($M$13=0,1,$M$13),1),IF($D$4="Forint",0,2))</f>
        <v>0</v>
      </c>
      <c r="BO836" s="13">
        <f t="shared" ca="1" si="278"/>
        <v>0</v>
      </c>
      <c r="BP836" s="13">
        <f ca="1">IF($D837="Nem",$BO836,$BO836-ROUNDUP(SUM($BI$20:$BI836)*120%,IF($D$4="Forint",0,2)))</f>
        <v>0</v>
      </c>
    </row>
    <row r="837" spans="1:68" x14ac:dyDescent="0.2">
      <c r="A837" s="32">
        <v>818</v>
      </c>
      <c r="B837" s="32">
        <v>69</v>
      </c>
      <c r="C837" s="32">
        <v>2</v>
      </c>
      <c r="D837" s="32" t="str">
        <f t="shared" ca="1" si="264"/>
        <v>Nem</v>
      </c>
      <c r="E837" s="13">
        <f t="shared" ca="1" si="265"/>
        <v>0</v>
      </c>
      <c r="F837" s="13"/>
      <c r="G837" s="13"/>
      <c r="H837" s="13"/>
      <c r="I837" s="13">
        <f t="shared" ca="1" si="266"/>
        <v>0</v>
      </c>
      <c r="J837" s="13">
        <f t="shared" ca="1" si="267"/>
        <v>0</v>
      </c>
      <c r="K837" s="13">
        <f t="shared" ca="1" si="268"/>
        <v>0</v>
      </c>
      <c r="L837" s="13" t="e">
        <f ca="1">ROUNDUP(IF($D$2="Egyszeri",$E837,IF($D$2="Havi",SUM($E$20:$E$31),IF(MOD($C837,$M$1)-1=0,SUM($E$20:$E$31),0))/12*$M$1)*VLOOKUP($B837,Paraméterek!$I$28:$P$31,IF($D$2="Egyszeri",8,HLOOKUP(ROUNDUP($M$11+$M$13,0),Paraméterek!$J$26:$O$27,2))),IF($D$4="Forint",0,2))</f>
        <v>#N/A</v>
      </c>
      <c r="M837" s="13">
        <f t="shared" ca="1" si="269"/>
        <v>0</v>
      </c>
      <c r="N837" s="13">
        <f t="shared" ca="1" si="279"/>
        <v>0</v>
      </c>
      <c r="O837" s="13">
        <f ca="1">IF($D837="Igen",IF($W836&gt;=IF($D$4="Forint",Paraméterek!$J$121,Paraméterek!$K$121),0,IF($D$4="Forint",Paraméterek!$J$121,Paraméterek!$K$121)-$W836),0)</f>
        <v>0</v>
      </c>
      <c r="P837" s="13" t="e">
        <f ca="1">ROUNDUP($O837*VLOOKUP($M$4+$B837-1,Paraméterek!$H$58:$I$105,2,0)/Paraméterek!$I$56,IF($D$4="Forint",0,2))</f>
        <v>#N/A</v>
      </c>
      <c r="Q837" s="13">
        <f t="shared" ca="1" si="270"/>
        <v>0</v>
      </c>
      <c r="R837" s="33"/>
      <c r="S837" s="13" t="e">
        <f t="shared" ca="1" si="271"/>
        <v>#N/A</v>
      </c>
      <c r="T837" s="13" t="e">
        <f ca="1">ROUNDUP(($N837-$P837-$Q837+$S837)*VLOOKUP($B837,Paraméterek!$I$38:$K$39,IF($D$2="Egyszeri",3,2))/12*IF($D838="Nem",IF($M$13=0,1,$M$13),1),IF($D$4="Forint",0,2))</f>
        <v>#N/A</v>
      </c>
      <c r="U837" s="13"/>
      <c r="V837" s="13"/>
      <c r="W837" s="13" t="e">
        <f ca="1">$N837-$P837-$Q837+$S837-$T837-IF(ROUNDUP(IF(ISBLANK($V837),$U837*0,$V837)/IF($D$2="Egyszeri",VLOOKUP($B837+IF($C837=12,1,0),Paraméterek!$V$257:$W$262,2),IF($B837=1,1,VLOOKUP($B837+IF($C837=12,1,0),Paraméterek!$I$258:$T$278,HLOOKUP($M$11+1,Paraméterek!$J$256:$T$257,2)))),IF($D$4="Forint",0,2))&gt;$N837-$P837-$Q837+$S837-$T837-IF($D$4="Forint",Paraméterek!$C$216,Paraméterek!$D$216),0,ROUNDUP(IF(ISBLANK($V837),$U837*0,$V837)/IF($D$2="Egyszeri",VLOOKUP($B837+IF($C837=12,1,0),Paraméterek!$V$257:$W$262,2),IF($B837=1,1,VLOOKUP($B837+IF($C837=12,1,0),Paraméterek!$I$258:$T$278,HLOOKUP($M$11+1,Paraméterek!$J$256:$T$257,2)))),IF($D$4="Forint",0,2)))</f>
        <v>#N/A</v>
      </c>
      <c r="X837" s="13" t="e">
        <f ca="1">ROUNDDOWN($W837*IF($D$2="Egyszeri",VLOOKUP($B837+IF($C837=12,1,0),Paraméterek!$V$257:$W$262,2),VLOOKUP($B837+IF($C837=12,1,0),Paraméterek!$I$258:$T$278,HLOOKUP($M$11+1,Paraméterek!$I$256:$T$257,2))),IF($D$4="Forint",0,2))</f>
        <v>#N/A</v>
      </c>
      <c r="Z837" s="32">
        <v>818</v>
      </c>
      <c r="AA837" s="32">
        <v>69</v>
      </c>
      <c r="AB837" s="32">
        <v>2</v>
      </c>
      <c r="AC837" s="13">
        <f t="shared" ca="1" si="280"/>
        <v>0</v>
      </c>
      <c r="AD837" s="33"/>
      <c r="AE837" s="13">
        <f t="shared" ca="1" si="272"/>
        <v>0</v>
      </c>
      <c r="AF837" s="13">
        <f ca="1">ROUNDUP(($AC837+$AE837)*VLOOKUP($AA837,Paraméterek!$P$38:$Q$38,2)/12*IF($D838="Nem",IF($M$13=0,1,$M$13),1),IF($D$4="Forint",0,2))</f>
        <v>0</v>
      </c>
      <c r="AG837" s="13">
        <f ca="1">IF($D$2="Egyszeri",IF($D$7&gt;=IF($D$4="Forint",Paraméterek!$P$223,Paraméterek!$P$224),$D$7-IF($D$4="Forint",Paraméterek!$P$223,Paraméterek!$P$224),0),MIN(IF($AB837=12,AVERAGEIF($E$20:$E837,"&gt;0",$E$20:$E837)*12,0),SUM($E$20:$E$31)))</f>
        <v>0</v>
      </c>
      <c r="AH837" s="13">
        <f>IF($AA837=10,$AG837*IF($AB837=12,IF($AG837&lt;IF($D$4="Forint",Paraméterek!$L$223,Paraméterek!$L$224),0,VLOOKUP($AA837,Paraméterek!$K$226:$M$228,IF($AG837&lt;IF($D$4="Forint",Paraméterek!$M$223,Paraméterek!$M$224),2,3))),0),0)</f>
        <v>0</v>
      </c>
      <c r="AI837" s="13">
        <f ca="1">IF(AND($AA837=$M$11+1,$AB837=$M$12+1),SUMIF($AA$20:$AA$1027,$AA837,$AG$20:$AG$1027)*IF(SUMIF($AA$20:$AA$1027,$AA837,$AG$20:$AG$1027)&lt;IF($D$4="Forint",Paraméterek!$L$223,Paraméterek!$L$224),0,VLOOKUP($AA837,Paraméterek!$K$230:$M$250,IF(SUMIF($AA$20:$AA$1027,$AA837,$AG$20:$AG$1027)&lt;IF($D$4="Forint",Paraméterek!$M$223,Paraméterek!$M$224),2,3))),0)</f>
        <v>0</v>
      </c>
      <c r="AJ837" s="13">
        <f ca="1">IF(AND($AA837&gt;=5,MOD($AA837,5)=0),IF($AB837=12,VLOOKUP($AA837,Paraméterek!$O$225:$P$240,2),0),IF(OR($AA837=3,$AA837=4),IF($AB837=12,VLOOKUP($AA837,Paraméterek!$O$225:$P$240,2,0),0),0))*$AG837</f>
        <v>0</v>
      </c>
      <c r="AK837" s="13">
        <f t="shared" ca="1" si="273"/>
        <v>0</v>
      </c>
      <c r="AL837" s="13">
        <f t="shared" ca="1" si="281"/>
        <v>0</v>
      </c>
      <c r="AM837" s="13">
        <f t="shared" ca="1" si="282"/>
        <v>0</v>
      </c>
      <c r="AO837" s="32">
        <v>818</v>
      </c>
      <c r="AP837" s="32">
        <v>69</v>
      </c>
      <c r="AQ837" s="32">
        <v>2</v>
      </c>
      <c r="AR837" s="13"/>
      <c r="AS837" s="32"/>
      <c r="AT837" s="13">
        <f t="shared" ca="1" si="283"/>
        <v>0</v>
      </c>
      <c r="AU837" s="33"/>
      <c r="AV837" s="13">
        <f t="shared" ca="1" si="274"/>
        <v>0</v>
      </c>
      <c r="AW837" s="13">
        <f ca="1">ROUNDUP(($AT837+$AV837)*VLOOKUP($AP837,Paraméterek!$P$38:$Q$38,2)/12*IF($D838="Nem",IF($M$13=0,1,$M$13),1),IF($D$4="Forint",0,2))</f>
        <v>0</v>
      </c>
      <c r="AX837" s="13"/>
      <c r="AY837" s="13"/>
      <c r="AZ837" s="13">
        <f>ROUNDUP(IF(SUM($AX837:$AY837)=0,0,IF(IF(ISBLANK($AY837),$AX837,$AY837)*Paraméterek!$J$112&lt;IF($D$4="Forint",Paraméterek!$J$113,Paraméterek!$K$113),IF($D$4="Forint",Paraméterek!$J$113,Paraméterek!$K$113),IF(IF(ISBLANK($AY837),$AX837,$AY837)*Paraméterek!$J$112&gt;IF($D$4="Forint",Paraméterek!$J$114,Paraméterek!$K$114),IF($D$4="Forint",Paraméterek!$J$114,Paraméterek!$K$114),IF(ISBLANK($AY837),$AX837,$AY837)*Paraméterek!$J$112))),IF($D$4="Forint",0,2))</f>
        <v>0</v>
      </c>
      <c r="BA837" s="13">
        <f ca="1">$AT837+$AV837-$AW837-IF(ROUNDDOWN(IF(ISBLANK($AY837),$AX837,$AY837),IF($D$4="Forint",0,2))&gt;$AT837+$AV837-$AW837-IF($D$4="Forint",Paraméterek!$J$114,Paraméterek!$K$114),0,ROUNDDOWN(IF(ISBLANK($AY837),$AX837,$AY837),IF($D$4="Forint",0,2))-$AZ837)</f>
        <v>0</v>
      </c>
      <c r="BB837" s="13">
        <f t="shared" ca="1" si="275"/>
        <v>0</v>
      </c>
      <c r="BD837" s="32">
        <v>818</v>
      </c>
      <c r="BE837" s="32">
        <v>69</v>
      </c>
      <c r="BF837" s="32">
        <v>2</v>
      </c>
      <c r="BG837" s="34">
        <f t="shared" ca="1" si="284"/>
        <v>2087</v>
      </c>
      <c r="BH837" s="32" t="str">
        <f ca="1">IF(MOD(MONTH($D$14)+$BD837-1,12)=Paraméterek!$C$288,"Igen","")</f>
        <v>Igen</v>
      </c>
      <c r="BI837" s="13">
        <f ca="1">IF($BH837="Igen",MIN(ROUNDDOWN((SUMIF($BG$20:$BG$1027,$BG837-1,$K$20:$K$1027)-SUMIF($BG$20:$BG$1027,$BG837-1,$I$20:$I$1027))*Paraméterek!$C$289,IF($D$4="Forint",0,2)),IF($D$4="Forint",Paraméterek!$C$285,Paraméterek!$D$285)),0)</f>
        <v>0</v>
      </c>
      <c r="BJ837" s="13">
        <f t="shared" ca="1" si="276"/>
        <v>0</v>
      </c>
      <c r="BK837" s="13">
        <f t="shared" ca="1" si="285"/>
        <v>0</v>
      </c>
      <c r="BL837" s="33"/>
      <c r="BM837" s="13">
        <f t="shared" ca="1" si="277"/>
        <v>0</v>
      </c>
      <c r="BN837" s="13">
        <f ca="1">ROUNDUP(($BK837+$BM837)*VLOOKUP($BE837,Paraméterek!$P$38:$Q$38,2)/12*IF($D838="Nem",IF($M$13=0,1,$M$13),1),IF($D$4="Forint",0,2))</f>
        <v>0</v>
      </c>
      <c r="BO837" s="13">
        <f t="shared" ca="1" si="278"/>
        <v>0</v>
      </c>
      <c r="BP837" s="13">
        <f ca="1">IF($D838="Nem",$BO837,$BO837-ROUNDUP(SUM($BI$20:$BI837)*120%,IF($D$4="Forint",0,2)))</f>
        <v>0</v>
      </c>
    </row>
    <row r="838" spans="1:68" x14ac:dyDescent="0.2">
      <c r="A838" s="32">
        <v>819</v>
      </c>
      <c r="B838" s="32">
        <v>69</v>
      </c>
      <c r="C838" s="32">
        <v>3</v>
      </c>
      <c r="D838" s="32" t="str">
        <f t="shared" ca="1" si="264"/>
        <v>Nem</v>
      </c>
      <c r="E838" s="13">
        <f t="shared" ca="1" si="265"/>
        <v>0</v>
      </c>
      <c r="F838" s="13"/>
      <c r="G838" s="13"/>
      <c r="H838" s="13"/>
      <c r="I838" s="13">
        <f t="shared" ca="1" si="266"/>
        <v>0</v>
      </c>
      <c r="J838" s="13">
        <f t="shared" ca="1" si="267"/>
        <v>0</v>
      </c>
      <c r="K838" s="13">
        <f t="shared" ca="1" si="268"/>
        <v>0</v>
      </c>
      <c r="L838" s="13" t="e">
        <f ca="1">ROUNDUP(IF($D$2="Egyszeri",$E838,IF($D$2="Havi",SUM($E$20:$E$31),IF(MOD($C838,$M$1)-1=0,SUM($E$20:$E$31),0))/12*$M$1)*VLOOKUP($B838,Paraméterek!$I$28:$P$31,IF($D$2="Egyszeri",8,HLOOKUP(ROUNDUP($M$11+$M$13,0),Paraméterek!$J$26:$O$27,2))),IF($D$4="Forint",0,2))</f>
        <v>#N/A</v>
      </c>
      <c r="M838" s="13">
        <f t="shared" ca="1" si="269"/>
        <v>0</v>
      </c>
      <c r="N838" s="13">
        <f t="shared" ca="1" si="279"/>
        <v>0</v>
      </c>
      <c r="O838" s="13">
        <f ca="1">IF($D838="Igen",IF($W837&gt;=IF($D$4="Forint",Paraméterek!$J$121,Paraméterek!$K$121),0,IF($D$4="Forint",Paraméterek!$J$121,Paraméterek!$K$121)-$W837),0)</f>
        <v>0</v>
      </c>
      <c r="P838" s="13" t="e">
        <f ca="1">ROUNDUP($O838*VLOOKUP($M$4+$B838-1,Paraméterek!$H$58:$I$105,2,0)/Paraméterek!$I$56,IF($D$4="Forint",0,2))</f>
        <v>#N/A</v>
      </c>
      <c r="Q838" s="13">
        <f t="shared" ca="1" si="270"/>
        <v>0</v>
      </c>
      <c r="R838" s="33"/>
      <c r="S838" s="13" t="e">
        <f t="shared" ca="1" si="271"/>
        <v>#N/A</v>
      </c>
      <c r="T838" s="13" t="e">
        <f ca="1">ROUNDUP(($N838-$P838-$Q838+$S838)*VLOOKUP($B838,Paraméterek!$I$38:$K$39,IF($D$2="Egyszeri",3,2))/12*IF($D839="Nem",IF($M$13=0,1,$M$13),1),IF($D$4="Forint",0,2))</f>
        <v>#N/A</v>
      </c>
      <c r="U838" s="13"/>
      <c r="V838" s="13"/>
      <c r="W838" s="13" t="e">
        <f ca="1">$N838-$P838-$Q838+$S838-$T838-IF(ROUNDUP(IF(ISBLANK($V838),$U838*0,$V838)/IF($D$2="Egyszeri",VLOOKUP($B838+IF($C838=12,1,0),Paraméterek!$V$257:$W$262,2),IF($B838=1,1,VLOOKUP($B838+IF($C838=12,1,0),Paraméterek!$I$258:$T$278,HLOOKUP($M$11+1,Paraméterek!$J$256:$T$257,2)))),IF($D$4="Forint",0,2))&gt;$N838-$P838-$Q838+$S838-$T838-IF($D$4="Forint",Paraméterek!$C$216,Paraméterek!$D$216),0,ROUNDUP(IF(ISBLANK($V838),$U838*0,$V838)/IF($D$2="Egyszeri",VLOOKUP($B838+IF($C838=12,1,0),Paraméterek!$V$257:$W$262,2),IF($B838=1,1,VLOOKUP($B838+IF($C838=12,1,0),Paraméterek!$I$258:$T$278,HLOOKUP($M$11+1,Paraméterek!$J$256:$T$257,2)))),IF($D$4="Forint",0,2)))</f>
        <v>#N/A</v>
      </c>
      <c r="X838" s="13" t="e">
        <f ca="1">ROUNDDOWN($W838*IF($D$2="Egyszeri",VLOOKUP($B838+IF($C838=12,1,0),Paraméterek!$V$257:$W$262,2),VLOOKUP($B838+IF($C838=12,1,0),Paraméterek!$I$258:$T$278,HLOOKUP($M$11+1,Paraméterek!$I$256:$T$257,2))),IF($D$4="Forint",0,2))</f>
        <v>#N/A</v>
      </c>
      <c r="Z838" s="32">
        <v>819</v>
      </c>
      <c r="AA838" s="32">
        <v>69</v>
      </c>
      <c r="AB838" s="32">
        <v>3</v>
      </c>
      <c r="AC838" s="13">
        <f t="shared" ca="1" si="280"/>
        <v>0</v>
      </c>
      <c r="AD838" s="33"/>
      <c r="AE838" s="13">
        <f t="shared" ca="1" si="272"/>
        <v>0</v>
      </c>
      <c r="AF838" s="13">
        <f ca="1">ROUNDUP(($AC838+$AE838)*VLOOKUP($AA838,Paraméterek!$P$38:$Q$38,2)/12*IF($D839="Nem",IF($M$13=0,1,$M$13),1),IF($D$4="Forint",0,2))</f>
        <v>0</v>
      </c>
      <c r="AG838" s="13">
        <f ca="1">IF($D$2="Egyszeri",IF($D$7&gt;=IF($D$4="Forint",Paraméterek!$P$223,Paraméterek!$P$224),$D$7-IF($D$4="Forint",Paraméterek!$P$223,Paraméterek!$P$224),0),MIN(IF($AB838=12,AVERAGEIF($E$20:$E838,"&gt;0",$E$20:$E838)*12,0),SUM($E$20:$E$31)))</f>
        <v>0</v>
      </c>
      <c r="AH838" s="13">
        <f>IF($AA838=10,$AG838*IF($AB838=12,IF($AG838&lt;IF($D$4="Forint",Paraméterek!$L$223,Paraméterek!$L$224),0,VLOOKUP($AA838,Paraméterek!$K$226:$M$228,IF($AG838&lt;IF($D$4="Forint",Paraméterek!$M$223,Paraméterek!$M$224),2,3))),0),0)</f>
        <v>0</v>
      </c>
      <c r="AI838" s="13">
        <f ca="1">IF(AND($AA838=$M$11+1,$AB838=$M$12+1),SUMIF($AA$20:$AA$1027,$AA838,$AG$20:$AG$1027)*IF(SUMIF($AA$20:$AA$1027,$AA838,$AG$20:$AG$1027)&lt;IF($D$4="Forint",Paraméterek!$L$223,Paraméterek!$L$224),0,VLOOKUP($AA838,Paraméterek!$K$230:$M$250,IF(SUMIF($AA$20:$AA$1027,$AA838,$AG$20:$AG$1027)&lt;IF($D$4="Forint",Paraméterek!$M$223,Paraméterek!$M$224),2,3))),0)</f>
        <v>0</v>
      </c>
      <c r="AJ838" s="13">
        <f ca="1">IF(AND($AA838&gt;=5,MOD($AA838,5)=0),IF($AB838=12,VLOOKUP($AA838,Paraméterek!$O$225:$P$240,2),0),IF(OR($AA838=3,$AA838=4),IF($AB838=12,VLOOKUP($AA838,Paraméterek!$O$225:$P$240,2,0),0),0))*$AG838</f>
        <v>0</v>
      </c>
      <c r="AK838" s="13">
        <f t="shared" ca="1" si="273"/>
        <v>0</v>
      </c>
      <c r="AL838" s="13">
        <f t="shared" ca="1" si="281"/>
        <v>0</v>
      </c>
      <c r="AM838" s="13">
        <f t="shared" ca="1" si="282"/>
        <v>0</v>
      </c>
      <c r="AO838" s="32">
        <v>819</v>
      </c>
      <c r="AP838" s="32">
        <v>69</v>
      </c>
      <c r="AQ838" s="32">
        <v>3</v>
      </c>
      <c r="AR838" s="13"/>
      <c r="AS838" s="32"/>
      <c r="AT838" s="13">
        <f t="shared" ca="1" si="283"/>
        <v>0</v>
      </c>
      <c r="AU838" s="33"/>
      <c r="AV838" s="13">
        <f t="shared" ca="1" si="274"/>
        <v>0</v>
      </c>
      <c r="AW838" s="13">
        <f ca="1">ROUNDUP(($AT838+$AV838)*VLOOKUP($AP838,Paraméterek!$P$38:$Q$38,2)/12*IF($D839="Nem",IF($M$13=0,1,$M$13),1),IF($D$4="Forint",0,2))</f>
        <v>0</v>
      </c>
      <c r="AX838" s="13"/>
      <c r="AY838" s="13"/>
      <c r="AZ838" s="13">
        <f>ROUNDUP(IF(SUM($AX838:$AY838)=0,0,IF(IF(ISBLANK($AY838),$AX838,$AY838)*Paraméterek!$J$112&lt;IF($D$4="Forint",Paraméterek!$J$113,Paraméterek!$K$113),IF($D$4="Forint",Paraméterek!$J$113,Paraméterek!$K$113),IF(IF(ISBLANK($AY838),$AX838,$AY838)*Paraméterek!$J$112&gt;IF($D$4="Forint",Paraméterek!$J$114,Paraméterek!$K$114),IF($D$4="Forint",Paraméterek!$J$114,Paraméterek!$K$114),IF(ISBLANK($AY838),$AX838,$AY838)*Paraméterek!$J$112))),IF($D$4="Forint",0,2))</f>
        <v>0</v>
      </c>
      <c r="BA838" s="13">
        <f ca="1">$AT838+$AV838-$AW838-IF(ROUNDDOWN(IF(ISBLANK($AY838),$AX838,$AY838),IF($D$4="Forint",0,2))&gt;$AT838+$AV838-$AW838-IF($D$4="Forint",Paraméterek!$J$114,Paraméterek!$K$114),0,ROUNDDOWN(IF(ISBLANK($AY838),$AX838,$AY838),IF($D$4="Forint",0,2))-$AZ838)</f>
        <v>0</v>
      </c>
      <c r="BB838" s="13">
        <f t="shared" ca="1" si="275"/>
        <v>0</v>
      </c>
      <c r="BD838" s="32">
        <v>819</v>
      </c>
      <c r="BE838" s="32">
        <v>69</v>
      </c>
      <c r="BF838" s="32">
        <v>3</v>
      </c>
      <c r="BG838" s="34">
        <f t="shared" ca="1" si="284"/>
        <v>2087</v>
      </c>
      <c r="BH838" s="32" t="str">
        <f ca="1">IF(MOD(MONTH($D$14)+$BD838-1,12)=Paraméterek!$C$288,"Igen","")</f>
        <v/>
      </c>
      <c r="BI838" s="13">
        <f ca="1">IF($BH838="Igen",MIN(ROUNDDOWN((SUMIF($BG$20:$BG$1027,$BG838-1,$K$20:$K$1027)-SUMIF($BG$20:$BG$1027,$BG838-1,$I$20:$I$1027))*Paraméterek!$C$289,IF($D$4="Forint",0,2)),IF($D$4="Forint",Paraméterek!$C$285,Paraméterek!$D$285)),0)</f>
        <v>0</v>
      </c>
      <c r="BJ838" s="13">
        <f t="shared" ca="1" si="276"/>
        <v>0</v>
      </c>
      <c r="BK838" s="13">
        <f t="shared" ca="1" si="285"/>
        <v>0</v>
      </c>
      <c r="BL838" s="33"/>
      <c r="BM838" s="13">
        <f t="shared" ca="1" si="277"/>
        <v>0</v>
      </c>
      <c r="BN838" s="13">
        <f ca="1">ROUNDUP(($BK838+$BM838)*VLOOKUP($BE838,Paraméterek!$P$38:$Q$38,2)/12*IF($D839="Nem",IF($M$13=0,1,$M$13),1),IF($D$4="Forint",0,2))</f>
        <v>0</v>
      </c>
      <c r="BO838" s="13">
        <f t="shared" ca="1" si="278"/>
        <v>0</v>
      </c>
      <c r="BP838" s="13">
        <f ca="1">IF($D839="Nem",$BO838,$BO838-ROUNDUP(SUM($BI$20:$BI838)*120%,IF($D$4="Forint",0,2)))</f>
        <v>0</v>
      </c>
    </row>
    <row r="839" spans="1:68" x14ac:dyDescent="0.2">
      <c r="A839" s="32">
        <v>820</v>
      </c>
      <c r="B839" s="32">
        <v>69</v>
      </c>
      <c r="C839" s="32">
        <v>4</v>
      </c>
      <c r="D839" s="32" t="str">
        <f t="shared" ca="1" si="264"/>
        <v>Nem</v>
      </c>
      <c r="E839" s="13">
        <f t="shared" ca="1" si="265"/>
        <v>0</v>
      </c>
      <c r="F839" s="13"/>
      <c r="G839" s="13"/>
      <c r="H839" s="13"/>
      <c r="I839" s="13">
        <f t="shared" ca="1" si="266"/>
        <v>0</v>
      </c>
      <c r="J839" s="13">
        <f t="shared" ca="1" si="267"/>
        <v>0</v>
      </c>
      <c r="K839" s="13">
        <f t="shared" ca="1" si="268"/>
        <v>0</v>
      </c>
      <c r="L839" s="13" t="e">
        <f ca="1">ROUNDUP(IF($D$2="Egyszeri",$E839,IF($D$2="Havi",SUM($E$20:$E$31),IF(MOD($C839,$M$1)-1=0,SUM($E$20:$E$31),0))/12*$M$1)*VLOOKUP($B839,Paraméterek!$I$28:$P$31,IF($D$2="Egyszeri",8,HLOOKUP(ROUNDUP($M$11+$M$13,0),Paraméterek!$J$26:$O$27,2))),IF($D$4="Forint",0,2))</f>
        <v>#N/A</v>
      </c>
      <c r="M839" s="13">
        <f t="shared" ca="1" si="269"/>
        <v>0</v>
      </c>
      <c r="N839" s="13">
        <f t="shared" ca="1" si="279"/>
        <v>0</v>
      </c>
      <c r="O839" s="13">
        <f ca="1">IF($D839="Igen",IF($W838&gt;=IF($D$4="Forint",Paraméterek!$J$121,Paraméterek!$K$121),0,IF($D$4="Forint",Paraméterek!$J$121,Paraméterek!$K$121)-$W838),0)</f>
        <v>0</v>
      </c>
      <c r="P839" s="13" t="e">
        <f ca="1">ROUNDUP($O839*VLOOKUP($M$4+$B839-1,Paraméterek!$H$58:$I$105,2,0)/Paraméterek!$I$56,IF($D$4="Forint",0,2))</f>
        <v>#N/A</v>
      </c>
      <c r="Q839" s="13">
        <f t="shared" ca="1" si="270"/>
        <v>0</v>
      </c>
      <c r="R839" s="33"/>
      <c r="S839" s="13" t="e">
        <f t="shared" ca="1" si="271"/>
        <v>#N/A</v>
      </c>
      <c r="T839" s="13" t="e">
        <f ca="1">ROUNDUP(($N839-$P839-$Q839+$S839)*VLOOKUP($B839,Paraméterek!$I$38:$K$39,IF($D$2="Egyszeri",3,2))/12*IF($D840="Nem",IF($M$13=0,1,$M$13),1),IF($D$4="Forint",0,2))</f>
        <v>#N/A</v>
      </c>
      <c r="U839" s="13"/>
      <c r="V839" s="13"/>
      <c r="W839" s="13" t="e">
        <f ca="1">$N839-$P839-$Q839+$S839-$T839-IF(ROUNDUP(IF(ISBLANK($V839),$U839*0,$V839)/IF($D$2="Egyszeri",VLOOKUP($B839+IF($C839=12,1,0),Paraméterek!$V$257:$W$262,2),IF($B839=1,1,VLOOKUP($B839+IF($C839=12,1,0),Paraméterek!$I$258:$T$278,HLOOKUP($M$11+1,Paraméterek!$J$256:$T$257,2)))),IF($D$4="Forint",0,2))&gt;$N839-$P839-$Q839+$S839-$T839-IF($D$4="Forint",Paraméterek!$C$216,Paraméterek!$D$216),0,ROUNDUP(IF(ISBLANK($V839),$U839*0,$V839)/IF($D$2="Egyszeri",VLOOKUP($B839+IF($C839=12,1,0),Paraméterek!$V$257:$W$262,2),IF($B839=1,1,VLOOKUP($B839+IF($C839=12,1,0),Paraméterek!$I$258:$T$278,HLOOKUP($M$11+1,Paraméterek!$J$256:$T$257,2)))),IF($D$4="Forint",0,2)))</f>
        <v>#N/A</v>
      </c>
      <c r="X839" s="13" t="e">
        <f ca="1">ROUNDDOWN($W839*IF($D$2="Egyszeri",VLOOKUP($B839+IF($C839=12,1,0),Paraméterek!$V$257:$W$262,2),VLOOKUP($B839+IF($C839=12,1,0),Paraméterek!$I$258:$T$278,HLOOKUP($M$11+1,Paraméterek!$I$256:$T$257,2))),IF($D$4="Forint",0,2))</f>
        <v>#N/A</v>
      </c>
      <c r="Z839" s="32">
        <v>820</v>
      </c>
      <c r="AA839" s="32">
        <v>69</v>
      </c>
      <c r="AB839" s="32">
        <v>4</v>
      </c>
      <c r="AC839" s="13">
        <f t="shared" ca="1" si="280"/>
        <v>0</v>
      </c>
      <c r="AD839" s="33"/>
      <c r="AE839" s="13">
        <f t="shared" ca="1" si="272"/>
        <v>0</v>
      </c>
      <c r="AF839" s="13">
        <f ca="1">ROUNDUP(($AC839+$AE839)*VLOOKUP($AA839,Paraméterek!$P$38:$Q$38,2)/12*IF($D840="Nem",IF($M$13=0,1,$M$13),1),IF($D$4="Forint",0,2))</f>
        <v>0</v>
      </c>
      <c r="AG839" s="13">
        <f ca="1">IF($D$2="Egyszeri",IF($D$7&gt;=IF($D$4="Forint",Paraméterek!$P$223,Paraméterek!$P$224),$D$7-IF($D$4="Forint",Paraméterek!$P$223,Paraméterek!$P$224),0),MIN(IF($AB839=12,AVERAGEIF($E$20:$E839,"&gt;0",$E$20:$E839)*12,0),SUM($E$20:$E$31)))</f>
        <v>0</v>
      </c>
      <c r="AH839" s="13">
        <f>IF($AA839=10,$AG839*IF($AB839=12,IF($AG839&lt;IF($D$4="Forint",Paraméterek!$L$223,Paraméterek!$L$224),0,VLOOKUP($AA839,Paraméterek!$K$226:$M$228,IF($AG839&lt;IF($D$4="Forint",Paraméterek!$M$223,Paraméterek!$M$224),2,3))),0),0)</f>
        <v>0</v>
      </c>
      <c r="AI839" s="13">
        <f ca="1">IF(AND($AA839=$M$11+1,$AB839=$M$12+1),SUMIF($AA$20:$AA$1027,$AA839,$AG$20:$AG$1027)*IF(SUMIF($AA$20:$AA$1027,$AA839,$AG$20:$AG$1027)&lt;IF($D$4="Forint",Paraméterek!$L$223,Paraméterek!$L$224),0,VLOOKUP($AA839,Paraméterek!$K$230:$M$250,IF(SUMIF($AA$20:$AA$1027,$AA839,$AG$20:$AG$1027)&lt;IF($D$4="Forint",Paraméterek!$M$223,Paraméterek!$M$224),2,3))),0)</f>
        <v>0</v>
      </c>
      <c r="AJ839" s="13">
        <f ca="1">IF(AND($AA839&gt;=5,MOD($AA839,5)=0),IF($AB839=12,VLOOKUP($AA839,Paraméterek!$O$225:$P$240,2),0),IF(OR($AA839=3,$AA839=4),IF($AB839=12,VLOOKUP($AA839,Paraméterek!$O$225:$P$240,2,0),0),0))*$AG839</f>
        <v>0</v>
      </c>
      <c r="AK839" s="13">
        <f t="shared" ca="1" si="273"/>
        <v>0</v>
      </c>
      <c r="AL839" s="13">
        <f t="shared" ca="1" si="281"/>
        <v>0</v>
      </c>
      <c r="AM839" s="13">
        <f t="shared" ca="1" si="282"/>
        <v>0</v>
      </c>
      <c r="AO839" s="32">
        <v>820</v>
      </c>
      <c r="AP839" s="32">
        <v>69</v>
      </c>
      <c r="AQ839" s="32">
        <v>4</v>
      </c>
      <c r="AR839" s="13"/>
      <c r="AS839" s="32"/>
      <c r="AT839" s="13">
        <f t="shared" ca="1" si="283"/>
        <v>0</v>
      </c>
      <c r="AU839" s="33"/>
      <c r="AV839" s="13">
        <f t="shared" ca="1" si="274"/>
        <v>0</v>
      </c>
      <c r="AW839" s="13">
        <f ca="1">ROUNDUP(($AT839+$AV839)*VLOOKUP($AP839,Paraméterek!$P$38:$Q$38,2)/12*IF($D840="Nem",IF($M$13=0,1,$M$13),1),IF($D$4="Forint",0,2))</f>
        <v>0</v>
      </c>
      <c r="AX839" s="13"/>
      <c r="AY839" s="13"/>
      <c r="AZ839" s="13">
        <f>ROUNDUP(IF(SUM($AX839:$AY839)=0,0,IF(IF(ISBLANK($AY839),$AX839,$AY839)*Paraméterek!$J$112&lt;IF($D$4="Forint",Paraméterek!$J$113,Paraméterek!$K$113),IF($D$4="Forint",Paraméterek!$J$113,Paraméterek!$K$113),IF(IF(ISBLANK($AY839),$AX839,$AY839)*Paraméterek!$J$112&gt;IF($D$4="Forint",Paraméterek!$J$114,Paraméterek!$K$114),IF($D$4="Forint",Paraméterek!$J$114,Paraméterek!$K$114),IF(ISBLANK($AY839),$AX839,$AY839)*Paraméterek!$J$112))),IF($D$4="Forint",0,2))</f>
        <v>0</v>
      </c>
      <c r="BA839" s="13">
        <f ca="1">$AT839+$AV839-$AW839-IF(ROUNDDOWN(IF(ISBLANK($AY839),$AX839,$AY839),IF($D$4="Forint",0,2))&gt;$AT839+$AV839-$AW839-IF($D$4="Forint",Paraméterek!$J$114,Paraméterek!$K$114),0,ROUNDDOWN(IF(ISBLANK($AY839),$AX839,$AY839),IF($D$4="Forint",0,2))-$AZ839)</f>
        <v>0</v>
      </c>
      <c r="BB839" s="13">
        <f t="shared" ca="1" si="275"/>
        <v>0</v>
      </c>
      <c r="BD839" s="32">
        <v>820</v>
      </c>
      <c r="BE839" s="32">
        <v>69</v>
      </c>
      <c r="BF839" s="32">
        <v>4</v>
      </c>
      <c r="BG839" s="34">
        <f t="shared" ca="1" si="284"/>
        <v>2087</v>
      </c>
      <c r="BH839" s="32" t="str">
        <f ca="1">IF(MOD(MONTH($D$14)+$BD839-1,12)=Paraméterek!$C$288,"Igen","")</f>
        <v/>
      </c>
      <c r="BI839" s="13">
        <f ca="1">IF($BH839="Igen",MIN(ROUNDDOWN((SUMIF($BG$20:$BG$1027,$BG839-1,$K$20:$K$1027)-SUMIF($BG$20:$BG$1027,$BG839-1,$I$20:$I$1027))*Paraméterek!$C$289,IF($D$4="Forint",0,2)),IF($D$4="Forint",Paraméterek!$C$285,Paraméterek!$D$285)),0)</f>
        <v>0</v>
      </c>
      <c r="BJ839" s="13">
        <f t="shared" ca="1" si="276"/>
        <v>0</v>
      </c>
      <c r="BK839" s="13">
        <f t="shared" ca="1" si="285"/>
        <v>0</v>
      </c>
      <c r="BL839" s="33"/>
      <c r="BM839" s="13">
        <f t="shared" ca="1" si="277"/>
        <v>0</v>
      </c>
      <c r="BN839" s="13">
        <f ca="1">ROUNDUP(($BK839+$BM839)*VLOOKUP($BE839,Paraméterek!$P$38:$Q$38,2)/12*IF($D840="Nem",IF($M$13=0,1,$M$13),1),IF($D$4="Forint",0,2))</f>
        <v>0</v>
      </c>
      <c r="BO839" s="13">
        <f t="shared" ca="1" si="278"/>
        <v>0</v>
      </c>
      <c r="BP839" s="13">
        <f ca="1">IF($D840="Nem",$BO839,$BO839-ROUNDUP(SUM($BI$20:$BI839)*120%,IF($D$4="Forint",0,2)))</f>
        <v>0</v>
      </c>
    </row>
    <row r="840" spans="1:68" x14ac:dyDescent="0.2">
      <c r="A840" s="32">
        <v>821</v>
      </c>
      <c r="B840" s="32">
        <v>69</v>
      </c>
      <c r="C840" s="32">
        <v>5</v>
      </c>
      <c r="D840" s="32" t="str">
        <f t="shared" ca="1" si="264"/>
        <v>Nem</v>
      </c>
      <c r="E840" s="13">
        <f t="shared" ca="1" si="265"/>
        <v>0</v>
      </c>
      <c r="F840" s="13"/>
      <c r="G840" s="13"/>
      <c r="H840" s="13"/>
      <c r="I840" s="13">
        <f t="shared" ca="1" si="266"/>
        <v>0</v>
      </c>
      <c r="J840" s="13">
        <f t="shared" ca="1" si="267"/>
        <v>0</v>
      </c>
      <c r="K840" s="13">
        <f t="shared" ca="1" si="268"/>
        <v>0</v>
      </c>
      <c r="L840" s="13" t="e">
        <f ca="1">ROUNDUP(IF($D$2="Egyszeri",$E840,IF($D$2="Havi",SUM($E$20:$E$31),IF(MOD($C840,$M$1)-1=0,SUM($E$20:$E$31),0))/12*$M$1)*VLOOKUP($B840,Paraméterek!$I$28:$P$31,IF($D$2="Egyszeri",8,HLOOKUP(ROUNDUP($M$11+$M$13,0),Paraméterek!$J$26:$O$27,2))),IF($D$4="Forint",0,2))</f>
        <v>#N/A</v>
      </c>
      <c r="M840" s="13">
        <f t="shared" ca="1" si="269"/>
        <v>0</v>
      </c>
      <c r="N840" s="13">
        <f t="shared" ca="1" si="279"/>
        <v>0</v>
      </c>
      <c r="O840" s="13">
        <f ca="1">IF($D840="Igen",IF($W839&gt;=IF($D$4="Forint",Paraméterek!$J$121,Paraméterek!$K$121),0,IF($D$4="Forint",Paraméterek!$J$121,Paraméterek!$K$121)-$W839),0)</f>
        <v>0</v>
      </c>
      <c r="P840" s="13" t="e">
        <f ca="1">ROUNDUP($O840*VLOOKUP($M$4+$B840-1,Paraméterek!$H$58:$I$105,2,0)/Paraméterek!$I$56,IF($D$4="Forint",0,2))</f>
        <v>#N/A</v>
      </c>
      <c r="Q840" s="13">
        <f t="shared" ca="1" si="270"/>
        <v>0</v>
      </c>
      <c r="R840" s="33"/>
      <c r="S840" s="13" t="e">
        <f t="shared" ca="1" si="271"/>
        <v>#N/A</v>
      </c>
      <c r="T840" s="13" t="e">
        <f ca="1">ROUNDUP(($N840-$P840-$Q840+$S840)*VLOOKUP($B840,Paraméterek!$I$38:$K$39,IF($D$2="Egyszeri",3,2))/12*IF($D841="Nem",IF($M$13=0,1,$M$13),1),IF($D$4="Forint",0,2))</f>
        <v>#N/A</v>
      </c>
      <c r="U840" s="13"/>
      <c r="V840" s="13"/>
      <c r="W840" s="13" t="e">
        <f ca="1">$N840-$P840-$Q840+$S840-$T840-IF(ROUNDUP(IF(ISBLANK($V840),$U840*0,$V840)/IF($D$2="Egyszeri",VLOOKUP($B840+IF($C840=12,1,0),Paraméterek!$V$257:$W$262,2),IF($B840=1,1,VLOOKUP($B840+IF($C840=12,1,0),Paraméterek!$I$258:$T$278,HLOOKUP($M$11+1,Paraméterek!$J$256:$T$257,2)))),IF($D$4="Forint",0,2))&gt;$N840-$P840-$Q840+$S840-$T840-IF($D$4="Forint",Paraméterek!$C$216,Paraméterek!$D$216),0,ROUNDUP(IF(ISBLANK($V840),$U840*0,$V840)/IF($D$2="Egyszeri",VLOOKUP($B840+IF($C840=12,1,0),Paraméterek!$V$257:$W$262,2),IF($B840=1,1,VLOOKUP($B840+IF($C840=12,1,0),Paraméterek!$I$258:$T$278,HLOOKUP($M$11+1,Paraméterek!$J$256:$T$257,2)))),IF($D$4="Forint",0,2)))</f>
        <v>#N/A</v>
      </c>
      <c r="X840" s="13" t="e">
        <f ca="1">ROUNDDOWN($W840*IF($D$2="Egyszeri",VLOOKUP($B840+IF($C840=12,1,0),Paraméterek!$V$257:$W$262,2),VLOOKUP($B840+IF($C840=12,1,0),Paraméterek!$I$258:$T$278,HLOOKUP($M$11+1,Paraméterek!$I$256:$T$257,2))),IF($D$4="Forint",0,2))</f>
        <v>#N/A</v>
      </c>
      <c r="Z840" s="32">
        <v>821</v>
      </c>
      <c r="AA840" s="32">
        <v>69</v>
      </c>
      <c r="AB840" s="32">
        <v>5</v>
      </c>
      <c r="AC840" s="13">
        <f t="shared" ca="1" si="280"/>
        <v>0</v>
      </c>
      <c r="AD840" s="33"/>
      <c r="AE840" s="13">
        <f t="shared" ca="1" si="272"/>
        <v>0</v>
      </c>
      <c r="AF840" s="13">
        <f ca="1">ROUNDUP(($AC840+$AE840)*VLOOKUP($AA840,Paraméterek!$P$38:$Q$38,2)/12*IF($D841="Nem",IF($M$13=0,1,$M$13),1),IF($D$4="Forint",0,2))</f>
        <v>0</v>
      </c>
      <c r="AG840" s="13">
        <f ca="1">IF($D$2="Egyszeri",IF($D$7&gt;=IF($D$4="Forint",Paraméterek!$P$223,Paraméterek!$P$224),$D$7-IF($D$4="Forint",Paraméterek!$P$223,Paraméterek!$P$224),0),MIN(IF($AB840=12,AVERAGEIF($E$20:$E840,"&gt;0",$E$20:$E840)*12,0),SUM($E$20:$E$31)))</f>
        <v>0</v>
      </c>
      <c r="AH840" s="13">
        <f>IF($AA840=10,$AG840*IF($AB840=12,IF($AG840&lt;IF($D$4="Forint",Paraméterek!$L$223,Paraméterek!$L$224),0,VLOOKUP($AA840,Paraméterek!$K$226:$M$228,IF($AG840&lt;IF($D$4="Forint",Paraméterek!$M$223,Paraméterek!$M$224),2,3))),0),0)</f>
        <v>0</v>
      </c>
      <c r="AI840" s="13">
        <f ca="1">IF(AND($AA840=$M$11+1,$AB840=$M$12+1),SUMIF($AA$20:$AA$1027,$AA840,$AG$20:$AG$1027)*IF(SUMIF($AA$20:$AA$1027,$AA840,$AG$20:$AG$1027)&lt;IF($D$4="Forint",Paraméterek!$L$223,Paraméterek!$L$224),0,VLOOKUP($AA840,Paraméterek!$K$230:$M$250,IF(SUMIF($AA$20:$AA$1027,$AA840,$AG$20:$AG$1027)&lt;IF($D$4="Forint",Paraméterek!$M$223,Paraméterek!$M$224),2,3))),0)</f>
        <v>0</v>
      </c>
      <c r="AJ840" s="13">
        <f ca="1">IF(AND($AA840&gt;=5,MOD($AA840,5)=0),IF($AB840=12,VLOOKUP($AA840,Paraméterek!$O$225:$P$240,2),0),IF(OR($AA840=3,$AA840=4),IF($AB840=12,VLOOKUP($AA840,Paraméterek!$O$225:$P$240,2,0),0),0))*$AG840</f>
        <v>0</v>
      </c>
      <c r="AK840" s="13">
        <f t="shared" ca="1" si="273"/>
        <v>0</v>
      </c>
      <c r="AL840" s="13">
        <f t="shared" ca="1" si="281"/>
        <v>0</v>
      </c>
      <c r="AM840" s="13">
        <f t="shared" ca="1" si="282"/>
        <v>0</v>
      </c>
      <c r="AO840" s="32">
        <v>821</v>
      </c>
      <c r="AP840" s="32">
        <v>69</v>
      </c>
      <c r="AQ840" s="32">
        <v>5</v>
      </c>
      <c r="AR840" s="13"/>
      <c r="AS840" s="32"/>
      <c r="AT840" s="13">
        <f t="shared" ca="1" si="283"/>
        <v>0</v>
      </c>
      <c r="AU840" s="33"/>
      <c r="AV840" s="13">
        <f t="shared" ca="1" si="274"/>
        <v>0</v>
      </c>
      <c r="AW840" s="13">
        <f ca="1">ROUNDUP(($AT840+$AV840)*VLOOKUP($AP840,Paraméterek!$P$38:$Q$38,2)/12*IF($D841="Nem",IF($M$13=0,1,$M$13),1),IF($D$4="Forint",0,2))</f>
        <v>0</v>
      </c>
      <c r="AX840" s="13"/>
      <c r="AY840" s="13"/>
      <c r="AZ840" s="13">
        <f>ROUNDUP(IF(SUM($AX840:$AY840)=0,0,IF(IF(ISBLANK($AY840),$AX840,$AY840)*Paraméterek!$J$112&lt;IF($D$4="Forint",Paraméterek!$J$113,Paraméterek!$K$113),IF($D$4="Forint",Paraméterek!$J$113,Paraméterek!$K$113),IF(IF(ISBLANK($AY840),$AX840,$AY840)*Paraméterek!$J$112&gt;IF($D$4="Forint",Paraméterek!$J$114,Paraméterek!$K$114),IF($D$4="Forint",Paraméterek!$J$114,Paraméterek!$K$114),IF(ISBLANK($AY840),$AX840,$AY840)*Paraméterek!$J$112))),IF($D$4="Forint",0,2))</f>
        <v>0</v>
      </c>
      <c r="BA840" s="13">
        <f ca="1">$AT840+$AV840-$AW840-IF(ROUNDDOWN(IF(ISBLANK($AY840),$AX840,$AY840),IF($D$4="Forint",0,2))&gt;$AT840+$AV840-$AW840-IF($D$4="Forint",Paraméterek!$J$114,Paraméterek!$K$114),0,ROUNDDOWN(IF(ISBLANK($AY840),$AX840,$AY840),IF($D$4="Forint",0,2))-$AZ840)</f>
        <v>0</v>
      </c>
      <c r="BB840" s="13">
        <f t="shared" ca="1" si="275"/>
        <v>0</v>
      </c>
      <c r="BD840" s="32">
        <v>821</v>
      </c>
      <c r="BE840" s="32">
        <v>69</v>
      </c>
      <c r="BF840" s="32">
        <v>5</v>
      </c>
      <c r="BG840" s="34">
        <f t="shared" ca="1" si="284"/>
        <v>2087</v>
      </c>
      <c r="BH840" s="32" t="str">
        <f ca="1">IF(MOD(MONTH($D$14)+$BD840-1,12)=Paraméterek!$C$288,"Igen","")</f>
        <v/>
      </c>
      <c r="BI840" s="13">
        <f ca="1">IF($BH840="Igen",MIN(ROUNDDOWN((SUMIF($BG$20:$BG$1027,$BG840-1,$K$20:$K$1027)-SUMIF($BG$20:$BG$1027,$BG840-1,$I$20:$I$1027))*Paraméterek!$C$289,IF($D$4="Forint",0,2)),IF($D$4="Forint",Paraméterek!$C$285,Paraméterek!$D$285)),0)</f>
        <v>0</v>
      </c>
      <c r="BJ840" s="13">
        <f t="shared" ca="1" si="276"/>
        <v>0</v>
      </c>
      <c r="BK840" s="13">
        <f t="shared" ca="1" si="285"/>
        <v>0</v>
      </c>
      <c r="BL840" s="33"/>
      <c r="BM840" s="13">
        <f t="shared" ca="1" si="277"/>
        <v>0</v>
      </c>
      <c r="BN840" s="13">
        <f ca="1">ROUNDUP(($BK840+$BM840)*VLOOKUP($BE840,Paraméterek!$P$38:$Q$38,2)/12*IF($D841="Nem",IF($M$13=0,1,$M$13),1),IF($D$4="Forint",0,2))</f>
        <v>0</v>
      </c>
      <c r="BO840" s="13">
        <f t="shared" ca="1" si="278"/>
        <v>0</v>
      </c>
      <c r="BP840" s="13">
        <f ca="1">IF($D841="Nem",$BO840,$BO840-ROUNDUP(SUM($BI$20:$BI840)*120%,IF($D$4="Forint",0,2)))</f>
        <v>0</v>
      </c>
    </row>
    <row r="841" spans="1:68" x14ac:dyDescent="0.2">
      <c r="A841" s="32">
        <v>822</v>
      </c>
      <c r="B841" s="32">
        <v>69</v>
      </c>
      <c r="C841" s="32">
        <v>6</v>
      </c>
      <c r="D841" s="32" t="str">
        <f t="shared" ca="1" si="264"/>
        <v>Nem</v>
      </c>
      <c r="E841" s="13">
        <f t="shared" ca="1" si="265"/>
        <v>0</v>
      </c>
      <c r="F841" s="13"/>
      <c r="G841" s="13"/>
      <c r="H841" s="13"/>
      <c r="I841" s="13">
        <f t="shared" ca="1" si="266"/>
        <v>0</v>
      </c>
      <c r="J841" s="13">
        <f t="shared" ca="1" si="267"/>
        <v>0</v>
      </c>
      <c r="K841" s="13">
        <f t="shared" ca="1" si="268"/>
        <v>0</v>
      </c>
      <c r="L841" s="13" t="e">
        <f ca="1">ROUNDUP(IF($D$2="Egyszeri",$E841,IF($D$2="Havi",SUM($E$20:$E$31),IF(MOD($C841,$M$1)-1=0,SUM($E$20:$E$31),0))/12*$M$1)*VLOOKUP($B841,Paraméterek!$I$28:$P$31,IF($D$2="Egyszeri",8,HLOOKUP(ROUNDUP($M$11+$M$13,0),Paraméterek!$J$26:$O$27,2))),IF($D$4="Forint",0,2))</f>
        <v>#N/A</v>
      </c>
      <c r="M841" s="13">
        <f t="shared" ca="1" si="269"/>
        <v>0</v>
      </c>
      <c r="N841" s="13">
        <f t="shared" ca="1" si="279"/>
        <v>0</v>
      </c>
      <c r="O841" s="13">
        <f ca="1">IF($D841="Igen",IF($W840&gt;=IF($D$4="Forint",Paraméterek!$J$121,Paraméterek!$K$121),0,IF($D$4="Forint",Paraméterek!$J$121,Paraméterek!$K$121)-$W840),0)</f>
        <v>0</v>
      </c>
      <c r="P841" s="13" t="e">
        <f ca="1">ROUNDUP($O841*VLOOKUP($M$4+$B841-1,Paraméterek!$H$58:$I$105,2,0)/Paraméterek!$I$56,IF($D$4="Forint",0,2))</f>
        <v>#N/A</v>
      </c>
      <c r="Q841" s="13">
        <f t="shared" ca="1" si="270"/>
        <v>0</v>
      </c>
      <c r="R841" s="33"/>
      <c r="S841" s="13" t="e">
        <f t="shared" ca="1" si="271"/>
        <v>#N/A</v>
      </c>
      <c r="T841" s="13" t="e">
        <f ca="1">ROUNDUP(($N841-$P841-$Q841+$S841)*VLOOKUP($B841,Paraméterek!$I$38:$K$39,IF($D$2="Egyszeri",3,2))/12*IF($D842="Nem",IF($M$13=0,1,$M$13),1),IF($D$4="Forint",0,2))</f>
        <v>#N/A</v>
      </c>
      <c r="U841" s="13"/>
      <c r="V841" s="13"/>
      <c r="W841" s="13" t="e">
        <f ca="1">$N841-$P841-$Q841+$S841-$T841-IF(ROUNDUP(IF(ISBLANK($V841),$U841*0,$V841)/IF($D$2="Egyszeri",VLOOKUP($B841+IF($C841=12,1,0),Paraméterek!$V$257:$W$262,2),IF($B841=1,1,VLOOKUP($B841+IF($C841=12,1,0),Paraméterek!$I$258:$T$278,HLOOKUP($M$11+1,Paraméterek!$J$256:$T$257,2)))),IF($D$4="Forint",0,2))&gt;$N841-$P841-$Q841+$S841-$T841-IF($D$4="Forint",Paraméterek!$C$216,Paraméterek!$D$216),0,ROUNDUP(IF(ISBLANK($V841),$U841*0,$V841)/IF($D$2="Egyszeri",VLOOKUP($B841+IF($C841=12,1,0),Paraméterek!$V$257:$W$262,2),IF($B841=1,1,VLOOKUP($B841+IF($C841=12,1,0),Paraméterek!$I$258:$T$278,HLOOKUP($M$11+1,Paraméterek!$J$256:$T$257,2)))),IF($D$4="Forint",0,2)))</f>
        <v>#N/A</v>
      </c>
      <c r="X841" s="13" t="e">
        <f ca="1">ROUNDDOWN($W841*IF($D$2="Egyszeri",VLOOKUP($B841+IF($C841=12,1,0),Paraméterek!$V$257:$W$262,2),VLOOKUP($B841+IF($C841=12,1,0),Paraméterek!$I$258:$T$278,HLOOKUP($M$11+1,Paraméterek!$I$256:$T$257,2))),IF($D$4="Forint",0,2))</f>
        <v>#N/A</v>
      </c>
      <c r="Z841" s="32">
        <v>822</v>
      </c>
      <c r="AA841" s="32">
        <v>69</v>
      </c>
      <c r="AB841" s="32">
        <v>6</v>
      </c>
      <c r="AC841" s="13">
        <f t="shared" ca="1" si="280"/>
        <v>0</v>
      </c>
      <c r="AD841" s="33"/>
      <c r="AE841" s="13">
        <f t="shared" ca="1" si="272"/>
        <v>0</v>
      </c>
      <c r="AF841" s="13">
        <f ca="1">ROUNDUP(($AC841+$AE841)*VLOOKUP($AA841,Paraméterek!$P$38:$Q$38,2)/12*IF($D842="Nem",IF($M$13=0,1,$M$13),1),IF($D$4="Forint",0,2))</f>
        <v>0</v>
      </c>
      <c r="AG841" s="13">
        <f ca="1">IF($D$2="Egyszeri",IF($D$7&gt;=IF($D$4="Forint",Paraméterek!$P$223,Paraméterek!$P$224),$D$7-IF($D$4="Forint",Paraméterek!$P$223,Paraméterek!$P$224),0),MIN(IF($AB841=12,AVERAGEIF($E$20:$E841,"&gt;0",$E$20:$E841)*12,0),SUM($E$20:$E$31)))</f>
        <v>0</v>
      </c>
      <c r="AH841" s="13">
        <f>IF($AA841=10,$AG841*IF($AB841=12,IF($AG841&lt;IF($D$4="Forint",Paraméterek!$L$223,Paraméterek!$L$224),0,VLOOKUP($AA841,Paraméterek!$K$226:$M$228,IF($AG841&lt;IF($D$4="Forint",Paraméterek!$M$223,Paraméterek!$M$224),2,3))),0),0)</f>
        <v>0</v>
      </c>
      <c r="AI841" s="13">
        <f ca="1">IF(AND($AA841=$M$11+1,$AB841=$M$12+1),SUMIF($AA$20:$AA$1027,$AA841,$AG$20:$AG$1027)*IF(SUMIF($AA$20:$AA$1027,$AA841,$AG$20:$AG$1027)&lt;IF($D$4="Forint",Paraméterek!$L$223,Paraméterek!$L$224),0,VLOOKUP($AA841,Paraméterek!$K$230:$M$250,IF(SUMIF($AA$20:$AA$1027,$AA841,$AG$20:$AG$1027)&lt;IF($D$4="Forint",Paraméterek!$M$223,Paraméterek!$M$224),2,3))),0)</f>
        <v>0</v>
      </c>
      <c r="AJ841" s="13">
        <f ca="1">IF(AND($AA841&gt;=5,MOD($AA841,5)=0),IF($AB841=12,VLOOKUP($AA841,Paraméterek!$O$225:$P$240,2),0),IF(OR($AA841=3,$AA841=4),IF($AB841=12,VLOOKUP($AA841,Paraméterek!$O$225:$P$240,2,0),0),0))*$AG841</f>
        <v>0</v>
      </c>
      <c r="AK841" s="13">
        <f t="shared" ca="1" si="273"/>
        <v>0</v>
      </c>
      <c r="AL841" s="13">
        <f t="shared" ca="1" si="281"/>
        <v>0</v>
      </c>
      <c r="AM841" s="13">
        <f t="shared" ca="1" si="282"/>
        <v>0</v>
      </c>
      <c r="AO841" s="32">
        <v>822</v>
      </c>
      <c r="AP841" s="32">
        <v>69</v>
      </c>
      <c r="AQ841" s="32">
        <v>6</v>
      </c>
      <c r="AR841" s="13"/>
      <c r="AS841" s="32"/>
      <c r="AT841" s="13">
        <f t="shared" ca="1" si="283"/>
        <v>0</v>
      </c>
      <c r="AU841" s="33"/>
      <c r="AV841" s="13">
        <f t="shared" ca="1" si="274"/>
        <v>0</v>
      </c>
      <c r="AW841" s="13">
        <f ca="1">ROUNDUP(($AT841+$AV841)*VLOOKUP($AP841,Paraméterek!$P$38:$Q$38,2)/12*IF($D842="Nem",IF($M$13=0,1,$M$13),1),IF($D$4="Forint",0,2))</f>
        <v>0</v>
      </c>
      <c r="AX841" s="13"/>
      <c r="AY841" s="13"/>
      <c r="AZ841" s="13">
        <f>ROUNDUP(IF(SUM($AX841:$AY841)=0,0,IF(IF(ISBLANK($AY841),$AX841,$AY841)*Paraméterek!$J$112&lt;IF($D$4="Forint",Paraméterek!$J$113,Paraméterek!$K$113),IF($D$4="Forint",Paraméterek!$J$113,Paraméterek!$K$113),IF(IF(ISBLANK($AY841),$AX841,$AY841)*Paraméterek!$J$112&gt;IF($D$4="Forint",Paraméterek!$J$114,Paraméterek!$K$114),IF($D$4="Forint",Paraméterek!$J$114,Paraméterek!$K$114),IF(ISBLANK($AY841),$AX841,$AY841)*Paraméterek!$J$112))),IF($D$4="Forint",0,2))</f>
        <v>0</v>
      </c>
      <c r="BA841" s="13">
        <f ca="1">$AT841+$AV841-$AW841-IF(ROUNDDOWN(IF(ISBLANK($AY841),$AX841,$AY841),IF($D$4="Forint",0,2))&gt;$AT841+$AV841-$AW841-IF($D$4="Forint",Paraméterek!$J$114,Paraméterek!$K$114),0,ROUNDDOWN(IF(ISBLANK($AY841),$AX841,$AY841),IF($D$4="Forint",0,2))-$AZ841)</f>
        <v>0</v>
      </c>
      <c r="BB841" s="13">
        <f t="shared" ca="1" si="275"/>
        <v>0</v>
      </c>
      <c r="BD841" s="32">
        <v>822</v>
      </c>
      <c r="BE841" s="32">
        <v>69</v>
      </c>
      <c r="BF841" s="32">
        <v>6</v>
      </c>
      <c r="BG841" s="34">
        <f t="shared" ca="1" si="284"/>
        <v>2087</v>
      </c>
      <c r="BH841" s="32" t="str">
        <f ca="1">IF(MOD(MONTH($D$14)+$BD841-1,12)=Paraméterek!$C$288,"Igen","")</f>
        <v/>
      </c>
      <c r="BI841" s="13">
        <f ca="1">IF($BH841="Igen",MIN(ROUNDDOWN((SUMIF($BG$20:$BG$1027,$BG841-1,$K$20:$K$1027)-SUMIF($BG$20:$BG$1027,$BG841-1,$I$20:$I$1027))*Paraméterek!$C$289,IF($D$4="Forint",0,2)),IF($D$4="Forint",Paraméterek!$C$285,Paraméterek!$D$285)),0)</f>
        <v>0</v>
      </c>
      <c r="BJ841" s="13">
        <f t="shared" ca="1" si="276"/>
        <v>0</v>
      </c>
      <c r="BK841" s="13">
        <f t="shared" ca="1" si="285"/>
        <v>0</v>
      </c>
      <c r="BL841" s="33"/>
      <c r="BM841" s="13">
        <f t="shared" ca="1" si="277"/>
        <v>0</v>
      </c>
      <c r="BN841" s="13">
        <f ca="1">ROUNDUP(($BK841+$BM841)*VLOOKUP($BE841,Paraméterek!$P$38:$Q$38,2)/12*IF($D842="Nem",IF($M$13=0,1,$M$13),1),IF($D$4="Forint",0,2))</f>
        <v>0</v>
      </c>
      <c r="BO841" s="13">
        <f t="shared" ca="1" si="278"/>
        <v>0</v>
      </c>
      <c r="BP841" s="13">
        <f ca="1">IF($D842="Nem",$BO841,$BO841-ROUNDUP(SUM($BI$20:$BI841)*120%,IF($D$4="Forint",0,2)))</f>
        <v>0</v>
      </c>
    </row>
    <row r="842" spans="1:68" x14ac:dyDescent="0.2">
      <c r="A842" s="32">
        <v>823</v>
      </c>
      <c r="B842" s="32">
        <v>69</v>
      </c>
      <c r="C842" s="32">
        <v>7</v>
      </c>
      <c r="D842" s="32" t="str">
        <f t="shared" ca="1" si="264"/>
        <v>Nem</v>
      </c>
      <c r="E842" s="13">
        <f t="shared" ca="1" si="265"/>
        <v>0</v>
      </c>
      <c r="F842" s="13"/>
      <c r="G842" s="13"/>
      <c r="H842" s="13"/>
      <c r="I842" s="13">
        <f t="shared" ca="1" si="266"/>
        <v>0</v>
      </c>
      <c r="J842" s="13">
        <f t="shared" ca="1" si="267"/>
        <v>0</v>
      </c>
      <c r="K842" s="13">
        <f t="shared" ca="1" si="268"/>
        <v>0</v>
      </c>
      <c r="L842" s="13" t="e">
        <f ca="1">ROUNDUP(IF($D$2="Egyszeri",$E842,IF($D$2="Havi",SUM($E$20:$E$31),IF(MOD($C842,$M$1)-1=0,SUM($E$20:$E$31),0))/12*$M$1)*VLOOKUP($B842,Paraméterek!$I$28:$P$31,IF($D$2="Egyszeri",8,HLOOKUP(ROUNDUP($M$11+$M$13,0),Paraméterek!$J$26:$O$27,2))),IF($D$4="Forint",0,2))</f>
        <v>#N/A</v>
      </c>
      <c r="M842" s="13">
        <f t="shared" ca="1" si="269"/>
        <v>0</v>
      </c>
      <c r="N842" s="13">
        <f t="shared" ca="1" si="279"/>
        <v>0</v>
      </c>
      <c r="O842" s="13">
        <f ca="1">IF($D842="Igen",IF($W841&gt;=IF($D$4="Forint",Paraméterek!$J$121,Paraméterek!$K$121),0,IF($D$4="Forint",Paraméterek!$J$121,Paraméterek!$K$121)-$W841),0)</f>
        <v>0</v>
      </c>
      <c r="P842" s="13" t="e">
        <f ca="1">ROUNDUP($O842*VLOOKUP($M$4+$B842-1,Paraméterek!$H$58:$I$105,2,0)/Paraméterek!$I$56,IF($D$4="Forint",0,2))</f>
        <v>#N/A</v>
      </c>
      <c r="Q842" s="13">
        <f t="shared" ca="1" si="270"/>
        <v>0</v>
      </c>
      <c r="R842" s="33"/>
      <c r="S842" s="13" t="e">
        <f t="shared" ca="1" si="271"/>
        <v>#N/A</v>
      </c>
      <c r="T842" s="13" t="e">
        <f ca="1">ROUNDUP(($N842-$P842-$Q842+$S842)*VLOOKUP($B842,Paraméterek!$I$38:$K$39,IF($D$2="Egyszeri",3,2))/12*IF($D843="Nem",IF($M$13=0,1,$M$13),1),IF($D$4="Forint",0,2))</f>
        <v>#N/A</v>
      </c>
      <c r="U842" s="13"/>
      <c r="V842" s="13"/>
      <c r="W842" s="13" t="e">
        <f ca="1">$N842-$P842-$Q842+$S842-$T842-IF(ROUNDUP(IF(ISBLANK($V842),$U842*0,$V842)/IF($D$2="Egyszeri",VLOOKUP($B842+IF($C842=12,1,0),Paraméterek!$V$257:$W$262,2),IF($B842=1,1,VLOOKUP($B842+IF($C842=12,1,0),Paraméterek!$I$258:$T$278,HLOOKUP($M$11+1,Paraméterek!$J$256:$T$257,2)))),IF($D$4="Forint",0,2))&gt;$N842-$P842-$Q842+$S842-$T842-IF($D$4="Forint",Paraméterek!$C$216,Paraméterek!$D$216),0,ROUNDUP(IF(ISBLANK($V842),$U842*0,$V842)/IF($D$2="Egyszeri",VLOOKUP($B842+IF($C842=12,1,0),Paraméterek!$V$257:$W$262,2),IF($B842=1,1,VLOOKUP($B842+IF($C842=12,1,0),Paraméterek!$I$258:$T$278,HLOOKUP($M$11+1,Paraméterek!$J$256:$T$257,2)))),IF($D$4="Forint",0,2)))</f>
        <v>#N/A</v>
      </c>
      <c r="X842" s="13" t="e">
        <f ca="1">ROUNDDOWN($W842*IF($D$2="Egyszeri",VLOOKUP($B842+IF($C842=12,1,0),Paraméterek!$V$257:$W$262,2),VLOOKUP($B842+IF($C842=12,1,0),Paraméterek!$I$258:$T$278,HLOOKUP($M$11+1,Paraméterek!$I$256:$T$257,2))),IF($D$4="Forint",0,2))</f>
        <v>#N/A</v>
      </c>
      <c r="Z842" s="32">
        <v>823</v>
      </c>
      <c r="AA842" s="32">
        <v>69</v>
      </c>
      <c r="AB842" s="32">
        <v>7</v>
      </c>
      <c r="AC842" s="13">
        <f t="shared" ca="1" si="280"/>
        <v>0</v>
      </c>
      <c r="AD842" s="33"/>
      <c r="AE842" s="13">
        <f t="shared" ca="1" si="272"/>
        <v>0</v>
      </c>
      <c r="AF842" s="13">
        <f ca="1">ROUNDUP(($AC842+$AE842)*VLOOKUP($AA842,Paraméterek!$P$38:$Q$38,2)/12*IF($D843="Nem",IF($M$13=0,1,$M$13),1),IF($D$4="Forint",0,2))</f>
        <v>0</v>
      </c>
      <c r="AG842" s="13">
        <f ca="1">IF($D$2="Egyszeri",IF($D$7&gt;=IF($D$4="Forint",Paraméterek!$P$223,Paraméterek!$P$224),$D$7-IF($D$4="Forint",Paraméterek!$P$223,Paraméterek!$P$224),0),MIN(IF($AB842=12,AVERAGEIF($E$20:$E842,"&gt;0",$E$20:$E842)*12,0),SUM($E$20:$E$31)))</f>
        <v>0</v>
      </c>
      <c r="AH842" s="13">
        <f>IF($AA842=10,$AG842*IF($AB842=12,IF($AG842&lt;IF($D$4="Forint",Paraméterek!$L$223,Paraméterek!$L$224),0,VLOOKUP($AA842,Paraméterek!$K$226:$M$228,IF($AG842&lt;IF($D$4="Forint",Paraméterek!$M$223,Paraméterek!$M$224),2,3))),0),0)</f>
        <v>0</v>
      </c>
      <c r="AI842" s="13">
        <f ca="1">IF(AND($AA842=$M$11+1,$AB842=$M$12+1),SUMIF($AA$20:$AA$1027,$AA842,$AG$20:$AG$1027)*IF(SUMIF($AA$20:$AA$1027,$AA842,$AG$20:$AG$1027)&lt;IF($D$4="Forint",Paraméterek!$L$223,Paraméterek!$L$224),0,VLOOKUP($AA842,Paraméterek!$K$230:$M$250,IF(SUMIF($AA$20:$AA$1027,$AA842,$AG$20:$AG$1027)&lt;IF($D$4="Forint",Paraméterek!$M$223,Paraméterek!$M$224),2,3))),0)</f>
        <v>0</v>
      </c>
      <c r="AJ842" s="13">
        <f ca="1">IF(AND($AA842&gt;=5,MOD($AA842,5)=0),IF($AB842=12,VLOOKUP($AA842,Paraméterek!$O$225:$P$240,2),0),IF(OR($AA842=3,$AA842=4),IF($AB842=12,VLOOKUP($AA842,Paraméterek!$O$225:$P$240,2,0),0),0))*$AG842</f>
        <v>0</v>
      </c>
      <c r="AK842" s="13">
        <f t="shared" ca="1" si="273"/>
        <v>0</v>
      </c>
      <c r="AL842" s="13">
        <f t="shared" ca="1" si="281"/>
        <v>0</v>
      </c>
      <c r="AM842" s="13">
        <f t="shared" ca="1" si="282"/>
        <v>0</v>
      </c>
      <c r="AO842" s="32">
        <v>823</v>
      </c>
      <c r="AP842" s="32">
        <v>69</v>
      </c>
      <c r="AQ842" s="32">
        <v>7</v>
      </c>
      <c r="AR842" s="13"/>
      <c r="AS842" s="32"/>
      <c r="AT842" s="13">
        <f t="shared" ca="1" si="283"/>
        <v>0</v>
      </c>
      <c r="AU842" s="33"/>
      <c r="AV842" s="13">
        <f t="shared" ca="1" si="274"/>
        <v>0</v>
      </c>
      <c r="AW842" s="13">
        <f ca="1">ROUNDUP(($AT842+$AV842)*VLOOKUP($AP842,Paraméterek!$P$38:$Q$38,2)/12*IF($D843="Nem",IF($M$13=0,1,$M$13),1),IF($D$4="Forint",0,2))</f>
        <v>0</v>
      </c>
      <c r="AX842" s="13"/>
      <c r="AY842" s="13"/>
      <c r="AZ842" s="13">
        <f>ROUNDUP(IF(SUM($AX842:$AY842)=0,0,IF(IF(ISBLANK($AY842),$AX842,$AY842)*Paraméterek!$J$112&lt;IF($D$4="Forint",Paraméterek!$J$113,Paraméterek!$K$113),IF($D$4="Forint",Paraméterek!$J$113,Paraméterek!$K$113),IF(IF(ISBLANK($AY842),$AX842,$AY842)*Paraméterek!$J$112&gt;IF($D$4="Forint",Paraméterek!$J$114,Paraméterek!$K$114),IF($D$4="Forint",Paraméterek!$J$114,Paraméterek!$K$114),IF(ISBLANK($AY842),$AX842,$AY842)*Paraméterek!$J$112))),IF($D$4="Forint",0,2))</f>
        <v>0</v>
      </c>
      <c r="BA842" s="13">
        <f ca="1">$AT842+$AV842-$AW842-IF(ROUNDDOWN(IF(ISBLANK($AY842),$AX842,$AY842),IF($D$4="Forint",0,2))&gt;$AT842+$AV842-$AW842-IF($D$4="Forint",Paraméterek!$J$114,Paraméterek!$K$114),0,ROUNDDOWN(IF(ISBLANK($AY842),$AX842,$AY842),IF($D$4="Forint",0,2))-$AZ842)</f>
        <v>0</v>
      </c>
      <c r="BB842" s="13">
        <f t="shared" ca="1" si="275"/>
        <v>0</v>
      </c>
      <c r="BD842" s="32">
        <v>823</v>
      </c>
      <c r="BE842" s="32">
        <v>69</v>
      </c>
      <c r="BF842" s="32">
        <v>7</v>
      </c>
      <c r="BG842" s="34">
        <f t="shared" ca="1" si="284"/>
        <v>2087</v>
      </c>
      <c r="BH842" s="32" t="str">
        <f ca="1">IF(MOD(MONTH($D$14)+$BD842-1,12)=Paraméterek!$C$288,"Igen","")</f>
        <v/>
      </c>
      <c r="BI842" s="13">
        <f ca="1">IF($BH842="Igen",MIN(ROUNDDOWN((SUMIF($BG$20:$BG$1027,$BG842-1,$K$20:$K$1027)-SUMIF($BG$20:$BG$1027,$BG842-1,$I$20:$I$1027))*Paraméterek!$C$289,IF($D$4="Forint",0,2)),IF($D$4="Forint",Paraméterek!$C$285,Paraméterek!$D$285)),0)</f>
        <v>0</v>
      </c>
      <c r="BJ842" s="13">
        <f t="shared" ca="1" si="276"/>
        <v>0</v>
      </c>
      <c r="BK842" s="13">
        <f t="shared" ca="1" si="285"/>
        <v>0</v>
      </c>
      <c r="BL842" s="33"/>
      <c r="BM842" s="13">
        <f t="shared" ca="1" si="277"/>
        <v>0</v>
      </c>
      <c r="BN842" s="13">
        <f ca="1">ROUNDUP(($BK842+$BM842)*VLOOKUP($BE842,Paraméterek!$P$38:$Q$38,2)/12*IF($D843="Nem",IF($M$13=0,1,$M$13),1),IF($D$4="Forint",0,2))</f>
        <v>0</v>
      </c>
      <c r="BO842" s="13">
        <f t="shared" ca="1" si="278"/>
        <v>0</v>
      </c>
      <c r="BP842" s="13">
        <f ca="1">IF($D843="Nem",$BO842,$BO842-ROUNDUP(SUM($BI$20:$BI842)*120%,IF($D$4="Forint",0,2)))</f>
        <v>0</v>
      </c>
    </row>
    <row r="843" spans="1:68" x14ac:dyDescent="0.2">
      <c r="A843" s="32">
        <v>824</v>
      </c>
      <c r="B843" s="32">
        <v>69</v>
      </c>
      <c r="C843" s="32">
        <v>8</v>
      </c>
      <c r="D843" s="32" t="str">
        <f t="shared" ca="1" si="264"/>
        <v>Nem</v>
      </c>
      <c r="E843" s="13">
        <f t="shared" ca="1" si="265"/>
        <v>0</v>
      </c>
      <c r="F843" s="13"/>
      <c r="G843" s="13"/>
      <c r="H843" s="13"/>
      <c r="I843" s="13">
        <f t="shared" ca="1" si="266"/>
        <v>0</v>
      </c>
      <c r="J843" s="13">
        <f t="shared" ca="1" si="267"/>
        <v>0</v>
      </c>
      <c r="K843" s="13">
        <f t="shared" ca="1" si="268"/>
        <v>0</v>
      </c>
      <c r="L843" s="13" t="e">
        <f ca="1">ROUNDUP(IF($D$2="Egyszeri",$E843,IF($D$2="Havi",SUM($E$20:$E$31),IF(MOD($C843,$M$1)-1=0,SUM($E$20:$E$31),0))/12*$M$1)*VLOOKUP($B843,Paraméterek!$I$28:$P$31,IF($D$2="Egyszeri",8,HLOOKUP(ROUNDUP($M$11+$M$13,0),Paraméterek!$J$26:$O$27,2))),IF($D$4="Forint",0,2))</f>
        <v>#N/A</v>
      </c>
      <c r="M843" s="13">
        <f t="shared" ca="1" si="269"/>
        <v>0</v>
      </c>
      <c r="N843" s="13">
        <f t="shared" ca="1" si="279"/>
        <v>0</v>
      </c>
      <c r="O843" s="13">
        <f ca="1">IF($D843="Igen",IF($W842&gt;=IF($D$4="Forint",Paraméterek!$J$121,Paraméterek!$K$121),0,IF($D$4="Forint",Paraméterek!$J$121,Paraméterek!$K$121)-$W842),0)</f>
        <v>0</v>
      </c>
      <c r="P843" s="13" t="e">
        <f ca="1">ROUNDUP($O843*VLOOKUP($M$4+$B843-1,Paraméterek!$H$58:$I$105,2,0)/Paraméterek!$I$56,IF($D$4="Forint",0,2))</f>
        <v>#N/A</v>
      </c>
      <c r="Q843" s="13">
        <f t="shared" ca="1" si="270"/>
        <v>0</v>
      </c>
      <c r="R843" s="33"/>
      <c r="S843" s="13" t="e">
        <f t="shared" ca="1" si="271"/>
        <v>#N/A</v>
      </c>
      <c r="T843" s="13" t="e">
        <f ca="1">ROUNDUP(($N843-$P843-$Q843+$S843)*VLOOKUP($B843,Paraméterek!$I$38:$K$39,IF($D$2="Egyszeri",3,2))/12*IF($D844="Nem",IF($M$13=0,1,$M$13),1),IF($D$4="Forint",0,2))</f>
        <v>#N/A</v>
      </c>
      <c r="U843" s="13"/>
      <c r="V843" s="13"/>
      <c r="W843" s="13" t="e">
        <f ca="1">$N843-$P843-$Q843+$S843-$T843-IF(ROUNDUP(IF(ISBLANK($V843),$U843*0,$V843)/IF($D$2="Egyszeri",VLOOKUP($B843+IF($C843=12,1,0),Paraméterek!$V$257:$W$262,2),IF($B843=1,1,VLOOKUP($B843+IF($C843=12,1,0),Paraméterek!$I$258:$T$278,HLOOKUP($M$11+1,Paraméterek!$J$256:$T$257,2)))),IF($D$4="Forint",0,2))&gt;$N843-$P843-$Q843+$S843-$T843-IF($D$4="Forint",Paraméterek!$C$216,Paraméterek!$D$216),0,ROUNDUP(IF(ISBLANK($V843),$U843*0,$V843)/IF($D$2="Egyszeri",VLOOKUP($B843+IF($C843=12,1,0),Paraméterek!$V$257:$W$262,2),IF($B843=1,1,VLOOKUP($B843+IF($C843=12,1,0),Paraméterek!$I$258:$T$278,HLOOKUP($M$11+1,Paraméterek!$J$256:$T$257,2)))),IF($D$4="Forint",0,2)))</f>
        <v>#N/A</v>
      </c>
      <c r="X843" s="13" t="e">
        <f ca="1">ROUNDDOWN($W843*IF($D$2="Egyszeri",VLOOKUP($B843+IF($C843=12,1,0),Paraméterek!$V$257:$W$262,2),VLOOKUP($B843+IF($C843=12,1,0),Paraméterek!$I$258:$T$278,HLOOKUP($M$11+1,Paraméterek!$I$256:$T$257,2))),IF($D$4="Forint",0,2))</f>
        <v>#N/A</v>
      </c>
      <c r="Z843" s="32">
        <v>824</v>
      </c>
      <c r="AA843" s="32">
        <v>69</v>
      </c>
      <c r="AB843" s="32">
        <v>8</v>
      </c>
      <c r="AC843" s="13">
        <f t="shared" ca="1" si="280"/>
        <v>0</v>
      </c>
      <c r="AD843" s="33"/>
      <c r="AE843" s="13">
        <f t="shared" ca="1" si="272"/>
        <v>0</v>
      </c>
      <c r="AF843" s="13">
        <f ca="1">ROUNDUP(($AC843+$AE843)*VLOOKUP($AA843,Paraméterek!$P$38:$Q$38,2)/12*IF($D844="Nem",IF($M$13=0,1,$M$13),1),IF($D$4="Forint",0,2))</f>
        <v>0</v>
      </c>
      <c r="AG843" s="13">
        <f ca="1">IF($D$2="Egyszeri",IF($D$7&gt;=IF($D$4="Forint",Paraméterek!$P$223,Paraméterek!$P$224),$D$7-IF($D$4="Forint",Paraméterek!$P$223,Paraméterek!$P$224),0),MIN(IF($AB843=12,AVERAGEIF($E$20:$E843,"&gt;0",$E$20:$E843)*12,0),SUM($E$20:$E$31)))</f>
        <v>0</v>
      </c>
      <c r="AH843" s="13">
        <f>IF($AA843=10,$AG843*IF($AB843=12,IF($AG843&lt;IF($D$4="Forint",Paraméterek!$L$223,Paraméterek!$L$224),0,VLOOKUP($AA843,Paraméterek!$K$226:$M$228,IF($AG843&lt;IF($D$4="Forint",Paraméterek!$M$223,Paraméterek!$M$224),2,3))),0),0)</f>
        <v>0</v>
      </c>
      <c r="AI843" s="13">
        <f ca="1">IF(AND($AA843=$M$11+1,$AB843=$M$12+1),SUMIF($AA$20:$AA$1027,$AA843,$AG$20:$AG$1027)*IF(SUMIF($AA$20:$AA$1027,$AA843,$AG$20:$AG$1027)&lt;IF($D$4="Forint",Paraméterek!$L$223,Paraméterek!$L$224),0,VLOOKUP($AA843,Paraméterek!$K$230:$M$250,IF(SUMIF($AA$20:$AA$1027,$AA843,$AG$20:$AG$1027)&lt;IF($D$4="Forint",Paraméterek!$M$223,Paraméterek!$M$224),2,3))),0)</f>
        <v>0</v>
      </c>
      <c r="AJ843" s="13">
        <f ca="1">IF(AND($AA843&gt;=5,MOD($AA843,5)=0),IF($AB843=12,VLOOKUP($AA843,Paraméterek!$O$225:$P$240,2),0),IF(OR($AA843=3,$AA843=4),IF($AB843=12,VLOOKUP($AA843,Paraméterek!$O$225:$P$240,2,0),0),0))*$AG843</f>
        <v>0</v>
      </c>
      <c r="AK843" s="13">
        <f t="shared" ca="1" si="273"/>
        <v>0</v>
      </c>
      <c r="AL843" s="13">
        <f t="shared" ca="1" si="281"/>
        <v>0</v>
      </c>
      <c r="AM843" s="13">
        <f t="shared" ca="1" si="282"/>
        <v>0</v>
      </c>
      <c r="AO843" s="32">
        <v>824</v>
      </c>
      <c r="AP843" s="32">
        <v>69</v>
      </c>
      <c r="AQ843" s="32">
        <v>8</v>
      </c>
      <c r="AR843" s="13"/>
      <c r="AS843" s="32"/>
      <c r="AT843" s="13">
        <f t="shared" ca="1" si="283"/>
        <v>0</v>
      </c>
      <c r="AU843" s="33"/>
      <c r="AV843" s="13">
        <f t="shared" ca="1" si="274"/>
        <v>0</v>
      </c>
      <c r="AW843" s="13">
        <f ca="1">ROUNDUP(($AT843+$AV843)*VLOOKUP($AP843,Paraméterek!$P$38:$Q$38,2)/12*IF($D844="Nem",IF($M$13=0,1,$M$13),1),IF($D$4="Forint",0,2))</f>
        <v>0</v>
      </c>
      <c r="AX843" s="13"/>
      <c r="AY843" s="13"/>
      <c r="AZ843" s="13">
        <f>ROUNDUP(IF(SUM($AX843:$AY843)=0,0,IF(IF(ISBLANK($AY843),$AX843,$AY843)*Paraméterek!$J$112&lt;IF($D$4="Forint",Paraméterek!$J$113,Paraméterek!$K$113),IF($D$4="Forint",Paraméterek!$J$113,Paraméterek!$K$113),IF(IF(ISBLANK($AY843),$AX843,$AY843)*Paraméterek!$J$112&gt;IF($D$4="Forint",Paraméterek!$J$114,Paraméterek!$K$114),IF($D$4="Forint",Paraméterek!$J$114,Paraméterek!$K$114),IF(ISBLANK($AY843),$AX843,$AY843)*Paraméterek!$J$112))),IF($D$4="Forint",0,2))</f>
        <v>0</v>
      </c>
      <c r="BA843" s="13">
        <f ca="1">$AT843+$AV843-$AW843-IF(ROUNDDOWN(IF(ISBLANK($AY843),$AX843,$AY843),IF($D$4="Forint",0,2))&gt;$AT843+$AV843-$AW843-IF($D$4="Forint",Paraméterek!$J$114,Paraméterek!$K$114),0,ROUNDDOWN(IF(ISBLANK($AY843),$AX843,$AY843),IF($D$4="Forint",0,2))-$AZ843)</f>
        <v>0</v>
      </c>
      <c r="BB843" s="13">
        <f t="shared" ca="1" si="275"/>
        <v>0</v>
      </c>
      <c r="BD843" s="32">
        <v>824</v>
      </c>
      <c r="BE843" s="32">
        <v>69</v>
      </c>
      <c r="BF843" s="32">
        <v>8</v>
      </c>
      <c r="BG843" s="34">
        <f t="shared" ca="1" si="284"/>
        <v>2088</v>
      </c>
      <c r="BH843" s="32" t="str">
        <f ca="1">IF(MOD(MONTH($D$14)+$BD843-1,12)=Paraméterek!$C$288,"Igen","")</f>
        <v/>
      </c>
      <c r="BI843" s="13">
        <f ca="1">IF($BH843="Igen",MIN(ROUNDDOWN((SUMIF($BG$20:$BG$1027,$BG843-1,$K$20:$K$1027)-SUMIF($BG$20:$BG$1027,$BG843-1,$I$20:$I$1027))*Paraméterek!$C$289,IF($D$4="Forint",0,2)),IF($D$4="Forint",Paraméterek!$C$285,Paraméterek!$D$285)),0)</f>
        <v>0</v>
      </c>
      <c r="BJ843" s="13">
        <f t="shared" ca="1" si="276"/>
        <v>0</v>
      </c>
      <c r="BK843" s="13">
        <f t="shared" ca="1" si="285"/>
        <v>0</v>
      </c>
      <c r="BL843" s="33"/>
      <c r="BM843" s="13">
        <f t="shared" ca="1" si="277"/>
        <v>0</v>
      </c>
      <c r="BN843" s="13">
        <f ca="1">ROUNDUP(($BK843+$BM843)*VLOOKUP($BE843,Paraméterek!$P$38:$Q$38,2)/12*IF($D844="Nem",IF($M$13=0,1,$M$13),1),IF($D$4="Forint",0,2))</f>
        <v>0</v>
      </c>
      <c r="BO843" s="13">
        <f t="shared" ca="1" si="278"/>
        <v>0</v>
      </c>
      <c r="BP843" s="13">
        <f ca="1">IF($D844="Nem",$BO843,$BO843-ROUNDUP(SUM($BI$20:$BI843)*120%,IF($D$4="Forint",0,2)))</f>
        <v>0</v>
      </c>
    </row>
    <row r="844" spans="1:68" x14ac:dyDescent="0.2">
      <c r="A844" s="32">
        <v>825</v>
      </c>
      <c r="B844" s="32">
        <v>69</v>
      </c>
      <c r="C844" s="32">
        <v>9</v>
      </c>
      <c r="D844" s="32" t="str">
        <f t="shared" ca="1" si="264"/>
        <v>Nem</v>
      </c>
      <c r="E844" s="13">
        <f t="shared" ca="1" si="265"/>
        <v>0</v>
      </c>
      <c r="F844" s="13"/>
      <c r="G844" s="13"/>
      <c r="H844" s="13"/>
      <c r="I844" s="13">
        <f t="shared" ca="1" si="266"/>
        <v>0</v>
      </c>
      <c r="J844" s="13">
        <f t="shared" ca="1" si="267"/>
        <v>0</v>
      </c>
      <c r="K844" s="13">
        <f t="shared" ca="1" si="268"/>
        <v>0</v>
      </c>
      <c r="L844" s="13" t="e">
        <f ca="1">ROUNDUP(IF($D$2="Egyszeri",$E844,IF($D$2="Havi",SUM($E$20:$E$31),IF(MOD($C844,$M$1)-1=0,SUM($E$20:$E$31),0))/12*$M$1)*VLOOKUP($B844,Paraméterek!$I$28:$P$31,IF($D$2="Egyszeri",8,HLOOKUP(ROUNDUP($M$11+$M$13,0),Paraméterek!$J$26:$O$27,2))),IF($D$4="Forint",0,2))</f>
        <v>#N/A</v>
      </c>
      <c r="M844" s="13">
        <f t="shared" ca="1" si="269"/>
        <v>0</v>
      </c>
      <c r="N844" s="13">
        <f t="shared" ca="1" si="279"/>
        <v>0</v>
      </c>
      <c r="O844" s="13">
        <f ca="1">IF($D844="Igen",IF($W843&gt;=IF($D$4="Forint",Paraméterek!$J$121,Paraméterek!$K$121),0,IF($D$4="Forint",Paraméterek!$J$121,Paraméterek!$K$121)-$W843),0)</f>
        <v>0</v>
      </c>
      <c r="P844" s="13" t="e">
        <f ca="1">ROUNDUP($O844*VLOOKUP($M$4+$B844-1,Paraméterek!$H$58:$I$105,2,0)/Paraméterek!$I$56,IF($D$4="Forint",0,2))</f>
        <v>#N/A</v>
      </c>
      <c r="Q844" s="13">
        <f t="shared" ca="1" si="270"/>
        <v>0</v>
      </c>
      <c r="R844" s="33"/>
      <c r="S844" s="13" t="e">
        <f t="shared" ca="1" si="271"/>
        <v>#N/A</v>
      </c>
      <c r="T844" s="13" t="e">
        <f ca="1">ROUNDUP(($N844-$P844-$Q844+$S844)*VLOOKUP($B844,Paraméterek!$I$38:$K$39,IF($D$2="Egyszeri",3,2))/12*IF($D845="Nem",IF($M$13=0,1,$M$13),1),IF($D$4="Forint",0,2))</f>
        <v>#N/A</v>
      </c>
      <c r="U844" s="13"/>
      <c r="V844" s="13"/>
      <c r="W844" s="13" t="e">
        <f ca="1">$N844-$P844-$Q844+$S844-$T844-IF(ROUNDUP(IF(ISBLANK($V844),$U844*0,$V844)/IF($D$2="Egyszeri",VLOOKUP($B844+IF($C844=12,1,0),Paraméterek!$V$257:$W$262,2),IF($B844=1,1,VLOOKUP($B844+IF($C844=12,1,0),Paraméterek!$I$258:$T$278,HLOOKUP($M$11+1,Paraméterek!$J$256:$T$257,2)))),IF($D$4="Forint",0,2))&gt;$N844-$P844-$Q844+$S844-$T844-IF($D$4="Forint",Paraméterek!$C$216,Paraméterek!$D$216),0,ROUNDUP(IF(ISBLANK($V844),$U844*0,$V844)/IF($D$2="Egyszeri",VLOOKUP($B844+IF($C844=12,1,0),Paraméterek!$V$257:$W$262,2),IF($B844=1,1,VLOOKUP($B844+IF($C844=12,1,0),Paraméterek!$I$258:$T$278,HLOOKUP($M$11+1,Paraméterek!$J$256:$T$257,2)))),IF($D$4="Forint",0,2)))</f>
        <v>#N/A</v>
      </c>
      <c r="X844" s="13" t="e">
        <f ca="1">ROUNDDOWN($W844*IF($D$2="Egyszeri",VLOOKUP($B844+IF($C844=12,1,0),Paraméterek!$V$257:$W$262,2),VLOOKUP($B844+IF($C844=12,1,0),Paraméterek!$I$258:$T$278,HLOOKUP($M$11+1,Paraméterek!$I$256:$T$257,2))),IF($D$4="Forint",0,2))</f>
        <v>#N/A</v>
      </c>
      <c r="Z844" s="32">
        <v>825</v>
      </c>
      <c r="AA844" s="32">
        <v>69</v>
      </c>
      <c r="AB844" s="32">
        <v>9</v>
      </c>
      <c r="AC844" s="13">
        <f t="shared" ca="1" si="280"/>
        <v>0</v>
      </c>
      <c r="AD844" s="33"/>
      <c r="AE844" s="13">
        <f t="shared" ca="1" si="272"/>
        <v>0</v>
      </c>
      <c r="AF844" s="13">
        <f ca="1">ROUNDUP(($AC844+$AE844)*VLOOKUP($AA844,Paraméterek!$P$38:$Q$38,2)/12*IF($D845="Nem",IF($M$13=0,1,$M$13),1),IF($D$4="Forint",0,2))</f>
        <v>0</v>
      </c>
      <c r="AG844" s="13">
        <f ca="1">IF($D$2="Egyszeri",IF($D$7&gt;=IF($D$4="Forint",Paraméterek!$P$223,Paraméterek!$P$224),$D$7-IF($D$4="Forint",Paraméterek!$P$223,Paraméterek!$P$224),0),MIN(IF($AB844=12,AVERAGEIF($E$20:$E844,"&gt;0",$E$20:$E844)*12,0),SUM($E$20:$E$31)))</f>
        <v>0</v>
      </c>
      <c r="AH844" s="13">
        <f>IF($AA844=10,$AG844*IF($AB844=12,IF($AG844&lt;IF($D$4="Forint",Paraméterek!$L$223,Paraméterek!$L$224),0,VLOOKUP($AA844,Paraméterek!$K$226:$M$228,IF($AG844&lt;IF($D$4="Forint",Paraméterek!$M$223,Paraméterek!$M$224),2,3))),0),0)</f>
        <v>0</v>
      </c>
      <c r="AI844" s="13">
        <f ca="1">IF(AND($AA844=$M$11+1,$AB844=$M$12+1),SUMIF($AA$20:$AA$1027,$AA844,$AG$20:$AG$1027)*IF(SUMIF($AA$20:$AA$1027,$AA844,$AG$20:$AG$1027)&lt;IF($D$4="Forint",Paraméterek!$L$223,Paraméterek!$L$224),0,VLOOKUP($AA844,Paraméterek!$K$230:$M$250,IF(SUMIF($AA$20:$AA$1027,$AA844,$AG$20:$AG$1027)&lt;IF($D$4="Forint",Paraméterek!$M$223,Paraméterek!$M$224),2,3))),0)</f>
        <v>0</v>
      </c>
      <c r="AJ844" s="13">
        <f ca="1">IF(AND($AA844&gt;=5,MOD($AA844,5)=0),IF($AB844=12,VLOOKUP($AA844,Paraméterek!$O$225:$P$240,2),0),IF(OR($AA844=3,$AA844=4),IF($AB844=12,VLOOKUP($AA844,Paraméterek!$O$225:$P$240,2,0),0),0))*$AG844</f>
        <v>0</v>
      </c>
      <c r="AK844" s="13">
        <f t="shared" ca="1" si="273"/>
        <v>0</v>
      </c>
      <c r="AL844" s="13">
        <f t="shared" ca="1" si="281"/>
        <v>0</v>
      </c>
      <c r="AM844" s="13">
        <f t="shared" ca="1" si="282"/>
        <v>0</v>
      </c>
      <c r="AO844" s="32">
        <v>825</v>
      </c>
      <c r="AP844" s="32">
        <v>69</v>
      </c>
      <c r="AQ844" s="32">
        <v>9</v>
      </c>
      <c r="AR844" s="13"/>
      <c r="AS844" s="32"/>
      <c r="AT844" s="13">
        <f t="shared" ca="1" si="283"/>
        <v>0</v>
      </c>
      <c r="AU844" s="33"/>
      <c r="AV844" s="13">
        <f t="shared" ca="1" si="274"/>
        <v>0</v>
      </c>
      <c r="AW844" s="13">
        <f ca="1">ROUNDUP(($AT844+$AV844)*VLOOKUP($AP844,Paraméterek!$P$38:$Q$38,2)/12*IF($D845="Nem",IF($M$13=0,1,$M$13),1),IF($D$4="Forint",0,2))</f>
        <v>0</v>
      </c>
      <c r="AX844" s="13"/>
      <c r="AY844" s="13"/>
      <c r="AZ844" s="13">
        <f>ROUNDUP(IF(SUM($AX844:$AY844)=0,0,IF(IF(ISBLANK($AY844),$AX844,$AY844)*Paraméterek!$J$112&lt;IF($D$4="Forint",Paraméterek!$J$113,Paraméterek!$K$113),IF($D$4="Forint",Paraméterek!$J$113,Paraméterek!$K$113),IF(IF(ISBLANK($AY844),$AX844,$AY844)*Paraméterek!$J$112&gt;IF($D$4="Forint",Paraméterek!$J$114,Paraméterek!$K$114),IF($D$4="Forint",Paraméterek!$J$114,Paraméterek!$K$114),IF(ISBLANK($AY844),$AX844,$AY844)*Paraméterek!$J$112))),IF($D$4="Forint",0,2))</f>
        <v>0</v>
      </c>
      <c r="BA844" s="13">
        <f ca="1">$AT844+$AV844-$AW844-IF(ROUNDDOWN(IF(ISBLANK($AY844),$AX844,$AY844),IF($D$4="Forint",0,2))&gt;$AT844+$AV844-$AW844-IF($D$4="Forint",Paraméterek!$J$114,Paraméterek!$K$114),0,ROUNDDOWN(IF(ISBLANK($AY844),$AX844,$AY844),IF($D$4="Forint",0,2))-$AZ844)</f>
        <v>0</v>
      </c>
      <c r="BB844" s="13">
        <f t="shared" ca="1" si="275"/>
        <v>0</v>
      </c>
      <c r="BD844" s="32">
        <v>825</v>
      </c>
      <c r="BE844" s="32">
        <v>69</v>
      </c>
      <c r="BF844" s="32">
        <v>9</v>
      </c>
      <c r="BG844" s="34">
        <f t="shared" ca="1" si="284"/>
        <v>2088</v>
      </c>
      <c r="BH844" s="32" t="str">
        <f ca="1">IF(MOD(MONTH($D$14)+$BD844-1,12)=Paraméterek!$C$288,"Igen","")</f>
        <v/>
      </c>
      <c r="BI844" s="13">
        <f ca="1">IF($BH844="Igen",MIN(ROUNDDOWN((SUMIF($BG$20:$BG$1027,$BG844-1,$K$20:$K$1027)-SUMIF($BG$20:$BG$1027,$BG844-1,$I$20:$I$1027))*Paraméterek!$C$289,IF($D$4="Forint",0,2)),IF($D$4="Forint",Paraméterek!$C$285,Paraméterek!$D$285)),0)</f>
        <v>0</v>
      </c>
      <c r="BJ844" s="13">
        <f t="shared" ca="1" si="276"/>
        <v>0</v>
      </c>
      <c r="BK844" s="13">
        <f t="shared" ca="1" si="285"/>
        <v>0</v>
      </c>
      <c r="BL844" s="33"/>
      <c r="BM844" s="13">
        <f t="shared" ca="1" si="277"/>
        <v>0</v>
      </c>
      <c r="BN844" s="13">
        <f ca="1">ROUNDUP(($BK844+$BM844)*VLOOKUP($BE844,Paraméterek!$P$38:$Q$38,2)/12*IF($D845="Nem",IF($M$13=0,1,$M$13),1),IF($D$4="Forint",0,2))</f>
        <v>0</v>
      </c>
      <c r="BO844" s="13">
        <f t="shared" ca="1" si="278"/>
        <v>0</v>
      </c>
      <c r="BP844" s="13">
        <f ca="1">IF($D845="Nem",$BO844,$BO844-ROUNDUP(SUM($BI$20:$BI844)*120%,IF($D$4="Forint",0,2)))</f>
        <v>0</v>
      </c>
    </row>
    <row r="845" spans="1:68" x14ac:dyDescent="0.2">
      <c r="A845" s="32">
        <v>826</v>
      </c>
      <c r="B845" s="32">
        <v>69</v>
      </c>
      <c r="C845" s="32">
        <v>10</v>
      </c>
      <c r="D845" s="32" t="str">
        <f t="shared" ca="1" si="264"/>
        <v>Nem</v>
      </c>
      <c r="E845" s="13">
        <f t="shared" ca="1" si="265"/>
        <v>0</v>
      </c>
      <c r="F845" s="13"/>
      <c r="G845" s="13"/>
      <c r="H845" s="13"/>
      <c r="I845" s="13">
        <f t="shared" ca="1" si="266"/>
        <v>0</v>
      </c>
      <c r="J845" s="13">
        <f t="shared" ca="1" si="267"/>
        <v>0</v>
      </c>
      <c r="K845" s="13">
        <f t="shared" ca="1" si="268"/>
        <v>0</v>
      </c>
      <c r="L845" s="13" t="e">
        <f ca="1">ROUNDUP(IF($D$2="Egyszeri",$E845,IF($D$2="Havi",SUM($E$20:$E$31),IF(MOD($C845,$M$1)-1=0,SUM($E$20:$E$31),0))/12*$M$1)*VLOOKUP($B845,Paraméterek!$I$28:$P$31,IF($D$2="Egyszeri",8,HLOOKUP(ROUNDUP($M$11+$M$13,0),Paraméterek!$J$26:$O$27,2))),IF($D$4="Forint",0,2))</f>
        <v>#N/A</v>
      </c>
      <c r="M845" s="13">
        <f t="shared" ca="1" si="269"/>
        <v>0</v>
      </c>
      <c r="N845" s="13">
        <f t="shared" ca="1" si="279"/>
        <v>0</v>
      </c>
      <c r="O845" s="13">
        <f ca="1">IF($D845="Igen",IF($W844&gt;=IF($D$4="Forint",Paraméterek!$J$121,Paraméterek!$K$121),0,IF($D$4="Forint",Paraméterek!$J$121,Paraméterek!$K$121)-$W844),0)</f>
        <v>0</v>
      </c>
      <c r="P845" s="13" t="e">
        <f ca="1">ROUNDUP($O845*VLOOKUP($M$4+$B845-1,Paraméterek!$H$58:$I$105,2,0)/Paraméterek!$I$56,IF($D$4="Forint",0,2))</f>
        <v>#N/A</v>
      </c>
      <c r="Q845" s="13">
        <f t="shared" ca="1" si="270"/>
        <v>0</v>
      </c>
      <c r="R845" s="33"/>
      <c r="S845" s="13" t="e">
        <f t="shared" ca="1" si="271"/>
        <v>#N/A</v>
      </c>
      <c r="T845" s="13" t="e">
        <f ca="1">ROUNDUP(($N845-$P845-$Q845+$S845)*VLOOKUP($B845,Paraméterek!$I$38:$K$39,IF($D$2="Egyszeri",3,2))/12*IF($D846="Nem",IF($M$13=0,1,$M$13),1),IF($D$4="Forint",0,2))</f>
        <v>#N/A</v>
      </c>
      <c r="U845" s="13"/>
      <c r="V845" s="13"/>
      <c r="W845" s="13" t="e">
        <f ca="1">$N845-$P845-$Q845+$S845-$T845-IF(ROUNDUP(IF(ISBLANK($V845),$U845*0,$V845)/IF($D$2="Egyszeri",VLOOKUP($B845+IF($C845=12,1,0),Paraméterek!$V$257:$W$262,2),IF($B845=1,1,VLOOKUP($B845+IF($C845=12,1,0),Paraméterek!$I$258:$T$278,HLOOKUP($M$11+1,Paraméterek!$J$256:$T$257,2)))),IF($D$4="Forint",0,2))&gt;$N845-$P845-$Q845+$S845-$T845-IF($D$4="Forint",Paraméterek!$C$216,Paraméterek!$D$216),0,ROUNDUP(IF(ISBLANK($V845),$U845*0,$V845)/IF($D$2="Egyszeri",VLOOKUP($B845+IF($C845=12,1,0),Paraméterek!$V$257:$W$262,2),IF($B845=1,1,VLOOKUP($B845+IF($C845=12,1,0),Paraméterek!$I$258:$T$278,HLOOKUP($M$11+1,Paraméterek!$J$256:$T$257,2)))),IF($D$4="Forint",0,2)))</f>
        <v>#N/A</v>
      </c>
      <c r="X845" s="13" t="e">
        <f ca="1">ROUNDDOWN($W845*IF($D$2="Egyszeri",VLOOKUP($B845+IF($C845=12,1,0),Paraméterek!$V$257:$W$262,2),VLOOKUP($B845+IF($C845=12,1,0),Paraméterek!$I$258:$T$278,HLOOKUP($M$11+1,Paraméterek!$I$256:$T$257,2))),IF($D$4="Forint",0,2))</f>
        <v>#N/A</v>
      </c>
      <c r="Z845" s="32">
        <v>826</v>
      </c>
      <c r="AA845" s="32">
        <v>69</v>
      </c>
      <c r="AB845" s="32">
        <v>10</v>
      </c>
      <c r="AC845" s="13">
        <f t="shared" ca="1" si="280"/>
        <v>0</v>
      </c>
      <c r="AD845" s="33"/>
      <c r="AE845" s="13">
        <f t="shared" ca="1" si="272"/>
        <v>0</v>
      </c>
      <c r="AF845" s="13">
        <f ca="1">ROUNDUP(($AC845+$AE845)*VLOOKUP($AA845,Paraméterek!$P$38:$Q$38,2)/12*IF($D846="Nem",IF($M$13=0,1,$M$13),1),IF($D$4="Forint",0,2))</f>
        <v>0</v>
      </c>
      <c r="AG845" s="13">
        <f ca="1">IF($D$2="Egyszeri",IF($D$7&gt;=IF($D$4="Forint",Paraméterek!$P$223,Paraméterek!$P$224),$D$7-IF($D$4="Forint",Paraméterek!$P$223,Paraméterek!$P$224),0),MIN(IF($AB845=12,AVERAGEIF($E$20:$E845,"&gt;0",$E$20:$E845)*12,0),SUM($E$20:$E$31)))</f>
        <v>0</v>
      </c>
      <c r="AH845" s="13">
        <f>IF($AA845=10,$AG845*IF($AB845=12,IF($AG845&lt;IF($D$4="Forint",Paraméterek!$L$223,Paraméterek!$L$224),0,VLOOKUP($AA845,Paraméterek!$K$226:$M$228,IF($AG845&lt;IF($D$4="Forint",Paraméterek!$M$223,Paraméterek!$M$224),2,3))),0),0)</f>
        <v>0</v>
      </c>
      <c r="AI845" s="13">
        <f ca="1">IF(AND($AA845=$M$11+1,$AB845=$M$12+1),SUMIF($AA$20:$AA$1027,$AA845,$AG$20:$AG$1027)*IF(SUMIF($AA$20:$AA$1027,$AA845,$AG$20:$AG$1027)&lt;IF($D$4="Forint",Paraméterek!$L$223,Paraméterek!$L$224),0,VLOOKUP($AA845,Paraméterek!$K$230:$M$250,IF(SUMIF($AA$20:$AA$1027,$AA845,$AG$20:$AG$1027)&lt;IF($D$4="Forint",Paraméterek!$M$223,Paraméterek!$M$224),2,3))),0)</f>
        <v>0</v>
      </c>
      <c r="AJ845" s="13">
        <f ca="1">IF(AND($AA845&gt;=5,MOD($AA845,5)=0),IF($AB845=12,VLOOKUP($AA845,Paraméterek!$O$225:$P$240,2),0),IF(OR($AA845=3,$AA845=4),IF($AB845=12,VLOOKUP($AA845,Paraméterek!$O$225:$P$240,2,0),0),0))*$AG845</f>
        <v>0</v>
      </c>
      <c r="AK845" s="13">
        <f t="shared" ca="1" si="273"/>
        <v>0</v>
      </c>
      <c r="AL845" s="13">
        <f t="shared" ca="1" si="281"/>
        <v>0</v>
      </c>
      <c r="AM845" s="13">
        <f t="shared" ca="1" si="282"/>
        <v>0</v>
      </c>
      <c r="AO845" s="32">
        <v>826</v>
      </c>
      <c r="AP845" s="32">
        <v>69</v>
      </c>
      <c r="AQ845" s="32">
        <v>10</v>
      </c>
      <c r="AR845" s="13"/>
      <c r="AS845" s="32"/>
      <c r="AT845" s="13">
        <f t="shared" ca="1" si="283"/>
        <v>0</v>
      </c>
      <c r="AU845" s="33"/>
      <c r="AV845" s="13">
        <f t="shared" ca="1" si="274"/>
        <v>0</v>
      </c>
      <c r="AW845" s="13">
        <f ca="1">ROUNDUP(($AT845+$AV845)*VLOOKUP($AP845,Paraméterek!$P$38:$Q$38,2)/12*IF($D846="Nem",IF($M$13=0,1,$M$13),1),IF($D$4="Forint",0,2))</f>
        <v>0</v>
      </c>
      <c r="AX845" s="13"/>
      <c r="AY845" s="13"/>
      <c r="AZ845" s="13">
        <f>ROUNDUP(IF(SUM($AX845:$AY845)=0,0,IF(IF(ISBLANK($AY845),$AX845,$AY845)*Paraméterek!$J$112&lt;IF($D$4="Forint",Paraméterek!$J$113,Paraméterek!$K$113),IF($D$4="Forint",Paraméterek!$J$113,Paraméterek!$K$113),IF(IF(ISBLANK($AY845),$AX845,$AY845)*Paraméterek!$J$112&gt;IF($D$4="Forint",Paraméterek!$J$114,Paraméterek!$K$114),IF($D$4="Forint",Paraméterek!$J$114,Paraméterek!$K$114),IF(ISBLANK($AY845),$AX845,$AY845)*Paraméterek!$J$112))),IF($D$4="Forint",0,2))</f>
        <v>0</v>
      </c>
      <c r="BA845" s="13">
        <f ca="1">$AT845+$AV845-$AW845-IF(ROUNDDOWN(IF(ISBLANK($AY845),$AX845,$AY845),IF($D$4="Forint",0,2))&gt;$AT845+$AV845-$AW845-IF($D$4="Forint",Paraméterek!$J$114,Paraméterek!$K$114),0,ROUNDDOWN(IF(ISBLANK($AY845),$AX845,$AY845),IF($D$4="Forint",0,2))-$AZ845)</f>
        <v>0</v>
      </c>
      <c r="BB845" s="13">
        <f t="shared" ca="1" si="275"/>
        <v>0</v>
      </c>
      <c r="BD845" s="32">
        <v>826</v>
      </c>
      <c r="BE845" s="32">
        <v>69</v>
      </c>
      <c r="BF845" s="32">
        <v>10</v>
      </c>
      <c r="BG845" s="34">
        <f t="shared" ca="1" si="284"/>
        <v>2088</v>
      </c>
      <c r="BH845" s="32" t="str">
        <f ca="1">IF(MOD(MONTH($D$14)+$BD845-1,12)=Paraméterek!$C$288,"Igen","")</f>
        <v/>
      </c>
      <c r="BI845" s="13">
        <f ca="1">IF($BH845="Igen",MIN(ROUNDDOWN((SUMIF($BG$20:$BG$1027,$BG845-1,$K$20:$K$1027)-SUMIF($BG$20:$BG$1027,$BG845-1,$I$20:$I$1027))*Paraméterek!$C$289,IF($D$4="Forint",0,2)),IF($D$4="Forint",Paraméterek!$C$285,Paraméterek!$D$285)),0)</f>
        <v>0</v>
      </c>
      <c r="BJ845" s="13">
        <f t="shared" ca="1" si="276"/>
        <v>0</v>
      </c>
      <c r="BK845" s="13">
        <f t="shared" ca="1" si="285"/>
        <v>0</v>
      </c>
      <c r="BL845" s="33"/>
      <c r="BM845" s="13">
        <f t="shared" ca="1" si="277"/>
        <v>0</v>
      </c>
      <c r="BN845" s="13">
        <f ca="1">ROUNDUP(($BK845+$BM845)*VLOOKUP($BE845,Paraméterek!$P$38:$Q$38,2)/12*IF($D846="Nem",IF($M$13=0,1,$M$13),1),IF($D$4="Forint",0,2))</f>
        <v>0</v>
      </c>
      <c r="BO845" s="13">
        <f t="shared" ca="1" si="278"/>
        <v>0</v>
      </c>
      <c r="BP845" s="13">
        <f ca="1">IF($D846="Nem",$BO845,$BO845-ROUNDUP(SUM($BI$20:$BI845)*120%,IF($D$4="Forint",0,2)))</f>
        <v>0</v>
      </c>
    </row>
    <row r="846" spans="1:68" x14ac:dyDescent="0.2">
      <c r="A846" s="32">
        <v>827</v>
      </c>
      <c r="B846" s="32">
        <v>69</v>
      </c>
      <c r="C846" s="32">
        <v>11</v>
      </c>
      <c r="D846" s="32" t="str">
        <f t="shared" ca="1" si="264"/>
        <v>Nem</v>
      </c>
      <c r="E846" s="13">
        <f t="shared" ca="1" si="265"/>
        <v>0</v>
      </c>
      <c r="F846" s="13"/>
      <c r="G846" s="13"/>
      <c r="H846" s="13"/>
      <c r="I846" s="13">
        <f t="shared" ca="1" si="266"/>
        <v>0</v>
      </c>
      <c r="J846" s="13">
        <f t="shared" ca="1" si="267"/>
        <v>0</v>
      </c>
      <c r="K846" s="13">
        <f t="shared" ca="1" si="268"/>
        <v>0</v>
      </c>
      <c r="L846" s="13" t="e">
        <f ca="1">ROUNDUP(IF($D$2="Egyszeri",$E846,IF($D$2="Havi",SUM($E$20:$E$31),IF(MOD($C846,$M$1)-1=0,SUM($E$20:$E$31),0))/12*$M$1)*VLOOKUP($B846,Paraméterek!$I$28:$P$31,IF($D$2="Egyszeri",8,HLOOKUP(ROUNDUP($M$11+$M$13,0),Paraméterek!$J$26:$O$27,2))),IF($D$4="Forint",0,2))</f>
        <v>#N/A</v>
      </c>
      <c r="M846" s="13">
        <f t="shared" ca="1" si="269"/>
        <v>0</v>
      </c>
      <c r="N846" s="13">
        <f t="shared" ca="1" si="279"/>
        <v>0</v>
      </c>
      <c r="O846" s="13">
        <f ca="1">IF($D846="Igen",IF($W845&gt;=IF($D$4="Forint",Paraméterek!$J$121,Paraméterek!$K$121),0,IF($D$4="Forint",Paraméterek!$J$121,Paraméterek!$K$121)-$W845),0)</f>
        <v>0</v>
      </c>
      <c r="P846" s="13" t="e">
        <f ca="1">ROUNDUP($O846*VLOOKUP($M$4+$B846-1,Paraméterek!$H$58:$I$105,2,0)/Paraméterek!$I$56,IF($D$4="Forint",0,2))</f>
        <v>#N/A</v>
      </c>
      <c r="Q846" s="13">
        <f t="shared" ca="1" si="270"/>
        <v>0</v>
      </c>
      <c r="R846" s="33"/>
      <c r="S846" s="13" t="e">
        <f t="shared" ca="1" si="271"/>
        <v>#N/A</v>
      </c>
      <c r="T846" s="13" t="e">
        <f ca="1">ROUNDUP(($N846-$P846-$Q846+$S846)*VLOOKUP($B846,Paraméterek!$I$38:$K$39,IF($D$2="Egyszeri",3,2))/12*IF($D847="Nem",IF($M$13=0,1,$M$13),1),IF($D$4="Forint",0,2))</f>
        <v>#N/A</v>
      </c>
      <c r="U846" s="13"/>
      <c r="V846" s="13"/>
      <c r="W846" s="13" t="e">
        <f ca="1">$N846-$P846-$Q846+$S846-$T846-IF(ROUNDUP(IF(ISBLANK($V846),$U846*0,$V846)/IF($D$2="Egyszeri",VLOOKUP($B846+IF($C846=12,1,0),Paraméterek!$V$257:$W$262,2),IF($B846=1,1,VLOOKUP($B846+IF($C846=12,1,0),Paraméterek!$I$258:$T$278,HLOOKUP($M$11+1,Paraméterek!$J$256:$T$257,2)))),IF($D$4="Forint",0,2))&gt;$N846-$P846-$Q846+$S846-$T846-IF($D$4="Forint",Paraméterek!$C$216,Paraméterek!$D$216),0,ROUNDUP(IF(ISBLANK($V846),$U846*0,$V846)/IF($D$2="Egyszeri",VLOOKUP($B846+IF($C846=12,1,0),Paraméterek!$V$257:$W$262,2),IF($B846=1,1,VLOOKUP($B846+IF($C846=12,1,0),Paraméterek!$I$258:$T$278,HLOOKUP($M$11+1,Paraméterek!$J$256:$T$257,2)))),IF($D$4="Forint",0,2)))</f>
        <v>#N/A</v>
      </c>
      <c r="X846" s="13" t="e">
        <f ca="1">ROUNDDOWN($W846*IF($D$2="Egyszeri",VLOOKUP($B846+IF($C846=12,1,0),Paraméterek!$V$257:$W$262,2),VLOOKUP($B846+IF($C846=12,1,0),Paraméterek!$I$258:$T$278,HLOOKUP($M$11+1,Paraméterek!$I$256:$T$257,2))),IF($D$4="Forint",0,2))</f>
        <v>#N/A</v>
      </c>
      <c r="Z846" s="32">
        <v>827</v>
      </c>
      <c r="AA846" s="32">
        <v>69</v>
      </c>
      <c r="AB846" s="32">
        <v>11</v>
      </c>
      <c r="AC846" s="13">
        <f t="shared" ca="1" si="280"/>
        <v>0</v>
      </c>
      <c r="AD846" s="33"/>
      <c r="AE846" s="13">
        <f t="shared" ca="1" si="272"/>
        <v>0</v>
      </c>
      <c r="AF846" s="13">
        <f ca="1">ROUNDUP(($AC846+$AE846)*VLOOKUP($AA846,Paraméterek!$P$38:$Q$38,2)/12*IF($D847="Nem",IF($M$13=0,1,$M$13),1),IF($D$4="Forint",0,2))</f>
        <v>0</v>
      </c>
      <c r="AG846" s="13">
        <f ca="1">IF($D$2="Egyszeri",IF($D$7&gt;=IF($D$4="Forint",Paraméterek!$P$223,Paraméterek!$P$224),$D$7-IF($D$4="Forint",Paraméterek!$P$223,Paraméterek!$P$224),0),MIN(IF($AB846=12,AVERAGEIF($E$20:$E846,"&gt;0",$E$20:$E846)*12,0),SUM($E$20:$E$31)))</f>
        <v>0</v>
      </c>
      <c r="AH846" s="13">
        <f>IF($AA846=10,$AG846*IF($AB846=12,IF($AG846&lt;IF($D$4="Forint",Paraméterek!$L$223,Paraméterek!$L$224),0,VLOOKUP($AA846,Paraméterek!$K$226:$M$228,IF($AG846&lt;IF($D$4="Forint",Paraméterek!$M$223,Paraméterek!$M$224),2,3))),0),0)</f>
        <v>0</v>
      </c>
      <c r="AI846" s="13">
        <f ca="1">IF(AND($AA846=$M$11+1,$AB846=$M$12+1),SUMIF($AA$20:$AA$1027,$AA846,$AG$20:$AG$1027)*IF(SUMIF($AA$20:$AA$1027,$AA846,$AG$20:$AG$1027)&lt;IF($D$4="Forint",Paraméterek!$L$223,Paraméterek!$L$224),0,VLOOKUP($AA846,Paraméterek!$K$230:$M$250,IF(SUMIF($AA$20:$AA$1027,$AA846,$AG$20:$AG$1027)&lt;IF($D$4="Forint",Paraméterek!$M$223,Paraméterek!$M$224),2,3))),0)</f>
        <v>0</v>
      </c>
      <c r="AJ846" s="13">
        <f ca="1">IF(AND($AA846&gt;=5,MOD($AA846,5)=0),IF($AB846=12,VLOOKUP($AA846,Paraméterek!$O$225:$P$240,2),0),IF(OR($AA846=3,$AA846=4),IF($AB846=12,VLOOKUP($AA846,Paraméterek!$O$225:$P$240,2,0),0),0))*$AG846</f>
        <v>0</v>
      </c>
      <c r="AK846" s="13">
        <f t="shared" ca="1" si="273"/>
        <v>0</v>
      </c>
      <c r="AL846" s="13">
        <f t="shared" ca="1" si="281"/>
        <v>0</v>
      </c>
      <c r="AM846" s="13">
        <f t="shared" ca="1" si="282"/>
        <v>0</v>
      </c>
      <c r="AO846" s="32">
        <v>827</v>
      </c>
      <c r="AP846" s="32">
        <v>69</v>
      </c>
      <c r="AQ846" s="32">
        <v>11</v>
      </c>
      <c r="AR846" s="13"/>
      <c r="AS846" s="32"/>
      <c r="AT846" s="13">
        <f t="shared" ca="1" si="283"/>
        <v>0</v>
      </c>
      <c r="AU846" s="33"/>
      <c r="AV846" s="13">
        <f t="shared" ca="1" si="274"/>
        <v>0</v>
      </c>
      <c r="AW846" s="13">
        <f ca="1">ROUNDUP(($AT846+$AV846)*VLOOKUP($AP846,Paraméterek!$P$38:$Q$38,2)/12*IF($D847="Nem",IF($M$13=0,1,$M$13),1),IF($D$4="Forint",0,2))</f>
        <v>0</v>
      </c>
      <c r="AX846" s="13"/>
      <c r="AY846" s="13"/>
      <c r="AZ846" s="13">
        <f>ROUNDUP(IF(SUM($AX846:$AY846)=0,0,IF(IF(ISBLANK($AY846),$AX846,$AY846)*Paraméterek!$J$112&lt;IF($D$4="Forint",Paraméterek!$J$113,Paraméterek!$K$113),IF($D$4="Forint",Paraméterek!$J$113,Paraméterek!$K$113),IF(IF(ISBLANK($AY846),$AX846,$AY846)*Paraméterek!$J$112&gt;IF($D$4="Forint",Paraméterek!$J$114,Paraméterek!$K$114),IF($D$4="Forint",Paraméterek!$J$114,Paraméterek!$K$114),IF(ISBLANK($AY846),$AX846,$AY846)*Paraméterek!$J$112))),IF($D$4="Forint",0,2))</f>
        <v>0</v>
      </c>
      <c r="BA846" s="13">
        <f ca="1">$AT846+$AV846-$AW846-IF(ROUNDDOWN(IF(ISBLANK($AY846),$AX846,$AY846),IF($D$4="Forint",0,2))&gt;$AT846+$AV846-$AW846-IF($D$4="Forint",Paraméterek!$J$114,Paraméterek!$K$114),0,ROUNDDOWN(IF(ISBLANK($AY846),$AX846,$AY846),IF($D$4="Forint",0,2))-$AZ846)</f>
        <v>0</v>
      </c>
      <c r="BB846" s="13">
        <f t="shared" ca="1" si="275"/>
        <v>0</v>
      </c>
      <c r="BD846" s="32">
        <v>827</v>
      </c>
      <c r="BE846" s="32">
        <v>69</v>
      </c>
      <c r="BF846" s="32">
        <v>11</v>
      </c>
      <c r="BG846" s="34">
        <f t="shared" ca="1" si="284"/>
        <v>2088</v>
      </c>
      <c r="BH846" s="32" t="str">
        <f ca="1">IF(MOD(MONTH($D$14)+$BD846-1,12)=Paraméterek!$C$288,"Igen","")</f>
        <v/>
      </c>
      <c r="BI846" s="13">
        <f ca="1">IF($BH846="Igen",MIN(ROUNDDOWN((SUMIF($BG$20:$BG$1027,$BG846-1,$K$20:$K$1027)-SUMIF($BG$20:$BG$1027,$BG846-1,$I$20:$I$1027))*Paraméterek!$C$289,IF($D$4="Forint",0,2)),IF($D$4="Forint",Paraméterek!$C$285,Paraméterek!$D$285)),0)</f>
        <v>0</v>
      </c>
      <c r="BJ846" s="13">
        <f t="shared" ca="1" si="276"/>
        <v>0</v>
      </c>
      <c r="BK846" s="13">
        <f t="shared" ca="1" si="285"/>
        <v>0</v>
      </c>
      <c r="BL846" s="33"/>
      <c r="BM846" s="13">
        <f t="shared" ca="1" si="277"/>
        <v>0</v>
      </c>
      <c r="BN846" s="13">
        <f ca="1">ROUNDUP(($BK846+$BM846)*VLOOKUP($BE846,Paraméterek!$P$38:$Q$38,2)/12*IF($D847="Nem",IF($M$13=0,1,$M$13),1),IF($D$4="Forint",0,2))</f>
        <v>0</v>
      </c>
      <c r="BO846" s="13">
        <f t="shared" ca="1" si="278"/>
        <v>0</v>
      </c>
      <c r="BP846" s="13">
        <f ca="1">IF($D847="Nem",$BO846,$BO846-ROUNDUP(SUM($BI$20:$BI846)*120%,IF($D$4="Forint",0,2)))</f>
        <v>0</v>
      </c>
    </row>
    <row r="847" spans="1:68" x14ac:dyDescent="0.2">
      <c r="A847" s="32">
        <v>828</v>
      </c>
      <c r="B847" s="32">
        <v>69</v>
      </c>
      <c r="C847" s="32">
        <v>12</v>
      </c>
      <c r="D847" s="32" t="str">
        <f t="shared" ca="1" si="264"/>
        <v>Nem</v>
      </c>
      <c r="E847" s="13">
        <f t="shared" ca="1" si="265"/>
        <v>0</v>
      </c>
      <c r="F847" s="13"/>
      <c r="G847" s="13"/>
      <c r="H847" s="13"/>
      <c r="I847" s="13">
        <f t="shared" ca="1" si="266"/>
        <v>0</v>
      </c>
      <c r="J847" s="13">
        <f t="shared" ca="1" si="267"/>
        <v>0</v>
      </c>
      <c r="K847" s="13">
        <f t="shared" ca="1" si="268"/>
        <v>0</v>
      </c>
      <c r="L847" s="13" t="e">
        <f ca="1">ROUNDUP(IF($D$2="Egyszeri",$E847,IF($D$2="Havi",SUM($E$20:$E$31),IF(MOD($C847,$M$1)-1=0,SUM($E$20:$E$31),0))/12*$M$1)*VLOOKUP($B847,Paraméterek!$I$28:$P$31,IF($D$2="Egyszeri",8,HLOOKUP(ROUNDUP($M$11+$M$13,0),Paraméterek!$J$26:$O$27,2))),IF($D$4="Forint",0,2))</f>
        <v>#N/A</v>
      </c>
      <c r="M847" s="13">
        <f t="shared" ca="1" si="269"/>
        <v>0</v>
      </c>
      <c r="N847" s="13">
        <f t="shared" ca="1" si="279"/>
        <v>0</v>
      </c>
      <c r="O847" s="13">
        <f ca="1">IF($D847="Igen",IF($W846&gt;=IF($D$4="Forint",Paraméterek!$J$121,Paraméterek!$K$121),0,IF($D$4="Forint",Paraméterek!$J$121,Paraméterek!$K$121)-$W846),0)</f>
        <v>0</v>
      </c>
      <c r="P847" s="13" t="e">
        <f ca="1">ROUNDUP($O847*VLOOKUP($M$4+$B847-1,Paraméterek!$H$58:$I$105,2,0)/Paraméterek!$I$56,IF($D$4="Forint",0,2))</f>
        <v>#N/A</v>
      </c>
      <c r="Q847" s="13">
        <f t="shared" ca="1" si="270"/>
        <v>0</v>
      </c>
      <c r="R847" s="33"/>
      <c r="S847" s="13" t="e">
        <f t="shared" ca="1" si="271"/>
        <v>#N/A</v>
      </c>
      <c r="T847" s="13" t="e">
        <f ca="1">ROUNDUP(($N847-$P847-$Q847+$S847)*VLOOKUP($B847,Paraméterek!$I$38:$K$39,IF($D$2="Egyszeri",3,2))/12*IF($D848="Nem",IF($M$13=0,1,$M$13),1),IF($D$4="Forint",0,2))</f>
        <v>#N/A</v>
      </c>
      <c r="U847" s="13">
        <f>Tranzakciók!$F$100</f>
        <v>0</v>
      </c>
      <c r="V847" s="13"/>
      <c r="W847" s="13" t="e">
        <f ca="1">$N847-$P847-$Q847+$S847-$T847-IF(ROUNDUP(IF(ISBLANK($V847),$U847*0,$V847)/IF($D$2="Egyszeri",VLOOKUP($B847+IF($C847=12,1,0),Paraméterek!$V$257:$W$262,2),IF($B847=1,1,VLOOKUP($B847+IF($C847=12,1,0),Paraméterek!$I$258:$T$278,HLOOKUP($M$11+1,Paraméterek!$J$256:$T$257,2)))),IF($D$4="Forint",0,2))&gt;$N847-$P847-$Q847+$S847-$T847-IF($D$4="Forint",Paraméterek!$C$216,Paraméterek!$D$216),0,ROUNDUP(IF(ISBLANK($V847),$U847*0,$V847)/IF($D$2="Egyszeri",VLOOKUP($B847+IF($C847=12,1,0),Paraméterek!$V$257:$W$262,2),IF($B847=1,1,VLOOKUP($B847+IF($C847=12,1,0),Paraméterek!$I$258:$T$278,HLOOKUP($M$11+1,Paraméterek!$J$256:$T$257,2)))),IF($D$4="Forint",0,2)))</f>
        <v>#N/A</v>
      </c>
      <c r="X847" s="13" t="e">
        <f ca="1">ROUNDDOWN($W847*IF($D$2="Egyszeri",VLOOKUP($B847+IF($C847=12,1,0),Paraméterek!$V$257:$W$262,2),VLOOKUP($B847+IF($C847=12,1,0),Paraméterek!$I$258:$T$278,HLOOKUP($M$11+1,Paraméterek!$I$256:$T$257,2))),IF($D$4="Forint",0,2))</f>
        <v>#N/A</v>
      </c>
      <c r="Z847" s="32">
        <v>828</v>
      </c>
      <c r="AA847" s="32">
        <v>69</v>
      </c>
      <c r="AB847" s="32">
        <v>12</v>
      </c>
      <c r="AC847" s="13">
        <f t="shared" ca="1" si="280"/>
        <v>0</v>
      </c>
      <c r="AD847" s="33"/>
      <c r="AE847" s="13">
        <f t="shared" ca="1" si="272"/>
        <v>0</v>
      </c>
      <c r="AF847" s="13">
        <f ca="1">ROUNDUP(($AC847+$AE847)*VLOOKUP($AA847,Paraméterek!$P$38:$Q$38,2)/12*IF($D848="Nem",IF($M$13=0,1,$M$13),1),IF($D$4="Forint",0,2))</f>
        <v>0</v>
      </c>
      <c r="AG847" s="13" t="e">
        <f ca="1">IF($D$2="Egyszeri",IF($D$7&gt;=IF($D$4="Forint",Paraméterek!$P$223,Paraméterek!$P$224),$D$7-IF($D$4="Forint",Paraméterek!$P$223,Paraméterek!$P$224),0),MIN(IF($AB847=12,AVERAGEIF($E$20:$E847,"&gt;0",$E$20:$E847)*12,0),SUM($E$20:$E$31)))</f>
        <v>#DIV/0!</v>
      </c>
      <c r="AH847" s="13">
        <f>IF($AA847=10,$AG847*IF($AB847=12,IF($AG847&lt;IF($D$4="Forint",Paraméterek!$L$223,Paraméterek!$L$224),0,VLOOKUP($AA847,Paraméterek!$K$226:$M$228,IF($AG847&lt;IF($D$4="Forint",Paraméterek!$M$223,Paraméterek!$M$224),2,3))),0),0)</f>
        <v>0</v>
      </c>
      <c r="AI847" s="13">
        <f ca="1">IF(AND($AA847=$M$11+1,$AB847=$M$12+1),SUMIF($AA$20:$AA$1027,$AA847,$AG$20:$AG$1027)*IF(SUMIF($AA$20:$AA$1027,$AA847,$AG$20:$AG$1027)&lt;IF($D$4="Forint",Paraméterek!$L$223,Paraméterek!$L$224),0,VLOOKUP($AA847,Paraméterek!$K$230:$M$250,IF(SUMIF($AA$20:$AA$1027,$AA847,$AG$20:$AG$1027)&lt;IF($D$4="Forint",Paraméterek!$M$223,Paraméterek!$M$224),2,3))),0)</f>
        <v>0</v>
      </c>
      <c r="AJ847" s="13" t="e">
        <f ca="1">IF(AND($AA847&gt;=5,MOD($AA847,5)=0),IF($AB847=12,VLOOKUP($AA847,Paraméterek!$O$225:$P$240,2),0),IF(OR($AA847=3,$AA847=4),IF($AB847=12,VLOOKUP($AA847,Paraméterek!$O$225:$P$240,2,0),0),0))*$AG847</f>
        <v>#DIV/0!</v>
      </c>
      <c r="AK847" s="13">
        <f t="shared" ca="1" si="273"/>
        <v>0</v>
      </c>
      <c r="AL847" s="13">
        <f t="shared" ca="1" si="281"/>
        <v>0</v>
      </c>
      <c r="AM847" s="13">
        <f t="shared" ca="1" si="282"/>
        <v>0</v>
      </c>
      <c r="AO847" s="32">
        <v>828</v>
      </c>
      <c r="AP847" s="32">
        <v>69</v>
      </c>
      <c r="AQ847" s="32">
        <v>12</v>
      </c>
      <c r="AR847" s="13"/>
      <c r="AS847" s="32"/>
      <c r="AT847" s="13">
        <f t="shared" ca="1" si="283"/>
        <v>0</v>
      </c>
      <c r="AU847" s="33"/>
      <c r="AV847" s="13">
        <f t="shared" ca="1" si="274"/>
        <v>0</v>
      </c>
      <c r="AW847" s="13">
        <f ca="1">ROUNDUP(($AT847+$AV847)*VLOOKUP($AP847,Paraméterek!$P$38:$Q$38,2)/12*IF($D848="Nem",IF($M$13=0,1,$M$13),1),IF($D$4="Forint",0,2))</f>
        <v>0</v>
      </c>
      <c r="AX847" s="13">
        <f>Tranzakciók!$M$100</f>
        <v>0</v>
      </c>
      <c r="AY847" s="13"/>
      <c r="AZ847" s="13">
        <f>ROUNDUP(IF(SUM($AX847:$AY847)=0,0,IF(IF(ISBLANK($AY847),$AX847,$AY847)*Paraméterek!$J$112&lt;IF($D$4="Forint",Paraméterek!$J$113,Paraméterek!$K$113),IF($D$4="Forint",Paraméterek!$J$113,Paraméterek!$K$113),IF(IF(ISBLANK($AY847),$AX847,$AY847)*Paraméterek!$J$112&gt;IF($D$4="Forint",Paraméterek!$J$114,Paraméterek!$K$114),IF($D$4="Forint",Paraméterek!$J$114,Paraméterek!$K$114),IF(ISBLANK($AY847),$AX847,$AY847)*Paraméterek!$J$112))),IF($D$4="Forint",0,2))</f>
        <v>0</v>
      </c>
      <c r="BA847" s="13">
        <f ca="1">$AT847+$AV847-$AW847-IF(ROUNDDOWN(IF(ISBLANK($AY847),$AX847,$AY847),IF($D$4="Forint",0,2))&gt;$AT847+$AV847-$AW847-IF($D$4="Forint",Paraméterek!$J$114,Paraméterek!$K$114),0,ROUNDDOWN(IF(ISBLANK($AY847),$AX847,$AY847),IF($D$4="Forint",0,2))-$AZ847)</f>
        <v>0</v>
      </c>
      <c r="BB847" s="13">
        <f t="shared" ca="1" si="275"/>
        <v>0</v>
      </c>
      <c r="BD847" s="32">
        <v>828</v>
      </c>
      <c r="BE847" s="32">
        <v>69</v>
      </c>
      <c r="BF847" s="32">
        <v>12</v>
      </c>
      <c r="BG847" s="34">
        <f t="shared" ca="1" si="284"/>
        <v>2088</v>
      </c>
      <c r="BH847" s="32" t="str">
        <f ca="1">IF(MOD(MONTH($D$14)+$BD847-1,12)=Paraméterek!$C$288,"Igen","")</f>
        <v/>
      </c>
      <c r="BI847" s="13">
        <f ca="1">IF($BH847="Igen",MIN(ROUNDDOWN((SUMIF($BG$20:$BG$1027,$BG847-1,$K$20:$K$1027)-SUMIF($BG$20:$BG$1027,$BG847-1,$I$20:$I$1027))*Paraméterek!$C$289,IF($D$4="Forint",0,2)),IF($D$4="Forint",Paraméterek!$C$285,Paraméterek!$D$285)),0)</f>
        <v>0</v>
      </c>
      <c r="BJ847" s="13">
        <f t="shared" ca="1" si="276"/>
        <v>0</v>
      </c>
      <c r="BK847" s="13">
        <f t="shared" ca="1" si="285"/>
        <v>0</v>
      </c>
      <c r="BL847" s="33"/>
      <c r="BM847" s="13">
        <f t="shared" ca="1" si="277"/>
        <v>0</v>
      </c>
      <c r="BN847" s="13">
        <f ca="1">ROUNDUP(($BK847+$BM847)*VLOOKUP($BE847,Paraméterek!$P$38:$Q$38,2)/12*IF($D848="Nem",IF($M$13=0,1,$M$13),1),IF($D$4="Forint",0,2))</f>
        <v>0</v>
      </c>
      <c r="BO847" s="13">
        <f t="shared" ca="1" si="278"/>
        <v>0</v>
      </c>
      <c r="BP847" s="13">
        <f ca="1">IF($D848="Nem",$BO847,$BO847-ROUNDUP(SUM($BI$20:$BI847)*120%,IF($D$4="Forint",0,2)))</f>
        <v>0</v>
      </c>
    </row>
    <row r="848" spans="1:68" x14ac:dyDescent="0.2">
      <c r="A848" s="32">
        <v>829</v>
      </c>
      <c r="B848" s="32">
        <v>70</v>
      </c>
      <c r="C848" s="32">
        <v>1</v>
      </c>
      <c r="D848" s="32" t="str">
        <f t="shared" ca="1" si="264"/>
        <v>Nem</v>
      </c>
      <c r="E848" s="13">
        <f t="shared" ca="1" si="265"/>
        <v>0</v>
      </c>
      <c r="F848" s="13"/>
      <c r="G848" s="13">
        <f>Tranzakciók!$D$101</f>
        <v>0</v>
      </c>
      <c r="H848" s="13"/>
      <c r="I848" s="13">
        <f t="shared" ca="1" si="266"/>
        <v>0</v>
      </c>
      <c r="J848" s="13">
        <f t="shared" ca="1" si="267"/>
        <v>0</v>
      </c>
      <c r="K848" s="13">
        <f t="shared" ca="1" si="268"/>
        <v>0</v>
      </c>
      <c r="L848" s="13" t="e">
        <f ca="1">ROUNDUP(IF($D$2="Egyszeri",$E848,IF($D$2="Havi",SUM($E$20:$E$31),IF(MOD($C848,$M$1)-1=0,SUM($E$20:$E$31),0))/12*$M$1)*VLOOKUP($B848,Paraméterek!$I$28:$P$31,IF($D$2="Egyszeri",8,HLOOKUP(ROUNDUP($M$11+$M$13,0),Paraméterek!$J$26:$O$27,2))),IF($D$4="Forint",0,2))</f>
        <v>#N/A</v>
      </c>
      <c r="M848" s="13">
        <f t="shared" ca="1" si="269"/>
        <v>0</v>
      </c>
      <c r="N848" s="13">
        <f t="shared" ca="1" si="279"/>
        <v>0</v>
      </c>
      <c r="O848" s="13">
        <f ca="1">IF($D848="Igen",IF($W847&gt;=IF($D$4="Forint",Paraméterek!$J$121,Paraméterek!$K$121),0,IF($D$4="Forint",Paraméterek!$J$121,Paraméterek!$K$121)-$W847),0)</f>
        <v>0</v>
      </c>
      <c r="P848" s="13" t="e">
        <f ca="1">ROUNDUP($O848*VLOOKUP($M$4+$B848-1,Paraméterek!$H$58:$I$105,2,0)/Paraméterek!$I$56,IF($D$4="Forint",0,2))</f>
        <v>#N/A</v>
      </c>
      <c r="Q848" s="13">
        <f t="shared" ca="1" si="270"/>
        <v>0</v>
      </c>
      <c r="R848" s="33"/>
      <c r="S848" s="13" t="e">
        <f t="shared" ca="1" si="271"/>
        <v>#N/A</v>
      </c>
      <c r="T848" s="13" t="e">
        <f ca="1">ROUNDUP(($N848-$P848-$Q848+$S848)*VLOOKUP($B848,Paraméterek!$I$38:$K$39,IF($D$2="Egyszeri",3,2))/12*IF($D849="Nem",IF($M$13=0,1,$M$13),1),IF($D$4="Forint",0,2))</f>
        <v>#N/A</v>
      </c>
      <c r="U848" s="13"/>
      <c r="V848" s="13"/>
      <c r="W848" s="13" t="e">
        <f ca="1">$N848-$P848-$Q848+$S848-$T848-IF(ROUNDUP(IF(ISBLANK($V848),$U848*0,$V848)/IF($D$2="Egyszeri",VLOOKUP($B848+IF($C848=12,1,0),Paraméterek!$V$257:$W$262,2),IF($B848=1,1,VLOOKUP($B848+IF($C848=12,1,0),Paraméterek!$I$258:$T$278,HLOOKUP($M$11+1,Paraméterek!$J$256:$T$257,2)))),IF($D$4="Forint",0,2))&gt;$N848-$P848-$Q848+$S848-$T848-IF($D$4="Forint",Paraméterek!$C$216,Paraméterek!$D$216),0,ROUNDUP(IF(ISBLANK($V848),$U848*0,$V848)/IF($D$2="Egyszeri",VLOOKUP($B848+IF($C848=12,1,0),Paraméterek!$V$257:$W$262,2),IF($B848=1,1,VLOOKUP($B848+IF($C848=12,1,0),Paraméterek!$I$258:$T$278,HLOOKUP($M$11+1,Paraméterek!$J$256:$T$257,2)))),IF($D$4="Forint",0,2)))</f>
        <v>#N/A</v>
      </c>
      <c r="X848" s="13" t="e">
        <f ca="1">ROUNDDOWN($W848*IF($D$2="Egyszeri",VLOOKUP($B848+IF($C848=12,1,0),Paraméterek!$V$257:$W$262,2),VLOOKUP($B848+IF($C848=12,1,0),Paraméterek!$I$258:$T$278,HLOOKUP($M$11+1,Paraméterek!$I$256:$T$257,2))),IF($D$4="Forint",0,2))</f>
        <v>#N/A</v>
      </c>
      <c r="Z848" s="32">
        <v>829</v>
      </c>
      <c r="AA848" s="32">
        <v>70</v>
      </c>
      <c r="AB848" s="32">
        <v>1</v>
      </c>
      <c r="AC848" s="13">
        <f t="shared" ca="1" si="280"/>
        <v>0</v>
      </c>
      <c r="AD848" s="33"/>
      <c r="AE848" s="13">
        <f t="shared" ca="1" si="272"/>
        <v>0</v>
      </c>
      <c r="AF848" s="13">
        <f ca="1">ROUNDUP(($AC848+$AE848)*VLOOKUP($AA848,Paraméterek!$P$38:$Q$38,2)/12*IF($D849="Nem",IF($M$13=0,1,$M$13),1),IF($D$4="Forint",0,2))</f>
        <v>0</v>
      </c>
      <c r="AG848" s="13">
        <f ca="1">IF($D$2="Egyszeri",IF($D$7&gt;=IF($D$4="Forint",Paraméterek!$P$223,Paraméterek!$P$224),$D$7-IF($D$4="Forint",Paraméterek!$P$223,Paraméterek!$P$224),0),MIN(IF($AB848=12,AVERAGEIF($E$20:$E848,"&gt;0",$E$20:$E848)*12,0),SUM($E$20:$E$31)))</f>
        <v>0</v>
      </c>
      <c r="AH848" s="13">
        <f>IF($AA848=10,$AG848*IF($AB848=12,IF($AG848&lt;IF($D$4="Forint",Paraméterek!$L$223,Paraméterek!$L$224),0,VLOOKUP($AA848,Paraméterek!$K$226:$M$228,IF($AG848&lt;IF($D$4="Forint",Paraméterek!$M$223,Paraméterek!$M$224),2,3))),0),0)</f>
        <v>0</v>
      </c>
      <c r="AI848" s="13">
        <f ca="1">IF(AND($AA848=$M$11+1,$AB848=$M$12+1),SUMIF($AA$20:$AA$1027,$AA848,$AG$20:$AG$1027)*IF(SUMIF($AA$20:$AA$1027,$AA848,$AG$20:$AG$1027)&lt;IF($D$4="Forint",Paraméterek!$L$223,Paraméterek!$L$224),0,VLOOKUP($AA848,Paraméterek!$K$230:$M$250,IF(SUMIF($AA$20:$AA$1027,$AA848,$AG$20:$AG$1027)&lt;IF($D$4="Forint",Paraméterek!$M$223,Paraméterek!$M$224),2,3))),0)</f>
        <v>0</v>
      </c>
      <c r="AJ848" s="13">
        <f ca="1">IF(AND($AA848&gt;=5,MOD($AA848,5)=0),IF($AB848=12,VLOOKUP($AA848,Paraméterek!$O$225:$P$240,2),0),IF(OR($AA848=3,$AA848=4),IF($AB848=12,VLOOKUP($AA848,Paraméterek!$O$225:$P$240,2,0),0),0))*$AG848</f>
        <v>0</v>
      </c>
      <c r="AK848" s="13">
        <f t="shared" ca="1" si="273"/>
        <v>0</v>
      </c>
      <c r="AL848" s="13">
        <f t="shared" ca="1" si="281"/>
        <v>0</v>
      </c>
      <c r="AM848" s="13">
        <f t="shared" ca="1" si="282"/>
        <v>0</v>
      </c>
      <c r="AO848" s="32">
        <v>829</v>
      </c>
      <c r="AP848" s="32">
        <v>70</v>
      </c>
      <c r="AQ848" s="32">
        <v>1</v>
      </c>
      <c r="AR848" s="13">
        <f>Tranzakciók!$K$101</f>
        <v>0</v>
      </c>
      <c r="AS848" s="32"/>
      <c r="AT848" s="13">
        <f t="shared" ca="1" si="283"/>
        <v>0</v>
      </c>
      <c r="AU848" s="33"/>
      <c r="AV848" s="13">
        <f t="shared" ca="1" si="274"/>
        <v>0</v>
      </c>
      <c r="AW848" s="13">
        <f ca="1">ROUNDUP(($AT848+$AV848)*VLOOKUP($AP848,Paraméterek!$P$38:$Q$38,2)/12*IF($D849="Nem",IF($M$13=0,1,$M$13),1),IF($D$4="Forint",0,2))</f>
        <v>0</v>
      </c>
      <c r="AX848" s="13"/>
      <c r="AY848" s="13"/>
      <c r="AZ848" s="13">
        <f>ROUNDUP(IF(SUM($AX848:$AY848)=0,0,IF(IF(ISBLANK($AY848),$AX848,$AY848)*Paraméterek!$J$112&lt;IF($D$4="Forint",Paraméterek!$J$113,Paraméterek!$K$113),IF($D$4="Forint",Paraméterek!$J$113,Paraméterek!$K$113),IF(IF(ISBLANK($AY848),$AX848,$AY848)*Paraméterek!$J$112&gt;IF($D$4="Forint",Paraméterek!$J$114,Paraméterek!$K$114),IF($D$4="Forint",Paraméterek!$J$114,Paraméterek!$K$114),IF(ISBLANK($AY848),$AX848,$AY848)*Paraméterek!$J$112))),IF($D$4="Forint",0,2))</f>
        <v>0</v>
      </c>
      <c r="BA848" s="13">
        <f ca="1">$AT848+$AV848-$AW848-IF(ROUNDDOWN(IF(ISBLANK($AY848),$AX848,$AY848),IF($D$4="Forint",0,2))&gt;$AT848+$AV848-$AW848-IF($D$4="Forint",Paraméterek!$J$114,Paraméterek!$K$114),0,ROUNDDOWN(IF(ISBLANK($AY848),$AX848,$AY848),IF($D$4="Forint",0,2))-$AZ848)</f>
        <v>0</v>
      </c>
      <c r="BB848" s="13">
        <f t="shared" ca="1" si="275"/>
        <v>0</v>
      </c>
      <c r="BD848" s="32">
        <v>829</v>
      </c>
      <c r="BE848" s="32">
        <v>70</v>
      </c>
      <c r="BF848" s="32">
        <v>1</v>
      </c>
      <c r="BG848" s="34">
        <f t="shared" ca="1" si="284"/>
        <v>2088</v>
      </c>
      <c r="BH848" s="32" t="str">
        <f ca="1">IF(MOD(MONTH($D$14)+$BD848-1,12)=Paraméterek!$C$288,"Igen","")</f>
        <v/>
      </c>
      <c r="BI848" s="13">
        <f ca="1">IF($BH848="Igen",MIN(ROUNDDOWN((SUMIF($BG$20:$BG$1027,$BG848-1,$K$20:$K$1027)-SUMIF($BG$20:$BG$1027,$BG848-1,$I$20:$I$1027))*Paraméterek!$C$289,IF($D$4="Forint",0,2)),IF($D$4="Forint",Paraméterek!$C$285,Paraméterek!$D$285)),0)</f>
        <v>0</v>
      </c>
      <c r="BJ848" s="13">
        <f t="shared" ca="1" si="276"/>
        <v>0</v>
      </c>
      <c r="BK848" s="13">
        <f t="shared" ca="1" si="285"/>
        <v>0</v>
      </c>
      <c r="BL848" s="33"/>
      <c r="BM848" s="13">
        <f t="shared" ca="1" si="277"/>
        <v>0</v>
      </c>
      <c r="BN848" s="13">
        <f ca="1">ROUNDUP(($BK848+$BM848)*VLOOKUP($BE848,Paraméterek!$P$38:$Q$38,2)/12*IF($D849="Nem",IF($M$13=0,1,$M$13),1),IF($D$4="Forint",0,2))</f>
        <v>0</v>
      </c>
      <c r="BO848" s="13">
        <f t="shared" ca="1" si="278"/>
        <v>0</v>
      </c>
      <c r="BP848" s="13">
        <f ca="1">IF($D849="Nem",$BO848,$BO848-ROUNDUP(SUM($BI$20:$BI848)*120%,IF($D$4="Forint",0,2)))</f>
        <v>0</v>
      </c>
    </row>
    <row r="849" spans="1:68" x14ac:dyDescent="0.2">
      <c r="A849" s="32">
        <v>830</v>
      </c>
      <c r="B849" s="32">
        <v>70</v>
      </c>
      <c r="C849" s="32">
        <v>2</v>
      </c>
      <c r="D849" s="32" t="str">
        <f t="shared" ca="1" si="264"/>
        <v>Nem</v>
      </c>
      <c r="E849" s="13">
        <f t="shared" ca="1" si="265"/>
        <v>0</v>
      </c>
      <c r="F849" s="13"/>
      <c r="G849" s="13"/>
      <c r="H849" s="13"/>
      <c r="I849" s="13">
        <f t="shared" ca="1" si="266"/>
        <v>0</v>
      </c>
      <c r="J849" s="13">
        <f t="shared" ca="1" si="267"/>
        <v>0</v>
      </c>
      <c r="K849" s="13">
        <f t="shared" ca="1" si="268"/>
        <v>0</v>
      </c>
      <c r="L849" s="13" t="e">
        <f ca="1">ROUNDUP(IF($D$2="Egyszeri",$E849,IF($D$2="Havi",SUM($E$20:$E$31),IF(MOD($C849,$M$1)-1=0,SUM($E$20:$E$31),0))/12*$M$1)*VLOOKUP($B849,Paraméterek!$I$28:$P$31,IF($D$2="Egyszeri",8,HLOOKUP(ROUNDUP($M$11+$M$13,0),Paraméterek!$J$26:$O$27,2))),IF($D$4="Forint",0,2))</f>
        <v>#N/A</v>
      </c>
      <c r="M849" s="13">
        <f t="shared" ca="1" si="269"/>
        <v>0</v>
      </c>
      <c r="N849" s="13">
        <f t="shared" ca="1" si="279"/>
        <v>0</v>
      </c>
      <c r="O849" s="13">
        <f ca="1">IF($D849="Igen",IF($W848&gt;=IF($D$4="Forint",Paraméterek!$J$121,Paraméterek!$K$121),0,IF($D$4="Forint",Paraméterek!$J$121,Paraméterek!$K$121)-$W848),0)</f>
        <v>0</v>
      </c>
      <c r="P849" s="13" t="e">
        <f ca="1">ROUNDUP($O849*VLOOKUP($M$4+$B849-1,Paraméterek!$H$58:$I$105,2,0)/Paraméterek!$I$56,IF($D$4="Forint",0,2))</f>
        <v>#N/A</v>
      </c>
      <c r="Q849" s="13">
        <f t="shared" ca="1" si="270"/>
        <v>0</v>
      </c>
      <c r="R849" s="33"/>
      <c r="S849" s="13" t="e">
        <f t="shared" ca="1" si="271"/>
        <v>#N/A</v>
      </c>
      <c r="T849" s="13" t="e">
        <f ca="1">ROUNDUP(($N849-$P849-$Q849+$S849)*VLOOKUP($B849,Paraméterek!$I$38:$K$39,IF($D$2="Egyszeri",3,2))/12*IF($D850="Nem",IF($M$13=0,1,$M$13),1),IF($D$4="Forint",0,2))</f>
        <v>#N/A</v>
      </c>
      <c r="U849" s="13"/>
      <c r="V849" s="13"/>
      <c r="W849" s="13" t="e">
        <f ca="1">$N849-$P849-$Q849+$S849-$T849-IF(ROUNDUP(IF(ISBLANK($V849),$U849*0,$V849)/IF($D$2="Egyszeri",VLOOKUP($B849+IF($C849=12,1,0),Paraméterek!$V$257:$W$262,2),IF($B849=1,1,VLOOKUP($B849+IF($C849=12,1,0),Paraméterek!$I$258:$T$278,HLOOKUP($M$11+1,Paraméterek!$J$256:$T$257,2)))),IF($D$4="Forint",0,2))&gt;$N849-$P849-$Q849+$S849-$T849-IF($D$4="Forint",Paraméterek!$C$216,Paraméterek!$D$216),0,ROUNDUP(IF(ISBLANK($V849),$U849*0,$V849)/IF($D$2="Egyszeri",VLOOKUP($B849+IF($C849=12,1,0),Paraméterek!$V$257:$W$262,2),IF($B849=1,1,VLOOKUP($B849+IF($C849=12,1,0),Paraméterek!$I$258:$T$278,HLOOKUP($M$11+1,Paraméterek!$J$256:$T$257,2)))),IF($D$4="Forint",0,2)))</f>
        <v>#N/A</v>
      </c>
      <c r="X849" s="13" t="e">
        <f ca="1">ROUNDDOWN($W849*IF($D$2="Egyszeri",VLOOKUP($B849+IF($C849=12,1,0),Paraméterek!$V$257:$W$262,2),VLOOKUP($B849+IF($C849=12,1,0),Paraméterek!$I$258:$T$278,HLOOKUP($M$11+1,Paraméterek!$I$256:$T$257,2))),IF($D$4="Forint",0,2))</f>
        <v>#N/A</v>
      </c>
      <c r="Z849" s="32">
        <v>830</v>
      </c>
      <c r="AA849" s="32">
        <v>70</v>
      </c>
      <c r="AB849" s="32">
        <v>2</v>
      </c>
      <c r="AC849" s="13">
        <f t="shared" ca="1" si="280"/>
        <v>0</v>
      </c>
      <c r="AD849" s="33"/>
      <c r="AE849" s="13">
        <f t="shared" ca="1" si="272"/>
        <v>0</v>
      </c>
      <c r="AF849" s="13">
        <f ca="1">ROUNDUP(($AC849+$AE849)*VLOOKUP($AA849,Paraméterek!$P$38:$Q$38,2)/12*IF($D850="Nem",IF($M$13=0,1,$M$13),1),IF($D$4="Forint",0,2))</f>
        <v>0</v>
      </c>
      <c r="AG849" s="13">
        <f ca="1">IF($D$2="Egyszeri",IF($D$7&gt;=IF($D$4="Forint",Paraméterek!$P$223,Paraméterek!$P$224),$D$7-IF($D$4="Forint",Paraméterek!$P$223,Paraméterek!$P$224),0),MIN(IF($AB849=12,AVERAGEIF($E$20:$E849,"&gt;0",$E$20:$E849)*12,0),SUM($E$20:$E$31)))</f>
        <v>0</v>
      </c>
      <c r="AH849" s="13">
        <f>IF($AA849=10,$AG849*IF($AB849=12,IF($AG849&lt;IF($D$4="Forint",Paraméterek!$L$223,Paraméterek!$L$224),0,VLOOKUP($AA849,Paraméterek!$K$226:$M$228,IF($AG849&lt;IF($D$4="Forint",Paraméterek!$M$223,Paraméterek!$M$224),2,3))),0),0)</f>
        <v>0</v>
      </c>
      <c r="AI849" s="13">
        <f ca="1">IF(AND($AA849=$M$11+1,$AB849=$M$12+1),SUMIF($AA$20:$AA$1027,$AA849,$AG$20:$AG$1027)*IF(SUMIF($AA$20:$AA$1027,$AA849,$AG$20:$AG$1027)&lt;IF($D$4="Forint",Paraméterek!$L$223,Paraméterek!$L$224),0,VLOOKUP($AA849,Paraméterek!$K$230:$M$250,IF(SUMIF($AA$20:$AA$1027,$AA849,$AG$20:$AG$1027)&lt;IF($D$4="Forint",Paraméterek!$M$223,Paraméterek!$M$224),2,3))),0)</f>
        <v>0</v>
      </c>
      <c r="AJ849" s="13">
        <f ca="1">IF(AND($AA849&gt;=5,MOD($AA849,5)=0),IF($AB849=12,VLOOKUP($AA849,Paraméterek!$O$225:$P$240,2),0),IF(OR($AA849=3,$AA849=4),IF($AB849=12,VLOOKUP($AA849,Paraméterek!$O$225:$P$240,2,0),0),0))*$AG849</f>
        <v>0</v>
      </c>
      <c r="AK849" s="13">
        <f t="shared" ca="1" si="273"/>
        <v>0</v>
      </c>
      <c r="AL849" s="13">
        <f t="shared" ca="1" si="281"/>
        <v>0</v>
      </c>
      <c r="AM849" s="13">
        <f t="shared" ca="1" si="282"/>
        <v>0</v>
      </c>
      <c r="AO849" s="32">
        <v>830</v>
      </c>
      <c r="AP849" s="32">
        <v>70</v>
      </c>
      <c r="AQ849" s="32">
        <v>2</v>
      </c>
      <c r="AR849" s="13"/>
      <c r="AS849" s="32"/>
      <c r="AT849" s="13">
        <f t="shared" ca="1" si="283"/>
        <v>0</v>
      </c>
      <c r="AU849" s="33"/>
      <c r="AV849" s="13">
        <f t="shared" ca="1" si="274"/>
        <v>0</v>
      </c>
      <c r="AW849" s="13">
        <f ca="1">ROUNDUP(($AT849+$AV849)*VLOOKUP($AP849,Paraméterek!$P$38:$Q$38,2)/12*IF($D850="Nem",IF($M$13=0,1,$M$13),1),IF($D$4="Forint",0,2))</f>
        <v>0</v>
      </c>
      <c r="AX849" s="13"/>
      <c r="AY849" s="13"/>
      <c r="AZ849" s="13">
        <f>ROUNDUP(IF(SUM($AX849:$AY849)=0,0,IF(IF(ISBLANK($AY849),$AX849,$AY849)*Paraméterek!$J$112&lt;IF($D$4="Forint",Paraméterek!$J$113,Paraméterek!$K$113),IF($D$4="Forint",Paraméterek!$J$113,Paraméterek!$K$113),IF(IF(ISBLANK($AY849),$AX849,$AY849)*Paraméterek!$J$112&gt;IF($D$4="Forint",Paraméterek!$J$114,Paraméterek!$K$114),IF($D$4="Forint",Paraméterek!$J$114,Paraméterek!$K$114),IF(ISBLANK($AY849),$AX849,$AY849)*Paraméterek!$J$112))),IF($D$4="Forint",0,2))</f>
        <v>0</v>
      </c>
      <c r="BA849" s="13">
        <f ca="1">$AT849+$AV849-$AW849-IF(ROUNDDOWN(IF(ISBLANK($AY849),$AX849,$AY849),IF($D$4="Forint",0,2))&gt;$AT849+$AV849-$AW849-IF($D$4="Forint",Paraméterek!$J$114,Paraméterek!$K$114),0,ROUNDDOWN(IF(ISBLANK($AY849),$AX849,$AY849),IF($D$4="Forint",0,2))-$AZ849)</f>
        <v>0</v>
      </c>
      <c r="BB849" s="13">
        <f t="shared" ca="1" si="275"/>
        <v>0</v>
      </c>
      <c r="BD849" s="32">
        <v>830</v>
      </c>
      <c r="BE849" s="32">
        <v>70</v>
      </c>
      <c r="BF849" s="32">
        <v>2</v>
      </c>
      <c r="BG849" s="34">
        <f t="shared" ca="1" si="284"/>
        <v>2088</v>
      </c>
      <c r="BH849" s="32" t="str">
        <f ca="1">IF(MOD(MONTH($D$14)+$BD849-1,12)=Paraméterek!$C$288,"Igen","")</f>
        <v>Igen</v>
      </c>
      <c r="BI849" s="13">
        <f ca="1">IF($BH849="Igen",MIN(ROUNDDOWN((SUMIF($BG$20:$BG$1027,$BG849-1,$K$20:$K$1027)-SUMIF($BG$20:$BG$1027,$BG849-1,$I$20:$I$1027))*Paraméterek!$C$289,IF($D$4="Forint",0,2)),IF($D$4="Forint",Paraméterek!$C$285,Paraméterek!$D$285)),0)</f>
        <v>0</v>
      </c>
      <c r="BJ849" s="13">
        <f t="shared" ca="1" si="276"/>
        <v>0</v>
      </c>
      <c r="BK849" s="13">
        <f t="shared" ca="1" si="285"/>
        <v>0</v>
      </c>
      <c r="BL849" s="33"/>
      <c r="BM849" s="13">
        <f t="shared" ca="1" si="277"/>
        <v>0</v>
      </c>
      <c r="BN849" s="13">
        <f ca="1">ROUNDUP(($BK849+$BM849)*VLOOKUP($BE849,Paraméterek!$P$38:$Q$38,2)/12*IF($D850="Nem",IF($M$13=0,1,$M$13),1),IF($D$4="Forint",0,2))</f>
        <v>0</v>
      </c>
      <c r="BO849" s="13">
        <f t="shared" ca="1" si="278"/>
        <v>0</v>
      </c>
      <c r="BP849" s="13">
        <f ca="1">IF($D850="Nem",$BO849,$BO849-ROUNDUP(SUM($BI$20:$BI849)*120%,IF($D$4="Forint",0,2)))</f>
        <v>0</v>
      </c>
    </row>
    <row r="850" spans="1:68" x14ac:dyDescent="0.2">
      <c r="A850" s="32">
        <v>831</v>
      </c>
      <c r="B850" s="32">
        <v>70</v>
      </c>
      <c r="C850" s="32">
        <v>3</v>
      </c>
      <c r="D850" s="32" t="str">
        <f t="shared" ca="1" si="264"/>
        <v>Nem</v>
      </c>
      <c r="E850" s="13">
        <f t="shared" ca="1" si="265"/>
        <v>0</v>
      </c>
      <c r="F850" s="13"/>
      <c r="G850" s="13"/>
      <c r="H850" s="13"/>
      <c r="I850" s="13">
        <f t="shared" ca="1" si="266"/>
        <v>0</v>
      </c>
      <c r="J850" s="13">
        <f t="shared" ca="1" si="267"/>
        <v>0</v>
      </c>
      <c r="K850" s="13">
        <f t="shared" ca="1" si="268"/>
        <v>0</v>
      </c>
      <c r="L850" s="13" t="e">
        <f ca="1">ROUNDUP(IF($D$2="Egyszeri",$E850,IF($D$2="Havi",SUM($E$20:$E$31),IF(MOD($C850,$M$1)-1=0,SUM($E$20:$E$31),0))/12*$M$1)*VLOOKUP($B850,Paraméterek!$I$28:$P$31,IF($D$2="Egyszeri",8,HLOOKUP(ROUNDUP($M$11+$M$13,0),Paraméterek!$J$26:$O$27,2))),IF($D$4="Forint",0,2))</f>
        <v>#N/A</v>
      </c>
      <c r="M850" s="13">
        <f t="shared" ca="1" si="269"/>
        <v>0</v>
      </c>
      <c r="N850" s="13">
        <f t="shared" ca="1" si="279"/>
        <v>0</v>
      </c>
      <c r="O850" s="13">
        <f ca="1">IF($D850="Igen",IF($W849&gt;=IF($D$4="Forint",Paraméterek!$J$121,Paraméterek!$K$121),0,IF($D$4="Forint",Paraméterek!$J$121,Paraméterek!$K$121)-$W849),0)</f>
        <v>0</v>
      </c>
      <c r="P850" s="13" t="e">
        <f ca="1">ROUNDUP($O850*VLOOKUP($M$4+$B850-1,Paraméterek!$H$58:$I$105,2,0)/Paraméterek!$I$56,IF($D$4="Forint",0,2))</f>
        <v>#N/A</v>
      </c>
      <c r="Q850" s="13">
        <f t="shared" ca="1" si="270"/>
        <v>0</v>
      </c>
      <c r="R850" s="33"/>
      <c r="S850" s="13" t="e">
        <f t="shared" ca="1" si="271"/>
        <v>#N/A</v>
      </c>
      <c r="T850" s="13" t="e">
        <f ca="1">ROUNDUP(($N850-$P850-$Q850+$S850)*VLOOKUP($B850,Paraméterek!$I$38:$K$39,IF($D$2="Egyszeri",3,2))/12*IF($D851="Nem",IF($M$13=0,1,$M$13),1),IF($D$4="Forint",0,2))</f>
        <v>#N/A</v>
      </c>
      <c r="U850" s="13"/>
      <c r="V850" s="13"/>
      <c r="W850" s="13" t="e">
        <f ca="1">$N850-$P850-$Q850+$S850-$T850-IF(ROUNDUP(IF(ISBLANK($V850),$U850*0,$V850)/IF($D$2="Egyszeri",VLOOKUP($B850+IF($C850=12,1,0),Paraméterek!$V$257:$W$262,2),IF($B850=1,1,VLOOKUP($B850+IF($C850=12,1,0),Paraméterek!$I$258:$T$278,HLOOKUP($M$11+1,Paraméterek!$J$256:$T$257,2)))),IF($D$4="Forint",0,2))&gt;$N850-$P850-$Q850+$S850-$T850-IF($D$4="Forint",Paraméterek!$C$216,Paraméterek!$D$216),0,ROUNDUP(IF(ISBLANK($V850),$U850*0,$V850)/IF($D$2="Egyszeri",VLOOKUP($B850+IF($C850=12,1,0),Paraméterek!$V$257:$W$262,2),IF($B850=1,1,VLOOKUP($B850+IF($C850=12,1,0),Paraméterek!$I$258:$T$278,HLOOKUP($M$11+1,Paraméterek!$J$256:$T$257,2)))),IF($D$4="Forint",0,2)))</f>
        <v>#N/A</v>
      </c>
      <c r="X850" s="13" t="e">
        <f ca="1">ROUNDDOWN($W850*IF($D$2="Egyszeri",VLOOKUP($B850+IF($C850=12,1,0),Paraméterek!$V$257:$W$262,2),VLOOKUP($B850+IF($C850=12,1,0),Paraméterek!$I$258:$T$278,HLOOKUP($M$11+1,Paraméterek!$I$256:$T$257,2))),IF($D$4="Forint",0,2))</f>
        <v>#N/A</v>
      </c>
      <c r="Z850" s="32">
        <v>831</v>
      </c>
      <c r="AA850" s="32">
        <v>70</v>
      </c>
      <c r="AB850" s="32">
        <v>3</v>
      </c>
      <c r="AC850" s="13">
        <f t="shared" ca="1" si="280"/>
        <v>0</v>
      </c>
      <c r="AD850" s="33"/>
      <c r="AE850" s="13">
        <f t="shared" ca="1" si="272"/>
        <v>0</v>
      </c>
      <c r="AF850" s="13">
        <f ca="1">ROUNDUP(($AC850+$AE850)*VLOOKUP($AA850,Paraméterek!$P$38:$Q$38,2)/12*IF($D851="Nem",IF($M$13=0,1,$M$13),1),IF($D$4="Forint",0,2))</f>
        <v>0</v>
      </c>
      <c r="AG850" s="13">
        <f ca="1">IF($D$2="Egyszeri",IF($D$7&gt;=IF($D$4="Forint",Paraméterek!$P$223,Paraméterek!$P$224),$D$7-IF($D$4="Forint",Paraméterek!$P$223,Paraméterek!$P$224),0),MIN(IF($AB850=12,AVERAGEIF($E$20:$E850,"&gt;0",$E$20:$E850)*12,0),SUM($E$20:$E$31)))</f>
        <v>0</v>
      </c>
      <c r="AH850" s="13">
        <f>IF($AA850=10,$AG850*IF($AB850=12,IF($AG850&lt;IF($D$4="Forint",Paraméterek!$L$223,Paraméterek!$L$224),0,VLOOKUP($AA850,Paraméterek!$K$226:$M$228,IF($AG850&lt;IF($D$4="Forint",Paraméterek!$M$223,Paraméterek!$M$224),2,3))),0),0)</f>
        <v>0</v>
      </c>
      <c r="AI850" s="13">
        <f ca="1">IF(AND($AA850=$M$11+1,$AB850=$M$12+1),SUMIF($AA$20:$AA$1027,$AA850,$AG$20:$AG$1027)*IF(SUMIF($AA$20:$AA$1027,$AA850,$AG$20:$AG$1027)&lt;IF($D$4="Forint",Paraméterek!$L$223,Paraméterek!$L$224),0,VLOOKUP($AA850,Paraméterek!$K$230:$M$250,IF(SUMIF($AA$20:$AA$1027,$AA850,$AG$20:$AG$1027)&lt;IF($D$4="Forint",Paraméterek!$M$223,Paraméterek!$M$224),2,3))),0)</f>
        <v>0</v>
      </c>
      <c r="AJ850" s="13">
        <f ca="1">IF(AND($AA850&gt;=5,MOD($AA850,5)=0),IF($AB850=12,VLOOKUP($AA850,Paraméterek!$O$225:$P$240,2),0),IF(OR($AA850=3,$AA850=4),IF($AB850=12,VLOOKUP($AA850,Paraméterek!$O$225:$P$240,2,0),0),0))*$AG850</f>
        <v>0</v>
      </c>
      <c r="AK850" s="13">
        <f t="shared" ca="1" si="273"/>
        <v>0</v>
      </c>
      <c r="AL850" s="13">
        <f t="shared" ca="1" si="281"/>
        <v>0</v>
      </c>
      <c r="AM850" s="13">
        <f t="shared" ca="1" si="282"/>
        <v>0</v>
      </c>
      <c r="AO850" s="32">
        <v>831</v>
      </c>
      <c r="AP850" s="32">
        <v>70</v>
      </c>
      <c r="AQ850" s="32">
        <v>3</v>
      </c>
      <c r="AR850" s="13"/>
      <c r="AS850" s="32"/>
      <c r="AT850" s="13">
        <f t="shared" ca="1" si="283"/>
        <v>0</v>
      </c>
      <c r="AU850" s="33"/>
      <c r="AV850" s="13">
        <f t="shared" ca="1" si="274"/>
        <v>0</v>
      </c>
      <c r="AW850" s="13">
        <f ca="1">ROUNDUP(($AT850+$AV850)*VLOOKUP($AP850,Paraméterek!$P$38:$Q$38,2)/12*IF($D851="Nem",IF($M$13=0,1,$M$13),1),IF($D$4="Forint",0,2))</f>
        <v>0</v>
      </c>
      <c r="AX850" s="13"/>
      <c r="AY850" s="13"/>
      <c r="AZ850" s="13">
        <f>ROUNDUP(IF(SUM($AX850:$AY850)=0,0,IF(IF(ISBLANK($AY850),$AX850,$AY850)*Paraméterek!$J$112&lt;IF($D$4="Forint",Paraméterek!$J$113,Paraméterek!$K$113),IF($D$4="Forint",Paraméterek!$J$113,Paraméterek!$K$113),IF(IF(ISBLANK($AY850),$AX850,$AY850)*Paraméterek!$J$112&gt;IF($D$4="Forint",Paraméterek!$J$114,Paraméterek!$K$114),IF($D$4="Forint",Paraméterek!$J$114,Paraméterek!$K$114),IF(ISBLANK($AY850),$AX850,$AY850)*Paraméterek!$J$112))),IF($D$4="Forint",0,2))</f>
        <v>0</v>
      </c>
      <c r="BA850" s="13">
        <f ca="1">$AT850+$AV850-$AW850-IF(ROUNDDOWN(IF(ISBLANK($AY850),$AX850,$AY850),IF($D$4="Forint",0,2))&gt;$AT850+$AV850-$AW850-IF($D$4="Forint",Paraméterek!$J$114,Paraméterek!$K$114),0,ROUNDDOWN(IF(ISBLANK($AY850),$AX850,$AY850),IF($D$4="Forint",0,2))-$AZ850)</f>
        <v>0</v>
      </c>
      <c r="BB850" s="13">
        <f t="shared" ca="1" si="275"/>
        <v>0</v>
      </c>
      <c r="BD850" s="32">
        <v>831</v>
      </c>
      <c r="BE850" s="32">
        <v>70</v>
      </c>
      <c r="BF850" s="32">
        <v>3</v>
      </c>
      <c r="BG850" s="34">
        <f t="shared" ca="1" si="284"/>
        <v>2088</v>
      </c>
      <c r="BH850" s="32" t="str">
        <f ca="1">IF(MOD(MONTH($D$14)+$BD850-1,12)=Paraméterek!$C$288,"Igen","")</f>
        <v/>
      </c>
      <c r="BI850" s="13">
        <f ca="1">IF($BH850="Igen",MIN(ROUNDDOWN((SUMIF($BG$20:$BG$1027,$BG850-1,$K$20:$K$1027)-SUMIF($BG$20:$BG$1027,$BG850-1,$I$20:$I$1027))*Paraméterek!$C$289,IF($D$4="Forint",0,2)),IF($D$4="Forint",Paraméterek!$C$285,Paraméterek!$D$285)),0)</f>
        <v>0</v>
      </c>
      <c r="BJ850" s="13">
        <f t="shared" ca="1" si="276"/>
        <v>0</v>
      </c>
      <c r="BK850" s="13">
        <f t="shared" ca="1" si="285"/>
        <v>0</v>
      </c>
      <c r="BL850" s="33"/>
      <c r="BM850" s="13">
        <f t="shared" ca="1" si="277"/>
        <v>0</v>
      </c>
      <c r="BN850" s="13">
        <f ca="1">ROUNDUP(($BK850+$BM850)*VLOOKUP($BE850,Paraméterek!$P$38:$Q$38,2)/12*IF($D851="Nem",IF($M$13=0,1,$M$13),1),IF($D$4="Forint",0,2))</f>
        <v>0</v>
      </c>
      <c r="BO850" s="13">
        <f t="shared" ca="1" si="278"/>
        <v>0</v>
      </c>
      <c r="BP850" s="13">
        <f ca="1">IF($D851="Nem",$BO850,$BO850-ROUNDUP(SUM($BI$20:$BI850)*120%,IF($D$4="Forint",0,2)))</f>
        <v>0</v>
      </c>
    </row>
    <row r="851" spans="1:68" x14ac:dyDescent="0.2">
      <c r="A851" s="32">
        <v>832</v>
      </c>
      <c r="B851" s="32">
        <v>70</v>
      </c>
      <c r="C851" s="32">
        <v>4</v>
      </c>
      <c r="D851" s="32" t="str">
        <f t="shared" ca="1" si="264"/>
        <v>Nem</v>
      </c>
      <c r="E851" s="13">
        <f t="shared" ca="1" si="265"/>
        <v>0</v>
      </c>
      <c r="F851" s="13"/>
      <c r="G851" s="13"/>
      <c r="H851" s="13"/>
      <c r="I851" s="13">
        <f t="shared" ca="1" si="266"/>
        <v>0</v>
      </c>
      <c r="J851" s="13">
        <f t="shared" ca="1" si="267"/>
        <v>0</v>
      </c>
      <c r="K851" s="13">
        <f t="shared" ca="1" si="268"/>
        <v>0</v>
      </c>
      <c r="L851" s="13" t="e">
        <f ca="1">ROUNDUP(IF($D$2="Egyszeri",$E851,IF($D$2="Havi",SUM($E$20:$E$31),IF(MOD($C851,$M$1)-1=0,SUM($E$20:$E$31),0))/12*$M$1)*VLOOKUP($B851,Paraméterek!$I$28:$P$31,IF($D$2="Egyszeri",8,HLOOKUP(ROUNDUP($M$11+$M$13,0),Paraméterek!$J$26:$O$27,2))),IF($D$4="Forint",0,2))</f>
        <v>#N/A</v>
      </c>
      <c r="M851" s="13">
        <f t="shared" ca="1" si="269"/>
        <v>0</v>
      </c>
      <c r="N851" s="13">
        <f t="shared" ca="1" si="279"/>
        <v>0</v>
      </c>
      <c r="O851" s="13">
        <f ca="1">IF($D851="Igen",IF($W850&gt;=IF($D$4="Forint",Paraméterek!$J$121,Paraméterek!$K$121),0,IF($D$4="Forint",Paraméterek!$J$121,Paraméterek!$K$121)-$W850),0)</f>
        <v>0</v>
      </c>
      <c r="P851" s="13" t="e">
        <f ca="1">ROUNDUP($O851*VLOOKUP($M$4+$B851-1,Paraméterek!$H$58:$I$105,2,0)/Paraméterek!$I$56,IF($D$4="Forint",0,2))</f>
        <v>#N/A</v>
      </c>
      <c r="Q851" s="13">
        <f t="shared" ca="1" si="270"/>
        <v>0</v>
      </c>
      <c r="R851" s="33"/>
      <c r="S851" s="13" t="e">
        <f t="shared" ca="1" si="271"/>
        <v>#N/A</v>
      </c>
      <c r="T851" s="13" t="e">
        <f ca="1">ROUNDUP(($N851-$P851-$Q851+$S851)*VLOOKUP($B851,Paraméterek!$I$38:$K$39,IF($D$2="Egyszeri",3,2))/12*IF($D852="Nem",IF($M$13=0,1,$M$13),1),IF($D$4="Forint",0,2))</f>
        <v>#N/A</v>
      </c>
      <c r="U851" s="13"/>
      <c r="V851" s="13"/>
      <c r="W851" s="13" t="e">
        <f ca="1">$N851-$P851-$Q851+$S851-$T851-IF(ROUNDUP(IF(ISBLANK($V851),$U851*0,$V851)/IF($D$2="Egyszeri",VLOOKUP($B851+IF($C851=12,1,0),Paraméterek!$V$257:$W$262,2),IF($B851=1,1,VLOOKUP($B851+IF($C851=12,1,0),Paraméterek!$I$258:$T$278,HLOOKUP($M$11+1,Paraméterek!$J$256:$T$257,2)))),IF($D$4="Forint",0,2))&gt;$N851-$P851-$Q851+$S851-$T851-IF($D$4="Forint",Paraméterek!$C$216,Paraméterek!$D$216),0,ROUNDUP(IF(ISBLANK($V851),$U851*0,$V851)/IF($D$2="Egyszeri",VLOOKUP($B851+IF($C851=12,1,0),Paraméterek!$V$257:$W$262,2),IF($B851=1,1,VLOOKUP($B851+IF($C851=12,1,0),Paraméterek!$I$258:$T$278,HLOOKUP($M$11+1,Paraméterek!$J$256:$T$257,2)))),IF($D$4="Forint",0,2)))</f>
        <v>#N/A</v>
      </c>
      <c r="X851" s="13" t="e">
        <f ca="1">ROUNDDOWN($W851*IF($D$2="Egyszeri",VLOOKUP($B851+IF($C851=12,1,0),Paraméterek!$V$257:$W$262,2),VLOOKUP($B851+IF($C851=12,1,0),Paraméterek!$I$258:$T$278,HLOOKUP($M$11+1,Paraméterek!$I$256:$T$257,2))),IF($D$4="Forint",0,2))</f>
        <v>#N/A</v>
      </c>
      <c r="Z851" s="32">
        <v>832</v>
      </c>
      <c r="AA851" s="32">
        <v>70</v>
      </c>
      <c r="AB851" s="32">
        <v>4</v>
      </c>
      <c r="AC851" s="13">
        <f t="shared" ca="1" si="280"/>
        <v>0</v>
      </c>
      <c r="AD851" s="33"/>
      <c r="AE851" s="13">
        <f t="shared" ca="1" si="272"/>
        <v>0</v>
      </c>
      <c r="AF851" s="13">
        <f ca="1">ROUNDUP(($AC851+$AE851)*VLOOKUP($AA851,Paraméterek!$P$38:$Q$38,2)/12*IF($D852="Nem",IF($M$13=0,1,$M$13),1),IF($D$4="Forint",0,2))</f>
        <v>0</v>
      </c>
      <c r="AG851" s="13">
        <f ca="1">IF($D$2="Egyszeri",IF($D$7&gt;=IF($D$4="Forint",Paraméterek!$P$223,Paraméterek!$P$224),$D$7-IF($D$4="Forint",Paraméterek!$P$223,Paraméterek!$P$224),0),MIN(IF($AB851=12,AVERAGEIF($E$20:$E851,"&gt;0",$E$20:$E851)*12,0),SUM($E$20:$E$31)))</f>
        <v>0</v>
      </c>
      <c r="AH851" s="13">
        <f>IF($AA851=10,$AG851*IF($AB851=12,IF($AG851&lt;IF($D$4="Forint",Paraméterek!$L$223,Paraméterek!$L$224),0,VLOOKUP($AA851,Paraméterek!$K$226:$M$228,IF($AG851&lt;IF($D$4="Forint",Paraméterek!$M$223,Paraméterek!$M$224),2,3))),0),0)</f>
        <v>0</v>
      </c>
      <c r="AI851" s="13">
        <f ca="1">IF(AND($AA851=$M$11+1,$AB851=$M$12+1),SUMIF($AA$20:$AA$1027,$AA851,$AG$20:$AG$1027)*IF(SUMIF($AA$20:$AA$1027,$AA851,$AG$20:$AG$1027)&lt;IF($D$4="Forint",Paraméterek!$L$223,Paraméterek!$L$224),0,VLOOKUP($AA851,Paraméterek!$K$230:$M$250,IF(SUMIF($AA$20:$AA$1027,$AA851,$AG$20:$AG$1027)&lt;IF($D$4="Forint",Paraméterek!$M$223,Paraméterek!$M$224),2,3))),0)</f>
        <v>0</v>
      </c>
      <c r="AJ851" s="13">
        <f ca="1">IF(AND($AA851&gt;=5,MOD($AA851,5)=0),IF($AB851=12,VLOOKUP($AA851,Paraméterek!$O$225:$P$240,2),0),IF(OR($AA851=3,$AA851=4),IF($AB851=12,VLOOKUP($AA851,Paraméterek!$O$225:$P$240,2,0),0),0))*$AG851</f>
        <v>0</v>
      </c>
      <c r="AK851" s="13">
        <f t="shared" ca="1" si="273"/>
        <v>0</v>
      </c>
      <c r="AL851" s="13">
        <f t="shared" ca="1" si="281"/>
        <v>0</v>
      </c>
      <c r="AM851" s="13">
        <f t="shared" ca="1" si="282"/>
        <v>0</v>
      </c>
      <c r="AO851" s="32">
        <v>832</v>
      </c>
      <c r="AP851" s="32">
        <v>70</v>
      </c>
      <c r="AQ851" s="32">
        <v>4</v>
      </c>
      <c r="AR851" s="13"/>
      <c r="AS851" s="32"/>
      <c r="AT851" s="13">
        <f t="shared" ca="1" si="283"/>
        <v>0</v>
      </c>
      <c r="AU851" s="33"/>
      <c r="AV851" s="13">
        <f t="shared" ca="1" si="274"/>
        <v>0</v>
      </c>
      <c r="AW851" s="13">
        <f ca="1">ROUNDUP(($AT851+$AV851)*VLOOKUP($AP851,Paraméterek!$P$38:$Q$38,2)/12*IF($D852="Nem",IF($M$13=0,1,$M$13),1),IF($D$4="Forint",0,2))</f>
        <v>0</v>
      </c>
      <c r="AX851" s="13"/>
      <c r="AY851" s="13"/>
      <c r="AZ851" s="13">
        <f>ROUNDUP(IF(SUM($AX851:$AY851)=0,0,IF(IF(ISBLANK($AY851),$AX851,$AY851)*Paraméterek!$J$112&lt;IF($D$4="Forint",Paraméterek!$J$113,Paraméterek!$K$113),IF($D$4="Forint",Paraméterek!$J$113,Paraméterek!$K$113),IF(IF(ISBLANK($AY851),$AX851,$AY851)*Paraméterek!$J$112&gt;IF($D$4="Forint",Paraméterek!$J$114,Paraméterek!$K$114),IF($D$4="Forint",Paraméterek!$J$114,Paraméterek!$K$114),IF(ISBLANK($AY851),$AX851,$AY851)*Paraméterek!$J$112))),IF($D$4="Forint",0,2))</f>
        <v>0</v>
      </c>
      <c r="BA851" s="13">
        <f ca="1">$AT851+$AV851-$AW851-IF(ROUNDDOWN(IF(ISBLANK($AY851),$AX851,$AY851),IF($D$4="Forint",0,2))&gt;$AT851+$AV851-$AW851-IF($D$4="Forint",Paraméterek!$J$114,Paraméterek!$K$114),0,ROUNDDOWN(IF(ISBLANK($AY851),$AX851,$AY851),IF($D$4="Forint",0,2))-$AZ851)</f>
        <v>0</v>
      </c>
      <c r="BB851" s="13">
        <f t="shared" ca="1" si="275"/>
        <v>0</v>
      </c>
      <c r="BD851" s="32">
        <v>832</v>
      </c>
      <c r="BE851" s="32">
        <v>70</v>
      </c>
      <c r="BF851" s="32">
        <v>4</v>
      </c>
      <c r="BG851" s="34">
        <f t="shared" ca="1" si="284"/>
        <v>2088</v>
      </c>
      <c r="BH851" s="32" t="str">
        <f ca="1">IF(MOD(MONTH($D$14)+$BD851-1,12)=Paraméterek!$C$288,"Igen","")</f>
        <v/>
      </c>
      <c r="BI851" s="13">
        <f ca="1">IF($BH851="Igen",MIN(ROUNDDOWN((SUMIF($BG$20:$BG$1027,$BG851-1,$K$20:$K$1027)-SUMIF($BG$20:$BG$1027,$BG851-1,$I$20:$I$1027))*Paraméterek!$C$289,IF($D$4="Forint",0,2)),IF($D$4="Forint",Paraméterek!$C$285,Paraméterek!$D$285)),0)</f>
        <v>0</v>
      </c>
      <c r="BJ851" s="13">
        <f t="shared" ca="1" si="276"/>
        <v>0</v>
      </c>
      <c r="BK851" s="13">
        <f t="shared" ca="1" si="285"/>
        <v>0</v>
      </c>
      <c r="BL851" s="33"/>
      <c r="BM851" s="13">
        <f t="shared" ca="1" si="277"/>
        <v>0</v>
      </c>
      <c r="BN851" s="13">
        <f ca="1">ROUNDUP(($BK851+$BM851)*VLOOKUP($BE851,Paraméterek!$P$38:$Q$38,2)/12*IF($D852="Nem",IF($M$13=0,1,$M$13),1),IF($D$4="Forint",0,2))</f>
        <v>0</v>
      </c>
      <c r="BO851" s="13">
        <f t="shared" ca="1" si="278"/>
        <v>0</v>
      </c>
      <c r="BP851" s="13">
        <f ca="1">IF($D852="Nem",$BO851,$BO851-ROUNDUP(SUM($BI$20:$BI851)*120%,IF($D$4="Forint",0,2)))</f>
        <v>0</v>
      </c>
    </row>
    <row r="852" spans="1:68" x14ac:dyDescent="0.2">
      <c r="A852" s="32">
        <v>833</v>
      </c>
      <c r="B852" s="32">
        <v>70</v>
      </c>
      <c r="C852" s="32">
        <v>5</v>
      </c>
      <c r="D852" s="32" t="str">
        <f t="shared" ca="1" si="264"/>
        <v>Nem</v>
      </c>
      <c r="E852" s="13">
        <f t="shared" ca="1" si="265"/>
        <v>0</v>
      </c>
      <c r="F852" s="13"/>
      <c r="G852" s="13"/>
      <c r="H852" s="13"/>
      <c r="I852" s="13">
        <f t="shared" ca="1" si="266"/>
        <v>0</v>
      </c>
      <c r="J852" s="13">
        <f t="shared" ca="1" si="267"/>
        <v>0</v>
      </c>
      <c r="K852" s="13">
        <f t="shared" ca="1" si="268"/>
        <v>0</v>
      </c>
      <c r="L852" s="13" t="e">
        <f ca="1">ROUNDUP(IF($D$2="Egyszeri",$E852,IF($D$2="Havi",SUM($E$20:$E$31),IF(MOD($C852,$M$1)-1=0,SUM($E$20:$E$31),0))/12*$M$1)*VLOOKUP($B852,Paraméterek!$I$28:$P$31,IF($D$2="Egyszeri",8,HLOOKUP(ROUNDUP($M$11+$M$13,0),Paraméterek!$J$26:$O$27,2))),IF($D$4="Forint",0,2))</f>
        <v>#N/A</v>
      </c>
      <c r="M852" s="13">
        <f t="shared" ca="1" si="269"/>
        <v>0</v>
      </c>
      <c r="N852" s="13">
        <f t="shared" ca="1" si="279"/>
        <v>0</v>
      </c>
      <c r="O852" s="13">
        <f ca="1">IF($D852="Igen",IF($W851&gt;=IF($D$4="Forint",Paraméterek!$J$121,Paraméterek!$K$121),0,IF($D$4="Forint",Paraméterek!$J$121,Paraméterek!$K$121)-$W851),0)</f>
        <v>0</v>
      </c>
      <c r="P852" s="13" t="e">
        <f ca="1">ROUNDUP($O852*VLOOKUP($M$4+$B852-1,Paraméterek!$H$58:$I$105,2,0)/Paraméterek!$I$56,IF($D$4="Forint",0,2))</f>
        <v>#N/A</v>
      </c>
      <c r="Q852" s="13">
        <f t="shared" ca="1" si="270"/>
        <v>0</v>
      </c>
      <c r="R852" s="33"/>
      <c r="S852" s="13" t="e">
        <f t="shared" ca="1" si="271"/>
        <v>#N/A</v>
      </c>
      <c r="T852" s="13" t="e">
        <f ca="1">ROUNDUP(($N852-$P852-$Q852+$S852)*VLOOKUP($B852,Paraméterek!$I$38:$K$39,IF($D$2="Egyszeri",3,2))/12*IF($D853="Nem",IF($M$13=0,1,$M$13),1),IF($D$4="Forint",0,2))</f>
        <v>#N/A</v>
      </c>
      <c r="U852" s="13"/>
      <c r="V852" s="13"/>
      <c r="W852" s="13" t="e">
        <f ca="1">$N852-$P852-$Q852+$S852-$T852-IF(ROUNDUP(IF(ISBLANK($V852),$U852*0,$V852)/IF($D$2="Egyszeri",VLOOKUP($B852+IF($C852=12,1,0),Paraméterek!$V$257:$W$262,2),IF($B852=1,1,VLOOKUP($B852+IF($C852=12,1,0),Paraméterek!$I$258:$T$278,HLOOKUP($M$11+1,Paraméterek!$J$256:$T$257,2)))),IF($D$4="Forint",0,2))&gt;$N852-$P852-$Q852+$S852-$T852-IF($D$4="Forint",Paraméterek!$C$216,Paraméterek!$D$216),0,ROUNDUP(IF(ISBLANK($V852),$U852*0,$V852)/IF($D$2="Egyszeri",VLOOKUP($B852+IF($C852=12,1,0),Paraméterek!$V$257:$W$262,2),IF($B852=1,1,VLOOKUP($B852+IF($C852=12,1,0),Paraméterek!$I$258:$T$278,HLOOKUP($M$11+1,Paraméterek!$J$256:$T$257,2)))),IF($D$4="Forint",0,2)))</f>
        <v>#N/A</v>
      </c>
      <c r="X852" s="13" t="e">
        <f ca="1">ROUNDDOWN($W852*IF($D$2="Egyszeri",VLOOKUP($B852+IF($C852=12,1,0),Paraméterek!$V$257:$W$262,2),VLOOKUP($B852+IF($C852=12,1,0),Paraméterek!$I$258:$T$278,HLOOKUP($M$11+1,Paraméterek!$I$256:$T$257,2))),IF($D$4="Forint",0,2))</f>
        <v>#N/A</v>
      </c>
      <c r="Z852" s="32">
        <v>833</v>
      </c>
      <c r="AA852" s="32">
        <v>70</v>
      </c>
      <c r="AB852" s="32">
        <v>5</v>
      </c>
      <c r="AC852" s="13">
        <f t="shared" ca="1" si="280"/>
        <v>0</v>
      </c>
      <c r="AD852" s="33"/>
      <c r="AE852" s="13">
        <f t="shared" ca="1" si="272"/>
        <v>0</v>
      </c>
      <c r="AF852" s="13">
        <f ca="1">ROUNDUP(($AC852+$AE852)*VLOOKUP($AA852,Paraméterek!$P$38:$Q$38,2)/12*IF($D853="Nem",IF($M$13=0,1,$M$13),1),IF($D$4="Forint",0,2))</f>
        <v>0</v>
      </c>
      <c r="AG852" s="13">
        <f ca="1">IF($D$2="Egyszeri",IF($D$7&gt;=IF($D$4="Forint",Paraméterek!$P$223,Paraméterek!$P$224),$D$7-IF($D$4="Forint",Paraméterek!$P$223,Paraméterek!$P$224),0),MIN(IF($AB852=12,AVERAGEIF($E$20:$E852,"&gt;0",$E$20:$E852)*12,0),SUM($E$20:$E$31)))</f>
        <v>0</v>
      </c>
      <c r="AH852" s="13">
        <f>IF($AA852=10,$AG852*IF($AB852=12,IF($AG852&lt;IF($D$4="Forint",Paraméterek!$L$223,Paraméterek!$L$224),0,VLOOKUP($AA852,Paraméterek!$K$226:$M$228,IF($AG852&lt;IF($D$4="Forint",Paraméterek!$M$223,Paraméterek!$M$224),2,3))),0),0)</f>
        <v>0</v>
      </c>
      <c r="AI852" s="13">
        <f ca="1">IF(AND($AA852=$M$11+1,$AB852=$M$12+1),SUMIF($AA$20:$AA$1027,$AA852,$AG$20:$AG$1027)*IF(SUMIF($AA$20:$AA$1027,$AA852,$AG$20:$AG$1027)&lt;IF($D$4="Forint",Paraméterek!$L$223,Paraméterek!$L$224),0,VLOOKUP($AA852,Paraméterek!$K$230:$M$250,IF(SUMIF($AA$20:$AA$1027,$AA852,$AG$20:$AG$1027)&lt;IF($D$4="Forint",Paraméterek!$M$223,Paraméterek!$M$224),2,3))),0)</f>
        <v>0</v>
      </c>
      <c r="AJ852" s="13">
        <f ca="1">IF(AND($AA852&gt;=5,MOD($AA852,5)=0),IF($AB852=12,VLOOKUP($AA852,Paraméterek!$O$225:$P$240,2),0),IF(OR($AA852=3,$AA852=4),IF($AB852=12,VLOOKUP($AA852,Paraméterek!$O$225:$P$240,2,0),0),0))*$AG852</f>
        <v>0</v>
      </c>
      <c r="AK852" s="13">
        <f t="shared" ca="1" si="273"/>
        <v>0</v>
      </c>
      <c r="AL852" s="13">
        <f t="shared" ca="1" si="281"/>
        <v>0</v>
      </c>
      <c r="AM852" s="13">
        <f t="shared" ca="1" si="282"/>
        <v>0</v>
      </c>
      <c r="AO852" s="32">
        <v>833</v>
      </c>
      <c r="AP852" s="32">
        <v>70</v>
      </c>
      <c r="AQ852" s="32">
        <v>5</v>
      </c>
      <c r="AR852" s="13"/>
      <c r="AS852" s="32"/>
      <c r="AT852" s="13">
        <f t="shared" ca="1" si="283"/>
        <v>0</v>
      </c>
      <c r="AU852" s="33"/>
      <c r="AV852" s="13">
        <f t="shared" ca="1" si="274"/>
        <v>0</v>
      </c>
      <c r="AW852" s="13">
        <f ca="1">ROUNDUP(($AT852+$AV852)*VLOOKUP($AP852,Paraméterek!$P$38:$Q$38,2)/12*IF($D853="Nem",IF($M$13=0,1,$M$13),1),IF($D$4="Forint",0,2))</f>
        <v>0</v>
      </c>
      <c r="AX852" s="13"/>
      <c r="AY852" s="13"/>
      <c r="AZ852" s="13">
        <f>ROUNDUP(IF(SUM($AX852:$AY852)=0,0,IF(IF(ISBLANK($AY852),$AX852,$AY852)*Paraméterek!$J$112&lt;IF($D$4="Forint",Paraméterek!$J$113,Paraméterek!$K$113),IF($D$4="Forint",Paraméterek!$J$113,Paraméterek!$K$113),IF(IF(ISBLANK($AY852),$AX852,$AY852)*Paraméterek!$J$112&gt;IF($D$4="Forint",Paraméterek!$J$114,Paraméterek!$K$114),IF($D$4="Forint",Paraméterek!$J$114,Paraméterek!$K$114),IF(ISBLANK($AY852),$AX852,$AY852)*Paraméterek!$J$112))),IF($D$4="Forint",0,2))</f>
        <v>0</v>
      </c>
      <c r="BA852" s="13">
        <f ca="1">$AT852+$AV852-$AW852-IF(ROUNDDOWN(IF(ISBLANK($AY852),$AX852,$AY852),IF($D$4="Forint",0,2))&gt;$AT852+$AV852-$AW852-IF($D$4="Forint",Paraméterek!$J$114,Paraméterek!$K$114),0,ROUNDDOWN(IF(ISBLANK($AY852),$AX852,$AY852),IF($D$4="Forint",0,2))-$AZ852)</f>
        <v>0</v>
      </c>
      <c r="BB852" s="13">
        <f t="shared" ca="1" si="275"/>
        <v>0</v>
      </c>
      <c r="BD852" s="32">
        <v>833</v>
      </c>
      <c r="BE852" s="32">
        <v>70</v>
      </c>
      <c r="BF852" s="32">
        <v>5</v>
      </c>
      <c r="BG852" s="34">
        <f t="shared" ca="1" si="284"/>
        <v>2088</v>
      </c>
      <c r="BH852" s="32" t="str">
        <f ca="1">IF(MOD(MONTH($D$14)+$BD852-1,12)=Paraméterek!$C$288,"Igen","")</f>
        <v/>
      </c>
      <c r="BI852" s="13">
        <f ca="1">IF($BH852="Igen",MIN(ROUNDDOWN((SUMIF($BG$20:$BG$1027,$BG852-1,$K$20:$K$1027)-SUMIF($BG$20:$BG$1027,$BG852-1,$I$20:$I$1027))*Paraméterek!$C$289,IF($D$4="Forint",0,2)),IF($D$4="Forint",Paraméterek!$C$285,Paraméterek!$D$285)),0)</f>
        <v>0</v>
      </c>
      <c r="BJ852" s="13">
        <f t="shared" ca="1" si="276"/>
        <v>0</v>
      </c>
      <c r="BK852" s="13">
        <f t="shared" ca="1" si="285"/>
        <v>0</v>
      </c>
      <c r="BL852" s="33"/>
      <c r="BM852" s="13">
        <f t="shared" ca="1" si="277"/>
        <v>0</v>
      </c>
      <c r="BN852" s="13">
        <f ca="1">ROUNDUP(($BK852+$BM852)*VLOOKUP($BE852,Paraméterek!$P$38:$Q$38,2)/12*IF($D853="Nem",IF($M$13=0,1,$M$13),1),IF($D$4="Forint",0,2))</f>
        <v>0</v>
      </c>
      <c r="BO852" s="13">
        <f t="shared" ca="1" si="278"/>
        <v>0</v>
      </c>
      <c r="BP852" s="13">
        <f ca="1">IF($D853="Nem",$BO852,$BO852-ROUNDUP(SUM($BI$20:$BI852)*120%,IF($D$4="Forint",0,2)))</f>
        <v>0</v>
      </c>
    </row>
    <row r="853" spans="1:68" x14ac:dyDescent="0.2">
      <c r="A853" s="32">
        <v>834</v>
      </c>
      <c r="B853" s="32">
        <v>70</v>
      </c>
      <c r="C853" s="32">
        <v>6</v>
      </c>
      <c r="D853" s="32" t="str">
        <f t="shared" ref="D853:D916" ca="1" si="286">IF($B853&lt;$M$11+1,"Igen",IF($B853&gt;$M$11+1,"Nem",IF($C853&lt;=$M$12+IF($M$13&gt;0,1,0),"Igen","Nem")))</f>
        <v>Nem</v>
      </c>
      <c r="E853" s="13">
        <f t="shared" ref="E853:E916" ca="1" si="287">IF($D853="Igen",IF($D$2="Egyszeri",IF($A853=1,$D$7,0),ROUNDUP(IF($D$2="Havi",$D$7,IF(MOD($C853,$M$1)-1=0,$D$7,0))*(1+$D$6)^($B853-1),IF($D$4="Forint",0,2))),0)</f>
        <v>0</v>
      </c>
      <c r="F853" s="13"/>
      <c r="G853" s="13"/>
      <c r="H853" s="13"/>
      <c r="I853" s="13">
        <f t="shared" ref="I853:I916" ca="1" si="288">ROUNDUP(IF(AND($D$8="Nincs",$D$2&lt;&gt;"Egyszeri"),$E853*10%,0),IF($D$4="Forint",0,2))</f>
        <v>0</v>
      </c>
      <c r="J853" s="13">
        <f t="shared" ref="J853:J916" ca="1" si="289">IF($D853="Igen",IF($D$2="Egyszeri",IF($A853=1,$M$3,0),ROUNDUP(IF($D$2="Havi",$M$3,IF(MOD($C853,$M$1)-1=0,$M$3,0))*(1+$M$2)^($B853-1),IF($D$4="Forint",0,2))),0)</f>
        <v>0</v>
      </c>
      <c r="K853" s="13">
        <f t="shared" ref="K853:K916" ca="1" si="290">IF($D853="Igen",IF(ISBLANK($F853),$E853,$F853)+IF(ISBLANK($H853),$G853,$H853)+$I853+$J853,0)</f>
        <v>0</v>
      </c>
      <c r="L853" s="13" t="e">
        <f ca="1">ROUNDUP(IF($D$2="Egyszeri",$E853,IF($D$2="Havi",SUM($E$20:$E$31),IF(MOD($C853,$M$1)-1=0,SUM($E$20:$E$31),0))/12*$M$1)*VLOOKUP($B853,Paraméterek!$I$28:$P$31,IF($D$2="Egyszeri",8,HLOOKUP(ROUNDUP($M$11+$M$13,0),Paraméterek!$J$26:$O$27,2))),IF($D$4="Forint",0,2))</f>
        <v>#N/A</v>
      </c>
      <c r="M853" s="13">
        <f t="shared" ref="M853:M916" ca="1" si="291">IF($D853="Igen",$E853-$L853+IF(ISBLANK($H853),$G853,$H853),0)</f>
        <v>0</v>
      </c>
      <c r="N853" s="13">
        <f t="shared" ca="1" si="279"/>
        <v>0</v>
      </c>
      <c r="O853" s="13">
        <f ca="1">IF($D853="Igen",IF($W852&gt;=IF($D$4="Forint",Paraméterek!$J$121,Paraméterek!$K$121),0,IF($D$4="Forint",Paraméterek!$J$121,Paraméterek!$K$121)-$W852),0)</f>
        <v>0</v>
      </c>
      <c r="P853" s="13" t="e">
        <f ca="1">ROUNDUP($O853*VLOOKUP($M$4+$B853-1,Paraméterek!$H$58:$I$105,2,0)/Paraméterek!$I$56,IF($D$4="Forint",0,2))</f>
        <v>#N/A</v>
      </c>
      <c r="Q853" s="13">
        <f t="shared" ref="Q853:Q916" ca="1" si="292">IF($D853="Igen",ROUNDUP($M$5*(1+$M$2)^($B853-1),IF($D$4="Forint",0,2)),0)</f>
        <v>0</v>
      </c>
      <c r="R853" s="33"/>
      <c r="S853" s="13" t="e">
        <f t="shared" ref="S853:S916" ca="1" si="293">ROUNDDOWN(($N853-$P853-$Q853)*IF(ISBLANK($R853),$M$6,$R853)*IF($D854="Nem",IF($M$13=0,1,$M$13),1),IF($D$4="Forint",0,2))</f>
        <v>#N/A</v>
      </c>
      <c r="T853" s="13" t="e">
        <f ca="1">ROUNDUP(($N853-$P853-$Q853+$S853)*VLOOKUP($B853,Paraméterek!$I$38:$K$39,IF($D$2="Egyszeri",3,2))/12*IF($D854="Nem",IF($M$13=0,1,$M$13),1),IF($D$4="Forint",0,2))</f>
        <v>#N/A</v>
      </c>
      <c r="U853" s="13"/>
      <c r="V853" s="13"/>
      <c r="W853" s="13" t="e">
        <f ca="1">$N853-$P853-$Q853+$S853-$T853-IF(ROUNDUP(IF(ISBLANK($V853),$U853*0,$V853)/IF($D$2="Egyszeri",VLOOKUP($B853+IF($C853=12,1,0),Paraméterek!$V$257:$W$262,2),IF($B853=1,1,VLOOKUP($B853+IF($C853=12,1,0),Paraméterek!$I$258:$T$278,HLOOKUP($M$11+1,Paraméterek!$J$256:$T$257,2)))),IF($D$4="Forint",0,2))&gt;$N853-$P853-$Q853+$S853-$T853-IF($D$4="Forint",Paraméterek!$C$216,Paraméterek!$D$216),0,ROUNDUP(IF(ISBLANK($V853),$U853*0,$V853)/IF($D$2="Egyszeri",VLOOKUP($B853+IF($C853=12,1,0),Paraméterek!$V$257:$W$262,2),IF($B853=1,1,VLOOKUP($B853+IF($C853=12,1,0),Paraméterek!$I$258:$T$278,HLOOKUP($M$11+1,Paraméterek!$J$256:$T$257,2)))),IF($D$4="Forint",0,2)))</f>
        <v>#N/A</v>
      </c>
      <c r="X853" s="13" t="e">
        <f ca="1">ROUNDDOWN($W853*IF($D$2="Egyszeri",VLOOKUP($B853+IF($C853=12,1,0),Paraméterek!$V$257:$W$262,2),VLOOKUP($B853+IF($C853=12,1,0),Paraméterek!$I$258:$T$278,HLOOKUP($M$11+1,Paraméterek!$I$256:$T$257,2))),IF($D$4="Forint",0,2))</f>
        <v>#N/A</v>
      </c>
      <c r="Z853" s="32">
        <v>834</v>
      </c>
      <c r="AA853" s="32">
        <v>70</v>
      </c>
      <c r="AB853" s="32">
        <v>6</v>
      </c>
      <c r="AC853" s="13">
        <f t="shared" ca="1" si="280"/>
        <v>0</v>
      </c>
      <c r="AD853" s="33"/>
      <c r="AE853" s="13">
        <f t="shared" ref="AE853:AE916" ca="1" si="294">ROUNDDOWN($AC853*IF(ISBLANK($AD853),$M$8,$AD853)*IF($D854="Nem",IF($M$13=0,1,$M$13),1),IF($D$4="Forint",0,2))</f>
        <v>0</v>
      </c>
      <c r="AF853" s="13">
        <f ca="1">ROUNDUP(($AC853+$AE853)*VLOOKUP($AA853,Paraméterek!$P$38:$Q$38,2)/12*IF($D854="Nem",IF($M$13=0,1,$M$13),1),IF($D$4="Forint",0,2))</f>
        <v>0</v>
      </c>
      <c r="AG853" s="13">
        <f ca="1">IF($D$2="Egyszeri",IF($D$7&gt;=IF($D$4="Forint",Paraméterek!$P$223,Paraméterek!$P$224),$D$7-IF($D$4="Forint",Paraméterek!$P$223,Paraméterek!$P$224),0),MIN(IF($AB853=12,AVERAGEIF($E$20:$E853,"&gt;0",$E$20:$E853)*12,0),SUM($E$20:$E$31)))</f>
        <v>0</v>
      </c>
      <c r="AH853" s="13">
        <f>IF($AA853=10,$AG853*IF($AB853=12,IF($AG853&lt;IF($D$4="Forint",Paraméterek!$L$223,Paraméterek!$L$224),0,VLOOKUP($AA853,Paraméterek!$K$226:$M$228,IF($AG853&lt;IF($D$4="Forint",Paraméterek!$M$223,Paraméterek!$M$224),2,3))),0),0)</f>
        <v>0</v>
      </c>
      <c r="AI853" s="13">
        <f ca="1">IF(AND($AA853=$M$11+1,$AB853=$M$12+1),SUMIF($AA$20:$AA$1027,$AA853,$AG$20:$AG$1027)*IF(SUMIF($AA$20:$AA$1027,$AA853,$AG$20:$AG$1027)&lt;IF($D$4="Forint",Paraméterek!$L$223,Paraméterek!$L$224),0,VLOOKUP($AA853,Paraméterek!$K$230:$M$250,IF(SUMIF($AA$20:$AA$1027,$AA853,$AG$20:$AG$1027)&lt;IF($D$4="Forint",Paraméterek!$M$223,Paraméterek!$M$224),2,3))),0)</f>
        <v>0</v>
      </c>
      <c r="AJ853" s="13">
        <f ca="1">IF(AND($AA853&gt;=5,MOD($AA853,5)=0),IF($AB853=12,VLOOKUP($AA853,Paraméterek!$O$225:$P$240,2),0),IF(OR($AA853=3,$AA853=4),IF($AB853=12,VLOOKUP($AA853,Paraméterek!$O$225:$P$240,2,0),0),0))*$AG853</f>
        <v>0</v>
      </c>
      <c r="AK853" s="13">
        <f t="shared" ref="AK853:AK916" ca="1" si="295">ROUNDDOWN(IF($D$2="Egyszeri",$AJ853,$AH853+$AI853),IF($D$4="Forint",0,2))</f>
        <v>0</v>
      </c>
      <c r="AL853" s="13">
        <f t="shared" ca="1" si="281"/>
        <v>0</v>
      </c>
      <c r="AM853" s="13">
        <f t="shared" ca="1" si="282"/>
        <v>0</v>
      </c>
      <c r="AO853" s="32">
        <v>834</v>
      </c>
      <c r="AP853" s="32">
        <v>70</v>
      </c>
      <c r="AQ853" s="32">
        <v>6</v>
      </c>
      <c r="AR853" s="13"/>
      <c r="AS853" s="32"/>
      <c r="AT853" s="13">
        <f t="shared" ca="1" si="283"/>
        <v>0</v>
      </c>
      <c r="AU853" s="33"/>
      <c r="AV853" s="13">
        <f t="shared" ref="AV853:AV916" ca="1" si="296">ROUNDDOWN($AT853*IF(ISBLANK($AU853),$M$7,$AU853)*IF($D854="Nem",IF($M$13=0,1,$M$13),1),IF($D$4="Forint",0,2))</f>
        <v>0</v>
      </c>
      <c r="AW853" s="13">
        <f ca="1">ROUNDUP(($AT853+$AV853)*VLOOKUP($AP853,Paraméterek!$P$38:$Q$38,2)/12*IF($D854="Nem",IF($M$13=0,1,$M$13),1),IF($D$4="Forint",0,2))</f>
        <v>0</v>
      </c>
      <c r="AX853" s="13"/>
      <c r="AY853" s="13"/>
      <c r="AZ853" s="13">
        <f>ROUNDUP(IF(SUM($AX853:$AY853)=0,0,IF(IF(ISBLANK($AY853),$AX853,$AY853)*Paraméterek!$J$112&lt;IF($D$4="Forint",Paraméterek!$J$113,Paraméterek!$K$113),IF($D$4="Forint",Paraméterek!$J$113,Paraméterek!$K$113),IF(IF(ISBLANK($AY853),$AX853,$AY853)*Paraméterek!$J$112&gt;IF($D$4="Forint",Paraméterek!$J$114,Paraméterek!$K$114),IF($D$4="Forint",Paraméterek!$J$114,Paraméterek!$K$114),IF(ISBLANK($AY853),$AX853,$AY853)*Paraméterek!$J$112))),IF($D$4="Forint",0,2))</f>
        <v>0</v>
      </c>
      <c r="BA853" s="13">
        <f ca="1">$AT853+$AV853-$AW853-IF(ROUNDDOWN(IF(ISBLANK($AY853),$AX853,$AY853),IF($D$4="Forint",0,2))&gt;$AT853+$AV853-$AW853-IF($D$4="Forint",Paraméterek!$J$114,Paraméterek!$K$114),0,ROUNDDOWN(IF(ISBLANK($AY853),$AX853,$AY853),IF($D$4="Forint",0,2))-$AZ853)</f>
        <v>0</v>
      </c>
      <c r="BB853" s="13">
        <f t="shared" ref="BB853:BB916" ca="1" si="297">$BA853</f>
        <v>0</v>
      </c>
      <c r="BD853" s="32">
        <v>834</v>
      </c>
      <c r="BE853" s="32">
        <v>70</v>
      </c>
      <c r="BF853" s="32">
        <v>6</v>
      </c>
      <c r="BG853" s="34">
        <f t="shared" ca="1" si="284"/>
        <v>2088</v>
      </c>
      <c r="BH853" s="32" t="str">
        <f ca="1">IF(MOD(MONTH($D$14)+$BD853-1,12)=Paraméterek!$C$288,"Igen","")</f>
        <v/>
      </c>
      <c r="BI853" s="13">
        <f ca="1">IF($BH853="Igen",MIN(ROUNDDOWN((SUMIF($BG$20:$BG$1027,$BG853-1,$K$20:$K$1027)-SUMIF($BG$20:$BG$1027,$BG853-1,$I$20:$I$1027))*Paraméterek!$C$289,IF($D$4="Forint",0,2)),IF($D$4="Forint",Paraméterek!$C$285,Paraméterek!$D$285)),0)</f>
        <v>0</v>
      </c>
      <c r="BJ853" s="13">
        <f t="shared" ref="BJ853:BJ916" ca="1" si="298">IF(AND($D853="Igen",$BH853="Igen"),$BI853,0)</f>
        <v>0</v>
      </c>
      <c r="BK853" s="13">
        <f t="shared" ca="1" si="285"/>
        <v>0</v>
      </c>
      <c r="BL853" s="33"/>
      <c r="BM853" s="13">
        <f t="shared" ref="BM853:BM916" ca="1" si="299">ROUNDDOWN($BK853*IF(ISBLANK($BL853),$M$9,$BL853)*IF($D854="Nem",IF($M$13=0,1,$M$13),1),IF($D$4="Forint",0,2))</f>
        <v>0</v>
      </c>
      <c r="BN853" s="13">
        <f ca="1">ROUNDUP(($BK853+$BM853)*VLOOKUP($BE853,Paraméterek!$P$38:$Q$38,2)/12*IF($D854="Nem",IF($M$13=0,1,$M$13),1),IF($D$4="Forint",0,2))</f>
        <v>0</v>
      </c>
      <c r="BO853" s="13">
        <f t="shared" ref="BO853:BO916" ca="1" si="300">$BK853+$BM853-$BN853</f>
        <v>0</v>
      </c>
      <c r="BP853" s="13">
        <f ca="1">IF($D854="Nem",$BO853,$BO853-ROUNDUP(SUM($BI$20:$BI853)*120%,IF($D$4="Forint",0,2)))</f>
        <v>0</v>
      </c>
    </row>
    <row r="854" spans="1:68" x14ac:dyDescent="0.2">
      <c r="A854" s="32">
        <v>835</v>
      </c>
      <c r="B854" s="32">
        <v>70</v>
      </c>
      <c r="C854" s="32">
        <v>7</v>
      </c>
      <c r="D854" s="32" t="str">
        <f t="shared" ca="1" si="286"/>
        <v>Nem</v>
      </c>
      <c r="E854" s="13">
        <f t="shared" ca="1" si="287"/>
        <v>0</v>
      </c>
      <c r="F854" s="13"/>
      <c r="G854" s="13"/>
      <c r="H854" s="13"/>
      <c r="I854" s="13">
        <f t="shared" ca="1" si="288"/>
        <v>0</v>
      </c>
      <c r="J854" s="13">
        <f t="shared" ca="1" si="289"/>
        <v>0</v>
      </c>
      <c r="K854" s="13">
        <f t="shared" ca="1" si="290"/>
        <v>0</v>
      </c>
      <c r="L854" s="13" t="e">
        <f ca="1">ROUNDUP(IF($D$2="Egyszeri",$E854,IF($D$2="Havi",SUM($E$20:$E$31),IF(MOD($C854,$M$1)-1=0,SUM($E$20:$E$31),0))/12*$M$1)*VLOOKUP($B854,Paraméterek!$I$28:$P$31,IF($D$2="Egyszeri",8,HLOOKUP(ROUNDUP($M$11+$M$13,0),Paraméterek!$J$26:$O$27,2))),IF($D$4="Forint",0,2))</f>
        <v>#N/A</v>
      </c>
      <c r="M854" s="13">
        <f t="shared" ca="1" si="291"/>
        <v>0</v>
      </c>
      <c r="N854" s="13">
        <f t="shared" ref="N854:N917" ca="1" si="301">IF($D854="Igen",$M854+$W853,0)</f>
        <v>0</v>
      </c>
      <c r="O854" s="13">
        <f ca="1">IF($D854="Igen",IF($W853&gt;=IF($D$4="Forint",Paraméterek!$J$121,Paraméterek!$K$121),0,IF($D$4="Forint",Paraméterek!$J$121,Paraméterek!$K$121)-$W853),0)</f>
        <v>0</v>
      </c>
      <c r="P854" s="13" t="e">
        <f ca="1">ROUNDUP($O854*VLOOKUP($M$4+$B854-1,Paraméterek!$H$58:$I$105,2,0)/Paraméterek!$I$56,IF($D$4="Forint",0,2))</f>
        <v>#N/A</v>
      </c>
      <c r="Q854" s="13">
        <f t="shared" ca="1" si="292"/>
        <v>0</v>
      </c>
      <c r="R854" s="33"/>
      <c r="S854" s="13" t="e">
        <f t="shared" ca="1" si="293"/>
        <v>#N/A</v>
      </c>
      <c r="T854" s="13" t="e">
        <f ca="1">ROUNDUP(($N854-$P854-$Q854+$S854)*VLOOKUP($B854,Paraméterek!$I$38:$K$39,IF($D$2="Egyszeri",3,2))/12*IF($D855="Nem",IF($M$13=0,1,$M$13),1),IF($D$4="Forint",0,2))</f>
        <v>#N/A</v>
      </c>
      <c r="U854" s="13"/>
      <c r="V854" s="13"/>
      <c r="W854" s="13" t="e">
        <f ca="1">$N854-$P854-$Q854+$S854-$T854-IF(ROUNDUP(IF(ISBLANK($V854),$U854*0,$V854)/IF($D$2="Egyszeri",VLOOKUP($B854+IF($C854=12,1,0),Paraméterek!$V$257:$W$262,2),IF($B854=1,1,VLOOKUP($B854+IF($C854=12,1,0),Paraméterek!$I$258:$T$278,HLOOKUP($M$11+1,Paraméterek!$J$256:$T$257,2)))),IF($D$4="Forint",0,2))&gt;$N854-$P854-$Q854+$S854-$T854-IF($D$4="Forint",Paraméterek!$C$216,Paraméterek!$D$216),0,ROUNDUP(IF(ISBLANK($V854),$U854*0,$V854)/IF($D$2="Egyszeri",VLOOKUP($B854+IF($C854=12,1,0),Paraméterek!$V$257:$W$262,2),IF($B854=1,1,VLOOKUP($B854+IF($C854=12,1,0),Paraméterek!$I$258:$T$278,HLOOKUP($M$11+1,Paraméterek!$J$256:$T$257,2)))),IF($D$4="Forint",0,2)))</f>
        <v>#N/A</v>
      </c>
      <c r="X854" s="13" t="e">
        <f ca="1">ROUNDDOWN($W854*IF($D$2="Egyszeri",VLOOKUP($B854+IF($C854=12,1,0),Paraméterek!$V$257:$W$262,2),VLOOKUP($B854+IF($C854=12,1,0),Paraméterek!$I$258:$T$278,HLOOKUP($M$11+1,Paraméterek!$I$256:$T$257,2))),IF($D$4="Forint",0,2))</f>
        <v>#N/A</v>
      </c>
      <c r="Z854" s="32">
        <v>835</v>
      </c>
      <c r="AA854" s="32">
        <v>70</v>
      </c>
      <c r="AB854" s="32">
        <v>7</v>
      </c>
      <c r="AC854" s="13">
        <f t="shared" ref="AC854:AC917" ca="1" si="302">IF($D854="Igen",$AL853,0)</f>
        <v>0</v>
      </c>
      <c r="AD854" s="33"/>
      <c r="AE854" s="13">
        <f t="shared" ca="1" si="294"/>
        <v>0</v>
      </c>
      <c r="AF854" s="13">
        <f ca="1">ROUNDUP(($AC854+$AE854)*VLOOKUP($AA854,Paraméterek!$P$38:$Q$38,2)/12*IF($D855="Nem",IF($M$13=0,1,$M$13),1),IF($D$4="Forint",0,2))</f>
        <v>0</v>
      </c>
      <c r="AG854" s="13">
        <f ca="1">IF($D$2="Egyszeri",IF($D$7&gt;=IF($D$4="Forint",Paraméterek!$P$223,Paraméterek!$P$224),$D$7-IF($D$4="Forint",Paraméterek!$P$223,Paraméterek!$P$224),0),MIN(IF($AB854=12,AVERAGEIF($E$20:$E854,"&gt;0",$E$20:$E854)*12,0),SUM($E$20:$E$31)))</f>
        <v>0</v>
      </c>
      <c r="AH854" s="13">
        <f>IF($AA854=10,$AG854*IF($AB854=12,IF($AG854&lt;IF($D$4="Forint",Paraméterek!$L$223,Paraméterek!$L$224),0,VLOOKUP($AA854,Paraméterek!$K$226:$M$228,IF($AG854&lt;IF($D$4="Forint",Paraméterek!$M$223,Paraméterek!$M$224),2,3))),0),0)</f>
        <v>0</v>
      </c>
      <c r="AI854" s="13">
        <f ca="1">IF(AND($AA854=$M$11+1,$AB854=$M$12+1),SUMIF($AA$20:$AA$1027,$AA854,$AG$20:$AG$1027)*IF(SUMIF($AA$20:$AA$1027,$AA854,$AG$20:$AG$1027)&lt;IF($D$4="Forint",Paraméterek!$L$223,Paraméterek!$L$224),0,VLOOKUP($AA854,Paraméterek!$K$230:$M$250,IF(SUMIF($AA$20:$AA$1027,$AA854,$AG$20:$AG$1027)&lt;IF($D$4="Forint",Paraméterek!$M$223,Paraméterek!$M$224),2,3))),0)</f>
        <v>0</v>
      </c>
      <c r="AJ854" s="13">
        <f ca="1">IF(AND($AA854&gt;=5,MOD($AA854,5)=0),IF($AB854=12,VLOOKUP($AA854,Paraméterek!$O$225:$P$240,2),0),IF(OR($AA854=3,$AA854=4),IF($AB854=12,VLOOKUP($AA854,Paraméterek!$O$225:$P$240,2,0),0),0))*$AG854</f>
        <v>0</v>
      </c>
      <c r="AK854" s="13">
        <f t="shared" ca="1" si="295"/>
        <v>0</v>
      </c>
      <c r="AL854" s="13">
        <f t="shared" ref="AL854:AL917" ca="1" si="303">$AC854+$AE854-$AF854+$AK854</f>
        <v>0</v>
      </c>
      <c r="AM854" s="13">
        <f t="shared" ref="AM854:AM917" ca="1" si="304">$AL854</f>
        <v>0</v>
      </c>
      <c r="AO854" s="32">
        <v>835</v>
      </c>
      <c r="AP854" s="32">
        <v>70</v>
      </c>
      <c r="AQ854" s="32">
        <v>7</v>
      </c>
      <c r="AR854" s="13"/>
      <c r="AS854" s="32"/>
      <c r="AT854" s="13">
        <f t="shared" ref="AT854:AT917" ca="1" si="305">IF($D854="Igen",IF(ISBLANK($AS854),$AR854,$AS854)+$BA853,0)</f>
        <v>0</v>
      </c>
      <c r="AU854" s="33"/>
      <c r="AV854" s="13">
        <f t="shared" ca="1" si="296"/>
        <v>0</v>
      </c>
      <c r="AW854" s="13">
        <f ca="1">ROUNDUP(($AT854+$AV854)*VLOOKUP($AP854,Paraméterek!$P$38:$Q$38,2)/12*IF($D855="Nem",IF($M$13=0,1,$M$13),1),IF($D$4="Forint",0,2))</f>
        <v>0</v>
      </c>
      <c r="AX854" s="13"/>
      <c r="AY854" s="13"/>
      <c r="AZ854" s="13">
        <f>ROUNDUP(IF(SUM($AX854:$AY854)=0,0,IF(IF(ISBLANK($AY854),$AX854,$AY854)*Paraméterek!$J$112&lt;IF($D$4="Forint",Paraméterek!$J$113,Paraméterek!$K$113),IF($D$4="Forint",Paraméterek!$J$113,Paraméterek!$K$113),IF(IF(ISBLANK($AY854),$AX854,$AY854)*Paraméterek!$J$112&gt;IF($D$4="Forint",Paraméterek!$J$114,Paraméterek!$K$114),IF($D$4="Forint",Paraméterek!$J$114,Paraméterek!$K$114),IF(ISBLANK($AY854),$AX854,$AY854)*Paraméterek!$J$112))),IF($D$4="Forint",0,2))</f>
        <v>0</v>
      </c>
      <c r="BA854" s="13">
        <f ca="1">$AT854+$AV854-$AW854-IF(ROUNDDOWN(IF(ISBLANK($AY854),$AX854,$AY854),IF($D$4="Forint",0,2))&gt;$AT854+$AV854-$AW854-IF($D$4="Forint",Paraméterek!$J$114,Paraméterek!$K$114),0,ROUNDDOWN(IF(ISBLANK($AY854),$AX854,$AY854),IF($D$4="Forint",0,2))-$AZ854)</f>
        <v>0</v>
      </c>
      <c r="BB854" s="13">
        <f t="shared" ca="1" si="297"/>
        <v>0</v>
      </c>
      <c r="BD854" s="32">
        <v>835</v>
      </c>
      <c r="BE854" s="32">
        <v>70</v>
      </c>
      <c r="BF854" s="32">
        <v>7</v>
      </c>
      <c r="BG854" s="34">
        <f t="shared" ref="BG854:BG917" ca="1" si="306">$BG853+IF(MOD(MONTH($D$14)+$BD854-1,12)=1,1,0)</f>
        <v>2088</v>
      </c>
      <c r="BH854" s="32" t="str">
        <f ca="1">IF(MOD(MONTH($D$14)+$BD854-1,12)=Paraméterek!$C$288,"Igen","")</f>
        <v/>
      </c>
      <c r="BI854" s="13">
        <f ca="1">IF($BH854="Igen",MIN(ROUNDDOWN((SUMIF($BG$20:$BG$1027,$BG854-1,$K$20:$K$1027)-SUMIF($BG$20:$BG$1027,$BG854-1,$I$20:$I$1027))*Paraméterek!$C$289,IF($D$4="Forint",0,2)),IF($D$4="Forint",Paraméterek!$C$285,Paraméterek!$D$285)),0)</f>
        <v>0</v>
      </c>
      <c r="BJ854" s="13">
        <f t="shared" ca="1" si="298"/>
        <v>0</v>
      </c>
      <c r="BK854" s="13">
        <f t="shared" ref="BK854:BK917" ca="1" si="307">$BJ854+IF($D854="Igen",$BO853,0)</f>
        <v>0</v>
      </c>
      <c r="BL854" s="33"/>
      <c r="BM854" s="13">
        <f t="shared" ca="1" si="299"/>
        <v>0</v>
      </c>
      <c r="BN854" s="13">
        <f ca="1">ROUNDUP(($BK854+$BM854)*VLOOKUP($BE854,Paraméterek!$P$38:$Q$38,2)/12*IF($D855="Nem",IF($M$13=0,1,$M$13),1),IF($D$4="Forint",0,2))</f>
        <v>0</v>
      </c>
      <c r="BO854" s="13">
        <f t="shared" ca="1" si="300"/>
        <v>0</v>
      </c>
      <c r="BP854" s="13">
        <f ca="1">IF($D855="Nem",$BO854,$BO854-ROUNDUP(SUM($BI$20:$BI854)*120%,IF($D$4="Forint",0,2)))</f>
        <v>0</v>
      </c>
    </row>
    <row r="855" spans="1:68" x14ac:dyDescent="0.2">
      <c r="A855" s="32">
        <v>836</v>
      </c>
      <c r="B855" s="32">
        <v>70</v>
      </c>
      <c r="C855" s="32">
        <v>8</v>
      </c>
      <c r="D855" s="32" t="str">
        <f t="shared" ca="1" si="286"/>
        <v>Nem</v>
      </c>
      <c r="E855" s="13">
        <f t="shared" ca="1" si="287"/>
        <v>0</v>
      </c>
      <c r="F855" s="13"/>
      <c r="G855" s="13"/>
      <c r="H855" s="13"/>
      <c r="I855" s="13">
        <f t="shared" ca="1" si="288"/>
        <v>0</v>
      </c>
      <c r="J855" s="13">
        <f t="shared" ca="1" si="289"/>
        <v>0</v>
      </c>
      <c r="K855" s="13">
        <f t="shared" ca="1" si="290"/>
        <v>0</v>
      </c>
      <c r="L855" s="13" t="e">
        <f ca="1">ROUNDUP(IF($D$2="Egyszeri",$E855,IF($D$2="Havi",SUM($E$20:$E$31),IF(MOD($C855,$M$1)-1=0,SUM($E$20:$E$31),0))/12*$M$1)*VLOOKUP($B855,Paraméterek!$I$28:$P$31,IF($D$2="Egyszeri",8,HLOOKUP(ROUNDUP($M$11+$M$13,0),Paraméterek!$J$26:$O$27,2))),IF($D$4="Forint",0,2))</f>
        <v>#N/A</v>
      </c>
      <c r="M855" s="13">
        <f t="shared" ca="1" si="291"/>
        <v>0</v>
      </c>
      <c r="N855" s="13">
        <f t="shared" ca="1" si="301"/>
        <v>0</v>
      </c>
      <c r="O855" s="13">
        <f ca="1">IF($D855="Igen",IF($W854&gt;=IF($D$4="Forint",Paraméterek!$J$121,Paraméterek!$K$121),0,IF($D$4="Forint",Paraméterek!$J$121,Paraméterek!$K$121)-$W854),0)</f>
        <v>0</v>
      </c>
      <c r="P855" s="13" t="e">
        <f ca="1">ROUNDUP($O855*VLOOKUP($M$4+$B855-1,Paraméterek!$H$58:$I$105,2,0)/Paraméterek!$I$56,IF($D$4="Forint",0,2))</f>
        <v>#N/A</v>
      </c>
      <c r="Q855" s="13">
        <f t="shared" ca="1" si="292"/>
        <v>0</v>
      </c>
      <c r="R855" s="33"/>
      <c r="S855" s="13" t="e">
        <f t="shared" ca="1" si="293"/>
        <v>#N/A</v>
      </c>
      <c r="T855" s="13" t="e">
        <f ca="1">ROUNDUP(($N855-$P855-$Q855+$S855)*VLOOKUP($B855,Paraméterek!$I$38:$K$39,IF($D$2="Egyszeri",3,2))/12*IF($D856="Nem",IF($M$13=0,1,$M$13),1),IF($D$4="Forint",0,2))</f>
        <v>#N/A</v>
      </c>
      <c r="U855" s="13"/>
      <c r="V855" s="13"/>
      <c r="W855" s="13" t="e">
        <f ca="1">$N855-$P855-$Q855+$S855-$T855-IF(ROUNDUP(IF(ISBLANK($V855),$U855*0,$V855)/IF($D$2="Egyszeri",VLOOKUP($B855+IF($C855=12,1,0),Paraméterek!$V$257:$W$262,2),IF($B855=1,1,VLOOKUP($B855+IF($C855=12,1,0),Paraméterek!$I$258:$T$278,HLOOKUP($M$11+1,Paraméterek!$J$256:$T$257,2)))),IF($D$4="Forint",0,2))&gt;$N855-$P855-$Q855+$S855-$T855-IF($D$4="Forint",Paraméterek!$C$216,Paraméterek!$D$216),0,ROUNDUP(IF(ISBLANK($V855),$U855*0,$V855)/IF($D$2="Egyszeri",VLOOKUP($B855+IF($C855=12,1,0),Paraméterek!$V$257:$W$262,2),IF($B855=1,1,VLOOKUP($B855+IF($C855=12,1,0),Paraméterek!$I$258:$T$278,HLOOKUP($M$11+1,Paraméterek!$J$256:$T$257,2)))),IF($D$4="Forint",0,2)))</f>
        <v>#N/A</v>
      </c>
      <c r="X855" s="13" t="e">
        <f ca="1">ROUNDDOWN($W855*IF($D$2="Egyszeri",VLOOKUP($B855+IF($C855=12,1,0),Paraméterek!$V$257:$W$262,2),VLOOKUP($B855+IF($C855=12,1,0),Paraméterek!$I$258:$T$278,HLOOKUP($M$11+1,Paraméterek!$I$256:$T$257,2))),IF($D$4="Forint",0,2))</f>
        <v>#N/A</v>
      </c>
      <c r="Z855" s="32">
        <v>836</v>
      </c>
      <c r="AA855" s="32">
        <v>70</v>
      </c>
      <c r="AB855" s="32">
        <v>8</v>
      </c>
      <c r="AC855" s="13">
        <f t="shared" ca="1" si="302"/>
        <v>0</v>
      </c>
      <c r="AD855" s="33"/>
      <c r="AE855" s="13">
        <f t="shared" ca="1" si="294"/>
        <v>0</v>
      </c>
      <c r="AF855" s="13">
        <f ca="1">ROUNDUP(($AC855+$AE855)*VLOOKUP($AA855,Paraméterek!$P$38:$Q$38,2)/12*IF($D856="Nem",IF($M$13=0,1,$M$13),1),IF($D$4="Forint",0,2))</f>
        <v>0</v>
      </c>
      <c r="AG855" s="13">
        <f ca="1">IF($D$2="Egyszeri",IF($D$7&gt;=IF($D$4="Forint",Paraméterek!$P$223,Paraméterek!$P$224),$D$7-IF($D$4="Forint",Paraméterek!$P$223,Paraméterek!$P$224),0),MIN(IF($AB855=12,AVERAGEIF($E$20:$E855,"&gt;0",$E$20:$E855)*12,0),SUM($E$20:$E$31)))</f>
        <v>0</v>
      </c>
      <c r="AH855" s="13">
        <f>IF($AA855=10,$AG855*IF($AB855=12,IF($AG855&lt;IF($D$4="Forint",Paraméterek!$L$223,Paraméterek!$L$224),0,VLOOKUP($AA855,Paraméterek!$K$226:$M$228,IF($AG855&lt;IF($D$4="Forint",Paraméterek!$M$223,Paraméterek!$M$224),2,3))),0),0)</f>
        <v>0</v>
      </c>
      <c r="AI855" s="13">
        <f ca="1">IF(AND($AA855=$M$11+1,$AB855=$M$12+1),SUMIF($AA$20:$AA$1027,$AA855,$AG$20:$AG$1027)*IF(SUMIF($AA$20:$AA$1027,$AA855,$AG$20:$AG$1027)&lt;IF($D$4="Forint",Paraméterek!$L$223,Paraméterek!$L$224),0,VLOOKUP($AA855,Paraméterek!$K$230:$M$250,IF(SUMIF($AA$20:$AA$1027,$AA855,$AG$20:$AG$1027)&lt;IF($D$4="Forint",Paraméterek!$M$223,Paraméterek!$M$224),2,3))),0)</f>
        <v>0</v>
      </c>
      <c r="AJ855" s="13">
        <f ca="1">IF(AND($AA855&gt;=5,MOD($AA855,5)=0),IF($AB855=12,VLOOKUP($AA855,Paraméterek!$O$225:$P$240,2),0),IF(OR($AA855=3,$AA855=4),IF($AB855=12,VLOOKUP($AA855,Paraméterek!$O$225:$P$240,2,0),0),0))*$AG855</f>
        <v>0</v>
      </c>
      <c r="AK855" s="13">
        <f t="shared" ca="1" si="295"/>
        <v>0</v>
      </c>
      <c r="AL855" s="13">
        <f t="shared" ca="1" si="303"/>
        <v>0</v>
      </c>
      <c r="AM855" s="13">
        <f t="shared" ca="1" si="304"/>
        <v>0</v>
      </c>
      <c r="AO855" s="32">
        <v>836</v>
      </c>
      <c r="AP855" s="32">
        <v>70</v>
      </c>
      <c r="AQ855" s="32">
        <v>8</v>
      </c>
      <c r="AR855" s="13"/>
      <c r="AS855" s="32"/>
      <c r="AT855" s="13">
        <f t="shared" ca="1" si="305"/>
        <v>0</v>
      </c>
      <c r="AU855" s="33"/>
      <c r="AV855" s="13">
        <f t="shared" ca="1" si="296"/>
        <v>0</v>
      </c>
      <c r="AW855" s="13">
        <f ca="1">ROUNDUP(($AT855+$AV855)*VLOOKUP($AP855,Paraméterek!$P$38:$Q$38,2)/12*IF($D856="Nem",IF($M$13=0,1,$M$13),1),IF($D$4="Forint",0,2))</f>
        <v>0</v>
      </c>
      <c r="AX855" s="13"/>
      <c r="AY855" s="13"/>
      <c r="AZ855" s="13">
        <f>ROUNDUP(IF(SUM($AX855:$AY855)=0,0,IF(IF(ISBLANK($AY855),$AX855,$AY855)*Paraméterek!$J$112&lt;IF($D$4="Forint",Paraméterek!$J$113,Paraméterek!$K$113),IF($D$4="Forint",Paraméterek!$J$113,Paraméterek!$K$113),IF(IF(ISBLANK($AY855),$AX855,$AY855)*Paraméterek!$J$112&gt;IF($D$4="Forint",Paraméterek!$J$114,Paraméterek!$K$114),IF($D$4="Forint",Paraméterek!$J$114,Paraméterek!$K$114),IF(ISBLANK($AY855),$AX855,$AY855)*Paraméterek!$J$112))),IF($D$4="Forint",0,2))</f>
        <v>0</v>
      </c>
      <c r="BA855" s="13">
        <f ca="1">$AT855+$AV855-$AW855-IF(ROUNDDOWN(IF(ISBLANK($AY855),$AX855,$AY855),IF($D$4="Forint",0,2))&gt;$AT855+$AV855-$AW855-IF($D$4="Forint",Paraméterek!$J$114,Paraméterek!$K$114),0,ROUNDDOWN(IF(ISBLANK($AY855),$AX855,$AY855),IF($D$4="Forint",0,2))-$AZ855)</f>
        <v>0</v>
      </c>
      <c r="BB855" s="13">
        <f t="shared" ca="1" si="297"/>
        <v>0</v>
      </c>
      <c r="BD855" s="32">
        <v>836</v>
      </c>
      <c r="BE855" s="32">
        <v>70</v>
      </c>
      <c r="BF855" s="32">
        <v>8</v>
      </c>
      <c r="BG855" s="34">
        <f t="shared" ca="1" si="306"/>
        <v>2089</v>
      </c>
      <c r="BH855" s="32" t="str">
        <f ca="1">IF(MOD(MONTH($D$14)+$BD855-1,12)=Paraméterek!$C$288,"Igen","")</f>
        <v/>
      </c>
      <c r="BI855" s="13">
        <f ca="1">IF($BH855="Igen",MIN(ROUNDDOWN((SUMIF($BG$20:$BG$1027,$BG855-1,$K$20:$K$1027)-SUMIF($BG$20:$BG$1027,$BG855-1,$I$20:$I$1027))*Paraméterek!$C$289,IF($D$4="Forint",0,2)),IF($D$4="Forint",Paraméterek!$C$285,Paraméterek!$D$285)),0)</f>
        <v>0</v>
      </c>
      <c r="BJ855" s="13">
        <f t="shared" ca="1" si="298"/>
        <v>0</v>
      </c>
      <c r="BK855" s="13">
        <f t="shared" ca="1" si="307"/>
        <v>0</v>
      </c>
      <c r="BL855" s="33"/>
      <c r="BM855" s="13">
        <f t="shared" ca="1" si="299"/>
        <v>0</v>
      </c>
      <c r="BN855" s="13">
        <f ca="1">ROUNDUP(($BK855+$BM855)*VLOOKUP($BE855,Paraméterek!$P$38:$Q$38,2)/12*IF($D856="Nem",IF($M$13=0,1,$M$13),1),IF($D$4="Forint",0,2))</f>
        <v>0</v>
      </c>
      <c r="BO855" s="13">
        <f t="shared" ca="1" si="300"/>
        <v>0</v>
      </c>
      <c r="BP855" s="13">
        <f ca="1">IF($D856="Nem",$BO855,$BO855-ROUNDUP(SUM($BI$20:$BI855)*120%,IF($D$4="Forint",0,2)))</f>
        <v>0</v>
      </c>
    </row>
    <row r="856" spans="1:68" x14ac:dyDescent="0.2">
      <c r="A856" s="32">
        <v>837</v>
      </c>
      <c r="B856" s="32">
        <v>70</v>
      </c>
      <c r="C856" s="32">
        <v>9</v>
      </c>
      <c r="D856" s="32" t="str">
        <f t="shared" ca="1" si="286"/>
        <v>Nem</v>
      </c>
      <c r="E856" s="13">
        <f t="shared" ca="1" si="287"/>
        <v>0</v>
      </c>
      <c r="F856" s="13"/>
      <c r="G856" s="13"/>
      <c r="H856" s="13"/>
      <c r="I856" s="13">
        <f t="shared" ca="1" si="288"/>
        <v>0</v>
      </c>
      <c r="J856" s="13">
        <f t="shared" ca="1" si="289"/>
        <v>0</v>
      </c>
      <c r="K856" s="13">
        <f t="shared" ca="1" si="290"/>
        <v>0</v>
      </c>
      <c r="L856" s="13" t="e">
        <f ca="1">ROUNDUP(IF($D$2="Egyszeri",$E856,IF($D$2="Havi",SUM($E$20:$E$31),IF(MOD($C856,$M$1)-1=0,SUM($E$20:$E$31),0))/12*$M$1)*VLOOKUP($B856,Paraméterek!$I$28:$P$31,IF($D$2="Egyszeri",8,HLOOKUP(ROUNDUP($M$11+$M$13,0),Paraméterek!$J$26:$O$27,2))),IF($D$4="Forint",0,2))</f>
        <v>#N/A</v>
      </c>
      <c r="M856" s="13">
        <f t="shared" ca="1" si="291"/>
        <v>0</v>
      </c>
      <c r="N856" s="13">
        <f t="shared" ca="1" si="301"/>
        <v>0</v>
      </c>
      <c r="O856" s="13">
        <f ca="1">IF($D856="Igen",IF($W855&gt;=IF($D$4="Forint",Paraméterek!$J$121,Paraméterek!$K$121),0,IF($D$4="Forint",Paraméterek!$J$121,Paraméterek!$K$121)-$W855),0)</f>
        <v>0</v>
      </c>
      <c r="P856" s="13" t="e">
        <f ca="1">ROUNDUP($O856*VLOOKUP($M$4+$B856-1,Paraméterek!$H$58:$I$105,2,0)/Paraméterek!$I$56,IF($D$4="Forint",0,2))</f>
        <v>#N/A</v>
      </c>
      <c r="Q856" s="13">
        <f t="shared" ca="1" si="292"/>
        <v>0</v>
      </c>
      <c r="R856" s="33"/>
      <c r="S856" s="13" t="e">
        <f t="shared" ca="1" si="293"/>
        <v>#N/A</v>
      </c>
      <c r="T856" s="13" t="e">
        <f ca="1">ROUNDUP(($N856-$P856-$Q856+$S856)*VLOOKUP($B856,Paraméterek!$I$38:$K$39,IF($D$2="Egyszeri",3,2))/12*IF($D857="Nem",IF($M$13=0,1,$M$13),1),IF($D$4="Forint",0,2))</f>
        <v>#N/A</v>
      </c>
      <c r="U856" s="13"/>
      <c r="V856" s="13"/>
      <c r="W856" s="13" t="e">
        <f ca="1">$N856-$P856-$Q856+$S856-$T856-IF(ROUNDUP(IF(ISBLANK($V856),$U856*0,$V856)/IF($D$2="Egyszeri",VLOOKUP($B856+IF($C856=12,1,0),Paraméterek!$V$257:$W$262,2),IF($B856=1,1,VLOOKUP($B856+IF($C856=12,1,0),Paraméterek!$I$258:$T$278,HLOOKUP($M$11+1,Paraméterek!$J$256:$T$257,2)))),IF($D$4="Forint",0,2))&gt;$N856-$P856-$Q856+$S856-$T856-IF($D$4="Forint",Paraméterek!$C$216,Paraméterek!$D$216),0,ROUNDUP(IF(ISBLANK($V856),$U856*0,$V856)/IF($D$2="Egyszeri",VLOOKUP($B856+IF($C856=12,1,0),Paraméterek!$V$257:$W$262,2),IF($B856=1,1,VLOOKUP($B856+IF($C856=12,1,0),Paraméterek!$I$258:$T$278,HLOOKUP($M$11+1,Paraméterek!$J$256:$T$257,2)))),IF($D$4="Forint",0,2)))</f>
        <v>#N/A</v>
      </c>
      <c r="X856" s="13" t="e">
        <f ca="1">ROUNDDOWN($W856*IF($D$2="Egyszeri",VLOOKUP($B856+IF($C856=12,1,0),Paraméterek!$V$257:$W$262,2),VLOOKUP($B856+IF($C856=12,1,0),Paraméterek!$I$258:$T$278,HLOOKUP($M$11+1,Paraméterek!$I$256:$T$257,2))),IF($D$4="Forint",0,2))</f>
        <v>#N/A</v>
      </c>
      <c r="Z856" s="32">
        <v>837</v>
      </c>
      <c r="AA856" s="32">
        <v>70</v>
      </c>
      <c r="AB856" s="32">
        <v>9</v>
      </c>
      <c r="AC856" s="13">
        <f t="shared" ca="1" si="302"/>
        <v>0</v>
      </c>
      <c r="AD856" s="33"/>
      <c r="AE856" s="13">
        <f t="shared" ca="1" si="294"/>
        <v>0</v>
      </c>
      <c r="AF856" s="13">
        <f ca="1">ROUNDUP(($AC856+$AE856)*VLOOKUP($AA856,Paraméterek!$P$38:$Q$38,2)/12*IF($D857="Nem",IF($M$13=0,1,$M$13),1),IF($D$4="Forint",0,2))</f>
        <v>0</v>
      </c>
      <c r="AG856" s="13">
        <f ca="1">IF($D$2="Egyszeri",IF($D$7&gt;=IF($D$4="Forint",Paraméterek!$P$223,Paraméterek!$P$224),$D$7-IF($D$4="Forint",Paraméterek!$P$223,Paraméterek!$P$224),0),MIN(IF($AB856=12,AVERAGEIF($E$20:$E856,"&gt;0",$E$20:$E856)*12,0),SUM($E$20:$E$31)))</f>
        <v>0</v>
      </c>
      <c r="AH856" s="13">
        <f>IF($AA856=10,$AG856*IF($AB856=12,IF($AG856&lt;IF($D$4="Forint",Paraméterek!$L$223,Paraméterek!$L$224),0,VLOOKUP($AA856,Paraméterek!$K$226:$M$228,IF($AG856&lt;IF($D$4="Forint",Paraméterek!$M$223,Paraméterek!$M$224),2,3))),0),0)</f>
        <v>0</v>
      </c>
      <c r="AI856" s="13">
        <f ca="1">IF(AND($AA856=$M$11+1,$AB856=$M$12+1),SUMIF($AA$20:$AA$1027,$AA856,$AG$20:$AG$1027)*IF(SUMIF($AA$20:$AA$1027,$AA856,$AG$20:$AG$1027)&lt;IF($D$4="Forint",Paraméterek!$L$223,Paraméterek!$L$224),0,VLOOKUP($AA856,Paraméterek!$K$230:$M$250,IF(SUMIF($AA$20:$AA$1027,$AA856,$AG$20:$AG$1027)&lt;IF($D$4="Forint",Paraméterek!$M$223,Paraméterek!$M$224),2,3))),0)</f>
        <v>0</v>
      </c>
      <c r="AJ856" s="13">
        <f ca="1">IF(AND($AA856&gt;=5,MOD($AA856,5)=0),IF($AB856=12,VLOOKUP($AA856,Paraméterek!$O$225:$P$240,2),0),IF(OR($AA856=3,$AA856=4),IF($AB856=12,VLOOKUP($AA856,Paraméterek!$O$225:$P$240,2,0),0),0))*$AG856</f>
        <v>0</v>
      </c>
      <c r="AK856" s="13">
        <f t="shared" ca="1" si="295"/>
        <v>0</v>
      </c>
      <c r="AL856" s="13">
        <f t="shared" ca="1" si="303"/>
        <v>0</v>
      </c>
      <c r="AM856" s="13">
        <f t="shared" ca="1" si="304"/>
        <v>0</v>
      </c>
      <c r="AO856" s="32">
        <v>837</v>
      </c>
      <c r="AP856" s="32">
        <v>70</v>
      </c>
      <c r="AQ856" s="32">
        <v>9</v>
      </c>
      <c r="AR856" s="13"/>
      <c r="AS856" s="32"/>
      <c r="AT856" s="13">
        <f t="shared" ca="1" si="305"/>
        <v>0</v>
      </c>
      <c r="AU856" s="33"/>
      <c r="AV856" s="13">
        <f t="shared" ca="1" si="296"/>
        <v>0</v>
      </c>
      <c r="AW856" s="13">
        <f ca="1">ROUNDUP(($AT856+$AV856)*VLOOKUP($AP856,Paraméterek!$P$38:$Q$38,2)/12*IF($D857="Nem",IF($M$13=0,1,$M$13),1),IF($D$4="Forint",0,2))</f>
        <v>0</v>
      </c>
      <c r="AX856" s="13"/>
      <c r="AY856" s="13"/>
      <c r="AZ856" s="13">
        <f>ROUNDUP(IF(SUM($AX856:$AY856)=0,0,IF(IF(ISBLANK($AY856),$AX856,$AY856)*Paraméterek!$J$112&lt;IF($D$4="Forint",Paraméterek!$J$113,Paraméterek!$K$113),IF($D$4="Forint",Paraméterek!$J$113,Paraméterek!$K$113),IF(IF(ISBLANK($AY856),$AX856,$AY856)*Paraméterek!$J$112&gt;IF($D$4="Forint",Paraméterek!$J$114,Paraméterek!$K$114),IF($D$4="Forint",Paraméterek!$J$114,Paraméterek!$K$114),IF(ISBLANK($AY856),$AX856,$AY856)*Paraméterek!$J$112))),IF($D$4="Forint",0,2))</f>
        <v>0</v>
      </c>
      <c r="BA856" s="13">
        <f ca="1">$AT856+$AV856-$AW856-IF(ROUNDDOWN(IF(ISBLANK($AY856),$AX856,$AY856),IF($D$4="Forint",0,2))&gt;$AT856+$AV856-$AW856-IF($D$4="Forint",Paraméterek!$J$114,Paraméterek!$K$114),0,ROUNDDOWN(IF(ISBLANK($AY856),$AX856,$AY856),IF($D$4="Forint",0,2))-$AZ856)</f>
        <v>0</v>
      </c>
      <c r="BB856" s="13">
        <f t="shared" ca="1" si="297"/>
        <v>0</v>
      </c>
      <c r="BD856" s="32">
        <v>837</v>
      </c>
      <c r="BE856" s="32">
        <v>70</v>
      </c>
      <c r="BF856" s="32">
        <v>9</v>
      </c>
      <c r="BG856" s="34">
        <f t="shared" ca="1" si="306"/>
        <v>2089</v>
      </c>
      <c r="BH856" s="32" t="str">
        <f ca="1">IF(MOD(MONTH($D$14)+$BD856-1,12)=Paraméterek!$C$288,"Igen","")</f>
        <v/>
      </c>
      <c r="BI856" s="13">
        <f ca="1">IF($BH856="Igen",MIN(ROUNDDOWN((SUMIF($BG$20:$BG$1027,$BG856-1,$K$20:$K$1027)-SUMIF($BG$20:$BG$1027,$BG856-1,$I$20:$I$1027))*Paraméterek!$C$289,IF($D$4="Forint",0,2)),IF($D$4="Forint",Paraméterek!$C$285,Paraméterek!$D$285)),0)</f>
        <v>0</v>
      </c>
      <c r="BJ856" s="13">
        <f t="shared" ca="1" si="298"/>
        <v>0</v>
      </c>
      <c r="BK856" s="13">
        <f t="shared" ca="1" si="307"/>
        <v>0</v>
      </c>
      <c r="BL856" s="33"/>
      <c r="BM856" s="13">
        <f t="shared" ca="1" si="299"/>
        <v>0</v>
      </c>
      <c r="BN856" s="13">
        <f ca="1">ROUNDUP(($BK856+$BM856)*VLOOKUP($BE856,Paraméterek!$P$38:$Q$38,2)/12*IF($D857="Nem",IF($M$13=0,1,$M$13),1),IF($D$4="Forint",0,2))</f>
        <v>0</v>
      </c>
      <c r="BO856" s="13">
        <f t="shared" ca="1" si="300"/>
        <v>0</v>
      </c>
      <c r="BP856" s="13">
        <f ca="1">IF($D857="Nem",$BO856,$BO856-ROUNDUP(SUM($BI$20:$BI856)*120%,IF($D$4="Forint",0,2)))</f>
        <v>0</v>
      </c>
    </row>
    <row r="857" spans="1:68" x14ac:dyDescent="0.2">
      <c r="A857" s="32">
        <v>838</v>
      </c>
      <c r="B857" s="32">
        <v>70</v>
      </c>
      <c r="C857" s="32">
        <v>10</v>
      </c>
      <c r="D857" s="32" t="str">
        <f t="shared" ca="1" si="286"/>
        <v>Nem</v>
      </c>
      <c r="E857" s="13">
        <f t="shared" ca="1" si="287"/>
        <v>0</v>
      </c>
      <c r="F857" s="13"/>
      <c r="G857" s="13"/>
      <c r="H857" s="13"/>
      <c r="I857" s="13">
        <f t="shared" ca="1" si="288"/>
        <v>0</v>
      </c>
      <c r="J857" s="13">
        <f t="shared" ca="1" si="289"/>
        <v>0</v>
      </c>
      <c r="K857" s="13">
        <f t="shared" ca="1" si="290"/>
        <v>0</v>
      </c>
      <c r="L857" s="13" t="e">
        <f ca="1">ROUNDUP(IF($D$2="Egyszeri",$E857,IF($D$2="Havi",SUM($E$20:$E$31),IF(MOD($C857,$M$1)-1=0,SUM($E$20:$E$31),0))/12*$M$1)*VLOOKUP($B857,Paraméterek!$I$28:$P$31,IF($D$2="Egyszeri",8,HLOOKUP(ROUNDUP($M$11+$M$13,0),Paraméterek!$J$26:$O$27,2))),IF($D$4="Forint",0,2))</f>
        <v>#N/A</v>
      </c>
      <c r="M857" s="13">
        <f t="shared" ca="1" si="291"/>
        <v>0</v>
      </c>
      <c r="N857" s="13">
        <f t="shared" ca="1" si="301"/>
        <v>0</v>
      </c>
      <c r="O857" s="13">
        <f ca="1">IF($D857="Igen",IF($W856&gt;=IF($D$4="Forint",Paraméterek!$J$121,Paraméterek!$K$121),0,IF($D$4="Forint",Paraméterek!$J$121,Paraméterek!$K$121)-$W856),0)</f>
        <v>0</v>
      </c>
      <c r="P857" s="13" t="e">
        <f ca="1">ROUNDUP($O857*VLOOKUP($M$4+$B857-1,Paraméterek!$H$58:$I$105,2,0)/Paraméterek!$I$56,IF($D$4="Forint",0,2))</f>
        <v>#N/A</v>
      </c>
      <c r="Q857" s="13">
        <f t="shared" ca="1" si="292"/>
        <v>0</v>
      </c>
      <c r="R857" s="33"/>
      <c r="S857" s="13" t="e">
        <f t="shared" ca="1" si="293"/>
        <v>#N/A</v>
      </c>
      <c r="T857" s="13" t="e">
        <f ca="1">ROUNDUP(($N857-$P857-$Q857+$S857)*VLOOKUP($B857,Paraméterek!$I$38:$K$39,IF($D$2="Egyszeri",3,2))/12*IF($D858="Nem",IF($M$13=0,1,$M$13),1),IF($D$4="Forint",0,2))</f>
        <v>#N/A</v>
      </c>
      <c r="U857" s="13"/>
      <c r="V857" s="13"/>
      <c r="W857" s="13" t="e">
        <f ca="1">$N857-$P857-$Q857+$S857-$T857-IF(ROUNDUP(IF(ISBLANK($V857),$U857*0,$V857)/IF($D$2="Egyszeri",VLOOKUP($B857+IF($C857=12,1,0),Paraméterek!$V$257:$W$262,2),IF($B857=1,1,VLOOKUP($B857+IF($C857=12,1,0),Paraméterek!$I$258:$T$278,HLOOKUP($M$11+1,Paraméterek!$J$256:$T$257,2)))),IF($D$4="Forint",0,2))&gt;$N857-$P857-$Q857+$S857-$T857-IF($D$4="Forint",Paraméterek!$C$216,Paraméterek!$D$216),0,ROUNDUP(IF(ISBLANK($V857),$U857*0,$V857)/IF($D$2="Egyszeri",VLOOKUP($B857+IF($C857=12,1,0),Paraméterek!$V$257:$W$262,2),IF($B857=1,1,VLOOKUP($B857+IF($C857=12,1,0),Paraméterek!$I$258:$T$278,HLOOKUP($M$11+1,Paraméterek!$J$256:$T$257,2)))),IF($D$4="Forint",0,2)))</f>
        <v>#N/A</v>
      </c>
      <c r="X857" s="13" t="e">
        <f ca="1">ROUNDDOWN($W857*IF($D$2="Egyszeri",VLOOKUP($B857+IF($C857=12,1,0),Paraméterek!$V$257:$W$262,2),VLOOKUP($B857+IF($C857=12,1,0),Paraméterek!$I$258:$T$278,HLOOKUP($M$11+1,Paraméterek!$I$256:$T$257,2))),IF($D$4="Forint",0,2))</f>
        <v>#N/A</v>
      </c>
      <c r="Z857" s="32">
        <v>838</v>
      </c>
      <c r="AA857" s="32">
        <v>70</v>
      </c>
      <c r="AB857" s="32">
        <v>10</v>
      </c>
      <c r="AC857" s="13">
        <f t="shared" ca="1" si="302"/>
        <v>0</v>
      </c>
      <c r="AD857" s="33"/>
      <c r="AE857" s="13">
        <f t="shared" ca="1" si="294"/>
        <v>0</v>
      </c>
      <c r="AF857" s="13">
        <f ca="1">ROUNDUP(($AC857+$AE857)*VLOOKUP($AA857,Paraméterek!$P$38:$Q$38,2)/12*IF($D858="Nem",IF($M$13=0,1,$M$13),1),IF($D$4="Forint",0,2))</f>
        <v>0</v>
      </c>
      <c r="AG857" s="13">
        <f ca="1">IF($D$2="Egyszeri",IF($D$7&gt;=IF($D$4="Forint",Paraméterek!$P$223,Paraméterek!$P$224),$D$7-IF($D$4="Forint",Paraméterek!$P$223,Paraméterek!$P$224),0),MIN(IF($AB857=12,AVERAGEIF($E$20:$E857,"&gt;0",$E$20:$E857)*12,0),SUM($E$20:$E$31)))</f>
        <v>0</v>
      </c>
      <c r="AH857" s="13">
        <f>IF($AA857=10,$AG857*IF($AB857=12,IF($AG857&lt;IF($D$4="Forint",Paraméterek!$L$223,Paraméterek!$L$224),0,VLOOKUP($AA857,Paraméterek!$K$226:$M$228,IF($AG857&lt;IF($D$4="Forint",Paraméterek!$M$223,Paraméterek!$M$224),2,3))),0),0)</f>
        <v>0</v>
      </c>
      <c r="AI857" s="13">
        <f ca="1">IF(AND($AA857=$M$11+1,$AB857=$M$12+1),SUMIF($AA$20:$AA$1027,$AA857,$AG$20:$AG$1027)*IF(SUMIF($AA$20:$AA$1027,$AA857,$AG$20:$AG$1027)&lt;IF($D$4="Forint",Paraméterek!$L$223,Paraméterek!$L$224),0,VLOOKUP($AA857,Paraméterek!$K$230:$M$250,IF(SUMIF($AA$20:$AA$1027,$AA857,$AG$20:$AG$1027)&lt;IF($D$4="Forint",Paraméterek!$M$223,Paraméterek!$M$224),2,3))),0)</f>
        <v>0</v>
      </c>
      <c r="AJ857" s="13">
        <f ca="1">IF(AND($AA857&gt;=5,MOD($AA857,5)=0),IF($AB857=12,VLOOKUP($AA857,Paraméterek!$O$225:$P$240,2),0),IF(OR($AA857=3,$AA857=4),IF($AB857=12,VLOOKUP($AA857,Paraméterek!$O$225:$P$240,2,0),0),0))*$AG857</f>
        <v>0</v>
      </c>
      <c r="AK857" s="13">
        <f t="shared" ca="1" si="295"/>
        <v>0</v>
      </c>
      <c r="AL857" s="13">
        <f t="shared" ca="1" si="303"/>
        <v>0</v>
      </c>
      <c r="AM857" s="13">
        <f t="shared" ca="1" si="304"/>
        <v>0</v>
      </c>
      <c r="AO857" s="32">
        <v>838</v>
      </c>
      <c r="AP857" s="32">
        <v>70</v>
      </c>
      <c r="AQ857" s="32">
        <v>10</v>
      </c>
      <c r="AR857" s="13"/>
      <c r="AS857" s="32"/>
      <c r="AT857" s="13">
        <f t="shared" ca="1" si="305"/>
        <v>0</v>
      </c>
      <c r="AU857" s="33"/>
      <c r="AV857" s="13">
        <f t="shared" ca="1" si="296"/>
        <v>0</v>
      </c>
      <c r="AW857" s="13">
        <f ca="1">ROUNDUP(($AT857+$AV857)*VLOOKUP($AP857,Paraméterek!$P$38:$Q$38,2)/12*IF($D858="Nem",IF($M$13=0,1,$M$13),1),IF($D$4="Forint",0,2))</f>
        <v>0</v>
      </c>
      <c r="AX857" s="13"/>
      <c r="AY857" s="13"/>
      <c r="AZ857" s="13">
        <f>ROUNDUP(IF(SUM($AX857:$AY857)=0,0,IF(IF(ISBLANK($AY857),$AX857,$AY857)*Paraméterek!$J$112&lt;IF($D$4="Forint",Paraméterek!$J$113,Paraméterek!$K$113),IF($D$4="Forint",Paraméterek!$J$113,Paraméterek!$K$113),IF(IF(ISBLANK($AY857),$AX857,$AY857)*Paraméterek!$J$112&gt;IF($D$4="Forint",Paraméterek!$J$114,Paraméterek!$K$114),IF($D$4="Forint",Paraméterek!$J$114,Paraméterek!$K$114),IF(ISBLANK($AY857),$AX857,$AY857)*Paraméterek!$J$112))),IF($D$4="Forint",0,2))</f>
        <v>0</v>
      </c>
      <c r="BA857" s="13">
        <f ca="1">$AT857+$AV857-$AW857-IF(ROUNDDOWN(IF(ISBLANK($AY857),$AX857,$AY857),IF($D$4="Forint",0,2))&gt;$AT857+$AV857-$AW857-IF($D$4="Forint",Paraméterek!$J$114,Paraméterek!$K$114),0,ROUNDDOWN(IF(ISBLANK($AY857),$AX857,$AY857),IF($D$4="Forint",0,2))-$AZ857)</f>
        <v>0</v>
      </c>
      <c r="BB857" s="13">
        <f t="shared" ca="1" si="297"/>
        <v>0</v>
      </c>
      <c r="BD857" s="32">
        <v>838</v>
      </c>
      <c r="BE857" s="32">
        <v>70</v>
      </c>
      <c r="BF857" s="32">
        <v>10</v>
      </c>
      <c r="BG857" s="34">
        <f t="shared" ca="1" si="306"/>
        <v>2089</v>
      </c>
      <c r="BH857" s="32" t="str">
        <f ca="1">IF(MOD(MONTH($D$14)+$BD857-1,12)=Paraméterek!$C$288,"Igen","")</f>
        <v/>
      </c>
      <c r="BI857" s="13">
        <f ca="1">IF($BH857="Igen",MIN(ROUNDDOWN((SUMIF($BG$20:$BG$1027,$BG857-1,$K$20:$K$1027)-SUMIF($BG$20:$BG$1027,$BG857-1,$I$20:$I$1027))*Paraméterek!$C$289,IF($D$4="Forint",0,2)),IF($D$4="Forint",Paraméterek!$C$285,Paraméterek!$D$285)),0)</f>
        <v>0</v>
      </c>
      <c r="BJ857" s="13">
        <f t="shared" ca="1" si="298"/>
        <v>0</v>
      </c>
      <c r="BK857" s="13">
        <f t="shared" ca="1" si="307"/>
        <v>0</v>
      </c>
      <c r="BL857" s="33"/>
      <c r="BM857" s="13">
        <f t="shared" ca="1" si="299"/>
        <v>0</v>
      </c>
      <c r="BN857" s="13">
        <f ca="1">ROUNDUP(($BK857+$BM857)*VLOOKUP($BE857,Paraméterek!$P$38:$Q$38,2)/12*IF($D858="Nem",IF($M$13=0,1,$M$13),1),IF($D$4="Forint",0,2))</f>
        <v>0</v>
      </c>
      <c r="BO857" s="13">
        <f t="shared" ca="1" si="300"/>
        <v>0</v>
      </c>
      <c r="BP857" s="13">
        <f ca="1">IF($D858="Nem",$BO857,$BO857-ROUNDUP(SUM($BI$20:$BI857)*120%,IF($D$4="Forint",0,2)))</f>
        <v>0</v>
      </c>
    </row>
    <row r="858" spans="1:68" x14ac:dyDescent="0.2">
      <c r="A858" s="32">
        <v>839</v>
      </c>
      <c r="B858" s="32">
        <v>70</v>
      </c>
      <c r="C858" s="32">
        <v>11</v>
      </c>
      <c r="D858" s="32" t="str">
        <f t="shared" ca="1" si="286"/>
        <v>Nem</v>
      </c>
      <c r="E858" s="13">
        <f t="shared" ca="1" si="287"/>
        <v>0</v>
      </c>
      <c r="F858" s="13"/>
      <c r="G858" s="13"/>
      <c r="H858" s="13"/>
      <c r="I858" s="13">
        <f t="shared" ca="1" si="288"/>
        <v>0</v>
      </c>
      <c r="J858" s="13">
        <f t="shared" ca="1" si="289"/>
        <v>0</v>
      </c>
      <c r="K858" s="13">
        <f t="shared" ca="1" si="290"/>
        <v>0</v>
      </c>
      <c r="L858" s="13" t="e">
        <f ca="1">ROUNDUP(IF($D$2="Egyszeri",$E858,IF($D$2="Havi",SUM($E$20:$E$31),IF(MOD($C858,$M$1)-1=0,SUM($E$20:$E$31),0))/12*$M$1)*VLOOKUP($B858,Paraméterek!$I$28:$P$31,IF($D$2="Egyszeri",8,HLOOKUP(ROUNDUP($M$11+$M$13,0),Paraméterek!$J$26:$O$27,2))),IF($D$4="Forint",0,2))</f>
        <v>#N/A</v>
      </c>
      <c r="M858" s="13">
        <f t="shared" ca="1" si="291"/>
        <v>0</v>
      </c>
      <c r="N858" s="13">
        <f t="shared" ca="1" si="301"/>
        <v>0</v>
      </c>
      <c r="O858" s="13">
        <f ca="1">IF($D858="Igen",IF($W857&gt;=IF($D$4="Forint",Paraméterek!$J$121,Paraméterek!$K$121),0,IF($D$4="Forint",Paraméterek!$J$121,Paraméterek!$K$121)-$W857),0)</f>
        <v>0</v>
      </c>
      <c r="P858" s="13" t="e">
        <f ca="1">ROUNDUP($O858*VLOOKUP($M$4+$B858-1,Paraméterek!$H$58:$I$105,2,0)/Paraméterek!$I$56,IF($D$4="Forint",0,2))</f>
        <v>#N/A</v>
      </c>
      <c r="Q858" s="13">
        <f t="shared" ca="1" si="292"/>
        <v>0</v>
      </c>
      <c r="R858" s="33"/>
      <c r="S858" s="13" t="e">
        <f t="shared" ca="1" si="293"/>
        <v>#N/A</v>
      </c>
      <c r="T858" s="13" t="e">
        <f ca="1">ROUNDUP(($N858-$P858-$Q858+$S858)*VLOOKUP($B858,Paraméterek!$I$38:$K$39,IF($D$2="Egyszeri",3,2))/12*IF($D859="Nem",IF($M$13=0,1,$M$13),1),IF($D$4="Forint",0,2))</f>
        <v>#N/A</v>
      </c>
      <c r="U858" s="13"/>
      <c r="V858" s="13"/>
      <c r="W858" s="13" t="e">
        <f ca="1">$N858-$P858-$Q858+$S858-$T858-IF(ROUNDUP(IF(ISBLANK($V858),$U858*0,$V858)/IF($D$2="Egyszeri",VLOOKUP($B858+IF($C858=12,1,0),Paraméterek!$V$257:$W$262,2),IF($B858=1,1,VLOOKUP($B858+IF($C858=12,1,0),Paraméterek!$I$258:$T$278,HLOOKUP($M$11+1,Paraméterek!$J$256:$T$257,2)))),IF($D$4="Forint",0,2))&gt;$N858-$P858-$Q858+$S858-$T858-IF($D$4="Forint",Paraméterek!$C$216,Paraméterek!$D$216),0,ROUNDUP(IF(ISBLANK($V858),$U858*0,$V858)/IF($D$2="Egyszeri",VLOOKUP($B858+IF($C858=12,1,0),Paraméterek!$V$257:$W$262,2),IF($B858=1,1,VLOOKUP($B858+IF($C858=12,1,0),Paraméterek!$I$258:$T$278,HLOOKUP($M$11+1,Paraméterek!$J$256:$T$257,2)))),IF($D$4="Forint",0,2)))</f>
        <v>#N/A</v>
      </c>
      <c r="X858" s="13" t="e">
        <f ca="1">ROUNDDOWN($W858*IF($D$2="Egyszeri",VLOOKUP($B858+IF($C858=12,1,0),Paraméterek!$V$257:$W$262,2),VLOOKUP($B858+IF($C858=12,1,0),Paraméterek!$I$258:$T$278,HLOOKUP($M$11+1,Paraméterek!$I$256:$T$257,2))),IF($D$4="Forint",0,2))</f>
        <v>#N/A</v>
      </c>
      <c r="Z858" s="32">
        <v>839</v>
      </c>
      <c r="AA858" s="32">
        <v>70</v>
      </c>
      <c r="AB858" s="32">
        <v>11</v>
      </c>
      <c r="AC858" s="13">
        <f t="shared" ca="1" si="302"/>
        <v>0</v>
      </c>
      <c r="AD858" s="33"/>
      <c r="AE858" s="13">
        <f t="shared" ca="1" si="294"/>
        <v>0</v>
      </c>
      <c r="AF858" s="13">
        <f ca="1">ROUNDUP(($AC858+$AE858)*VLOOKUP($AA858,Paraméterek!$P$38:$Q$38,2)/12*IF($D859="Nem",IF($M$13=0,1,$M$13),1),IF($D$4="Forint",0,2))</f>
        <v>0</v>
      </c>
      <c r="AG858" s="13">
        <f ca="1">IF($D$2="Egyszeri",IF($D$7&gt;=IF($D$4="Forint",Paraméterek!$P$223,Paraméterek!$P$224),$D$7-IF($D$4="Forint",Paraméterek!$P$223,Paraméterek!$P$224),0),MIN(IF($AB858=12,AVERAGEIF($E$20:$E858,"&gt;0",$E$20:$E858)*12,0),SUM($E$20:$E$31)))</f>
        <v>0</v>
      </c>
      <c r="AH858" s="13">
        <f>IF($AA858=10,$AG858*IF($AB858=12,IF($AG858&lt;IF($D$4="Forint",Paraméterek!$L$223,Paraméterek!$L$224),0,VLOOKUP($AA858,Paraméterek!$K$226:$M$228,IF($AG858&lt;IF($D$4="Forint",Paraméterek!$M$223,Paraméterek!$M$224),2,3))),0),0)</f>
        <v>0</v>
      </c>
      <c r="AI858" s="13">
        <f ca="1">IF(AND($AA858=$M$11+1,$AB858=$M$12+1),SUMIF($AA$20:$AA$1027,$AA858,$AG$20:$AG$1027)*IF(SUMIF($AA$20:$AA$1027,$AA858,$AG$20:$AG$1027)&lt;IF($D$4="Forint",Paraméterek!$L$223,Paraméterek!$L$224),0,VLOOKUP($AA858,Paraméterek!$K$230:$M$250,IF(SUMIF($AA$20:$AA$1027,$AA858,$AG$20:$AG$1027)&lt;IF($D$4="Forint",Paraméterek!$M$223,Paraméterek!$M$224),2,3))),0)</f>
        <v>0</v>
      </c>
      <c r="AJ858" s="13">
        <f ca="1">IF(AND($AA858&gt;=5,MOD($AA858,5)=0),IF($AB858=12,VLOOKUP($AA858,Paraméterek!$O$225:$P$240,2),0),IF(OR($AA858=3,$AA858=4),IF($AB858=12,VLOOKUP($AA858,Paraméterek!$O$225:$P$240,2,0),0),0))*$AG858</f>
        <v>0</v>
      </c>
      <c r="AK858" s="13">
        <f t="shared" ca="1" si="295"/>
        <v>0</v>
      </c>
      <c r="AL858" s="13">
        <f t="shared" ca="1" si="303"/>
        <v>0</v>
      </c>
      <c r="AM858" s="13">
        <f t="shared" ca="1" si="304"/>
        <v>0</v>
      </c>
      <c r="AO858" s="32">
        <v>839</v>
      </c>
      <c r="AP858" s="32">
        <v>70</v>
      </c>
      <c r="AQ858" s="32">
        <v>11</v>
      </c>
      <c r="AR858" s="13"/>
      <c r="AS858" s="32"/>
      <c r="AT858" s="13">
        <f t="shared" ca="1" si="305"/>
        <v>0</v>
      </c>
      <c r="AU858" s="33"/>
      <c r="AV858" s="13">
        <f t="shared" ca="1" si="296"/>
        <v>0</v>
      </c>
      <c r="AW858" s="13">
        <f ca="1">ROUNDUP(($AT858+$AV858)*VLOOKUP($AP858,Paraméterek!$P$38:$Q$38,2)/12*IF($D859="Nem",IF($M$13=0,1,$M$13),1),IF($D$4="Forint",0,2))</f>
        <v>0</v>
      </c>
      <c r="AX858" s="13"/>
      <c r="AY858" s="13"/>
      <c r="AZ858" s="13">
        <f>ROUNDUP(IF(SUM($AX858:$AY858)=0,0,IF(IF(ISBLANK($AY858),$AX858,$AY858)*Paraméterek!$J$112&lt;IF($D$4="Forint",Paraméterek!$J$113,Paraméterek!$K$113),IF($D$4="Forint",Paraméterek!$J$113,Paraméterek!$K$113),IF(IF(ISBLANK($AY858),$AX858,$AY858)*Paraméterek!$J$112&gt;IF($D$4="Forint",Paraméterek!$J$114,Paraméterek!$K$114),IF($D$4="Forint",Paraméterek!$J$114,Paraméterek!$K$114),IF(ISBLANK($AY858),$AX858,$AY858)*Paraméterek!$J$112))),IF($D$4="Forint",0,2))</f>
        <v>0</v>
      </c>
      <c r="BA858" s="13">
        <f ca="1">$AT858+$AV858-$AW858-IF(ROUNDDOWN(IF(ISBLANK($AY858),$AX858,$AY858),IF($D$4="Forint",0,2))&gt;$AT858+$AV858-$AW858-IF($D$4="Forint",Paraméterek!$J$114,Paraméterek!$K$114),0,ROUNDDOWN(IF(ISBLANK($AY858),$AX858,$AY858),IF($D$4="Forint",0,2))-$AZ858)</f>
        <v>0</v>
      </c>
      <c r="BB858" s="13">
        <f t="shared" ca="1" si="297"/>
        <v>0</v>
      </c>
      <c r="BD858" s="32">
        <v>839</v>
      </c>
      <c r="BE858" s="32">
        <v>70</v>
      </c>
      <c r="BF858" s="32">
        <v>11</v>
      </c>
      <c r="BG858" s="34">
        <f t="shared" ca="1" si="306"/>
        <v>2089</v>
      </c>
      <c r="BH858" s="32" t="str">
        <f ca="1">IF(MOD(MONTH($D$14)+$BD858-1,12)=Paraméterek!$C$288,"Igen","")</f>
        <v/>
      </c>
      <c r="BI858" s="13">
        <f ca="1">IF($BH858="Igen",MIN(ROUNDDOWN((SUMIF($BG$20:$BG$1027,$BG858-1,$K$20:$K$1027)-SUMIF($BG$20:$BG$1027,$BG858-1,$I$20:$I$1027))*Paraméterek!$C$289,IF($D$4="Forint",0,2)),IF($D$4="Forint",Paraméterek!$C$285,Paraméterek!$D$285)),0)</f>
        <v>0</v>
      </c>
      <c r="BJ858" s="13">
        <f t="shared" ca="1" si="298"/>
        <v>0</v>
      </c>
      <c r="BK858" s="13">
        <f t="shared" ca="1" si="307"/>
        <v>0</v>
      </c>
      <c r="BL858" s="33"/>
      <c r="BM858" s="13">
        <f t="shared" ca="1" si="299"/>
        <v>0</v>
      </c>
      <c r="BN858" s="13">
        <f ca="1">ROUNDUP(($BK858+$BM858)*VLOOKUP($BE858,Paraméterek!$P$38:$Q$38,2)/12*IF($D859="Nem",IF($M$13=0,1,$M$13),1),IF($D$4="Forint",0,2))</f>
        <v>0</v>
      </c>
      <c r="BO858" s="13">
        <f t="shared" ca="1" si="300"/>
        <v>0</v>
      </c>
      <c r="BP858" s="13">
        <f ca="1">IF($D859="Nem",$BO858,$BO858-ROUNDUP(SUM($BI$20:$BI858)*120%,IF($D$4="Forint",0,2)))</f>
        <v>0</v>
      </c>
    </row>
    <row r="859" spans="1:68" x14ac:dyDescent="0.2">
      <c r="A859" s="32">
        <v>840</v>
      </c>
      <c r="B859" s="32">
        <v>70</v>
      </c>
      <c r="C859" s="32">
        <v>12</v>
      </c>
      <c r="D859" s="32" t="str">
        <f t="shared" ca="1" si="286"/>
        <v>Nem</v>
      </c>
      <c r="E859" s="13">
        <f t="shared" ca="1" si="287"/>
        <v>0</v>
      </c>
      <c r="F859" s="13"/>
      <c r="G859" s="13"/>
      <c r="H859" s="13"/>
      <c r="I859" s="13">
        <f t="shared" ca="1" si="288"/>
        <v>0</v>
      </c>
      <c r="J859" s="13">
        <f t="shared" ca="1" si="289"/>
        <v>0</v>
      </c>
      <c r="K859" s="13">
        <f t="shared" ca="1" si="290"/>
        <v>0</v>
      </c>
      <c r="L859" s="13" t="e">
        <f ca="1">ROUNDUP(IF($D$2="Egyszeri",$E859,IF($D$2="Havi",SUM($E$20:$E$31),IF(MOD($C859,$M$1)-1=0,SUM($E$20:$E$31),0))/12*$M$1)*VLOOKUP($B859,Paraméterek!$I$28:$P$31,IF($D$2="Egyszeri",8,HLOOKUP(ROUNDUP($M$11+$M$13,0),Paraméterek!$J$26:$O$27,2))),IF($D$4="Forint",0,2))</f>
        <v>#N/A</v>
      </c>
      <c r="M859" s="13">
        <f t="shared" ca="1" si="291"/>
        <v>0</v>
      </c>
      <c r="N859" s="13">
        <f t="shared" ca="1" si="301"/>
        <v>0</v>
      </c>
      <c r="O859" s="13">
        <f ca="1">IF($D859="Igen",IF($W858&gt;=IF($D$4="Forint",Paraméterek!$J$121,Paraméterek!$K$121),0,IF($D$4="Forint",Paraméterek!$J$121,Paraméterek!$K$121)-$W858),0)</f>
        <v>0</v>
      </c>
      <c r="P859" s="13" t="e">
        <f ca="1">ROUNDUP($O859*VLOOKUP($M$4+$B859-1,Paraméterek!$H$58:$I$105,2,0)/Paraméterek!$I$56,IF($D$4="Forint",0,2))</f>
        <v>#N/A</v>
      </c>
      <c r="Q859" s="13">
        <f t="shared" ca="1" si="292"/>
        <v>0</v>
      </c>
      <c r="R859" s="33"/>
      <c r="S859" s="13" t="e">
        <f t="shared" ca="1" si="293"/>
        <v>#N/A</v>
      </c>
      <c r="T859" s="13" t="e">
        <f ca="1">ROUNDUP(($N859-$P859-$Q859+$S859)*VLOOKUP($B859,Paraméterek!$I$38:$K$39,IF($D$2="Egyszeri",3,2))/12*IF($D860="Nem",IF($M$13=0,1,$M$13),1),IF($D$4="Forint",0,2))</f>
        <v>#N/A</v>
      </c>
      <c r="U859" s="13">
        <f>Tranzakciók!$F$101</f>
        <v>0</v>
      </c>
      <c r="V859" s="13"/>
      <c r="W859" s="13" t="e">
        <f ca="1">$N859-$P859-$Q859+$S859-$T859-IF(ROUNDUP(IF(ISBLANK($V859),$U859*0,$V859)/IF($D$2="Egyszeri",VLOOKUP($B859+IF($C859=12,1,0),Paraméterek!$V$257:$W$262,2),IF($B859=1,1,VLOOKUP($B859+IF($C859=12,1,0),Paraméterek!$I$258:$T$278,HLOOKUP($M$11+1,Paraméterek!$J$256:$T$257,2)))),IF($D$4="Forint",0,2))&gt;$N859-$P859-$Q859+$S859-$T859-IF($D$4="Forint",Paraméterek!$C$216,Paraméterek!$D$216),0,ROUNDUP(IF(ISBLANK($V859),$U859*0,$V859)/IF($D$2="Egyszeri",VLOOKUP($B859+IF($C859=12,1,0),Paraméterek!$V$257:$W$262,2),IF($B859=1,1,VLOOKUP($B859+IF($C859=12,1,0),Paraméterek!$I$258:$T$278,HLOOKUP($M$11+1,Paraméterek!$J$256:$T$257,2)))),IF($D$4="Forint",0,2)))</f>
        <v>#N/A</v>
      </c>
      <c r="X859" s="13" t="e">
        <f ca="1">ROUNDDOWN($W859*IF($D$2="Egyszeri",VLOOKUP($B859+IF($C859=12,1,0),Paraméterek!$V$257:$W$262,2),VLOOKUP($B859+IF($C859=12,1,0),Paraméterek!$I$258:$T$278,HLOOKUP($M$11+1,Paraméterek!$I$256:$T$257,2))),IF($D$4="Forint",0,2))</f>
        <v>#N/A</v>
      </c>
      <c r="Z859" s="32">
        <v>840</v>
      </c>
      <c r="AA859" s="32">
        <v>70</v>
      </c>
      <c r="AB859" s="32">
        <v>12</v>
      </c>
      <c r="AC859" s="13">
        <f t="shared" ca="1" si="302"/>
        <v>0</v>
      </c>
      <c r="AD859" s="33"/>
      <c r="AE859" s="13">
        <f t="shared" ca="1" si="294"/>
        <v>0</v>
      </c>
      <c r="AF859" s="13">
        <f ca="1">ROUNDUP(($AC859+$AE859)*VLOOKUP($AA859,Paraméterek!$P$38:$Q$38,2)/12*IF($D860="Nem",IF($M$13=0,1,$M$13),1),IF($D$4="Forint",0,2))</f>
        <v>0</v>
      </c>
      <c r="AG859" s="13" t="e">
        <f ca="1">IF($D$2="Egyszeri",IF($D$7&gt;=IF($D$4="Forint",Paraméterek!$P$223,Paraméterek!$P$224),$D$7-IF($D$4="Forint",Paraméterek!$P$223,Paraméterek!$P$224),0),MIN(IF($AB859=12,AVERAGEIF($E$20:$E859,"&gt;0",$E$20:$E859)*12,0),SUM($E$20:$E$31)))</f>
        <v>#DIV/0!</v>
      </c>
      <c r="AH859" s="13">
        <f>IF($AA859=10,$AG859*IF($AB859=12,IF($AG859&lt;IF($D$4="Forint",Paraméterek!$L$223,Paraméterek!$L$224),0,VLOOKUP($AA859,Paraméterek!$K$226:$M$228,IF($AG859&lt;IF($D$4="Forint",Paraméterek!$M$223,Paraméterek!$M$224),2,3))),0),0)</f>
        <v>0</v>
      </c>
      <c r="AI859" s="13">
        <f ca="1">IF(AND($AA859=$M$11+1,$AB859=$M$12+1),SUMIF($AA$20:$AA$1027,$AA859,$AG$20:$AG$1027)*IF(SUMIF($AA$20:$AA$1027,$AA859,$AG$20:$AG$1027)&lt;IF($D$4="Forint",Paraméterek!$L$223,Paraméterek!$L$224),0,VLOOKUP($AA859,Paraméterek!$K$230:$M$250,IF(SUMIF($AA$20:$AA$1027,$AA859,$AG$20:$AG$1027)&lt;IF($D$4="Forint",Paraméterek!$M$223,Paraméterek!$M$224),2,3))),0)</f>
        <v>0</v>
      </c>
      <c r="AJ859" s="13" t="e">
        <f ca="1">IF(AND($AA859&gt;=5,MOD($AA859,5)=0),IF($AB859=12,VLOOKUP($AA859,Paraméterek!$O$225:$P$240,2),0),IF(OR($AA859=3,$AA859=4),IF($AB859=12,VLOOKUP($AA859,Paraméterek!$O$225:$P$240,2,0),0),0))*$AG859</f>
        <v>#DIV/0!</v>
      </c>
      <c r="AK859" s="13">
        <f t="shared" ca="1" si="295"/>
        <v>0</v>
      </c>
      <c r="AL859" s="13">
        <f t="shared" ca="1" si="303"/>
        <v>0</v>
      </c>
      <c r="AM859" s="13">
        <f t="shared" ca="1" si="304"/>
        <v>0</v>
      </c>
      <c r="AO859" s="32">
        <v>840</v>
      </c>
      <c r="AP859" s="32">
        <v>70</v>
      </c>
      <c r="AQ859" s="32">
        <v>12</v>
      </c>
      <c r="AR859" s="13"/>
      <c r="AS859" s="32"/>
      <c r="AT859" s="13">
        <f t="shared" ca="1" si="305"/>
        <v>0</v>
      </c>
      <c r="AU859" s="33"/>
      <c r="AV859" s="13">
        <f t="shared" ca="1" si="296"/>
        <v>0</v>
      </c>
      <c r="AW859" s="13">
        <f ca="1">ROUNDUP(($AT859+$AV859)*VLOOKUP($AP859,Paraméterek!$P$38:$Q$38,2)/12*IF($D860="Nem",IF($M$13=0,1,$M$13),1),IF($D$4="Forint",0,2))</f>
        <v>0</v>
      </c>
      <c r="AX859" s="13">
        <f>Tranzakciók!$M$101</f>
        <v>0</v>
      </c>
      <c r="AY859" s="13"/>
      <c r="AZ859" s="13">
        <f>ROUNDUP(IF(SUM($AX859:$AY859)=0,0,IF(IF(ISBLANK($AY859),$AX859,$AY859)*Paraméterek!$J$112&lt;IF($D$4="Forint",Paraméterek!$J$113,Paraméterek!$K$113),IF($D$4="Forint",Paraméterek!$J$113,Paraméterek!$K$113),IF(IF(ISBLANK($AY859),$AX859,$AY859)*Paraméterek!$J$112&gt;IF($D$4="Forint",Paraméterek!$J$114,Paraméterek!$K$114),IF($D$4="Forint",Paraméterek!$J$114,Paraméterek!$K$114),IF(ISBLANK($AY859),$AX859,$AY859)*Paraméterek!$J$112))),IF($D$4="Forint",0,2))</f>
        <v>0</v>
      </c>
      <c r="BA859" s="13">
        <f ca="1">$AT859+$AV859-$AW859-IF(ROUNDDOWN(IF(ISBLANK($AY859),$AX859,$AY859),IF($D$4="Forint",0,2))&gt;$AT859+$AV859-$AW859-IF($D$4="Forint",Paraméterek!$J$114,Paraméterek!$K$114),0,ROUNDDOWN(IF(ISBLANK($AY859),$AX859,$AY859),IF($D$4="Forint",0,2))-$AZ859)</f>
        <v>0</v>
      </c>
      <c r="BB859" s="13">
        <f t="shared" ca="1" si="297"/>
        <v>0</v>
      </c>
      <c r="BD859" s="32">
        <v>840</v>
      </c>
      <c r="BE859" s="32">
        <v>70</v>
      </c>
      <c r="BF859" s="32">
        <v>12</v>
      </c>
      <c r="BG859" s="34">
        <f t="shared" ca="1" si="306"/>
        <v>2089</v>
      </c>
      <c r="BH859" s="32" t="str">
        <f ca="1">IF(MOD(MONTH($D$14)+$BD859-1,12)=Paraméterek!$C$288,"Igen","")</f>
        <v/>
      </c>
      <c r="BI859" s="13">
        <f ca="1">IF($BH859="Igen",MIN(ROUNDDOWN((SUMIF($BG$20:$BG$1027,$BG859-1,$K$20:$K$1027)-SUMIF($BG$20:$BG$1027,$BG859-1,$I$20:$I$1027))*Paraméterek!$C$289,IF($D$4="Forint",0,2)),IF($D$4="Forint",Paraméterek!$C$285,Paraméterek!$D$285)),0)</f>
        <v>0</v>
      </c>
      <c r="BJ859" s="13">
        <f t="shared" ca="1" si="298"/>
        <v>0</v>
      </c>
      <c r="BK859" s="13">
        <f t="shared" ca="1" si="307"/>
        <v>0</v>
      </c>
      <c r="BL859" s="33"/>
      <c r="BM859" s="13">
        <f t="shared" ca="1" si="299"/>
        <v>0</v>
      </c>
      <c r="BN859" s="13">
        <f ca="1">ROUNDUP(($BK859+$BM859)*VLOOKUP($BE859,Paraméterek!$P$38:$Q$38,2)/12*IF($D860="Nem",IF($M$13=0,1,$M$13),1),IF($D$4="Forint",0,2))</f>
        <v>0</v>
      </c>
      <c r="BO859" s="13">
        <f t="shared" ca="1" si="300"/>
        <v>0</v>
      </c>
      <c r="BP859" s="13">
        <f ca="1">IF($D860="Nem",$BO859,$BO859-ROUNDUP(SUM($BI$20:$BI859)*120%,IF($D$4="Forint",0,2)))</f>
        <v>0</v>
      </c>
    </row>
    <row r="860" spans="1:68" x14ac:dyDescent="0.2">
      <c r="A860" s="32">
        <v>841</v>
      </c>
      <c r="B860" s="32">
        <v>71</v>
      </c>
      <c r="C860" s="32">
        <v>1</v>
      </c>
      <c r="D860" s="32" t="str">
        <f t="shared" ca="1" si="286"/>
        <v>Nem</v>
      </c>
      <c r="E860" s="13">
        <f t="shared" ca="1" si="287"/>
        <v>0</v>
      </c>
      <c r="F860" s="13"/>
      <c r="G860" s="13">
        <f>Tranzakciók!$D$102</f>
        <v>0</v>
      </c>
      <c r="H860" s="13"/>
      <c r="I860" s="13">
        <f t="shared" ca="1" si="288"/>
        <v>0</v>
      </c>
      <c r="J860" s="13">
        <f t="shared" ca="1" si="289"/>
        <v>0</v>
      </c>
      <c r="K860" s="13">
        <f t="shared" ca="1" si="290"/>
        <v>0</v>
      </c>
      <c r="L860" s="13" t="e">
        <f ca="1">ROUNDUP(IF($D$2="Egyszeri",$E860,IF($D$2="Havi",SUM($E$20:$E$31),IF(MOD($C860,$M$1)-1=0,SUM($E$20:$E$31),0))/12*$M$1)*VLOOKUP($B860,Paraméterek!$I$28:$P$31,IF($D$2="Egyszeri",8,HLOOKUP(ROUNDUP($M$11+$M$13,0),Paraméterek!$J$26:$O$27,2))),IF($D$4="Forint",0,2))</f>
        <v>#N/A</v>
      </c>
      <c r="M860" s="13">
        <f t="shared" ca="1" si="291"/>
        <v>0</v>
      </c>
      <c r="N860" s="13">
        <f t="shared" ca="1" si="301"/>
        <v>0</v>
      </c>
      <c r="O860" s="13">
        <f ca="1">IF($D860="Igen",IF($W859&gt;=IF($D$4="Forint",Paraméterek!$J$121,Paraméterek!$K$121),0,IF($D$4="Forint",Paraméterek!$J$121,Paraméterek!$K$121)-$W859),0)</f>
        <v>0</v>
      </c>
      <c r="P860" s="13" t="e">
        <f ca="1">ROUNDUP($O860*VLOOKUP($M$4+$B860-1,Paraméterek!$H$58:$I$105,2,0)/Paraméterek!$I$56,IF($D$4="Forint",0,2))</f>
        <v>#N/A</v>
      </c>
      <c r="Q860" s="13">
        <f t="shared" ca="1" si="292"/>
        <v>0</v>
      </c>
      <c r="R860" s="33"/>
      <c r="S860" s="13" t="e">
        <f t="shared" ca="1" si="293"/>
        <v>#N/A</v>
      </c>
      <c r="T860" s="13" t="e">
        <f ca="1">ROUNDUP(($N860-$P860-$Q860+$S860)*VLOOKUP($B860,Paraméterek!$I$38:$K$39,IF($D$2="Egyszeri",3,2))/12*IF($D861="Nem",IF($M$13=0,1,$M$13),1),IF($D$4="Forint",0,2))</f>
        <v>#N/A</v>
      </c>
      <c r="U860" s="13"/>
      <c r="V860" s="13"/>
      <c r="W860" s="13" t="e">
        <f ca="1">$N860-$P860-$Q860+$S860-$T860-IF(ROUNDUP(IF(ISBLANK($V860),$U860*0,$V860)/IF($D$2="Egyszeri",VLOOKUP($B860+IF($C860=12,1,0),Paraméterek!$V$257:$W$262,2),IF($B860=1,1,VLOOKUP($B860+IF($C860=12,1,0),Paraméterek!$I$258:$T$278,HLOOKUP($M$11+1,Paraméterek!$J$256:$T$257,2)))),IF($D$4="Forint",0,2))&gt;$N860-$P860-$Q860+$S860-$T860-IF($D$4="Forint",Paraméterek!$C$216,Paraméterek!$D$216),0,ROUNDUP(IF(ISBLANK($V860),$U860*0,$V860)/IF($D$2="Egyszeri",VLOOKUP($B860+IF($C860=12,1,0),Paraméterek!$V$257:$W$262,2),IF($B860=1,1,VLOOKUP($B860+IF($C860=12,1,0),Paraméterek!$I$258:$T$278,HLOOKUP($M$11+1,Paraméterek!$J$256:$T$257,2)))),IF($D$4="Forint",0,2)))</f>
        <v>#N/A</v>
      </c>
      <c r="X860" s="13" t="e">
        <f ca="1">ROUNDDOWN($W860*IF($D$2="Egyszeri",VLOOKUP($B860+IF($C860=12,1,0),Paraméterek!$V$257:$W$262,2),VLOOKUP($B860+IF($C860=12,1,0),Paraméterek!$I$258:$T$278,HLOOKUP($M$11+1,Paraméterek!$I$256:$T$257,2))),IF($D$4="Forint",0,2))</f>
        <v>#N/A</v>
      </c>
      <c r="Z860" s="32">
        <v>841</v>
      </c>
      <c r="AA860" s="32">
        <v>71</v>
      </c>
      <c r="AB860" s="32">
        <v>1</v>
      </c>
      <c r="AC860" s="13">
        <f t="shared" ca="1" si="302"/>
        <v>0</v>
      </c>
      <c r="AD860" s="33"/>
      <c r="AE860" s="13">
        <f t="shared" ca="1" si="294"/>
        <v>0</v>
      </c>
      <c r="AF860" s="13">
        <f ca="1">ROUNDUP(($AC860+$AE860)*VLOOKUP($AA860,Paraméterek!$P$38:$Q$38,2)/12*IF($D861="Nem",IF($M$13=0,1,$M$13),1),IF($D$4="Forint",0,2))</f>
        <v>0</v>
      </c>
      <c r="AG860" s="13">
        <f ca="1">IF($D$2="Egyszeri",IF($D$7&gt;=IF($D$4="Forint",Paraméterek!$P$223,Paraméterek!$P$224),$D$7-IF($D$4="Forint",Paraméterek!$P$223,Paraméterek!$P$224),0),MIN(IF($AB860=12,AVERAGEIF($E$20:$E860,"&gt;0",$E$20:$E860)*12,0),SUM($E$20:$E$31)))</f>
        <v>0</v>
      </c>
      <c r="AH860" s="13">
        <f>IF($AA860=10,$AG860*IF($AB860=12,IF($AG860&lt;IF($D$4="Forint",Paraméterek!$L$223,Paraméterek!$L$224),0,VLOOKUP($AA860,Paraméterek!$K$226:$M$228,IF($AG860&lt;IF($D$4="Forint",Paraméterek!$M$223,Paraméterek!$M$224),2,3))),0),0)</f>
        <v>0</v>
      </c>
      <c r="AI860" s="13">
        <f ca="1">IF(AND($AA860=$M$11+1,$AB860=$M$12+1),SUMIF($AA$20:$AA$1027,$AA860,$AG$20:$AG$1027)*IF(SUMIF($AA$20:$AA$1027,$AA860,$AG$20:$AG$1027)&lt;IF($D$4="Forint",Paraméterek!$L$223,Paraméterek!$L$224),0,VLOOKUP($AA860,Paraméterek!$K$230:$M$250,IF(SUMIF($AA$20:$AA$1027,$AA860,$AG$20:$AG$1027)&lt;IF($D$4="Forint",Paraméterek!$M$223,Paraméterek!$M$224),2,3))),0)</f>
        <v>0</v>
      </c>
      <c r="AJ860" s="13">
        <f ca="1">IF(AND($AA860&gt;=5,MOD($AA860,5)=0),IF($AB860=12,VLOOKUP($AA860,Paraméterek!$O$225:$P$240,2),0),IF(OR($AA860=3,$AA860=4),IF($AB860=12,VLOOKUP($AA860,Paraméterek!$O$225:$P$240,2,0),0),0))*$AG860</f>
        <v>0</v>
      </c>
      <c r="AK860" s="13">
        <f t="shared" ca="1" si="295"/>
        <v>0</v>
      </c>
      <c r="AL860" s="13">
        <f t="shared" ca="1" si="303"/>
        <v>0</v>
      </c>
      <c r="AM860" s="13">
        <f t="shared" ca="1" si="304"/>
        <v>0</v>
      </c>
      <c r="AO860" s="32">
        <v>841</v>
      </c>
      <c r="AP860" s="32">
        <v>71</v>
      </c>
      <c r="AQ860" s="32">
        <v>1</v>
      </c>
      <c r="AR860" s="13">
        <f>Tranzakciók!$K$102</f>
        <v>0</v>
      </c>
      <c r="AS860" s="32"/>
      <c r="AT860" s="13">
        <f t="shared" ca="1" si="305"/>
        <v>0</v>
      </c>
      <c r="AU860" s="33"/>
      <c r="AV860" s="13">
        <f t="shared" ca="1" si="296"/>
        <v>0</v>
      </c>
      <c r="AW860" s="13">
        <f ca="1">ROUNDUP(($AT860+$AV860)*VLOOKUP($AP860,Paraméterek!$P$38:$Q$38,2)/12*IF($D861="Nem",IF($M$13=0,1,$M$13),1),IF($D$4="Forint",0,2))</f>
        <v>0</v>
      </c>
      <c r="AX860" s="13"/>
      <c r="AY860" s="13"/>
      <c r="AZ860" s="13">
        <f>ROUNDUP(IF(SUM($AX860:$AY860)=0,0,IF(IF(ISBLANK($AY860),$AX860,$AY860)*Paraméterek!$J$112&lt;IF($D$4="Forint",Paraméterek!$J$113,Paraméterek!$K$113),IF($D$4="Forint",Paraméterek!$J$113,Paraméterek!$K$113),IF(IF(ISBLANK($AY860),$AX860,$AY860)*Paraméterek!$J$112&gt;IF($D$4="Forint",Paraméterek!$J$114,Paraméterek!$K$114),IF($D$4="Forint",Paraméterek!$J$114,Paraméterek!$K$114),IF(ISBLANK($AY860),$AX860,$AY860)*Paraméterek!$J$112))),IF($D$4="Forint",0,2))</f>
        <v>0</v>
      </c>
      <c r="BA860" s="13">
        <f ca="1">$AT860+$AV860-$AW860-IF(ROUNDDOWN(IF(ISBLANK($AY860),$AX860,$AY860),IF($D$4="Forint",0,2))&gt;$AT860+$AV860-$AW860-IF($D$4="Forint",Paraméterek!$J$114,Paraméterek!$K$114),0,ROUNDDOWN(IF(ISBLANK($AY860),$AX860,$AY860),IF($D$4="Forint",0,2))-$AZ860)</f>
        <v>0</v>
      </c>
      <c r="BB860" s="13">
        <f t="shared" ca="1" si="297"/>
        <v>0</v>
      </c>
      <c r="BD860" s="32">
        <v>841</v>
      </c>
      <c r="BE860" s="32">
        <v>71</v>
      </c>
      <c r="BF860" s="32">
        <v>1</v>
      </c>
      <c r="BG860" s="34">
        <f t="shared" ca="1" si="306"/>
        <v>2089</v>
      </c>
      <c r="BH860" s="32" t="str">
        <f ca="1">IF(MOD(MONTH($D$14)+$BD860-1,12)=Paraméterek!$C$288,"Igen","")</f>
        <v/>
      </c>
      <c r="BI860" s="13">
        <f ca="1">IF($BH860="Igen",MIN(ROUNDDOWN((SUMIF($BG$20:$BG$1027,$BG860-1,$K$20:$K$1027)-SUMIF($BG$20:$BG$1027,$BG860-1,$I$20:$I$1027))*Paraméterek!$C$289,IF($D$4="Forint",0,2)),IF($D$4="Forint",Paraméterek!$C$285,Paraméterek!$D$285)),0)</f>
        <v>0</v>
      </c>
      <c r="BJ860" s="13">
        <f t="shared" ca="1" si="298"/>
        <v>0</v>
      </c>
      <c r="BK860" s="13">
        <f t="shared" ca="1" si="307"/>
        <v>0</v>
      </c>
      <c r="BL860" s="33"/>
      <c r="BM860" s="13">
        <f t="shared" ca="1" si="299"/>
        <v>0</v>
      </c>
      <c r="BN860" s="13">
        <f ca="1">ROUNDUP(($BK860+$BM860)*VLOOKUP($BE860,Paraméterek!$P$38:$Q$38,2)/12*IF($D861="Nem",IF($M$13=0,1,$M$13),1),IF($D$4="Forint",0,2))</f>
        <v>0</v>
      </c>
      <c r="BO860" s="13">
        <f t="shared" ca="1" si="300"/>
        <v>0</v>
      </c>
      <c r="BP860" s="13">
        <f ca="1">IF($D861="Nem",$BO860,$BO860-ROUNDUP(SUM($BI$20:$BI860)*120%,IF($D$4="Forint",0,2)))</f>
        <v>0</v>
      </c>
    </row>
    <row r="861" spans="1:68" x14ac:dyDescent="0.2">
      <c r="A861" s="32">
        <v>842</v>
      </c>
      <c r="B861" s="32">
        <v>71</v>
      </c>
      <c r="C861" s="32">
        <v>2</v>
      </c>
      <c r="D861" s="32" t="str">
        <f t="shared" ca="1" si="286"/>
        <v>Nem</v>
      </c>
      <c r="E861" s="13">
        <f t="shared" ca="1" si="287"/>
        <v>0</v>
      </c>
      <c r="F861" s="13"/>
      <c r="G861" s="13"/>
      <c r="H861" s="13"/>
      <c r="I861" s="13">
        <f t="shared" ca="1" si="288"/>
        <v>0</v>
      </c>
      <c r="J861" s="13">
        <f t="shared" ca="1" si="289"/>
        <v>0</v>
      </c>
      <c r="K861" s="13">
        <f t="shared" ca="1" si="290"/>
        <v>0</v>
      </c>
      <c r="L861" s="13" t="e">
        <f ca="1">ROUNDUP(IF($D$2="Egyszeri",$E861,IF($D$2="Havi",SUM($E$20:$E$31),IF(MOD($C861,$M$1)-1=0,SUM($E$20:$E$31),0))/12*$M$1)*VLOOKUP($B861,Paraméterek!$I$28:$P$31,IF($D$2="Egyszeri",8,HLOOKUP(ROUNDUP($M$11+$M$13,0),Paraméterek!$J$26:$O$27,2))),IF($D$4="Forint",0,2))</f>
        <v>#N/A</v>
      </c>
      <c r="M861" s="13">
        <f t="shared" ca="1" si="291"/>
        <v>0</v>
      </c>
      <c r="N861" s="13">
        <f t="shared" ca="1" si="301"/>
        <v>0</v>
      </c>
      <c r="O861" s="13">
        <f ca="1">IF($D861="Igen",IF($W860&gt;=IF($D$4="Forint",Paraméterek!$J$121,Paraméterek!$K$121),0,IF($D$4="Forint",Paraméterek!$J$121,Paraméterek!$K$121)-$W860),0)</f>
        <v>0</v>
      </c>
      <c r="P861" s="13" t="e">
        <f ca="1">ROUNDUP($O861*VLOOKUP($M$4+$B861-1,Paraméterek!$H$58:$I$105,2,0)/Paraméterek!$I$56,IF($D$4="Forint",0,2))</f>
        <v>#N/A</v>
      </c>
      <c r="Q861" s="13">
        <f t="shared" ca="1" si="292"/>
        <v>0</v>
      </c>
      <c r="R861" s="33"/>
      <c r="S861" s="13" t="e">
        <f t="shared" ca="1" si="293"/>
        <v>#N/A</v>
      </c>
      <c r="T861" s="13" t="e">
        <f ca="1">ROUNDUP(($N861-$P861-$Q861+$S861)*VLOOKUP($B861,Paraméterek!$I$38:$K$39,IF($D$2="Egyszeri",3,2))/12*IF($D862="Nem",IF($M$13=0,1,$M$13),1),IF($D$4="Forint",0,2))</f>
        <v>#N/A</v>
      </c>
      <c r="U861" s="13"/>
      <c r="V861" s="13"/>
      <c r="W861" s="13" t="e">
        <f ca="1">$N861-$P861-$Q861+$S861-$T861-IF(ROUNDUP(IF(ISBLANK($V861),$U861*0,$V861)/IF($D$2="Egyszeri",VLOOKUP($B861+IF($C861=12,1,0),Paraméterek!$V$257:$W$262,2),IF($B861=1,1,VLOOKUP($B861+IF($C861=12,1,0),Paraméterek!$I$258:$T$278,HLOOKUP($M$11+1,Paraméterek!$J$256:$T$257,2)))),IF($D$4="Forint",0,2))&gt;$N861-$P861-$Q861+$S861-$T861-IF($D$4="Forint",Paraméterek!$C$216,Paraméterek!$D$216),0,ROUNDUP(IF(ISBLANK($V861),$U861*0,$V861)/IF($D$2="Egyszeri",VLOOKUP($B861+IF($C861=12,1,0),Paraméterek!$V$257:$W$262,2),IF($B861=1,1,VLOOKUP($B861+IF($C861=12,1,0),Paraméterek!$I$258:$T$278,HLOOKUP($M$11+1,Paraméterek!$J$256:$T$257,2)))),IF($D$4="Forint",0,2)))</f>
        <v>#N/A</v>
      </c>
      <c r="X861" s="13" t="e">
        <f ca="1">ROUNDDOWN($W861*IF($D$2="Egyszeri",VLOOKUP($B861+IF($C861=12,1,0),Paraméterek!$V$257:$W$262,2),VLOOKUP($B861+IF($C861=12,1,0),Paraméterek!$I$258:$T$278,HLOOKUP($M$11+1,Paraméterek!$I$256:$T$257,2))),IF($D$4="Forint",0,2))</f>
        <v>#N/A</v>
      </c>
      <c r="Z861" s="32">
        <v>842</v>
      </c>
      <c r="AA861" s="32">
        <v>71</v>
      </c>
      <c r="AB861" s="32">
        <v>2</v>
      </c>
      <c r="AC861" s="13">
        <f t="shared" ca="1" si="302"/>
        <v>0</v>
      </c>
      <c r="AD861" s="33"/>
      <c r="AE861" s="13">
        <f t="shared" ca="1" si="294"/>
        <v>0</v>
      </c>
      <c r="AF861" s="13">
        <f ca="1">ROUNDUP(($AC861+$AE861)*VLOOKUP($AA861,Paraméterek!$P$38:$Q$38,2)/12*IF($D862="Nem",IF($M$13=0,1,$M$13),1),IF($D$4="Forint",0,2))</f>
        <v>0</v>
      </c>
      <c r="AG861" s="13">
        <f ca="1">IF($D$2="Egyszeri",IF($D$7&gt;=IF($D$4="Forint",Paraméterek!$P$223,Paraméterek!$P$224),$D$7-IF($D$4="Forint",Paraméterek!$P$223,Paraméterek!$P$224),0),MIN(IF($AB861=12,AVERAGEIF($E$20:$E861,"&gt;0",$E$20:$E861)*12,0),SUM($E$20:$E$31)))</f>
        <v>0</v>
      </c>
      <c r="AH861" s="13">
        <f>IF($AA861=10,$AG861*IF($AB861=12,IF($AG861&lt;IF($D$4="Forint",Paraméterek!$L$223,Paraméterek!$L$224),0,VLOOKUP($AA861,Paraméterek!$K$226:$M$228,IF($AG861&lt;IF($D$4="Forint",Paraméterek!$M$223,Paraméterek!$M$224),2,3))),0),0)</f>
        <v>0</v>
      </c>
      <c r="AI861" s="13">
        <f ca="1">IF(AND($AA861=$M$11+1,$AB861=$M$12+1),SUMIF($AA$20:$AA$1027,$AA861,$AG$20:$AG$1027)*IF(SUMIF($AA$20:$AA$1027,$AA861,$AG$20:$AG$1027)&lt;IF($D$4="Forint",Paraméterek!$L$223,Paraméterek!$L$224),0,VLOOKUP($AA861,Paraméterek!$K$230:$M$250,IF(SUMIF($AA$20:$AA$1027,$AA861,$AG$20:$AG$1027)&lt;IF($D$4="Forint",Paraméterek!$M$223,Paraméterek!$M$224),2,3))),0)</f>
        <v>0</v>
      </c>
      <c r="AJ861" s="13">
        <f ca="1">IF(AND($AA861&gt;=5,MOD($AA861,5)=0),IF($AB861=12,VLOOKUP($AA861,Paraméterek!$O$225:$P$240,2),0),IF(OR($AA861=3,$AA861=4),IF($AB861=12,VLOOKUP($AA861,Paraméterek!$O$225:$P$240,2,0),0),0))*$AG861</f>
        <v>0</v>
      </c>
      <c r="AK861" s="13">
        <f t="shared" ca="1" si="295"/>
        <v>0</v>
      </c>
      <c r="AL861" s="13">
        <f t="shared" ca="1" si="303"/>
        <v>0</v>
      </c>
      <c r="AM861" s="13">
        <f t="shared" ca="1" si="304"/>
        <v>0</v>
      </c>
      <c r="AO861" s="32">
        <v>842</v>
      </c>
      <c r="AP861" s="32">
        <v>71</v>
      </c>
      <c r="AQ861" s="32">
        <v>2</v>
      </c>
      <c r="AR861" s="13"/>
      <c r="AS861" s="32"/>
      <c r="AT861" s="13">
        <f t="shared" ca="1" si="305"/>
        <v>0</v>
      </c>
      <c r="AU861" s="33"/>
      <c r="AV861" s="13">
        <f t="shared" ca="1" si="296"/>
        <v>0</v>
      </c>
      <c r="AW861" s="13">
        <f ca="1">ROUNDUP(($AT861+$AV861)*VLOOKUP($AP861,Paraméterek!$P$38:$Q$38,2)/12*IF($D862="Nem",IF($M$13=0,1,$M$13),1),IF($D$4="Forint",0,2))</f>
        <v>0</v>
      </c>
      <c r="AX861" s="13"/>
      <c r="AY861" s="13"/>
      <c r="AZ861" s="13">
        <f>ROUNDUP(IF(SUM($AX861:$AY861)=0,0,IF(IF(ISBLANK($AY861),$AX861,$AY861)*Paraméterek!$J$112&lt;IF($D$4="Forint",Paraméterek!$J$113,Paraméterek!$K$113),IF($D$4="Forint",Paraméterek!$J$113,Paraméterek!$K$113),IF(IF(ISBLANK($AY861),$AX861,$AY861)*Paraméterek!$J$112&gt;IF($D$4="Forint",Paraméterek!$J$114,Paraméterek!$K$114),IF($D$4="Forint",Paraméterek!$J$114,Paraméterek!$K$114),IF(ISBLANK($AY861),$AX861,$AY861)*Paraméterek!$J$112))),IF($D$4="Forint",0,2))</f>
        <v>0</v>
      </c>
      <c r="BA861" s="13">
        <f ca="1">$AT861+$AV861-$AW861-IF(ROUNDDOWN(IF(ISBLANK($AY861),$AX861,$AY861),IF($D$4="Forint",0,2))&gt;$AT861+$AV861-$AW861-IF($D$4="Forint",Paraméterek!$J$114,Paraméterek!$K$114),0,ROUNDDOWN(IF(ISBLANK($AY861),$AX861,$AY861),IF($D$4="Forint",0,2))-$AZ861)</f>
        <v>0</v>
      </c>
      <c r="BB861" s="13">
        <f t="shared" ca="1" si="297"/>
        <v>0</v>
      </c>
      <c r="BD861" s="32">
        <v>842</v>
      </c>
      <c r="BE861" s="32">
        <v>71</v>
      </c>
      <c r="BF861" s="32">
        <v>2</v>
      </c>
      <c r="BG861" s="34">
        <f t="shared" ca="1" si="306"/>
        <v>2089</v>
      </c>
      <c r="BH861" s="32" t="str">
        <f ca="1">IF(MOD(MONTH($D$14)+$BD861-1,12)=Paraméterek!$C$288,"Igen","")</f>
        <v>Igen</v>
      </c>
      <c r="BI861" s="13">
        <f ca="1">IF($BH861="Igen",MIN(ROUNDDOWN((SUMIF($BG$20:$BG$1027,$BG861-1,$K$20:$K$1027)-SUMIF($BG$20:$BG$1027,$BG861-1,$I$20:$I$1027))*Paraméterek!$C$289,IF($D$4="Forint",0,2)),IF($D$4="Forint",Paraméterek!$C$285,Paraméterek!$D$285)),0)</f>
        <v>0</v>
      </c>
      <c r="BJ861" s="13">
        <f t="shared" ca="1" si="298"/>
        <v>0</v>
      </c>
      <c r="BK861" s="13">
        <f t="shared" ca="1" si="307"/>
        <v>0</v>
      </c>
      <c r="BL861" s="33"/>
      <c r="BM861" s="13">
        <f t="shared" ca="1" si="299"/>
        <v>0</v>
      </c>
      <c r="BN861" s="13">
        <f ca="1">ROUNDUP(($BK861+$BM861)*VLOOKUP($BE861,Paraméterek!$P$38:$Q$38,2)/12*IF($D862="Nem",IF($M$13=0,1,$M$13),1),IF($D$4="Forint",0,2))</f>
        <v>0</v>
      </c>
      <c r="BO861" s="13">
        <f t="shared" ca="1" si="300"/>
        <v>0</v>
      </c>
      <c r="BP861" s="13">
        <f ca="1">IF($D862="Nem",$BO861,$BO861-ROUNDUP(SUM($BI$20:$BI861)*120%,IF($D$4="Forint",0,2)))</f>
        <v>0</v>
      </c>
    </row>
    <row r="862" spans="1:68" x14ac:dyDescent="0.2">
      <c r="A862" s="32">
        <v>843</v>
      </c>
      <c r="B862" s="32">
        <v>71</v>
      </c>
      <c r="C862" s="32">
        <v>3</v>
      </c>
      <c r="D862" s="32" t="str">
        <f t="shared" ca="1" si="286"/>
        <v>Nem</v>
      </c>
      <c r="E862" s="13">
        <f t="shared" ca="1" si="287"/>
        <v>0</v>
      </c>
      <c r="F862" s="13"/>
      <c r="G862" s="13"/>
      <c r="H862" s="13"/>
      <c r="I862" s="13">
        <f t="shared" ca="1" si="288"/>
        <v>0</v>
      </c>
      <c r="J862" s="13">
        <f t="shared" ca="1" si="289"/>
        <v>0</v>
      </c>
      <c r="K862" s="13">
        <f t="shared" ca="1" si="290"/>
        <v>0</v>
      </c>
      <c r="L862" s="13" t="e">
        <f ca="1">ROUNDUP(IF($D$2="Egyszeri",$E862,IF($D$2="Havi",SUM($E$20:$E$31),IF(MOD($C862,$M$1)-1=0,SUM($E$20:$E$31),0))/12*$M$1)*VLOOKUP($B862,Paraméterek!$I$28:$P$31,IF($D$2="Egyszeri",8,HLOOKUP(ROUNDUP($M$11+$M$13,0),Paraméterek!$J$26:$O$27,2))),IF($D$4="Forint",0,2))</f>
        <v>#N/A</v>
      </c>
      <c r="M862" s="13">
        <f t="shared" ca="1" si="291"/>
        <v>0</v>
      </c>
      <c r="N862" s="13">
        <f t="shared" ca="1" si="301"/>
        <v>0</v>
      </c>
      <c r="O862" s="13">
        <f ca="1">IF($D862="Igen",IF($W861&gt;=IF($D$4="Forint",Paraméterek!$J$121,Paraméterek!$K$121),0,IF($D$4="Forint",Paraméterek!$J$121,Paraméterek!$K$121)-$W861),0)</f>
        <v>0</v>
      </c>
      <c r="P862" s="13" t="e">
        <f ca="1">ROUNDUP($O862*VLOOKUP($M$4+$B862-1,Paraméterek!$H$58:$I$105,2,0)/Paraméterek!$I$56,IF($D$4="Forint",0,2))</f>
        <v>#N/A</v>
      </c>
      <c r="Q862" s="13">
        <f t="shared" ca="1" si="292"/>
        <v>0</v>
      </c>
      <c r="R862" s="33"/>
      <c r="S862" s="13" t="e">
        <f t="shared" ca="1" si="293"/>
        <v>#N/A</v>
      </c>
      <c r="T862" s="13" t="e">
        <f ca="1">ROUNDUP(($N862-$P862-$Q862+$S862)*VLOOKUP($B862,Paraméterek!$I$38:$K$39,IF($D$2="Egyszeri",3,2))/12*IF($D863="Nem",IF($M$13=0,1,$M$13),1),IF($D$4="Forint",0,2))</f>
        <v>#N/A</v>
      </c>
      <c r="U862" s="13"/>
      <c r="V862" s="13"/>
      <c r="W862" s="13" t="e">
        <f ca="1">$N862-$P862-$Q862+$S862-$T862-IF(ROUNDUP(IF(ISBLANK($V862),$U862*0,$V862)/IF($D$2="Egyszeri",VLOOKUP($B862+IF($C862=12,1,0),Paraméterek!$V$257:$W$262,2),IF($B862=1,1,VLOOKUP($B862+IF($C862=12,1,0),Paraméterek!$I$258:$T$278,HLOOKUP($M$11+1,Paraméterek!$J$256:$T$257,2)))),IF($D$4="Forint",0,2))&gt;$N862-$P862-$Q862+$S862-$T862-IF($D$4="Forint",Paraméterek!$C$216,Paraméterek!$D$216),0,ROUNDUP(IF(ISBLANK($V862),$U862*0,$V862)/IF($D$2="Egyszeri",VLOOKUP($B862+IF($C862=12,1,0),Paraméterek!$V$257:$W$262,2),IF($B862=1,1,VLOOKUP($B862+IF($C862=12,1,0),Paraméterek!$I$258:$T$278,HLOOKUP($M$11+1,Paraméterek!$J$256:$T$257,2)))),IF($D$4="Forint",0,2)))</f>
        <v>#N/A</v>
      </c>
      <c r="X862" s="13" t="e">
        <f ca="1">ROUNDDOWN($W862*IF($D$2="Egyszeri",VLOOKUP($B862+IF($C862=12,1,0),Paraméterek!$V$257:$W$262,2),VLOOKUP($B862+IF($C862=12,1,0),Paraméterek!$I$258:$T$278,HLOOKUP($M$11+1,Paraméterek!$I$256:$T$257,2))),IF($D$4="Forint",0,2))</f>
        <v>#N/A</v>
      </c>
      <c r="Z862" s="32">
        <v>843</v>
      </c>
      <c r="AA862" s="32">
        <v>71</v>
      </c>
      <c r="AB862" s="32">
        <v>3</v>
      </c>
      <c r="AC862" s="13">
        <f t="shared" ca="1" si="302"/>
        <v>0</v>
      </c>
      <c r="AD862" s="33"/>
      <c r="AE862" s="13">
        <f t="shared" ca="1" si="294"/>
        <v>0</v>
      </c>
      <c r="AF862" s="13">
        <f ca="1">ROUNDUP(($AC862+$AE862)*VLOOKUP($AA862,Paraméterek!$P$38:$Q$38,2)/12*IF($D863="Nem",IF($M$13=0,1,$M$13),1),IF($D$4="Forint",0,2))</f>
        <v>0</v>
      </c>
      <c r="AG862" s="13">
        <f ca="1">IF($D$2="Egyszeri",IF($D$7&gt;=IF($D$4="Forint",Paraméterek!$P$223,Paraméterek!$P$224),$D$7-IF($D$4="Forint",Paraméterek!$P$223,Paraméterek!$P$224),0),MIN(IF($AB862=12,AVERAGEIF($E$20:$E862,"&gt;0",$E$20:$E862)*12,0),SUM($E$20:$E$31)))</f>
        <v>0</v>
      </c>
      <c r="AH862" s="13">
        <f>IF($AA862=10,$AG862*IF($AB862=12,IF($AG862&lt;IF($D$4="Forint",Paraméterek!$L$223,Paraméterek!$L$224),0,VLOOKUP($AA862,Paraméterek!$K$226:$M$228,IF($AG862&lt;IF($D$4="Forint",Paraméterek!$M$223,Paraméterek!$M$224),2,3))),0),0)</f>
        <v>0</v>
      </c>
      <c r="AI862" s="13">
        <f ca="1">IF(AND($AA862=$M$11+1,$AB862=$M$12+1),SUMIF($AA$20:$AA$1027,$AA862,$AG$20:$AG$1027)*IF(SUMIF($AA$20:$AA$1027,$AA862,$AG$20:$AG$1027)&lt;IF($D$4="Forint",Paraméterek!$L$223,Paraméterek!$L$224),0,VLOOKUP($AA862,Paraméterek!$K$230:$M$250,IF(SUMIF($AA$20:$AA$1027,$AA862,$AG$20:$AG$1027)&lt;IF($D$4="Forint",Paraméterek!$M$223,Paraméterek!$M$224),2,3))),0)</f>
        <v>0</v>
      </c>
      <c r="AJ862" s="13">
        <f ca="1">IF(AND($AA862&gt;=5,MOD($AA862,5)=0),IF($AB862=12,VLOOKUP($AA862,Paraméterek!$O$225:$P$240,2),0),IF(OR($AA862=3,$AA862=4),IF($AB862=12,VLOOKUP($AA862,Paraméterek!$O$225:$P$240,2,0),0),0))*$AG862</f>
        <v>0</v>
      </c>
      <c r="AK862" s="13">
        <f t="shared" ca="1" si="295"/>
        <v>0</v>
      </c>
      <c r="AL862" s="13">
        <f t="shared" ca="1" si="303"/>
        <v>0</v>
      </c>
      <c r="AM862" s="13">
        <f t="shared" ca="1" si="304"/>
        <v>0</v>
      </c>
      <c r="AO862" s="32">
        <v>843</v>
      </c>
      <c r="AP862" s="32">
        <v>71</v>
      </c>
      <c r="AQ862" s="32">
        <v>3</v>
      </c>
      <c r="AR862" s="13"/>
      <c r="AS862" s="32"/>
      <c r="AT862" s="13">
        <f t="shared" ca="1" si="305"/>
        <v>0</v>
      </c>
      <c r="AU862" s="33"/>
      <c r="AV862" s="13">
        <f t="shared" ca="1" si="296"/>
        <v>0</v>
      </c>
      <c r="AW862" s="13">
        <f ca="1">ROUNDUP(($AT862+$AV862)*VLOOKUP($AP862,Paraméterek!$P$38:$Q$38,2)/12*IF($D863="Nem",IF($M$13=0,1,$M$13),1),IF($D$4="Forint",0,2))</f>
        <v>0</v>
      </c>
      <c r="AX862" s="13"/>
      <c r="AY862" s="13"/>
      <c r="AZ862" s="13">
        <f>ROUNDUP(IF(SUM($AX862:$AY862)=0,0,IF(IF(ISBLANK($AY862),$AX862,$AY862)*Paraméterek!$J$112&lt;IF($D$4="Forint",Paraméterek!$J$113,Paraméterek!$K$113),IF($D$4="Forint",Paraméterek!$J$113,Paraméterek!$K$113),IF(IF(ISBLANK($AY862),$AX862,$AY862)*Paraméterek!$J$112&gt;IF($D$4="Forint",Paraméterek!$J$114,Paraméterek!$K$114),IF($D$4="Forint",Paraméterek!$J$114,Paraméterek!$K$114),IF(ISBLANK($AY862),$AX862,$AY862)*Paraméterek!$J$112))),IF($D$4="Forint",0,2))</f>
        <v>0</v>
      </c>
      <c r="BA862" s="13">
        <f ca="1">$AT862+$AV862-$AW862-IF(ROUNDDOWN(IF(ISBLANK($AY862),$AX862,$AY862),IF($D$4="Forint",0,2))&gt;$AT862+$AV862-$AW862-IF($D$4="Forint",Paraméterek!$J$114,Paraméterek!$K$114),0,ROUNDDOWN(IF(ISBLANK($AY862),$AX862,$AY862),IF($D$4="Forint",0,2))-$AZ862)</f>
        <v>0</v>
      </c>
      <c r="BB862" s="13">
        <f t="shared" ca="1" si="297"/>
        <v>0</v>
      </c>
      <c r="BD862" s="32">
        <v>843</v>
      </c>
      <c r="BE862" s="32">
        <v>71</v>
      </c>
      <c r="BF862" s="32">
        <v>3</v>
      </c>
      <c r="BG862" s="34">
        <f t="shared" ca="1" si="306"/>
        <v>2089</v>
      </c>
      <c r="BH862" s="32" t="str">
        <f ca="1">IF(MOD(MONTH($D$14)+$BD862-1,12)=Paraméterek!$C$288,"Igen","")</f>
        <v/>
      </c>
      <c r="BI862" s="13">
        <f ca="1">IF($BH862="Igen",MIN(ROUNDDOWN((SUMIF($BG$20:$BG$1027,$BG862-1,$K$20:$K$1027)-SUMIF($BG$20:$BG$1027,$BG862-1,$I$20:$I$1027))*Paraméterek!$C$289,IF($D$4="Forint",0,2)),IF($D$4="Forint",Paraméterek!$C$285,Paraméterek!$D$285)),0)</f>
        <v>0</v>
      </c>
      <c r="BJ862" s="13">
        <f t="shared" ca="1" si="298"/>
        <v>0</v>
      </c>
      <c r="BK862" s="13">
        <f t="shared" ca="1" si="307"/>
        <v>0</v>
      </c>
      <c r="BL862" s="33"/>
      <c r="BM862" s="13">
        <f t="shared" ca="1" si="299"/>
        <v>0</v>
      </c>
      <c r="BN862" s="13">
        <f ca="1">ROUNDUP(($BK862+$BM862)*VLOOKUP($BE862,Paraméterek!$P$38:$Q$38,2)/12*IF($D863="Nem",IF($M$13=0,1,$M$13),1),IF($D$4="Forint",0,2))</f>
        <v>0</v>
      </c>
      <c r="BO862" s="13">
        <f t="shared" ca="1" si="300"/>
        <v>0</v>
      </c>
      <c r="BP862" s="13">
        <f ca="1">IF($D863="Nem",$BO862,$BO862-ROUNDUP(SUM($BI$20:$BI862)*120%,IF($D$4="Forint",0,2)))</f>
        <v>0</v>
      </c>
    </row>
    <row r="863" spans="1:68" x14ac:dyDescent="0.2">
      <c r="A863" s="32">
        <v>844</v>
      </c>
      <c r="B863" s="32">
        <v>71</v>
      </c>
      <c r="C863" s="32">
        <v>4</v>
      </c>
      <c r="D863" s="32" t="str">
        <f t="shared" ca="1" si="286"/>
        <v>Nem</v>
      </c>
      <c r="E863" s="13">
        <f t="shared" ca="1" si="287"/>
        <v>0</v>
      </c>
      <c r="F863" s="13"/>
      <c r="G863" s="13"/>
      <c r="H863" s="13"/>
      <c r="I863" s="13">
        <f t="shared" ca="1" si="288"/>
        <v>0</v>
      </c>
      <c r="J863" s="13">
        <f t="shared" ca="1" si="289"/>
        <v>0</v>
      </c>
      <c r="K863" s="13">
        <f t="shared" ca="1" si="290"/>
        <v>0</v>
      </c>
      <c r="L863" s="13" t="e">
        <f ca="1">ROUNDUP(IF($D$2="Egyszeri",$E863,IF($D$2="Havi",SUM($E$20:$E$31),IF(MOD($C863,$M$1)-1=0,SUM($E$20:$E$31),0))/12*$M$1)*VLOOKUP($B863,Paraméterek!$I$28:$P$31,IF($D$2="Egyszeri",8,HLOOKUP(ROUNDUP($M$11+$M$13,0),Paraméterek!$J$26:$O$27,2))),IF($D$4="Forint",0,2))</f>
        <v>#N/A</v>
      </c>
      <c r="M863" s="13">
        <f t="shared" ca="1" si="291"/>
        <v>0</v>
      </c>
      <c r="N863" s="13">
        <f t="shared" ca="1" si="301"/>
        <v>0</v>
      </c>
      <c r="O863" s="13">
        <f ca="1">IF($D863="Igen",IF($W862&gt;=IF($D$4="Forint",Paraméterek!$J$121,Paraméterek!$K$121),0,IF($D$4="Forint",Paraméterek!$J$121,Paraméterek!$K$121)-$W862),0)</f>
        <v>0</v>
      </c>
      <c r="P863" s="13" t="e">
        <f ca="1">ROUNDUP($O863*VLOOKUP($M$4+$B863-1,Paraméterek!$H$58:$I$105,2,0)/Paraméterek!$I$56,IF($D$4="Forint",0,2))</f>
        <v>#N/A</v>
      </c>
      <c r="Q863" s="13">
        <f t="shared" ca="1" si="292"/>
        <v>0</v>
      </c>
      <c r="R863" s="33"/>
      <c r="S863" s="13" t="e">
        <f t="shared" ca="1" si="293"/>
        <v>#N/A</v>
      </c>
      <c r="T863" s="13" t="e">
        <f ca="1">ROUNDUP(($N863-$P863-$Q863+$S863)*VLOOKUP($B863,Paraméterek!$I$38:$K$39,IF($D$2="Egyszeri",3,2))/12*IF($D864="Nem",IF($M$13=0,1,$M$13),1),IF($D$4="Forint",0,2))</f>
        <v>#N/A</v>
      </c>
      <c r="U863" s="13"/>
      <c r="V863" s="13"/>
      <c r="W863" s="13" t="e">
        <f ca="1">$N863-$P863-$Q863+$S863-$T863-IF(ROUNDUP(IF(ISBLANK($V863),$U863*0,$V863)/IF($D$2="Egyszeri",VLOOKUP($B863+IF($C863=12,1,0),Paraméterek!$V$257:$W$262,2),IF($B863=1,1,VLOOKUP($B863+IF($C863=12,1,0),Paraméterek!$I$258:$T$278,HLOOKUP($M$11+1,Paraméterek!$J$256:$T$257,2)))),IF($D$4="Forint",0,2))&gt;$N863-$P863-$Q863+$S863-$T863-IF($D$4="Forint",Paraméterek!$C$216,Paraméterek!$D$216),0,ROUNDUP(IF(ISBLANK($V863),$U863*0,$V863)/IF($D$2="Egyszeri",VLOOKUP($B863+IF($C863=12,1,0),Paraméterek!$V$257:$W$262,2),IF($B863=1,1,VLOOKUP($B863+IF($C863=12,1,0),Paraméterek!$I$258:$T$278,HLOOKUP($M$11+1,Paraméterek!$J$256:$T$257,2)))),IF($D$4="Forint",0,2)))</f>
        <v>#N/A</v>
      </c>
      <c r="X863" s="13" t="e">
        <f ca="1">ROUNDDOWN($W863*IF($D$2="Egyszeri",VLOOKUP($B863+IF($C863=12,1,0),Paraméterek!$V$257:$W$262,2),VLOOKUP($B863+IF($C863=12,1,0),Paraméterek!$I$258:$T$278,HLOOKUP($M$11+1,Paraméterek!$I$256:$T$257,2))),IF($D$4="Forint",0,2))</f>
        <v>#N/A</v>
      </c>
      <c r="Z863" s="32">
        <v>844</v>
      </c>
      <c r="AA863" s="32">
        <v>71</v>
      </c>
      <c r="AB863" s="32">
        <v>4</v>
      </c>
      <c r="AC863" s="13">
        <f t="shared" ca="1" si="302"/>
        <v>0</v>
      </c>
      <c r="AD863" s="33"/>
      <c r="AE863" s="13">
        <f t="shared" ca="1" si="294"/>
        <v>0</v>
      </c>
      <c r="AF863" s="13">
        <f ca="1">ROUNDUP(($AC863+$AE863)*VLOOKUP($AA863,Paraméterek!$P$38:$Q$38,2)/12*IF($D864="Nem",IF($M$13=0,1,$M$13),1),IF($D$4="Forint",0,2))</f>
        <v>0</v>
      </c>
      <c r="AG863" s="13">
        <f ca="1">IF($D$2="Egyszeri",IF($D$7&gt;=IF($D$4="Forint",Paraméterek!$P$223,Paraméterek!$P$224),$D$7-IF($D$4="Forint",Paraméterek!$P$223,Paraméterek!$P$224),0),MIN(IF($AB863=12,AVERAGEIF($E$20:$E863,"&gt;0",$E$20:$E863)*12,0),SUM($E$20:$E$31)))</f>
        <v>0</v>
      </c>
      <c r="AH863" s="13">
        <f>IF($AA863=10,$AG863*IF($AB863=12,IF($AG863&lt;IF($D$4="Forint",Paraméterek!$L$223,Paraméterek!$L$224),0,VLOOKUP($AA863,Paraméterek!$K$226:$M$228,IF($AG863&lt;IF($D$4="Forint",Paraméterek!$M$223,Paraméterek!$M$224),2,3))),0),0)</f>
        <v>0</v>
      </c>
      <c r="AI863" s="13">
        <f ca="1">IF(AND($AA863=$M$11+1,$AB863=$M$12+1),SUMIF($AA$20:$AA$1027,$AA863,$AG$20:$AG$1027)*IF(SUMIF($AA$20:$AA$1027,$AA863,$AG$20:$AG$1027)&lt;IF($D$4="Forint",Paraméterek!$L$223,Paraméterek!$L$224),0,VLOOKUP($AA863,Paraméterek!$K$230:$M$250,IF(SUMIF($AA$20:$AA$1027,$AA863,$AG$20:$AG$1027)&lt;IF($D$4="Forint",Paraméterek!$M$223,Paraméterek!$M$224),2,3))),0)</f>
        <v>0</v>
      </c>
      <c r="AJ863" s="13">
        <f ca="1">IF(AND($AA863&gt;=5,MOD($AA863,5)=0),IF($AB863=12,VLOOKUP($AA863,Paraméterek!$O$225:$P$240,2),0),IF(OR($AA863=3,$AA863=4),IF($AB863=12,VLOOKUP($AA863,Paraméterek!$O$225:$P$240,2,0),0),0))*$AG863</f>
        <v>0</v>
      </c>
      <c r="AK863" s="13">
        <f t="shared" ca="1" si="295"/>
        <v>0</v>
      </c>
      <c r="AL863" s="13">
        <f t="shared" ca="1" si="303"/>
        <v>0</v>
      </c>
      <c r="AM863" s="13">
        <f t="shared" ca="1" si="304"/>
        <v>0</v>
      </c>
      <c r="AO863" s="32">
        <v>844</v>
      </c>
      <c r="AP863" s="32">
        <v>71</v>
      </c>
      <c r="AQ863" s="32">
        <v>4</v>
      </c>
      <c r="AR863" s="13"/>
      <c r="AS863" s="32"/>
      <c r="AT863" s="13">
        <f t="shared" ca="1" si="305"/>
        <v>0</v>
      </c>
      <c r="AU863" s="33"/>
      <c r="AV863" s="13">
        <f t="shared" ca="1" si="296"/>
        <v>0</v>
      </c>
      <c r="AW863" s="13">
        <f ca="1">ROUNDUP(($AT863+$AV863)*VLOOKUP($AP863,Paraméterek!$P$38:$Q$38,2)/12*IF($D864="Nem",IF($M$13=0,1,$M$13),1),IF($D$4="Forint",0,2))</f>
        <v>0</v>
      </c>
      <c r="AX863" s="13"/>
      <c r="AY863" s="13"/>
      <c r="AZ863" s="13">
        <f>ROUNDUP(IF(SUM($AX863:$AY863)=0,0,IF(IF(ISBLANK($AY863),$AX863,$AY863)*Paraméterek!$J$112&lt;IF($D$4="Forint",Paraméterek!$J$113,Paraméterek!$K$113),IF($D$4="Forint",Paraméterek!$J$113,Paraméterek!$K$113),IF(IF(ISBLANK($AY863),$AX863,$AY863)*Paraméterek!$J$112&gt;IF($D$4="Forint",Paraméterek!$J$114,Paraméterek!$K$114),IF($D$4="Forint",Paraméterek!$J$114,Paraméterek!$K$114),IF(ISBLANK($AY863),$AX863,$AY863)*Paraméterek!$J$112))),IF($D$4="Forint",0,2))</f>
        <v>0</v>
      </c>
      <c r="BA863" s="13">
        <f ca="1">$AT863+$AV863-$AW863-IF(ROUNDDOWN(IF(ISBLANK($AY863),$AX863,$AY863),IF($D$4="Forint",0,2))&gt;$AT863+$AV863-$AW863-IF($D$4="Forint",Paraméterek!$J$114,Paraméterek!$K$114),0,ROUNDDOWN(IF(ISBLANK($AY863),$AX863,$AY863),IF($D$4="Forint",0,2))-$AZ863)</f>
        <v>0</v>
      </c>
      <c r="BB863" s="13">
        <f t="shared" ca="1" si="297"/>
        <v>0</v>
      </c>
      <c r="BD863" s="32">
        <v>844</v>
      </c>
      <c r="BE863" s="32">
        <v>71</v>
      </c>
      <c r="BF863" s="32">
        <v>4</v>
      </c>
      <c r="BG863" s="34">
        <f t="shared" ca="1" si="306"/>
        <v>2089</v>
      </c>
      <c r="BH863" s="32" t="str">
        <f ca="1">IF(MOD(MONTH($D$14)+$BD863-1,12)=Paraméterek!$C$288,"Igen","")</f>
        <v/>
      </c>
      <c r="BI863" s="13">
        <f ca="1">IF($BH863="Igen",MIN(ROUNDDOWN((SUMIF($BG$20:$BG$1027,$BG863-1,$K$20:$K$1027)-SUMIF($BG$20:$BG$1027,$BG863-1,$I$20:$I$1027))*Paraméterek!$C$289,IF($D$4="Forint",0,2)),IF($D$4="Forint",Paraméterek!$C$285,Paraméterek!$D$285)),0)</f>
        <v>0</v>
      </c>
      <c r="BJ863" s="13">
        <f t="shared" ca="1" si="298"/>
        <v>0</v>
      </c>
      <c r="BK863" s="13">
        <f t="shared" ca="1" si="307"/>
        <v>0</v>
      </c>
      <c r="BL863" s="33"/>
      <c r="BM863" s="13">
        <f t="shared" ca="1" si="299"/>
        <v>0</v>
      </c>
      <c r="BN863" s="13">
        <f ca="1">ROUNDUP(($BK863+$BM863)*VLOOKUP($BE863,Paraméterek!$P$38:$Q$38,2)/12*IF($D864="Nem",IF($M$13=0,1,$M$13),1),IF($D$4="Forint",0,2))</f>
        <v>0</v>
      </c>
      <c r="BO863" s="13">
        <f t="shared" ca="1" si="300"/>
        <v>0</v>
      </c>
      <c r="BP863" s="13">
        <f ca="1">IF($D864="Nem",$BO863,$BO863-ROUNDUP(SUM($BI$20:$BI863)*120%,IF($D$4="Forint",0,2)))</f>
        <v>0</v>
      </c>
    </row>
    <row r="864" spans="1:68" x14ac:dyDescent="0.2">
      <c r="A864" s="32">
        <v>845</v>
      </c>
      <c r="B864" s="32">
        <v>71</v>
      </c>
      <c r="C864" s="32">
        <v>5</v>
      </c>
      <c r="D864" s="32" t="str">
        <f t="shared" ca="1" si="286"/>
        <v>Nem</v>
      </c>
      <c r="E864" s="13">
        <f t="shared" ca="1" si="287"/>
        <v>0</v>
      </c>
      <c r="F864" s="13"/>
      <c r="G864" s="13"/>
      <c r="H864" s="13"/>
      <c r="I864" s="13">
        <f t="shared" ca="1" si="288"/>
        <v>0</v>
      </c>
      <c r="J864" s="13">
        <f t="shared" ca="1" si="289"/>
        <v>0</v>
      </c>
      <c r="K864" s="13">
        <f t="shared" ca="1" si="290"/>
        <v>0</v>
      </c>
      <c r="L864" s="13" t="e">
        <f ca="1">ROUNDUP(IF($D$2="Egyszeri",$E864,IF($D$2="Havi",SUM($E$20:$E$31),IF(MOD($C864,$M$1)-1=0,SUM($E$20:$E$31),0))/12*$M$1)*VLOOKUP($B864,Paraméterek!$I$28:$P$31,IF($D$2="Egyszeri",8,HLOOKUP(ROUNDUP($M$11+$M$13,0),Paraméterek!$J$26:$O$27,2))),IF($D$4="Forint",0,2))</f>
        <v>#N/A</v>
      </c>
      <c r="M864" s="13">
        <f t="shared" ca="1" si="291"/>
        <v>0</v>
      </c>
      <c r="N864" s="13">
        <f t="shared" ca="1" si="301"/>
        <v>0</v>
      </c>
      <c r="O864" s="13">
        <f ca="1">IF($D864="Igen",IF($W863&gt;=IF($D$4="Forint",Paraméterek!$J$121,Paraméterek!$K$121),0,IF($D$4="Forint",Paraméterek!$J$121,Paraméterek!$K$121)-$W863),0)</f>
        <v>0</v>
      </c>
      <c r="P864" s="13" t="e">
        <f ca="1">ROUNDUP($O864*VLOOKUP($M$4+$B864-1,Paraméterek!$H$58:$I$105,2,0)/Paraméterek!$I$56,IF($D$4="Forint",0,2))</f>
        <v>#N/A</v>
      </c>
      <c r="Q864" s="13">
        <f t="shared" ca="1" si="292"/>
        <v>0</v>
      </c>
      <c r="R864" s="33"/>
      <c r="S864" s="13" t="e">
        <f t="shared" ca="1" si="293"/>
        <v>#N/A</v>
      </c>
      <c r="T864" s="13" t="e">
        <f ca="1">ROUNDUP(($N864-$P864-$Q864+$S864)*VLOOKUP($B864,Paraméterek!$I$38:$K$39,IF($D$2="Egyszeri",3,2))/12*IF($D865="Nem",IF($M$13=0,1,$M$13),1),IF($D$4="Forint",0,2))</f>
        <v>#N/A</v>
      </c>
      <c r="U864" s="13"/>
      <c r="V864" s="13"/>
      <c r="W864" s="13" t="e">
        <f ca="1">$N864-$P864-$Q864+$S864-$T864-IF(ROUNDUP(IF(ISBLANK($V864),$U864*0,$V864)/IF($D$2="Egyszeri",VLOOKUP($B864+IF($C864=12,1,0),Paraméterek!$V$257:$W$262,2),IF($B864=1,1,VLOOKUP($B864+IF($C864=12,1,0),Paraméterek!$I$258:$T$278,HLOOKUP($M$11+1,Paraméterek!$J$256:$T$257,2)))),IF($D$4="Forint",0,2))&gt;$N864-$P864-$Q864+$S864-$T864-IF($D$4="Forint",Paraméterek!$C$216,Paraméterek!$D$216),0,ROUNDUP(IF(ISBLANK($V864),$U864*0,$V864)/IF($D$2="Egyszeri",VLOOKUP($B864+IF($C864=12,1,0),Paraméterek!$V$257:$W$262,2),IF($B864=1,1,VLOOKUP($B864+IF($C864=12,1,0),Paraméterek!$I$258:$T$278,HLOOKUP($M$11+1,Paraméterek!$J$256:$T$257,2)))),IF($D$4="Forint",0,2)))</f>
        <v>#N/A</v>
      </c>
      <c r="X864" s="13" t="e">
        <f ca="1">ROUNDDOWN($W864*IF($D$2="Egyszeri",VLOOKUP($B864+IF($C864=12,1,0),Paraméterek!$V$257:$W$262,2),VLOOKUP($B864+IF($C864=12,1,0),Paraméterek!$I$258:$T$278,HLOOKUP($M$11+1,Paraméterek!$I$256:$T$257,2))),IF($D$4="Forint",0,2))</f>
        <v>#N/A</v>
      </c>
      <c r="Z864" s="32">
        <v>845</v>
      </c>
      <c r="AA864" s="32">
        <v>71</v>
      </c>
      <c r="AB864" s="32">
        <v>5</v>
      </c>
      <c r="AC864" s="13">
        <f t="shared" ca="1" si="302"/>
        <v>0</v>
      </c>
      <c r="AD864" s="33"/>
      <c r="AE864" s="13">
        <f t="shared" ca="1" si="294"/>
        <v>0</v>
      </c>
      <c r="AF864" s="13">
        <f ca="1">ROUNDUP(($AC864+$AE864)*VLOOKUP($AA864,Paraméterek!$P$38:$Q$38,2)/12*IF($D865="Nem",IF($M$13=0,1,$M$13),1),IF($D$4="Forint",0,2))</f>
        <v>0</v>
      </c>
      <c r="AG864" s="13">
        <f ca="1">IF($D$2="Egyszeri",IF($D$7&gt;=IF($D$4="Forint",Paraméterek!$P$223,Paraméterek!$P$224),$D$7-IF($D$4="Forint",Paraméterek!$P$223,Paraméterek!$P$224),0),MIN(IF($AB864=12,AVERAGEIF($E$20:$E864,"&gt;0",$E$20:$E864)*12,0),SUM($E$20:$E$31)))</f>
        <v>0</v>
      </c>
      <c r="AH864" s="13">
        <f>IF($AA864=10,$AG864*IF($AB864=12,IF($AG864&lt;IF($D$4="Forint",Paraméterek!$L$223,Paraméterek!$L$224),0,VLOOKUP($AA864,Paraméterek!$K$226:$M$228,IF($AG864&lt;IF($D$4="Forint",Paraméterek!$M$223,Paraméterek!$M$224),2,3))),0),0)</f>
        <v>0</v>
      </c>
      <c r="AI864" s="13">
        <f ca="1">IF(AND($AA864=$M$11+1,$AB864=$M$12+1),SUMIF($AA$20:$AA$1027,$AA864,$AG$20:$AG$1027)*IF(SUMIF($AA$20:$AA$1027,$AA864,$AG$20:$AG$1027)&lt;IF($D$4="Forint",Paraméterek!$L$223,Paraméterek!$L$224),0,VLOOKUP($AA864,Paraméterek!$K$230:$M$250,IF(SUMIF($AA$20:$AA$1027,$AA864,$AG$20:$AG$1027)&lt;IF($D$4="Forint",Paraméterek!$M$223,Paraméterek!$M$224),2,3))),0)</f>
        <v>0</v>
      </c>
      <c r="AJ864" s="13">
        <f ca="1">IF(AND($AA864&gt;=5,MOD($AA864,5)=0),IF($AB864=12,VLOOKUP($AA864,Paraméterek!$O$225:$P$240,2),0),IF(OR($AA864=3,$AA864=4),IF($AB864=12,VLOOKUP($AA864,Paraméterek!$O$225:$P$240,2,0),0),0))*$AG864</f>
        <v>0</v>
      </c>
      <c r="AK864" s="13">
        <f t="shared" ca="1" si="295"/>
        <v>0</v>
      </c>
      <c r="AL864" s="13">
        <f t="shared" ca="1" si="303"/>
        <v>0</v>
      </c>
      <c r="AM864" s="13">
        <f t="shared" ca="1" si="304"/>
        <v>0</v>
      </c>
      <c r="AO864" s="32">
        <v>845</v>
      </c>
      <c r="AP864" s="32">
        <v>71</v>
      </c>
      <c r="AQ864" s="32">
        <v>5</v>
      </c>
      <c r="AR864" s="13"/>
      <c r="AS864" s="32"/>
      <c r="AT864" s="13">
        <f t="shared" ca="1" si="305"/>
        <v>0</v>
      </c>
      <c r="AU864" s="33"/>
      <c r="AV864" s="13">
        <f t="shared" ca="1" si="296"/>
        <v>0</v>
      </c>
      <c r="AW864" s="13">
        <f ca="1">ROUNDUP(($AT864+$AV864)*VLOOKUP($AP864,Paraméterek!$P$38:$Q$38,2)/12*IF($D865="Nem",IF($M$13=0,1,$M$13),1),IF($D$4="Forint",0,2))</f>
        <v>0</v>
      </c>
      <c r="AX864" s="13"/>
      <c r="AY864" s="13"/>
      <c r="AZ864" s="13">
        <f>ROUNDUP(IF(SUM($AX864:$AY864)=0,0,IF(IF(ISBLANK($AY864),$AX864,$AY864)*Paraméterek!$J$112&lt;IF($D$4="Forint",Paraméterek!$J$113,Paraméterek!$K$113),IF($D$4="Forint",Paraméterek!$J$113,Paraméterek!$K$113),IF(IF(ISBLANK($AY864),$AX864,$AY864)*Paraméterek!$J$112&gt;IF($D$4="Forint",Paraméterek!$J$114,Paraméterek!$K$114),IF($D$4="Forint",Paraméterek!$J$114,Paraméterek!$K$114),IF(ISBLANK($AY864),$AX864,$AY864)*Paraméterek!$J$112))),IF($D$4="Forint",0,2))</f>
        <v>0</v>
      </c>
      <c r="BA864" s="13">
        <f ca="1">$AT864+$AV864-$AW864-IF(ROUNDDOWN(IF(ISBLANK($AY864),$AX864,$AY864),IF($D$4="Forint",0,2))&gt;$AT864+$AV864-$AW864-IF($D$4="Forint",Paraméterek!$J$114,Paraméterek!$K$114),0,ROUNDDOWN(IF(ISBLANK($AY864),$AX864,$AY864),IF($D$4="Forint",0,2))-$AZ864)</f>
        <v>0</v>
      </c>
      <c r="BB864" s="13">
        <f t="shared" ca="1" si="297"/>
        <v>0</v>
      </c>
      <c r="BD864" s="32">
        <v>845</v>
      </c>
      <c r="BE864" s="32">
        <v>71</v>
      </c>
      <c r="BF864" s="32">
        <v>5</v>
      </c>
      <c r="BG864" s="34">
        <f t="shared" ca="1" si="306"/>
        <v>2089</v>
      </c>
      <c r="BH864" s="32" t="str">
        <f ca="1">IF(MOD(MONTH($D$14)+$BD864-1,12)=Paraméterek!$C$288,"Igen","")</f>
        <v/>
      </c>
      <c r="BI864" s="13">
        <f ca="1">IF($BH864="Igen",MIN(ROUNDDOWN((SUMIF($BG$20:$BG$1027,$BG864-1,$K$20:$K$1027)-SUMIF($BG$20:$BG$1027,$BG864-1,$I$20:$I$1027))*Paraméterek!$C$289,IF($D$4="Forint",0,2)),IF($D$4="Forint",Paraméterek!$C$285,Paraméterek!$D$285)),0)</f>
        <v>0</v>
      </c>
      <c r="BJ864" s="13">
        <f t="shared" ca="1" si="298"/>
        <v>0</v>
      </c>
      <c r="BK864" s="13">
        <f t="shared" ca="1" si="307"/>
        <v>0</v>
      </c>
      <c r="BL864" s="33"/>
      <c r="BM864" s="13">
        <f t="shared" ca="1" si="299"/>
        <v>0</v>
      </c>
      <c r="BN864" s="13">
        <f ca="1">ROUNDUP(($BK864+$BM864)*VLOOKUP($BE864,Paraméterek!$P$38:$Q$38,2)/12*IF($D865="Nem",IF($M$13=0,1,$M$13),1),IF($D$4="Forint",0,2))</f>
        <v>0</v>
      </c>
      <c r="BO864" s="13">
        <f t="shared" ca="1" si="300"/>
        <v>0</v>
      </c>
      <c r="BP864" s="13">
        <f ca="1">IF($D865="Nem",$BO864,$BO864-ROUNDUP(SUM($BI$20:$BI864)*120%,IF($D$4="Forint",0,2)))</f>
        <v>0</v>
      </c>
    </row>
    <row r="865" spans="1:68" x14ac:dyDescent="0.2">
      <c r="A865" s="32">
        <v>846</v>
      </c>
      <c r="B865" s="32">
        <v>71</v>
      </c>
      <c r="C865" s="32">
        <v>6</v>
      </c>
      <c r="D865" s="32" t="str">
        <f t="shared" ca="1" si="286"/>
        <v>Nem</v>
      </c>
      <c r="E865" s="13">
        <f t="shared" ca="1" si="287"/>
        <v>0</v>
      </c>
      <c r="F865" s="13"/>
      <c r="G865" s="13"/>
      <c r="H865" s="13"/>
      <c r="I865" s="13">
        <f t="shared" ca="1" si="288"/>
        <v>0</v>
      </c>
      <c r="J865" s="13">
        <f t="shared" ca="1" si="289"/>
        <v>0</v>
      </c>
      <c r="K865" s="13">
        <f t="shared" ca="1" si="290"/>
        <v>0</v>
      </c>
      <c r="L865" s="13" t="e">
        <f ca="1">ROUNDUP(IF($D$2="Egyszeri",$E865,IF($D$2="Havi",SUM($E$20:$E$31),IF(MOD($C865,$M$1)-1=0,SUM($E$20:$E$31),0))/12*$M$1)*VLOOKUP($B865,Paraméterek!$I$28:$P$31,IF($D$2="Egyszeri",8,HLOOKUP(ROUNDUP($M$11+$M$13,0),Paraméterek!$J$26:$O$27,2))),IF($D$4="Forint",0,2))</f>
        <v>#N/A</v>
      </c>
      <c r="M865" s="13">
        <f t="shared" ca="1" si="291"/>
        <v>0</v>
      </c>
      <c r="N865" s="13">
        <f t="shared" ca="1" si="301"/>
        <v>0</v>
      </c>
      <c r="O865" s="13">
        <f ca="1">IF($D865="Igen",IF($W864&gt;=IF($D$4="Forint",Paraméterek!$J$121,Paraméterek!$K$121),0,IF($D$4="Forint",Paraméterek!$J$121,Paraméterek!$K$121)-$W864),0)</f>
        <v>0</v>
      </c>
      <c r="P865" s="13" t="e">
        <f ca="1">ROUNDUP($O865*VLOOKUP($M$4+$B865-1,Paraméterek!$H$58:$I$105,2,0)/Paraméterek!$I$56,IF($D$4="Forint",0,2))</f>
        <v>#N/A</v>
      </c>
      <c r="Q865" s="13">
        <f t="shared" ca="1" si="292"/>
        <v>0</v>
      </c>
      <c r="R865" s="33"/>
      <c r="S865" s="13" t="e">
        <f t="shared" ca="1" si="293"/>
        <v>#N/A</v>
      </c>
      <c r="T865" s="13" t="e">
        <f ca="1">ROUNDUP(($N865-$P865-$Q865+$S865)*VLOOKUP($B865,Paraméterek!$I$38:$K$39,IF($D$2="Egyszeri",3,2))/12*IF($D866="Nem",IF($M$13=0,1,$M$13),1),IF($D$4="Forint",0,2))</f>
        <v>#N/A</v>
      </c>
      <c r="U865" s="13"/>
      <c r="V865" s="13"/>
      <c r="W865" s="13" t="e">
        <f ca="1">$N865-$P865-$Q865+$S865-$T865-IF(ROUNDUP(IF(ISBLANK($V865),$U865*0,$V865)/IF($D$2="Egyszeri",VLOOKUP($B865+IF($C865=12,1,0),Paraméterek!$V$257:$W$262,2),IF($B865=1,1,VLOOKUP($B865+IF($C865=12,1,0),Paraméterek!$I$258:$T$278,HLOOKUP($M$11+1,Paraméterek!$J$256:$T$257,2)))),IF($D$4="Forint",0,2))&gt;$N865-$P865-$Q865+$S865-$T865-IF($D$4="Forint",Paraméterek!$C$216,Paraméterek!$D$216),0,ROUNDUP(IF(ISBLANK($V865),$U865*0,$V865)/IF($D$2="Egyszeri",VLOOKUP($B865+IF($C865=12,1,0),Paraméterek!$V$257:$W$262,2),IF($B865=1,1,VLOOKUP($B865+IF($C865=12,1,0),Paraméterek!$I$258:$T$278,HLOOKUP($M$11+1,Paraméterek!$J$256:$T$257,2)))),IF($D$4="Forint",0,2)))</f>
        <v>#N/A</v>
      </c>
      <c r="X865" s="13" t="e">
        <f ca="1">ROUNDDOWN($W865*IF($D$2="Egyszeri",VLOOKUP($B865+IF($C865=12,1,0),Paraméterek!$V$257:$W$262,2),VLOOKUP($B865+IF($C865=12,1,0),Paraméterek!$I$258:$T$278,HLOOKUP($M$11+1,Paraméterek!$I$256:$T$257,2))),IF($D$4="Forint",0,2))</f>
        <v>#N/A</v>
      </c>
      <c r="Z865" s="32">
        <v>846</v>
      </c>
      <c r="AA865" s="32">
        <v>71</v>
      </c>
      <c r="AB865" s="32">
        <v>6</v>
      </c>
      <c r="AC865" s="13">
        <f t="shared" ca="1" si="302"/>
        <v>0</v>
      </c>
      <c r="AD865" s="33"/>
      <c r="AE865" s="13">
        <f t="shared" ca="1" si="294"/>
        <v>0</v>
      </c>
      <c r="AF865" s="13">
        <f ca="1">ROUNDUP(($AC865+$AE865)*VLOOKUP($AA865,Paraméterek!$P$38:$Q$38,2)/12*IF($D866="Nem",IF($M$13=0,1,$M$13),1),IF($D$4="Forint",0,2))</f>
        <v>0</v>
      </c>
      <c r="AG865" s="13">
        <f ca="1">IF($D$2="Egyszeri",IF($D$7&gt;=IF($D$4="Forint",Paraméterek!$P$223,Paraméterek!$P$224),$D$7-IF($D$4="Forint",Paraméterek!$P$223,Paraméterek!$P$224),0),MIN(IF($AB865=12,AVERAGEIF($E$20:$E865,"&gt;0",$E$20:$E865)*12,0),SUM($E$20:$E$31)))</f>
        <v>0</v>
      </c>
      <c r="AH865" s="13">
        <f>IF($AA865=10,$AG865*IF($AB865=12,IF($AG865&lt;IF($D$4="Forint",Paraméterek!$L$223,Paraméterek!$L$224),0,VLOOKUP($AA865,Paraméterek!$K$226:$M$228,IF($AG865&lt;IF($D$4="Forint",Paraméterek!$M$223,Paraméterek!$M$224),2,3))),0),0)</f>
        <v>0</v>
      </c>
      <c r="AI865" s="13">
        <f ca="1">IF(AND($AA865=$M$11+1,$AB865=$M$12+1),SUMIF($AA$20:$AA$1027,$AA865,$AG$20:$AG$1027)*IF(SUMIF($AA$20:$AA$1027,$AA865,$AG$20:$AG$1027)&lt;IF($D$4="Forint",Paraméterek!$L$223,Paraméterek!$L$224),0,VLOOKUP($AA865,Paraméterek!$K$230:$M$250,IF(SUMIF($AA$20:$AA$1027,$AA865,$AG$20:$AG$1027)&lt;IF($D$4="Forint",Paraméterek!$M$223,Paraméterek!$M$224),2,3))),0)</f>
        <v>0</v>
      </c>
      <c r="AJ865" s="13">
        <f ca="1">IF(AND($AA865&gt;=5,MOD($AA865,5)=0),IF($AB865=12,VLOOKUP($AA865,Paraméterek!$O$225:$P$240,2),0),IF(OR($AA865=3,$AA865=4),IF($AB865=12,VLOOKUP($AA865,Paraméterek!$O$225:$P$240,2,0),0),0))*$AG865</f>
        <v>0</v>
      </c>
      <c r="AK865" s="13">
        <f t="shared" ca="1" si="295"/>
        <v>0</v>
      </c>
      <c r="AL865" s="13">
        <f t="shared" ca="1" si="303"/>
        <v>0</v>
      </c>
      <c r="AM865" s="13">
        <f t="shared" ca="1" si="304"/>
        <v>0</v>
      </c>
      <c r="AO865" s="32">
        <v>846</v>
      </c>
      <c r="AP865" s="32">
        <v>71</v>
      </c>
      <c r="AQ865" s="32">
        <v>6</v>
      </c>
      <c r="AR865" s="13"/>
      <c r="AS865" s="32"/>
      <c r="AT865" s="13">
        <f t="shared" ca="1" si="305"/>
        <v>0</v>
      </c>
      <c r="AU865" s="33"/>
      <c r="AV865" s="13">
        <f t="shared" ca="1" si="296"/>
        <v>0</v>
      </c>
      <c r="AW865" s="13">
        <f ca="1">ROUNDUP(($AT865+$AV865)*VLOOKUP($AP865,Paraméterek!$P$38:$Q$38,2)/12*IF($D866="Nem",IF($M$13=0,1,$M$13),1),IF($D$4="Forint",0,2))</f>
        <v>0</v>
      </c>
      <c r="AX865" s="13"/>
      <c r="AY865" s="13"/>
      <c r="AZ865" s="13">
        <f>ROUNDUP(IF(SUM($AX865:$AY865)=0,0,IF(IF(ISBLANK($AY865),$AX865,$AY865)*Paraméterek!$J$112&lt;IF($D$4="Forint",Paraméterek!$J$113,Paraméterek!$K$113),IF($D$4="Forint",Paraméterek!$J$113,Paraméterek!$K$113),IF(IF(ISBLANK($AY865),$AX865,$AY865)*Paraméterek!$J$112&gt;IF($D$4="Forint",Paraméterek!$J$114,Paraméterek!$K$114),IF($D$4="Forint",Paraméterek!$J$114,Paraméterek!$K$114),IF(ISBLANK($AY865),$AX865,$AY865)*Paraméterek!$J$112))),IF($D$4="Forint",0,2))</f>
        <v>0</v>
      </c>
      <c r="BA865" s="13">
        <f ca="1">$AT865+$AV865-$AW865-IF(ROUNDDOWN(IF(ISBLANK($AY865),$AX865,$AY865),IF($D$4="Forint",0,2))&gt;$AT865+$AV865-$AW865-IF($D$4="Forint",Paraméterek!$J$114,Paraméterek!$K$114),0,ROUNDDOWN(IF(ISBLANK($AY865),$AX865,$AY865),IF($D$4="Forint",0,2))-$AZ865)</f>
        <v>0</v>
      </c>
      <c r="BB865" s="13">
        <f t="shared" ca="1" si="297"/>
        <v>0</v>
      </c>
      <c r="BD865" s="32">
        <v>846</v>
      </c>
      <c r="BE865" s="32">
        <v>71</v>
      </c>
      <c r="BF865" s="32">
        <v>6</v>
      </c>
      <c r="BG865" s="34">
        <f t="shared" ca="1" si="306"/>
        <v>2089</v>
      </c>
      <c r="BH865" s="32" t="str">
        <f ca="1">IF(MOD(MONTH($D$14)+$BD865-1,12)=Paraméterek!$C$288,"Igen","")</f>
        <v/>
      </c>
      <c r="BI865" s="13">
        <f ca="1">IF($BH865="Igen",MIN(ROUNDDOWN((SUMIF($BG$20:$BG$1027,$BG865-1,$K$20:$K$1027)-SUMIF($BG$20:$BG$1027,$BG865-1,$I$20:$I$1027))*Paraméterek!$C$289,IF($D$4="Forint",0,2)),IF($D$4="Forint",Paraméterek!$C$285,Paraméterek!$D$285)),0)</f>
        <v>0</v>
      </c>
      <c r="BJ865" s="13">
        <f t="shared" ca="1" si="298"/>
        <v>0</v>
      </c>
      <c r="BK865" s="13">
        <f t="shared" ca="1" si="307"/>
        <v>0</v>
      </c>
      <c r="BL865" s="33"/>
      <c r="BM865" s="13">
        <f t="shared" ca="1" si="299"/>
        <v>0</v>
      </c>
      <c r="BN865" s="13">
        <f ca="1">ROUNDUP(($BK865+$BM865)*VLOOKUP($BE865,Paraméterek!$P$38:$Q$38,2)/12*IF($D866="Nem",IF($M$13=0,1,$M$13),1),IF($D$4="Forint",0,2))</f>
        <v>0</v>
      </c>
      <c r="BO865" s="13">
        <f t="shared" ca="1" si="300"/>
        <v>0</v>
      </c>
      <c r="BP865" s="13">
        <f ca="1">IF($D866="Nem",$BO865,$BO865-ROUNDUP(SUM($BI$20:$BI865)*120%,IF($D$4="Forint",0,2)))</f>
        <v>0</v>
      </c>
    </row>
    <row r="866" spans="1:68" x14ac:dyDescent="0.2">
      <c r="A866" s="32">
        <v>847</v>
      </c>
      <c r="B866" s="32">
        <v>71</v>
      </c>
      <c r="C866" s="32">
        <v>7</v>
      </c>
      <c r="D866" s="32" t="str">
        <f t="shared" ca="1" si="286"/>
        <v>Nem</v>
      </c>
      <c r="E866" s="13">
        <f t="shared" ca="1" si="287"/>
        <v>0</v>
      </c>
      <c r="F866" s="13"/>
      <c r="G866" s="13"/>
      <c r="H866" s="13"/>
      <c r="I866" s="13">
        <f t="shared" ca="1" si="288"/>
        <v>0</v>
      </c>
      <c r="J866" s="13">
        <f t="shared" ca="1" si="289"/>
        <v>0</v>
      </c>
      <c r="K866" s="13">
        <f t="shared" ca="1" si="290"/>
        <v>0</v>
      </c>
      <c r="L866" s="13" t="e">
        <f ca="1">ROUNDUP(IF($D$2="Egyszeri",$E866,IF($D$2="Havi",SUM($E$20:$E$31),IF(MOD($C866,$M$1)-1=0,SUM($E$20:$E$31),0))/12*$M$1)*VLOOKUP($B866,Paraméterek!$I$28:$P$31,IF($D$2="Egyszeri",8,HLOOKUP(ROUNDUP($M$11+$M$13,0),Paraméterek!$J$26:$O$27,2))),IF($D$4="Forint",0,2))</f>
        <v>#N/A</v>
      </c>
      <c r="M866" s="13">
        <f t="shared" ca="1" si="291"/>
        <v>0</v>
      </c>
      <c r="N866" s="13">
        <f t="shared" ca="1" si="301"/>
        <v>0</v>
      </c>
      <c r="O866" s="13">
        <f ca="1">IF($D866="Igen",IF($W865&gt;=IF($D$4="Forint",Paraméterek!$J$121,Paraméterek!$K$121),0,IF($D$4="Forint",Paraméterek!$J$121,Paraméterek!$K$121)-$W865),0)</f>
        <v>0</v>
      </c>
      <c r="P866" s="13" t="e">
        <f ca="1">ROUNDUP($O866*VLOOKUP($M$4+$B866-1,Paraméterek!$H$58:$I$105,2,0)/Paraméterek!$I$56,IF($D$4="Forint",0,2))</f>
        <v>#N/A</v>
      </c>
      <c r="Q866" s="13">
        <f t="shared" ca="1" si="292"/>
        <v>0</v>
      </c>
      <c r="R866" s="33"/>
      <c r="S866" s="13" t="e">
        <f t="shared" ca="1" si="293"/>
        <v>#N/A</v>
      </c>
      <c r="T866" s="13" t="e">
        <f ca="1">ROUNDUP(($N866-$P866-$Q866+$S866)*VLOOKUP($B866,Paraméterek!$I$38:$K$39,IF($D$2="Egyszeri",3,2))/12*IF($D867="Nem",IF($M$13=0,1,$M$13),1),IF($D$4="Forint",0,2))</f>
        <v>#N/A</v>
      </c>
      <c r="U866" s="13"/>
      <c r="V866" s="13"/>
      <c r="W866" s="13" t="e">
        <f ca="1">$N866-$P866-$Q866+$S866-$T866-IF(ROUNDUP(IF(ISBLANK($V866),$U866*0,$V866)/IF($D$2="Egyszeri",VLOOKUP($B866+IF($C866=12,1,0),Paraméterek!$V$257:$W$262,2),IF($B866=1,1,VLOOKUP($B866+IF($C866=12,1,0),Paraméterek!$I$258:$T$278,HLOOKUP($M$11+1,Paraméterek!$J$256:$T$257,2)))),IF($D$4="Forint",0,2))&gt;$N866-$P866-$Q866+$S866-$T866-IF($D$4="Forint",Paraméterek!$C$216,Paraméterek!$D$216),0,ROUNDUP(IF(ISBLANK($V866),$U866*0,$V866)/IF($D$2="Egyszeri",VLOOKUP($B866+IF($C866=12,1,0),Paraméterek!$V$257:$W$262,2),IF($B866=1,1,VLOOKUP($B866+IF($C866=12,1,0),Paraméterek!$I$258:$T$278,HLOOKUP($M$11+1,Paraméterek!$J$256:$T$257,2)))),IF($D$4="Forint",0,2)))</f>
        <v>#N/A</v>
      </c>
      <c r="X866" s="13" t="e">
        <f ca="1">ROUNDDOWN($W866*IF($D$2="Egyszeri",VLOOKUP($B866+IF($C866=12,1,0),Paraméterek!$V$257:$W$262,2),VLOOKUP($B866+IF($C866=12,1,0),Paraméterek!$I$258:$T$278,HLOOKUP($M$11+1,Paraméterek!$I$256:$T$257,2))),IF($D$4="Forint",0,2))</f>
        <v>#N/A</v>
      </c>
      <c r="Z866" s="32">
        <v>847</v>
      </c>
      <c r="AA866" s="32">
        <v>71</v>
      </c>
      <c r="AB866" s="32">
        <v>7</v>
      </c>
      <c r="AC866" s="13">
        <f t="shared" ca="1" si="302"/>
        <v>0</v>
      </c>
      <c r="AD866" s="33"/>
      <c r="AE866" s="13">
        <f t="shared" ca="1" si="294"/>
        <v>0</v>
      </c>
      <c r="AF866" s="13">
        <f ca="1">ROUNDUP(($AC866+$AE866)*VLOOKUP($AA866,Paraméterek!$P$38:$Q$38,2)/12*IF($D867="Nem",IF($M$13=0,1,$M$13),1),IF($D$4="Forint",0,2))</f>
        <v>0</v>
      </c>
      <c r="AG866" s="13">
        <f ca="1">IF($D$2="Egyszeri",IF($D$7&gt;=IF($D$4="Forint",Paraméterek!$P$223,Paraméterek!$P$224),$D$7-IF($D$4="Forint",Paraméterek!$P$223,Paraméterek!$P$224),0),MIN(IF($AB866=12,AVERAGEIF($E$20:$E866,"&gt;0",$E$20:$E866)*12,0),SUM($E$20:$E$31)))</f>
        <v>0</v>
      </c>
      <c r="AH866" s="13">
        <f>IF($AA866=10,$AG866*IF($AB866=12,IF($AG866&lt;IF($D$4="Forint",Paraméterek!$L$223,Paraméterek!$L$224),0,VLOOKUP($AA866,Paraméterek!$K$226:$M$228,IF($AG866&lt;IF($D$4="Forint",Paraméterek!$M$223,Paraméterek!$M$224),2,3))),0),0)</f>
        <v>0</v>
      </c>
      <c r="AI866" s="13">
        <f ca="1">IF(AND($AA866=$M$11+1,$AB866=$M$12+1),SUMIF($AA$20:$AA$1027,$AA866,$AG$20:$AG$1027)*IF(SUMIF($AA$20:$AA$1027,$AA866,$AG$20:$AG$1027)&lt;IF($D$4="Forint",Paraméterek!$L$223,Paraméterek!$L$224),0,VLOOKUP($AA866,Paraméterek!$K$230:$M$250,IF(SUMIF($AA$20:$AA$1027,$AA866,$AG$20:$AG$1027)&lt;IF($D$4="Forint",Paraméterek!$M$223,Paraméterek!$M$224),2,3))),0)</f>
        <v>0</v>
      </c>
      <c r="AJ866" s="13">
        <f ca="1">IF(AND($AA866&gt;=5,MOD($AA866,5)=0),IF($AB866=12,VLOOKUP($AA866,Paraméterek!$O$225:$P$240,2),0),IF(OR($AA866=3,$AA866=4),IF($AB866=12,VLOOKUP($AA866,Paraméterek!$O$225:$P$240,2,0),0),0))*$AG866</f>
        <v>0</v>
      </c>
      <c r="AK866" s="13">
        <f t="shared" ca="1" si="295"/>
        <v>0</v>
      </c>
      <c r="AL866" s="13">
        <f t="shared" ca="1" si="303"/>
        <v>0</v>
      </c>
      <c r="AM866" s="13">
        <f t="shared" ca="1" si="304"/>
        <v>0</v>
      </c>
      <c r="AO866" s="32">
        <v>847</v>
      </c>
      <c r="AP866" s="32">
        <v>71</v>
      </c>
      <c r="AQ866" s="32">
        <v>7</v>
      </c>
      <c r="AR866" s="13"/>
      <c r="AS866" s="32"/>
      <c r="AT866" s="13">
        <f t="shared" ca="1" si="305"/>
        <v>0</v>
      </c>
      <c r="AU866" s="33"/>
      <c r="AV866" s="13">
        <f t="shared" ca="1" si="296"/>
        <v>0</v>
      </c>
      <c r="AW866" s="13">
        <f ca="1">ROUNDUP(($AT866+$AV866)*VLOOKUP($AP866,Paraméterek!$P$38:$Q$38,2)/12*IF($D867="Nem",IF($M$13=0,1,$M$13),1),IF($D$4="Forint",0,2))</f>
        <v>0</v>
      </c>
      <c r="AX866" s="13"/>
      <c r="AY866" s="13"/>
      <c r="AZ866" s="13">
        <f>ROUNDUP(IF(SUM($AX866:$AY866)=0,0,IF(IF(ISBLANK($AY866),$AX866,$AY866)*Paraméterek!$J$112&lt;IF($D$4="Forint",Paraméterek!$J$113,Paraméterek!$K$113),IF($D$4="Forint",Paraméterek!$J$113,Paraméterek!$K$113),IF(IF(ISBLANK($AY866),$AX866,$AY866)*Paraméterek!$J$112&gt;IF($D$4="Forint",Paraméterek!$J$114,Paraméterek!$K$114),IF($D$4="Forint",Paraméterek!$J$114,Paraméterek!$K$114),IF(ISBLANK($AY866),$AX866,$AY866)*Paraméterek!$J$112))),IF($D$4="Forint",0,2))</f>
        <v>0</v>
      </c>
      <c r="BA866" s="13">
        <f ca="1">$AT866+$AV866-$AW866-IF(ROUNDDOWN(IF(ISBLANK($AY866),$AX866,$AY866),IF($D$4="Forint",0,2))&gt;$AT866+$AV866-$AW866-IF($D$4="Forint",Paraméterek!$J$114,Paraméterek!$K$114),0,ROUNDDOWN(IF(ISBLANK($AY866),$AX866,$AY866),IF($D$4="Forint",0,2))-$AZ866)</f>
        <v>0</v>
      </c>
      <c r="BB866" s="13">
        <f t="shared" ca="1" si="297"/>
        <v>0</v>
      </c>
      <c r="BD866" s="32">
        <v>847</v>
      </c>
      <c r="BE866" s="32">
        <v>71</v>
      </c>
      <c r="BF866" s="32">
        <v>7</v>
      </c>
      <c r="BG866" s="34">
        <f t="shared" ca="1" si="306"/>
        <v>2089</v>
      </c>
      <c r="BH866" s="32" t="str">
        <f ca="1">IF(MOD(MONTH($D$14)+$BD866-1,12)=Paraméterek!$C$288,"Igen","")</f>
        <v/>
      </c>
      <c r="BI866" s="13">
        <f ca="1">IF($BH866="Igen",MIN(ROUNDDOWN((SUMIF($BG$20:$BG$1027,$BG866-1,$K$20:$K$1027)-SUMIF($BG$20:$BG$1027,$BG866-1,$I$20:$I$1027))*Paraméterek!$C$289,IF($D$4="Forint",0,2)),IF($D$4="Forint",Paraméterek!$C$285,Paraméterek!$D$285)),0)</f>
        <v>0</v>
      </c>
      <c r="BJ866" s="13">
        <f t="shared" ca="1" si="298"/>
        <v>0</v>
      </c>
      <c r="BK866" s="13">
        <f t="shared" ca="1" si="307"/>
        <v>0</v>
      </c>
      <c r="BL866" s="33"/>
      <c r="BM866" s="13">
        <f t="shared" ca="1" si="299"/>
        <v>0</v>
      </c>
      <c r="BN866" s="13">
        <f ca="1">ROUNDUP(($BK866+$BM866)*VLOOKUP($BE866,Paraméterek!$P$38:$Q$38,2)/12*IF($D867="Nem",IF($M$13=0,1,$M$13),1),IF($D$4="Forint",0,2))</f>
        <v>0</v>
      </c>
      <c r="BO866" s="13">
        <f t="shared" ca="1" si="300"/>
        <v>0</v>
      </c>
      <c r="BP866" s="13">
        <f ca="1">IF($D867="Nem",$BO866,$BO866-ROUNDUP(SUM($BI$20:$BI866)*120%,IF($D$4="Forint",0,2)))</f>
        <v>0</v>
      </c>
    </row>
    <row r="867" spans="1:68" x14ac:dyDescent="0.2">
      <c r="A867" s="32">
        <v>848</v>
      </c>
      <c r="B867" s="32">
        <v>71</v>
      </c>
      <c r="C867" s="32">
        <v>8</v>
      </c>
      <c r="D867" s="32" t="str">
        <f t="shared" ca="1" si="286"/>
        <v>Nem</v>
      </c>
      <c r="E867" s="13">
        <f t="shared" ca="1" si="287"/>
        <v>0</v>
      </c>
      <c r="F867" s="13"/>
      <c r="G867" s="13"/>
      <c r="H867" s="13"/>
      <c r="I867" s="13">
        <f t="shared" ca="1" si="288"/>
        <v>0</v>
      </c>
      <c r="J867" s="13">
        <f t="shared" ca="1" si="289"/>
        <v>0</v>
      </c>
      <c r="K867" s="13">
        <f t="shared" ca="1" si="290"/>
        <v>0</v>
      </c>
      <c r="L867" s="13" t="e">
        <f ca="1">ROUNDUP(IF($D$2="Egyszeri",$E867,IF($D$2="Havi",SUM($E$20:$E$31),IF(MOD($C867,$M$1)-1=0,SUM($E$20:$E$31),0))/12*$M$1)*VLOOKUP($B867,Paraméterek!$I$28:$P$31,IF($D$2="Egyszeri",8,HLOOKUP(ROUNDUP($M$11+$M$13,0),Paraméterek!$J$26:$O$27,2))),IF($D$4="Forint",0,2))</f>
        <v>#N/A</v>
      </c>
      <c r="M867" s="13">
        <f t="shared" ca="1" si="291"/>
        <v>0</v>
      </c>
      <c r="N867" s="13">
        <f t="shared" ca="1" si="301"/>
        <v>0</v>
      </c>
      <c r="O867" s="13">
        <f ca="1">IF($D867="Igen",IF($W866&gt;=IF($D$4="Forint",Paraméterek!$J$121,Paraméterek!$K$121),0,IF($D$4="Forint",Paraméterek!$J$121,Paraméterek!$K$121)-$W866),0)</f>
        <v>0</v>
      </c>
      <c r="P867" s="13" t="e">
        <f ca="1">ROUNDUP($O867*VLOOKUP($M$4+$B867-1,Paraméterek!$H$58:$I$105,2,0)/Paraméterek!$I$56,IF($D$4="Forint",0,2))</f>
        <v>#N/A</v>
      </c>
      <c r="Q867" s="13">
        <f t="shared" ca="1" si="292"/>
        <v>0</v>
      </c>
      <c r="R867" s="33"/>
      <c r="S867" s="13" t="e">
        <f t="shared" ca="1" si="293"/>
        <v>#N/A</v>
      </c>
      <c r="T867" s="13" t="e">
        <f ca="1">ROUNDUP(($N867-$P867-$Q867+$S867)*VLOOKUP($B867,Paraméterek!$I$38:$K$39,IF($D$2="Egyszeri",3,2))/12*IF($D868="Nem",IF($M$13=0,1,$M$13),1),IF($D$4="Forint",0,2))</f>
        <v>#N/A</v>
      </c>
      <c r="U867" s="13"/>
      <c r="V867" s="13"/>
      <c r="W867" s="13" t="e">
        <f ca="1">$N867-$P867-$Q867+$S867-$T867-IF(ROUNDUP(IF(ISBLANK($V867),$U867*0,$V867)/IF($D$2="Egyszeri",VLOOKUP($B867+IF($C867=12,1,0),Paraméterek!$V$257:$W$262,2),IF($B867=1,1,VLOOKUP($B867+IF($C867=12,1,0),Paraméterek!$I$258:$T$278,HLOOKUP($M$11+1,Paraméterek!$J$256:$T$257,2)))),IF($D$4="Forint",0,2))&gt;$N867-$P867-$Q867+$S867-$T867-IF($D$4="Forint",Paraméterek!$C$216,Paraméterek!$D$216),0,ROUNDUP(IF(ISBLANK($V867),$U867*0,$V867)/IF($D$2="Egyszeri",VLOOKUP($B867+IF($C867=12,1,0),Paraméterek!$V$257:$W$262,2),IF($B867=1,1,VLOOKUP($B867+IF($C867=12,1,0),Paraméterek!$I$258:$T$278,HLOOKUP($M$11+1,Paraméterek!$J$256:$T$257,2)))),IF($D$4="Forint",0,2)))</f>
        <v>#N/A</v>
      </c>
      <c r="X867" s="13" t="e">
        <f ca="1">ROUNDDOWN($W867*IF($D$2="Egyszeri",VLOOKUP($B867+IF($C867=12,1,0),Paraméterek!$V$257:$W$262,2),VLOOKUP($B867+IF($C867=12,1,0),Paraméterek!$I$258:$T$278,HLOOKUP($M$11+1,Paraméterek!$I$256:$T$257,2))),IF($D$4="Forint",0,2))</f>
        <v>#N/A</v>
      </c>
      <c r="Z867" s="32">
        <v>848</v>
      </c>
      <c r="AA867" s="32">
        <v>71</v>
      </c>
      <c r="AB867" s="32">
        <v>8</v>
      </c>
      <c r="AC867" s="13">
        <f t="shared" ca="1" si="302"/>
        <v>0</v>
      </c>
      <c r="AD867" s="33"/>
      <c r="AE867" s="13">
        <f t="shared" ca="1" si="294"/>
        <v>0</v>
      </c>
      <c r="AF867" s="13">
        <f ca="1">ROUNDUP(($AC867+$AE867)*VLOOKUP($AA867,Paraméterek!$P$38:$Q$38,2)/12*IF($D868="Nem",IF($M$13=0,1,$M$13),1),IF($D$4="Forint",0,2))</f>
        <v>0</v>
      </c>
      <c r="AG867" s="13">
        <f ca="1">IF($D$2="Egyszeri",IF($D$7&gt;=IF($D$4="Forint",Paraméterek!$P$223,Paraméterek!$P$224),$D$7-IF($D$4="Forint",Paraméterek!$P$223,Paraméterek!$P$224),0),MIN(IF($AB867=12,AVERAGEIF($E$20:$E867,"&gt;0",$E$20:$E867)*12,0),SUM($E$20:$E$31)))</f>
        <v>0</v>
      </c>
      <c r="AH867" s="13">
        <f>IF($AA867=10,$AG867*IF($AB867=12,IF($AG867&lt;IF($D$4="Forint",Paraméterek!$L$223,Paraméterek!$L$224),0,VLOOKUP($AA867,Paraméterek!$K$226:$M$228,IF($AG867&lt;IF($D$4="Forint",Paraméterek!$M$223,Paraméterek!$M$224),2,3))),0),0)</f>
        <v>0</v>
      </c>
      <c r="AI867" s="13">
        <f ca="1">IF(AND($AA867=$M$11+1,$AB867=$M$12+1),SUMIF($AA$20:$AA$1027,$AA867,$AG$20:$AG$1027)*IF(SUMIF($AA$20:$AA$1027,$AA867,$AG$20:$AG$1027)&lt;IF($D$4="Forint",Paraméterek!$L$223,Paraméterek!$L$224),0,VLOOKUP($AA867,Paraméterek!$K$230:$M$250,IF(SUMIF($AA$20:$AA$1027,$AA867,$AG$20:$AG$1027)&lt;IF($D$4="Forint",Paraméterek!$M$223,Paraméterek!$M$224),2,3))),0)</f>
        <v>0</v>
      </c>
      <c r="AJ867" s="13">
        <f ca="1">IF(AND($AA867&gt;=5,MOD($AA867,5)=0),IF($AB867=12,VLOOKUP($AA867,Paraméterek!$O$225:$P$240,2),0),IF(OR($AA867=3,$AA867=4),IF($AB867=12,VLOOKUP($AA867,Paraméterek!$O$225:$P$240,2,0),0),0))*$AG867</f>
        <v>0</v>
      </c>
      <c r="AK867" s="13">
        <f t="shared" ca="1" si="295"/>
        <v>0</v>
      </c>
      <c r="AL867" s="13">
        <f t="shared" ca="1" si="303"/>
        <v>0</v>
      </c>
      <c r="AM867" s="13">
        <f t="shared" ca="1" si="304"/>
        <v>0</v>
      </c>
      <c r="AO867" s="32">
        <v>848</v>
      </c>
      <c r="AP867" s="32">
        <v>71</v>
      </c>
      <c r="AQ867" s="32">
        <v>8</v>
      </c>
      <c r="AR867" s="13"/>
      <c r="AS867" s="32"/>
      <c r="AT867" s="13">
        <f t="shared" ca="1" si="305"/>
        <v>0</v>
      </c>
      <c r="AU867" s="33"/>
      <c r="AV867" s="13">
        <f t="shared" ca="1" si="296"/>
        <v>0</v>
      </c>
      <c r="AW867" s="13">
        <f ca="1">ROUNDUP(($AT867+$AV867)*VLOOKUP($AP867,Paraméterek!$P$38:$Q$38,2)/12*IF($D868="Nem",IF($M$13=0,1,$M$13),1),IF($D$4="Forint",0,2))</f>
        <v>0</v>
      </c>
      <c r="AX867" s="13"/>
      <c r="AY867" s="13"/>
      <c r="AZ867" s="13">
        <f>ROUNDUP(IF(SUM($AX867:$AY867)=0,0,IF(IF(ISBLANK($AY867),$AX867,$AY867)*Paraméterek!$J$112&lt;IF($D$4="Forint",Paraméterek!$J$113,Paraméterek!$K$113),IF($D$4="Forint",Paraméterek!$J$113,Paraméterek!$K$113),IF(IF(ISBLANK($AY867),$AX867,$AY867)*Paraméterek!$J$112&gt;IF($D$4="Forint",Paraméterek!$J$114,Paraméterek!$K$114),IF($D$4="Forint",Paraméterek!$J$114,Paraméterek!$K$114),IF(ISBLANK($AY867),$AX867,$AY867)*Paraméterek!$J$112))),IF($D$4="Forint",0,2))</f>
        <v>0</v>
      </c>
      <c r="BA867" s="13">
        <f ca="1">$AT867+$AV867-$AW867-IF(ROUNDDOWN(IF(ISBLANK($AY867),$AX867,$AY867),IF($D$4="Forint",0,2))&gt;$AT867+$AV867-$AW867-IF($D$4="Forint",Paraméterek!$J$114,Paraméterek!$K$114),0,ROUNDDOWN(IF(ISBLANK($AY867),$AX867,$AY867),IF($D$4="Forint",0,2))-$AZ867)</f>
        <v>0</v>
      </c>
      <c r="BB867" s="13">
        <f t="shared" ca="1" si="297"/>
        <v>0</v>
      </c>
      <c r="BD867" s="32">
        <v>848</v>
      </c>
      <c r="BE867" s="32">
        <v>71</v>
      </c>
      <c r="BF867" s="32">
        <v>8</v>
      </c>
      <c r="BG867" s="34">
        <f t="shared" ca="1" si="306"/>
        <v>2090</v>
      </c>
      <c r="BH867" s="32" t="str">
        <f ca="1">IF(MOD(MONTH($D$14)+$BD867-1,12)=Paraméterek!$C$288,"Igen","")</f>
        <v/>
      </c>
      <c r="BI867" s="13">
        <f ca="1">IF($BH867="Igen",MIN(ROUNDDOWN((SUMIF($BG$20:$BG$1027,$BG867-1,$K$20:$K$1027)-SUMIF($BG$20:$BG$1027,$BG867-1,$I$20:$I$1027))*Paraméterek!$C$289,IF($D$4="Forint",0,2)),IF($D$4="Forint",Paraméterek!$C$285,Paraméterek!$D$285)),0)</f>
        <v>0</v>
      </c>
      <c r="BJ867" s="13">
        <f t="shared" ca="1" si="298"/>
        <v>0</v>
      </c>
      <c r="BK867" s="13">
        <f t="shared" ca="1" si="307"/>
        <v>0</v>
      </c>
      <c r="BL867" s="33"/>
      <c r="BM867" s="13">
        <f t="shared" ca="1" si="299"/>
        <v>0</v>
      </c>
      <c r="BN867" s="13">
        <f ca="1">ROUNDUP(($BK867+$BM867)*VLOOKUP($BE867,Paraméterek!$P$38:$Q$38,2)/12*IF($D868="Nem",IF($M$13=0,1,$M$13),1),IF($D$4="Forint",0,2))</f>
        <v>0</v>
      </c>
      <c r="BO867" s="13">
        <f t="shared" ca="1" si="300"/>
        <v>0</v>
      </c>
      <c r="BP867" s="13">
        <f ca="1">IF($D868="Nem",$BO867,$BO867-ROUNDUP(SUM($BI$20:$BI867)*120%,IF($D$4="Forint",0,2)))</f>
        <v>0</v>
      </c>
    </row>
    <row r="868" spans="1:68" x14ac:dyDescent="0.2">
      <c r="A868" s="32">
        <v>849</v>
      </c>
      <c r="B868" s="32">
        <v>71</v>
      </c>
      <c r="C868" s="32">
        <v>9</v>
      </c>
      <c r="D868" s="32" t="str">
        <f t="shared" ca="1" si="286"/>
        <v>Nem</v>
      </c>
      <c r="E868" s="13">
        <f t="shared" ca="1" si="287"/>
        <v>0</v>
      </c>
      <c r="F868" s="13"/>
      <c r="G868" s="13"/>
      <c r="H868" s="13"/>
      <c r="I868" s="13">
        <f t="shared" ca="1" si="288"/>
        <v>0</v>
      </c>
      <c r="J868" s="13">
        <f t="shared" ca="1" si="289"/>
        <v>0</v>
      </c>
      <c r="K868" s="13">
        <f t="shared" ca="1" si="290"/>
        <v>0</v>
      </c>
      <c r="L868" s="13" t="e">
        <f ca="1">ROUNDUP(IF($D$2="Egyszeri",$E868,IF($D$2="Havi",SUM($E$20:$E$31),IF(MOD($C868,$M$1)-1=0,SUM($E$20:$E$31),0))/12*$M$1)*VLOOKUP($B868,Paraméterek!$I$28:$P$31,IF($D$2="Egyszeri",8,HLOOKUP(ROUNDUP($M$11+$M$13,0),Paraméterek!$J$26:$O$27,2))),IF($D$4="Forint",0,2))</f>
        <v>#N/A</v>
      </c>
      <c r="M868" s="13">
        <f t="shared" ca="1" si="291"/>
        <v>0</v>
      </c>
      <c r="N868" s="13">
        <f t="shared" ca="1" si="301"/>
        <v>0</v>
      </c>
      <c r="O868" s="13">
        <f ca="1">IF($D868="Igen",IF($W867&gt;=IF($D$4="Forint",Paraméterek!$J$121,Paraméterek!$K$121),0,IF($D$4="Forint",Paraméterek!$J$121,Paraméterek!$K$121)-$W867),0)</f>
        <v>0</v>
      </c>
      <c r="P868" s="13" t="e">
        <f ca="1">ROUNDUP($O868*VLOOKUP($M$4+$B868-1,Paraméterek!$H$58:$I$105,2,0)/Paraméterek!$I$56,IF($D$4="Forint",0,2))</f>
        <v>#N/A</v>
      </c>
      <c r="Q868" s="13">
        <f t="shared" ca="1" si="292"/>
        <v>0</v>
      </c>
      <c r="R868" s="33"/>
      <c r="S868" s="13" t="e">
        <f t="shared" ca="1" si="293"/>
        <v>#N/A</v>
      </c>
      <c r="T868" s="13" t="e">
        <f ca="1">ROUNDUP(($N868-$P868-$Q868+$S868)*VLOOKUP($B868,Paraméterek!$I$38:$K$39,IF($D$2="Egyszeri",3,2))/12*IF($D869="Nem",IF($M$13=0,1,$M$13),1),IF($D$4="Forint",0,2))</f>
        <v>#N/A</v>
      </c>
      <c r="U868" s="13"/>
      <c r="V868" s="13"/>
      <c r="W868" s="13" t="e">
        <f ca="1">$N868-$P868-$Q868+$S868-$T868-IF(ROUNDUP(IF(ISBLANK($V868),$U868*0,$V868)/IF($D$2="Egyszeri",VLOOKUP($B868+IF($C868=12,1,0),Paraméterek!$V$257:$W$262,2),IF($B868=1,1,VLOOKUP($B868+IF($C868=12,1,0),Paraméterek!$I$258:$T$278,HLOOKUP($M$11+1,Paraméterek!$J$256:$T$257,2)))),IF($D$4="Forint",0,2))&gt;$N868-$P868-$Q868+$S868-$T868-IF($D$4="Forint",Paraméterek!$C$216,Paraméterek!$D$216),0,ROUNDUP(IF(ISBLANK($V868),$U868*0,$V868)/IF($D$2="Egyszeri",VLOOKUP($B868+IF($C868=12,1,0),Paraméterek!$V$257:$W$262,2),IF($B868=1,1,VLOOKUP($B868+IF($C868=12,1,0),Paraméterek!$I$258:$T$278,HLOOKUP($M$11+1,Paraméterek!$J$256:$T$257,2)))),IF($D$4="Forint",0,2)))</f>
        <v>#N/A</v>
      </c>
      <c r="X868" s="13" t="e">
        <f ca="1">ROUNDDOWN($W868*IF($D$2="Egyszeri",VLOOKUP($B868+IF($C868=12,1,0),Paraméterek!$V$257:$W$262,2),VLOOKUP($B868+IF($C868=12,1,0),Paraméterek!$I$258:$T$278,HLOOKUP($M$11+1,Paraméterek!$I$256:$T$257,2))),IF($D$4="Forint",0,2))</f>
        <v>#N/A</v>
      </c>
      <c r="Z868" s="32">
        <v>849</v>
      </c>
      <c r="AA868" s="32">
        <v>71</v>
      </c>
      <c r="AB868" s="32">
        <v>9</v>
      </c>
      <c r="AC868" s="13">
        <f t="shared" ca="1" si="302"/>
        <v>0</v>
      </c>
      <c r="AD868" s="33"/>
      <c r="AE868" s="13">
        <f t="shared" ca="1" si="294"/>
        <v>0</v>
      </c>
      <c r="AF868" s="13">
        <f ca="1">ROUNDUP(($AC868+$AE868)*VLOOKUP($AA868,Paraméterek!$P$38:$Q$38,2)/12*IF($D869="Nem",IF($M$13=0,1,$M$13),1),IF($D$4="Forint",0,2))</f>
        <v>0</v>
      </c>
      <c r="AG868" s="13">
        <f ca="1">IF($D$2="Egyszeri",IF($D$7&gt;=IF($D$4="Forint",Paraméterek!$P$223,Paraméterek!$P$224),$D$7-IF($D$4="Forint",Paraméterek!$P$223,Paraméterek!$P$224),0),MIN(IF($AB868=12,AVERAGEIF($E$20:$E868,"&gt;0",$E$20:$E868)*12,0),SUM($E$20:$E$31)))</f>
        <v>0</v>
      </c>
      <c r="AH868" s="13">
        <f>IF($AA868=10,$AG868*IF($AB868=12,IF($AG868&lt;IF($D$4="Forint",Paraméterek!$L$223,Paraméterek!$L$224),0,VLOOKUP($AA868,Paraméterek!$K$226:$M$228,IF($AG868&lt;IF($D$4="Forint",Paraméterek!$M$223,Paraméterek!$M$224),2,3))),0),0)</f>
        <v>0</v>
      </c>
      <c r="AI868" s="13">
        <f ca="1">IF(AND($AA868=$M$11+1,$AB868=$M$12+1),SUMIF($AA$20:$AA$1027,$AA868,$AG$20:$AG$1027)*IF(SUMIF($AA$20:$AA$1027,$AA868,$AG$20:$AG$1027)&lt;IF($D$4="Forint",Paraméterek!$L$223,Paraméterek!$L$224),0,VLOOKUP($AA868,Paraméterek!$K$230:$M$250,IF(SUMIF($AA$20:$AA$1027,$AA868,$AG$20:$AG$1027)&lt;IF($D$4="Forint",Paraméterek!$M$223,Paraméterek!$M$224),2,3))),0)</f>
        <v>0</v>
      </c>
      <c r="AJ868" s="13">
        <f ca="1">IF(AND($AA868&gt;=5,MOD($AA868,5)=0),IF($AB868=12,VLOOKUP($AA868,Paraméterek!$O$225:$P$240,2),0),IF(OR($AA868=3,$AA868=4),IF($AB868=12,VLOOKUP($AA868,Paraméterek!$O$225:$P$240,2,0),0),0))*$AG868</f>
        <v>0</v>
      </c>
      <c r="AK868" s="13">
        <f t="shared" ca="1" si="295"/>
        <v>0</v>
      </c>
      <c r="AL868" s="13">
        <f t="shared" ca="1" si="303"/>
        <v>0</v>
      </c>
      <c r="AM868" s="13">
        <f t="shared" ca="1" si="304"/>
        <v>0</v>
      </c>
      <c r="AO868" s="32">
        <v>849</v>
      </c>
      <c r="AP868" s="32">
        <v>71</v>
      </c>
      <c r="AQ868" s="32">
        <v>9</v>
      </c>
      <c r="AR868" s="13"/>
      <c r="AS868" s="32"/>
      <c r="AT868" s="13">
        <f t="shared" ca="1" si="305"/>
        <v>0</v>
      </c>
      <c r="AU868" s="33"/>
      <c r="AV868" s="13">
        <f t="shared" ca="1" si="296"/>
        <v>0</v>
      </c>
      <c r="AW868" s="13">
        <f ca="1">ROUNDUP(($AT868+$AV868)*VLOOKUP($AP868,Paraméterek!$P$38:$Q$38,2)/12*IF($D869="Nem",IF($M$13=0,1,$M$13),1),IF($D$4="Forint",0,2))</f>
        <v>0</v>
      </c>
      <c r="AX868" s="13"/>
      <c r="AY868" s="13"/>
      <c r="AZ868" s="13">
        <f>ROUNDUP(IF(SUM($AX868:$AY868)=0,0,IF(IF(ISBLANK($AY868),$AX868,$AY868)*Paraméterek!$J$112&lt;IF($D$4="Forint",Paraméterek!$J$113,Paraméterek!$K$113),IF($D$4="Forint",Paraméterek!$J$113,Paraméterek!$K$113),IF(IF(ISBLANK($AY868),$AX868,$AY868)*Paraméterek!$J$112&gt;IF($D$4="Forint",Paraméterek!$J$114,Paraméterek!$K$114),IF($D$4="Forint",Paraméterek!$J$114,Paraméterek!$K$114),IF(ISBLANK($AY868),$AX868,$AY868)*Paraméterek!$J$112))),IF($D$4="Forint",0,2))</f>
        <v>0</v>
      </c>
      <c r="BA868" s="13">
        <f ca="1">$AT868+$AV868-$AW868-IF(ROUNDDOWN(IF(ISBLANK($AY868),$AX868,$AY868),IF($D$4="Forint",0,2))&gt;$AT868+$AV868-$AW868-IF($D$4="Forint",Paraméterek!$J$114,Paraméterek!$K$114),0,ROUNDDOWN(IF(ISBLANK($AY868),$AX868,$AY868),IF($D$4="Forint",0,2))-$AZ868)</f>
        <v>0</v>
      </c>
      <c r="BB868" s="13">
        <f t="shared" ca="1" si="297"/>
        <v>0</v>
      </c>
      <c r="BD868" s="32">
        <v>849</v>
      </c>
      <c r="BE868" s="32">
        <v>71</v>
      </c>
      <c r="BF868" s="32">
        <v>9</v>
      </c>
      <c r="BG868" s="34">
        <f t="shared" ca="1" si="306"/>
        <v>2090</v>
      </c>
      <c r="BH868" s="32" t="str">
        <f ca="1">IF(MOD(MONTH($D$14)+$BD868-1,12)=Paraméterek!$C$288,"Igen","")</f>
        <v/>
      </c>
      <c r="BI868" s="13">
        <f ca="1">IF($BH868="Igen",MIN(ROUNDDOWN((SUMIF($BG$20:$BG$1027,$BG868-1,$K$20:$K$1027)-SUMIF($BG$20:$BG$1027,$BG868-1,$I$20:$I$1027))*Paraméterek!$C$289,IF($D$4="Forint",0,2)),IF($D$4="Forint",Paraméterek!$C$285,Paraméterek!$D$285)),0)</f>
        <v>0</v>
      </c>
      <c r="BJ868" s="13">
        <f t="shared" ca="1" si="298"/>
        <v>0</v>
      </c>
      <c r="BK868" s="13">
        <f t="shared" ca="1" si="307"/>
        <v>0</v>
      </c>
      <c r="BL868" s="33"/>
      <c r="BM868" s="13">
        <f t="shared" ca="1" si="299"/>
        <v>0</v>
      </c>
      <c r="BN868" s="13">
        <f ca="1">ROUNDUP(($BK868+$BM868)*VLOOKUP($BE868,Paraméterek!$P$38:$Q$38,2)/12*IF($D869="Nem",IF($M$13=0,1,$M$13),1),IF($D$4="Forint",0,2))</f>
        <v>0</v>
      </c>
      <c r="BO868" s="13">
        <f t="shared" ca="1" si="300"/>
        <v>0</v>
      </c>
      <c r="BP868" s="13">
        <f ca="1">IF($D869="Nem",$BO868,$BO868-ROUNDUP(SUM($BI$20:$BI868)*120%,IF($D$4="Forint",0,2)))</f>
        <v>0</v>
      </c>
    </row>
    <row r="869" spans="1:68" x14ac:dyDescent="0.2">
      <c r="A869" s="32">
        <v>850</v>
      </c>
      <c r="B869" s="32">
        <v>71</v>
      </c>
      <c r="C869" s="32">
        <v>10</v>
      </c>
      <c r="D869" s="32" t="str">
        <f t="shared" ca="1" si="286"/>
        <v>Nem</v>
      </c>
      <c r="E869" s="13">
        <f t="shared" ca="1" si="287"/>
        <v>0</v>
      </c>
      <c r="F869" s="13"/>
      <c r="G869" s="13"/>
      <c r="H869" s="13"/>
      <c r="I869" s="13">
        <f t="shared" ca="1" si="288"/>
        <v>0</v>
      </c>
      <c r="J869" s="13">
        <f t="shared" ca="1" si="289"/>
        <v>0</v>
      </c>
      <c r="K869" s="13">
        <f t="shared" ca="1" si="290"/>
        <v>0</v>
      </c>
      <c r="L869" s="13" t="e">
        <f ca="1">ROUNDUP(IF($D$2="Egyszeri",$E869,IF($D$2="Havi",SUM($E$20:$E$31),IF(MOD($C869,$M$1)-1=0,SUM($E$20:$E$31),0))/12*$M$1)*VLOOKUP($B869,Paraméterek!$I$28:$P$31,IF($D$2="Egyszeri",8,HLOOKUP(ROUNDUP($M$11+$M$13,0),Paraméterek!$J$26:$O$27,2))),IF($D$4="Forint",0,2))</f>
        <v>#N/A</v>
      </c>
      <c r="M869" s="13">
        <f t="shared" ca="1" si="291"/>
        <v>0</v>
      </c>
      <c r="N869" s="13">
        <f t="shared" ca="1" si="301"/>
        <v>0</v>
      </c>
      <c r="O869" s="13">
        <f ca="1">IF($D869="Igen",IF($W868&gt;=IF($D$4="Forint",Paraméterek!$J$121,Paraméterek!$K$121),0,IF($D$4="Forint",Paraméterek!$J$121,Paraméterek!$K$121)-$W868),0)</f>
        <v>0</v>
      </c>
      <c r="P869" s="13" t="e">
        <f ca="1">ROUNDUP($O869*VLOOKUP($M$4+$B869-1,Paraméterek!$H$58:$I$105,2,0)/Paraméterek!$I$56,IF($D$4="Forint",0,2))</f>
        <v>#N/A</v>
      </c>
      <c r="Q869" s="13">
        <f t="shared" ca="1" si="292"/>
        <v>0</v>
      </c>
      <c r="R869" s="33"/>
      <c r="S869" s="13" t="e">
        <f t="shared" ca="1" si="293"/>
        <v>#N/A</v>
      </c>
      <c r="T869" s="13" t="e">
        <f ca="1">ROUNDUP(($N869-$P869-$Q869+$S869)*VLOOKUP($B869,Paraméterek!$I$38:$K$39,IF($D$2="Egyszeri",3,2))/12*IF($D870="Nem",IF($M$13=0,1,$M$13),1),IF($D$4="Forint",0,2))</f>
        <v>#N/A</v>
      </c>
      <c r="U869" s="13"/>
      <c r="V869" s="13"/>
      <c r="W869" s="13" t="e">
        <f ca="1">$N869-$P869-$Q869+$S869-$T869-IF(ROUNDUP(IF(ISBLANK($V869),$U869*0,$V869)/IF($D$2="Egyszeri",VLOOKUP($B869+IF($C869=12,1,0),Paraméterek!$V$257:$W$262,2),IF($B869=1,1,VLOOKUP($B869+IF($C869=12,1,0),Paraméterek!$I$258:$T$278,HLOOKUP($M$11+1,Paraméterek!$J$256:$T$257,2)))),IF($D$4="Forint",0,2))&gt;$N869-$P869-$Q869+$S869-$T869-IF($D$4="Forint",Paraméterek!$C$216,Paraméterek!$D$216),0,ROUNDUP(IF(ISBLANK($V869),$U869*0,$V869)/IF($D$2="Egyszeri",VLOOKUP($B869+IF($C869=12,1,0),Paraméterek!$V$257:$W$262,2),IF($B869=1,1,VLOOKUP($B869+IF($C869=12,1,0),Paraméterek!$I$258:$T$278,HLOOKUP($M$11+1,Paraméterek!$J$256:$T$257,2)))),IF($D$4="Forint",0,2)))</f>
        <v>#N/A</v>
      </c>
      <c r="X869" s="13" t="e">
        <f ca="1">ROUNDDOWN($W869*IF($D$2="Egyszeri",VLOOKUP($B869+IF($C869=12,1,0),Paraméterek!$V$257:$W$262,2),VLOOKUP($B869+IF($C869=12,1,0),Paraméterek!$I$258:$T$278,HLOOKUP($M$11+1,Paraméterek!$I$256:$T$257,2))),IF($D$4="Forint",0,2))</f>
        <v>#N/A</v>
      </c>
      <c r="Z869" s="32">
        <v>850</v>
      </c>
      <c r="AA869" s="32">
        <v>71</v>
      </c>
      <c r="AB869" s="32">
        <v>10</v>
      </c>
      <c r="AC869" s="13">
        <f t="shared" ca="1" si="302"/>
        <v>0</v>
      </c>
      <c r="AD869" s="33"/>
      <c r="AE869" s="13">
        <f t="shared" ca="1" si="294"/>
        <v>0</v>
      </c>
      <c r="AF869" s="13">
        <f ca="1">ROUNDUP(($AC869+$AE869)*VLOOKUP($AA869,Paraméterek!$P$38:$Q$38,2)/12*IF($D870="Nem",IF($M$13=0,1,$M$13),1),IF($D$4="Forint",0,2))</f>
        <v>0</v>
      </c>
      <c r="AG869" s="13">
        <f ca="1">IF($D$2="Egyszeri",IF($D$7&gt;=IF($D$4="Forint",Paraméterek!$P$223,Paraméterek!$P$224),$D$7-IF($D$4="Forint",Paraméterek!$P$223,Paraméterek!$P$224),0),MIN(IF($AB869=12,AVERAGEIF($E$20:$E869,"&gt;0",$E$20:$E869)*12,0),SUM($E$20:$E$31)))</f>
        <v>0</v>
      </c>
      <c r="AH869" s="13">
        <f>IF($AA869=10,$AG869*IF($AB869=12,IF($AG869&lt;IF($D$4="Forint",Paraméterek!$L$223,Paraméterek!$L$224),0,VLOOKUP($AA869,Paraméterek!$K$226:$M$228,IF($AG869&lt;IF($D$4="Forint",Paraméterek!$M$223,Paraméterek!$M$224),2,3))),0),0)</f>
        <v>0</v>
      </c>
      <c r="AI869" s="13">
        <f ca="1">IF(AND($AA869=$M$11+1,$AB869=$M$12+1),SUMIF($AA$20:$AA$1027,$AA869,$AG$20:$AG$1027)*IF(SUMIF($AA$20:$AA$1027,$AA869,$AG$20:$AG$1027)&lt;IF($D$4="Forint",Paraméterek!$L$223,Paraméterek!$L$224),0,VLOOKUP($AA869,Paraméterek!$K$230:$M$250,IF(SUMIF($AA$20:$AA$1027,$AA869,$AG$20:$AG$1027)&lt;IF($D$4="Forint",Paraméterek!$M$223,Paraméterek!$M$224),2,3))),0)</f>
        <v>0</v>
      </c>
      <c r="AJ869" s="13">
        <f ca="1">IF(AND($AA869&gt;=5,MOD($AA869,5)=0),IF($AB869=12,VLOOKUP($AA869,Paraméterek!$O$225:$P$240,2),0),IF(OR($AA869=3,$AA869=4),IF($AB869=12,VLOOKUP($AA869,Paraméterek!$O$225:$P$240,2,0),0),0))*$AG869</f>
        <v>0</v>
      </c>
      <c r="AK869" s="13">
        <f t="shared" ca="1" si="295"/>
        <v>0</v>
      </c>
      <c r="AL869" s="13">
        <f t="shared" ca="1" si="303"/>
        <v>0</v>
      </c>
      <c r="AM869" s="13">
        <f t="shared" ca="1" si="304"/>
        <v>0</v>
      </c>
      <c r="AO869" s="32">
        <v>850</v>
      </c>
      <c r="AP869" s="32">
        <v>71</v>
      </c>
      <c r="AQ869" s="32">
        <v>10</v>
      </c>
      <c r="AR869" s="13"/>
      <c r="AS869" s="32"/>
      <c r="AT869" s="13">
        <f t="shared" ca="1" si="305"/>
        <v>0</v>
      </c>
      <c r="AU869" s="33"/>
      <c r="AV869" s="13">
        <f t="shared" ca="1" si="296"/>
        <v>0</v>
      </c>
      <c r="AW869" s="13">
        <f ca="1">ROUNDUP(($AT869+$AV869)*VLOOKUP($AP869,Paraméterek!$P$38:$Q$38,2)/12*IF($D870="Nem",IF($M$13=0,1,$M$13),1),IF($D$4="Forint",0,2))</f>
        <v>0</v>
      </c>
      <c r="AX869" s="13"/>
      <c r="AY869" s="13"/>
      <c r="AZ869" s="13">
        <f>ROUNDUP(IF(SUM($AX869:$AY869)=0,0,IF(IF(ISBLANK($AY869),$AX869,$AY869)*Paraméterek!$J$112&lt;IF($D$4="Forint",Paraméterek!$J$113,Paraméterek!$K$113),IF($D$4="Forint",Paraméterek!$J$113,Paraméterek!$K$113),IF(IF(ISBLANK($AY869),$AX869,$AY869)*Paraméterek!$J$112&gt;IF($D$4="Forint",Paraméterek!$J$114,Paraméterek!$K$114),IF($D$4="Forint",Paraméterek!$J$114,Paraméterek!$K$114),IF(ISBLANK($AY869),$AX869,$AY869)*Paraméterek!$J$112))),IF($D$4="Forint",0,2))</f>
        <v>0</v>
      </c>
      <c r="BA869" s="13">
        <f ca="1">$AT869+$AV869-$AW869-IF(ROUNDDOWN(IF(ISBLANK($AY869),$AX869,$AY869),IF($D$4="Forint",0,2))&gt;$AT869+$AV869-$AW869-IF($D$4="Forint",Paraméterek!$J$114,Paraméterek!$K$114),0,ROUNDDOWN(IF(ISBLANK($AY869),$AX869,$AY869),IF($D$4="Forint",0,2))-$AZ869)</f>
        <v>0</v>
      </c>
      <c r="BB869" s="13">
        <f t="shared" ca="1" si="297"/>
        <v>0</v>
      </c>
      <c r="BD869" s="32">
        <v>850</v>
      </c>
      <c r="BE869" s="32">
        <v>71</v>
      </c>
      <c r="BF869" s="32">
        <v>10</v>
      </c>
      <c r="BG869" s="34">
        <f t="shared" ca="1" si="306"/>
        <v>2090</v>
      </c>
      <c r="BH869" s="32" t="str">
        <f ca="1">IF(MOD(MONTH($D$14)+$BD869-1,12)=Paraméterek!$C$288,"Igen","")</f>
        <v/>
      </c>
      <c r="BI869" s="13">
        <f ca="1">IF($BH869="Igen",MIN(ROUNDDOWN((SUMIF($BG$20:$BG$1027,$BG869-1,$K$20:$K$1027)-SUMIF($BG$20:$BG$1027,$BG869-1,$I$20:$I$1027))*Paraméterek!$C$289,IF($D$4="Forint",0,2)),IF($D$4="Forint",Paraméterek!$C$285,Paraméterek!$D$285)),0)</f>
        <v>0</v>
      </c>
      <c r="BJ869" s="13">
        <f t="shared" ca="1" si="298"/>
        <v>0</v>
      </c>
      <c r="BK869" s="13">
        <f t="shared" ca="1" si="307"/>
        <v>0</v>
      </c>
      <c r="BL869" s="33"/>
      <c r="BM869" s="13">
        <f t="shared" ca="1" si="299"/>
        <v>0</v>
      </c>
      <c r="BN869" s="13">
        <f ca="1">ROUNDUP(($BK869+$BM869)*VLOOKUP($BE869,Paraméterek!$P$38:$Q$38,2)/12*IF($D870="Nem",IF($M$13=0,1,$M$13),1),IF($D$4="Forint",0,2))</f>
        <v>0</v>
      </c>
      <c r="BO869" s="13">
        <f t="shared" ca="1" si="300"/>
        <v>0</v>
      </c>
      <c r="BP869" s="13">
        <f ca="1">IF($D870="Nem",$BO869,$BO869-ROUNDUP(SUM($BI$20:$BI869)*120%,IF($D$4="Forint",0,2)))</f>
        <v>0</v>
      </c>
    </row>
    <row r="870" spans="1:68" x14ac:dyDescent="0.2">
      <c r="A870" s="32">
        <v>851</v>
      </c>
      <c r="B870" s="32">
        <v>71</v>
      </c>
      <c r="C870" s="32">
        <v>11</v>
      </c>
      <c r="D870" s="32" t="str">
        <f t="shared" ca="1" si="286"/>
        <v>Nem</v>
      </c>
      <c r="E870" s="13">
        <f t="shared" ca="1" si="287"/>
        <v>0</v>
      </c>
      <c r="F870" s="13"/>
      <c r="G870" s="13"/>
      <c r="H870" s="13"/>
      <c r="I870" s="13">
        <f t="shared" ca="1" si="288"/>
        <v>0</v>
      </c>
      <c r="J870" s="13">
        <f t="shared" ca="1" si="289"/>
        <v>0</v>
      </c>
      <c r="K870" s="13">
        <f t="shared" ca="1" si="290"/>
        <v>0</v>
      </c>
      <c r="L870" s="13" t="e">
        <f ca="1">ROUNDUP(IF($D$2="Egyszeri",$E870,IF($D$2="Havi",SUM($E$20:$E$31),IF(MOD($C870,$M$1)-1=0,SUM($E$20:$E$31),0))/12*$M$1)*VLOOKUP($B870,Paraméterek!$I$28:$P$31,IF($D$2="Egyszeri",8,HLOOKUP(ROUNDUP($M$11+$M$13,0),Paraméterek!$J$26:$O$27,2))),IF($D$4="Forint",0,2))</f>
        <v>#N/A</v>
      </c>
      <c r="M870" s="13">
        <f t="shared" ca="1" si="291"/>
        <v>0</v>
      </c>
      <c r="N870" s="13">
        <f t="shared" ca="1" si="301"/>
        <v>0</v>
      </c>
      <c r="O870" s="13">
        <f ca="1">IF($D870="Igen",IF($W869&gt;=IF($D$4="Forint",Paraméterek!$J$121,Paraméterek!$K$121),0,IF($D$4="Forint",Paraméterek!$J$121,Paraméterek!$K$121)-$W869),0)</f>
        <v>0</v>
      </c>
      <c r="P870" s="13" t="e">
        <f ca="1">ROUNDUP($O870*VLOOKUP($M$4+$B870-1,Paraméterek!$H$58:$I$105,2,0)/Paraméterek!$I$56,IF($D$4="Forint",0,2))</f>
        <v>#N/A</v>
      </c>
      <c r="Q870" s="13">
        <f t="shared" ca="1" si="292"/>
        <v>0</v>
      </c>
      <c r="R870" s="33"/>
      <c r="S870" s="13" t="e">
        <f t="shared" ca="1" si="293"/>
        <v>#N/A</v>
      </c>
      <c r="T870" s="13" t="e">
        <f ca="1">ROUNDUP(($N870-$P870-$Q870+$S870)*VLOOKUP($B870,Paraméterek!$I$38:$K$39,IF($D$2="Egyszeri",3,2))/12*IF($D871="Nem",IF($M$13=0,1,$M$13),1),IF($D$4="Forint",0,2))</f>
        <v>#N/A</v>
      </c>
      <c r="U870" s="13"/>
      <c r="V870" s="13"/>
      <c r="W870" s="13" t="e">
        <f ca="1">$N870-$P870-$Q870+$S870-$T870-IF(ROUNDUP(IF(ISBLANK($V870),$U870*0,$V870)/IF($D$2="Egyszeri",VLOOKUP($B870+IF($C870=12,1,0),Paraméterek!$V$257:$W$262,2),IF($B870=1,1,VLOOKUP($B870+IF($C870=12,1,0),Paraméterek!$I$258:$T$278,HLOOKUP($M$11+1,Paraméterek!$J$256:$T$257,2)))),IF($D$4="Forint",0,2))&gt;$N870-$P870-$Q870+$S870-$T870-IF($D$4="Forint",Paraméterek!$C$216,Paraméterek!$D$216),0,ROUNDUP(IF(ISBLANK($V870),$U870*0,$V870)/IF($D$2="Egyszeri",VLOOKUP($B870+IF($C870=12,1,0),Paraméterek!$V$257:$W$262,2),IF($B870=1,1,VLOOKUP($B870+IF($C870=12,1,0),Paraméterek!$I$258:$T$278,HLOOKUP($M$11+1,Paraméterek!$J$256:$T$257,2)))),IF($D$4="Forint",0,2)))</f>
        <v>#N/A</v>
      </c>
      <c r="X870" s="13" t="e">
        <f ca="1">ROUNDDOWN($W870*IF($D$2="Egyszeri",VLOOKUP($B870+IF($C870=12,1,0),Paraméterek!$V$257:$W$262,2),VLOOKUP($B870+IF($C870=12,1,0),Paraméterek!$I$258:$T$278,HLOOKUP($M$11+1,Paraméterek!$I$256:$T$257,2))),IF($D$4="Forint",0,2))</f>
        <v>#N/A</v>
      </c>
      <c r="Z870" s="32">
        <v>851</v>
      </c>
      <c r="AA870" s="32">
        <v>71</v>
      </c>
      <c r="AB870" s="32">
        <v>11</v>
      </c>
      <c r="AC870" s="13">
        <f t="shared" ca="1" si="302"/>
        <v>0</v>
      </c>
      <c r="AD870" s="33"/>
      <c r="AE870" s="13">
        <f t="shared" ca="1" si="294"/>
        <v>0</v>
      </c>
      <c r="AF870" s="13">
        <f ca="1">ROUNDUP(($AC870+$AE870)*VLOOKUP($AA870,Paraméterek!$P$38:$Q$38,2)/12*IF($D871="Nem",IF($M$13=0,1,$M$13),1),IF($D$4="Forint",0,2))</f>
        <v>0</v>
      </c>
      <c r="AG870" s="13">
        <f ca="1">IF($D$2="Egyszeri",IF($D$7&gt;=IF($D$4="Forint",Paraméterek!$P$223,Paraméterek!$P$224),$D$7-IF($D$4="Forint",Paraméterek!$P$223,Paraméterek!$P$224),0),MIN(IF($AB870=12,AVERAGEIF($E$20:$E870,"&gt;0",$E$20:$E870)*12,0),SUM($E$20:$E$31)))</f>
        <v>0</v>
      </c>
      <c r="AH870" s="13">
        <f>IF($AA870=10,$AG870*IF($AB870=12,IF($AG870&lt;IF($D$4="Forint",Paraméterek!$L$223,Paraméterek!$L$224),0,VLOOKUP($AA870,Paraméterek!$K$226:$M$228,IF($AG870&lt;IF($D$4="Forint",Paraméterek!$M$223,Paraméterek!$M$224),2,3))),0),0)</f>
        <v>0</v>
      </c>
      <c r="AI870" s="13">
        <f ca="1">IF(AND($AA870=$M$11+1,$AB870=$M$12+1),SUMIF($AA$20:$AA$1027,$AA870,$AG$20:$AG$1027)*IF(SUMIF($AA$20:$AA$1027,$AA870,$AG$20:$AG$1027)&lt;IF($D$4="Forint",Paraméterek!$L$223,Paraméterek!$L$224),0,VLOOKUP($AA870,Paraméterek!$K$230:$M$250,IF(SUMIF($AA$20:$AA$1027,$AA870,$AG$20:$AG$1027)&lt;IF($D$4="Forint",Paraméterek!$M$223,Paraméterek!$M$224),2,3))),0)</f>
        <v>0</v>
      </c>
      <c r="AJ870" s="13">
        <f ca="1">IF(AND($AA870&gt;=5,MOD($AA870,5)=0),IF($AB870=12,VLOOKUP($AA870,Paraméterek!$O$225:$P$240,2),0),IF(OR($AA870=3,$AA870=4),IF($AB870=12,VLOOKUP($AA870,Paraméterek!$O$225:$P$240,2,0),0),0))*$AG870</f>
        <v>0</v>
      </c>
      <c r="AK870" s="13">
        <f t="shared" ca="1" si="295"/>
        <v>0</v>
      </c>
      <c r="AL870" s="13">
        <f t="shared" ca="1" si="303"/>
        <v>0</v>
      </c>
      <c r="AM870" s="13">
        <f t="shared" ca="1" si="304"/>
        <v>0</v>
      </c>
      <c r="AO870" s="32">
        <v>851</v>
      </c>
      <c r="AP870" s="32">
        <v>71</v>
      </c>
      <c r="AQ870" s="32">
        <v>11</v>
      </c>
      <c r="AR870" s="13"/>
      <c r="AS870" s="32"/>
      <c r="AT870" s="13">
        <f t="shared" ca="1" si="305"/>
        <v>0</v>
      </c>
      <c r="AU870" s="33"/>
      <c r="AV870" s="13">
        <f t="shared" ca="1" si="296"/>
        <v>0</v>
      </c>
      <c r="AW870" s="13">
        <f ca="1">ROUNDUP(($AT870+$AV870)*VLOOKUP($AP870,Paraméterek!$P$38:$Q$38,2)/12*IF($D871="Nem",IF($M$13=0,1,$M$13),1),IF($D$4="Forint",0,2))</f>
        <v>0</v>
      </c>
      <c r="AX870" s="13"/>
      <c r="AY870" s="13"/>
      <c r="AZ870" s="13">
        <f>ROUNDUP(IF(SUM($AX870:$AY870)=0,0,IF(IF(ISBLANK($AY870),$AX870,$AY870)*Paraméterek!$J$112&lt;IF($D$4="Forint",Paraméterek!$J$113,Paraméterek!$K$113),IF($D$4="Forint",Paraméterek!$J$113,Paraméterek!$K$113),IF(IF(ISBLANK($AY870),$AX870,$AY870)*Paraméterek!$J$112&gt;IF($D$4="Forint",Paraméterek!$J$114,Paraméterek!$K$114),IF($D$4="Forint",Paraméterek!$J$114,Paraméterek!$K$114),IF(ISBLANK($AY870),$AX870,$AY870)*Paraméterek!$J$112))),IF($D$4="Forint",0,2))</f>
        <v>0</v>
      </c>
      <c r="BA870" s="13">
        <f ca="1">$AT870+$AV870-$AW870-IF(ROUNDDOWN(IF(ISBLANK($AY870),$AX870,$AY870),IF($D$4="Forint",0,2))&gt;$AT870+$AV870-$AW870-IF($D$4="Forint",Paraméterek!$J$114,Paraméterek!$K$114),0,ROUNDDOWN(IF(ISBLANK($AY870),$AX870,$AY870),IF($D$4="Forint",0,2))-$AZ870)</f>
        <v>0</v>
      </c>
      <c r="BB870" s="13">
        <f t="shared" ca="1" si="297"/>
        <v>0</v>
      </c>
      <c r="BD870" s="32">
        <v>851</v>
      </c>
      <c r="BE870" s="32">
        <v>71</v>
      </c>
      <c r="BF870" s="32">
        <v>11</v>
      </c>
      <c r="BG870" s="34">
        <f t="shared" ca="1" si="306"/>
        <v>2090</v>
      </c>
      <c r="BH870" s="32" t="str">
        <f ca="1">IF(MOD(MONTH($D$14)+$BD870-1,12)=Paraméterek!$C$288,"Igen","")</f>
        <v/>
      </c>
      <c r="BI870" s="13">
        <f ca="1">IF($BH870="Igen",MIN(ROUNDDOWN((SUMIF($BG$20:$BG$1027,$BG870-1,$K$20:$K$1027)-SUMIF($BG$20:$BG$1027,$BG870-1,$I$20:$I$1027))*Paraméterek!$C$289,IF($D$4="Forint",0,2)),IF($D$4="Forint",Paraméterek!$C$285,Paraméterek!$D$285)),0)</f>
        <v>0</v>
      </c>
      <c r="BJ870" s="13">
        <f t="shared" ca="1" si="298"/>
        <v>0</v>
      </c>
      <c r="BK870" s="13">
        <f t="shared" ca="1" si="307"/>
        <v>0</v>
      </c>
      <c r="BL870" s="33"/>
      <c r="BM870" s="13">
        <f t="shared" ca="1" si="299"/>
        <v>0</v>
      </c>
      <c r="BN870" s="13">
        <f ca="1">ROUNDUP(($BK870+$BM870)*VLOOKUP($BE870,Paraméterek!$P$38:$Q$38,2)/12*IF($D871="Nem",IF($M$13=0,1,$M$13),1),IF($D$4="Forint",0,2))</f>
        <v>0</v>
      </c>
      <c r="BO870" s="13">
        <f t="shared" ca="1" si="300"/>
        <v>0</v>
      </c>
      <c r="BP870" s="13">
        <f ca="1">IF($D871="Nem",$BO870,$BO870-ROUNDUP(SUM($BI$20:$BI870)*120%,IF($D$4="Forint",0,2)))</f>
        <v>0</v>
      </c>
    </row>
    <row r="871" spans="1:68" x14ac:dyDescent="0.2">
      <c r="A871" s="32">
        <v>852</v>
      </c>
      <c r="B871" s="32">
        <v>71</v>
      </c>
      <c r="C871" s="32">
        <v>12</v>
      </c>
      <c r="D871" s="32" t="str">
        <f t="shared" ca="1" si="286"/>
        <v>Nem</v>
      </c>
      <c r="E871" s="13">
        <f t="shared" ca="1" si="287"/>
        <v>0</v>
      </c>
      <c r="F871" s="13"/>
      <c r="G871" s="13"/>
      <c r="H871" s="13"/>
      <c r="I871" s="13">
        <f t="shared" ca="1" si="288"/>
        <v>0</v>
      </c>
      <c r="J871" s="13">
        <f t="shared" ca="1" si="289"/>
        <v>0</v>
      </c>
      <c r="K871" s="13">
        <f t="shared" ca="1" si="290"/>
        <v>0</v>
      </c>
      <c r="L871" s="13" t="e">
        <f ca="1">ROUNDUP(IF($D$2="Egyszeri",$E871,IF($D$2="Havi",SUM($E$20:$E$31),IF(MOD($C871,$M$1)-1=0,SUM($E$20:$E$31),0))/12*$M$1)*VLOOKUP($B871,Paraméterek!$I$28:$P$31,IF($D$2="Egyszeri",8,HLOOKUP(ROUNDUP($M$11+$M$13,0),Paraméterek!$J$26:$O$27,2))),IF($D$4="Forint",0,2))</f>
        <v>#N/A</v>
      </c>
      <c r="M871" s="13">
        <f t="shared" ca="1" si="291"/>
        <v>0</v>
      </c>
      <c r="N871" s="13">
        <f t="shared" ca="1" si="301"/>
        <v>0</v>
      </c>
      <c r="O871" s="13">
        <f ca="1">IF($D871="Igen",IF($W870&gt;=IF($D$4="Forint",Paraméterek!$J$121,Paraméterek!$K$121),0,IF($D$4="Forint",Paraméterek!$J$121,Paraméterek!$K$121)-$W870),0)</f>
        <v>0</v>
      </c>
      <c r="P871" s="13" t="e">
        <f ca="1">ROUNDUP($O871*VLOOKUP($M$4+$B871-1,Paraméterek!$H$58:$I$105,2,0)/Paraméterek!$I$56,IF($D$4="Forint",0,2))</f>
        <v>#N/A</v>
      </c>
      <c r="Q871" s="13">
        <f t="shared" ca="1" si="292"/>
        <v>0</v>
      </c>
      <c r="R871" s="33"/>
      <c r="S871" s="13" t="e">
        <f t="shared" ca="1" si="293"/>
        <v>#N/A</v>
      </c>
      <c r="T871" s="13" t="e">
        <f ca="1">ROUNDUP(($N871-$P871-$Q871+$S871)*VLOOKUP($B871,Paraméterek!$I$38:$K$39,IF($D$2="Egyszeri",3,2))/12*IF($D872="Nem",IF($M$13=0,1,$M$13),1),IF($D$4="Forint",0,2))</f>
        <v>#N/A</v>
      </c>
      <c r="U871" s="13">
        <f>Tranzakciók!$F$102</f>
        <v>0</v>
      </c>
      <c r="V871" s="13"/>
      <c r="W871" s="13" t="e">
        <f ca="1">$N871-$P871-$Q871+$S871-$T871-IF(ROUNDUP(IF(ISBLANK($V871),$U871*0,$V871)/IF($D$2="Egyszeri",VLOOKUP($B871+IF($C871=12,1,0),Paraméterek!$V$257:$W$262,2),IF($B871=1,1,VLOOKUP($B871+IF($C871=12,1,0),Paraméterek!$I$258:$T$278,HLOOKUP($M$11+1,Paraméterek!$J$256:$T$257,2)))),IF($D$4="Forint",0,2))&gt;$N871-$P871-$Q871+$S871-$T871-IF($D$4="Forint",Paraméterek!$C$216,Paraméterek!$D$216),0,ROUNDUP(IF(ISBLANK($V871),$U871*0,$V871)/IF($D$2="Egyszeri",VLOOKUP($B871+IF($C871=12,1,0),Paraméterek!$V$257:$W$262,2),IF($B871=1,1,VLOOKUP($B871+IF($C871=12,1,0),Paraméterek!$I$258:$T$278,HLOOKUP($M$11+1,Paraméterek!$J$256:$T$257,2)))),IF($D$4="Forint",0,2)))</f>
        <v>#N/A</v>
      </c>
      <c r="X871" s="13" t="e">
        <f ca="1">ROUNDDOWN($W871*IF($D$2="Egyszeri",VLOOKUP($B871+IF($C871=12,1,0),Paraméterek!$V$257:$W$262,2),VLOOKUP($B871+IF($C871=12,1,0),Paraméterek!$I$258:$T$278,HLOOKUP($M$11+1,Paraméterek!$I$256:$T$257,2))),IF($D$4="Forint",0,2))</f>
        <v>#N/A</v>
      </c>
      <c r="Z871" s="32">
        <v>852</v>
      </c>
      <c r="AA871" s="32">
        <v>71</v>
      </c>
      <c r="AB871" s="32">
        <v>12</v>
      </c>
      <c r="AC871" s="13">
        <f t="shared" ca="1" si="302"/>
        <v>0</v>
      </c>
      <c r="AD871" s="33"/>
      <c r="AE871" s="13">
        <f t="shared" ca="1" si="294"/>
        <v>0</v>
      </c>
      <c r="AF871" s="13">
        <f ca="1">ROUNDUP(($AC871+$AE871)*VLOOKUP($AA871,Paraméterek!$P$38:$Q$38,2)/12*IF($D872="Nem",IF($M$13=0,1,$M$13),1),IF($D$4="Forint",0,2))</f>
        <v>0</v>
      </c>
      <c r="AG871" s="13" t="e">
        <f ca="1">IF($D$2="Egyszeri",IF($D$7&gt;=IF($D$4="Forint",Paraméterek!$P$223,Paraméterek!$P$224),$D$7-IF($D$4="Forint",Paraméterek!$P$223,Paraméterek!$P$224),0),MIN(IF($AB871=12,AVERAGEIF($E$20:$E871,"&gt;0",$E$20:$E871)*12,0),SUM($E$20:$E$31)))</f>
        <v>#DIV/0!</v>
      </c>
      <c r="AH871" s="13">
        <f>IF($AA871=10,$AG871*IF($AB871=12,IF($AG871&lt;IF($D$4="Forint",Paraméterek!$L$223,Paraméterek!$L$224),0,VLOOKUP($AA871,Paraméterek!$K$226:$M$228,IF($AG871&lt;IF($D$4="Forint",Paraméterek!$M$223,Paraméterek!$M$224),2,3))),0),0)</f>
        <v>0</v>
      </c>
      <c r="AI871" s="13">
        <f ca="1">IF(AND($AA871=$M$11+1,$AB871=$M$12+1),SUMIF($AA$20:$AA$1027,$AA871,$AG$20:$AG$1027)*IF(SUMIF($AA$20:$AA$1027,$AA871,$AG$20:$AG$1027)&lt;IF($D$4="Forint",Paraméterek!$L$223,Paraméterek!$L$224),0,VLOOKUP($AA871,Paraméterek!$K$230:$M$250,IF(SUMIF($AA$20:$AA$1027,$AA871,$AG$20:$AG$1027)&lt;IF($D$4="Forint",Paraméterek!$M$223,Paraméterek!$M$224),2,3))),0)</f>
        <v>0</v>
      </c>
      <c r="AJ871" s="13" t="e">
        <f ca="1">IF(AND($AA871&gt;=5,MOD($AA871,5)=0),IF($AB871=12,VLOOKUP($AA871,Paraméterek!$O$225:$P$240,2),0),IF(OR($AA871=3,$AA871=4),IF($AB871=12,VLOOKUP($AA871,Paraméterek!$O$225:$P$240,2,0),0),0))*$AG871</f>
        <v>#DIV/0!</v>
      </c>
      <c r="AK871" s="13">
        <f t="shared" ca="1" si="295"/>
        <v>0</v>
      </c>
      <c r="AL871" s="13">
        <f t="shared" ca="1" si="303"/>
        <v>0</v>
      </c>
      <c r="AM871" s="13">
        <f t="shared" ca="1" si="304"/>
        <v>0</v>
      </c>
      <c r="AO871" s="32">
        <v>852</v>
      </c>
      <c r="AP871" s="32">
        <v>71</v>
      </c>
      <c r="AQ871" s="32">
        <v>12</v>
      </c>
      <c r="AR871" s="13"/>
      <c r="AS871" s="32"/>
      <c r="AT871" s="13">
        <f t="shared" ca="1" si="305"/>
        <v>0</v>
      </c>
      <c r="AU871" s="33"/>
      <c r="AV871" s="13">
        <f t="shared" ca="1" si="296"/>
        <v>0</v>
      </c>
      <c r="AW871" s="13">
        <f ca="1">ROUNDUP(($AT871+$AV871)*VLOOKUP($AP871,Paraméterek!$P$38:$Q$38,2)/12*IF($D872="Nem",IF($M$13=0,1,$M$13),1),IF($D$4="Forint",0,2))</f>
        <v>0</v>
      </c>
      <c r="AX871" s="13">
        <f>Tranzakciók!$M$102</f>
        <v>0</v>
      </c>
      <c r="AY871" s="13"/>
      <c r="AZ871" s="13">
        <f>ROUNDUP(IF(SUM($AX871:$AY871)=0,0,IF(IF(ISBLANK($AY871),$AX871,$AY871)*Paraméterek!$J$112&lt;IF($D$4="Forint",Paraméterek!$J$113,Paraméterek!$K$113),IF($D$4="Forint",Paraméterek!$J$113,Paraméterek!$K$113),IF(IF(ISBLANK($AY871),$AX871,$AY871)*Paraméterek!$J$112&gt;IF($D$4="Forint",Paraméterek!$J$114,Paraméterek!$K$114),IF($D$4="Forint",Paraméterek!$J$114,Paraméterek!$K$114),IF(ISBLANK($AY871),$AX871,$AY871)*Paraméterek!$J$112))),IF($D$4="Forint",0,2))</f>
        <v>0</v>
      </c>
      <c r="BA871" s="13">
        <f ca="1">$AT871+$AV871-$AW871-IF(ROUNDDOWN(IF(ISBLANK($AY871),$AX871,$AY871),IF($D$4="Forint",0,2))&gt;$AT871+$AV871-$AW871-IF($D$4="Forint",Paraméterek!$J$114,Paraméterek!$K$114),0,ROUNDDOWN(IF(ISBLANK($AY871),$AX871,$AY871),IF($D$4="Forint",0,2))-$AZ871)</f>
        <v>0</v>
      </c>
      <c r="BB871" s="13">
        <f t="shared" ca="1" si="297"/>
        <v>0</v>
      </c>
      <c r="BD871" s="32">
        <v>852</v>
      </c>
      <c r="BE871" s="32">
        <v>71</v>
      </c>
      <c r="BF871" s="32">
        <v>12</v>
      </c>
      <c r="BG871" s="34">
        <f t="shared" ca="1" si="306"/>
        <v>2090</v>
      </c>
      <c r="BH871" s="32" t="str">
        <f ca="1">IF(MOD(MONTH($D$14)+$BD871-1,12)=Paraméterek!$C$288,"Igen","")</f>
        <v/>
      </c>
      <c r="BI871" s="13">
        <f ca="1">IF($BH871="Igen",MIN(ROUNDDOWN((SUMIF($BG$20:$BG$1027,$BG871-1,$K$20:$K$1027)-SUMIF($BG$20:$BG$1027,$BG871-1,$I$20:$I$1027))*Paraméterek!$C$289,IF($D$4="Forint",0,2)),IF($D$4="Forint",Paraméterek!$C$285,Paraméterek!$D$285)),0)</f>
        <v>0</v>
      </c>
      <c r="BJ871" s="13">
        <f t="shared" ca="1" si="298"/>
        <v>0</v>
      </c>
      <c r="BK871" s="13">
        <f t="shared" ca="1" si="307"/>
        <v>0</v>
      </c>
      <c r="BL871" s="33"/>
      <c r="BM871" s="13">
        <f t="shared" ca="1" si="299"/>
        <v>0</v>
      </c>
      <c r="BN871" s="13">
        <f ca="1">ROUNDUP(($BK871+$BM871)*VLOOKUP($BE871,Paraméterek!$P$38:$Q$38,2)/12*IF($D872="Nem",IF($M$13=0,1,$M$13),1),IF($D$4="Forint",0,2))</f>
        <v>0</v>
      </c>
      <c r="BO871" s="13">
        <f t="shared" ca="1" si="300"/>
        <v>0</v>
      </c>
      <c r="BP871" s="13">
        <f ca="1">IF($D872="Nem",$BO871,$BO871-ROUNDUP(SUM($BI$20:$BI871)*120%,IF($D$4="Forint",0,2)))</f>
        <v>0</v>
      </c>
    </row>
    <row r="872" spans="1:68" x14ac:dyDescent="0.2">
      <c r="A872" s="32">
        <v>853</v>
      </c>
      <c r="B872" s="32">
        <v>72</v>
      </c>
      <c r="C872" s="32">
        <v>1</v>
      </c>
      <c r="D872" s="32" t="str">
        <f t="shared" ca="1" si="286"/>
        <v>Nem</v>
      </c>
      <c r="E872" s="13">
        <f t="shared" ca="1" si="287"/>
        <v>0</v>
      </c>
      <c r="F872" s="13"/>
      <c r="G872" s="13">
        <f>Tranzakciók!$D$103</f>
        <v>0</v>
      </c>
      <c r="H872" s="13"/>
      <c r="I872" s="13">
        <f t="shared" ca="1" si="288"/>
        <v>0</v>
      </c>
      <c r="J872" s="13">
        <f t="shared" ca="1" si="289"/>
        <v>0</v>
      </c>
      <c r="K872" s="13">
        <f t="shared" ca="1" si="290"/>
        <v>0</v>
      </c>
      <c r="L872" s="13" t="e">
        <f ca="1">ROUNDUP(IF($D$2="Egyszeri",$E872,IF($D$2="Havi",SUM($E$20:$E$31),IF(MOD($C872,$M$1)-1=0,SUM($E$20:$E$31),0))/12*$M$1)*VLOOKUP($B872,Paraméterek!$I$28:$P$31,IF($D$2="Egyszeri",8,HLOOKUP(ROUNDUP($M$11+$M$13,0),Paraméterek!$J$26:$O$27,2))),IF($D$4="Forint",0,2))</f>
        <v>#N/A</v>
      </c>
      <c r="M872" s="13">
        <f t="shared" ca="1" si="291"/>
        <v>0</v>
      </c>
      <c r="N872" s="13">
        <f t="shared" ca="1" si="301"/>
        <v>0</v>
      </c>
      <c r="O872" s="13">
        <f ca="1">IF($D872="Igen",IF($W871&gt;=IF($D$4="Forint",Paraméterek!$J$121,Paraméterek!$K$121),0,IF($D$4="Forint",Paraméterek!$J$121,Paraméterek!$K$121)-$W871),0)</f>
        <v>0</v>
      </c>
      <c r="P872" s="13" t="e">
        <f ca="1">ROUNDUP($O872*VLOOKUP($M$4+$B872-1,Paraméterek!$H$58:$I$105,2,0)/Paraméterek!$I$56,IF($D$4="Forint",0,2))</f>
        <v>#N/A</v>
      </c>
      <c r="Q872" s="13">
        <f t="shared" ca="1" si="292"/>
        <v>0</v>
      </c>
      <c r="R872" s="33"/>
      <c r="S872" s="13" t="e">
        <f t="shared" ca="1" si="293"/>
        <v>#N/A</v>
      </c>
      <c r="T872" s="13" t="e">
        <f ca="1">ROUNDUP(($N872-$P872-$Q872+$S872)*VLOOKUP($B872,Paraméterek!$I$38:$K$39,IF($D$2="Egyszeri",3,2))/12*IF($D873="Nem",IF($M$13=0,1,$M$13),1),IF($D$4="Forint",0,2))</f>
        <v>#N/A</v>
      </c>
      <c r="U872" s="13"/>
      <c r="V872" s="13"/>
      <c r="W872" s="13" t="e">
        <f ca="1">$N872-$P872-$Q872+$S872-$T872-IF(ROUNDUP(IF(ISBLANK($V872),$U872*0,$V872)/IF($D$2="Egyszeri",VLOOKUP($B872+IF($C872=12,1,0),Paraméterek!$V$257:$W$262,2),IF($B872=1,1,VLOOKUP($B872+IF($C872=12,1,0),Paraméterek!$I$258:$T$278,HLOOKUP($M$11+1,Paraméterek!$J$256:$T$257,2)))),IF($D$4="Forint",0,2))&gt;$N872-$P872-$Q872+$S872-$T872-IF($D$4="Forint",Paraméterek!$C$216,Paraméterek!$D$216),0,ROUNDUP(IF(ISBLANK($V872),$U872*0,$V872)/IF($D$2="Egyszeri",VLOOKUP($B872+IF($C872=12,1,0),Paraméterek!$V$257:$W$262,2),IF($B872=1,1,VLOOKUP($B872+IF($C872=12,1,0),Paraméterek!$I$258:$T$278,HLOOKUP($M$11+1,Paraméterek!$J$256:$T$257,2)))),IF($D$4="Forint",0,2)))</f>
        <v>#N/A</v>
      </c>
      <c r="X872" s="13" t="e">
        <f ca="1">ROUNDDOWN($W872*IF($D$2="Egyszeri",VLOOKUP($B872+IF($C872=12,1,0),Paraméterek!$V$257:$W$262,2),VLOOKUP($B872+IF($C872=12,1,0),Paraméterek!$I$258:$T$278,HLOOKUP($M$11+1,Paraméterek!$I$256:$T$257,2))),IF($D$4="Forint",0,2))</f>
        <v>#N/A</v>
      </c>
      <c r="Z872" s="32">
        <v>853</v>
      </c>
      <c r="AA872" s="32">
        <v>72</v>
      </c>
      <c r="AB872" s="32">
        <v>1</v>
      </c>
      <c r="AC872" s="13">
        <f t="shared" ca="1" si="302"/>
        <v>0</v>
      </c>
      <c r="AD872" s="33"/>
      <c r="AE872" s="13">
        <f t="shared" ca="1" si="294"/>
        <v>0</v>
      </c>
      <c r="AF872" s="13">
        <f ca="1">ROUNDUP(($AC872+$AE872)*VLOOKUP($AA872,Paraméterek!$P$38:$Q$38,2)/12*IF($D873="Nem",IF($M$13=0,1,$M$13),1),IF($D$4="Forint",0,2))</f>
        <v>0</v>
      </c>
      <c r="AG872" s="13">
        <f ca="1">IF($D$2="Egyszeri",IF($D$7&gt;=IF($D$4="Forint",Paraméterek!$P$223,Paraméterek!$P$224),$D$7-IF($D$4="Forint",Paraméterek!$P$223,Paraméterek!$P$224),0),MIN(IF($AB872=12,AVERAGEIF($E$20:$E872,"&gt;0",$E$20:$E872)*12,0),SUM($E$20:$E$31)))</f>
        <v>0</v>
      </c>
      <c r="AH872" s="13">
        <f>IF($AA872=10,$AG872*IF($AB872=12,IF($AG872&lt;IF($D$4="Forint",Paraméterek!$L$223,Paraméterek!$L$224),0,VLOOKUP($AA872,Paraméterek!$K$226:$M$228,IF($AG872&lt;IF($D$4="Forint",Paraméterek!$M$223,Paraméterek!$M$224),2,3))),0),0)</f>
        <v>0</v>
      </c>
      <c r="AI872" s="13">
        <f ca="1">IF(AND($AA872=$M$11+1,$AB872=$M$12+1),SUMIF($AA$20:$AA$1027,$AA872,$AG$20:$AG$1027)*IF(SUMIF($AA$20:$AA$1027,$AA872,$AG$20:$AG$1027)&lt;IF($D$4="Forint",Paraméterek!$L$223,Paraméterek!$L$224),0,VLOOKUP($AA872,Paraméterek!$K$230:$M$250,IF(SUMIF($AA$20:$AA$1027,$AA872,$AG$20:$AG$1027)&lt;IF($D$4="Forint",Paraméterek!$M$223,Paraméterek!$M$224),2,3))),0)</f>
        <v>0</v>
      </c>
      <c r="AJ872" s="13">
        <f ca="1">IF(AND($AA872&gt;=5,MOD($AA872,5)=0),IF($AB872=12,VLOOKUP($AA872,Paraméterek!$O$225:$P$240,2),0),IF(OR($AA872=3,$AA872=4),IF($AB872=12,VLOOKUP($AA872,Paraméterek!$O$225:$P$240,2,0),0),0))*$AG872</f>
        <v>0</v>
      </c>
      <c r="AK872" s="13">
        <f t="shared" ca="1" si="295"/>
        <v>0</v>
      </c>
      <c r="AL872" s="13">
        <f t="shared" ca="1" si="303"/>
        <v>0</v>
      </c>
      <c r="AM872" s="13">
        <f t="shared" ca="1" si="304"/>
        <v>0</v>
      </c>
      <c r="AO872" s="32">
        <v>853</v>
      </c>
      <c r="AP872" s="32">
        <v>72</v>
      </c>
      <c r="AQ872" s="32">
        <v>1</v>
      </c>
      <c r="AR872" s="13">
        <f>Tranzakciók!$K$103</f>
        <v>0</v>
      </c>
      <c r="AS872" s="32"/>
      <c r="AT872" s="13">
        <f t="shared" ca="1" si="305"/>
        <v>0</v>
      </c>
      <c r="AU872" s="33"/>
      <c r="AV872" s="13">
        <f t="shared" ca="1" si="296"/>
        <v>0</v>
      </c>
      <c r="AW872" s="13">
        <f ca="1">ROUNDUP(($AT872+$AV872)*VLOOKUP($AP872,Paraméterek!$P$38:$Q$38,2)/12*IF($D873="Nem",IF($M$13=0,1,$M$13),1),IF($D$4="Forint",0,2))</f>
        <v>0</v>
      </c>
      <c r="AX872" s="13"/>
      <c r="AY872" s="13"/>
      <c r="AZ872" s="13">
        <f>ROUNDUP(IF(SUM($AX872:$AY872)=0,0,IF(IF(ISBLANK($AY872),$AX872,$AY872)*Paraméterek!$J$112&lt;IF($D$4="Forint",Paraméterek!$J$113,Paraméterek!$K$113),IF($D$4="Forint",Paraméterek!$J$113,Paraméterek!$K$113),IF(IF(ISBLANK($AY872),$AX872,$AY872)*Paraméterek!$J$112&gt;IF($D$4="Forint",Paraméterek!$J$114,Paraméterek!$K$114),IF($D$4="Forint",Paraméterek!$J$114,Paraméterek!$K$114),IF(ISBLANK($AY872),$AX872,$AY872)*Paraméterek!$J$112))),IF($D$4="Forint",0,2))</f>
        <v>0</v>
      </c>
      <c r="BA872" s="13">
        <f ca="1">$AT872+$AV872-$AW872-IF(ROUNDDOWN(IF(ISBLANK($AY872),$AX872,$AY872),IF($D$4="Forint",0,2))&gt;$AT872+$AV872-$AW872-IF($D$4="Forint",Paraméterek!$J$114,Paraméterek!$K$114),0,ROUNDDOWN(IF(ISBLANK($AY872),$AX872,$AY872),IF($D$4="Forint",0,2))-$AZ872)</f>
        <v>0</v>
      </c>
      <c r="BB872" s="13">
        <f t="shared" ca="1" si="297"/>
        <v>0</v>
      </c>
      <c r="BD872" s="32">
        <v>853</v>
      </c>
      <c r="BE872" s="32">
        <v>72</v>
      </c>
      <c r="BF872" s="32">
        <v>1</v>
      </c>
      <c r="BG872" s="34">
        <f t="shared" ca="1" si="306"/>
        <v>2090</v>
      </c>
      <c r="BH872" s="32" t="str">
        <f ca="1">IF(MOD(MONTH($D$14)+$BD872-1,12)=Paraméterek!$C$288,"Igen","")</f>
        <v/>
      </c>
      <c r="BI872" s="13">
        <f ca="1">IF($BH872="Igen",MIN(ROUNDDOWN((SUMIF($BG$20:$BG$1027,$BG872-1,$K$20:$K$1027)-SUMIF($BG$20:$BG$1027,$BG872-1,$I$20:$I$1027))*Paraméterek!$C$289,IF($D$4="Forint",0,2)),IF($D$4="Forint",Paraméterek!$C$285,Paraméterek!$D$285)),0)</f>
        <v>0</v>
      </c>
      <c r="BJ872" s="13">
        <f t="shared" ca="1" si="298"/>
        <v>0</v>
      </c>
      <c r="BK872" s="13">
        <f t="shared" ca="1" si="307"/>
        <v>0</v>
      </c>
      <c r="BL872" s="33"/>
      <c r="BM872" s="13">
        <f t="shared" ca="1" si="299"/>
        <v>0</v>
      </c>
      <c r="BN872" s="13">
        <f ca="1">ROUNDUP(($BK872+$BM872)*VLOOKUP($BE872,Paraméterek!$P$38:$Q$38,2)/12*IF($D873="Nem",IF($M$13=0,1,$M$13),1),IF($D$4="Forint",0,2))</f>
        <v>0</v>
      </c>
      <c r="BO872" s="13">
        <f t="shared" ca="1" si="300"/>
        <v>0</v>
      </c>
      <c r="BP872" s="13">
        <f ca="1">IF($D873="Nem",$BO872,$BO872-ROUNDUP(SUM($BI$20:$BI872)*120%,IF($D$4="Forint",0,2)))</f>
        <v>0</v>
      </c>
    </row>
    <row r="873" spans="1:68" x14ac:dyDescent="0.2">
      <c r="A873" s="32">
        <v>854</v>
      </c>
      <c r="B873" s="32">
        <v>72</v>
      </c>
      <c r="C873" s="32">
        <v>2</v>
      </c>
      <c r="D873" s="32" t="str">
        <f t="shared" ca="1" si="286"/>
        <v>Nem</v>
      </c>
      <c r="E873" s="13">
        <f t="shared" ca="1" si="287"/>
        <v>0</v>
      </c>
      <c r="F873" s="13"/>
      <c r="G873" s="13"/>
      <c r="H873" s="13"/>
      <c r="I873" s="13">
        <f t="shared" ca="1" si="288"/>
        <v>0</v>
      </c>
      <c r="J873" s="13">
        <f t="shared" ca="1" si="289"/>
        <v>0</v>
      </c>
      <c r="K873" s="13">
        <f t="shared" ca="1" si="290"/>
        <v>0</v>
      </c>
      <c r="L873" s="13" t="e">
        <f ca="1">ROUNDUP(IF($D$2="Egyszeri",$E873,IF($D$2="Havi",SUM($E$20:$E$31),IF(MOD($C873,$M$1)-1=0,SUM($E$20:$E$31),0))/12*$M$1)*VLOOKUP($B873,Paraméterek!$I$28:$P$31,IF($D$2="Egyszeri",8,HLOOKUP(ROUNDUP($M$11+$M$13,0),Paraméterek!$J$26:$O$27,2))),IF($D$4="Forint",0,2))</f>
        <v>#N/A</v>
      </c>
      <c r="M873" s="13">
        <f t="shared" ca="1" si="291"/>
        <v>0</v>
      </c>
      <c r="N873" s="13">
        <f t="shared" ca="1" si="301"/>
        <v>0</v>
      </c>
      <c r="O873" s="13">
        <f ca="1">IF($D873="Igen",IF($W872&gt;=IF($D$4="Forint",Paraméterek!$J$121,Paraméterek!$K$121),0,IF($D$4="Forint",Paraméterek!$J$121,Paraméterek!$K$121)-$W872),0)</f>
        <v>0</v>
      </c>
      <c r="P873" s="13" t="e">
        <f ca="1">ROUNDUP($O873*VLOOKUP($M$4+$B873-1,Paraméterek!$H$58:$I$105,2,0)/Paraméterek!$I$56,IF($D$4="Forint",0,2))</f>
        <v>#N/A</v>
      </c>
      <c r="Q873" s="13">
        <f t="shared" ca="1" si="292"/>
        <v>0</v>
      </c>
      <c r="R873" s="33"/>
      <c r="S873" s="13" t="e">
        <f t="shared" ca="1" si="293"/>
        <v>#N/A</v>
      </c>
      <c r="T873" s="13" t="e">
        <f ca="1">ROUNDUP(($N873-$P873-$Q873+$S873)*VLOOKUP($B873,Paraméterek!$I$38:$K$39,IF($D$2="Egyszeri",3,2))/12*IF($D874="Nem",IF($M$13=0,1,$M$13),1),IF($D$4="Forint",0,2))</f>
        <v>#N/A</v>
      </c>
      <c r="U873" s="13"/>
      <c r="V873" s="13"/>
      <c r="W873" s="13" t="e">
        <f ca="1">$N873-$P873-$Q873+$S873-$T873-IF(ROUNDUP(IF(ISBLANK($V873),$U873*0,$V873)/IF($D$2="Egyszeri",VLOOKUP($B873+IF($C873=12,1,0),Paraméterek!$V$257:$W$262,2),IF($B873=1,1,VLOOKUP($B873+IF($C873=12,1,0),Paraméterek!$I$258:$T$278,HLOOKUP($M$11+1,Paraméterek!$J$256:$T$257,2)))),IF($D$4="Forint",0,2))&gt;$N873-$P873-$Q873+$S873-$T873-IF($D$4="Forint",Paraméterek!$C$216,Paraméterek!$D$216),0,ROUNDUP(IF(ISBLANK($V873),$U873*0,$V873)/IF($D$2="Egyszeri",VLOOKUP($B873+IF($C873=12,1,0),Paraméterek!$V$257:$W$262,2),IF($B873=1,1,VLOOKUP($B873+IF($C873=12,1,0),Paraméterek!$I$258:$T$278,HLOOKUP($M$11+1,Paraméterek!$J$256:$T$257,2)))),IF($D$4="Forint",0,2)))</f>
        <v>#N/A</v>
      </c>
      <c r="X873" s="13" t="e">
        <f ca="1">ROUNDDOWN($W873*IF($D$2="Egyszeri",VLOOKUP($B873+IF($C873=12,1,0),Paraméterek!$V$257:$W$262,2),VLOOKUP($B873+IF($C873=12,1,0),Paraméterek!$I$258:$T$278,HLOOKUP($M$11+1,Paraméterek!$I$256:$T$257,2))),IF($D$4="Forint",0,2))</f>
        <v>#N/A</v>
      </c>
      <c r="Z873" s="32">
        <v>854</v>
      </c>
      <c r="AA873" s="32">
        <v>72</v>
      </c>
      <c r="AB873" s="32">
        <v>2</v>
      </c>
      <c r="AC873" s="13">
        <f t="shared" ca="1" si="302"/>
        <v>0</v>
      </c>
      <c r="AD873" s="33"/>
      <c r="AE873" s="13">
        <f t="shared" ca="1" si="294"/>
        <v>0</v>
      </c>
      <c r="AF873" s="13">
        <f ca="1">ROUNDUP(($AC873+$AE873)*VLOOKUP($AA873,Paraméterek!$P$38:$Q$38,2)/12*IF($D874="Nem",IF($M$13=0,1,$M$13),1),IF($D$4="Forint",0,2))</f>
        <v>0</v>
      </c>
      <c r="AG873" s="13">
        <f ca="1">IF($D$2="Egyszeri",IF($D$7&gt;=IF($D$4="Forint",Paraméterek!$P$223,Paraméterek!$P$224),$D$7-IF($D$4="Forint",Paraméterek!$P$223,Paraméterek!$P$224),0),MIN(IF($AB873=12,AVERAGEIF($E$20:$E873,"&gt;0",$E$20:$E873)*12,0),SUM($E$20:$E$31)))</f>
        <v>0</v>
      </c>
      <c r="AH873" s="13">
        <f>IF($AA873=10,$AG873*IF($AB873=12,IF($AG873&lt;IF($D$4="Forint",Paraméterek!$L$223,Paraméterek!$L$224),0,VLOOKUP($AA873,Paraméterek!$K$226:$M$228,IF($AG873&lt;IF($D$4="Forint",Paraméterek!$M$223,Paraméterek!$M$224),2,3))),0),0)</f>
        <v>0</v>
      </c>
      <c r="AI873" s="13">
        <f ca="1">IF(AND($AA873=$M$11+1,$AB873=$M$12+1),SUMIF($AA$20:$AA$1027,$AA873,$AG$20:$AG$1027)*IF(SUMIF($AA$20:$AA$1027,$AA873,$AG$20:$AG$1027)&lt;IF($D$4="Forint",Paraméterek!$L$223,Paraméterek!$L$224),0,VLOOKUP($AA873,Paraméterek!$K$230:$M$250,IF(SUMIF($AA$20:$AA$1027,$AA873,$AG$20:$AG$1027)&lt;IF($D$4="Forint",Paraméterek!$M$223,Paraméterek!$M$224),2,3))),0)</f>
        <v>0</v>
      </c>
      <c r="AJ873" s="13">
        <f ca="1">IF(AND($AA873&gt;=5,MOD($AA873,5)=0),IF($AB873=12,VLOOKUP($AA873,Paraméterek!$O$225:$P$240,2),0),IF(OR($AA873=3,$AA873=4),IF($AB873=12,VLOOKUP($AA873,Paraméterek!$O$225:$P$240,2,0),0),0))*$AG873</f>
        <v>0</v>
      </c>
      <c r="AK873" s="13">
        <f t="shared" ca="1" si="295"/>
        <v>0</v>
      </c>
      <c r="AL873" s="13">
        <f t="shared" ca="1" si="303"/>
        <v>0</v>
      </c>
      <c r="AM873" s="13">
        <f t="shared" ca="1" si="304"/>
        <v>0</v>
      </c>
      <c r="AO873" s="32">
        <v>854</v>
      </c>
      <c r="AP873" s="32">
        <v>72</v>
      </c>
      <c r="AQ873" s="32">
        <v>2</v>
      </c>
      <c r="AR873" s="13"/>
      <c r="AS873" s="32"/>
      <c r="AT873" s="13">
        <f t="shared" ca="1" si="305"/>
        <v>0</v>
      </c>
      <c r="AU873" s="33"/>
      <c r="AV873" s="13">
        <f t="shared" ca="1" si="296"/>
        <v>0</v>
      </c>
      <c r="AW873" s="13">
        <f ca="1">ROUNDUP(($AT873+$AV873)*VLOOKUP($AP873,Paraméterek!$P$38:$Q$38,2)/12*IF($D874="Nem",IF($M$13=0,1,$M$13),1),IF($D$4="Forint",0,2))</f>
        <v>0</v>
      </c>
      <c r="AX873" s="13"/>
      <c r="AY873" s="13"/>
      <c r="AZ873" s="13">
        <f>ROUNDUP(IF(SUM($AX873:$AY873)=0,0,IF(IF(ISBLANK($AY873),$AX873,$AY873)*Paraméterek!$J$112&lt;IF($D$4="Forint",Paraméterek!$J$113,Paraméterek!$K$113),IF($D$4="Forint",Paraméterek!$J$113,Paraméterek!$K$113),IF(IF(ISBLANK($AY873),$AX873,$AY873)*Paraméterek!$J$112&gt;IF($D$4="Forint",Paraméterek!$J$114,Paraméterek!$K$114),IF($D$4="Forint",Paraméterek!$J$114,Paraméterek!$K$114),IF(ISBLANK($AY873),$AX873,$AY873)*Paraméterek!$J$112))),IF($D$4="Forint",0,2))</f>
        <v>0</v>
      </c>
      <c r="BA873" s="13">
        <f ca="1">$AT873+$AV873-$AW873-IF(ROUNDDOWN(IF(ISBLANK($AY873),$AX873,$AY873),IF($D$4="Forint",0,2))&gt;$AT873+$AV873-$AW873-IF($D$4="Forint",Paraméterek!$J$114,Paraméterek!$K$114),0,ROUNDDOWN(IF(ISBLANK($AY873),$AX873,$AY873),IF($D$4="Forint",0,2))-$AZ873)</f>
        <v>0</v>
      </c>
      <c r="BB873" s="13">
        <f t="shared" ca="1" si="297"/>
        <v>0</v>
      </c>
      <c r="BD873" s="32">
        <v>854</v>
      </c>
      <c r="BE873" s="32">
        <v>72</v>
      </c>
      <c r="BF873" s="32">
        <v>2</v>
      </c>
      <c r="BG873" s="34">
        <f t="shared" ca="1" si="306"/>
        <v>2090</v>
      </c>
      <c r="BH873" s="32" t="str">
        <f ca="1">IF(MOD(MONTH($D$14)+$BD873-1,12)=Paraméterek!$C$288,"Igen","")</f>
        <v>Igen</v>
      </c>
      <c r="BI873" s="13">
        <f ca="1">IF($BH873="Igen",MIN(ROUNDDOWN((SUMIF($BG$20:$BG$1027,$BG873-1,$K$20:$K$1027)-SUMIF($BG$20:$BG$1027,$BG873-1,$I$20:$I$1027))*Paraméterek!$C$289,IF($D$4="Forint",0,2)),IF($D$4="Forint",Paraméterek!$C$285,Paraméterek!$D$285)),0)</f>
        <v>0</v>
      </c>
      <c r="BJ873" s="13">
        <f t="shared" ca="1" si="298"/>
        <v>0</v>
      </c>
      <c r="BK873" s="13">
        <f t="shared" ca="1" si="307"/>
        <v>0</v>
      </c>
      <c r="BL873" s="33"/>
      <c r="BM873" s="13">
        <f t="shared" ca="1" si="299"/>
        <v>0</v>
      </c>
      <c r="BN873" s="13">
        <f ca="1">ROUNDUP(($BK873+$BM873)*VLOOKUP($BE873,Paraméterek!$P$38:$Q$38,2)/12*IF($D874="Nem",IF($M$13=0,1,$M$13),1),IF($D$4="Forint",0,2))</f>
        <v>0</v>
      </c>
      <c r="BO873" s="13">
        <f t="shared" ca="1" si="300"/>
        <v>0</v>
      </c>
      <c r="BP873" s="13">
        <f ca="1">IF($D874="Nem",$BO873,$BO873-ROUNDUP(SUM($BI$20:$BI873)*120%,IF($D$4="Forint",0,2)))</f>
        <v>0</v>
      </c>
    </row>
    <row r="874" spans="1:68" x14ac:dyDescent="0.2">
      <c r="A874" s="32">
        <v>855</v>
      </c>
      <c r="B874" s="32">
        <v>72</v>
      </c>
      <c r="C874" s="32">
        <v>3</v>
      </c>
      <c r="D874" s="32" t="str">
        <f t="shared" ca="1" si="286"/>
        <v>Nem</v>
      </c>
      <c r="E874" s="13">
        <f t="shared" ca="1" si="287"/>
        <v>0</v>
      </c>
      <c r="F874" s="13"/>
      <c r="G874" s="13"/>
      <c r="H874" s="13"/>
      <c r="I874" s="13">
        <f t="shared" ca="1" si="288"/>
        <v>0</v>
      </c>
      <c r="J874" s="13">
        <f t="shared" ca="1" si="289"/>
        <v>0</v>
      </c>
      <c r="K874" s="13">
        <f t="shared" ca="1" si="290"/>
        <v>0</v>
      </c>
      <c r="L874" s="13" t="e">
        <f ca="1">ROUNDUP(IF($D$2="Egyszeri",$E874,IF($D$2="Havi",SUM($E$20:$E$31),IF(MOD($C874,$M$1)-1=0,SUM($E$20:$E$31),0))/12*$M$1)*VLOOKUP($B874,Paraméterek!$I$28:$P$31,IF($D$2="Egyszeri",8,HLOOKUP(ROUNDUP($M$11+$M$13,0),Paraméterek!$J$26:$O$27,2))),IF($D$4="Forint",0,2))</f>
        <v>#N/A</v>
      </c>
      <c r="M874" s="13">
        <f t="shared" ca="1" si="291"/>
        <v>0</v>
      </c>
      <c r="N874" s="13">
        <f t="shared" ca="1" si="301"/>
        <v>0</v>
      </c>
      <c r="O874" s="13">
        <f ca="1">IF($D874="Igen",IF($W873&gt;=IF($D$4="Forint",Paraméterek!$J$121,Paraméterek!$K$121),0,IF($D$4="Forint",Paraméterek!$J$121,Paraméterek!$K$121)-$W873),0)</f>
        <v>0</v>
      </c>
      <c r="P874" s="13" t="e">
        <f ca="1">ROUNDUP($O874*VLOOKUP($M$4+$B874-1,Paraméterek!$H$58:$I$105,2,0)/Paraméterek!$I$56,IF($D$4="Forint",0,2))</f>
        <v>#N/A</v>
      </c>
      <c r="Q874" s="13">
        <f t="shared" ca="1" si="292"/>
        <v>0</v>
      </c>
      <c r="R874" s="33"/>
      <c r="S874" s="13" t="e">
        <f t="shared" ca="1" si="293"/>
        <v>#N/A</v>
      </c>
      <c r="T874" s="13" t="e">
        <f ca="1">ROUNDUP(($N874-$P874-$Q874+$S874)*VLOOKUP($B874,Paraméterek!$I$38:$K$39,IF($D$2="Egyszeri",3,2))/12*IF($D875="Nem",IF($M$13=0,1,$M$13),1),IF($D$4="Forint",0,2))</f>
        <v>#N/A</v>
      </c>
      <c r="U874" s="13"/>
      <c r="V874" s="13"/>
      <c r="W874" s="13" t="e">
        <f ca="1">$N874-$P874-$Q874+$S874-$T874-IF(ROUNDUP(IF(ISBLANK($V874),$U874*0,$V874)/IF($D$2="Egyszeri",VLOOKUP($B874+IF($C874=12,1,0),Paraméterek!$V$257:$W$262,2),IF($B874=1,1,VLOOKUP($B874+IF($C874=12,1,0),Paraméterek!$I$258:$T$278,HLOOKUP($M$11+1,Paraméterek!$J$256:$T$257,2)))),IF($D$4="Forint",0,2))&gt;$N874-$P874-$Q874+$S874-$T874-IF($D$4="Forint",Paraméterek!$C$216,Paraméterek!$D$216),0,ROUNDUP(IF(ISBLANK($V874),$U874*0,$V874)/IF($D$2="Egyszeri",VLOOKUP($B874+IF($C874=12,1,0),Paraméterek!$V$257:$W$262,2),IF($B874=1,1,VLOOKUP($B874+IF($C874=12,1,0),Paraméterek!$I$258:$T$278,HLOOKUP($M$11+1,Paraméterek!$J$256:$T$257,2)))),IF($D$4="Forint",0,2)))</f>
        <v>#N/A</v>
      </c>
      <c r="X874" s="13" t="e">
        <f ca="1">ROUNDDOWN($W874*IF($D$2="Egyszeri",VLOOKUP($B874+IF($C874=12,1,0),Paraméterek!$V$257:$W$262,2),VLOOKUP($B874+IF($C874=12,1,0),Paraméterek!$I$258:$T$278,HLOOKUP($M$11+1,Paraméterek!$I$256:$T$257,2))),IF($D$4="Forint",0,2))</f>
        <v>#N/A</v>
      </c>
      <c r="Z874" s="32">
        <v>855</v>
      </c>
      <c r="AA874" s="32">
        <v>72</v>
      </c>
      <c r="AB874" s="32">
        <v>3</v>
      </c>
      <c r="AC874" s="13">
        <f t="shared" ca="1" si="302"/>
        <v>0</v>
      </c>
      <c r="AD874" s="33"/>
      <c r="AE874" s="13">
        <f t="shared" ca="1" si="294"/>
        <v>0</v>
      </c>
      <c r="AF874" s="13">
        <f ca="1">ROUNDUP(($AC874+$AE874)*VLOOKUP($AA874,Paraméterek!$P$38:$Q$38,2)/12*IF($D875="Nem",IF($M$13=0,1,$M$13),1),IF($D$4="Forint",0,2))</f>
        <v>0</v>
      </c>
      <c r="AG874" s="13">
        <f ca="1">IF($D$2="Egyszeri",IF($D$7&gt;=IF($D$4="Forint",Paraméterek!$P$223,Paraméterek!$P$224),$D$7-IF($D$4="Forint",Paraméterek!$P$223,Paraméterek!$P$224),0),MIN(IF($AB874=12,AVERAGEIF($E$20:$E874,"&gt;0",$E$20:$E874)*12,0),SUM($E$20:$E$31)))</f>
        <v>0</v>
      </c>
      <c r="AH874" s="13">
        <f>IF($AA874=10,$AG874*IF($AB874=12,IF($AG874&lt;IF($D$4="Forint",Paraméterek!$L$223,Paraméterek!$L$224),0,VLOOKUP($AA874,Paraméterek!$K$226:$M$228,IF($AG874&lt;IF($D$4="Forint",Paraméterek!$M$223,Paraméterek!$M$224),2,3))),0),0)</f>
        <v>0</v>
      </c>
      <c r="AI874" s="13">
        <f ca="1">IF(AND($AA874=$M$11+1,$AB874=$M$12+1),SUMIF($AA$20:$AA$1027,$AA874,$AG$20:$AG$1027)*IF(SUMIF($AA$20:$AA$1027,$AA874,$AG$20:$AG$1027)&lt;IF($D$4="Forint",Paraméterek!$L$223,Paraméterek!$L$224),0,VLOOKUP($AA874,Paraméterek!$K$230:$M$250,IF(SUMIF($AA$20:$AA$1027,$AA874,$AG$20:$AG$1027)&lt;IF($D$4="Forint",Paraméterek!$M$223,Paraméterek!$M$224),2,3))),0)</f>
        <v>0</v>
      </c>
      <c r="AJ874" s="13">
        <f ca="1">IF(AND($AA874&gt;=5,MOD($AA874,5)=0),IF($AB874=12,VLOOKUP($AA874,Paraméterek!$O$225:$P$240,2),0),IF(OR($AA874=3,$AA874=4),IF($AB874=12,VLOOKUP($AA874,Paraméterek!$O$225:$P$240,2,0),0),0))*$AG874</f>
        <v>0</v>
      </c>
      <c r="AK874" s="13">
        <f t="shared" ca="1" si="295"/>
        <v>0</v>
      </c>
      <c r="AL874" s="13">
        <f t="shared" ca="1" si="303"/>
        <v>0</v>
      </c>
      <c r="AM874" s="13">
        <f t="shared" ca="1" si="304"/>
        <v>0</v>
      </c>
      <c r="AO874" s="32">
        <v>855</v>
      </c>
      <c r="AP874" s="32">
        <v>72</v>
      </c>
      <c r="AQ874" s="32">
        <v>3</v>
      </c>
      <c r="AR874" s="13"/>
      <c r="AS874" s="32"/>
      <c r="AT874" s="13">
        <f t="shared" ca="1" si="305"/>
        <v>0</v>
      </c>
      <c r="AU874" s="33"/>
      <c r="AV874" s="13">
        <f t="shared" ca="1" si="296"/>
        <v>0</v>
      </c>
      <c r="AW874" s="13">
        <f ca="1">ROUNDUP(($AT874+$AV874)*VLOOKUP($AP874,Paraméterek!$P$38:$Q$38,2)/12*IF($D875="Nem",IF($M$13=0,1,$M$13),1),IF($D$4="Forint",0,2))</f>
        <v>0</v>
      </c>
      <c r="AX874" s="13"/>
      <c r="AY874" s="13"/>
      <c r="AZ874" s="13">
        <f>ROUNDUP(IF(SUM($AX874:$AY874)=0,0,IF(IF(ISBLANK($AY874),$AX874,$AY874)*Paraméterek!$J$112&lt;IF($D$4="Forint",Paraméterek!$J$113,Paraméterek!$K$113),IF($D$4="Forint",Paraméterek!$J$113,Paraméterek!$K$113),IF(IF(ISBLANK($AY874),$AX874,$AY874)*Paraméterek!$J$112&gt;IF($D$4="Forint",Paraméterek!$J$114,Paraméterek!$K$114),IF($D$4="Forint",Paraméterek!$J$114,Paraméterek!$K$114),IF(ISBLANK($AY874),$AX874,$AY874)*Paraméterek!$J$112))),IF($D$4="Forint",0,2))</f>
        <v>0</v>
      </c>
      <c r="BA874" s="13">
        <f ca="1">$AT874+$AV874-$AW874-IF(ROUNDDOWN(IF(ISBLANK($AY874),$AX874,$AY874),IF($D$4="Forint",0,2))&gt;$AT874+$AV874-$AW874-IF($D$4="Forint",Paraméterek!$J$114,Paraméterek!$K$114),0,ROUNDDOWN(IF(ISBLANK($AY874),$AX874,$AY874),IF($D$4="Forint",0,2))-$AZ874)</f>
        <v>0</v>
      </c>
      <c r="BB874" s="13">
        <f t="shared" ca="1" si="297"/>
        <v>0</v>
      </c>
      <c r="BD874" s="32">
        <v>855</v>
      </c>
      <c r="BE874" s="32">
        <v>72</v>
      </c>
      <c r="BF874" s="32">
        <v>3</v>
      </c>
      <c r="BG874" s="34">
        <f t="shared" ca="1" si="306"/>
        <v>2090</v>
      </c>
      <c r="BH874" s="32" t="str">
        <f ca="1">IF(MOD(MONTH($D$14)+$BD874-1,12)=Paraméterek!$C$288,"Igen","")</f>
        <v/>
      </c>
      <c r="BI874" s="13">
        <f ca="1">IF($BH874="Igen",MIN(ROUNDDOWN((SUMIF($BG$20:$BG$1027,$BG874-1,$K$20:$K$1027)-SUMIF($BG$20:$BG$1027,$BG874-1,$I$20:$I$1027))*Paraméterek!$C$289,IF($D$4="Forint",0,2)),IF($D$4="Forint",Paraméterek!$C$285,Paraméterek!$D$285)),0)</f>
        <v>0</v>
      </c>
      <c r="BJ874" s="13">
        <f t="shared" ca="1" si="298"/>
        <v>0</v>
      </c>
      <c r="BK874" s="13">
        <f t="shared" ca="1" si="307"/>
        <v>0</v>
      </c>
      <c r="BL874" s="33"/>
      <c r="BM874" s="13">
        <f t="shared" ca="1" si="299"/>
        <v>0</v>
      </c>
      <c r="BN874" s="13">
        <f ca="1">ROUNDUP(($BK874+$BM874)*VLOOKUP($BE874,Paraméterek!$P$38:$Q$38,2)/12*IF($D875="Nem",IF($M$13=0,1,$M$13),1),IF($D$4="Forint",0,2))</f>
        <v>0</v>
      </c>
      <c r="BO874" s="13">
        <f t="shared" ca="1" si="300"/>
        <v>0</v>
      </c>
      <c r="BP874" s="13">
        <f ca="1">IF($D875="Nem",$BO874,$BO874-ROUNDUP(SUM($BI$20:$BI874)*120%,IF($D$4="Forint",0,2)))</f>
        <v>0</v>
      </c>
    </row>
    <row r="875" spans="1:68" x14ac:dyDescent="0.2">
      <c r="A875" s="32">
        <v>856</v>
      </c>
      <c r="B875" s="32">
        <v>72</v>
      </c>
      <c r="C875" s="32">
        <v>4</v>
      </c>
      <c r="D875" s="32" t="str">
        <f t="shared" ca="1" si="286"/>
        <v>Nem</v>
      </c>
      <c r="E875" s="13">
        <f t="shared" ca="1" si="287"/>
        <v>0</v>
      </c>
      <c r="F875" s="13"/>
      <c r="G875" s="13"/>
      <c r="H875" s="13"/>
      <c r="I875" s="13">
        <f t="shared" ca="1" si="288"/>
        <v>0</v>
      </c>
      <c r="J875" s="13">
        <f t="shared" ca="1" si="289"/>
        <v>0</v>
      </c>
      <c r="K875" s="13">
        <f t="shared" ca="1" si="290"/>
        <v>0</v>
      </c>
      <c r="L875" s="13" t="e">
        <f ca="1">ROUNDUP(IF($D$2="Egyszeri",$E875,IF($D$2="Havi",SUM($E$20:$E$31),IF(MOD($C875,$M$1)-1=0,SUM($E$20:$E$31),0))/12*$M$1)*VLOOKUP($B875,Paraméterek!$I$28:$P$31,IF($D$2="Egyszeri",8,HLOOKUP(ROUNDUP($M$11+$M$13,0),Paraméterek!$J$26:$O$27,2))),IF($D$4="Forint",0,2))</f>
        <v>#N/A</v>
      </c>
      <c r="M875" s="13">
        <f t="shared" ca="1" si="291"/>
        <v>0</v>
      </c>
      <c r="N875" s="13">
        <f t="shared" ca="1" si="301"/>
        <v>0</v>
      </c>
      <c r="O875" s="13">
        <f ca="1">IF($D875="Igen",IF($W874&gt;=IF($D$4="Forint",Paraméterek!$J$121,Paraméterek!$K$121),0,IF($D$4="Forint",Paraméterek!$J$121,Paraméterek!$K$121)-$W874),0)</f>
        <v>0</v>
      </c>
      <c r="P875" s="13" t="e">
        <f ca="1">ROUNDUP($O875*VLOOKUP($M$4+$B875-1,Paraméterek!$H$58:$I$105,2,0)/Paraméterek!$I$56,IF($D$4="Forint",0,2))</f>
        <v>#N/A</v>
      </c>
      <c r="Q875" s="13">
        <f t="shared" ca="1" si="292"/>
        <v>0</v>
      </c>
      <c r="R875" s="33"/>
      <c r="S875" s="13" t="e">
        <f t="shared" ca="1" si="293"/>
        <v>#N/A</v>
      </c>
      <c r="T875" s="13" t="e">
        <f ca="1">ROUNDUP(($N875-$P875-$Q875+$S875)*VLOOKUP($B875,Paraméterek!$I$38:$K$39,IF($D$2="Egyszeri",3,2))/12*IF($D876="Nem",IF($M$13=0,1,$M$13),1),IF($D$4="Forint",0,2))</f>
        <v>#N/A</v>
      </c>
      <c r="U875" s="13"/>
      <c r="V875" s="13"/>
      <c r="W875" s="13" t="e">
        <f ca="1">$N875-$P875-$Q875+$S875-$T875-IF(ROUNDUP(IF(ISBLANK($V875),$U875*0,$V875)/IF($D$2="Egyszeri",VLOOKUP($B875+IF($C875=12,1,0),Paraméterek!$V$257:$W$262,2),IF($B875=1,1,VLOOKUP($B875+IF($C875=12,1,0),Paraméterek!$I$258:$T$278,HLOOKUP($M$11+1,Paraméterek!$J$256:$T$257,2)))),IF($D$4="Forint",0,2))&gt;$N875-$P875-$Q875+$S875-$T875-IF($D$4="Forint",Paraméterek!$C$216,Paraméterek!$D$216),0,ROUNDUP(IF(ISBLANK($V875),$U875*0,$V875)/IF($D$2="Egyszeri",VLOOKUP($B875+IF($C875=12,1,0),Paraméterek!$V$257:$W$262,2),IF($B875=1,1,VLOOKUP($B875+IF($C875=12,1,0),Paraméterek!$I$258:$T$278,HLOOKUP($M$11+1,Paraméterek!$J$256:$T$257,2)))),IF($D$4="Forint",0,2)))</f>
        <v>#N/A</v>
      </c>
      <c r="X875" s="13" t="e">
        <f ca="1">ROUNDDOWN($W875*IF($D$2="Egyszeri",VLOOKUP($B875+IF($C875=12,1,0),Paraméterek!$V$257:$W$262,2),VLOOKUP($B875+IF($C875=12,1,0),Paraméterek!$I$258:$T$278,HLOOKUP($M$11+1,Paraméterek!$I$256:$T$257,2))),IF($D$4="Forint",0,2))</f>
        <v>#N/A</v>
      </c>
      <c r="Z875" s="32">
        <v>856</v>
      </c>
      <c r="AA875" s="32">
        <v>72</v>
      </c>
      <c r="AB875" s="32">
        <v>4</v>
      </c>
      <c r="AC875" s="13">
        <f t="shared" ca="1" si="302"/>
        <v>0</v>
      </c>
      <c r="AD875" s="33"/>
      <c r="AE875" s="13">
        <f t="shared" ca="1" si="294"/>
        <v>0</v>
      </c>
      <c r="AF875" s="13">
        <f ca="1">ROUNDUP(($AC875+$AE875)*VLOOKUP($AA875,Paraméterek!$P$38:$Q$38,2)/12*IF($D876="Nem",IF($M$13=0,1,$M$13),1),IF($D$4="Forint",0,2))</f>
        <v>0</v>
      </c>
      <c r="AG875" s="13">
        <f ca="1">IF($D$2="Egyszeri",IF($D$7&gt;=IF($D$4="Forint",Paraméterek!$P$223,Paraméterek!$P$224),$D$7-IF($D$4="Forint",Paraméterek!$P$223,Paraméterek!$P$224),0),MIN(IF($AB875=12,AVERAGEIF($E$20:$E875,"&gt;0",$E$20:$E875)*12,0),SUM($E$20:$E$31)))</f>
        <v>0</v>
      </c>
      <c r="AH875" s="13">
        <f>IF($AA875=10,$AG875*IF($AB875=12,IF($AG875&lt;IF($D$4="Forint",Paraméterek!$L$223,Paraméterek!$L$224),0,VLOOKUP($AA875,Paraméterek!$K$226:$M$228,IF($AG875&lt;IF($D$4="Forint",Paraméterek!$M$223,Paraméterek!$M$224),2,3))),0),0)</f>
        <v>0</v>
      </c>
      <c r="AI875" s="13">
        <f ca="1">IF(AND($AA875=$M$11+1,$AB875=$M$12+1),SUMIF($AA$20:$AA$1027,$AA875,$AG$20:$AG$1027)*IF(SUMIF($AA$20:$AA$1027,$AA875,$AG$20:$AG$1027)&lt;IF($D$4="Forint",Paraméterek!$L$223,Paraméterek!$L$224),0,VLOOKUP($AA875,Paraméterek!$K$230:$M$250,IF(SUMIF($AA$20:$AA$1027,$AA875,$AG$20:$AG$1027)&lt;IF($D$4="Forint",Paraméterek!$M$223,Paraméterek!$M$224),2,3))),0)</f>
        <v>0</v>
      </c>
      <c r="AJ875" s="13">
        <f ca="1">IF(AND($AA875&gt;=5,MOD($AA875,5)=0),IF($AB875=12,VLOOKUP($AA875,Paraméterek!$O$225:$P$240,2),0),IF(OR($AA875=3,$AA875=4),IF($AB875=12,VLOOKUP($AA875,Paraméterek!$O$225:$P$240,2,0),0),0))*$AG875</f>
        <v>0</v>
      </c>
      <c r="AK875" s="13">
        <f t="shared" ca="1" si="295"/>
        <v>0</v>
      </c>
      <c r="AL875" s="13">
        <f t="shared" ca="1" si="303"/>
        <v>0</v>
      </c>
      <c r="AM875" s="13">
        <f t="shared" ca="1" si="304"/>
        <v>0</v>
      </c>
      <c r="AO875" s="32">
        <v>856</v>
      </c>
      <c r="AP875" s="32">
        <v>72</v>
      </c>
      <c r="AQ875" s="32">
        <v>4</v>
      </c>
      <c r="AR875" s="13"/>
      <c r="AS875" s="32"/>
      <c r="AT875" s="13">
        <f t="shared" ca="1" si="305"/>
        <v>0</v>
      </c>
      <c r="AU875" s="33"/>
      <c r="AV875" s="13">
        <f t="shared" ca="1" si="296"/>
        <v>0</v>
      </c>
      <c r="AW875" s="13">
        <f ca="1">ROUNDUP(($AT875+$AV875)*VLOOKUP($AP875,Paraméterek!$P$38:$Q$38,2)/12*IF($D876="Nem",IF($M$13=0,1,$M$13),1),IF($D$4="Forint",0,2))</f>
        <v>0</v>
      </c>
      <c r="AX875" s="13"/>
      <c r="AY875" s="13"/>
      <c r="AZ875" s="13">
        <f>ROUNDUP(IF(SUM($AX875:$AY875)=0,0,IF(IF(ISBLANK($AY875),$AX875,$AY875)*Paraméterek!$J$112&lt;IF($D$4="Forint",Paraméterek!$J$113,Paraméterek!$K$113),IF($D$4="Forint",Paraméterek!$J$113,Paraméterek!$K$113),IF(IF(ISBLANK($AY875),$AX875,$AY875)*Paraméterek!$J$112&gt;IF($D$4="Forint",Paraméterek!$J$114,Paraméterek!$K$114),IF($D$4="Forint",Paraméterek!$J$114,Paraméterek!$K$114),IF(ISBLANK($AY875),$AX875,$AY875)*Paraméterek!$J$112))),IF($D$4="Forint",0,2))</f>
        <v>0</v>
      </c>
      <c r="BA875" s="13">
        <f ca="1">$AT875+$AV875-$AW875-IF(ROUNDDOWN(IF(ISBLANK($AY875),$AX875,$AY875),IF($D$4="Forint",0,2))&gt;$AT875+$AV875-$AW875-IF($D$4="Forint",Paraméterek!$J$114,Paraméterek!$K$114),0,ROUNDDOWN(IF(ISBLANK($AY875),$AX875,$AY875),IF($D$4="Forint",0,2))-$AZ875)</f>
        <v>0</v>
      </c>
      <c r="BB875" s="13">
        <f t="shared" ca="1" si="297"/>
        <v>0</v>
      </c>
      <c r="BD875" s="32">
        <v>856</v>
      </c>
      <c r="BE875" s="32">
        <v>72</v>
      </c>
      <c r="BF875" s="32">
        <v>4</v>
      </c>
      <c r="BG875" s="34">
        <f t="shared" ca="1" si="306"/>
        <v>2090</v>
      </c>
      <c r="BH875" s="32" t="str">
        <f ca="1">IF(MOD(MONTH($D$14)+$BD875-1,12)=Paraméterek!$C$288,"Igen","")</f>
        <v/>
      </c>
      <c r="BI875" s="13">
        <f ca="1">IF($BH875="Igen",MIN(ROUNDDOWN((SUMIF($BG$20:$BG$1027,$BG875-1,$K$20:$K$1027)-SUMIF($BG$20:$BG$1027,$BG875-1,$I$20:$I$1027))*Paraméterek!$C$289,IF($D$4="Forint",0,2)),IF($D$4="Forint",Paraméterek!$C$285,Paraméterek!$D$285)),0)</f>
        <v>0</v>
      </c>
      <c r="BJ875" s="13">
        <f t="shared" ca="1" si="298"/>
        <v>0</v>
      </c>
      <c r="BK875" s="13">
        <f t="shared" ca="1" si="307"/>
        <v>0</v>
      </c>
      <c r="BL875" s="33"/>
      <c r="BM875" s="13">
        <f t="shared" ca="1" si="299"/>
        <v>0</v>
      </c>
      <c r="BN875" s="13">
        <f ca="1">ROUNDUP(($BK875+$BM875)*VLOOKUP($BE875,Paraméterek!$P$38:$Q$38,2)/12*IF($D876="Nem",IF($M$13=0,1,$M$13),1),IF($D$4="Forint",0,2))</f>
        <v>0</v>
      </c>
      <c r="BO875" s="13">
        <f t="shared" ca="1" si="300"/>
        <v>0</v>
      </c>
      <c r="BP875" s="13">
        <f ca="1">IF($D876="Nem",$BO875,$BO875-ROUNDUP(SUM($BI$20:$BI875)*120%,IF($D$4="Forint",0,2)))</f>
        <v>0</v>
      </c>
    </row>
    <row r="876" spans="1:68" x14ac:dyDescent="0.2">
      <c r="A876" s="32">
        <v>857</v>
      </c>
      <c r="B876" s="32">
        <v>72</v>
      </c>
      <c r="C876" s="32">
        <v>5</v>
      </c>
      <c r="D876" s="32" t="str">
        <f t="shared" ca="1" si="286"/>
        <v>Nem</v>
      </c>
      <c r="E876" s="13">
        <f t="shared" ca="1" si="287"/>
        <v>0</v>
      </c>
      <c r="F876" s="13"/>
      <c r="G876" s="13"/>
      <c r="H876" s="13"/>
      <c r="I876" s="13">
        <f t="shared" ca="1" si="288"/>
        <v>0</v>
      </c>
      <c r="J876" s="13">
        <f t="shared" ca="1" si="289"/>
        <v>0</v>
      </c>
      <c r="K876" s="13">
        <f t="shared" ca="1" si="290"/>
        <v>0</v>
      </c>
      <c r="L876" s="13" t="e">
        <f ca="1">ROUNDUP(IF($D$2="Egyszeri",$E876,IF($D$2="Havi",SUM($E$20:$E$31),IF(MOD($C876,$M$1)-1=0,SUM($E$20:$E$31),0))/12*$M$1)*VLOOKUP($B876,Paraméterek!$I$28:$P$31,IF($D$2="Egyszeri",8,HLOOKUP(ROUNDUP($M$11+$M$13,0),Paraméterek!$J$26:$O$27,2))),IF($D$4="Forint",0,2))</f>
        <v>#N/A</v>
      </c>
      <c r="M876" s="13">
        <f t="shared" ca="1" si="291"/>
        <v>0</v>
      </c>
      <c r="N876" s="13">
        <f t="shared" ca="1" si="301"/>
        <v>0</v>
      </c>
      <c r="O876" s="13">
        <f ca="1">IF($D876="Igen",IF($W875&gt;=IF($D$4="Forint",Paraméterek!$J$121,Paraméterek!$K$121),0,IF($D$4="Forint",Paraméterek!$J$121,Paraméterek!$K$121)-$W875),0)</f>
        <v>0</v>
      </c>
      <c r="P876" s="13" t="e">
        <f ca="1">ROUNDUP($O876*VLOOKUP($M$4+$B876-1,Paraméterek!$H$58:$I$105,2,0)/Paraméterek!$I$56,IF($D$4="Forint",0,2))</f>
        <v>#N/A</v>
      </c>
      <c r="Q876" s="13">
        <f t="shared" ca="1" si="292"/>
        <v>0</v>
      </c>
      <c r="R876" s="33"/>
      <c r="S876" s="13" t="e">
        <f t="shared" ca="1" si="293"/>
        <v>#N/A</v>
      </c>
      <c r="T876" s="13" t="e">
        <f ca="1">ROUNDUP(($N876-$P876-$Q876+$S876)*VLOOKUP($B876,Paraméterek!$I$38:$K$39,IF($D$2="Egyszeri",3,2))/12*IF($D877="Nem",IF($M$13=0,1,$M$13),1),IF($D$4="Forint",0,2))</f>
        <v>#N/A</v>
      </c>
      <c r="U876" s="13"/>
      <c r="V876" s="13"/>
      <c r="W876" s="13" t="e">
        <f ca="1">$N876-$P876-$Q876+$S876-$T876-IF(ROUNDUP(IF(ISBLANK($V876),$U876*0,$V876)/IF($D$2="Egyszeri",VLOOKUP($B876+IF($C876=12,1,0),Paraméterek!$V$257:$W$262,2),IF($B876=1,1,VLOOKUP($B876+IF($C876=12,1,0),Paraméterek!$I$258:$T$278,HLOOKUP($M$11+1,Paraméterek!$J$256:$T$257,2)))),IF($D$4="Forint",0,2))&gt;$N876-$P876-$Q876+$S876-$T876-IF($D$4="Forint",Paraméterek!$C$216,Paraméterek!$D$216),0,ROUNDUP(IF(ISBLANK($V876),$U876*0,$V876)/IF($D$2="Egyszeri",VLOOKUP($B876+IF($C876=12,1,0),Paraméterek!$V$257:$W$262,2),IF($B876=1,1,VLOOKUP($B876+IF($C876=12,1,0),Paraméterek!$I$258:$T$278,HLOOKUP($M$11+1,Paraméterek!$J$256:$T$257,2)))),IF($D$4="Forint",0,2)))</f>
        <v>#N/A</v>
      </c>
      <c r="X876" s="13" t="e">
        <f ca="1">ROUNDDOWN($W876*IF($D$2="Egyszeri",VLOOKUP($B876+IF($C876=12,1,0),Paraméterek!$V$257:$W$262,2),VLOOKUP($B876+IF($C876=12,1,0),Paraméterek!$I$258:$T$278,HLOOKUP($M$11+1,Paraméterek!$I$256:$T$257,2))),IF($D$4="Forint",0,2))</f>
        <v>#N/A</v>
      </c>
      <c r="Z876" s="32">
        <v>857</v>
      </c>
      <c r="AA876" s="32">
        <v>72</v>
      </c>
      <c r="AB876" s="32">
        <v>5</v>
      </c>
      <c r="AC876" s="13">
        <f t="shared" ca="1" si="302"/>
        <v>0</v>
      </c>
      <c r="AD876" s="33"/>
      <c r="AE876" s="13">
        <f t="shared" ca="1" si="294"/>
        <v>0</v>
      </c>
      <c r="AF876" s="13">
        <f ca="1">ROUNDUP(($AC876+$AE876)*VLOOKUP($AA876,Paraméterek!$P$38:$Q$38,2)/12*IF($D877="Nem",IF($M$13=0,1,$M$13),1),IF($D$4="Forint",0,2))</f>
        <v>0</v>
      </c>
      <c r="AG876" s="13">
        <f ca="1">IF($D$2="Egyszeri",IF($D$7&gt;=IF($D$4="Forint",Paraméterek!$P$223,Paraméterek!$P$224),$D$7-IF($D$4="Forint",Paraméterek!$P$223,Paraméterek!$P$224),0),MIN(IF($AB876=12,AVERAGEIF($E$20:$E876,"&gt;0",$E$20:$E876)*12,0),SUM($E$20:$E$31)))</f>
        <v>0</v>
      </c>
      <c r="AH876" s="13">
        <f>IF($AA876=10,$AG876*IF($AB876=12,IF($AG876&lt;IF($D$4="Forint",Paraméterek!$L$223,Paraméterek!$L$224),0,VLOOKUP($AA876,Paraméterek!$K$226:$M$228,IF($AG876&lt;IF($D$4="Forint",Paraméterek!$M$223,Paraméterek!$M$224),2,3))),0),0)</f>
        <v>0</v>
      </c>
      <c r="AI876" s="13">
        <f ca="1">IF(AND($AA876=$M$11+1,$AB876=$M$12+1),SUMIF($AA$20:$AA$1027,$AA876,$AG$20:$AG$1027)*IF(SUMIF($AA$20:$AA$1027,$AA876,$AG$20:$AG$1027)&lt;IF($D$4="Forint",Paraméterek!$L$223,Paraméterek!$L$224),0,VLOOKUP($AA876,Paraméterek!$K$230:$M$250,IF(SUMIF($AA$20:$AA$1027,$AA876,$AG$20:$AG$1027)&lt;IF($D$4="Forint",Paraméterek!$M$223,Paraméterek!$M$224),2,3))),0)</f>
        <v>0</v>
      </c>
      <c r="AJ876" s="13">
        <f ca="1">IF(AND($AA876&gt;=5,MOD($AA876,5)=0),IF($AB876=12,VLOOKUP($AA876,Paraméterek!$O$225:$P$240,2),0),IF(OR($AA876=3,$AA876=4),IF($AB876=12,VLOOKUP($AA876,Paraméterek!$O$225:$P$240,2,0),0),0))*$AG876</f>
        <v>0</v>
      </c>
      <c r="AK876" s="13">
        <f t="shared" ca="1" si="295"/>
        <v>0</v>
      </c>
      <c r="AL876" s="13">
        <f t="shared" ca="1" si="303"/>
        <v>0</v>
      </c>
      <c r="AM876" s="13">
        <f t="shared" ca="1" si="304"/>
        <v>0</v>
      </c>
      <c r="AO876" s="32">
        <v>857</v>
      </c>
      <c r="AP876" s="32">
        <v>72</v>
      </c>
      <c r="AQ876" s="32">
        <v>5</v>
      </c>
      <c r="AR876" s="13"/>
      <c r="AS876" s="32"/>
      <c r="AT876" s="13">
        <f t="shared" ca="1" si="305"/>
        <v>0</v>
      </c>
      <c r="AU876" s="33"/>
      <c r="AV876" s="13">
        <f t="shared" ca="1" si="296"/>
        <v>0</v>
      </c>
      <c r="AW876" s="13">
        <f ca="1">ROUNDUP(($AT876+$AV876)*VLOOKUP($AP876,Paraméterek!$P$38:$Q$38,2)/12*IF($D877="Nem",IF($M$13=0,1,$M$13),1),IF($D$4="Forint",0,2))</f>
        <v>0</v>
      </c>
      <c r="AX876" s="13"/>
      <c r="AY876" s="13"/>
      <c r="AZ876" s="13">
        <f>ROUNDUP(IF(SUM($AX876:$AY876)=0,0,IF(IF(ISBLANK($AY876),$AX876,$AY876)*Paraméterek!$J$112&lt;IF($D$4="Forint",Paraméterek!$J$113,Paraméterek!$K$113),IF($D$4="Forint",Paraméterek!$J$113,Paraméterek!$K$113),IF(IF(ISBLANK($AY876),$AX876,$AY876)*Paraméterek!$J$112&gt;IF($D$4="Forint",Paraméterek!$J$114,Paraméterek!$K$114),IF($D$4="Forint",Paraméterek!$J$114,Paraméterek!$K$114),IF(ISBLANK($AY876),$AX876,$AY876)*Paraméterek!$J$112))),IF($D$4="Forint",0,2))</f>
        <v>0</v>
      </c>
      <c r="BA876" s="13">
        <f ca="1">$AT876+$AV876-$AW876-IF(ROUNDDOWN(IF(ISBLANK($AY876),$AX876,$AY876),IF($D$4="Forint",0,2))&gt;$AT876+$AV876-$AW876-IF($D$4="Forint",Paraméterek!$J$114,Paraméterek!$K$114),0,ROUNDDOWN(IF(ISBLANK($AY876),$AX876,$AY876),IF($D$4="Forint",0,2))-$AZ876)</f>
        <v>0</v>
      </c>
      <c r="BB876" s="13">
        <f t="shared" ca="1" si="297"/>
        <v>0</v>
      </c>
      <c r="BD876" s="32">
        <v>857</v>
      </c>
      <c r="BE876" s="32">
        <v>72</v>
      </c>
      <c r="BF876" s="32">
        <v>5</v>
      </c>
      <c r="BG876" s="34">
        <f t="shared" ca="1" si="306"/>
        <v>2090</v>
      </c>
      <c r="BH876" s="32" t="str">
        <f ca="1">IF(MOD(MONTH($D$14)+$BD876-1,12)=Paraméterek!$C$288,"Igen","")</f>
        <v/>
      </c>
      <c r="BI876" s="13">
        <f ca="1">IF($BH876="Igen",MIN(ROUNDDOWN((SUMIF($BG$20:$BG$1027,$BG876-1,$K$20:$K$1027)-SUMIF($BG$20:$BG$1027,$BG876-1,$I$20:$I$1027))*Paraméterek!$C$289,IF($D$4="Forint",0,2)),IF($D$4="Forint",Paraméterek!$C$285,Paraméterek!$D$285)),0)</f>
        <v>0</v>
      </c>
      <c r="BJ876" s="13">
        <f t="shared" ca="1" si="298"/>
        <v>0</v>
      </c>
      <c r="BK876" s="13">
        <f t="shared" ca="1" si="307"/>
        <v>0</v>
      </c>
      <c r="BL876" s="33"/>
      <c r="BM876" s="13">
        <f t="shared" ca="1" si="299"/>
        <v>0</v>
      </c>
      <c r="BN876" s="13">
        <f ca="1">ROUNDUP(($BK876+$BM876)*VLOOKUP($BE876,Paraméterek!$P$38:$Q$38,2)/12*IF($D877="Nem",IF($M$13=0,1,$M$13),1),IF($D$4="Forint",0,2))</f>
        <v>0</v>
      </c>
      <c r="BO876" s="13">
        <f t="shared" ca="1" si="300"/>
        <v>0</v>
      </c>
      <c r="BP876" s="13">
        <f ca="1">IF($D877="Nem",$BO876,$BO876-ROUNDUP(SUM($BI$20:$BI876)*120%,IF($D$4="Forint",0,2)))</f>
        <v>0</v>
      </c>
    </row>
    <row r="877" spans="1:68" x14ac:dyDescent="0.2">
      <c r="A877" s="32">
        <v>858</v>
      </c>
      <c r="B877" s="32">
        <v>72</v>
      </c>
      <c r="C877" s="32">
        <v>6</v>
      </c>
      <c r="D877" s="32" t="str">
        <f t="shared" ca="1" si="286"/>
        <v>Nem</v>
      </c>
      <c r="E877" s="13">
        <f t="shared" ca="1" si="287"/>
        <v>0</v>
      </c>
      <c r="F877" s="13"/>
      <c r="G877" s="13"/>
      <c r="H877" s="13"/>
      <c r="I877" s="13">
        <f t="shared" ca="1" si="288"/>
        <v>0</v>
      </c>
      <c r="J877" s="13">
        <f t="shared" ca="1" si="289"/>
        <v>0</v>
      </c>
      <c r="K877" s="13">
        <f t="shared" ca="1" si="290"/>
        <v>0</v>
      </c>
      <c r="L877" s="13" t="e">
        <f ca="1">ROUNDUP(IF($D$2="Egyszeri",$E877,IF($D$2="Havi",SUM($E$20:$E$31),IF(MOD($C877,$M$1)-1=0,SUM($E$20:$E$31),0))/12*$M$1)*VLOOKUP($B877,Paraméterek!$I$28:$P$31,IF($D$2="Egyszeri",8,HLOOKUP(ROUNDUP($M$11+$M$13,0),Paraméterek!$J$26:$O$27,2))),IF($D$4="Forint",0,2))</f>
        <v>#N/A</v>
      </c>
      <c r="M877" s="13">
        <f t="shared" ca="1" si="291"/>
        <v>0</v>
      </c>
      <c r="N877" s="13">
        <f t="shared" ca="1" si="301"/>
        <v>0</v>
      </c>
      <c r="O877" s="13">
        <f ca="1">IF($D877="Igen",IF($W876&gt;=IF($D$4="Forint",Paraméterek!$J$121,Paraméterek!$K$121),0,IF($D$4="Forint",Paraméterek!$J$121,Paraméterek!$K$121)-$W876),0)</f>
        <v>0</v>
      </c>
      <c r="P877" s="13" t="e">
        <f ca="1">ROUNDUP($O877*VLOOKUP($M$4+$B877-1,Paraméterek!$H$58:$I$105,2,0)/Paraméterek!$I$56,IF($D$4="Forint",0,2))</f>
        <v>#N/A</v>
      </c>
      <c r="Q877" s="13">
        <f t="shared" ca="1" si="292"/>
        <v>0</v>
      </c>
      <c r="R877" s="33"/>
      <c r="S877" s="13" t="e">
        <f t="shared" ca="1" si="293"/>
        <v>#N/A</v>
      </c>
      <c r="T877" s="13" t="e">
        <f ca="1">ROUNDUP(($N877-$P877-$Q877+$S877)*VLOOKUP($B877,Paraméterek!$I$38:$K$39,IF($D$2="Egyszeri",3,2))/12*IF($D878="Nem",IF($M$13=0,1,$M$13),1),IF($D$4="Forint",0,2))</f>
        <v>#N/A</v>
      </c>
      <c r="U877" s="13"/>
      <c r="V877" s="13"/>
      <c r="W877" s="13" t="e">
        <f ca="1">$N877-$P877-$Q877+$S877-$T877-IF(ROUNDUP(IF(ISBLANK($V877),$U877*0,$V877)/IF($D$2="Egyszeri",VLOOKUP($B877+IF($C877=12,1,0),Paraméterek!$V$257:$W$262,2),IF($B877=1,1,VLOOKUP($B877+IF($C877=12,1,0),Paraméterek!$I$258:$T$278,HLOOKUP($M$11+1,Paraméterek!$J$256:$T$257,2)))),IF($D$4="Forint",0,2))&gt;$N877-$P877-$Q877+$S877-$T877-IF($D$4="Forint",Paraméterek!$C$216,Paraméterek!$D$216),0,ROUNDUP(IF(ISBLANK($V877),$U877*0,$V877)/IF($D$2="Egyszeri",VLOOKUP($B877+IF($C877=12,1,0),Paraméterek!$V$257:$W$262,2),IF($B877=1,1,VLOOKUP($B877+IF($C877=12,1,0),Paraméterek!$I$258:$T$278,HLOOKUP($M$11+1,Paraméterek!$J$256:$T$257,2)))),IF($D$4="Forint",0,2)))</f>
        <v>#N/A</v>
      </c>
      <c r="X877" s="13" t="e">
        <f ca="1">ROUNDDOWN($W877*IF($D$2="Egyszeri",VLOOKUP($B877+IF($C877=12,1,0),Paraméterek!$V$257:$W$262,2),VLOOKUP($B877+IF($C877=12,1,0),Paraméterek!$I$258:$T$278,HLOOKUP($M$11+1,Paraméterek!$I$256:$T$257,2))),IF($D$4="Forint",0,2))</f>
        <v>#N/A</v>
      </c>
      <c r="Z877" s="32">
        <v>858</v>
      </c>
      <c r="AA877" s="32">
        <v>72</v>
      </c>
      <c r="AB877" s="32">
        <v>6</v>
      </c>
      <c r="AC877" s="13">
        <f t="shared" ca="1" si="302"/>
        <v>0</v>
      </c>
      <c r="AD877" s="33"/>
      <c r="AE877" s="13">
        <f t="shared" ca="1" si="294"/>
        <v>0</v>
      </c>
      <c r="AF877" s="13">
        <f ca="1">ROUNDUP(($AC877+$AE877)*VLOOKUP($AA877,Paraméterek!$P$38:$Q$38,2)/12*IF($D878="Nem",IF($M$13=0,1,$M$13),1),IF($D$4="Forint",0,2))</f>
        <v>0</v>
      </c>
      <c r="AG877" s="13">
        <f ca="1">IF($D$2="Egyszeri",IF($D$7&gt;=IF($D$4="Forint",Paraméterek!$P$223,Paraméterek!$P$224),$D$7-IF($D$4="Forint",Paraméterek!$P$223,Paraméterek!$P$224),0),MIN(IF($AB877=12,AVERAGEIF($E$20:$E877,"&gt;0",$E$20:$E877)*12,0),SUM($E$20:$E$31)))</f>
        <v>0</v>
      </c>
      <c r="AH877" s="13">
        <f>IF($AA877=10,$AG877*IF($AB877=12,IF($AG877&lt;IF($D$4="Forint",Paraméterek!$L$223,Paraméterek!$L$224),0,VLOOKUP($AA877,Paraméterek!$K$226:$M$228,IF($AG877&lt;IF($D$4="Forint",Paraméterek!$M$223,Paraméterek!$M$224),2,3))),0),0)</f>
        <v>0</v>
      </c>
      <c r="AI877" s="13">
        <f ca="1">IF(AND($AA877=$M$11+1,$AB877=$M$12+1),SUMIF($AA$20:$AA$1027,$AA877,$AG$20:$AG$1027)*IF(SUMIF($AA$20:$AA$1027,$AA877,$AG$20:$AG$1027)&lt;IF($D$4="Forint",Paraméterek!$L$223,Paraméterek!$L$224),0,VLOOKUP($AA877,Paraméterek!$K$230:$M$250,IF(SUMIF($AA$20:$AA$1027,$AA877,$AG$20:$AG$1027)&lt;IF($D$4="Forint",Paraméterek!$M$223,Paraméterek!$M$224),2,3))),0)</f>
        <v>0</v>
      </c>
      <c r="AJ877" s="13">
        <f ca="1">IF(AND($AA877&gt;=5,MOD($AA877,5)=0),IF($AB877=12,VLOOKUP($AA877,Paraméterek!$O$225:$P$240,2),0),IF(OR($AA877=3,$AA877=4),IF($AB877=12,VLOOKUP($AA877,Paraméterek!$O$225:$P$240,2,0),0),0))*$AG877</f>
        <v>0</v>
      </c>
      <c r="AK877" s="13">
        <f t="shared" ca="1" si="295"/>
        <v>0</v>
      </c>
      <c r="AL877" s="13">
        <f t="shared" ca="1" si="303"/>
        <v>0</v>
      </c>
      <c r="AM877" s="13">
        <f t="shared" ca="1" si="304"/>
        <v>0</v>
      </c>
      <c r="AO877" s="32">
        <v>858</v>
      </c>
      <c r="AP877" s="32">
        <v>72</v>
      </c>
      <c r="AQ877" s="32">
        <v>6</v>
      </c>
      <c r="AR877" s="13"/>
      <c r="AS877" s="32"/>
      <c r="AT877" s="13">
        <f t="shared" ca="1" si="305"/>
        <v>0</v>
      </c>
      <c r="AU877" s="33"/>
      <c r="AV877" s="13">
        <f t="shared" ca="1" si="296"/>
        <v>0</v>
      </c>
      <c r="AW877" s="13">
        <f ca="1">ROUNDUP(($AT877+$AV877)*VLOOKUP($AP877,Paraméterek!$P$38:$Q$38,2)/12*IF($D878="Nem",IF($M$13=0,1,$M$13),1),IF($D$4="Forint",0,2))</f>
        <v>0</v>
      </c>
      <c r="AX877" s="13"/>
      <c r="AY877" s="13"/>
      <c r="AZ877" s="13">
        <f>ROUNDUP(IF(SUM($AX877:$AY877)=0,0,IF(IF(ISBLANK($AY877),$AX877,$AY877)*Paraméterek!$J$112&lt;IF($D$4="Forint",Paraméterek!$J$113,Paraméterek!$K$113),IF($D$4="Forint",Paraméterek!$J$113,Paraméterek!$K$113),IF(IF(ISBLANK($AY877),$AX877,$AY877)*Paraméterek!$J$112&gt;IF($D$4="Forint",Paraméterek!$J$114,Paraméterek!$K$114),IF($D$4="Forint",Paraméterek!$J$114,Paraméterek!$K$114),IF(ISBLANK($AY877),$AX877,$AY877)*Paraméterek!$J$112))),IF($D$4="Forint",0,2))</f>
        <v>0</v>
      </c>
      <c r="BA877" s="13">
        <f ca="1">$AT877+$AV877-$AW877-IF(ROUNDDOWN(IF(ISBLANK($AY877),$AX877,$AY877),IF($D$4="Forint",0,2))&gt;$AT877+$AV877-$AW877-IF($D$4="Forint",Paraméterek!$J$114,Paraméterek!$K$114),0,ROUNDDOWN(IF(ISBLANK($AY877),$AX877,$AY877),IF($D$4="Forint",0,2))-$AZ877)</f>
        <v>0</v>
      </c>
      <c r="BB877" s="13">
        <f t="shared" ca="1" si="297"/>
        <v>0</v>
      </c>
      <c r="BD877" s="32">
        <v>858</v>
      </c>
      <c r="BE877" s="32">
        <v>72</v>
      </c>
      <c r="BF877" s="32">
        <v>6</v>
      </c>
      <c r="BG877" s="34">
        <f t="shared" ca="1" si="306"/>
        <v>2090</v>
      </c>
      <c r="BH877" s="32" t="str">
        <f ca="1">IF(MOD(MONTH($D$14)+$BD877-1,12)=Paraméterek!$C$288,"Igen","")</f>
        <v/>
      </c>
      <c r="BI877" s="13">
        <f ca="1">IF($BH877="Igen",MIN(ROUNDDOWN((SUMIF($BG$20:$BG$1027,$BG877-1,$K$20:$K$1027)-SUMIF($BG$20:$BG$1027,$BG877-1,$I$20:$I$1027))*Paraméterek!$C$289,IF($D$4="Forint",0,2)),IF($D$4="Forint",Paraméterek!$C$285,Paraméterek!$D$285)),0)</f>
        <v>0</v>
      </c>
      <c r="BJ877" s="13">
        <f t="shared" ca="1" si="298"/>
        <v>0</v>
      </c>
      <c r="BK877" s="13">
        <f t="shared" ca="1" si="307"/>
        <v>0</v>
      </c>
      <c r="BL877" s="33"/>
      <c r="BM877" s="13">
        <f t="shared" ca="1" si="299"/>
        <v>0</v>
      </c>
      <c r="BN877" s="13">
        <f ca="1">ROUNDUP(($BK877+$BM877)*VLOOKUP($BE877,Paraméterek!$P$38:$Q$38,2)/12*IF($D878="Nem",IF($M$13=0,1,$M$13),1),IF($D$4="Forint",0,2))</f>
        <v>0</v>
      </c>
      <c r="BO877" s="13">
        <f t="shared" ca="1" si="300"/>
        <v>0</v>
      </c>
      <c r="BP877" s="13">
        <f ca="1">IF($D878="Nem",$BO877,$BO877-ROUNDUP(SUM($BI$20:$BI877)*120%,IF($D$4="Forint",0,2)))</f>
        <v>0</v>
      </c>
    </row>
    <row r="878" spans="1:68" x14ac:dyDescent="0.2">
      <c r="A878" s="32">
        <v>859</v>
      </c>
      <c r="B878" s="32">
        <v>72</v>
      </c>
      <c r="C878" s="32">
        <v>7</v>
      </c>
      <c r="D878" s="32" t="str">
        <f t="shared" ca="1" si="286"/>
        <v>Nem</v>
      </c>
      <c r="E878" s="13">
        <f t="shared" ca="1" si="287"/>
        <v>0</v>
      </c>
      <c r="F878" s="13"/>
      <c r="G878" s="13"/>
      <c r="H878" s="13"/>
      <c r="I878" s="13">
        <f t="shared" ca="1" si="288"/>
        <v>0</v>
      </c>
      <c r="J878" s="13">
        <f t="shared" ca="1" si="289"/>
        <v>0</v>
      </c>
      <c r="K878" s="13">
        <f t="shared" ca="1" si="290"/>
        <v>0</v>
      </c>
      <c r="L878" s="13" t="e">
        <f ca="1">ROUNDUP(IF($D$2="Egyszeri",$E878,IF($D$2="Havi",SUM($E$20:$E$31),IF(MOD($C878,$M$1)-1=0,SUM($E$20:$E$31),0))/12*$M$1)*VLOOKUP($B878,Paraméterek!$I$28:$P$31,IF($D$2="Egyszeri",8,HLOOKUP(ROUNDUP($M$11+$M$13,0),Paraméterek!$J$26:$O$27,2))),IF($D$4="Forint",0,2))</f>
        <v>#N/A</v>
      </c>
      <c r="M878" s="13">
        <f t="shared" ca="1" si="291"/>
        <v>0</v>
      </c>
      <c r="N878" s="13">
        <f t="shared" ca="1" si="301"/>
        <v>0</v>
      </c>
      <c r="O878" s="13">
        <f ca="1">IF($D878="Igen",IF($W877&gt;=IF($D$4="Forint",Paraméterek!$J$121,Paraméterek!$K$121),0,IF($D$4="Forint",Paraméterek!$J$121,Paraméterek!$K$121)-$W877),0)</f>
        <v>0</v>
      </c>
      <c r="P878" s="13" t="e">
        <f ca="1">ROUNDUP($O878*VLOOKUP($M$4+$B878-1,Paraméterek!$H$58:$I$105,2,0)/Paraméterek!$I$56,IF($D$4="Forint",0,2))</f>
        <v>#N/A</v>
      </c>
      <c r="Q878" s="13">
        <f t="shared" ca="1" si="292"/>
        <v>0</v>
      </c>
      <c r="R878" s="33"/>
      <c r="S878" s="13" t="e">
        <f t="shared" ca="1" si="293"/>
        <v>#N/A</v>
      </c>
      <c r="T878" s="13" t="e">
        <f ca="1">ROUNDUP(($N878-$P878-$Q878+$S878)*VLOOKUP($B878,Paraméterek!$I$38:$K$39,IF($D$2="Egyszeri",3,2))/12*IF($D879="Nem",IF($M$13=0,1,$M$13),1),IF($D$4="Forint",0,2))</f>
        <v>#N/A</v>
      </c>
      <c r="U878" s="13"/>
      <c r="V878" s="13"/>
      <c r="W878" s="13" t="e">
        <f ca="1">$N878-$P878-$Q878+$S878-$T878-IF(ROUNDUP(IF(ISBLANK($V878),$U878*0,$V878)/IF($D$2="Egyszeri",VLOOKUP($B878+IF($C878=12,1,0),Paraméterek!$V$257:$W$262,2),IF($B878=1,1,VLOOKUP($B878+IF($C878=12,1,0),Paraméterek!$I$258:$T$278,HLOOKUP($M$11+1,Paraméterek!$J$256:$T$257,2)))),IF($D$4="Forint",0,2))&gt;$N878-$P878-$Q878+$S878-$T878-IF($D$4="Forint",Paraméterek!$C$216,Paraméterek!$D$216),0,ROUNDUP(IF(ISBLANK($V878),$U878*0,$V878)/IF($D$2="Egyszeri",VLOOKUP($B878+IF($C878=12,1,0),Paraméterek!$V$257:$W$262,2),IF($B878=1,1,VLOOKUP($B878+IF($C878=12,1,0),Paraméterek!$I$258:$T$278,HLOOKUP($M$11+1,Paraméterek!$J$256:$T$257,2)))),IF($D$4="Forint",0,2)))</f>
        <v>#N/A</v>
      </c>
      <c r="X878" s="13" t="e">
        <f ca="1">ROUNDDOWN($W878*IF($D$2="Egyszeri",VLOOKUP($B878+IF($C878=12,1,0),Paraméterek!$V$257:$W$262,2),VLOOKUP($B878+IF($C878=12,1,0),Paraméterek!$I$258:$T$278,HLOOKUP($M$11+1,Paraméterek!$I$256:$T$257,2))),IF($D$4="Forint",0,2))</f>
        <v>#N/A</v>
      </c>
      <c r="Z878" s="32">
        <v>859</v>
      </c>
      <c r="AA878" s="32">
        <v>72</v>
      </c>
      <c r="AB878" s="32">
        <v>7</v>
      </c>
      <c r="AC878" s="13">
        <f t="shared" ca="1" si="302"/>
        <v>0</v>
      </c>
      <c r="AD878" s="33"/>
      <c r="AE878" s="13">
        <f t="shared" ca="1" si="294"/>
        <v>0</v>
      </c>
      <c r="AF878" s="13">
        <f ca="1">ROUNDUP(($AC878+$AE878)*VLOOKUP($AA878,Paraméterek!$P$38:$Q$38,2)/12*IF($D879="Nem",IF($M$13=0,1,$M$13),1),IF($D$4="Forint",0,2))</f>
        <v>0</v>
      </c>
      <c r="AG878" s="13">
        <f ca="1">IF($D$2="Egyszeri",IF($D$7&gt;=IF($D$4="Forint",Paraméterek!$P$223,Paraméterek!$P$224),$D$7-IF($D$4="Forint",Paraméterek!$P$223,Paraméterek!$P$224),0),MIN(IF($AB878=12,AVERAGEIF($E$20:$E878,"&gt;0",$E$20:$E878)*12,0),SUM($E$20:$E$31)))</f>
        <v>0</v>
      </c>
      <c r="AH878" s="13">
        <f>IF($AA878=10,$AG878*IF($AB878=12,IF($AG878&lt;IF($D$4="Forint",Paraméterek!$L$223,Paraméterek!$L$224),0,VLOOKUP($AA878,Paraméterek!$K$226:$M$228,IF($AG878&lt;IF($D$4="Forint",Paraméterek!$M$223,Paraméterek!$M$224),2,3))),0),0)</f>
        <v>0</v>
      </c>
      <c r="AI878" s="13">
        <f ca="1">IF(AND($AA878=$M$11+1,$AB878=$M$12+1),SUMIF($AA$20:$AA$1027,$AA878,$AG$20:$AG$1027)*IF(SUMIF($AA$20:$AA$1027,$AA878,$AG$20:$AG$1027)&lt;IF($D$4="Forint",Paraméterek!$L$223,Paraméterek!$L$224),0,VLOOKUP($AA878,Paraméterek!$K$230:$M$250,IF(SUMIF($AA$20:$AA$1027,$AA878,$AG$20:$AG$1027)&lt;IF($D$4="Forint",Paraméterek!$M$223,Paraméterek!$M$224),2,3))),0)</f>
        <v>0</v>
      </c>
      <c r="AJ878" s="13">
        <f ca="1">IF(AND($AA878&gt;=5,MOD($AA878,5)=0),IF($AB878=12,VLOOKUP($AA878,Paraméterek!$O$225:$P$240,2),0),IF(OR($AA878=3,$AA878=4),IF($AB878=12,VLOOKUP($AA878,Paraméterek!$O$225:$P$240,2,0),0),0))*$AG878</f>
        <v>0</v>
      </c>
      <c r="AK878" s="13">
        <f t="shared" ca="1" si="295"/>
        <v>0</v>
      </c>
      <c r="AL878" s="13">
        <f t="shared" ca="1" si="303"/>
        <v>0</v>
      </c>
      <c r="AM878" s="13">
        <f t="shared" ca="1" si="304"/>
        <v>0</v>
      </c>
      <c r="AO878" s="32">
        <v>859</v>
      </c>
      <c r="AP878" s="32">
        <v>72</v>
      </c>
      <c r="AQ878" s="32">
        <v>7</v>
      </c>
      <c r="AR878" s="13"/>
      <c r="AS878" s="32"/>
      <c r="AT878" s="13">
        <f t="shared" ca="1" si="305"/>
        <v>0</v>
      </c>
      <c r="AU878" s="33"/>
      <c r="AV878" s="13">
        <f t="shared" ca="1" si="296"/>
        <v>0</v>
      </c>
      <c r="AW878" s="13">
        <f ca="1">ROUNDUP(($AT878+$AV878)*VLOOKUP($AP878,Paraméterek!$P$38:$Q$38,2)/12*IF($D879="Nem",IF($M$13=0,1,$M$13),1),IF($D$4="Forint",0,2))</f>
        <v>0</v>
      </c>
      <c r="AX878" s="13"/>
      <c r="AY878" s="13"/>
      <c r="AZ878" s="13">
        <f>ROUNDUP(IF(SUM($AX878:$AY878)=0,0,IF(IF(ISBLANK($AY878),$AX878,$AY878)*Paraméterek!$J$112&lt;IF($D$4="Forint",Paraméterek!$J$113,Paraméterek!$K$113),IF($D$4="Forint",Paraméterek!$J$113,Paraméterek!$K$113),IF(IF(ISBLANK($AY878),$AX878,$AY878)*Paraméterek!$J$112&gt;IF($D$4="Forint",Paraméterek!$J$114,Paraméterek!$K$114),IF($D$4="Forint",Paraméterek!$J$114,Paraméterek!$K$114),IF(ISBLANK($AY878),$AX878,$AY878)*Paraméterek!$J$112))),IF($D$4="Forint",0,2))</f>
        <v>0</v>
      </c>
      <c r="BA878" s="13">
        <f ca="1">$AT878+$AV878-$AW878-IF(ROUNDDOWN(IF(ISBLANK($AY878),$AX878,$AY878),IF($D$4="Forint",0,2))&gt;$AT878+$AV878-$AW878-IF($D$4="Forint",Paraméterek!$J$114,Paraméterek!$K$114),0,ROUNDDOWN(IF(ISBLANK($AY878),$AX878,$AY878),IF($D$4="Forint",0,2))-$AZ878)</f>
        <v>0</v>
      </c>
      <c r="BB878" s="13">
        <f t="shared" ca="1" si="297"/>
        <v>0</v>
      </c>
      <c r="BD878" s="32">
        <v>859</v>
      </c>
      <c r="BE878" s="32">
        <v>72</v>
      </c>
      <c r="BF878" s="32">
        <v>7</v>
      </c>
      <c r="BG878" s="34">
        <f t="shared" ca="1" si="306"/>
        <v>2090</v>
      </c>
      <c r="BH878" s="32" t="str">
        <f ca="1">IF(MOD(MONTH($D$14)+$BD878-1,12)=Paraméterek!$C$288,"Igen","")</f>
        <v/>
      </c>
      <c r="BI878" s="13">
        <f ca="1">IF($BH878="Igen",MIN(ROUNDDOWN((SUMIF($BG$20:$BG$1027,$BG878-1,$K$20:$K$1027)-SUMIF($BG$20:$BG$1027,$BG878-1,$I$20:$I$1027))*Paraméterek!$C$289,IF($D$4="Forint",0,2)),IF($D$4="Forint",Paraméterek!$C$285,Paraméterek!$D$285)),0)</f>
        <v>0</v>
      </c>
      <c r="BJ878" s="13">
        <f t="shared" ca="1" si="298"/>
        <v>0</v>
      </c>
      <c r="BK878" s="13">
        <f t="shared" ca="1" si="307"/>
        <v>0</v>
      </c>
      <c r="BL878" s="33"/>
      <c r="BM878" s="13">
        <f t="shared" ca="1" si="299"/>
        <v>0</v>
      </c>
      <c r="BN878" s="13">
        <f ca="1">ROUNDUP(($BK878+$BM878)*VLOOKUP($BE878,Paraméterek!$P$38:$Q$38,2)/12*IF($D879="Nem",IF($M$13=0,1,$M$13),1),IF($D$4="Forint",0,2))</f>
        <v>0</v>
      </c>
      <c r="BO878" s="13">
        <f t="shared" ca="1" si="300"/>
        <v>0</v>
      </c>
      <c r="BP878" s="13">
        <f ca="1">IF($D879="Nem",$BO878,$BO878-ROUNDUP(SUM($BI$20:$BI878)*120%,IF($D$4="Forint",0,2)))</f>
        <v>0</v>
      </c>
    </row>
    <row r="879" spans="1:68" x14ac:dyDescent="0.2">
      <c r="A879" s="32">
        <v>860</v>
      </c>
      <c r="B879" s="32">
        <v>72</v>
      </c>
      <c r="C879" s="32">
        <v>8</v>
      </c>
      <c r="D879" s="32" t="str">
        <f t="shared" ca="1" si="286"/>
        <v>Nem</v>
      </c>
      <c r="E879" s="13">
        <f t="shared" ca="1" si="287"/>
        <v>0</v>
      </c>
      <c r="F879" s="13"/>
      <c r="G879" s="13"/>
      <c r="H879" s="13"/>
      <c r="I879" s="13">
        <f t="shared" ca="1" si="288"/>
        <v>0</v>
      </c>
      <c r="J879" s="13">
        <f t="shared" ca="1" si="289"/>
        <v>0</v>
      </c>
      <c r="K879" s="13">
        <f t="shared" ca="1" si="290"/>
        <v>0</v>
      </c>
      <c r="L879" s="13" t="e">
        <f ca="1">ROUNDUP(IF($D$2="Egyszeri",$E879,IF($D$2="Havi",SUM($E$20:$E$31),IF(MOD($C879,$M$1)-1=0,SUM($E$20:$E$31),0))/12*$M$1)*VLOOKUP($B879,Paraméterek!$I$28:$P$31,IF($D$2="Egyszeri",8,HLOOKUP(ROUNDUP($M$11+$M$13,0),Paraméterek!$J$26:$O$27,2))),IF($D$4="Forint",0,2))</f>
        <v>#N/A</v>
      </c>
      <c r="M879" s="13">
        <f t="shared" ca="1" si="291"/>
        <v>0</v>
      </c>
      <c r="N879" s="13">
        <f t="shared" ca="1" si="301"/>
        <v>0</v>
      </c>
      <c r="O879" s="13">
        <f ca="1">IF($D879="Igen",IF($W878&gt;=IF($D$4="Forint",Paraméterek!$J$121,Paraméterek!$K$121),0,IF($D$4="Forint",Paraméterek!$J$121,Paraméterek!$K$121)-$W878),0)</f>
        <v>0</v>
      </c>
      <c r="P879" s="13" t="e">
        <f ca="1">ROUNDUP($O879*VLOOKUP($M$4+$B879-1,Paraméterek!$H$58:$I$105,2,0)/Paraméterek!$I$56,IF($D$4="Forint",0,2))</f>
        <v>#N/A</v>
      </c>
      <c r="Q879" s="13">
        <f t="shared" ca="1" si="292"/>
        <v>0</v>
      </c>
      <c r="R879" s="33"/>
      <c r="S879" s="13" t="e">
        <f t="shared" ca="1" si="293"/>
        <v>#N/A</v>
      </c>
      <c r="T879" s="13" t="e">
        <f ca="1">ROUNDUP(($N879-$P879-$Q879+$S879)*VLOOKUP($B879,Paraméterek!$I$38:$K$39,IF($D$2="Egyszeri",3,2))/12*IF($D880="Nem",IF($M$13=0,1,$M$13),1),IF($D$4="Forint",0,2))</f>
        <v>#N/A</v>
      </c>
      <c r="U879" s="13"/>
      <c r="V879" s="13"/>
      <c r="W879" s="13" t="e">
        <f ca="1">$N879-$P879-$Q879+$S879-$T879-IF(ROUNDUP(IF(ISBLANK($V879),$U879*0,$V879)/IF($D$2="Egyszeri",VLOOKUP($B879+IF($C879=12,1,0),Paraméterek!$V$257:$W$262,2),IF($B879=1,1,VLOOKUP($B879+IF($C879=12,1,0),Paraméterek!$I$258:$T$278,HLOOKUP($M$11+1,Paraméterek!$J$256:$T$257,2)))),IF($D$4="Forint",0,2))&gt;$N879-$P879-$Q879+$S879-$T879-IF($D$4="Forint",Paraméterek!$C$216,Paraméterek!$D$216),0,ROUNDUP(IF(ISBLANK($V879),$U879*0,$V879)/IF($D$2="Egyszeri",VLOOKUP($B879+IF($C879=12,1,0),Paraméterek!$V$257:$W$262,2),IF($B879=1,1,VLOOKUP($B879+IF($C879=12,1,0),Paraméterek!$I$258:$T$278,HLOOKUP($M$11+1,Paraméterek!$J$256:$T$257,2)))),IF($D$4="Forint",0,2)))</f>
        <v>#N/A</v>
      </c>
      <c r="X879" s="13" t="e">
        <f ca="1">ROUNDDOWN($W879*IF($D$2="Egyszeri",VLOOKUP($B879+IF($C879=12,1,0),Paraméterek!$V$257:$W$262,2),VLOOKUP($B879+IF($C879=12,1,0),Paraméterek!$I$258:$T$278,HLOOKUP($M$11+1,Paraméterek!$I$256:$T$257,2))),IF($D$4="Forint",0,2))</f>
        <v>#N/A</v>
      </c>
      <c r="Z879" s="32">
        <v>860</v>
      </c>
      <c r="AA879" s="32">
        <v>72</v>
      </c>
      <c r="AB879" s="32">
        <v>8</v>
      </c>
      <c r="AC879" s="13">
        <f t="shared" ca="1" si="302"/>
        <v>0</v>
      </c>
      <c r="AD879" s="33"/>
      <c r="AE879" s="13">
        <f t="shared" ca="1" si="294"/>
        <v>0</v>
      </c>
      <c r="AF879" s="13">
        <f ca="1">ROUNDUP(($AC879+$AE879)*VLOOKUP($AA879,Paraméterek!$P$38:$Q$38,2)/12*IF($D880="Nem",IF($M$13=0,1,$M$13),1),IF($D$4="Forint",0,2))</f>
        <v>0</v>
      </c>
      <c r="AG879" s="13">
        <f ca="1">IF($D$2="Egyszeri",IF($D$7&gt;=IF($D$4="Forint",Paraméterek!$P$223,Paraméterek!$P$224),$D$7-IF($D$4="Forint",Paraméterek!$P$223,Paraméterek!$P$224),0),MIN(IF($AB879=12,AVERAGEIF($E$20:$E879,"&gt;0",$E$20:$E879)*12,0),SUM($E$20:$E$31)))</f>
        <v>0</v>
      </c>
      <c r="AH879" s="13">
        <f>IF($AA879=10,$AG879*IF($AB879=12,IF($AG879&lt;IF($D$4="Forint",Paraméterek!$L$223,Paraméterek!$L$224),0,VLOOKUP($AA879,Paraméterek!$K$226:$M$228,IF($AG879&lt;IF($D$4="Forint",Paraméterek!$M$223,Paraméterek!$M$224),2,3))),0),0)</f>
        <v>0</v>
      </c>
      <c r="AI879" s="13">
        <f ca="1">IF(AND($AA879=$M$11+1,$AB879=$M$12+1),SUMIF($AA$20:$AA$1027,$AA879,$AG$20:$AG$1027)*IF(SUMIF($AA$20:$AA$1027,$AA879,$AG$20:$AG$1027)&lt;IF($D$4="Forint",Paraméterek!$L$223,Paraméterek!$L$224),0,VLOOKUP($AA879,Paraméterek!$K$230:$M$250,IF(SUMIF($AA$20:$AA$1027,$AA879,$AG$20:$AG$1027)&lt;IF($D$4="Forint",Paraméterek!$M$223,Paraméterek!$M$224),2,3))),0)</f>
        <v>0</v>
      </c>
      <c r="AJ879" s="13">
        <f ca="1">IF(AND($AA879&gt;=5,MOD($AA879,5)=0),IF($AB879=12,VLOOKUP($AA879,Paraméterek!$O$225:$P$240,2),0),IF(OR($AA879=3,$AA879=4),IF($AB879=12,VLOOKUP($AA879,Paraméterek!$O$225:$P$240,2,0),0),0))*$AG879</f>
        <v>0</v>
      </c>
      <c r="AK879" s="13">
        <f t="shared" ca="1" si="295"/>
        <v>0</v>
      </c>
      <c r="AL879" s="13">
        <f t="shared" ca="1" si="303"/>
        <v>0</v>
      </c>
      <c r="AM879" s="13">
        <f t="shared" ca="1" si="304"/>
        <v>0</v>
      </c>
      <c r="AO879" s="32">
        <v>860</v>
      </c>
      <c r="AP879" s="32">
        <v>72</v>
      </c>
      <c r="AQ879" s="32">
        <v>8</v>
      </c>
      <c r="AR879" s="13"/>
      <c r="AS879" s="32"/>
      <c r="AT879" s="13">
        <f t="shared" ca="1" si="305"/>
        <v>0</v>
      </c>
      <c r="AU879" s="33"/>
      <c r="AV879" s="13">
        <f t="shared" ca="1" si="296"/>
        <v>0</v>
      </c>
      <c r="AW879" s="13">
        <f ca="1">ROUNDUP(($AT879+$AV879)*VLOOKUP($AP879,Paraméterek!$P$38:$Q$38,2)/12*IF($D880="Nem",IF($M$13=0,1,$M$13),1),IF($D$4="Forint",0,2))</f>
        <v>0</v>
      </c>
      <c r="AX879" s="13"/>
      <c r="AY879" s="13"/>
      <c r="AZ879" s="13">
        <f>ROUNDUP(IF(SUM($AX879:$AY879)=0,0,IF(IF(ISBLANK($AY879),$AX879,$AY879)*Paraméterek!$J$112&lt;IF($D$4="Forint",Paraméterek!$J$113,Paraméterek!$K$113),IF($D$4="Forint",Paraméterek!$J$113,Paraméterek!$K$113),IF(IF(ISBLANK($AY879),$AX879,$AY879)*Paraméterek!$J$112&gt;IF($D$4="Forint",Paraméterek!$J$114,Paraméterek!$K$114),IF($D$4="Forint",Paraméterek!$J$114,Paraméterek!$K$114),IF(ISBLANK($AY879),$AX879,$AY879)*Paraméterek!$J$112))),IF($D$4="Forint",0,2))</f>
        <v>0</v>
      </c>
      <c r="BA879" s="13">
        <f ca="1">$AT879+$AV879-$AW879-IF(ROUNDDOWN(IF(ISBLANK($AY879),$AX879,$AY879),IF($D$4="Forint",0,2))&gt;$AT879+$AV879-$AW879-IF($D$4="Forint",Paraméterek!$J$114,Paraméterek!$K$114),0,ROUNDDOWN(IF(ISBLANK($AY879),$AX879,$AY879),IF($D$4="Forint",0,2))-$AZ879)</f>
        <v>0</v>
      </c>
      <c r="BB879" s="13">
        <f t="shared" ca="1" si="297"/>
        <v>0</v>
      </c>
      <c r="BD879" s="32">
        <v>860</v>
      </c>
      <c r="BE879" s="32">
        <v>72</v>
      </c>
      <c r="BF879" s="32">
        <v>8</v>
      </c>
      <c r="BG879" s="34">
        <f t="shared" ca="1" si="306"/>
        <v>2091</v>
      </c>
      <c r="BH879" s="32" t="str">
        <f ca="1">IF(MOD(MONTH($D$14)+$BD879-1,12)=Paraméterek!$C$288,"Igen","")</f>
        <v/>
      </c>
      <c r="BI879" s="13">
        <f ca="1">IF($BH879="Igen",MIN(ROUNDDOWN((SUMIF($BG$20:$BG$1027,$BG879-1,$K$20:$K$1027)-SUMIF($BG$20:$BG$1027,$BG879-1,$I$20:$I$1027))*Paraméterek!$C$289,IF($D$4="Forint",0,2)),IF($D$4="Forint",Paraméterek!$C$285,Paraméterek!$D$285)),0)</f>
        <v>0</v>
      </c>
      <c r="BJ879" s="13">
        <f t="shared" ca="1" si="298"/>
        <v>0</v>
      </c>
      <c r="BK879" s="13">
        <f t="shared" ca="1" si="307"/>
        <v>0</v>
      </c>
      <c r="BL879" s="33"/>
      <c r="BM879" s="13">
        <f t="shared" ca="1" si="299"/>
        <v>0</v>
      </c>
      <c r="BN879" s="13">
        <f ca="1">ROUNDUP(($BK879+$BM879)*VLOOKUP($BE879,Paraméterek!$P$38:$Q$38,2)/12*IF($D880="Nem",IF($M$13=0,1,$M$13),1),IF($D$4="Forint",0,2))</f>
        <v>0</v>
      </c>
      <c r="BO879" s="13">
        <f t="shared" ca="1" si="300"/>
        <v>0</v>
      </c>
      <c r="BP879" s="13">
        <f ca="1">IF($D880="Nem",$BO879,$BO879-ROUNDUP(SUM($BI$20:$BI879)*120%,IF($D$4="Forint",0,2)))</f>
        <v>0</v>
      </c>
    </row>
    <row r="880" spans="1:68" x14ac:dyDescent="0.2">
      <c r="A880" s="32">
        <v>861</v>
      </c>
      <c r="B880" s="32">
        <v>72</v>
      </c>
      <c r="C880" s="32">
        <v>9</v>
      </c>
      <c r="D880" s="32" t="str">
        <f t="shared" ca="1" si="286"/>
        <v>Nem</v>
      </c>
      <c r="E880" s="13">
        <f t="shared" ca="1" si="287"/>
        <v>0</v>
      </c>
      <c r="F880" s="13"/>
      <c r="G880" s="13"/>
      <c r="H880" s="13"/>
      <c r="I880" s="13">
        <f t="shared" ca="1" si="288"/>
        <v>0</v>
      </c>
      <c r="J880" s="13">
        <f t="shared" ca="1" si="289"/>
        <v>0</v>
      </c>
      <c r="K880" s="13">
        <f t="shared" ca="1" si="290"/>
        <v>0</v>
      </c>
      <c r="L880" s="13" t="e">
        <f ca="1">ROUNDUP(IF($D$2="Egyszeri",$E880,IF($D$2="Havi",SUM($E$20:$E$31),IF(MOD($C880,$M$1)-1=0,SUM($E$20:$E$31),0))/12*$M$1)*VLOOKUP($B880,Paraméterek!$I$28:$P$31,IF($D$2="Egyszeri",8,HLOOKUP(ROUNDUP($M$11+$M$13,0),Paraméterek!$J$26:$O$27,2))),IF($D$4="Forint",0,2))</f>
        <v>#N/A</v>
      </c>
      <c r="M880" s="13">
        <f t="shared" ca="1" si="291"/>
        <v>0</v>
      </c>
      <c r="N880" s="13">
        <f t="shared" ca="1" si="301"/>
        <v>0</v>
      </c>
      <c r="O880" s="13">
        <f ca="1">IF($D880="Igen",IF($W879&gt;=IF($D$4="Forint",Paraméterek!$J$121,Paraméterek!$K$121),0,IF($D$4="Forint",Paraméterek!$J$121,Paraméterek!$K$121)-$W879),0)</f>
        <v>0</v>
      </c>
      <c r="P880" s="13" t="e">
        <f ca="1">ROUNDUP($O880*VLOOKUP($M$4+$B880-1,Paraméterek!$H$58:$I$105,2,0)/Paraméterek!$I$56,IF($D$4="Forint",0,2))</f>
        <v>#N/A</v>
      </c>
      <c r="Q880" s="13">
        <f t="shared" ca="1" si="292"/>
        <v>0</v>
      </c>
      <c r="R880" s="33"/>
      <c r="S880" s="13" t="e">
        <f t="shared" ca="1" si="293"/>
        <v>#N/A</v>
      </c>
      <c r="T880" s="13" t="e">
        <f ca="1">ROUNDUP(($N880-$P880-$Q880+$S880)*VLOOKUP($B880,Paraméterek!$I$38:$K$39,IF($D$2="Egyszeri",3,2))/12*IF($D881="Nem",IF($M$13=0,1,$M$13),1),IF($D$4="Forint",0,2))</f>
        <v>#N/A</v>
      </c>
      <c r="U880" s="13"/>
      <c r="V880" s="13"/>
      <c r="W880" s="13" t="e">
        <f ca="1">$N880-$P880-$Q880+$S880-$T880-IF(ROUNDUP(IF(ISBLANK($V880),$U880*0,$V880)/IF($D$2="Egyszeri",VLOOKUP($B880+IF($C880=12,1,0),Paraméterek!$V$257:$W$262,2),IF($B880=1,1,VLOOKUP($B880+IF($C880=12,1,0),Paraméterek!$I$258:$T$278,HLOOKUP($M$11+1,Paraméterek!$J$256:$T$257,2)))),IF($D$4="Forint",0,2))&gt;$N880-$P880-$Q880+$S880-$T880-IF($D$4="Forint",Paraméterek!$C$216,Paraméterek!$D$216),0,ROUNDUP(IF(ISBLANK($V880),$U880*0,$V880)/IF($D$2="Egyszeri",VLOOKUP($B880+IF($C880=12,1,0),Paraméterek!$V$257:$W$262,2),IF($B880=1,1,VLOOKUP($B880+IF($C880=12,1,0),Paraméterek!$I$258:$T$278,HLOOKUP($M$11+1,Paraméterek!$J$256:$T$257,2)))),IF($D$4="Forint",0,2)))</f>
        <v>#N/A</v>
      </c>
      <c r="X880" s="13" t="e">
        <f ca="1">ROUNDDOWN($W880*IF($D$2="Egyszeri",VLOOKUP($B880+IF($C880=12,1,0),Paraméterek!$V$257:$W$262,2),VLOOKUP($B880+IF($C880=12,1,0),Paraméterek!$I$258:$T$278,HLOOKUP($M$11+1,Paraméterek!$I$256:$T$257,2))),IF($D$4="Forint",0,2))</f>
        <v>#N/A</v>
      </c>
      <c r="Z880" s="32">
        <v>861</v>
      </c>
      <c r="AA880" s="32">
        <v>72</v>
      </c>
      <c r="AB880" s="32">
        <v>9</v>
      </c>
      <c r="AC880" s="13">
        <f t="shared" ca="1" si="302"/>
        <v>0</v>
      </c>
      <c r="AD880" s="33"/>
      <c r="AE880" s="13">
        <f t="shared" ca="1" si="294"/>
        <v>0</v>
      </c>
      <c r="AF880" s="13">
        <f ca="1">ROUNDUP(($AC880+$AE880)*VLOOKUP($AA880,Paraméterek!$P$38:$Q$38,2)/12*IF($D881="Nem",IF($M$13=0,1,$M$13),1),IF($D$4="Forint",0,2))</f>
        <v>0</v>
      </c>
      <c r="AG880" s="13">
        <f ca="1">IF($D$2="Egyszeri",IF($D$7&gt;=IF($D$4="Forint",Paraméterek!$P$223,Paraméterek!$P$224),$D$7-IF($D$4="Forint",Paraméterek!$P$223,Paraméterek!$P$224),0),MIN(IF($AB880=12,AVERAGEIF($E$20:$E880,"&gt;0",$E$20:$E880)*12,0),SUM($E$20:$E$31)))</f>
        <v>0</v>
      </c>
      <c r="AH880" s="13">
        <f>IF($AA880=10,$AG880*IF($AB880=12,IF($AG880&lt;IF($D$4="Forint",Paraméterek!$L$223,Paraméterek!$L$224),0,VLOOKUP($AA880,Paraméterek!$K$226:$M$228,IF($AG880&lt;IF($D$4="Forint",Paraméterek!$M$223,Paraméterek!$M$224),2,3))),0),0)</f>
        <v>0</v>
      </c>
      <c r="AI880" s="13">
        <f ca="1">IF(AND($AA880=$M$11+1,$AB880=$M$12+1),SUMIF($AA$20:$AA$1027,$AA880,$AG$20:$AG$1027)*IF(SUMIF($AA$20:$AA$1027,$AA880,$AG$20:$AG$1027)&lt;IF($D$4="Forint",Paraméterek!$L$223,Paraméterek!$L$224),0,VLOOKUP($AA880,Paraméterek!$K$230:$M$250,IF(SUMIF($AA$20:$AA$1027,$AA880,$AG$20:$AG$1027)&lt;IF($D$4="Forint",Paraméterek!$M$223,Paraméterek!$M$224),2,3))),0)</f>
        <v>0</v>
      </c>
      <c r="AJ880" s="13">
        <f ca="1">IF(AND($AA880&gt;=5,MOD($AA880,5)=0),IF($AB880=12,VLOOKUP($AA880,Paraméterek!$O$225:$P$240,2),0),IF(OR($AA880=3,$AA880=4),IF($AB880=12,VLOOKUP($AA880,Paraméterek!$O$225:$P$240,2,0),0),0))*$AG880</f>
        <v>0</v>
      </c>
      <c r="AK880" s="13">
        <f t="shared" ca="1" si="295"/>
        <v>0</v>
      </c>
      <c r="AL880" s="13">
        <f t="shared" ca="1" si="303"/>
        <v>0</v>
      </c>
      <c r="AM880" s="13">
        <f t="shared" ca="1" si="304"/>
        <v>0</v>
      </c>
      <c r="AO880" s="32">
        <v>861</v>
      </c>
      <c r="AP880" s="32">
        <v>72</v>
      </c>
      <c r="AQ880" s="32">
        <v>9</v>
      </c>
      <c r="AR880" s="13"/>
      <c r="AS880" s="32"/>
      <c r="AT880" s="13">
        <f t="shared" ca="1" si="305"/>
        <v>0</v>
      </c>
      <c r="AU880" s="33"/>
      <c r="AV880" s="13">
        <f t="shared" ca="1" si="296"/>
        <v>0</v>
      </c>
      <c r="AW880" s="13">
        <f ca="1">ROUNDUP(($AT880+$AV880)*VLOOKUP($AP880,Paraméterek!$P$38:$Q$38,2)/12*IF($D881="Nem",IF($M$13=0,1,$M$13),1),IF($D$4="Forint",0,2))</f>
        <v>0</v>
      </c>
      <c r="AX880" s="13"/>
      <c r="AY880" s="13"/>
      <c r="AZ880" s="13">
        <f>ROUNDUP(IF(SUM($AX880:$AY880)=0,0,IF(IF(ISBLANK($AY880),$AX880,$AY880)*Paraméterek!$J$112&lt;IF($D$4="Forint",Paraméterek!$J$113,Paraméterek!$K$113),IF($D$4="Forint",Paraméterek!$J$113,Paraméterek!$K$113),IF(IF(ISBLANK($AY880),$AX880,$AY880)*Paraméterek!$J$112&gt;IF($D$4="Forint",Paraméterek!$J$114,Paraméterek!$K$114),IF($D$4="Forint",Paraméterek!$J$114,Paraméterek!$K$114),IF(ISBLANK($AY880),$AX880,$AY880)*Paraméterek!$J$112))),IF($D$4="Forint",0,2))</f>
        <v>0</v>
      </c>
      <c r="BA880" s="13">
        <f ca="1">$AT880+$AV880-$AW880-IF(ROUNDDOWN(IF(ISBLANK($AY880),$AX880,$AY880),IF($D$4="Forint",0,2))&gt;$AT880+$AV880-$AW880-IF($D$4="Forint",Paraméterek!$J$114,Paraméterek!$K$114),0,ROUNDDOWN(IF(ISBLANK($AY880),$AX880,$AY880),IF($D$4="Forint",0,2))-$AZ880)</f>
        <v>0</v>
      </c>
      <c r="BB880" s="13">
        <f t="shared" ca="1" si="297"/>
        <v>0</v>
      </c>
      <c r="BD880" s="32">
        <v>861</v>
      </c>
      <c r="BE880" s="32">
        <v>72</v>
      </c>
      <c r="BF880" s="32">
        <v>9</v>
      </c>
      <c r="BG880" s="34">
        <f t="shared" ca="1" si="306"/>
        <v>2091</v>
      </c>
      <c r="BH880" s="32" t="str">
        <f ca="1">IF(MOD(MONTH($D$14)+$BD880-1,12)=Paraméterek!$C$288,"Igen","")</f>
        <v/>
      </c>
      <c r="BI880" s="13">
        <f ca="1">IF($BH880="Igen",MIN(ROUNDDOWN((SUMIF($BG$20:$BG$1027,$BG880-1,$K$20:$K$1027)-SUMIF($BG$20:$BG$1027,$BG880-1,$I$20:$I$1027))*Paraméterek!$C$289,IF($D$4="Forint",0,2)),IF($D$4="Forint",Paraméterek!$C$285,Paraméterek!$D$285)),0)</f>
        <v>0</v>
      </c>
      <c r="BJ880" s="13">
        <f t="shared" ca="1" si="298"/>
        <v>0</v>
      </c>
      <c r="BK880" s="13">
        <f t="shared" ca="1" si="307"/>
        <v>0</v>
      </c>
      <c r="BL880" s="33"/>
      <c r="BM880" s="13">
        <f t="shared" ca="1" si="299"/>
        <v>0</v>
      </c>
      <c r="BN880" s="13">
        <f ca="1">ROUNDUP(($BK880+$BM880)*VLOOKUP($BE880,Paraméterek!$P$38:$Q$38,2)/12*IF($D881="Nem",IF($M$13=0,1,$M$13),1),IF($D$4="Forint",0,2))</f>
        <v>0</v>
      </c>
      <c r="BO880" s="13">
        <f t="shared" ca="1" si="300"/>
        <v>0</v>
      </c>
      <c r="BP880" s="13">
        <f ca="1">IF($D881="Nem",$BO880,$BO880-ROUNDUP(SUM($BI$20:$BI880)*120%,IF($D$4="Forint",0,2)))</f>
        <v>0</v>
      </c>
    </row>
    <row r="881" spans="1:68" x14ac:dyDescent="0.2">
      <c r="A881" s="32">
        <v>862</v>
      </c>
      <c r="B881" s="32">
        <v>72</v>
      </c>
      <c r="C881" s="32">
        <v>10</v>
      </c>
      <c r="D881" s="32" t="str">
        <f t="shared" ca="1" si="286"/>
        <v>Nem</v>
      </c>
      <c r="E881" s="13">
        <f t="shared" ca="1" si="287"/>
        <v>0</v>
      </c>
      <c r="F881" s="13"/>
      <c r="G881" s="13"/>
      <c r="H881" s="13"/>
      <c r="I881" s="13">
        <f t="shared" ca="1" si="288"/>
        <v>0</v>
      </c>
      <c r="J881" s="13">
        <f t="shared" ca="1" si="289"/>
        <v>0</v>
      </c>
      <c r="K881" s="13">
        <f t="shared" ca="1" si="290"/>
        <v>0</v>
      </c>
      <c r="L881" s="13" t="e">
        <f ca="1">ROUNDUP(IF($D$2="Egyszeri",$E881,IF($D$2="Havi",SUM($E$20:$E$31),IF(MOD($C881,$M$1)-1=0,SUM($E$20:$E$31),0))/12*$M$1)*VLOOKUP($B881,Paraméterek!$I$28:$P$31,IF($D$2="Egyszeri",8,HLOOKUP(ROUNDUP($M$11+$M$13,0),Paraméterek!$J$26:$O$27,2))),IF($D$4="Forint",0,2))</f>
        <v>#N/A</v>
      </c>
      <c r="M881" s="13">
        <f t="shared" ca="1" si="291"/>
        <v>0</v>
      </c>
      <c r="N881" s="13">
        <f t="shared" ca="1" si="301"/>
        <v>0</v>
      </c>
      <c r="O881" s="13">
        <f ca="1">IF($D881="Igen",IF($W880&gt;=IF($D$4="Forint",Paraméterek!$J$121,Paraméterek!$K$121),0,IF($D$4="Forint",Paraméterek!$J$121,Paraméterek!$K$121)-$W880),0)</f>
        <v>0</v>
      </c>
      <c r="P881" s="13" t="e">
        <f ca="1">ROUNDUP($O881*VLOOKUP($M$4+$B881-1,Paraméterek!$H$58:$I$105,2,0)/Paraméterek!$I$56,IF($D$4="Forint",0,2))</f>
        <v>#N/A</v>
      </c>
      <c r="Q881" s="13">
        <f t="shared" ca="1" si="292"/>
        <v>0</v>
      </c>
      <c r="R881" s="33"/>
      <c r="S881" s="13" t="e">
        <f t="shared" ca="1" si="293"/>
        <v>#N/A</v>
      </c>
      <c r="T881" s="13" t="e">
        <f ca="1">ROUNDUP(($N881-$P881-$Q881+$S881)*VLOOKUP($B881,Paraméterek!$I$38:$K$39,IF($D$2="Egyszeri",3,2))/12*IF($D882="Nem",IF($M$13=0,1,$M$13),1),IF($D$4="Forint",0,2))</f>
        <v>#N/A</v>
      </c>
      <c r="U881" s="13"/>
      <c r="V881" s="13"/>
      <c r="W881" s="13" t="e">
        <f ca="1">$N881-$P881-$Q881+$S881-$T881-IF(ROUNDUP(IF(ISBLANK($V881),$U881*0,$V881)/IF($D$2="Egyszeri",VLOOKUP($B881+IF($C881=12,1,0),Paraméterek!$V$257:$W$262,2),IF($B881=1,1,VLOOKUP($B881+IF($C881=12,1,0),Paraméterek!$I$258:$T$278,HLOOKUP($M$11+1,Paraméterek!$J$256:$T$257,2)))),IF($D$4="Forint",0,2))&gt;$N881-$P881-$Q881+$S881-$T881-IF($D$4="Forint",Paraméterek!$C$216,Paraméterek!$D$216),0,ROUNDUP(IF(ISBLANK($V881),$U881*0,$V881)/IF($D$2="Egyszeri",VLOOKUP($B881+IF($C881=12,1,0),Paraméterek!$V$257:$W$262,2),IF($B881=1,1,VLOOKUP($B881+IF($C881=12,1,0),Paraméterek!$I$258:$T$278,HLOOKUP($M$11+1,Paraméterek!$J$256:$T$257,2)))),IF($D$4="Forint",0,2)))</f>
        <v>#N/A</v>
      </c>
      <c r="X881" s="13" t="e">
        <f ca="1">ROUNDDOWN($W881*IF($D$2="Egyszeri",VLOOKUP($B881+IF($C881=12,1,0),Paraméterek!$V$257:$W$262,2),VLOOKUP($B881+IF($C881=12,1,0),Paraméterek!$I$258:$T$278,HLOOKUP($M$11+1,Paraméterek!$I$256:$T$257,2))),IF($D$4="Forint",0,2))</f>
        <v>#N/A</v>
      </c>
      <c r="Z881" s="32">
        <v>862</v>
      </c>
      <c r="AA881" s="32">
        <v>72</v>
      </c>
      <c r="AB881" s="32">
        <v>10</v>
      </c>
      <c r="AC881" s="13">
        <f t="shared" ca="1" si="302"/>
        <v>0</v>
      </c>
      <c r="AD881" s="33"/>
      <c r="AE881" s="13">
        <f t="shared" ca="1" si="294"/>
        <v>0</v>
      </c>
      <c r="AF881" s="13">
        <f ca="1">ROUNDUP(($AC881+$AE881)*VLOOKUP($AA881,Paraméterek!$P$38:$Q$38,2)/12*IF($D882="Nem",IF($M$13=0,1,$M$13),1),IF($D$4="Forint",0,2))</f>
        <v>0</v>
      </c>
      <c r="AG881" s="13">
        <f ca="1">IF($D$2="Egyszeri",IF($D$7&gt;=IF($D$4="Forint",Paraméterek!$P$223,Paraméterek!$P$224),$D$7-IF($D$4="Forint",Paraméterek!$P$223,Paraméterek!$P$224),0),MIN(IF($AB881=12,AVERAGEIF($E$20:$E881,"&gt;0",$E$20:$E881)*12,0),SUM($E$20:$E$31)))</f>
        <v>0</v>
      </c>
      <c r="AH881" s="13">
        <f>IF($AA881=10,$AG881*IF($AB881=12,IF($AG881&lt;IF($D$4="Forint",Paraméterek!$L$223,Paraméterek!$L$224),0,VLOOKUP($AA881,Paraméterek!$K$226:$M$228,IF($AG881&lt;IF($D$4="Forint",Paraméterek!$M$223,Paraméterek!$M$224),2,3))),0),0)</f>
        <v>0</v>
      </c>
      <c r="AI881" s="13">
        <f ca="1">IF(AND($AA881=$M$11+1,$AB881=$M$12+1),SUMIF($AA$20:$AA$1027,$AA881,$AG$20:$AG$1027)*IF(SUMIF($AA$20:$AA$1027,$AA881,$AG$20:$AG$1027)&lt;IF($D$4="Forint",Paraméterek!$L$223,Paraméterek!$L$224),0,VLOOKUP($AA881,Paraméterek!$K$230:$M$250,IF(SUMIF($AA$20:$AA$1027,$AA881,$AG$20:$AG$1027)&lt;IF($D$4="Forint",Paraméterek!$M$223,Paraméterek!$M$224),2,3))),0)</f>
        <v>0</v>
      </c>
      <c r="AJ881" s="13">
        <f ca="1">IF(AND($AA881&gt;=5,MOD($AA881,5)=0),IF($AB881=12,VLOOKUP($AA881,Paraméterek!$O$225:$P$240,2),0),IF(OR($AA881=3,$AA881=4),IF($AB881=12,VLOOKUP($AA881,Paraméterek!$O$225:$P$240,2,0),0),0))*$AG881</f>
        <v>0</v>
      </c>
      <c r="AK881" s="13">
        <f t="shared" ca="1" si="295"/>
        <v>0</v>
      </c>
      <c r="AL881" s="13">
        <f t="shared" ca="1" si="303"/>
        <v>0</v>
      </c>
      <c r="AM881" s="13">
        <f t="shared" ca="1" si="304"/>
        <v>0</v>
      </c>
      <c r="AO881" s="32">
        <v>862</v>
      </c>
      <c r="AP881" s="32">
        <v>72</v>
      </c>
      <c r="AQ881" s="32">
        <v>10</v>
      </c>
      <c r="AR881" s="13"/>
      <c r="AS881" s="32"/>
      <c r="AT881" s="13">
        <f t="shared" ca="1" si="305"/>
        <v>0</v>
      </c>
      <c r="AU881" s="33"/>
      <c r="AV881" s="13">
        <f t="shared" ca="1" si="296"/>
        <v>0</v>
      </c>
      <c r="AW881" s="13">
        <f ca="1">ROUNDUP(($AT881+$AV881)*VLOOKUP($AP881,Paraméterek!$P$38:$Q$38,2)/12*IF($D882="Nem",IF($M$13=0,1,$M$13),1),IF($D$4="Forint",0,2))</f>
        <v>0</v>
      </c>
      <c r="AX881" s="13"/>
      <c r="AY881" s="13"/>
      <c r="AZ881" s="13">
        <f>ROUNDUP(IF(SUM($AX881:$AY881)=0,0,IF(IF(ISBLANK($AY881),$AX881,$AY881)*Paraméterek!$J$112&lt;IF($D$4="Forint",Paraméterek!$J$113,Paraméterek!$K$113),IF($D$4="Forint",Paraméterek!$J$113,Paraméterek!$K$113),IF(IF(ISBLANK($AY881),$AX881,$AY881)*Paraméterek!$J$112&gt;IF($D$4="Forint",Paraméterek!$J$114,Paraméterek!$K$114),IF($D$4="Forint",Paraméterek!$J$114,Paraméterek!$K$114),IF(ISBLANK($AY881),$AX881,$AY881)*Paraméterek!$J$112))),IF($D$4="Forint",0,2))</f>
        <v>0</v>
      </c>
      <c r="BA881" s="13">
        <f ca="1">$AT881+$AV881-$AW881-IF(ROUNDDOWN(IF(ISBLANK($AY881),$AX881,$AY881),IF($D$4="Forint",0,2))&gt;$AT881+$AV881-$AW881-IF($D$4="Forint",Paraméterek!$J$114,Paraméterek!$K$114),0,ROUNDDOWN(IF(ISBLANK($AY881),$AX881,$AY881),IF($D$4="Forint",0,2))-$AZ881)</f>
        <v>0</v>
      </c>
      <c r="BB881" s="13">
        <f t="shared" ca="1" si="297"/>
        <v>0</v>
      </c>
      <c r="BD881" s="32">
        <v>862</v>
      </c>
      <c r="BE881" s="32">
        <v>72</v>
      </c>
      <c r="BF881" s="32">
        <v>10</v>
      </c>
      <c r="BG881" s="34">
        <f t="shared" ca="1" si="306"/>
        <v>2091</v>
      </c>
      <c r="BH881" s="32" t="str">
        <f ca="1">IF(MOD(MONTH($D$14)+$BD881-1,12)=Paraméterek!$C$288,"Igen","")</f>
        <v/>
      </c>
      <c r="BI881" s="13">
        <f ca="1">IF($BH881="Igen",MIN(ROUNDDOWN((SUMIF($BG$20:$BG$1027,$BG881-1,$K$20:$K$1027)-SUMIF($BG$20:$BG$1027,$BG881-1,$I$20:$I$1027))*Paraméterek!$C$289,IF($D$4="Forint",0,2)),IF($D$4="Forint",Paraméterek!$C$285,Paraméterek!$D$285)),0)</f>
        <v>0</v>
      </c>
      <c r="BJ881" s="13">
        <f t="shared" ca="1" si="298"/>
        <v>0</v>
      </c>
      <c r="BK881" s="13">
        <f t="shared" ca="1" si="307"/>
        <v>0</v>
      </c>
      <c r="BL881" s="33"/>
      <c r="BM881" s="13">
        <f t="shared" ca="1" si="299"/>
        <v>0</v>
      </c>
      <c r="BN881" s="13">
        <f ca="1">ROUNDUP(($BK881+$BM881)*VLOOKUP($BE881,Paraméterek!$P$38:$Q$38,2)/12*IF($D882="Nem",IF($M$13=0,1,$M$13),1),IF($D$4="Forint",0,2))</f>
        <v>0</v>
      </c>
      <c r="BO881" s="13">
        <f t="shared" ca="1" si="300"/>
        <v>0</v>
      </c>
      <c r="BP881" s="13">
        <f ca="1">IF($D882="Nem",$BO881,$BO881-ROUNDUP(SUM($BI$20:$BI881)*120%,IF($D$4="Forint",0,2)))</f>
        <v>0</v>
      </c>
    </row>
    <row r="882" spans="1:68" x14ac:dyDescent="0.2">
      <c r="A882" s="32">
        <v>863</v>
      </c>
      <c r="B882" s="32">
        <v>72</v>
      </c>
      <c r="C882" s="32">
        <v>11</v>
      </c>
      <c r="D882" s="32" t="str">
        <f t="shared" ca="1" si="286"/>
        <v>Nem</v>
      </c>
      <c r="E882" s="13">
        <f t="shared" ca="1" si="287"/>
        <v>0</v>
      </c>
      <c r="F882" s="13"/>
      <c r="G882" s="13"/>
      <c r="H882" s="13"/>
      <c r="I882" s="13">
        <f t="shared" ca="1" si="288"/>
        <v>0</v>
      </c>
      <c r="J882" s="13">
        <f t="shared" ca="1" si="289"/>
        <v>0</v>
      </c>
      <c r="K882" s="13">
        <f t="shared" ca="1" si="290"/>
        <v>0</v>
      </c>
      <c r="L882" s="13" t="e">
        <f ca="1">ROUNDUP(IF($D$2="Egyszeri",$E882,IF($D$2="Havi",SUM($E$20:$E$31),IF(MOD($C882,$M$1)-1=0,SUM($E$20:$E$31),0))/12*$M$1)*VLOOKUP($B882,Paraméterek!$I$28:$P$31,IF($D$2="Egyszeri",8,HLOOKUP(ROUNDUP($M$11+$M$13,0),Paraméterek!$J$26:$O$27,2))),IF($D$4="Forint",0,2))</f>
        <v>#N/A</v>
      </c>
      <c r="M882" s="13">
        <f t="shared" ca="1" si="291"/>
        <v>0</v>
      </c>
      <c r="N882" s="13">
        <f t="shared" ca="1" si="301"/>
        <v>0</v>
      </c>
      <c r="O882" s="13">
        <f ca="1">IF($D882="Igen",IF($W881&gt;=IF($D$4="Forint",Paraméterek!$J$121,Paraméterek!$K$121),0,IF($D$4="Forint",Paraméterek!$J$121,Paraméterek!$K$121)-$W881),0)</f>
        <v>0</v>
      </c>
      <c r="P882" s="13" t="e">
        <f ca="1">ROUNDUP($O882*VLOOKUP($M$4+$B882-1,Paraméterek!$H$58:$I$105,2,0)/Paraméterek!$I$56,IF($D$4="Forint",0,2))</f>
        <v>#N/A</v>
      </c>
      <c r="Q882" s="13">
        <f t="shared" ca="1" si="292"/>
        <v>0</v>
      </c>
      <c r="R882" s="33"/>
      <c r="S882" s="13" t="e">
        <f t="shared" ca="1" si="293"/>
        <v>#N/A</v>
      </c>
      <c r="T882" s="13" t="e">
        <f ca="1">ROUNDUP(($N882-$P882-$Q882+$S882)*VLOOKUP($B882,Paraméterek!$I$38:$K$39,IF($D$2="Egyszeri",3,2))/12*IF($D883="Nem",IF($M$13=0,1,$M$13),1),IF($D$4="Forint",0,2))</f>
        <v>#N/A</v>
      </c>
      <c r="U882" s="13"/>
      <c r="V882" s="13"/>
      <c r="W882" s="13" t="e">
        <f ca="1">$N882-$P882-$Q882+$S882-$T882-IF(ROUNDUP(IF(ISBLANK($V882),$U882*0,$V882)/IF($D$2="Egyszeri",VLOOKUP($B882+IF($C882=12,1,0),Paraméterek!$V$257:$W$262,2),IF($B882=1,1,VLOOKUP($B882+IF($C882=12,1,0),Paraméterek!$I$258:$T$278,HLOOKUP($M$11+1,Paraméterek!$J$256:$T$257,2)))),IF($D$4="Forint",0,2))&gt;$N882-$P882-$Q882+$S882-$T882-IF($D$4="Forint",Paraméterek!$C$216,Paraméterek!$D$216),0,ROUNDUP(IF(ISBLANK($V882),$U882*0,$V882)/IF($D$2="Egyszeri",VLOOKUP($B882+IF($C882=12,1,0),Paraméterek!$V$257:$W$262,2),IF($B882=1,1,VLOOKUP($B882+IF($C882=12,1,0),Paraméterek!$I$258:$T$278,HLOOKUP($M$11+1,Paraméterek!$J$256:$T$257,2)))),IF($D$4="Forint",0,2)))</f>
        <v>#N/A</v>
      </c>
      <c r="X882" s="13" t="e">
        <f ca="1">ROUNDDOWN($W882*IF($D$2="Egyszeri",VLOOKUP($B882+IF($C882=12,1,0),Paraméterek!$V$257:$W$262,2),VLOOKUP($B882+IF($C882=12,1,0),Paraméterek!$I$258:$T$278,HLOOKUP($M$11+1,Paraméterek!$I$256:$T$257,2))),IF($D$4="Forint",0,2))</f>
        <v>#N/A</v>
      </c>
      <c r="Z882" s="32">
        <v>863</v>
      </c>
      <c r="AA882" s="32">
        <v>72</v>
      </c>
      <c r="AB882" s="32">
        <v>11</v>
      </c>
      <c r="AC882" s="13">
        <f t="shared" ca="1" si="302"/>
        <v>0</v>
      </c>
      <c r="AD882" s="33"/>
      <c r="AE882" s="13">
        <f t="shared" ca="1" si="294"/>
        <v>0</v>
      </c>
      <c r="AF882" s="13">
        <f ca="1">ROUNDUP(($AC882+$AE882)*VLOOKUP($AA882,Paraméterek!$P$38:$Q$38,2)/12*IF($D883="Nem",IF($M$13=0,1,$M$13),1),IF($D$4="Forint",0,2))</f>
        <v>0</v>
      </c>
      <c r="AG882" s="13">
        <f ca="1">IF($D$2="Egyszeri",IF($D$7&gt;=IF($D$4="Forint",Paraméterek!$P$223,Paraméterek!$P$224),$D$7-IF($D$4="Forint",Paraméterek!$P$223,Paraméterek!$P$224),0),MIN(IF($AB882=12,AVERAGEIF($E$20:$E882,"&gt;0",$E$20:$E882)*12,0),SUM($E$20:$E$31)))</f>
        <v>0</v>
      </c>
      <c r="AH882" s="13">
        <f>IF($AA882=10,$AG882*IF($AB882=12,IF($AG882&lt;IF($D$4="Forint",Paraméterek!$L$223,Paraméterek!$L$224),0,VLOOKUP($AA882,Paraméterek!$K$226:$M$228,IF($AG882&lt;IF($D$4="Forint",Paraméterek!$M$223,Paraméterek!$M$224),2,3))),0),0)</f>
        <v>0</v>
      </c>
      <c r="AI882" s="13">
        <f ca="1">IF(AND($AA882=$M$11+1,$AB882=$M$12+1),SUMIF($AA$20:$AA$1027,$AA882,$AG$20:$AG$1027)*IF(SUMIF($AA$20:$AA$1027,$AA882,$AG$20:$AG$1027)&lt;IF($D$4="Forint",Paraméterek!$L$223,Paraméterek!$L$224),0,VLOOKUP($AA882,Paraméterek!$K$230:$M$250,IF(SUMIF($AA$20:$AA$1027,$AA882,$AG$20:$AG$1027)&lt;IF($D$4="Forint",Paraméterek!$M$223,Paraméterek!$M$224),2,3))),0)</f>
        <v>0</v>
      </c>
      <c r="AJ882" s="13">
        <f ca="1">IF(AND($AA882&gt;=5,MOD($AA882,5)=0),IF($AB882=12,VLOOKUP($AA882,Paraméterek!$O$225:$P$240,2),0),IF(OR($AA882=3,$AA882=4),IF($AB882=12,VLOOKUP($AA882,Paraméterek!$O$225:$P$240,2,0),0),0))*$AG882</f>
        <v>0</v>
      </c>
      <c r="AK882" s="13">
        <f t="shared" ca="1" si="295"/>
        <v>0</v>
      </c>
      <c r="AL882" s="13">
        <f t="shared" ca="1" si="303"/>
        <v>0</v>
      </c>
      <c r="AM882" s="13">
        <f t="shared" ca="1" si="304"/>
        <v>0</v>
      </c>
      <c r="AO882" s="32">
        <v>863</v>
      </c>
      <c r="AP882" s="32">
        <v>72</v>
      </c>
      <c r="AQ882" s="32">
        <v>11</v>
      </c>
      <c r="AR882" s="13"/>
      <c r="AS882" s="32"/>
      <c r="AT882" s="13">
        <f t="shared" ca="1" si="305"/>
        <v>0</v>
      </c>
      <c r="AU882" s="33"/>
      <c r="AV882" s="13">
        <f t="shared" ca="1" si="296"/>
        <v>0</v>
      </c>
      <c r="AW882" s="13">
        <f ca="1">ROUNDUP(($AT882+$AV882)*VLOOKUP($AP882,Paraméterek!$P$38:$Q$38,2)/12*IF($D883="Nem",IF($M$13=0,1,$M$13),1),IF($D$4="Forint",0,2))</f>
        <v>0</v>
      </c>
      <c r="AX882" s="13"/>
      <c r="AY882" s="13"/>
      <c r="AZ882" s="13">
        <f>ROUNDUP(IF(SUM($AX882:$AY882)=0,0,IF(IF(ISBLANK($AY882),$AX882,$AY882)*Paraméterek!$J$112&lt;IF($D$4="Forint",Paraméterek!$J$113,Paraméterek!$K$113),IF($D$4="Forint",Paraméterek!$J$113,Paraméterek!$K$113),IF(IF(ISBLANK($AY882),$AX882,$AY882)*Paraméterek!$J$112&gt;IF($D$4="Forint",Paraméterek!$J$114,Paraméterek!$K$114),IF($D$4="Forint",Paraméterek!$J$114,Paraméterek!$K$114),IF(ISBLANK($AY882),$AX882,$AY882)*Paraméterek!$J$112))),IF($D$4="Forint",0,2))</f>
        <v>0</v>
      </c>
      <c r="BA882" s="13">
        <f ca="1">$AT882+$AV882-$AW882-IF(ROUNDDOWN(IF(ISBLANK($AY882),$AX882,$AY882),IF($D$4="Forint",0,2))&gt;$AT882+$AV882-$AW882-IF($D$4="Forint",Paraméterek!$J$114,Paraméterek!$K$114),0,ROUNDDOWN(IF(ISBLANK($AY882),$AX882,$AY882),IF($D$4="Forint",0,2))-$AZ882)</f>
        <v>0</v>
      </c>
      <c r="BB882" s="13">
        <f t="shared" ca="1" si="297"/>
        <v>0</v>
      </c>
      <c r="BD882" s="32">
        <v>863</v>
      </c>
      <c r="BE882" s="32">
        <v>72</v>
      </c>
      <c r="BF882" s="32">
        <v>11</v>
      </c>
      <c r="BG882" s="34">
        <f t="shared" ca="1" si="306"/>
        <v>2091</v>
      </c>
      <c r="BH882" s="32" t="str">
        <f ca="1">IF(MOD(MONTH($D$14)+$BD882-1,12)=Paraméterek!$C$288,"Igen","")</f>
        <v/>
      </c>
      <c r="BI882" s="13">
        <f ca="1">IF($BH882="Igen",MIN(ROUNDDOWN((SUMIF($BG$20:$BG$1027,$BG882-1,$K$20:$K$1027)-SUMIF($BG$20:$BG$1027,$BG882-1,$I$20:$I$1027))*Paraméterek!$C$289,IF($D$4="Forint",0,2)),IF($D$4="Forint",Paraméterek!$C$285,Paraméterek!$D$285)),0)</f>
        <v>0</v>
      </c>
      <c r="BJ882" s="13">
        <f t="shared" ca="1" si="298"/>
        <v>0</v>
      </c>
      <c r="BK882" s="13">
        <f t="shared" ca="1" si="307"/>
        <v>0</v>
      </c>
      <c r="BL882" s="33"/>
      <c r="BM882" s="13">
        <f t="shared" ca="1" si="299"/>
        <v>0</v>
      </c>
      <c r="BN882" s="13">
        <f ca="1">ROUNDUP(($BK882+$BM882)*VLOOKUP($BE882,Paraméterek!$P$38:$Q$38,2)/12*IF($D883="Nem",IF($M$13=0,1,$M$13),1),IF($D$4="Forint",0,2))</f>
        <v>0</v>
      </c>
      <c r="BO882" s="13">
        <f t="shared" ca="1" si="300"/>
        <v>0</v>
      </c>
      <c r="BP882" s="13">
        <f ca="1">IF($D883="Nem",$BO882,$BO882-ROUNDUP(SUM($BI$20:$BI882)*120%,IF($D$4="Forint",0,2)))</f>
        <v>0</v>
      </c>
    </row>
    <row r="883" spans="1:68" x14ac:dyDescent="0.2">
      <c r="A883" s="32">
        <v>864</v>
      </c>
      <c r="B883" s="32">
        <v>72</v>
      </c>
      <c r="C883" s="32">
        <v>12</v>
      </c>
      <c r="D883" s="32" t="str">
        <f t="shared" ca="1" si="286"/>
        <v>Nem</v>
      </c>
      <c r="E883" s="13">
        <f t="shared" ca="1" si="287"/>
        <v>0</v>
      </c>
      <c r="F883" s="13"/>
      <c r="G883" s="13"/>
      <c r="H883" s="13"/>
      <c r="I883" s="13">
        <f t="shared" ca="1" si="288"/>
        <v>0</v>
      </c>
      <c r="J883" s="13">
        <f t="shared" ca="1" si="289"/>
        <v>0</v>
      </c>
      <c r="K883" s="13">
        <f t="shared" ca="1" si="290"/>
        <v>0</v>
      </c>
      <c r="L883" s="13" t="e">
        <f ca="1">ROUNDUP(IF($D$2="Egyszeri",$E883,IF($D$2="Havi",SUM($E$20:$E$31),IF(MOD($C883,$M$1)-1=0,SUM($E$20:$E$31),0))/12*$M$1)*VLOOKUP($B883,Paraméterek!$I$28:$P$31,IF($D$2="Egyszeri",8,HLOOKUP(ROUNDUP($M$11+$M$13,0),Paraméterek!$J$26:$O$27,2))),IF($D$4="Forint",0,2))</f>
        <v>#N/A</v>
      </c>
      <c r="M883" s="13">
        <f t="shared" ca="1" si="291"/>
        <v>0</v>
      </c>
      <c r="N883" s="13">
        <f t="shared" ca="1" si="301"/>
        <v>0</v>
      </c>
      <c r="O883" s="13">
        <f ca="1">IF($D883="Igen",IF($W882&gt;=IF($D$4="Forint",Paraméterek!$J$121,Paraméterek!$K$121),0,IF($D$4="Forint",Paraméterek!$J$121,Paraméterek!$K$121)-$W882),0)</f>
        <v>0</v>
      </c>
      <c r="P883" s="13" t="e">
        <f ca="1">ROUNDUP($O883*VLOOKUP($M$4+$B883-1,Paraméterek!$H$58:$I$105,2,0)/Paraméterek!$I$56,IF($D$4="Forint",0,2))</f>
        <v>#N/A</v>
      </c>
      <c r="Q883" s="13">
        <f t="shared" ca="1" si="292"/>
        <v>0</v>
      </c>
      <c r="R883" s="33"/>
      <c r="S883" s="13" t="e">
        <f t="shared" ca="1" si="293"/>
        <v>#N/A</v>
      </c>
      <c r="T883" s="13" t="e">
        <f ca="1">ROUNDUP(($N883-$P883-$Q883+$S883)*VLOOKUP($B883,Paraméterek!$I$38:$K$39,IF($D$2="Egyszeri",3,2))/12*IF($D884="Nem",IF($M$13=0,1,$M$13),1),IF($D$4="Forint",0,2))</f>
        <v>#N/A</v>
      </c>
      <c r="U883" s="13">
        <f>Tranzakciók!$F$103</f>
        <v>0</v>
      </c>
      <c r="V883" s="13"/>
      <c r="W883" s="13" t="e">
        <f ca="1">$N883-$P883-$Q883+$S883-$T883-IF(ROUNDUP(IF(ISBLANK($V883),$U883*0,$V883)/IF($D$2="Egyszeri",VLOOKUP($B883+IF($C883=12,1,0),Paraméterek!$V$257:$W$262,2),IF($B883=1,1,VLOOKUP($B883+IF($C883=12,1,0),Paraméterek!$I$258:$T$278,HLOOKUP($M$11+1,Paraméterek!$J$256:$T$257,2)))),IF($D$4="Forint",0,2))&gt;$N883-$P883-$Q883+$S883-$T883-IF($D$4="Forint",Paraméterek!$C$216,Paraméterek!$D$216),0,ROUNDUP(IF(ISBLANK($V883),$U883*0,$V883)/IF($D$2="Egyszeri",VLOOKUP($B883+IF($C883=12,1,0),Paraméterek!$V$257:$W$262,2),IF($B883=1,1,VLOOKUP($B883+IF($C883=12,1,0),Paraméterek!$I$258:$T$278,HLOOKUP($M$11+1,Paraméterek!$J$256:$T$257,2)))),IF($D$4="Forint",0,2)))</f>
        <v>#N/A</v>
      </c>
      <c r="X883" s="13" t="e">
        <f ca="1">ROUNDDOWN($W883*IF($D$2="Egyszeri",VLOOKUP($B883+IF($C883=12,1,0),Paraméterek!$V$257:$W$262,2),VLOOKUP($B883+IF($C883=12,1,0),Paraméterek!$I$258:$T$278,HLOOKUP($M$11+1,Paraméterek!$I$256:$T$257,2))),IF($D$4="Forint",0,2))</f>
        <v>#N/A</v>
      </c>
      <c r="Z883" s="32">
        <v>864</v>
      </c>
      <c r="AA883" s="32">
        <v>72</v>
      </c>
      <c r="AB883" s="32">
        <v>12</v>
      </c>
      <c r="AC883" s="13">
        <f t="shared" ca="1" si="302"/>
        <v>0</v>
      </c>
      <c r="AD883" s="33"/>
      <c r="AE883" s="13">
        <f t="shared" ca="1" si="294"/>
        <v>0</v>
      </c>
      <c r="AF883" s="13">
        <f ca="1">ROUNDUP(($AC883+$AE883)*VLOOKUP($AA883,Paraméterek!$P$38:$Q$38,2)/12*IF($D884="Nem",IF($M$13=0,1,$M$13),1),IF($D$4="Forint",0,2))</f>
        <v>0</v>
      </c>
      <c r="AG883" s="13" t="e">
        <f ca="1">IF($D$2="Egyszeri",IF($D$7&gt;=IF($D$4="Forint",Paraméterek!$P$223,Paraméterek!$P$224),$D$7-IF($D$4="Forint",Paraméterek!$P$223,Paraméterek!$P$224),0),MIN(IF($AB883=12,AVERAGEIF($E$20:$E883,"&gt;0",$E$20:$E883)*12,0),SUM($E$20:$E$31)))</f>
        <v>#DIV/0!</v>
      </c>
      <c r="AH883" s="13">
        <f>IF($AA883=10,$AG883*IF($AB883=12,IF($AG883&lt;IF($D$4="Forint",Paraméterek!$L$223,Paraméterek!$L$224),0,VLOOKUP($AA883,Paraméterek!$K$226:$M$228,IF($AG883&lt;IF($D$4="Forint",Paraméterek!$M$223,Paraméterek!$M$224),2,3))),0),0)</f>
        <v>0</v>
      </c>
      <c r="AI883" s="13">
        <f ca="1">IF(AND($AA883=$M$11+1,$AB883=$M$12+1),SUMIF($AA$20:$AA$1027,$AA883,$AG$20:$AG$1027)*IF(SUMIF($AA$20:$AA$1027,$AA883,$AG$20:$AG$1027)&lt;IF($D$4="Forint",Paraméterek!$L$223,Paraméterek!$L$224),0,VLOOKUP($AA883,Paraméterek!$K$230:$M$250,IF(SUMIF($AA$20:$AA$1027,$AA883,$AG$20:$AG$1027)&lt;IF($D$4="Forint",Paraméterek!$M$223,Paraméterek!$M$224),2,3))),0)</f>
        <v>0</v>
      </c>
      <c r="AJ883" s="13" t="e">
        <f ca="1">IF(AND($AA883&gt;=5,MOD($AA883,5)=0),IF($AB883=12,VLOOKUP($AA883,Paraméterek!$O$225:$P$240,2),0),IF(OR($AA883=3,$AA883=4),IF($AB883=12,VLOOKUP($AA883,Paraméterek!$O$225:$P$240,2,0),0),0))*$AG883</f>
        <v>#DIV/0!</v>
      </c>
      <c r="AK883" s="13">
        <f t="shared" ca="1" si="295"/>
        <v>0</v>
      </c>
      <c r="AL883" s="13">
        <f t="shared" ca="1" si="303"/>
        <v>0</v>
      </c>
      <c r="AM883" s="13">
        <f t="shared" ca="1" si="304"/>
        <v>0</v>
      </c>
      <c r="AO883" s="32">
        <v>864</v>
      </c>
      <c r="AP883" s="32">
        <v>72</v>
      </c>
      <c r="AQ883" s="32">
        <v>12</v>
      </c>
      <c r="AR883" s="13"/>
      <c r="AS883" s="32"/>
      <c r="AT883" s="13">
        <f t="shared" ca="1" si="305"/>
        <v>0</v>
      </c>
      <c r="AU883" s="33"/>
      <c r="AV883" s="13">
        <f t="shared" ca="1" si="296"/>
        <v>0</v>
      </c>
      <c r="AW883" s="13">
        <f ca="1">ROUNDUP(($AT883+$AV883)*VLOOKUP($AP883,Paraméterek!$P$38:$Q$38,2)/12*IF($D884="Nem",IF($M$13=0,1,$M$13),1),IF($D$4="Forint",0,2))</f>
        <v>0</v>
      </c>
      <c r="AX883" s="13">
        <f>Tranzakciók!$M$103</f>
        <v>0</v>
      </c>
      <c r="AY883" s="13"/>
      <c r="AZ883" s="13">
        <f>ROUNDUP(IF(SUM($AX883:$AY883)=0,0,IF(IF(ISBLANK($AY883),$AX883,$AY883)*Paraméterek!$J$112&lt;IF($D$4="Forint",Paraméterek!$J$113,Paraméterek!$K$113),IF($D$4="Forint",Paraméterek!$J$113,Paraméterek!$K$113),IF(IF(ISBLANK($AY883),$AX883,$AY883)*Paraméterek!$J$112&gt;IF($D$4="Forint",Paraméterek!$J$114,Paraméterek!$K$114),IF($D$4="Forint",Paraméterek!$J$114,Paraméterek!$K$114),IF(ISBLANK($AY883),$AX883,$AY883)*Paraméterek!$J$112))),IF($D$4="Forint",0,2))</f>
        <v>0</v>
      </c>
      <c r="BA883" s="13">
        <f ca="1">$AT883+$AV883-$AW883-IF(ROUNDDOWN(IF(ISBLANK($AY883),$AX883,$AY883),IF($D$4="Forint",0,2))&gt;$AT883+$AV883-$AW883-IF($D$4="Forint",Paraméterek!$J$114,Paraméterek!$K$114),0,ROUNDDOWN(IF(ISBLANK($AY883),$AX883,$AY883),IF($D$4="Forint",0,2))-$AZ883)</f>
        <v>0</v>
      </c>
      <c r="BB883" s="13">
        <f t="shared" ca="1" si="297"/>
        <v>0</v>
      </c>
      <c r="BD883" s="32">
        <v>864</v>
      </c>
      <c r="BE883" s="32">
        <v>72</v>
      </c>
      <c r="BF883" s="32">
        <v>12</v>
      </c>
      <c r="BG883" s="34">
        <f t="shared" ca="1" si="306"/>
        <v>2091</v>
      </c>
      <c r="BH883" s="32" t="str">
        <f ca="1">IF(MOD(MONTH($D$14)+$BD883-1,12)=Paraméterek!$C$288,"Igen","")</f>
        <v/>
      </c>
      <c r="BI883" s="13">
        <f ca="1">IF($BH883="Igen",MIN(ROUNDDOWN((SUMIF($BG$20:$BG$1027,$BG883-1,$K$20:$K$1027)-SUMIF($BG$20:$BG$1027,$BG883-1,$I$20:$I$1027))*Paraméterek!$C$289,IF($D$4="Forint",0,2)),IF($D$4="Forint",Paraméterek!$C$285,Paraméterek!$D$285)),0)</f>
        <v>0</v>
      </c>
      <c r="BJ883" s="13">
        <f t="shared" ca="1" si="298"/>
        <v>0</v>
      </c>
      <c r="BK883" s="13">
        <f t="shared" ca="1" si="307"/>
        <v>0</v>
      </c>
      <c r="BL883" s="33"/>
      <c r="BM883" s="13">
        <f t="shared" ca="1" si="299"/>
        <v>0</v>
      </c>
      <c r="BN883" s="13">
        <f ca="1">ROUNDUP(($BK883+$BM883)*VLOOKUP($BE883,Paraméterek!$P$38:$Q$38,2)/12*IF($D884="Nem",IF($M$13=0,1,$M$13),1),IF($D$4="Forint",0,2))</f>
        <v>0</v>
      </c>
      <c r="BO883" s="13">
        <f t="shared" ca="1" si="300"/>
        <v>0</v>
      </c>
      <c r="BP883" s="13">
        <f ca="1">IF($D884="Nem",$BO883,$BO883-ROUNDUP(SUM($BI$20:$BI883)*120%,IF($D$4="Forint",0,2)))</f>
        <v>0</v>
      </c>
    </row>
    <row r="884" spans="1:68" x14ac:dyDescent="0.2">
      <c r="A884" s="32">
        <v>865</v>
      </c>
      <c r="B884" s="32">
        <v>73</v>
      </c>
      <c r="C884" s="32">
        <v>1</v>
      </c>
      <c r="D884" s="32" t="str">
        <f t="shared" ca="1" si="286"/>
        <v>Nem</v>
      </c>
      <c r="E884" s="13">
        <f t="shared" ca="1" si="287"/>
        <v>0</v>
      </c>
      <c r="F884" s="13"/>
      <c r="G884" s="13">
        <f>Tranzakciók!$D$104</f>
        <v>0</v>
      </c>
      <c r="H884" s="13"/>
      <c r="I884" s="13">
        <f t="shared" ca="1" si="288"/>
        <v>0</v>
      </c>
      <c r="J884" s="13">
        <f t="shared" ca="1" si="289"/>
        <v>0</v>
      </c>
      <c r="K884" s="13">
        <f t="shared" ca="1" si="290"/>
        <v>0</v>
      </c>
      <c r="L884" s="13" t="e">
        <f ca="1">ROUNDUP(IF($D$2="Egyszeri",$E884,IF($D$2="Havi",SUM($E$20:$E$31),IF(MOD($C884,$M$1)-1=0,SUM($E$20:$E$31),0))/12*$M$1)*VLOOKUP($B884,Paraméterek!$I$28:$P$31,IF($D$2="Egyszeri",8,HLOOKUP(ROUNDUP($M$11+$M$13,0),Paraméterek!$J$26:$O$27,2))),IF($D$4="Forint",0,2))</f>
        <v>#N/A</v>
      </c>
      <c r="M884" s="13">
        <f t="shared" ca="1" si="291"/>
        <v>0</v>
      </c>
      <c r="N884" s="13">
        <f t="shared" ca="1" si="301"/>
        <v>0</v>
      </c>
      <c r="O884" s="13">
        <f ca="1">IF($D884="Igen",IF($W883&gt;=IF($D$4="Forint",Paraméterek!$J$121,Paraméterek!$K$121),0,IF($D$4="Forint",Paraméterek!$J$121,Paraméterek!$K$121)-$W883),0)</f>
        <v>0</v>
      </c>
      <c r="P884" s="13" t="e">
        <f ca="1">ROUNDUP($O884*VLOOKUP($M$4+$B884-1,Paraméterek!$H$58:$I$105,2,0)/Paraméterek!$I$56,IF($D$4="Forint",0,2))</f>
        <v>#N/A</v>
      </c>
      <c r="Q884" s="13">
        <f t="shared" ca="1" si="292"/>
        <v>0</v>
      </c>
      <c r="R884" s="33"/>
      <c r="S884" s="13" t="e">
        <f t="shared" ca="1" si="293"/>
        <v>#N/A</v>
      </c>
      <c r="T884" s="13" t="e">
        <f ca="1">ROUNDUP(($N884-$P884-$Q884+$S884)*VLOOKUP($B884,Paraméterek!$I$38:$K$39,IF($D$2="Egyszeri",3,2))/12*IF($D885="Nem",IF($M$13=0,1,$M$13),1),IF($D$4="Forint",0,2))</f>
        <v>#N/A</v>
      </c>
      <c r="U884" s="13"/>
      <c r="V884" s="13"/>
      <c r="W884" s="13" t="e">
        <f ca="1">$N884-$P884-$Q884+$S884-$T884-IF(ROUNDUP(IF(ISBLANK($V884),$U884*0,$V884)/IF($D$2="Egyszeri",VLOOKUP($B884+IF($C884=12,1,0),Paraméterek!$V$257:$W$262,2),IF($B884=1,1,VLOOKUP($B884+IF($C884=12,1,0),Paraméterek!$I$258:$T$278,HLOOKUP($M$11+1,Paraméterek!$J$256:$T$257,2)))),IF($D$4="Forint",0,2))&gt;$N884-$P884-$Q884+$S884-$T884-IF($D$4="Forint",Paraméterek!$C$216,Paraméterek!$D$216),0,ROUNDUP(IF(ISBLANK($V884),$U884*0,$V884)/IF($D$2="Egyszeri",VLOOKUP($B884+IF($C884=12,1,0),Paraméterek!$V$257:$W$262,2),IF($B884=1,1,VLOOKUP($B884+IF($C884=12,1,0),Paraméterek!$I$258:$T$278,HLOOKUP($M$11+1,Paraméterek!$J$256:$T$257,2)))),IF($D$4="Forint",0,2)))</f>
        <v>#N/A</v>
      </c>
      <c r="X884" s="13" t="e">
        <f ca="1">ROUNDDOWN($W884*IF($D$2="Egyszeri",VLOOKUP($B884+IF($C884=12,1,0),Paraméterek!$V$257:$W$262,2),VLOOKUP($B884+IF($C884=12,1,0),Paraméterek!$I$258:$T$278,HLOOKUP($M$11+1,Paraméterek!$I$256:$T$257,2))),IF($D$4="Forint",0,2))</f>
        <v>#N/A</v>
      </c>
      <c r="Z884" s="32">
        <v>865</v>
      </c>
      <c r="AA884" s="32">
        <v>73</v>
      </c>
      <c r="AB884" s="32">
        <v>1</v>
      </c>
      <c r="AC884" s="13">
        <f t="shared" ca="1" si="302"/>
        <v>0</v>
      </c>
      <c r="AD884" s="33"/>
      <c r="AE884" s="13">
        <f t="shared" ca="1" si="294"/>
        <v>0</v>
      </c>
      <c r="AF884" s="13">
        <f ca="1">ROUNDUP(($AC884+$AE884)*VLOOKUP($AA884,Paraméterek!$P$38:$Q$38,2)/12*IF($D885="Nem",IF($M$13=0,1,$M$13),1),IF($D$4="Forint",0,2))</f>
        <v>0</v>
      </c>
      <c r="AG884" s="13">
        <f ca="1">IF($D$2="Egyszeri",IF($D$7&gt;=IF($D$4="Forint",Paraméterek!$P$223,Paraméterek!$P$224),$D$7-IF($D$4="Forint",Paraméterek!$P$223,Paraméterek!$P$224),0),MIN(IF($AB884=12,AVERAGEIF($E$20:$E884,"&gt;0",$E$20:$E884)*12,0),SUM($E$20:$E$31)))</f>
        <v>0</v>
      </c>
      <c r="AH884" s="13">
        <f>IF($AA884=10,$AG884*IF($AB884=12,IF($AG884&lt;IF($D$4="Forint",Paraméterek!$L$223,Paraméterek!$L$224),0,VLOOKUP($AA884,Paraméterek!$K$226:$M$228,IF($AG884&lt;IF($D$4="Forint",Paraméterek!$M$223,Paraméterek!$M$224),2,3))),0),0)</f>
        <v>0</v>
      </c>
      <c r="AI884" s="13">
        <f ca="1">IF(AND($AA884=$M$11+1,$AB884=$M$12+1),SUMIF($AA$20:$AA$1027,$AA884,$AG$20:$AG$1027)*IF(SUMIF($AA$20:$AA$1027,$AA884,$AG$20:$AG$1027)&lt;IF($D$4="Forint",Paraméterek!$L$223,Paraméterek!$L$224),0,VLOOKUP($AA884,Paraméterek!$K$230:$M$250,IF(SUMIF($AA$20:$AA$1027,$AA884,$AG$20:$AG$1027)&lt;IF($D$4="Forint",Paraméterek!$M$223,Paraméterek!$M$224),2,3))),0)</f>
        <v>0</v>
      </c>
      <c r="AJ884" s="13">
        <f ca="1">IF(AND($AA884&gt;=5,MOD($AA884,5)=0),IF($AB884=12,VLOOKUP($AA884,Paraméterek!$O$225:$P$240,2),0),IF(OR($AA884=3,$AA884=4),IF($AB884=12,VLOOKUP($AA884,Paraméterek!$O$225:$P$240,2,0),0),0))*$AG884</f>
        <v>0</v>
      </c>
      <c r="AK884" s="13">
        <f t="shared" ca="1" si="295"/>
        <v>0</v>
      </c>
      <c r="AL884" s="13">
        <f t="shared" ca="1" si="303"/>
        <v>0</v>
      </c>
      <c r="AM884" s="13">
        <f t="shared" ca="1" si="304"/>
        <v>0</v>
      </c>
      <c r="AO884" s="32">
        <v>865</v>
      </c>
      <c r="AP884" s="32">
        <v>73</v>
      </c>
      <c r="AQ884" s="32">
        <v>1</v>
      </c>
      <c r="AR884" s="13">
        <f>Tranzakciók!$K$104</f>
        <v>0</v>
      </c>
      <c r="AS884" s="32"/>
      <c r="AT884" s="13">
        <f t="shared" ca="1" si="305"/>
        <v>0</v>
      </c>
      <c r="AU884" s="33"/>
      <c r="AV884" s="13">
        <f t="shared" ca="1" si="296"/>
        <v>0</v>
      </c>
      <c r="AW884" s="13">
        <f ca="1">ROUNDUP(($AT884+$AV884)*VLOOKUP($AP884,Paraméterek!$P$38:$Q$38,2)/12*IF($D885="Nem",IF($M$13=0,1,$M$13),1),IF($D$4="Forint",0,2))</f>
        <v>0</v>
      </c>
      <c r="AX884" s="13"/>
      <c r="AY884" s="13"/>
      <c r="AZ884" s="13">
        <f>ROUNDUP(IF(SUM($AX884:$AY884)=0,0,IF(IF(ISBLANK($AY884),$AX884,$AY884)*Paraméterek!$J$112&lt;IF($D$4="Forint",Paraméterek!$J$113,Paraméterek!$K$113),IF($D$4="Forint",Paraméterek!$J$113,Paraméterek!$K$113),IF(IF(ISBLANK($AY884),$AX884,$AY884)*Paraméterek!$J$112&gt;IF($D$4="Forint",Paraméterek!$J$114,Paraméterek!$K$114),IF($D$4="Forint",Paraméterek!$J$114,Paraméterek!$K$114),IF(ISBLANK($AY884),$AX884,$AY884)*Paraméterek!$J$112))),IF($D$4="Forint",0,2))</f>
        <v>0</v>
      </c>
      <c r="BA884" s="13">
        <f ca="1">$AT884+$AV884-$AW884-IF(ROUNDDOWN(IF(ISBLANK($AY884),$AX884,$AY884),IF($D$4="Forint",0,2))&gt;$AT884+$AV884-$AW884-IF($D$4="Forint",Paraméterek!$J$114,Paraméterek!$K$114),0,ROUNDDOWN(IF(ISBLANK($AY884),$AX884,$AY884),IF($D$4="Forint",0,2))-$AZ884)</f>
        <v>0</v>
      </c>
      <c r="BB884" s="13">
        <f t="shared" ca="1" si="297"/>
        <v>0</v>
      </c>
      <c r="BD884" s="32">
        <v>865</v>
      </c>
      <c r="BE884" s="32">
        <v>73</v>
      </c>
      <c r="BF884" s="32">
        <v>1</v>
      </c>
      <c r="BG884" s="34">
        <f t="shared" ca="1" si="306"/>
        <v>2091</v>
      </c>
      <c r="BH884" s="32" t="str">
        <f ca="1">IF(MOD(MONTH($D$14)+$BD884-1,12)=Paraméterek!$C$288,"Igen","")</f>
        <v/>
      </c>
      <c r="BI884" s="13">
        <f ca="1">IF($BH884="Igen",MIN(ROUNDDOWN((SUMIF($BG$20:$BG$1027,$BG884-1,$K$20:$K$1027)-SUMIF($BG$20:$BG$1027,$BG884-1,$I$20:$I$1027))*Paraméterek!$C$289,IF($D$4="Forint",0,2)),IF($D$4="Forint",Paraméterek!$C$285,Paraméterek!$D$285)),0)</f>
        <v>0</v>
      </c>
      <c r="BJ884" s="13">
        <f t="shared" ca="1" si="298"/>
        <v>0</v>
      </c>
      <c r="BK884" s="13">
        <f t="shared" ca="1" si="307"/>
        <v>0</v>
      </c>
      <c r="BL884" s="33"/>
      <c r="BM884" s="13">
        <f t="shared" ca="1" si="299"/>
        <v>0</v>
      </c>
      <c r="BN884" s="13">
        <f ca="1">ROUNDUP(($BK884+$BM884)*VLOOKUP($BE884,Paraméterek!$P$38:$Q$38,2)/12*IF($D885="Nem",IF($M$13=0,1,$M$13),1),IF($D$4="Forint",0,2))</f>
        <v>0</v>
      </c>
      <c r="BO884" s="13">
        <f t="shared" ca="1" si="300"/>
        <v>0</v>
      </c>
      <c r="BP884" s="13">
        <f ca="1">IF($D885="Nem",$BO884,$BO884-ROUNDUP(SUM($BI$20:$BI884)*120%,IF($D$4="Forint",0,2)))</f>
        <v>0</v>
      </c>
    </row>
    <row r="885" spans="1:68" x14ac:dyDescent="0.2">
      <c r="A885" s="32">
        <v>866</v>
      </c>
      <c r="B885" s="32">
        <v>73</v>
      </c>
      <c r="C885" s="32">
        <v>2</v>
      </c>
      <c r="D885" s="32" t="str">
        <f t="shared" ca="1" si="286"/>
        <v>Nem</v>
      </c>
      <c r="E885" s="13">
        <f t="shared" ca="1" si="287"/>
        <v>0</v>
      </c>
      <c r="F885" s="13"/>
      <c r="G885" s="13"/>
      <c r="H885" s="13"/>
      <c r="I885" s="13">
        <f t="shared" ca="1" si="288"/>
        <v>0</v>
      </c>
      <c r="J885" s="13">
        <f t="shared" ca="1" si="289"/>
        <v>0</v>
      </c>
      <c r="K885" s="13">
        <f t="shared" ca="1" si="290"/>
        <v>0</v>
      </c>
      <c r="L885" s="13" t="e">
        <f ca="1">ROUNDUP(IF($D$2="Egyszeri",$E885,IF($D$2="Havi",SUM($E$20:$E$31),IF(MOD($C885,$M$1)-1=0,SUM($E$20:$E$31),0))/12*$M$1)*VLOOKUP($B885,Paraméterek!$I$28:$P$31,IF($D$2="Egyszeri",8,HLOOKUP(ROUNDUP($M$11+$M$13,0),Paraméterek!$J$26:$O$27,2))),IF($D$4="Forint",0,2))</f>
        <v>#N/A</v>
      </c>
      <c r="M885" s="13">
        <f t="shared" ca="1" si="291"/>
        <v>0</v>
      </c>
      <c r="N885" s="13">
        <f t="shared" ca="1" si="301"/>
        <v>0</v>
      </c>
      <c r="O885" s="13">
        <f ca="1">IF($D885="Igen",IF($W884&gt;=IF($D$4="Forint",Paraméterek!$J$121,Paraméterek!$K$121),0,IF($D$4="Forint",Paraméterek!$J$121,Paraméterek!$K$121)-$W884),0)</f>
        <v>0</v>
      </c>
      <c r="P885" s="13" t="e">
        <f ca="1">ROUNDUP($O885*VLOOKUP($M$4+$B885-1,Paraméterek!$H$58:$I$105,2,0)/Paraméterek!$I$56,IF($D$4="Forint",0,2))</f>
        <v>#N/A</v>
      </c>
      <c r="Q885" s="13">
        <f t="shared" ca="1" si="292"/>
        <v>0</v>
      </c>
      <c r="R885" s="33"/>
      <c r="S885" s="13" t="e">
        <f t="shared" ca="1" si="293"/>
        <v>#N/A</v>
      </c>
      <c r="T885" s="13" t="e">
        <f ca="1">ROUNDUP(($N885-$P885-$Q885+$S885)*VLOOKUP($B885,Paraméterek!$I$38:$K$39,IF($D$2="Egyszeri",3,2))/12*IF($D886="Nem",IF($M$13=0,1,$M$13),1),IF($D$4="Forint",0,2))</f>
        <v>#N/A</v>
      </c>
      <c r="U885" s="13"/>
      <c r="V885" s="13"/>
      <c r="W885" s="13" t="e">
        <f ca="1">$N885-$P885-$Q885+$S885-$T885-IF(ROUNDUP(IF(ISBLANK($V885),$U885*0,$V885)/IF($D$2="Egyszeri",VLOOKUP($B885+IF($C885=12,1,0),Paraméterek!$V$257:$W$262,2),IF($B885=1,1,VLOOKUP($B885+IF($C885=12,1,0),Paraméterek!$I$258:$T$278,HLOOKUP($M$11+1,Paraméterek!$J$256:$T$257,2)))),IF($D$4="Forint",0,2))&gt;$N885-$P885-$Q885+$S885-$T885-IF($D$4="Forint",Paraméterek!$C$216,Paraméterek!$D$216),0,ROUNDUP(IF(ISBLANK($V885),$U885*0,$V885)/IF($D$2="Egyszeri",VLOOKUP($B885+IF($C885=12,1,0),Paraméterek!$V$257:$W$262,2),IF($B885=1,1,VLOOKUP($B885+IF($C885=12,1,0),Paraméterek!$I$258:$T$278,HLOOKUP($M$11+1,Paraméterek!$J$256:$T$257,2)))),IF($D$4="Forint",0,2)))</f>
        <v>#N/A</v>
      </c>
      <c r="X885" s="13" t="e">
        <f ca="1">ROUNDDOWN($W885*IF($D$2="Egyszeri",VLOOKUP($B885+IF($C885=12,1,0),Paraméterek!$V$257:$W$262,2),VLOOKUP($B885+IF($C885=12,1,0),Paraméterek!$I$258:$T$278,HLOOKUP($M$11+1,Paraméterek!$I$256:$T$257,2))),IF($D$4="Forint",0,2))</f>
        <v>#N/A</v>
      </c>
      <c r="Z885" s="32">
        <v>866</v>
      </c>
      <c r="AA885" s="32">
        <v>73</v>
      </c>
      <c r="AB885" s="32">
        <v>2</v>
      </c>
      <c r="AC885" s="13">
        <f t="shared" ca="1" si="302"/>
        <v>0</v>
      </c>
      <c r="AD885" s="33"/>
      <c r="AE885" s="13">
        <f t="shared" ca="1" si="294"/>
        <v>0</v>
      </c>
      <c r="AF885" s="13">
        <f ca="1">ROUNDUP(($AC885+$AE885)*VLOOKUP($AA885,Paraméterek!$P$38:$Q$38,2)/12*IF($D886="Nem",IF($M$13=0,1,$M$13),1),IF($D$4="Forint",0,2))</f>
        <v>0</v>
      </c>
      <c r="AG885" s="13">
        <f ca="1">IF($D$2="Egyszeri",IF($D$7&gt;=IF($D$4="Forint",Paraméterek!$P$223,Paraméterek!$P$224),$D$7-IF($D$4="Forint",Paraméterek!$P$223,Paraméterek!$P$224),0),MIN(IF($AB885=12,AVERAGEIF($E$20:$E885,"&gt;0",$E$20:$E885)*12,0),SUM($E$20:$E$31)))</f>
        <v>0</v>
      </c>
      <c r="AH885" s="13">
        <f>IF($AA885=10,$AG885*IF($AB885=12,IF($AG885&lt;IF($D$4="Forint",Paraméterek!$L$223,Paraméterek!$L$224),0,VLOOKUP($AA885,Paraméterek!$K$226:$M$228,IF($AG885&lt;IF($D$4="Forint",Paraméterek!$M$223,Paraméterek!$M$224),2,3))),0),0)</f>
        <v>0</v>
      </c>
      <c r="AI885" s="13">
        <f ca="1">IF(AND($AA885=$M$11+1,$AB885=$M$12+1),SUMIF($AA$20:$AA$1027,$AA885,$AG$20:$AG$1027)*IF(SUMIF($AA$20:$AA$1027,$AA885,$AG$20:$AG$1027)&lt;IF($D$4="Forint",Paraméterek!$L$223,Paraméterek!$L$224),0,VLOOKUP($AA885,Paraméterek!$K$230:$M$250,IF(SUMIF($AA$20:$AA$1027,$AA885,$AG$20:$AG$1027)&lt;IF($D$4="Forint",Paraméterek!$M$223,Paraméterek!$M$224),2,3))),0)</f>
        <v>0</v>
      </c>
      <c r="AJ885" s="13">
        <f ca="1">IF(AND($AA885&gt;=5,MOD($AA885,5)=0),IF($AB885=12,VLOOKUP($AA885,Paraméterek!$O$225:$P$240,2),0),IF(OR($AA885=3,$AA885=4),IF($AB885=12,VLOOKUP($AA885,Paraméterek!$O$225:$P$240,2,0),0),0))*$AG885</f>
        <v>0</v>
      </c>
      <c r="AK885" s="13">
        <f t="shared" ca="1" si="295"/>
        <v>0</v>
      </c>
      <c r="AL885" s="13">
        <f t="shared" ca="1" si="303"/>
        <v>0</v>
      </c>
      <c r="AM885" s="13">
        <f t="shared" ca="1" si="304"/>
        <v>0</v>
      </c>
      <c r="AO885" s="32">
        <v>866</v>
      </c>
      <c r="AP885" s="32">
        <v>73</v>
      </c>
      <c r="AQ885" s="32">
        <v>2</v>
      </c>
      <c r="AR885" s="13"/>
      <c r="AS885" s="32"/>
      <c r="AT885" s="13">
        <f t="shared" ca="1" si="305"/>
        <v>0</v>
      </c>
      <c r="AU885" s="33"/>
      <c r="AV885" s="13">
        <f t="shared" ca="1" si="296"/>
        <v>0</v>
      </c>
      <c r="AW885" s="13">
        <f ca="1">ROUNDUP(($AT885+$AV885)*VLOOKUP($AP885,Paraméterek!$P$38:$Q$38,2)/12*IF($D886="Nem",IF($M$13=0,1,$M$13),1),IF($D$4="Forint",0,2))</f>
        <v>0</v>
      </c>
      <c r="AX885" s="13"/>
      <c r="AY885" s="13"/>
      <c r="AZ885" s="13">
        <f>ROUNDUP(IF(SUM($AX885:$AY885)=0,0,IF(IF(ISBLANK($AY885),$AX885,$AY885)*Paraméterek!$J$112&lt;IF($D$4="Forint",Paraméterek!$J$113,Paraméterek!$K$113),IF($D$4="Forint",Paraméterek!$J$113,Paraméterek!$K$113),IF(IF(ISBLANK($AY885),$AX885,$AY885)*Paraméterek!$J$112&gt;IF($D$4="Forint",Paraméterek!$J$114,Paraméterek!$K$114),IF($D$4="Forint",Paraméterek!$J$114,Paraméterek!$K$114),IF(ISBLANK($AY885),$AX885,$AY885)*Paraméterek!$J$112))),IF($D$4="Forint",0,2))</f>
        <v>0</v>
      </c>
      <c r="BA885" s="13">
        <f ca="1">$AT885+$AV885-$AW885-IF(ROUNDDOWN(IF(ISBLANK($AY885),$AX885,$AY885),IF($D$4="Forint",0,2))&gt;$AT885+$AV885-$AW885-IF($D$4="Forint",Paraméterek!$J$114,Paraméterek!$K$114),0,ROUNDDOWN(IF(ISBLANK($AY885),$AX885,$AY885),IF($D$4="Forint",0,2))-$AZ885)</f>
        <v>0</v>
      </c>
      <c r="BB885" s="13">
        <f t="shared" ca="1" si="297"/>
        <v>0</v>
      </c>
      <c r="BD885" s="32">
        <v>866</v>
      </c>
      <c r="BE885" s="32">
        <v>73</v>
      </c>
      <c r="BF885" s="32">
        <v>2</v>
      </c>
      <c r="BG885" s="34">
        <f t="shared" ca="1" si="306"/>
        <v>2091</v>
      </c>
      <c r="BH885" s="32" t="str">
        <f ca="1">IF(MOD(MONTH($D$14)+$BD885-1,12)=Paraméterek!$C$288,"Igen","")</f>
        <v>Igen</v>
      </c>
      <c r="BI885" s="13">
        <f ca="1">IF($BH885="Igen",MIN(ROUNDDOWN((SUMIF($BG$20:$BG$1027,$BG885-1,$K$20:$K$1027)-SUMIF($BG$20:$BG$1027,$BG885-1,$I$20:$I$1027))*Paraméterek!$C$289,IF($D$4="Forint",0,2)),IF($D$4="Forint",Paraméterek!$C$285,Paraméterek!$D$285)),0)</f>
        <v>0</v>
      </c>
      <c r="BJ885" s="13">
        <f t="shared" ca="1" si="298"/>
        <v>0</v>
      </c>
      <c r="BK885" s="13">
        <f t="shared" ca="1" si="307"/>
        <v>0</v>
      </c>
      <c r="BL885" s="33"/>
      <c r="BM885" s="13">
        <f t="shared" ca="1" si="299"/>
        <v>0</v>
      </c>
      <c r="BN885" s="13">
        <f ca="1">ROUNDUP(($BK885+$BM885)*VLOOKUP($BE885,Paraméterek!$P$38:$Q$38,2)/12*IF($D886="Nem",IF($M$13=0,1,$M$13),1),IF($D$4="Forint",0,2))</f>
        <v>0</v>
      </c>
      <c r="BO885" s="13">
        <f t="shared" ca="1" si="300"/>
        <v>0</v>
      </c>
      <c r="BP885" s="13">
        <f ca="1">IF($D886="Nem",$BO885,$BO885-ROUNDUP(SUM($BI$20:$BI885)*120%,IF($D$4="Forint",0,2)))</f>
        <v>0</v>
      </c>
    </row>
    <row r="886" spans="1:68" x14ac:dyDescent="0.2">
      <c r="A886" s="32">
        <v>867</v>
      </c>
      <c r="B886" s="32">
        <v>73</v>
      </c>
      <c r="C886" s="32">
        <v>3</v>
      </c>
      <c r="D886" s="32" t="str">
        <f t="shared" ca="1" si="286"/>
        <v>Nem</v>
      </c>
      <c r="E886" s="13">
        <f t="shared" ca="1" si="287"/>
        <v>0</v>
      </c>
      <c r="F886" s="13"/>
      <c r="G886" s="13"/>
      <c r="H886" s="13"/>
      <c r="I886" s="13">
        <f t="shared" ca="1" si="288"/>
        <v>0</v>
      </c>
      <c r="J886" s="13">
        <f t="shared" ca="1" si="289"/>
        <v>0</v>
      </c>
      <c r="K886" s="13">
        <f t="shared" ca="1" si="290"/>
        <v>0</v>
      </c>
      <c r="L886" s="13" t="e">
        <f ca="1">ROUNDUP(IF($D$2="Egyszeri",$E886,IF($D$2="Havi",SUM($E$20:$E$31),IF(MOD($C886,$M$1)-1=0,SUM($E$20:$E$31),0))/12*$M$1)*VLOOKUP($B886,Paraméterek!$I$28:$P$31,IF($D$2="Egyszeri",8,HLOOKUP(ROUNDUP($M$11+$M$13,0),Paraméterek!$J$26:$O$27,2))),IF($D$4="Forint",0,2))</f>
        <v>#N/A</v>
      </c>
      <c r="M886" s="13">
        <f t="shared" ca="1" si="291"/>
        <v>0</v>
      </c>
      <c r="N886" s="13">
        <f t="shared" ca="1" si="301"/>
        <v>0</v>
      </c>
      <c r="O886" s="13">
        <f ca="1">IF($D886="Igen",IF($W885&gt;=IF($D$4="Forint",Paraméterek!$J$121,Paraméterek!$K$121),0,IF($D$4="Forint",Paraméterek!$J$121,Paraméterek!$K$121)-$W885),0)</f>
        <v>0</v>
      </c>
      <c r="P886" s="13" t="e">
        <f ca="1">ROUNDUP($O886*VLOOKUP($M$4+$B886-1,Paraméterek!$H$58:$I$105,2,0)/Paraméterek!$I$56,IF($D$4="Forint",0,2))</f>
        <v>#N/A</v>
      </c>
      <c r="Q886" s="13">
        <f t="shared" ca="1" si="292"/>
        <v>0</v>
      </c>
      <c r="R886" s="33"/>
      <c r="S886" s="13" t="e">
        <f t="shared" ca="1" si="293"/>
        <v>#N/A</v>
      </c>
      <c r="T886" s="13" t="e">
        <f ca="1">ROUNDUP(($N886-$P886-$Q886+$S886)*VLOOKUP($B886,Paraméterek!$I$38:$K$39,IF($D$2="Egyszeri",3,2))/12*IF($D887="Nem",IF($M$13=0,1,$M$13),1),IF($D$4="Forint",0,2))</f>
        <v>#N/A</v>
      </c>
      <c r="U886" s="13"/>
      <c r="V886" s="13"/>
      <c r="W886" s="13" t="e">
        <f ca="1">$N886-$P886-$Q886+$S886-$T886-IF(ROUNDUP(IF(ISBLANK($V886),$U886*0,$V886)/IF($D$2="Egyszeri",VLOOKUP($B886+IF($C886=12,1,0),Paraméterek!$V$257:$W$262,2),IF($B886=1,1,VLOOKUP($B886+IF($C886=12,1,0),Paraméterek!$I$258:$T$278,HLOOKUP($M$11+1,Paraméterek!$J$256:$T$257,2)))),IF($D$4="Forint",0,2))&gt;$N886-$P886-$Q886+$S886-$T886-IF($D$4="Forint",Paraméterek!$C$216,Paraméterek!$D$216),0,ROUNDUP(IF(ISBLANK($V886),$U886*0,$V886)/IF($D$2="Egyszeri",VLOOKUP($B886+IF($C886=12,1,0),Paraméterek!$V$257:$W$262,2),IF($B886=1,1,VLOOKUP($B886+IF($C886=12,1,0),Paraméterek!$I$258:$T$278,HLOOKUP($M$11+1,Paraméterek!$J$256:$T$257,2)))),IF($D$4="Forint",0,2)))</f>
        <v>#N/A</v>
      </c>
      <c r="X886" s="13" t="e">
        <f ca="1">ROUNDDOWN($W886*IF($D$2="Egyszeri",VLOOKUP($B886+IF($C886=12,1,0),Paraméterek!$V$257:$W$262,2),VLOOKUP($B886+IF($C886=12,1,0),Paraméterek!$I$258:$T$278,HLOOKUP($M$11+1,Paraméterek!$I$256:$T$257,2))),IF($D$4="Forint",0,2))</f>
        <v>#N/A</v>
      </c>
      <c r="Z886" s="32">
        <v>867</v>
      </c>
      <c r="AA886" s="32">
        <v>73</v>
      </c>
      <c r="AB886" s="32">
        <v>3</v>
      </c>
      <c r="AC886" s="13">
        <f t="shared" ca="1" si="302"/>
        <v>0</v>
      </c>
      <c r="AD886" s="33"/>
      <c r="AE886" s="13">
        <f t="shared" ca="1" si="294"/>
        <v>0</v>
      </c>
      <c r="AF886" s="13">
        <f ca="1">ROUNDUP(($AC886+$AE886)*VLOOKUP($AA886,Paraméterek!$P$38:$Q$38,2)/12*IF($D887="Nem",IF($M$13=0,1,$M$13),1),IF($D$4="Forint",0,2))</f>
        <v>0</v>
      </c>
      <c r="AG886" s="13">
        <f ca="1">IF($D$2="Egyszeri",IF($D$7&gt;=IF($D$4="Forint",Paraméterek!$P$223,Paraméterek!$P$224),$D$7-IF($D$4="Forint",Paraméterek!$P$223,Paraméterek!$P$224),0),MIN(IF($AB886=12,AVERAGEIF($E$20:$E886,"&gt;0",$E$20:$E886)*12,0),SUM($E$20:$E$31)))</f>
        <v>0</v>
      </c>
      <c r="AH886" s="13">
        <f>IF($AA886=10,$AG886*IF($AB886=12,IF($AG886&lt;IF($D$4="Forint",Paraméterek!$L$223,Paraméterek!$L$224),0,VLOOKUP($AA886,Paraméterek!$K$226:$M$228,IF($AG886&lt;IF($D$4="Forint",Paraméterek!$M$223,Paraméterek!$M$224),2,3))),0),0)</f>
        <v>0</v>
      </c>
      <c r="AI886" s="13">
        <f ca="1">IF(AND($AA886=$M$11+1,$AB886=$M$12+1),SUMIF($AA$20:$AA$1027,$AA886,$AG$20:$AG$1027)*IF(SUMIF($AA$20:$AA$1027,$AA886,$AG$20:$AG$1027)&lt;IF($D$4="Forint",Paraméterek!$L$223,Paraméterek!$L$224),0,VLOOKUP($AA886,Paraméterek!$K$230:$M$250,IF(SUMIF($AA$20:$AA$1027,$AA886,$AG$20:$AG$1027)&lt;IF($D$4="Forint",Paraméterek!$M$223,Paraméterek!$M$224),2,3))),0)</f>
        <v>0</v>
      </c>
      <c r="AJ886" s="13">
        <f ca="1">IF(AND($AA886&gt;=5,MOD($AA886,5)=0),IF($AB886=12,VLOOKUP($AA886,Paraméterek!$O$225:$P$240,2),0),IF(OR($AA886=3,$AA886=4),IF($AB886=12,VLOOKUP($AA886,Paraméterek!$O$225:$P$240,2,0),0),0))*$AG886</f>
        <v>0</v>
      </c>
      <c r="AK886" s="13">
        <f t="shared" ca="1" si="295"/>
        <v>0</v>
      </c>
      <c r="AL886" s="13">
        <f t="shared" ca="1" si="303"/>
        <v>0</v>
      </c>
      <c r="AM886" s="13">
        <f t="shared" ca="1" si="304"/>
        <v>0</v>
      </c>
      <c r="AO886" s="32">
        <v>867</v>
      </c>
      <c r="AP886" s="32">
        <v>73</v>
      </c>
      <c r="AQ886" s="32">
        <v>3</v>
      </c>
      <c r="AR886" s="13"/>
      <c r="AS886" s="32"/>
      <c r="AT886" s="13">
        <f t="shared" ca="1" si="305"/>
        <v>0</v>
      </c>
      <c r="AU886" s="33"/>
      <c r="AV886" s="13">
        <f t="shared" ca="1" si="296"/>
        <v>0</v>
      </c>
      <c r="AW886" s="13">
        <f ca="1">ROUNDUP(($AT886+$AV886)*VLOOKUP($AP886,Paraméterek!$P$38:$Q$38,2)/12*IF($D887="Nem",IF($M$13=0,1,$M$13),1),IF($D$4="Forint",0,2))</f>
        <v>0</v>
      </c>
      <c r="AX886" s="13"/>
      <c r="AY886" s="13"/>
      <c r="AZ886" s="13">
        <f>ROUNDUP(IF(SUM($AX886:$AY886)=0,0,IF(IF(ISBLANK($AY886),$AX886,$AY886)*Paraméterek!$J$112&lt;IF($D$4="Forint",Paraméterek!$J$113,Paraméterek!$K$113),IF($D$4="Forint",Paraméterek!$J$113,Paraméterek!$K$113),IF(IF(ISBLANK($AY886),$AX886,$AY886)*Paraméterek!$J$112&gt;IF($D$4="Forint",Paraméterek!$J$114,Paraméterek!$K$114),IF($D$4="Forint",Paraméterek!$J$114,Paraméterek!$K$114),IF(ISBLANK($AY886),$AX886,$AY886)*Paraméterek!$J$112))),IF($D$4="Forint",0,2))</f>
        <v>0</v>
      </c>
      <c r="BA886" s="13">
        <f ca="1">$AT886+$AV886-$AW886-IF(ROUNDDOWN(IF(ISBLANK($AY886),$AX886,$AY886),IF($D$4="Forint",0,2))&gt;$AT886+$AV886-$AW886-IF($D$4="Forint",Paraméterek!$J$114,Paraméterek!$K$114),0,ROUNDDOWN(IF(ISBLANK($AY886),$AX886,$AY886),IF($D$4="Forint",0,2))-$AZ886)</f>
        <v>0</v>
      </c>
      <c r="BB886" s="13">
        <f t="shared" ca="1" si="297"/>
        <v>0</v>
      </c>
      <c r="BD886" s="32">
        <v>867</v>
      </c>
      <c r="BE886" s="32">
        <v>73</v>
      </c>
      <c r="BF886" s="32">
        <v>3</v>
      </c>
      <c r="BG886" s="34">
        <f t="shared" ca="1" si="306"/>
        <v>2091</v>
      </c>
      <c r="BH886" s="32" t="str">
        <f ca="1">IF(MOD(MONTH($D$14)+$BD886-1,12)=Paraméterek!$C$288,"Igen","")</f>
        <v/>
      </c>
      <c r="BI886" s="13">
        <f ca="1">IF($BH886="Igen",MIN(ROUNDDOWN((SUMIF($BG$20:$BG$1027,$BG886-1,$K$20:$K$1027)-SUMIF($BG$20:$BG$1027,$BG886-1,$I$20:$I$1027))*Paraméterek!$C$289,IF($D$4="Forint",0,2)),IF($D$4="Forint",Paraméterek!$C$285,Paraméterek!$D$285)),0)</f>
        <v>0</v>
      </c>
      <c r="BJ886" s="13">
        <f t="shared" ca="1" si="298"/>
        <v>0</v>
      </c>
      <c r="BK886" s="13">
        <f t="shared" ca="1" si="307"/>
        <v>0</v>
      </c>
      <c r="BL886" s="33"/>
      <c r="BM886" s="13">
        <f t="shared" ca="1" si="299"/>
        <v>0</v>
      </c>
      <c r="BN886" s="13">
        <f ca="1">ROUNDUP(($BK886+$BM886)*VLOOKUP($BE886,Paraméterek!$P$38:$Q$38,2)/12*IF($D887="Nem",IF($M$13=0,1,$M$13),1),IF($D$4="Forint",0,2))</f>
        <v>0</v>
      </c>
      <c r="BO886" s="13">
        <f t="shared" ca="1" si="300"/>
        <v>0</v>
      </c>
      <c r="BP886" s="13">
        <f ca="1">IF($D887="Nem",$BO886,$BO886-ROUNDUP(SUM($BI$20:$BI886)*120%,IF($D$4="Forint",0,2)))</f>
        <v>0</v>
      </c>
    </row>
    <row r="887" spans="1:68" x14ac:dyDescent="0.2">
      <c r="A887" s="32">
        <v>868</v>
      </c>
      <c r="B887" s="32">
        <v>73</v>
      </c>
      <c r="C887" s="32">
        <v>4</v>
      </c>
      <c r="D887" s="32" t="str">
        <f t="shared" ca="1" si="286"/>
        <v>Nem</v>
      </c>
      <c r="E887" s="13">
        <f t="shared" ca="1" si="287"/>
        <v>0</v>
      </c>
      <c r="F887" s="13"/>
      <c r="G887" s="13"/>
      <c r="H887" s="13"/>
      <c r="I887" s="13">
        <f t="shared" ca="1" si="288"/>
        <v>0</v>
      </c>
      <c r="J887" s="13">
        <f t="shared" ca="1" si="289"/>
        <v>0</v>
      </c>
      <c r="K887" s="13">
        <f t="shared" ca="1" si="290"/>
        <v>0</v>
      </c>
      <c r="L887" s="13" t="e">
        <f ca="1">ROUNDUP(IF($D$2="Egyszeri",$E887,IF($D$2="Havi",SUM($E$20:$E$31),IF(MOD($C887,$M$1)-1=0,SUM($E$20:$E$31),0))/12*$M$1)*VLOOKUP($B887,Paraméterek!$I$28:$P$31,IF($D$2="Egyszeri",8,HLOOKUP(ROUNDUP($M$11+$M$13,0),Paraméterek!$J$26:$O$27,2))),IF($D$4="Forint",0,2))</f>
        <v>#N/A</v>
      </c>
      <c r="M887" s="13">
        <f t="shared" ca="1" si="291"/>
        <v>0</v>
      </c>
      <c r="N887" s="13">
        <f t="shared" ca="1" si="301"/>
        <v>0</v>
      </c>
      <c r="O887" s="13">
        <f ca="1">IF($D887="Igen",IF($W886&gt;=IF($D$4="Forint",Paraméterek!$J$121,Paraméterek!$K$121),0,IF($D$4="Forint",Paraméterek!$J$121,Paraméterek!$K$121)-$W886),0)</f>
        <v>0</v>
      </c>
      <c r="P887" s="13" t="e">
        <f ca="1">ROUNDUP($O887*VLOOKUP($M$4+$B887-1,Paraméterek!$H$58:$I$105,2,0)/Paraméterek!$I$56,IF($D$4="Forint",0,2))</f>
        <v>#N/A</v>
      </c>
      <c r="Q887" s="13">
        <f t="shared" ca="1" si="292"/>
        <v>0</v>
      </c>
      <c r="R887" s="33"/>
      <c r="S887" s="13" t="e">
        <f t="shared" ca="1" si="293"/>
        <v>#N/A</v>
      </c>
      <c r="T887" s="13" t="e">
        <f ca="1">ROUNDUP(($N887-$P887-$Q887+$S887)*VLOOKUP($B887,Paraméterek!$I$38:$K$39,IF($D$2="Egyszeri",3,2))/12*IF($D888="Nem",IF($M$13=0,1,$M$13),1),IF($D$4="Forint",0,2))</f>
        <v>#N/A</v>
      </c>
      <c r="U887" s="13"/>
      <c r="V887" s="13"/>
      <c r="W887" s="13" t="e">
        <f ca="1">$N887-$P887-$Q887+$S887-$T887-IF(ROUNDUP(IF(ISBLANK($V887),$U887*0,$V887)/IF($D$2="Egyszeri",VLOOKUP($B887+IF($C887=12,1,0),Paraméterek!$V$257:$W$262,2),IF($B887=1,1,VLOOKUP($B887+IF($C887=12,1,0),Paraméterek!$I$258:$T$278,HLOOKUP($M$11+1,Paraméterek!$J$256:$T$257,2)))),IF($D$4="Forint",0,2))&gt;$N887-$P887-$Q887+$S887-$T887-IF($D$4="Forint",Paraméterek!$C$216,Paraméterek!$D$216),0,ROUNDUP(IF(ISBLANK($V887),$U887*0,$V887)/IF($D$2="Egyszeri",VLOOKUP($B887+IF($C887=12,1,0),Paraméterek!$V$257:$W$262,2),IF($B887=1,1,VLOOKUP($B887+IF($C887=12,1,0),Paraméterek!$I$258:$T$278,HLOOKUP($M$11+1,Paraméterek!$J$256:$T$257,2)))),IF($D$4="Forint",0,2)))</f>
        <v>#N/A</v>
      </c>
      <c r="X887" s="13" t="e">
        <f ca="1">ROUNDDOWN($W887*IF($D$2="Egyszeri",VLOOKUP($B887+IF($C887=12,1,0),Paraméterek!$V$257:$W$262,2),VLOOKUP($B887+IF($C887=12,1,0),Paraméterek!$I$258:$T$278,HLOOKUP($M$11+1,Paraméterek!$I$256:$T$257,2))),IF($D$4="Forint",0,2))</f>
        <v>#N/A</v>
      </c>
      <c r="Z887" s="32">
        <v>868</v>
      </c>
      <c r="AA887" s="32">
        <v>73</v>
      </c>
      <c r="AB887" s="32">
        <v>4</v>
      </c>
      <c r="AC887" s="13">
        <f t="shared" ca="1" si="302"/>
        <v>0</v>
      </c>
      <c r="AD887" s="33"/>
      <c r="AE887" s="13">
        <f t="shared" ca="1" si="294"/>
        <v>0</v>
      </c>
      <c r="AF887" s="13">
        <f ca="1">ROUNDUP(($AC887+$AE887)*VLOOKUP($AA887,Paraméterek!$P$38:$Q$38,2)/12*IF($D888="Nem",IF($M$13=0,1,$M$13),1),IF($D$4="Forint",0,2))</f>
        <v>0</v>
      </c>
      <c r="AG887" s="13">
        <f ca="1">IF($D$2="Egyszeri",IF($D$7&gt;=IF($D$4="Forint",Paraméterek!$P$223,Paraméterek!$P$224),$D$7-IF($D$4="Forint",Paraméterek!$P$223,Paraméterek!$P$224),0),MIN(IF($AB887=12,AVERAGEIF($E$20:$E887,"&gt;0",$E$20:$E887)*12,0),SUM($E$20:$E$31)))</f>
        <v>0</v>
      </c>
      <c r="AH887" s="13">
        <f>IF($AA887=10,$AG887*IF($AB887=12,IF($AG887&lt;IF($D$4="Forint",Paraméterek!$L$223,Paraméterek!$L$224),0,VLOOKUP($AA887,Paraméterek!$K$226:$M$228,IF($AG887&lt;IF($D$4="Forint",Paraméterek!$M$223,Paraméterek!$M$224),2,3))),0),0)</f>
        <v>0</v>
      </c>
      <c r="AI887" s="13">
        <f ca="1">IF(AND($AA887=$M$11+1,$AB887=$M$12+1),SUMIF($AA$20:$AA$1027,$AA887,$AG$20:$AG$1027)*IF(SUMIF($AA$20:$AA$1027,$AA887,$AG$20:$AG$1027)&lt;IF($D$4="Forint",Paraméterek!$L$223,Paraméterek!$L$224),0,VLOOKUP($AA887,Paraméterek!$K$230:$M$250,IF(SUMIF($AA$20:$AA$1027,$AA887,$AG$20:$AG$1027)&lt;IF($D$4="Forint",Paraméterek!$M$223,Paraméterek!$M$224),2,3))),0)</f>
        <v>0</v>
      </c>
      <c r="AJ887" s="13">
        <f ca="1">IF(AND($AA887&gt;=5,MOD($AA887,5)=0),IF($AB887=12,VLOOKUP($AA887,Paraméterek!$O$225:$P$240,2),0),IF(OR($AA887=3,$AA887=4),IF($AB887=12,VLOOKUP($AA887,Paraméterek!$O$225:$P$240,2,0),0),0))*$AG887</f>
        <v>0</v>
      </c>
      <c r="AK887" s="13">
        <f t="shared" ca="1" si="295"/>
        <v>0</v>
      </c>
      <c r="AL887" s="13">
        <f t="shared" ca="1" si="303"/>
        <v>0</v>
      </c>
      <c r="AM887" s="13">
        <f t="shared" ca="1" si="304"/>
        <v>0</v>
      </c>
      <c r="AO887" s="32">
        <v>868</v>
      </c>
      <c r="AP887" s="32">
        <v>73</v>
      </c>
      <c r="AQ887" s="32">
        <v>4</v>
      </c>
      <c r="AR887" s="13"/>
      <c r="AS887" s="32"/>
      <c r="AT887" s="13">
        <f t="shared" ca="1" si="305"/>
        <v>0</v>
      </c>
      <c r="AU887" s="33"/>
      <c r="AV887" s="13">
        <f t="shared" ca="1" si="296"/>
        <v>0</v>
      </c>
      <c r="AW887" s="13">
        <f ca="1">ROUNDUP(($AT887+$AV887)*VLOOKUP($AP887,Paraméterek!$P$38:$Q$38,2)/12*IF($D888="Nem",IF($M$13=0,1,$M$13),1),IF($D$4="Forint",0,2))</f>
        <v>0</v>
      </c>
      <c r="AX887" s="13"/>
      <c r="AY887" s="13"/>
      <c r="AZ887" s="13">
        <f>ROUNDUP(IF(SUM($AX887:$AY887)=0,0,IF(IF(ISBLANK($AY887),$AX887,$AY887)*Paraméterek!$J$112&lt;IF($D$4="Forint",Paraméterek!$J$113,Paraméterek!$K$113),IF($D$4="Forint",Paraméterek!$J$113,Paraméterek!$K$113),IF(IF(ISBLANK($AY887),$AX887,$AY887)*Paraméterek!$J$112&gt;IF($D$4="Forint",Paraméterek!$J$114,Paraméterek!$K$114),IF($D$4="Forint",Paraméterek!$J$114,Paraméterek!$K$114),IF(ISBLANK($AY887),$AX887,$AY887)*Paraméterek!$J$112))),IF($D$4="Forint",0,2))</f>
        <v>0</v>
      </c>
      <c r="BA887" s="13">
        <f ca="1">$AT887+$AV887-$AW887-IF(ROUNDDOWN(IF(ISBLANK($AY887),$AX887,$AY887),IF($D$4="Forint",0,2))&gt;$AT887+$AV887-$AW887-IF($D$4="Forint",Paraméterek!$J$114,Paraméterek!$K$114),0,ROUNDDOWN(IF(ISBLANK($AY887),$AX887,$AY887),IF($D$4="Forint",0,2))-$AZ887)</f>
        <v>0</v>
      </c>
      <c r="BB887" s="13">
        <f t="shared" ca="1" si="297"/>
        <v>0</v>
      </c>
      <c r="BD887" s="32">
        <v>868</v>
      </c>
      <c r="BE887" s="32">
        <v>73</v>
      </c>
      <c r="BF887" s="32">
        <v>4</v>
      </c>
      <c r="BG887" s="34">
        <f t="shared" ca="1" si="306"/>
        <v>2091</v>
      </c>
      <c r="BH887" s="32" t="str">
        <f ca="1">IF(MOD(MONTH($D$14)+$BD887-1,12)=Paraméterek!$C$288,"Igen","")</f>
        <v/>
      </c>
      <c r="BI887" s="13">
        <f ca="1">IF($BH887="Igen",MIN(ROUNDDOWN((SUMIF($BG$20:$BG$1027,$BG887-1,$K$20:$K$1027)-SUMIF($BG$20:$BG$1027,$BG887-1,$I$20:$I$1027))*Paraméterek!$C$289,IF($D$4="Forint",0,2)),IF($D$4="Forint",Paraméterek!$C$285,Paraméterek!$D$285)),0)</f>
        <v>0</v>
      </c>
      <c r="BJ887" s="13">
        <f t="shared" ca="1" si="298"/>
        <v>0</v>
      </c>
      <c r="BK887" s="13">
        <f t="shared" ca="1" si="307"/>
        <v>0</v>
      </c>
      <c r="BL887" s="33"/>
      <c r="BM887" s="13">
        <f t="shared" ca="1" si="299"/>
        <v>0</v>
      </c>
      <c r="BN887" s="13">
        <f ca="1">ROUNDUP(($BK887+$BM887)*VLOOKUP($BE887,Paraméterek!$P$38:$Q$38,2)/12*IF($D888="Nem",IF($M$13=0,1,$M$13),1),IF($D$4="Forint",0,2))</f>
        <v>0</v>
      </c>
      <c r="BO887" s="13">
        <f t="shared" ca="1" si="300"/>
        <v>0</v>
      </c>
      <c r="BP887" s="13">
        <f ca="1">IF($D888="Nem",$BO887,$BO887-ROUNDUP(SUM($BI$20:$BI887)*120%,IF($D$4="Forint",0,2)))</f>
        <v>0</v>
      </c>
    </row>
    <row r="888" spans="1:68" x14ac:dyDescent="0.2">
      <c r="A888" s="32">
        <v>869</v>
      </c>
      <c r="B888" s="32">
        <v>73</v>
      </c>
      <c r="C888" s="32">
        <v>5</v>
      </c>
      <c r="D888" s="32" t="str">
        <f t="shared" ca="1" si="286"/>
        <v>Nem</v>
      </c>
      <c r="E888" s="13">
        <f t="shared" ca="1" si="287"/>
        <v>0</v>
      </c>
      <c r="F888" s="13"/>
      <c r="G888" s="13"/>
      <c r="H888" s="13"/>
      <c r="I888" s="13">
        <f t="shared" ca="1" si="288"/>
        <v>0</v>
      </c>
      <c r="J888" s="13">
        <f t="shared" ca="1" si="289"/>
        <v>0</v>
      </c>
      <c r="K888" s="13">
        <f t="shared" ca="1" si="290"/>
        <v>0</v>
      </c>
      <c r="L888" s="13" t="e">
        <f ca="1">ROUNDUP(IF($D$2="Egyszeri",$E888,IF($D$2="Havi",SUM($E$20:$E$31),IF(MOD($C888,$M$1)-1=0,SUM($E$20:$E$31),0))/12*$M$1)*VLOOKUP($B888,Paraméterek!$I$28:$P$31,IF($D$2="Egyszeri",8,HLOOKUP(ROUNDUP($M$11+$M$13,0),Paraméterek!$J$26:$O$27,2))),IF($D$4="Forint",0,2))</f>
        <v>#N/A</v>
      </c>
      <c r="M888" s="13">
        <f t="shared" ca="1" si="291"/>
        <v>0</v>
      </c>
      <c r="N888" s="13">
        <f t="shared" ca="1" si="301"/>
        <v>0</v>
      </c>
      <c r="O888" s="13">
        <f ca="1">IF($D888="Igen",IF($W887&gt;=IF($D$4="Forint",Paraméterek!$J$121,Paraméterek!$K$121),0,IF($D$4="Forint",Paraméterek!$J$121,Paraméterek!$K$121)-$W887),0)</f>
        <v>0</v>
      </c>
      <c r="P888" s="13" t="e">
        <f ca="1">ROUNDUP($O888*VLOOKUP($M$4+$B888-1,Paraméterek!$H$58:$I$105,2,0)/Paraméterek!$I$56,IF($D$4="Forint",0,2))</f>
        <v>#N/A</v>
      </c>
      <c r="Q888" s="13">
        <f t="shared" ca="1" si="292"/>
        <v>0</v>
      </c>
      <c r="R888" s="33"/>
      <c r="S888" s="13" t="e">
        <f t="shared" ca="1" si="293"/>
        <v>#N/A</v>
      </c>
      <c r="T888" s="13" t="e">
        <f ca="1">ROUNDUP(($N888-$P888-$Q888+$S888)*VLOOKUP($B888,Paraméterek!$I$38:$K$39,IF($D$2="Egyszeri",3,2))/12*IF($D889="Nem",IF($M$13=0,1,$M$13),1),IF($D$4="Forint",0,2))</f>
        <v>#N/A</v>
      </c>
      <c r="U888" s="13"/>
      <c r="V888" s="13"/>
      <c r="W888" s="13" t="e">
        <f ca="1">$N888-$P888-$Q888+$S888-$T888-IF(ROUNDUP(IF(ISBLANK($V888),$U888*0,$V888)/IF($D$2="Egyszeri",VLOOKUP($B888+IF($C888=12,1,0),Paraméterek!$V$257:$W$262,2),IF($B888=1,1,VLOOKUP($B888+IF($C888=12,1,0),Paraméterek!$I$258:$T$278,HLOOKUP($M$11+1,Paraméterek!$J$256:$T$257,2)))),IF($D$4="Forint",0,2))&gt;$N888-$P888-$Q888+$S888-$T888-IF($D$4="Forint",Paraméterek!$C$216,Paraméterek!$D$216),0,ROUNDUP(IF(ISBLANK($V888),$U888*0,$V888)/IF($D$2="Egyszeri",VLOOKUP($B888+IF($C888=12,1,0),Paraméterek!$V$257:$W$262,2),IF($B888=1,1,VLOOKUP($B888+IF($C888=12,1,0),Paraméterek!$I$258:$T$278,HLOOKUP($M$11+1,Paraméterek!$J$256:$T$257,2)))),IF($D$4="Forint",0,2)))</f>
        <v>#N/A</v>
      </c>
      <c r="X888" s="13" t="e">
        <f ca="1">ROUNDDOWN($W888*IF($D$2="Egyszeri",VLOOKUP($B888+IF($C888=12,1,0),Paraméterek!$V$257:$W$262,2),VLOOKUP($B888+IF($C888=12,1,0),Paraméterek!$I$258:$T$278,HLOOKUP($M$11+1,Paraméterek!$I$256:$T$257,2))),IF($D$4="Forint",0,2))</f>
        <v>#N/A</v>
      </c>
      <c r="Z888" s="32">
        <v>869</v>
      </c>
      <c r="AA888" s="32">
        <v>73</v>
      </c>
      <c r="AB888" s="32">
        <v>5</v>
      </c>
      <c r="AC888" s="13">
        <f t="shared" ca="1" si="302"/>
        <v>0</v>
      </c>
      <c r="AD888" s="33"/>
      <c r="AE888" s="13">
        <f t="shared" ca="1" si="294"/>
        <v>0</v>
      </c>
      <c r="AF888" s="13">
        <f ca="1">ROUNDUP(($AC888+$AE888)*VLOOKUP($AA888,Paraméterek!$P$38:$Q$38,2)/12*IF($D889="Nem",IF($M$13=0,1,$M$13),1),IF($D$4="Forint",0,2))</f>
        <v>0</v>
      </c>
      <c r="AG888" s="13">
        <f ca="1">IF($D$2="Egyszeri",IF($D$7&gt;=IF($D$4="Forint",Paraméterek!$P$223,Paraméterek!$P$224),$D$7-IF($D$4="Forint",Paraméterek!$P$223,Paraméterek!$P$224),0),MIN(IF($AB888=12,AVERAGEIF($E$20:$E888,"&gt;0",$E$20:$E888)*12,0),SUM($E$20:$E$31)))</f>
        <v>0</v>
      </c>
      <c r="AH888" s="13">
        <f>IF($AA888=10,$AG888*IF($AB888=12,IF($AG888&lt;IF($D$4="Forint",Paraméterek!$L$223,Paraméterek!$L$224),0,VLOOKUP($AA888,Paraméterek!$K$226:$M$228,IF($AG888&lt;IF($D$4="Forint",Paraméterek!$M$223,Paraméterek!$M$224),2,3))),0),0)</f>
        <v>0</v>
      </c>
      <c r="AI888" s="13">
        <f ca="1">IF(AND($AA888=$M$11+1,$AB888=$M$12+1),SUMIF($AA$20:$AA$1027,$AA888,$AG$20:$AG$1027)*IF(SUMIF($AA$20:$AA$1027,$AA888,$AG$20:$AG$1027)&lt;IF($D$4="Forint",Paraméterek!$L$223,Paraméterek!$L$224),0,VLOOKUP($AA888,Paraméterek!$K$230:$M$250,IF(SUMIF($AA$20:$AA$1027,$AA888,$AG$20:$AG$1027)&lt;IF($D$4="Forint",Paraméterek!$M$223,Paraméterek!$M$224),2,3))),0)</f>
        <v>0</v>
      </c>
      <c r="AJ888" s="13">
        <f ca="1">IF(AND($AA888&gt;=5,MOD($AA888,5)=0),IF($AB888=12,VLOOKUP($AA888,Paraméterek!$O$225:$P$240,2),0),IF(OR($AA888=3,$AA888=4),IF($AB888=12,VLOOKUP($AA888,Paraméterek!$O$225:$P$240,2,0),0),0))*$AG888</f>
        <v>0</v>
      </c>
      <c r="AK888" s="13">
        <f t="shared" ca="1" si="295"/>
        <v>0</v>
      </c>
      <c r="AL888" s="13">
        <f t="shared" ca="1" si="303"/>
        <v>0</v>
      </c>
      <c r="AM888" s="13">
        <f t="shared" ca="1" si="304"/>
        <v>0</v>
      </c>
      <c r="AO888" s="32">
        <v>869</v>
      </c>
      <c r="AP888" s="32">
        <v>73</v>
      </c>
      <c r="AQ888" s="32">
        <v>5</v>
      </c>
      <c r="AR888" s="13"/>
      <c r="AS888" s="32"/>
      <c r="AT888" s="13">
        <f t="shared" ca="1" si="305"/>
        <v>0</v>
      </c>
      <c r="AU888" s="33"/>
      <c r="AV888" s="13">
        <f t="shared" ca="1" si="296"/>
        <v>0</v>
      </c>
      <c r="AW888" s="13">
        <f ca="1">ROUNDUP(($AT888+$AV888)*VLOOKUP($AP888,Paraméterek!$P$38:$Q$38,2)/12*IF($D889="Nem",IF($M$13=0,1,$M$13),1),IF($D$4="Forint",0,2))</f>
        <v>0</v>
      </c>
      <c r="AX888" s="13"/>
      <c r="AY888" s="13"/>
      <c r="AZ888" s="13">
        <f>ROUNDUP(IF(SUM($AX888:$AY888)=0,0,IF(IF(ISBLANK($AY888),$AX888,$AY888)*Paraméterek!$J$112&lt;IF($D$4="Forint",Paraméterek!$J$113,Paraméterek!$K$113),IF($D$4="Forint",Paraméterek!$J$113,Paraméterek!$K$113),IF(IF(ISBLANK($AY888),$AX888,$AY888)*Paraméterek!$J$112&gt;IF($D$4="Forint",Paraméterek!$J$114,Paraméterek!$K$114),IF($D$4="Forint",Paraméterek!$J$114,Paraméterek!$K$114),IF(ISBLANK($AY888),$AX888,$AY888)*Paraméterek!$J$112))),IF($D$4="Forint",0,2))</f>
        <v>0</v>
      </c>
      <c r="BA888" s="13">
        <f ca="1">$AT888+$AV888-$AW888-IF(ROUNDDOWN(IF(ISBLANK($AY888),$AX888,$AY888),IF($D$4="Forint",0,2))&gt;$AT888+$AV888-$AW888-IF($D$4="Forint",Paraméterek!$J$114,Paraméterek!$K$114),0,ROUNDDOWN(IF(ISBLANK($AY888),$AX888,$AY888),IF($D$4="Forint",0,2))-$AZ888)</f>
        <v>0</v>
      </c>
      <c r="BB888" s="13">
        <f t="shared" ca="1" si="297"/>
        <v>0</v>
      </c>
      <c r="BD888" s="32">
        <v>869</v>
      </c>
      <c r="BE888" s="32">
        <v>73</v>
      </c>
      <c r="BF888" s="32">
        <v>5</v>
      </c>
      <c r="BG888" s="34">
        <f t="shared" ca="1" si="306"/>
        <v>2091</v>
      </c>
      <c r="BH888" s="32" t="str">
        <f ca="1">IF(MOD(MONTH($D$14)+$BD888-1,12)=Paraméterek!$C$288,"Igen","")</f>
        <v/>
      </c>
      <c r="BI888" s="13">
        <f ca="1">IF($BH888="Igen",MIN(ROUNDDOWN((SUMIF($BG$20:$BG$1027,$BG888-1,$K$20:$K$1027)-SUMIF($BG$20:$BG$1027,$BG888-1,$I$20:$I$1027))*Paraméterek!$C$289,IF($D$4="Forint",0,2)),IF($D$4="Forint",Paraméterek!$C$285,Paraméterek!$D$285)),0)</f>
        <v>0</v>
      </c>
      <c r="BJ888" s="13">
        <f t="shared" ca="1" si="298"/>
        <v>0</v>
      </c>
      <c r="BK888" s="13">
        <f t="shared" ca="1" si="307"/>
        <v>0</v>
      </c>
      <c r="BL888" s="33"/>
      <c r="BM888" s="13">
        <f t="shared" ca="1" si="299"/>
        <v>0</v>
      </c>
      <c r="BN888" s="13">
        <f ca="1">ROUNDUP(($BK888+$BM888)*VLOOKUP($BE888,Paraméterek!$P$38:$Q$38,2)/12*IF($D889="Nem",IF($M$13=0,1,$M$13),1),IF($D$4="Forint",0,2))</f>
        <v>0</v>
      </c>
      <c r="BO888" s="13">
        <f t="shared" ca="1" si="300"/>
        <v>0</v>
      </c>
      <c r="BP888" s="13">
        <f ca="1">IF($D889="Nem",$BO888,$BO888-ROUNDUP(SUM($BI$20:$BI888)*120%,IF($D$4="Forint",0,2)))</f>
        <v>0</v>
      </c>
    </row>
    <row r="889" spans="1:68" x14ac:dyDescent="0.2">
      <c r="A889" s="32">
        <v>870</v>
      </c>
      <c r="B889" s="32">
        <v>73</v>
      </c>
      <c r="C889" s="32">
        <v>6</v>
      </c>
      <c r="D889" s="32" t="str">
        <f t="shared" ca="1" si="286"/>
        <v>Nem</v>
      </c>
      <c r="E889" s="13">
        <f t="shared" ca="1" si="287"/>
        <v>0</v>
      </c>
      <c r="F889" s="13"/>
      <c r="G889" s="13"/>
      <c r="H889" s="13"/>
      <c r="I889" s="13">
        <f t="shared" ca="1" si="288"/>
        <v>0</v>
      </c>
      <c r="J889" s="13">
        <f t="shared" ca="1" si="289"/>
        <v>0</v>
      </c>
      <c r="K889" s="13">
        <f t="shared" ca="1" si="290"/>
        <v>0</v>
      </c>
      <c r="L889" s="13" t="e">
        <f ca="1">ROUNDUP(IF($D$2="Egyszeri",$E889,IF($D$2="Havi",SUM($E$20:$E$31),IF(MOD($C889,$M$1)-1=0,SUM($E$20:$E$31),0))/12*$M$1)*VLOOKUP($B889,Paraméterek!$I$28:$P$31,IF($D$2="Egyszeri",8,HLOOKUP(ROUNDUP($M$11+$M$13,0),Paraméterek!$J$26:$O$27,2))),IF($D$4="Forint",0,2))</f>
        <v>#N/A</v>
      </c>
      <c r="M889" s="13">
        <f t="shared" ca="1" si="291"/>
        <v>0</v>
      </c>
      <c r="N889" s="13">
        <f t="shared" ca="1" si="301"/>
        <v>0</v>
      </c>
      <c r="O889" s="13">
        <f ca="1">IF($D889="Igen",IF($W888&gt;=IF($D$4="Forint",Paraméterek!$J$121,Paraméterek!$K$121),0,IF($D$4="Forint",Paraméterek!$J$121,Paraméterek!$K$121)-$W888),0)</f>
        <v>0</v>
      </c>
      <c r="P889" s="13" t="e">
        <f ca="1">ROUNDUP($O889*VLOOKUP($M$4+$B889-1,Paraméterek!$H$58:$I$105,2,0)/Paraméterek!$I$56,IF($D$4="Forint",0,2))</f>
        <v>#N/A</v>
      </c>
      <c r="Q889" s="13">
        <f t="shared" ca="1" si="292"/>
        <v>0</v>
      </c>
      <c r="R889" s="33"/>
      <c r="S889" s="13" t="e">
        <f t="shared" ca="1" si="293"/>
        <v>#N/A</v>
      </c>
      <c r="T889" s="13" t="e">
        <f ca="1">ROUNDUP(($N889-$P889-$Q889+$S889)*VLOOKUP($B889,Paraméterek!$I$38:$K$39,IF($D$2="Egyszeri",3,2))/12*IF($D890="Nem",IF($M$13=0,1,$M$13),1),IF($D$4="Forint",0,2))</f>
        <v>#N/A</v>
      </c>
      <c r="U889" s="13"/>
      <c r="V889" s="13"/>
      <c r="W889" s="13" t="e">
        <f ca="1">$N889-$P889-$Q889+$S889-$T889-IF(ROUNDUP(IF(ISBLANK($V889),$U889*0,$V889)/IF($D$2="Egyszeri",VLOOKUP($B889+IF($C889=12,1,0),Paraméterek!$V$257:$W$262,2),IF($B889=1,1,VLOOKUP($B889+IF($C889=12,1,0),Paraméterek!$I$258:$T$278,HLOOKUP($M$11+1,Paraméterek!$J$256:$T$257,2)))),IF($D$4="Forint",0,2))&gt;$N889-$P889-$Q889+$S889-$T889-IF($D$4="Forint",Paraméterek!$C$216,Paraméterek!$D$216),0,ROUNDUP(IF(ISBLANK($V889),$U889*0,$V889)/IF($D$2="Egyszeri",VLOOKUP($B889+IF($C889=12,1,0),Paraméterek!$V$257:$W$262,2),IF($B889=1,1,VLOOKUP($B889+IF($C889=12,1,0),Paraméterek!$I$258:$T$278,HLOOKUP($M$11+1,Paraméterek!$J$256:$T$257,2)))),IF($D$4="Forint",0,2)))</f>
        <v>#N/A</v>
      </c>
      <c r="X889" s="13" t="e">
        <f ca="1">ROUNDDOWN($W889*IF($D$2="Egyszeri",VLOOKUP($B889+IF($C889=12,1,0),Paraméterek!$V$257:$W$262,2),VLOOKUP($B889+IF($C889=12,1,0),Paraméterek!$I$258:$T$278,HLOOKUP($M$11+1,Paraméterek!$I$256:$T$257,2))),IF($D$4="Forint",0,2))</f>
        <v>#N/A</v>
      </c>
      <c r="Z889" s="32">
        <v>870</v>
      </c>
      <c r="AA889" s="32">
        <v>73</v>
      </c>
      <c r="AB889" s="32">
        <v>6</v>
      </c>
      <c r="AC889" s="13">
        <f t="shared" ca="1" si="302"/>
        <v>0</v>
      </c>
      <c r="AD889" s="33"/>
      <c r="AE889" s="13">
        <f t="shared" ca="1" si="294"/>
        <v>0</v>
      </c>
      <c r="AF889" s="13">
        <f ca="1">ROUNDUP(($AC889+$AE889)*VLOOKUP($AA889,Paraméterek!$P$38:$Q$38,2)/12*IF($D890="Nem",IF($M$13=0,1,$M$13),1),IF($D$4="Forint",0,2))</f>
        <v>0</v>
      </c>
      <c r="AG889" s="13">
        <f ca="1">IF($D$2="Egyszeri",IF($D$7&gt;=IF($D$4="Forint",Paraméterek!$P$223,Paraméterek!$P$224),$D$7-IF($D$4="Forint",Paraméterek!$P$223,Paraméterek!$P$224),0),MIN(IF($AB889=12,AVERAGEIF($E$20:$E889,"&gt;0",$E$20:$E889)*12,0),SUM($E$20:$E$31)))</f>
        <v>0</v>
      </c>
      <c r="AH889" s="13">
        <f>IF($AA889=10,$AG889*IF($AB889=12,IF($AG889&lt;IF($D$4="Forint",Paraméterek!$L$223,Paraméterek!$L$224),0,VLOOKUP($AA889,Paraméterek!$K$226:$M$228,IF($AG889&lt;IF($D$4="Forint",Paraméterek!$M$223,Paraméterek!$M$224),2,3))),0),0)</f>
        <v>0</v>
      </c>
      <c r="AI889" s="13">
        <f ca="1">IF(AND($AA889=$M$11+1,$AB889=$M$12+1),SUMIF($AA$20:$AA$1027,$AA889,$AG$20:$AG$1027)*IF(SUMIF($AA$20:$AA$1027,$AA889,$AG$20:$AG$1027)&lt;IF($D$4="Forint",Paraméterek!$L$223,Paraméterek!$L$224),0,VLOOKUP($AA889,Paraméterek!$K$230:$M$250,IF(SUMIF($AA$20:$AA$1027,$AA889,$AG$20:$AG$1027)&lt;IF($D$4="Forint",Paraméterek!$M$223,Paraméterek!$M$224),2,3))),0)</f>
        <v>0</v>
      </c>
      <c r="AJ889" s="13">
        <f ca="1">IF(AND($AA889&gt;=5,MOD($AA889,5)=0),IF($AB889=12,VLOOKUP($AA889,Paraméterek!$O$225:$P$240,2),0),IF(OR($AA889=3,$AA889=4),IF($AB889=12,VLOOKUP($AA889,Paraméterek!$O$225:$P$240,2,0),0),0))*$AG889</f>
        <v>0</v>
      </c>
      <c r="AK889" s="13">
        <f t="shared" ca="1" si="295"/>
        <v>0</v>
      </c>
      <c r="AL889" s="13">
        <f t="shared" ca="1" si="303"/>
        <v>0</v>
      </c>
      <c r="AM889" s="13">
        <f t="shared" ca="1" si="304"/>
        <v>0</v>
      </c>
      <c r="AO889" s="32">
        <v>870</v>
      </c>
      <c r="AP889" s="32">
        <v>73</v>
      </c>
      <c r="AQ889" s="32">
        <v>6</v>
      </c>
      <c r="AR889" s="13"/>
      <c r="AS889" s="32"/>
      <c r="AT889" s="13">
        <f t="shared" ca="1" si="305"/>
        <v>0</v>
      </c>
      <c r="AU889" s="33"/>
      <c r="AV889" s="13">
        <f t="shared" ca="1" si="296"/>
        <v>0</v>
      </c>
      <c r="AW889" s="13">
        <f ca="1">ROUNDUP(($AT889+$AV889)*VLOOKUP($AP889,Paraméterek!$P$38:$Q$38,2)/12*IF($D890="Nem",IF($M$13=0,1,$M$13),1),IF($D$4="Forint",0,2))</f>
        <v>0</v>
      </c>
      <c r="AX889" s="13"/>
      <c r="AY889" s="13"/>
      <c r="AZ889" s="13">
        <f>ROUNDUP(IF(SUM($AX889:$AY889)=0,0,IF(IF(ISBLANK($AY889),$AX889,$AY889)*Paraméterek!$J$112&lt;IF($D$4="Forint",Paraméterek!$J$113,Paraméterek!$K$113),IF($D$4="Forint",Paraméterek!$J$113,Paraméterek!$K$113),IF(IF(ISBLANK($AY889),$AX889,$AY889)*Paraméterek!$J$112&gt;IF($D$4="Forint",Paraméterek!$J$114,Paraméterek!$K$114),IF($D$4="Forint",Paraméterek!$J$114,Paraméterek!$K$114),IF(ISBLANK($AY889),$AX889,$AY889)*Paraméterek!$J$112))),IF($D$4="Forint",0,2))</f>
        <v>0</v>
      </c>
      <c r="BA889" s="13">
        <f ca="1">$AT889+$AV889-$AW889-IF(ROUNDDOWN(IF(ISBLANK($AY889),$AX889,$AY889),IF($D$4="Forint",0,2))&gt;$AT889+$AV889-$AW889-IF($D$4="Forint",Paraméterek!$J$114,Paraméterek!$K$114),0,ROUNDDOWN(IF(ISBLANK($AY889),$AX889,$AY889),IF($D$4="Forint",0,2))-$AZ889)</f>
        <v>0</v>
      </c>
      <c r="BB889" s="13">
        <f t="shared" ca="1" si="297"/>
        <v>0</v>
      </c>
      <c r="BD889" s="32">
        <v>870</v>
      </c>
      <c r="BE889" s="32">
        <v>73</v>
      </c>
      <c r="BF889" s="32">
        <v>6</v>
      </c>
      <c r="BG889" s="34">
        <f t="shared" ca="1" si="306"/>
        <v>2091</v>
      </c>
      <c r="BH889" s="32" t="str">
        <f ca="1">IF(MOD(MONTH($D$14)+$BD889-1,12)=Paraméterek!$C$288,"Igen","")</f>
        <v/>
      </c>
      <c r="BI889" s="13">
        <f ca="1">IF($BH889="Igen",MIN(ROUNDDOWN((SUMIF($BG$20:$BG$1027,$BG889-1,$K$20:$K$1027)-SUMIF($BG$20:$BG$1027,$BG889-1,$I$20:$I$1027))*Paraméterek!$C$289,IF($D$4="Forint",0,2)),IF($D$4="Forint",Paraméterek!$C$285,Paraméterek!$D$285)),0)</f>
        <v>0</v>
      </c>
      <c r="BJ889" s="13">
        <f t="shared" ca="1" si="298"/>
        <v>0</v>
      </c>
      <c r="BK889" s="13">
        <f t="shared" ca="1" si="307"/>
        <v>0</v>
      </c>
      <c r="BL889" s="33"/>
      <c r="BM889" s="13">
        <f t="shared" ca="1" si="299"/>
        <v>0</v>
      </c>
      <c r="BN889" s="13">
        <f ca="1">ROUNDUP(($BK889+$BM889)*VLOOKUP($BE889,Paraméterek!$P$38:$Q$38,2)/12*IF($D890="Nem",IF($M$13=0,1,$M$13),1),IF($D$4="Forint",0,2))</f>
        <v>0</v>
      </c>
      <c r="BO889" s="13">
        <f t="shared" ca="1" si="300"/>
        <v>0</v>
      </c>
      <c r="BP889" s="13">
        <f ca="1">IF($D890="Nem",$BO889,$BO889-ROUNDUP(SUM($BI$20:$BI889)*120%,IF($D$4="Forint",0,2)))</f>
        <v>0</v>
      </c>
    </row>
    <row r="890" spans="1:68" x14ac:dyDescent="0.2">
      <c r="A890" s="32">
        <v>871</v>
      </c>
      <c r="B890" s="32">
        <v>73</v>
      </c>
      <c r="C890" s="32">
        <v>7</v>
      </c>
      <c r="D890" s="32" t="str">
        <f t="shared" ca="1" si="286"/>
        <v>Nem</v>
      </c>
      <c r="E890" s="13">
        <f t="shared" ca="1" si="287"/>
        <v>0</v>
      </c>
      <c r="F890" s="13"/>
      <c r="G890" s="13"/>
      <c r="H890" s="13"/>
      <c r="I890" s="13">
        <f t="shared" ca="1" si="288"/>
        <v>0</v>
      </c>
      <c r="J890" s="13">
        <f t="shared" ca="1" si="289"/>
        <v>0</v>
      </c>
      <c r="K890" s="13">
        <f t="shared" ca="1" si="290"/>
        <v>0</v>
      </c>
      <c r="L890" s="13" t="e">
        <f ca="1">ROUNDUP(IF($D$2="Egyszeri",$E890,IF($D$2="Havi",SUM($E$20:$E$31),IF(MOD($C890,$M$1)-1=0,SUM($E$20:$E$31),0))/12*$M$1)*VLOOKUP($B890,Paraméterek!$I$28:$P$31,IF($D$2="Egyszeri",8,HLOOKUP(ROUNDUP($M$11+$M$13,0),Paraméterek!$J$26:$O$27,2))),IF($D$4="Forint",0,2))</f>
        <v>#N/A</v>
      </c>
      <c r="M890" s="13">
        <f t="shared" ca="1" si="291"/>
        <v>0</v>
      </c>
      <c r="N890" s="13">
        <f t="shared" ca="1" si="301"/>
        <v>0</v>
      </c>
      <c r="O890" s="13">
        <f ca="1">IF($D890="Igen",IF($W889&gt;=IF($D$4="Forint",Paraméterek!$J$121,Paraméterek!$K$121),0,IF($D$4="Forint",Paraméterek!$J$121,Paraméterek!$K$121)-$W889),0)</f>
        <v>0</v>
      </c>
      <c r="P890" s="13" t="e">
        <f ca="1">ROUNDUP($O890*VLOOKUP($M$4+$B890-1,Paraméterek!$H$58:$I$105,2,0)/Paraméterek!$I$56,IF($D$4="Forint",0,2))</f>
        <v>#N/A</v>
      </c>
      <c r="Q890" s="13">
        <f t="shared" ca="1" si="292"/>
        <v>0</v>
      </c>
      <c r="R890" s="33"/>
      <c r="S890" s="13" t="e">
        <f t="shared" ca="1" si="293"/>
        <v>#N/A</v>
      </c>
      <c r="T890" s="13" t="e">
        <f ca="1">ROUNDUP(($N890-$P890-$Q890+$S890)*VLOOKUP($B890,Paraméterek!$I$38:$K$39,IF($D$2="Egyszeri",3,2))/12*IF($D891="Nem",IF($M$13=0,1,$M$13),1),IF($D$4="Forint",0,2))</f>
        <v>#N/A</v>
      </c>
      <c r="U890" s="13"/>
      <c r="V890" s="13"/>
      <c r="W890" s="13" t="e">
        <f ca="1">$N890-$P890-$Q890+$S890-$T890-IF(ROUNDUP(IF(ISBLANK($V890),$U890*0,$V890)/IF($D$2="Egyszeri",VLOOKUP($B890+IF($C890=12,1,0),Paraméterek!$V$257:$W$262,2),IF($B890=1,1,VLOOKUP($B890+IF($C890=12,1,0),Paraméterek!$I$258:$T$278,HLOOKUP($M$11+1,Paraméterek!$J$256:$T$257,2)))),IF($D$4="Forint",0,2))&gt;$N890-$P890-$Q890+$S890-$T890-IF($D$4="Forint",Paraméterek!$C$216,Paraméterek!$D$216),0,ROUNDUP(IF(ISBLANK($V890),$U890*0,$V890)/IF($D$2="Egyszeri",VLOOKUP($B890+IF($C890=12,1,0),Paraméterek!$V$257:$W$262,2),IF($B890=1,1,VLOOKUP($B890+IF($C890=12,1,0),Paraméterek!$I$258:$T$278,HLOOKUP($M$11+1,Paraméterek!$J$256:$T$257,2)))),IF($D$4="Forint",0,2)))</f>
        <v>#N/A</v>
      </c>
      <c r="X890" s="13" t="e">
        <f ca="1">ROUNDDOWN($W890*IF($D$2="Egyszeri",VLOOKUP($B890+IF($C890=12,1,0),Paraméterek!$V$257:$W$262,2),VLOOKUP($B890+IF($C890=12,1,0),Paraméterek!$I$258:$T$278,HLOOKUP($M$11+1,Paraméterek!$I$256:$T$257,2))),IF($D$4="Forint",0,2))</f>
        <v>#N/A</v>
      </c>
      <c r="Z890" s="32">
        <v>871</v>
      </c>
      <c r="AA890" s="32">
        <v>73</v>
      </c>
      <c r="AB890" s="32">
        <v>7</v>
      </c>
      <c r="AC890" s="13">
        <f t="shared" ca="1" si="302"/>
        <v>0</v>
      </c>
      <c r="AD890" s="33"/>
      <c r="AE890" s="13">
        <f t="shared" ca="1" si="294"/>
        <v>0</v>
      </c>
      <c r="AF890" s="13">
        <f ca="1">ROUNDUP(($AC890+$AE890)*VLOOKUP($AA890,Paraméterek!$P$38:$Q$38,2)/12*IF($D891="Nem",IF($M$13=0,1,$M$13),1),IF($D$4="Forint",0,2))</f>
        <v>0</v>
      </c>
      <c r="AG890" s="13">
        <f ca="1">IF($D$2="Egyszeri",IF($D$7&gt;=IF($D$4="Forint",Paraméterek!$P$223,Paraméterek!$P$224),$D$7-IF($D$4="Forint",Paraméterek!$P$223,Paraméterek!$P$224),0),MIN(IF($AB890=12,AVERAGEIF($E$20:$E890,"&gt;0",$E$20:$E890)*12,0),SUM($E$20:$E$31)))</f>
        <v>0</v>
      </c>
      <c r="AH890" s="13">
        <f>IF($AA890=10,$AG890*IF($AB890=12,IF($AG890&lt;IF($D$4="Forint",Paraméterek!$L$223,Paraméterek!$L$224),0,VLOOKUP($AA890,Paraméterek!$K$226:$M$228,IF($AG890&lt;IF($D$4="Forint",Paraméterek!$M$223,Paraméterek!$M$224),2,3))),0),0)</f>
        <v>0</v>
      </c>
      <c r="AI890" s="13">
        <f ca="1">IF(AND($AA890=$M$11+1,$AB890=$M$12+1),SUMIF($AA$20:$AA$1027,$AA890,$AG$20:$AG$1027)*IF(SUMIF($AA$20:$AA$1027,$AA890,$AG$20:$AG$1027)&lt;IF($D$4="Forint",Paraméterek!$L$223,Paraméterek!$L$224),0,VLOOKUP($AA890,Paraméterek!$K$230:$M$250,IF(SUMIF($AA$20:$AA$1027,$AA890,$AG$20:$AG$1027)&lt;IF($D$4="Forint",Paraméterek!$M$223,Paraméterek!$M$224),2,3))),0)</f>
        <v>0</v>
      </c>
      <c r="AJ890" s="13">
        <f ca="1">IF(AND($AA890&gt;=5,MOD($AA890,5)=0),IF($AB890=12,VLOOKUP($AA890,Paraméterek!$O$225:$P$240,2),0),IF(OR($AA890=3,$AA890=4),IF($AB890=12,VLOOKUP($AA890,Paraméterek!$O$225:$P$240,2,0),0),0))*$AG890</f>
        <v>0</v>
      </c>
      <c r="AK890" s="13">
        <f t="shared" ca="1" si="295"/>
        <v>0</v>
      </c>
      <c r="AL890" s="13">
        <f t="shared" ca="1" si="303"/>
        <v>0</v>
      </c>
      <c r="AM890" s="13">
        <f t="shared" ca="1" si="304"/>
        <v>0</v>
      </c>
      <c r="AO890" s="32">
        <v>871</v>
      </c>
      <c r="AP890" s="32">
        <v>73</v>
      </c>
      <c r="AQ890" s="32">
        <v>7</v>
      </c>
      <c r="AR890" s="13"/>
      <c r="AS890" s="32"/>
      <c r="AT890" s="13">
        <f t="shared" ca="1" si="305"/>
        <v>0</v>
      </c>
      <c r="AU890" s="33"/>
      <c r="AV890" s="13">
        <f t="shared" ca="1" si="296"/>
        <v>0</v>
      </c>
      <c r="AW890" s="13">
        <f ca="1">ROUNDUP(($AT890+$AV890)*VLOOKUP($AP890,Paraméterek!$P$38:$Q$38,2)/12*IF($D891="Nem",IF($M$13=0,1,$M$13),1),IF($D$4="Forint",0,2))</f>
        <v>0</v>
      </c>
      <c r="AX890" s="13"/>
      <c r="AY890" s="13"/>
      <c r="AZ890" s="13">
        <f>ROUNDUP(IF(SUM($AX890:$AY890)=0,0,IF(IF(ISBLANK($AY890),$AX890,$AY890)*Paraméterek!$J$112&lt;IF($D$4="Forint",Paraméterek!$J$113,Paraméterek!$K$113),IF($D$4="Forint",Paraméterek!$J$113,Paraméterek!$K$113),IF(IF(ISBLANK($AY890),$AX890,$AY890)*Paraméterek!$J$112&gt;IF($D$4="Forint",Paraméterek!$J$114,Paraméterek!$K$114),IF($D$4="Forint",Paraméterek!$J$114,Paraméterek!$K$114),IF(ISBLANK($AY890),$AX890,$AY890)*Paraméterek!$J$112))),IF($D$4="Forint",0,2))</f>
        <v>0</v>
      </c>
      <c r="BA890" s="13">
        <f ca="1">$AT890+$AV890-$AW890-IF(ROUNDDOWN(IF(ISBLANK($AY890),$AX890,$AY890),IF($D$4="Forint",0,2))&gt;$AT890+$AV890-$AW890-IF($D$4="Forint",Paraméterek!$J$114,Paraméterek!$K$114),0,ROUNDDOWN(IF(ISBLANK($AY890),$AX890,$AY890),IF($D$4="Forint",0,2))-$AZ890)</f>
        <v>0</v>
      </c>
      <c r="BB890" s="13">
        <f t="shared" ca="1" si="297"/>
        <v>0</v>
      </c>
      <c r="BD890" s="32">
        <v>871</v>
      </c>
      <c r="BE890" s="32">
        <v>73</v>
      </c>
      <c r="BF890" s="32">
        <v>7</v>
      </c>
      <c r="BG890" s="34">
        <f t="shared" ca="1" si="306"/>
        <v>2091</v>
      </c>
      <c r="BH890" s="32" t="str">
        <f ca="1">IF(MOD(MONTH($D$14)+$BD890-1,12)=Paraméterek!$C$288,"Igen","")</f>
        <v/>
      </c>
      <c r="BI890" s="13">
        <f ca="1">IF($BH890="Igen",MIN(ROUNDDOWN((SUMIF($BG$20:$BG$1027,$BG890-1,$K$20:$K$1027)-SUMIF($BG$20:$BG$1027,$BG890-1,$I$20:$I$1027))*Paraméterek!$C$289,IF($D$4="Forint",0,2)),IF($D$4="Forint",Paraméterek!$C$285,Paraméterek!$D$285)),0)</f>
        <v>0</v>
      </c>
      <c r="BJ890" s="13">
        <f t="shared" ca="1" si="298"/>
        <v>0</v>
      </c>
      <c r="BK890" s="13">
        <f t="shared" ca="1" si="307"/>
        <v>0</v>
      </c>
      <c r="BL890" s="33"/>
      <c r="BM890" s="13">
        <f t="shared" ca="1" si="299"/>
        <v>0</v>
      </c>
      <c r="BN890" s="13">
        <f ca="1">ROUNDUP(($BK890+$BM890)*VLOOKUP($BE890,Paraméterek!$P$38:$Q$38,2)/12*IF($D891="Nem",IF($M$13=0,1,$M$13),1),IF($D$4="Forint",0,2))</f>
        <v>0</v>
      </c>
      <c r="BO890" s="13">
        <f t="shared" ca="1" si="300"/>
        <v>0</v>
      </c>
      <c r="BP890" s="13">
        <f ca="1">IF($D891="Nem",$BO890,$BO890-ROUNDUP(SUM($BI$20:$BI890)*120%,IF($D$4="Forint",0,2)))</f>
        <v>0</v>
      </c>
    </row>
    <row r="891" spans="1:68" x14ac:dyDescent="0.2">
      <c r="A891" s="32">
        <v>872</v>
      </c>
      <c r="B891" s="32">
        <v>73</v>
      </c>
      <c r="C891" s="32">
        <v>8</v>
      </c>
      <c r="D891" s="32" t="str">
        <f t="shared" ca="1" si="286"/>
        <v>Nem</v>
      </c>
      <c r="E891" s="13">
        <f t="shared" ca="1" si="287"/>
        <v>0</v>
      </c>
      <c r="F891" s="13"/>
      <c r="G891" s="13"/>
      <c r="H891" s="13"/>
      <c r="I891" s="13">
        <f t="shared" ca="1" si="288"/>
        <v>0</v>
      </c>
      <c r="J891" s="13">
        <f t="shared" ca="1" si="289"/>
        <v>0</v>
      </c>
      <c r="K891" s="13">
        <f t="shared" ca="1" si="290"/>
        <v>0</v>
      </c>
      <c r="L891" s="13" t="e">
        <f ca="1">ROUNDUP(IF($D$2="Egyszeri",$E891,IF($D$2="Havi",SUM($E$20:$E$31),IF(MOD($C891,$M$1)-1=0,SUM($E$20:$E$31),0))/12*$M$1)*VLOOKUP($B891,Paraméterek!$I$28:$P$31,IF($D$2="Egyszeri",8,HLOOKUP(ROUNDUP($M$11+$M$13,0),Paraméterek!$J$26:$O$27,2))),IF($D$4="Forint",0,2))</f>
        <v>#N/A</v>
      </c>
      <c r="M891" s="13">
        <f t="shared" ca="1" si="291"/>
        <v>0</v>
      </c>
      <c r="N891" s="13">
        <f t="shared" ca="1" si="301"/>
        <v>0</v>
      </c>
      <c r="O891" s="13">
        <f ca="1">IF($D891="Igen",IF($W890&gt;=IF($D$4="Forint",Paraméterek!$J$121,Paraméterek!$K$121),0,IF($D$4="Forint",Paraméterek!$J$121,Paraméterek!$K$121)-$W890),0)</f>
        <v>0</v>
      </c>
      <c r="P891" s="13" t="e">
        <f ca="1">ROUNDUP($O891*VLOOKUP($M$4+$B891-1,Paraméterek!$H$58:$I$105,2,0)/Paraméterek!$I$56,IF($D$4="Forint",0,2))</f>
        <v>#N/A</v>
      </c>
      <c r="Q891" s="13">
        <f t="shared" ca="1" si="292"/>
        <v>0</v>
      </c>
      <c r="R891" s="33"/>
      <c r="S891" s="13" t="e">
        <f t="shared" ca="1" si="293"/>
        <v>#N/A</v>
      </c>
      <c r="T891" s="13" t="e">
        <f ca="1">ROUNDUP(($N891-$P891-$Q891+$S891)*VLOOKUP($B891,Paraméterek!$I$38:$K$39,IF($D$2="Egyszeri",3,2))/12*IF($D892="Nem",IF($M$13=0,1,$M$13),1),IF($D$4="Forint",0,2))</f>
        <v>#N/A</v>
      </c>
      <c r="U891" s="13"/>
      <c r="V891" s="13"/>
      <c r="W891" s="13" t="e">
        <f ca="1">$N891-$P891-$Q891+$S891-$T891-IF(ROUNDUP(IF(ISBLANK($V891),$U891*0,$V891)/IF($D$2="Egyszeri",VLOOKUP($B891+IF($C891=12,1,0),Paraméterek!$V$257:$W$262,2),IF($B891=1,1,VLOOKUP($B891+IF($C891=12,1,0),Paraméterek!$I$258:$T$278,HLOOKUP($M$11+1,Paraméterek!$J$256:$T$257,2)))),IF($D$4="Forint",0,2))&gt;$N891-$P891-$Q891+$S891-$T891-IF($D$4="Forint",Paraméterek!$C$216,Paraméterek!$D$216),0,ROUNDUP(IF(ISBLANK($V891),$U891*0,$V891)/IF($D$2="Egyszeri",VLOOKUP($B891+IF($C891=12,1,0),Paraméterek!$V$257:$W$262,2),IF($B891=1,1,VLOOKUP($B891+IF($C891=12,1,0),Paraméterek!$I$258:$T$278,HLOOKUP($M$11+1,Paraméterek!$J$256:$T$257,2)))),IF($D$4="Forint",0,2)))</f>
        <v>#N/A</v>
      </c>
      <c r="X891" s="13" t="e">
        <f ca="1">ROUNDDOWN($W891*IF($D$2="Egyszeri",VLOOKUP($B891+IF($C891=12,1,0),Paraméterek!$V$257:$W$262,2),VLOOKUP($B891+IF($C891=12,1,0),Paraméterek!$I$258:$T$278,HLOOKUP($M$11+1,Paraméterek!$I$256:$T$257,2))),IF($D$4="Forint",0,2))</f>
        <v>#N/A</v>
      </c>
      <c r="Z891" s="32">
        <v>872</v>
      </c>
      <c r="AA891" s="32">
        <v>73</v>
      </c>
      <c r="AB891" s="32">
        <v>8</v>
      </c>
      <c r="AC891" s="13">
        <f t="shared" ca="1" si="302"/>
        <v>0</v>
      </c>
      <c r="AD891" s="33"/>
      <c r="AE891" s="13">
        <f t="shared" ca="1" si="294"/>
        <v>0</v>
      </c>
      <c r="AF891" s="13">
        <f ca="1">ROUNDUP(($AC891+$AE891)*VLOOKUP($AA891,Paraméterek!$P$38:$Q$38,2)/12*IF($D892="Nem",IF($M$13=0,1,$M$13),1),IF($D$4="Forint",0,2))</f>
        <v>0</v>
      </c>
      <c r="AG891" s="13">
        <f ca="1">IF($D$2="Egyszeri",IF($D$7&gt;=IF($D$4="Forint",Paraméterek!$P$223,Paraméterek!$P$224),$D$7-IF($D$4="Forint",Paraméterek!$P$223,Paraméterek!$P$224),0),MIN(IF($AB891=12,AVERAGEIF($E$20:$E891,"&gt;0",$E$20:$E891)*12,0),SUM($E$20:$E$31)))</f>
        <v>0</v>
      </c>
      <c r="AH891" s="13">
        <f>IF($AA891=10,$AG891*IF($AB891=12,IF($AG891&lt;IF($D$4="Forint",Paraméterek!$L$223,Paraméterek!$L$224),0,VLOOKUP($AA891,Paraméterek!$K$226:$M$228,IF($AG891&lt;IF($D$4="Forint",Paraméterek!$M$223,Paraméterek!$M$224),2,3))),0),0)</f>
        <v>0</v>
      </c>
      <c r="AI891" s="13">
        <f ca="1">IF(AND($AA891=$M$11+1,$AB891=$M$12+1),SUMIF($AA$20:$AA$1027,$AA891,$AG$20:$AG$1027)*IF(SUMIF($AA$20:$AA$1027,$AA891,$AG$20:$AG$1027)&lt;IF($D$4="Forint",Paraméterek!$L$223,Paraméterek!$L$224),0,VLOOKUP($AA891,Paraméterek!$K$230:$M$250,IF(SUMIF($AA$20:$AA$1027,$AA891,$AG$20:$AG$1027)&lt;IF($D$4="Forint",Paraméterek!$M$223,Paraméterek!$M$224),2,3))),0)</f>
        <v>0</v>
      </c>
      <c r="AJ891" s="13">
        <f ca="1">IF(AND($AA891&gt;=5,MOD($AA891,5)=0),IF($AB891=12,VLOOKUP($AA891,Paraméterek!$O$225:$P$240,2),0),IF(OR($AA891=3,$AA891=4),IF($AB891=12,VLOOKUP($AA891,Paraméterek!$O$225:$P$240,2,0),0),0))*$AG891</f>
        <v>0</v>
      </c>
      <c r="AK891" s="13">
        <f t="shared" ca="1" si="295"/>
        <v>0</v>
      </c>
      <c r="AL891" s="13">
        <f t="shared" ca="1" si="303"/>
        <v>0</v>
      </c>
      <c r="AM891" s="13">
        <f t="shared" ca="1" si="304"/>
        <v>0</v>
      </c>
      <c r="AO891" s="32">
        <v>872</v>
      </c>
      <c r="AP891" s="32">
        <v>73</v>
      </c>
      <c r="AQ891" s="32">
        <v>8</v>
      </c>
      <c r="AR891" s="13"/>
      <c r="AS891" s="32"/>
      <c r="AT891" s="13">
        <f t="shared" ca="1" si="305"/>
        <v>0</v>
      </c>
      <c r="AU891" s="33"/>
      <c r="AV891" s="13">
        <f t="shared" ca="1" si="296"/>
        <v>0</v>
      </c>
      <c r="AW891" s="13">
        <f ca="1">ROUNDUP(($AT891+$AV891)*VLOOKUP($AP891,Paraméterek!$P$38:$Q$38,2)/12*IF($D892="Nem",IF($M$13=0,1,$M$13),1),IF($D$4="Forint",0,2))</f>
        <v>0</v>
      </c>
      <c r="AX891" s="13"/>
      <c r="AY891" s="13"/>
      <c r="AZ891" s="13">
        <f>ROUNDUP(IF(SUM($AX891:$AY891)=0,0,IF(IF(ISBLANK($AY891),$AX891,$AY891)*Paraméterek!$J$112&lt;IF($D$4="Forint",Paraméterek!$J$113,Paraméterek!$K$113),IF($D$4="Forint",Paraméterek!$J$113,Paraméterek!$K$113),IF(IF(ISBLANK($AY891),$AX891,$AY891)*Paraméterek!$J$112&gt;IF($D$4="Forint",Paraméterek!$J$114,Paraméterek!$K$114),IF($D$4="Forint",Paraméterek!$J$114,Paraméterek!$K$114),IF(ISBLANK($AY891),$AX891,$AY891)*Paraméterek!$J$112))),IF($D$4="Forint",0,2))</f>
        <v>0</v>
      </c>
      <c r="BA891" s="13">
        <f ca="1">$AT891+$AV891-$AW891-IF(ROUNDDOWN(IF(ISBLANK($AY891),$AX891,$AY891),IF($D$4="Forint",0,2))&gt;$AT891+$AV891-$AW891-IF($D$4="Forint",Paraméterek!$J$114,Paraméterek!$K$114),0,ROUNDDOWN(IF(ISBLANK($AY891),$AX891,$AY891),IF($D$4="Forint",0,2))-$AZ891)</f>
        <v>0</v>
      </c>
      <c r="BB891" s="13">
        <f t="shared" ca="1" si="297"/>
        <v>0</v>
      </c>
      <c r="BD891" s="32">
        <v>872</v>
      </c>
      <c r="BE891" s="32">
        <v>73</v>
      </c>
      <c r="BF891" s="32">
        <v>8</v>
      </c>
      <c r="BG891" s="34">
        <f t="shared" ca="1" si="306"/>
        <v>2092</v>
      </c>
      <c r="BH891" s="32" t="str">
        <f ca="1">IF(MOD(MONTH($D$14)+$BD891-1,12)=Paraméterek!$C$288,"Igen","")</f>
        <v/>
      </c>
      <c r="BI891" s="13">
        <f ca="1">IF($BH891="Igen",MIN(ROUNDDOWN((SUMIF($BG$20:$BG$1027,$BG891-1,$K$20:$K$1027)-SUMIF($BG$20:$BG$1027,$BG891-1,$I$20:$I$1027))*Paraméterek!$C$289,IF($D$4="Forint",0,2)),IF($D$4="Forint",Paraméterek!$C$285,Paraméterek!$D$285)),0)</f>
        <v>0</v>
      </c>
      <c r="BJ891" s="13">
        <f t="shared" ca="1" si="298"/>
        <v>0</v>
      </c>
      <c r="BK891" s="13">
        <f t="shared" ca="1" si="307"/>
        <v>0</v>
      </c>
      <c r="BL891" s="33"/>
      <c r="BM891" s="13">
        <f t="shared" ca="1" si="299"/>
        <v>0</v>
      </c>
      <c r="BN891" s="13">
        <f ca="1">ROUNDUP(($BK891+$BM891)*VLOOKUP($BE891,Paraméterek!$P$38:$Q$38,2)/12*IF($D892="Nem",IF($M$13=0,1,$M$13),1),IF($D$4="Forint",0,2))</f>
        <v>0</v>
      </c>
      <c r="BO891" s="13">
        <f t="shared" ca="1" si="300"/>
        <v>0</v>
      </c>
      <c r="BP891" s="13">
        <f ca="1">IF($D892="Nem",$BO891,$BO891-ROUNDUP(SUM($BI$20:$BI891)*120%,IF($D$4="Forint",0,2)))</f>
        <v>0</v>
      </c>
    </row>
    <row r="892" spans="1:68" x14ac:dyDescent="0.2">
      <c r="A892" s="32">
        <v>873</v>
      </c>
      <c r="B892" s="32">
        <v>73</v>
      </c>
      <c r="C892" s="32">
        <v>9</v>
      </c>
      <c r="D892" s="32" t="str">
        <f t="shared" ca="1" si="286"/>
        <v>Nem</v>
      </c>
      <c r="E892" s="13">
        <f t="shared" ca="1" si="287"/>
        <v>0</v>
      </c>
      <c r="F892" s="13"/>
      <c r="G892" s="13"/>
      <c r="H892" s="13"/>
      <c r="I892" s="13">
        <f t="shared" ca="1" si="288"/>
        <v>0</v>
      </c>
      <c r="J892" s="13">
        <f t="shared" ca="1" si="289"/>
        <v>0</v>
      </c>
      <c r="K892" s="13">
        <f t="shared" ca="1" si="290"/>
        <v>0</v>
      </c>
      <c r="L892" s="13" t="e">
        <f ca="1">ROUNDUP(IF($D$2="Egyszeri",$E892,IF($D$2="Havi",SUM($E$20:$E$31),IF(MOD($C892,$M$1)-1=0,SUM($E$20:$E$31),0))/12*$M$1)*VLOOKUP($B892,Paraméterek!$I$28:$P$31,IF($D$2="Egyszeri",8,HLOOKUP(ROUNDUP($M$11+$M$13,0),Paraméterek!$J$26:$O$27,2))),IF($D$4="Forint",0,2))</f>
        <v>#N/A</v>
      </c>
      <c r="M892" s="13">
        <f t="shared" ca="1" si="291"/>
        <v>0</v>
      </c>
      <c r="N892" s="13">
        <f t="shared" ca="1" si="301"/>
        <v>0</v>
      </c>
      <c r="O892" s="13">
        <f ca="1">IF($D892="Igen",IF($W891&gt;=IF($D$4="Forint",Paraméterek!$J$121,Paraméterek!$K$121),0,IF($D$4="Forint",Paraméterek!$J$121,Paraméterek!$K$121)-$W891),0)</f>
        <v>0</v>
      </c>
      <c r="P892" s="13" t="e">
        <f ca="1">ROUNDUP($O892*VLOOKUP($M$4+$B892-1,Paraméterek!$H$58:$I$105,2,0)/Paraméterek!$I$56,IF($D$4="Forint",0,2))</f>
        <v>#N/A</v>
      </c>
      <c r="Q892" s="13">
        <f t="shared" ca="1" si="292"/>
        <v>0</v>
      </c>
      <c r="R892" s="33"/>
      <c r="S892" s="13" t="e">
        <f t="shared" ca="1" si="293"/>
        <v>#N/A</v>
      </c>
      <c r="T892" s="13" t="e">
        <f ca="1">ROUNDUP(($N892-$P892-$Q892+$S892)*VLOOKUP($B892,Paraméterek!$I$38:$K$39,IF($D$2="Egyszeri",3,2))/12*IF($D893="Nem",IF($M$13=0,1,$M$13),1),IF($D$4="Forint",0,2))</f>
        <v>#N/A</v>
      </c>
      <c r="U892" s="13"/>
      <c r="V892" s="13"/>
      <c r="W892" s="13" t="e">
        <f ca="1">$N892-$P892-$Q892+$S892-$T892-IF(ROUNDUP(IF(ISBLANK($V892),$U892*0,$V892)/IF($D$2="Egyszeri",VLOOKUP($B892+IF($C892=12,1,0),Paraméterek!$V$257:$W$262,2),IF($B892=1,1,VLOOKUP($B892+IF($C892=12,1,0),Paraméterek!$I$258:$T$278,HLOOKUP($M$11+1,Paraméterek!$J$256:$T$257,2)))),IF($D$4="Forint",0,2))&gt;$N892-$P892-$Q892+$S892-$T892-IF($D$4="Forint",Paraméterek!$C$216,Paraméterek!$D$216),0,ROUNDUP(IF(ISBLANK($V892),$U892*0,$V892)/IF($D$2="Egyszeri",VLOOKUP($B892+IF($C892=12,1,0),Paraméterek!$V$257:$W$262,2),IF($B892=1,1,VLOOKUP($B892+IF($C892=12,1,0),Paraméterek!$I$258:$T$278,HLOOKUP($M$11+1,Paraméterek!$J$256:$T$257,2)))),IF($D$4="Forint",0,2)))</f>
        <v>#N/A</v>
      </c>
      <c r="X892" s="13" t="e">
        <f ca="1">ROUNDDOWN($W892*IF($D$2="Egyszeri",VLOOKUP($B892+IF($C892=12,1,0),Paraméterek!$V$257:$W$262,2),VLOOKUP($B892+IF($C892=12,1,0),Paraméterek!$I$258:$T$278,HLOOKUP($M$11+1,Paraméterek!$I$256:$T$257,2))),IF($D$4="Forint",0,2))</f>
        <v>#N/A</v>
      </c>
      <c r="Z892" s="32">
        <v>873</v>
      </c>
      <c r="AA892" s="32">
        <v>73</v>
      </c>
      <c r="AB892" s="32">
        <v>9</v>
      </c>
      <c r="AC892" s="13">
        <f t="shared" ca="1" si="302"/>
        <v>0</v>
      </c>
      <c r="AD892" s="33"/>
      <c r="AE892" s="13">
        <f t="shared" ca="1" si="294"/>
        <v>0</v>
      </c>
      <c r="AF892" s="13">
        <f ca="1">ROUNDUP(($AC892+$AE892)*VLOOKUP($AA892,Paraméterek!$P$38:$Q$38,2)/12*IF($D893="Nem",IF($M$13=0,1,$M$13),1),IF($D$4="Forint",0,2))</f>
        <v>0</v>
      </c>
      <c r="AG892" s="13">
        <f ca="1">IF($D$2="Egyszeri",IF($D$7&gt;=IF($D$4="Forint",Paraméterek!$P$223,Paraméterek!$P$224),$D$7-IF($D$4="Forint",Paraméterek!$P$223,Paraméterek!$P$224),0),MIN(IF($AB892=12,AVERAGEIF($E$20:$E892,"&gt;0",$E$20:$E892)*12,0),SUM($E$20:$E$31)))</f>
        <v>0</v>
      </c>
      <c r="AH892" s="13">
        <f>IF($AA892=10,$AG892*IF($AB892=12,IF($AG892&lt;IF($D$4="Forint",Paraméterek!$L$223,Paraméterek!$L$224),0,VLOOKUP($AA892,Paraméterek!$K$226:$M$228,IF($AG892&lt;IF($D$4="Forint",Paraméterek!$M$223,Paraméterek!$M$224),2,3))),0),0)</f>
        <v>0</v>
      </c>
      <c r="AI892" s="13">
        <f ca="1">IF(AND($AA892=$M$11+1,$AB892=$M$12+1),SUMIF($AA$20:$AA$1027,$AA892,$AG$20:$AG$1027)*IF(SUMIF($AA$20:$AA$1027,$AA892,$AG$20:$AG$1027)&lt;IF($D$4="Forint",Paraméterek!$L$223,Paraméterek!$L$224),0,VLOOKUP($AA892,Paraméterek!$K$230:$M$250,IF(SUMIF($AA$20:$AA$1027,$AA892,$AG$20:$AG$1027)&lt;IF($D$4="Forint",Paraméterek!$M$223,Paraméterek!$M$224),2,3))),0)</f>
        <v>0</v>
      </c>
      <c r="AJ892" s="13">
        <f ca="1">IF(AND($AA892&gt;=5,MOD($AA892,5)=0),IF($AB892=12,VLOOKUP($AA892,Paraméterek!$O$225:$P$240,2),0),IF(OR($AA892=3,$AA892=4),IF($AB892=12,VLOOKUP($AA892,Paraméterek!$O$225:$P$240,2,0),0),0))*$AG892</f>
        <v>0</v>
      </c>
      <c r="AK892" s="13">
        <f t="shared" ca="1" si="295"/>
        <v>0</v>
      </c>
      <c r="AL892" s="13">
        <f t="shared" ca="1" si="303"/>
        <v>0</v>
      </c>
      <c r="AM892" s="13">
        <f t="shared" ca="1" si="304"/>
        <v>0</v>
      </c>
      <c r="AO892" s="32">
        <v>873</v>
      </c>
      <c r="AP892" s="32">
        <v>73</v>
      </c>
      <c r="AQ892" s="32">
        <v>9</v>
      </c>
      <c r="AR892" s="13"/>
      <c r="AS892" s="32"/>
      <c r="AT892" s="13">
        <f t="shared" ca="1" si="305"/>
        <v>0</v>
      </c>
      <c r="AU892" s="33"/>
      <c r="AV892" s="13">
        <f t="shared" ca="1" si="296"/>
        <v>0</v>
      </c>
      <c r="AW892" s="13">
        <f ca="1">ROUNDUP(($AT892+$AV892)*VLOOKUP($AP892,Paraméterek!$P$38:$Q$38,2)/12*IF($D893="Nem",IF($M$13=0,1,$M$13),1),IF($D$4="Forint",0,2))</f>
        <v>0</v>
      </c>
      <c r="AX892" s="13"/>
      <c r="AY892" s="13"/>
      <c r="AZ892" s="13">
        <f>ROUNDUP(IF(SUM($AX892:$AY892)=0,0,IF(IF(ISBLANK($AY892),$AX892,$AY892)*Paraméterek!$J$112&lt;IF($D$4="Forint",Paraméterek!$J$113,Paraméterek!$K$113),IF($D$4="Forint",Paraméterek!$J$113,Paraméterek!$K$113),IF(IF(ISBLANK($AY892),$AX892,$AY892)*Paraméterek!$J$112&gt;IF($D$4="Forint",Paraméterek!$J$114,Paraméterek!$K$114),IF($D$4="Forint",Paraméterek!$J$114,Paraméterek!$K$114),IF(ISBLANK($AY892),$AX892,$AY892)*Paraméterek!$J$112))),IF($D$4="Forint",0,2))</f>
        <v>0</v>
      </c>
      <c r="BA892" s="13">
        <f ca="1">$AT892+$AV892-$AW892-IF(ROUNDDOWN(IF(ISBLANK($AY892),$AX892,$AY892),IF($D$4="Forint",0,2))&gt;$AT892+$AV892-$AW892-IF($D$4="Forint",Paraméterek!$J$114,Paraméterek!$K$114),0,ROUNDDOWN(IF(ISBLANK($AY892),$AX892,$AY892),IF($D$4="Forint",0,2))-$AZ892)</f>
        <v>0</v>
      </c>
      <c r="BB892" s="13">
        <f t="shared" ca="1" si="297"/>
        <v>0</v>
      </c>
      <c r="BD892" s="32">
        <v>873</v>
      </c>
      <c r="BE892" s="32">
        <v>73</v>
      </c>
      <c r="BF892" s="32">
        <v>9</v>
      </c>
      <c r="BG892" s="34">
        <f t="shared" ca="1" si="306"/>
        <v>2092</v>
      </c>
      <c r="BH892" s="32" t="str">
        <f ca="1">IF(MOD(MONTH($D$14)+$BD892-1,12)=Paraméterek!$C$288,"Igen","")</f>
        <v/>
      </c>
      <c r="BI892" s="13">
        <f ca="1">IF($BH892="Igen",MIN(ROUNDDOWN((SUMIF($BG$20:$BG$1027,$BG892-1,$K$20:$K$1027)-SUMIF($BG$20:$BG$1027,$BG892-1,$I$20:$I$1027))*Paraméterek!$C$289,IF($D$4="Forint",0,2)),IF($D$4="Forint",Paraméterek!$C$285,Paraméterek!$D$285)),0)</f>
        <v>0</v>
      </c>
      <c r="BJ892" s="13">
        <f t="shared" ca="1" si="298"/>
        <v>0</v>
      </c>
      <c r="BK892" s="13">
        <f t="shared" ca="1" si="307"/>
        <v>0</v>
      </c>
      <c r="BL892" s="33"/>
      <c r="BM892" s="13">
        <f t="shared" ca="1" si="299"/>
        <v>0</v>
      </c>
      <c r="BN892" s="13">
        <f ca="1">ROUNDUP(($BK892+$BM892)*VLOOKUP($BE892,Paraméterek!$P$38:$Q$38,2)/12*IF($D893="Nem",IF($M$13=0,1,$M$13),1),IF($D$4="Forint",0,2))</f>
        <v>0</v>
      </c>
      <c r="BO892" s="13">
        <f t="shared" ca="1" si="300"/>
        <v>0</v>
      </c>
      <c r="BP892" s="13">
        <f ca="1">IF($D893="Nem",$BO892,$BO892-ROUNDUP(SUM($BI$20:$BI892)*120%,IF($D$4="Forint",0,2)))</f>
        <v>0</v>
      </c>
    </row>
    <row r="893" spans="1:68" x14ac:dyDescent="0.2">
      <c r="A893" s="32">
        <v>874</v>
      </c>
      <c r="B893" s="32">
        <v>73</v>
      </c>
      <c r="C893" s="32">
        <v>10</v>
      </c>
      <c r="D893" s="32" t="str">
        <f t="shared" ca="1" si="286"/>
        <v>Nem</v>
      </c>
      <c r="E893" s="13">
        <f t="shared" ca="1" si="287"/>
        <v>0</v>
      </c>
      <c r="F893" s="13"/>
      <c r="G893" s="13"/>
      <c r="H893" s="13"/>
      <c r="I893" s="13">
        <f t="shared" ca="1" si="288"/>
        <v>0</v>
      </c>
      <c r="J893" s="13">
        <f t="shared" ca="1" si="289"/>
        <v>0</v>
      </c>
      <c r="K893" s="13">
        <f t="shared" ca="1" si="290"/>
        <v>0</v>
      </c>
      <c r="L893" s="13" t="e">
        <f ca="1">ROUNDUP(IF($D$2="Egyszeri",$E893,IF($D$2="Havi",SUM($E$20:$E$31),IF(MOD($C893,$M$1)-1=0,SUM($E$20:$E$31),0))/12*$M$1)*VLOOKUP($B893,Paraméterek!$I$28:$P$31,IF($D$2="Egyszeri",8,HLOOKUP(ROUNDUP($M$11+$M$13,0),Paraméterek!$J$26:$O$27,2))),IF($D$4="Forint",0,2))</f>
        <v>#N/A</v>
      </c>
      <c r="M893" s="13">
        <f t="shared" ca="1" si="291"/>
        <v>0</v>
      </c>
      <c r="N893" s="13">
        <f t="shared" ca="1" si="301"/>
        <v>0</v>
      </c>
      <c r="O893" s="13">
        <f ca="1">IF($D893="Igen",IF($W892&gt;=IF($D$4="Forint",Paraméterek!$J$121,Paraméterek!$K$121),0,IF($D$4="Forint",Paraméterek!$J$121,Paraméterek!$K$121)-$W892),0)</f>
        <v>0</v>
      </c>
      <c r="P893" s="13" t="e">
        <f ca="1">ROUNDUP($O893*VLOOKUP($M$4+$B893-1,Paraméterek!$H$58:$I$105,2,0)/Paraméterek!$I$56,IF($D$4="Forint",0,2))</f>
        <v>#N/A</v>
      </c>
      <c r="Q893" s="13">
        <f t="shared" ca="1" si="292"/>
        <v>0</v>
      </c>
      <c r="R893" s="33"/>
      <c r="S893" s="13" t="e">
        <f t="shared" ca="1" si="293"/>
        <v>#N/A</v>
      </c>
      <c r="T893" s="13" t="e">
        <f ca="1">ROUNDUP(($N893-$P893-$Q893+$S893)*VLOOKUP($B893,Paraméterek!$I$38:$K$39,IF($D$2="Egyszeri",3,2))/12*IF($D894="Nem",IF($M$13=0,1,$M$13),1),IF($D$4="Forint",0,2))</f>
        <v>#N/A</v>
      </c>
      <c r="U893" s="13"/>
      <c r="V893" s="13"/>
      <c r="W893" s="13" t="e">
        <f ca="1">$N893-$P893-$Q893+$S893-$T893-IF(ROUNDUP(IF(ISBLANK($V893),$U893*0,$V893)/IF($D$2="Egyszeri",VLOOKUP($B893+IF($C893=12,1,0),Paraméterek!$V$257:$W$262,2),IF($B893=1,1,VLOOKUP($B893+IF($C893=12,1,0),Paraméterek!$I$258:$T$278,HLOOKUP($M$11+1,Paraméterek!$J$256:$T$257,2)))),IF($D$4="Forint",0,2))&gt;$N893-$P893-$Q893+$S893-$T893-IF($D$4="Forint",Paraméterek!$C$216,Paraméterek!$D$216),0,ROUNDUP(IF(ISBLANK($V893),$U893*0,$V893)/IF($D$2="Egyszeri",VLOOKUP($B893+IF($C893=12,1,0),Paraméterek!$V$257:$W$262,2),IF($B893=1,1,VLOOKUP($B893+IF($C893=12,1,0),Paraméterek!$I$258:$T$278,HLOOKUP($M$11+1,Paraméterek!$J$256:$T$257,2)))),IF($D$4="Forint",0,2)))</f>
        <v>#N/A</v>
      </c>
      <c r="X893" s="13" t="e">
        <f ca="1">ROUNDDOWN($W893*IF($D$2="Egyszeri",VLOOKUP($B893+IF($C893=12,1,0),Paraméterek!$V$257:$W$262,2),VLOOKUP($B893+IF($C893=12,1,0),Paraméterek!$I$258:$T$278,HLOOKUP($M$11+1,Paraméterek!$I$256:$T$257,2))),IF($D$4="Forint",0,2))</f>
        <v>#N/A</v>
      </c>
      <c r="Z893" s="32">
        <v>874</v>
      </c>
      <c r="AA893" s="32">
        <v>73</v>
      </c>
      <c r="AB893" s="32">
        <v>10</v>
      </c>
      <c r="AC893" s="13">
        <f t="shared" ca="1" si="302"/>
        <v>0</v>
      </c>
      <c r="AD893" s="33"/>
      <c r="AE893" s="13">
        <f t="shared" ca="1" si="294"/>
        <v>0</v>
      </c>
      <c r="AF893" s="13">
        <f ca="1">ROUNDUP(($AC893+$AE893)*VLOOKUP($AA893,Paraméterek!$P$38:$Q$38,2)/12*IF($D894="Nem",IF($M$13=0,1,$M$13),1),IF($D$4="Forint",0,2))</f>
        <v>0</v>
      </c>
      <c r="AG893" s="13">
        <f ca="1">IF($D$2="Egyszeri",IF($D$7&gt;=IF($D$4="Forint",Paraméterek!$P$223,Paraméterek!$P$224),$D$7-IF($D$4="Forint",Paraméterek!$P$223,Paraméterek!$P$224),0),MIN(IF($AB893=12,AVERAGEIF($E$20:$E893,"&gt;0",$E$20:$E893)*12,0),SUM($E$20:$E$31)))</f>
        <v>0</v>
      </c>
      <c r="AH893" s="13">
        <f>IF($AA893=10,$AG893*IF($AB893=12,IF($AG893&lt;IF($D$4="Forint",Paraméterek!$L$223,Paraméterek!$L$224),0,VLOOKUP($AA893,Paraméterek!$K$226:$M$228,IF($AG893&lt;IF($D$4="Forint",Paraméterek!$M$223,Paraméterek!$M$224),2,3))),0),0)</f>
        <v>0</v>
      </c>
      <c r="AI893" s="13">
        <f ca="1">IF(AND($AA893=$M$11+1,$AB893=$M$12+1),SUMIF($AA$20:$AA$1027,$AA893,$AG$20:$AG$1027)*IF(SUMIF($AA$20:$AA$1027,$AA893,$AG$20:$AG$1027)&lt;IF($D$4="Forint",Paraméterek!$L$223,Paraméterek!$L$224),0,VLOOKUP($AA893,Paraméterek!$K$230:$M$250,IF(SUMIF($AA$20:$AA$1027,$AA893,$AG$20:$AG$1027)&lt;IF($D$4="Forint",Paraméterek!$M$223,Paraméterek!$M$224),2,3))),0)</f>
        <v>0</v>
      </c>
      <c r="AJ893" s="13">
        <f ca="1">IF(AND($AA893&gt;=5,MOD($AA893,5)=0),IF($AB893=12,VLOOKUP($AA893,Paraméterek!$O$225:$P$240,2),0),IF(OR($AA893=3,$AA893=4),IF($AB893=12,VLOOKUP($AA893,Paraméterek!$O$225:$P$240,2,0),0),0))*$AG893</f>
        <v>0</v>
      </c>
      <c r="AK893" s="13">
        <f t="shared" ca="1" si="295"/>
        <v>0</v>
      </c>
      <c r="AL893" s="13">
        <f t="shared" ca="1" si="303"/>
        <v>0</v>
      </c>
      <c r="AM893" s="13">
        <f t="shared" ca="1" si="304"/>
        <v>0</v>
      </c>
      <c r="AO893" s="32">
        <v>874</v>
      </c>
      <c r="AP893" s="32">
        <v>73</v>
      </c>
      <c r="AQ893" s="32">
        <v>10</v>
      </c>
      <c r="AR893" s="13"/>
      <c r="AS893" s="32"/>
      <c r="AT893" s="13">
        <f t="shared" ca="1" si="305"/>
        <v>0</v>
      </c>
      <c r="AU893" s="33"/>
      <c r="AV893" s="13">
        <f t="shared" ca="1" si="296"/>
        <v>0</v>
      </c>
      <c r="AW893" s="13">
        <f ca="1">ROUNDUP(($AT893+$AV893)*VLOOKUP($AP893,Paraméterek!$P$38:$Q$38,2)/12*IF($D894="Nem",IF($M$13=0,1,$M$13),1),IF($D$4="Forint",0,2))</f>
        <v>0</v>
      </c>
      <c r="AX893" s="13"/>
      <c r="AY893" s="13"/>
      <c r="AZ893" s="13">
        <f>ROUNDUP(IF(SUM($AX893:$AY893)=0,0,IF(IF(ISBLANK($AY893),$AX893,$AY893)*Paraméterek!$J$112&lt;IF($D$4="Forint",Paraméterek!$J$113,Paraméterek!$K$113),IF($D$4="Forint",Paraméterek!$J$113,Paraméterek!$K$113),IF(IF(ISBLANK($AY893),$AX893,$AY893)*Paraméterek!$J$112&gt;IF($D$4="Forint",Paraméterek!$J$114,Paraméterek!$K$114),IF($D$4="Forint",Paraméterek!$J$114,Paraméterek!$K$114),IF(ISBLANK($AY893),$AX893,$AY893)*Paraméterek!$J$112))),IF($D$4="Forint",0,2))</f>
        <v>0</v>
      </c>
      <c r="BA893" s="13">
        <f ca="1">$AT893+$AV893-$AW893-IF(ROUNDDOWN(IF(ISBLANK($AY893),$AX893,$AY893),IF($D$4="Forint",0,2))&gt;$AT893+$AV893-$AW893-IF($D$4="Forint",Paraméterek!$J$114,Paraméterek!$K$114),0,ROUNDDOWN(IF(ISBLANK($AY893),$AX893,$AY893),IF($D$4="Forint",0,2))-$AZ893)</f>
        <v>0</v>
      </c>
      <c r="BB893" s="13">
        <f t="shared" ca="1" si="297"/>
        <v>0</v>
      </c>
      <c r="BD893" s="32">
        <v>874</v>
      </c>
      <c r="BE893" s="32">
        <v>73</v>
      </c>
      <c r="BF893" s="32">
        <v>10</v>
      </c>
      <c r="BG893" s="34">
        <f t="shared" ca="1" si="306"/>
        <v>2092</v>
      </c>
      <c r="BH893" s="32" t="str">
        <f ca="1">IF(MOD(MONTH($D$14)+$BD893-1,12)=Paraméterek!$C$288,"Igen","")</f>
        <v/>
      </c>
      <c r="BI893" s="13">
        <f ca="1">IF($BH893="Igen",MIN(ROUNDDOWN((SUMIF($BG$20:$BG$1027,$BG893-1,$K$20:$K$1027)-SUMIF($BG$20:$BG$1027,$BG893-1,$I$20:$I$1027))*Paraméterek!$C$289,IF($D$4="Forint",0,2)),IF($D$4="Forint",Paraméterek!$C$285,Paraméterek!$D$285)),0)</f>
        <v>0</v>
      </c>
      <c r="BJ893" s="13">
        <f t="shared" ca="1" si="298"/>
        <v>0</v>
      </c>
      <c r="BK893" s="13">
        <f t="shared" ca="1" si="307"/>
        <v>0</v>
      </c>
      <c r="BL893" s="33"/>
      <c r="BM893" s="13">
        <f t="shared" ca="1" si="299"/>
        <v>0</v>
      </c>
      <c r="BN893" s="13">
        <f ca="1">ROUNDUP(($BK893+$BM893)*VLOOKUP($BE893,Paraméterek!$P$38:$Q$38,2)/12*IF($D894="Nem",IF($M$13=0,1,$M$13),1),IF($D$4="Forint",0,2))</f>
        <v>0</v>
      </c>
      <c r="BO893" s="13">
        <f t="shared" ca="1" si="300"/>
        <v>0</v>
      </c>
      <c r="BP893" s="13">
        <f ca="1">IF($D894="Nem",$BO893,$BO893-ROUNDUP(SUM($BI$20:$BI893)*120%,IF($D$4="Forint",0,2)))</f>
        <v>0</v>
      </c>
    </row>
    <row r="894" spans="1:68" x14ac:dyDescent="0.2">
      <c r="A894" s="32">
        <v>875</v>
      </c>
      <c r="B894" s="32">
        <v>73</v>
      </c>
      <c r="C894" s="32">
        <v>11</v>
      </c>
      <c r="D894" s="32" t="str">
        <f t="shared" ca="1" si="286"/>
        <v>Nem</v>
      </c>
      <c r="E894" s="13">
        <f t="shared" ca="1" si="287"/>
        <v>0</v>
      </c>
      <c r="F894" s="13"/>
      <c r="G894" s="13"/>
      <c r="H894" s="13"/>
      <c r="I894" s="13">
        <f t="shared" ca="1" si="288"/>
        <v>0</v>
      </c>
      <c r="J894" s="13">
        <f t="shared" ca="1" si="289"/>
        <v>0</v>
      </c>
      <c r="K894" s="13">
        <f t="shared" ca="1" si="290"/>
        <v>0</v>
      </c>
      <c r="L894" s="13" t="e">
        <f ca="1">ROUNDUP(IF($D$2="Egyszeri",$E894,IF($D$2="Havi",SUM($E$20:$E$31),IF(MOD($C894,$M$1)-1=0,SUM($E$20:$E$31),0))/12*$M$1)*VLOOKUP($B894,Paraméterek!$I$28:$P$31,IF($D$2="Egyszeri",8,HLOOKUP(ROUNDUP($M$11+$M$13,0),Paraméterek!$J$26:$O$27,2))),IF($D$4="Forint",0,2))</f>
        <v>#N/A</v>
      </c>
      <c r="M894" s="13">
        <f t="shared" ca="1" si="291"/>
        <v>0</v>
      </c>
      <c r="N894" s="13">
        <f t="shared" ca="1" si="301"/>
        <v>0</v>
      </c>
      <c r="O894" s="13">
        <f ca="1">IF($D894="Igen",IF($W893&gt;=IF($D$4="Forint",Paraméterek!$J$121,Paraméterek!$K$121),0,IF($D$4="Forint",Paraméterek!$J$121,Paraméterek!$K$121)-$W893),0)</f>
        <v>0</v>
      </c>
      <c r="P894" s="13" t="e">
        <f ca="1">ROUNDUP($O894*VLOOKUP($M$4+$B894-1,Paraméterek!$H$58:$I$105,2,0)/Paraméterek!$I$56,IF($D$4="Forint",0,2))</f>
        <v>#N/A</v>
      </c>
      <c r="Q894" s="13">
        <f t="shared" ca="1" si="292"/>
        <v>0</v>
      </c>
      <c r="R894" s="33"/>
      <c r="S894" s="13" t="e">
        <f t="shared" ca="1" si="293"/>
        <v>#N/A</v>
      </c>
      <c r="T894" s="13" t="e">
        <f ca="1">ROUNDUP(($N894-$P894-$Q894+$S894)*VLOOKUP($B894,Paraméterek!$I$38:$K$39,IF($D$2="Egyszeri",3,2))/12*IF($D895="Nem",IF($M$13=0,1,$M$13),1),IF($D$4="Forint",0,2))</f>
        <v>#N/A</v>
      </c>
      <c r="U894" s="13"/>
      <c r="V894" s="13"/>
      <c r="W894" s="13" t="e">
        <f ca="1">$N894-$P894-$Q894+$S894-$T894-IF(ROUNDUP(IF(ISBLANK($V894),$U894*0,$V894)/IF($D$2="Egyszeri",VLOOKUP($B894+IF($C894=12,1,0),Paraméterek!$V$257:$W$262,2),IF($B894=1,1,VLOOKUP($B894+IF($C894=12,1,0),Paraméterek!$I$258:$T$278,HLOOKUP($M$11+1,Paraméterek!$J$256:$T$257,2)))),IF($D$4="Forint",0,2))&gt;$N894-$P894-$Q894+$S894-$T894-IF($D$4="Forint",Paraméterek!$C$216,Paraméterek!$D$216),0,ROUNDUP(IF(ISBLANK($V894),$U894*0,$V894)/IF($D$2="Egyszeri",VLOOKUP($B894+IF($C894=12,1,0),Paraméterek!$V$257:$W$262,2),IF($B894=1,1,VLOOKUP($B894+IF($C894=12,1,0),Paraméterek!$I$258:$T$278,HLOOKUP($M$11+1,Paraméterek!$J$256:$T$257,2)))),IF($D$4="Forint",0,2)))</f>
        <v>#N/A</v>
      </c>
      <c r="X894" s="13" t="e">
        <f ca="1">ROUNDDOWN($W894*IF($D$2="Egyszeri",VLOOKUP($B894+IF($C894=12,1,0),Paraméterek!$V$257:$W$262,2),VLOOKUP($B894+IF($C894=12,1,0),Paraméterek!$I$258:$T$278,HLOOKUP($M$11+1,Paraméterek!$I$256:$T$257,2))),IF($D$4="Forint",0,2))</f>
        <v>#N/A</v>
      </c>
      <c r="Z894" s="32">
        <v>875</v>
      </c>
      <c r="AA894" s="32">
        <v>73</v>
      </c>
      <c r="AB894" s="32">
        <v>11</v>
      </c>
      <c r="AC894" s="13">
        <f t="shared" ca="1" si="302"/>
        <v>0</v>
      </c>
      <c r="AD894" s="33"/>
      <c r="AE894" s="13">
        <f t="shared" ca="1" si="294"/>
        <v>0</v>
      </c>
      <c r="AF894" s="13">
        <f ca="1">ROUNDUP(($AC894+$AE894)*VLOOKUP($AA894,Paraméterek!$P$38:$Q$38,2)/12*IF($D895="Nem",IF($M$13=0,1,$M$13),1),IF($D$4="Forint",0,2))</f>
        <v>0</v>
      </c>
      <c r="AG894" s="13">
        <f ca="1">IF($D$2="Egyszeri",IF($D$7&gt;=IF($D$4="Forint",Paraméterek!$P$223,Paraméterek!$P$224),$D$7-IF($D$4="Forint",Paraméterek!$P$223,Paraméterek!$P$224),0),MIN(IF($AB894=12,AVERAGEIF($E$20:$E894,"&gt;0",$E$20:$E894)*12,0),SUM($E$20:$E$31)))</f>
        <v>0</v>
      </c>
      <c r="AH894" s="13">
        <f>IF($AA894=10,$AG894*IF($AB894=12,IF($AG894&lt;IF($D$4="Forint",Paraméterek!$L$223,Paraméterek!$L$224),0,VLOOKUP($AA894,Paraméterek!$K$226:$M$228,IF($AG894&lt;IF($D$4="Forint",Paraméterek!$M$223,Paraméterek!$M$224),2,3))),0),0)</f>
        <v>0</v>
      </c>
      <c r="AI894" s="13">
        <f ca="1">IF(AND($AA894=$M$11+1,$AB894=$M$12+1),SUMIF($AA$20:$AA$1027,$AA894,$AG$20:$AG$1027)*IF(SUMIF($AA$20:$AA$1027,$AA894,$AG$20:$AG$1027)&lt;IF($D$4="Forint",Paraméterek!$L$223,Paraméterek!$L$224),0,VLOOKUP($AA894,Paraméterek!$K$230:$M$250,IF(SUMIF($AA$20:$AA$1027,$AA894,$AG$20:$AG$1027)&lt;IF($D$4="Forint",Paraméterek!$M$223,Paraméterek!$M$224),2,3))),0)</f>
        <v>0</v>
      </c>
      <c r="AJ894" s="13">
        <f ca="1">IF(AND($AA894&gt;=5,MOD($AA894,5)=0),IF($AB894=12,VLOOKUP($AA894,Paraméterek!$O$225:$P$240,2),0),IF(OR($AA894=3,$AA894=4),IF($AB894=12,VLOOKUP($AA894,Paraméterek!$O$225:$P$240,2,0),0),0))*$AG894</f>
        <v>0</v>
      </c>
      <c r="AK894" s="13">
        <f t="shared" ca="1" si="295"/>
        <v>0</v>
      </c>
      <c r="AL894" s="13">
        <f t="shared" ca="1" si="303"/>
        <v>0</v>
      </c>
      <c r="AM894" s="13">
        <f t="shared" ca="1" si="304"/>
        <v>0</v>
      </c>
      <c r="AO894" s="32">
        <v>875</v>
      </c>
      <c r="AP894" s="32">
        <v>73</v>
      </c>
      <c r="AQ894" s="32">
        <v>11</v>
      </c>
      <c r="AR894" s="13"/>
      <c r="AS894" s="32"/>
      <c r="AT894" s="13">
        <f t="shared" ca="1" si="305"/>
        <v>0</v>
      </c>
      <c r="AU894" s="33"/>
      <c r="AV894" s="13">
        <f t="shared" ca="1" si="296"/>
        <v>0</v>
      </c>
      <c r="AW894" s="13">
        <f ca="1">ROUNDUP(($AT894+$AV894)*VLOOKUP($AP894,Paraméterek!$P$38:$Q$38,2)/12*IF($D895="Nem",IF($M$13=0,1,$M$13),1),IF($D$4="Forint",0,2))</f>
        <v>0</v>
      </c>
      <c r="AX894" s="13"/>
      <c r="AY894" s="13"/>
      <c r="AZ894" s="13">
        <f>ROUNDUP(IF(SUM($AX894:$AY894)=0,0,IF(IF(ISBLANK($AY894),$AX894,$AY894)*Paraméterek!$J$112&lt;IF($D$4="Forint",Paraméterek!$J$113,Paraméterek!$K$113),IF($D$4="Forint",Paraméterek!$J$113,Paraméterek!$K$113),IF(IF(ISBLANK($AY894),$AX894,$AY894)*Paraméterek!$J$112&gt;IF($D$4="Forint",Paraméterek!$J$114,Paraméterek!$K$114),IF($D$4="Forint",Paraméterek!$J$114,Paraméterek!$K$114),IF(ISBLANK($AY894),$AX894,$AY894)*Paraméterek!$J$112))),IF($D$4="Forint",0,2))</f>
        <v>0</v>
      </c>
      <c r="BA894" s="13">
        <f ca="1">$AT894+$AV894-$AW894-IF(ROUNDDOWN(IF(ISBLANK($AY894),$AX894,$AY894),IF($D$4="Forint",0,2))&gt;$AT894+$AV894-$AW894-IF($D$4="Forint",Paraméterek!$J$114,Paraméterek!$K$114),0,ROUNDDOWN(IF(ISBLANK($AY894),$AX894,$AY894),IF($D$4="Forint",0,2))-$AZ894)</f>
        <v>0</v>
      </c>
      <c r="BB894" s="13">
        <f t="shared" ca="1" si="297"/>
        <v>0</v>
      </c>
      <c r="BD894" s="32">
        <v>875</v>
      </c>
      <c r="BE894" s="32">
        <v>73</v>
      </c>
      <c r="BF894" s="32">
        <v>11</v>
      </c>
      <c r="BG894" s="34">
        <f t="shared" ca="1" si="306"/>
        <v>2092</v>
      </c>
      <c r="BH894" s="32" t="str">
        <f ca="1">IF(MOD(MONTH($D$14)+$BD894-1,12)=Paraméterek!$C$288,"Igen","")</f>
        <v/>
      </c>
      <c r="BI894" s="13">
        <f ca="1">IF($BH894="Igen",MIN(ROUNDDOWN((SUMIF($BG$20:$BG$1027,$BG894-1,$K$20:$K$1027)-SUMIF($BG$20:$BG$1027,$BG894-1,$I$20:$I$1027))*Paraméterek!$C$289,IF($D$4="Forint",0,2)),IF($D$4="Forint",Paraméterek!$C$285,Paraméterek!$D$285)),0)</f>
        <v>0</v>
      </c>
      <c r="BJ894" s="13">
        <f t="shared" ca="1" si="298"/>
        <v>0</v>
      </c>
      <c r="BK894" s="13">
        <f t="shared" ca="1" si="307"/>
        <v>0</v>
      </c>
      <c r="BL894" s="33"/>
      <c r="BM894" s="13">
        <f t="shared" ca="1" si="299"/>
        <v>0</v>
      </c>
      <c r="BN894" s="13">
        <f ca="1">ROUNDUP(($BK894+$BM894)*VLOOKUP($BE894,Paraméterek!$P$38:$Q$38,2)/12*IF($D895="Nem",IF($M$13=0,1,$M$13),1),IF($D$4="Forint",0,2))</f>
        <v>0</v>
      </c>
      <c r="BO894" s="13">
        <f t="shared" ca="1" si="300"/>
        <v>0</v>
      </c>
      <c r="BP894" s="13">
        <f ca="1">IF($D895="Nem",$BO894,$BO894-ROUNDUP(SUM($BI$20:$BI894)*120%,IF($D$4="Forint",0,2)))</f>
        <v>0</v>
      </c>
    </row>
    <row r="895" spans="1:68" x14ac:dyDescent="0.2">
      <c r="A895" s="32">
        <v>876</v>
      </c>
      <c r="B895" s="32">
        <v>73</v>
      </c>
      <c r="C895" s="32">
        <v>12</v>
      </c>
      <c r="D895" s="32" t="str">
        <f t="shared" ca="1" si="286"/>
        <v>Nem</v>
      </c>
      <c r="E895" s="13">
        <f t="shared" ca="1" si="287"/>
        <v>0</v>
      </c>
      <c r="F895" s="13"/>
      <c r="G895" s="13"/>
      <c r="H895" s="13"/>
      <c r="I895" s="13">
        <f t="shared" ca="1" si="288"/>
        <v>0</v>
      </c>
      <c r="J895" s="13">
        <f t="shared" ca="1" si="289"/>
        <v>0</v>
      </c>
      <c r="K895" s="13">
        <f t="shared" ca="1" si="290"/>
        <v>0</v>
      </c>
      <c r="L895" s="13" t="e">
        <f ca="1">ROUNDUP(IF($D$2="Egyszeri",$E895,IF($D$2="Havi",SUM($E$20:$E$31),IF(MOD($C895,$M$1)-1=0,SUM($E$20:$E$31),0))/12*$M$1)*VLOOKUP($B895,Paraméterek!$I$28:$P$31,IF($D$2="Egyszeri",8,HLOOKUP(ROUNDUP($M$11+$M$13,0),Paraméterek!$J$26:$O$27,2))),IF($D$4="Forint",0,2))</f>
        <v>#N/A</v>
      </c>
      <c r="M895" s="13">
        <f t="shared" ca="1" si="291"/>
        <v>0</v>
      </c>
      <c r="N895" s="13">
        <f t="shared" ca="1" si="301"/>
        <v>0</v>
      </c>
      <c r="O895" s="13">
        <f ca="1">IF($D895="Igen",IF($W894&gt;=IF($D$4="Forint",Paraméterek!$J$121,Paraméterek!$K$121),0,IF($D$4="Forint",Paraméterek!$J$121,Paraméterek!$K$121)-$W894),0)</f>
        <v>0</v>
      </c>
      <c r="P895" s="13" t="e">
        <f ca="1">ROUNDUP($O895*VLOOKUP($M$4+$B895-1,Paraméterek!$H$58:$I$105,2,0)/Paraméterek!$I$56,IF($D$4="Forint",0,2))</f>
        <v>#N/A</v>
      </c>
      <c r="Q895" s="13">
        <f t="shared" ca="1" si="292"/>
        <v>0</v>
      </c>
      <c r="R895" s="33"/>
      <c r="S895" s="13" t="e">
        <f t="shared" ca="1" si="293"/>
        <v>#N/A</v>
      </c>
      <c r="T895" s="13" t="e">
        <f ca="1">ROUNDUP(($N895-$P895-$Q895+$S895)*VLOOKUP($B895,Paraméterek!$I$38:$K$39,IF($D$2="Egyszeri",3,2))/12*IF($D896="Nem",IF($M$13=0,1,$M$13),1),IF($D$4="Forint",0,2))</f>
        <v>#N/A</v>
      </c>
      <c r="U895" s="13">
        <f>Tranzakciók!$F$104</f>
        <v>0</v>
      </c>
      <c r="V895" s="13"/>
      <c r="W895" s="13" t="e">
        <f ca="1">$N895-$P895-$Q895+$S895-$T895-IF(ROUNDUP(IF(ISBLANK($V895),$U895*0,$V895)/IF($D$2="Egyszeri",VLOOKUP($B895+IF($C895=12,1,0),Paraméterek!$V$257:$W$262,2),IF($B895=1,1,VLOOKUP($B895+IF($C895=12,1,0),Paraméterek!$I$258:$T$278,HLOOKUP($M$11+1,Paraméterek!$J$256:$T$257,2)))),IF($D$4="Forint",0,2))&gt;$N895-$P895-$Q895+$S895-$T895-IF($D$4="Forint",Paraméterek!$C$216,Paraméterek!$D$216),0,ROUNDUP(IF(ISBLANK($V895),$U895*0,$V895)/IF($D$2="Egyszeri",VLOOKUP($B895+IF($C895=12,1,0),Paraméterek!$V$257:$W$262,2),IF($B895=1,1,VLOOKUP($B895+IF($C895=12,1,0),Paraméterek!$I$258:$T$278,HLOOKUP($M$11+1,Paraméterek!$J$256:$T$257,2)))),IF($D$4="Forint",0,2)))</f>
        <v>#N/A</v>
      </c>
      <c r="X895" s="13" t="e">
        <f ca="1">ROUNDDOWN($W895*IF($D$2="Egyszeri",VLOOKUP($B895+IF($C895=12,1,0),Paraméterek!$V$257:$W$262,2),VLOOKUP($B895+IF($C895=12,1,0),Paraméterek!$I$258:$T$278,HLOOKUP($M$11+1,Paraméterek!$I$256:$T$257,2))),IF($D$4="Forint",0,2))</f>
        <v>#N/A</v>
      </c>
      <c r="Z895" s="32">
        <v>876</v>
      </c>
      <c r="AA895" s="32">
        <v>73</v>
      </c>
      <c r="AB895" s="32">
        <v>12</v>
      </c>
      <c r="AC895" s="13">
        <f t="shared" ca="1" si="302"/>
        <v>0</v>
      </c>
      <c r="AD895" s="33"/>
      <c r="AE895" s="13">
        <f t="shared" ca="1" si="294"/>
        <v>0</v>
      </c>
      <c r="AF895" s="13">
        <f ca="1">ROUNDUP(($AC895+$AE895)*VLOOKUP($AA895,Paraméterek!$P$38:$Q$38,2)/12*IF($D896="Nem",IF($M$13=0,1,$M$13),1),IF($D$4="Forint",0,2))</f>
        <v>0</v>
      </c>
      <c r="AG895" s="13" t="e">
        <f ca="1">IF($D$2="Egyszeri",IF($D$7&gt;=IF($D$4="Forint",Paraméterek!$P$223,Paraméterek!$P$224),$D$7-IF($D$4="Forint",Paraméterek!$P$223,Paraméterek!$P$224),0),MIN(IF($AB895=12,AVERAGEIF($E$20:$E895,"&gt;0",$E$20:$E895)*12,0),SUM($E$20:$E$31)))</f>
        <v>#DIV/0!</v>
      </c>
      <c r="AH895" s="13">
        <f>IF($AA895=10,$AG895*IF($AB895=12,IF($AG895&lt;IF($D$4="Forint",Paraméterek!$L$223,Paraméterek!$L$224),0,VLOOKUP($AA895,Paraméterek!$K$226:$M$228,IF($AG895&lt;IF($D$4="Forint",Paraméterek!$M$223,Paraméterek!$M$224),2,3))),0),0)</f>
        <v>0</v>
      </c>
      <c r="AI895" s="13">
        <f ca="1">IF(AND($AA895=$M$11+1,$AB895=$M$12+1),SUMIF($AA$20:$AA$1027,$AA895,$AG$20:$AG$1027)*IF(SUMIF($AA$20:$AA$1027,$AA895,$AG$20:$AG$1027)&lt;IF($D$4="Forint",Paraméterek!$L$223,Paraméterek!$L$224),0,VLOOKUP($AA895,Paraméterek!$K$230:$M$250,IF(SUMIF($AA$20:$AA$1027,$AA895,$AG$20:$AG$1027)&lt;IF($D$4="Forint",Paraméterek!$M$223,Paraméterek!$M$224),2,3))),0)</f>
        <v>0</v>
      </c>
      <c r="AJ895" s="13" t="e">
        <f ca="1">IF(AND($AA895&gt;=5,MOD($AA895,5)=0),IF($AB895=12,VLOOKUP($AA895,Paraméterek!$O$225:$P$240,2),0),IF(OR($AA895=3,$AA895=4),IF($AB895=12,VLOOKUP($AA895,Paraméterek!$O$225:$P$240,2,0),0),0))*$AG895</f>
        <v>#DIV/0!</v>
      </c>
      <c r="AK895" s="13">
        <f t="shared" ca="1" si="295"/>
        <v>0</v>
      </c>
      <c r="AL895" s="13">
        <f t="shared" ca="1" si="303"/>
        <v>0</v>
      </c>
      <c r="AM895" s="13">
        <f t="shared" ca="1" si="304"/>
        <v>0</v>
      </c>
      <c r="AO895" s="32">
        <v>876</v>
      </c>
      <c r="AP895" s="32">
        <v>73</v>
      </c>
      <c r="AQ895" s="32">
        <v>12</v>
      </c>
      <c r="AR895" s="13"/>
      <c r="AS895" s="32"/>
      <c r="AT895" s="13">
        <f t="shared" ca="1" si="305"/>
        <v>0</v>
      </c>
      <c r="AU895" s="33"/>
      <c r="AV895" s="13">
        <f t="shared" ca="1" si="296"/>
        <v>0</v>
      </c>
      <c r="AW895" s="13">
        <f ca="1">ROUNDUP(($AT895+$AV895)*VLOOKUP($AP895,Paraméterek!$P$38:$Q$38,2)/12*IF($D896="Nem",IF($M$13=0,1,$M$13),1),IF($D$4="Forint",0,2))</f>
        <v>0</v>
      </c>
      <c r="AX895" s="13">
        <f>Tranzakciók!$M$104</f>
        <v>0</v>
      </c>
      <c r="AY895" s="13"/>
      <c r="AZ895" s="13">
        <f>ROUNDUP(IF(SUM($AX895:$AY895)=0,0,IF(IF(ISBLANK($AY895),$AX895,$AY895)*Paraméterek!$J$112&lt;IF($D$4="Forint",Paraméterek!$J$113,Paraméterek!$K$113),IF($D$4="Forint",Paraméterek!$J$113,Paraméterek!$K$113),IF(IF(ISBLANK($AY895),$AX895,$AY895)*Paraméterek!$J$112&gt;IF($D$4="Forint",Paraméterek!$J$114,Paraméterek!$K$114),IF($D$4="Forint",Paraméterek!$J$114,Paraméterek!$K$114),IF(ISBLANK($AY895),$AX895,$AY895)*Paraméterek!$J$112))),IF($D$4="Forint",0,2))</f>
        <v>0</v>
      </c>
      <c r="BA895" s="13">
        <f ca="1">$AT895+$AV895-$AW895-IF(ROUNDDOWN(IF(ISBLANK($AY895),$AX895,$AY895),IF($D$4="Forint",0,2))&gt;$AT895+$AV895-$AW895-IF($D$4="Forint",Paraméterek!$J$114,Paraméterek!$K$114),0,ROUNDDOWN(IF(ISBLANK($AY895),$AX895,$AY895),IF($D$4="Forint",0,2))-$AZ895)</f>
        <v>0</v>
      </c>
      <c r="BB895" s="13">
        <f t="shared" ca="1" si="297"/>
        <v>0</v>
      </c>
      <c r="BD895" s="32">
        <v>876</v>
      </c>
      <c r="BE895" s="32">
        <v>73</v>
      </c>
      <c r="BF895" s="32">
        <v>12</v>
      </c>
      <c r="BG895" s="34">
        <f t="shared" ca="1" si="306"/>
        <v>2092</v>
      </c>
      <c r="BH895" s="32" t="str">
        <f ca="1">IF(MOD(MONTH($D$14)+$BD895-1,12)=Paraméterek!$C$288,"Igen","")</f>
        <v/>
      </c>
      <c r="BI895" s="13">
        <f ca="1">IF($BH895="Igen",MIN(ROUNDDOWN((SUMIF($BG$20:$BG$1027,$BG895-1,$K$20:$K$1027)-SUMIF($BG$20:$BG$1027,$BG895-1,$I$20:$I$1027))*Paraméterek!$C$289,IF($D$4="Forint",0,2)),IF($D$4="Forint",Paraméterek!$C$285,Paraméterek!$D$285)),0)</f>
        <v>0</v>
      </c>
      <c r="BJ895" s="13">
        <f t="shared" ca="1" si="298"/>
        <v>0</v>
      </c>
      <c r="BK895" s="13">
        <f t="shared" ca="1" si="307"/>
        <v>0</v>
      </c>
      <c r="BL895" s="33"/>
      <c r="BM895" s="13">
        <f t="shared" ca="1" si="299"/>
        <v>0</v>
      </c>
      <c r="BN895" s="13">
        <f ca="1">ROUNDUP(($BK895+$BM895)*VLOOKUP($BE895,Paraméterek!$P$38:$Q$38,2)/12*IF($D896="Nem",IF($M$13=0,1,$M$13),1),IF($D$4="Forint",0,2))</f>
        <v>0</v>
      </c>
      <c r="BO895" s="13">
        <f t="shared" ca="1" si="300"/>
        <v>0</v>
      </c>
      <c r="BP895" s="13">
        <f ca="1">IF($D896="Nem",$BO895,$BO895-ROUNDUP(SUM($BI$20:$BI895)*120%,IF($D$4="Forint",0,2)))</f>
        <v>0</v>
      </c>
    </row>
    <row r="896" spans="1:68" x14ac:dyDescent="0.2">
      <c r="A896" s="32">
        <v>877</v>
      </c>
      <c r="B896" s="32">
        <v>74</v>
      </c>
      <c r="C896" s="32">
        <v>1</v>
      </c>
      <c r="D896" s="32" t="str">
        <f t="shared" ca="1" si="286"/>
        <v>Nem</v>
      </c>
      <c r="E896" s="13">
        <f t="shared" ca="1" si="287"/>
        <v>0</v>
      </c>
      <c r="F896" s="13"/>
      <c r="G896" s="13">
        <f>Tranzakciók!$D$105</f>
        <v>0</v>
      </c>
      <c r="H896" s="13"/>
      <c r="I896" s="13">
        <f t="shared" ca="1" si="288"/>
        <v>0</v>
      </c>
      <c r="J896" s="13">
        <f t="shared" ca="1" si="289"/>
        <v>0</v>
      </c>
      <c r="K896" s="13">
        <f t="shared" ca="1" si="290"/>
        <v>0</v>
      </c>
      <c r="L896" s="13" t="e">
        <f ca="1">ROUNDUP(IF($D$2="Egyszeri",$E896,IF($D$2="Havi",SUM($E$20:$E$31),IF(MOD($C896,$M$1)-1=0,SUM($E$20:$E$31),0))/12*$M$1)*VLOOKUP($B896,Paraméterek!$I$28:$P$31,IF($D$2="Egyszeri",8,HLOOKUP(ROUNDUP($M$11+$M$13,0),Paraméterek!$J$26:$O$27,2))),IF($D$4="Forint",0,2))</f>
        <v>#N/A</v>
      </c>
      <c r="M896" s="13">
        <f t="shared" ca="1" si="291"/>
        <v>0</v>
      </c>
      <c r="N896" s="13">
        <f t="shared" ca="1" si="301"/>
        <v>0</v>
      </c>
      <c r="O896" s="13">
        <f ca="1">IF($D896="Igen",IF($W895&gt;=IF($D$4="Forint",Paraméterek!$J$121,Paraméterek!$K$121),0,IF($D$4="Forint",Paraméterek!$J$121,Paraméterek!$K$121)-$W895),0)</f>
        <v>0</v>
      </c>
      <c r="P896" s="13" t="e">
        <f ca="1">ROUNDUP($O896*VLOOKUP($M$4+$B896-1,Paraméterek!$H$58:$I$105,2,0)/Paraméterek!$I$56,IF($D$4="Forint",0,2))</f>
        <v>#N/A</v>
      </c>
      <c r="Q896" s="13">
        <f t="shared" ca="1" si="292"/>
        <v>0</v>
      </c>
      <c r="R896" s="33"/>
      <c r="S896" s="13" t="e">
        <f t="shared" ca="1" si="293"/>
        <v>#N/A</v>
      </c>
      <c r="T896" s="13" t="e">
        <f ca="1">ROUNDUP(($N896-$P896-$Q896+$S896)*VLOOKUP($B896,Paraméterek!$I$38:$K$39,IF($D$2="Egyszeri",3,2))/12*IF($D897="Nem",IF($M$13=0,1,$M$13),1),IF($D$4="Forint",0,2))</f>
        <v>#N/A</v>
      </c>
      <c r="U896" s="13"/>
      <c r="V896" s="13"/>
      <c r="W896" s="13" t="e">
        <f ca="1">$N896-$P896-$Q896+$S896-$T896-IF(ROUNDUP(IF(ISBLANK($V896),$U896*0,$V896)/IF($D$2="Egyszeri",VLOOKUP($B896+IF($C896=12,1,0),Paraméterek!$V$257:$W$262,2),IF($B896=1,1,VLOOKUP($B896+IF($C896=12,1,0),Paraméterek!$I$258:$T$278,HLOOKUP($M$11+1,Paraméterek!$J$256:$T$257,2)))),IF($D$4="Forint",0,2))&gt;$N896-$P896-$Q896+$S896-$T896-IF($D$4="Forint",Paraméterek!$C$216,Paraméterek!$D$216),0,ROUNDUP(IF(ISBLANK($V896),$U896*0,$V896)/IF($D$2="Egyszeri",VLOOKUP($B896+IF($C896=12,1,0),Paraméterek!$V$257:$W$262,2),IF($B896=1,1,VLOOKUP($B896+IF($C896=12,1,0),Paraméterek!$I$258:$T$278,HLOOKUP($M$11+1,Paraméterek!$J$256:$T$257,2)))),IF($D$4="Forint",0,2)))</f>
        <v>#N/A</v>
      </c>
      <c r="X896" s="13" t="e">
        <f ca="1">ROUNDDOWN($W896*IF($D$2="Egyszeri",VLOOKUP($B896+IF($C896=12,1,0),Paraméterek!$V$257:$W$262,2),VLOOKUP($B896+IF($C896=12,1,0),Paraméterek!$I$258:$T$278,HLOOKUP($M$11+1,Paraméterek!$I$256:$T$257,2))),IF($D$4="Forint",0,2))</f>
        <v>#N/A</v>
      </c>
      <c r="Z896" s="32">
        <v>877</v>
      </c>
      <c r="AA896" s="32">
        <v>74</v>
      </c>
      <c r="AB896" s="32">
        <v>1</v>
      </c>
      <c r="AC896" s="13">
        <f t="shared" ca="1" si="302"/>
        <v>0</v>
      </c>
      <c r="AD896" s="33"/>
      <c r="AE896" s="13">
        <f t="shared" ca="1" si="294"/>
        <v>0</v>
      </c>
      <c r="AF896" s="13">
        <f ca="1">ROUNDUP(($AC896+$AE896)*VLOOKUP($AA896,Paraméterek!$P$38:$Q$38,2)/12*IF($D897="Nem",IF($M$13=0,1,$M$13),1),IF($D$4="Forint",0,2))</f>
        <v>0</v>
      </c>
      <c r="AG896" s="13">
        <f ca="1">IF($D$2="Egyszeri",IF($D$7&gt;=IF($D$4="Forint",Paraméterek!$P$223,Paraméterek!$P$224),$D$7-IF($D$4="Forint",Paraméterek!$P$223,Paraméterek!$P$224),0),MIN(IF($AB896=12,AVERAGEIF($E$20:$E896,"&gt;0",$E$20:$E896)*12,0),SUM($E$20:$E$31)))</f>
        <v>0</v>
      </c>
      <c r="AH896" s="13">
        <f>IF($AA896=10,$AG896*IF($AB896=12,IF($AG896&lt;IF($D$4="Forint",Paraméterek!$L$223,Paraméterek!$L$224),0,VLOOKUP($AA896,Paraméterek!$K$226:$M$228,IF($AG896&lt;IF($D$4="Forint",Paraméterek!$M$223,Paraméterek!$M$224),2,3))),0),0)</f>
        <v>0</v>
      </c>
      <c r="AI896" s="13">
        <f ca="1">IF(AND($AA896=$M$11+1,$AB896=$M$12+1),SUMIF($AA$20:$AA$1027,$AA896,$AG$20:$AG$1027)*IF(SUMIF($AA$20:$AA$1027,$AA896,$AG$20:$AG$1027)&lt;IF($D$4="Forint",Paraméterek!$L$223,Paraméterek!$L$224),0,VLOOKUP($AA896,Paraméterek!$K$230:$M$250,IF(SUMIF($AA$20:$AA$1027,$AA896,$AG$20:$AG$1027)&lt;IF($D$4="Forint",Paraméterek!$M$223,Paraméterek!$M$224),2,3))),0)</f>
        <v>0</v>
      </c>
      <c r="AJ896" s="13">
        <f ca="1">IF(AND($AA896&gt;=5,MOD($AA896,5)=0),IF($AB896=12,VLOOKUP($AA896,Paraméterek!$O$225:$P$240,2),0),IF(OR($AA896=3,$AA896=4),IF($AB896=12,VLOOKUP($AA896,Paraméterek!$O$225:$P$240,2,0),0),0))*$AG896</f>
        <v>0</v>
      </c>
      <c r="AK896" s="13">
        <f t="shared" ca="1" si="295"/>
        <v>0</v>
      </c>
      <c r="AL896" s="13">
        <f t="shared" ca="1" si="303"/>
        <v>0</v>
      </c>
      <c r="AM896" s="13">
        <f t="shared" ca="1" si="304"/>
        <v>0</v>
      </c>
      <c r="AO896" s="32">
        <v>877</v>
      </c>
      <c r="AP896" s="32">
        <v>74</v>
      </c>
      <c r="AQ896" s="32">
        <v>1</v>
      </c>
      <c r="AR896" s="13">
        <f>Tranzakciók!$K$105</f>
        <v>0</v>
      </c>
      <c r="AS896" s="32"/>
      <c r="AT896" s="13">
        <f t="shared" ca="1" si="305"/>
        <v>0</v>
      </c>
      <c r="AU896" s="33"/>
      <c r="AV896" s="13">
        <f t="shared" ca="1" si="296"/>
        <v>0</v>
      </c>
      <c r="AW896" s="13">
        <f ca="1">ROUNDUP(($AT896+$AV896)*VLOOKUP($AP896,Paraméterek!$P$38:$Q$38,2)/12*IF($D897="Nem",IF($M$13=0,1,$M$13),1),IF($D$4="Forint",0,2))</f>
        <v>0</v>
      </c>
      <c r="AX896" s="13"/>
      <c r="AY896" s="13"/>
      <c r="AZ896" s="13">
        <f>ROUNDUP(IF(SUM($AX896:$AY896)=0,0,IF(IF(ISBLANK($AY896),$AX896,$AY896)*Paraméterek!$J$112&lt;IF($D$4="Forint",Paraméterek!$J$113,Paraméterek!$K$113),IF($D$4="Forint",Paraméterek!$J$113,Paraméterek!$K$113),IF(IF(ISBLANK($AY896),$AX896,$AY896)*Paraméterek!$J$112&gt;IF($D$4="Forint",Paraméterek!$J$114,Paraméterek!$K$114),IF($D$4="Forint",Paraméterek!$J$114,Paraméterek!$K$114),IF(ISBLANK($AY896),$AX896,$AY896)*Paraméterek!$J$112))),IF($D$4="Forint",0,2))</f>
        <v>0</v>
      </c>
      <c r="BA896" s="13">
        <f ca="1">$AT896+$AV896-$AW896-IF(ROUNDDOWN(IF(ISBLANK($AY896),$AX896,$AY896),IF($D$4="Forint",0,2))&gt;$AT896+$AV896-$AW896-IF($D$4="Forint",Paraméterek!$J$114,Paraméterek!$K$114),0,ROUNDDOWN(IF(ISBLANK($AY896),$AX896,$AY896),IF($D$4="Forint",0,2))-$AZ896)</f>
        <v>0</v>
      </c>
      <c r="BB896" s="13">
        <f t="shared" ca="1" si="297"/>
        <v>0</v>
      </c>
      <c r="BD896" s="32">
        <v>877</v>
      </c>
      <c r="BE896" s="32">
        <v>74</v>
      </c>
      <c r="BF896" s="32">
        <v>1</v>
      </c>
      <c r="BG896" s="34">
        <f t="shared" ca="1" si="306"/>
        <v>2092</v>
      </c>
      <c r="BH896" s="32" t="str">
        <f ca="1">IF(MOD(MONTH($D$14)+$BD896-1,12)=Paraméterek!$C$288,"Igen","")</f>
        <v/>
      </c>
      <c r="BI896" s="13">
        <f ca="1">IF($BH896="Igen",MIN(ROUNDDOWN((SUMIF($BG$20:$BG$1027,$BG896-1,$K$20:$K$1027)-SUMIF($BG$20:$BG$1027,$BG896-1,$I$20:$I$1027))*Paraméterek!$C$289,IF($D$4="Forint",0,2)),IF($D$4="Forint",Paraméterek!$C$285,Paraméterek!$D$285)),0)</f>
        <v>0</v>
      </c>
      <c r="BJ896" s="13">
        <f t="shared" ca="1" si="298"/>
        <v>0</v>
      </c>
      <c r="BK896" s="13">
        <f t="shared" ca="1" si="307"/>
        <v>0</v>
      </c>
      <c r="BL896" s="33"/>
      <c r="BM896" s="13">
        <f t="shared" ca="1" si="299"/>
        <v>0</v>
      </c>
      <c r="BN896" s="13">
        <f ca="1">ROUNDUP(($BK896+$BM896)*VLOOKUP($BE896,Paraméterek!$P$38:$Q$38,2)/12*IF($D897="Nem",IF($M$13=0,1,$M$13),1),IF($D$4="Forint",0,2))</f>
        <v>0</v>
      </c>
      <c r="BO896" s="13">
        <f t="shared" ca="1" si="300"/>
        <v>0</v>
      </c>
      <c r="BP896" s="13">
        <f ca="1">IF($D897="Nem",$BO896,$BO896-ROUNDUP(SUM($BI$20:$BI896)*120%,IF($D$4="Forint",0,2)))</f>
        <v>0</v>
      </c>
    </row>
    <row r="897" spans="1:68" x14ac:dyDescent="0.2">
      <c r="A897" s="32">
        <v>878</v>
      </c>
      <c r="B897" s="32">
        <v>74</v>
      </c>
      <c r="C897" s="32">
        <v>2</v>
      </c>
      <c r="D897" s="32" t="str">
        <f t="shared" ca="1" si="286"/>
        <v>Nem</v>
      </c>
      <c r="E897" s="13">
        <f t="shared" ca="1" si="287"/>
        <v>0</v>
      </c>
      <c r="F897" s="13"/>
      <c r="G897" s="13"/>
      <c r="H897" s="13"/>
      <c r="I897" s="13">
        <f t="shared" ca="1" si="288"/>
        <v>0</v>
      </c>
      <c r="J897" s="13">
        <f t="shared" ca="1" si="289"/>
        <v>0</v>
      </c>
      <c r="K897" s="13">
        <f t="shared" ca="1" si="290"/>
        <v>0</v>
      </c>
      <c r="L897" s="13" t="e">
        <f ca="1">ROUNDUP(IF($D$2="Egyszeri",$E897,IF($D$2="Havi",SUM($E$20:$E$31),IF(MOD($C897,$M$1)-1=0,SUM($E$20:$E$31),0))/12*$M$1)*VLOOKUP($B897,Paraméterek!$I$28:$P$31,IF($D$2="Egyszeri",8,HLOOKUP(ROUNDUP($M$11+$M$13,0),Paraméterek!$J$26:$O$27,2))),IF($D$4="Forint",0,2))</f>
        <v>#N/A</v>
      </c>
      <c r="M897" s="13">
        <f t="shared" ca="1" si="291"/>
        <v>0</v>
      </c>
      <c r="N897" s="13">
        <f t="shared" ca="1" si="301"/>
        <v>0</v>
      </c>
      <c r="O897" s="13">
        <f ca="1">IF($D897="Igen",IF($W896&gt;=IF($D$4="Forint",Paraméterek!$J$121,Paraméterek!$K$121),0,IF($D$4="Forint",Paraméterek!$J$121,Paraméterek!$K$121)-$W896),0)</f>
        <v>0</v>
      </c>
      <c r="P897" s="13" t="e">
        <f ca="1">ROUNDUP($O897*VLOOKUP($M$4+$B897-1,Paraméterek!$H$58:$I$105,2,0)/Paraméterek!$I$56,IF($D$4="Forint",0,2))</f>
        <v>#N/A</v>
      </c>
      <c r="Q897" s="13">
        <f t="shared" ca="1" si="292"/>
        <v>0</v>
      </c>
      <c r="R897" s="33"/>
      <c r="S897" s="13" t="e">
        <f t="shared" ca="1" si="293"/>
        <v>#N/A</v>
      </c>
      <c r="T897" s="13" t="e">
        <f ca="1">ROUNDUP(($N897-$P897-$Q897+$S897)*VLOOKUP($B897,Paraméterek!$I$38:$K$39,IF($D$2="Egyszeri",3,2))/12*IF($D898="Nem",IF($M$13=0,1,$M$13),1),IF($D$4="Forint",0,2))</f>
        <v>#N/A</v>
      </c>
      <c r="U897" s="13"/>
      <c r="V897" s="13"/>
      <c r="W897" s="13" t="e">
        <f ca="1">$N897-$P897-$Q897+$S897-$T897-IF(ROUNDUP(IF(ISBLANK($V897),$U897*0,$V897)/IF($D$2="Egyszeri",VLOOKUP($B897+IF($C897=12,1,0),Paraméterek!$V$257:$W$262,2),IF($B897=1,1,VLOOKUP($B897+IF($C897=12,1,0),Paraméterek!$I$258:$T$278,HLOOKUP($M$11+1,Paraméterek!$J$256:$T$257,2)))),IF($D$4="Forint",0,2))&gt;$N897-$P897-$Q897+$S897-$T897-IF($D$4="Forint",Paraméterek!$C$216,Paraméterek!$D$216),0,ROUNDUP(IF(ISBLANK($V897),$U897*0,$V897)/IF($D$2="Egyszeri",VLOOKUP($B897+IF($C897=12,1,0),Paraméterek!$V$257:$W$262,2),IF($B897=1,1,VLOOKUP($B897+IF($C897=12,1,0),Paraméterek!$I$258:$T$278,HLOOKUP($M$11+1,Paraméterek!$J$256:$T$257,2)))),IF($D$4="Forint",0,2)))</f>
        <v>#N/A</v>
      </c>
      <c r="X897" s="13" t="e">
        <f ca="1">ROUNDDOWN($W897*IF($D$2="Egyszeri",VLOOKUP($B897+IF($C897=12,1,0),Paraméterek!$V$257:$W$262,2),VLOOKUP($B897+IF($C897=12,1,0),Paraméterek!$I$258:$T$278,HLOOKUP($M$11+1,Paraméterek!$I$256:$T$257,2))),IF($D$4="Forint",0,2))</f>
        <v>#N/A</v>
      </c>
      <c r="Z897" s="32">
        <v>878</v>
      </c>
      <c r="AA897" s="32">
        <v>74</v>
      </c>
      <c r="AB897" s="32">
        <v>2</v>
      </c>
      <c r="AC897" s="13">
        <f t="shared" ca="1" si="302"/>
        <v>0</v>
      </c>
      <c r="AD897" s="33"/>
      <c r="AE897" s="13">
        <f t="shared" ca="1" si="294"/>
        <v>0</v>
      </c>
      <c r="AF897" s="13">
        <f ca="1">ROUNDUP(($AC897+$AE897)*VLOOKUP($AA897,Paraméterek!$P$38:$Q$38,2)/12*IF($D898="Nem",IF($M$13=0,1,$M$13),1),IF($D$4="Forint",0,2))</f>
        <v>0</v>
      </c>
      <c r="AG897" s="13">
        <f ca="1">IF($D$2="Egyszeri",IF($D$7&gt;=IF($D$4="Forint",Paraméterek!$P$223,Paraméterek!$P$224),$D$7-IF($D$4="Forint",Paraméterek!$P$223,Paraméterek!$P$224),0),MIN(IF($AB897=12,AVERAGEIF($E$20:$E897,"&gt;0",$E$20:$E897)*12,0),SUM($E$20:$E$31)))</f>
        <v>0</v>
      </c>
      <c r="AH897" s="13">
        <f>IF($AA897=10,$AG897*IF($AB897=12,IF($AG897&lt;IF($D$4="Forint",Paraméterek!$L$223,Paraméterek!$L$224),0,VLOOKUP($AA897,Paraméterek!$K$226:$M$228,IF($AG897&lt;IF($D$4="Forint",Paraméterek!$M$223,Paraméterek!$M$224),2,3))),0),0)</f>
        <v>0</v>
      </c>
      <c r="AI897" s="13">
        <f ca="1">IF(AND($AA897=$M$11+1,$AB897=$M$12+1),SUMIF($AA$20:$AA$1027,$AA897,$AG$20:$AG$1027)*IF(SUMIF($AA$20:$AA$1027,$AA897,$AG$20:$AG$1027)&lt;IF($D$4="Forint",Paraméterek!$L$223,Paraméterek!$L$224),0,VLOOKUP($AA897,Paraméterek!$K$230:$M$250,IF(SUMIF($AA$20:$AA$1027,$AA897,$AG$20:$AG$1027)&lt;IF($D$4="Forint",Paraméterek!$M$223,Paraméterek!$M$224),2,3))),0)</f>
        <v>0</v>
      </c>
      <c r="AJ897" s="13">
        <f ca="1">IF(AND($AA897&gt;=5,MOD($AA897,5)=0),IF($AB897=12,VLOOKUP($AA897,Paraméterek!$O$225:$P$240,2),0),IF(OR($AA897=3,$AA897=4),IF($AB897=12,VLOOKUP($AA897,Paraméterek!$O$225:$P$240,2,0),0),0))*$AG897</f>
        <v>0</v>
      </c>
      <c r="AK897" s="13">
        <f t="shared" ca="1" si="295"/>
        <v>0</v>
      </c>
      <c r="AL897" s="13">
        <f t="shared" ca="1" si="303"/>
        <v>0</v>
      </c>
      <c r="AM897" s="13">
        <f t="shared" ca="1" si="304"/>
        <v>0</v>
      </c>
      <c r="AO897" s="32">
        <v>878</v>
      </c>
      <c r="AP897" s="32">
        <v>74</v>
      </c>
      <c r="AQ897" s="32">
        <v>2</v>
      </c>
      <c r="AR897" s="13"/>
      <c r="AS897" s="32"/>
      <c r="AT897" s="13">
        <f t="shared" ca="1" si="305"/>
        <v>0</v>
      </c>
      <c r="AU897" s="33"/>
      <c r="AV897" s="13">
        <f t="shared" ca="1" si="296"/>
        <v>0</v>
      </c>
      <c r="AW897" s="13">
        <f ca="1">ROUNDUP(($AT897+$AV897)*VLOOKUP($AP897,Paraméterek!$P$38:$Q$38,2)/12*IF($D898="Nem",IF($M$13=0,1,$M$13),1),IF($D$4="Forint",0,2))</f>
        <v>0</v>
      </c>
      <c r="AX897" s="13"/>
      <c r="AY897" s="13"/>
      <c r="AZ897" s="13">
        <f>ROUNDUP(IF(SUM($AX897:$AY897)=0,0,IF(IF(ISBLANK($AY897),$AX897,$AY897)*Paraméterek!$J$112&lt;IF($D$4="Forint",Paraméterek!$J$113,Paraméterek!$K$113),IF($D$4="Forint",Paraméterek!$J$113,Paraméterek!$K$113),IF(IF(ISBLANK($AY897),$AX897,$AY897)*Paraméterek!$J$112&gt;IF($D$4="Forint",Paraméterek!$J$114,Paraméterek!$K$114),IF($D$4="Forint",Paraméterek!$J$114,Paraméterek!$K$114),IF(ISBLANK($AY897),$AX897,$AY897)*Paraméterek!$J$112))),IF($D$4="Forint",0,2))</f>
        <v>0</v>
      </c>
      <c r="BA897" s="13">
        <f ca="1">$AT897+$AV897-$AW897-IF(ROUNDDOWN(IF(ISBLANK($AY897),$AX897,$AY897),IF($D$4="Forint",0,2))&gt;$AT897+$AV897-$AW897-IF($D$4="Forint",Paraméterek!$J$114,Paraméterek!$K$114),0,ROUNDDOWN(IF(ISBLANK($AY897),$AX897,$AY897),IF($D$4="Forint",0,2))-$AZ897)</f>
        <v>0</v>
      </c>
      <c r="BB897" s="13">
        <f t="shared" ca="1" si="297"/>
        <v>0</v>
      </c>
      <c r="BD897" s="32">
        <v>878</v>
      </c>
      <c r="BE897" s="32">
        <v>74</v>
      </c>
      <c r="BF897" s="32">
        <v>2</v>
      </c>
      <c r="BG897" s="34">
        <f t="shared" ca="1" si="306"/>
        <v>2092</v>
      </c>
      <c r="BH897" s="32" t="str">
        <f ca="1">IF(MOD(MONTH($D$14)+$BD897-1,12)=Paraméterek!$C$288,"Igen","")</f>
        <v>Igen</v>
      </c>
      <c r="BI897" s="13">
        <f ca="1">IF($BH897="Igen",MIN(ROUNDDOWN((SUMIF($BG$20:$BG$1027,$BG897-1,$K$20:$K$1027)-SUMIF($BG$20:$BG$1027,$BG897-1,$I$20:$I$1027))*Paraméterek!$C$289,IF($D$4="Forint",0,2)),IF($D$4="Forint",Paraméterek!$C$285,Paraméterek!$D$285)),0)</f>
        <v>0</v>
      </c>
      <c r="BJ897" s="13">
        <f t="shared" ca="1" si="298"/>
        <v>0</v>
      </c>
      <c r="BK897" s="13">
        <f t="shared" ca="1" si="307"/>
        <v>0</v>
      </c>
      <c r="BL897" s="33"/>
      <c r="BM897" s="13">
        <f t="shared" ca="1" si="299"/>
        <v>0</v>
      </c>
      <c r="BN897" s="13">
        <f ca="1">ROUNDUP(($BK897+$BM897)*VLOOKUP($BE897,Paraméterek!$P$38:$Q$38,2)/12*IF($D898="Nem",IF($M$13=0,1,$M$13),1),IF($D$4="Forint",0,2))</f>
        <v>0</v>
      </c>
      <c r="BO897" s="13">
        <f t="shared" ca="1" si="300"/>
        <v>0</v>
      </c>
      <c r="BP897" s="13">
        <f ca="1">IF($D898="Nem",$BO897,$BO897-ROUNDUP(SUM($BI$20:$BI897)*120%,IF($D$4="Forint",0,2)))</f>
        <v>0</v>
      </c>
    </row>
    <row r="898" spans="1:68" x14ac:dyDescent="0.2">
      <c r="A898" s="32">
        <v>879</v>
      </c>
      <c r="B898" s="32">
        <v>74</v>
      </c>
      <c r="C898" s="32">
        <v>3</v>
      </c>
      <c r="D898" s="32" t="str">
        <f t="shared" ca="1" si="286"/>
        <v>Nem</v>
      </c>
      <c r="E898" s="13">
        <f t="shared" ca="1" si="287"/>
        <v>0</v>
      </c>
      <c r="F898" s="13"/>
      <c r="G898" s="13"/>
      <c r="H898" s="13"/>
      <c r="I898" s="13">
        <f t="shared" ca="1" si="288"/>
        <v>0</v>
      </c>
      <c r="J898" s="13">
        <f t="shared" ca="1" si="289"/>
        <v>0</v>
      </c>
      <c r="K898" s="13">
        <f t="shared" ca="1" si="290"/>
        <v>0</v>
      </c>
      <c r="L898" s="13" t="e">
        <f ca="1">ROUNDUP(IF($D$2="Egyszeri",$E898,IF($D$2="Havi",SUM($E$20:$E$31),IF(MOD($C898,$M$1)-1=0,SUM($E$20:$E$31),0))/12*$M$1)*VLOOKUP($B898,Paraméterek!$I$28:$P$31,IF($D$2="Egyszeri",8,HLOOKUP(ROUNDUP($M$11+$M$13,0),Paraméterek!$J$26:$O$27,2))),IF($D$4="Forint",0,2))</f>
        <v>#N/A</v>
      </c>
      <c r="M898" s="13">
        <f t="shared" ca="1" si="291"/>
        <v>0</v>
      </c>
      <c r="N898" s="13">
        <f t="shared" ca="1" si="301"/>
        <v>0</v>
      </c>
      <c r="O898" s="13">
        <f ca="1">IF($D898="Igen",IF($W897&gt;=IF($D$4="Forint",Paraméterek!$J$121,Paraméterek!$K$121),0,IF($D$4="Forint",Paraméterek!$J$121,Paraméterek!$K$121)-$W897),0)</f>
        <v>0</v>
      </c>
      <c r="P898" s="13" t="e">
        <f ca="1">ROUNDUP($O898*VLOOKUP($M$4+$B898-1,Paraméterek!$H$58:$I$105,2,0)/Paraméterek!$I$56,IF($D$4="Forint",0,2))</f>
        <v>#N/A</v>
      </c>
      <c r="Q898" s="13">
        <f t="shared" ca="1" si="292"/>
        <v>0</v>
      </c>
      <c r="R898" s="33"/>
      <c r="S898" s="13" t="e">
        <f t="shared" ca="1" si="293"/>
        <v>#N/A</v>
      </c>
      <c r="T898" s="13" t="e">
        <f ca="1">ROUNDUP(($N898-$P898-$Q898+$S898)*VLOOKUP($B898,Paraméterek!$I$38:$K$39,IF($D$2="Egyszeri",3,2))/12*IF($D899="Nem",IF($M$13=0,1,$M$13),1),IF($D$4="Forint",0,2))</f>
        <v>#N/A</v>
      </c>
      <c r="U898" s="13"/>
      <c r="V898" s="13"/>
      <c r="W898" s="13" t="e">
        <f ca="1">$N898-$P898-$Q898+$S898-$T898-IF(ROUNDUP(IF(ISBLANK($V898),$U898*0,$V898)/IF($D$2="Egyszeri",VLOOKUP($B898+IF($C898=12,1,0),Paraméterek!$V$257:$W$262,2),IF($B898=1,1,VLOOKUP($B898+IF($C898=12,1,0),Paraméterek!$I$258:$T$278,HLOOKUP($M$11+1,Paraméterek!$J$256:$T$257,2)))),IF($D$4="Forint",0,2))&gt;$N898-$P898-$Q898+$S898-$T898-IF($D$4="Forint",Paraméterek!$C$216,Paraméterek!$D$216),0,ROUNDUP(IF(ISBLANK($V898),$U898*0,$V898)/IF($D$2="Egyszeri",VLOOKUP($B898+IF($C898=12,1,0),Paraméterek!$V$257:$W$262,2),IF($B898=1,1,VLOOKUP($B898+IF($C898=12,1,0),Paraméterek!$I$258:$T$278,HLOOKUP($M$11+1,Paraméterek!$J$256:$T$257,2)))),IF($D$4="Forint",0,2)))</f>
        <v>#N/A</v>
      </c>
      <c r="X898" s="13" t="e">
        <f ca="1">ROUNDDOWN($W898*IF($D$2="Egyszeri",VLOOKUP($B898+IF($C898=12,1,0),Paraméterek!$V$257:$W$262,2),VLOOKUP($B898+IF($C898=12,1,0),Paraméterek!$I$258:$T$278,HLOOKUP($M$11+1,Paraméterek!$I$256:$T$257,2))),IF($D$4="Forint",0,2))</f>
        <v>#N/A</v>
      </c>
      <c r="Z898" s="32">
        <v>879</v>
      </c>
      <c r="AA898" s="32">
        <v>74</v>
      </c>
      <c r="AB898" s="32">
        <v>3</v>
      </c>
      <c r="AC898" s="13">
        <f t="shared" ca="1" si="302"/>
        <v>0</v>
      </c>
      <c r="AD898" s="33"/>
      <c r="AE898" s="13">
        <f t="shared" ca="1" si="294"/>
        <v>0</v>
      </c>
      <c r="AF898" s="13">
        <f ca="1">ROUNDUP(($AC898+$AE898)*VLOOKUP($AA898,Paraméterek!$P$38:$Q$38,2)/12*IF($D899="Nem",IF($M$13=0,1,$M$13),1),IF($D$4="Forint",0,2))</f>
        <v>0</v>
      </c>
      <c r="AG898" s="13">
        <f ca="1">IF($D$2="Egyszeri",IF($D$7&gt;=IF($D$4="Forint",Paraméterek!$P$223,Paraméterek!$P$224),$D$7-IF($D$4="Forint",Paraméterek!$P$223,Paraméterek!$P$224),0),MIN(IF($AB898=12,AVERAGEIF($E$20:$E898,"&gt;0",$E$20:$E898)*12,0),SUM($E$20:$E$31)))</f>
        <v>0</v>
      </c>
      <c r="AH898" s="13">
        <f>IF($AA898=10,$AG898*IF($AB898=12,IF($AG898&lt;IF($D$4="Forint",Paraméterek!$L$223,Paraméterek!$L$224),0,VLOOKUP($AA898,Paraméterek!$K$226:$M$228,IF($AG898&lt;IF($D$4="Forint",Paraméterek!$M$223,Paraméterek!$M$224),2,3))),0),0)</f>
        <v>0</v>
      </c>
      <c r="AI898" s="13">
        <f ca="1">IF(AND($AA898=$M$11+1,$AB898=$M$12+1),SUMIF($AA$20:$AA$1027,$AA898,$AG$20:$AG$1027)*IF(SUMIF($AA$20:$AA$1027,$AA898,$AG$20:$AG$1027)&lt;IF($D$4="Forint",Paraméterek!$L$223,Paraméterek!$L$224),0,VLOOKUP($AA898,Paraméterek!$K$230:$M$250,IF(SUMIF($AA$20:$AA$1027,$AA898,$AG$20:$AG$1027)&lt;IF($D$4="Forint",Paraméterek!$M$223,Paraméterek!$M$224),2,3))),0)</f>
        <v>0</v>
      </c>
      <c r="AJ898" s="13">
        <f ca="1">IF(AND($AA898&gt;=5,MOD($AA898,5)=0),IF($AB898=12,VLOOKUP($AA898,Paraméterek!$O$225:$P$240,2),0),IF(OR($AA898=3,$AA898=4),IF($AB898=12,VLOOKUP($AA898,Paraméterek!$O$225:$P$240,2,0),0),0))*$AG898</f>
        <v>0</v>
      </c>
      <c r="AK898" s="13">
        <f t="shared" ca="1" si="295"/>
        <v>0</v>
      </c>
      <c r="AL898" s="13">
        <f t="shared" ca="1" si="303"/>
        <v>0</v>
      </c>
      <c r="AM898" s="13">
        <f t="shared" ca="1" si="304"/>
        <v>0</v>
      </c>
      <c r="AO898" s="32">
        <v>879</v>
      </c>
      <c r="AP898" s="32">
        <v>74</v>
      </c>
      <c r="AQ898" s="32">
        <v>3</v>
      </c>
      <c r="AR898" s="13"/>
      <c r="AS898" s="32"/>
      <c r="AT898" s="13">
        <f t="shared" ca="1" si="305"/>
        <v>0</v>
      </c>
      <c r="AU898" s="33"/>
      <c r="AV898" s="13">
        <f t="shared" ca="1" si="296"/>
        <v>0</v>
      </c>
      <c r="AW898" s="13">
        <f ca="1">ROUNDUP(($AT898+$AV898)*VLOOKUP($AP898,Paraméterek!$P$38:$Q$38,2)/12*IF($D899="Nem",IF($M$13=0,1,$M$13),1),IF($D$4="Forint",0,2))</f>
        <v>0</v>
      </c>
      <c r="AX898" s="13"/>
      <c r="AY898" s="13"/>
      <c r="AZ898" s="13">
        <f>ROUNDUP(IF(SUM($AX898:$AY898)=0,0,IF(IF(ISBLANK($AY898),$AX898,$AY898)*Paraméterek!$J$112&lt;IF($D$4="Forint",Paraméterek!$J$113,Paraméterek!$K$113),IF($D$4="Forint",Paraméterek!$J$113,Paraméterek!$K$113),IF(IF(ISBLANK($AY898),$AX898,$AY898)*Paraméterek!$J$112&gt;IF($D$4="Forint",Paraméterek!$J$114,Paraméterek!$K$114),IF($D$4="Forint",Paraméterek!$J$114,Paraméterek!$K$114),IF(ISBLANK($AY898),$AX898,$AY898)*Paraméterek!$J$112))),IF($D$4="Forint",0,2))</f>
        <v>0</v>
      </c>
      <c r="BA898" s="13">
        <f ca="1">$AT898+$AV898-$AW898-IF(ROUNDDOWN(IF(ISBLANK($AY898),$AX898,$AY898),IF($D$4="Forint",0,2))&gt;$AT898+$AV898-$AW898-IF($D$4="Forint",Paraméterek!$J$114,Paraméterek!$K$114),0,ROUNDDOWN(IF(ISBLANK($AY898),$AX898,$AY898),IF($D$4="Forint",0,2))-$AZ898)</f>
        <v>0</v>
      </c>
      <c r="BB898" s="13">
        <f t="shared" ca="1" si="297"/>
        <v>0</v>
      </c>
      <c r="BD898" s="32">
        <v>879</v>
      </c>
      <c r="BE898" s="32">
        <v>74</v>
      </c>
      <c r="BF898" s="32">
        <v>3</v>
      </c>
      <c r="BG898" s="34">
        <f t="shared" ca="1" si="306"/>
        <v>2092</v>
      </c>
      <c r="BH898" s="32" t="str">
        <f ca="1">IF(MOD(MONTH($D$14)+$BD898-1,12)=Paraméterek!$C$288,"Igen","")</f>
        <v/>
      </c>
      <c r="BI898" s="13">
        <f ca="1">IF($BH898="Igen",MIN(ROUNDDOWN((SUMIF($BG$20:$BG$1027,$BG898-1,$K$20:$K$1027)-SUMIF($BG$20:$BG$1027,$BG898-1,$I$20:$I$1027))*Paraméterek!$C$289,IF($D$4="Forint",0,2)),IF($D$4="Forint",Paraméterek!$C$285,Paraméterek!$D$285)),0)</f>
        <v>0</v>
      </c>
      <c r="BJ898" s="13">
        <f t="shared" ca="1" si="298"/>
        <v>0</v>
      </c>
      <c r="BK898" s="13">
        <f t="shared" ca="1" si="307"/>
        <v>0</v>
      </c>
      <c r="BL898" s="33"/>
      <c r="BM898" s="13">
        <f t="shared" ca="1" si="299"/>
        <v>0</v>
      </c>
      <c r="BN898" s="13">
        <f ca="1">ROUNDUP(($BK898+$BM898)*VLOOKUP($BE898,Paraméterek!$P$38:$Q$38,2)/12*IF($D899="Nem",IF($M$13=0,1,$M$13),1),IF($D$4="Forint",0,2))</f>
        <v>0</v>
      </c>
      <c r="BO898" s="13">
        <f t="shared" ca="1" si="300"/>
        <v>0</v>
      </c>
      <c r="BP898" s="13">
        <f ca="1">IF($D899="Nem",$BO898,$BO898-ROUNDUP(SUM($BI$20:$BI898)*120%,IF($D$4="Forint",0,2)))</f>
        <v>0</v>
      </c>
    </row>
    <row r="899" spans="1:68" x14ac:dyDescent="0.2">
      <c r="A899" s="32">
        <v>880</v>
      </c>
      <c r="B899" s="32">
        <v>74</v>
      </c>
      <c r="C899" s="32">
        <v>4</v>
      </c>
      <c r="D899" s="32" t="str">
        <f t="shared" ca="1" si="286"/>
        <v>Nem</v>
      </c>
      <c r="E899" s="13">
        <f t="shared" ca="1" si="287"/>
        <v>0</v>
      </c>
      <c r="F899" s="13"/>
      <c r="G899" s="13"/>
      <c r="H899" s="13"/>
      <c r="I899" s="13">
        <f t="shared" ca="1" si="288"/>
        <v>0</v>
      </c>
      <c r="J899" s="13">
        <f t="shared" ca="1" si="289"/>
        <v>0</v>
      </c>
      <c r="K899" s="13">
        <f t="shared" ca="1" si="290"/>
        <v>0</v>
      </c>
      <c r="L899" s="13" t="e">
        <f ca="1">ROUNDUP(IF($D$2="Egyszeri",$E899,IF($D$2="Havi",SUM($E$20:$E$31),IF(MOD($C899,$M$1)-1=0,SUM($E$20:$E$31),0))/12*$M$1)*VLOOKUP($B899,Paraméterek!$I$28:$P$31,IF($D$2="Egyszeri",8,HLOOKUP(ROUNDUP($M$11+$M$13,0),Paraméterek!$J$26:$O$27,2))),IF($D$4="Forint",0,2))</f>
        <v>#N/A</v>
      </c>
      <c r="M899" s="13">
        <f t="shared" ca="1" si="291"/>
        <v>0</v>
      </c>
      <c r="N899" s="13">
        <f t="shared" ca="1" si="301"/>
        <v>0</v>
      </c>
      <c r="O899" s="13">
        <f ca="1">IF($D899="Igen",IF($W898&gt;=IF($D$4="Forint",Paraméterek!$J$121,Paraméterek!$K$121),0,IF($D$4="Forint",Paraméterek!$J$121,Paraméterek!$K$121)-$W898),0)</f>
        <v>0</v>
      </c>
      <c r="P899" s="13" t="e">
        <f ca="1">ROUNDUP($O899*VLOOKUP($M$4+$B899-1,Paraméterek!$H$58:$I$105,2,0)/Paraméterek!$I$56,IF($D$4="Forint",0,2))</f>
        <v>#N/A</v>
      </c>
      <c r="Q899" s="13">
        <f t="shared" ca="1" si="292"/>
        <v>0</v>
      </c>
      <c r="R899" s="33"/>
      <c r="S899" s="13" t="e">
        <f t="shared" ca="1" si="293"/>
        <v>#N/A</v>
      </c>
      <c r="T899" s="13" t="e">
        <f ca="1">ROUNDUP(($N899-$P899-$Q899+$S899)*VLOOKUP($B899,Paraméterek!$I$38:$K$39,IF($D$2="Egyszeri",3,2))/12*IF($D900="Nem",IF($M$13=0,1,$M$13),1),IF($D$4="Forint",0,2))</f>
        <v>#N/A</v>
      </c>
      <c r="U899" s="13"/>
      <c r="V899" s="13"/>
      <c r="W899" s="13" t="e">
        <f ca="1">$N899-$P899-$Q899+$S899-$T899-IF(ROUNDUP(IF(ISBLANK($V899),$U899*0,$V899)/IF($D$2="Egyszeri",VLOOKUP($B899+IF($C899=12,1,0),Paraméterek!$V$257:$W$262,2),IF($B899=1,1,VLOOKUP($B899+IF($C899=12,1,0),Paraméterek!$I$258:$T$278,HLOOKUP($M$11+1,Paraméterek!$J$256:$T$257,2)))),IF($D$4="Forint",0,2))&gt;$N899-$P899-$Q899+$S899-$T899-IF($D$4="Forint",Paraméterek!$C$216,Paraméterek!$D$216),0,ROUNDUP(IF(ISBLANK($V899),$U899*0,$V899)/IF($D$2="Egyszeri",VLOOKUP($B899+IF($C899=12,1,0),Paraméterek!$V$257:$W$262,2),IF($B899=1,1,VLOOKUP($B899+IF($C899=12,1,0),Paraméterek!$I$258:$T$278,HLOOKUP($M$11+1,Paraméterek!$J$256:$T$257,2)))),IF($D$4="Forint",0,2)))</f>
        <v>#N/A</v>
      </c>
      <c r="X899" s="13" t="e">
        <f ca="1">ROUNDDOWN($W899*IF($D$2="Egyszeri",VLOOKUP($B899+IF($C899=12,1,0),Paraméterek!$V$257:$W$262,2),VLOOKUP($B899+IF($C899=12,1,0),Paraméterek!$I$258:$T$278,HLOOKUP($M$11+1,Paraméterek!$I$256:$T$257,2))),IF($D$4="Forint",0,2))</f>
        <v>#N/A</v>
      </c>
      <c r="Z899" s="32">
        <v>880</v>
      </c>
      <c r="AA899" s="32">
        <v>74</v>
      </c>
      <c r="AB899" s="32">
        <v>4</v>
      </c>
      <c r="AC899" s="13">
        <f t="shared" ca="1" si="302"/>
        <v>0</v>
      </c>
      <c r="AD899" s="33"/>
      <c r="AE899" s="13">
        <f t="shared" ca="1" si="294"/>
        <v>0</v>
      </c>
      <c r="AF899" s="13">
        <f ca="1">ROUNDUP(($AC899+$AE899)*VLOOKUP($AA899,Paraméterek!$P$38:$Q$38,2)/12*IF($D900="Nem",IF($M$13=0,1,$M$13),1),IF($D$4="Forint",0,2))</f>
        <v>0</v>
      </c>
      <c r="AG899" s="13">
        <f ca="1">IF($D$2="Egyszeri",IF($D$7&gt;=IF($D$4="Forint",Paraméterek!$P$223,Paraméterek!$P$224),$D$7-IF($D$4="Forint",Paraméterek!$P$223,Paraméterek!$P$224),0),MIN(IF($AB899=12,AVERAGEIF($E$20:$E899,"&gt;0",$E$20:$E899)*12,0),SUM($E$20:$E$31)))</f>
        <v>0</v>
      </c>
      <c r="AH899" s="13">
        <f>IF($AA899=10,$AG899*IF($AB899=12,IF($AG899&lt;IF($D$4="Forint",Paraméterek!$L$223,Paraméterek!$L$224),0,VLOOKUP($AA899,Paraméterek!$K$226:$M$228,IF($AG899&lt;IF($D$4="Forint",Paraméterek!$M$223,Paraméterek!$M$224),2,3))),0),0)</f>
        <v>0</v>
      </c>
      <c r="AI899" s="13">
        <f ca="1">IF(AND($AA899=$M$11+1,$AB899=$M$12+1),SUMIF($AA$20:$AA$1027,$AA899,$AG$20:$AG$1027)*IF(SUMIF($AA$20:$AA$1027,$AA899,$AG$20:$AG$1027)&lt;IF($D$4="Forint",Paraméterek!$L$223,Paraméterek!$L$224),0,VLOOKUP($AA899,Paraméterek!$K$230:$M$250,IF(SUMIF($AA$20:$AA$1027,$AA899,$AG$20:$AG$1027)&lt;IF($D$4="Forint",Paraméterek!$M$223,Paraméterek!$M$224),2,3))),0)</f>
        <v>0</v>
      </c>
      <c r="AJ899" s="13">
        <f ca="1">IF(AND($AA899&gt;=5,MOD($AA899,5)=0),IF($AB899=12,VLOOKUP($AA899,Paraméterek!$O$225:$P$240,2),0),IF(OR($AA899=3,$AA899=4),IF($AB899=12,VLOOKUP($AA899,Paraméterek!$O$225:$P$240,2,0),0),0))*$AG899</f>
        <v>0</v>
      </c>
      <c r="AK899" s="13">
        <f t="shared" ca="1" si="295"/>
        <v>0</v>
      </c>
      <c r="AL899" s="13">
        <f t="shared" ca="1" si="303"/>
        <v>0</v>
      </c>
      <c r="AM899" s="13">
        <f t="shared" ca="1" si="304"/>
        <v>0</v>
      </c>
      <c r="AO899" s="32">
        <v>880</v>
      </c>
      <c r="AP899" s="32">
        <v>74</v>
      </c>
      <c r="AQ899" s="32">
        <v>4</v>
      </c>
      <c r="AR899" s="13"/>
      <c r="AS899" s="32"/>
      <c r="AT899" s="13">
        <f t="shared" ca="1" si="305"/>
        <v>0</v>
      </c>
      <c r="AU899" s="33"/>
      <c r="AV899" s="13">
        <f t="shared" ca="1" si="296"/>
        <v>0</v>
      </c>
      <c r="AW899" s="13">
        <f ca="1">ROUNDUP(($AT899+$AV899)*VLOOKUP($AP899,Paraméterek!$P$38:$Q$38,2)/12*IF($D900="Nem",IF($M$13=0,1,$M$13),1),IF($D$4="Forint",0,2))</f>
        <v>0</v>
      </c>
      <c r="AX899" s="13"/>
      <c r="AY899" s="13"/>
      <c r="AZ899" s="13">
        <f>ROUNDUP(IF(SUM($AX899:$AY899)=0,0,IF(IF(ISBLANK($AY899),$AX899,$AY899)*Paraméterek!$J$112&lt;IF($D$4="Forint",Paraméterek!$J$113,Paraméterek!$K$113),IF($D$4="Forint",Paraméterek!$J$113,Paraméterek!$K$113),IF(IF(ISBLANK($AY899),$AX899,$AY899)*Paraméterek!$J$112&gt;IF($D$4="Forint",Paraméterek!$J$114,Paraméterek!$K$114),IF($D$4="Forint",Paraméterek!$J$114,Paraméterek!$K$114),IF(ISBLANK($AY899),$AX899,$AY899)*Paraméterek!$J$112))),IF($D$4="Forint",0,2))</f>
        <v>0</v>
      </c>
      <c r="BA899" s="13">
        <f ca="1">$AT899+$AV899-$AW899-IF(ROUNDDOWN(IF(ISBLANK($AY899),$AX899,$AY899),IF($D$4="Forint",0,2))&gt;$AT899+$AV899-$AW899-IF($D$4="Forint",Paraméterek!$J$114,Paraméterek!$K$114),0,ROUNDDOWN(IF(ISBLANK($AY899),$AX899,$AY899),IF($D$4="Forint",0,2))-$AZ899)</f>
        <v>0</v>
      </c>
      <c r="BB899" s="13">
        <f t="shared" ca="1" si="297"/>
        <v>0</v>
      </c>
      <c r="BD899" s="32">
        <v>880</v>
      </c>
      <c r="BE899" s="32">
        <v>74</v>
      </c>
      <c r="BF899" s="32">
        <v>4</v>
      </c>
      <c r="BG899" s="34">
        <f t="shared" ca="1" si="306"/>
        <v>2092</v>
      </c>
      <c r="BH899" s="32" t="str">
        <f ca="1">IF(MOD(MONTH($D$14)+$BD899-1,12)=Paraméterek!$C$288,"Igen","")</f>
        <v/>
      </c>
      <c r="BI899" s="13">
        <f ca="1">IF($BH899="Igen",MIN(ROUNDDOWN((SUMIF($BG$20:$BG$1027,$BG899-1,$K$20:$K$1027)-SUMIF($BG$20:$BG$1027,$BG899-1,$I$20:$I$1027))*Paraméterek!$C$289,IF($D$4="Forint",0,2)),IF($D$4="Forint",Paraméterek!$C$285,Paraméterek!$D$285)),0)</f>
        <v>0</v>
      </c>
      <c r="BJ899" s="13">
        <f t="shared" ca="1" si="298"/>
        <v>0</v>
      </c>
      <c r="BK899" s="13">
        <f t="shared" ca="1" si="307"/>
        <v>0</v>
      </c>
      <c r="BL899" s="33"/>
      <c r="BM899" s="13">
        <f t="shared" ca="1" si="299"/>
        <v>0</v>
      </c>
      <c r="BN899" s="13">
        <f ca="1">ROUNDUP(($BK899+$BM899)*VLOOKUP($BE899,Paraméterek!$P$38:$Q$38,2)/12*IF($D900="Nem",IF($M$13=0,1,$M$13),1),IF($D$4="Forint",0,2))</f>
        <v>0</v>
      </c>
      <c r="BO899" s="13">
        <f t="shared" ca="1" si="300"/>
        <v>0</v>
      </c>
      <c r="BP899" s="13">
        <f ca="1">IF($D900="Nem",$BO899,$BO899-ROUNDUP(SUM($BI$20:$BI899)*120%,IF($D$4="Forint",0,2)))</f>
        <v>0</v>
      </c>
    </row>
    <row r="900" spans="1:68" x14ac:dyDescent="0.2">
      <c r="A900" s="32">
        <v>881</v>
      </c>
      <c r="B900" s="32">
        <v>74</v>
      </c>
      <c r="C900" s="32">
        <v>5</v>
      </c>
      <c r="D900" s="32" t="str">
        <f t="shared" ca="1" si="286"/>
        <v>Nem</v>
      </c>
      <c r="E900" s="13">
        <f t="shared" ca="1" si="287"/>
        <v>0</v>
      </c>
      <c r="F900" s="13"/>
      <c r="G900" s="13"/>
      <c r="H900" s="13"/>
      <c r="I900" s="13">
        <f t="shared" ca="1" si="288"/>
        <v>0</v>
      </c>
      <c r="J900" s="13">
        <f t="shared" ca="1" si="289"/>
        <v>0</v>
      </c>
      <c r="K900" s="13">
        <f t="shared" ca="1" si="290"/>
        <v>0</v>
      </c>
      <c r="L900" s="13" t="e">
        <f ca="1">ROUNDUP(IF($D$2="Egyszeri",$E900,IF($D$2="Havi",SUM($E$20:$E$31),IF(MOD($C900,$M$1)-1=0,SUM($E$20:$E$31),0))/12*$M$1)*VLOOKUP($B900,Paraméterek!$I$28:$P$31,IF($D$2="Egyszeri",8,HLOOKUP(ROUNDUP($M$11+$M$13,0),Paraméterek!$J$26:$O$27,2))),IF($D$4="Forint",0,2))</f>
        <v>#N/A</v>
      </c>
      <c r="M900" s="13">
        <f t="shared" ca="1" si="291"/>
        <v>0</v>
      </c>
      <c r="N900" s="13">
        <f t="shared" ca="1" si="301"/>
        <v>0</v>
      </c>
      <c r="O900" s="13">
        <f ca="1">IF($D900="Igen",IF($W899&gt;=IF($D$4="Forint",Paraméterek!$J$121,Paraméterek!$K$121),0,IF($D$4="Forint",Paraméterek!$J$121,Paraméterek!$K$121)-$W899),0)</f>
        <v>0</v>
      </c>
      <c r="P900" s="13" t="e">
        <f ca="1">ROUNDUP($O900*VLOOKUP($M$4+$B900-1,Paraméterek!$H$58:$I$105,2,0)/Paraméterek!$I$56,IF($D$4="Forint",0,2))</f>
        <v>#N/A</v>
      </c>
      <c r="Q900" s="13">
        <f t="shared" ca="1" si="292"/>
        <v>0</v>
      </c>
      <c r="R900" s="33"/>
      <c r="S900" s="13" t="e">
        <f t="shared" ca="1" si="293"/>
        <v>#N/A</v>
      </c>
      <c r="T900" s="13" t="e">
        <f ca="1">ROUNDUP(($N900-$P900-$Q900+$S900)*VLOOKUP($B900,Paraméterek!$I$38:$K$39,IF($D$2="Egyszeri",3,2))/12*IF($D901="Nem",IF($M$13=0,1,$M$13),1),IF($D$4="Forint",0,2))</f>
        <v>#N/A</v>
      </c>
      <c r="U900" s="13"/>
      <c r="V900" s="13"/>
      <c r="W900" s="13" t="e">
        <f ca="1">$N900-$P900-$Q900+$S900-$T900-IF(ROUNDUP(IF(ISBLANK($V900),$U900*0,$V900)/IF($D$2="Egyszeri",VLOOKUP($B900+IF($C900=12,1,0),Paraméterek!$V$257:$W$262,2),IF($B900=1,1,VLOOKUP($B900+IF($C900=12,1,0),Paraméterek!$I$258:$T$278,HLOOKUP($M$11+1,Paraméterek!$J$256:$T$257,2)))),IF($D$4="Forint",0,2))&gt;$N900-$P900-$Q900+$S900-$T900-IF($D$4="Forint",Paraméterek!$C$216,Paraméterek!$D$216),0,ROUNDUP(IF(ISBLANK($V900),$U900*0,$V900)/IF($D$2="Egyszeri",VLOOKUP($B900+IF($C900=12,1,0),Paraméterek!$V$257:$W$262,2),IF($B900=1,1,VLOOKUP($B900+IF($C900=12,1,0),Paraméterek!$I$258:$T$278,HLOOKUP($M$11+1,Paraméterek!$J$256:$T$257,2)))),IF($D$4="Forint",0,2)))</f>
        <v>#N/A</v>
      </c>
      <c r="X900" s="13" t="e">
        <f ca="1">ROUNDDOWN($W900*IF($D$2="Egyszeri",VLOOKUP($B900+IF($C900=12,1,0),Paraméterek!$V$257:$W$262,2),VLOOKUP($B900+IF($C900=12,1,0),Paraméterek!$I$258:$T$278,HLOOKUP($M$11+1,Paraméterek!$I$256:$T$257,2))),IF($D$4="Forint",0,2))</f>
        <v>#N/A</v>
      </c>
      <c r="Z900" s="32">
        <v>881</v>
      </c>
      <c r="AA900" s="32">
        <v>74</v>
      </c>
      <c r="AB900" s="32">
        <v>5</v>
      </c>
      <c r="AC900" s="13">
        <f t="shared" ca="1" si="302"/>
        <v>0</v>
      </c>
      <c r="AD900" s="33"/>
      <c r="AE900" s="13">
        <f t="shared" ca="1" si="294"/>
        <v>0</v>
      </c>
      <c r="AF900" s="13">
        <f ca="1">ROUNDUP(($AC900+$AE900)*VLOOKUP($AA900,Paraméterek!$P$38:$Q$38,2)/12*IF($D901="Nem",IF($M$13=0,1,$M$13),1),IF($D$4="Forint",0,2))</f>
        <v>0</v>
      </c>
      <c r="AG900" s="13">
        <f ca="1">IF($D$2="Egyszeri",IF($D$7&gt;=IF($D$4="Forint",Paraméterek!$P$223,Paraméterek!$P$224),$D$7-IF($D$4="Forint",Paraméterek!$P$223,Paraméterek!$P$224),0),MIN(IF($AB900=12,AVERAGEIF($E$20:$E900,"&gt;0",$E$20:$E900)*12,0),SUM($E$20:$E$31)))</f>
        <v>0</v>
      </c>
      <c r="AH900" s="13">
        <f>IF($AA900=10,$AG900*IF($AB900=12,IF($AG900&lt;IF($D$4="Forint",Paraméterek!$L$223,Paraméterek!$L$224),0,VLOOKUP($AA900,Paraméterek!$K$226:$M$228,IF($AG900&lt;IF($D$4="Forint",Paraméterek!$M$223,Paraméterek!$M$224),2,3))),0),0)</f>
        <v>0</v>
      </c>
      <c r="AI900" s="13">
        <f ca="1">IF(AND($AA900=$M$11+1,$AB900=$M$12+1),SUMIF($AA$20:$AA$1027,$AA900,$AG$20:$AG$1027)*IF(SUMIF($AA$20:$AA$1027,$AA900,$AG$20:$AG$1027)&lt;IF($D$4="Forint",Paraméterek!$L$223,Paraméterek!$L$224),0,VLOOKUP($AA900,Paraméterek!$K$230:$M$250,IF(SUMIF($AA$20:$AA$1027,$AA900,$AG$20:$AG$1027)&lt;IF($D$4="Forint",Paraméterek!$M$223,Paraméterek!$M$224),2,3))),0)</f>
        <v>0</v>
      </c>
      <c r="AJ900" s="13">
        <f ca="1">IF(AND($AA900&gt;=5,MOD($AA900,5)=0),IF($AB900=12,VLOOKUP($AA900,Paraméterek!$O$225:$P$240,2),0),IF(OR($AA900=3,$AA900=4),IF($AB900=12,VLOOKUP($AA900,Paraméterek!$O$225:$P$240,2,0),0),0))*$AG900</f>
        <v>0</v>
      </c>
      <c r="AK900" s="13">
        <f t="shared" ca="1" si="295"/>
        <v>0</v>
      </c>
      <c r="AL900" s="13">
        <f t="shared" ca="1" si="303"/>
        <v>0</v>
      </c>
      <c r="AM900" s="13">
        <f t="shared" ca="1" si="304"/>
        <v>0</v>
      </c>
      <c r="AO900" s="32">
        <v>881</v>
      </c>
      <c r="AP900" s="32">
        <v>74</v>
      </c>
      <c r="AQ900" s="32">
        <v>5</v>
      </c>
      <c r="AR900" s="13"/>
      <c r="AS900" s="32"/>
      <c r="AT900" s="13">
        <f t="shared" ca="1" si="305"/>
        <v>0</v>
      </c>
      <c r="AU900" s="33"/>
      <c r="AV900" s="13">
        <f t="shared" ca="1" si="296"/>
        <v>0</v>
      </c>
      <c r="AW900" s="13">
        <f ca="1">ROUNDUP(($AT900+$AV900)*VLOOKUP($AP900,Paraméterek!$P$38:$Q$38,2)/12*IF($D901="Nem",IF($M$13=0,1,$M$13),1),IF($D$4="Forint",0,2))</f>
        <v>0</v>
      </c>
      <c r="AX900" s="13"/>
      <c r="AY900" s="13"/>
      <c r="AZ900" s="13">
        <f>ROUNDUP(IF(SUM($AX900:$AY900)=0,0,IF(IF(ISBLANK($AY900),$AX900,$AY900)*Paraméterek!$J$112&lt;IF($D$4="Forint",Paraméterek!$J$113,Paraméterek!$K$113),IF($D$4="Forint",Paraméterek!$J$113,Paraméterek!$K$113),IF(IF(ISBLANK($AY900),$AX900,$AY900)*Paraméterek!$J$112&gt;IF($D$4="Forint",Paraméterek!$J$114,Paraméterek!$K$114),IF($D$4="Forint",Paraméterek!$J$114,Paraméterek!$K$114),IF(ISBLANK($AY900),$AX900,$AY900)*Paraméterek!$J$112))),IF($D$4="Forint",0,2))</f>
        <v>0</v>
      </c>
      <c r="BA900" s="13">
        <f ca="1">$AT900+$AV900-$AW900-IF(ROUNDDOWN(IF(ISBLANK($AY900),$AX900,$AY900),IF($D$4="Forint",0,2))&gt;$AT900+$AV900-$AW900-IF($D$4="Forint",Paraméterek!$J$114,Paraméterek!$K$114),0,ROUNDDOWN(IF(ISBLANK($AY900),$AX900,$AY900),IF($D$4="Forint",0,2))-$AZ900)</f>
        <v>0</v>
      </c>
      <c r="BB900" s="13">
        <f t="shared" ca="1" si="297"/>
        <v>0</v>
      </c>
      <c r="BD900" s="32">
        <v>881</v>
      </c>
      <c r="BE900" s="32">
        <v>74</v>
      </c>
      <c r="BF900" s="32">
        <v>5</v>
      </c>
      <c r="BG900" s="34">
        <f t="shared" ca="1" si="306"/>
        <v>2092</v>
      </c>
      <c r="BH900" s="32" t="str">
        <f ca="1">IF(MOD(MONTH($D$14)+$BD900-1,12)=Paraméterek!$C$288,"Igen","")</f>
        <v/>
      </c>
      <c r="BI900" s="13">
        <f ca="1">IF($BH900="Igen",MIN(ROUNDDOWN((SUMIF($BG$20:$BG$1027,$BG900-1,$K$20:$K$1027)-SUMIF($BG$20:$BG$1027,$BG900-1,$I$20:$I$1027))*Paraméterek!$C$289,IF($D$4="Forint",0,2)),IF($D$4="Forint",Paraméterek!$C$285,Paraméterek!$D$285)),0)</f>
        <v>0</v>
      </c>
      <c r="BJ900" s="13">
        <f t="shared" ca="1" si="298"/>
        <v>0</v>
      </c>
      <c r="BK900" s="13">
        <f t="shared" ca="1" si="307"/>
        <v>0</v>
      </c>
      <c r="BL900" s="33"/>
      <c r="BM900" s="13">
        <f t="shared" ca="1" si="299"/>
        <v>0</v>
      </c>
      <c r="BN900" s="13">
        <f ca="1">ROUNDUP(($BK900+$BM900)*VLOOKUP($BE900,Paraméterek!$P$38:$Q$38,2)/12*IF($D901="Nem",IF($M$13=0,1,$M$13),1),IF($D$4="Forint",0,2))</f>
        <v>0</v>
      </c>
      <c r="BO900" s="13">
        <f t="shared" ca="1" si="300"/>
        <v>0</v>
      </c>
      <c r="BP900" s="13">
        <f ca="1">IF($D901="Nem",$BO900,$BO900-ROUNDUP(SUM($BI$20:$BI900)*120%,IF($D$4="Forint",0,2)))</f>
        <v>0</v>
      </c>
    </row>
    <row r="901" spans="1:68" x14ac:dyDescent="0.2">
      <c r="A901" s="32">
        <v>882</v>
      </c>
      <c r="B901" s="32">
        <v>74</v>
      </c>
      <c r="C901" s="32">
        <v>6</v>
      </c>
      <c r="D901" s="32" t="str">
        <f t="shared" ca="1" si="286"/>
        <v>Nem</v>
      </c>
      <c r="E901" s="13">
        <f t="shared" ca="1" si="287"/>
        <v>0</v>
      </c>
      <c r="F901" s="13"/>
      <c r="G901" s="13"/>
      <c r="H901" s="13"/>
      <c r="I901" s="13">
        <f t="shared" ca="1" si="288"/>
        <v>0</v>
      </c>
      <c r="J901" s="13">
        <f t="shared" ca="1" si="289"/>
        <v>0</v>
      </c>
      <c r="K901" s="13">
        <f t="shared" ca="1" si="290"/>
        <v>0</v>
      </c>
      <c r="L901" s="13" t="e">
        <f ca="1">ROUNDUP(IF($D$2="Egyszeri",$E901,IF($D$2="Havi",SUM($E$20:$E$31),IF(MOD($C901,$M$1)-1=0,SUM($E$20:$E$31),0))/12*$M$1)*VLOOKUP($B901,Paraméterek!$I$28:$P$31,IF($D$2="Egyszeri",8,HLOOKUP(ROUNDUP($M$11+$M$13,0),Paraméterek!$J$26:$O$27,2))),IF($D$4="Forint",0,2))</f>
        <v>#N/A</v>
      </c>
      <c r="M901" s="13">
        <f t="shared" ca="1" si="291"/>
        <v>0</v>
      </c>
      <c r="N901" s="13">
        <f t="shared" ca="1" si="301"/>
        <v>0</v>
      </c>
      <c r="O901" s="13">
        <f ca="1">IF($D901="Igen",IF($W900&gt;=IF($D$4="Forint",Paraméterek!$J$121,Paraméterek!$K$121),0,IF($D$4="Forint",Paraméterek!$J$121,Paraméterek!$K$121)-$W900),0)</f>
        <v>0</v>
      </c>
      <c r="P901" s="13" t="e">
        <f ca="1">ROUNDUP($O901*VLOOKUP($M$4+$B901-1,Paraméterek!$H$58:$I$105,2,0)/Paraméterek!$I$56,IF($D$4="Forint",0,2))</f>
        <v>#N/A</v>
      </c>
      <c r="Q901" s="13">
        <f t="shared" ca="1" si="292"/>
        <v>0</v>
      </c>
      <c r="R901" s="33"/>
      <c r="S901" s="13" t="e">
        <f t="shared" ca="1" si="293"/>
        <v>#N/A</v>
      </c>
      <c r="T901" s="13" t="e">
        <f ca="1">ROUNDUP(($N901-$P901-$Q901+$S901)*VLOOKUP($B901,Paraméterek!$I$38:$K$39,IF($D$2="Egyszeri",3,2))/12*IF($D902="Nem",IF($M$13=0,1,$M$13),1),IF($D$4="Forint",0,2))</f>
        <v>#N/A</v>
      </c>
      <c r="U901" s="13"/>
      <c r="V901" s="13"/>
      <c r="W901" s="13" t="e">
        <f ca="1">$N901-$P901-$Q901+$S901-$T901-IF(ROUNDUP(IF(ISBLANK($V901),$U901*0,$V901)/IF($D$2="Egyszeri",VLOOKUP($B901+IF($C901=12,1,0),Paraméterek!$V$257:$W$262,2),IF($B901=1,1,VLOOKUP($B901+IF($C901=12,1,0),Paraméterek!$I$258:$T$278,HLOOKUP($M$11+1,Paraméterek!$J$256:$T$257,2)))),IF($D$4="Forint",0,2))&gt;$N901-$P901-$Q901+$S901-$T901-IF($D$4="Forint",Paraméterek!$C$216,Paraméterek!$D$216),0,ROUNDUP(IF(ISBLANK($V901),$U901*0,$V901)/IF($D$2="Egyszeri",VLOOKUP($B901+IF($C901=12,1,0),Paraméterek!$V$257:$W$262,2),IF($B901=1,1,VLOOKUP($B901+IF($C901=12,1,0),Paraméterek!$I$258:$T$278,HLOOKUP($M$11+1,Paraméterek!$J$256:$T$257,2)))),IF($D$4="Forint",0,2)))</f>
        <v>#N/A</v>
      </c>
      <c r="X901" s="13" t="e">
        <f ca="1">ROUNDDOWN($W901*IF($D$2="Egyszeri",VLOOKUP($B901+IF($C901=12,1,0),Paraméterek!$V$257:$W$262,2),VLOOKUP($B901+IF($C901=12,1,0),Paraméterek!$I$258:$T$278,HLOOKUP($M$11+1,Paraméterek!$I$256:$T$257,2))),IF($D$4="Forint",0,2))</f>
        <v>#N/A</v>
      </c>
      <c r="Z901" s="32">
        <v>882</v>
      </c>
      <c r="AA901" s="32">
        <v>74</v>
      </c>
      <c r="AB901" s="32">
        <v>6</v>
      </c>
      <c r="AC901" s="13">
        <f t="shared" ca="1" si="302"/>
        <v>0</v>
      </c>
      <c r="AD901" s="33"/>
      <c r="AE901" s="13">
        <f t="shared" ca="1" si="294"/>
        <v>0</v>
      </c>
      <c r="AF901" s="13">
        <f ca="1">ROUNDUP(($AC901+$AE901)*VLOOKUP($AA901,Paraméterek!$P$38:$Q$38,2)/12*IF($D902="Nem",IF($M$13=0,1,$M$13),1),IF($D$4="Forint",0,2))</f>
        <v>0</v>
      </c>
      <c r="AG901" s="13">
        <f ca="1">IF($D$2="Egyszeri",IF($D$7&gt;=IF($D$4="Forint",Paraméterek!$P$223,Paraméterek!$P$224),$D$7-IF($D$4="Forint",Paraméterek!$P$223,Paraméterek!$P$224),0),MIN(IF($AB901=12,AVERAGEIF($E$20:$E901,"&gt;0",$E$20:$E901)*12,0),SUM($E$20:$E$31)))</f>
        <v>0</v>
      </c>
      <c r="AH901" s="13">
        <f>IF($AA901=10,$AG901*IF($AB901=12,IF($AG901&lt;IF($D$4="Forint",Paraméterek!$L$223,Paraméterek!$L$224),0,VLOOKUP($AA901,Paraméterek!$K$226:$M$228,IF($AG901&lt;IF($D$4="Forint",Paraméterek!$M$223,Paraméterek!$M$224),2,3))),0),0)</f>
        <v>0</v>
      </c>
      <c r="AI901" s="13">
        <f ca="1">IF(AND($AA901=$M$11+1,$AB901=$M$12+1),SUMIF($AA$20:$AA$1027,$AA901,$AG$20:$AG$1027)*IF(SUMIF($AA$20:$AA$1027,$AA901,$AG$20:$AG$1027)&lt;IF($D$4="Forint",Paraméterek!$L$223,Paraméterek!$L$224),0,VLOOKUP($AA901,Paraméterek!$K$230:$M$250,IF(SUMIF($AA$20:$AA$1027,$AA901,$AG$20:$AG$1027)&lt;IF($D$4="Forint",Paraméterek!$M$223,Paraméterek!$M$224),2,3))),0)</f>
        <v>0</v>
      </c>
      <c r="AJ901" s="13">
        <f ca="1">IF(AND($AA901&gt;=5,MOD($AA901,5)=0),IF($AB901=12,VLOOKUP($AA901,Paraméterek!$O$225:$P$240,2),0),IF(OR($AA901=3,$AA901=4),IF($AB901=12,VLOOKUP($AA901,Paraméterek!$O$225:$P$240,2,0),0),0))*$AG901</f>
        <v>0</v>
      </c>
      <c r="AK901" s="13">
        <f t="shared" ca="1" si="295"/>
        <v>0</v>
      </c>
      <c r="AL901" s="13">
        <f t="shared" ca="1" si="303"/>
        <v>0</v>
      </c>
      <c r="AM901" s="13">
        <f t="shared" ca="1" si="304"/>
        <v>0</v>
      </c>
      <c r="AO901" s="32">
        <v>882</v>
      </c>
      <c r="AP901" s="32">
        <v>74</v>
      </c>
      <c r="AQ901" s="32">
        <v>6</v>
      </c>
      <c r="AR901" s="13"/>
      <c r="AS901" s="32"/>
      <c r="AT901" s="13">
        <f t="shared" ca="1" si="305"/>
        <v>0</v>
      </c>
      <c r="AU901" s="33"/>
      <c r="AV901" s="13">
        <f t="shared" ca="1" si="296"/>
        <v>0</v>
      </c>
      <c r="AW901" s="13">
        <f ca="1">ROUNDUP(($AT901+$AV901)*VLOOKUP($AP901,Paraméterek!$P$38:$Q$38,2)/12*IF($D902="Nem",IF($M$13=0,1,$M$13),1),IF($D$4="Forint",0,2))</f>
        <v>0</v>
      </c>
      <c r="AX901" s="13"/>
      <c r="AY901" s="13"/>
      <c r="AZ901" s="13">
        <f>ROUNDUP(IF(SUM($AX901:$AY901)=0,0,IF(IF(ISBLANK($AY901),$AX901,$AY901)*Paraméterek!$J$112&lt;IF($D$4="Forint",Paraméterek!$J$113,Paraméterek!$K$113),IF($D$4="Forint",Paraméterek!$J$113,Paraméterek!$K$113),IF(IF(ISBLANK($AY901),$AX901,$AY901)*Paraméterek!$J$112&gt;IF($D$4="Forint",Paraméterek!$J$114,Paraméterek!$K$114),IF($D$4="Forint",Paraméterek!$J$114,Paraméterek!$K$114),IF(ISBLANK($AY901),$AX901,$AY901)*Paraméterek!$J$112))),IF($D$4="Forint",0,2))</f>
        <v>0</v>
      </c>
      <c r="BA901" s="13">
        <f ca="1">$AT901+$AV901-$AW901-IF(ROUNDDOWN(IF(ISBLANK($AY901),$AX901,$AY901),IF($D$4="Forint",0,2))&gt;$AT901+$AV901-$AW901-IF($D$4="Forint",Paraméterek!$J$114,Paraméterek!$K$114),0,ROUNDDOWN(IF(ISBLANK($AY901),$AX901,$AY901),IF($D$4="Forint",0,2))-$AZ901)</f>
        <v>0</v>
      </c>
      <c r="BB901" s="13">
        <f t="shared" ca="1" si="297"/>
        <v>0</v>
      </c>
      <c r="BD901" s="32">
        <v>882</v>
      </c>
      <c r="BE901" s="32">
        <v>74</v>
      </c>
      <c r="BF901" s="32">
        <v>6</v>
      </c>
      <c r="BG901" s="34">
        <f t="shared" ca="1" si="306"/>
        <v>2092</v>
      </c>
      <c r="BH901" s="32" t="str">
        <f ca="1">IF(MOD(MONTH($D$14)+$BD901-1,12)=Paraméterek!$C$288,"Igen","")</f>
        <v/>
      </c>
      <c r="BI901" s="13">
        <f ca="1">IF($BH901="Igen",MIN(ROUNDDOWN((SUMIF($BG$20:$BG$1027,$BG901-1,$K$20:$K$1027)-SUMIF($BG$20:$BG$1027,$BG901-1,$I$20:$I$1027))*Paraméterek!$C$289,IF($D$4="Forint",0,2)),IF($D$4="Forint",Paraméterek!$C$285,Paraméterek!$D$285)),0)</f>
        <v>0</v>
      </c>
      <c r="BJ901" s="13">
        <f t="shared" ca="1" si="298"/>
        <v>0</v>
      </c>
      <c r="BK901" s="13">
        <f t="shared" ca="1" si="307"/>
        <v>0</v>
      </c>
      <c r="BL901" s="33"/>
      <c r="BM901" s="13">
        <f t="shared" ca="1" si="299"/>
        <v>0</v>
      </c>
      <c r="BN901" s="13">
        <f ca="1">ROUNDUP(($BK901+$BM901)*VLOOKUP($BE901,Paraméterek!$P$38:$Q$38,2)/12*IF($D902="Nem",IF($M$13=0,1,$M$13),1),IF($D$4="Forint",0,2))</f>
        <v>0</v>
      </c>
      <c r="BO901" s="13">
        <f t="shared" ca="1" si="300"/>
        <v>0</v>
      </c>
      <c r="BP901" s="13">
        <f ca="1">IF($D902="Nem",$BO901,$BO901-ROUNDUP(SUM($BI$20:$BI901)*120%,IF($D$4="Forint",0,2)))</f>
        <v>0</v>
      </c>
    </row>
    <row r="902" spans="1:68" x14ac:dyDescent="0.2">
      <c r="A902" s="32">
        <v>883</v>
      </c>
      <c r="B902" s="32">
        <v>74</v>
      </c>
      <c r="C902" s="32">
        <v>7</v>
      </c>
      <c r="D902" s="32" t="str">
        <f t="shared" ca="1" si="286"/>
        <v>Nem</v>
      </c>
      <c r="E902" s="13">
        <f t="shared" ca="1" si="287"/>
        <v>0</v>
      </c>
      <c r="F902" s="13"/>
      <c r="G902" s="13"/>
      <c r="H902" s="13"/>
      <c r="I902" s="13">
        <f t="shared" ca="1" si="288"/>
        <v>0</v>
      </c>
      <c r="J902" s="13">
        <f t="shared" ca="1" si="289"/>
        <v>0</v>
      </c>
      <c r="K902" s="13">
        <f t="shared" ca="1" si="290"/>
        <v>0</v>
      </c>
      <c r="L902" s="13" t="e">
        <f ca="1">ROUNDUP(IF($D$2="Egyszeri",$E902,IF($D$2="Havi",SUM($E$20:$E$31),IF(MOD($C902,$M$1)-1=0,SUM($E$20:$E$31),0))/12*$M$1)*VLOOKUP($B902,Paraméterek!$I$28:$P$31,IF($D$2="Egyszeri",8,HLOOKUP(ROUNDUP($M$11+$M$13,0),Paraméterek!$J$26:$O$27,2))),IF($D$4="Forint",0,2))</f>
        <v>#N/A</v>
      </c>
      <c r="M902" s="13">
        <f t="shared" ca="1" si="291"/>
        <v>0</v>
      </c>
      <c r="N902" s="13">
        <f t="shared" ca="1" si="301"/>
        <v>0</v>
      </c>
      <c r="O902" s="13">
        <f ca="1">IF($D902="Igen",IF($W901&gt;=IF($D$4="Forint",Paraméterek!$J$121,Paraméterek!$K$121),0,IF($D$4="Forint",Paraméterek!$J$121,Paraméterek!$K$121)-$W901),0)</f>
        <v>0</v>
      </c>
      <c r="P902" s="13" t="e">
        <f ca="1">ROUNDUP($O902*VLOOKUP($M$4+$B902-1,Paraméterek!$H$58:$I$105,2,0)/Paraméterek!$I$56,IF($D$4="Forint",0,2))</f>
        <v>#N/A</v>
      </c>
      <c r="Q902" s="13">
        <f t="shared" ca="1" si="292"/>
        <v>0</v>
      </c>
      <c r="R902" s="33"/>
      <c r="S902" s="13" t="e">
        <f t="shared" ca="1" si="293"/>
        <v>#N/A</v>
      </c>
      <c r="T902" s="13" t="e">
        <f ca="1">ROUNDUP(($N902-$P902-$Q902+$S902)*VLOOKUP($B902,Paraméterek!$I$38:$K$39,IF($D$2="Egyszeri",3,2))/12*IF($D903="Nem",IF($M$13=0,1,$M$13),1),IF($D$4="Forint",0,2))</f>
        <v>#N/A</v>
      </c>
      <c r="U902" s="13"/>
      <c r="V902" s="13"/>
      <c r="W902" s="13" t="e">
        <f ca="1">$N902-$P902-$Q902+$S902-$T902-IF(ROUNDUP(IF(ISBLANK($V902),$U902*0,$V902)/IF($D$2="Egyszeri",VLOOKUP($B902+IF($C902=12,1,0),Paraméterek!$V$257:$W$262,2),IF($B902=1,1,VLOOKUP($B902+IF($C902=12,1,0),Paraméterek!$I$258:$T$278,HLOOKUP($M$11+1,Paraméterek!$J$256:$T$257,2)))),IF($D$4="Forint",0,2))&gt;$N902-$P902-$Q902+$S902-$T902-IF($D$4="Forint",Paraméterek!$C$216,Paraméterek!$D$216),0,ROUNDUP(IF(ISBLANK($V902),$U902*0,$V902)/IF($D$2="Egyszeri",VLOOKUP($B902+IF($C902=12,1,0),Paraméterek!$V$257:$W$262,2),IF($B902=1,1,VLOOKUP($B902+IF($C902=12,1,0),Paraméterek!$I$258:$T$278,HLOOKUP($M$11+1,Paraméterek!$J$256:$T$257,2)))),IF($D$4="Forint",0,2)))</f>
        <v>#N/A</v>
      </c>
      <c r="X902" s="13" t="e">
        <f ca="1">ROUNDDOWN($W902*IF($D$2="Egyszeri",VLOOKUP($B902+IF($C902=12,1,0),Paraméterek!$V$257:$W$262,2),VLOOKUP($B902+IF($C902=12,1,0),Paraméterek!$I$258:$T$278,HLOOKUP($M$11+1,Paraméterek!$I$256:$T$257,2))),IF($D$4="Forint",0,2))</f>
        <v>#N/A</v>
      </c>
      <c r="Z902" s="32">
        <v>883</v>
      </c>
      <c r="AA902" s="32">
        <v>74</v>
      </c>
      <c r="AB902" s="32">
        <v>7</v>
      </c>
      <c r="AC902" s="13">
        <f t="shared" ca="1" si="302"/>
        <v>0</v>
      </c>
      <c r="AD902" s="33"/>
      <c r="AE902" s="13">
        <f t="shared" ca="1" si="294"/>
        <v>0</v>
      </c>
      <c r="AF902" s="13">
        <f ca="1">ROUNDUP(($AC902+$AE902)*VLOOKUP($AA902,Paraméterek!$P$38:$Q$38,2)/12*IF($D903="Nem",IF($M$13=0,1,$M$13),1),IF($D$4="Forint",0,2))</f>
        <v>0</v>
      </c>
      <c r="AG902" s="13">
        <f ca="1">IF($D$2="Egyszeri",IF($D$7&gt;=IF($D$4="Forint",Paraméterek!$P$223,Paraméterek!$P$224),$D$7-IF($D$4="Forint",Paraméterek!$P$223,Paraméterek!$P$224),0),MIN(IF($AB902=12,AVERAGEIF($E$20:$E902,"&gt;0",$E$20:$E902)*12,0),SUM($E$20:$E$31)))</f>
        <v>0</v>
      </c>
      <c r="AH902" s="13">
        <f>IF($AA902=10,$AG902*IF($AB902=12,IF($AG902&lt;IF($D$4="Forint",Paraméterek!$L$223,Paraméterek!$L$224),0,VLOOKUP($AA902,Paraméterek!$K$226:$M$228,IF($AG902&lt;IF($D$4="Forint",Paraméterek!$M$223,Paraméterek!$M$224),2,3))),0),0)</f>
        <v>0</v>
      </c>
      <c r="AI902" s="13">
        <f ca="1">IF(AND($AA902=$M$11+1,$AB902=$M$12+1),SUMIF($AA$20:$AA$1027,$AA902,$AG$20:$AG$1027)*IF(SUMIF($AA$20:$AA$1027,$AA902,$AG$20:$AG$1027)&lt;IF($D$4="Forint",Paraméterek!$L$223,Paraméterek!$L$224),0,VLOOKUP($AA902,Paraméterek!$K$230:$M$250,IF(SUMIF($AA$20:$AA$1027,$AA902,$AG$20:$AG$1027)&lt;IF($D$4="Forint",Paraméterek!$M$223,Paraméterek!$M$224),2,3))),0)</f>
        <v>0</v>
      </c>
      <c r="AJ902" s="13">
        <f ca="1">IF(AND($AA902&gt;=5,MOD($AA902,5)=0),IF($AB902=12,VLOOKUP($AA902,Paraméterek!$O$225:$P$240,2),0),IF(OR($AA902=3,$AA902=4),IF($AB902=12,VLOOKUP($AA902,Paraméterek!$O$225:$P$240,2,0),0),0))*$AG902</f>
        <v>0</v>
      </c>
      <c r="AK902" s="13">
        <f t="shared" ca="1" si="295"/>
        <v>0</v>
      </c>
      <c r="AL902" s="13">
        <f t="shared" ca="1" si="303"/>
        <v>0</v>
      </c>
      <c r="AM902" s="13">
        <f t="shared" ca="1" si="304"/>
        <v>0</v>
      </c>
      <c r="AO902" s="32">
        <v>883</v>
      </c>
      <c r="AP902" s="32">
        <v>74</v>
      </c>
      <c r="AQ902" s="32">
        <v>7</v>
      </c>
      <c r="AR902" s="13"/>
      <c r="AS902" s="32"/>
      <c r="AT902" s="13">
        <f t="shared" ca="1" si="305"/>
        <v>0</v>
      </c>
      <c r="AU902" s="33"/>
      <c r="AV902" s="13">
        <f t="shared" ca="1" si="296"/>
        <v>0</v>
      </c>
      <c r="AW902" s="13">
        <f ca="1">ROUNDUP(($AT902+$AV902)*VLOOKUP($AP902,Paraméterek!$P$38:$Q$38,2)/12*IF($D903="Nem",IF($M$13=0,1,$M$13),1),IF($D$4="Forint",0,2))</f>
        <v>0</v>
      </c>
      <c r="AX902" s="13"/>
      <c r="AY902" s="13"/>
      <c r="AZ902" s="13">
        <f>ROUNDUP(IF(SUM($AX902:$AY902)=0,0,IF(IF(ISBLANK($AY902),$AX902,$AY902)*Paraméterek!$J$112&lt;IF($D$4="Forint",Paraméterek!$J$113,Paraméterek!$K$113),IF($D$4="Forint",Paraméterek!$J$113,Paraméterek!$K$113),IF(IF(ISBLANK($AY902),$AX902,$AY902)*Paraméterek!$J$112&gt;IF($D$4="Forint",Paraméterek!$J$114,Paraméterek!$K$114),IF($D$4="Forint",Paraméterek!$J$114,Paraméterek!$K$114),IF(ISBLANK($AY902),$AX902,$AY902)*Paraméterek!$J$112))),IF($D$4="Forint",0,2))</f>
        <v>0</v>
      </c>
      <c r="BA902" s="13">
        <f ca="1">$AT902+$AV902-$AW902-IF(ROUNDDOWN(IF(ISBLANK($AY902),$AX902,$AY902),IF($D$4="Forint",0,2))&gt;$AT902+$AV902-$AW902-IF($D$4="Forint",Paraméterek!$J$114,Paraméterek!$K$114),0,ROUNDDOWN(IF(ISBLANK($AY902),$AX902,$AY902),IF($D$4="Forint",0,2))-$AZ902)</f>
        <v>0</v>
      </c>
      <c r="BB902" s="13">
        <f t="shared" ca="1" si="297"/>
        <v>0</v>
      </c>
      <c r="BD902" s="32">
        <v>883</v>
      </c>
      <c r="BE902" s="32">
        <v>74</v>
      </c>
      <c r="BF902" s="32">
        <v>7</v>
      </c>
      <c r="BG902" s="34">
        <f t="shared" ca="1" si="306"/>
        <v>2092</v>
      </c>
      <c r="BH902" s="32" t="str">
        <f ca="1">IF(MOD(MONTH($D$14)+$BD902-1,12)=Paraméterek!$C$288,"Igen","")</f>
        <v/>
      </c>
      <c r="BI902" s="13">
        <f ca="1">IF($BH902="Igen",MIN(ROUNDDOWN((SUMIF($BG$20:$BG$1027,$BG902-1,$K$20:$K$1027)-SUMIF($BG$20:$BG$1027,$BG902-1,$I$20:$I$1027))*Paraméterek!$C$289,IF($D$4="Forint",0,2)),IF($D$4="Forint",Paraméterek!$C$285,Paraméterek!$D$285)),0)</f>
        <v>0</v>
      </c>
      <c r="BJ902" s="13">
        <f t="shared" ca="1" si="298"/>
        <v>0</v>
      </c>
      <c r="BK902" s="13">
        <f t="shared" ca="1" si="307"/>
        <v>0</v>
      </c>
      <c r="BL902" s="33"/>
      <c r="BM902" s="13">
        <f t="shared" ca="1" si="299"/>
        <v>0</v>
      </c>
      <c r="BN902" s="13">
        <f ca="1">ROUNDUP(($BK902+$BM902)*VLOOKUP($BE902,Paraméterek!$P$38:$Q$38,2)/12*IF($D903="Nem",IF($M$13=0,1,$M$13),1),IF($D$4="Forint",0,2))</f>
        <v>0</v>
      </c>
      <c r="BO902" s="13">
        <f t="shared" ca="1" si="300"/>
        <v>0</v>
      </c>
      <c r="BP902" s="13">
        <f ca="1">IF($D903="Nem",$BO902,$BO902-ROUNDUP(SUM($BI$20:$BI902)*120%,IF($D$4="Forint",0,2)))</f>
        <v>0</v>
      </c>
    </row>
    <row r="903" spans="1:68" x14ac:dyDescent="0.2">
      <c r="A903" s="32">
        <v>884</v>
      </c>
      <c r="B903" s="32">
        <v>74</v>
      </c>
      <c r="C903" s="32">
        <v>8</v>
      </c>
      <c r="D903" s="32" t="str">
        <f t="shared" ca="1" si="286"/>
        <v>Nem</v>
      </c>
      <c r="E903" s="13">
        <f t="shared" ca="1" si="287"/>
        <v>0</v>
      </c>
      <c r="F903" s="13"/>
      <c r="G903" s="13"/>
      <c r="H903" s="13"/>
      <c r="I903" s="13">
        <f t="shared" ca="1" si="288"/>
        <v>0</v>
      </c>
      <c r="J903" s="13">
        <f t="shared" ca="1" si="289"/>
        <v>0</v>
      </c>
      <c r="K903" s="13">
        <f t="shared" ca="1" si="290"/>
        <v>0</v>
      </c>
      <c r="L903" s="13" t="e">
        <f ca="1">ROUNDUP(IF($D$2="Egyszeri",$E903,IF($D$2="Havi",SUM($E$20:$E$31),IF(MOD($C903,$M$1)-1=0,SUM($E$20:$E$31),0))/12*$M$1)*VLOOKUP($B903,Paraméterek!$I$28:$P$31,IF($D$2="Egyszeri",8,HLOOKUP(ROUNDUP($M$11+$M$13,0),Paraméterek!$J$26:$O$27,2))),IF($D$4="Forint",0,2))</f>
        <v>#N/A</v>
      </c>
      <c r="M903" s="13">
        <f t="shared" ca="1" si="291"/>
        <v>0</v>
      </c>
      <c r="N903" s="13">
        <f t="shared" ca="1" si="301"/>
        <v>0</v>
      </c>
      <c r="O903" s="13">
        <f ca="1">IF($D903="Igen",IF($W902&gt;=IF($D$4="Forint",Paraméterek!$J$121,Paraméterek!$K$121),0,IF($D$4="Forint",Paraméterek!$J$121,Paraméterek!$K$121)-$W902),0)</f>
        <v>0</v>
      </c>
      <c r="P903" s="13" t="e">
        <f ca="1">ROUNDUP($O903*VLOOKUP($M$4+$B903-1,Paraméterek!$H$58:$I$105,2,0)/Paraméterek!$I$56,IF($D$4="Forint",0,2))</f>
        <v>#N/A</v>
      </c>
      <c r="Q903" s="13">
        <f t="shared" ca="1" si="292"/>
        <v>0</v>
      </c>
      <c r="R903" s="33"/>
      <c r="S903" s="13" t="e">
        <f t="shared" ca="1" si="293"/>
        <v>#N/A</v>
      </c>
      <c r="T903" s="13" t="e">
        <f ca="1">ROUNDUP(($N903-$P903-$Q903+$S903)*VLOOKUP($B903,Paraméterek!$I$38:$K$39,IF($D$2="Egyszeri",3,2))/12*IF($D904="Nem",IF($M$13=0,1,$M$13),1),IF($D$4="Forint",0,2))</f>
        <v>#N/A</v>
      </c>
      <c r="U903" s="13"/>
      <c r="V903" s="13"/>
      <c r="W903" s="13" t="e">
        <f ca="1">$N903-$P903-$Q903+$S903-$T903-IF(ROUNDUP(IF(ISBLANK($V903),$U903*0,$V903)/IF($D$2="Egyszeri",VLOOKUP($B903+IF($C903=12,1,0),Paraméterek!$V$257:$W$262,2),IF($B903=1,1,VLOOKUP($B903+IF($C903=12,1,0),Paraméterek!$I$258:$T$278,HLOOKUP($M$11+1,Paraméterek!$J$256:$T$257,2)))),IF($D$4="Forint",0,2))&gt;$N903-$P903-$Q903+$S903-$T903-IF($D$4="Forint",Paraméterek!$C$216,Paraméterek!$D$216),0,ROUNDUP(IF(ISBLANK($V903),$U903*0,$V903)/IF($D$2="Egyszeri",VLOOKUP($B903+IF($C903=12,1,0),Paraméterek!$V$257:$W$262,2),IF($B903=1,1,VLOOKUP($B903+IF($C903=12,1,0),Paraméterek!$I$258:$T$278,HLOOKUP($M$11+1,Paraméterek!$J$256:$T$257,2)))),IF($D$4="Forint",0,2)))</f>
        <v>#N/A</v>
      </c>
      <c r="X903" s="13" t="e">
        <f ca="1">ROUNDDOWN($W903*IF($D$2="Egyszeri",VLOOKUP($B903+IF($C903=12,1,0),Paraméterek!$V$257:$W$262,2),VLOOKUP($B903+IF($C903=12,1,0),Paraméterek!$I$258:$T$278,HLOOKUP($M$11+1,Paraméterek!$I$256:$T$257,2))),IF($D$4="Forint",0,2))</f>
        <v>#N/A</v>
      </c>
      <c r="Z903" s="32">
        <v>884</v>
      </c>
      <c r="AA903" s="32">
        <v>74</v>
      </c>
      <c r="AB903" s="32">
        <v>8</v>
      </c>
      <c r="AC903" s="13">
        <f t="shared" ca="1" si="302"/>
        <v>0</v>
      </c>
      <c r="AD903" s="33"/>
      <c r="AE903" s="13">
        <f t="shared" ca="1" si="294"/>
        <v>0</v>
      </c>
      <c r="AF903" s="13">
        <f ca="1">ROUNDUP(($AC903+$AE903)*VLOOKUP($AA903,Paraméterek!$P$38:$Q$38,2)/12*IF($D904="Nem",IF($M$13=0,1,$M$13),1),IF($D$4="Forint",0,2))</f>
        <v>0</v>
      </c>
      <c r="AG903" s="13">
        <f ca="1">IF($D$2="Egyszeri",IF($D$7&gt;=IF($D$4="Forint",Paraméterek!$P$223,Paraméterek!$P$224),$D$7-IF($D$4="Forint",Paraméterek!$P$223,Paraméterek!$P$224),0),MIN(IF($AB903=12,AVERAGEIF($E$20:$E903,"&gt;0",$E$20:$E903)*12,0),SUM($E$20:$E$31)))</f>
        <v>0</v>
      </c>
      <c r="AH903" s="13">
        <f>IF($AA903=10,$AG903*IF($AB903=12,IF($AG903&lt;IF($D$4="Forint",Paraméterek!$L$223,Paraméterek!$L$224),0,VLOOKUP($AA903,Paraméterek!$K$226:$M$228,IF($AG903&lt;IF($D$4="Forint",Paraméterek!$M$223,Paraméterek!$M$224),2,3))),0),0)</f>
        <v>0</v>
      </c>
      <c r="AI903" s="13">
        <f ca="1">IF(AND($AA903=$M$11+1,$AB903=$M$12+1),SUMIF($AA$20:$AA$1027,$AA903,$AG$20:$AG$1027)*IF(SUMIF($AA$20:$AA$1027,$AA903,$AG$20:$AG$1027)&lt;IF($D$4="Forint",Paraméterek!$L$223,Paraméterek!$L$224),0,VLOOKUP($AA903,Paraméterek!$K$230:$M$250,IF(SUMIF($AA$20:$AA$1027,$AA903,$AG$20:$AG$1027)&lt;IF($D$4="Forint",Paraméterek!$M$223,Paraméterek!$M$224),2,3))),0)</f>
        <v>0</v>
      </c>
      <c r="AJ903" s="13">
        <f ca="1">IF(AND($AA903&gt;=5,MOD($AA903,5)=0),IF($AB903=12,VLOOKUP($AA903,Paraméterek!$O$225:$P$240,2),0),IF(OR($AA903=3,$AA903=4),IF($AB903=12,VLOOKUP($AA903,Paraméterek!$O$225:$P$240,2,0),0),0))*$AG903</f>
        <v>0</v>
      </c>
      <c r="AK903" s="13">
        <f t="shared" ca="1" si="295"/>
        <v>0</v>
      </c>
      <c r="AL903" s="13">
        <f t="shared" ca="1" si="303"/>
        <v>0</v>
      </c>
      <c r="AM903" s="13">
        <f t="shared" ca="1" si="304"/>
        <v>0</v>
      </c>
      <c r="AO903" s="32">
        <v>884</v>
      </c>
      <c r="AP903" s="32">
        <v>74</v>
      </c>
      <c r="AQ903" s="32">
        <v>8</v>
      </c>
      <c r="AR903" s="13"/>
      <c r="AS903" s="32"/>
      <c r="AT903" s="13">
        <f t="shared" ca="1" si="305"/>
        <v>0</v>
      </c>
      <c r="AU903" s="33"/>
      <c r="AV903" s="13">
        <f t="shared" ca="1" si="296"/>
        <v>0</v>
      </c>
      <c r="AW903" s="13">
        <f ca="1">ROUNDUP(($AT903+$AV903)*VLOOKUP($AP903,Paraméterek!$P$38:$Q$38,2)/12*IF($D904="Nem",IF($M$13=0,1,$M$13),1),IF($D$4="Forint",0,2))</f>
        <v>0</v>
      </c>
      <c r="AX903" s="13"/>
      <c r="AY903" s="13"/>
      <c r="AZ903" s="13">
        <f>ROUNDUP(IF(SUM($AX903:$AY903)=0,0,IF(IF(ISBLANK($AY903),$AX903,$AY903)*Paraméterek!$J$112&lt;IF($D$4="Forint",Paraméterek!$J$113,Paraméterek!$K$113),IF($D$4="Forint",Paraméterek!$J$113,Paraméterek!$K$113),IF(IF(ISBLANK($AY903),$AX903,$AY903)*Paraméterek!$J$112&gt;IF($D$4="Forint",Paraméterek!$J$114,Paraméterek!$K$114),IF($D$4="Forint",Paraméterek!$J$114,Paraméterek!$K$114),IF(ISBLANK($AY903),$AX903,$AY903)*Paraméterek!$J$112))),IF($D$4="Forint",0,2))</f>
        <v>0</v>
      </c>
      <c r="BA903" s="13">
        <f ca="1">$AT903+$AV903-$AW903-IF(ROUNDDOWN(IF(ISBLANK($AY903),$AX903,$AY903),IF($D$4="Forint",0,2))&gt;$AT903+$AV903-$AW903-IF($D$4="Forint",Paraméterek!$J$114,Paraméterek!$K$114),0,ROUNDDOWN(IF(ISBLANK($AY903),$AX903,$AY903),IF($D$4="Forint",0,2))-$AZ903)</f>
        <v>0</v>
      </c>
      <c r="BB903" s="13">
        <f t="shared" ca="1" si="297"/>
        <v>0</v>
      </c>
      <c r="BD903" s="32">
        <v>884</v>
      </c>
      <c r="BE903" s="32">
        <v>74</v>
      </c>
      <c r="BF903" s="32">
        <v>8</v>
      </c>
      <c r="BG903" s="34">
        <f t="shared" ca="1" si="306"/>
        <v>2093</v>
      </c>
      <c r="BH903" s="32" t="str">
        <f ca="1">IF(MOD(MONTH($D$14)+$BD903-1,12)=Paraméterek!$C$288,"Igen","")</f>
        <v/>
      </c>
      <c r="BI903" s="13">
        <f ca="1">IF($BH903="Igen",MIN(ROUNDDOWN((SUMIF($BG$20:$BG$1027,$BG903-1,$K$20:$K$1027)-SUMIF($BG$20:$BG$1027,$BG903-1,$I$20:$I$1027))*Paraméterek!$C$289,IF($D$4="Forint",0,2)),IF($D$4="Forint",Paraméterek!$C$285,Paraméterek!$D$285)),0)</f>
        <v>0</v>
      </c>
      <c r="BJ903" s="13">
        <f t="shared" ca="1" si="298"/>
        <v>0</v>
      </c>
      <c r="BK903" s="13">
        <f t="shared" ca="1" si="307"/>
        <v>0</v>
      </c>
      <c r="BL903" s="33"/>
      <c r="BM903" s="13">
        <f t="shared" ca="1" si="299"/>
        <v>0</v>
      </c>
      <c r="BN903" s="13">
        <f ca="1">ROUNDUP(($BK903+$BM903)*VLOOKUP($BE903,Paraméterek!$P$38:$Q$38,2)/12*IF($D904="Nem",IF($M$13=0,1,$M$13),1),IF($D$4="Forint",0,2))</f>
        <v>0</v>
      </c>
      <c r="BO903" s="13">
        <f t="shared" ca="1" si="300"/>
        <v>0</v>
      </c>
      <c r="BP903" s="13">
        <f ca="1">IF($D904="Nem",$BO903,$BO903-ROUNDUP(SUM($BI$20:$BI903)*120%,IF($D$4="Forint",0,2)))</f>
        <v>0</v>
      </c>
    </row>
    <row r="904" spans="1:68" x14ac:dyDescent="0.2">
      <c r="A904" s="32">
        <v>885</v>
      </c>
      <c r="B904" s="32">
        <v>74</v>
      </c>
      <c r="C904" s="32">
        <v>9</v>
      </c>
      <c r="D904" s="32" t="str">
        <f t="shared" ca="1" si="286"/>
        <v>Nem</v>
      </c>
      <c r="E904" s="13">
        <f t="shared" ca="1" si="287"/>
        <v>0</v>
      </c>
      <c r="F904" s="13"/>
      <c r="G904" s="13"/>
      <c r="H904" s="13"/>
      <c r="I904" s="13">
        <f t="shared" ca="1" si="288"/>
        <v>0</v>
      </c>
      <c r="J904" s="13">
        <f t="shared" ca="1" si="289"/>
        <v>0</v>
      </c>
      <c r="K904" s="13">
        <f t="shared" ca="1" si="290"/>
        <v>0</v>
      </c>
      <c r="L904" s="13" t="e">
        <f ca="1">ROUNDUP(IF($D$2="Egyszeri",$E904,IF($D$2="Havi",SUM($E$20:$E$31),IF(MOD($C904,$M$1)-1=0,SUM($E$20:$E$31),0))/12*$M$1)*VLOOKUP($B904,Paraméterek!$I$28:$P$31,IF($D$2="Egyszeri",8,HLOOKUP(ROUNDUP($M$11+$M$13,0),Paraméterek!$J$26:$O$27,2))),IF($D$4="Forint",0,2))</f>
        <v>#N/A</v>
      </c>
      <c r="M904" s="13">
        <f t="shared" ca="1" si="291"/>
        <v>0</v>
      </c>
      <c r="N904" s="13">
        <f t="shared" ca="1" si="301"/>
        <v>0</v>
      </c>
      <c r="O904" s="13">
        <f ca="1">IF($D904="Igen",IF($W903&gt;=IF($D$4="Forint",Paraméterek!$J$121,Paraméterek!$K$121),0,IF($D$4="Forint",Paraméterek!$J$121,Paraméterek!$K$121)-$W903),0)</f>
        <v>0</v>
      </c>
      <c r="P904" s="13" t="e">
        <f ca="1">ROUNDUP($O904*VLOOKUP($M$4+$B904-1,Paraméterek!$H$58:$I$105,2,0)/Paraméterek!$I$56,IF($D$4="Forint",0,2))</f>
        <v>#N/A</v>
      </c>
      <c r="Q904" s="13">
        <f t="shared" ca="1" si="292"/>
        <v>0</v>
      </c>
      <c r="R904" s="33"/>
      <c r="S904" s="13" t="e">
        <f t="shared" ca="1" si="293"/>
        <v>#N/A</v>
      </c>
      <c r="T904" s="13" t="e">
        <f ca="1">ROUNDUP(($N904-$P904-$Q904+$S904)*VLOOKUP($B904,Paraméterek!$I$38:$K$39,IF($D$2="Egyszeri",3,2))/12*IF($D905="Nem",IF($M$13=0,1,$M$13),1),IF($D$4="Forint",0,2))</f>
        <v>#N/A</v>
      </c>
      <c r="U904" s="13"/>
      <c r="V904" s="13"/>
      <c r="W904" s="13" t="e">
        <f ca="1">$N904-$P904-$Q904+$S904-$T904-IF(ROUNDUP(IF(ISBLANK($V904),$U904*0,$V904)/IF($D$2="Egyszeri",VLOOKUP($B904+IF($C904=12,1,0),Paraméterek!$V$257:$W$262,2),IF($B904=1,1,VLOOKUP($B904+IF($C904=12,1,0),Paraméterek!$I$258:$T$278,HLOOKUP($M$11+1,Paraméterek!$J$256:$T$257,2)))),IF($D$4="Forint",0,2))&gt;$N904-$P904-$Q904+$S904-$T904-IF($D$4="Forint",Paraméterek!$C$216,Paraméterek!$D$216),0,ROUNDUP(IF(ISBLANK($V904),$U904*0,$V904)/IF($D$2="Egyszeri",VLOOKUP($B904+IF($C904=12,1,0),Paraméterek!$V$257:$W$262,2),IF($B904=1,1,VLOOKUP($B904+IF($C904=12,1,0),Paraméterek!$I$258:$T$278,HLOOKUP($M$11+1,Paraméterek!$J$256:$T$257,2)))),IF($D$4="Forint",0,2)))</f>
        <v>#N/A</v>
      </c>
      <c r="X904" s="13" t="e">
        <f ca="1">ROUNDDOWN($W904*IF($D$2="Egyszeri",VLOOKUP($B904+IF($C904=12,1,0),Paraméterek!$V$257:$W$262,2),VLOOKUP($B904+IF($C904=12,1,0),Paraméterek!$I$258:$T$278,HLOOKUP($M$11+1,Paraméterek!$I$256:$T$257,2))),IF($D$4="Forint",0,2))</f>
        <v>#N/A</v>
      </c>
      <c r="Z904" s="32">
        <v>885</v>
      </c>
      <c r="AA904" s="32">
        <v>74</v>
      </c>
      <c r="AB904" s="32">
        <v>9</v>
      </c>
      <c r="AC904" s="13">
        <f t="shared" ca="1" si="302"/>
        <v>0</v>
      </c>
      <c r="AD904" s="33"/>
      <c r="AE904" s="13">
        <f t="shared" ca="1" si="294"/>
        <v>0</v>
      </c>
      <c r="AF904" s="13">
        <f ca="1">ROUNDUP(($AC904+$AE904)*VLOOKUP($AA904,Paraméterek!$P$38:$Q$38,2)/12*IF($D905="Nem",IF($M$13=0,1,$M$13),1),IF($D$4="Forint",0,2))</f>
        <v>0</v>
      </c>
      <c r="AG904" s="13">
        <f ca="1">IF($D$2="Egyszeri",IF($D$7&gt;=IF($D$4="Forint",Paraméterek!$P$223,Paraméterek!$P$224),$D$7-IF($D$4="Forint",Paraméterek!$P$223,Paraméterek!$P$224),0),MIN(IF($AB904=12,AVERAGEIF($E$20:$E904,"&gt;0",$E$20:$E904)*12,0),SUM($E$20:$E$31)))</f>
        <v>0</v>
      </c>
      <c r="AH904" s="13">
        <f>IF($AA904=10,$AG904*IF($AB904=12,IF($AG904&lt;IF($D$4="Forint",Paraméterek!$L$223,Paraméterek!$L$224),0,VLOOKUP($AA904,Paraméterek!$K$226:$M$228,IF($AG904&lt;IF($D$4="Forint",Paraméterek!$M$223,Paraméterek!$M$224),2,3))),0),0)</f>
        <v>0</v>
      </c>
      <c r="AI904" s="13">
        <f ca="1">IF(AND($AA904=$M$11+1,$AB904=$M$12+1),SUMIF($AA$20:$AA$1027,$AA904,$AG$20:$AG$1027)*IF(SUMIF($AA$20:$AA$1027,$AA904,$AG$20:$AG$1027)&lt;IF($D$4="Forint",Paraméterek!$L$223,Paraméterek!$L$224),0,VLOOKUP($AA904,Paraméterek!$K$230:$M$250,IF(SUMIF($AA$20:$AA$1027,$AA904,$AG$20:$AG$1027)&lt;IF($D$4="Forint",Paraméterek!$M$223,Paraméterek!$M$224),2,3))),0)</f>
        <v>0</v>
      </c>
      <c r="AJ904" s="13">
        <f ca="1">IF(AND($AA904&gt;=5,MOD($AA904,5)=0),IF($AB904=12,VLOOKUP($AA904,Paraméterek!$O$225:$P$240,2),0),IF(OR($AA904=3,$AA904=4),IF($AB904=12,VLOOKUP($AA904,Paraméterek!$O$225:$P$240,2,0),0),0))*$AG904</f>
        <v>0</v>
      </c>
      <c r="AK904" s="13">
        <f t="shared" ca="1" si="295"/>
        <v>0</v>
      </c>
      <c r="AL904" s="13">
        <f t="shared" ca="1" si="303"/>
        <v>0</v>
      </c>
      <c r="AM904" s="13">
        <f t="shared" ca="1" si="304"/>
        <v>0</v>
      </c>
      <c r="AO904" s="32">
        <v>885</v>
      </c>
      <c r="AP904" s="32">
        <v>74</v>
      </c>
      <c r="AQ904" s="32">
        <v>9</v>
      </c>
      <c r="AR904" s="13"/>
      <c r="AS904" s="32"/>
      <c r="AT904" s="13">
        <f t="shared" ca="1" si="305"/>
        <v>0</v>
      </c>
      <c r="AU904" s="33"/>
      <c r="AV904" s="13">
        <f t="shared" ca="1" si="296"/>
        <v>0</v>
      </c>
      <c r="AW904" s="13">
        <f ca="1">ROUNDUP(($AT904+$AV904)*VLOOKUP($AP904,Paraméterek!$P$38:$Q$38,2)/12*IF($D905="Nem",IF($M$13=0,1,$M$13),1),IF($D$4="Forint",0,2))</f>
        <v>0</v>
      </c>
      <c r="AX904" s="13"/>
      <c r="AY904" s="13"/>
      <c r="AZ904" s="13">
        <f>ROUNDUP(IF(SUM($AX904:$AY904)=0,0,IF(IF(ISBLANK($AY904),$AX904,$AY904)*Paraméterek!$J$112&lt;IF($D$4="Forint",Paraméterek!$J$113,Paraméterek!$K$113),IF($D$4="Forint",Paraméterek!$J$113,Paraméterek!$K$113),IF(IF(ISBLANK($AY904),$AX904,$AY904)*Paraméterek!$J$112&gt;IF($D$4="Forint",Paraméterek!$J$114,Paraméterek!$K$114),IF($D$4="Forint",Paraméterek!$J$114,Paraméterek!$K$114),IF(ISBLANK($AY904),$AX904,$AY904)*Paraméterek!$J$112))),IF($D$4="Forint",0,2))</f>
        <v>0</v>
      </c>
      <c r="BA904" s="13">
        <f ca="1">$AT904+$AV904-$AW904-IF(ROUNDDOWN(IF(ISBLANK($AY904),$AX904,$AY904),IF($D$4="Forint",0,2))&gt;$AT904+$AV904-$AW904-IF($D$4="Forint",Paraméterek!$J$114,Paraméterek!$K$114),0,ROUNDDOWN(IF(ISBLANK($AY904),$AX904,$AY904),IF($D$4="Forint",0,2))-$AZ904)</f>
        <v>0</v>
      </c>
      <c r="BB904" s="13">
        <f t="shared" ca="1" si="297"/>
        <v>0</v>
      </c>
      <c r="BD904" s="32">
        <v>885</v>
      </c>
      <c r="BE904" s="32">
        <v>74</v>
      </c>
      <c r="BF904" s="32">
        <v>9</v>
      </c>
      <c r="BG904" s="34">
        <f t="shared" ca="1" si="306"/>
        <v>2093</v>
      </c>
      <c r="BH904" s="32" t="str">
        <f ca="1">IF(MOD(MONTH($D$14)+$BD904-1,12)=Paraméterek!$C$288,"Igen","")</f>
        <v/>
      </c>
      <c r="BI904" s="13">
        <f ca="1">IF($BH904="Igen",MIN(ROUNDDOWN((SUMIF($BG$20:$BG$1027,$BG904-1,$K$20:$K$1027)-SUMIF($BG$20:$BG$1027,$BG904-1,$I$20:$I$1027))*Paraméterek!$C$289,IF($D$4="Forint",0,2)),IF($D$4="Forint",Paraméterek!$C$285,Paraméterek!$D$285)),0)</f>
        <v>0</v>
      </c>
      <c r="BJ904" s="13">
        <f t="shared" ca="1" si="298"/>
        <v>0</v>
      </c>
      <c r="BK904" s="13">
        <f t="shared" ca="1" si="307"/>
        <v>0</v>
      </c>
      <c r="BL904" s="33"/>
      <c r="BM904" s="13">
        <f t="shared" ca="1" si="299"/>
        <v>0</v>
      </c>
      <c r="BN904" s="13">
        <f ca="1">ROUNDUP(($BK904+$BM904)*VLOOKUP($BE904,Paraméterek!$P$38:$Q$38,2)/12*IF($D905="Nem",IF($M$13=0,1,$M$13),1),IF($D$4="Forint",0,2))</f>
        <v>0</v>
      </c>
      <c r="BO904" s="13">
        <f t="shared" ca="1" si="300"/>
        <v>0</v>
      </c>
      <c r="BP904" s="13">
        <f ca="1">IF($D905="Nem",$BO904,$BO904-ROUNDUP(SUM($BI$20:$BI904)*120%,IF($D$4="Forint",0,2)))</f>
        <v>0</v>
      </c>
    </row>
    <row r="905" spans="1:68" x14ac:dyDescent="0.2">
      <c r="A905" s="32">
        <v>886</v>
      </c>
      <c r="B905" s="32">
        <v>74</v>
      </c>
      <c r="C905" s="32">
        <v>10</v>
      </c>
      <c r="D905" s="32" t="str">
        <f t="shared" ca="1" si="286"/>
        <v>Nem</v>
      </c>
      <c r="E905" s="13">
        <f t="shared" ca="1" si="287"/>
        <v>0</v>
      </c>
      <c r="F905" s="13"/>
      <c r="G905" s="13"/>
      <c r="H905" s="13"/>
      <c r="I905" s="13">
        <f t="shared" ca="1" si="288"/>
        <v>0</v>
      </c>
      <c r="J905" s="13">
        <f t="shared" ca="1" si="289"/>
        <v>0</v>
      </c>
      <c r="K905" s="13">
        <f t="shared" ca="1" si="290"/>
        <v>0</v>
      </c>
      <c r="L905" s="13" t="e">
        <f ca="1">ROUNDUP(IF($D$2="Egyszeri",$E905,IF($D$2="Havi",SUM($E$20:$E$31),IF(MOD($C905,$M$1)-1=0,SUM($E$20:$E$31),0))/12*$M$1)*VLOOKUP($B905,Paraméterek!$I$28:$P$31,IF($D$2="Egyszeri",8,HLOOKUP(ROUNDUP($M$11+$M$13,0),Paraméterek!$J$26:$O$27,2))),IF($D$4="Forint",0,2))</f>
        <v>#N/A</v>
      </c>
      <c r="M905" s="13">
        <f t="shared" ca="1" si="291"/>
        <v>0</v>
      </c>
      <c r="N905" s="13">
        <f t="shared" ca="1" si="301"/>
        <v>0</v>
      </c>
      <c r="O905" s="13">
        <f ca="1">IF($D905="Igen",IF($W904&gt;=IF($D$4="Forint",Paraméterek!$J$121,Paraméterek!$K$121),0,IF($D$4="Forint",Paraméterek!$J$121,Paraméterek!$K$121)-$W904),0)</f>
        <v>0</v>
      </c>
      <c r="P905" s="13" t="e">
        <f ca="1">ROUNDUP($O905*VLOOKUP($M$4+$B905-1,Paraméterek!$H$58:$I$105,2,0)/Paraméterek!$I$56,IF($D$4="Forint",0,2))</f>
        <v>#N/A</v>
      </c>
      <c r="Q905" s="13">
        <f t="shared" ca="1" si="292"/>
        <v>0</v>
      </c>
      <c r="R905" s="33"/>
      <c r="S905" s="13" t="e">
        <f t="shared" ca="1" si="293"/>
        <v>#N/A</v>
      </c>
      <c r="T905" s="13" t="e">
        <f ca="1">ROUNDUP(($N905-$P905-$Q905+$S905)*VLOOKUP($B905,Paraméterek!$I$38:$K$39,IF($D$2="Egyszeri",3,2))/12*IF($D906="Nem",IF($M$13=0,1,$M$13),1),IF($D$4="Forint",0,2))</f>
        <v>#N/A</v>
      </c>
      <c r="U905" s="13"/>
      <c r="V905" s="13"/>
      <c r="W905" s="13" t="e">
        <f ca="1">$N905-$P905-$Q905+$S905-$T905-IF(ROUNDUP(IF(ISBLANK($V905),$U905*0,$V905)/IF($D$2="Egyszeri",VLOOKUP($B905+IF($C905=12,1,0),Paraméterek!$V$257:$W$262,2),IF($B905=1,1,VLOOKUP($B905+IF($C905=12,1,0),Paraméterek!$I$258:$T$278,HLOOKUP($M$11+1,Paraméterek!$J$256:$T$257,2)))),IF($D$4="Forint",0,2))&gt;$N905-$P905-$Q905+$S905-$T905-IF($D$4="Forint",Paraméterek!$C$216,Paraméterek!$D$216),0,ROUNDUP(IF(ISBLANK($V905),$U905*0,$V905)/IF($D$2="Egyszeri",VLOOKUP($B905+IF($C905=12,1,0),Paraméterek!$V$257:$W$262,2),IF($B905=1,1,VLOOKUP($B905+IF($C905=12,1,0),Paraméterek!$I$258:$T$278,HLOOKUP($M$11+1,Paraméterek!$J$256:$T$257,2)))),IF($D$4="Forint",0,2)))</f>
        <v>#N/A</v>
      </c>
      <c r="X905" s="13" t="e">
        <f ca="1">ROUNDDOWN($W905*IF($D$2="Egyszeri",VLOOKUP($B905+IF($C905=12,1,0),Paraméterek!$V$257:$W$262,2),VLOOKUP($B905+IF($C905=12,1,0),Paraméterek!$I$258:$T$278,HLOOKUP($M$11+1,Paraméterek!$I$256:$T$257,2))),IF($D$4="Forint",0,2))</f>
        <v>#N/A</v>
      </c>
      <c r="Z905" s="32">
        <v>886</v>
      </c>
      <c r="AA905" s="32">
        <v>74</v>
      </c>
      <c r="AB905" s="32">
        <v>10</v>
      </c>
      <c r="AC905" s="13">
        <f t="shared" ca="1" si="302"/>
        <v>0</v>
      </c>
      <c r="AD905" s="33"/>
      <c r="AE905" s="13">
        <f t="shared" ca="1" si="294"/>
        <v>0</v>
      </c>
      <c r="AF905" s="13">
        <f ca="1">ROUNDUP(($AC905+$AE905)*VLOOKUP($AA905,Paraméterek!$P$38:$Q$38,2)/12*IF($D906="Nem",IF($M$13=0,1,$M$13),1),IF($D$4="Forint",0,2))</f>
        <v>0</v>
      </c>
      <c r="AG905" s="13">
        <f ca="1">IF($D$2="Egyszeri",IF($D$7&gt;=IF($D$4="Forint",Paraméterek!$P$223,Paraméterek!$P$224),$D$7-IF($D$4="Forint",Paraméterek!$P$223,Paraméterek!$P$224),0),MIN(IF($AB905=12,AVERAGEIF($E$20:$E905,"&gt;0",$E$20:$E905)*12,0),SUM($E$20:$E$31)))</f>
        <v>0</v>
      </c>
      <c r="AH905" s="13">
        <f>IF($AA905=10,$AG905*IF($AB905=12,IF($AG905&lt;IF($D$4="Forint",Paraméterek!$L$223,Paraméterek!$L$224),0,VLOOKUP($AA905,Paraméterek!$K$226:$M$228,IF($AG905&lt;IF($D$4="Forint",Paraméterek!$M$223,Paraméterek!$M$224),2,3))),0),0)</f>
        <v>0</v>
      </c>
      <c r="AI905" s="13">
        <f ca="1">IF(AND($AA905=$M$11+1,$AB905=$M$12+1),SUMIF($AA$20:$AA$1027,$AA905,$AG$20:$AG$1027)*IF(SUMIF($AA$20:$AA$1027,$AA905,$AG$20:$AG$1027)&lt;IF($D$4="Forint",Paraméterek!$L$223,Paraméterek!$L$224),0,VLOOKUP($AA905,Paraméterek!$K$230:$M$250,IF(SUMIF($AA$20:$AA$1027,$AA905,$AG$20:$AG$1027)&lt;IF($D$4="Forint",Paraméterek!$M$223,Paraméterek!$M$224),2,3))),0)</f>
        <v>0</v>
      </c>
      <c r="AJ905" s="13">
        <f ca="1">IF(AND($AA905&gt;=5,MOD($AA905,5)=0),IF($AB905=12,VLOOKUP($AA905,Paraméterek!$O$225:$P$240,2),0),IF(OR($AA905=3,$AA905=4),IF($AB905=12,VLOOKUP($AA905,Paraméterek!$O$225:$P$240,2,0),0),0))*$AG905</f>
        <v>0</v>
      </c>
      <c r="AK905" s="13">
        <f t="shared" ca="1" si="295"/>
        <v>0</v>
      </c>
      <c r="AL905" s="13">
        <f t="shared" ca="1" si="303"/>
        <v>0</v>
      </c>
      <c r="AM905" s="13">
        <f t="shared" ca="1" si="304"/>
        <v>0</v>
      </c>
      <c r="AO905" s="32">
        <v>886</v>
      </c>
      <c r="AP905" s="32">
        <v>74</v>
      </c>
      <c r="AQ905" s="32">
        <v>10</v>
      </c>
      <c r="AR905" s="13"/>
      <c r="AS905" s="32"/>
      <c r="AT905" s="13">
        <f t="shared" ca="1" si="305"/>
        <v>0</v>
      </c>
      <c r="AU905" s="33"/>
      <c r="AV905" s="13">
        <f t="shared" ca="1" si="296"/>
        <v>0</v>
      </c>
      <c r="AW905" s="13">
        <f ca="1">ROUNDUP(($AT905+$AV905)*VLOOKUP($AP905,Paraméterek!$P$38:$Q$38,2)/12*IF($D906="Nem",IF($M$13=0,1,$M$13),1),IF($D$4="Forint",0,2))</f>
        <v>0</v>
      </c>
      <c r="AX905" s="13"/>
      <c r="AY905" s="13"/>
      <c r="AZ905" s="13">
        <f>ROUNDUP(IF(SUM($AX905:$AY905)=0,0,IF(IF(ISBLANK($AY905),$AX905,$AY905)*Paraméterek!$J$112&lt;IF($D$4="Forint",Paraméterek!$J$113,Paraméterek!$K$113),IF($D$4="Forint",Paraméterek!$J$113,Paraméterek!$K$113),IF(IF(ISBLANK($AY905),$AX905,$AY905)*Paraméterek!$J$112&gt;IF($D$4="Forint",Paraméterek!$J$114,Paraméterek!$K$114),IF($D$4="Forint",Paraméterek!$J$114,Paraméterek!$K$114),IF(ISBLANK($AY905),$AX905,$AY905)*Paraméterek!$J$112))),IF($D$4="Forint",0,2))</f>
        <v>0</v>
      </c>
      <c r="BA905" s="13">
        <f ca="1">$AT905+$AV905-$AW905-IF(ROUNDDOWN(IF(ISBLANK($AY905),$AX905,$AY905),IF($D$4="Forint",0,2))&gt;$AT905+$AV905-$AW905-IF($D$4="Forint",Paraméterek!$J$114,Paraméterek!$K$114),0,ROUNDDOWN(IF(ISBLANK($AY905),$AX905,$AY905),IF($D$4="Forint",0,2))-$AZ905)</f>
        <v>0</v>
      </c>
      <c r="BB905" s="13">
        <f t="shared" ca="1" si="297"/>
        <v>0</v>
      </c>
      <c r="BD905" s="32">
        <v>886</v>
      </c>
      <c r="BE905" s="32">
        <v>74</v>
      </c>
      <c r="BF905" s="32">
        <v>10</v>
      </c>
      <c r="BG905" s="34">
        <f t="shared" ca="1" si="306"/>
        <v>2093</v>
      </c>
      <c r="BH905" s="32" t="str">
        <f ca="1">IF(MOD(MONTH($D$14)+$BD905-1,12)=Paraméterek!$C$288,"Igen","")</f>
        <v/>
      </c>
      <c r="BI905" s="13">
        <f ca="1">IF($BH905="Igen",MIN(ROUNDDOWN((SUMIF($BG$20:$BG$1027,$BG905-1,$K$20:$K$1027)-SUMIF($BG$20:$BG$1027,$BG905-1,$I$20:$I$1027))*Paraméterek!$C$289,IF($D$4="Forint",0,2)),IF($D$4="Forint",Paraméterek!$C$285,Paraméterek!$D$285)),0)</f>
        <v>0</v>
      </c>
      <c r="BJ905" s="13">
        <f t="shared" ca="1" si="298"/>
        <v>0</v>
      </c>
      <c r="BK905" s="13">
        <f t="shared" ca="1" si="307"/>
        <v>0</v>
      </c>
      <c r="BL905" s="33"/>
      <c r="BM905" s="13">
        <f t="shared" ca="1" si="299"/>
        <v>0</v>
      </c>
      <c r="BN905" s="13">
        <f ca="1">ROUNDUP(($BK905+$BM905)*VLOOKUP($BE905,Paraméterek!$P$38:$Q$38,2)/12*IF($D906="Nem",IF($M$13=0,1,$M$13),1),IF($D$4="Forint",0,2))</f>
        <v>0</v>
      </c>
      <c r="BO905" s="13">
        <f t="shared" ca="1" si="300"/>
        <v>0</v>
      </c>
      <c r="BP905" s="13">
        <f ca="1">IF($D906="Nem",$BO905,$BO905-ROUNDUP(SUM($BI$20:$BI905)*120%,IF($D$4="Forint",0,2)))</f>
        <v>0</v>
      </c>
    </row>
    <row r="906" spans="1:68" x14ac:dyDescent="0.2">
      <c r="A906" s="32">
        <v>887</v>
      </c>
      <c r="B906" s="32">
        <v>74</v>
      </c>
      <c r="C906" s="32">
        <v>11</v>
      </c>
      <c r="D906" s="32" t="str">
        <f t="shared" ca="1" si="286"/>
        <v>Nem</v>
      </c>
      <c r="E906" s="13">
        <f t="shared" ca="1" si="287"/>
        <v>0</v>
      </c>
      <c r="F906" s="13"/>
      <c r="G906" s="13"/>
      <c r="H906" s="13"/>
      <c r="I906" s="13">
        <f t="shared" ca="1" si="288"/>
        <v>0</v>
      </c>
      <c r="J906" s="13">
        <f t="shared" ca="1" si="289"/>
        <v>0</v>
      </c>
      <c r="K906" s="13">
        <f t="shared" ca="1" si="290"/>
        <v>0</v>
      </c>
      <c r="L906" s="13" t="e">
        <f ca="1">ROUNDUP(IF($D$2="Egyszeri",$E906,IF($D$2="Havi",SUM($E$20:$E$31),IF(MOD($C906,$M$1)-1=0,SUM($E$20:$E$31),0))/12*$M$1)*VLOOKUP($B906,Paraméterek!$I$28:$P$31,IF($D$2="Egyszeri",8,HLOOKUP(ROUNDUP($M$11+$M$13,0),Paraméterek!$J$26:$O$27,2))),IF($D$4="Forint",0,2))</f>
        <v>#N/A</v>
      </c>
      <c r="M906" s="13">
        <f t="shared" ca="1" si="291"/>
        <v>0</v>
      </c>
      <c r="N906" s="13">
        <f t="shared" ca="1" si="301"/>
        <v>0</v>
      </c>
      <c r="O906" s="13">
        <f ca="1">IF($D906="Igen",IF($W905&gt;=IF($D$4="Forint",Paraméterek!$J$121,Paraméterek!$K$121),0,IF($D$4="Forint",Paraméterek!$J$121,Paraméterek!$K$121)-$W905),0)</f>
        <v>0</v>
      </c>
      <c r="P906" s="13" t="e">
        <f ca="1">ROUNDUP($O906*VLOOKUP($M$4+$B906-1,Paraméterek!$H$58:$I$105,2,0)/Paraméterek!$I$56,IF($D$4="Forint",0,2))</f>
        <v>#N/A</v>
      </c>
      <c r="Q906" s="13">
        <f t="shared" ca="1" si="292"/>
        <v>0</v>
      </c>
      <c r="R906" s="33"/>
      <c r="S906" s="13" t="e">
        <f t="shared" ca="1" si="293"/>
        <v>#N/A</v>
      </c>
      <c r="T906" s="13" t="e">
        <f ca="1">ROUNDUP(($N906-$P906-$Q906+$S906)*VLOOKUP($B906,Paraméterek!$I$38:$K$39,IF($D$2="Egyszeri",3,2))/12*IF($D907="Nem",IF($M$13=0,1,$M$13),1),IF($D$4="Forint",0,2))</f>
        <v>#N/A</v>
      </c>
      <c r="U906" s="13"/>
      <c r="V906" s="13"/>
      <c r="W906" s="13" t="e">
        <f ca="1">$N906-$P906-$Q906+$S906-$T906-IF(ROUNDUP(IF(ISBLANK($V906),$U906*0,$V906)/IF($D$2="Egyszeri",VLOOKUP($B906+IF($C906=12,1,0),Paraméterek!$V$257:$W$262,2),IF($B906=1,1,VLOOKUP($B906+IF($C906=12,1,0),Paraméterek!$I$258:$T$278,HLOOKUP($M$11+1,Paraméterek!$J$256:$T$257,2)))),IF($D$4="Forint",0,2))&gt;$N906-$P906-$Q906+$S906-$T906-IF($D$4="Forint",Paraméterek!$C$216,Paraméterek!$D$216),0,ROUNDUP(IF(ISBLANK($V906),$U906*0,$V906)/IF($D$2="Egyszeri",VLOOKUP($B906+IF($C906=12,1,0),Paraméterek!$V$257:$W$262,2),IF($B906=1,1,VLOOKUP($B906+IF($C906=12,1,0),Paraméterek!$I$258:$T$278,HLOOKUP($M$11+1,Paraméterek!$J$256:$T$257,2)))),IF($D$4="Forint",0,2)))</f>
        <v>#N/A</v>
      </c>
      <c r="X906" s="13" t="e">
        <f ca="1">ROUNDDOWN($W906*IF($D$2="Egyszeri",VLOOKUP($B906+IF($C906=12,1,0),Paraméterek!$V$257:$W$262,2),VLOOKUP($B906+IF($C906=12,1,0),Paraméterek!$I$258:$T$278,HLOOKUP($M$11+1,Paraméterek!$I$256:$T$257,2))),IF($D$4="Forint",0,2))</f>
        <v>#N/A</v>
      </c>
      <c r="Z906" s="32">
        <v>887</v>
      </c>
      <c r="AA906" s="32">
        <v>74</v>
      </c>
      <c r="AB906" s="32">
        <v>11</v>
      </c>
      <c r="AC906" s="13">
        <f t="shared" ca="1" si="302"/>
        <v>0</v>
      </c>
      <c r="AD906" s="33"/>
      <c r="AE906" s="13">
        <f t="shared" ca="1" si="294"/>
        <v>0</v>
      </c>
      <c r="AF906" s="13">
        <f ca="1">ROUNDUP(($AC906+$AE906)*VLOOKUP($AA906,Paraméterek!$P$38:$Q$38,2)/12*IF($D907="Nem",IF($M$13=0,1,$M$13),1),IF($D$4="Forint",0,2))</f>
        <v>0</v>
      </c>
      <c r="AG906" s="13">
        <f ca="1">IF($D$2="Egyszeri",IF($D$7&gt;=IF($D$4="Forint",Paraméterek!$P$223,Paraméterek!$P$224),$D$7-IF($D$4="Forint",Paraméterek!$P$223,Paraméterek!$P$224),0),MIN(IF($AB906=12,AVERAGEIF($E$20:$E906,"&gt;0",$E$20:$E906)*12,0),SUM($E$20:$E$31)))</f>
        <v>0</v>
      </c>
      <c r="AH906" s="13">
        <f>IF($AA906=10,$AG906*IF($AB906=12,IF($AG906&lt;IF($D$4="Forint",Paraméterek!$L$223,Paraméterek!$L$224),0,VLOOKUP($AA906,Paraméterek!$K$226:$M$228,IF($AG906&lt;IF($D$4="Forint",Paraméterek!$M$223,Paraméterek!$M$224),2,3))),0),0)</f>
        <v>0</v>
      </c>
      <c r="AI906" s="13">
        <f ca="1">IF(AND($AA906=$M$11+1,$AB906=$M$12+1),SUMIF($AA$20:$AA$1027,$AA906,$AG$20:$AG$1027)*IF(SUMIF($AA$20:$AA$1027,$AA906,$AG$20:$AG$1027)&lt;IF($D$4="Forint",Paraméterek!$L$223,Paraméterek!$L$224),0,VLOOKUP($AA906,Paraméterek!$K$230:$M$250,IF(SUMIF($AA$20:$AA$1027,$AA906,$AG$20:$AG$1027)&lt;IF($D$4="Forint",Paraméterek!$M$223,Paraméterek!$M$224),2,3))),0)</f>
        <v>0</v>
      </c>
      <c r="AJ906" s="13">
        <f ca="1">IF(AND($AA906&gt;=5,MOD($AA906,5)=0),IF($AB906=12,VLOOKUP($AA906,Paraméterek!$O$225:$P$240,2),0),IF(OR($AA906=3,$AA906=4),IF($AB906=12,VLOOKUP($AA906,Paraméterek!$O$225:$P$240,2,0),0),0))*$AG906</f>
        <v>0</v>
      </c>
      <c r="AK906" s="13">
        <f t="shared" ca="1" si="295"/>
        <v>0</v>
      </c>
      <c r="AL906" s="13">
        <f t="shared" ca="1" si="303"/>
        <v>0</v>
      </c>
      <c r="AM906" s="13">
        <f t="shared" ca="1" si="304"/>
        <v>0</v>
      </c>
      <c r="AO906" s="32">
        <v>887</v>
      </c>
      <c r="AP906" s="32">
        <v>74</v>
      </c>
      <c r="AQ906" s="32">
        <v>11</v>
      </c>
      <c r="AR906" s="13"/>
      <c r="AS906" s="32"/>
      <c r="AT906" s="13">
        <f t="shared" ca="1" si="305"/>
        <v>0</v>
      </c>
      <c r="AU906" s="33"/>
      <c r="AV906" s="13">
        <f t="shared" ca="1" si="296"/>
        <v>0</v>
      </c>
      <c r="AW906" s="13">
        <f ca="1">ROUNDUP(($AT906+$AV906)*VLOOKUP($AP906,Paraméterek!$P$38:$Q$38,2)/12*IF($D907="Nem",IF($M$13=0,1,$M$13),1),IF($D$4="Forint",0,2))</f>
        <v>0</v>
      </c>
      <c r="AX906" s="13"/>
      <c r="AY906" s="13"/>
      <c r="AZ906" s="13">
        <f>ROUNDUP(IF(SUM($AX906:$AY906)=0,0,IF(IF(ISBLANK($AY906),$AX906,$AY906)*Paraméterek!$J$112&lt;IF($D$4="Forint",Paraméterek!$J$113,Paraméterek!$K$113),IF($D$4="Forint",Paraméterek!$J$113,Paraméterek!$K$113),IF(IF(ISBLANK($AY906),$AX906,$AY906)*Paraméterek!$J$112&gt;IF($D$4="Forint",Paraméterek!$J$114,Paraméterek!$K$114),IF($D$4="Forint",Paraméterek!$J$114,Paraméterek!$K$114),IF(ISBLANK($AY906),$AX906,$AY906)*Paraméterek!$J$112))),IF($D$4="Forint",0,2))</f>
        <v>0</v>
      </c>
      <c r="BA906" s="13">
        <f ca="1">$AT906+$AV906-$AW906-IF(ROUNDDOWN(IF(ISBLANK($AY906),$AX906,$AY906),IF($D$4="Forint",0,2))&gt;$AT906+$AV906-$AW906-IF($D$4="Forint",Paraméterek!$J$114,Paraméterek!$K$114),0,ROUNDDOWN(IF(ISBLANK($AY906),$AX906,$AY906),IF($D$4="Forint",0,2))-$AZ906)</f>
        <v>0</v>
      </c>
      <c r="BB906" s="13">
        <f t="shared" ca="1" si="297"/>
        <v>0</v>
      </c>
      <c r="BD906" s="32">
        <v>887</v>
      </c>
      <c r="BE906" s="32">
        <v>74</v>
      </c>
      <c r="BF906" s="32">
        <v>11</v>
      </c>
      <c r="BG906" s="34">
        <f t="shared" ca="1" si="306"/>
        <v>2093</v>
      </c>
      <c r="BH906" s="32" t="str">
        <f ca="1">IF(MOD(MONTH($D$14)+$BD906-1,12)=Paraméterek!$C$288,"Igen","")</f>
        <v/>
      </c>
      <c r="BI906" s="13">
        <f ca="1">IF($BH906="Igen",MIN(ROUNDDOWN((SUMIF($BG$20:$BG$1027,$BG906-1,$K$20:$K$1027)-SUMIF($BG$20:$BG$1027,$BG906-1,$I$20:$I$1027))*Paraméterek!$C$289,IF($D$4="Forint",0,2)),IF($D$4="Forint",Paraméterek!$C$285,Paraméterek!$D$285)),0)</f>
        <v>0</v>
      </c>
      <c r="BJ906" s="13">
        <f t="shared" ca="1" si="298"/>
        <v>0</v>
      </c>
      <c r="BK906" s="13">
        <f t="shared" ca="1" si="307"/>
        <v>0</v>
      </c>
      <c r="BL906" s="33"/>
      <c r="BM906" s="13">
        <f t="shared" ca="1" si="299"/>
        <v>0</v>
      </c>
      <c r="BN906" s="13">
        <f ca="1">ROUNDUP(($BK906+$BM906)*VLOOKUP($BE906,Paraméterek!$P$38:$Q$38,2)/12*IF($D907="Nem",IF($M$13=0,1,$M$13),1),IF($D$4="Forint",0,2))</f>
        <v>0</v>
      </c>
      <c r="BO906" s="13">
        <f t="shared" ca="1" si="300"/>
        <v>0</v>
      </c>
      <c r="BP906" s="13">
        <f ca="1">IF($D907="Nem",$BO906,$BO906-ROUNDUP(SUM($BI$20:$BI906)*120%,IF($D$4="Forint",0,2)))</f>
        <v>0</v>
      </c>
    </row>
    <row r="907" spans="1:68" x14ac:dyDescent="0.2">
      <c r="A907" s="32">
        <v>888</v>
      </c>
      <c r="B907" s="32">
        <v>74</v>
      </c>
      <c r="C907" s="32">
        <v>12</v>
      </c>
      <c r="D907" s="32" t="str">
        <f t="shared" ca="1" si="286"/>
        <v>Nem</v>
      </c>
      <c r="E907" s="13">
        <f t="shared" ca="1" si="287"/>
        <v>0</v>
      </c>
      <c r="F907" s="13"/>
      <c r="G907" s="13"/>
      <c r="H907" s="13"/>
      <c r="I907" s="13">
        <f t="shared" ca="1" si="288"/>
        <v>0</v>
      </c>
      <c r="J907" s="13">
        <f t="shared" ca="1" si="289"/>
        <v>0</v>
      </c>
      <c r="K907" s="13">
        <f t="shared" ca="1" si="290"/>
        <v>0</v>
      </c>
      <c r="L907" s="13" t="e">
        <f ca="1">ROUNDUP(IF($D$2="Egyszeri",$E907,IF($D$2="Havi",SUM($E$20:$E$31),IF(MOD($C907,$M$1)-1=0,SUM($E$20:$E$31),0))/12*$M$1)*VLOOKUP($B907,Paraméterek!$I$28:$P$31,IF($D$2="Egyszeri",8,HLOOKUP(ROUNDUP($M$11+$M$13,0),Paraméterek!$J$26:$O$27,2))),IF($D$4="Forint",0,2))</f>
        <v>#N/A</v>
      </c>
      <c r="M907" s="13">
        <f t="shared" ca="1" si="291"/>
        <v>0</v>
      </c>
      <c r="N907" s="13">
        <f t="shared" ca="1" si="301"/>
        <v>0</v>
      </c>
      <c r="O907" s="13">
        <f ca="1">IF($D907="Igen",IF($W906&gt;=IF($D$4="Forint",Paraméterek!$J$121,Paraméterek!$K$121),0,IF($D$4="Forint",Paraméterek!$J$121,Paraméterek!$K$121)-$W906),0)</f>
        <v>0</v>
      </c>
      <c r="P907" s="13" t="e">
        <f ca="1">ROUNDUP($O907*VLOOKUP($M$4+$B907-1,Paraméterek!$H$58:$I$105,2,0)/Paraméterek!$I$56,IF($D$4="Forint",0,2))</f>
        <v>#N/A</v>
      </c>
      <c r="Q907" s="13">
        <f t="shared" ca="1" si="292"/>
        <v>0</v>
      </c>
      <c r="R907" s="33"/>
      <c r="S907" s="13" t="e">
        <f t="shared" ca="1" si="293"/>
        <v>#N/A</v>
      </c>
      <c r="T907" s="13" t="e">
        <f ca="1">ROUNDUP(($N907-$P907-$Q907+$S907)*VLOOKUP($B907,Paraméterek!$I$38:$K$39,IF($D$2="Egyszeri",3,2))/12*IF($D908="Nem",IF($M$13=0,1,$M$13),1),IF($D$4="Forint",0,2))</f>
        <v>#N/A</v>
      </c>
      <c r="U907" s="13">
        <f>Tranzakciók!$F$105</f>
        <v>0</v>
      </c>
      <c r="V907" s="13"/>
      <c r="W907" s="13" t="e">
        <f ca="1">$N907-$P907-$Q907+$S907-$T907-IF(ROUNDUP(IF(ISBLANK($V907),$U907*0,$V907)/IF($D$2="Egyszeri",VLOOKUP($B907+IF($C907=12,1,0),Paraméterek!$V$257:$W$262,2),IF($B907=1,1,VLOOKUP($B907+IF($C907=12,1,0),Paraméterek!$I$258:$T$278,HLOOKUP($M$11+1,Paraméterek!$J$256:$T$257,2)))),IF($D$4="Forint",0,2))&gt;$N907-$P907-$Q907+$S907-$T907-IF($D$4="Forint",Paraméterek!$C$216,Paraméterek!$D$216),0,ROUNDUP(IF(ISBLANK($V907),$U907*0,$V907)/IF($D$2="Egyszeri",VLOOKUP($B907+IF($C907=12,1,0),Paraméterek!$V$257:$W$262,2),IF($B907=1,1,VLOOKUP($B907+IF($C907=12,1,0),Paraméterek!$I$258:$T$278,HLOOKUP($M$11+1,Paraméterek!$J$256:$T$257,2)))),IF($D$4="Forint",0,2)))</f>
        <v>#N/A</v>
      </c>
      <c r="X907" s="13" t="e">
        <f ca="1">ROUNDDOWN($W907*IF($D$2="Egyszeri",VLOOKUP($B907+IF($C907=12,1,0),Paraméterek!$V$257:$W$262,2),VLOOKUP($B907+IF($C907=12,1,0),Paraméterek!$I$258:$T$278,HLOOKUP($M$11+1,Paraméterek!$I$256:$T$257,2))),IF($D$4="Forint",0,2))</f>
        <v>#N/A</v>
      </c>
      <c r="Z907" s="32">
        <v>888</v>
      </c>
      <c r="AA907" s="32">
        <v>74</v>
      </c>
      <c r="AB907" s="32">
        <v>12</v>
      </c>
      <c r="AC907" s="13">
        <f t="shared" ca="1" si="302"/>
        <v>0</v>
      </c>
      <c r="AD907" s="33"/>
      <c r="AE907" s="13">
        <f t="shared" ca="1" si="294"/>
        <v>0</v>
      </c>
      <c r="AF907" s="13">
        <f ca="1">ROUNDUP(($AC907+$AE907)*VLOOKUP($AA907,Paraméterek!$P$38:$Q$38,2)/12*IF($D908="Nem",IF($M$13=0,1,$M$13),1),IF($D$4="Forint",0,2))</f>
        <v>0</v>
      </c>
      <c r="AG907" s="13" t="e">
        <f ca="1">IF($D$2="Egyszeri",IF($D$7&gt;=IF($D$4="Forint",Paraméterek!$P$223,Paraméterek!$P$224),$D$7-IF($D$4="Forint",Paraméterek!$P$223,Paraméterek!$P$224),0),MIN(IF($AB907=12,AVERAGEIF($E$20:$E907,"&gt;0",$E$20:$E907)*12,0),SUM($E$20:$E$31)))</f>
        <v>#DIV/0!</v>
      </c>
      <c r="AH907" s="13">
        <f>IF($AA907=10,$AG907*IF($AB907=12,IF($AG907&lt;IF($D$4="Forint",Paraméterek!$L$223,Paraméterek!$L$224),0,VLOOKUP($AA907,Paraméterek!$K$226:$M$228,IF($AG907&lt;IF($D$4="Forint",Paraméterek!$M$223,Paraméterek!$M$224),2,3))),0),0)</f>
        <v>0</v>
      </c>
      <c r="AI907" s="13">
        <f ca="1">IF(AND($AA907=$M$11+1,$AB907=$M$12+1),SUMIF($AA$20:$AA$1027,$AA907,$AG$20:$AG$1027)*IF(SUMIF($AA$20:$AA$1027,$AA907,$AG$20:$AG$1027)&lt;IF($D$4="Forint",Paraméterek!$L$223,Paraméterek!$L$224),0,VLOOKUP($AA907,Paraméterek!$K$230:$M$250,IF(SUMIF($AA$20:$AA$1027,$AA907,$AG$20:$AG$1027)&lt;IF($D$4="Forint",Paraméterek!$M$223,Paraméterek!$M$224),2,3))),0)</f>
        <v>0</v>
      </c>
      <c r="AJ907" s="13" t="e">
        <f ca="1">IF(AND($AA907&gt;=5,MOD($AA907,5)=0),IF($AB907=12,VLOOKUP($AA907,Paraméterek!$O$225:$P$240,2),0),IF(OR($AA907=3,$AA907=4),IF($AB907=12,VLOOKUP($AA907,Paraméterek!$O$225:$P$240,2,0),0),0))*$AG907</f>
        <v>#DIV/0!</v>
      </c>
      <c r="AK907" s="13">
        <f t="shared" ca="1" si="295"/>
        <v>0</v>
      </c>
      <c r="AL907" s="13">
        <f t="shared" ca="1" si="303"/>
        <v>0</v>
      </c>
      <c r="AM907" s="13">
        <f t="shared" ca="1" si="304"/>
        <v>0</v>
      </c>
      <c r="AO907" s="32">
        <v>888</v>
      </c>
      <c r="AP907" s="32">
        <v>74</v>
      </c>
      <c r="AQ907" s="32">
        <v>12</v>
      </c>
      <c r="AR907" s="13"/>
      <c r="AS907" s="32"/>
      <c r="AT907" s="13">
        <f t="shared" ca="1" si="305"/>
        <v>0</v>
      </c>
      <c r="AU907" s="33"/>
      <c r="AV907" s="13">
        <f t="shared" ca="1" si="296"/>
        <v>0</v>
      </c>
      <c r="AW907" s="13">
        <f ca="1">ROUNDUP(($AT907+$AV907)*VLOOKUP($AP907,Paraméterek!$P$38:$Q$38,2)/12*IF($D908="Nem",IF($M$13=0,1,$M$13),1),IF($D$4="Forint",0,2))</f>
        <v>0</v>
      </c>
      <c r="AX907" s="13">
        <f>Tranzakciók!$M$105</f>
        <v>0</v>
      </c>
      <c r="AY907" s="13"/>
      <c r="AZ907" s="13">
        <f>ROUNDUP(IF(SUM($AX907:$AY907)=0,0,IF(IF(ISBLANK($AY907),$AX907,$AY907)*Paraméterek!$J$112&lt;IF($D$4="Forint",Paraméterek!$J$113,Paraméterek!$K$113),IF($D$4="Forint",Paraméterek!$J$113,Paraméterek!$K$113),IF(IF(ISBLANK($AY907),$AX907,$AY907)*Paraméterek!$J$112&gt;IF($D$4="Forint",Paraméterek!$J$114,Paraméterek!$K$114),IF($D$4="Forint",Paraméterek!$J$114,Paraméterek!$K$114),IF(ISBLANK($AY907),$AX907,$AY907)*Paraméterek!$J$112))),IF($D$4="Forint",0,2))</f>
        <v>0</v>
      </c>
      <c r="BA907" s="13">
        <f ca="1">$AT907+$AV907-$AW907-IF(ROUNDDOWN(IF(ISBLANK($AY907),$AX907,$AY907),IF($D$4="Forint",0,2))&gt;$AT907+$AV907-$AW907-IF($D$4="Forint",Paraméterek!$J$114,Paraméterek!$K$114),0,ROUNDDOWN(IF(ISBLANK($AY907),$AX907,$AY907),IF($D$4="Forint",0,2))-$AZ907)</f>
        <v>0</v>
      </c>
      <c r="BB907" s="13">
        <f t="shared" ca="1" si="297"/>
        <v>0</v>
      </c>
      <c r="BD907" s="32">
        <v>888</v>
      </c>
      <c r="BE907" s="32">
        <v>74</v>
      </c>
      <c r="BF907" s="32">
        <v>12</v>
      </c>
      <c r="BG907" s="34">
        <f t="shared" ca="1" si="306"/>
        <v>2093</v>
      </c>
      <c r="BH907" s="32" t="str">
        <f ca="1">IF(MOD(MONTH($D$14)+$BD907-1,12)=Paraméterek!$C$288,"Igen","")</f>
        <v/>
      </c>
      <c r="BI907" s="13">
        <f ca="1">IF($BH907="Igen",MIN(ROUNDDOWN((SUMIF($BG$20:$BG$1027,$BG907-1,$K$20:$K$1027)-SUMIF($BG$20:$BG$1027,$BG907-1,$I$20:$I$1027))*Paraméterek!$C$289,IF($D$4="Forint",0,2)),IF($D$4="Forint",Paraméterek!$C$285,Paraméterek!$D$285)),0)</f>
        <v>0</v>
      </c>
      <c r="BJ907" s="13">
        <f t="shared" ca="1" si="298"/>
        <v>0</v>
      </c>
      <c r="BK907" s="13">
        <f t="shared" ca="1" si="307"/>
        <v>0</v>
      </c>
      <c r="BL907" s="33"/>
      <c r="BM907" s="13">
        <f t="shared" ca="1" si="299"/>
        <v>0</v>
      </c>
      <c r="BN907" s="13">
        <f ca="1">ROUNDUP(($BK907+$BM907)*VLOOKUP($BE907,Paraméterek!$P$38:$Q$38,2)/12*IF($D908="Nem",IF($M$13=0,1,$M$13),1),IF($D$4="Forint",0,2))</f>
        <v>0</v>
      </c>
      <c r="BO907" s="13">
        <f t="shared" ca="1" si="300"/>
        <v>0</v>
      </c>
      <c r="BP907" s="13">
        <f ca="1">IF($D908="Nem",$BO907,$BO907-ROUNDUP(SUM($BI$20:$BI907)*120%,IF($D$4="Forint",0,2)))</f>
        <v>0</v>
      </c>
    </row>
    <row r="908" spans="1:68" x14ac:dyDescent="0.2">
      <c r="A908" s="32">
        <v>889</v>
      </c>
      <c r="B908" s="32">
        <v>75</v>
      </c>
      <c r="C908" s="32">
        <v>1</v>
      </c>
      <c r="D908" s="32" t="str">
        <f t="shared" ca="1" si="286"/>
        <v>Nem</v>
      </c>
      <c r="E908" s="13">
        <f t="shared" ca="1" si="287"/>
        <v>0</v>
      </c>
      <c r="F908" s="13"/>
      <c r="G908" s="13">
        <f>Tranzakciók!$D$106</f>
        <v>0</v>
      </c>
      <c r="H908" s="13"/>
      <c r="I908" s="13">
        <f t="shared" ca="1" si="288"/>
        <v>0</v>
      </c>
      <c r="J908" s="13">
        <f t="shared" ca="1" si="289"/>
        <v>0</v>
      </c>
      <c r="K908" s="13">
        <f t="shared" ca="1" si="290"/>
        <v>0</v>
      </c>
      <c r="L908" s="13" t="e">
        <f ca="1">ROUNDUP(IF($D$2="Egyszeri",$E908,IF($D$2="Havi",SUM($E$20:$E$31),IF(MOD($C908,$M$1)-1=0,SUM($E$20:$E$31),0))/12*$M$1)*VLOOKUP($B908,Paraméterek!$I$28:$P$31,IF($D$2="Egyszeri",8,HLOOKUP(ROUNDUP($M$11+$M$13,0),Paraméterek!$J$26:$O$27,2))),IF($D$4="Forint",0,2))</f>
        <v>#N/A</v>
      </c>
      <c r="M908" s="13">
        <f t="shared" ca="1" si="291"/>
        <v>0</v>
      </c>
      <c r="N908" s="13">
        <f t="shared" ca="1" si="301"/>
        <v>0</v>
      </c>
      <c r="O908" s="13">
        <f ca="1">IF($D908="Igen",IF($W907&gt;=IF($D$4="Forint",Paraméterek!$J$121,Paraméterek!$K$121),0,IF($D$4="Forint",Paraméterek!$J$121,Paraméterek!$K$121)-$W907),0)</f>
        <v>0</v>
      </c>
      <c r="P908" s="13" t="e">
        <f ca="1">ROUNDUP($O908*VLOOKUP($M$4+$B908-1,Paraméterek!$H$58:$I$105,2,0)/Paraméterek!$I$56,IF($D$4="Forint",0,2))</f>
        <v>#N/A</v>
      </c>
      <c r="Q908" s="13">
        <f t="shared" ca="1" si="292"/>
        <v>0</v>
      </c>
      <c r="R908" s="33"/>
      <c r="S908" s="13" t="e">
        <f t="shared" ca="1" si="293"/>
        <v>#N/A</v>
      </c>
      <c r="T908" s="13" t="e">
        <f ca="1">ROUNDUP(($N908-$P908-$Q908+$S908)*VLOOKUP($B908,Paraméterek!$I$38:$K$39,IF($D$2="Egyszeri",3,2))/12*IF($D909="Nem",IF($M$13=0,1,$M$13),1),IF($D$4="Forint",0,2))</f>
        <v>#N/A</v>
      </c>
      <c r="U908" s="13"/>
      <c r="V908" s="13"/>
      <c r="W908" s="13" t="e">
        <f ca="1">$N908-$P908-$Q908+$S908-$T908-IF(ROUNDUP(IF(ISBLANK($V908),$U908*0,$V908)/IF($D$2="Egyszeri",VLOOKUP($B908+IF($C908=12,1,0),Paraméterek!$V$257:$W$262,2),IF($B908=1,1,VLOOKUP($B908+IF($C908=12,1,0),Paraméterek!$I$258:$T$278,HLOOKUP($M$11+1,Paraméterek!$J$256:$T$257,2)))),IF($D$4="Forint",0,2))&gt;$N908-$P908-$Q908+$S908-$T908-IF($D$4="Forint",Paraméterek!$C$216,Paraméterek!$D$216),0,ROUNDUP(IF(ISBLANK($V908),$U908*0,$V908)/IF($D$2="Egyszeri",VLOOKUP($B908+IF($C908=12,1,0),Paraméterek!$V$257:$W$262,2),IF($B908=1,1,VLOOKUP($B908+IF($C908=12,1,0),Paraméterek!$I$258:$T$278,HLOOKUP($M$11+1,Paraméterek!$J$256:$T$257,2)))),IF($D$4="Forint",0,2)))</f>
        <v>#N/A</v>
      </c>
      <c r="X908" s="13" t="e">
        <f ca="1">ROUNDDOWN($W908*IF($D$2="Egyszeri",VLOOKUP($B908+IF($C908=12,1,0),Paraméterek!$V$257:$W$262,2),VLOOKUP($B908+IF($C908=12,1,0),Paraméterek!$I$258:$T$278,HLOOKUP($M$11+1,Paraméterek!$I$256:$T$257,2))),IF($D$4="Forint",0,2))</f>
        <v>#N/A</v>
      </c>
      <c r="Z908" s="32">
        <v>889</v>
      </c>
      <c r="AA908" s="32">
        <v>75</v>
      </c>
      <c r="AB908" s="32">
        <v>1</v>
      </c>
      <c r="AC908" s="13">
        <f t="shared" ca="1" si="302"/>
        <v>0</v>
      </c>
      <c r="AD908" s="33"/>
      <c r="AE908" s="13">
        <f t="shared" ca="1" si="294"/>
        <v>0</v>
      </c>
      <c r="AF908" s="13">
        <f ca="1">ROUNDUP(($AC908+$AE908)*VLOOKUP($AA908,Paraméterek!$P$38:$Q$38,2)/12*IF($D909="Nem",IF($M$13=0,1,$M$13),1),IF($D$4="Forint",0,2))</f>
        <v>0</v>
      </c>
      <c r="AG908" s="13">
        <f ca="1">IF($D$2="Egyszeri",IF($D$7&gt;=IF($D$4="Forint",Paraméterek!$P$223,Paraméterek!$P$224),$D$7-IF($D$4="Forint",Paraméterek!$P$223,Paraméterek!$P$224),0),MIN(IF($AB908=12,AVERAGEIF($E$20:$E908,"&gt;0",$E$20:$E908)*12,0),SUM($E$20:$E$31)))</f>
        <v>0</v>
      </c>
      <c r="AH908" s="13">
        <f>IF($AA908=10,$AG908*IF($AB908=12,IF($AG908&lt;IF($D$4="Forint",Paraméterek!$L$223,Paraméterek!$L$224),0,VLOOKUP($AA908,Paraméterek!$K$226:$M$228,IF($AG908&lt;IF($D$4="Forint",Paraméterek!$M$223,Paraméterek!$M$224),2,3))),0),0)</f>
        <v>0</v>
      </c>
      <c r="AI908" s="13">
        <f ca="1">IF(AND($AA908=$M$11+1,$AB908=$M$12+1),SUMIF($AA$20:$AA$1027,$AA908,$AG$20:$AG$1027)*IF(SUMIF($AA$20:$AA$1027,$AA908,$AG$20:$AG$1027)&lt;IF($D$4="Forint",Paraméterek!$L$223,Paraméterek!$L$224),0,VLOOKUP($AA908,Paraméterek!$K$230:$M$250,IF(SUMIF($AA$20:$AA$1027,$AA908,$AG$20:$AG$1027)&lt;IF($D$4="Forint",Paraméterek!$M$223,Paraméterek!$M$224),2,3))),0)</f>
        <v>0</v>
      </c>
      <c r="AJ908" s="13">
        <f ca="1">IF(AND($AA908&gt;=5,MOD($AA908,5)=0),IF($AB908=12,VLOOKUP($AA908,Paraméterek!$O$225:$P$240,2),0),IF(OR($AA908=3,$AA908=4),IF($AB908=12,VLOOKUP($AA908,Paraméterek!$O$225:$P$240,2,0),0),0))*$AG908</f>
        <v>0</v>
      </c>
      <c r="AK908" s="13">
        <f t="shared" ca="1" si="295"/>
        <v>0</v>
      </c>
      <c r="AL908" s="13">
        <f t="shared" ca="1" si="303"/>
        <v>0</v>
      </c>
      <c r="AM908" s="13">
        <f t="shared" ca="1" si="304"/>
        <v>0</v>
      </c>
      <c r="AO908" s="32">
        <v>889</v>
      </c>
      <c r="AP908" s="32">
        <v>75</v>
      </c>
      <c r="AQ908" s="32">
        <v>1</v>
      </c>
      <c r="AR908" s="13">
        <f>Tranzakciók!$K$106</f>
        <v>0</v>
      </c>
      <c r="AS908" s="32"/>
      <c r="AT908" s="13">
        <f t="shared" ca="1" si="305"/>
        <v>0</v>
      </c>
      <c r="AU908" s="33"/>
      <c r="AV908" s="13">
        <f t="shared" ca="1" si="296"/>
        <v>0</v>
      </c>
      <c r="AW908" s="13">
        <f ca="1">ROUNDUP(($AT908+$AV908)*VLOOKUP($AP908,Paraméterek!$P$38:$Q$38,2)/12*IF($D909="Nem",IF($M$13=0,1,$M$13),1),IF($D$4="Forint",0,2))</f>
        <v>0</v>
      </c>
      <c r="AX908" s="13"/>
      <c r="AY908" s="13"/>
      <c r="AZ908" s="13">
        <f>ROUNDUP(IF(SUM($AX908:$AY908)=0,0,IF(IF(ISBLANK($AY908),$AX908,$AY908)*Paraméterek!$J$112&lt;IF($D$4="Forint",Paraméterek!$J$113,Paraméterek!$K$113),IF($D$4="Forint",Paraméterek!$J$113,Paraméterek!$K$113),IF(IF(ISBLANK($AY908),$AX908,$AY908)*Paraméterek!$J$112&gt;IF($D$4="Forint",Paraméterek!$J$114,Paraméterek!$K$114),IF($D$4="Forint",Paraméterek!$J$114,Paraméterek!$K$114),IF(ISBLANK($AY908),$AX908,$AY908)*Paraméterek!$J$112))),IF($D$4="Forint",0,2))</f>
        <v>0</v>
      </c>
      <c r="BA908" s="13">
        <f ca="1">$AT908+$AV908-$AW908-IF(ROUNDDOWN(IF(ISBLANK($AY908),$AX908,$AY908),IF($D$4="Forint",0,2))&gt;$AT908+$AV908-$AW908-IF($D$4="Forint",Paraméterek!$J$114,Paraméterek!$K$114),0,ROUNDDOWN(IF(ISBLANK($AY908),$AX908,$AY908),IF($D$4="Forint",0,2))-$AZ908)</f>
        <v>0</v>
      </c>
      <c r="BB908" s="13">
        <f t="shared" ca="1" si="297"/>
        <v>0</v>
      </c>
      <c r="BD908" s="32">
        <v>889</v>
      </c>
      <c r="BE908" s="32">
        <v>75</v>
      </c>
      <c r="BF908" s="32">
        <v>1</v>
      </c>
      <c r="BG908" s="34">
        <f t="shared" ca="1" si="306"/>
        <v>2093</v>
      </c>
      <c r="BH908" s="32" t="str">
        <f ca="1">IF(MOD(MONTH($D$14)+$BD908-1,12)=Paraméterek!$C$288,"Igen","")</f>
        <v/>
      </c>
      <c r="BI908" s="13">
        <f ca="1">IF($BH908="Igen",MIN(ROUNDDOWN((SUMIF($BG$20:$BG$1027,$BG908-1,$K$20:$K$1027)-SUMIF($BG$20:$BG$1027,$BG908-1,$I$20:$I$1027))*Paraméterek!$C$289,IF($D$4="Forint",0,2)),IF($D$4="Forint",Paraméterek!$C$285,Paraméterek!$D$285)),0)</f>
        <v>0</v>
      </c>
      <c r="BJ908" s="13">
        <f t="shared" ca="1" si="298"/>
        <v>0</v>
      </c>
      <c r="BK908" s="13">
        <f t="shared" ca="1" si="307"/>
        <v>0</v>
      </c>
      <c r="BL908" s="33"/>
      <c r="BM908" s="13">
        <f t="shared" ca="1" si="299"/>
        <v>0</v>
      </c>
      <c r="BN908" s="13">
        <f ca="1">ROUNDUP(($BK908+$BM908)*VLOOKUP($BE908,Paraméterek!$P$38:$Q$38,2)/12*IF($D909="Nem",IF($M$13=0,1,$M$13),1),IF($D$4="Forint",0,2))</f>
        <v>0</v>
      </c>
      <c r="BO908" s="13">
        <f t="shared" ca="1" si="300"/>
        <v>0</v>
      </c>
      <c r="BP908" s="13">
        <f ca="1">IF($D909="Nem",$BO908,$BO908-ROUNDUP(SUM($BI$20:$BI908)*120%,IF($D$4="Forint",0,2)))</f>
        <v>0</v>
      </c>
    </row>
    <row r="909" spans="1:68" x14ac:dyDescent="0.2">
      <c r="A909" s="32">
        <v>890</v>
      </c>
      <c r="B909" s="32">
        <v>75</v>
      </c>
      <c r="C909" s="32">
        <v>2</v>
      </c>
      <c r="D909" s="32" t="str">
        <f t="shared" ca="1" si="286"/>
        <v>Nem</v>
      </c>
      <c r="E909" s="13">
        <f t="shared" ca="1" si="287"/>
        <v>0</v>
      </c>
      <c r="F909" s="13"/>
      <c r="G909" s="13"/>
      <c r="H909" s="13"/>
      <c r="I909" s="13">
        <f t="shared" ca="1" si="288"/>
        <v>0</v>
      </c>
      <c r="J909" s="13">
        <f t="shared" ca="1" si="289"/>
        <v>0</v>
      </c>
      <c r="K909" s="13">
        <f t="shared" ca="1" si="290"/>
        <v>0</v>
      </c>
      <c r="L909" s="13" t="e">
        <f ca="1">ROUNDUP(IF($D$2="Egyszeri",$E909,IF($D$2="Havi",SUM($E$20:$E$31),IF(MOD($C909,$M$1)-1=0,SUM($E$20:$E$31),0))/12*$M$1)*VLOOKUP($B909,Paraméterek!$I$28:$P$31,IF($D$2="Egyszeri",8,HLOOKUP(ROUNDUP($M$11+$M$13,0),Paraméterek!$J$26:$O$27,2))),IF($D$4="Forint",0,2))</f>
        <v>#N/A</v>
      </c>
      <c r="M909" s="13">
        <f t="shared" ca="1" si="291"/>
        <v>0</v>
      </c>
      <c r="N909" s="13">
        <f t="shared" ca="1" si="301"/>
        <v>0</v>
      </c>
      <c r="O909" s="13">
        <f ca="1">IF($D909="Igen",IF($W908&gt;=IF($D$4="Forint",Paraméterek!$J$121,Paraméterek!$K$121),0,IF($D$4="Forint",Paraméterek!$J$121,Paraméterek!$K$121)-$W908),0)</f>
        <v>0</v>
      </c>
      <c r="P909" s="13" t="e">
        <f ca="1">ROUNDUP($O909*VLOOKUP($M$4+$B909-1,Paraméterek!$H$58:$I$105,2,0)/Paraméterek!$I$56,IF($D$4="Forint",0,2))</f>
        <v>#N/A</v>
      </c>
      <c r="Q909" s="13">
        <f t="shared" ca="1" si="292"/>
        <v>0</v>
      </c>
      <c r="R909" s="33"/>
      <c r="S909" s="13" t="e">
        <f t="shared" ca="1" si="293"/>
        <v>#N/A</v>
      </c>
      <c r="T909" s="13" t="e">
        <f ca="1">ROUNDUP(($N909-$P909-$Q909+$S909)*VLOOKUP($B909,Paraméterek!$I$38:$K$39,IF($D$2="Egyszeri",3,2))/12*IF($D910="Nem",IF($M$13=0,1,$M$13),1),IF($D$4="Forint",0,2))</f>
        <v>#N/A</v>
      </c>
      <c r="U909" s="13"/>
      <c r="V909" s="13"/>
      <c r="W909" s="13" t="e">
        <f ca="1">$N909-$P909-$Q909+$S909-$T909-IF(ROUNDUP(IF(ISBLANK($V909),$U909*0,$V909)/IF($D$2="Egyszeri",VLOOKUP($B909+IF($C909=12,1,0),Paraméterek!$V$257:$W$262,2),IF($B909=1,1,VLOOKUP($B909+IF($C909=12,1,0),Paraméterek!$I$258:$T$278,HLOOKUP($M$11+1,Paraméterek!$J$256:$T$257,2)))),IF($D$4="Forint",0,2))&gt;$N909-$P909-$Q909+$S909-$T909-IF($D$4="Forint",Paraméterek!$C$216,Paraméterek!$D$216),0,ROUNDUP(IF(ISBLANK($V909),$U909*0,$V909)/IF($D$2="Egyszeri",VLOOKUP($B909+IF($C909=12,1,0),Paraméterek!$V$257:$W$262,2),IF($B909=1,1,VLOOKUP($B909+IF($C909=12,1,0),Paraméterek!$I$258:$T$278,HLOOKUP($M$11+1,Paraméterek!$J$256:$T$257,2)))),IF($D$4="Forint",0,2)))</f>
        <v>#N/A</v>
      </c>
      <c r="X909" s="13" t="e">
        <f ca="1">ROUNDDOWN($W909*IF($D$2="Egyszeri",VLOOKUP($B909+IF($C909=12,1,0),Paraméterek!$V$257:$W$262,2),VLOOKUP($B909+IF($C909=12,1,0),Paraméterek!$I$258:$T$278,HLOOKUP($M$11+1,Paraméterek!$I$256:$T$257,2))),IF($D$4="Forint",0,2))</f>
        <v>#N/A</v>
      </c>
      <c r="Z909" s="32">
        <v>890</v>
      </c>
      <c r="AA909" s="32">
        <v>75</v>
      </c>
      <c r="AB909" s="32">
        <v>2</v>
      </c>
      <c r="AC909" s="13">
        <f t="shared" ca="1" si="302"/>
        <v>0</v>
      </c>
      <c r="AD909" s="33"/>
      <c r="AE909" s="13">
        <f t="shared" ca="1" si="294"/>
        <v>0</v>
      </c>
      <c r="AF909" s="13">
        <f ca="1">ROUNDUP(($AC909+$AE909)*VLOOKUP($AA909,Paraméterek!$P$38:$Q$38,2)/12*IF($D910="Nem",IF($M$13=0,1,$M$13),1),IF($D$4="Forint",0,2))</f>
        <v>0</v>
      </c>
      <c r="AG909" s="13">
        <f ca="1">IF($D$2="Egyszeri",IF($D$7&gt;=IF($D$4="Forint",Paraméterek!$P$223,Paraméterek!$P$224),$D$7-IF($D$4="Forint",Paraméterek!$P$223,Paraméterek!$P$224),0),MIN(IF($AB909=12,AVERAGEIF($E$20:$E909,"&gt;0",$E$20:$E909)*12,0),SUM($E$20:$E$31)))</f>
        <v>0</v>
      </c>
      <c r="AH909" s="13">
        <f>IF($AA909=10,$AG909*IF($AB909=12,IF($AG909&lt;IF($D$4="Forint",Paraméterek!$L$223,Paraméterek!$L$224),0,VLOOKUP($AA909,Paraméterek!$K$226:$M$228,IF($AG909&lt;IF($D$4="Forint",Paraméterek!$M$223,Paraméterek!$M$224),2,3))),0),0)</f>
        <v>0</v>
      </c>
      <c r="AI909" s="13">
        <f ca="1">IF(AND($AA909=$M$11+1,$AB909=$M$12+1),SUMIF($AA$20:$AA$1027,$AA909,$AG$20:$AG$1027)*IF(SUMIF($AA$20:$AA$1027,$AA909,$AG$20:$AG$1027)&lt;IF($D$4="Forint",Paraméterek!$L$223,Paraméterek!$L$224),0,VLOOKUP($AA909,Paraméterek!$K$230:$M$250,IF(SUMIF($AA$20:$AA$1027,$AA909,$AG$20:$AG$1027)&lt;IF($D$4="Forint",Paraméterek!$M$223,Paraméterek!$M$224),2,3))),0)</f>
        <v>0</v>
      </c>
      <c r="AJ909" s="13">
        <f ca="1">IF(AND($AA909&gt;=5,MOD($AA909,5)=0),IF($AB909=12,VLOOKUP($AA909,Paraméterek!$O$225:$P$240,2),0),IF(OR($AA909=3,$AA909=4),IF($AB909=12,VLOOKUP($AA909,Paraméterek!$O$225:$P$240,2,0),0),0))*$AG909</f>
        <v>0</v>
      </c>
      <c r="AK909" s="13">
        <f t="shared" ca="1" si="295"/>
        <v>0</v>
      </c>
      <c r="AL909" s="13">
        <f t="shared" ca="1" si="303"/>
        <v>0</v>
      </c>
      <c r="AM909" s="13">
        <f t="shared" ca="1" si="304"/>
        <v>0</v>
      </c>
      <c r="AO909" s="32">
        <v>890</v>
      </c>
      <c r="AP909" s="32">
        <v>75</v>
      </c>
      <c r="AQ909" s="32">
        <v>2</v>
      </c>
      <c r="AR909" s="13"/>
      <c r="AS909" s="32"/>
      <c r="AT909" s="13">
        <f t="shared" ca="1" si="305"/>
        <v>0</v>
      </c>
      <c r="AU909" s="33"/>
      <c r="AV909" s="13">
        <f t="shared" ca="1" si="296"/>
        <v>0</v>
      </c>
      <c r="AW909" s="13">
        <f ca="1">ROUNDUP(($AT909+$AV909)*VLOOKUP($AP909,Paraméterek!$P$38:$Q$38,2)/12*IF($D910="Nem",IF($M$13=0,1,$M$13),1),IF($D$4="Forint",0,2))</f>
        <v>0</v>
      </c>
      <c r="AX909" s="13"/>
      <c r="AY909" s="13"/>
      <c r="AZ909" s="13">
        <f>ROUNDUP(IF(SUM($AX909:$AY909)=0,0,IF(IF(ISBLANK($AY909),$AX909,$AY909)*Paraméterek!$J$112&lt;IF($D$4="Forint",Paraméterek!$J$113,Paraméterek!$K$113),IF($D$4="Forint",Paraméterek!$J$113,Paraméterek!$K$113),IF(IF(ISBLANK($AY909),$AX909,$AY909)*Paraméterek!$J$112&gt;IF($D$4="Forint",Paraméterek!$J$114,Paraméterek!$K$114),IF($D$4="Forint",Paraméterek!$J$114,Paraméterek!$K$114),IF(ISBLANK($AY909),$AX909,$AY909)*Paraméterek!$J$112))),IF($D$4="Forint",0,2))</f>
        <v>0</v>
      </c>
      <c r="BA909" s="13">
        <f ca="1">$AT909+$AV909-$AW909-IF(ROUNDDOWN(IF(ISBLANK($AY909),$AX909,$AY909),IF($D$4="Forint",0,2))&gt;$AT909+$AV909-$AW909-IF($D$4="Forint",Paraméterek!$J$114,Paraméterek!$K$114),0,ROUNDDOWN(IF(ISBLANK($AY909),$AX909,$AY909),IF($D$4="Forint",0,2))-$AZ909)</f>
        <v>0</v>
      </c>
      <c r="BB909" s="13">
        <f t="shared" ca="1" si="297"/>
        <v>0</v>
      </c>
      <c r="BD909" s="32">
        <v>890</v>
      </c>
      <c r="BE909" s="32">
        <v>75</v>
      </c>
      <c r="BF909" s="32">
        <v>2</v>
      </c>
      <c r="BG909" s="34">
        <f t="shared" ca="1" si="306"/>
        <v>2093</v>
      </c>
      <c r="BH909" s="32" t="str">
        <f ca="1">IF(MOD(MONTH($D$14)+$BD909-1,12)=Paraméterek!$C$288,"Igen","")</f>
        <v>Igen</v>
      </c>
      <c r="BI909" s="13">
        <f ca="1">IF($BH909="Igen",MIN(ROUNDDOWN((SUMIF($BG$20:$BG$1027,$BG909-1,$K$20:$K$1027)-SUMIF($BG$20:$BG$1027,$BG909-1,$I$20:$I$1027))*Paraméterek!$C$289,IF($D$4="Forint",0,2)),IF($D$4="Forint",Paraméterek!$C$285,Paraméterek!$D$285)),0)</f>
        <v>0</v>
      </c>
      <c r="BJ909" s="13">
        <f t="shared" ca="1" si="298"/>
        <v>0</v>
      </c>
      <c r="BK909" s="13">
        <f t="shared" ca="1" si="307"/>
        <v>0</v>
      </c>
      <c r="BL909" s="33"/>
      <c r="BM909" s="13">
        <f t="shared" ca="1" si="299"/>
        <v>0</v>
      </c>
      <c r="BN909" s="13">
        <f ca="1">ROUNDUP(($BK909+$BM909)*VLOOKUP($BE909,Paraméterek!$P$38:$Q$38,2)/12*IF($D910="Nem",IF($M$13=0,1,$M$13),1),IF($D$4="Forint",0,2))</f>
        <v>0</v>
      </c>
      <c r="BO909" s="13">
        <f t="shared" ca="1" si="300"/>
        <v>0</v>
      </c>
      <c r="BP909" s="13">
        <f ca="1">IF($D910="Nem",$BO909,$BO909-ROUNDUP(SUM($BI$20:$BI909)*120%,IF($D$4="Forint",0,2)))</f>
        <v>0</v>
      </c>
    </row>
    <row r="910" spans="1:68" x14ac:dyDescent="0.2">
      <c r="A910" s="32">
        <v>891</v>
      </c>
      <c r="B910" s="32">
        <v>75</v>
      </c>
      <c r="C910" s="32">
        <v>3</v>
      </c>
      <c r="D910" s="32" t="str">
        <f t="shared" ca="1" si="286"/>
        <v>Nem</v>
      </c>
      <c r="E910" s="13">
        <f t="shared" ca="1" si="287"/>
        <v>0</v>
      </c>
      <c r="F910" s="13"/>
      <c r="G910" s="13"/>
      <c r="H910" s="13"/>
      <c r="I910" s="13">
        <f t="shared" ca="1" si="288"/>
        <v>0</v>
      </c>
      <c r="J910" s="13">
        <f t="shared" ca="1" si="289"/>
        <v>0</v>
      </c>
      <c r="K910" s="13">
        <f t="shared" ca="1" si="290"/>
        <v>0</v>
      </c>
      <c r="L910" s="13" t="e">
        <f ca="1">ROUNDUP(IF($D$2="Egyszeri",$E910,IF($D$2="Havi",SUM($E$20:$E$31),IF(MOD($C910,$M$1)-1=0,SUM($E$20:$E$31),0))/12*$M$1)*VLOOKUP($B910,Paraméterek!$I$28:$P$31,IF($D$2="Egyszeri",8,HLOOKUP(ROUNDUP($M$11+$M$13,0),Paraméterek!$J$26:$O$27,2))),IF($D$4="Forint",0,2))</f>
        <v>#N/A</v>
      </c>
      <c r="M910" s="13">
        <f t="shared" ca="1" si="291"/>
        <v>0</v>
      </c>
      <c r="N910" s="13">
        <f t="shared" ca="1" si="301"/>
        <v>0</v>
      </c>
      <c r="O910" s="13">
        <f ca="1">IF($D910="Igen",IF($W909&gt;=IF($D$4="Forint",Paraméterek!$J$121,Paraméterek!$K$121),0,IF($D$4="Forint",Paraméterek!$J$121,Paraméterek!$K$121)-$W909),0)</f>
        <v>0</v>
      </c>
      <c r="P910" s="13" t="e">
        <f ca="1">ROUNDUP($O910*VLOOKUP($M$4+$B910-1,Paraméterek!$H$58:$I$105,2,0)/Paraméterek!$I$56,IF($D$4="Forint",0,2))</f>
        <v>#N/A</v>
      </c>
      <c r="Q910" s="13">
        <f t="shared" ca="1" si="292"/>
        <v>0</v>
      </c>
      <c r="R910" s="33"/>
      <c r="S910" s="13" t="e">
        <f t="shared" ca="1" si="293"/>
        <v>#N/A</v>
      </c>
      <c r="T910" s="13" t="e">
        <f ca="1">ROUNDUP(($N910-$P910-$Q910+$S910)*VLOOKUP($B910,Paraméterek!$I$38:$K$39,IF($D$2="Egyszeri",3,2))/12*IF($D911="Nem",IF($M$13=0,1,$M$13),1),IF($D$4="Forint",0,2))</f>
        <v>#N/A</v>
      </c>
      <c r="U910" s="13"/>
      <c r="V910" s="13"/>
      <c r="W910" s="13" t="e">
        <f ca="1">$N910-$P910-$Q910+$S910-$T910-IF(ROUNDUP(IF(ISBLANK($V910),$U910*0,$V910)/IF($D$2="Egyszeri",VLOOKUP($B910+IF($C910=12,1,0),Paraméterek!$V$257:$W$262,2),IF($B910=1,1,VLOOKUP($B910+IF($C910=12,1,0),Paraméterek!$I$258:$T$278,HLOOKUP($M$11+1,Paraméterek!$J$256:$T$257,2)))),IF($D$4="Forint",0,2))&gt;$N910-$P910-$Q910+$S910-$T910-IF($D$4="Forint",Paraméterek!$C$216,Paraméterek!$D$216),0,ROUNDUP(IF(ISBLANK($V910),$U910*0,$V910)/IF($D$2="Egyszeri",VLOOKUP($B910+IF($C910=12,1,0),Paraméterek!$V$257:$W$262,2),IF($B910=1,1,VLOOKUP($B910+IF($C910=12,1,0),Paraméterek!$I$258:$T$278,HLOOKUP($M$11+1,Paraméterek!$J$256:$T$257,2)))),IF($D$4="Forint",0,2)))</f>
        <v>#N/A</v>
      </c>
      <c r="X910" s="13" t="e">
        <f ca="1">ROUNDDOWN($W910*IF($D$2="Egyszeri",VLOOKUP($B910+IF($C910=12,1,0),Paraméterek!$V$257:$W$262,2),VLOOKUP($B910+IF($C910=12,1,0),Paraméterek!$I$258:$T$278,HLOOKUP($M$11+1,Paraméterek!$I$256:$T$257,2))),IF($D$4="Forint",0,2))</f>
        <v>#N/A</v>
      </c>
      <c r="Z910" s="32">
        <v>891</v>
      </c>
      <c r="AA910" s="32">
        <v>75</v>
      </c>
      <c r="AB910" s="32">
        <v>3</v>
      </c>
      <c r="AC910" s="13">
        <f t="shared" ca="1" si="302"/>
        <v>0</v>
      </c>
      <c r="AD910" s="33"/>
      <c r="AE910" s="13">
        <f t="shared" ca="1" si="294"/>
        <v>0</v>
      </c>
      <c r="AF910" s="13">
        <f ca="1">ROUNDUP(($AC910+$AE910)*VLOOKUP($AA910,Paraméterek!$P$38:$Q$38,2)/12*IF($D911="Nem",IF($M$13=0,1,$M$13),1),IF($D$4="Forint",0,2))</f>
        <v>0</v>
      </c>
      <c r="AG910" s="13">
        <f ca="1">IF($D$2="Egyszeri",IF($D$7&gt;=IF($D$4="Forint",Paraméterek!$P$223,Paraméterek!$P$224),$D$7-IF($D$4="Forint",Paraméterek!$P$223,Paraméterek!$P$224),0),MIN(IF($AB910=12,AVERAGEIF($E$20:$E910,"&gt;0",$E$20:$E910)*12,0),SUM($E$20:$E$31)))</f>
        <v>0</v>
      </c>
      <c r="AH910" s="13">
        <f>IF($AA910=10,$AG910*IF($AB910=12,IF($AG910&lt;IF($D$4="Forint",Paraméterek!$L$223,Paraméterek!$L$224),0,VLOOKUP($AA910,Paraméterek!$K$226:$M$228,IF($AG910&lt;IF($D$4="Forint",Paraméterek!$M$223,Paraméterek!$M$224),2,3))),0),0)</f>
        <v>0</v>
      </c>
      <c r="AI910" s="13">
        <f ca="1">IF(AND($AA910=$M$11+1,$AB910=$M$12+1),SUMIF($AA$20:$AA$1027,$AA910,$AG$20:$AG$1027)*IF(SUMIF($AA$20:$AA$1027,$AA910,$AG$20:$AG$1027)&lt;IF($D$4="Forint",Paraméterek!$L$223,Paraméterek!$L$224),0,VLOOKUP($AA910,Paraméterek!$K$230:$M$250,IF(SUMIF($AA$20:$AA$1027,$AA910,$AG$20:$AG$1027)&lt;IF($D$4="Forint",Paraméterek!$M$223,Paraméterek!$M$224),2,3))),0)</f>
        <v>0</v>
      </c>
      <c r="AJ910" s="13">
        <f ca="1">IF(AND($AA910&gt;=5,MOD($AA910,5)=0),IF($AB910=12,VLOOKUP($AA910,Paraméterek!$O$225:$P$240,2),0),IF(OR($AA910=3,$AA910=4),IF($AB910=12,VLOOKUP($AA910,Paraméterek!$O$225:$P$240,2,0),0),0))*$AG910</f>
        <v>0</v>
      </c>
      <c r="AK910" s="13">
        <f t="shared" ca="1" si="295"/>
        <v>0</v>
      </c>
      <c r="AL910" s="13">
        <f t="shared" ca="1" si="303"/>
        <v>0</v>
      </c>
      <c r="AM910" s="13">
        <f t="shared" ca="1" si="304"/>
        <v>0</v>
      </c>
      <c r="AO910" s="32">
        <v>891</v>
      </c>
      <c r="AP910" s="32">
        <v>75</v>
      </c>
      <c r="AQ910" s="32">
        <v>3</v>
      </c>
      <c r="AR910" s="13"/>
      <c r="AS910" s="32"/>
      <c r="AT910" s="13">
        <f t="shared" ca="1" si="305"/>
        <v>0</v>
      </c>
      <c r="AU910" s="33"/>
      <c r="AV910" s="13">
        <f t="shared" ca="1" si="296"/>
        <v>0</v>
      </c>
      <c r="AW910" s="13">
        <f ca="1">ROUNDUP(($AT910+$AV910)*VLOOKUP($AP910,Paraméterek!$P$38:$Q$38,2)/12*IF($D911="Nem",IF($M$13=0,1,$M$13),1),IF($D$4="Forint",0,2))</f>
        <v>0</v>
      </c>
      <c r="AX910" s="13"/>
      <c r="AY910" s="13"/>
      <c r="AZ910" s="13">
        <f>ROUNDUP(IF(SUM($AX910:$AY910)=0,0,IF(IF(ISBLANK($AY910),$AX910,$AY910)*Paraméterek!$J$112&lt;IF($D$4="Forint",Paraméterek!$J$113,Paraméterek!$K$113),IF($D$4="Forint",Paraméterek!$J$113,Paraméterek!$K$113),IF(IF(ISBLANK($AY910),$AX910,$AY910)*Paraméterek!$J$112&gt;IF($D$4="Forint",Paraméterek!$J$114,Paraméterek!$K$114),IF($D$4="Forint",Paraméterek!$J$114,Paraméterek!$K$114),IF(ISBLANK($AY910),$AX910,$AY910)*Paraméterek!$J$112))),IF($D$4="Forint",0,2))</f>
        <v>0</v>
      </c>
      <c r="BA910" s="13">
        <f ca="1">$AT910+$AV910-$AW910-IF(ROUNDDOWN(IF(ISBLANK($AY910),$AX910,$AY910),IF($D$4="Forint",0,2))&gt;$AT910+$AV910-$AW910-IF($D$4="Forint",Paraméterek!$J$114,Paraméterek!$K$114),0,ROUNDDOWN(IF(ISBLANK($AY910),$AX910,$AY910),IF($D$4="Forint",0,2))-$AZ910)</f>
        <v>0</v>
      </c>
      <c r="BB910" s="13">
        <f t="shared" ca="1" si="297"/>
        <v>0</v>
      </c>
      <c r="BD910" s="32">
        <v>891</v>
      </c>
      <c r="BE910" s="32">
        <v>75</v>
      </c>
      <c r="BF910" s="32">
        <v>3</v>
      </c>
      <c r="BG910" s="34">
        <f t="shared" ca="1" si="306"/>
        <v>2093</v>
      </c>
      <c r="BH910" s="32" t="str">
        <f ca="1">IF(MOD(MONTH($D$14)+$BD910-1,12)=Paraméterek!$C$288,"Igen","")</f>
        <v/>
      </c>
      <c r="BI910" s="13">
        <f ca="1">IF($BH910="Igen",MIN(ROUNDDOWN((SUMIF($BG$20:$BG$1027,$BG910-1,$K$20:$K$1027)-SUMIF($BG$20:$BG$1027,$BG910-1,$I$20:$I$1027))*Paraméterek!$C$289,IF($D$4="Forint",0,2)),IF($D$4="Forint",Paraméterek!$C$285,Paraméterek!$D$285)),0)</f>
        <v>0</v>
      </c>
      <c r="BJ910" s="13">
        <f t="shared" ca="1" si="298"/>
        <v>0</v>
      </c>
      <c r="BK910" s="13">
        <f t="shared" ca="1" si="307"/>
        <v>0</v>
      </c>
      <c r="BL910" s="33"/>
      <c r="BM910" s="13">
        <f t="shared" ca="1" si="299"/>
        <v>0</v>
      </c>
      <c r="BN910" s="13">
        <f ca="1">ROUNDUP(($BK910+$BM910)*VLOOKUP($BE910,Paraméterek!$P$38:$Q$38,2)/12*IF($D911="Nem",IF($M$13=0,1,$M$13),1),IF($D$4="Forint",0,2))</f>
        <v>0</v>
      </c>
      <c r="BO910" s="13">
        <f t="shared" ca="1" si="300"/>
        <v>0</v>
      </c>
      <c r="BP910" s="13">
        <f ca="1">IF($D911="Nem",$BO910,$BO910-ROUNDUP(SUM($BI$20:$BI910)*120%,IF($D$4="Forint",0,2)))</f>
        <v>0</v>
      </c>
    </row>
    <row r="911" spans="1:68" x14ac:dyDescent="0.2">
      <c r="A911" s="32">
        <v>892</v>
      </c>
      <c r="B911" s="32">
        <v>75</v>
      </c>
      <c r="C911" s="32">
        <v>4</v>
      </c>
      <c r="D911" s="32" t="str">
        <f t="shared" ca="1" si="286"/>
        <v>Nem</v>
      </c>
      <c r="E911" s="13">
        <f t="shared" ca="1" si="287"/>
        <v>0</v>
      </c>
      <c r="F911" s="13"/>
      <c r="G911" s="13"/>
      <c r="H911" s="13"/>
      <c r="I911" s="13">
        <f t="shared" ca="1" si="288"/>
        <v>0</v>
      </c>
      <c r="J911" s="13">
        <f t="shared" ca="1" si="289"/>
        <v>0</v>
      </c>
      <c r="K911" s="13">
        <f t="shared" ca="1" si="290"/>
        <v>0</v>
      </c>
      <c r="L911" s="13" t="e">
        <f ca="1">ROUNDUP(IF($D$2="Egyszeri",$E911,IF($D$2="Havi",SUM($E$20:$E$31),IF(MOD($C911,$M$1)-1=0,SUM($E$20:$E$31),0))/12*$M$1)*VLOOKUP($B911,Paraméterek!$I$28:$P$31,IF($D$2="Egyszeri",8,HLOOKUP(ROUNDUP($M$11+$M$13,0),Paraméterek!$J$26:$O$27,2))),IF($D$4="Forint",0,2))</f>
        <v>#N/A</v>
      </c>
      <c r="M911" s="13">
        <f t="shared" ca="1" si="291"/>
        <v>0</v>
      </c>
      <c r="N911" s="13">
        <f t="shared" ca="1" si="301"/>
        <v>0</v>
      </c>
      <c r="O911" s="13">
        <f ca="1">IF($D911="Igen",IF($W910&gt;=IF($D$4="Forint",Paraméterek!$J$121,Paraméterek!$K$121),0,IF($D$4="Forint",Paraméterek!$J$121,Paraméterek!$K$121)-$W910),0)</f>
        <v>0</v>
      </c>
      <c r="P911" s="13" t="e">
        <f ca="1">ROUNDUP($O911*VLOOKUP($M$4+$B911-1,Paraméterek!$H$58:$I$105,2,0)/Paraméterek!$I$56,IF($D$4="Forint",0,2))</f>
        <v>#N/A</v>
      </c>
      <c r="Q911" s="13">
        <f t="shared" ca="1" si="292"/>
        <v>0</v>
      </c>
      <c r="R911" s="33"/>
      <c r="S911" s="13" t="e">
        <f t="shared" ca="1" si="293"/>
        <v>#N/A</v>
      </c>
      <c r="T911" s="13" t="e">
        <f ca="1">ROUNDUP(($N911-$P911-$Q911+$S911)*VLOOKUP($B911,Paraméterek!$I$38:$K$39,IF($D$2="Egyszeri",3,2))/12*IF($D912="Nem",IF($M$13=0,1,$M$13),1),IF($D$4="Forint",0,2))</f>
        <v>#N/A</v>
      </c>
      <c r="U911" s="13"/>
      <c r="V911" s="13"/>
      <c r="W911" s="13" t="e">
        <f ca="1">$N911-$P911-$Q911+$S911-$T911-IF(ROUNDUP(IF(ISBLANK($V911),$U911*0,$V911)/IF($D$2="Egyszeri",VLOOKUP($B911+IF($C911=12,1,0),Paraméterek!$V$257:$W$262,2),IF($B911=1,1,VLOOKUP($B911+IF($C911=12,1,0),Paraméterek!$I$258:$T$278,HLOOKUP($M$11+1,Paraméterek!$J$256:$T$257,2)))),IF($D$4="Forint",0,2))&gt;$N911-$P911-$Q911+$S911-$T911-IF($D$4="Forint",Paraméterek!$C$216,Paraméterek!$D$216),0,ROUNDUP(IF(ISBLANK($V911),$U911*0,$V911)/IF($D$2="Egyszeri",VLOOKUP($B911+IF($C911=12,1,0),Paraméterek!$V$257:$W$262,2),IF($B911=1,1,VLOOKUP($B911+IF($C911=12,1,0),Paraméterek!$I$258:$T$278,HLOOKUP($M$11+1,Paraméterek!$J$256:$T$257,2)))),IF($D$4="Forint",0,2)))</f>
        <v>#N/A</v>
      </c>
      <c r="X911" s="13" t="e">
        <f ca="1">ROUNDDOWN($W911*IF($D$2="Egyszeri",VLOOKUP($B911+IF($C911=12,1,0),Paraméterek!$V$257:$W$262,2),VLOOKUP($B911+IF($C911=12,1,0),Paraméterek!$I$258:$T$278,HLOOKUP($M$11+1,Paraméterek!$I$256:$T$257,2))),IF($D$4="Forint",0,2))</f>
        <v>#N/A</v>
      </c>
      <c r="Z911" s="32">
        <v>892</v>
      </c>
      <c r="AA911" s="32">
        <v>75</v>
      </c>
      <c r="AB911" s="32">
        <v>4</v>
      </c>
      <c r="AC911" s="13">
        <f t="shared" ca="1" si="302"/>
        <v>0</v>
      </c>
      <c r="AD911" s="33"/>
      <c r="AE911" s="13">
        <f t="shared" ca="1" si="294"/>
        <v>0</v>
      </c>
      <c r="AF911" s="13">
        <f ca="1">ROUNDUP(($AC911+$AE911)*VLOOKUP($AA911,Paraméterek!$P$38:$Q$38,2)/12*IF($D912="Nem",IF($M$13=0,1,$M$13),1),IF($D$4="Forint",0,2))</f>
        <v>0</v>
      </c>
      <c r="AG911" s="13">
        <f ca="1">IF($D$2="Egyszeri",IF($D$7&gt;=IF($D$4="Forint",Paraméterek!$P$223,Paraméterek!$P$224),$D$7-IF($D$4="Forint",Paraméterek!$P$223,Paraméterek!$P$224),0),MIN(IF($AB911=12,AVERAGEIF($E$20:$E911,"&gt;0",$E$20:$E911)*12,0),SUM($E$20:$E$31)))</f>
        <v>0</v>
      </c>
      <c r="AH911" s="13">
        <f>IF($AA911=10,$AG911*IF($AB911=12,IF($AG911&lt;IF($D$4="Forint",Paraméterek!$L$223,Paraméterek!$L$224),0,VLOOKUP($AA911,Paraméterek!$K$226:$M$228,IF($AG911&lt;IF($D$4="Forint",Paraméterek!$M$223,Paraméterek!$M$224),2,3))),0),0)</f>
        <v>0</v>
      </c>
      <c r="AI911" s="13">
        <f ca="1">IF(AND($AA911=$M$11+1,$AB911=$M$12+1),SUMIF($AA$20:$AA$1027,$AA911,$AG$20:$AG$1027)*IF(SUMIF($AA$20:$AA$1027,$AA911,$AG$20:$AG$1027)&lt;IF($D$4="Forint",Paraméterek!$L$223,Paraméterek!$L$224),0,VLOOKUP($AA911,Paraméterek!$K$230:$M$250,IF(SUMIF($AA$20:$AA$1027,$AA911,$AG$20:$AG$1027)&lt;IF($D$4="Forint",Paraméterek!$M$223,Paraméterek!$M$224),2,3))),0)</f>
        <v>0</v>
      </c>
      <c r="AJ911" s="13">
        <f ca="1">IF(AND($AA911&gt;=5,MOD($AA911,5)=0),IF($AB911=12,VLOOKUP($AA911,Paraméterek!$O$225:$P$240,2),0),IF(OR($AA911=3,$AA911=4),IF($AB911=12,VLOOKUP($AA911,Paraméterek!$O$225:$P$240,2,0),0),0))*$AG911</f>
        <v>0</v>
      </c>
      <c r="AK911" s="13">
        <f t="shared" ca="1" si="295"/>
        <v>0</v>
      </c>
      <c r="AL911" s="13">
        <f t="shared" ca="1" si="303"/>
        <v>0</v>
      </c>
      <c r="AM911" s="13">
        <f t="shared" ca="1" si="304"/>
        <v>0</v>
      </c>
      <c r="AO911" s="32">
        <v>892</v>
      </c>
      <c r="AP911" s="32">
        <v>75</v>
      </c>
      <c r="AQ911" s="32">
        <v>4</v>
      </c>
      <c r="AR911" s="13"/>
      <c r="AS911" s="32"/>
      <c r="AT911" s="13">
        <f t="shared" ca="1" si="305"/>
        <v>0</v>
      </c>
      <c r="AU911" s="33"/>
      <c r="AV911" s="13">
        <f t="shared" ca="1" si="296"/>
        <v>0</v>
      </c>
      <c r="AW911" s="13">
        <f ca="1">ROUNDUP(($AT911+$AV911)*VLOOKUP($AP911,Paraméterek!$P$38:$Q$38,2)/12*IF($D912="Nem",IF($M$13=0,1,$M$13),1),IF($D$4="Forint",0,2))</f>
        <v>0</v>
      </c>
      <c r="AX911" s="13"/>
      <c r="AY911" s="13"/>
      <c r="AZ911" s="13">
        <f>ROUNDUP(IF(SUM($AX911:$AY911)=0,0,IF(IF(ISBLANK($AY911),$AX911,$AY911)*Paraméterek!$J$112&lt;IF($D$4="Forint",Paraméterek!$J$113,Paraméterek!$K$113),IF($D$4="Forint",Paraméterek!$J$113,Paraméterek!$K$113),IF(IF(ISBLANK($AY911),$AX911,$AY911)*Paraméterek!$J$112&gt;IF($D$4="Forint",Paraméterek!$J$114,Paraméterek!$K$114),IF($D$4="Forint",Paraméterek!$J$114,Paraméterek!$K$114),IF(ISBLANK($AY911),$AX911,$AY911)*Paraméterek!$J$112))),IF($D$4="Forint",0,2))</f>
        <v>0</v>
      </c>
      <c r="BA911" s="13">
        <f ca="1">$AT911+$AV911-$AW911-IF(ROUNDDOWN(IF(ISBLANK($AY911),$AX911,$AY911),IF($D$4="Forint",0,2))&gt;$AT911+$AV911-$AW911-IF($D$4="Forint",Paraméterek!$J$114,Paraméterek!$K$114),0,ROUNDDOWN(IF(ISBLANK($AY911),$AX911,$AY911),IF($D$4="Forint",0,2))-$AZ911)</f>
        <v>0</v>
      </c>
      <c r="BB911" s="13">
        <f t="shared" ca="1" si="297"/>
        <v>0</v>
      </c>
      <c r="BD911" s="32">
        <v>892</v>
      </c>
      <c r="BE911" s="32">
        <v>75</v>
      </c>
      <c r="BF911" s="32">
        <v>4</v>
      </c>
      <c r="BG911" s="34">
        <f t="shared" ca="1" si="306"/>
        <v>2093</v>
      </c>
      <c r="BH911" s="32" t="str">
        <f ca="1">IF(MOD(MONTH($D$14)+$BD911-1,12)=Paraméterek!$C$288,"Igen","")</f>
        <v/>
      </c>
      <c r="BI911" s="13">
        <f ca="1">IF($BH911="Igen",MIN(ROUNDDOWN((SUMIF($BG$20:$BG$1027,$BG911-1,$K$20:$K$1027)-SUMIF($BG$20:$BG$1027,$BG911-1,$I$20:$I$1027))*Paraméterek!$C$289,IF($D$4="Forint",0,2)),IF($D$4="Forint",Paraméterek!$C$285,Paraméterek!$D$285)),0)</f>
        <v>0</v>
      </c>
      <c r="BJ911" s="13">
        <f t="shared" ca="1" si="298"/>
        <v>0</v>
      </c>
      <c r="BK911" s="13">
        <f t="shared" ca="1" si="307"/>
        <v>0</v>
      </c>
      <c r="BL911" s="33"/>
      <c r="BM911" s="13">
        <f t="shared" ca="1" si="299"/>
        <v>0</v>
      </c>
      <c r="BN911" s="13">
        <f ca="1">ROUNDUP(($BK911+$BM911)*VLOOKUP($BE911,Paraméterek!$P$38:$Q$38,2)/12*IF($D912="Nem",IF($M$13=0,1,$M$13),1),IF($D$4="Forint",0,2))</f>
        <v>0</v>
      </c>
      <c r="BO911" s="13">
        <f t="shared" ca="1" si="300"/>
        <v>0</v>
      </c>
      <c r="BP911" s="13">
        <f ca="1">IF($D912="Nem",$BO911,$BO911-ROUNDUP(SUM($BI$20:$BI911)*120%,IF($D$4="Forint",0,2)))</f>
        <v>0</v>
      </c>
    </row>
    <row r="912" spans="1:68" x14ac:dyDescent="0.2">
      <c r="A912" s="32">
        <v>893</v>
      </c>
      <c r="B912" s="32">
        <v>75</v>
      </c>
      <c r="C912" s="32">
        <v>5</v>
      </c>
      <c r="D912" s="32" t="str">
        <f t="shared" ca="1" si="286"/>
        <v>Nem</v>
      </c>
      <c r="E912" s="13">
        <f t="shared" ca="1" si="287"/>
        <v>0</v>
      </c>
      <c r="F912" s="13"/>
      <c r="G912" s="13"/>
      <c r="H912" s="13"/>
      <c r="I912" s="13">
        <f t="shared" ca="1" si="288"/>
        <v>0</v>
      </c>
      <c r="J912" s="13">
        <f t="shared" ca="1" si="289"/>
        <v>0</v>
      </c>
      <c r="K912" s="13">
        <f t="shared" ca="1" si="290"/>
        <v>0</v>
      </c>
      <c r="L912" s="13" t="e">
        <f ca="1">ROUNDUP(IF($D$2="Egyszeri",$E912,IF($D$2="Havi",SUM($E$20:$E$31),IF(MOD($C912,$M$1)-1=0,SUM($E$20:$E$31),0))/12*$M$1)*VLOOKUP($B912,Paraméterek!$I$28:$P$31,IF($D$2="Egyszeri",8,HLOOKUP(ROUNDUP($M$11+$M$13,0),Paraméterek!$J$26:$O$27,2))),IF($D$4="Forint",0,2))</f>
        <v>#N/A</v>
      </c>
      <c r="M912" s="13">
        <f t="shared" ca="1" si="291"/>
        <v>0</v>
      </c>
      <c r="N912" s="13">
        <f t="shared" ca="1" si="301"/>
        <v>0</v>
      </c>
      <c r="O912" s="13">
        <f ca="1">IF($D912="Igen",IF($W911&gt;=IF($D$4="Forint",Paraméterek!$J$121,Paraméterek!$K$121),0,IF($D$4="Forint",Paraméterek!$J$121,Paraméterek!$K$121)-$W911),0)</f>
        <v>0</v>
      </c>
      <c r="P912" s="13" t="e">
        <f ca="1">ROUNDUP($O912*VLOOKUP($M$4+$B912-1,Paraméterek!$H$58:$I$105,2,0)/Paraméterek!$I$56,IF($D$4="Forint",0,2))</f>
        <v>#N/A</v>
      </c>
      <c r="Q912" s="13">
        <f t="shared" ca="1" si="292"/>
        <v>0</v>
      </c>
      <c r="R912" s="33"/>
      <c r="S912" s="13" t="e">
        <f t="shared" ca="1" si="293"/>
        <v>#N/A</v>
      </c>
      <c r="T912" s="13" t="e">
        <f ca="1">ROUNDUP(($N912-$P912-$Q912+$S912)*VLOOKUP($B912,Paraméterek!$I$38:$K$39,IF($D$2="Egyszeri",3,2))/12*IF($D913="Nem",IF($M$13=0,1,$M$13),1),IF($D$4="Forint",0,2))</f>
        <v>#N/A</v>
      </c>
      <c r="U912" s="13"/>
      <c r="V912" s="13"/>
      <c r="W912" s="13" t="e">
        <f ca="1">$N912-$P912-$Q912+$S912-$T912-IF(ROUNDUP(IF(ISBLANK($V912),$U912*0,$V912)/IF($D$2="Egyszeri",VLOOKUP($B912+IF($C912=12,1,0),Paraméterek!$V$257:$W$262,2),IF($B912=1,1,VLOOKUP($B912+IF($C912=12,1,0),Paraméterek!$I$258:$T$278,HLOOKUP($M$11+1,Paraméterek!$J$256:$T$257,2)))),IF($D$4="Forint",0,2))&gt;$N912-$P912-$Q912+$S912-$T912-IF($D$4="Forint",Paraméterek!$C$216,Paraméterek!$D$216),0,ROUNDUP(IF(ISBLANK($V912),$U912*0,$V912)/IF($D$2="Egyszeri",VLOOKUP($B912+IF($C912=12,1,0),Paraméterek!$V$257:$W$262,2),IF($B912=1,1,VLOOKUP($B912+IF($C912=12,1,0),Paraméterek!$I$258:$T$278,HLOOKUP($M$11+1,Paraméterek!$J$256:$T$257,2)))),IF($D$4="Forint",0,2)))</f>
        <v>#N/A</v>
      </c>
      <c r="X912" s="13" t="e">
        <f ca="1">ROUNDDOWN($W912*IF($D$2="Egyszeri",VLOOKUP($B912+IF($C912=12,1,0),Paraméterek!$V$257:$W$262,2),VLOOKUP($B912+IF($C912=12,1,0),Paraméterek!$I$258:$T$278,HLOOKUP($M$11+1,Paraméterek!$I$256:$T$257,2))),IF($D$4="Forint",0,2))</f>
        <v>#N/A</v>
      </c>
      <c r="Z912" s="32">
        <v>893</v>
      </c>
      <c r="AA912" s="32">
        <v>75</v>
      </c>
      <c r="AB912" s="32">
        <v>5</v>
      </c>
      <c r="AC912" s="13">
        <f t="shared" ca="1" si="302"/>
        <v>0</v>
      </c>
      <c r="AD912" s="33"/>
      <c r="AE912" s="13">
        <f t="shared" ca="1" si="294"/>
        <v>0</v>
      </c>
      <c r="AF912" s="13">
        <f ca="1">ROUNDUP(($AC912+$AE912)*VLOOKUP($AA912,Paraméterek!$P$38:$Q$38,2)/12*IF($D913="Nem",IF($M$13=0,1,$M$13),1),IF($D$4="Forint",0,2))</f>
        <v>0</v>
      </c>
      <c r="AG912" s="13">
        <f ca="1">IF($D$2="Egyszeri",IF($D$7&gt;=IF($D$4="Forint",Paraméterek!$P$223,Paraméterek!$P$224),$D$7-IF($D$4="Forint",Paraméterek!$P$223,Paraméterek!$P$224),0),MIN(IF($AB912=12,AVERAGEIF($E$20:$E912,"&gt;0",$E$20:$E912)*12,0),SUM($E$20:$E$31)))</f>
        <v>0</v>
      </c>
      <c r="AH912" s="13">
        <f>IF($AA912=10,$AG912*IF($AB912=12,IF($AG912&lt;IF($D$4="Forint",Paraméterek!$L$223,Paraméterek!$L$224),0,VLOOKUP($AA912,Paraméterek!$K$226:$M$228,IF($AG912&lt;IF($D$4="Forint",Paraméterek!$M$223,Paraméterek!$M$224),2,3))),0),0)</f>
        <v>0</v>
      </c>
      <c r="AI912" s="13">
        <f ca="1">IF(AND($AA912=$M$11+1,$AB912=$M$12+1),SUMIF($AA$20:$AA$1027,$AA912,$AG$20:$AG$1027)*IF(SUMIF($AA$20:$AA$1027,$AA912,$AG$20:$AG$1027)&lt;IF($D$4="Forint",Paraméterek!$L$223,Paraméterek!$L$224),0,VLOOKUP($AA912,Paraméterek!$K$230:$M$250,IF(SUMIF($AA$20:$AA$1027,$AA912,$AG$20:$AG$1027)&lt;IF($D$4="Forint",Paraméterek!$M$223,Paraméterek!$M$224),2,3))),0)</f>
        <v>0</v>
      </c>
      <c r="AJ912" s="13">
        <f ca="1">IF(AND($AA912&gt;=5,MOD($AA912,5)=0),IF($AB912=12,VLOOKUP($AA912,Paraméterek!$O$225:$P$240,2),0),IF(OR($AA912=3,$AA912=4),IF($AB912=12,VLOOKUP($AA912,Paraméterek!$O$225:$P$240,2,0),0),0))*$AG912</f>
        <v>0</v>
      </c>
      <c r="AK912" s="13">
        <f t="shared" ca="1" si="295"/>
        <v>0</v>
      </c>
      <c r="AL912" s="13">
        <f t="shared" ca="1" si="303"/>
        <v>0</v>
      </c>
      <c r="AM912" s="13">
        <f t="shared" ca="1" si="304"/>
        <v>0</v>
      </c>
      <c r="AO912" s="32">
        <v>893</v>
      </c>
      <c r="AP912" s="32">
        <v>75</v>
      </c>
      <c r="AQ912" s="32">
        <v>5</v>
      </c>
      <c r="AR912" s="13"/>
      <c r="AS912" s="32"/>
      <c r="AT912" s="13">
        <f t="shared" ca="1" si="305"/>
        <v>0</v>
      </c>
      <c r="AU912" s="33"/>
      <c r="AV912" s="13">
        <f t="shared" ca="1" si="296"/>
        <v>0</v>
      </c>
      <c r="AW912" s="13">
        <f ca="1">ROUNDUP(($AT912+$AV912)*VLOOKUP($AP912,Paraméterek!$P$38:$Q$38,2)/12*IF($D913="Nem",IF($M$13=0,1,$M$13),1),IF($D$4="Forint",0,2))</f>
        <v>0</v>
      </c>
      <c r="AX912" s="13"/>
      <c r="AY912" s="13"/>
      <c r="AZ912" s="13">
        <f>ROUNDUP(IF(SUM($AX912:$AY912)=0,0,IF(IF(ISBLANK($AY912),$AX912,$AY912)*Paraméterek!$J$112&lt;IF($D$4="Forint",Paraméterek!$J$113,Paraméterek!$K$113),IF($D$4="Forint",Paraméterek!$J$113,Paraméterek!$K$113),IF(IF(ISBLANK($AY912),$AX912,$AY912)*Paraméterek!$J$112&gt;IF($D$4="Forint",Paraméterek!$J$114,Paraméterek!$K$114),IF($D$4="Forint",Paraméterek!$J$114,Paraméterek!$K$114),IF(ISBLANK($AY912),$AX912,$AY912)*Paraméterek!$J$112))),IF($D$4="Forint",0,2))</f>
        <v>0</v>
      </c>
      <c r="BA912" s="13">
        <f ca="1">$AT912+$AV912-$AW912-IF(ROUNDDOWN(IF(ISBLANK($AY912),$AX912,$AY912),IF($D$4="Forint",0,2))&gt;$AT912+$AV912-$AW912-IF($D$4="Forint",Paraméterek!$J$114,Paraméterek!$K$114),0,ROUNDDOWN(IF(ISBLANK($AY912),$AX912,$AY912),IF($D$4="Forint",0,2))-$AZ912)</f>
        <v>0</v>
      </c>
      <c r="BB912" s="13">
        <f t="shared" ca="1" si="297"/>
        <v>0</v>
      </c>
      <c r="BD912" s="32">
        <v>893</v>
      </c>
      <c r="BE912" s="32">
        <v>75</v>
      </c>
      <c r="BF912" s="32">
        <v>5</v>
      </c>
      <c r="BG912" s="34">
        <f t="shared" ca="1" si="306"/>
        <v>2093</v>
      </c>
      <c r="BH912" s="32" t="str">
        <f ca="1">IF(MOD(MONTH($D$14)+$BD912-1,12)=Paraméterek!$C$288,"Igen","")</f>
        <v/>
      </c>
      <c r="BI912" s="13">
        <f ca="1">IF($BH912="Igen",MIN(ROUNDDOWN((SUMIF($BG$20:$BG$1027,$BG912-1,$K$20:$K$1027)-SUMIF($BG$20:$BG$1027,$BG912-1,$I$20:$I$1027))*Paraméterek!$C$289,IF($D$4="Forint",0,2)),IF($D$4="Forint",Paraméterek!$C$285,Paraméterek!$D$285)),0)</f>
        <v>0</v>
      </c>
      <c r="BJ912" s="13">
        <f t="shared" ca="1" si="298"/>
        <v>0</v>
      </c>
      <c r="BK912" s="13">
        <f t="shared" ca="1" si="307"/>
        <v>0</v>
      </c>
      <c r="BL912" s="33"/>
      <c r="BM912" s="13">
        <f t="shared" ca="1" si="299"/>
        <v>0</v>
      </c>
      <c r="BN912" s="13">
        <f ca="1">ROUNDUP(($BK912+$BM912)*VLOOKUP($BE912,Paraméterek!$P$38:$Q$38,2)/12*IF($D913="Nem",IF($M$13=0,1,$M$13),1),IF($D$4="Forint",0,2))</f>
        <v>0</v>
      </c>
      <c r="BO912" s="13">
        <f t="shared" ca="1" si="300"/>
        <v>0</v>
      </c>
      <c r="BP912" s="13">
        <f ca="1">IF($D913="Nem",$BO912,$BO912-ROUNDUP(SUM($BI$20:$BI912)*120%,IF($D$4="Forint",0,2)))</f>
        <v>0</v>
      </c>
    </row>
    <row r="913" spans="1:68" x14ac:dyDescent="0.2">
      <c r="A913" s="32">
        <v>894</v>
      </c>
      <c r="B913" s="32">
        <v>75</v>
      </c>
      <c r="C913" s="32">
        <v>6</v>
      </c>
      <c r="D913" s="32" t="str">
        <f t="shared" ca="1" si="286"/>
        <v>Nem</v>
      </c>
      <c r="E913" s="13">
        <f t="shared" ca="1" si="287"/>
        <v>0</v>
      </c>
      <c r="F913" s="13"/>
      <c r="G913" s="13"/>
      <c r="H913" s="13"/>
      <c r="I913" s="13">
        <f t="shared" ca="1" si="288"/>
        <v>0</v>
      </c>
      <c r="J913" s="13">
        <f t="shared" ca="1" si="289"/>
        <v>0</v>
      </c>
      <c r="K913" s="13">
        <f t="shared" ca="1" si="290"/>
        <v>0</v>
      </c>
      <c r="L913" s="13" t="e">
        <f ca="1">ROUNDUP(IF($D$2="Egyszeri",$E913,IF($D$2="Havi",SUM($E$20:$E$31),IF(MOD($C913,$M$1)-1=0,SUM($E$20:$E$31),0))/12*$M$1)*VLOOKUP($B913,Paraméterek!$I$28:$P$31,IF($D$2="Egyszeri",8,HLOOKUP(ROUNDUP($M$11+$M$13,0),Paraméterek!$J$26:$O$27,2))),IF($D$4="Forint",0,2))</f>
        <v>#N/A</v>
      </c>
      <c r="M913" s="13">
        <f t="shared" ca="1" si="291"/>
        <v>0</v>
      </c>
      <c r="N913" s="13">
        <f t="shared" ca="1" si="301"/>
        <v>0</v>
      </c>
      <c r="O913" s="13">
        <f ca="1">IF($D913="Igen",IF($W912&gt;=IF($D$4="Forint",Paraméterek!$J$121,Paraméterek!$K$121),0,IF($D$4="Forint",Paraméterek!$J$121,Paraméterek!$K$121)-$W912),0)</f>
        <v>0</v>
      </c>
      <c r="P913" s="13" t="e">
        <f ca="1">ROUNDUP($O913*VLOOKUP($M$4+$B913-1,Paraméterek!$H$58:$I$105,2,0)/Paraméterek!$I$56,IF($D$4="Forint",0,2))</f>
        <v>#N/A</v>
      </c>
      <c r="Q913" s="13">
        <f t="shared" ca="1" si="292"/>
        <v>0</v>
      </c>
      <c r="R913" s="33"/>
      <c r="S913" s="13" t="e">
        <f t="shared" ca="1" si="293"/>
        <v>#N/A</v>
      </c>
      <c r="T913" s="13" t="e">
        <f ca="1">ROUNDUP(($N913-$P913-$Q913+$S913)*VLOOKUP($B913,Paraméterek!$I$38:$K$39,IF($D$2="Egyszeri",3,2))/12*IF($D914="Nem",IF($M$13=0,1,$M$13),1),IF($D$4="Forint",0,2))</f>
        <v>#N/A</v>
      </c>
      <c r="U913" s="13"/>
      <c r="V913" s="13"/>
      <c r="W913" s="13" t="e">
        <f ca="1">$N913-$P913-$Q913+$S913-$T913-IF(ROUNDUP(IF(ISBLANK($V913),$U913*0,$V913)/IF($D$2="Egyszeri",VLOOKUP($B913+IF($C913=12,1,0),Paraméterek!$V$257:$W$262,2),IF($B913=1,1,VLOOKUP($B913+IF($C913=12,1,0),Paraméterek!$I$258:$T$278,HLOOKUP($M$11+1,Paraméterek!$J$256:$T$257,2)))),IF($D$4="Forint",0,2))&gt;$N913-$P913-$Q913+$S913-$T913-IF($D$4="Forint",Paraméterek!$C$216,Paraméterek!$D$216),0,ROUNDUP(IF(ISBLANK($V913),$U913*0,$V913)/IF($D$2="Egyszeri",VLOOKUP($B913+IF($C913=12,1,0),Paraméterek!$V$257:$W$262,2),IF($B913=1,1,VLOOKUP($B913+IF($C913=12,1,0),Paraméterek!$I$258:$T$278,HLOOKUP($M$11+1,Paraméterek!$J$256:$T$257,2)))),IF($D$4="Forint",0,2)))</f>
        <v>#N/A</v>
      </c>
      <c r="X913" s="13" t="e">
        <f ca="1">ROUNDDOWN($W913*IF($D$2="Egyszeri",VLOOKUP($B913+IF($C913=12,1,0),Paraméterek!$V$257:$W$262,2),VLOOKUP($B913+IF($C913=12,1,0),Paraméterek!$I$258:$T$278,HLOOKUP($M$11+1,Paraméterek!$I$256:$T$257,2))),IF($D$4="Forint",0,2))</f>
        <v>#N/A</v>
      </c>
      <c r="Z913" s="32">
        <v>894</v>
      </c>
      <c r="AA913" s="32">
        <v>75</v>
      </c>
      <c r="AB913" s="32">
        <v>6</v>
      </c>
      <c r="AC913" s="13">
        <f t="shared" ca="1" si="302"/>
        <v>0</v>
      </c>
      <c r="AD913" s="33"/>
      <c r="AE913" s="13">
        <f t="shared" ca="1" si="294"/>
        <v>0</v>
      </c>
      <c r="AF913" s="13">
        <f ca="1">ROUNDUP(($AC913+$AE913)*VLOOKUP($AA913,Paraméterek!$P$38:$Q$38,2)/12*IF($D914="Nem",IF($M$13=0,1,$M$13),1),IF($D$4="Forint",0,2))</f>
        <v>0</v>
      </c>
      <c r="AG913" s="13">
        <f ca="1">IF($D$2="Egyszeri",IF($D$7&gt;=IF($D$4="Forint",Paraméterek!$P$223,Paraméterek!$P$224),$D$7-IF($D$4="Forint",Paraméterek!$P$223,Paraméterek!$P$224),0),MIN(IF($AB913=12,AVERAGEIF($E$20:$E913,"&gt;0",$E$20:$E913)*12,0),SUM($E$20:$E$31)))</f>
        <v>0</v>
      </c>
      <c r="AH913" s="13">
        <f>IF($AA913=10,$AG913*IF($AB913=12,IF($AG913&lt;IF($D$4="Forint",Paraméterek!$L$223,Paraméterek!$L$224),0,VLOOKUP($AA913,Paraméterek!$K$226:$M$228,IF($AG913&lt;IF($D$4="Forint",Paraméterek!$M$223,Paraméterek!$M$224),2,3))),0),0)</f>
        <v>0</v>
      </c>
      <c r="AI913" s="13">
        <f ca="1">IF(AND($AA913=$M$11+1,$AB913=$M$12+1),SUMIF($AA$20:$AA$1027,$AA913,$AG$20:$AG$1027)*IF(SUMIF($AA$20:$AA$1027,$AA913,$AG$20:$AG$1027)&lt;IF($D$4="Forint",Paraméterek!$L$223,Paraméterek!$L$224),0,VLOOKUP($AA913,Paraméterek!$K$230:$M$250,IF(SUMIF($AA$20:$AA$1027,$AA913,$AG$20:$AG$1027)&lt;IF($D$4="Forint",Paraméterek!$M$223,Paraméterek!$M$224),2,3))),0)</f>
        <v>0</v>
      </c>
      <c r="AJ913" s="13">
        <f ca="1">IF(AND($AA913&gt;=5,MOD($AA913,5)=0),IF($AB913=12,VLOOKUP($AA913,Paraméterek!$O$225:$P$240,2),0),IF(OR($AA913=3,$AA913=4),IF($AB913=12,VLOOKUP($AA913,Paraméterek!$O$225:$P$240,2,0),0),0))*$AG913</f>
        <v>0</v>
      </c>
      <c r="AK913" s="13">
        <f t="shared" ca="1" si="295"/>
        <v>0</v>
      </c>
      <c r="AL913" s="13">
        <f t="shared" ca="1" si="303"/>
        <v>0</v>
      </c>
      <c r="AM913" s="13">
        <f t="shared" ca="1" si="304"/>
        <v>0</v>
      </c>
      <c r="AO913" s="32">
        <v>894</v>
      </c>
      <c r="AP913" s="32">
        <v>75</v>
      </c>
      <c r="AQ913" s="32">
        <v>6</v>
      </c>
      <c r="AR913" s="13"/>
      <c r="AS913" s="32"/>
      <c r="AT913" s="13">
        <f t="shared" ca="1" si="305"/>
        <v>0</v>
      </c>
      <c r="AU913" s="33"/>
      <c r="AV913" s="13">
        <f t="shared" ca="1" si="296"/>
        <v>0</v>
      </c>
      <c r="AW913" s="13">
        <f ca="1">ROUNDUP(($AT913+$AV913)*VLOOKUP($AP913,Paraméterek!$P$38:$Q$38,2)/12*IF($D914="Nem",IF($M$13=0,1,$M$13),1),IF($D$4="Forint",0,2))</f>
        <v>0</v>
      </c>
      <c r="AX913" s="13"/>
      <c r="AY913" s="13"/>
      <c r="AZ913" s="13">
        <f>ROUNDUP(IF(SUM($AX913:$AY913)=0,0,IF(IF(ISBLANK($AY913),$AX913,$AY913)*Paraméterek!$J$112&lt;IF($D$4="Forint",Paraméterek!$J$113,Paraméterek!$K$113),IF($D$4="Forint",Paraméterek!$J$113,Paraméterek!$K$113),IF(IF(ISBLANK($AY913),$AX913,$AY913)*Paraméterek!$J$112&gt;IF($D$4="Forint",Paraméterek!$J$114,Paraméterek!$K$114),IF($D$4="Forint",Paraméterek!$J$114,Paraméterek!$K$114),IF(ISBLANK($AY913),$AX913,$AY913)*Paraméterek!$J$112))),IF($D$4="Forint",0,2))</f>
        <v>0</v>
      </c>
      <c r="BA913" s="13">
        <f ca="1">$AT913+$AV913-$AW913-IF(ROUNDDOWN(IF(ISBLANK($AY913),$AX913,$AY913),IF($D$4="Forint",0,2))&gt;$AT913+$AV913-$AW913-IF($D$4="Forint",Paraméterek!$J$114,Paraméterek!$K$114),0,ROUNDDOWN(IF(ISBLANK($AY913),$AX913,$AY913),IF($D$4="Forint",0,2))-$AZ913)</f>
        <v>0</v>
      </c>
      <c r="BB913" s="13">
        <f t="shared" ca="1" si="297"/>
        <v>0</v>
      </c>
      <c r="BD913" s="32">
        <v>894</v>
      </c>
      <c r="BE913" s="32">
        <v>75</v>
      </c>
      <c r="BF913" s="32">
        <v>6</v>
      </c>
      <c r="BG913" s="34">
        <f t="shared" ca="1" si="306"/>
        <v>2093</v>
      </c>
      <c r="BH913" s="32" t="str">
        <f ca="1">IF(MOD(MONTH($D$14)+$BD913-1,12)=Paraméterek!$C$288,"Igen","")</f>
        <v/>
      </c>
      <c r="BI913" s="13">
        <f ca="1">IF($BH913="Igen",MIN(ROUNDDOWN((SUMIF($BG$20:$BG$1027,$BG913-1,$K$20:$K$1027)-SUMIF($BG$20:$BG$1027,$BG913-1,$I$20:$I$1027))*Paraméterek!$C$289,IF($D$4="Forint",0,2)),IF($D$4="Forint",Paraméterek!$C$285,Paraméterek!$D$285)),0)</f>
        <v>0</v>
      </c>
      <c r="BJ913" s="13">
        <f t="shared" ca="1" si="298"/>
        <v>0</v>
      </c>
      <c r="BK913" s="13">
        <f t="shared" ca="1" si="307"/>
        <v>0</v>
      </c>
      <c r="BL913" s="33"/>
      <c r="BM913" s="13">
        <f t="shared" ca="1" si="299"/>
        <v>0</v>
      </c>
      <c r="BN913" s="13">
        <f ca="1">ROUNDUP(($BK913+$BM913)*VLOOKUP($BE913,Paraméterek!$P$38:$Q$38,2)/12*IF($D914="Nem",IF($M$13=0,1,$M$13),1),IF($D$4="Forint",0,2))</f>
        <v>0</v>
      </c>
      <c r="BO913" s="13">
        <f t="shared" ca="1" si="300"/>
        <v>0</v>
      </c>
      <c r="BP913" s="13">
        <f ca="1">IF($D914="Nem",$BO913,$BO913-ROUNDUP(SUM($BI$20:$BI913)*120%,IF($D$4="Forint",0,2)))</f>
        <v>0</v>
      </c>
    </row>
    <row r="914" spans="1:68" x14ac:dyDescent="0.2">
      <c r="A914" s="32">
        <v>895</v>
      </c>
      <c r="B914" s="32">
        <v>75</v>
      </c>
      <c r="C914" s="32">
        <v>7</v>
      </c>
      <c r="D914" s="32" t="str">
        <f t="shared" ca="1" si="286"/>
        <v>Nem</v>
      </c>
      <c r="E914" s="13">
        <f t="shared" ca="1" si="287"/>
        <v>0</v>
      </c>
      <c r="F914" s="13"/>
      <c r="G914" s="13"/>
      <c r="H914" s="13"/>
      <c r="I914" s="13">
        <f t="shared" ca="1" si="288"/>
        <v>0</v>
      </c>
      <c r="J914" s="13">
        <f t="shared" ca="1" si="289"/>
        <v>0</v>
      </c>
      <c r="K914" s="13">
        <f t="shared" ca="1" si="290"/>
        <v>0</v>
      </c>
      <c r="L914" s="13" t="e">
        <f ca="1">ROUNDUP(IF($D$2="Egyszeri",$E914,IF($D$2="Havi",SUM($E$20:$E$31),IF(MOD($C914,$M$1)-1=0,SUM($E$20:$E$31),0))/12*$M$1)*VLOOKUP($B914,Paraméterek!$I$28:$P$31,IF($D$2="Egyszeri",8,HLOOKUP(ROUNDUP($M$11+$M$13,0),Paraméterek!$J$26:$O$27,2))),IF($D$4="Forint",0,2))</f>
        <v>#N/A</v>
      </c>
      <c r="M914" s="13">
        <f t="shared" ca="1" si="291"/>
        <v>0</v>
      </c>
      <c r="N914" s="13">
        <f t="shared" ca="1" si="301"/>
        <v>0</v>
      </c>
      <c r="O914" s="13">
        <f ca="1">IF($D914="Igen",IF($W913&gt;=IF($D$4="Forint",Paraméterek!$J$121,Paraméterek!$K$121),0,IF($D$4="Forint",Paraméterek!$J$121,Paraméterek!$K$121)-$W913),0)</f>
        <v>0</v>
      </c>
      <c r="P914" s="13" t="e">
        <f ca="1">ROUNDUP($O914*VLOOKUP($M$4+$B914-1,Paraméterek!$H$58:$I$105,2,0)/Paraméterek!$I$56,IF($D$4="Forint",0,2))</f>
        <v>#N/A</v>
      </c>
      <c r="Q914" s="13">
        <f t="shared" ca="1" si="292"/>
        <v>0</v>
      </c>
      <c r="R914" s="33"/>
      <c r="S914" s="13" t="e">
        <f t="shared" ca="1" si="293"/>
        <v>#N/A</v>
      </c>
      <c r="T914" s="13" t="e">
        <f ca="1">ROUNDUP(($N914-$P914-$Q914+$S914)*VLOOKUP($B914,Paraméterek!$I$38:$K$39,IF($D$2="Egyszeri",3,2))/12*IF($D915="Nem",IF($M$13=0,1,$M$13),1),IF($D$4="Forint",0,2))</f>
        <v>#N/A</v>
      </c>
      <c r="U914" s="13"/>
      <c r="V914" s="13"/>
      <c r="W914" s="13" t="e">
        <f ca="1">$N914-$P914-$Q914+$S914-$T914-IF(ROUNDUP(IF(ISBLANK($V914),$U914*0,$V914)/IF($D$2="Egyszeri",VLOOKUP($B914+IF($C914=12,1,0),Paraméterek!$V$257:$W$262,2),IF($B914=1,1,VLOOKUP($B914+IF($C914=12,1,0),Paraméterek!$I$258:$T$278,HLOOKUP($M$11+1,Paraméterek!$J$256:$T$257,2)))),IF($D$4="Forint",0,2))&gt;$N914-$P914-$Q914+$S914-$T914-IF($D$4="Forint",Paraméterek!$C$216,Paraméterek!$D$216),0,ROUNDUP(IF(ISBLANK($V914),$U914*0,$V914)/IF($D$2="Egyszeri",VLOOKUP($B914+IF($C914=12,1,0),Paraméterek!$V$257:$W$262,2),IF($B914=1,1,VLOOKUP($B914+IF($C914=12,1,0),Paraméterek!$I$258:$T$278,HLOOKUP($M$11+1,Paraméterek!$J$256:$T$257,2)))),IF($D$4="Forint",0,2)))</f>
        <v>#N/A</v>
      </c>
      <c r="X914" s="13" t="e">
        <f ca="1">ROUNDDOWN($W914*IF($D$2="Egyszeri",VLOOKUP($B914+IF($C914=12,1,0),Paraméterek!$V$257:$W$262,2),VLOOKUP($B914+IF($C914=12,1,0),Paraméterek!$I$258:$T$278,HLOOKUP($M$11+1,Paraméterek!$I$256:$T$257,2))),IF($D$4="Forint",0,2))</f>
        <v>#N/A</v>
      </c>
      <c r="Z914" s="32">
        <v>895</v>
      </c>
      <c r="AA914" s="32">
        <v>75</v>
      </c>
      <c r="AB914" s="32">
        <v>7</v>
      </c>
      <c r="AC914" s="13">
        <f t="shared" ca="1" si="302"/>
        <v>0</v>
      </c>
      <c r="AD914" s="33"/>
      <c r="AE914" s="13">
        <f t="shared" ca="1" si="294"/>
        <v>0</v>
      </c>
      <c r="AF914" s="13">
        <f ca="1">ROUNDUP(($AC914+$AE914)*VLOOKUP($AA914,Paraméterek!$P$38:$Q$38,2)/12*IF($D915="Nem",IF($M$13=0,1,$M$13),1),IF($D$4="Forint",0,2))</f>
        <v>0</v>
      </c>
      <c r="AG914" s="13">
        <f ca="1">IF($D$2="Egyszeri",IF($D$7&gt;=IF($D$4="Forint",Paraméterek!$P$223,Paraméterek!$P$224),$D$7-IF($D$4="Forint",Paraméterek!$P$223,Paraméterek!$P$224),0),MIN(IF($AB914=12,AVERAGEIF($E$20:$E914,"&gt;0",$E$20:$E914)*12,0),SUM($E$20:$E$31)))</f>
        <v>0</v>
      </c>
      <c r="AH914" s="13">
        <f>IF($AA914=10,$AG914*IF($AB914=12,IF($AG914&lt;IF($D$4="Forint",Paraméterek!$L$223,Paraméterek!$L$224),0,VLOOKUP($AA914,Paraméterek!$K$226:$M$228,IF($AG914&lt;IF($D$4="Forint",Paraméterek!$M$223,Paraméterek!$M$224),2,3))),0),0)</f>
        <v>0</v>
      </c>
      <c r="AI914" s="13">
        <f ca="1">IF(AND($AA914=$M$11+1,$AB914=$M$12+1),SUMIF($AA$20:$AA$1027,$AA914,$AG$20:$AG$1027)*IF(SUMIF($AA$20:$AA$1027,$AA914,$AG$20:$AG$1027)&lt;IF($D$4="Forint",Paraméterek!$L$223,Paraméterek!$L$224),0,VLOOKUP($AA914,Paraméterek!$K$230:$M$250,IF(SUMIF($AA$20:$AA$1027,$AA914,$AG$20:$AG$1027)&lt;IF($D$4="Forint",Paraméterek!$M$223,Paraméterek!$M$224),2,3))),0)</f>
        <v>0</v>
      </c>
      <c r="AJ914" s="13">
        <f ca="1">IF(AND($AA914&gt;=5,MOD($AA914,5)=0),IF($AB914=12,VLOOKUP($AA914,Paraméterek!$O$225:$P$240,2),0),IF(OR($AA914=3,$AA914=4),IF($AB914=12,VLOOKUP($AA914,Paraméterek!$O$225:$P$240,2,0),0),0))*$AG914</f>
        <v>0</v>
      </c>
      <c r="AK914" s="13">
        <f t="shared" ca="1" si="295"/>
        <v>0</v>
      </c>
      <c r="AL914" s="13">
        <f t="shared" ca="1" si="303"/>
        <v>0</v>
      </c>
      <c r="AM914" s="13">
        <f t="shared" ca="1" si="304"/>
        <v>0</v>
      </c>
      <c r="AO914" s="32">
        <v>895</v>
      </c>
      <c r="AP914" s="32">
        <v>75</v>
      </c>
      <c r="AQ914" s="32">
        <v>7</v>
      </c>
      <c r="AR914" s="13"/>
      <c r="AS914" s="32"/>
      <c r="AT914" s="13">
        <f t="shared" ca="1" si="305"/>
        <v>0</v>
      </c>
      <c r="AU914" s="33"/>
      <c r="AV914" s="13">
        <f t="shared" ca="1" si="296"/>
        <v>0</v>
      </c>
      <c r="AW914" s="13">
        <f ca="1">ROUNDUP(($AT914+$AV914)*VLOOKUP($AP914,Paraméterek!$P$38:$Q$38,2)/12*IF($D915="Nem",IF($M$13=0,1,$M$13),1),IF($D$4="Forint",0,2))</f>
        <v>0</v>
      </c>
      <c r="AX914" s="13"/>
      <c r="AY914" s="13"/>
      <c r="AZ914" s="13">
        <f>ROUNDUP(IF(SUM($AX914:$AY914)=0,0,IF(IF(ISBLANK($AY914),$AX914,$AY914)*Paraméterek!$J$112&lt;IF($D$4="Forint",Paraméterek!$J$113,Paraméterek!$K$113),IF($D$4="Forint",Paraméterek!$J$113,Paraméterek!$K$113),IF(IF(ISBLANK($AY914),$AX914,$AY914)*Paraméterek!$J$112&gt;IF($D$4="Forint",Paraméterek!$J$114,Paraméterek!$K$114),IF($D$4="Forint",Paraméterek!$J$114,Paraméterek!$K$114),IF(ISBLANK($AY914),$AX914,$AY914)*Paraméterek!$J$112))),IF($D$4="Forint",0,2))</f>
        <v>0</v>
      </c>
      <c r="BA914" s="13">
        <f ca="1">$AT914+$AV914-$AW914-IF(ROUNDDOWN(IF(ISBLANK($AY914),$AX914,$AY914),IF($D$4="Forint",0,2))&gt;$AT914+$AV914-$AW914-IF($D$4="Forint",Paraméterek!$J$114,Paraméterek!$K$114),0,ROUNDDOWN(IF(ISBLANK($AY914),$AX914,$AY914),IF($D$4="Forint",0,2))-$AZ914)</f>
        <v>0</v>
      </c>
      <c r="BB914" s="13">
        <f t="shared" ca="1" si="297"/>
        <v>0</v>
      </c>
      <c r="BD914" s="32">
        <v>895</v>
      </c>
      <c r="BE914" s="32">
        <v>75</v>
      </c>
      <c r="BF914" s="32">
        <v>7</v>
      </c>
      <c r="BG914" s="34">
        <f t="shared" ca="1" si="306"/>
        <v>2093</v>
      </c>
      <c r="BH914" s="32" t="str">
        <f ca="1">IF(MOD(MONTH($D$14)+$BD914-1,12)=Paraméterek!$C$288,"Igen","")</f>
        <v/>
      </c>
      <c r="BI914" s="13">
        <f ca="1">IF($BH914="Igen",MIN(ROUNDDOWN((SUMIF($BG$20:$BG$1027,$BG914-1,$K$20:$K$1027)-SUMIF($BG$20:$BG$1027,$BG914-1,$I$20:$I$1027))*Paraméterek!$C$289,IF($D$4="Forint",0,2)),IF($D$4="Forint",Paraméterek!$C$285,Paraméterek!$D$285)),0)</f>
        <v>0</v>
      </c>
      <c r="BJ914" s="13">
        <f t="shared" ca="1" si="298"/>
        <v>0</v>
      </c>
      <c r="BK914" s="13">
        <f t="shared" ca="1" si="307"/>
        <v>0</v>
      </c>
      <c r="BL914" s="33"/>
      <c r="BM914" s="13">
        <f t="shared" ca="1" si="299"/>
        <v>0</v>
      </c>
      <c r="BN914" s="13">
        <f ca="1">ROUNDUP(($BK914+$BM914)*VLOOKUP($BE914,Paraméterek!$P$38:$Q$38,2)/12*IF($D915="Nem",IF($M$13=0,1,$M$13),1),IF($D$4="Forint",0,2))</f>
        <v>0</v>
      </c>
      <c r="BO914" s="13">
        <f t="shared" ca="1" si="300"/>
        <v>0</v>
      </c>
      <c r="BP914" s="13">
        <f ca="1">IF($D915="Nem",$BO914,$BO914-ROUNDUP(SUM($BI$20:$BI914)*120%,IF($D$4="Forint",0,2)))</f>
        <v>0</v>
      </c>
    </row>
    <row r="915" spans="1:68" x14ac:dyDescent="0.2">
      <c r="A915" s="32">
        <v>896</v>
      </c>
      <c r="B915" s="32">
        <v>75</v>
      </c>
      <c r="C915" s="32">
        <v>8</v>
      </c>
      <c r="D915" s="32" t="str">
        <f t="shared" ca="1" si="286"/>
        <v>Nem</v>
      </c>
      <c r="E915" s="13">
        <f t="shared" ca="1" si="287"/>
        <v>0</v>
      </c>
      <c r="F915" s="13"/>
      <c r="G915" s="13"/>
      <c r="H915" s="13"/>
      <c r="I915" s="13">
        <f t="shared" ca="1" si="288"/>
        <v>0</v>
      </c>
      <c r="J915" s="13">
        <f t="shared" ca="1" si="289"/>
        <v>0</v>
      </c>
      <c r="K915" s="13">
        <f t="shared" ca="1" si="290"/>
        <v>0</v>
      </c>
      <c r="L915" s="13" t="e">
        <f ca="1">ROUNDUP(IF($D$2="Egyszeri",$E915,IF($D$2="Havi",SUM($E$20:$E$31),IF(MOD($C915,$M$1)-1=0,SUM($E$20:$E$31),0))/12*$M$1)*VLOOKUP($B915,Paraméterek!$I$28:$P$31,IF($D$2="Egyszeri",8,HLOOKUP(ROUNDUP($M$11+$M$13,0),Paraméterek!$J$26:$O$27,2))),IF($D$4="Forint",0,2))</f>
        <v>#N/A</v>
      </c>
      <c r="M915" s="13">
        <f t="shared" ca="1" si="291"/>
        <v>0</v>
      </c>
      <c r="N915" s="13">
        <f t="shared" ca="1" si="301"/>
        <v>0</v>
      </c>
      <c r="O915" s="13">
        <f ca="1">IF($D915="Igen",IF($W914&gt;=IF($D$4="Forint",Paraméterek!$J$121,Paraméterek!$K$121),0,IF($D$4="Forint",Paraméterek!$J$121,Paraméterek!$K$121)-$W914),0)</f>
        <v>0</v>
      </c>
      <c r="P915" s="13" t="e">
        <f ca="1">ROUNDUP($O915*VLOOKUP($M$4+$B915-1,Paraméterek!$H$58:$I$105,2,0)/Paraméterek!$I$56,IF($D$4="Forint",0,2))</f>
        <v>#N/A</v>
      </c>
      <c r="Q915" s="13">
        <f t="shared" ca="1" si="292"/>
        <v>0</v>
      </c>
      <c r="R915" s="33"/>
      <c r="S915" s="13" t="e">
        <f t="shared" ca="1" si="293"/>
        <v>#N/A</v>
      </c>
      <c r="T915" s="13" t="e">
        <f ca="1">ROUNDUP(($N915-$P915-$Q915+$S915)*VLOOKUP($B915,Paraméterek!$I$38:$K$39,IF($D$2="Egyszeri",3,2))/12*IF($D916="Nem",IF($M$13=0,1,$M$13),1),IF($D$4="Forint",0,2))</f>
        <v>#N/A</v>
      </c>
      <c r="U915" s="13"/>
      <c r="V915" s="13"/>
      <c r="W915" s="13" t="e">
        <f ca="1">$N915-$P915-$Q915+$S915-$T915-IF(ROUNDUP(IF(ISBLANK($V915),$U915*0,$V915)/IF($D$2="Egyszeri",VLOOKUP($B915+IF($C915=12,1,0),Paraméterek!$V$257:$W$262,2),IF($B915=1,1,VLOOKUP($B915+IF($C915=12,1,0),Paraméterek!$I$258:$T$278,HLOOKUP($M$11+1,Paraméterek!$J$256:$T$257,2)))),IF($D$4="Forint",0,2))&gt;$N915-$P915-$Q915+$S915-$T915-IF($D$4="Forint",Paraméterek!$C$216,Paraméterek!$D$216),0,ROUNDUP(IF(ISBLANK($V915),$U915*0,$V915)/IF($D$2="Egyszeri",VLOOKUP($B915+IF($C915=12,1,0),Paraméterek!$V$257:$W$262,2),IF($B915=1,1,VLOOKUP($B915+IF($C915=12,1,0),Paraméterek!$I$258:$T$278,HLOOKUP($M$11+1,Paraméterek!$J$256:$T$257,2)))),IF($D$4="Forint",0,2)))</f>
        <v>#N/A</v>
      </c>
      <c r="X915" s="13" t="e">
        <f ca="1">ROUNDDOWN($W915*IF($D$2="Egyszeri",VLOOKUP($B915+IF($C915=12,1,0),Paraméterek!$V$257:$W$262,2),VLOOKUP($B915+IF($C915=12,1,0),Paraméterek!$I$258:$T$278,HLOOKUP($M$11+1,Paraméterek!$I$256:$T$257,2))),IF($D$4="Forint",0,2))</f>
        <v>#N/A</v>
      </c>
      <c r="Z915" s="32">
        <v>896</v>
      </c>
      <c r="AA915" s="32">
        <v>75</v>
      </c>
      <c r="AB915" s="32">
        <v>8</v>
      </c>
      <c r="AC915" s="13">
        <f t="shared" ca="1" si="302"/>
        <v>0</v>
      </c>
      <c r="AD915" s="33"/>
      <c r="AE915" s="13">
        <f t="shared" ca="1" si="294"/>
        <v>0</v>
      </c>
      <c r="AF915" s="13">
        <f ca="1">ROUNDUP(($AC915+$AE915)*VLOOKUP($AA915,Paraméterek!$P$38:$Q$38,2)/12*IF($D916="Nem",IF($M$13=0,1,$M$13),1),IF($D$4="Forint",0,2))</f>
        <v>0</v>
      </c>
      <c r="AG915" s="13">
        <f ca="1">IF($D$2="Egyszeri",IF($D$7&gt;=IF($D$4="Forint",Paraméterek!$P$223,Paraméterek!$P$224),$D$7-IF($D$4="Forint",Paraméterek!$P$223,Paraméterek!$P$224),0),MIN(IF($AB915=12,AVERAGEIF($E$20:$E915,"&gt;0",$E$20:$E915)*12,0),SUM($E$20:$E$31)))</f>
        <v>0</v>
      </c>
      <c r="AH915" s="13">
        <f>IF($AA915=10,$AG915*IF($AB915=12,IF($AG915&lt;IF($D$4="Forint",Paraméterek!$L$223,Paraméterek!$L$224),0,VLOOKUP($AA915,Paraméterek!$K$226:$M$228,IF($AG915&lt;IF($D$4="Forint",Paraméterek!$M$223,Paraméterek!$M$224),2,3))),0),0)</f>
        <v>0</v>
      </c>
      <c r="AI915" s="13">
        <f ca="1">IF(AND($AA915=$M$11+1,$AB915=$M$12+1),SUMIF($AA$20:$AA$1027,$AA915,$AG$20:$AG$1027)*IF(SUMIF($AA$20:$AA$1027,$AA915,$AG$20:$AG$1027)&lt;IF($D$4="Forint",Paraméterek!$L$223,Paraméterek!$L$224),0,VLOOKUP($AA915,Paraméterek!$K$230:$M$250,IF(SUMIF($AA$20:$AA$1027,$AA915,$AG$20:$AG$1027)&lt;IF($D$4="Forint",Paraméterek!$M$223,Paraméterek!$M$224),2,3))),0)</f>
        <v>0</v>
      </c>
      <c r="AJ915" s="13">
        <f ca="1">IF(AND($AA915&gt;=5,MOD($AA915,5)=0),IF($AB915=12,VLOOKUP($AA915,Paraméterek!$O$225:$P$240,2),0),IF(OR($AA915=3,$AA915=4),IF($AB915=12,VLOOKUP($AA915,Paraméterek!$O$225:$P$240,2,0),0),0))*$AG915</f>
        <v>0</v>
      </c>
      <c r="AK915" s="13">
        <f t="shared" ca="1" si="295"/>
        <v>0</v>
      </c>
      <c r="AL915" s="13">
        <f t="shared" ca="1" si="303"/>
        <v>0</v>
      </c>
      <c r="AM915" s="13">
        <f t="shared" ca="1" si="304"/>
        <v>0</v>
      </c>
      <c r="AO915" s="32">
        <v>896</v>
      </c>
      <c r="AP915" s="32">
        <v>75</v>
      </c>
      <c r="AQ915" s="32">
        <v>8</v>
      </c>
      <c r="AR915" s="13"/>
      <c r="AS915" s="32"/>
      <c r="AT915" s="13">
        <f t="shared" ca="1" si="305"/>
        <v>0</v>
      </c>
      <c r="AU915" s="33"/>
      <c r="AV915" s="13">
        <f t="shared" ca="1" si="296"/>
        <v>0</v>
      </c>
      <c r="AW915" s="13">
        <f ca="1">ROUNDUP(($AT915+$AV915)*VLOOKUP($AP915,Paraméterek!$P$38:$Q$38,2)/12*IF($D916="Nem",IF($M$13=0,1,$M$13),1),IF($D$4="Forint",0,2))</f>
        <v>0</v>
      </c>
      <c r="AX915" s="13"/>
      <c r="AY915" s="13"/>
      <c r="AZ915" s="13">
        <f>ROUNDUP(IF(SUM($AX915:$AY915)=0,0,IF(IF(ISBLANK($AY915),$AX915,$AY915)*Paraméterek!$J$112&lt;IF($D$4="Forint",Paraméterek!$J$113,Paraméterek!$K$113),IF($D$4="Forint",Paraméterek!$J$113,Paraméterek!$K$113),IF(IF(ISBLANK($AY915),$AX915,$AY915)*Paraméterek!$J$112&gt;IF($D$4="Forint",Paraméterek!$J$114,Paraméterek!$K$114),IF($D$4="Forint",Paraméterek!$J$114,Paraméterek!$K$114),IF(ISBLANK($AY915),$AX915,$AY915)*Paraméterek!$J$112))),IF($D$4="Forint",0,2))</f>
        <v>0</v>
      </c>
      <c r="BA915" s="13">
        <f ca="1">$AT915+$AV915-$AW915-IF(ROUNDDOWN(IF(ISBLANK($AY915),$AX915,$AY915),IF($D$4="Forint",0,2))&gt;$AT915+$AV915-$AW915-IF($D$4="Forint",Paraméterek!$J$114,Paraméterek!$K$114),0,ROUNDDOWN(IF(ISBLANK($AY915),$AX915,$AY915),IF($D$4="Forint",0,2))-$AZ915)</f>
        <v>0</v>
      </c>
      <c r="BB915" s="13">
        <f t="shared" ca="1" si="297"/>
        <v>0</v>
      </c>
      <c r="BD915" s="32">
        <v>896</v>
      </c>
      <c r="BE915" s="32">
        <v>75</v>
      </c>
      <c r="BF915" s="32">
        <v>8</v>
      </c>
      <c r="BG915" s="34">
        <f t="shared" ca="1" si="306"/>
        <v>2094</v>
      </c>
      <c r="BH915" s="32" t="str">
        <f ca="1">IF(MOD(MONTH($D$14)+$BD915-1,12)=Paraméterek!$C$288,"Igen","")</f>
        <v/>
      </c>
      <c r="BI915" s="13">
        <f ca="1">IF($BH915="Igen",MIN(ROUNDDOWN((SUMIF($BG$20:$BG$1027,$BG915-1,$K$20:$K$1027)-SUMIF($BG$20:$BG$1027,$BG915-1,$I$20:$I$1027))*Paraméterek!$C$289,IF($D$4="Forint",0,2)),IF($D$4="Forint",Paraméterek!$C$285,Paraméterek!$D$285)),0)</f>
        <v>0</v>
      </c>
      <c r="BJ915" s="13">
        <f t="shared" ca="1" si="298"/>
        <v>0</v>
      </c>
      <c r="BK915" s="13">
        <f t="shared" ca="1" si="307"/>
        <v>0</v>
      </c>
      <c r="BL915" s="33"/>
      <c r="BM915" s="13">
        <f t="shared" ca="1" si="299"/>
        <v>0</v>
      </c>
      <c r="BN915" s="13">
        <f ca="1">ROUNDUP(($BK915+$BM915)*VLOOKUP($BE915,Paraméterek!$P$38:$Q$38,2)/12*IF($D916="Nem",IF($M$13=0,1,$M$13),1),IF($D$4="Forint",0,2))</f>
        <v>0</v>
      </c>
      <c r="BO915" s="13">
        <f t="shared" ca="1" si="300"/>
        <v>0</v>
      </c>
      <c r="BP915" s="13">
        <f ca="1">IF($D916="Nem",$BO915,$BO915-ROUNDUP(SUM($BI$20:$BI915)*120%,IF($D$4="Forint",0,2)))</f>
        <v>0</v>
      </c>
    </row>
    <row r="916" spans="1:68" x14ac:dyDescent="0.2">
      <c r="A916" s="32">
        <v>897</v>
      </c>
      <c r="B916" s="32">
        <v>75</v>
      </c>
      <c r="C916" s="32">
        <v>9</v>
      </c>
      <c r="D916" s="32" t="str">
        <f t="shared" ca="1" si="286"/>
        <v>Nem</v>
      </c>
      <c r="E916" s="13">
        <f t="shared" ca="1" si="287"/>
        <v>0</v>
      </c>
      <c r="F916" s="13"/>
      <c r="G916" s="13"/>
      <c r="H916" s="13"/>
      <c r="I916" s="13">
        <f t="shared" ca="1" si="288"/>
        <v>0</v>
      </c>
      <c r="J916" s="13">
        <f t="shared" ca="1" si="289"/>
        <v>0</v>
      </c>
      <c r="K916" s="13">
        <f t="shared" ca="1" si="290"/>
        <v>0</v>
      </c>
      <c r="L916" s="13" t="e">
        <f ca="1">ROUNDUP(IF($D$2="Egyszeri",$E916,IF($D$2="Havi",SUM($E$20:$E$31),IF(MOD($C916,$M$1)-1=0,SUM($E$20:$E$31),0))/12*$M$1)*VLOOKUP($B916,Paraméterek!$I$28:$P$31,IF($D$2="Egyszeri",8,HLOOKUP(ROUNDUP($M$11+$M$13,0),Paraméterek!$J$26:$O$27,2))),IF($D$4="Forint",0,2))</f>
        <v>#N/A</v>
      </c>
      <c r="M916" s="13">
        <f t="shared" ca="1" si="291"/>
        <v>0</v>
      </c>
      <c r="N916" s="13">
        <f t="shared" ca="1" si="301"/>
        <v>0</v>
      </c>
      <c r="O916" s="13">
        <f ca="1">IF($D916="Igen",IF($W915&gt;=IF($D$4="Forint",Paraméterek!$J$121,Paraméterek!$K$121),0,IF($D$4="Forint",Paraméterek!$J$121,Paraméterek!$K$121)-$W915),0)</f>
        <v>0</v>
      </c>
      <c r="P916" s="13" t="e">
        <f ca="1">ROUNDUP($O916*VLOOKUP($M$4+$B916-1,Paraméterek!$H$58:$I$105,2,0)/Paraméterek!$I$56,IF($D$4="Forint",0,2))</f>
        <v>#N/A</v>
      </c>
      <c r="Q916" s="13">
        <f t="shared" ca="1" si="292"/>
        <v>0</v>
      </c>
      <c r="R916" s="33"/>
      <c r="S916" s="13" t="e">
        <f t="shared" ca="1" si="293"/>
        <v>#N/A</v>
      </c>
      <c r="T916" s="13" t="e">
        <f ca="1">ROUNDUP(($N916-$P916-$Q916+$S916)*VLOOKUP($B916,Paraméterek!$I$38:$K$39,IF($D$2="Egyszeri",3,2))/12*IF($D917="Nem",IF($M$13=0,1,$M$13),1),IF($D$4="Forint",0,2))</f>
        <v>#N/A</v>
      </c>
      <c r="U916" s="13"/>
      <c r="V916" s="13"/>
      <c r="W916" s="13" t="e">
        <f ca="1">$N916-$P916-$Q916+$S916-$T916-IF(ROUNDUP(IF(ISBLANK($V916),$U916*0,$V916)/IF($D$2="Egyszeri",VLOOKUP($B916+IF($C916=12,1,0),Paraméterek!$V$257:$W$262,2),IF($B916=1,1,VLOOKUP($B916+IF($C916=12,1,0),Paraméterek!$I$258:$T$278,HLOOKUP($M$11+1,Paraméterek!$J$256:$T$257,2)))),IF($D$4="Forint",0,2))&gt;$N916-$P916-$Q916+$S916-$T916-IF($D$4="Forint",Paraméterek!$C$216,Paraméterek!$D$216),0,ROUNDUP(IF(ISBLANK($V916),$U916*0,$V916)/IF($D$2="Egyszeri",VLOOKUP($B916+IF($C916=12,1,0),Paraméterek!$V$257:$W$262,2),IF($B916=1,1,VLOOKUP($B916+IF($C916=12,1,0),Paraméterek!$I$258:$T$278,HLOOKUP($M$11+1,Paraméterek!$J$256:$T$257,2)))),IF($D$4="Forint",0,2)))</f>
        <v>#N/A</v>
      </c>
      <c r="X916" s="13" t="e">
        <f ca="1">ROUNDDOWN($W916*IF($D$2="Egyszeri",VLOOKUP($B916+IF($C916=12,1,0),Paraméterek!$V$257:$W$262,2),VLOOKUP($B916+IF($C916=12,1,0),Paraméterek!$I$258:$T$278,HLOOKUP($M$11+1,Paraméterek!$I$256:$T$257,2))),IF($D$4="Forint",0,2))</f>
        <v>#N/A</v>
      </c>
      <c r="Z916" s="32">
        <v>897</v>
      </c>
      <c r="AA916" s="32">
        <v>75</v>
      </c>
      <c r="AB916" s="32">
        <v>9</v>
      </c>
      <c r="AC916" s="13">
        <f t="shared" ca="1" si="302"/>
        <v>0</v>
      </c>
      <c r="AD916" s="33"/>
      <c r="AE916" s="13">
        <f t="shared" ca="1" si="294"/>
        <v>0</v>
      </c>
      <c r="AF916" s="13">
        <f ca="1">ROUNDUP(($AC916+$AE916)*VLOOKUP($AA916,Paraméterek!$P$38:$Q$38,2)/12*IF($D917="Nem",IF($M$13=0,1,$M$13),1),IF($D$4="Forint",0,2))</f>
        <v>0</v>
      </c>
      <c r="AG916" s="13">
        <f ca="1">IF($D$2="Egyszeri",IF($D$7&gt;=IF($D$4="Forint",Paraméterek!$P$223,Paraméterek!$P$224),$D$7-IF($D$4="Forint",Paraméterek!$P$223,Paraméterek!$P$224),0),MIN(IF($AB916=12,AVERAGEIF($E$20:$E916,"&gt;0",$E$20:$E916)*12,0),SUM($E$20:$E$31)))</f>
        <v>0</v>
      </c>
      <c r="AH916" s="13">
        <f>IF($AA916=10,$AG916*IF($AB916=12,IF($AG916&lt;IF($D$4="Forint",Paraméterek!$L$223,Paraméterek!$L$224),0,VLOOKUP($AA916,Paraméterek!$K$226:$M$228,IF($AG916&lt;IF($D$4="Forint",Paraméterek!$M$223,Paraméterek!$M$224),2,3))),0),0)</f>
        <v>0</v>
      </c>
      <c r="AI916" s="13">
        <f ca="1">IF(AND($AA916=$M$11+1,$AB916=$M$12+1),SUMIF($AA$20:$AA$1027,$AA916,$AG$20:$AG$1027)*IF(SUMIF($AA$20:$AA$1027,$AA916,$AG$20:$AG$1027)&lt;IF($D$4="Forint",Paraméterek!$L$223,Paraméterek!$L$224),0,VLOOKUP($AA916,Paraméterek!$K$230:$M$250,IF(SUMIF($AA$20:$AA$1027,$AA916,$AG$20:$AG$1027)&lt;IF($D$4="Forint",Paraméterek!$M$223,Paraméterek!$M$224),2,3))),0)</f>
        <v>0</v>
      </c>
      <c r="AJ916" s="13">
        <f ca="1">IF(AND($AA916&gt;=5,MOD($AA916,5)=0),IF($AB916=12,VLOOKUP($AA916,Paraméterek!$O$225:$P$240,2),0),IF(OR($AA916=3,$AA916=4),IF($AB916=12,VLOOKUP($AA916,Paraméterek!$O$225:$P$240,2,0),0),0))*$AG916</f>
        <v>0</v>
      </c>
      <c r="AK916" s="13">
        <f t="shared" ca="1" si="295"/>
        <v>0</v>
      </c>
      <c r="AL916" s="13">
        <f t="shared" ca="1" si="303"/>
        <v>0</v>
      </c>
      <c r="AM916" s="13">
        <f t="shared" ca="1" si="304"/>
        <v>0</v>
      </c>
      <c r="AO916" s="32">
        <v>897</v>
      </c>
      <c r="AP916" s="32">
        <v>75</v>
      </c>
      <c r="AQ916" s="32">
        <v>9</v>
      </c>
      <c r="AR916" s="13"/>
      <c r="AS916" s="32"/>
      <c r="AT916" s="13">
        <f t="shared" ca="1" si="305"/>
        <v>0</v>
      </c>
      <c r="AU916" s="33"/>
      <c r="AV916" s="13">
        <f t="shared" ca="1" si="296"/>
        <v>0</v>
      </c>
      <c r="AW916" s="13">
        <f ca="1">ROUNDUP(($AT916+$AV916)*VLOOKUP($AP916,Paraméterek!$P$38:$Q$38,2)/12*IF($D917="Nem",IF($M$13=0,1,$M$13),1),IF($D$4="Forint",0,2))</f>
        <v>0</v>
      </c>
      <c r="AX916" s="13"/>
      <c r="AY916" s="13"/>
      <c r="AZ916" s="13">
        <f>ROUNDUP(IF(SUM($AX916:$AY916)=0,0,IF(IF(ISBLANK($AY916),$AX916,$AY916)*Paraméterek!$J$112&lt;IF($D$4="Forint",Paraméterek!$J$113,Paraméterek!$K$113),IF($D$4="Forint",Paraméterek!$J$113,Paraméterek!$K$113),IF(IF(ISBLANK($AY916),$AX916,$AY916)*Paraméterek!$J$112&gt;IF($D$4="Forint",Paraméterek!$J$114,Paraméterek!$K$114),IF($D$4="Forint",Paraméterek!$J$114,Paraméterek!$K$114),IF(ISBLANK($AY916),$AX916,$AY916)*Paraméterek!$J$112))),IF($D$4="Forint",0,2))</f>
        <v>0</v>
      </c>
      <c r="BA916" s="13">
        <f ca="1">$AT916+$AV916-$AW916-IF(ROUNDDOWN(IF(ISBLANK($AY916),$AX916,$AY916),IF($D$4="Forint",0,2))&gt;$AT916+$AV916-$AW916-IF($D$4="Forint",Paraméterek!$J$114,Paraméterek!$K$114),0,ROUNDDOWN(IF(ISBLANK($AY916),$AX916,$AY916),IF($D$4="Forint",0,2))-$AZ916)</f>
        <v>0</v>
      </c>
      <c r="BB916" s="13">
        <f t="shared" ca="1" si="297"/>
        <v>0</v>
      </c>
      <c r="BD916" s="32">
        <v>897</v>
      </c>
      <c r="BE916" s="32">
        <v>75</v>
      </c>
      <c r="BF916" s="32">
        <v>9</v>
      </c>
      <c r="BG916" s="34">
        <f t="shared" ca="1" si="306"/>
        <v>2094</v>
      </c>
      <c r="BH916" s="32" t="str">
        <f ca="1">IF(MOD(MONTH($D$14)+$BD916-1,12)=Paraméterek!$C$288,"Igen","")</f>
        <v/>
      </c>
      <c r="BI916" s="13">
        <f ca="1">IF($BH916="Igen",MIN(ROUNDDOWN((SUMIF($BG$20:$BG$1027,$BG916-1,$K$20:$K$1027)-SUMIF($BG$20:$BG$1027,$BG916-1,$I$20:$I$1027))*Paraméterek!$C$289,IF($D$4="Forint",0,2)),IF($D$4="Forint",Paraméterek!$C$285,Paraméterek!$D$285)),0)</f>
        <v>0</v>
      </c>
      <c r="BJ916" s="13">
        <f t="shared" ca="1" si="298"/>
        <v>0</v>
      </c>
      <c r="BK916" s="13">
        <f t="shared" ca="1" si="307"/>
        <v>0</v>
      </c>
      <c r="BL916" s="33"/>
      <c r="BM916" s="13">
        <f t="shared" ca="1" si="299"/>
        <v>0</v>
      </c>
      <c r="BN916" s="13">
        <f ca="1">ROUNDUP(($BK916+$BM916)*VLOOKUP($BE916,Paraméterek!$P$38:$Q$38,2)/12*IF($D917="Nem",IF($M$13=0,1,$M$13),1),IF($D$4="Forint",0,2))</f>
        <v>0</v>
      </c>
      <c r="BO916" s="13">
        <f t="shared" ca="1" si="300"/>
        <v>0</v>
      </c>
      <c r="BP916" s="13">
        <f ca="1">IF($D917="Nem",$BO916,$BO916-ROUNDUP(SUM($BI$20:$BI916)*120%,IF($D$4="Forint",0,2)))</f>
        <v>0</v>
      </c>
    </row>
    <row r="917" spans="1:68" x14ac:dyDescent="0.2">
      <c r="A917" s="32">
        <v>898</v>
      </c>
      <c r="B917" s="32">
        <v>75</v>
      </c>
      <c r="C917" s="32">
        <v>10</v>
      </c>
      <c r="D917" s="32" t="str">
        <f t="shared" ref="D917:D980" ca="1" si="308">IF($B917&lt;$M$11+1,"Igen",IF($B917&gt;$M$11+1,"Nem",IF($C917&lt;=$M$12+IF($M$13&gt;0,1,0),"Igen","Nem")))</f>
        <v>Nem</v>
      </c>
      <c r="E917" s="13">
        <f t="shared" ref="E917:E980" ca="1" si="309">IF($D917="Igen",IF($D$2="Egyszeri",IF($A917=1,$D$7,0),ROUNDUP(IF($D$2="Havi",$D$7,IF(MOD($C917,$M$1)-1=0,$D$7,0))*(1+$D$6)^($B917-1),IF($D$4="Forint",0,2))),0)</f>
        <v>0</v>
      </c>
      <c r="F917" s="13"/>
      <c r="G917" s="13"/>
      <c r="H917" s="13"/>
      <c r="I917" s="13">
        <f t="shared" ref="I917:I980" ca="1" si="310">ROUNDUP(IF(AND($D$8="Nincs",$D$2&lt;&gt;"Egyszeri"),$E917*10%,0),IF($D$4="Forint",0,2))</f>
        <v>0</v>
      </c>
      <c r="J917" s="13">
        <f t="shared" ref="J917:J980" ca="1" si="311">IF($D917="Igen",IF($D$2="Egyszeri",IF($A917=1,$M$3,0),ROUNDUP(IF($D$2="Havi",$M$3,IF(MOD($C917,$M$1)-1=0,$M$3,0))*(1+$M$2)^($B917-1),IF($D$4="Forint",0,2))),0)</f>
        <v>0</v>
      </c>
      <c r="K917" s="13">
        <f t="shared" ref="K917:K980" ca="1" si="312">IF($D917="Igen",IF(ISBLANK($F917),$E917,$F917)+IF(ISBLANK($H917),$G917,$H917)+$I917+$J917,0)</f>
        <v>0</v>
      </c>
      <c r="L917" s="13" t="e">
        <f ca="1">ROUNDUP(IF($D$2="Egyszeri",$E917,IF($D$2="Havi",SUM($E$20:$E$31),IF(MOD($C917,$M$1)-1=0,SUM($E$20:$E$31),0))/12*$M$1)*VLOOKUP($B917,Paraméterek!$I$28:$P$31,IF($D$2="Egyszeri",8,HLOOKUP(ROUNDUP($M$11+$M$13,0),Paraméterek!$J$26:$O$27,2))),IF($D$4="Forint",0,2))</f>
        <v>#N/A</v>
      </c>
      <c r="M917" s="13">
        <f t="shared" ref="M917:M980" ca="1" si="313">IF($D917="Igen",$E917-$L917+IF(ISBLANK($H917),$G917,$H917),0)</f>
        <v>0</v>
      </c>
      <c r="N917" s="13">
        <f t="shared" ca="1" si="301"/>
        <v>0</v>
      </c>
      <c r="O917" s="13">
        <f ca="1">IF($D917="Igen",IF($W916&gt;=IF($D$4="Forint",Paraméterek!$J$121,Paraméterek!$K$121),0,IF($D$4="Forint",Paraméterek!$J$121,Paraméterek!$K$121)-$W916),0)</f>
        <v>0</v>
      </c>
      <c r="P917" s="13" t="e">
        <f ca="1">ROUNDUP($O917*VLOOKUP($M$4+$B917-1,Paraméterek!$H$58:$I$105,2,0)/Paraméterek!$I$56,IF($D$4="Forint",0,2))</f>
        <v>#N/A</v>
      </c>
      <c r="Q917" s="13">
        <f t="shared" ref="Q917:Q980" ca="1" si="314">IF($D917="Igen",ROUNDUP($M$5*(1+$M$2)^($B917-1),IF($D$4="Forint",0,2)),0)</f>
        <v>0</v>
      </c>
      <c r="R917" s="33"/>
      <c r="S917" s="13" t="e">
        <f t="shared" ref="S917:S980" ca="1" si="315">ROUNDDOWN(($N917-$P917-$Q917)*IF(ISBLANK($R917),$M$6,$R917)*IF($D918="Nem",IF($M$13=0,1,$M$13),1),IF($D$4="Forint",0,2))</f>
        <v>#N/A</v>
      </c>
      <c r="T917" s="13" t="e">
        <f ca="1">ROUNDUP(($N917-$P917-$Q917+$S917)*VLOOKUP($B917,Paraméterek!$I$38:$K$39,IF($D$2="Egyszeri",3,2))/12*IF($D918="Nem",IF($M$13=0,1,$M$13),1),IF($D$4="Forint",0,2))</f>
        <v>#N/A</v>
      </c>
      <c r="U917" s="13"/>
      <c r="V917" s="13"/>
      <c r="W917" s="13" t="e">
        <f ca="1">$N917-$P917-$Q917+$S917-$T917-IF(ROUNDUP(IF(ISBLANK($V917),$U917*0,$V917)/IF($D$2="Egyszeri",VLOOKUP($B917+IF($C917=12,1,0),Paraméterek!$V$257:$W$262,2),IF($B917=1,1,VLOOKUP($B917+IF($C917=12,1,0),Paraméterek!$I$258:$T$278,HLOOKUP($M$11+1,Paraméterek!$J$256:$T$257,2)))),IF($D$4="Forint",0,2))&gt;$N917-$P917-$Q917+$S917-$T917-IF($D$4="Forint",Paraméterek!$C$216,Paraméterek!$D$216),0,ROUNDUP(IF(ISBLANK($V917),$U917*0,$V917)/IF($D$2="Egyszeri",VLOOKUP($B917+IF($C917=12,1,0),Paraméterek!$V$257:$W$262,2),IF($B917=1,1,VLOOKUP($B917+IF($C917=12,1,0),Paraméterek!$I$258:$T$278,HLOOKUP($M$11+1,Paraméterek!$J$256:$T$257,2)))),IF($D$4="Forint",0,2)))</f>
        <v>#N/A</v>
      </c>
      <c r="X917" s="13" t="e">
        <f ca="1">ROUNDDOWN($W917*IF($D$2="Egyszeri",VLOOKUP($B917+IF($C917=12,1,0),Paraméterek!$V$257:$W$262,2),VLOOKUP($B917+IF($C917=12,1,0),Paraméterek!$I$258:$T$278,HLOOKUP($M$11+1,Paraméterek!$I$256:$T$257,2))),IF($D$4="Forint",0,2))</f>
        <v>#N/A</v>
      </c>
      <c r="Z917" s="32">
        <v>898</v>
      </c>
      <c r="AA917" s="32">
        <v>75</v>
      </c>
      <c r="AB917" s="32">
        <v>10</v>
      </c>
      <c r="AC917" s="13">
        <f t="shared" ca="1" si="302"/>
        <v>0</v>
      </c>
      <c r="AD917" s="33"/>
      <c r="AE917" s="13">
        <f t="shared" ref="AE917:AE980" ca="1" si="316">ROUNDDOWN($AC917*IF(ISBLANK($AD917),$M$8,$AD917)*IF($D918="Nem",IF($M$13=0,1,$M$13),1),IF($D$4="Forint",0,2))</f>
        <v>0</v>
      </c>
      <c r="AF917" s="13">
        <f ca="1">ROUNDUP(($AC917+$AE917)*VLOOKUP($AA917,Paraméterek!$P$38:$Q$38,2)/12*IF($D918="Nem",IF($M$13=0,1,$M$13),1),IF($D$4="Forint",0,2))</f>
        <v>0</v>
      </c>
      <c r="AG917" s="13">
        <f ca="1">IF($D$2="Egyszeri",IF($D$7&gt;=IF($D$4="Forint",Paraméterek!$P$223,Paraméterek!$P$224),$D$7-IF($D$4="Forint",Paraméterek!$P$223,Paraméterek!$P$224),0),MIN(IF($AB917=12,AVERAGEIF($E$20:$E917,"&gt;0",$E$20:$E917)*12,0),SUM($E$20:$E$31)))</f>
        <v>0</v>
      </c>
      <c r="AH917" s="13">
        <f>IF($AA917=10,$AG917*IF($AB917=12,IF($AG917&lt;IF($D$4="Forint",Paraméterek!$L$223,Paraméterek!$L$224),0,VLOOKUP($AA917,Paraméterek!$K$226:$M$228,IF($AG917&lt;IF($D$4="Forint",Paraméterek!$M$223,Paraméterek!$M$224),2,3))),0),0)</f>
        <v>0</v>
      </c>
      <c r="AI917" s="13">
        <f ca="1">IF(AND($AA917=$M$11+1,$AB917=$M$12+1),SUMIF($AA$20:$AA$1027,$AA917,$AG$20:$AG$1027)*IF(SUMIF($AA$20:$AA$1027,$AA917,$AG$20:$AG$1027)&lt;IF($D$4="Forint",Paraméterek!$L$223,Paraméterek!$L$224),0,VLOOKUP($AA917,Paraméterek!$K$230:$M$250,IF(SUMIF($AA$20:$AA$1027,$AA917,$AG$20:$AG$1027)&lt;IF($D$4="Forint",Paraméterek!$M$223,Paraméterek!$M$224),2,3))),0)</f>
        <v>0</v>
      </c>
      <c r="AJ917" s="13">
        <f ca="1">IF(AND($AA917&gt;=5,MOD($AA917,5)=0),IF($AB917=12,VLOOKUP($AA917,Paraméterek!$O$225:$P$240,2),0),IF(OR($AA917=3,$AA917=4),IF($AB917=12,VLOOKUP($AA917,Paraméterek!$O$225:$P$240,2,0),0),0))*$AG917</f>
        <v>0</v>
      </c>
      <c r="AK917" s="13">
        <f t="shared" ref="AK917:AK980" ca="1" si="317">ROUNDDOWN(IF($D$2="Egyszeri",$AJ917,$AH917+$AI917),IF($D$4="Forint",0,2))</f>
        <v>0</v>
      </c>
      <c r="AL917" s="13">
        <f t="shared" ca="1" si="303"/>
        <v>0</v>
      </c>
      <c r="AM917" s="13">
        <f t="shared" ca="1" si="304"/>
        <v>0</v>
      </c>
      <c r="AO917" s="32">
        <v>898</v>
      </c>
      <c r="AP917" s="32">
        <v>75</v>
      </c>
      <c r="AQ917" s="32">
        <v>10</v>
      </c>
      <c r="AR917" s="13"/>
      <c r="AS917" s="32"/>
      <c r="AT917" s="13">
        <f t="shared" ca="1" si="305"/>
        <v>0</v>
      </c>
      <c r="AU917" s="33"/>
      <c r="AV917" s="13">
        <f t="shared" ref="AV917:AV980" ca="1" si="318">ROUNDDOWN($AT917*IF(ISBLANK($AU917),$M$7,$AU917)*IF($D918="Nem",IF($M$13=0,1,$M$13),1),IF($D$4="Forint",0,2))</f>
        <v>0</v>
      </c>
      <c r="AW917" s="13">
        <f ca="1">ROUNDUP(($AT917+$AV917)*VLOOKUP($AP917,Paraméterek!$P$38:$Q$38,2)/12*IF($D918="Nem",IF($M$13=0,1,$M$13),1),IF($D$4="Forint",0,2))</f>
        <v>0</v>
      </c>
      <c r="AX917" s="13"/>
      <c r="AY917" s="13"/>
      <c r="AZ917" s="13">
        <f>ROUNDUP(IF(SUM($AX917:$AY917)=0,0,IF(IF(ISBLANK($AY917),$AX917,$AY917)*Paraméterek!$J$112&lt;IF($D$4="Forint",Paraméterek!$J$113,Paraméterek!$K$113),IF($D$4="Forint",Paraméterek!$J$113,Paraméterek!$K$113),IF(IF(ISBLANK($AY917),$AX917,$AY917)*Paraméterek!$J$112&gt;IF($D$4="Forint",Paraméterek!$J$114,Paraméterek!$K$114),IF($D$4="Forint",Paraméterek!$J$114,Paraméterek!$K$114),IF(ISBLANK($AY917),$AX917,$AY917)*Paraméterek!$J$112))),IF($D$4="Forint",0,2))</f>
        <v>0</v>
      </c>
      <c r="BA917" s="13">
        <f ca="1">$AT917+$AV917-$AW917-IF(ROUNDDOWN(IF(ISBLANK($AY917),$AX917,$AY917),IF($D$4="Forint",0,2))&gt;$AT917+$AV917-$AW917-IF($D$4="Forint",Paraméterek!$J$114,Paraméterek!$K$114),0,ROUNDDOWN(IF(ISBLANK($AY917),$AX917,$AY917),IF($D$4="Forint",0,2))-$AZ917)</f>
        <v>0</v>
      </c>
      <c r="BB917" s="13">
        <f t="shared" ref="BB917:BB980" ca="1" si="319">$BA917</f>
        <v>0</v>
      </c>
      <c r="BD917" s="32">
        <v>898</v>
      </c>
      <c r="BE917" s="32">
        <v>75</v>
      </c>
      <c r="BF917" s="32">
        <v>10</v>
      </c>
      <c r="BG917" s="34">
        <f t="shared" ca="1" si="306"/>
        <v>2094</v>
      </c>
      <c r="BH917" s="32" t="str">
        <f ca="1">IF(MOD(MONTH($D$14)+$BD917-1,12)=Paraméterek!$C$288,"Igen","")</f>
        <v/>
      </c>
      <c r="BI917" s="13">
        <f ca="1">IF($BH917="Igen",MIN(ROUNDDOWN((SUMIF($BG$20:$BG$1027,$BG917-1,$K$20:$K$1027)-SUMIF($BG$20:$BG$1027,$BG917-1,$I$20:$I$1027))*Paraméterek!$C$289,IF($D$4="Forint",0,2)),IF($D$4="Forint",Paraméterek!$C$285,Paraméterek!$D$285)),0)</f>
        <v>0</v>
      </c>
      <c r="BJ917" s="13">
        <f t="shared" ref="BJ917:BJ980" ca="1" si="320">IF(AND($D917="Igen",$BH917="Igen"),$BI917,0)</f>
        <v>0</v>
      </c>
      <c r="BK917" s="13">
        <f t="shared" ca="1" si="307"/>
        <v>0</v>
      </c>
      <c r="BL917" s="33"/>
      <c r="BM917" s="13">
        <f t="shared" ref="BM917:BM980" ca="1" si="321">ROUNDDOWN($BK917*IF(ISBLANK($BL917),$M$9,$BL917)*IF($D918="Nem",IF($M$13=0,1,$M$13),1),IF($D$4="Forint",0,2))</f>
        <v>0</v>
      </c>
      <c r="BN917" s="13">
        <f ca="1">ROUNDUP(($BK917+$BM917)*VLOOKUP($BE917,Paraméterek!$P$38:$Q$38,2)/12*IF($D918="Nem",IF($M$13=0,1,$M$13),1),IF($D$4="Forint",0,2))</f>
        <v>0</v>
      </c>
      <c r="BO917" s="13">
        <f t="shared" ref="BO917:BO980" ca="1" si="322">$BK917+$BM917-$BN917</f>
        <v>0</v>
      </c>
      <c r="BP917" s="13">
        <f ca="1">IF($D918="Nem",$BO917,$BO917-ROUNDUP(SUM($BI$20:$BI917)*120%,IF($D$4="Forint",0,2)))</f>
        <v>0</v>
      </c>
    </row>
    <row r="918" spans="1:68" x14ac:dyDescent="0.2">
      <c r="A918" s="32">
        <v>899</v>
      </c>
      <c r="B918" s="32">
        <v>75</v>
      </c>
      <c r="C918" s="32">
        <v>11</v>
      </c>
      <c r="D918" s="32" t="str">
        <f t="shared" ca="1" si="308"/>
        <v>Nem</v>
      </c>
      <c r="E918" s="13">
        <f t="shared" ca="1" si="309"/>
        <v>0</v>
      </c>
      <c r="F918" s="13"/>
      <c r="G918" s="13"/>
      <c r="H918" s="13"/>
      <c r="I918" s="13">
        <f t="shared" ca="1" si="310"/>
        <v>0</v>
      </c>
      <c r="J918" s="13">
        <f t="shared" ca="1" si="311"/>
        <v>0</v>
      </c>
      <c r="K918" s="13">
        <f t="shared" ca="1" si="312"/>
        <v>0</v>
      </c>
      <c r="L918" s="13" t="e">
        <f ca="1">ROUNDUP(IF($D$2="Egyszeri",$E918,IF($D$2="Havi",SUM($E$20:$E$31),IF(MOD($C918,$M$1)-1=0,SUM($E$20:$E$31),0))/12*$M$1)*VLOOKUP($B918,Paraméterek!$I$28:$P$31,IF($D$2="Egyszeri",8,HLOOKUP(ROUNDUP($M$11+$M$13,0),Paraméterek!$J$26:$O$27,2))),IF($D$4="Forint",0,2))</f>
        <v>#N/A</v>
      </c>
      <c r="M918" s="13">
        <f t="shared" ca="1" si="313"/>
        <v>0</v>
      </c>
      <c r="N918" s="13">
        <f t="shared" ref="N918:N981" ca="1" si="323">IF($D918="Igen",$M918+$W917,0)</f>
        <v>0</v>
      </c>
      <c r="O918" s="13">
        <f ca="1">IF($D918="Igen",IF($W917&gt;=IF($D$4="Forint",Paraméterek!$J$121,Paraméterek!$K$121),0,IF($D$4="Forint",Paraméterek!$J$121,Paraméterek!$K$121)-$W917),0)</f>
        <v>0</v>
      </c>
      <c r="P918" s="13" t="e">
        <f ca="1">ROUNDUP($O918*VLOOKUP($M$4+$B918-1,Paraméterek!$H$58:$I$105,2,0)/Paraméterek!$I$56,IF($D$4="Forint",0,2))</f>
        <v>#N/A</v>
      </c>
      <c r="Q918" s="13">
        <f t="shared" ca="1" si="314"/>
        <v>0</v>
      </c>
      <c r="R918" s="33"/>
      <c r="S918" s="13" t="e">
        <f t="shared" ca="1" si="315"/>
        <v>#N/A</v>
      </c>
      <c r="T918" s="13" t="e">
        <f ca="1">ROUNDUP(($N918-$P918-$Q918+$S918)*VLOOKUP($B918,Paraméterek!$I$38:$K$39,IF($D$2="Egyszeri",3,2))/12*IF($D919="Nem",IF($M$13=0,1,$M$13),1),IF($D$4="Forint",0,2))</f>
        <v>#N/A</v>
      </c>
      <c r="U918" s="13"/>
      <c r="V918" s="13"/>
      <c r="W918" s="13" t="e">
        <f ca="1">$N918-$P918-$Q918+$S918-$T918-IF(ROUNDUP(IF(ISBLANK($V918),$U918*0,$V918)/IF($D$2="Egyszeri",VLOOKUP($B918+IF($C918=12,1,0),Paraméterek!$V$257:$W$262,2),IF($B918=1,1,VLOOKUP($B918+IF($C918=12,1,0),Paraméterek!$I$258:$T$278,HLOOKUP($M$11+1,Paraméterek!$J$256:$T$257,2)))),IF($D$4="Forint",0,2))&gt;$N918-$P918-$Q918+$S918-$T918-IF($D$4="Forint",Paraméterek!$C$216,Paraméterek!$D$216),0,ROUNDUP(IF(ISBLANK($V918),$U918*0,$V918)/IF($D$2="Egyszeri",VLOOKUP($B918+IF($C918=12,1,0),Paraméterek!$V$257:$W$262,2),IF($B918=1,1,VLOOKUP($B918+IF($C918=12,1,0),Paraméterek!$I$258:$T$278,HLOOKUP($M$11+1,Paraméterek!$J$256:$T$257,2)))),IF($D$4="Forint",0,2)))</f>
        <v>#N/A</v>
      </c>
      <c r="X918" s="13" t="e">
        <f ca="1">ROUNDDOWN($W918*IF($D$2="Egyszeri",VLOOKUP($B918+IF($C918=12,1,0),Paraméterek!$V$257:$W$262,2),VLOOKUP($B918+IF($C918=12,1,0),Paraméterek!$I$258:$T$278,HLOOKUP($M$11+1,Paraméterek!$I$256:$T$257,2))),IF($D$4="Forint",0,2))</f>
        <v>#N/A</v>
      </c>
      <c r="Z918" s="32">
        <v>899</v>
      </c>
      <c r="AA918" s="32">
        <v>75</v>
      </c>
      <c r="AB918" s="32">
        <v>11</v>
      </c>
      <c r="AC918" s="13">
        <f t="shared" ref="AC918:AC981" ca="1" si="324">IF($D918="Igen",$AL917,0)</f>
        <v>0</v>
      </c>
      <c r="AD918" s="33"/>
      <c r="AE918" s="13">
        <f t="shared" ca="1" si="316"/>
        <v>0</v>
      </c>
      <c r="AF918" s="13">
        <f ca="1">ROUNDUP(($AC918+$AE918)*VLOOKUP($AA918,Paraméterek!$P$38:$Q$38,2)/12*IF($D919="Nem",IF($M$13=0,1,$M$13),1),IF($D$4="Forint",0,2))</f>
        <v>0</v>
      </c>
      <c r="AG918" s="13">
        <f ca="1">IF($D$2="Egyszeri",IF($D$7&gt;=IF($D$4="Forint",Paraméterek!$P$223,Paraméterek!$P$224),$D$7-IF($D$4="Forint",Paraméterek!$P$223,Paraméterek!$P$224),0),MIN(IF($AB918=12,AVERAGEIF($E$20:$E918,"&gt;0",$E$20:$E918)*12,0),SUM($E$20:$E$31)))</f>
        <v>0</v>
      </c>
      <c r="AH918" s="13">
        <f>IF($AA918=10,$AG918*IF($AB918=12,IF($AG918&lt;IF($D$4="Forint",Paraméterek!$L$223,Paraméterek!$L$224),0,VLOOKUP($AA918,Paraméterek!$K$226:$M$228,IF($AG918&lt;IF($D$4="Forint",Paraméterek!$M$223,Paraméterek!$M$224),2,3))),0),0)</f>
        <v>0</v>
      </c>
      <c r="AI918" s="13">
        <f ca="1">IF(AND($AA918=$M$11+1,$AB918=$M$12+1),SUMIF($AA$20:$AA$1027,$AA918,$AG$20:$AG$1027)*IF(SUMIF($AA$20:$AA$1027,$AA918,$AG$20:$AG$1027)&lt;IF($D$4="Forint",Paraméterek!$L$223,Paraméterek!$L$224),0,VLOOKUP($AA918,Paraméterek!$K$230:$M$250,IF(SUMIF($AA$20:$AA$1027,$AA918,$AG$20:$AG$1027)&lt;IF($D$4="Forint",Paraméterek!$M$223,Paraméterek!$M$224),2,3))),0)</f>
        <v>0</v>
      </c>
      <c r="AJ918" s="13">
        <f ca="1">IF(AND($AA918&gt;=5,MOD($AA918,5)=0),IF($AB918=12,VLOOKUP($AA918,Paraméterek!$O$225:$P$240,2),0),IF(OR($AA918=3,$AA918=4),IF($AB918=12,VLOOKUP($AA918,Paraméterek!$O$225:$P$240,2,0),0),0))*$AG918</f>
        <v>0</v>
      </c>
      <c r="AK918" s="13">
        <f t="shared" ca="1" si="317"/>
        <v>0</v>
      </c>
      <c r="AL918" s="13">
        <f t="shared" ref="AL918:AL981" ca="1" si="325">$AC918+$AE918-$AF918+$AK918</f>
        <v>0</v>
      </c>
      <c r="AM918" s="13">
        <f t="shared" ref="AM918:AM981" ca="1" si="326">$AL918</f>
        <v>0</v>
      </c>
      <c r="AO918" s="32">
        <v>899</v>
      </c>
      <c r="AP918" s="32">
        <v>75</v>
      </c>
      <c r="AQ918" s="32">
        <v>11</v>
      </c>
      <c r="AR918" s="13"/>
      <c r="AS918" s="32"/>
      <c r="AT918" s="13">
        <f t="shared" ref="AT918:AT981" ca="1" si="327">IF($D918="Igen",IF(ISBLANK($AS918),$AR918,$AS918)+$BA917,0)</f>
        <v>0</v>
      </c>
      <c r="AU918" s="33"/>
      <c r="AV918" s="13">
        <f t="shared" ca="1" si="318"/>
        <v>0</v>
      </c>
      <c r="AW918" s="13">
        <f ca="1">ROUNDUP(($AT918+$AV918)*VLOOKUP($AP918,Paraméterek!$P$38:$Q$38,2)/12*IF($D919="Nem",IF($M$13=0,1,$M$13),1),IF($D$4="Forint",0,2))</f>
        <v>0</v>
      </c>
      <c r="AX918" s="13"/>
      <c r="AY918" s="13"/>
      <c r="AZ918" s="13">
        <f>ROUNDUP(IF(SUM($AX918:$AY918)=0,0,IF(IF(ISBLANK($AY918),$AX918,$AY918)*Paraméterek!$J$112&lt;IF($D$4="Forint",Paraméterek!$J$113,Paraméterek!$K$113),IF($D$4="Forint",Paraméterek!$J$113,Paraméterek!$K$113),IF(IF(ISBLANK($AY918),$AX918,$AY918)*Paraméterek!$J$112&gt;IF($D$4="Forint",Paraméterek!$J$114,Paraméterek!$K$114),IF($D$4="Forint",Paraméterek!$J$114,Paraméterek!$K$114),IF(ISBLANK($AY918),$AX918,$AY918)*Paraméterek!$J$112))),IF($D$4="Forint",0,2))</f>
        <v>0</v>
      </c>
      <c r="BA918" s="13">
        <f ca="1">$AT918+$AV918-$AW918-IF(ROUNDDOWN(IF(ISBLANK($AY918),$AX918,$AY918),IF($D$4="Forint",0,2))&gt;$AT918+$AV918-$AW918-IF($D$4="Forint",Paraméterek!$J$114,Paraméterek!$K$114),0,ROUNDDOWN(IF(ISBLANK($AY918),$AX918,$AY918),IF($D$4="Forint",0,2))-$AZ918)</f>
        <v>0</v>
      </c>
      <c r="BB918" s="13">
        <f t="shared" ca="1" si="319"/>
        <v>0</v>
      </c>
      <c r="BD918" s="32">
        <v>899</v>
      </c>
      <c r="BE918" s="32">
        <v>75</v>
      </c>
      <c r="BF918" s="32">
        <v>11</v>
      </c>
      <c r="BG918" s="34">
        <f t="shared" ref="BG918:BG981" ca="1" si="328">$BG917+IF(MOD(MONTH($D$14)+$BD918-1,12)=1,1,0)</f>
        <v>2094</v>
      </c>
      <c r="BH918" s="32" t="str">
        <f ca="1">IF(MOD(MONTH($D$14)+$BD918-1,12)=Paraméterek!$C$288,"Igen","")</f>
        <v/>
      </c>
      <c r="BI918" s="13">
        <f ca="1">IF($BH918="Igen",MIN(ROUNDDOWN((SUMIF($BG$20:$BG$1027,$BG918-1,$K$20:$K$1027)-SUMIF($BG$20:$BG$1027,$BG918-1,$I$20:$I$1027))*Paraméterek!$C$289,IF($D$4="Forint",0,2)),IF($D$4="Forint",Paraméterek!$C$285,Paraméterek!$D$285)),0)</f>
        <v>0</v>
      </c>
      <c r="BJ918" s="13">
        <f t="shared" ca="1" si="320"/>
        <v>0</v>
      </c>
      <c r="BK918" s="13">
        <f t="shared" ref="BK918:BK981" ca="1" si="329">$BJ918+IF($D918="Igen",$BO917,0)</f>
        <v>0</v>
      </c>
      <c r="BL918" s="33"/>
      <c r="BM918" s="13">
        <f t="shared" ca="1" si="321"/>
        <v>0</v>
      </c>
      <c r="BN918" s="13">
        <f ca="1">ROUNDUP(($BK918+$BM918)*VLOOKUP($BE918,Paraméterek!$P$38:$Q$38,2)/12*IF($D919="Nem",IF($M$13=0,1,$M$13),1),IF($D$4="Forint",0,2))</f>
        <v>0</v>
      </c>
      <c r="BO918" s="13">
        <f t="shared" ca="1" si="322"/>
        <v>0</v>
      </c>
      <c r="BP918" s="13">
        <f ca="1">IF($D919="Nem",$BO918,$BO918-ROUNDUP(SUM($BI$20:$BI918)*120%,IF($D$4="Forint",0,2)))</f>
        <v>0</v>
      </c>
    </row>
    <row r="919" spans="1:68" x14ac:dyDescent="0.2">
      <c r="A919" s="32">
        <v>900</v>
      </c>
      <c r="B919" s="32">
        <v>75</v>
      </c>
      <c r="C919" s="32">
        <v>12</v>
      </c>
      <c r="D919" s="32" t="str">
        <f t="shared" ca="1" si="308"/>
        <v>Nem</v>
      </c>
      <c r="E919" s="13">
        <f t="shared" ca="1" si="309"/>
        <v>0</v>
      </c>
      <c r="F919" s="13"/>
      <c r="G919" s="13"/>
      <c r="H919" s="13"/>
      <c r="I919" s="13">
        <f t="shared" ca="1" si="310"/>
        <v>0</v>
      </c>
      <c r="J919" s="13">
        <f t="shared" ca="1" si="311"/>
        <v>0</v>
      </c>
      <c r="K919" s="13">
        <f t="shared" ca="1" si="312"/>
        <v>0</v>
      </c>
      <c r="L919" s="13" t="e">
        <f ca="1">ROUNDUP(IF($D$2="Egyszeri",$E919,IF($D$2="Havi",SUM($E$20:$E$31),IF(MOD($C919,$M$1)-1=0,SUM($E$20:$E$31),0))/12*$M$1)*VLOOKUP($B919,Paraméterek!$I$28:$P$31,IF($D$2="Egyszeri",8,HLOOKUP(ROUNDUP($M$11+$M$13,0),Paraméterek!$J$26:$O$27,2))),IF($D$4="Forint",0,2))</f>
        <v>#N/A</v>
      </c>
      <c r="M919" s="13">
        <f t="shared" ca="1" si="313"/>
        <v>0</v>
      </c>
      <c r="N919" s="13">
        <f t="shared" ca="1" si="323"/>
        <v>0</v>
      </c>
      <c r="O919" s="13">
        <f ca="1">IF($D919="Igen",IF($W918&gt;=IF($D$4="Forint",Paraméterek!$J$121,Paraméterek!$K$121),0,IF($D$4="Forint",Paraméterek!$J$121,Paraméterek!$K$121)-$W918),0)</f>
        <v>0</v>
      </c>
      <c r="P919" s="13" t="e">
        <f ca="1">ROUNDUP($O919*VLOOKUP($M$4+$B919-1,Paraméterek!$H$58:$I$105,2,0)/Paraméterek!$I$56,IF($D$4="Forint",0,2))</f>
        <v>#N/A</v>
      </c>
      <c r="Q919" s="13">
        <f t="shared" ca="1" si="314"/>
        <v>0</v>
      </c>
      <c r="R919" s="33"/>
      <c r="S919" s="13" t="e">
        <f t="shared" ca="1" si="315"/>
        <v>#N/A</v>
      </c>
      <c r="T919" s="13" t="e">
        <f ca="1">ROUNDUP(($N919-$P919-$Q919+$S919)*VLOOKUP($B919,Paraméterek!$I$38:$K$39,IF($D$2="Egyszeri",3,2))/12*IF($D920="Nem",IF($M$13=0,1,$M$13),1),IF($D$4="Forint",0,2))</f>
        <v>#N/A</v>
      </c>
      <c r="U919" s="13">
        <f>Tranzakciók!$F$106</f>
        <v>0</v>
      </c>
      <c r="V919" s="13"/>
      <c r="W919" s="13" t="e">
        <f ca="1">$N919-$P919-$Q919+$S919-$T919-IF(ROUNDUP(IF(ISBLANK($V919),$U919*0,$V919)/IF($D$2="Egyszeri",VLOOKUP($B919+IF($C919=12,1,0),Paraméterek!$V$257:$W$262,2),IF($B919=1,1,VLOOKUP($B919+IF($C919=12,1,0),Paraméterek!$I$258:$T$278,HLOOKUP($M$11+1,Paraméterek!$J$256:$T$257,2)))),IF($D$4="Forint",0,2))&gt;$N919-$P919-$Q919+$S919-$T919-IF($D$4="Forint",Paraméterek!$C$216,Paraméterek!$D$216),0,ROUNDUP(IF(ISBLANK($V919),$U919*0,$V919)/IF($D$2="Egyszeri",VLOOKUP($B919+IF($C919=12,1,0),Paraméterek!$V$257:$W$262,2),IF($B919=1,1,VLOOKUP($B919+IF($C919=12,1,0),Paraméterek!$I$258:$T$278,HLOOKUP($M$11+1,Paraméterek!$J$256:$T$257,2)))),IF($D$4="Forint",0,2)))</f>
        <v>#N/A</v>
      </c>
      <c r="X919" s="13" t="e">
        <f ca="1">ROUNDDOWN($W919*IF($D$2="Egyszeri",VLOOKUP($B919+IF($C919=12,1,0),Paraméterek!$V$257:$W$262,2),VLOOKUP($B919+IF($C919=12,1,0),Paraméterek!$I$258:$T$278,HLOOKUP($M$11+1,Paraméterek!$I$256:$T$257,2))),IF($D$4="Forint",0,2))</f>
        <v>#N/A</v>
      </c>
      <c r="Z919" s="32">
        <v>900</v>
      </c>
      <c r="AA919" s="32">
        <v>75</v>
      </c>
      <c r="AB919" s="32">
        <v>12</v>
      </c>
      <c r="AC919" s="13">
        <f t="shared" ca="1" si="324"/>
        <v>0</v>
      </c>
      <c r="AD919" s="33"/>
      <c r="AE919" s="13">
        <f t="shared" ca="1" si="316"/>
        <v>0</v>
      </c>
      <c r="AF919" s="13">
        <f ca="1">ROUNDUP(($AC919+$AE919)*VLOOKUP($AA919,Paraméterek!$P$38:$Q$38,2)/12*IF($D920="Nem",IF($M$13=0,1,$M$13),1),IF($D$4="Forint",0,2))</f>
        <v>0</v>
      </c>
      <c r="AG919" s="13" t="e">
        <f ca="1">IF($D$2="Egyszeri",IF($D$7&gt;=IF($D$4="Forint",Paraméterek!$P$223,Paraméterek!$P$224),$D$7-IF($D$4="Forint",Paraméterek!$P$223,Paraméterek!$P$224),0),MIN(IF($AB919=12,AVERAGEIF($E$20:$E919,"&gt;0",$E$20:$E919)*12,0),SUM($E$20:$E$31)))</f>
        <v>#DIV/0!</v>
      </c>
      <c r="AH919" s="13">
        <f>IF($AA919=10,$AG919*IF($AB919=12,IF($AG919&lt;IF($D$4="Forint",Paraméterek!$L$223,Paraméterek!$L$224),0,VLOOKUP($AA919,Paraméterek!$K$226:$M$228,IF($AG919&lt;IF($D$4="Forint",Paraméterek!$M$223,Paraméterek!$M$224),2,3))),0),0)</f>
        <v>0</v>
      </c>
      <c r="AI919" s="13">
        <f ca="1">IF(AND($AA919=$M$11+1,$AB919=$M$12+1),SUMIF($AA$20:$AA$1027,$AA919,$AG$20:$AG$1027)*IF(SUMIF($AA$20:$AA$1027,$AA919,$AG$20:$AG$1027)&lt;IF($D$4="Forint",Paraméterek!$L$223,Paraméterek!$L$224),0,VLOOKUP($AA919,Paraméterek!$K$230:$M$250,IF(SUMIF($AA$20:$AA$1027,$AA919,$AG$20:$AG$1027)&lt;IF($D$4="Forint",Paraméterek!$M$223,Paraméterek!$M$224),2,3))),0)</f>
        <v>0</v>
      </c>
      <c r="AJ919" s="13" t="e">
        <f ca="1">IF(AND($AA919&gt;=5,MOD($AA919,5)=0),IF($AB919=12,VLOOKUP($AA919,Paraméterek!$O$225:$P$240,2),0),IF(OR($AA919=3,$AA919=4),IF($AB919=12,VLOOKUP($AA919,Paraméterek!$O$225:$P$240,2,0),0),0))*$AG919</f>
        <v>#DIV/0!</v>
      </c>
      <c r="AK919" s="13">
        <f t="shared" ca="1" si="317"/>
        <v>0</v>
      </c>
      <c r="AL919" s="13">
        <f t="shared" ca="1" si="325"/>
        <v>0</v>
      </c>
      <c r="AM919" s="13">
        <f t="shared" ca="1" si="326"/>
        <v>0</v>
      </c>
      <c r="AO919" s="32">
        <v>900</v>
      </c>
      <c r="AP919" s="32">
        <v>75</v>
      </c>
      <c r="AQ919" s="32">
        <v>12</v>
      </c>
      <c r="AR919" s="13"/>
      <c r="AS919" s="32"/>
      <c r="AT919" s="13">
        <f t="shared" ca="1" si="327"/>
        <v>0</v>
      </c>
      <c r="AU919" s="33"/>
      <c r="AV919" s="13">
        <f t="shared" ca="1" si="318"/>
        <v>0</v>
      </c>
      <c r="AW919" s="13">
        <f ca="1">ROUNDUP(($AT919+$AV919)*VLOOKUP($AP919,Paraméterek!$P$38:$Q$38,2)/12*IF($D920="Nem",IF($M$13=0,1,$M$13),1),IF($D$4="Forint",0,2))</f>
        <v>0</v>
      </c>
      <c r="AX919" s="13">
        <f>Tranzakciók!$M$106</f>
        <v>0</v>
      </c>
      <c r="AY919" s="13"/>
      <c r="AZ919" s="13">
        <f>ROUNDUP(IF(SUM($AX919:$AY919)=0,0,IF(IF(ISBLANK($AY919),$AX919,$AY919)*Paraméterek!$J$112&lt;IF($D$4="Forint",Paraméterek!$J$113,Paraméterek!$K$113),IF($D$4="Forint",Paraméterek!$J$113,Paraméterek!$K$113),IF(IF(ISBLANK($AY919),$AX919,$AY919)*Paraméterek!$J$112&gt;IF($D$4="Forint",Paraméterek!$J$114,Paraméterek!$K$114),IF($D$4="Forint",Paraméterek!$J$114,Paraméterek!$K$114),IF(ISBLANK($AY919),$AX919,$AY919)*Paraméterek!$J$112))),IF($D$4="Forint",0,2))</f>
        <v>0</v>
      </c>
      <c r="BA919" s="13">
        <f ca="1">$AT919+$AV919-$AW919-IF(ROUNDDOWN(IF(ISBLANK($AY919),$AX919,$AY919),IF($D$4="Forint",0,2))&gt;$AT919+$AV919-$AW919-IF($D$4="Forint",Paraméterek!$J$114,Paraméterek!$K$114),0,ROUNDDOWN(IF(ISBLANK($AY919),$AX919,$AY919),IF($D$4="Forint",0,2))-$AZ919)</f>
        <v>0</v>
      </c>
      <c r="BB919" s="13">
        <f t="shared" ca="1" si="319"/>
        <v>0</v>
      </c>
      <c r="BD919" s="32">
        <v>900</v>
      </c>
      <c r="BE919" s="32">
        <v>75</v>
      </c>
      <c r="BF919" s="32">
        <v>12</v>
      </c>
      <c r="BG919" s="34">
        <f t="shared" ca="1" si="328"/>
        <v>2094</v>
      </c>
      <c r="BH919" s="32" t="str">
        <f ca="1">IF(MOD(MONTH($D$14)+$BD919-1,12)=Paraméterek!$C$288,"Igen","")</f>
        <v/>
      </c>
      <c r="BI919" s="13">
        <f ca="1">IF($BH919="Igen",MIN(ROUNDDOWN((SUMIF($BG$20:$BG$1027,$BG919-1,$K$20:$K$1027)-SUMIF($BG$20:$BG$1027,$BG919-1,$I$20:$I$1027))*Paraméterek!$C$289,IF($D$4="Forint",0,2)),IF($D$4="Forint",Paraméterek!$C$285,Paraméterek!$D$285)),0)</f>
        <v>0</v>
      </c>
      <c r="BJ919" s="13">
        <f t="shared" ca="1" si="320"/>
        <v>0</v>
      </c>
      <c r="BK919" s="13">
        <f t="shared" ca="1" si="329"/>
        <v>0</v>
      </c>
      <c r="BL919" s="33"/>
      <c r="BM919" s="13">
        <f t="shared" ca="1" si="321"/>
        <v>0</v>
      </c>
      <c r="BN919" s="13">
        <f ca="1">ROUNDUP(($BK919+$BM919)*VLOOKUP($BE919,Paraméterek!$P$38:$Q$38,2)/12*IF($D920="Nem",IF($M$13=0,1,$M$13),1),IF($D$4="Forint",0,2))</f>
        <v>0</v>
      </c>
      <c r="BO919" s="13">
        <f t="shared" ca="1" si="322"/>
        <v>0</v>
      </c>
      <c r="BP919" s="13">
        <f ca="1">IF($D920="Nem",$BO919,$BO919-ROUNDUP(SUM($BI$20:$BI919)*120%,IF($D$4="Forint",0,2)))</f>
        <v>0</v>
      </c>
    </row>
    <row r="920" spans="1:68" x14ac:dyDescent="0.2">
      <c r="A920" s="32">
        <v>901</v>
      </c>
      <c r="B920" s="32">
        <v>76</v>
      </c>
      <c r="C920" s="32">
        <v>1</v>
      </c>
      <c r="D920" s="32" t="str">
        <f t="shared" ca="1" si="308"/>
        <v>Nem</v>
      </c>
      <c r="E920" s="13">
        <f t="shared" ca="1" si="309"/>
        <v>0</v>
      </c>
      <c r="F920" s="13"/>
      <c r="G920" s="13">
        <f>Tranzakciók!$D$107</f>
        <v>0</v>
      </c>
      <c r="H920" s="13"/>
      <c r="I920" s="13">
        <f t="shared" ca="1" si="310"/>
        <v>0</v>
      </c>
      <c r="J920" s="13">
        <f t="shared" ca="1" si="311"/>
        <v>0</v>
      </c>
      <c r="K920" s="13">
        <f t="shared" ca="1" si="312"/>
        <v>0</v>
      </c>
      <c r="L920" s="13" t="e">
        <f ca="1">ROUNDUP(IF($D$2="Egyszeri",$E920,IF($D$2="Havi",SUM($E$20:$E$31),IF(MOD($C920,$M$1)-1=0,SUM($E$20:$E$31),0))/12*$M$1)*VLOOKUP($B920,Paraméterek!$I$28:$P$31,IF($D$2="Egyszeri",8,HLOOKUP(ROUNDUP($M$11+$M$13,0),Paraméterek!$J$26:$O$27,2))),IF($D$4="Forint",0,2))</f>
        <v>#N/A</v>
      </c>
      <c r="M920" s="13">
        <f t="shared" ca="1" si="313"/>
        <v>0</v>
      </c>
      <c r="N920" s="13">
        <f t="shared" ca="1" si="323"/>
        <v>0</v>
      </c>
      <c r="O920" s="13">
        <f ca="1">IF($D920="Igen",IF($W919&gt;=IF($D$4="Forint",Paraméterek!$J$121,Paraméterek!$K$121),0,IF($D$4="Forint",Paraméterek!$J$121,Paraméterek!$K$121)-$W919),0)</f>
        <v>0</v>
      </c>
      <c r="P920" s="13" t="e">
        <f ca="1">ROUNDUP($O920*VLOOKUP($M$4+$B920-1,Paraméterek!$H$58:$I$105,2,0)/Paraméterek!$I$56,IF($D$4="Forint",0,2))</f>
        <v>#N/A</v>
      </c>
      <c r="Q920" s="13">
        <f t="shared" ca="1" si="314"/>
        <v>0</v>
      </c>
      <c r="R920" s="33"/>
      <c r="S920" s="13" t="e">
        <f t="shared" ca="1" si="315"/>
        <v>#N/A</v>
      </c>
      <c r="T920" s="13" t="e">
        <f ca="1">ROUNDUP(($N920-$P920-$Q920+$S920)*VLOOKUP($B920,Paraméterek!$I$38:$K$39,IF($D$2="Egyszeri",3,2))/12*IF($D921="Nem",IF($M$13=0,1,$M$13),1),IF($D$4="Forint",0,2))</f>
        <v>#N/A</v>
      </c>
      <c r="U920" s="13"/>
      <c r="V920" s="13"/>
      <c r="W920" s="13" t="e">
        <f ca="1">$N920-$P920-$Q920+$S920-$T920-IF(ROUNDUP(IF(ISBLANK($V920),$U920*0,$V920)/IF($D$2="Egyszeri",VLOOKUP($B920+IF($C920=12,1,0),Paraméterek!$V$257:$W$262,2),IF($B920=1,1,VLOOKUP($B920+IF($C920=12,1,0),Paraméterek!$I$258:$T$278,HLOOKUP($M$11+1,Paraméterek!$J$256:$T$257,2)))),IF($D$4="Forint",0,2))&gt;$N920-$P920-$Q920+$S920-$T920-IF($D$4="Forint",Paraméterek!$C$216,Paraméterek!$D$216),0,ROUNDUP(IF(ISBLANK($V920),$U920*0,$V920)/IF($D$2="Egyszeri",VLOOKUP($B920+IF($C920=12,1,0),Paraméterek!$V$257:$W$262,2),IF($B920=1,1,VLOOKUP($B920+IF($C920=12,1,0),Paraméterek!$I$258:$T$278,HLOOKUP($M$11+1,Paraméterek!$J$256:$T$257,2)))),IF($D$4="Forint",0,2)))</f>
        <v>#N/A</v>
      </c>
      <c r="X920" s="13" t="e">
        <f ca="1">ROUNDDOWN($W920*IF($D$2="Egyszeri",VLOOKUP($B920+IF($C920=12,1,0),Paraméterek!$V$257:$W$262,2),VLOOKUP($B920+IF($C920=12,1,0),Paraméterek!$I$258:$T$278,HLOOKUP($M$11+1,Paraméterek!$I$256:$T$257,2))),IF($D$4="Forint",0,2))</f>
        <v>#N/A</v>
      </c>
      <c r="Z920" s="32">
        <v>901</v>
      </c>
      <c r="AA920" s="32">
        <v>76</v>
      </c>
      <c r="AB920" s="32">
        <v>1</v>
      </c>
      <c r="AC920" s="13">
        <f t="shared" ca="1" si="324"/>
        <v>0</v>
      </c>
      <c r="AD920" s="33"/>
      <c r="AE920" s="13">
        <f t="shared" ca="1" si="316"/>
        <v>0</v>
      </c>
      <c r="AF920" s="13">
        <f ca="1">ROUNDUP(($AC920+$AE920)*VLOOKUP($AA920,Paraméterek!$P$38:$Q$38,2)/12*IF($D921="Nem",IF($M$13=0,1,$M$13),1),IF($D$4="Forint",0,2))</f>
        <v>0</v>
      </c>
      <c r="AG920" s="13">
        <f ca="1">IF($D$2="Egyszeri",IF($D$7&gt;=IF($D$4="Forint",Paraméterek!$P$223,Paraméterek!$P$224),$D$7-IF($D$4="Forint",Paraméterek!$P$223,Paraméterek!$P$224),0),MIN(IF($AB920=12,AVERAGEIF($E$20:$E920,"&gt;0",$E$20:$E920)*12,0),SUM($E$20:$E$31)))</f>
        <v>0</v>
      </c>
      <c r="AH920" s="13">
        <f>IF($AA920=10,$AG920*IF($AB920=12,IF($AG920&lt;IF($D$4="Forint",Paraméterek!$L$223,Paraméterek!$L$224),0,VLOOKUP($AA920,Paraméterek!$K$226:$M$228,IF($AG920&lt;IF($D$4="Forint",Paraméterek!$M$223,Paraméterek!$M$224),2,3))),0),0)</f>
        <v>0</v>
      </c>
      <c r="AI920" s="13">
        <f ca="1">IF(AND($AA920=$M$11+1,$AB920=$M$12+1),SUMIF($AA$20:$AA$1027,$AA920,$AG$20:$AG$1027)*IF(SUMIF($AA$20:$AA$1027,$AA920,$AG$20:$AG$1027)&lt;IF($D$4="Forint",Paraméterek!$L$223,Paraméterek!$L$224),0,VLOOKUP($AA920,Paraméterek!$K$230:$M$250,IF(SUMIF($AA$20:$AA$1027,$AA920,$AG$20:$AG$1027)&lt;IF($D$4="Forint",Paraméterek!$M$223,Paraméterek!$M$224),2,3))),0)</f>
        <v>0</v>
      </c>
      <c r="AJ920" s="13">
        <f ca="1">IF(AND($AA920&gt;=5,MOD($AA920,5)=0),IF($AB920=12,VLOOKUP($AA920,Paraméterek!$O$225:$P$240,2),0),IF(OR($AA920=3,$AA920=4),IF($AB920=12,VLOOKUP($AA920,Paraméterek!$O$225:$P$240,2,0),0),0))*$AG920</f>
        <v>0</v>
      </c>
      <c r="AK920" s="13">
        <f t="shared" ca="1" si="317"/>
        <v>0</v>
      </c>
      <c r="AL920" s="13">
        <f t="shared" ca="1" si="325"/>
        <v>0</v>
      </c>
      <c r="AM920" s="13">
        <f t="shared" ca="1" si="326"/>
        <v>0</v>
      </c>
      <c r="AO920" s="32">
        <v>901</v>
      </c>
      <c r="AP920" s="32">
        <v>76</v>
      </c>
      <c r="AQ920" s="32">
        <v>1</v>
      </c>
      <c r="AR920" s="13">
        <f>Tranzakciók!$K$107</f>
        <v>0</v>
      </c>
      <c r="AS920" s="32"/>
      <c r="AT920" s="13">
        <f t="shared" ca="1" si="327"/>
        <v>0</v>
      </c>
      <c r="AU920" s="33"/>
      <c r="AV920" s="13">
        <f t="shared" ca="1" si="318"/>
        <v>0</v>
      </c>
      <c r="AW920" s="13">
        <f ca="1">ROUNDUP(($AT920+$AV920)*VLOOKUP($AP920,Paraméterek!$P$38:$Q$38,2)/12*IF($D921="Nem",IF($M$13=0,1,$M$13),1),IF($D$4="Forint",0,2))</f>
        <v>0</v>
      </c>
      <c r="AX920" s="13"/>
      <c r="AY920" s="13"/>
      <c r="AZ920" s="13">
        <f>ROUNDUP(IF(SUM($AX920:$AY920)=0,0,IF(IF(ISBLANK($AY920),$AX920,$AY920)*Paraméterek!$J$112&lt;IF($D$4="Forint",Paraméterek!$J$113,Paraméterek!$K$113),IF($D$4="Forint",Paraméterek!$J$113,Paraméterek!$K$113),IF(IF(ISBLANK($AY920),$AX920,$AY920)*Paraméterek!$J$112&gt;IF($D$4="Forint",Paraméterek!$J$114,Paraméterek!$K$114),IF($D$4="Forint",Paraméterek!$J$114,Paraméterek!$K$114),IF(ISBLANK($AY920),$AX920,$AY920)*Paraméterek!$J$112))),IF($D$4="Forint",0,2))</f>
        <v>0</v>
      </c>
      <c r="BA920" s="13">
        <f ca="1">$AT920+$AV920-$AW920-IF(ROUNDDOWN(IF(ISBLANK($AY920),$AX920,$AY920),IF($D$4="Forint",0,2))&gt;$AT920+$AV920-$AW920-IF($D$4="Forint",Paraméterek!$J$114,Paraméterek!$K$114),0,ROUNDDOWN(IF(ISBLANK($AY920),$AX920,$AY920),IF($D$4="Forint",0,2))-$AZ920)</f>
        <v>0</v>
      </c>
      <c r="BB920" s="13">
        <f t="shared" ca="1" si="319"/>
        <v>0</v>
      </c>
      <c r="BD920" s="32">
        <v>901</v>
      </c>
      <c r="BE920" s="32">
        <v>76</v>
      </c>
      <c r="BF920" s="32">
        <v>1</v>
      </c>
      <c r="BG920" s="34">
        <f t="shared" ca="1" si="328"/>
        <v>2094</v>
      </c>
      <c r="BH920" s="32" t="str">
        <f ca="1">IF(MOD(MONTH($D$14)+$BD920-1,12)=Paraméterek!$C$288,"Igen","")</f>
        <v/>
      </c>
      <c r="BI920" s="13">
        <f ca="1">IF($BH920="Igen",MIN(ROUNDDOWN((SUMIF($BG$20:$BG$1027,$BG920-1,$K$20:$K$1027)-SUMIF($BG$20:$BG$1027,$BG920-1,$I$20:$I$1027))*Paraméterek!$C$289,IF($D$4="Forint",0,2)),IF($D$4="Forint",Paraméterek!$C$285,Paraméterek!$D$285)),0)</f>
        <v>0</v>
      </c>
      <c r="BJ920" s="13">
        <f t="shared" ca="1" si="320"/>
        <v>0</v>
      </c>
      <c r="BK920" s="13">
        <f t="shared" ca="1" si="329"/>
        <v>0</v>
      </c>
      <c r="BL920" s="33"/>
      <c r="BM920" s="13">
        <f t="shared" ca="1" si="321"/>
        <v>0</v>
      </c>
      <c r="BN920" s="13">
        <f ca="1">ROUNDUP(($BK920+$BM920)*VLOOKUP($BE920,Paraméterek!$P$38:$Q$38,2)/12*IF($D921="Nem",IF($M$13=0,1,$M$13),1),IF($D$4="Forint",0,2))</f>
        <v>0</v>
      </c>
      <c r="BO920" s="13">
        <f t="shared" ca="1" si="322"/>
        <v>0</v>
      </c>
      <c r="BP920" s="13">
        <f ca="1">IF($D921="Nem",$BO920,$BO920-ROUNDUP(SUM($BI$20:$BI920)*120%,IF($D$4="Forint",0,2)))</f>
        <v>0</v>
      </c>
    </row>
    <row r="921" spans="1:68" x14ac:dyDescent="0.2">
      <c r="A921" s="32">
        <v>902</v>
      </c>
      <c r="B921" s="32">
        <v>76</v>
      </c>
      <c r="C921" s="32">
        <v>2</v>
      </c>
      <c r="D921" s="32" t="str">
        <f t="shared" ca="1" si="308"/>
        <v>Nem</v>
      </c>
      <c r="E921" s="13">
        <f t="shared" ca="1" si="309"/>
        <v>0</v>
      </c>
      <c r="F921" s="13"/>
      <c r="G921" s="13"/>
      <c r="H921" s="13"/>
      <c r="I921" s="13">
        <f t="shared" ca="1" si="310"/>
        <v>0</v>
      </c>
      <c r="J921" s="13">
        <f t="shared" ca="1" si="311"/>
        <v>0</v>
      </c>
      <c r="K921" s="13">
        <f t="shared" ca="1" si="312"/>
        <v>0</v>
      </c>
      <c r="L921" s="13" t="e">
        <f ca="1">ROUNDUP(IF($D$2="Egyszeri",$E921,IF($D$2="Havi",SUM($E$20:$E$31),IF(MOD($C921,$M$1)-1=0,SUM($E$20:$E$31),0))/12*$M$1)*VLOOKUP($B921,Paraméterek!$I$28:$P$31,IF($D$2="Egyszeri",8,HLOOKUP(ROUNDUP($M$11+$M$13,0),Paraméterek!$J$26:$O$27,2))),IF($D$4="Forint",0,2))</f>
        <v>#N/A</v>
      </c>
      <c r="M921" s="13">
        <f t="shared" ca="1" si="313"/>
        <v>0</v>
      </c>
      <c r="N921" s="13">
        <f t="shared" ca="1" si="323"/>
        <v>0</v>
      </c>
      <c r="O921" s="13">
        <f ca="1">IF($D921="Igen",IF($W920&gt;=IF($D$4="Forint",Paraméterek!$J$121,Paraméterek!$K$121),0,IF($D$4="Forint",Paraméterek!$J$121,Paraméterek!$K$121)-$W920),0)</f>
        <v>0</v>
      </c>
      <c r="P921" s="13" t="e">
        <f ca="1">ROUNDUP($O921*VLOOKUP($M$4+$B921-1,Paraméterek!$H$58:$I$105,2,0)/Paraméterek!$I$56,IF($D$4="Forint",0,2))</f>
        <v>#N/A</v>
      </c>
      <c r="Q921" s="13">
        <f t="shared" ca="1" si="314"/>
        <v>0</v>
      </c>
      <c r="R921" s="33"/>
      <c r="S921" s="13" t="e">
        <f t="shared" ca="1" si="315"/>
        <v>#N/A</v>
      </c>
      <c r="T921" s="13" t="e">
        <f ca="1">ROUNDUP(($N921-$P921-$Q921+$S921)*VLOOKUP($B921,Paraméterek!$I$38:$K$39,IF($D$2="Egyszeri",3,2))/12*IF($D922="Nem",IF($M$13=0,1,$M$13),1),IF($D$4="Forint",0,2))</f>
        <v>#N/A</v>
      </c>
      <c r="U921" s="13"/>
      <c r="V921" s="13"/>
      <c r="W921" s="13" t="e">
        <f ca="1">$N921-$P921-$Q921+$S921-$T921-IF(ROUNDUP(IF(ISBLANK($V921),$U921*0,$V921)/IF($D$2="Egyszeri",VLOOKUP($B921+IF($C921=12,1,0),Paraméterek!$V$257:$W$262,2),IF($B921=1,1,VLOOKUP($B921+IF($C921=12,1,0),Paraméterek!$I$258:$T$278,HLOOKUP($M$11+1,Paraméterek!$J$256:$T$257,2)))),IF($D$4="Forint",0,2))&gt;$N921-$P921-$Q921+$S921-$T921-IF($D$4="Forint",Paraméterek!$C$216,Paraméterek!$D$216),0,ROUNDUP(IF(ISBLANK($V921),$U921*0,$V921)/IF($D$2="Egyszeri",VLOOKUP($B921+IF($C921=12,1,0),Paraméterek!$V$257:$W$262,2),IF($B921=1,1,VLOOKUP($B921+IF($C921=12,1,0),Paraméterek!$I$258:$T$278,HLOOKUP($M$11+1,Paraméterek!$J$256:$T$257,2)))),IF($D$4="Forint",0,2)))</f>
        <v>#N/A</v>
      </c>
      <c r="X921" s="13" t="e">
        <f ca="1">ROUNDDOWN($W921*IF($D$2="Egyszeri",VLOOKUP($B921+IF($C921=12,1,0),Paraméterek!$V$257:$W$262,2),VLOOKUP($B921+IF($C921=12,1,0),Paraméterek!$I$258:$T$278,HLOOKUP($M$11+1,Paraméterek!$I$256:$T$257,2))),IF($D$4="Forint",0,2))</f>
        <v>#N/A</v>
      </c>
      <c r="Z921" s="32">
        <v>902</v>
      </c>
      <c r="AA921" s="32">
        <v>76</v>
      </c>
      <c r="AB921" s="32">
        <v>2</v>
      </c>
      <c r="AC921" s="13">
        <f t="shared" ca="1" si="324"/>
        <v>0</v>
      </c>
      <c r="AD921" s="33"/>
      <c r="AE921" s="13">
        <f t="shared" ca="1" si="316"/>
        <v>0</v>
      </c>
      <c r="AF921" s="13">
        <f ca="1">ROUNDUP(($AC921+$AE921)*VLOOKUP($AA921,Paraméterek!$P$38:$Q$38,2)/12*IF($D922="Nem",IF($M$13=0,1,$M$13),1),IF($D$4="Forint",0,2))</f>
        <v>0</v>
      </c>
      <c r="AG921" s="13">
        <f ca="1">IF($D$2="Egyszeri",IF($D$7&gt;=IF($D$4="Forint",Paraméterek!$P$223,Paraméterek!$P$224),$D$7-IF($D$4="Forint",Paraméterek!$P$223,Paraméterek!$P$224),0),MIN(IF($AB921=12,AVERAGEIF($E$20:$E921,"&gt;0",$E$20:$E921)*12,0),SUM($E$20:$E$31)))</f>
        <v>0</v>
      </c>
      <c r="AH921" s="13">
        <f>IF($AA921=10,$AG921*IF($AB921=12,IF($AG921&lt;IF($D$4="Forint",Paraméterek!$L$223,Paraméterek!$L$224),0,VLOOKUP($AA921,Paraméterek!$K$226:$M$228,IF($AG921&lt;IF($D$4="Forint",Paraméterek!$M$223,Paraméterek!$M$224),2,3))),0),0)</f>
        <v>0</v>
      </c>
      <c r="AI921" s="13">
        <f ca="1">IF(AND($AA921=$M$11+1,$AB921=$M$12+1),SUMIF($AA$20:$AA$1027,$AA921,$AG$20:$AG$1027)*IF(SUMIF($AA$20:$AA$1027,$AA921,$AG$20:$AG$1027)&lt;IF($D$4="Forint",Paraméterek!$L$223,Paraméterek!$L$224),0,VLOOKUP($AA921,Paraméterek!$K$230:$M$250,IF(SUMIF($AA$20:$AA$1027,$AA921,$AG$20:$AG$1027)&lt;IF($D$4="Forint",Paraméterek!$M$223,Paraméterek!$M$224),2,3))),0)</f>
        <v>0</v>
      </c>
      <c r="AJ921" s="13">
        <f ca="1">IF(AND($AA921&gt;=5,MOD($AA921,5)=0),IF($AB921=12,VLOOKUP($AA921,Paraméterek!$O$225:$P$240,2),0),IF(OR($AA921=3,$AA921=4),IF($AB921=12,VLOOKUP($AA921,Paraméterek!$O$225:$P$240,2,0),0),0))*$AG921</f>
        <v>0</v>
      </c>
      <c r="AK921" s="13">
        <f t="shared" ca="1" si="317"/>
        <v>0</v>
      </c>
      <c r="AL921" s="13">
        <f t="shared" ca="1" si="325"/>
        <v>0</v>
      </c>
      <c r="AM921" s="13">
        <f t="shared" ca="1" si="326"/>
        <v>0</v>
      </c>
      <c r="AO921" s="32">
        <v>902</v>
      </c>
      <c r="AP921" s="32">
        <v>76</v>
      </c>
      <c r="AQ921" s="32">
        <v>2</v>
      </c>
      <c r="AR921" s="13"/>
      <c r="AS921" s="32"/>
      <c r="AT921" s="13">
        <f t="shared" ca="1" si="327"/>
        <v>0</v>
      </c>
      <c r="AU921" s="33"/>
      <c r="AV921" s="13">
        <f t="shared" ca="1" si="318"/>
        <v>0</v>
      </c>
      <c r="AW921" s="13">
        <f ca="1">ROUNDUP(($AT921+$AV921)*VLOOKUP($AP921,Paraméterek!$P$38:$Q$38,2)/12*IF($D922="Nem",IF($M$13=0,1,$M$13),1),IF($D$4="Forint",0,2))</f>
        <v>0</v>
      </c>
      <c r="AX921" s="13"/>
      <c r="AY921" s="13"/>
      <c r="AZ921" s="13">
        <f>ROUNDUP(IF(SUM($AX921:$AY921)=0,0,IF(IF(ISBLANK($AY921),$AX921,$AY921)*Paraméterek!$J$112&lt;IF($D$4="Forint",Paraméterek!$J$113,Paraméterek!$K$113),IF($D$4="Forint",Paraméterek!$J$113,Paraméterek!$K$113),IF(IF(ISBLANK($AY921),$AX921,$AY921)*Paraméterek!$J$112&gt;IF($D$4="Forint",Paraméterek!$J$114,Paraméterek!$K$114),IF($D$4="Forint",Paraméterek!$J$114,Paraméterek!$K$114),IF(ISBLANK($AY921),$AX921,$AY921)*Paraméterek!$J$112))),IF($D$4="Forint",0,2))</f>
        <v>0</v>
      </c>
      <c r="BA921" s="13">
        <f ca="1">$AT921+$AV921-$AW921-IF(ROUNDDOWN(IF(ISBLANK($AY921),$AX921,$AY921),IF($D$4="Forint",0,2))&gt;$AT921+$AV921-$AW921-IF($D$4="Forint",Paraméterek!$J$114,Paraméterek!$K$114),0,ROUNDDOWN(IF(ISBLANK($AY921),$AX921,$AY921),IF($D$4="Forint",0,2))-$AZ921)</f>
        <v>0</v>
      </c>
      <c r="BB921" s="13">
        <f t="shared" ca="1" si="319"/>
        <v>0</v>
      </c>
      <c r="BD921" s="32">
        <v>902</v>
      </c>
      <c r="BE921" s="32">
        <v>76</v>
      </c>
      <c r="BF921" s="32">
        <v>2</v>
      </c>
      <c r="BG921" s="34">
        <f t="shared" ca="1" si="328"/>
        <v>2094</v>
      </c>
      <c r="BH921" s="32" t="str">
        <f ca="1">IF(MOD(MONTH($D$14)+$BD921-1,12)=Paraméterek!$C$288,"Igen","")</f>
        <v>Igen</v>
      </c>
      <c r="BI921" s="13">
        <f ca="1">IF($BH921="Igen",MIN(ROUNDDOWN((SUMIF($BG$20:$BG$1027,$BG921-1,$K$20:$K$1027)-SUMIF($BG$20:$BG$1027,$BG921-1,$I$20:$I$1027))*Paraméterek!$C$289,IF($D$4="Forint",0,2)),IF($D$4="Forint",Paraméterek!$C$285,Paraméterek!$D$285)),0)</f>
        <v>0</v>
      </c>
      <c r="BJ921" s="13">
        <f t="shared" ca="1" si="320"/>
        <v>0</v>
      </c>
      <c r="BK921" s="13">
        <f t="shared" ca="1" si="329"/>
        <v>0</v>
      </c>
      <c r="BL921" s="33"/>
      <c r="BM921" s="13">
        <f t="shared" ca="1" si="321"/>
        <v>0</v>
      </c>
      <c r="BN921" s="13">
        <f ca="1">ROUNDUP(($BK921+$BM921)*VLOOKUP($BE921,Paraméterek!$P$38:$Q$38,2)/12*IF($D922="Nem",IF($M$13=0,1,$M$13),1),IF($D$4="Forint",0,2))</f>
        <v>0</v>
      </c>
      <c r="BO921" s="13">
        <f t="shared" ca="1" si="322"/>
        <v>0</v>
      </c>
      <c r="BP921" s="13">
        <f ca="1">IF($D922="Nem",$BO921,$BO921-ROUNDUP(SUM($BI$20:$BI921)*120%,IF($D$4="Forint",0,2)))</f>
        <v>0</v>
      </c>
    </row>
    <row r="922" spans="1:68" x14ac:dyDescent="0.2">
      <c r="A922" s="32">
        <v>903</v>
      </c>
      <c r="B922" s="32">
        <v>76</v>
      </c>
      <c r="C922" s="32">
        <v>3</v>
      </c>
      <c r="D922" s="32" t="str">
        <f t="shared" ca="1" si="308"/>
        <v>Nem</v>
      </c>
      <c r="E922" s="13">
        <f t="shared" ca="1" si="309"/>
        <v>0</v>
      </c>
      <c r="F922" s="13"/>
      <c r="G922" s="13"/>
      <c r="H922" s="13"/>
      <c r="I922" s="13">
        <f t="shared" ca="1" si="310"/>
        <v>0</v>
      </c>
      <c r="J922" s="13">
        <f t="shared" ca="1" si="311"/>
        <v>0</v>
      </c>
      <c r="K922" s="13">
        <f t="shared" ca="1" si="312"/>
        <v>0</v>
      </c>
      <c r="L922" s="13" t="e">
        <f ca="1">ROUNDUP(IF($D$2="Egyszeri",$E922,IF($D$2="Havi",SUM($E$20:$E$31),IF(MOD($C922,$M$1)-1=0,SUM($E$20:$E$31),0))/12*$M$1)*VLOOKUP($B922,Paraméterek!$I$28:$P$31,IF($D$2="Egyszeri",8,HLOOKUP(ROUNDUP($M$11+$M$13,0),Paraméterek!$J$26:$O$27,2))),IF($D$4="Forint",0,2))</f>
        <v>#N/A</v>
      </c>
      <c r="M922" s="13">
        <f t="shared" ca="1" si="313"/>
        <v>0</v>
      </c>
      <c r="N922" s="13">
        <f t="shared" ca="1" si="323"/>
        <v>0</v>
      </c>
      <c r="O922" s="13">
        <f ca="1">IF($D922="Igen",IF($W921&gt;=IF($D$4="Forint",Paraméterek!$J$121,Paraméterek!$K$121),0,IF($D$4="Forint",Paraméterek!$J$121,Paraméterek!$K$121)-$W921),0)</f>
        <v>0</v>
      </c>
      <c r="P922" s="13" t="e">
        <f ca="1">ROUNDUP($O922*VLOOKUP($M$4+$B922-1,Paraméterek!$H$58:$I$105,2,0)/Paraméterek!$I$56,IF($D$4="Forint",0,2))</f>
        <v>#N/A</v>
      </c>
      <c r="Q922" s="13">
        <f t="shared" ca="1" si="314"/>
        <v>0</v>
      </c>
      <c r="R922" s="33"/>
      <c r="S922" s="13" t="e">
        <f t="shared" ca="1" si="315"/>
        <v>#N/A</v>
      </c>
      <c r="T922" s="13" t="e">
        <f ca="1">ROUNDUP(($N922-$P922-$Q922+$S922)*VLOOKUP($B922,Paraméterek!$I$38:$K$39,IF($D$2="Egyszeri",3,2))/12*IF($D923="Nem",IF($M$13=0,1,$M$13),1),IF($D$4="Forint",0,2))</f>
        <v>#N/A</v>
      </c>
      <c r="U922" s="13"/>
      <c r="V922" s="13"/>
      <c r="W922" s="13" t="e">
        <f ca="1">$N922-$P922-$Q922+$S922-$T922-IF(ROUNDUP(IF(ISBLANK($V922),$U922*0,$V922)/IF($D$2="Egyszeri",VLOOKUP($B922+IF($C922=12,1,0),Paraméterek!$V$257:$W$262,2),IF($B922=1,1,VLOOKUP($B922+IF($C922=12,1,0),Paraméterek!$I$258:$T$278,HLOOKUP($M$11+1,Paraméterek!$J$256:$T$257,2)))),IF($D$4="Forint",0,2))&gt;$N922-$P922-$Q922+$S922-$T922-IF($D$4="Forint",Paraméterek!$C$216,Paraméterek!$D$216),0,ROUNDUP(IF(ISBLANK($V922),$U922*0,$V922)/IF($D$2="Egyszeri",VLOOKUP($B922+IF($C922=12,1,0),Paraméterek!$V$257:$W$262,2),IF($B922=1,1,VLOOKUP($B922+IF($C922=12,1,0),Paraméterek!$I$258:$T$278,HLOOKUP($M$11+1,Paraméterek!$J$256:$T$257,2)))),IF($D$4="Forint",0,2)))</f>
        <v>#N/A</v>
      </c>
      <c r="X922" s="13" t="e">
        <f ca="1">ROUNDDOWN($W922*IF($D$2="Egyszeri",VLOOKUP($B922+IF($C922=12,1,0),Paraméterek!$V$257:$W$262,2),VLOOKUP($B922+IF($C922=12,1,0),Paraméterek!$I$258:$T$278,HLOOKUP($M$11+1,Paraméterek!$I$256:$T$257,2))),IF($D$4="Forint",0,2))</f>
        <v>#N/A</v>
      </c>
      <c r="Z922" s="32">
        <v>903</v>
      </c>
      <c r="AA922" s="32">
        <v>76</v>
      </c>
      <c r="AB922" s="32">
        <v>3</v>
      </c>
      <c r="AC922" s="13">
        <f t="shared" ca="1" si="324"/>
        <v>0</v>
      </c>
      <c r="AD922" s="33"/>
      <c r="AE922" s="13">
        <f t="shared" ca="1" si="316"/>
        <v>0</v>
      </c>
      <c r="AF922" s="13">
        <f ca="1">ROUNDUP(($AC922+$AE922)*VLOOKUP($AA922,Paraméterek!$P$38:$Q$38,2)/12*IF($D923="Nem",IF($M$13=0,1,$M$13),1),IF($D$4="Forint",0,2))</f>
        <v>0</v>
      </c>
      <c r="AG922" s="13">
        <f ca="1">IF($D$2="Egyszeri",IF($D$7&gt;=IF($D$4="Forint",Paraméterek!$P$223,Paraméterek!$P$224),$D$7-IF($D$4="Forint",Paraméterek!$P$223,Paraméterek!$P$224),0),MIN(IF($AB922=12,AVERAGEIF($E$20:$E922,"&gt;0",$E$20:$E922)*12,0),SUM($E$20:$E$31)))</f>
        <v>0</v>
      </c>
      <c r="AH922" s="13">
        <f>IF($AA922=10,$AG922*IF($AB922=12,IF($AG922&lt;IF($D$4="Forint",Paraméterek!$L$223,Paraméterek!$L$224),0,VLOOKUP($AA922,Paraméterek!$K$226:$M$228,IF($AG922&lt;IF($D$4="Forint",Paraméterek!$M$223,Paraméterek!$M$224),2,3))),0),0)</f>
        <v>0</v>
      </c>
      <c r="AI922" s="13">
        <f ca="1">IF(AND($AA922=$M$11+1,$AB922=$M$12+1),SUMIF($AA$20:$AA$1027,$AA922,$AG$20:$AG$1027)*IF(SUMIF($AA$20:$AA$1027,$AA922,$AG$20:$AG$1027)&lt;IF($D$4="Forint",Paraméterek!$L$223,Paraméterek!$L$224),0,VLOOKUP($AA922,Paraméterek!$K$230:$M$250,IF(SUMIF($AA$20:$AA$1027,$AA922,$AG$20:$AG$1027)&lt;IF($D$4="Forint",Paraméterek!$M$223,Paraméterek!$M$224),2,3))),0)</f>
        <v>0</v>
      </c>
      <c r="AJ922" s="13">
        <f ca="1">IF(AND($AA922&gt;=5,MOD($AA922,5)=0),IF($AB922=12,VLOOKUP($AA922,Paraméterek!$O$225:$P$240,2),0),IF(OR($AA922=3,$AA922=4),IF($AB922=12,VLOOKUP($AA922,Paraméterek!$O$225:$P$240,2,0),0),0))*$AG922</f>
        <v>0</v>
      </c>
      <c r="AK922" s="13">
        <f t="shared" ca="1" si="317"/>
        <v>0</v>
      </c>
      <c r="AL922" s="13">
        <f t="shared" ca="1" si="325"/>
        <v>0</v>
      </c>
      <c r="AM922" s="13">
        <f t="shared" ca="1" si="326"/>
        <v>0</v>
      </c>
      <c r="AO922" s="32">
        <v>903</v>
      </c>
      <c r="AP922" s="32">
        <v>76</v>
      </c>
      <c r="AQ922" s="32">
        <v>3</v>
      </c>
      <c r="AR922" s="13"/>
      <c r="AS922" s="32"/>
      <c r="AT922" s="13">
        <f t="shared" ca="1" si="327"/>
        <v>0</v>
      </c>
      <c r="AU922" s="33"/>
      <c r="AV922" s="13">
        <f t="shared" ca="1" si="318"/>
        <v>0</v>
      </c>
      <c r="AW922" s="13">
        <f ca="1">ROUNDUP(($AT922+$AV922)*VLOOKUP($AP922,Paraméterek!$P$38:$Q$38,2)/12*IF($D923="Nem",IF($M$13=0,1,$M$13),1),IF($D$4="Forint",0,2))</f>
        <v>0</v>
      </c>
      <c r="AX922" s="13"/>
      <c r="AY922" s="13"/>
      <c r="AZ922" s="13">
        <f>ROUNDUP(IF(SUM($AX922:$AY922)=0,0,IF(IF(ISBLANK($AY922),$AX922,$AY922)*Paraméterek!$J$112&lt;IF($D$4="Forint",Paraméterek!$J$113,Paraméterek!$K$113),IF($D$4="Forint",Paraméterek!$J$113,Paraméterek!$K$113),IF(IF(ISBLANK($AY922),$AX922,$AY922)*Paraméterek!$J$112&gt;IF($D$4="Forint",Paraméterek!$J$114,Paraméterek!$K$114),IF($D$4="Forint",Paraméterek!$J$114,Paraméterek!$K$114),IF(ISBLANK($AY922),$AX922,$AY922)*Paraméterek!$J$112))),IF($D$4="Forint",0,2))</f>
        <v>0</v>
      </c>
      <c r="BA922" s="13">
        <f ca="1">$AT922+$AV922-$AW922-IF(ROUNDDOWN(IF(ISBLANK($AY922),$AX922,$AY922),IF($D$4="Forint",0,2))&gt;$AT922+$AV922-$AW922-IF($D$4="Forint",Paraméterek!$J$114,Paraméterek!$K$114),0,ROUNDDOWN(IF(ISBLANK($AY922),$AX922,$AY922),IF($D$4="Forint",0,2))-$AZ922)</f>
        <v>0</v>
      </c>
      <c r="BB922" s="13">
        <f t="shared" ca="1" si="319"/>
        <v>0</v>
      </c>
      <c r="BD922" s="32">
        <v>903</v>
      </c>
      <c r="BE922" s="32">
        <v>76</v>
      </c>
      <c r="BF922" s="32">
        <v>3</v>
      </c>
      <c r="BG922" s="34">
        <f t="shared" ca="1" si="328"/>
        <v>2094</v>
      </c>
      <c r="BH922" s="32" t="str">
        <f ca="1">IF(MOD(MONTH($D$14)+$BD922-1,12)=Paraméterek!$C$288,"Igen","")</f>
        <v/>
      </c>
      <c r="BI922" s="13">
        <f ca="1">IF($BH922="Igen",MIN(ROUNDDOWN((SUMIF($BG$20:$BG$1027,$BG922-1,$K$20:$K$1027)-SUMIF($BG$20:$BG$1027,$BG922-1,$I$20:$I$1027))*Paraméterek!$C$289,IF($D$4="Forint",0,2)),IF($D$4="Forint",Paraméterek!$C$285,Paraméterek!$D$285)),0)</f>
        <v>0</v>
      </c>
      <c r="BJ922" s="13">
        <f t="shared" ca="1" si="320"/>
        <v>0</v>
      </c>
      <c r="BK922" s="13">
        <f t="shared" ca="1" si="329"/>
        <v>0</v>
      </c>
      <c r="BL922" s="33"/>
      <c r="BM922" s="13">
        <f t="shared" ca="1" si="321"/>
        <v>0</v>
      </c>
      <c r="BN922" s="13">
        <f ca="1">ROUNDUP(($BK922+$BM922)*VLOOKUP($BE922,Paraméterek!$P$38:$Q$38,2)/12*IF($D923="Nem",IF($M$13=0,1,$M$13),1),IF($D$4="Forint",0,2))</f>
        <v>0</v>
      </c>
      <c r="BO922" s="13">
        <f t="shared" ca="1" si="322"/>
        <v>0</v>
      </c>
      <c r="BP922" s="13">
        <f ca="1">IF($D923="Nem",$BO922,$BO922-ROUNDUP(SUM($BI$20:$BI922)*120%,IF($D$4="Forint",0,2)))</f>
        <v>0</v>
      </c>
    </row>
    <row r="923" spans="1:68" x14ac:dyDescent="0.2">
      <c r="A923" s="32">
        <v>904</v>
      </c>
      <c r="B923" s="32">
        <v>76</v>
      </c>
      <c r="C923" s="32">
        <v>4</v>
      </c>
      <c r="D923" s="32" t="str">
        <f t="shared" ca="1" si="308"/>
        <v>Nem</v>
      </c>
      <c r="E923" s="13">
        <f t="shared" ca="1" si="309"/>
        <v>0</v>
      </c>
      <c r="F923" s="13"/>
      <c r="G923" s="13"/>
      <c r="H923" s="13"/>
      <c r="I923" s="13">
        <f t="shared" ca="1" si="310"/>
        <v>0</v>
      </c>
      <c r="J923" s="13">
        <f t="shared" ca="1" si="311"/>
        <v>0</v>
      </c>
      <c r="K923" s="13">
        <f t="shared" ca="1" si="312"/>
        <v>0</v>
      </c>
      <c r="L923" s="13" t="e">
        <f ca="1">ROUNDUP(IF($D$2="Egyszeri",$E923,IF($D$2="Havi",SUM($E$20:$E$31),IF(MOD($C923,$M$1)-1=0,SUM($E$20:$E$31),0))/12*$M$1)*VLOOKUP($B923,Paraméterek!$I$28:$P$31,IF($D$2="Egyszeri",8,HLOOKUP(ROUNDUP($M$11+$M$13,0),Paraméterek!$J$26:$O$27,2))),IF($D$4="Forint",0,2))</f>
        <v>#N/A</v>
      </c>
      <c r="M923" s="13">
        <f t="shared" ca="1" si="313"/>
        <v>0</v>
      </c>
      <c r="N923" s="13">
        <f t="shared" ca="1" si="323"/>
        <v>0</v>
      </c>
      <c r="O923" s="13">
        <f ca="1">IF($D923="Igen",IF($W922&gt;=IF($D$4="Forint",Paraméterek!$J$121,Paraméterek!$K$121),0,IF($D$4="Forint",Paraméterek!$J$121,Paraméterek!$K$121)-$W922),0)</f>
        <v>0</v>
      </c>
      <c r="P923" s="13" t="e">
        <f ca="1">ROUNDUP($O923*VLOOKUP($M$4+$B923-1,Paraméterek!$H$58:$I$105,2,0)/Paraméterek!$I$56,IF($D$4="Forint",0,2))</f>
        <v>#N/A</v>
      </c>
      <c r="Q923" s="13">
        <f t="shared" ca="1" si="314"/>
        <v>0</v>
      </c>
      <c r="R923" s="33"/>
      <c r="S923" s="13" t="e">
        <f t="shared" ca="1" si="315"/>
        <v>#N/A</v>
      </c>
      <c r="T923" s="13" t="e">
        <f ca="1">ROUNDUP(($N923-$P923-$Q923+$S923)*VLOOKUP($B923,Paraméterek!$I$38:$K$39,IF($D$2="Egyszeri",3,2))/12*IF($D924="Nem",IF($M$13=0,1,$M$13),1),IF($D$4="Forint",0,2))</f>
        <v>#N/A</v>
      </c>
      <c r="U923" s="13"/>
      <c r="V923" s="13"/>
      <c r="W923" s="13" t="e">
        <f ca="1">$N923-$P923-$Q923+$S923-$T923-IF(ROUNDUP(IF(ISBLANK($V923),$U923*0,$V923)/IF($D$2="Egyszeri",VLOOKUP($B923+IF($C923=12,1,0),Paraméterek!$V$257:$W$262,2),IF($B923=1,1,VLOOKUP($B923+IF($C923=12,1,0),Paraméterek!$I$258:$T$278,HLOOKUP($M$11+1,Paraméterek!$J$256:$T$257,2)))),IF($D$4="Forint",0,2))&gt;$N923-$P923-$Q923+$S923-$T923-IF($D$4="Forint",Paraméterek!$C$216,Paraméterek!$D$216),0,ROUNDUP(IF(ISBLANK($V923),$U923*0,$V923)/IF($D$2="Egyszeri",VLOOKUP($B923+IF($C923=12,1,0),Paraméterek!$V$257:$W$262,2),IF($B923=1,1,VLOOKUP($B923+IF($C923=12,1,0),Paraméterek!$I$258:$T$278,HLOOKUP($M$11+1,Paraméterek!$J$256:$T$257,2)))),IF($D$4="Forint",0,2)))</f>
        <v>#N/A</v>
      </c>
      <c r="X923" s="13" t="e">
        <f ca="1">ROUNDDOWN($W923*IF($D$2="Egyszeri",VLOOKUP($B923+IF($C923=12,1,0),Paraméterek!$V$257:$W$262,2),VLOOKUP($B923+IF($C923=12,1,0),Paraméterek!$I$258:$T$278,HLOOKUP($M$11+1,Paraméterek!$I$256:$T$257,2))),IF($D$4="Forint",0,2))</f>
        <v>#N/A</v>
      </c>
      <c r="Z923" s="32">
        <v>904</v>
      </c>
      <c r="AA923" s="32">
        <v>76</v>
      </c>
      <c r="AB923" s="32">
        <v>4</v>
      </c>
      <c r="AC923" s="13">
        <f t="shared" ca="1" si="324"/>
        <v>0</v>
      </c>
      <c r="AD923" s="33"/>
      <c r="AE923" s="13">
        <f t="shared" ca="1" si="316"/>
        <v>0</v>
      </c>
      <c r="AF923" s="13">
        <f ca="1">ROUNDUP(($AC923+$AE923)*VLOOKUP($AA923,Paraméterek!$P$38:$Q$38,2)/12*IF($D924="Nem",IF($M$13=0,1,$M$13),1),IF($D$4="Forint",0,2))</f>
        <v>0</v>
      </c>
      <c r="AG923" s="13">
        <f ca="1">IF($D$2="Egyszeri",IF($D$7&gt;=IF($D$4="Forint",Paraméterek!$P$223,Paraméterek!$P$224),$D$7-IF($D$4="Forint",Paraméterek!$P$223,Paraméterek!$P$224),0),MIN(IF($AB923=12,AVERAGEIF($E$20:$E923,"&gt;0",$E$20:$E923)*12,0),SUM($E$20:$E$31)))</f>
        <v>0</v>
      </c>
      <c r="AH923" s="13">
        <f>IF($AA923=10,$AG923*IF($AB923=12,IF($AG923&lt;IF($D$4="Forint",Paraméterek!$L$223,Paraméterek!$L$224),0,VLOOKUP($AA923,Paraméterek!$K$226:$M$228,IF($AG923&lt;IF($D$4="Forint",Paraméterek!$M$223,Paraméterek!$M$224),2,3))),0),0)</f>
        <v>0</v>
      </c>
      <c r="AI923" s="13">
        <f ca="1">IF(AND($AA923=$M$11+1,$AB923=$M$12+1),SUMIF($AA$20:$AA$1027,$AA923,$AG$20:$AG$1027)*IF(SUMIF($AA$20:$AA$1027,$AA923,$AG$20:$AG$1027)&lt;IF($D$4="Forint",Paraméterek!$L$223,Paraméterek!$L$224),0,VLOOKUP($AA923,Paraméterek!$K$230:$M$250,IF(SUMIF($AA$20:$AA$1027,$AA923,$AG$20:$AG$1027)&lt;IF($D$4="Forint",Paraméterek!$M$223,Paraméterek!$M$224),2,3))),0)</f>
        <v>0</v>
      </c>
      <c r="AJ923" s="13">
        <f ca="1">IF(AND($AA923&gt;=5,MOD($AA923,5)=0),IF($AB923=12,VLOOKUP($AA923,Paraméterek!$O$225:$P$240,2),0),IF(OR($AA923=3,$AA923=4),IF($AB923=12,VLOOKUP($AA923,Paraméterek!$O$225:$P$240,2,0),0),0))*$AG923</f>
        <v>0</v>
      </c>
      <c r="AK923" s="13">
        <f t="shared" ca="1" si="317"/>
        <v>0</v>
      </c>
      <c r="AL923" s="13">
        <f t="shared" ca="1" si="325"/>
        <v>0</v>
      </c>
      <c r="AM923" s="13">
        <f t="shared" ca="1" si="326"/>
        <v>0</v>
      </c>
      <c r="AO923" s="32">
        <v>904</v>
      </c>
      <c r="AP923" s="32">
        <v>76</v>
      </c>
      <c r="AQ923" s="32">
        <v>4</v>
      </c>
      <c r="AR923" s="13"/>
      <c r="AS923" s="32"/>
      <c r="AT923" s="13">
        <f t="shared" ca="1" si="327"/>
        <v>0</v>
      </c>
      <c r="AU923" s="33"/>
      <c r="AV923" s="13">
        <f t="shared" ca="1" si="318"/>
        <v>0</v>
      </c>
      <c r="AW923" s="13">
        <f ca="1">ROUNDUP(($AT923+$AV923)*VLOOKUP($AP923,Paraméterek!$P$38:$Q$38,2)/12*IF($D924="Nem",IF($M$13=0,1,$M$13),1),IF($D$4="Forint",0,2))</f>
        <v>0</v>
      </c>
      <c r="AX923" s="13"/>
      <c r="AY923" s="13"/>
      <c r="AZ923" s="13">
        <f>ROUNDUP(IF(SUM($AX923:$AY923)=0,0,IF(IF(ISBLANK($AY923),$AX923,$AY923)*Paraméterek!$J$112&lt;IF($D$4="Forint",Paraméterek!$J$113,Paraméterek!$K$113),IF($D$4="Forint",Paraméterek!$J$113,Paraméterek!$K$113),IF(IF(ISBLANK($AY923),$AX923,$AY923)*Paraméterek!$J$112&gt;IF($D$4="Forint",Paraméterek!$J$114,Paraméterek!$K$114),IF($D$4="Forint",Paraméterek!$J$114,Paraméterek!$K$114),IF(ISBLANK($AY923),$AX923,$AY923)*Paraméterek!$J$112))),IF($D$4="Forint",0,2))</f>
        <v>0</v>
      </c>
      <c r="BA923" s="13">
        <f ca="1">$AT923+$AV923-$AW923-IF(ROUNDDOWN(IF(ISBLANK($AY923),$AX923,$AY923),IF($D$4="Forint",0,2))&gt;$AT923+$AV923-$AW923-IF($D$4="Forint",Paraméterek!$J$114,Paraméterek!$K$114),0,ROUNDDOWN(IF(ISBLANK($AY923),$AX923,$AY923),IF($D$4="Forint",0,2))-$AZ923)</f>
        <v>0</v>
      </c>
      <c r="BB923" s="13">
        <f t="shared" ca="1" si="319"/>
        <v>0</v>
      </c>
      <c r="BD923" s="32">
        <v>904</v>
      </c>
      <c r="BE923" s="32">
        <v>76</v>
      </c>
      <c r="BF923" s="32">
        <v>4</v>
      </c>
      <c r="BG923" s="34">
        <f t="shared" ca="1" si="328"/>
        <v>2094</v>
      </c>
      <c r="BH923" s="32" t="str">
        <f ca="1">IF(MOD(MONTH($D$14)+$BD923-1,12)=Paraméterek!$C$288,"Igen","")</f>
        <v/>
      </c>
      <c r="BI923" s="13">
        <f ca="1">IF($BH923="Igen",MIN(ROUNDDOWN((SUMIF($BG$20:$BG$1027,$BG923-1,$K$20:$K$1027)-SUMIF($BG$20:$BG$1027,$BG923-1,$I$20:$I$1027))*Paraméterek!$C$289,IF($D$4="Forint",0,2)),IF($D$4="Forint",Paraméterek!$C$285,Paraméterek!$D$285)),0)</f>
        <v>0</v>
      </c>
      <c r="BJ923" s="13">
        <f t="shared" ca="1" si="320"/>
        <v>0</v>
      </c>
      <c r="BK923" s="13">
        <f t="shared" ca="1" si="329"/>
        <v>0</v>
      </c>
      <c r="BL923" s="33"/>
      <c r="BM923" s="13">
        <f t="shared" ca="1" si="321"/>
        <v>0</v>
      </c>
      <c r="BN923" s="13">
        <f ca="1">ROUNDUP(($BK923+$BM923)*VLOOKUP($BE923,Paraméterek!$P$38:$Q$38,2)/12*IF($D924="Nem",IF($M$13=0,1,$M$13),1),IF($D$4="Forint",0,2))</f>
        <v>0</v>
      </c>
      <c r="BO923" s="13">
        <f t="shared" ca="1" si="322"/>
        <v>0</v>
      </c>
      <c r="BP923" s="13">
        <f ca="1">IF($D924="Nem",$BO923,$BO923-ROUNDUP(SUM($BI$20:$BI923)*120%,IF($D$4="Forint",0,2)))</f>
        <v>0</v>
      </c>
    </row>
    <row r="924" spans="1:68" x14ac:dyDescent="0.2">
      <c r="A924" s="32">
        <v>905</v>
      </c>
      <c r="B924" s="32">
        <v>76</v>
      </c>
      <c r="C924" s="32">
        <v>5</v>
      </c>
      <c r="D924" s="32" t="str">
        <f t="shared" ca="1" si="308"/>
        <v>Nem</v>
      </c>
      <c r="E924" s="13">
        <f t="shared" ca="1" si="309"/>
        <v>0</v>
      </c>
      <c r="F924" s="13"/>
      <c r="G924" s="13"/>
      <c r="H924" s="13"/>
      <c r="I924" s="13">
        <f t="shared" ca="1" si="310"/>
        <v>0</v>
      </c>
      <c r="J924" s="13">
        <f t="shared" ca="1" si="311"/>
        <v>0</v>
      </c>
      <c r="K924" s="13">
        <f t="shared" ca="1" si="312"/>
        <v>0</v>
      </c>
      <c r="L924" s="13" t="e">
        <f ca="1">ROUNDUP(IF($D$2="Egyszeri",$E924,IF($D$2="Havi",SUM($E$20:$E$31),IF(MOD($C924,$M$1)-1=0,SUM($E$20:$E$31),0))/12*$M$1)*VLOOKUP($B924,Paraméterek!$I$28:$P$31,IF($D$2="Egyszeri",8,HLOOKUP(ROUNDUP($M$11+$M$13,0),Paraméterek!$J$26:$O$27,2))),IF($D$4="Forint",0,2))</f>
        <v>#N/A</v>
      </c>
      <c r="M924" s="13">
        <f t="shared" ca="1" si="313"/>
        <v>0</v>
      </c>
      <c r="N924" s="13">
        <f t="shared" ca="1" si="323"/>
        <v>0</v>
      </c>
      <c r="O924" s="13">
        <f ca="1">IF($D924="Igen",IF($W923&gt;=IF($D$4="Forint",Paraméterek!$J$121,Paraméterek!$K$121),0,IF($D$4="Forint",Paraméterek!$J$121,Paraméterek!$K$121)-$W923),0)</f>
        <v>0</v>
      </c>
      <c r="P924" s="13" t="e">
        <f ca="1">ROUNDUP($O924*VLOOKUP($M$4+$B924-1,Paraméterek!$H$58:$I$105,2,0)/Paraméterek!$I$56,IF($D$4="Forint",0,2))</f>
        <v>#N/A</v>
      </c>
      <c r="Q924" s="13">
        <f t="shared" ca="1" si="314"/>
        <v>0</v>
      </c>
      <c r="R924" s="33"/>
      <c r="S924" s="13" t="e">
        <f t="shared" ca="1" si="315"/>
        <v>#N/A</v>
      </c>
      <c r="T924" s="13" t="e">
        <f ca="1">ROUNDUP(($N924-$P924-$Q924+$S924)*VLOOKUP($B924,Paraméterek!$I$38:$K$39,IF($D$2="Egyszeri",3,2))/12*IF($D925="Nem",IF($M$13=0,1,$M$13),1),IF($D$4="Forint",0,2))</f>
        <v>#N/A</v>
      </c>
      <c r="U924" s="13"/>
      <c r="V924" s="13"/>
      <c r="W924" s="13" t="e">
        <f ca="1">$N924-$P924-$Q924+$S924-$T924-IF(ROUNDUP(IF(ISBLANK($V924),$U924*0,$V924)/IF($D$2="Egyszeri",VLOOKUP($B924+IF($C924=12,1,0),Paraméterek!$V$257:$W$262,2),IF($B924=1,1,VLOOKUP($B924+IF($C924=12,1,0),Paraméterek!$I$258:$T$278,HLOOKUP($M$11+1,Paraméterek!$J$256:$T$257,2)))),IF($D$4="Forint",0,2))&gt;$N924-$P924-$Q924+$S924-$T924-IF($D$4="Forint",Paraméterek!$C$216,Paraméterek!$D$216),0,ROUNDUP(IF(ISBLANK($V924),$U924*0,$V924)/IF($D$2="Egyszeri",VLOOKUP($B924+IF($C924=12,1,0),Paraméterek!$V$257:$W$262,2),IF($B924=1,1,VLOOKUP($B924+IF($C924=12,1,0),Paraméterek!$I$258:$T$278,HLOOKUP($M$11+1,Paraméterek!$J$256:$T$257,2)))),IF($D$4="Forint",0,2)))</f>
        <v>#N/A</v>
      </c>
      <c r="X924" s="13" t="e">
        <f ca="1">ROUNDDOWN($W924*IF($D$2="Egyszeri",VLOOKUP($B924+IF($C924=12,1,0),Paraméterek!$V$257:$W$262,2),VLOOKUP($B924+IF($C924=12,1,0),Paraméterek!$I$258:$T$278,HLOOKUP($M$11+1,Paraméterek!$I$256:$T$257,2))),IF($D$4="Forint",0,2))</f>
        <v>#N/A</v>
      </c>
      <c r="Z924" s="32">
        <v>905</v>
      </c>
      <c r="AA924" s="32">
        <v>76</v>
      </c>
      <c r="AB924" s="32">
        <v>5</v>
      </c>
      <c r="AC924" s="13">
        <f t="shared" ca="1" si="324"/>
        <v>0</v>
      </c>
      <c r="AD924" s="33"/>
      <c r="AE924" s="13">
        <f t="shared" ca="1" si="316"/>
        <v>0</v>
      </c>
      <c r="AF924" s="13">
        <f ca="1">ROUNDUP(($AC924+$AE924)*VLOOKUP($AA924,Paraméterek!$P$38:$Q$38,2)/12*IF($D925="Nem",IF($M$13=0,1,$M$13),1),IF($D$4="Forint",0,2))</f>
        <v>0</v>
      </c>
      <c r="AG924" s="13">
        <f ca="1">IF($D$2="Egyszeri",IF($D$7&gt;=IF($D$4="Forint",Paraméterek!$P$223,Paraméterek!$P$224),$D$7-IF($D$4="Forint",Paraméterek!$P$223,Paraméterek!$P$224),0),MIN(IF($AB924=12,AVERAGEIF($E$20:$E924,"&gt;0",$E$20:$E924)*12,0),SUM($E$20:$E$31)))</f>
        <v>0</v>
      </c>
      <c r="AH924" s="13">
        <f>IF($AA924=10,$AG924*IF($AB924=12,IF($AG924&lt;IF($D$4="Forint",Paraméterek!$L$223,Paraméterek!$L$224),0,VLOOKUP($AA924,Paraméterek!$K$226:$M$228,IF($AG924&lt;IF($D$4="Forint",Paraméterek!$M$223,Paraméterek!$M$224),2,3))),0),0)</f>
        <v>0</v>
      </c>
      <c r="AI924" s="13">
        <f ca="1">IF(AND($AA924=$M$11+1,$AB924=$M$12+1),SUMIF($AA$20:$AA$1027,$AA924,$AG$20:$AG$1027)*IF(SUMIF($AA$20:$AA$1027,$AA924,$AG$20:$AG$1027)&lt;IF($D$4="Forint",Paraméterek!$L$223,Paraméterek!$L$224),0,VLOOKUP($AA924,Paraméterek!$K$230:$M$250,IF(SUMIF($AA$20:$AA$1027,$AA924,$AG$20:$AG$1027)&lt;IF($D$4="Forint",Paraméterek!$M$223,Paraméterek!$M$224),2,3))),0)</f>
        <v>0</v>
      </c>
      <c r="AJ924" s="13">
        <f ca="1">IF(AND($AA924&gt;=5,MOD($AA924,5)=0),IF($AB924=12,VLOOKUP($AA924,Paraméterek!$O$225:$P$240,2),0),IF(OR($AA924=3,$AA924=4),IF($AB924=12,VLOOKUP($AA924,Paraméterek!$O$225:$P$240,2,0),0),0))*$AG924</f>
        <v>0</v>
      </c>
      <c r="AK924" s="13">
        <f t="shared" ca="1" si="317"/>
        <v>0</v>
      </c>
      <c r="AL924" s="13">
        <f t="shared" ca="1" si="325"/>
        <v>0</v>
      </c>
      <c r="AM924" s="13">
        <f t="shared" ca="1" si="326"/>
        <v>0</v>
      </c>
      <c r="AO924" s="32">
        <v>905</v>
      </c>
      <c r="AP924" s="32">
        <v>76</v>
      </c>
      <c r="AQ924" s="32">
        <v>5</v>
      </c>
      <c r="AR924" s="13"/>
      <c r="AS924" s="32"/>
      <c r="AT924" s="13">
        <f t="shared" ca="1" si="327"/>
        <v>0</v>
      </c>
      <c r="AU924" s="33"/>
      <c r="AV924" s="13">
        <f t="shared" ca="1" si="318"/>
        <v>0</v>
      </c>
      <c r="AW924" s="13">
        <f ca="1">ROUNDUP(($AT924+$AV924)*VLOOKUP($AP924,Paraméterek!$P$38:$Q$38,2)/12*IF($D925="Nem",IF($M$13=0,1,$M$13),1),IF($D$4="Forint",0,2))</f>
        <v>0</v>
      </c>
      <c r="AX924" s="13"/>
      <c r="AY924" s="13"/>
      <c r="AZ924" s="13">
        <f>ROUNDUP(IF(SUM($AX924:$AY924)=0,0,IF(IF(ISBLANK($AY924),$AX924,$AY924)*Paraméterek!$J$112&lt;IF($D$4="Forint",Paraméterek!$J$113,Paraméterek!$K$113),IF($D$4="Forint",Paraméterek!$J$113,Paraméterek!$K$113),IF(IF(ISBLANK($AY924),$AX924,$AY924)*Paraméterek!$J$112&gt;IF($D$4="Forint",Paraméterek!$J$114,Paraméterek!$K$114),IF($D$4="Forint",Paraméterek!$J$114,Paraméterek!$K$114),IF(ISBLANK($AY924),$AX924,$AY924)*Paraméterek!$J$112))),IF($D$4="Forint",0,2))</f>
        <v>0</v>
      </c>
      <c r="BA924" s="13">
        <f ca="1">$AT924+$AV924-$AW924-IF(ROUNDDOWN(IF(ISBLANK($AY924),$AX924,$AY924),IF($D$4="Forint",0,2))&gt;$AT924+$AV924-$AW924-IF($D$4="Forint",Paraméterek!$J$114,Paraméterek!$K$114),0,ROUNDDOWN(IF(ISBLANK($AY924),$AX924,$AY924),IF($D$4="Forint",0,2))-$AZ924)</f>
        <v>0</v>
      </c>
      <c r="BB924" s="13">
        <f t="shared" ca="1" si="319"/>
        <v>0</v>
      </c>
      <c r="BD924" s="32">
        <v>905</v>
      </c>
      <c r="BE924" s="32">
        <v>76</v>
      </c>
      <c r="BF924" s="32">
        <v>5</v>
      </c>
      <c r="BG924" s="34">
        <f t="shared" ca="1" si="328"/>
        <v>2094</v>
      </c>
      <c r="BH924" s="32" t="str">
        <f ca="1">IF(MOD(MONTH($D$14)+$BD924-1,12)=Paraméterek!$C$288,"Igen","")</f>
        <v/>
      </c>
      <c r="BI924" s="13">
        <f ca="1">IF($BH924="Igen",MIN(ROUNDDOWN((SUMIF($BG$20:$BG$1027,$BG924-1,$K$20:$K$1027)-SUMIF($BG$20:$BG$1027,$BG924-1,$I$20:$I$1027))*Paraméterek!$C$289,IF($D$4="Forint",0,2)),IF($D$4="Forint",Paraméterek!$C$285,Paraméterek!$D$285)),0)</f>
        <v>0</v>
      </c>
      <c r="BJ924" s="13">
        <f t="shared" ca="1" si="320"/>
        <v>0</v>
      </c>
      <c r="BK924" s="13">
        <f t="shared" ca="1" si="329"/>
        <v>0</v>
      </c>
      <c r="BL924" s="33"/>
      <c r="BM924" s="13">
        <f t="shared" ca="1" si="321"/>
        <v>0</v>
      </c>
      <c r="BN924" s="13">
        <f ca="1">ROUNDUP(($BK924+$BM924)*VLOOKUP($BE924,Paraméterek!$P$38:$Q$38,2)/12*IF($D925="Nem",IF($M$13=0,1,$M$13),1),IF($D$4="Forint",0,2))</f>
        <v>0</v>
      </c>
      <c r="BO924" s="13">
        <f t="shared" ca="1" si="322"/>
        <v>0</v>
      </c>
      <c r="BP924" s="13">
        <f ca="1">IF($D925="Nem",$BO924,$BO924-ROUNDUP(SUM($BI$20:$BI924)*120%,IF($D$4="Forint",0,2)))</f>
        <v>0</v>
      </c>
    </row>
    <row r="925" spans="1:68" x14ac:dyDescent="0.2">
      <c r="A925" s="32">
        <v>906</v>
      </c>
      <c r="B925" s="32">
        <v>76</v>
      </c>
      <c r="C925" s="32">
        <v>6</v>
      </c>
      <c r="D925" s="32" t="str">
        <f t="shared" ca="1" si="308"/>
        <v>Nem</v>
      </c>
      <c r="E925" s="13">
        <f t="shared" ca="1" si="309"/>
        <v>0</v>
      </c>
      <c r="F925" s="13"/>
      <c r="G925" s="13"/>
      <c r="H925" s="13"/>
      <c r="I925" s="13">
        <f t="shared" ca="1" si="310"/>
        <v>0</v>
      </c>
      <c r="J925" s="13">
        <f t="shared" ca="1" si="311"/>
        <v>0</v>
      </c>
      <c r="K925" s="13">
        <f t="shared" ca="1" si="312"/>
        <v>0</v>
      </c>
      <c r="L925" s="13" t="e">
        <f ca="1">ROUNDUP(IF($D$2="Egyszeri",$E925,IF($D$2="Havi",SUM($E$20:$E$31),IF(MOD($C925,$M$1)-1=0,SUM($E$20:$E$31),0))/12*$M$1)*VLOOKUP($B925,Paraméterek!$I$28:$P$31,IF($D$2="Egyszeri",8,HLOOKUP(ROUNDUP($M$11+$M$13,0),Paraméterek!$J$26:$O$27,2))),IF($D$4="Forint",0,2))</f>
        <v>#N/A</v>
      </c>
      <c r="M925" s="13">
        <f t="shared" ca="1" si="313"/>
        <v>0</v>
      </c>
      <c r="N925" s="13">
        <f t="shared" ca="1" si="323"/>
        <v>0</v>
      </c>
      <c r="O925" s="13">
        <f ca="1">IF($D925="Igen",IF($W924&gt;=IF($D$4="Forint",Paraméterek!$J$121,Paraméterek!$K$121),0,IF($D$4="Forint",Paraméterek!$J$121,Paraméterek!$K$121)-$W924),0)</f>
        <v>0</v>
      </c>
      <c r="P925" s="13" t="e">
        <f ca="1">ROUNDUP($O925*VLOOKUP($M$4+$B925-1,Paraméterek!$H$58:$I$105,2,0)/Paraméterek!$I$56,IF($D$4="Forint",0,2))</f>
        <v>#N/A</v>
      </c>
      <c r="Q925" s="13">
        <f t="shared" ca="1" si="314"/>
        <v>0</v>
      </c>
      <c r="R925" s="33"/>
      <c r="S925" s="13" t="e">
        <f t="shared" ca="1" si="315"/>
        <v>#N/A</v>
      </c>
      <c r="T925" s="13" t="e">
        <f ca="1">ROUNDUP(($N925-$P925-$Q925+$S925)*VLOOKUP($B925,Paraméterek!$I$38:$K$39,IF($D$2="Egyszeri",3,2))/12*IF($D926="Nem",IF($M$13=0,1,$M$13),1),IF($D$4="Forint",0,2))</f>
        <v>#N/A</v>
      </c>
      <c r="U925" s="13"/>
      <c r="V925" s="13"/>
      <c r="W925" s="13" t="e">
        <f ca="1">$N925-$P925-$Q925+$S925-$T925-IF(ROUNDUP(IF(ISBLANK($V925),$U925*0,$V925)/IF($D$2="Egyszeri",VLOOKUP($B925+IF($C925=12,1,0),Paraméterek!$V$257:$W$262,2),IF($B925=1,1,VLOOKUP($B925+IF($C925=12,1,0),Paraméterek!$I$258:$T$278,HLOOKUP($M$11+1,Paraméterek!$J$256:$T$257,2)))),IF($D$4="Forint",0,2))&gt;$N925-$P925-$Q925+$S925-$T925-IF($D$4="Forint",Paraméterek!$C$216,Paraméterek!$D$216),0,ROUNDUP(IF(ISBLANK($V925),$U925*0,$V925)/IF($D$2="Egyszeri",VLOOKUP($B925+IF($C925=12,1,0),Paraméterek!$V$257:$W$262,2),IF($B925=1,1,VLOOKUP($B925+IF($C925=12,1,0),Paraméterek!$I$258:$T$278,HLOOKUP($M$11+1,Paraméterek!$J$256:$T$257,2)))),IF($D$4="Forint",0,2)))</f>
        <v>#N/A</v>
      </c>
      <c r="X925" s="13" t="e">
        <f ca="1">ROUNDDOWN($W925*IF($D$2="Egyszeri",VLOOKUP($B925+IF($C925=12,1,0),Paraméterek!$V$257:$W$262,2),VLOOKUP($B925+IF($C925=12,1,0),Paraméterek!$I$258:$T$278,HLOOKUP($M$11+1,Paraméterek!$I$256:$T$257,2))),IF($D$4="Forint",0,2))</f>
        <v>#N/A</v>
      </c>
      <c r="Z925" s="32">
        <v>906</v>
      </c>
      <c r="AA925" s="32">
        <v>76</v>
      </c>
      <c r="AB925" s="32">
        <v>6</v>
      </c>
      <c r="AC925" s="13">
        <f t="shared" ca="1" si="324"/>
        <v>0</v>
      </c>
      <c r="AD925" s="33"/>
      <c r="AE925" s="13">
        <f t="shared" ca="1" si="316"/>
        <v>0</v>
      </c>
      <c r="AF925" s="13">
        <f ca="1">ROUNDUP(($AC925+$AE925)*VLOOKUP($AA925,Paraméterek!$P$38:$Q$38,2)/12*IF($D926="Nem",IF($M$13=0,1,$M$13),1),IF($D$4="Forint",0,2))</f>
        <v>0</v>
      </c>
      <c r="AG925" s="13">
        <f ca="1">IF($D$2="Egyszeri",IF($D$7&gt;=IF($D$4="Forint",Paraméterek!$P$223,Paraméterek!$P$224),$D$7-IF($D$4="Forint",Paraméterek!$P$223,Paraméterek!$P$224),0),MIN(IF($AB925=12,AVERAGEIF($E$20:$E925,"&gt;0",$E$20:$E925)*12,0),SUM($E$20:$E$31)))</f>
        <v>0</v>
      </c>
      <c r="AH925" s="13">
        <f>IF($AA925=10,$AG925*IF($AB925=12,IF($AG925&lt;IF($D$4="Forint",Paraméterek!$L$223,Paraméterek!$L$224),0,VLOOKUP($AA925,Paraméterek!$K$226:$M$228,IF($AG925&lt;IF($D$4="Forint",Paraméterek!$M$223,Paraméterek!$M$224),2,3))),0),0)</f>
        <v>0</v>
      </c>
      <c r="AI925" s="13">
        <f ca="1">IF(AND($AA925=$M$11+1,$AB925=$M$12+1),SUMIF($AA$20:$AA$1027,$AA925,$AG$20:$AG$1027)*IF(SUMIF($AA$20:$AA$1027,$AA925,$AG$20:$AG$1027)&lt;IF($D$4="Forint",Paraméterek!$L$223,Paraméterek!$L$224),0,VLOOKUP($AA925,Paraméterek!$K$230:$M$250,IF(SUMIF($AA$20:$AA$1027,$AA925,$AG$20:$AG$1027)&lt;IF($D$4="Forint",Paraméterek!$M$223,Paraméterek!$M$224),2,3))),0)</f>
        <v>0</v>
      </c>
      <c r="AJ925" s="13">
        <f ca="1">IF(AND($AA925&gt;=5,MOD($AA925,5)=0),IF($AB925=12,VLOOKUP($AA925,Paraméterek!$O$225:$P$240,2),0),IF(OR($AA925=3,$AA925=4),IF($AB925=12,VLOOKUP($AA925,Paraméterek!$O$225:$P$240,2,0),0),0))*$AG925</f>
        <v>0</v>
      </c>
      <c r="AK925" s="13">
        <f t="shared" ca="1" si="317"/>
        <v>0</v>
      </c>
      <c r="AL925" s="13">
        <f t="shared" ca="1" si="325"/>
        <v>0</v>
      </c>
      <c r="AM925" s="13">
        <f t="shared" ca="1" si="326"/>
        <v>0</v>
      </c>
      <c r="AO925" s="32">
        <v>906</v>
      </c>
      <c r="AP925" s="32">
        <v>76</v>
      </c>
      <c r="AQ925" s="32">
        <v>6</v>
      </c>
      <c r="AR925" s="13"/>
      <c r="AS925" s="32"/>
      <c r="AT925" s="13">
        <f t="shared" ca="1" si="327"/>
        <v>0</v>
      </c>
      <c r="AU925" s="33"/>
      <c r="AV925" s="13">
        <f t="shared" ca="1" si="318"/>
        <v>0</v>
      </c>
      <c r="AW925" s="13">
        <f ca="1">ROUNDUP(($AT925+$AV925)*VLOOKUP($AP925,Paraméterek!$P$38:$Q$38,2)/12*IF($D926="Nem",IF($M$13=0,1,$M$13),1),IF($D$4="Forint",0,2))</f>
        <v>0</v>
      </c>
      <c r="AX925" s="13"/>
      <c r="AY925" s="13"/>
      <c r="AZ925" s="13">
        <f>ROUNDUP(IF(SUM($AX925:$AY925)=0,0,IF(IF(ISBLANK($AY925),$AX925,$AY925)*Paraméterek!$J$112&lt;IF($D$4="Forint",Paraméterek!$J$113,Paraméterek!$K$113),IF($D$4="Forint",Paraméterek!$J$113,Paraméterek!$K$113),IF(IF(ISBLANK($AY925),$AX925,$AY925)*Paraméterek!$J$112&gt;IF($D$4="Forint",Paraméterek!$J$114,Paraméterek!$K$114),IF($D$4="Forint",Paraméterek!$J$114,Paraméterek!$K$114),IF(ISBLANK($AY925),$AX925,$AY925)*Paraméterek!$J$112))),IF($D$4="Forint",0,2))</f>
        <v>0</v>
      </c>
      <c r="BA925" s="13">
        <f ca="1">$AT925+$AV925-$AW925-IF(ROUNDDOWN(IF(ISBLANK($AY925),$AX925,$AY925),IF($D$4="Forint",0,2))&gt;$AT925+$AV925-$AW925-IF($D$4="Forint",Paraméterek!$J$114,Paraméterek!$K$114),0,ROUNDDOWN(IF(ISBLANK($AY925),$AX925,$AY925),IF($D$4="Forint",0,2))-$AZ925)</f>
        <v>0</v>
      </c>
      <c r="BB925" s="13">
        <f t="shared" ca="1" si="319"/>
        <v>0</v>
      </c>
      <c r="BD925" s="32">
        <v>906</v>
      </c>
      <c r="BE925" s="32">
        <v>76</v>
      </c>
      <c r="BF925" s="32">
        <v>6</v>
      </c>
      <c r="BG925" s="34">
        <f t="shared" ca="1" si="328"/>
        <v>2094</v>
      </c>
      <c r="BH925" s="32" t="str">
        <f ca="1">IF(MOD(MONTH($D$14)+$BD925-1,12)=Paraméterek!$C$288,"Igen","")</f>
        <v/>
      </c>
      <c r="BI925" s="13">
        <f ca="1">IF($BH925="Igen",MIN(ROUNDDOWN((SUMIF($BG$20:$BG$1027,$BG925-1,$K$20:$K$1027)-SUMIF($BG$20:$BG$1027,$BG925-1,$I$20:$I$1027))*Paraméterek!$C$289,IF($D$4="Forint",0,2)),IF($D$4="Forint",Paraméterek!$C$285,Paraméterek!$D$285)),0)</f>
        <v>0</v>
      </c>
      <c r="BJ925" s="13">
        <f t="shared" ca="1" si="320"/>
        <v>0</v>
      </c>
      <c r="BK925" s="13">
        <f t="shared" ca="1" si="329"/>
        <v>0</v>
      </c>
      <c r="BL925" s="33"/>
      <c r="BM925" s="13">
        <f t="shared" ca="1" si="321"/>
        <v>0</v>
      </c>
      <c r="BN925" s="13">
        <f ca="1">ROUNDUP(($BK925+$BM925)*VLOOKUP($BE925,Paraméterek!$P$38:$Q$38,2)/12*IF($D926="Nem",IF($M$13=0,1,$M$13),1),IF($D$4="Forint",0,2))</f>
        <v>0</v>
      </c>
      <c r="BO925" s="13">
        <f t="shared" ca="1" si="322"/>
        <v>0</v>
      </c>
      <c r="BP925" s="13">
        <f ca="1">IF($D926="Nem",$BO925,$BO925-ROUNDUP(SUM($BI$20:$BI925)*120%,IF($D$4="Forint",0,2)))</f>
        <v>0</v>
      </c>
    </row>
    <row r="926" spans="1:68" x14ac:dyDescent="0.2">
      <c r="A926" s="32">
        <v>907</v>
      </c>
      <c r="B926" s="32">
        <v>76</v>
      </c>
      <c r="C926" s="32">
        <v>7</v>
      </c>
      <c r="D926" s="32" t="str">
        <f t="shared" ca="1" si="308"/>
        <v>Nem</v>
      </c>
      <c r="E926" s="13">
        <f t="shared" ca="1" si="309"/>
        <v>0</v>
      </c>
      <c r="F926" s="13"/>
      <c r="G926" s="13"/>
      <c r="H926" s="13"/>
      <c r="I926" s="13">
        <f t="shared" ca="1" si="310"/>
        <v>0</v>
      </c>
      <c r="J926" s="13">
        <f t="shared" ca="1" si="311"/>
        <v>0</v>
      </c>
      <c r="K926" s="13">
        <f t="shared" ca="1" si="312"/>
        <v>0</v>
      </c>
      <c r="L926" s="13" t="e">
        <f ca="1">ROUNDUP(IF($D$2="Egyszeri",$E926,IF($D$2="Havi",SUM($E$20:$E$31),IF(MOD($C926,$M$1)-1=0,SUM($E$20:$E$31),0))/12*$M$1)*VLOOKUP($B926,Paraméterek!$I$28:$P$31,IF($D$2="Egyszeri",8,HLOOKUP(ROUNDUP($M$11+$M$13,0),Paraméterek!$J$26:$O$27,2))),IF($D$4="Forint",0,2))</f>
        <v>#N/A</v>
      </c>
      <c r="M926" s="13">
        <f t="shared" ca="1" si="313"/>
        <v>0</v>
      </c>
      <c r="N926" s="13">
        <f t="shared" ca="1" si="323"/>
        <v>0</v>
      </c>
      <c r="O926" s="13">
        <f ca="1">IF($D926="Igen",IF($W925&gt;=IF($D$4="Forint",Paraméterek!$J$121,Paraméterek!$K$121),0,IF($D$4="Forint",Paraméterek!$J$121,Paraméterek!$K$121)-$W925),0)</f>
        <v>0</v>
      </c>
      <c r="P926" s="13" t="e">
        <f ca="1">ROUNDUP($O926*VLOOKUP($M$4+$B926-1,Paraméterek!$H$58:$I$105,2,0)/Paraméterek!$I$56,IF($D$4="Forint",0,2))</f>
        <v>#N/A</v>
      </c>
      <c r="Q926" s="13">
        <f t="shared" ca="1" si="314"/>
        <v>0</v>
      </c>
      <c r="R926" s="33"/>
      <c r="S926" s="13" t="e">
        <f t="shared" ca="1" si="315"/>
        <v>#N/A</v>
      </c>
      <c r="T926" s="13" t="e">
        <f ca="1">ROUNDUP(($N926-$P926-$Q926+$S926)*VLOOKUP($B926,Paraméterek!$I$38:$K$39,IF($D$2="Egyszeri",3,2))/12*IF($D927="Nem",IF($M$13=0,1,$M$13),1),IF($D$4="Forint",0,2))</f>
        <v>#N/A</v>
      </c>
      <c r="U926" s="13"/>
      <c r="V926" s="13"/>
      <c r="W926" s="13" t="e">
        <f ca="1">$N926-$P926-$Q926+$S926-$T926-IF(ROUNDUP(IF(ISBLANK($V926),$U926*0,$V926)/IF($D$2="Egyszeri",VLOOKUP($B926+IF($C926=12,1,0),Paraméterek!$V$257:$W$262,2),IF($B926=1,1,VLOOKUP($B926+IF($C926=12,1,0),Paraméterek!$I$258:$T$278,HLOOKUP($M$11+1,Paraméterek!$J$256:$T$257,2)))),IF($D$4="Forint",0,2))&gt;$N926-$P926-$Q926+$S926-$T926-IF($D$4="Forint",Paraméterek!$C$216,Paraméterek!$D$216),0,ROUNDUP(IF(ISBLANK($V926),$U926*0,$V926)/IF($D$2="Egyszeri",VLOOKUP($B926+IF($C926=12,1,0),Paraméterek!$V$257:$W$262,2),IF($B926=1,1,VLOOKUP($B926+IF($C926=12,1,0),Paraméterek!$I$258:$T$278,HLOOKUP($M$11+1,Paraméterek!$J$256:$T$257,2)))),IF($D$4="Forint",0,2)))</f>
        <v>#N/A</v>
      </c>
      <c r="X926" s="13" t="e">
        <f ca="1">ROUNDDOWN($W926*IF($D$2="Egyszeri",VLOOKUP($B926+IF($C926=12,1,0),Paraméterek!$V$257:$W$262,2),VLOOKUP($B926+IF($C926=12,1,0),Paraméterek!$I$258:$T$278,HLOOKUP($M$11+1,Paraméterek!$I$256:$T$257,2))),IF($D$4="Forint",0,2))</f>
        <v>#N/A</v>
      </c>
      <c r="Z926" s="32">
        <v>907</v>
      </c>
      <c r="AA926" s="32">
        <v>76</v>
      </c>
      <c r="AB926" s="32">
        <v>7</v>
      </c>
      <c r="AC926" s="13">
        <f t="shared" ca="1" si="324"/>
        <v>0</v>
      </c>
      <c r="AD926" s="33"/>
      <c r="AE926" s="13">
        <f t="shared" ca="1" si="316"/>
        <v>0</v>
      </c>
      <c r="AF926" s="13">
        <f ca="1">ROUNDUP(($AC926+$AE926)*VLOOKUP($AA926,Paraméterek!$P$38:$Q$38,2)/12*IF($D927="Nem",IF($M$13=0,1,$M$13),1),IF($D$4="Forint",0,2))</f>
        <v>0</v>
      </c>
      <c r="AG926" s="13">
        <f ca="1">IF($D$2="Egyszeri",IF($D$7&gt;=IF($D$4="Forint",Paraméterek!$P$223,Paraméterek!$P$224),$D$7-IF($D$4="Forint",Paraméterek!$P$223,Paraméterek!$P$224),0),MIN(IF($AB926=12,AVERAGEIF($E$20:$E926,"&gt;0",$E$20:$E926)*12,0),SUM($E$20:$E$31)))</f>
        <v>0</v>
      </c>
      <c r="AH926" s="13">
        <f>IF($AA926=10,$AG926*IF($AB926=12,IF($AG926&lt;IF($D$4="Forint",Paraméterek!$L$223,Paraméterek!$L$224),0,VLOOKUP($AA926,Paraméterek!$K$226:$M$228,IF($AG926&lt;IF($D$4="Forint",Paraméterek!$M$223,Paraméterek!$M$224),2,3))),0),0)</f>
        <v>0</v>
      </c>
      <c r="AI926" s="13">
        <f ca="1">IF(AND($AA926=$M$11+1,$AB926=$M$12+1),SUMIF($AA$20:$AA$1027,$AA926,$AG$20:$AG$1027)*IF(SUMIF($AA$20:$AA$1027,$AA926,$AG$20:$AG$1027)&lt;IF($D$4="Forint",Paraméterek!$L$223,Paraméterek!$L$224),0,VLOOKUP($AA926,Paraméterek!$K$230:$M$250,IF(SUMIF($AA$20:$AA$1027,$AA926,$AG$20:$AG$1027)&lt;IF($D$4="Forint",Paraméterek!$M$223,Paraméterek!$M$224),2,3))),0)</f>
        <v>0</v>
      </c>
      <c r="AJ926" s="13">
        <f ca="1">IF(AND($AA926&gt;=5,MOD($AA926,5)=0),IF($AB926=12,VLOOKUP($AA926,Paraméterek!$O$225:$P$240,2),0),IF(OR($AA926=3,$AA926=4),IF($AB926=12,VLOOKUP($AA926,Paraméterek!$O$225:$P$240,2,0),0),0))*$AG926</f>
        <v>0</v>
      </c>
      <c r="AK926" s="13">
        <f t="shared" ca="1" si="317"/>
        <v>0</v>
      </c>
      <c r="AL926" s="13">
        <f t="shared" ca="1" si="325"/>
        <v>0</v>
      </c>
      <c r="AM926" s="13">
        <f t="shared" ca="1" si="326"/>
        <v>0</v>
      </c>
      <c r="AO926" s="32">
        <v>907</v>
      </c>
      <c r="AP926" s="32">
        <v>76</v>
      </c>
      <c r="AQ926" s="32">
        <v>7</v>
      </c>
      <c r="AR926" s="13"/>
      <c r="AS926" s="32"/>
      <c r="AT926" s="13">
        <f t="shared" ca="1" si="327"/>
        <v>0</v>
      </c>
      <c r="AU926" s="33"/>
      <c r="AV926" s="13">
        <f t="shared" ca="1" si="318"/>
        <v>0</v>
      </c>
      <c r="AW926" s="13">
        <f ca="1">ROUNDUP(($AT926+$AV926)*VLOOKUP($AP926,Paraméterek!$P$38:$Q$38,2)/12*IF($D927="Nem",IF($M$13=0,1,$M$13),1),IF($D$4="Forint",0,2))</f>
        <v>0</v>
      </c>
      <c r="AX926" s="13"/>
      <c r="AY926" s="13"/>
      <c r="AZ926" s="13">
        <f>ROUNDUP(IF(SUM($AX926:$AY926)=0,0,IF(IF(ISBLANK($AY926),$AX926,$AY926)*Paraméterek!$J$112&lt;IF($D$4="Forint",Paraméterek!$J$113,Paraméterek!$K$113),IF($D$4="Forint",Paraméterek!$J$113,Paraméterek!$K$113),IF(IF(ISBLANK($AY926),$AX926,$AY926)*Paraméterek!$J$112&gt;IF($D$4="Forint",Paraméterek!$J$114,Paraméterek!$K$114),IF($D$4="Forint",Paraméterek!$J$114,Paraméterek!$K$114),IF(ISBLANK($AY926),$AX926,$AY926)*Paraméterek!$J$112))),IF($D$4="Forint",0,2))</f>
        <v>0</v>
      </c>
      <c r="BA926" s="13">
        <f ca="1">$AT926+$AV926-$AW926-IF(ROUNDDOWN(IF(ISBLANK($AY926),$AX926,$AY926),IF($D$4="Forint",0,2))&gt;$AT926+$AV926-$AW926-IF($D$4="Forint",Paraméterek!$J$114,Paraméterek!$K$114),0,ROUNDDOWN(IF(ISBLANK($AY926),$AX926,$AY926),IF($D$4="Forint",0,2))-$AZ926)</f>
        <v>0</v>
      </c>
      <c r="BB926" s="13">
        <f t="shared" ca="1" si="319"/>
        <v>0</v>
      </c>
      <c r="BD926" s="32">
        <v>907</v>
      </c>
      <c r="BE926" s="32">
        <v>76</v>
      </c>
      <c r="BF926" s="32">
        <v>7</v>
      </c>
      <c r="BG926" s="34">
        <f t="shared" ca="1" si="328"/>
        <v>2094</v>
      </c>
      <c r="BH926" s="32" t="str">
        <f ca="1">IF(MOD(MONTH($D$14)+$BD926-1,12)=Paraméterek!$C$288,"Igen","")</f>
        <v/>
      </c>
      <c r="BI926" s="13">
        <f ca="1">IF($BH926="Igen",MIN(ROUNDDOWN((SUMIF($BG$20:$BG$1027,$BG926-1,$K$20:$K$1027)-SUMIF($BG$20:$BG$1027,$BG926-1,$I$20:$I$1027))*Paraméterek!$C$289,IF($D$4="Forint",0,2)),IF($D$4="Forint",Paraméterek!$C$285,Paraméterek!$D$285)),0)</f>
        <v>0</v>
      </c>
      <c r="BJ926" s="13">
        <f t="shared" ca="1" si="320"/>
        <v>0</v>
      </c>
      <c r="BK926" s="13">
        <f t="shared" ca="1" si="329"/>
        <v>0</v>
      </c>
      <c r="BL926" s="33"/>
      <c r="BM926" s="13">
        <f t="shared" ca="1" si="321"/>
        <v>0</v>
      </c>
      <c r="BN926" s="13">
        <f ca="1">ROUNDUP(($BK926+$BM926)*VLOOKUP($BE926,Paraméterek!$P$38:$Q$38,2)/12*IF($D927="Nem",IF($M$13=0,1,$M$13),1),IF($D$4="Forint",0,2))</f>
        <v>0</v>
      </c>
      <c r="BO926" s="13">
        <f t="shared" ca="1" si="322"/>
        <v>0</v>
      </c>
      <c r="BP926" s="13">
        <f ca="1">IF($D927="Nem",$BO926,$BO926-ROUNDUP(SUM($BI$20:$BI926)*120%,IF($D$4="Forint",0,2)))</f>
        <v>0</v>
      </c>
    </row>
    <row r="927" spans="1:68" x14ac:dyDescent="0.2">
      <c r="A927" s="32">
        <v>908</v>
      </c>
      <c r="B927" s="32">
        <v>76</v>
      </c>
      <c r="C927" s="32">
        <v>8</v>
      </c>
      <c r="D927" s="32" t="str">
        <f t="shared" ca="1" si="308"/>
        <v>Nem</v>
      </c>
      <c r="E927" s="13">
        <f t="shared" ca="1" si="309"/>
        <v>0</v>
      </c>
      <c r="F927" s="13"/>
      <c r="G927" s="13"/>
      <c r="H927" s="13"/>
      <c r="I927" s="13">
        <f t="shared" ca="1" si="310"/>
        <v>0</v>
      </c>
      <c r="J927" s="13">
        <f t="shared" ca="1" si="311"/>
        <v>0</v>
      </c>
      <c r="K927" s="13">
        <f t="shared" ca="1" si="312"/>
        <v>0</v>
      </c>
      <c r="L927" s="13" t="e">
        <f ca="1">ROUNDUP(IF($D$2="Egyszeri",$E927,IF($D$2="Havi",SUM($E$20:$E$31),IF(MOD($C927,$M$1)-1=0,SUM($E$20:$E$31),0))/12*$M$1)*VLOOKUP($B927,Paraméterek!$I$28:$P$31,IF($D$2="Egyszeri",8,HLOOKUP(ROUNDUP($M$11+$M$13,0),Paraméterek!$J$26:$O$27,2))),IF($D$4="Forint",0,2))</f>
        <v>#N/A</v>
      </c>
      <c r="M927" s="13">
        <f t="shared" ca="1" si="313"/>
        <v>0</v>
      </c>
      <c r="N927" s="13">
        <f t="shared" ca="1" si="323"/>
        <v>0</v>
      </c>
      <c r="O927" s="13">
        <f ca="1">IF($D927="Igen",IF($W926&gt;=IF($D$4="Forint",Paraméterek!$J$121,Paraméterek!$K$121),0,IF($D$4="Forint",Paraméterek!$J$121,Paraméterek!$K$121)-$W926),0)</f>
        <v>0</v>
      </c>
      <c r="P927" s="13" t="e">
        <f ca="1">ROUNDUP($O927*VLOOKUP($M$4+$B927-1,Paraméterek!$H$58:$I$105,2,0)/Paraméterek!$I$56,IF($D$4="Forint",0,2))</f>
        <v>#N/A</v>
      </c>
      <c r="Q927" s="13">
        <f t="shared" ca="1" si="314"/>
        <v>0</v>
      </c>
      <c r="R927" s="33"/>
      <c r="S927" s="13" t="e">
        <f t="shared" ca="1" si="315"/>
        <v>#N/A</v>
      </c>
      <c r="T927" s="13" t="e">
        <f ca="1">ROUNDUP(($N927-$P927-$Q927+$S927)*VLOOKUP($B927,Paraméterek!$I$38:$K$39,IF($D$2="Egyszeri",3,2))/12*IF($D928="Nem",IF($M$13=0,1,$M$13),1),IF($D$4="Forint",0,2))</f>
        <v>#N/A</v>
      </c>
      <c r="U927" s="13"/>
      <c r="V927" s="13"/>
      <c r="W927" s="13" t="e">
        <f ca="1">$N927-$P927-$Q927+$S927-$T927-IF(ROUNDUP(IF(ISBLANK($V927),$U927*0,$V927)/IF($D$2="Egyszeri",VLOOKUP($B927+IF($C927=12,1,0),Paraméterek!$V$257:$W$262,2),IF($B927=1,1,VLOOKUP($B927+IF($C927=12,1,0),Paraméterek!$I$258:$T$278,HLOOKUP($M$11+1,Paraméterek!$J$256:$T$257,2)))),IF($D$4="Forint",0,2))&gt;$N927-$P927-$Q927+$S927-$T927-IF($D$4="Forint",Paraméterek!$C$216,Paraméterek!$D$216),0,ROUNDUP(IF(ISBLANK($V927),$U927*0,$V927)/IF($D$2="Egyszeri",VLOOKUP($B927+IF($C927=12,1,0),Paraméterek!$V$257:$W$262,2),IF($B927=1,1,VLOOKUP($B927+IF($C927=12,1,0),Paraméterek!$I$258:$T$278,HLOOKUP($M$11+1,Paraméterek!$J$256:$T$257,2)))),IF($D$4="Forint",0,2)))</f>
        <v>#N/A</v>
      </c>
      <c r="X927" s="13" t="e">
        <f ca="1">ROUNDDOWN($W927*IF($D$2="Egyszeri",VLOOKUP($B927+IF($C927=12,1,0),Paraméterek!$V$257:$W$262,2),VLOOKUP($B927+IF($C927=12,1,0),Paraméterek!$I$258:$T$278,HLOOKUP($M$11+1,Paraméterek!$I$256:$T$257,2))),IF($D$4="Forint",0,2))</f>
        <v>#N/A</v>
      </c>
      <c r="Z927" s="32">
        <v>908</v>
      </c>
      <c r="AA927" s="32">
        <v>76</v>
      </c>
      <c r="AB927" s="32">
        <v>8</v>
      </c>
      <c r="AC927" s="13">
        <f t="shared" ca="1" si="324"/>
        <v>0</v>
      </c>
      <c r="AD927" s="33"/>
      <c r="AE927" s="13">
        <f t="shared" ca="1" si="316"/>
        <v>0</v>
      </c>
      <c r="AF927" s="13">
        <f ca="1">ROUNDUP(($AC927+$AE927)*VLOOKUP($AA927,Paraméterek!$P$38:$Q$38,2)/12*IF($D928="Nem",IF($M$13=0,1,$M$13),1),IF($D$4="Forint",0,2))</f>
        <v>0</v>
      </c>
      <c r="AG927" s="13">
        <f ca="1">IF($D$2="Egyszeri",IF($D$7&gt;=IF($D$4="Forint",Paraméterek!$P$223,Paraméterek!$P$224),$D$7-IF($D$4="Forint",Paraméterek!$P$223,Paraméterek!$P$224),0),MIN(IF($AB927=12,AVERAGEIF($E$20:$E927,"&gt;0",$E$20:$E927)*12,0),SUM($E$20:$E$31)))</f>
        <v>0</v>
      </c>
      <c r="AH927" s="13">
        <f>IF($AA927=10,$AG927*IF($AB927=12,IF($AG927&lt;IF($D$4="Forint",Paraméterek!$L$223,Paraméterek!$L$224),0,VLOOKUP($AA927,Paraméterek!$K$226:$M$228,IF($AG927&lt;IF($D$4="Forint",Paraméterek!$M$223,Paraméterek!$M$224),2,3))),0),0)</f>
        <v>0</v>
      </c>
      <c r="AI927" s="13">
        <f ca="1">IF(AND($AA927=$M$11+1,$AB927=$M$12+1),SUMIF($AA$20:$AA$1027,$AA927,$AG$20:$AG$1027)*IF(SUMIF($AA$20:$AA$1027,$AA927,$AG$20:$AG$1027)&lt;IF($D$4="Forint",Paraméterek!$L$223,Paraméterek!$L$224),0,VLOOKUP($AA927,Paraméterek!$K$230:$M$250,IF(SUMIF($AA$20:$AA$1027,$AA927,$AG$20:$AG$1027)&lt;IF($D$4="Forint",Paraméterek!$M$223,Paraméterek!$M$224),2,3))),0)</f>
        <v>0</v>
      </c>
      <c r="AJ927" s="13">
        <f ca="1">IF(AND($AA927&gt;=5,MOD($AA927,5)=0),IF($AB927=12,VLOOKUP($AA927,Paraméterek!$O$225:$P$240,2),0),IF(OR($AA927=3,$AA927=4),IF($AB927=12,VLOOKUP($AA927,Paraméterek!$O$225:$P$240,2,0),0),0))*$AG927</f>
        <v>0</v>
      </c>
      <c r="AK927" s="13">
        <f t="shared" ca="1" si="317"/>
        <v>0</v>
      </c>
      <c r="AL927" s="13">
        <f t="shared" ca="1" si="325"/>
        <v>0</v>
      </c>
      <c r="AM927" s="13">
        <f t="shared" ca="1" si="326"/>
        <v>0</v>
      </c>
      <c r="AO927" s="32">
        <v>908</v>
      </c>
      <c r="AP927" s="32">
        <v>76</v>
      </c>
      <c r="AQ927" s="32">
        <v>8</v>
      </c>
      <c r="AR927" s="13"/>
      <c r="AS927" s="32"/>
      <c r="AT927" s="13">
        <f t="shared" ca="1" si="327"/>
        <v>0</v>
      </c>
      <c r="AU927" s="33"/>
      <c r="AV927" s="13">
        <f t="shared" ca="1" si="318"/>
        <v>0</v>
      </c>
      <c r="AW927" s="13">
        <f ca="1">ROUNDUP(($AT927+$AV927)*VLOOKUP($AP927,Paraméterek!$P$38:$Q$38,2)/12*IF($D928="Nem",IF($M$13=0,1,$M$13),1),IF($D$4="Forint",0,2))</f>
        <v>0</v>
      </c>
      <c r="AX927" s="13"/>
      <c r="AY927" s="13"/>
      <c r="AZ927" s="13">
        <f>ROUNDUP(IF(SUM($AX927:$AY927)=0,0,IF(IF(ISBLANK($AY927),$AX927,$AY927)*Paraméterek!$J$112&lt;IF($D$4="Forint",Paraméterek!$J$113,Paraméterek!$K$113),IF($D$4="Forint",Paraméterek!$J$113,Paraméterek!$K$113),IF(IF(ISBLANK($AY927),$AX927,$AY927)*Paraméterek!$J$112&gt;IF($D$4="Forint",Paraméterek!$J$114,Paraméterek!$K$114),IF($D$4="Forint",Paraméterek!$J$114,Paraméterek!$K$114),IF(ISBLANK($AY927),$AX927,$AY927)*Paraméterek!$J$112))),IF($D$4="Forint",0,2))</f>
        <v>0</v>
      </c>
      <c r="BA927" s="13">
        <f ca="1">$AT927+$AV927-$AW927-IF(ROUNDDOWN(IF(ISBLANK($AY927),$AX927,$AY927),IF($D$4="Forint",0,2))&gt;$AT927+$AV927-$AW927-IF($D$4="Forint",Paraméterek!$J$114,Paraméterek!$K$114),0,ROUNDDOWN(IF(ISBLANK($AY927),$AX927,$AY927),IF($D$4="Forint",0,2))-$AZ927)</f>
        <v>0</v>
      </c>
      <c r="BB927" s="13">
        <f t="shared" ca="1" si="319"/>
        <v>0</v>
      </c>
      <c r="BD927" s="32">
        <v>908</v>
      </c>
      <c r="BE927" s="32">
        <v>76</v>
      </c>
      <c r="BF927" s="32">
        <v>8</v>
      </c>
      <c r="BG927" s="34">
        <f t="shared" ca="1" si="328"/>
        <v>2095</v>
      </c>
      <c r="BH927" s="32" t="str">
        <f ca="1">IF(MOD(MONTH($D$14)+$BD927-1,12)=Paraméterek!$C$288,"Igen","")</f>
        <v/>
      </c>
      <c r="BI927" s="13">
        <f ca="1">IF($BH927="Igen",MIN(ROUNDDOWN((SUMIF($BG$20:$BG$1027,$BG927-1,$K$20:$K$1027)-SUMIF($BG$20:$BG$1027,$BG927-1,$I$20:$I$1027))*Paraméterek!$C$289,IF($D$4="Forint",0,2)),IF($D$4="Forint",Paraméterek!$C$285,Paraméterek!$D$285)),0)</f>
        <v>0</v>
      </c>
      <c r="BJ927" s="13">
        <f t="shared" ca="1" si="320"/>
        <v>0</v>
      </c>
      <c r="BK927" s="13">
        <f t="shared" ca="1" si="329"/>
        <v>0</v>
      </c>
      <c r="BL927" s="33"/>
      <c r="BM927" s="13">
        <f t="shared" ca="1" si="321"/>
        <v>0</v>
      </c>
      <c r="BN927" s="13">
        <f ca="1">ROUNDUP(($BK927+$BM927)*VLOOKUP($BE927,Paraméterek!$P$38:$Q$38,2)/12*IF($D928="Nem",IF($M$13=0,1,$M$13),1),IF($D$4="Forint",0,2))</f>
        <v>0</v>
      </c>
      <c r="BO927" s="13">
        <f t="shared" ca="1" si="322"/>
        <v>0</v>
      </c>
      <c r="BP927" s="13">
        <f ca="1">IF($D928="Nem",$BO927,$BO927-ROUNDUP(SUM($BI$20:$BI927)*120%,IF($D$4="Forint",0,2)))</f>
        <v>0</v>
      </c>
    </row>
    <row r="928" spans="1:68" x14ac:dyDescent="0.2">
      <c r="A928" s="32">
        <v>909</v>
      </c>
      <c r="B928" s="32">
        <v>76</v>
      </c>
      <c r="C928" s="32">
        <v>9</v>
      </c>
      <c r="D928" s="32" t="str">
        <f t="shared" ca="1" si="308"/>
        <v>Nem</v>
      </c>
      <c r="E928" s="13">
        <f t="shared" ca="1" si="309"/>
        <v>0</v>
      </c>
      <c r="F928" s="13"/>
      <c r="G928" s="13"/>
      <c r="H928" s="13"/>
      <c r="I928" s="13">
        <f t="shared" ca="1" si="310"/>
        <v>0</v>
      </c>
      <c r="J928" s="13">
        <f t="shared" ca="1" si="311"/>
        <v>0</v>
      </c>
      <c r="K928" s="13">
        <f t="shared" ca="1" si="312"/>
        <v>0</v>
      </c>
      <c r="L928" s="13" t="e">
        <f ca="1">ROUNDUP(IF($D$2="Egyszeri",$E928,IF($D$2="Havi",SUM($E$20:$E$31),IF(MOD($C928,$M$1)-1=0,SUM($E$20:$E$31),0))/12*$M$1)*VLOOKUP($B928,Paraméterek!$I$28:$P$31,IF($D$2="Egyszeri",8,HLOOKUP(ROUNDUP($M$11+$M$13,0),Paraméterek!$J$26:$O$27,2))),IF($D$4="Forint",0,2))</f>
        <v>#N/A</v>
      </c>
      <c r="M928" s="13">
        <f t="shared" ca="1" si="313"/>
        <v>0</v>
      </c>
      <c r="N928" s="13">
        <f t="shared" ca="1" si="323"/>
        <v>0</v>
      </c>
      <c r="O928" s="13">
        <f ca="1">IF($D928="Igen",IF($W927&gt;=IF($D$4="Forint",Paraméterek!$J$121,Paraméterek!$K$121),0,IF($D$4="Forint",Paraméterek!$J$121,Paraméterek!$K$121)-$W927),0)</f>
        <v>0</v>
      </c>
      <c r="P928" s="13" t="e">
        <f ca="1">ROUNDUP($O928*VLOOKUP($M$4+$B928-1,Paraméterek!$H$58:$I$105,2,0)/Paraméterek!$I$56,IF($D$4="Forint",0,2))</f>
        <v>#N/A</v>
      </c>
      <c r="Q928" s="13">
        <f t="shared" ca="1" si="314"/>
        <v>0</v>
      </c>
      <c r="R928" s="33"/>
      <c r="S928" s="13" t="e">
        <f t="shared" ca="1" si="315"/>
        <v>#N/A</v>
      </c>
      <c r="T928" s="13" t="e">
        <f ca="1">ROUNDUP(($N928-$P928-$Q928+$S928)*VLOOKUP($B928,Paraméterek!$I$38:$K$39,IF($D$2="Egyszeri",3,2))/12*IF($D929="Nem",IF($M$13=0,1,$M$13),1),IF($D$4="Forint",0,2))</f>
        <v>#N/A</v>
      </c>
      <c r="U928" s="13"/>
      <c r="V928" s="13"/>
      <c r="W928" s="13" t="e">
        <f ca="1">$N928-$P928-$Q928+$S928-$T928-IF(ROUNDUP(IF(ISBLANK($V928),$U928*0,$V928)/IF($D$2="Egyszeri",VLOOKUP($B928+IF($C928=12,1,0),Paraméterek!$V$257:$W$262,2),IF($B928=1,1,VLOOKUP($B928+IF($C928=12,1,0),Paraméterek!$I$258:$T$278,HLOOKUP($M$11+1,Paraméterek!$J$256:$T$257,2)))),IF($D$4="Forint",0,2))&gt;$N928-$P928-$Q928+$S928-$T928-IF($D$4="Forint",Paraméterek!$C$216,Paraméterek!$D$216),0,ROUNDUP(IF(ISBLANK($V928),$U928*0,$V928)/IF($D$2="Egyszeri",VLOOKUP($B928+IF($C928=12,1,0),Paraméterek!$V$257:$W$262,2),IF($B928=1,1,VLOOKUP($B928+IF($C928=12,1,0),Paraméterek!$I$258:$T$278,HLOOKUP($M$11+1,Paraméterek!$J$256:$T$257,2)))),IF($D$4="Forint",0,2)))</f>
        <v>#N/A</v>
      </c>
      <c r="X928" s="13" t="e">
        <f ca="1">ROUNDDOWN($W928*IF($D$2="Egyszeri",VLOOKUP($B928+IF($C928=12,1,0),Paraméterek!$V$257:$W$262,2),VLOOKUP($B928+IF($C928=12,1,0),Paraméterek!$I$258:$T$278,HLOOKUP($M$11+1,Paraméterek!$I$256:$T$257,2))),IF($D$4="Forint",0,2))</f>
        <v>#N/A</v>
      </c>
      <c r="Z928" s="32">
        <v>909</v>
      </c>
      <c r="AA928" s="32">
        <v>76</v>
      </c>
      <c r="AB928" s="32">
        <v>9</v>
      </c>
      <c r="AC928" s="13">
        <f t="shared" ca="1" si="324"/>
        <v>0</v>
      </c>
      <c r="AD928" s="33"/>
      <c r="AE928" s="13">
        <f t="shared" ca="1" si="316"/>
        <v>0</v>
      </c>
      <c r="AF928" s="13">
        <f ca="1">ROUNDUP(($AC928+$AE928)*VLOOKUP($AA928,Paraméterek!$P$38:$Q$38,2)/12*IF($D929="Nem",IF($M$13=0,1,$M$13),1),IF($D$4="Forint",0,2))</f>
        <v>0</v>
      </c>
      <c r="AG928" s="13">
        <f ca="1">IF($D$2="Egyszeri",IF($D$7&gt;=IF($D$4="Forint",Paraméterek!$P$223,Paraméterek!$P$224),$D$7-IF($D$4="Forint",Paraméterek!$P$223,Paraméterek!$P$224),0),MIN(IF($AB928=12,AVERAGEIF($E$20:$E928,"&gt;0",$E$20:$E928)*12,0),SUM($E$20:$E$31)))</f>
        <v>0</v>
      </c>
      <c r="AH928" s="13">
        <f>IF($AA928=10,$AG928*IF($AB928=12,IF($AG928&lt;IF($D$4="Forint",Paraméterek!$L$223,Paraméterek!$L$224),0,VLOOKUP($AA928,Paraméterek!$K$226:$M$228,IF($AG928&lt;IF($D$4="Forint",Paraméterek!$M$223,Paraméterek!$M$224),2,3))),0),0)</f>
        <v>0</v>
      </c>
      <c r="AI928" s="13">
        <f ca="1">IF(AND($AA928=$M$11+1,$AB928=$M$12+1),SUMIF($AA$20:$AA$1027,$AA928,$AG$20:$AG$1027)*IF(SUMIF($AA$20:$AA$1027,$AA928,$AG$20:$AG$1027)&lt;IF($D$4="Forint",Paraméterek!$L$223,Paraméterek!$L$224),0,VLOOKUP($AA928,Paraméterek!$K$230:$M$250,IF(SUMIF($AA$20:$AA$1027,$AA928,$AG$20:$AG$1027)&lt;IF($D$4="Forint",Paraméterek!$M$223,Paraméterek!$M$224),2,3))),0)</f>
        <v>0</v>
      </c>
      <c r="AJ928" s="13">
        <f ca="1">IF(AND($AA928&gt;=5,MOD($AA928,5)=0),IF($AB928=12,VLOOKUP($AA928,Paraméterek!$O$225:$P$240,2),0),IF(OR($AA928=3,$AA928=4),IF($AB928=12,VLOOKUP($AA928,Paraméterek!$O$225:$P$240,2,0),0),0))*$AG928</f>
        <v>0</v>
      </c>
      <c r="AK928" s="13">
        <f t="shared" ca="1" si="317"/>
        <v>0</v>
      </c>
      <c r="AL928" s="13">
        <f t="shared" ca="1" si="325"/>
        <v>0</v>
      </c>
      <c r="AM928" s="13">
        <f t="shared" ca="1" si="326"/>
        <v>0</v>
      </c>
      <c r="AO928" s="32">
        <v>909</v>
      </c>
      <c r="AP928" s="32">
        <v>76</v>
      </c>
      <c r="AQ928" s="32">
        <v>9</v>
      </c>
      <c r="AR928" s="13"/>
      <c r="AS928" s="32"/>
      <c r="AT928" s="13">
        <f t="shared" ca="1" si="327"/>
        <v>0</v>
      </c>
      <c r="AU928" s="33"/>
      <c r="AV928" s="13">
        <f t="shared" ca="1" si="318"/>
        <v>0</v>
      </c>
      <c r="AW928" s="13">
        <f ca="1">ROUNDUP(($AT928+$AV928)*VLOOKUP($AP928,Paraméterek!$P$38:$Q$38,2)/12*IF($D929="Nem",IF($M$13=0,1,$M$13),1),IF($D$4="Forint",0,2))</f>
        <v>0</v>
      </c>
      <c r="AX928" s="13"/>
      <c r="AY928" s="13"/>
      <c r="AZ928" s="13">
        <f>ROUNDUP(IF(SUM($AX928:$AY928)=0,0,IF(IF(ISBLANK($AY928),$AX928,$AY928)*Paraméterek!$J$112&lt;IF($D$4="Forint",Paraméterek!$J$113,Paraméterek!$K$113),IF($D$4="Forint",Paraméterek!$J$113,Paraméterek!$K$113),IF(IF(ISBLANK($AY928),$AX928,$AY928)*Paraméterek!$J$112&gt;IF($D$4="Forint",Paraméterek!$J$114,Paraméterek!$K$114),IF($D$4="Forint",Paraméterek!$J$114,Paraméterek!$K$114),IF(ISBLANK($AY928),$AX928,$AY928)*Paraméterek!$J$112))),IF($D$4="Forint",0,2))</f>
        <v>0</v>
      </c>
      <c r="BA928" s="13">
        <f ca="1">$AT928+$AV928-$AW928-IF(ROUNDDOWN(IF(ISBLANK($AY928),$AX928,$AY928),IF($D$4="Forint",0,2))&gt;$AT928+$AV928-$AW928-IF($D$4="Forint",Paraméterek!$J$114,Paraméterek!$K$114),0,ROUNDDOWN(IF(ISBLANK($AY928),$AX928,$AY928),IF($D$4="Forint",0,2))-$AZ928)</f>
        <v>0</v>
      </c>
      <c r="BB928" s="13">
        <f t="shared" ca="1" si="319"/>
        <v>0</v>
      </c>
      <c r="BD928" s="32">
        <v>909</v>
      </c>
      <c r="BE928" s="32">
        <v>76</v>
      </c>
      <c r="BF928" s="32">
        <v>9</v>
      </c>
      <c r="BG928" s="34">
        <f t="shared" ca="1" si="328"/>
        <v>2095</v>
      </c>
      <c r="BH928" s="32" t="str">
        <f ca="1">IF(MOD(MONTH($D$14)+$BD928-1,12)=Paraméterek!$C$288,"Igen","")</f>
        <v/>
      </c>
      <c r="BI928" s="13">
        <f ca="1">IF($BH928="Igen",MIN(ROUNDDOWN((SUMIF($BG$20:$BG$1027,$BG928-1,$K$20:$K$1027)-SUMIF($BG$20:$BG$1027,$BG928-1,$I$20:$I$1027))*Paraméterek!$C$289,IF($D$4="Forint",0,2)),IF($D$4="Forint",Paraméterek!$C$285,Paraméterek!$D$285)),0)</f>
        <v>0</v>
      </c>
      <c r="BJ928" s="13">
        <f t="shared" ca="1" si="320"/>
        <v>0</v>
      </c>
      <c r="BK928" s="13">
        <f t="shared" ca="1" si="329"/>
        <v>0</v>
      </c>
      <c r="BL928" s="33"/>
      <c r="BM928" s="13">
        <f t="shared" ca="1" si="321"/>
        <v>0</v>
      </c>
      <c r="BN928" s="13">
        <f ca="1">ROUNDUP(($BK928+$BM928)*VLOOKUP($BE928,Paraméterek!$P$38:$Q$38,2)/12*IF($D929="Nem",IF($M$13=0,1,$M$13),1),IF($D$4="Forint",0,2))</f>
        <v>0</v>
      </c>
      <c r="BO928" s="13">
        <f t="shared" ca="1" si="322"/>
        <v>0</v>
      </c>
      <c r="BP928" s="13">
        <f ca="1">IF($D929="Nem",$BO928,$BO928-ROUNDUP(SUM($BI$20:$BI928)*120%,IF($D$4="Forint",0,2)))</f>
        <v>0</v>
      </c>
    </row>
    <row r="929" spans="1:68" x14ac:dyDescent="0.2">
      <c r="A929" s="32">
        <v>910</v>
      </c>
      <c r="B929" s="32">
        <v>76</v>
      </c>
      <c r="C929" s="32">
        <v>10</v>
      </c>
      <c r="D929" s="32" t="str">
        <f t="shared" ca="1" si="308"/>
        <v>Nem</v>
      </c>
      <c r="E929" s="13">
        <f t="shared" ca="1" si="309"/>
        <v>0</v>
      </c>
      <c r="F929" s="13"/>
      <c r="G929" s="13"/>
      <c r="H929" s="13"/>
      <c r="I929" s="13">
        <f t="shared" ca="1" si="310"/>
        <v>0</v>
      </c>
      <c r="J929" s="13">
        <f t="shared" ca="1" si="311"/>
        <v>0</v>
      </c>
      <c r="K929" s="13">
        <f t="shared" ca="1" si="312"/>
        <v>0</v>
      </c>
      <c r="L929" s="13" t="e">
        <f ca="1">ROUNDUP(IF($D$2="Egyszeri",$E929,IF($D$2="Havi",SUM($E$20:$E$31),IF(MOD($C929,$M$1)-1=0,SUM($E$20:$E$31),0))/12*$M$1)*VLOOKUP($B929,Paraméterek!$I$28:$P$31,IF($D$2="Egyszeri",8,HLOOKUP(ROUNDUP($M$11+$M$13,0),Paraméterek!$J$26:$O$27,2))),IF($D$4="Forint",0,2))</f>
        <v>#N/A</v>
      </c>
      <c r="M929" s="13">
        <f t="shared" ca="1" si="313"/>
        <v>0</v>
      </c>
      <c r="N929" s="13">
        <f t="shared" ca="1" si="323"/>
        <v>0</v>
      </c>
      <c r="O929" s="13">
        <f ca="1">IF($D929="Igen",IF($W928&gt;=IF($D$4="Forint",Paraméterek!$J$121,Paraméterek!$K$121),0,IF($D$4="Forint",Paraméterek!$J$121,Paraméterek!$K$121)-$W928),0)</f>
        <v>0</v>
      </c>
      <c r="P929" s="13" t="e">
        <f ca="1">ROUNDUP($O929*VLOOKUP($M$4+$B929-1,Paraméterek!$H$58:$I$105,2,0)/Paraméterek!$I$56,IF($D$4="Forint",0,2))</f>
        <v>#N/A</v>
      </c>
      <c r="Q929" s="13">
        <f t="shared" ca="1" si="314"/>
        <v>0</v>
      </c>
      <c r="R929" s="33"/>
      <c r="S929" s="13" t="e">
        <f t="shared" ca="1" si="315"/>
        <v>#N/A</v>
      </c>
      <c r="T929" s="13" t="e">
        <f ca="1">ROUNDUP(($N929-$P929-$Q929+$S929)*VLOOKUP($B929,Paraméterek!$I$38:$K$39,IF($D$2="Egyszeri",3,2))/12*IF($D930="Nem",IF($M$13=0,1,$M$13),1),IF($D$4="Forint",0,2))</f>
        <v>#N/A</v>
      </c>
      <c r="U929" s="13"/>
      <c r="V929" s="13"/>
      <c r="W929" s="13" t="e">
        <f ca="1">$N929-$P929-$Q929+$S929-$T929-IF(ROUNDUP(IF(ISBLANK($V929),$U929*0,$V929)/IF($D$2="Egyszeri",VLOOKUP($B929+IF($C929=12,1,0),Paraméterek!$V$257:$W$262,2),IF($B929=1,1,VLOOKUP($B929+IF($C929=12,1,0),Paraméterek!$I$258:$T$278,HLOOKUP($M$11+1,Paraméterek!$J$256:$T$257,2)))),IF($D$4="Forint",0,2))&gt;$N929-$P929-$Q929+$S929-$T929-IF($D$4="Forint",Paraméterek!$C$216,Paraméterek!$D$216),0,ROUNDUP(IF(ISBLANK($V929),$U929*0,$V929)/IF($D$2="Egyszeri",VLOOKUP($B929+IF($C929=12,1,0),Paraméterek!$V$257:$W$262,2),IF($B929=1,1,VLOOKUP($B929+IF($C929=12,1,0),Paraméterek!$I$258:$T$278,HLOOKUP($M$11+1,Paraméterek!$J$256:$T$257,2)))),IF($D$4="Forint",0,2)))</f>
        <v>#N/A</v>
      </c>
      <c r="X929" s="13" t="e">
        <f ca="1">ROUNDDOWN($W929*IF($D$2="Egyszeri",VLOOKUP($B929+IF($C929=12,1,0),Paraméterek!$V$257:$W$262,2),VLOOKUP($B929+IF($C929=12,1,0),Paraméterek!$I$258:$T$278,HLOOKUP($M$11+1,Paraméterek!$I$256:$T$257,2))),IF($D$4="Forint",0,2))</f>
        <v>#N/A</v>
      </c>
      <c r="Z929" s="32">
        <v>910</v>
      </c>
      <c r="AA929" s="32">
        <v>76</v>
      </c>
      <c r="AB929" s="32">
        <v>10</v>
      </c>
      <c r="AC929" s="13">
        <f t="shared" ca="1" si="324"/>
        <v>0</v>
      </c>
      <c r="AD929" s="33"/>
      <c r="AE929" s="13">
        <f t="shared" ca="1" si="316"/>
        <v>0</v>
      </c>
      <c r="AF929" s="13">
        <f ca="1">ROUNDUP(($AC929+$AE929)*VLOOKUP($AA929,Paraméterek!$P$38:$Q$38,2)/12*IF($D930="Nem",IF($M$13=0,1,$M$13),1),IF($D$4="Forint",0,2))</f>
        <v>0</v>
      </c>
      <c r="AG929" s="13">
        <f ca="1">IF($D$2="Egyszeri",IF($D$7&gt;=IF($D$4="Forint",Paraméterek!$P$223,Paraméterek!$P$224),$D$7-IF($D$4="Forint",Paraméterek!$P$223,Paraméterek!$P$224),0),MIN(IF($AB929=12,AVERAGEIF($E$20:$E929,"&gt;0",$E$20:$E929)*12,0),SUM($E$20:$E$31)))</f>
        <v>0</v>
      </c>
      <c r="AH929" s="13">
        <f>IF($AA929=10,$AG929*IF($AB929=12,IF($AG929&lt;IF($D$4="Forint",Paraméterek!$L$223,Paraméterek!$L$224),0,VLOOKUP($AA929,Paraméterek!$K$226:$M$228,IF($AG929&lt;IF($D$4="Forint",Paraméterek!$M$223,Paraméterek!$M$224),2,3))),0),0)</f>
        <v>0</v>
      </c>
      <c r="AI929" s="13">
        <f ca="1">IF(AND($AA929=$M$11+1,$AB929=$M$12+1),SUMIF($AA$20:$AA$1027,$AA929,$AG$20:$AG$1027)*IF(SUMIF($AA$20:$AA$1027,$AA929,$AG$20:$AG$1027)&lt;IF($D$4="Forint",Paraméterek!$L$223,Paraméterek!$L$224),0,VLOOKUP($AA929,Paraméterek!$K$230:$M$250,IF(SUMIF($AA$20:$AA$1027,$AA929,$AG$20:$AG$1027)&lt;IF($D$4="Forint",Paraméterek!$M$223,Paraméterek!$M$224),2,3))),0)</f>
        <v>0</v>
      </c>
      <c r="AJ929" s="13">
        <f ca="1">IF(AND($AA929&gt;=5,MOD($AA929,5)=0),IF($AB929=12,VLOOKUP($AA929,Paraméterek!$O$225:$P$240,2),0),IF(OR($AA929=3,$AA929=4),IF($AB929=12,VLOOKUP($AA929,Paraméterek!$O$225:$P$240,2,0),0),0))*$AG929</f>
        <v>0</v>
      </c>
      <c r="AK929" s="13">
        <f t="shared" ca="1" si="317"/>
        <v>0</v>
      </c>
      <c r="AL929" s="13">
        <f t="shared" ca="1" si="325"/>
        <v>0</v>
      </c>
      <c r="AM929" s="13">
        <f t="shared" ca="1" si="326"/>
        <v>0</v>
      </c>
      <c r="AO929" s="32">
        <v>910</v>
      </c>
      <c r="AP929" s="32">
        <v>76</v>
      </c>
      <c r="AQ929" s="32">
        <v>10</v>
      </c>
      <c r="AR929" s="13"/>
      <c r="AS929" s="32"/>
      <c r="AT929" s="13">
        <f t="shared" ca="1" si="327"/>
        <v>0</v>
      </c>
      <c r="AU929" s="33"/>
      <c r="AV929" s="13">
        <f t="shared" ca="1" si="318"/>
        <v>0</v>
      </c>
      <c r="AW929" s="13">
        <f ca="1">ROUNDUP(($AT929+$AV929)*VLOOKUP($AP929,Paraméterek!$P$38:$Q$38,2)/12*IF($D930="Nem",IF($M$13=0,1,$M$13),1),IF($D$4="Forint",0,2))</f>
        <v>0</v>
      </c>
      <c r="AX929" s="13"/>
      <c r="AY929" s="13"/>
      <c r="AZ929" s="13">
        <f>ROUNDUP(IF(SUM($AX929:$AY929)=0,0,IF(IF(ISBLANK($AY929),$AX929,$AY929)*Paraméterek!$J$112&lt;IF($D$4="Forint",Paraméterek!$J$113,Paraméterek!$K$113),IF($D$4="Forint",Paraméterek!$J$113,Paraméterek!$K$113),IF(IF(ISBLANK($AY929),$AX929,$AY929)*Paraméterek!$J$112&gt;IF($D$4="Forint",Paraméterek!$J$114,Paraméterek!$K$114),IF($D$4="Forint",Paraméterek!$J$114,Paraméterek!$K$114),IF(ISBLANK($AY929),$AX929,$AY929)*Paraméterek!$J$112))),IF($D$4="Forint",0,2))</f>
        <v>0</v>
      </c>
      <c r="BA929" s="13">
        <f ca="1">$AT929+$AV929-$AW929-IF(ROUNDDOWN(IF(ISBLANK($AY929),$AX929,$AY929),IF($D$4="Forint",0,2))&gt;$AT929+$AV929-$AW929-IF($D$4="Forint",Paraméterek!$J$114,Paraméterek!$K$114),0,ROUNDDOWN(IF(ISBLANK($AY929),$AX929,$AY929),IF($D$4="Forint",0,2))-$AZ929)</f>
        <v>0</v>
      </c>
      <c r="BB929" s="13">
        <f t="shared" ca="1" si="319"/>
        <v>0</v>
      </c>
      <c r="BD929" s="32">
        <v>910</v>
      </c>
      <c r="BE929" s="32">
        <v>76</v>
      </c>
      <c r="BF929" s="32">
        <v>10</v>
      </c>
      <c r="BG929" s="34">
        <f t="shared" ca="1" si="328"/>
        <v>2095</v>
      </c>
      <c r="BH929" s="32" t="str">
        <f ca="1">IF(MOD(MONTH($D$14)+$BD929-1,12)=Paraméterek!$C$288,"Igen","")</f>
        <v/>
      </c>
      <c r="BI929" s="13">
        <f ca="1">IF($BH929="Igen",MIN(ROUNDDOWN((SUMIF($BG$20:$BG$1027,$BG929-1,$K$20:$K$1027)-SUMIF($BG$20:$BG$1027,$BG929-1,$I$20:$I$1027))*Paraméterek!$C$289,IF($D$4="Forint",0,2)),IF($D$4="Forint",Paraméterek!$C$285,Paraméterek!$D$285)),0)</f>
        <v>0</v>
      </c>
      <c r="BJ929" s="13">
        <f t="shared" ca="1" si="320"/>
        <v>0</v>
      </c>
      <c r="BK929" s="13">
        <f t="shared" ca="1" si="329"/>
        <v>0</v>
      </c>
      <c r="BL929" s="33"/>
      <c r="BM929" s="13">
        <f t="shared" ca="1" si="321"/>
        <v>0</v>
      </c>
      <c r="BN929" s="13">
        <f ca="1">ROUNDUP(($BK929+$BM929)*VLOOKUP($BE929,Paraméterek!$P$38:$Q$38,2)/12*IF($D930="Nem",IF($M$13=0,1,$M$13),1),IF($D$4="Forint",0,2))</f>
        <v>0</v>
      </c>
      <c r="BO929" s="13">
        <f t="shared" ca="1" si="322"/>
        <v>0</v>
      </c>
      <c r="BP929" s="13">
        <f ca="1">IF($D930="Nem",$BO929,$BO929-ROUNDUP(SUM($BI$20:$BI929)*120%,IF($D$4="Forint",0,2)))</f>
        <v>0</v>
      </c>
    </row>
    <row r="930" spans="1:68" x14ac:dyDescent="0.2">
      <c r="A930" s="32">
        <v>911</v>
      </c>
      <c r="B930" s="32">
        <v>76</v>
      </c>
      <c r="C930" s="32">
        <v>11</v>
      </c>
      <c r="D930" s="32" t="str">
        <f t="shared" ca="1" si="308"/>
        <v>Nem</v>
      </c>
      <c r="E930" s="13">
        <f t="shared" ca="1" si="309"/>
        <v>0</v>
      </c>
      <c r="F930" s="13"/>
      <c r="G930" s="13"/>
      <c r="H930" s="13"/>
      <c r="I930" s="13">
        <f t="shared" ca="1" si="310"/>
        <v>0</v>
      </c>
      <c r="J930" s="13">
        <f t="shared" ca="1" si="311"/>
        <v>0</v>
      </c>
      <c r="K930" s="13">
        <f t="shared" ca="1" si="312"/>
        <v>0</v>
      </c>
      <c r="L930" s="13" t="e">
        <f ca="1">ROUNDUP(IF($D$2="Egyszeri",$E930,IF($D$2="Havi",SUM($E$20:$E$31),IF(MOD($C930,$M$1)-1=0,SUM($E$20:$E$31),0))/12*$M$1)*VLOOKUP($B930,Paraméterek!$I$28:$P$31,IF($D$2="Egyszeri",8,HLOOKUP(ROUNDUP($M$11+$M$13,0),Paraméterek!$J$26:$O$27,2))),IF($D$4="Forint",0,2))</f>
        <v>#N/A</v>
      </c>
      <c r="M930" s="13">
        <f t="shared" ca="1" si="313"/>
        <v>0</v>
      </c>
      <c r="N930" s="13">
        <f t="shared" ca="1" si="323"/>
        <v>0</v>
      </c>
      <c r="O930" s="13">
        <f ca="1">IF($D930="Igen",IF($W929&gt;=IF($D$4="Forint",Paraméterek!$J$121,Paraméterek!$K$121),0,IF($D$4="Forint",Paraméterek!$J$121,Paraméterek!$K$121)-$W929),0)</f>
        <v>0</v>
      </c>
      <c r="P930" s="13" t="e">
        <f ca="1">ROUNDUP($O930*VLOOKUP($M$4+$B930-1,Paraméterek!$H$58:$I$105,2,0)/Paraméterek!$I$56,IF($D$4="Forint",0,2))</f>
        <v>#N/A</v>
      </c>
      <c r="Q930" s="13">
        <f t="shared" ca="1" si="314"/>
        <v>0</v>
      </c>
      <c r="R930" s="33"/>
      <c r="S930" s="13" t="e">
        <f t="shared" ca="1" si="315"/>
        <v>#N/A</v>
      </c>
      <c r="T930" s="13" t="e">
        <f ca="1">ROUNDUP(($N930-$P930-$Q930+$S930)*VLOOKUP($B930,Paraméterek!$I$38:$K$39,IF($D$2="Egyszeri",3,2))/12*IF($D931="Nem",IF($M$13=0,1,$M$13),1),IF($D$4="Forint",0,2))</f>
        <v>#N/A</v>
      </c>
      <c r="U930" s="13"/>
      <c r="V930" s="13"/>
      <c r="W930" s="13" t="e">
        <f ca="1">$N930-$P930-$Q930+$S930-$T930-IF(ROUNDUP(IF(ISBLANK($V930),$U930*0,$V930)/IF($D$2="Egyszeri",VLOOKUP($B930+IF($C930=12,1,0),Paraméterek!$V$257:$W$262,2),IF($B930=1,1,VLOOKUP($B930+IF($C930=12,1,0),Paraméterek!$I$258:$T$278,HLOOKUP($M$11+1,Paraméterek!$J$256:$T$257,2)))),IF($D$4="Forint",0,2))&gt;$N930-$P930-$Q930+$S930-$T930-IF($D$4="Forint",Paraméterek!$C$216,Paraméterek!$D$216),0,ROUNDUP(IF(ISBLANK($V930),$U930*0,$V930)/IF($D$2="Egyszeri",VLOOKUP($B930+IF($C930=12,1,0),Paraméterek!$V$257:$W$262,2),IF($B930=1,1,VLOOKUP($B930+IF($C930=12,1,0),Paraméterek!$I$258:$T$278,HLOOKUP($M$11+1,Paraméterek!$J$256:$T$257,2)))),IF($D$4="Forint",0,2)))</f>
        <v>#N/A</v>
      </c>
      <c r="X930" s="13" t="e">
        <f ca="1">ROUNDDOWN($W930*IF($D$2="Egyszeri",VLOOKUP($B930+IF($C930=12,1,0),Paraméterek!$V$257:$W$262,2),VLOOKUP($B930+IF($C930=12,1,0),Paraméterek!$I$258:$T$278,HLOOKUP($M$11+1,Paraméterek!$I$256:$T$257,2))),IF($D$4="Forint",0,2))</f>
        <v>#N/A</v>
      </c>
      <c r="Z930" s="32">
        <v>911</v>
      </c>
      <c r="AA930" s="32">
        <v>76</v>
      </c>
      <c r="AB930" s="32">
        <v>11</v>
      </c>
      <c r="AC930" s="13">
        <f t="shared" ca="1" si="324"/>
        <v>0</v>
      </c>
      <c r="AD930" s="33"/>
      <c r="AE930" s="13">
        <f t="shared" ca="1" si="316"/>
        <v>0</v>
      </c>
      <c r="AF930" s="13">
        <f ca="1">ROUNDUP(($AC930+$AE930)*VLOOKUP($AA930,Paraméterek!$P$38:$Q$38,2)/12*IF($D931="Nem",IF($M$13=0,1,$M$13),1),IF($D$4="Forint",0,2))</f>
        <v>0</v>
      </c>
      <c r="AG930" s="13">
        <f ca="1">IF($D$2="Egyszeri",IF($D$7&gt;=IF($D$4="Forint",Paraméterek!$P$223,Paraméterek!$P$224),$D$7-IF($D$4="Forint",Paraméterek!$P$223,Paraméterek!$P$224),0),MIN(IF($AB930=12,AVERAGEIF($E$20:$E930,"&gt;0",$E$20:$E930)*12,0),SUM($E$20:$E$31)))</f>
        <v>0</v>
      </c>
      <c r="AH930" s="13">
        <f>IF($AA930=10,$AG930*IF($AB930=12,IF($AG930&lt;IF($D$4="Forint",Paraméterek!$L$223,Paraméterek!$L$224),0,VLOOKUP($AA930,Paraméterek!$K$226:$M$228,IF($AG930&lt;IF($D$4="Forint",Paraméterek!$M$223,Paraméterek!$M$224),2,3))),0),0)</f>
        <v>0</v>
      </c>
      <c r="AI930" s="13">
        <f ca="1">IF(AND($AA930=$M$11+1,$AB930=$M$12+1),SUMIF($AA$20:$AA$1027,$AA930,$AG$20:$AG$1027)*IF(SUMIF($AA$20:$AA$1027,$AA930,$AG$20:$AG$1027)&lt;IF($D$4="Forint",Paraméterek!$L$223,Paraméterek!$L$224),0,VLOOKUP($AA930,Paraméterek!$K$230:$M$250,IF(SUMIF($AA$20:$AA$1027,$AA930,$AG$20:$AG$1027)&lt;IF($D$4="Forint",Paraméterek!$M$223,Paraméterek!$M$224),2,3))),0)</f>
        <v>0</v>
      </c>
      <c r="AJ930" s="13">
        <f ca="1">IF(AND($AA930&gt;=5,MOD($AA930,5)=0),IF($AB930=12,VLOOKUP($AA930,Paraméterek!$O$225:$P$240,2),0),IF(OR($AA930=3,$AA930=4),IF($AB930=12,VLOOKUP($AA930,Paraméterek!$O$225:$P$240,2,0),0),0))*$AG930</f>
        <v>0</v>
      </c>
      <c r="AK930" s="13">
        <f t="shared" ca="1" si="317"/>
        <v>0</v>
      </c>
      <c r="AL930" s="13">
        <f t="shared" ca="1" si="325"/>
        <v>0</v>
      </c>
      <c r="AM930" s="13">
        <f t="shared" ca="1" si="326"/>
        <v>0</v>
      </c>
      <c r="AO930" s="32">
        <v>911</v>
      </c>
      <c r="AP930" s="32">
        <v>76</v>
      </c>
      <c r="AQ930" s="32">
        <v>11</v>
      </c>
      <c r="AR930" s="13"/>
      <c r="AS930" s="32"/>
      <c r="AT930" s="13">
        <f t="shared" ca="1" si="327"/>
        <v>0</v>
      </c>
      <c r="AU930" s="33"/>
      <c r="AV930" s="13">
        <f t="shared" ca="1" si="318"/>
        <v>0</v>
      </c>
      <c r="AW930" s="13">
        <f ca="1">ROUNDUP(($AT930+$AV930)*VLOOKUP($AP930,Paraméterek!$P$38:$Q$38,2)/12*IF($D931="Nem",IF($M$13=0,1,$M$13),1),IF($D$4="Forint",0,2))</f>
        <v>0</v>
      </c>
      <c r="AX930" s="13"/>
      <c r="AY930" s="13"/>
      <c r="AZ930" s="13">
        <f>ROUNDUP(IF(SUM($AX930:$AY930)=0,0,IF(IF(ISBLANK($AY930),$AX930,$AY930)*Paraméterek!$J$112&lt;IF($D$4="Forint",Paraméterek!$J$113,Paraméterek!$K$113),IF($D$4="Forint",Paraméterek!$J$113,Paraméterek!$K$113),IF(IF(ISBLANK($AY930),$AX930,$AY930)*Paraméterek!$J$112&gt;IF($D$4="Forint",Paraméterek!$J$114,Paraméterek!$K$114),IF($D$4="Forint",Paraméterek!$J$114,Paraméterek!$K$114),IF(ISBLANK($AY930),$AX930,$AY930)*Paraméterek!$J$112))),IF($D$4="Forint",0,2))</f>
        <v>0</v>
      </c>
      <c r="BA930" s="13">
        <f ca="1">$AT930+$AV930-$AW930-IF(ROUNDDOWN(IF(ISBLANK($AY930),$AX930,$AY930),IF($D$4="Forint",0,2))&gt;$AT930+$AV930-$AW930-IF($D$4="Forint",Paraméterek!$J$114,Paraméterek!$K$114),0,ROUNDDOWN(IF(ISBLANK($AY930),$AX930,$AY930),IF($D$4="Forint",0,2))-$AZ930)</f>
        <v>0</v>
      </c>
      <c r="BB930" s="13">
        <f t="shared" ca="1" si="319"/>
        <v>0</v>
      </c>
      <c r="BD930" s="32">
        <v>911</v>
      </c>
      <c r="BE930" s="32">
        <v>76</v>
      </c>
      <c r="BF930" s="32">
        <v>11</v>
      </c>
      <c r="BG930" s="34">
        <f t="shared" ca="1" si="328"/>
        <v>2095</v>
      </c>
      <c r="BH930" s="32" t="str">
        <f ca="1">IF(MOD(MONTH($D$14)+$BD930-1,12)=Paraméterek!$C$288,"Igen","")</f>
        <v/>
      </c>
      <c r="BI930" s="13">
        <f ca="1">IF($BH930="Igen",MIN(ROUNDDOWN((SUMIF($BG$20:$BG$1027,$BG930-1,$K$20:$K$1027)-SUMIF($BG$20:$BG$1027,$BG930-1,$I$20:$I$1027))*Paraméterek!$C$289,IF($D$4="Forint",0,2)),IF($D$4="Forint",Paraméterek!$C$285,Paraméterek!$D$285)),0)</f>
        <v>0</v>
      </c>
      <c r="BJ930" s="13">
        <f t="shared" ca="1" si="320"/>
        <v>0</v>
      </c>
      <c r="BK930" s="13">
        <f t="shared" ca="1" si="329"/>
        <v>0</v>
      </c>
      <c r="BL930" s="33"/>
      <c r="BM930" s="13">
        <f t="shared" ca="1" si="321"/>
        <v>0</v>
      </c>
      <c r="BN930" s="13">
        <f ca="1">ROUNDUP(($BK930+$BM930)*VLOOKUP($BE930,Paraméterek!$P$38:$Q$38,2)/12*IF($D931="Nem",IF($M$13=0,1,$M$13),1),IF($D$4="Forint",0,2))</f>
        <v>0</v>
      </c>
      <c r="BO930" s="13">
        <f t="shared" ca="1" si="322"/>
        <v>0</v>
      </c>
      <c r="BP930" s="13">
        <f ca="1">IF($D931="Nem",$BO930,$BO930-ROUNDUP(SUM($BI$20:$BI930)*120%,IF($D$4="Forint",0,2)))</f>
        <v>0</v>
      </c>
    </row>
    <row r="931" spans="1:68" x14ac:dyDescent="0.2">
      <c r="A931" s="32">
        <v>912</v>
      </c>
      <c r="B931" s="32">
        <v>76</v>
      </c>
      <c r="C931" s="32">
        <v>12</v>
      </c>
      <c r="D931" s="32" t="str">
        <f t="shared" ca="1" si="308"/>
        <v>Nem</v>
      </c>
      <c r="E931" s="13">
        <f t="shared" ca="1" si="309"/>
        <v>0</v>
      </c>
      <c r="F931" s="13"/>
      <c r="G931" s="13"/>
      <c r="H931" s="13"/>
      <c r="I931" s="13">
        <f t="shared" ca="1" si="310"/>
        <v>0</v>
      </c>
      <c r="J931" s="13">
        <f t="shared" ca="1" si="311"/>
        <v>0</v>
      </c>
      <c r="K931" s="13">
        <f t="shared" ca="1" si="312"/>
        <v>0</v>
      </c>
      <c r="L931" s="13" t="e">
        <f ca="1">ROUNDUP(IF($D$2="Egyszeri",$E931,IF($D$2="Havi",SUM($E$20:$E$31),IF(MOD($C931,$M$1)-1=0,SUM($E$20:$E$31),0))/12*$M$1)*VLOOKUP($B931,Paraméterek!$I$28:$P$31,IF($D$2="Egyszeri",8,HLOOKUP(ROUNDUP($M$11+$M$13,0),Paraméterek!$J$26:$O$27,2))),IF($D$4="Forint",0,2))</f>
        <v>#N/A</v>
      </c>
      <c r="M931" s="13">
        <f t="shared" ca="1" si="313"/>
        <v>0</v>
      </c>
      <c r="N931" s="13">
        <f t="shared" ca="1" si="323"/>
        <v>0</v>
      </c>
      <c r="O931" s="13">
        <f ca="1">IF($D931="Igen",IF($W930&gt;=IF($D$4="Forint",Paraméterek!$J$121,Paraméterek!$K$121),0,IF($D$4="Forint",Paraméterek!$J$121,Paraméterek!$K$121)-$W930),0)</f>
        <v>0</v>
      </c>
      <c r="P931" s="13" t="e">
        <f ca="1">ROUNDUP($O931*VLOOKUP($M$4+$B931-1,Paraméterek!$H$58:$I$105,2,0)/Paraméterek!$I$56,IF($D$4="Forint",0,2))</f>
        <v>#N/A</v>
      </c>
      <c r="Q931" s="13">
        <f t="shared" ca="1" si="314"/>
        <v>0</v>
      </c>
      <c r="R931" s="33"/>
      <c r="S931" s="13" t="e">
        <f t="shared" ca="1" si="315"/>
        <v>#N/A</v>
      </c>
      <c r="T931" s="13" t="e">
        <f ca="1">ROUNDUP(($N931-$P931-$Q931+$S931)*VLOOKUP($B931,Paraméterek!$I$38:$K$39,IF($D$2="Egyszeri",3,2))/12*IF($D932="Nem",IF($M$13=0,1,$M$13),1),IF($D$4="Forint",0,2))</f>
        <v>#N/A</v>
      </c>
      <c r="U931" s="13">
        <f>Tranzakciók!$F$107</f>
        <v>0</v>
      </c>
      <c r="V931" s="13"/>
      <c r="W931" s="13" t="e">
        <f ca="1">$N931-$P931-$Q931+$S931-$T931-IF(ROUNDUP(IF(ISBLANK($V931),$U931*0,$V931)/IF($D$2="Egyszeri",VLOOKUP($B931+IF($C931=12,1,0),Paraméterek!$V$257:$W$262,2),IF($B931=1,1,VLOOKUP($B931+IF($C931=12,1,0),Paraméterek!$I$258:$T$278,HLOOKUP($M$11+1,Paraméterek!$J$256:$T$257,2)))),IF($D$4="Forint",0,2))&gt;$N931-$P931-$Q931+$S931-$T931-IF($D$4="Forint",Paraméterek!$C$216,Paraméterek!$D$216),0,ROUNDUP(IF(ISBLANK($V931),$U931*0,$V931)/IF($D$2="Egyszeri",VLOOKUP($B931+IF($C931=12,1,0),Paraméterek!$V$257:$W$262,2),IF($B931=1,1,VLOOKUP($B931+IF($C931=12,1,0),Paraméterek!$I$258:$T$278,HLOOKUP($M$11+1,Paraméterek!$J$256:$T$257,2)))),IF($D$4="Forint",0,2)))</f>
        <v>#N/A</v>
      </c>
      <c r="X931" s="13" t="e">
        <f ca="1">ROUNDDOWN($W931*IF($D$2="Egyszeri",VLOOKUP($B931+IF($C931=12,1,0),Paraméterek!$V$257:$W$262,2),VLOOKUP($B931+IF($C931=12,1,0),Paraméterek!$I$258:$T$278,HLOOKUP($M$11+1,Paraméterek!$I$256:$T$257,2))),IF($D$4="Forint",0,2))</f>
        <v>#N/A</v>
      </c>
      <c r="Z931" s="32">
        <v>912</v>
      </c>
      <c r="AA931" s="32">
        <v>76</v>
      </c>
      <c r="AB931" s="32">
        <v>12</v>
      </c>
      <c r="AC931" s="13">
        <f t="shared" ca="1" si="324"/>
        <v>0</v>
      </c>
      <c r="AD931" s="33"/>
      <c r="AE931" s="13">
        <f t="shared" ca="1" si="316"/>
        <v>0</v>
      </c>
      <c r="AF931" s="13">
        <f ca="1">ROUNDUP(($AC931+$AE931)*VLOOKUP($AA931,Paraméterek!$P$38:$Q$38,2)/12*IF($D932="Nem",IF($M$13=0,1,$M$13),1),IF($D$4="Forint",0,2))</f>
        <v>0</v>
      </c>
      <c r="AG931" s="13" t="e">
        <f ca="1">IF($D$2="Egyszeri",IF($D$7&gt;=IF($D$4="Forint",Paraméterek!$P$223,Paraméterek!$P$224),$D$7-IF($D$4="Forint",Paraméterek!$P$223,Paraméterek!$P$224),0),MIN(IF($AB931=12,AVERAGEIF($E$20:$E931,"&gt;0",$E$20:$E931)*12,0),SUM($E$20:$E$31)))</f>
        <v>#DIV/0!</v>
      </c>
      <c r="AH931" s="13">
        <f>IF($AA931=10,$AG931*IF($AB931=12,IF($AG931&lt;IF($D$4="Forint",Paraméterek!$L$223,Paraméterek!$L$224),0,VLOOKUP($AA931,Paraméterek!$K$226:$M$228,IF($AG931&lt;IF($D$4="Forint",Paraméterek!$M$223,Paraméterek!$M$224),2,3))),0),0)</f>
        <v>0</v>
      </c>
      <c r="AI931" s="13">
        <f ca="1">IF(AND($AA931=$M$11+1,$AB931=$M$12+1),SUMIF($AA$20:$AA$1027,$AA931,$AG$20:$AG$1027)*IF(SUMIF($AA$20:$AA$1027,$AA931,$AG$20:$AG$1027)&lt;IF($D$4="Forint",Paraméterek!$L$223,Paraméterek!$L$224),0,VLOOKUP($AA931,Paraméterek!$K$230:$M$250,IF(SUMIF($AA$20:$AA$1027,$AA931,$AG$20:$AG$1027)&lt;IF($D$4="Forint",Paraméterek!$M$223,Paraméterek!$M$224),2,3))),0)</f>
        <v>0</v>
      </c>
      <c r="AJ931" s="13" t="e">
        <f ca="1">IF(AND($AA931&gt;=5,MOD($AA931,5)=0),IF($AB931=12,VLOOKUP($AA931,Paraméterek!$O$225:$P$240,2),0),IF(OR($AA931=3,$AA931=4),IF($AB931=12,VLOOKUP($AA931,Paraméterek!$O$225:$P$240,2,0),0),0))*$AG931</f>
        <v>#DIV/0!</v>
      </c>
      <c r="AK931" s="13">
        <f t="shared" ca="1" si="317"/>
        <v>0</v>
      </c>
      <c r="AL931" s="13">
        <f t="shared" ca="1" si="325"/>
        <v>0</v>
      </c>
      <c r="AM931" s="13">
        <f t="shared" ca="1" si="326"/>
        <v>0</v>
      </c>
      <c r="AO931" s="32">
        <v>912</v>
      </c>
      <c r="AP931" s="32">
        <v>76</v>
      </c>
      <c r="AQ931" s="32">
        <v>12</v>
      </c>
      <c r="AR931" s="13"/>
      <c r="AS931" s="32"/>
      <c r="AT931" s="13">
        <f t="shared" ca="1" si="327"/>
        <v>0</v>
      </c>
      <c r="AU931" s="33"/>
      <c r="AV931" s="13">
        <f t="shared" ca="1" si="318"/>
        <v>0</v>
      </c>
      <c r="AW931" s="13">
        <f ca="1">ROUNDUP(($AT931+$AV931)*VLOOKUP($AP931,Paraméterek!$P$38:$Q$38,2)/12*IF($D932="Nem",IF($M$13=0,1,$M$13),1),IF($D$4="Forint",0,2))</f>
        <v>0</v>
      </c>
      <c r="AX931" s="13">
        <f>Tranzakciók!$M$107</f>
        <v>0</v>
      </c>
      <c r="AY931" s="13"/>
      <c r="AZ931" s="13">
        <f>ROUNDUP(IF(SUM($AX931:$AY931)=0,0,IF(IF(ISBLANK($AY931),$AX931,$AY931)*Paraméterek!$J$112&lt;IF($D$4="Forint",Paraméterek!$J$113,Paraméterek!$K$113),IF($D$4="Forint",Paraméterek!$J$113,Paraméterek!$K$113),IF(IF(ISBLANK($AY931),$AX931,$AY931)*Paraméterek!$J$112&gt;IF($D$4="Forint",Paraméterek!$J$114,Paraméterek!$K$114),IF($D$4="Forint",Paraméterek!$J$114,Paraméterek!$K$114),IF(ISBLANK($AY931),$AX931,$AY931)*Paraméterek!$J$112))),IF($D$4="Forint",0,2))</f>
        <v>0</v>
      </c>
      <c r="BA931" s="13">
        <f ca="1">$AT931+$AV931-$AW931-IF(ROUNDDOWN(IF(ISBLANK($AY931),$AX931,$AY931),IF($D$4="Forint",0,2))&gt;$AT931+$AV931-$AW931-IF($D$4="Forint",Paraméterek!$J$114,Paraméterek!$K$114),0,ROUNDDOWN(IF(ISBLANK($AY931),$AX931,$AY931),IF($D$4="Forint",0,2))-$AZ931)</f>
        <v>0</v>
      </c>
      <c r="BB931" s="13">
        <f t="shared" ca="1" si="319"/>
        <v>0</v>
      </c>
      <c r="BD931" s="32">
        <v>912</v>
      </c>
      <c r="BE931" s="32">
        <v>76</v>
      </c>
      <c r="BF931" s="32">
        <v>12</v>
      </c>
      <c r="BG931" s="34">
        <f t="shared" ca="1" si="328"/>
        <v>2095</v>
      </c>
      <c r="BH931" s="32" t="str">
        <f ca="1">IF(MOD(MONTH($D$14)+$BD931-1,12)=Paraméterek!$C$288,"Igen","")</f>
        <v/>
      </c>
      <c r="BI931" s="13">
        <f ca="1">IF($BH931="Igen",MIN(ROUNDDOWN((SUMIF($BG$20:$BG$1027,$BG931-1,$K$20:$K$1027)-SUMIF($BG$20:$BG$1027,$BG931-1,$I$20:$I$1027))*Paraméterek!$C$289,IF($D$4="Forint",0,2)),IF($D$4="Forint",Paraméterek!$C$285,Paraméterek!$D$285)),0)</f>
        <v>0</v>
      </c>
      <c r="BJ931" s="13">
        <f t="shared" ca="1" si="320"/>
        <v>0</v>
      </c>
      <c r="BK931" s="13">
        <f t="shared" ca="1" si="329"/>
        <v>0</v>
      </c>
      <c r="BL931" s="33"/>
      <c r="BM931" s="13">
        <f t="shared" ca="1" si="321"/>
        <v>0</v>
      </c>
      <c r="BN931" s="13">
        <f ca="1">ROUNDUP(($BK931+$BM931)*VLOOKUP($BE931,Paraméterek!$P$38:$Q$38,2)/12*IF($D932="Nem",IF($M$13=0,1,$M$13),1),IF($D$4="Forint",0,2))</f>
        <v>0</v>
      </c>
      <c r="BO931" s="13">
        <f t="shared" ca="1" si="322"/>
        <v>0</v>
      </c>
      <c r="BP931" s="13">
        <f ca="1">IF($D932="Nem",$BO931,$BO931-ROUNDUP(SUM($BI$20:$BI931)*120%,IF($D$4="Forint",0,2)))</f>
        <v>0</v>
      </c>
    </row>
    <row r="932" spans="1:68" x14ac:dyDescent="0.2">
      <c r="A932" s="32">
        <v>913</v>
      </c>
      <c r="B932" s="32">
        <v>77</v>
      </c>
      <c r="C932" s="32">
        <v>1</v>
      </c>
      <c r="D932" s="32" t="str">
        <f t="shared" ca="1" si="308"/>
        <v>Nem</v>
      </c>
      <c r="E932" s="13">
        <f t="shared" ca="1" si="309"/>
        <v>0</v>
      </c>
      <c r="F932" s="13"/>
      <c r="G932" s="13">
        <f>Tranzakciók!$D$108</f>
        <v>0</v>
      </c>
      <c r="H932" s="13"/>
      <c r="I932" s="13">
        <f t="shared" ca="1" si="310"/>
        <v>0</v>
      </c>
      <c r="J932" s="13">
        <f t="shared" ca="1" si="311"/>
        <v>0</v>
      </c>
      <c r="K932" s="13">
        <f t="shared" ca="1" si="312"/>
        <v>0</v>
      </c>
      <c r="L932" s="13" t="e">
        <f ca="1">ROUNDUP(IF($D$2="Egyszeri",$E932,IF($D$2="Havi",SUM($E$20:$E$31),IF(MOD($C932,$M$1)-1=0,SUM($E$20:$E$31),0))/12*$M$1)*VLOOKUP($B932,Paraméterek!$I$28:$P$31,IF($D$2="Egyszeri",8,HLOOKUP(ROUNDUP($M$11+$M$13,0),Paraméterek!$J$26:$O$27,2))),IF($D$4="Forint",0,2))</f>
        <v>#N/A</v>
      </c>
      <c r="M932" s="13">
        <f t="shared" ca="1" si="313"/>
        <v>0</v>
      </c>
      <c r="N932" s="13">
        <f t="shared" ca="1" si="323"/>
        <v>0</v>
      </c>
      <c r="O932" s="13">
        <f ca="1">IF($D932="Igen",IF($W931&gt;=IF($D$4="Forint",Paraméterek!$J$121,Paraméterek!$K$121),0,IF($D$4="Forint",Paraméterek!$J$121,Paraméterek!$K$121)-$W931),0)</f>
        <v>0</v>
      </c>
      <c r="P932" s="13" t="e">
        <f ca="1">ROUNDUP($O932*VLOOKUP($M$4+$B932-1,Paraméterek!$H$58:$I$105,2,0)/Paraméterek!$I$56,IF($D$4="Forint",0,2))</f>
        <v>#N/A</v>
      </c>
      <c r="Q932" s="13">
        <f t="shared" ca="1" si="314"/>
        <v>0</v>
      </c>
      <c r="R932" s="33"/>
      <c r="S932" s="13" t="e">
        <f t="shared" ca="1" si="315"/>
        <v>#N/A</v>
      </c>
      <c r="T932" s="13" t="e">
        <f ca="1">ROUNDUP(($N932-$P932-$Q932+$S932)*VLOOKUP($B932,Paraméterek!$I$38:$K$39,IF($D$2="Egyszeri",3,2))/12*IF($D933="Nem",IF($M$13=0,1,$M$13),1),IF($D$4="Forint",0,2))</f>
        <v>#N/A</v>
      </c>
      <c r="U932" s="13"/>
      <c r="V932" s="13"/>
      <c r="W932" s="13" t="e">
        <f ca="1">$N932-$P932-$Q932+$S932-$T932-IF(ROUNDUP(IF(ISBLANK($V932),$U932*0,$V932)/IF($D$2="Egyszeri",VLOOKUP($B932+IF($C932=12,1,0),Paraméterek!$V$257:$W$262,2),IF($B932=1,1,VLOOKUP($B932+IF($C932=12,1,0),Paraméterek!$I$258:$T$278,HLOOKUP($M$11+1,Paraméterek!$J$256:$T$257,2)))),IF($D$4="Forint",0,2))&gt;$N932-$P932-$Q932+$S932-$T932-IF($D$4="Forint",Paraméterek!$C$216,Paraméterek!$D$216),0,ROUNDUP(IF(ISBLANK($V932),$U932*0,$V932)/IF($D$2="Egyszeri",VLOOKUP($B932+IF($C932=12,1,0),Paraméterek!$V$257:$W$262,2),IF($B932=1,1,VLOOKUP($B932+IF($C932=12,1,0),Paraméterek!$I$258:$T$278,HLOOKUP($M$11+1,Paraméterek!$J$256:$T$257,2)))),IF($D$4="Forint",0,2)))</f>
        <v>#N/A</v>
      </c>
      <c r="X932" s="13" t="e">
        <f ca="1">ROUNDDOWN($W932*IF($D$2="Egyszeri",VLOOKUP($B932+IF($C932=12,1,0),Paraméterek!$V$257:$W$262,2),VLOOKUP($B932+IF($C932=12,1,0),Paraméterek!$I$258:$T$278,HLOOKUP($M$11+1,Paraméterek!$I$256:$T$257,2))),IF($D$4="Forint",0,2))</f>
        <v>#N/A</v>
      </c>
      <c r="Z932" s="32">
        <v>913</v>
      </c>
      <c r="AA932" s="32">
        <v>77</v>
      </c>
      <c r="AB932" s="32">
        <v>1</v>
      </c>
      <c r="AC932" s="13">
        <f t="shared" ca="1" si="324"/>
        <v>0</v>
      </c>
      <c r="AD932" s="33"/>
      <c r="AE932" s="13">
        <f t="shared" ca="1" si="316"/>
        <v>0</v>
      </c>
      <c r="AF932" s="13">
        <f ca="1">ROUNDUP(($AC932+$AE932)*VLOOKUP($AA932,Paraméterek!$P$38:$Q$38,2)/12*IF($D933="Nem",IF($M$13=0,1,$M$13),1),IF($D$4="Forint",0,2))</f>
        <v>0</v>
      </c>
      <c r="AG932" s="13">
        <f ca="1">IF($D$2="Egyszeri",IF($D$7&gt;=IF($D$4="Forint",Paraméterek!$P$223,Paraméterek!$P$224),$D$7-IF($D$4="Forint",Paraméterek!$P$223,Paraméterek!$P$224),0),MIN(IF($AB932=12,AVERAGEIF($E$20:$E932,"&gt;0",$E$20:$E932)*12,0),SUM($E$20:$E$31)))</f>
        <v>0</v>
      </c>
      <c r="AH932" s="13">
        <f>IF($AA932=10,$AG932*IF($AB932=12,IF($AG932&lt;IF($D$4="Forint",Paraméterek!$L$223,Paraméterek!$L$224),0,VLOOKUP($AA932,Paraméterek!$K$226:$M$228,IF($AG932&lt;IF($D$4="Forint",Paraméterek!$M$223,Paraméterek!$M$224),2,3))),0),0)</f>
        <v>0</v>
      </c>
      <c r="AI932" s="13">
        <f ca="1">IF(AND($AA932=$M$11+1,$AB932=$M$12+1),SUMIF($AA$20:$AA$1027,$AA932,$AG$20:$AG$1027)*IF(SUMIF($AA$20:$AA$1027,$AA932,$AG$20:$AG$1027)&lt;IF($D$4="Forint",Paraméterek!$L$223,Paraméterek!$L$224),0,VLOOKUP($AA932,Paraméterek!$K$230:$M$250,IF(SUMIF($AA$20:$AA$1027,$AA932,$AG$20:$AG$1027)&lt;IF($D$4="Forint",Paraméterek!$M$223,Paraméterek!$M$224),2,3))),0)</f>
        <v>0</v>
      </c>
      <c r="AJ932" s="13">
        <f ca="1">IF(AND($AA932&gt;=5,MOD($AA932,5)=0),IF($AB932=12,VLOOKUP($AA932,Paraméterek!$O$225:$P$240,2),0),IF(OR($AA932=3,$AA932=4),IF($AB932=12,VLOOKUP($AA932,Paraméterek!$O$225:$P$240,2,0),0),0))*$AG932</f>
        <v>0</v>
      </c>
      <c r="AK932" s="13">
        <f t="shared" ca="1" si="317"/>
        <v>0</v>
      </c>
      <c r="AL932" s="13">
        <f t="shared" ca="1" si="325"/>
        <v>0</v>
      </c>
      <c r="AM932" s="13">
        <f t="shared" ca="1" si="326"/>
        <v>0</v>
      </c>
      <c r="AO932" s="32">
        <v>913</v>
      </c>
      <c r="AP932" s="32">
        <v>77</v>
      </c>
      <c r="AQ932" s="32">
        <v>1</v>
      </c>
      <c r="AR932" s="13">
        <f>Tranzakciók!$K$108</f>
        <v>0</v>
      </c>
      <c r="AS932" s="32"/>
      <c r="AT932" s="13">
        <f t="shared" ca="1" si="327"/>
        <v>0</v>
      </c>
      <c r="AU932" s="33"/>
      <c r="AV932" s="13">
        <f t="shared" ca="1" si="318"/>
        <v>0</v>
      </c>
      <c r="AW932" s="13">
        <f ca="1">ROUNDUP(($AT932+$AV932)*VLOOKUP($AP932,Paraméterek!$P$38:$Q$38,2)/12*IF($D933="Nem",IF($M$13=0,1,$M$13),1),IF($D$4="Forint",0,2))</f>
        <v>0</v>
      </c>
      <c r="AX932" s="13"/>
      <c r="AY932" s="13"/>
      <c r="AZ932" s="13">
        <f>ROUNDUP(IF(SUM($AX932:$AY932)=0,0,IF(IF(ISBLANK($AY932),$AX932,$AY932)*Paraméterek!$J$112&lt;IF($D$4="Forint",Paraméterek!$J$113,Paraméterek!$K$113),IF($D$4="Forint",Paraméterek!$J$113,Paraméterek!$K$113),IF(IF(ISBLANK($AY932),$AX932,$AY932)*Paraméterek!$J$112&gt;IF($D$4="Forint",Paraméterek!$J$114,Paraméterek!$K$114),IF($D$4="Forint",Paraméterek!$J$114,Paraméterek!$K$114),IF(ISBLANK($AY932),$AX932,$AY932)*Paraméterek!$J$112))),IF($D$4="Forint",0,2))</f>
        <v>0</v>
      </c>
      <c r="BA932" s="13">
        <f ca="1">$AT932+$AV932-$AW932-IF(ROUNDDOWN(IF(ISBLANK($AY932),$AX932,$AY932),IF($D$4="Forint",0,2))&gt;$AT932+$AV932-$AW932-IF($D$4="Forint",Paraméterek!$J$114,Paraméterek!$K$114),0,ROUNDDOWN(IF(ISBLANK($AY932),$AX932,$AY932),IF($D$4="Forint",0,2))-$AZ932)</f>
        <v>0</v>
      </c>
      <c r="BB932" s="13">
        <f t="shared" ca="1" si="319"/>
        <v>0</v>
      </c>
      <c r="BD932" s="32">
        <v>913</v>
      </c>
      <c r="BE932" s="32">
        <v>77</v>
      </c>
      <c r="BF932" s="32">
        <v>1</v>
      </c>
      <c r="BG932" s="34">
        <f t="shared" ca="1" si="328"/>
        <v>2095</v>
      </c>
      <c r="BH932" s="32" t="str">
        <f ca="1">IF(MOD(MONTH($D$14)+$BD932-1,12)=Paraméterek!$C$288,"Igen","")</f>
        <v/>
      </c>
      <c r="BI932" s="13">
        <f ca="1">IF($BH932="Igen",MIN(ROUNDDOWN((SUMIF($BG$20:$BG$1027,$BG932-1,$K$20:$K$1027)-SUMIF($BG$20:$BG$1027,$BG932-1,$I$20:$I$1027))*Paraméterek!$C$289,IF($D$4="Forint",0,2)),IF($D$4="Forint",Paraméterek!$C$285,Paraméterek!$D$285)),0)</f>
        <v>0</v>
      </c>
      <c r="BJ932" s="13">
        <f t="shared" ca="1" si="320"/>
        <v>0</v>
      </c>
      <c r="BK932" s="13">
        <f t="shared" ca="1" si="329"/>
        <v>0</v>
      </c>
      <c r="BL932" s="33"/>
      <c r="BM932" s="13">
        <f t="shared" ca="1" si="321"/>
        <v>0</v>
      </c>
      <c r="BN932" s="13">
        <f ca="1">ROUNDUP(($BK932+$BM932)*VLOOKUP($BE932,Paraméterek!$P$38:$Q$38,2)/12*IF($D933="Nem",IF($M$13=0,1,$M$13),1),IF($D$4="Forint",0,2))</f>
        <v>0</v>
      </c>
      <c r="BO932" s="13">
        <f t="shared" ca="1" si="322"/>
        <v>0</v>
      </c>
      <c r="BP932" s="13">
        <f ca="1">IF($D933="Nem",$BO932,$BO932-ROUNDUP(SUM($BI$20:$BI932)*120%,IF($D$4="Forint",0,2)))</f>
        <v>0</v>
      </c>
    </row>
    <row r="933" spans="1:68" x14ac:dyDescent="0.2">
      <c r="A933" s="32">
        <v>914</v>
      </c>
      <c r="B933" s="32">
        <v>77</v>
      </c>
      <c r="C933" s="32">
        <v>2</v>
      </c>
      <c r="D933" s="32" t="str">
        <f t="shared" ca="1" si="308"/>
        <v>Nem</v>
      </c>
      <c r="E933" s="13">
        <f t="shared" ca="1" si="309"/>
        <v>0</v>
      </c>
      <c r="F933" s="13"/>
      <c r="G933" s="13"/>
      <c r="H933" s="13"/>
      <c r="I933" s="13">
        <f t="shared" ca="1" si="310"/>
        <v>0</v>
      </c>
      <c r="J933" s="13">
        <f t="shared" ca="1" si="311"/>
        <v>0</v>
      </c>
      <c r="K933" s="13">
        <f t="shared" ca="1" si="312"/>
        <v>0</v>
      </c>
      <c r="L933" s="13" t="e">
        <f ca="1">ROUNDUP(IF($D$2="Egyszeri",$E933,IF($D$2="Havi",SUM($E$20:$E$31),IF(MOD($C933,$M$1)-1=0,SUM($E$20:$E$31),0))/12*$M$1)*VLOOKUP($B933,Paraméterek!$I$28:$P$31,IF($D$2="Egyszeri",8,HLOOKUP(ROUNDUP($M$11+$M$13,0),Paraméterek!$J$26:$O$27,2))),IF($D$4="Forint",0,2))</f>
        <v>#N/A</v>
      </c>
      <c r="M933" s="13">
        <f t="shared" ca="1" si="313"/>
        <v>0</v>
      </c>
      <c r="N933" s="13">
        <f t="shared" ca="1" si="323"/>
        <v>0</v>
      </c>
      <c r="O933" s="13">
        <f ca="1">IF($D933="Igen",IF($W932&gt;=IF($D$4="Forint",Paraméterek!$J$121,Paraméterek!$K$121),0,IF($D$4="Forint",Paraméterek!$J$121,Paraméterek!$K$121)-$W932),0)</f>
        <v>0</v>
      </c>
      <c r="P933" s="13" t="e">
        <f ca="1">ROUNDUP($O933*VLOOKUP($M$4+$B933-1,Paraméterek!$H$58:$I$105,2,0)/Paraméterek!$I$56,IF($D$4="Forint",0,2))</f>
        <v>#N/A</v>
      </c>
      <c r="Q933" s="13">
        <f t="shared" ca="1" si="314"/>
        <v>0</v>
      </c>
      <c r="R933" s="33"/>
      <c r="S933" s="13" t="e">
        <f t="shared" ca="1" si="315"/>
        <v>#N/A</v>
      </c>
      <c r="T933" s="13" t="e">
        <f ca="1">ROUNDUP(($N933-$P933-$Q933+$S933)*VLOOKUP($B933,Paraméterek!$I$38:$K$39,IF($D$2="Egyszeri",3,2))/12*IF($D934="Nem",IF($M$13=0,1,$M$13),1),IF($D$4="Forint",0,2))</f>
        <v>#N/A</v>
      </c>
      <c r="U933" s="13"/>
      <c r="V933" s="13"/>
      <c r="W933" s="13" t="e">
        <f ca="1">$N933-$P933-$Q933+$S933-$T933-IF(ROUNDUP(IF(ISBLANK($V933),$U933*0,$V933)/IF($D$2="Egyszeri",VLOOKUP($B933+IF($C933=12,1,0),Paraméterek!$V$257:$W$262,2),IF($B933=1,1,VLOOKUP($B933+IF($C933=12,1,0),Paraméterek!$I$258:$T$278,HLOOKUP($M$11+1,Paraméterek!$J$256:$T$257,2)))),IF($D$4="Forint",0,2))&gt;$N933-$P933-$Q933+$S933-$T933-IF($D$4="Forint",Paraméterek!$C$216,Paraméterek!$D$216),0,ROUNDUP(IF(ISBLANK($V933),$U933*0,$V933)/IF($D$2="Egyszeri",VLOOKUP($B933+IF($C933=12,1,0),Paraméterek!$V$257:$W$262,2),IF($B933=1,1,VLOOKUP($B933+IF($C933=12,1,0),Paraméterek!$I$258:$T$278,HLOOKUP($M$11+1,Paraméterek!$J$256:$T$257,2)))),IF($D$4="Forint",0,2)))</f>
        <v>#N/A</v>
      </c>
      <c r="X933" s="13" t="e">
        <f ca="1">ROUNDDOWN($W933*IF($D$2="Egyszeri",VLOOKUP($B933+IF($C933=12,1,0),Paraméterek!$V$257:$W$262,2),VLOOKUP($B933+IF($C933=12,1,0),Paraméterek!$I$258:$T$278,HLOOKUP($M$11+1,Paraméterek!$I$256:$T$257,2))),IF($D$4="Forint",0,2))</f>
        <v>#N/A</v>
      </c>
      <c r="Z933" s="32">
        <v>914</v>
      </c>
      <c r="AA933" s="32">
        <v>77</v>
      </c>
      <c r="AB933" s="32">
        <v>2</v>
      </c>
      <c r="AC933" s="13">
        <f t="shared" ca="1" si="324"/>
        <v>0</v>
      </c>
      <c r="AD933" s="33"/>
      <c r="AE933" s="13">
        <f t="shared" ca="1" si="316"/>
        <v>0</v>
      </c>
      <c r="AF933" s="13">
        <f ca="1">ROUNDUP(($AC933+$AE933)*VLOOKUP($AA933,Paraméterek!$P$38:$Q$38,2)/12*IF($D934="Nem",IF($M$13=0,1,$M$13),1),IF($D$4="Forint",0,2))</f>
        <v>0</v>
      </c>
      <c r="AG933" s="13">
        <f ca="1">IF($D$2="Egyszeri",IF($D$7&gt;=IF($D$4="Forint",Paraméterek!$P$223,Paraméterek!$P$224),$D$7-IF($D$4="Forint",Paraméterek!$P$223,Paraméterek!$P$224),0),MIN(IF($AB933=12,AVERAGEIF($E$20:$E933,"&gt;0",$E$20:$E933)*12,0),SUM($E$20:$E$31)))</f>
        <v>0</v>
      </c>
      <c r="AH933" s="13">
        <f>IF($AA933=10,$AG933*IF($AB933=12,IF($AG933&lt;IF($D$4="Forint",Paraméterek!$L$223,Paraméterek!$L$224),0,VLOOKUP($AA933,Paraméterek!$K$226:$M$228,IF($AG933&lt;IF($D$4="Forint",Paraméterek!$M$223,Paraméterek!$M$224),2,3))),0),0)</f>
        <v>0</v>
      </c>
      <c r="AI933" s="13">
        <f ca="1">IF(AND($AA933=$M$11+1,$AB933=$M$12+1),SUMIF($AA$20:$AA$1027,$AA933,$AG$20:$AG$1027)*IF(SUMIF($AA$20:$AA$1027,$AA933,$AG$20:$AG$1027)&lt;IF($D$4="Forint",Paraméterek!$L$223,Paraméterek!$L$224),0,VLOOKUP($AA933,Paraméterek!$K$230:$M$250,IF(SUMIF($AA$20:$AA$1027,$AA933,$AG$20:$AG$1027)&lt;IF($D$4="Forint",Paraméterek!$M$223,Paraméterek!$M$224),2,3))),0)</f>
        <v>0</v>
      </c>
      <c r="AJ933" s="13">
        <f ca="1">IF(AND($AA933&gt;=5,MOD($AA933,5)=0),IF($AB933=12,VLOOKUP($AA933,Paraméterek!$O$225:$P$240,2),0),IF(OR($AA933=3,$AA933=4),IF($AB933=12,VLOOKUP($AA933,Paraméterek!$O$225:$P$240,2,0),0),0))*$AG933</f>
        <v>0</v>
      </c>
      <c r="AK933" s="13">
        <f t="shared" ca="1" si="317"/>
        <v>0</v>
      </c>
      <c r="AL933" s="13">
        <f t="shared" ca="1" si="325"/>
        <v>0</v>
      </c>
      <c r="AM933" s="13">
        <f t="shared" ca="1" si="326"/>
        <v>0</v>
      </c>
      <c r="AO933" s="32">
        <v>914</v>
      </c>
      <c r="AP933" s="32">
        <v>77</v>
      </c>
      <c r="AQ933" s="32">
        <v>2</v>
      </c>
      <c r="AR933" s="13"/>
      <c r="AS933" s="32"/>
      <c r="AT933" s="13">
        <f t="shared" ca="1" si="327"/>
        <v>0</v>
      </c>
      <c r="AU933" s="33"/>
      <c r="AV933" s="13">
        <f t="shared" ca="1" si="318"/>
        <v>0</v>
      </c>
      <c r="AW933" s="13">
        <f ca="1">ROUNDUP(($AT933+$AV933)*VLOOKUP($AP933,Paraméterek!$P$38:$Q$38,2)/12*IF($D934="Nem",IF($M$13=0,1,$M$13),1),IF($D$4="Forint",0,2))</f>
        <v>0</v>
      </c>
      <c r="AX933" s="13"/>
      <c r="AY933" s="13"/>
      <c r="AZ933" s="13">
        <f>ROUNDUP(IF(SUM($AX933:$AY933)=0,0,IF(IF(ISBLANK($AY933),$AX933,$AY933)*Paraméterek!$J$112&lt;IF($D$4="Forint",Paraméterek!$J$113,Paraméterek!$K$113),IF($D$4="Forint",Paraméterek!$J$113,Paraméterek!$K$113),IF(IF(ISBLANK($AY933),$AX933,$AY933)*Paraméterek!$J$112&gt;IF($D$4="Forint",Paraméterek!$J$114,Paraméterek!$K$114),IF($D$4="Forint",Paraméterek!$J$114,Paraméterek!$K$114),IF(ISBLANK($AY933),$AX933,$AY933)*Paraméterek!$J$112))),IF($D$4="Forint",0,2))</f>
        <v>0</v>
      </c>
      <c r="BA933" s="13">
        <f ca="1">$AT933+$AV933-$AW933-IF(ROUNDDOWN(IF(ISBLANK($AY933),$AX933,$AY933),IF($D$4="Forint",0,2))&gt;$AT933+$AV933-$AW933-IF($D$4="Forint",Paraméterek!$J$114,Paraméterek!$K$114),0,ROUNDDOWN(IF(ISBLANK($AY933),$AX933,$AY933),IF($D$4="Forint",0,2))-$AZ933)</f>
        <v>0</v>
      </c>
      <c r="BB933" s="13">
        <f t="shared" ca="1" si="319"/>
        <v>0</v>
      </c>
      <c r="BD933" s="32">
        <v>914</v>
      </c>
      <c r="BE933" s="32">
        <v>77</v>
      </c>
      <c r="BF933" s="32">
        <v>2</v>
      </c>
      <c r="BG933" s="34">
        <f t="shared" ca="1" si="328"/>
        <v>2095</v>
      </c>
      <c r="BH933" s="32" t="str">
        <f ca="1">IF(MOD(MONTH($D$14)+$BD933-1,12)=Paraméterek!$C$288,"Igen","")</f>
        <v>Igen</v>
      </c>
      <c r="BI933" s="13">
        <f ca="1">IF($BH933="Igen",MIN(ROUNDDOWN((SUMIF($BG$20:$BG$1027,$BG933-1,$K$20:$K$1027)-SUMIF($BG$20:$BG$1027,$BG933-1,$I$20:$I$1027))*Paraméterek!$C$289,IF($D$4="Forint",0,2)),IF($D$4="Forint",Paraméterek!$C$285,Paraméterek!$D$285)),0)</f>
        <v>0</v>
      </c>
      <c r="BJ933" s="13">
        <f t="shared" ca="1" si="320"/>
        <v>0</v>
      </c>
      <c r="BK933" s="13">
        <f t="shared" ca="1" si="329"/>
        <v>0</v>
      </c>
      <c r="BL933" s="33"/>
      <c r="BM933" s="13">
        <f t="shared" ca="1" si="321"/>
        <v>0</v>
      </c>
      <c r="BN933" s="13">
        <f ca="1">ROUNDUP(($BK933+$BM933)*VLOOKUP($BE933,Paraméterek!$P$38:$Q$38,2)/12*IF($D934="Nem",IF($M$13=0,1,$M$13),1),IF($D$4="Forint",0,2))</f>
        <v>0</v>
      </c>
      <c r="BO933" s="13">
        <f t="shared" ca="1" si="322"/>
        <v>0</v>
      </c>
      <c r="BP933" s="13">
        <f ca="1">IF($D934="Nem",$BO933,$BO933-ROUNDUP(SUM($BI$20:$BI933)*120%,IF($D$4="Forint",0,2)))</f>
        <v>0</v>
      </c>
    </row>
    <row r="934" spans="1:68" x14ac:dyDescent="0.2">
      <c r="A934" s="32">
        <v>915</v>
      </c>
      <c r="B934" s="32">
        <v>77</v>
      </c>
      <c r="C934" s="32">
        <v>3</v>
      </c>
      <c r="D934" s="32" t="str">
        <f t="shared" ca="1" si="308"/>
        <v>Nem</v>
      </c>
      <c r="E934" s="13">
        <f t="shared" ca="1" si="309"/>
        <v>0</v>
      </c>
      <c r="F934" s="13"/>
      <c r="G934" s="13"/>
      <c r="H934" s="13"/>
      <c r="I934" s="13">
        <f t="shared" ca="1" si="310"/>
        <v>0</v>
      </c>
      <c r="J934" s="13">
        <f t="shared" ca="1" si="311"/>
        <v>0</v>
      </c>
      <c r="K934" s="13">
        <f t="shared" ca="1" si="312"/>
        <v>0</v>
      </c>
      <c r="L934" s="13" t="e">
        <f ca="1">ROUNDUP(IF($D$2="Egyszeri",$E934,IF($D$2="Havi",SUM($E$20:$E$31),IF(MOD($C934,$M$1)-1=0,SUM($E$20:$E$31),0))/12*$M$1)*VLOOKUP($B934,Paraméterek!$I$28:$P$31,IF($D$2="Egyszeri",8,HLOOKUP(ROUNDUP($M$11+$M$13,0),Paraméterek!$J$26:$O$27,2))),IF($D$4="Forint",0,2))</f>
        <v>#N/A</v>
      </c>
      <c r="M934" s="13">
        <f t="shared" ca="1" si="313"/>
        <v>0</v>
      </c>
      <c r="N934" s="13">
        <f t="shared" ca="1" si="323"/>
        <v>0</v>
      </c>
      <c r="O934" s="13">
        <f ca="1">IF($D934="Igen",IF($W933&gt;=IF($D$4="Forint",Paraméterek!$J$121,Paraméterek!$K$121),0,IF($D$4="Forint",Paraméterek!$J$121,Paraméterek!$K$121)-$W933),0)</f>
        <v>0</v>
      </c>
      <c r="P934" s="13" t="e">
        <f ca="1">ROUNDUP($O934*VLOOKUP($M$4+$B934-1,Paraméterek!$H$58:$I$105,2,0)/Paraméterek!$I$56,IF($D$4="Forint",0,2))</f>
        <v>#N/A</v>
      </c>
      <c r="Q934" s="13">
        <f t="shared" ca="1" si="314"/>
        <v>0</v>
      </c>
      <c r="R934" s="33"/>
      <c r="S934" s="13" t="e">
        <f t="shared" ca="1" si="315"/>
        <v>#N/A</v>
      </c>
      <c r="T934" s="13" t="e">
        <f ca="1">ROUNDUP(($N934-$P934-$Q934+$S934)*VLOOKUP($B934,Paraméterek!$I$38:$K$39,IF($D$2="Egyszeri",3,2))/12*IF($D935="Nem",IF($M$13=0,1,$M$13),1),IF($D$4="Forint",0,2))</f>
        <v>#N/A</v>
      </c>
      <c r="U934" s="13"/>
      <c r="V934" s="13"/>
      <c r="W934" s="13" t="e">
        <f ca="1">$N934-$P934-$Q934+$S934-$T934-IF(ROUNDUP(IF(ISBLANK($V934),$U934*0,$V934)/IF($D$2="Egyszeri",VLOOKUP($B934+IF($C934=12,1,0),Paraméterek!$V$257:$W$262,2),IF($B934=1,1,VLOOKUP($B934+IF($C934=12,1,0),Paraméterek!$I$258:$T$278,HLOOKUP($M$11+1,Paraméterek!$J$256:$T$257,2)))),IF($D$4="Forint",0,2))&gt;$N934-$P934-$Q934+$S934-$T934-IF($D$4="Forint",Paraméterek!$C$216,Paraméterek!$D$216),0,ROUNDUP(IF(ISBLANK($V934),$U934*0,$V934)/IF($D$2="Egyszeri",VLOOKUP($B934+IF($C934=12,1,0),Paraméterek!$V$257:$W$262,2),IF($B934=1,1,VLOOKUP($B934+IF($C934=12,1,0),Paraméterek!$I$258:$T$278,HLOOKUP($M$11+1,Paraméterek!$J$256:$T$257,2)))),IF($D$4="Forint",0,2)))</f>
        <v>#N/A</v>
      </c>
      <c r="X934" s="13" t="e">
        <f ca="1">ROUNDDOWN($W934*IF($D$2="Egyszeri",VLOOKUP($B934+IF($C934=12,1,0),Paraméterek!$V$257:$W$262,2),VLOOKUP($B934+IF($C934=12,1,0),Paraméterek!$I$258:$T$278,HLOOKUP($M$11+1,Paraméterek!$I$256:$T$257,2))),IF($D$4="Forint",0,2))</f>
        <v>#N/A</v>
      </c>
      <c r="Z934" s="32">
        <v>915</v>
      </c>
      <c r="AA934" s="32">
        <v>77</v>
      </c>
      <c r="AB934" s="32">
        <v>3</v>
      </c>
      <c r="AC934" s="13">
        <f t="shared" ca="1" si="324"/>
        <v>0</v>
      </c>
      <c r="AD934" s="33"/>
      <c r="AE934" s="13">
        <f t="shared" ca="1" si="316"/>
        <v>0</v>
      </c>
      <c r="AF934" s="13">
        <f ca="1">ROUNDUP(($AC934+$AE934)*VLOOKUP($AA934,Paraméterek!$P$38:$Q$38,2)/12*IF($D935="Nem",IF($M$13=0,1,$M$13),1),IF($D$4="Forint",0,2))</f>
        <v>0</v>
      </c>
      <c r="AG934" s="13">
        <f ca="1">IF($D$2="Egyszeri",IF($D$7&gt;=IF($D$4="Forint",Paraméterek!$P$223,Paraméterek!$P$224),$D$7-IF($D$4="Forint",Paraméterek!$P$223,Paraméterek!$P$224),0),MIN(IF($AB934=12,AVERAGEIF($E$20:$E934,"&gt;0",$E$20:$E934)*12,0),SUM($E$20:$E$31)))</f>
        <v>0</v>
      </c>
      <c r="AH934" s="13">
        <f>IF($AA934=10,$AG934*IF($AB934=12,IF($AG934&lt;IF($D$4="Forint",Paraméterek!$L$223,Paraméterek!$L$224),0,VLOOKUP($AA934,Paraméterek!$K$226:$M$228,IF($AG934&lt;IF($D$4="Forint",Paraméterek!$M$223,Paraméterek!$M$224),2,3))),0),0)</f>
        <v>0</v>
      </c>
      <c r="AI934" s="13">
        <f ca="1">IF(AND($AA934=$M$11+1,$AB934=$M$12+1),SUMIF($AA$20:$AA$1027,$AA934,$AG$20:$AG$1027)*IF(SUMIF($AA$20:$AA$1027,$AA934,$AG$20:$AG$1027)&lt;IF($D$4="Forint",Paraméterek!$L$223,Paraméterek!$L$224),0,VLOOKUP($AA934,Paraméterek!$K$230:$M$250,IF(SUMIF($AA$20:$AA$1027,$AA934,$AG$20:$AG$1027)&lt;IF($D$4="Forint",Paraméterek!$M$223,Paraméterek!$M$224),2,3))),0)</f>
        <v>0</v>
      </c>
      <c r="AJ934" s="13">
        <f ca="1">IF(AND($AA934&gt;=5,MOD($AA934,5)=0),IF($AB934=12,VLOOKUP($AA934,Paraméterek!$O$225:$P$240,2),0),IF(OR($AA934=3,$AA934=4),IF($AB934=12,VLOOKUP($AA934,Paraméterek!$O$225:$P$240,2,0),0),0))*$AG934</f>
        <v>0</v>
      </c>
      <c r="AK934" s="13">
        <f t="shared" ca="1" si="317"/>
        <v>0</v>
      </c>
      <c r="AL934" s="13">
        <f t="shared" ca="1" si="325"/>
        <v>0</v>
      </c>
      <c r="AM934" s="13">
        <f t="shared" ca="1" si="326"/>
        <v>0</v>
      </c>
      <c r="AO934" s="32">
        <v>915</v>
      </c>
      <c r="AP934" s="32">
        <v>77</v>
      </c>
      <c r="AQ934" s="32">
        <v>3</v>
      </c>
      <c r="AR934" s="13"/>
      <c r="AS934" s="32"/>
      <c r="AT934" s="13">
        <f t="shared" ca="1" si="327"/>
        <v>0</v>
      </c>
      <c r="AU934" s="33"/>
      <c r="AV934" s="13">
        <f t="shared" ca="1" si="318"/>
        <v>0</v>
      </c>
      <c r="AW934" s="13">
        <f ca="1">ROUNDUP(($AT934+$AV934)*VLOOKUP($AP934,Paraméterek!$P$38:$Q$38,2)/12*IF($D935="Nem",IF($M$13=0,1,$M$13),1),IF($D$4="Forint",0,2))</f>
        <v>0</v>
      </c>
      <c r="AX934" s="13"/>
      <c r="AY934" s="13"/>
      <c r="AZ934" s="13">
        <f>ROUNDUP(IF(SUM($AX934:$AY934)=0,0,IF(IF(ISBLANK($AY934),$AX934,$AY934)*Paraméterek!$J$112&lt;IF($D$4="Forint",Paraméterek!$J$113,Paraméterek!$K$113),IF($D$4="Forint",Paraméterek!$J$113,Paraméterek!$K$113),IF(IF(ISBLANK($AY934),$AX934,$AY934)*Paraméterek!$J$112&gt;IF($D$4="Forint",Paraméterek!$J$114,Paraméterek!$K$114),IF($D$4="Forint",Paraméterek!$J$114,Paraméterek!$K$114),IF(ISBLANK($AY934),$AX934,$AY934)*Paraméterek!$J$112))),IF($D$4="Forint",0,2))</f>
        <v>0</v>
      </c>
      <c r="BA934" s="13">
        <f ca="1">$AT934+$AV934-$AW934-IF(ROUNDDOWN(IF(ISBLANK($AY934),$AX934,$AY934),IF($D$4="Forint",0,2))&gt;$AT934+$AV934-$AW934-IF($D$4="Forint",Paraméterek!$J$114,Paraméterek!$K$114),0,ROUNDDOWN(IF(ISBLANK($AY934),$AX934,$AY934),IF($D$4="Forint",0,2))-$AZ934)</f>
        <v>0</v>
      </c>
      <c r="BB934" s="13">
        <f t="shared" ca="1" si="319"/>
        <v>0</v>
      </c>
      <c r="BD934" s="32">
        <v>915</v>
      </c>
      <c r="BE934" s="32">
        <v>77</v>
      </c>
      <c r="BF934" s="32">
        <v>3</v>
      </c>
      <c r="BG934" s="34">
        <f t="shared" ca="1" si="328"/>
        <v>2095</v>
      </c>
      <c r="BH934" s="32" t="str">
        <f ca="1">IF(MOD(MONTH($D$14)+$BD934-1,12)=Paraméterek!$C$288,"Igen","")</f>
        <v/>
      </c>
      <c r="BI934" s="13">
        <f ca="1">IF($BH934="Igen",MIN(ROUNDDOWN((SUMIF($BG$20:$BG$1027,$BG934-1,$K$20:$K$1027)-SUMIF($BG$20:$BG$1027,$BG934-1,$I$20:$I$1027))*Paraméterek!$C$289,IF($D$4="Forint",0,2)),IF($D$4="Forint",Paraméterek!$C$285,Paraméterek!$D$285)),0)</f>
        <v>0</v>
      </c>
      <c r="BJ934" s="13">
        <f t="shared" ca="1" si="320"/>
        <v>0</v>
      </c>
      <c r="BK934" s="13">
        <f t="shared" ca="1" si="329"/>
        <v>0</v>
      </c>
      <c r="BL934" s="33"/>
      <c r="BM934" s="13">
        <f t="shared" ca="1" si="321"/>
        <v>0</v>
      </c>
      <c r="BN934" s="13">
        <f ca="1">ROUNDUP(($BK934+$BM934)*VLOOKUP($BE934,Paraméterek!$P$38:$Q$38,2)/12*IF($D935="Nem",IF($M$13=0,1,$M$13),1),IF($D$4="Forint",0,2))</f>
        <v>0</v>
      </c>
      <c r="BO934" s="13">
        <f t="shared" ca="1" si="322"/>
        <v>0</v>
      </c>
      <c r="BP934" s="13">
        <f ca="1">IF($D935="Nem",$BO934,$BO934-ROUNDUP(SUM($BI$20:$BI934)*120%,IF($D$4="Forint",0,2)))</f>
        <v>0</v>
      </c>
    </row>
    <row r="935" spans="1:68" x14ac:dyDescent="0.2">
      <c r="A935" s="32">
        <v>916</v>
      </c>
      <c r="B935" s="32">
        <v>77</v>
      </c>
      <c r="C935" s="32">
        <v>4</v>
      </c>
      <c r="D935" s="32" t="str">
        <f t="shared" ca="1" si="308"/>
        <v>Nem</v>
      </c>
      <c r="E935" s="13">
        <f t="shared" ca="1" si="309"/>
        <v>0</v>
      </c>
      <c r="F935" s="13"/>
      <c r="G935" s="13"/>
      <c r="H935" s="13"/>
      <c r="I935" s="13">
        <f t="shared" ca="1" si="310"/>
        <v>0</v>
      </c>
      <c r="J935" s="13">
        <f t="shared" ca="1" si="311"/>
        <v>0</v>
      </c>
      <c r="K935" s="13">
        <f t="shared" ca="1" si="312"/>
        <v>0</v>
      </c>
      <c r="L935" s="13" t="e">
        <f ca="1">ROUNDUP(IF($D$2="Egyszeri",$E935,IF($D$2="Havi",SUM($E$20:$E$31),IF(MOD($C935,$M$1)-1=0,SUM($E$20:$E$31),0))/12*$M$1)*VLOOKUP($B935,Paraméterek!$I$28:$P$31,IF($D$2="Egyszeri",8,HLOOKUP(ROUNDUP($M$11+$M$13,0),Paraméterek!$J$26:$O$27,2))),IF($D$4="Forint",0,2))</f>
        <v>#N/A</v>
      </c>
      <c r="M935" s="13">
        <f t="shared" ca="1" si="313"/>
        <v>0</v>
      </c>
      <c r="N935" s="13">
        <f t="shared" ca="1" si="323"/>
        <v>0</v>
      </c>
      <c r="O935" s="13">
        <f ca="1">IF($D935="Igen",IF($W934&gt;=IF($D$4="Forint",Paraméterek!$J$121,Paraméterek!$K$121),0,IF($D$4="Forint",Paraméterek!$J$121,Paraméterek!$K$121)-$W934),0)</f>
        <v>0</v>
      </c>
      <c r="P935" s="13" t="e">
        <f ca="1">ROUNDUP($O935*VLOOKUP($M$4+$B935-1,Paraméterek!$H$58:$I$105,2,0)/Paraméterek!$I$56,IF($D$4="Forint",0,2))</f>
        <v>#N/A</v>
      </c>
      <c r="Q935" s="13">
        <f t="shared" ca="1" si="314"/>
        <v>0</v>
      </c>
      <c r="R935" s="33"/>
      <c r="S935" s="13" t="e">
        <f t="shared" ca="1" si="315"/>
        <v>#N/A</v>
      </c>
      <c r="T935" s="13" t="e">
        <f ca="1">ROUNDUP(($N935-$P935-$Q935+$S935)*VLOOKUP($B935,Paraméterek!$I$38:$K$39,IF($D$2="Egyszeri",3,2))/12*IF($D936="Nem",IF($M$13=0,1,$M$13),1),IF($D$4="Forint",0,2))</f>
        <v>#N/A</v>
      </c>
      <c r="U935" s="13"/>
      <c r="V935" s="13"/>
      <c r="W935" s="13" t="e">
        <f ca="1">$N935-$P935-$Q935+$S935-$T935-IF(ROUNDUP(IF(ISBLANK($V935),$U935*0,$V935)/IF($D$2="Egyszeri",VLOOKUP($B935+IF($C935=12,1,0),Paraméterek!$V$257:$W$262,2),IF($B935=1,1,VLOOKUP($B935+IF($C935=12,1,0),Paraméterek!$I$258:$T$278,HLOOKUP($M$11+1,Paraméterek!$J$256:$T$257,2)))),IF($D$4="Forint",0,2))&gt;$N935-$P935-$Q935+$S935-$T935-IF($D$4="Forint",Paraméterek!$C$216,Paraméterek!$D$216),0,ROUNDUP(IF(ISBLANK($V935),$U935*0,$V935)/IF($D$2="Egyszeri",VLOOKUP($B935+IF($C935=12,1,0),Paraméterek!$V$257:$W$262,2),IF($B935=1,1,VLOOKUP($B935+IF($C935=12,1,0),Paraméterek!$I$258:$T$278,HLOOKUP($M$11+1,Paraméterek!$J$256:$T$257,2)))),IF($D$4="Forint",0,2)))</f>
        <v>#N/A</v>
      </c>
      <c r="X935" s="13" t="e">
        <f ca="1">ROUNDDOWN($W935*IF($D$2="Egyszeri",VLOOKUP($B935+IF($C935=12,1,0),Paraméterek!$V$257:$W$262,2),VLOOKUP($B935+IF($C935=12,1,0),Paraméterek!$I$258:$T$278,HLOOKUP($M$11+1,Paraméterek!$I$256:$T$257,2))),IF($D$4="Forint",0,2))</f>
        <v>#N/A</v>
      </c>
      <c r="Z935" s="32">
        <v>916</v>
      </c>
      <c r="AA935" s="32">
        <v>77</v>
      </c>
      <c r="AB935" s="32">
        <v>4</v>
      </c>
      <c r="AC935" s="13">
        <f t="shared" ca="1" si="324"/>
        <v>0</v>
      </c>
      <c r="AD935" s="33"/>
      <c r="AE935" s="13">
        <f t="shared" ca="1" si="316"/>
        <v>0</v>
      </c>
      <c r="AF935" s="13">
        <f ca="1">ROUNDUP(($AC935+$AE935)*VLOOKUP($AA935,Paraméterek!$P$38:$Q$38,2)/12*IF($D936="Nem",IF($M$13=0,1,$M$13),1),IF($D$4="Forint",0,2))</f>
        <v>0</v>
      </c>
      <c r="AG935" s="13">
        <f ca="1">IF($D$2="Egyszeri",IF($D$7&gt;=IF($D$4="Forint",Paraméterek!$P$223,Paraméterek!$P$224),$D$7-IF($D$4="Forint",Paraméterek!$P$223,Paraméterek!$P$224),0),MIN(IF($AB935=12,AVERAGEIF($E$20:$E935,"&gt;0",$E$20:$E935)*12,0),SUM($E$20:$E$31)))</f>
        <v>0</v>
      </c>
      <c r="AH935" s="13">
        <f>IF($AA935=10,$AG935*IF($AB935=12,IF($AG935&lt;IF($D$4="Forint",Paraméterek!$L$223,Paraméterek!$L$224),0,VLOOKUP($AA935,Paraméterek!$K$226:$M$228,IF($AG935&lt;IF($D$4="Forint",Paraméterek!$M$223,Paraméterek!$M$224),2,3))),0),0)</f>
        <v>0</v>
      </c>
      <c r="AI935" s="13">
        <f ca="1">IF(AND($AA935=$M$11+1,$AB935=$M$12+1),SUMIF($AA$20:$AA$1027,$AA935,$AG$20:$AG$1027)*IF(SUMIF($AA$20:$AA$1027,$AA935,$AG$20:$AG$1027)&lt;IF($D$4="Forint",Paraméterek!$L$223,Paraméterek!$L$224),0,VLOOKUP($AA935,Paraméterek!$K$230:$M$250,IF(SUMIF($AA$20:$AA$1027,$AA935,$AG$20:$AG$1027)&lt;IF($D$4="Forint",Paraméterek!$M$223,Paraméterek!$M$224),2,3))),0)</f>
        <v>0</v>
      </c>
      <c r="AJ935" s="13">
        <f ca="1">IF(AND($AA935&gt;=5,MOD($AA935,5)=0),IF($AB935=12,VLOOKUP($AA935,Paraméterek!$O$225:$P$240,2),0),IF(OR($AA935=3,$AA935=4),IF($AB935=12,VLOOKUP($AA935,Paraméterek!$O$225:$P$240,2,0),0),0))*$AG935</f>
        <v>0</v>
      </c>
      <c r="AK935" s="13">
        <f t="shared" ca="1" si="317"/>
        <v>0</v>
      </c>
      <c r="AL935" s="13">
        <f t="shared" ca="1" si="325"/>
        <v>0</v>
      </c>
      <c r="AM935" s="13">
        <f t="shared" ca="1" si="326"/>
        <v>0</v>
      </c>
      <c r="AO935" s="32">
        <v>916</v>
      </c>
      <c r="AP935" s="32">
        <v>77</v>
      </c>
      <c r="AQ935" s="32">
        <v>4</v>
      </c>
      <c r="AR935" s="13"/>
      <c r="AS935" s="32"/>
      <c r="AT935" s="13">
        <f t="shared" ca="1" si="327"/>
        <v>0</v>
      </c>
      <c r="AU935" s="33"/>
      <c r="AV935" s="13">
        <f t="shared" ca="1" si="318"/>
        <v>0</v>
      </c>
      <c r="AW935" s="13">
        <f ca="1">ROUNDUP(($AT935+$AV935)*VLOOKUP($AP935,Paraméterek!$P$38:$Q$38,2)/12*IF($D936="Nem",IF($M$13=0,1,$M$13),1),IF($D$4="Forint",0,2))</f>
        <v>0</v>
      </c>
      <c r="AX935" s="13"/>
      <c r="AY935" s="13"/>
      <c r="AZ935" s="13">
        <f>ROUNDUP(IF(SUM($AX935:$AY935)=0,0,IF(IF(ISBLANK($AY935),$AX935,$AY935)*Paraméterek!$J$112&lt;IF($D$4="Forint",Paraméterek!$J$113,Paraméterek!$K$113),IF($D$4="Forint",Paraméterek!$J$113,Paraméterek!$K$113),IF(IF(ISBLANK($AY935),$AX935,$AY935)*Paraméterek!$J$112&gt;IF($D$4="Forint",Paraméterek!$J$114,Paraméterek!$K$114),IF($D$4="Forint",Paraméterek!$J$114,Paraméterek!$K$114),IF(ISBLANK($AY935),$AX935,$AY935)*Paraméterek!$J$112))),IF($D$4="Forint",0,2))</f>
        <v>0</v>
      </c>
      <c r="BA935" s="13">
        <f ca="1">$AT935+$AV935-$AW935-IF(ROUNDDOWN(IF(ISBLANK($AY935),$AX935,$AY935),IF($D$4="Forint",0,2))&gt;$AT935+$AV935-$AW935-IF($D$4="Forint",Paraméterek!$J$114,Paraméterek!$K$114),0,ROUNDDOWN(IF(ISBLANK($AY935),$AX935,$AY935),IF($D$4="Forint",0,2))-$AZ935)</f>
        <v>0</v>
      </c>
      <c r="BB935" s="13">
        <f t="shared" ca="1" si="319"/>
        <v>0</v>
      </c>
      <c r="BD935" s="32">
        <v>916</v>
      </c>
      <c r="BE935" s="32">
        <v>77</v>
      </c>
      <c r="BF935" s="32">
        <v>4</v>
      </c>
      <c r="BG935" s="34">
        <f t="shared" ca="1" si="328"/>
        <v>2095</v>
      </c>
      <c r="BH935" s="32" t="str">
        <f ca="1">IF(MOD(MONTH($D$14)+$BD935-1,12)=Paraméterek!$C$288,"Igen","")</f>
        <v/>
      </c>
      <c r="BI935" s="13">
        <f ca="1">IF($BH935="Igen",MIN(ROUNDDOWN((SUMIF($BG$20:$BG$1027,$BG935-1,$K$20:$K$1027)-SUMIF($BG$20:$BG$1027,$BG935-1,$I$20:$I$1027))*Paraméterek!$C$289,IF($D$4="Forint",0,2)),IF($D$4="Forint",Paraméterek!$C$285,Paraméterek!$D$285)),0)</f>
        <v>0</v>
      </c>
      <c r="BJ935" s="13">
        <f t="shared" ca="1" si="320"/>
        <v>0</v>
      </c>
      <c r="BK935" s="13">
        <f t="shared" ca="1" si="329"/>
        <v>0</v>
      </c>
      <c r="BL935" s="33"/>
      <c r="BM935" s="13">
        <f t="shared" ca="1" si="321"/>
        <v>0</v>
      </c>
      <c r="BN935" s="13">
        <f ca="1">ROUNDUP(($BK935+$BM935)*VLOOKUP($BE935,Paraméterek!$P$38:$Q$38,2)/12*IF($D936="Nem",IF($M$13=0,1,$M$13),1),IF($D$4="Forint",0,2))</f>
        <v>0</v>
      </c>
      <c r="BO935" s="13">
        <f t="shared" ca="1" si="322"/>
        <v>0</v>
      </c>
      <c r="BP935" s="13">
        <f ca="1">IF($D936="Nem",$BO935,$BO935-ROUNDUP(SUM($BI$20:$BI935)*120%,IF($D$4="Forint",0,2)))</f>
        <v>0</v>
      </c>
    </row>
    <row r="936" spans="1:68" x14ac:dyDescent="0.2">
      <c r="A936" s="32">
        <v>917</v>
      </c>
      <c r="B936" s="32">
        <v>77</v>
      </c>
      <c r="C936" s="32">
        <v>5</v>
      </c>
      <c r="D936" s="32" t="str">
        <f t="shared" ca="1" si="308"/>
        <v>Nem</v>
      </c>
      <c r="E936" s="13">
        <f t="shared" ca="1" si="309"/>
        <v>0</v>
      </c>
      <c r="F936" s="13"/>
      <c r="G936" s="13"/>
      <c r="H936" s="13"/>
      <c r="I936" s="13">
        <f t="shared" ca="1" si="310"/>
        <v>0</v>
      </c>
      <c r="J936" s="13">
        <f t="shared" ca="1" si="311"/>
        <v>0</v>
      </c>
      <c r="K936" s="13">
        <f t="shared" ca="1" si="312"/>
        <v>0</v>
      </c>
      <c r="L936" s="13" t="e">
        <f ca="1">ROUNDUP(IF($D$2="Egyszeri",$E936,IF($D$2="Havi",SUM($E$20:$E$31),IF(MOD($C936,$M$1)-1=0,SUM($E$20:$E$31),0))/12*$M$1)*VLOOKUP($B936,Paraméterek!$I$28:$P$31,IF($D$2="Egyszeri",8,HLOOKUP(ROUNDUP($M$11+$M$13,0),Paraméterek!$J$26:$O$27,2))),IF($D$4="Forint",0,2))</f>
        <v>#N/A</v>
      </c>
      <c r="M936" s="13">
        <f t="shared" ca="1" si="313"/>
        <v>0</v>
      </c>
      <c r="N936" s="13">
        <f t="shared" ca="1" si="323"/>
        <v>0</v>
      </c>
      <c r="O936" s="13">
        <f ca="1">IF($D936="Igen",IF($W935&gt;=IF($D$4="Forint",Paraméterek!$J$121,Paraméterek!$K$121),0,IF($D$4="Forint",Paraméterek!$J$121,Paraméterek!$K$121)-$W935),0)</f>
        <v>0</v>
      </c>
      <c r="P936" s="13" t="e">
        <f ca="1">ROUNDUP($O936*VLOOKUP($M$4+$B936-1,Paraméterek!$H$58:$I$105,2,0)/Paraméterek!$I$56,IF($D$4="Forint",0,2))</f>
        <v>#N/A</v>
      </c>
      <c r="Q936" s="13">
        <f t="shared" ca="1" si="314"/>
        <v>0</v>
      </c>
      <c r="R936" s="33"/>
      <c r="S936" s="13" t="e">
        <f t="shared" ca="1" si="315"/>
        <v>#N/A</v>
      </c>
      <c r="T936" s="13" t="e">
        <f ca="1">ROUNDUP(($N936-$P936-$Q936+$S936)*VLOOKUP($B936,Paraméterek!$I$38:$K$39,IF($D$2="Egyszeri",3,2))/12*IF($D937="Nem",IF($M$13=0,1,$M$13),1),IF($D$4="Forint",0,2))</f>
        <v>#N/A</v>
      </c>
      <c r="U936" s="13"/>
      <c r="V936" s="13"/>
      <c r="W936" s="13" t="e">
        <f ca="1">$N936-$P936-$Q936+$S936-$T936-IF(ROUNDUP(IF(ISBLANK($V936),$U936*0,$V936)/IF($D$2="Egyszeri",VLOOKUP($B936+IF($C936=12,1,0),Paraméterek!$V$257:$W$262,2),IF($B936=1,1,VLOOKUP($B936+IF($C936=12,1,0),Paraméterek!$I$258:$T$278,HLOOKUP($M$11+1,Paraméterek!$J$256:$T$257,2)))),IF($D$4="Forint",0,2))&gt;$N936-$P936-$Q936+$S936-$T936-IF($D$4="Forint",Paraméterek!$C$216,Paraméterek!$D$216),0,ROUNDUP(IF(ISBLANK($V936),$U936*0,$V936)/IF($D$2="Egyszeri",VLOOKUP($B936+IF($C936=12,1,0),Paraméterek!$V$257:$W$262,2),IF($B936=1,1,VLOOKUP($B936+IF($C936=12,1,0),Paraméterek!$I$258:$T$278,HLOOKUP($M$11+1,Paraméterek!$J$256:$T$257,2)))),IF($D$4="Forint",0,2)))</f>
        <v>#N/A</v>
      </c>
      <c r="X936" s="13" t="e">
        <f ca="1">ROUNDDOWN($W936*IF($D$2="Egyszeri",VLOOKUP($B936+IF($C936=12,1,0),Paraméterek!$V$257:$W$262,2),VLOOKUP($B936+IF($C936=12,1,0),Paraméterek!$I$258:$T$278,HLOOKUP($M$11+1,Paraméterek!$I$256:$T$257,2))),IF($D$4="Forint",0,2))</f>
        <v>#N/A</v>
      </c>
      <c r="Z936" s="32">
        <v>917</v>
      </c>
      <c r="AA936" s="32">
        <v>77</v>
      </c>
      <c r="AB936" s="32">
        <v>5</v>
      </c>
      <c r="AC936" s="13">
        <f t="shared" ca="1" si="324"/>
        <v>0</v>
      </c>
      <c r="AD936" s="33"/>
      <c r="AE936" s="13">
        <f t="shared" ca="1" si="316"/>
        <v>0</v>
      </c>
      <c r="AF936" s="13">
        <f ca="1">ROUNDUP(($AC936+$AE936)*VLOOKUP($AA936,Paraméterek!$P$38:$Q$38,2)/12*IF($D937="Nem",IF($M$13=0,1,$M$13),1),IF($D$4="Forint",0,2))</f>
        <v>0</v>
      </c>
      <c r="AG936" s="13">
        <f ca="1">IF($D$2="Egyszeri",IF($D$7&gt;=IF($D$4="Forint",Paraméterek!$P$223,Paraméterek!$P$224),$D$7-IF($D$4="Forint",Paraméterek!$P$223,Paraméterek!$P$224),0),MIN(IF($AB936=12,AVERAGEIF($E$20:$E936,"&gt;0",$E$20:$E936)*12,0),SUM($E$20:$E$31)))</f>
        <v>0</v>
      </c>
      <c r="AH936" s="13">
        <f>IF($AA936=10,$AG936*IF($AB936=12,IF($AG936&lt;IF($D$4="Forint",Paraméterek!$L$223,Paraméterek!$L$224),0,VLOOKUP($AA936,Paraméterek!$K$226:$M$228,IF($AG936&lt;IF($D$4="Forint",Paraméterek!$M$223,Paraméterek!$M$224),2,3))),0),0)</f>
        <v>0</v>
      </c>
      <c r="AI936" s="13">
        <f ca="1">IF(AND($AA936=$M$11+1,$AB936=$M$12+1),SUMIF($AA$20:$AA$1027,$AA936,$AG$20:$AG$1027)*IF(SUMIF($AA$20:$AA$1027,$AA936,$AG$20:$AG$1027)&lt;IF($D$4="Forint",Paraméterek!$L$223,Paraméterek!$L$224),0,VLOOKUP($AA936,Paraméterek!$K$230:$M$250,IF(SUMIF($AA$20:$AA$1027,$AA936,$AG$20:$AG$1027)&lt;IF($D$4="Forint",Paraméterek!$M$223,Paraméterek!$M$224),2,3))),0)</f>
        <v>0</v>
      </c>
      <c r="AJ936" s="13">
        <f ca="1">IF(AND($AA936&gt;=5,MOD($AA936,5)=0),IF($AB936=12,VLOOKUP($AA936,Paraméterek!$O$225:$P$240,2),0),IF(OR($AA936=3,$AA936=4),IF($AB936=12,VLOOKUP($AA936,Paraméterek!$O$225:$P$240,2,0),0),0))*$AG936</f>
        <v>0</v>
      </c>
      <c r="AK936" s="13">
        <f t="shared" ca="1" si="317"/>
        <v>0</v>
      </c>
      <c r="AL936" s="13">
        <f t="shared" ca="1" si="325"/>
        <v>0</v>
      </c>
      <c r="AM936" s="13">
        <f t="shared" ca="1" si="326"/>
        <v>0</v>
      </c>
      <c r="AO936" s="32">
        <v>917</v>
      </c>
      <c r="AP936" s="32">
        <v>77</v>
      </c>
      <c r="AQ936" s="32">
        <v>5</v>
      </c>
      <c r="AR936" s="13"/>
      <c r="AS936" s="32"/>
      <c r="AT936" s="13">
        <f t="shared" ca="1" si="327"/>
        <v>0</v>
      </c>
      <c r="AU936" s="33"/>
      <c r="AV936" s="13">
        <f t="shared" ca="1" si="318"/>
        <v>0</v>
      </c>
      <c r="AW936" s="13">
        <f ca="1">ROUNDUP(($AT936+$AV936)*VLOOKUP($AP936,Paraméterek!$P$38:$Q$38,2)/12*IF($D937="Nem",IF($M$13=0,1,$M$13),1),IF($D$4="Forint",0,2))</f>
        <v>0</v>
      </c>
      <c r="AX936" s="13"/>
      <c r="AY936" s="13"/>
      <c r="AZ936" s="13">
        <f>ROUNDUP(IF(SUM($AX936:$AY936)=0,0,IF(IF(ISBLANK($AY936),$AX936,$AY936)*Paraméterek!$J$112&lt;IF($D$4="Forint",Paraméterek!$J$113,Paraméterek!$K$113),IF($D$4="Forint",Paraméterek!$J$113,Paraméterek!$K$113),IF(IF(ISBLANK($AY936),$AX936,$AY936)*Paraméterek!$J$112&gt;IF($D$4="Forint",Paraméterek!$J$114,Paraméterek!$K$114),IF($D$4="Forint",Paraméterek!$J$114,Paraméterek!$K$114),IF(ISBLANK($AY936),$AX936,$AY936)*Paraméterek!$J$112))),IF($D$4="Forint",0,2))</f>
        <v>0</v>
      </c>
      <c r="BA936" s="13">
        <f ca="1">$AT936+$AV936-$AW936-IF(ROUNDDOWN(IF(ISBLANK($AY936),$AX936,$AY936),IF($D$4="Forint",0,2))&gt;$AT936+$AV936-$AW936-IF($D$4="Forint",Paraméterek!$J$114,Paraméterek!$K$114),0,ROUNDDOWN(IF(ISBLANK($AY936),$AX936,$AY936),IF($D$4="Forint",0,2))-$AZ936)</f>
        <v>0</v>
      </c>
      <c r="BB936" s="13">
        <f t="shared" ca="1" si="319"/>
        <v>0</v>
      </c>
      <c r="BD936" s="32">
        <v>917</v>
      </c>
      <c r="BE936" s="32">
        <v>77</v>
      </c>
      <c r="BF936" s="32">
        <v>5</v>
      </c>
      <c r="BG936" s="34">
        <f t="shared" ca="1" si="328"/>
        <v>2095</v>
      </c>
      <c r="BH936" s="32" t="str">
        <f ca="1">IF(MOD(MONTH($D$14)+$BD936-1,12)=Paraméterek!$C$288,"Igen","")</f>
        <v/>
      </c>
      <c r="BI936" s="13">
        <f ca="1">IF($BH936="Igen",MIN(ROUNDDOWN((SUMIF($BG$20:$BG$1027,$BG936-1,$K$20:$K$1027)-SUMIF($BG$20:$BG$1027,$BG936-1,$I$20:$I$1027))*Paraméterek!$C$289,IF($D$4="Forint",0,2)),IF($D$4="Forint",Paraméterek!$C$285,Paraméterek!$D$285)),0)</f>
        <v>0</v>
      </c>
      <c r="BJ936" s="13">
        <f t="shared" ca="1" si="320"/>
        <v>0</v>
      </c>
      <c r="BK936" s="13">
        <f t="shared" ca="1" si="329"/>
        <v>0</v>
      </c>
      <c r="BL936" s="33"/>
      <c r="BM936" s="13">
        <f t="shared" ca="1" si="321"/>
        <v>0</v>
      </c>
      <c r="BN936" s="13">
        <f ca="1">ROUNDUP(($BK936+$BM936)*VLOOKUP($BE936,Paraméterek!$P$38:$Q$38,2)/12*IF($D937="Nem",IF($M$13=0,1,$M$13),1),IF($D$4="Forint",0,2))</f>
        <v>0</v>
      </c>
      <c r="BO936" s="13">
        <f t="shared" ca="1" si="322"/>
        <v>0</v>
      </c>
      <c r="BP936" s="13">
        <f ca="1">IF($D937="Nem",$BO936,$BO936-ROUNDUP(SUM($BI$20:$BI936)*120%,IF($D$4="Forint",0,2)))</f>
        <v>0</v>
      </c>
    </row>
    <row r="937" spans="1:68" x14ac:dyDescent="0.2">
      <c r="A937" s="32">
        <v>918</v>
      </c>
      <c r="B937" s="32">
        <v>77</v>
      </c>
      <c r="C937" s="32">
        <v>6</v>
      </c>
      <c r="D937" s="32" t="str">
        <f t="shared" ca="1" si="308"/>
        <v>Nem</v>
      </c>
      <c r="E937" s="13">
        <f t="shared" ca="1" si="309"/>
        <v>0</v>
      </c>
      <c r="F937" s="13"/>
      <c r="G937" s="13"/>
      <c r="H937" s="13"/>
      <c r="I937" s="13">
        <f t="shared" ca="1" si="310"/>
        <v>0</v>
      </c>
      <c r="J937" s="13">
        <f t="shared" ca="1" si="311"/>
        <v>0</v>
      </c>
      <c r="K937" s="13">
        <f t="shared" ca="1" si="312"/>
        <v>0</v>
      </c>
      <c r="L937" s="13" t="e">
        <f ca="1">ROUNDUP(IF($D$2="Egyszeri",$E937,IF($D$2="Havi",SUM($E$20:$E$31),IF(MOD($C937,$M$1)-1=0,SUM($E$20:$E$31),0))/12*$M$1)*VLOOKUP($B937,Paraméterek!$I$28:$P$31,IF($D$2="Egyszeri",8,HLOOKUP(ROUNDUP($M$11+$M$13,0),Paraméterek!$J$26:$O$27,2))),IF($D$4="Forint",0,2))</f>
        <v>#N/A</v>
      </c>
      <c r="M937" s="13">
        <f t="shared" ca="1" si="313"/>
        <v>0</v>
      </c>
      <c r="N937" s="13">
        <f t="shared" ca="1" si="323"/>
        <v>0</v>
      </c>
      <c r="O937" s="13">
        <f ca="1">IF($D937="Igen",IF($W936&gt;=IF($D$4="Forint",Paraméterek!$J$121,Paraméterek!$K$121),0,IF($D$4="Forint",Paraméterek!$J$121,Paraméterek!$K$121)-$W936),0)</f>
        <v>0</v>
      </c>
      <c r="P937" s="13" t="e">
        <f ca="1">ROUNDUP($O937*VLOOKUP($M$4+$B937-1,Paraméterek!$H$58:$I$105,2,0)/Paraméterek!$I$56,IF($D$4="Forint",0,2))</f>
        <v>#N/A</v>
      </c>
      <c r="Q937" s="13">
        <f t="shared" ca="1" si="314"/>
        <v>0</v>
      </c>
      <c r="R937" s="33"/>
      <c r="S937" s="13" t="e">
        <f t="shared" ca="1" si="315"/>
        <v>#N/A</v>
      </c>
      <c r="T937" s="13" t="e">
        <f ca="1">ROUNDUP(($N937-$P937-$Q937+$S937)*VLOOKUP($B937,Paraméterek!$I$38:$K$39,IF($D$2="Egyszeri",3,2))/12*IF($D938="Nem",IF($M$13=0,1,$M$13),1),IF($D$4="Forint",0,2))</f>
        <v>#N/A</v>
      </c>
      <c r="U937" s="13"/>
      <c r="V937" s="13"/>
      <c r="W937" s="13" t="e">
        <f ca="1">$N937-$P937-$Q937+$S937-$T937-IF(ROUNDUP(IF(ISBLANK($V937),$U937*0,$V937)/IF($D$2="Egyszeri",VLOOKUP($B937+IF($C937=12,1,0),Paraméterek!$V$257:$W$262,2),IF($B937=1,1,VLOOKUP($B937+IF($C937=12,1,0),Paraméterek!$I$258:$T$278,HLOOKUP($M$11+1,Paraméterek!$J$256:$T$257,2)))),IF($D$4="Forint",0,2))&gt;$N937-$P937-$Q937+$S937-$T937-IF($D$4="Forint",Paraméterek!$C$216,Paraméterek!$D$216),0,ROUNDUP(IF(ISBLANK($V937),$U937*0,$V937)/IF($D$2="Egyszeri",VLOOKUP($B937+IF($C937=12,1,0),Paraméterek!$V$257:$W$262,2),IF($B937=1,1,VLOOKUP($B937+IF($C937=12,1,0),Paraméterek!$I$258:$T$278,HLOOKUP($M$11+1,Paraméterek!$J$256:$T$257,2)))),IF($D$4="Forint",0,2)))</f>
        <v>#N/A</v>
      </c>
      <c r="X937" s="13" t="e">
        <f ca="1">ROUNDDOWN($W937*IF($D$2="Egyszeri",VLOOKUP($B937+IF($C937=12,1,0),Paraméterek!$V$257:$W$262,2),VLOOKUP($B937+IF($C937=12,1,0),Paraméterek!$I$258:$T$278,HLOOKUP($M$11+1,Paraméterek!$I$256:$T$257,2))),IF($D$4="Forint",0,2))</f>
        <v>#N/A</v>
      </c>
      <c r="Z937" s="32">
        <v>918</v>
      </c>
      <c r="AA937" s="32">
        <v>77</v>
      </c>
      <c r="AB937" s="32">
        <v>6</v>
      </c>
      <c r="AC937" s="13">
        <f t="shared" ca="1" si="324"/>
        <v>0</v>
      </c>
      <c r="AD937" s="33"/>
      <c r="AE937" s="13">
        <f t="shared" ca="1" si="316"/>
        <v>0</v>
      </c>
      <c r="AF937" s="13">
        <f ca="1">ROUNDUP(($AC937+$AE937)*VLOOKUP($AA937,Paraméterek!$P$38:$Q$38,2)/12*IF($D938="Nem",IF($M$13=0,1,$M$13),1),IF($D$4="Forint",0,2))</f>
        <v>0</v>
      </c>
      <c r="AG937" s="13">
        <f ca="1">IF($D$2="Egyszeri",IF($D$7&gt;=IF($D$4="Forint",Paraméterek!$P$223,Paraméterek!$P$224),$D$7-IF($D$4="Forint",Paraméterek!$P$223,Paraméterek!$P$224),0),MIN(IF($AB937=12,AVERAGEIF($E$20:$E937,"&gt;0",$E$20:$E937)*12,0),SUM($E$20:$E$31)))</f>
        <v>0</v>
      </c>
      <c r="AH937" s="13">
        <f>IF($AA937=10,$AG937*IF($AB937=12,IF($AG937&lt;IF($D$4="Forint",Paraméterek!$L$223,Paraméterek!$L$224),0,VLOOKUP($AA937,Paraméterek!$K$226:$M$228,IF($AG937&lt;IF($D$4="Forint",Paraméterek!$M$223,Paraméterek!$M$224),2,3))),0),0)</f>
        <v>0</v>
      </c>
      <c r="AI937" s="13">
        <f ca="1">IF(AND($AA937=$M$11+1,$AB937=$M$12+1),SUMIF($AA$20:$AA$1027,$AA937,$AG$20:$AG$1027)*IF(SUMIF($AA$20:$AA$1027,$AA937,$AG$20:$AG$1027)&lt;IF($D$4="Forint",Paraméterek!$L$223,Paraméterek!$L$224),0,VLOOKUP($AA937,Paraméterek!$K$230:$M$250,IF(SUMIF($AA$20:$AA$1027,$AA937,$AG$20:$AG$1027)&lt;IF($D$4="Forint",Paraméterek!$M$223,Paraméterek!$M$224),2,3))),0)</f>
        <v>0</v>
      </c>
      <c r="AJ937" s="13">
        <f ca="1">IF(AND($AA937&gt;=5,MOD($AA937,5)=0),IF($AB937=12,VLOOKUP($AA937,Paraméterek!$O$225:$P$240,2),0),IF(OR($AA937=3,$AA937=4),IF($AB937=12,VLOOKUP($AA937,Paraméterek!$O$225:$P$240,2,0),0),0))*$AG937</f>
        <v>0</v>
      </c>
      <c r="AK937" s="13">
        <f t="shared" ca="1" si="317"/>
        <v>0</v>
      </c>
      <c r="AL937" s="13">
        <f t="shared" ca="1" si="325"/>
        <v>0</v>
      </c>
      <c r="AM937" s="13">
        <f t="shared" ca="1" si="326"/>
        <v>0</v>
      </c>
      <c r="AO937" s="32">
        <v>918</v>
      </c>
      <c r="AP937" s="32">
        <v>77</v>
      </c>
      <c r="AQ937" s="32">
        <v>6</v>
      </c>
      <c r="AR937" s="13"/>
      <c r="AS937" s="32"/>
      <c r="AT937" s="13">
        <f t="shared" ca="1" si="327"/>
        <v>0</v>
      </c>
      <c r="AU937" s="33"/>
      <c r="AV937" s="13">
        <f t="shared" ca="1" si="318"/>
        <v>0</v>
      </c>
      <c r="AW937" s="13">
        <f ca="1">ROUNDUP(($AT937+$AV937)*VLOOKUP($AP937,Paraméterek!$P$38:$Q$38,2)/12*IF($D938="Nem",IF($M$13=0,1,$M$13),1),IF($D$4="Forint",0,2))</f>
        <v>0</v>
      </c>
      <c r="AX937" s="13"/>
      <c r="AY937" s="13"/>
      <c r="AZ937" s="13">
        <f>ROUNDUP(IF(SUM($AX937:$AY937)=0,0,IF(IF(ISBLANK($AY937),$AX937,$AY937)*Paraméterek!$J$112&lt;IF($D$4="Forint",Paraméterek!$J$113,Paraméterek!$K$113),IF($D$4="Forint",Paraméterek!$J$113,Paraméterek!$K$113),IF(IF(ISBLANK($AY937),$AX937,$AY937)*Paraméterek!$J$112&gt;IF($D$4="Forint",Paraméterek!$J$114,Paraméterek!$K$114),IF($D$4="Forint",Paraméterek!$J$114,Paraméterek!$K$114),IF(ISBLANK($AY937),$AX937,$AY937)*Paraméterek!$J$112))),IF($D$4="Forint",0,2))</f>
        <v>0</v>
      </c>
      <c r="BA937" s="13">
        <f ca="1">$AT937+$AV937-$AW937-IF(ROUNDDOWN(IF(ISBLANK($AY937),$AX937,$AY937),IF($D$4="Forint",0,2))&gt;$AT937+$AV937-$AW937-IF($D$4="Forint",Paraméterek!$J$114,Paraméterek!$K$114),0,ROUNDDOWN(IF(ISBLANK($AY937),$AX937,$AY937),IF($D$4="Forint",0,2))-$AZ937)</f>
        <v>0</v>
      </c>
      <c r="BB937" s="13">
        <f t="shared" ca="1" si="319"/>
        <v>0</v>
      </c>
      <c r="BD937" s="32">
        <v>918</v>
      </c>
      <c r="BE937" s="32">
        <v>77</v>
      </c>
      <c r="BF937" s="32">
        <v>6</v>
      </c>
      <c r="BG937" s="34">
        <f t="shared" ca="1" si="328"/>
        <v>2095</v>
      </c>
      <c r="BH937" s="32" t="str">
        <f ca="1">IF(MOD(MONTH($D$14)+$BD937-1,12)=Paraméterek!$C$288,"Igen","")</f>
        <v/>
      </c>
      <c r="BI937" s="13">
        <f ca="1">IF($BH937="Igen",MIN(ROUNDDOWN((SUMIF($BG$20:$BG$1027,$BG937-1,$K$20:$K$1027)-SUMIF($BG$20:$BG$1027,$BG937-1,$I$20:$I$1027))*Paraméterek!$C$289,IF($D$4="Forint",0,2)),IF($D$4="Forint",Paraméterek!$C$285,Paraméterek!$D$285)),0)</f>
        <v>0</v>
      </c>
      <c r="BJ937" s="13">
        <f t="shared" ca="1" si="320"/>
        <v>0</v>
      </c>
      <c r="BK937" s="13">
        <f t="shared" ca="1" si="329"/>
        <v>0</v>
      </c>
      <c r="BL937" s="33"/>
      <c r="BM937" s="13">
        <f t="shared" ca="1" si="321"/>
        <v>0</v>
      </c>
      <c r="BN937" s="13">
        <f ca="1">ROUNDUP(($BK937+$BM937)*VLOOKUP($BE937,Paraméterek!$P$38:$Q$38,2)/12*IF($D938="Nem",IF($M$13=0,1,$M$13),1),IF($D$4="Forint",0,2))</f>
        <v>0</v>
      </c>
      <c r="BO937" s="13">
        <f t="shared" ca="1" si="322"/>
        <v>0</v>
      </c>
      <c r="BP937" s="13">
        <f ca="1">IF($D938="Nem",$BO937,$BO937-ROUNDUP(SUM($BI$20:$BI937)*120%,IF($D$4="Forint",0,2)))</f>
        <v>0</v>
      </c>
    </row>
    <row r="938" spans="1:68" x14ac:dyDescent="0.2">
      <c r="A938" s="32">
        <v>919</v>
      </c>
      <c r="B938" s="32">
        <v>77</v>
      </c>
      <c r="C938" s="32">
        <v>7</v>
      </c>
      <c r="D938" s="32" t="str">
        <f t="shared" ca="1" si="308"/>
        <v>Nem</v>
      </c>
      <c r="E938" s="13">
        <f t="shared" ca="1" si="309"/>
        <v>0</v>
      </c>
      <c r="F938" s="13"/>
      <c r="G938" s="13"/>
      <c r="H938" s="13"/>
      <c r="I938" s="13">
        <f t="shared" ca="1" si="310"/>
        <v>0</v>
      </c>
      <c r="J938" s="13">
        <f t="shared" ca="1" si="311"/>
        <v>0</v>
      </c>
      <c r="K938" s="13">
        <f t="shared" ca="1" si="312"/>
        <v>0</v>
      </c>
      <c r="L938" s="13" t="e">
        <f ca="1">ROUNDUP(IF($D$2="Egyszeri",$E938,IF($D$2="Havi",SUM($E$20:$E$31),IF(MOD($C938,$M$1)-1=0,SUM($E$20:$E$31),0))/12*$M$1)*VLOOKUP($B938,Paraméterek!$I$28:$P$31,IF($D$2="Egyszeri",8,HLOOKUP(ROUNDUP($M$11+$M$13,0),Paraméterek!$J$26:$O$27,2))),IF($D$4="Forint",0,2))</f>
        <v>#N/A</v>
      </c>
      <c r="M938" s="13">
        <f t="shared" ca="1" si="313"/>
        <v>0</v>
      </c>
      <c r="N938" s="13">
        <f t="shared" ca="1" si="323"/>
        <v>0</v>
      </c>
      <c r="O938" s="13">
        <f ca="1">IF($D938="Igen",IF($W937&gt;=IF($D$4="Forint",Paraméterek!$J$121,Paraméterek!$K$121),0,IF($D$4="Forint",Paraméterek!$J$121,Paraméterek!$K$121)-$W937),0)</f>
        <v>0</v>
      </c>
      <c r="P938" s="13" t="e">
        <f ca="1">ROUNDUP($O938*VLOOKUP($M$4+$B938-1,Paraméterek!$H$58:$I$105,2,0)/Paraméterek!$I$56,IF($D$4="Forint",0,2))</f>
        <v>#N/A</v>
      </c>
      <c r="Q938" s="13">
        <f t="shared" ca="1" si="314"/>
        <v>0</v>
      </c>
      <c r="R938" s="33"/>
      <c r="S938" s="13" t="e">
        <f t="shared" ca="1" si="315"/>
        <v>#N/A</v>
      </c>
      <c r="T938" s="13" t="e">
        <f ca="1">ROUNDUP(($N938-$P938-$Q938+$S938)*VLOOKUP($B938,Paraméterek!$I$38:$K$39,IF($D$2="Egyszeri",3,2))/12*IF($D939="Nem",IF($M$13=0,1,$M$13),1),IF($D$4="Forint",0,2))</f>
        <v>#N/A</v>
      </c>
      <c r="U938" s="13"/>
      <c r="V938" s="13"/>
      <c r="W938" s="13" t="e">
        <f ca="1">$N938-$P938-$Q938+$S938-$T938-IF(ROUNDUP(IF(ISBLANK($V938),$U938*0,$V938)/IF($D$2="Egyszeri",VLOOKUP($B938+IF($C938=12,1,0),Paraméterek!$V$257:$W$262,2),IF($B938=1,1,VLOOKUP($B938+IF($C938=12,1,0),Paraméterek!$I$258:$T$278,HLOOKUP($M$11+1,Paraméterek!$J$256:$T$257,2)))),IF($D$4="Forint",0,2))&gt;$N938-$P938-$Q938+$S938-$T938-IF($D$4="Forint",Paraméterek!$C$216,Paraméterek!$D$216),0,ROUNDUP(IF(ISBLANK($V938),$U938*0,$V938)/IF($D$2="Egyszeri",VLOOKUP($B938+IF($C938=12,1,0),Paraméterek!$V$257:$W$262,2),IF($B938=1,1,VLOOKUP($B938+IF($C938=12,1,0),Paraméterek!$I$258:$T$278,HLOOKUP($M$11+1,Paraméterek!$J$256:$T$257,2)))),IF($D$4="Forint",0,2)))</f>
        <v>#N/A</v>
      </c>
      <c r="X938" s="13" t="e">
        <f ca="1">ROUNDDOWN($W938*IF($D$2="Egyszeri",VLOOKUP($B938+IF($C938=12,1,0),Paraméterek!$V$257:$W$262,2),VLOOKUP($B938+IF($C938=12,1,0),Paraméterek!$I$258:$T$278,HLOOKUP($M$11+1,Paraméterek!$I$256:$T$257,2))),IF($D$4="Forint",0,2))</f>
        <v>#N/A</v>
      </c>
      <c r="Z938" s="32">
        <v>919</v>
      </c>
      <c r="AA938" s="32">
        <v>77</v>
      </c>
      <c r="AB938" s="32">
        <v>7</v>
      </c>
      <c r="AC938" s="13">
        <f t="shared" ca="1" si="324"/>
        <v>0</v>
      </c>
      <c r="AD938" s="33"/>
      <c r="AE938" s="13">
        <f t="shared" ca="1" si="316"/>
        <v>0</v>
      </c>
      <c r="AF938" s="13">
        <f ca="1">ROUNDUP(($AC938+$AE938)*VLOOKUP($AA938,Paraméterek!$P$38:$Q$38,2)/12*IF($D939="Nem",IF($M$13=0,1,$M$13),1),IF($D$4="Forint",0,2))</f>
        <v>0</v>
      </c>
      <c r="AG938" s="13">
        <f ca="1">IF($D$2="Egyszeri",IF($D$7&gt;=IF($D$4="Forint",Paraméterek!$P$223,Paraméterek!$P$224),$D$7-IF($D$4="Forint",Paraméterek!$P$223,Paraméterek!$P$224),0),MIN(IF($AB938=12,AVERAGEIF($E$20:$E938,"&gt;0",$E$20:$E938)*12,0),SUM($E$20:$E$31)))</f>
        <v>0</v>
      </c>
      <c r="AH938" s="13">
        <f>IF($AA938=10,$AG938*IF($AB938=12,IF($AG938&lt;IF($D$4="Forint",Paraméterek!$L$223,Paraméterek!$L$224),0,VLOOKUP($AA938,Paraméterek!$K$226:$M$228,IF($AG938&lt;IF($D$4="Forint",Paraméterek!$M$223,Paraméterek!$M$224),2,3))),0),0)</f>
        <v>0</v>
      </c>
      <c r="AI938" s="13">
        <f ca="1">IF(AND($AA938=$M$11+1,$AB938=$M$12+1),SUMIF($AA$20:$AA$1027,$AA938,$AG$20:$AG$1027)*IF(SUMIF($AA$20:$AA$1027,$AA938,$AG$20:$AG$1027)&lt;IF($D$4="Forint",Paraméterek!$L$223,Paraméterek!$L$224),0,VLOOKUP($AA938,Paraméterek!$K$230:$M$250,IF(SUMIF($AA$20:$AA$1027,$AA938,$AG$20:$AG$1027)&lt;IF($D$4="Forint",Paraméterek!$M$223,Paraméterek!$M$224),2,3))),0)</f>
        <v>0</v>
      </c>
      <c r="AJ938" s="13">
        <f ca="1">IF(AND($AA938&gt;=5,MOD($AA938,5)=0),IF($AB938=12,VLOOKUP($AA938,Paraméterek!$O$225:$P$240,2),0),IF(OR($AA938=3,$AA938=4),IF($AB938=12,VLOOKUP($AA938,Paraméterek!$O$225:$P$240,2,0),0),0))*$AG938</f>
        <v>0</v>
      </c>
      <c r="AK938" s="13">
        <f t="shared" ca="1" si="317"/>
        <v>0</v>
      </c>
      <c r="AL938" s="13">
        <f t="shared" ca="1" si="325"/>
        <v>0</v>
      </c>
      <c r="AM938" s="13">
        <f t="shared" ca="1" si="326"/>
        <v>0</v>
      </c>
      <c r="AO938" s="32">
        <v>919</v>
      </c>
      <c r="AP938" s="32">
        <v>77</v>
      </c>
      <c r="AQ938" s="32">
        <v>7</v>
      </c>
      <c r="AR938" s="13"/>
      <c r="AS938" s="32"/>
      <c r="AT938" s="13">
        <f t="shared" ca="1" si="327"/>
        <v>0</v>
      </c>
      <c r="AU938" s="33"/>
      <c r="AV938" s="13">
        <f t="shared" ca="1" si="318"/>
        <v>0</v>
      </c>
      <c r="AW938" s="13">
        <f ca="1">ROUNDUP(($AT938+$AV938)*VLOOKUP($AP938,Paraméterek!$P$38:$Q$38,2)/12*IF($D939="Nem",IF($M$13=0,1,$M$13),1),IF($D$4="Forint",0,2))</f>
        <v>0</v>
      </c>
      <c r="AX938" s="13"/>
      <c r="AY938" s="13"/>
      <c r="AZ938" s="13">
        <f>ROUNDUP(IF(SUM($AX938:$AY938)=0,0,IF(IF(ISBLANK($AY938),$AX938,$AY938)*Paraméterek!$J$112&lt;IF($D$4="Forint",Paraméterek!$J$113,Paraméterek!$K$113),IF($D$4="Forint",Paraméterek!$J$113,Paraméterek!$K$113),IF(IF(ISBLANK($AY938),$AX938,$AY938)*Paraméterek!$J$112&gt;IF($D$4="Forint",Paraméterek!$J$114,Paraméterek!$K$114),IF($D$4="Forint",Paraméterek!$J$114,Paraméterek!$K$114),IF(ISBLANK($AY938),$AX938,$AY938)*Paraméterek!$J$112))),IF($D$4="Forint",0,2))</f>
        <v>0</v>
      </c>
      <c r="BA938" s="13">
        <f ca="1">$AT938+$AV938-$AW938-IF(ROUNDDOWN(IF(ISBLANK($AY938),$AX938,$AY938),IF($D$4="Forint",0,2))&gt;$AT938+$AV938-$AW938-IF($D$4="Forint",Paraméterek!$J$114,Paraméterek!$K$114),0,ROUNDDOWN(IF(ISBLANK($AY938),$AX938,$AY938),IF($D$4="Forint",0,2))-$AZ938)</f>
        <v>0</v>
      </c>
      <c r="BB938" s="13">
        <f t="shared" ca="1" si="319"/>
        <v>0</v>
      </c>
      <c r="BD938" s="32">
        <v>919</v>
      </c>
      <c r="BE938" s="32">
        <v>77</v>
      </c>
      <c r="BF938" s="32">
        <v>7</v>
      </c>
      <c r="BG938" s="34">
        <f t="shared" ca="1" si="328"/>
        <v>2095</v>
      </c>
      <c r="BH938" s="32" t="str">
        <f ca="1">IF(MOD(MONTH($D$14)+$BD938-1,12)=Paraméterek!$C$288,"Igen","")</f>
        <v/>
      </c>
      <c r="BI938" s="13">
        <f ca="1">IF($BH938="Igen",MIN(ROUNDDOWN((SUMIF($BG$20:$BG$1027,$BG938-1,$K$20:$K$1027)-SUMIF($BG$20:$BG$1027,$BG938-1,$I$20:$I$1027))*Paraméterek!$C$289,IF($D$4="Forint",0,2)),IF($D$4="Forint",Paraméterek!$C$285,Paraméterek!$D$285)),0)</f>
        <v>0</v>
      </c>
      <c r="BJ938" s="13">
        <f t="shared" ca="1" si="320"/>
        <v>0</v>
      </c>
      <c r="BK938" s="13">
        <f t="shared" ca="1" si="329"/>
        <v>0</v>
      </c>
      <c r="BL938" s="33"/>
      <c r="BM938" s="13">
        <f t="shared" ca="1" si="321"/>
        <v>0</v>
      </c>
      <c r="BN938" s="13">
        <f ca="1">ROUNDUP(($BK938+$BM938)*VLOOKUP($BE938,Paraméterek!$P$38:$Q$38,2)/12*IF($D939="Nem",IF($M$13=0,1,$M$13),1),IF($D$4="Forint",0,2))</f>
        <v>0</v>
      </c>
      <c r="BO938" s="13">
        <f t="shared" ca="1" si="322"/>
        <v>0</v>
      </c>
      <c r="BP938" s="13">
        <f ca="1">IF($D939="Nem",$BO938,$BO938-ROUNDUP(SUM($BI$20:$BI938)*120%,IF($D$4="Forint",0,2)))</f>
        <v>0</v>
      </c>
    </row>
    <row r="939" spans="1:68" x14ac:dyDescent="0.2">
      <c r="A939" s="32">
        <v>920</v>
      </c>
      <c r="B939" s="32">
        <v>77</v>
      </c>
      <c r="C939" s="32">
        <v>8</v>
      </c>
      <c r="D939" s="32" t="str">
        <f t="shared" ca="1" si="308"/>
        <v>Nem</v>
      </c>
      <c r="E939" s="13">
        <f t="shared" ca="1" si="309"/>
        <v>0</v>
      </c>
      <c r="F939" s="13"/>
      <c r="G939" s="13"/>
      <c r="H939" s="13"/>
      <c r="I939" s="13">
        <f t="shared" ca="1" si="310"/>
        <v>0</v>
      </c>
      <c r="J939" s="13">
        <f t="shared" ca="1" si="311"/>
        <v>0</v>
      </c>
      <c r="K939" s="13">
        <f t="shared" ca="1" si="312"/>
        <v>0</v>
      </c>
      <c r="L939" s="13" t="e">
        <f ca="1">ROUNDUP(IF($D$2="Egyszeri",$E939,IF($D$2="Havi",SUM($E$20:$E$31),IF(MOD($C939,$M$1)-1=0,SUM($E$20:$E$31),0))/12*$M$1)*VLOOKUP($B939,Paraméterek!$I$28:$P$31,IF($D$2="Egyszeri",8,HLOOKUP(ROUNDUP($M$11+$M$13,0),Paraméterek!$J$26:$O$27,2))),IF($D$4="Forint",0,2))</f>
        <v>#N/A</v>
      </c>
      <c r="M939" s="13">
        <f t="shared" ca="1" si="313"/>
        <v>0</v>
      </c>
      <c r="N939" s="13">
        <f t="shared" ca="1" si="323"/>
        <v>0</v>
      </c>
      <c r="O939" s="13">
        <f ca="1">IF($D939="Igen",IF($W938&gt;=IF($D$4="Forint",Paraméterek!$J$121,Paraméterek!$K$121),0,IF($D$4="Forint",Paraméterek!$J$121,Paraméterek!$K$121)-$W938),0)</f>
        <v>0</v>
      </c>
      <c r="P939" s="13" t="e">
        <f ca="1">ROUNDUP($O939*VLOOKUP($M$4+$B939-1,Paraméterek!$H$58:$I$105,2,0)/Paraméterek!$I$56,IF($D$4="Forint",0,2))</f>
        <v>#N/A</v>
      </c>
      <c r="Q939" s="13">
        <f t="shared" ca="1" si="314"/>
        <v>0</v>
      </c>
      <c r="R939" s="33"/>
      <c r="S939" s="13" t="e">
        <f t="shared" ca="1" si="315"/>
        <v>#N/A</v>
      </c>
      <c r="T939" s="13" t="e">
        <f ca="1">ROUNDUP(($N939-$P939-$Q939+$S939)*VLOOKUP($B939,Paraméterek!$I$38:$K$39,IF($D$2="Egyszeri",3,2))/12*IF($D940="Nem",IF($M$13=0,1,$M$13),1),IF($D$4="Forint",0,2))</f>
        <v>#N/A</v>
      </c>
      <c r="U939" s="13"/>
      <c r="V939" s="13"/>
      <c r="W939" s="13" t="e">
        <f ca="1">$N939-$P939-$Q939+$S939-$T939-IF(ROUNDUP(IF(ISBLANK($V939),$U939*0,$V939)/IF($D$2="Egyszeri",VLOOKUP($B939+IF($C939=12,1,0),Paraméterek!$V$257:$W$262,2),IF($B939=1,1,VLOOKUP($B939+IF($C939=12,1,0),Paraméterek!$I$258:$T$278,HLOOKUP($M$11+1,Paraméterek!$J$256:$T$257,2)))),IF($D$4="Forint",0,2))&gt;$N939-$P939-$Q939+$S939-$T939-IF($D$4="Forint",Paraméterek!$C$216,Paraméterek!$D$216),0,ROUNDUP(IF(ISBLANK($V939),$U939*0,$V939)/IF($D$2="Egyszeri",VLOOKUP($B939+IF($C939=12,1,0),Paraméterek!$V$257:$W$262,2),IF($B939=1,1,VLOOKUP($B939+IF($C939=12,1,0),Paraméterek!$I$258:$T$278,HLOOKUP($M$11+1,Paraméterek!$J$256:$T$257,2)))),IF($D$4="Forint",0,2)))</f>
        <v>#N/A</v>
      </c>
      <c r="X939" s="13" t="e">
        <f ca="1">ROUNDDOWN($W939*IF($D$2="Egyszeri",VLOOKUP($B939+IF($C939=12,1,0),Paraméterek!$V$257:$W$262,2),VLOOKUP($B939+IF($C939=12,1,0),Paraméterek!$I$258:$T$278,HLOOKUP($M$11+1,Paraméterek!$I$256:$T$257,2))),IF($D$4="Forint",0,2))</f>
        <v>#N/A</v>
      </c>
      <c r="Z939" s="32">
        <v>920</v>
      </c>
      <c r="AA939" s="32">
        <v>77</v>
      </c>
      <c r="AB939" s="32">
        <v>8</v>
      </c>
      <c r="AC939" s="13">
        <f t="shared" ca="1" si="324"/>
        <v>0</v>
      </c>
      <c r="AD939" s="33"/>
      <c r="AE939" s="13">
        <f t="shared" ca="1" si="316"/>
        <v>0</v>
      </c>
      <c r="AF939" s="13">
        <f ca="1">ROUNDUP(($AC939+$AE939)*VLOOKUP($AA939,Paraméterek!$P$38:$Q$38,2)/12*IF($D940="Nem",IF($M$13=0,1,$M$13),1),IF($D$4="Forint",0,2))</f>
        <v>0</v>
      </c>
      <c r="AG939" s="13">
        <f ca="1">IF($D$2="Egyszeri",IF($D$7&gt;=IF($D$4="Forint",Paraméterek!$P$223,Paraméterek!$P$224),$D$7-IF($D$4="Forint",Paraméterek!$P$223,Paraméterek!$P$224),0),MIN(IF($AB939=12,AVERAGEIF($E$20:$E939,"&gt;0",$E$20:$E939)*12,0),SUM($E$20:$E$31)))</f>
        <v>0</v>
      </c>
      <c r="AH939" s="13">
        <f>IF($AA939=10,$AG939*IF($AB939=12,IF($AG939&lt;IF($D$4="Forint",Paraméterek!$L$223,Paraméterek!$L$224),0,VLOOKUP($AA939,Paraméterek!$K$226:$M$228,IF($AG939&lt;IF($D$4="Forint",Paraméterek!$M$223,Paraméterek!$M$224),2,3))),0),0)</f>
        <v>0</v>
      </c>
      <c r="AI939" s="13">
        <f ca="1">IF(AND($AA939=$M$11+1,$AB939=$M$12+1),SUMIF($AA$20:$AA$1027,$AA939,$AG$20:$AG$1027)*IF(SUMIF($AA$20:$AA$1027,$AA939,$AG$20:$AG$1027)&lt;IF($D$4="Forint",Paraméterek!$L$223,Paraméterek!$L$224),0,VLOOKUP($AA939,Paraméterek!$K$230:$M$250,IF(SUMIF($AA$20:$AA$1027,$AA939,$AG$20:$AG$1027)&lt;IF($D$4="Forint",Paraméterek!$M$223,Paraméterek!$M$224),2,3))),0)</f>
        <v>0</v>
      </c>
      <c r="AJ939" s="13">
        <f ca="1">IF(AND($AA939&gt;=5,MOD($AA939,5)=0),IF($AB939=12,VLOOKUP($AA939,Paraméterek!$O$225:$P$240,2),0),IF(OR($AA939=3,$AA939=4),IF($AB939=12,VLOOKUP($AA939,Paraméterek!$O$225:$P$240,2,0),0),0))*$AG939</f>
        <v>0</v>
      </c>
      <c r="AK939" s="13">
        <f t="shared" ca="1" si="317"/>
        <v>0</v>
      </c>
      <c r="AL939" s="13">
        <f t="shared" ca="1" si="325"/>
        <v>0</v>
      </c>
      <c r="AM939" s="13">
        <f t="shared" ca="1" si="326"/>
        <v>0</v>
      </c>
      <c r="AO939" s="32">
        <v>920</v>
      </c>
      <c r="AP939" s="32">
        <v>77</v>
      </c>
      <c r="AQ939" s="32">
        <v>8</v>
      </c>
      <c r="AR939" s="13"/>
      <c r="AS939" s="32"/>
      <c r="AT939" s="13">
        <f t="shared" ca="1" si="327"/>
        <v>0</v>
      </c>
      <c r="AU939" s="33"/>
      <c r="AV939" s="13">
        <f t="shared" ca="1" si="318"/>
        <v>0</v>
      </c>
      <c r="AW939" s="13">
        <f ca="1">ROUNDUP(($AT939+$AV939)*VLOOKUP($AP939,Paraméterek!$P$38:$Q$38,2)/12*IF($D940="Nem",IF($M$13=0,1,$M$13),1),IF($D$4="Forint",0,2))</f>
        <v>0</v>
      </c>
      <c r="AX939" s="13"/>
      <c r="AY939" s="13"/>
      <c r="AZ939" s="13">
        <f>ROUNDUP(IF(SUM($AX939:$AY939)=0,0,IF(IF(ISBLANK($AY939),$AX939,$AY939)*Paraméterek!$J$112&lt;IF($D$4="Forint",Paraméterek!$J$113,Paraméterek!$K$113),IF($D$4="Forint",Paraméterek!$J$113,Paraméterek!$K$113),IF(IF(ISBLANK($AY939),$AX939,$AY939)*Paraméterek!$J$112&gt;IF($D$4="Forint",Paraméterek!$J$114,Paraméterek!$K$114),IF($D$4="Forint",Paraméterek!$J$114,Paraméterek!$K$114),IF(ISBLANK($AY939),$AX939,$AY939)*Paraméterek!$J$112))),IF($D$4="Forint",0,2))</f>
        <v>0</v>
      </c>
      <c r="BA939" s="13">
        <f ca="1">$AT939+$AV939-$AW939-IF(ROUNDDOWN(IF(ISBLANK($AY939),$AX939,$AY939),IF($D$4="Forint",0,2))&gt;$AT939+$AV939-$AW939-IF($D$4="Forint",Paraméterek!$J$114,Paraméterek!$K$114),0,ROUNDDOWN(IF(ISBLANK($AY939),$AX939,$AY939),IF($D$4="Forint",0,2))-$AZ939)</f>
        <v>0</v>
      </c>
      <c r="BB939" s="13">
        <f t="shared" ca="1" si="319"/>
        <v>0</v>
      </c>
      <c r="BD939" s="32">
        <v>920</v>
      </c>
      <c r="BE939" s="32">
        <v>77</v>
      </c>
      <c r="BF939" s="32">
        <v>8</v>
      </c>
      <c r="BG939" s="34">
        <f t="shared" ca="1" si="328"/>
        <v>2096</v>
      </c>
      <c r="BH939" s="32" t="str">
        <f ca="1">IF(MOD(MONTH($D$14)+$BD939-1,12)=Paraméterek!$C$288,"Igen","")</f>
        <v/>
      </c>
      <c r="BI939" s="13">
        <f ca="1">IF($BH939="Igen",MIN(ROUNDDOWN((SUMIF($BG$20:$BG$1027,$BG939-1,$K$20:$K$1027)-SUMIF($BG$20:$BG$1027,$BG939-1,$I$20:$I$1027))*Paraméterek!$C$289,IF($D$4="Forint",0,2)),IF($D$4="Forint",Paraméterek!$C$285,Paraméterek!$D$285)),0)</f>
        <v>0</v>
      </c>
      <c r="BJ939" s="13">
        <f t="shared" ca="1" si="320"/>
        <v>0</v>
      </c>
      <c r="BK939" s="13">
        <f t="shared" ca="1" si="329"/>
        <v>0</v>
      </c>
      <c r="BL939" s="33"/>
      <c r="BM939" s="13">
        <f t="shared" ca="1" si="321"/>
        <v>0</v>
      </c>
      <c r="BN939" s="13">
        <f ca="1">ROUNDUP(($BK939+$BM939)*VLOOKUP($BE939,Paraméterek!$P$38:$Q$38,2)/12*IF($D940="Nem",IF($M$13=0,1,$M$13),1),IF($D$4="Forint",0,2))</f>
        <v>0</v>
      </c>
      <c r="BO939" s="13">
        <f t="shared" ca="1" si="322"/>
        <v>0</v>
      </c>
      <c r="BP939" s="13">
        <f ca="1">IF($D940="Nem",$BO939,$BO939-ROUNDUP(SUM($BI$20:$BI939)*120%,IF($D$4="Forint",0,2)))</f>
        <v>0</v>
      </c>
    </row>
    <row r="940" spans="1:68" x14ac:dyDescent="0.2">
      <c r="A940" s="32">
        <v>921</v>
      </c>
      <c r="B940" s="32">
        <v>77</v>
      </c>
      <c r="C940" s="32">
        <v>9</v>
      </c>
      <c r="D940" s="32" t="str">
        <f t="shared" ca="1" si="308"/>
        <v>Nem</v>
      </c>
      <c r="E940" s="13">
        <f t="shared" ca="1" si="309"/>
        <v>0</v>
      </c>
      <c r="F940" s="13"/>
      <c r="G940" s="13"/>
      <c r="H940" s="13"/>
      <c r="I940" s="13">
        <f t="shared" ca="1" si="310"/>
        <v>0</v>
      </c>
      <c r="J940" s="13">
        <f t="shared" ca="1" si="311"/>
        <v>0</v>
      </c>
      <c r="K940" s="13">
        <f t="shared" ca="1" si="312"/>
        <v>0</v>
      </c>
      <c r="L940" s="13" t="e">
        <f ca="1">ROUNDUP(IF($D$2="Egyszeri",$E940,IF($D$2="Havi",SUM($E$20:$E$31),IF(MOD($C940,$M$1)-1=0,SUM($E$20:$E$31),0))/12*$M$1)*VLOOKUP($B940,Paraméterek!$I$28:$P$31,IF($D$2="Egyszeri",8,HLOOKUP(ROUNDUP($M$11+$M$13,0),Paraméterek!$J$26:$O$27,2))),IF($D$4="Forint",0,2))</f>
        <v>#N/A</v>
      </c>
      <c r="M940" s="13">
        <f t="shared" ca="1" si="313"/>
        <v>0</v>
      </c>
      <c r="N940" s="13">
        <f t="shared" ca="1" si="323"/>
        <v>0</v>
      </c>
      <c r="O940" s="13">
        <f ca="1">IF($D940="Igen",IF($W939&gt;=IF($D$4="Forint",Paraméterek!$J$121,Paraméterek!$K$121),0,IF($D$4="Forint",Paraméterek!$J$121,Paraméterek!$K$121)-$W939),0)</f>
        <v>0</v>
      </c>
      <c r="P940" s="13" t="e">
        <f ca="1">ROUNDUP($O940*VLOOKUP($M$4+$B940-1,Paraméterek!$H$58:$I$105,2,0)/Paraméterek!$I$56,IF($D$4="Forint",0,2))</f>
        <v>#N/A</v>
      </c>
      <c r="Q940" s="13">
        <f t="shared" ca="1" si="314"/>
        <v>0</v>
      </c>
      <c r="R940" s="33"/>
      <c r="S940" s="13" t="e">
        <f t="shared" ca="1" si="315"/>
        <v>#N/A</v>
      </c>
      <c r="T940" s="13" t="e">
        <f ca="1">ROUNDUP(($N940-$P940-$Q940+$S940)*VLOOKUP($B940,Paraméterek!$I$38:$K$39,IF($D$2="Egyszeri",3,2))/12*IF($D941="Nem",IF($M$13=0,1,$M$13),1),IF($D$4="Forint",0,2))</f>
        <v>#N/A</v>
      </c>
      <c r="U940" s="13"/>
      <c r="V940" s="13"/>
      <c r="W940" s="13" t="e">
        <f ca="1">$N940-$P940-$Q940+$S940-$T940-IF(ROUNDUP(IF(ISBLANK($V940),$U940*0,$V940)/IF($D$2="Egyszeri",VLOOKUP($B940+IF($C940=12,1,0),Paraméterek!$V$257:$W$262,2),IF($B940=1,1,VLOOKUP($B940+IF($C940=12,1,0),Paraméterek!$I$258:$T$278,HLOOKUP($M$11+1,Paraméterek!$J$256:$T$257,2)))),IF($D$4="Forint",0,2))&gt;$N940-$P940-$Q940+$S940-$T940-IF($D$4="Forint",Paraméterek!$C$216,Paraméterek!$D$216),0,ROUNDUP(IF(ISBLANK($V940),$U940*0,$V940)/IF($D$2="Egyszeri",VLOOKUP($B940+IF($C940=12,1,0),Paraméterek!$V$257:$W$262,2),IF($B940=1,1,VLOOKUP($B940+IF($C940=12,1,0),Paraméterek!$I$258:$T$278,HLOOKUP($M$11+1,Paraméterek!$J$256:$T$257,2)))),IF($D$4="Forint",0,2)))</f>
        <v>#N/A</v>
      </c>
      <c r="X940" s="13" t="e">
        <f ca="1">ROUNDDOWN($W940*IF($D$2="Egyszeri",VLOOKUP($B940+IF($C940=12,1,0),Paraméterek!$V$257:$W$262,2),VLOOKUP($B940+IF($C940=12,1,0),Paraméterek!$I$258:$T$278,HLOOKUP($M$11+1,Paraméterek!$I$256:$T$257,2))),IF($D$4="Forint",0,2))</f>
        <v>#N/A</v>
      </c>
      <c r="Z940" s="32">
        <v>921</v>
      </c>
      <c r="AA940" s="32">
        <v>77</v>
      </c>
      <c r="AB940" s="32">
        <v>9</v>
      </c>
      <c r="AC940" s="13">
        <f t="shared" ca="1" si="324"/>
        <v>0</v>
      </c>
      <c r="AD940" s="33"/>
      <c r="AE940" s="13">
        <f t="shared" ca="1" si="316"/>
        <v>0</v>
      </c>
      <c r="AF940" s="13">
        <f ca="1">ROUNDUP(($AC940+$AE940)*VLOOKUP($AA940,Paraméterek!$P$38:$Q$38,2)/12*IF($D941="Nem",IF($M$13=0,1,$M$13),1),IF($D$4="Forint",0,2))</f>
        <v>0</v>
      </c>
      <c r="AG940" s="13">
        <f ca="1">IF($D$2="Egyszeri",IF($D$7&gt;=IF($D$4="Forint",Paraméterek!$P$223,Paraméterek!$P$224),$D$7-IF($D$4="Forint",Paraméterek!$P$223,Paraméterek!$P$224),0),MIN(IF($AB940=12,AVERAGEIF($E$20:$E940,"&gt;0",$E$20:$E940)*12,0),SUM($E$20:$E$31)))</f>
        <v>0</v>
      </c>
      <c r="AH940" s="13">
        <f>IF($AA940=10,$AG940*IF($AB940=12,IF($AG940&lt;IF($D$4="Forint",Paraméterek!$L$223,Paraméterek!$L$224),0,VLOOKUP($AA940,Paraméterek!$K$226:$M$228,IF($AG940&lt;IF($D$4="Forint",Paraméterek!$M$223,Paraméterek!$M$224),2,3))),0),0)</f>
        <v>0</v>
      </c>
      <c r="AI940" s="13">
        <f ca="1">IF(AND($AA940=$M$11+1,$AB940=$M$12+1),SUMIF($AA$20:$AA$1027,$AA940,$AG$20:$AG$1027)*IF(SUMIF($AA$20:$AA$1027,$AA940,$AG$20:$AG$1027)&lt;IF($D$4="Forint",Paraméterek!$L$223,Paraméterek!$L$224),0,VLOOKUP($AA940,Paraméterek!$K$230:$M$250,IF(SUMIF($AA$20:$AA$1027,$AA940,$AG$20:$AG$1027)&lt;IF($D$4="Forint",Paraméterek!$M$223,Paraméterek!$M$224),2,3))),0)</f>
        <v>0</v>
      </c>
      <c r="AJ940" s="13">
        <f ca="1">IF(AND($AA940&gt;=5,MOD($AA940,5)=0),IF($AB940=12,VLOOKUP($AA940,Paraméterek!$O$225:$P$240,2),0),IF(OR($AA940=3,$AA940=4),IF($AB940=12,VLOOKUP($AA940,Paraméterek!$O$225:$P$240,2,0),0),0))*$AG940</f>
        <v>0</v>
      </c>
      <c r="AK940" s="13">
        <f t="shared" ca="1" si="317"/>
        <v>0</v>
      </c>
      <c r="AL940" s="13">
        <f t="shared" ca="1" si="325"/>
        <v>0</v>
      </c>
      <c r="AM940" s="13">
        <f t="shared" ca="1" si="326"/>
        <v>0</v>
      </c>
      <c r="AO940" s="32">
        <v>921</v>
      </c>
      <c r="AP940" s="32">
        <v>77</v>
      </c>
      <c r="AQ940" s="32">
        <v>9</v>
      </c>
      <c r="AR940" s="13"/>
      <c r="AS940" s="32"/>
      <c r="AT940" s="13">
        <f t="shared" ca="1" si="327"/>
        <v>0</v>
      </c>
      <c r="AU940" s="33"/>
      <c r="AV940" s="13">
        <f t="shared" ca="1" si="318"/>
        <v>0</v>
      </c>
      <c r="AW940" s="13">
        <f ca="1">ROUNDUP(($AT940+$AV940)*VLOOKUP($AP940,Paraméterek!$P$38:$Q$38,2)/12*IF($D941="Nem",IF($M$13=0,1,$M$13),1),IF($D$4="Forint",0,2))</f>
        <v>0</v>
      </c>
      <c r="AX940" s="13"/>
      <c r="AY940" s="13"/>
      <c r="AZ940" s="13">
        <f>ROUNDUP(IF(SUM($AX940:$AY940)=0,0,IF(IF(ISBLANK($AY940),$AX940,$AY940)*Paraméterek!$J$112&lt;IF($D$4="Forint",Paraméterek!$J$113,Paraméterek!$K$113),IF($D$4="Forint",Paraméterek!$J$113,Paraméterek!$K$113),IF(IF(ISBLANK($AY940),$AX940,$AY940)*Paraméterek!$J$112&gt;IF($D$4="Forint",Paraméterek!$J$114,Paraméterek!$K$114),IF($D$4="Forint",Paraméterek!$J$114,Paraméterek!$K$114),IF(ISBLANK($AY940),$AX940,$AY940)*Paraméterek!$J$112))),IF($D$4="Forint",0,2))</f>
        <v>0</v>
      </c>
      <c r="BA940" s="13">
        <f ca="1">$AT940+$AV940-$AW940-IF(ROUNDDOWN(IF(ISBLANK($AY940),$AX940,$AY940),IF($D$4="Forint",0,2))&gt;$AT940+$AV940-$AW940-IF($D$4="Forint",Paraméterek!$J$114,Paraméterek!$K$114),0,ROUNDDOWN(IF(ISBLANK($AY940),$AX940,$AY940),IF($D$4="Forint",0,2))-$AZ940)</f>
        <v>0</v>
      </c>
      <c r="BB940" s="13">
        <f t="shared" ca="1" si="319"/>
        <v>0</v>
      </c>
      <c r="BD940" s="32">
        <v>921</v>
      </c>
      <c r="BE940" s="32">
        <v>77</v>
      </c>
      <c r="BF940" s="32">
        <v>9</v>
      </c>
      <c r="BG940" s="34">
        <f t="shared" ca="1" si="328"/>
        <v>2096</v>
      </c>
      <c r="BH940" s="32" t="str">
        <f ca="1">IF(MOD(MONTH($D$14)+$BD940-1,12)=Paraméterek!$C$288,"Igen","")</f>
        <v/>
      </c>
      <c r="BI940" s="13">
        <f ca="1">IF($BH940="Igen",MIN(ROUNDDOWN((SUMIF($BG$20:$BG$1027,$BG940-1,$K$20:$K$1027)-SUMIF($BG$20:$BG$1027,$BG940-1,$I$20:$I$1027))*Paraméterek!$C$289,IF($D$4="Forint",0,2)),IF($D$4="Forint",Paraméterek!$C$285,Paraméterek!$D$285)),0)</f>
        <v>0</v>
      </c>
      <c r="BJ940" s="13">
        <f t="shared" ca="1" si="320"/>
        <v>0</v>
      </c>
      <c r="BK940" s="13">
        <f t="shared" ca="1" si="329"/>
        <v>0</v>
      </c>
      <c r="BL940" s="33"/>
      <c r="BM940" s="13">
        <f t="shared" ca="1" si="321"/>
        <v>0</v>
      </c>
      <c r="BN940" s="13">
        <f ca="1">ROUNDUP(($BK940+$BM940)*VLOOKUP($BE940,Paraméterek!$P$38:$Q$38,2)/12*IF($D941="Nem",IF($M$13=0,1,$M$13),1),IF($D$4="Forint",0,2))</f>
        <v>0</v>
      </c>
      <c r="BO940" s="13">
        <f t="shared" ca="1" si="322"/>
        <v>0</v>
      </c>
      <c r="BP940" s="13">
        <f ca="1">IF($D941="Nem",$BO940,$BO940-ROUNDUP(SUM($BI$20:$BI940)*120%,IF($D$4="Forint",0,2)))</f>
        <v>0</v>
      </c>
    </row>
    <row r="941" spans="1:68" x14ac:dyDescent="0.2">
      <c r="A941" s="32">
        <v>922</v>
      </c>
      <c r="B941" s="32">
        <v>77</v>
      </c>
      <c r="C941" s="32">
        <v>10</v>
      </c>
      <c r="D941" s="32" t="str">
        <f t="shared" ca="1" si="308"/>
        <v>Nem</v>
      </c>
      <c r="E941" s="13">
        <f t="shared" ca="1" si="309"/>
        <v>0</v>
      </c>
      <c r="F941" s="13"/>
      <c r="G941" s="13"/>
      <c r="H941" s="13"/>
      <c r="I941" s="13">
        <f t="shared" ca="1" si="310"/>
        <v>0</v>
      </c>
      <c r="J941" s="13">
        <f t="shared" ca="1" si="311"/>
        <v>0</v>
      </c>
      <c r="K941" s="13">
        <f t="shared" ca="1" si="312"/>
        <v>0</v>
      </c>
      <c r="L941" s="13" t="e">
        <f ca="1">ROUNDUP(IF($D$2="Egyszeri",$E941,IF($D$2="Havi",SUM($E$20:$E$31),IF(MOD($C941,$M$1)-1=0,SUM($E$20:$E$31),0))/12*$M$1)*VLOOKUP($B941,Paraméterek!$I$28:$P$31,IF($D$2="Egyszeri",8,HLOOKUP(ROUNDUP($M$11+$M$13,0),Paraméterek!$J$26:$O$27,2))),IF($D$4="Forint",0,2))</f>
        <v>#N/A</v>
      </c>
      <c r="M941" s="13">
        <f t="shared" ca="1" si="313"/>
        <v>0</v>
      </c>
      <c r="N941" s="13">
        <f t="shared" ca="1" si="323"/>
        <v>0</v>
      </c>
      <c r="O941" s="13">
        <f ca="1">IF($D941="Igen",IF($W940&gt;=IF($D$4="Forint",Paraméterek!$J$121,Paraméterek!$K$121),0,IF($D$4="Forint",Paraméterek!$J$121,Paraméterek!$K$121)-$W940),0)</f>
        <v>0</v>
      </c>
      <c r="P941" s="13" t="e">
        <f ca="1">ROUNDUP($O941*VLOOKUP($M$4+$B941-1,Paraméterek!$H$58:$I$105,2,0)/Paraméterek!$I$56,IF($D$4="Forint",0,2))</f>
        <v>#N/A</v>
      </c>
      <c r="Q941" s="13">
        <f t="shared" ca="1" si="314"/>
        <v>0</v>
      </c>
      <c r="R941" s="33"/>
      <c r="S941" s="13" t="e">
        <f t="shared" ca="1" si="315"/>
        <v>#N/A</v>
      </c>
      <c r="T941" s="13" t="e">
        <f ca="1">ROUNDUP(($N941-$P941-$Q941+$S941)*VLOOKUP($B941,Paraméterek!$I$38:$K$39,IF($D$2="Egyszeri",3,2))/12*IF($D942="Nem",IF($M$13=0,1,$M$13),1),IF($D$4="Forint",0,2))</f>
        <v>#N/A</v>
      </c>
      <c r="U941" s="13"/>
      <c r="V941" s="13"/>
      <c r="W941" s="13" t="e">
        <f ca="1">$N941-$P941-$Q941+$S941-$T941-IF(ROUNDUP(IF(ISBLANK($V941),$U941*0,$V941)/IF($D$2="Egyszeri",VLOOKUP($B941+IF($C941=12,1,0),Paraméterek!$V$257:$W$262,2),IF($B941=1,1,VLOOKUP($B941+IF($C941=12,1,0),Paraméterek!$I$258:$T$278,HLOOKUP($M$11+1,Paraméterek!$J$256:$T$257,2)))),IF($D$4="Forint",0,2))&gt;$N941-$P941-$Q941+$S941-$T941-IF($D$4="Forint",Paraméterek!$C$216,Paraméterek!$D$216),0,ROUNDUP(IF(ISBLANK($V941),$U941*0,$V941)/IF($D$2="Egyszeri",VLOOKUP($B941+IF($C941=12,1,0),Paraméterek!$V$257:$W$262,2),IF($B941=1,1,VLOOKUP($B941+IF($C941=12,1,0),Paraméterek!$I$258:$T$278,HLOOKUP($M$11+1,Paraméterek!$J$256:$T$257,2)))),IF($D$4="Forint",0,2)))</f>
        <v>#N/A</v>
      </c>
      <c r="X941" s="13" t="e">
        <f ca="1">ROUNDDOWN($W941*IF($D$2="Egyszeri",VLOOKUP($B941+IF($C941=12,1,0),Paraméterek!$V$257:$W$262,2),VLOOKUP($B941+IF($C941=12,1,0),Paraméterek!$I$258:$T$278,HLOOKUP($M$11+1,Paraméterek!$I$256:$T$257,2))),IF($D$4="Forint",0,2))</f>
        <v>#N/A</v>
      </c>
      <c r="Z941" s="32">
        <v>922</v>
      </c>
      <c r="AA941" s="32">
        <v>77</v>
      </c>
      <c r="AB941" s="32">
        <v>10</v>
      </c>
      <c r="AC941" s="13">
        <f t="shared" ca="1" si="324"/>
        <v>0</v>
      </c>
      <c r="AD941" s="33"/>
      <c r="AE941" s="13">
        <f t="shared" ca="1" si="316"/>
        <v>0</v>
      </c>
      <c r="AF941" s="13">
        <f ca="1">ROUNDUP(($AC941+$AE941)*VLOOKUP($AA941,Paraméterek!$P$38:$Q$38,2)/12*IF($D942="Nem",IF($M$13=0,1,$M$13),1),IF($D$4="Forint",0,2))</f>
        <v>0</v>
      </c>
      <c r="AG941" s="13">
        <f ca="1">IF($D$2="Egyszeri",IF($D$7&gt;=IF($D$4="Forint",Paraméterek!$P$223,Paraméterek!$P$224),$D$7-IF($D$4="Forint",Paraméterek!$P$223,Paraméterek!$P$224),0),MIN(IF($AB941=12,AVERAGEIF($E$20:$E941,"&gt;0",$E$20:$E941)*12,0),SUM($E$20:$E$31)))</f>
        <v>0</v>
      </c>
      <c r="AH941" s="13">
        <f>IF($AA941=10,$AG941*IF($AB941=12,IF($AG941&lt;IF($D$4="Forint",Paraméterek!$L$223,Paraméterek!$L$224),0,VLOOKUP($AA941,Paraméterek!$K$226:$M$228,IF($AG941&lt;IF($D$4="Forint",Paraméterek!$M$223,Paraméterek!$M$224),2,3))),0),0)</f>
        <v>0</v>
      </c>
      <c r="AI941" s="13">
        <f ca="1">IF(AND($AA941=$M$11+1,$AB941=$M$12+1),SUMIF($AA$20:$AA$1027,$AA941,$AG$20:$AG$1027)*IF(SUMIF($AA$20:$AA$1027,$AA941,$AG$20:$AG$1027)&lt;IF($D$4="Forint",Paraméterek!$L$223,Paraméterek!$L$224),0,VLOOKUP($AA941,Paraméterek!$K$230:$M$250,IF(SUMIF($AA$20:$AA$1027,$AA941,$AG$20:$AG$1027)&lt;IF($D$4="Forint",Paraméterek!$M$223,Paraméterek!$M$224),2,3))),0)</f>
        <v>0</v>
      </c>
      <c r="AJ941" s="13">
        <f ca="1">IF(AND($AA941&gt;=5,MOD($AA941,5)=0),IF($AB941=12,VLOOKUP($AA941,Paraméterek!$O$225:$P$240,2),0),IF(OR($AA941=3,$AA941=4),IF($AB941=12,VLOOKUP($AA941,Paraméterek!$O$225:$P$240,2,0),0),0))*$AG941</f>
        <v>0</v>
      </c>
      <c r="AK941" s="13">
        <f t="shared" ca="1" si="317"/>
        <v>0</v>
      </c>
      <c r="AL941" s="13">
        <f t="shared" ca="1" si="325"/>
        <v>0</v>
      </c>
      <c r="AM941" s="13">
        <f t="shared" ca="1" si="326"/>
        <v>0</v>
      </c>
      <c r="AO941" s="32">
        <v>922</v>
      </c>
      <c r="AP941" s="32">
        <v>77</v>
      </c>
      <c r="AQ941" s="32">
        <v>10</v>
      </c>
      <c r="AR941" s="13"/>
      <c r="AS941" s="32"/>
      <c r="AT941" s="13">
        <f t="shared" ca="1" si="327"/>
        <v>0</v>
      </c>
      <c r="AU941" s="33"/>
      <c r="AV941" s="13">
        <f t="shared" ca="1" si="318"/>
        <v>0</v>
      </c>
      <c r="AW941" s="13">
        <f ca="1">ROUNDUP(($AT941+$AV941)*VLOOKUP($AP941,Paraméterek!$P$38:$Q$38,2)/12*IF($D942="Nem",IF($M$13=0,1,$M$13),1),IF($D$4="Forint",0,2))</f>
        <v>0</v>
      </c>
      <c r="AX941" s="13"/>
      <c r="AY941" s="13"/>
      <c r="AZ941" s="13">
        <f>ROUNDUP(IF(SUM($AX941:$AY941)=0,0,IF(IF(ISBLANK($AY941),$AX941,$AY941)*Paraméterek!$J$112&lt;IF($D$4="Forint",Paraméterek!$J$113,Paraméterek!$K$113),IF($D$4="Forint",Paraméterek!$J$113,Paraméterek!$K$113),IF(IF(ISBLANK($AY941),$AX941,$AY941)*Paraméterek!$J$112&gt;IF($D$4="Forint",Paraméterek!$J$114,Paraméterek!$K$114),IF($D$4="Forint",Paraméterek!$J$114,Paraméterek!$K$114),IF(ISBLANK($AY941),$AX941,$AY941)*Paraméterek!$J$112))),IF($D$4="Forint",0,2))</f>
        <v>0</v>
      </c>
      <c r="BA941" s="13">
        <f ca="1">$AT941+$AV941-$AW941-IF(ROUNDDOWN(IF(ISBLANK($AY941),$AX941,$AY941),IF($D$4="Forint",0,2))&gt;$AT941+$AV941-$AW941-IF($D$4="Forint",Paraméterek!$J$114,Paraméterek!$K$114),0,ROUNDDOWN(IF(ISBLANK($AY941),$AX941,$AY941),IF($D$4="Forint",0,2))-$AZ941)</f>
        <v>0</v>
      </c>
      <c r="BB941" s="13">
        <f t="shared" ca="1" si="319"/>
        <v>0</v>
      </c>
      <c r="BD941" s="32">
        <v>922</v>
      </c>
      <c r="BE941" s="32">
        <v>77</v>
      </c>
      <c r="BF941" s="32">
        <v>10</v>
      </c>
      <c r="BG941" s="34">
        <f t="shared" ca="1" si="328"/>
        <v>2096</v>
      </c>
      <c r="BH941" s="32" t="str">
        <f ca="1">IF(MOD(MONTH($D$14)+$BD941-1,12)=Paraméterek!$C$288,"Igen","")</f>
        <v/>
      </c>
      <c r="BI941" s="13">
        <f ca="1">IF($BH941="Igen",MIN(ROUNDDOWN((SUMIF($BG$20:$BG$1027,$BG941-1,$K$20:$K$1027)-SUMIF($BG$20:$BG$1027,$BG941-1,$I$20:$I$1027))*Paraméterek!$C$289,IF($D$4="Forint",0,2)),IF($D$4="Forint",Paraméterek!$C$285,Paraméterek!$D$285)),0)</f>
        <v>0</v>
      </c>
      <c r="BJ941" s="13">
        <f t="shared" ca="1" si="320"/>
        <v>0</v>
      </c>
      <c r="BK941" s="13">
        <f t="shared" ca="1" si="329"/>
        <v>0</v>
      </c>
      <c r="BL941" s="33"/>
      <c r="BM941" s="13">
        <f t="shared" ca="1" si="321"/>
        <v>0</v>
      </c>
      <c r="BN941" s="13">
        <f ca="1">ROUNDUP(($BK941+$BM941)*VLOOKUP($BE941,Paraméterek!$P$38:$Q$38,2)/12*IF($D942="Nem",IF($M$13=0,1,$M$13),1),IF($D$4="Forint",0,2))</f>
        <v>0</v>
      </c>
      <c r="BO941" s="13">
        <f t="shared" ca="1" si="322"/>
        <v>0</v>
      </c>
      <c r="BP941" s="13">
        <f ca="1">IF($D942="Nem",$BO941,$BO941-ROUNDUP(SUM($BI$20:$BI941)*120%,IF($D$4="Forint",0,2)))</f>
        <v>0</v>
      </c>
    </row>
    <row r="942" spans="1:68" x14ac:dyDescent="0.2">
      <c r="A942" s="32">
        <v>923</v>
      </c>
      <c r="B942" s="32">
        <v>77</v>
      </c>
      <c r="C942" s="32">
        <v>11</v>
      </c>
      <c r="D942" s="32" t="str">
        <f t="shared" ca="1" si="308"/>
        <v>Nem</v>
      </c>
      <c r="E942" s="13">
        <f t="shared" ca="1" si="309"/>
        <v>0</v>
      </c>
      <c r="F942" s="13"/>
      <c r="G942" s="13"/>
      <c r="H942" s="13"/>
      <c r="I942" s="13">
        <f t="shared" ca="1" si="310"/>
        <v>0</v>
      </c>
      <c r="J942" s="13">
        <f t="shared" ca="1" si="311"/>
        <v>0</v>
      </c>
      <c r="K942" s="13">
        <f t="shared" ca="1" si="312"/>
        <v>0</v>
      </c>
      <c r="L942" s="13" t="e">
        <f ca="1">ROUNDUP(IF($D$2="Egyszeri",$E942,IF($D$2="Havi",SUM($E$20:$E$31),IF(MOD($C942,$M$1)-1=0,SUM($E$20:$E$31),0))/12*$M$1)*VLOOKUP($B942,Paraméterek!$I$28:$P$31,IF($D$2="Egyszeri",8,HLOOKUP(ROUNDUP($M$11+$M$13,0),Paraméterek!$J$26:$O$27,2))),IF($D$4="Forint",0,2))</f>
        <v>#N/A</v>
      </c>
      <c r="M942" s="13">
        <f t="shared" ca="1" si="313"/>
        <v>0</v>
      </c>
      <c r="N942" s="13">
        <f t="shared" ca="1" si="323"/>
        <v>0</v>
      </c>
      <c r="O942" s="13">
        <f ca="1">IF($D942="Igen",IF($W941&gt;=IF($D$4="Forint",Paraméterek!$J$121,Paraméterek!$K$121),0,IF($D$4="Forint",Paraméterek!$J$121,Paraméterek!$K$121)-$W941),0)</f>
        <v>0</v>
      </c>
      <c r="P942" s="13" t="e">
        <f ca="1">ROUNDUP($O942*VLOOKUP($M$4+$B942-1,Paraméterek!$H$58:$I$105,2,0)/Paraméterek!$I$56,IF($D$4="Forint",0,2))</f>
        <v>#N/A</v>
      </c>
      <c r="Q942" s="13">
        <f t="shared" ca="1" si="314"/>
        <v>0</v>
      </c>
      <c r="R942" s="33"/>
      <c r="S942" s="13" t="e">
        <f t="shared" ca="1" si="315"/>
        <v>#N/A</v>
      </c>
      <c r="T942" s="13" t="e">
        <f ca="1">ROUNDUP(($N942-$P942-$Q942+$S942)*VLOOKUP($B942,Paraméterek!$I$38:$K$39,IF($D$2="Egyszeri",3,2))/12*IF($D943="Nem",IF($M$13=0,1,$M$13),1),IF($D$4="Forint",0,2))</f>
        <v>#N/A</v>
      </c>
      <c r="U942" s="13"/>
      <c r="V942" s="13"/>
      <c r="W942" s="13" t="e">
        <f ca="1">$N942-$P942-$Q942+$S942-$T942-IF(ROUNDUP(IF(ISBLANK($V942),$U942*0,$V942)/IF($D$2="Egyszeri",VLOOKUP($B942+IF($C942=12,1,0),Paraméterek!$V$257:$W$262,2),IF($B942=1,1,VLOOKUP($B942+IF($C942=12,1,0),Paraméterek!$I$258:$T$278,HLOOKUP($M$11+1,Paraméterek!$J$256:$T$257,2)))),IF($D$4="Forint",0,2))&gt;$N942-$P942-$Q942+$S942-$T942-IF($D$4="Forint",Paraméterek!$C$216,Paraméterek!$D$216),0,ROUNDUP(IF(ISBLANK($V942),$U942*0,$V942)/IF($D$2="Egyszeri",VLOOKUP($B942+IF($C942=12,1,0),Paraméterek!$V$257:$W$262,2),IF($B942=1,1,VLOOKUP($B942+IF($C942=12,1,0),Paraméterek!$I$258:$T$278,HLOOKUP($M$11+1,Paraméterek!$J$256:$T$257,2)))),IF($D$4="Forint",0,2)))</f>
        <v>#N/A</v>
      </c>
      <c r="X942" s="13" t="e">
        <f ca="1">ROUNDDOWN($W942*IF($D$2="Egyszeri",VLOOKUP($B942+IF($C942=12,1,0),Paraméterek!$V$257:$W$262,2),VLOOKUP($B942+IF($C942=12,1,0),Paraméterek!$I$258:$T$278,HLOOKUP($M$11+1,Paraméterek!$I$256:$T$257,2))),IF($D$4="Forint",0,2))</f>
        <v>#N/A</v>
      </c>
      <c r="Z942" s="32">
        <v>923</v>
      </c>
      <c r="AA942" s="32">
        <v>77</v>
      </c>
      <c r="AB942" s="32">
        <v>11</v>
      </c>
      <c r="AC942" s="13">
        <f t="shared" ca="1" si="324"/>
        <v>0</v>
      </c>
      <c r="AD942" s="33"/>
      <c r="AE942" s="13">
        <f t="shared" ca="1" si="316"/>
        <v>0</v>
      </c>
      <c r="AF942" s="13">
        <f ca="1">ROUNDUP(($AC942+$AE942)*VLOOKUP($AA942,Paraméterek!$P$38:$Q$38,2)/12*IF($D943="Nem",IF($M$13=0,1,$M$13),1),IF($D$4="Forint",0,2))</f>
        <v>0</v>
      </c>
      <c r="AG942" s="13">
        <f ca="1">IF($D$2="Egyszeri",IF($D$7&gt;=IF($D$4="Forint",Paraméterek!$P$223,Paraméterek!$P$224),$D$7-IF($D$4="Forint",Paraméterek!$P$223,Paraméterek!$P$224),0),MIN(IF($AB942=12,AVERAGEIF($E$20:$E942,"&gt;0",$E$20:$E942)*12,0),SUM($E$20:$E$31)))</f>
        <v>0</v>
      </c>
      <c r="AH942" s="13">
        <f>IF($AA942=10,$AG942*IF($AB942=12,IF($AG942&lt;IF($D$4="Forint",Paraméterek!$L$223,Paraméterek!$L$224),0,VLOOKUP($AA942,Paraméterek!$K$226:$M$228,IF($AG942&lt;IF($D$4="Forint",Paraméterek!$M$223,Paraméterek!$M$224),2,3))),0),0)</f>
        <v>0</v>
      </c>
      <c r="AI942" s="13">
        <f ca="1">IF(AND($AA942=$M$11+1,$AB942=$M$12+1),SUMIF($AA$20:$AA$1027,$AA942,$AG$20:$AG$1027)*IF(SUMIF($AA$20:$AA$1027,$AA942,$AG$20:$AG$1027)&lt;IF($D$4="Forint",Paraméterek!$L$223,Paraméterek!$L$224),0,VLOOKUP($AA942,Paraméterek!$K$230:$M$250,IF(SUMIF($AA$20:$AA$1027,$AA942,$AG$20:$AG$1027)&lt;IF($D$4="Forint",Paraméterek!$M$223,Paraméterek!$M$224),2,3))),0)</f>
        <v>0</v>
      </c>
      <c r="AJ942" s="13">
        <f ca="1">IF(AND($AA942&gt;=5,MOD($AA942,5)=0),IF($AB942=12,VLOOKUP($AA942,Paraméterek!$O$225:$P$240,2),0),IF(OR($AA942=3,$AA942=4),IF($AB942=12,VLOOKUP($AA942,Paraméterek!$O$225:$P$240,2,0),0),0))*$AG942</f>
        <v>0</v>
      </c>
      <c r="AK942" s="13">
        <f t="shared" ca="1" si="317"/>
        <v>0</v>
      </c>
      <c r="AL942" s="13">
        <f t="shared" ca="1" si="325"/>
        <v>0</v>
      </c>
      <c r="AM942" s="13">
        <f t="shared" ca="1" si="326"/>
        <v>0</v>
      </c>
      <c r="AO942" s="32">
        <v>923</v>
      </c>
      <c r="AP942" s="32">
        <v>77</v>
      </c>
      <c r="AQ942" s="32">
        <v>11</v>
      </c>
      <c r="AR942" s="13"/>
      <c r="AS942" s="32"/>
      <c r="AT942" s="13">
        <f t="shared" ca="1" si="327"/>
        <v>0</v>
      </c>
      <c r="AU942" s="33"/>
      <c r="AV942" s="13">
        <f t="shared" ca="1" si="318"/>
        <v>0</v>
      </c>
      <c r="AW942" s="13">
        <f ca="1">ROUNDUP(($AT942+$AV942)*VLOOKUP($AP942,Paraméterek!$P$38:$Q$38,2)/12*IF($D943="Nem",IF($M$13=0,1,$M$13),1),IF($D$4="Forint",0,2))</f>
        <v>0</v>
      </c>
      <c r="AX942" s="13"/>
      <c r="AY942" s="13"/>
      <c r="AZ942" s="13">
        <f>ROUNDUP(IF(SUM($AX942:$AY942)=0,0,IF(IF(ISBLANK($AY942),$AX942,$AY942)*Paraméterek!$J$112&lt;IF($D$4="Forint",Paraméterek!$J$113,Paraméterek!$K$113),IF($D$4="Forint",Paraméterek!$J$113,Paraméterek!$K$113),IF(IF(ISBLANK($AY942),$AX942,$AY942)*Paraméterek!$J$112&gt;IF($D$4="Forint",Paraméterek!$J$114,Paraméterek!$K$114),IF($D$4="Forint",Paraméterek!$J$114,Paraméterek!$K$114),IF(ISBLANK($AY942),$AX942,$AY942)*Paraméterek!$J$112))),IF($D$4="Forint",0,2))</f>
        <v>0</v>
      </c>
      <c r="BA942" s="13">
        <f ca="1">$AT942+$AV942-$AW942-IF(ROUNDDOWN(IF(ISBLANK($AY942),$AX942,$AY942),IF($D$4="Forint",0,2))&gt;$AT942+$AV942-$AW942-IF($D$4="Forint",Paraméterek!$J$114,Paraméterek!$K$114),0,ROUNDDOWN(IF(ISBLANK($AY942),$AX942,$AY942),IF($D$4="Forint",0,2))-$AZ942)</f>
        <v>0</v>
      </c>
      <c r="BB942" s="13">
        <f t="shared" ca="1" si="319"/>
        <v>0</v>
      </c>
      <c r="BD942" s="32">
        <v>923</v>
      </c>
      <c r="BE942" s="32">
        <v>77</v>
      </c>
      <c r="BF942" s="32">
        <v>11</v>
      </c>
      <c r="BG942" s="34">
        <f t="shared" ca="1" si="328"/>
        <v>2096</v>
      </c>
      <c r="BH942" s="32" t="str">
        <f ca="1">IF(MOD(MONTH($D$14)+$BD942-1,12)=Paraméterek!$C$288,"Igen","")</f>
        <v/>
      </c>
      <c r="BI942" s="13">
        <f ca="1">IF($BH942="Igen",MIN(ROUNDDOWN((SUMIF($BG$20:$BG$1027,$BG942-1,$K$20:$K$1027)-SUMIF($BG$20:$BG$1027,$BG942-1,$I$20:$I$1027))*Paraméterek!$C$289,IF($D$4="Forint",0,2)),IF($D$4="Forint",Paraméterek!$C$285,Paraméterek!$D$285)),0)</f>
        <v>0</v>
      </c>
      <c r="BJ942" s="13">
        <f t="shared" ca="1" si="320"/>
        <v>0</v>
      </c>
      <c r="BK942" s="13">
        <f t="shared" ca="1" si="329"/>
        <v>0</v>
      </c>
      <c r="BL942" s="33"/>
      <c r="BM942" s="13">
        <f t="shared" ca="1" si="321"/>
        <v>0</v>
      </c>
      <c r="BN942" s="13">
        <f ca="1">ROUNDUP(($BK942+$BM942)*VLOOKUP($BE942,Paraméterek!$P$38:$Q$38,2)/12*IF($D943="Nem",IF($M$13=0,1,$M$13),1),IF($D$4="Forint",0,2))</f>
        <v>0</v>
      </c>
      <c r="BO942" s="13">
        <f t="shared" ca="1" si="322"/>
        <v>0</v>
      </c>
      <c r="BP942" s="13">
        <f ca="1">IF($D943="Nem",$BO942,$BO942-ROUNDUP(SUM($BI$20:$BI942)*120%,IF($D$4="Forint",0,2)))</f>
        <v>0</v>
      </c>
    </row>
    <row r="943" spans="1:68" x14ac:dyDescent="0.2">
      <c r="A943" s="32">
        <v>924</v>
      </c>
      <c r="B943" s="32">
        <v>77</v>
      </c>
      <c r="C943" s="32">
        <v>12</v>
      </c>
      <c r="D943" s="32" t="str">
        <f t="shared" ca="1" si="308"/>
        <v>Nem</v>
      </c>
      <c r="E943" s="13">
        <f t="shared" ca="1" si="309"/>
        <v>0</v>
      </c>
      <c r="F943" s="13"/>
      <c r="G943" s="13"/>
      <c r="H943" s="13"/>
      <c r="I943" s="13">
        <f t="shared" ca="1" si="310"/>
        <v>0</v>
      </c>
      <c r="J943" s="13">
        <f t="shared" ca="1" si="311"/>
        <v>0</v>
      </c>
      <c r="K943" s="13">
        <f t="shared" ca="1" si="312"/>
        <v>0</v>
      </c>
      <c r="L943" s="13" t="e">
        <f ca="1">ROUNDUP(IF($D$2="Egyszeri",$E943,IF($D$2="Havi",SUM($E$20:$E$31),IF(MOD($C943,$M$1)-1=0,SUM($E$20:$E$31),0))/12*$M$1)*VLOOKUP($B943,Paraméterek!$I$28:$P$31,IF($D$2="Egyszeri",8,HLOOKUP(ROUNDUP($M$11+$M$13,0),Paraméterek!$J$26:$O$27,2))),IF($D$4="Forint",0,2))</f>
        <v>#N/A</v>
      </c>
      <c r="M943" s="13">
        <f t="shared" ca="1" si="313"/>
        <v>0</v>
      </c>
      <c r="N943" s="13">
        <f t="shared" ca="1" si="323"/>
        <v>0</v>
      </c>
      <c r="O943" s="13">
        <f ca="1">IF($D943="Igen",IF($W942&gt;=IF($D$4="Forint",Paraméterek!$J$121,Paraméterek!$K$121),0,IF($D$4="Forint",Paraméterek!$J$121,Paraméterek!$K$121)-$W942),0)</f>
        <v>0</v>
      </c>
      <c r="P943" s="13" t="e">
        <f ca="1">ROUNDUP($O943*VLOOKUP($M$4+$B943-1,Paraméterek!$H$58:$I$105,2,0)/Paraméterek!$I$56,IF($D$4="Forint",0,2))</f>
        <v>#N/A</v>
      </c>
      <c r="Q943" s="13">
        <f t="shared" ca="1" si="314"/>
        <v>0</v>
      </c>
      <c r="R943" s="33"/>
      <c r="S943" s="13" t="e">
        <f t="shared" ca="1" si="315"/>
        <v>#N/A</v>
      </c>
      <c r="T943" s="13" t="e">
        <f ca="1">ROUNDUP(($N943-$P943-$Q943+$S943)*VLOOKUP($B943,Paraméterek!$I$38:$K$39,IF($D$2="Egyszeri",3,2))/12*IF($D944="Nem",IF($M$13=0,1,$M$13),1),IF($D$4="Forint",0,2))</f>
        <v>#N/A</v>
      </c>
      <c r="U943" s="13">
        <f>Tranzakciók!$F$108</f>
        <v>0</v>
      </c>
      <c r="V943" s="13"/>
      <c r="W943" s="13" t="e">
        <f ca="1">$N943-$P943-$Q943+$S943-$T943-IF(ROUNDUP(IF(ISBLANK($V943),$U943*0,$V943)/IF($D$2="Egyszeri",VLOOKUP($B943+IF($C943=12,1,0),Paraméterek!$V$257:$W$262,2),IF($B943=1,1,VLOOKUP($B943+IF($C943=12,1,0),Paraméterek!$I$258:$T$278,HLOOKUP($M$11+1,Paraméterek!$J$256:$T$257,2)))),IF($D$4="Forint",0,2))&gt;$N943-$P943-$Q943+$S943-$T943-IF($D$4="Forint",Paraméterek!$C$216,Paraméterek!$D$216),0,ROUNDUP(IF(ISBLANK($V943),$U943*0,$V943)/IF($D$2="Egyszeri",VLOOKUP($B943+IF($C943=12,1,0),Paraméterek!$V$257:$W$262,2),IF($B943=1,1,VLOOKUP($B943+IF($C943=12,1,0),Paraméterek!$I$258:$T$278,HLOOKUP($M$11+1,Paraméterek!$J$256:$T$257,2)))),IF($D$4="Forint",0,2)))</f>
        <v>#N/A</v>
      </c>
      <c r="X943" s="13" t="e">
        <f ca="1">ROUNDDOWN($W943*IF($D$2="Egyszeri",VLOOKUP($B943+IF($C943=12,1,0),Paraméterek!$V$257:$W$262,2),VLOOKUP($B943+IF($C943=12,1,0),Paraméterek!$I$258:$T$278,HLOOKUP($M$11+1,Paraméterek!$I$256:$T$257,2))),IF($D$4="Forint",0,2))</f>
        <v>#N/A</v>
      </c>
      <c r="Z943" s="32">
        <v>924</v>
      </c>
      <c r="AA943" s="32">
        <v>77</v>
      </c>
      <c r="AB943" s="32">
        <v>12</v>
      </c>
      <c r="AC943" s="13">
        <f t="shared" ca="1" si="324"/>
        <v>0</v>
      </c>
      <c r="AD943" s="33"/>
      <c r="AE943" s="13">
        <f t="shared" ca="1" si="316"/>
        <v>0</v>
      </c>
      <c r="AF943" s="13">
        <f ca="1">ROUNDUP(($AC943+$AE943)*VLOOKUP($AA943,Paraméterek!$P$38:$Q$38,2)/12*IF($D944="Nem",IF($M$13=0,1,$M$13),1),IF($D$4="Forint",0,2))</f>
        <v>0</v>
      </c>
      <c r="AG943" s="13" t="e">
        <f ca="1">IF($D$2="Egyszeri",IF($D$7&gt;=IF($D$4="Forint",Paraméterek!$P$223,Paraméterek!$P$224),$D$7-IF($D$4="Forint",Paraméterek!$P$223,Paraméterek!$P$224),0),MIN(IF($AB943=12,AVERAGEIF($E$20:$E943,"&gt;0",$E$20:$E943)*12,0),SUM($E$20:$E$31)))</f>
        <v>#DIV/0!</v>
      </c>
      <c r="AH943" s="13">
        <f>IF($AA943=10,$AG943*IF($AB943=12,IF($AG943&lt;IF($D$4="Forint",Paraméterek!$L$223,Paraméterek!$L$224),0,VLOOKUP($AA943,Paraméterek!$K$226:$M$228,IF($AG943&lt;IF($D$4="Forint",Paraméterek!$M$223,Paraméterek!$M$224),2,3))),0),0)</f>
        <v>0</v>
      </c>
      <c r="AI943" s="13">
        <f ca="1">IF(AND($AA943=$M$11+1,$AB943=$M$12+1),SUMIF($AA$20:$AA$1027,$AA943,$AG$20:$AG$1027)*IF(SUMIF($AA$20:$AA$1027,$AA943,$AG$20:$AG$1027)&lt;IF($D$4="Forint",Paraméterek!$L$223,Paraméterek!$L$224),0,VLOOKUP($AA943,Paraméterek!$K$230:$M$250,IF(SUMIF($AA$20:$AA$1027,$AA943,$AG$20:$AG$1027)&lt;IF($D$4="Forint",Paraméterek!$M$223,Paraméterek!$M$224),2,3))),0)</f>
        <v>0</v>
      </c>
      <c r="AJ943" s="13" t="e">
        <f ca="1">IF(AND($AA943&gt;=5,MOD($AA943,5)=0),IF($AB943=12,VLOOKUP($AA943,Paraméterek!$O$225:$P$240,2),0),IF(OR($AA943=3,$AA943=4),IF($AB943=12,VLOOKUP($AA943,Paraméterek!$O$225:$P$240,2,0),0),0))*$AG943</f>
        <v>#DIV/0!</v>
      </c>
      <c r="AK943" s="13">
        <f t="shared" ca="1" si="317"/>
        <v>0</v>
      </c>
      <c r="AL943" s="13">
        <f t="shared" ca="1" si="325"/>
        <v>0</v>
      </c>
      <c r="AM943" s="13">
        <f t="shared" ca="1" si="326"/>
        <v>0</v>
      </c>
      <c r="AO943" s="32">
        <v>924</v>
      </c>
      <c r="AP943" s="32">
        <v>77</v>
      </c>
      <c r="AQ943" s="32">
        <v>12</v>
      </c>
      <c r="AR943" s="13"/>
      <c r="AS943" s="32"/>
      <c r="AT943" s="13">
        <f t="shared" ca="1" si="327"/>
        <v>0</v>
      </c>
      <c r="AU943" s="33"/>
      <c r="AV943" s="13">
        <f t="shared" ca="1" si="318"/>
        <v>0</v>
      </c>
      <c r="AW943" s="13">
        <f ca="1">ROUNDUP(($AT943+$AV943)*VLOOKUP($AP943,Paraméterek!$P$38:$Q$38,2)/12*IF($D944="Nem",IF($M$13=0,1,$M$13),1),IF($D$4="Forint",0,2))</f>
        <v>0</v>
      </c>
      <c r="AX943" s="13">
        <f>Tranzakciók!$M$108</f>
        <v>0</v>
      </c>
      <c r="AY943" s="13"/>
      <c r="AZ943" s="13">
        <f>ROUNDUP(IF(SUM($AX943:$AY943)=0,0,IF(IF(ISBLANK($AY943),$AX943,$AY943)*Paraméterek!$J$112&lt;IF($D$4="Forint",Paraméterek!$J$113,Paraméterek!$K$113),IF($D$4="Forint",Paraméterek!$J$113,Paraméterek!$K$113),IF(IF(ISBLANK($AY943),$AX943,$AY943)*Paraméterek!$J$112&gt;IF($D$4="Forint",Paraméterek!$J$114,Paraméterek!$K$114),IF($D$4="Forint",Paraméterek!$J$114,Paraméterek!$K$114),IF(ISBLANK($AY943),$AX943,$AY943)*Paraméterek!$J$112))),IF($D$4="Forint",0,2))</f>
        <v>0</v>
      </c>
      <c r="BA943" s="13">
        <f ca="1">$AT943+$AV943-$AW943-IF(ROUNDDOWN(IF(ISBLANK($AY943),$AX943,$AY943),IF($D$4="Forint",0,2))&gt;$AT943+$AV943-$AW943-IF($D$4="Forint",Paraméterek!$J$114,Paraméterek!$K$114),0,ROUNDDOWN(IF(ISBLANK($AY943),$AX943,$AY943),IF($D$4="Forint",0,2))-$AZ943)</f>
        <v>0</v>
      </c>
      <c r="BB943" s="13">
        <f t="shared" ca="1" si="319"/>
        <v>0</v>
      </c>
      <c r="BD943" s="32">
        <v>924</v>
      </c>
      <c r="BE943" s="32">
        <v>77</v>
      </c>
      <c r="BF943" s="32">
        <v>12</v>
      </c>
      <c r="BG943" s="34">
        <f t="shared" ca="1" si="328"/>
        <v>2096</v>
      </c>
      <c r="BH943" s="32" t="str">
        <f ca="1">IF(MOD(MONTH($D$14)+$BD943-1,12)=Paraméterek!$C$288,"Igen","")</f>
        <v/>
      </c>
      <c r="BI943" s="13">
        <f ca="1">IF($BH943="Igen",MIN(ROUNDDOWN((SUMIF($BG$20:$BG$1027,$BG943-1,$K$20:$K$1027)-SUMIF($BG$20:$BG$1027,$BG943-1,$I$20:$I$1027))*Paraméterek!$C$289,IF($D$4="Forint",0,2)),IF($D$4="Forint",Paraméterek!$C$285,Paraméterek!$D$285)),0)</f>
        <v>0</v>
      </c>
      <c r="BJ943" s="13">
        <f t="shared" ca="1" si="320"/>
        <v>0</v>
      </c>
      <c r="BK943" s="13">
        <f t="shared" ca="1" si="329"/>
        <v>0</v>
      </c>
      <c r="BL943" s="33"/>
      <c r="BM943" s="13">
        <f t="shared" ca="1" si="321"/>
        <v>0</v>
      </c>
      <c r="BN943" s="13">
        <f ca="1">ROUNDUP(($BK943+$BM943)*VLOOKUP($BE943,Paraméterek!$P$38:$Q$38,2)/12*IF($D944="Nem",IF($M$13=0,1,$M$13),1),IF($D$4="Forint",0,2))</f>
        <v>0</v>
      </c>
      <c r="BO943" s="13">
        <f t="shared" ca="1" si="322"/>
        <v>0</v>
      </c>
      <c r="BP943" s="13">
        <f ca="1">IF($D944="Nem",$BO943,$BO943-ROUNDUP(SUM($BI$20:$BI943)*120%,IF($D$4="Forint",0,2)))</f>
        <v>0</v>
      </c>
    </row>
    <row r="944" spans="1:68" x14ac:dyDescent="0.2">
      <c r="A944" s="32">
        <v>925</v>
      </c>
      <c r="B944" s="32">
        <v>78</v>
      </c>
      <c r="C944" s="32">
        <v>1</v>
      </c>
      <c r="D944" s="32" t="str">
        <f t="shared" ca="1" si="308"/>
        <v>Nem</v>
      </c>
      <c r="E944" s="13">
        <f t="shared" ca="1" si="309"/>
        <v>0</v>
      </c>
      <c r="F944" s="13"/>
      <c r="G944" s="13">
        <f>Tranzakciók!$D$109</f>
        <v>0</v>
      </c>
      <c r="H944" s="13"/>
      <c r="I944" s="13">
        <f t="shared" ca="1" si="310"/>
        <v>0</v>
      </c>
      <c r="J944" s="13">
        <f t="shared" ca="1" si="311"/>
        <v>0</v>
      </c>
      <c r="K944" s="13">
        <f t="shared" ca="1" si="312"/>
        <v>0</v>
      </c>
      <c r="L944" s="13" t="e">
        <f ca="1">ROUNDUP(IF($D$2="Egyszeri",$E944,IF($D$2="Havi",SUM($E$20:$E$31),IF(MOD($C944,$M$1)-1=0,SUM($E$20:$E$31),0))/12*$M$1)*VLOOKUP($B944,Paraméterek!$I$28:$P$31,IF($D$2="Egyszeri",8,HLOOKUP(ROUNDUP($M$11+$M$13,0),Paraméterek!$J$26:$O$27,2))),IF($D$4="Forint",0,2))</f>
        <v>#N/A</v>
      </c>
      <c r="M944" s="13">
        <f t="shared" ca="1" si="313"/>
        <v>0</v>
      </c>
      <c r="N944" s="13">
        <f t="shared" ca="1" si="323"/>
        <v>0</v>
      </c>
      <c r="O944" s="13">
        <f ca="1">IF($D944="Igen",IF($W943&gt;=IF($D$4="Forint",Paraméterek!$J$121,Paraméterek!$K$121),0,IF($D$4="Forint",Paraméterek!$J$121,Paraméterek!$K$121)-$W943),0)</f>
        <v>0</v>
      </c>
      <c r="P944" s="13" t="e">
        <f ca="1">ROUNDUP($O944*VLOOKUP($M$4+$B944-1,Paraméterek!$H$58:$I$105,2,0)/Paraméterek!$I$56,IF($D$4="Forint",0,2))</f>
        <v>#N/A</v>
      </c>
      <c r="Q944" s="13">
        <f t="shared" ca="1" si="314"/>
        <v>0</v>
      </c>
      <c r="R944" s="33"/>
      <c r="S944" s="13" t="e">
        <f t="shared" ca="1" si="315"/>
        <v>#N/A</v>
      </c>
      <c r="T944" s="13" t="e">
        <f ca="1">ROUNDUP(($N944-$P944-$Q944+$S944)*VLOOKUP($B944,Paraméterek!$I$38:$K$39,IF($D$2="Egyszeri",3,2))/12*IF($D945="Nem",IF($M$13=0,1,$M$13),1),IF($D$4="Forint",0,2))</f>
        <v>#N/A</v>
      </c>
      <c r="U944" s="13"/>
      <c r="V944" s="13"/>
      <c r="W944" s="13" t="e">
        <f ca="1">$N944-$P944-$Q944+$S944-$T944-IF(ROUNDUP(IF(ISBLANK($V944),$U944*0,$V944)/IF($D$2="Egyszeri",VLOOKUP($B944+IF($C944=12,1,0),Paraméterek!$V$257:$W$262,2),IF($B944=1,1,VLOOKUP($B944+IF($C944=12,1,0),Paraméterek!$I$258:$T$278,HLOOKUP($M$11+1,Paraméterek!$J$256:$T$257,2)))),IF($D$4="Forint",0,2))&gt;$N944-$P944-$Q944+$S944-$T944-IF($D$4="Forint",Paraméterek!$C$216,Paraméterek!$D$216),0,ROUNDUP(IF(ISBLANK($V944),$U944*0,$V944)/IF($D$2="Egyszeri",VLOOKUP($B944+IF($C944=12,1,0),Paraméterek!$V$257:$W$262,2),IF($B944=1,1,VLOOKUP($B944+IF($C944=12,1,0),Paraméterek!$I$258:$T$278,HLOOKUP($M$11+1,Paraméterek!$J$256:$T$257,2)))),IF($D$4="Forint",0,2)))</f>
        <v>#N/A</v>
      </c>
      <c r="X944" s="13" t="e">
        <f ca="1">ROUNDDOWN($W944*IF($D$2="Egyszeri",VLOOKUP($B944+IF($C944=12,1,0),Paraméterek!$V$257:$W$262,2),VLOOKUP($B944+IF($C944=12,1,0),Paraméterek!$I$258:$T$278,HLOOKUP($M$11+1,Paraméterek!$I$256:$T$257,2))),IF($D$4="Forint",0,2))</f>
        <v>#N/A</v>
      </c>
      <c r="Z944" s="32">
        <v>925</v>
      </c>
      <c r="AA944" s="32">
        <v>78</v>
      </c>
      <c r="AB944" s="32">
        <v>1</v>
      </c>
      <c r="AC944" s="13">
        <f t="shared" ca="1" si="324"/>
        <v>0</v>
      </c>
      <c r="AD944" s="33"/>
      <c r="AE944" s="13">
        <f t="shared" ca="1" si="316"/>
        <v>0</v>
      </c>
      <c r="AF944" s="13">
        <f ca="1">ROUNDUP(($AC944+$AE944)*VLOOKUP($AA944,Paraméterek!$P$38:$Q$38,2)/12*IF($D945="Nem",IF($M$13=0,1,$M$13),1),IF($D$4="Forint",0,2))</f>
        <v>0</v>
      </c>
      <c r="AG944" s="13">
        <f ca="1">IF($D$2="Egyszeri",IF($D$7&gt;=IF($D$4="Forint",Paraméterek!$P$223,Paraméterek!$P$224),$D$7-IF($D$4="Forint",Paraméterek!$P$223,Paraméterek!$P$224),0),MIN(IF($AB944=12,AVERAGEIF($E$20:$E944,"&gt;0",$E$20:$E944)*12,0),SUM($E$20:$E$31)))</f>
        <v>0</v>
      </c>
      <c r="AH944" s="13">
        <f>IF($AA944=10,$AG944*IF($AB944=12,IF($AG944&lt;IF($D$4="Forint",Paraméterek!$L$223,Paraméterek!$L$224),0,VLOOKUP($AA944,Paraméterek!$K$226:$M$228,IF($AG944&lt;IF($D$4="Forint",Paraméterek!$M$223,Paraméterek!$M$224),2,3))),0),0)</f>
        <v>0</v>
      </c>
      <c r="AI944" s="13">
        <f ca="1">IF(AND($AA944=$M$11+1,$AB944=$M$12+1),SUMIF($AA$20:$AA$1027,$AA944,$AG$20:$AG$1027)*IF(SUMIF($AA$20:$AA$1027,$AA944,$AG$20:$AG$1027)&lt;IF($D$4="Forint",Paraméterek!$L$223,Paraméterek!$L$224),0,VLOOKUP($AA944,Paraméterek!$K$230:$M$250,IF(SUMIF($AA$20:$AA$1027,$AA944,$AG$20:$AG$1027)&lt;IF($D$4="Forint",Paraméterek!$M$223,Paraméterek!$M$224),2,3))),0)</f>
        <v>0</v>
      </c>
      <c r="AJ944" s="13">
        <f ca="1">IF(AND($AA944&gt;=5,MOD($AA944,5)=0),IF($AB944=12,VLOOKUP($AA944,Paraméterek!$O$225:$P$240,2),0),IF(OR($AA944=3,$AA944=4),IF($AB944=12,VLOOKUP($AA944,Paraméterek!$O$225:$P$240,2,0),0),0))*$AG944</f>
        <v>0</v>
      </c>
      <c r="AK944" s="13">
        <f t="shared" ca="1" si="317"/>
        <v>0</v>
      </c>
      <c r="AL944" s="13">
        <f t="shared" ca="1" si="325"/>
        <v>0</v>
      </c>
      <c r="AM944" s="13">
        <f t="shared" ca="1" si="326"/>
        <v>0</v>
      </c>
      <c r="AO944" s="32">
        <v>925</v>
      </c>
      <c r="AP944" s="32">
        <v>78</v>
      </c>
      <c r="AQ944" s="32">
        <v>1</v>
      </c>
      <c r="AR944" s="13">
        <f>Tranzakciók!$K$109</f>
        <v>0</v>
      </c>
      <c r="AS944" s="32"/>
      <c r="AT944" s="13">
        <f t="shared" ca="1" si="327"/>
        <v>0</v>
      </c>
      <c r="AU944" s="33"/>
      <c r="AV944" s="13">
        <f t="shared" ca="1" si="318"/>
        <v>0</v>
      </c>
      <c r="AW944" s="13">
        <f ca="1">ROUNDUP(($AT944+$AV944)*VLOOKUP($AP944,Paraméterek!$P$38:$Q$38,2)/12*IF($D945="Nem",IF($M$13=0,1,$M$13),1),IF($D$4="Forint",0,2))</f>
        <v>0</v>
      </c>
      <c r="AX944" s="13"/>
      <c r="AY944" s="13"/>
      <c r="AZ944" s="13">
        <f>ROUNDUP(IF(SUM($AX944:$AY944)=0,0,IF(IF(ISBLANK($AY944),$AX944,$AY944)*Paraméterek!$J$112&lt;IF($D$4="Forint",Paraméterek!$J$113,Paraméterek!$K$113),IF($D$4="Forint",Paraméterek!$J$113,Paraméterek!$K$113),IF(IF(ISBLANK($AY944),$AX944,$AY944)*Paraméterek!$J$112&gt;IF($D$4="Forint",Paraméterek!$J$114,Paraméterek!$K$114),IF($D$4="Forint",Paraméterek!$J$114,Paraméterek!$K$114),IF(ISBLANK($AY944),$AX944,$AY944)*Paraméterek!$J$112))),IF($D$4="Forint",0,2))</f>
        <v>0</v>
      </c>
      <c r="BA944" s="13">
        <f ca="1">$AT944+$AV944-$AW944-IF(ROUNDDOWN(IF(ISBLANK($AY944),$AX944,$AY944),IF($D$4="Forint",0,2))&gt;$AT944+$AV944-$AW944-IF($D$4="Forint",Paraméterek!$J$114,Paraméterek!$K$114),0,ROUNDDOWN(IF(ISBLANK($AY944),$AX944,$AY944),IF($D$4="Forint",0,2))-$AZ944)</f>
        <v>0</v>
      </c>
      <c r="BB944" s="13">
        <f t="shared" ca="1" si="319"/>
        <v>0</v>
      </c>
      <c r="BD944" s="32">
        <v>925</v>
      </c>
      <c r="BE944" s="32">
        <v>78</v>
      </c>
      <c r="BF944" s="32">
        <v>1</v>
      </c>
      <c r="BG944" s="34">
        <f t="shared" ca="1" si="328"/>
        <v>2096</v>
      </c>
      <c r="BH944" s="32" t="str">
        <f ca="1">IF(MOD(MONTH($D$14)+$BD944-1,12)=Paraméterek!$C$288,"Igen","")</f>
        <v/>
      </c>
      <c r="BI944" s="13">
        <f ca="1">IF($BH944="Igen",MIN(ROUNDDOWN((SUMIF($BG$20:$BG$1027,$BG944-1,$K$20:$K$1027)-SUMIF($BG$20:$BG$1027,$BG944-1,$I$20:$I$1027))*Paraméterek!$C$289,IF($D$4="Forint",0,2)),IF($D$4="Forint",Paraméterek!$C$285,Paraméterek!$D$285)),0)</f>
        <v>0</v>
      </c>
      <c r="BJ944" s="13">
        <f t="shared" ca="1" si="320"/>
        <v>0</v>
      </c>
      <c r="BK944" s="13">
        <f t="shared" ca="1" si="329"/>
        <v>0</v>
      </c>
      <c r="BL944" s="33"/>
      <c r="BM944" s="13">
        <f t="shared" ca="1" si="321"/>
        <v>0</v>
      </c>
      <c r="BN944" s="13">
        <f ca="1">ROUNDUP(($BK944+$BM944)*VLOOKUP($BE944,Paraméterek!$P$38:$Q$38,2)/12*IF($D945="Nem",IF($M$13=0,1,$M$13),1),IF($D$4="Forint",0,2))</f>
        <v>0</v>
      </c>
      <c r="BO944" s="13">
        <f t="shared" ca="1" si="322"/>
        <v>0</v>
      </c>
      <c r="BP944" s="13">
        <f ca="1">IF($D945="Nem",$BO944,$BO944-ROUNDUP(SUM($BI$20:$BI944)*120%,IF($D$4="Forint",0,2)))</f>
        <v>0</v>
      </c>
    </row>
    <row r="945" spans="1:68" x14ac:dyDescent="0.2">
      <c r="A945" s="32">
        <v>926</v>
      </c>
      <c r="B945" s="32">
        <v>78</v>
      </c>
      <c r="C945" s="32">
        <v>2</v>
      </c>
      <c r="D945" s="32" t="str">
        <f t="shared" ca="1" si="308"/>
        <v>Nem</v>
      </c>
      <c r="E945" s="13">
        <f t="shared" ca="1" si="309"/>
        <v>0</v>
      </c>
      <c r="F945" s="13"/>
      <c r="G945" s="13"/>
      <c r="H945" s="13"/>
      <c r="I945" s="13">
        <f t="shared" ca="1" si="310"/>
        <v>0</v>
      </c>
      <c r="J945" s="13">
        <f t="shared" ca="1" si="311"/>
        <v>0</v>
      </c>
      <c r="K945" s="13">
        <f t="shared" ca="1" si="312"/>
        <v>0</v>
      </c>
      <c r="L945" s="13" t="e">
        <f ca="1">ROUNDUP(IF($D$2="Egyszeri",$E945,IF($D$2="Havi",SUM($E$20:$E$31),IF(MOD($C945,$M$1)-1=0,SUM($E$20:$E$31),0))/12*$M$1)*VLOOKUP($B945,Paraméterek!$I$28:$P$31,IF($D$2="Egyszeri",8,HLOOKUP(ROUNDUP($M$11+$M$13,0),Paraméterek!$J$26:$O$27,2))),IF($D$4="Forint",0,2))</f>
        <v>#N/A</v>
      </c>
      <c r="M945" s="13">
        <f t="shared" ca="1" si="313"/>
        <v>0</v>
      </c>
      <c r="N945" s="13">
        <f t="shared" ca="1" si="323"/>
        <v>0</v>
      </c>
      <c r="O945" s="13">
        <f ca="1">IF($D945="Igen",IF($W944&gt;=IF($D$4="Forint",Paraméterek!$J$121,Paraméterek!$K$121),0,IF($D$4="Forint",Paraméterek!$J$121,Paraméterek!$K$121)-$W944),0)</f>
        <v>0</v>
      </c>
      <c r="P945" s="13" t="e">
        <f ca="1">ROUNDUP($O945*VLOOKUP($M$4+$B945-1,Paraméterek!$H$58:$I$105,2,0)/Paraméterek!$I$56,IF($D$4="Forint",0,2))</f>
        <v>#N/A</v>
      </c>
      <c r="Q945" s="13">
        <f t="shared" ca="1" si="314"/>
        <v>0</v>
      </c>
      <c r="R945" s="33"/>
      <c r="S945" s="13" t="e">
        <f t="shared" ca="1" si="315"/>
        <v>#N/A</v>
      </c>
      <c r="T945" s="13" t="e">
        <f ca="1">ROUNDUP(($N945-$P945-$Q945+$S945)*VLOOKUP($B945,Paraméterek!$I$38:$K$39,IF($D$2="Egyszeri",3,2))/12*IF($D946="Nem",IF($M$13=0,1,$M$13),1),IF($D$4="Forint",0,2))</f>
        <v>#N/A</v>
      </c>
      <c r="U945" s="13"/>
      <c r="V945" s="13"/>
      <c r="W945" s="13" t="e">
        <f ca="1">$N945-$P945-$Q945+$S945-$T945-IF(ROUNDUP(IF(ISBLANK($V945),$U945*0,$V945)/IF($D$2="Egyszeri",VLOOKUP($B945+IF($C945=12,1,0),Paraméterek!$V$257:$W$262,2),IF($B945=1,1,VLOOKUP($B945+IF($C945=12,1,0),Paraméterek!$I$258:$T$278,HLOOKUP($M$11+1,Paraméterek!$J$256:$T$257,2)))),IF($D$4="Forint",0,2))&gt;$N945-$P945-$Q945+$S945-$T945-IF($D$4="Forint",Paraméterek!$C$216,Paraméterek!$D$216),0,ROUNDUP(IF(ISBLANK($V945),$U945*0,$V945)/IF($D$2="Egyszeri",VLOOKUP($B945+IF($C945=12,1,0),Paraméterek!$V$257:$W$262,2),IF($B945=1,1,VLOOKUP($B945+IF($C945=12,1,0),Paraméterek!$I$258:$T$278,HLOOKUP($M$11+1,Paraméterek!$J$256:$T$257,2)))),IF($D$4="Forint",0,2)))</f>
        <v>#N/A</v>
      </c>
      <c r="X945" s="13" t="e">
        <f ca="1">ROUNDDOWN($W945*IF($D$2="Egyszeri",VLOOKUP($B945+IF($C945=12,1,0),Paraméterek!$V$257:$W$262,2),VLOOKUP($B945+IF($C945=12,1,0),Paraméterek!$I$258:$T$278,HLOOKUP($M$11+1,Paraméterek!$I$256:$T$257,2))),IF($D$4="Forint",0,2))</f>
        <v>#N/A</v>
      </c>
      <c r="Z945" s="32">
        <v>926</v>
      </c>
      <c r="AA945" s="32">
        <v>78</v>
      </c>
      <c r="AB945" s="32">
        <v>2</v>
      </c>
      <c r="AC945" s="13">
        <f t="shared" ca="1" si="324"/>
        <v>0</v>
      </c>
      <c r="AD945" s="33"/>
      <c r="AE945" s="13">
        <f t="shared" ca="1" si="316"/>
        <v>0</v>
      </c>
      <c r="AF945" s="13">
        <f ca="1">ROUNDUP(($AC945+$AE945)*VLOOKUP($AA945,Paraméterek!$P$38:$Q$38,2)/12*IF($D946="Nem",IF($M$13=0,1,$M$13),1),IF($D$4="Forint",0,2))</f>
        <v>0</v>
      </c>
      <c r="AG945" s="13">
        <f ca="1">IF($D$2="Egyszeri",IF($D$7&gt;=IF($D$4="Forint",Paraméterek!$P$223,Paraméterek!$P$224),$D$7-IF($D$4="Forint",Paraméterek!$P$223,Paraméterek!$P$224),0),MIN(IF($AB945=12,AVERAGEIF($E$20:$E945,"&gt;0",$E$20:$E945)*12,0),SUM($E$20:$E$31)))</f>
        <v>0</v>
      </c>
      <c r="AH945" s="13">
        <f>IF($AA945=10,$AG945*IF($AB945=12,IF($AG945&lt;IF($D$4="Forint",Paraméterek!$L$223,Paraméterek!$L$224),0,VLOOKUP($AA945,Paraméterek!$K$226:$M$228,IF($AG945&lt;IF($D$4="Forint",Paraméterek!$M$223,Paraméterek!$M$224),2,3))),0),0)</f>
        <v>0</v>
      </c>
      <c r="AI945" s="13">
        <f ca="1">IF(AND($AA945=$M$11+1,$AB945=$M$12+1),SUMIF($AA$20:$AA$1027,$AA945,$AG$20:$AG$1027)*IF(SUMIF($AA$20:$AA$1027,$AA945,$AG$20:$AG$1027)&lt;IF($D$4="Forint",Paraméterek!$L$223,Paraméterek!$L$224),0,VLOOKUP($AA945,Paraméterek!$K$230:$M$250,IF(SUMIF($AA$20:$AA$1027,$AA945,$AG$20:$AG$1027)&lt;IF($D$4="Forint",Paraméterek!$M$223,Paraméterek!$M$224),2,3))),0)</f>
        <v>0</v>
      </c>
      <c r="AJ945" s="13">
        <f ca="1">IF(AND($AA945&gt;=5,MOD($AA945,5)=0),IF($AB945=12,VLOOKUP($AA945,Paraméterek!$O$225:$P$240,2),0),IF(OR($AA945=3,$AA945=4),IF($AB945=12,VLOOKUP($AA945,Paraméterek!$O$225:$P$240,2,0),0),0))*$AG945</f>
        <v>0</v>
      </c>
      <c r="AK945" s="13">
        <f t="shared" ca="1" si="317"/>
        <v>0</v>
      </c>
      <c r="AL945" s="13">
        <f t="shared" ca="1" si="325"/>
        <v>0</v>
      </c>
      <c r="AM945" s="13">
        <f t="shared" ca="1" si="326"/>
        <v>0</v>
      </c>
      <c r="AO945" s="32">
        <v>926</v>
      </c>
      <c r="AP945" s="32">
        <v>78</v>
      </c>
      <c r="AQ945" s="32">
        <v>2</v>
      </c>
      <c r="AR945" s="13"/>
      <c r="AS945" s="32"/>
      <c r="AT945" s="13">
        <f t="shared" ca="1" si="327"/>
        <v>0</v>
      </c>
      <c r="AU945" s="33"/>
      <c r="AV945" s="13">
        <f t="shared" ca="1" si="318"/>
        <v>0</v>
      </c>
      <c r="AW945" s="13">
        <f ca="1">ROUNDUP(($AT945+$AV945)*VLOOKUP($AP945,Paraméterek!$P$38:$Q$38,2)/12*IF($D946="Nem",IF($M$13=0,1,$M$13),1),IF($D$4="Forint",0,2))</f>
        <v>0</v>
      </c>
      <c r="AX945" s="13"/>
      <c r="AY945" s="13"/>
      <c r="AZ945" s="13">
        <f>ROUNDUP(IF(SUM($AX945:$AY945)=0,0,IF(IF(ISBLANK($AY945),$AX945,$AY945)*Paraméterek!$J$112&lt;IF($D$4="Forint",Paraméterek!$J$113,Paraméterek!$K$113),IF($D$4="Forint",Paraméterek!$J$113,Paraméterek!$K$113),IF(IF(ISBLANK($AY945),$AX945,$AY945)*Paraméterek!$J$112&gt;IF($D$4="Forint",Paraméterek!$J$114,Paraméterek!$K$114),IF($D$4="Forint",Paraméterek!$J$114,Paraméterek!$K$114),IF(ISBLANK($AY945),$AX945,$AY945)*Paraméterek!$J$112))),IF($D$4="Forint",0,2))</f>
        <v>0</v>
      </c>
      <c r="BA945" s="13">
        <f ca="1">$AT945+$AV945-$AW945-IF(ROUNDDOWN(IF(ISBLANK($AY945),$AX945,$AY945),IF($D$4="Forint",0,2))&gt;$AT945+$AV945-$AW945-IF($D$4="Forint",Paraméterek!$J$114,Paraméterek!$K$114),0,ROUNDDOWN(IF(ISBLANK($AY945),$AX945,$AY945),IF($D$4="Forint",0,2))-$AZ945)</f>
        <v>0</v>
      </c>
      <c r="BB945" s="13">
        <f t="shared" ca="1" si="319"/>
        <v>0</v>
      </c>
      <c r="BD945" s="32">
        <v>926</v>
      </c>
      <c r="BE945" s="32">
        <v>78</v>
      </c>
      <c r="BF945" s="32">
        <v>2</v>
      </c>
      <c r="BG945" s="34">
        <f t="shared" ca="1" si="328"/>
        <v>2096</v>
      </c>
      <c r="BH945" s="32" t="str">
        <f ca="1">IF(MOD(MONTH($D$14)+$BD945-1,12)=Paraméterek!$C$288,"Igen","")</f>
        <v>Igen</v>
      </c>
      <c r="BI945" s="13">
        <f ca="1">IF($BH945="Igen",MIN(ROUNDDOWN((SUMIF($BG$20:$BG$1027,$BG945-1,$K$20:$K$1027)-SUMIF($BG$20:$BG$1027,$BG945-1,$I$20:$I$1027))*Paraméterek!$C$289,IF($D$4="Forint",0,2)),IF($D$4="Forint",Paraméterek!$C$285,Paraméterek!$D$285)),0)</f>
        <v>0</v>
      </c>
      <c r="BJ945" s="13">
        <f t="shared" ca="1" si="320"/>
        <v>0</v>
      </c>
      <c r="BK945" s="13">
        <f t="shared" ca="1" si="329"/>
        <v>0</v>
      </c>
      <c r="BL945" s="33"/>
      <c r="BM945" s="13">
        <f t="shared" ca="1" si="321"/>
        <v>0</v>
      </c>
      <c r="BN945" s="13">
        <f ca="1">ROUNDUP(($BK945+$BM945)*VLOOKUP($BE945,Paraméterek!$P$38:$Q$38,2)/12*IF($D946="Nem",IF($M$13=0,1,$M$13),1),IF($D$4="Forint",0,2))</f>
        <v>0</v>
      </c>
      <c r="BO945" s="13">
        <f t="shared" ca="1" si="322"/>
        <v>0</v>
      </c>
      <c r="BP945" s="13">
        <f ca="1">IF($D946="Nem",$BO945,$BO945-ROUNDUP(SUM($BI$20:$BI945)*120%,IF($D$4="Forint",0,2)))</f>
        <v>0</v>
      </c>
    </row>
    <row r="946" spans="1:68" x14ac:dyDescent="0.2">
      <c r="A946" s="32">
        <v>927</v>
      </c>
      <c r="B946" s="32">
        <v>78</v>
      </c>
      <c r="C946" s="32">
        <v>3</v>
      </c>
      <c r="D946" s="32" t="str">
        <f t="shared" ca="1" si="308"/>
        <v>Nem</v>
      </c>
      <c r="E946" s="13">
        <f t="shared" ca="1" si="309"/>
        <v>0</v>
      </c>
      <c r="F946" s="13"/>
      <c r="G946" s="13"/>
      <c r="H946" s="13"/>
      <c r="I946" s="13">
        <f t="shared" ca="1" si="310"/>
        <v>0</v>
      </c>
      <c r="J946" s="13">
        <f t="shared" ca="1" si="311"/>
        <v>0</v>
      </c>
      <c r="K946" s="13">
        <f t="shared" ca="1" si="312"/>
        <v>0</v>
      </c>
      <c r="L946" s="13" t="e">
        <f ca="1">ROUNDUP(IF($D$2="Egyszeri",$E946,IF($D$2="Havi",SUM($E$20:$E$31),IF(MOD($C946,$M$1)-1=0,SUM($E$20:$E$31),0))/12*$M$1)*VLOOKUP($B946,Paraméterek!$I$28:$P$31,IF($D$2="Egyszeri",8,HLOOKUP(ROUNDUP($M$11+$M$13,0),Paraméterek!$J$26:$O$27,2))),IF($D$4="Forint",0,2))</f>
        <v>#N/A</v>
      </c>
      <c r="M946" s="13">
        <f t="shared" ca="1" si="313"/>
        <v>0</v>
      </c>
      <c r="N946" s="13">
        <f t="shared" ca="1" si="323"/>
        <v>0</v>
      </c>
      <c r="O946" s="13">
        <f ca="1">IF($D946="Igen",IF($W945&gt;=IF($D$4="Forint",Paraméterek!$J$121,Paraméterek!$K$121),0,IF($D$4="Forint",Paraméterek!$J$121,Paraméterek!$K$121)-$W945),0)</f>
        <v>0</v>
      </c>
      <c r="P946" s="13" t="e">
        <f ca="1">ROUNDUP($O946*VLOOKUP($M$4+$B946-1,Paraméterek!$H$58:$I$105,2,0)/Paraméterek!$I$56,IF($D$4="Forint",0,2))</f>
        <v>#N/A</v>
      </c>
      <c r="Q946" s="13">
        <f t="shared" ca="1" si="314"/>
        <v>0</v>
      </c>
      <c r="R946" s="33"/>
      <c r="S946" s="13" t="e">
        <f t="shared" ca="1" si="315"/>
        <v>#N/A</v>
      </c>
      <c r="T946" s="13" t="e">
        <f ca="1">ROUNDUP(($N946-$P946-$Q946+$S946)*VLOOKUP($B946,Paraméterek!$I$38:$K$39,IF($D$2="Egyszeri",3,2))/12*IF($D947="Nem",IF($M$13=0,1,$M$13),1),IF($D$4="Forint",0,2))</f>
        <v>#N/A</v>
      </c>
      <c r="U946" s="13"/>
      <c r="V946" s="13"/>
      <c r="W946" s="13" t="e">
        <f ca="1">$N946-$P946-$Q946+$S946-$T946-IF(ROUNDUP(IF(ISBLANK($V946),$U946*0,$V946)/IF($D$2="Egyszeri",VLOOKUP($B946+IF($C946=12,1,0),Paraméterek!$V$257:$W$262,2),IF($B946=1,1,VLOOKUP($B946+IF($C946=12,1,0),Paraméterek!$I$258:$T$278,HLOOKUP($M$11+1,Paraméterek!$J$256:$T$257,2)))),IF($D$4="Forint",0,2))&gt;$N946-$P946-$Q946+$S946-$T946-IF($D$4="Forint",Paraméterek!$C$216,Paraméterek!$D$216),0,ROUNDUP(IF(ISBLANK($V946),$U946*0,$V946)/IF($D$2="Egyszeri",VLOOKUP($B946+IF($C946=12,1,0),Paraméterek!$V$257:$W$262,2),IF($B946=1,1,VLOOKUP($B946+IF($C946=12,1,0),Paraméterek!$I$258:$T$278,HLOOKUP($M$11+1,Paraméterek!$J$256:$T$257,2)))),IF($D$4="Forint",0,2)))</f>
        <v>#N/A</v>
      </c>
      <c r="X946" s="13" t="e">
        <f ca="1">ROUNDDOWN($W946*IF($D$2="Egyszeri",VLOOKUP($B946+IF($C946=12,1,0),Paraméterek!$V$257:$W$262,2),VLOOKUP($B946+IF($C946=12,1,0),Paraméterek!$I$258:$T$278,HLOOKUP($M$11+1,Paraméterek!$I$256:$T$257,2))),IF($D$4="Forint",0,2))</f>
        <v>#N/A</v>
      </c>
      <c r="Z946" s="32">
        <v>927</v>
      </c>
      <c r="AA946" s="32">
        <v>78</v>
      </c>
      <c r="AB946" s="32">
        <v>3</v>
      </c>
      <c r="AC946" s="13">
        <f t="shared" ca="1" si="324"/>
        <v>0</v>
      </c>
      <c r="AD946" s="33"/>
      <c r="AE946" s="13">
        <f t="shared" ca="1" si="316"/>
        <v>0</v>
      </c>
      <c r="AF946" s="13">
        <f ca="1">ROUNDUP(($AC946+$AE946)*VLOOKUP($AA946,Paraméterek!$P$38:$Q$38,2)/12*IF($D947="Nem",IF($M$13=0,1,$M$13),1),IF($D$4="Forint",0,2))</f>
        <v>0</v>
      </c>
      <c r="AG946" s="13">
        <f ca="1">IF($D$2="Egyszeri",IF($D$7&gt;=IF($D$4="Forint",Paraméterek!$P$223,Paraméterek!$P$224),$D$7-IF($D$4="Forint",Paraméterek!$P$223,Paraméterek!$P$224),0),MIN(IF($AB946=12,AVERAGEIF($E$20:$E946,"&gt;0",$E$20:$E946)*12,0),SUM($E$20:$E$31)))</f>
        <v>0</v>
      </c>
      <c r="AH946" s="13">
        <f>IF($AA946=10,$AG946*IF($AB946=12,IF($AG946&lt;IF($D$4="Forint",Paraméterek!$L$223,Paraméterek!$L$224),0,VLOOKUP($AA946,Paraméterek!$K$226:$M$228,IF($AG946&lt;IF($D$4="Forint",Paraméterek!$M$223,Paraméterek!$M$224),2,3))),0),0)</f>
        <v>0</v>
      </c>
      <c r="AI946" s="13">
        <f ca="1">IF(AND($AA946=$M$11+1,$AB946=$M$12+1),SUMIF($AA$20:$AA$1027,$AA946,$AG$20:$AG$1027)*IF(SUMIF($AA$20:$AA$1027,$AA946,$AG$20:$AG$1027)&lt;IF($D$4="Forint",Paraméterek!$L$223,Paraméterek!$L$224),0,VLOOKUP($AA946,Paraméterek!$K$230:$M$250,IF(SUMIF($AA$20:$AA$1027,$AA946,$AG$20:$AG$1027)&lt;IF($D$4="Forint",Paraméterek!$M$223,Paraméterek!$M$224),2,3))),0)</f>
        <v>0</v>
      </c>
      <c r="AJ946" s="13">
        <f ca="1">IF(AND($AA946&gt;=5,MOD($AA946,5)=0),IF($AB946=12,VLOOKUP($AA946,Paraméterek!$O$225:$P$240,2),0),IF(OR($AA946=3,$AA946=4),IF($AB946=12,VLOOKUP($AA946,Paraméterek!$O$225:$P$240,2,0),0),0))*$AG946</f>
        <v>0</v>
      </c>
      <c r="AK946" s="13">
        <f t="shared" ca="1" si="317"/>
        <v>0</v>
      </c>
      <c r="AL946" s="13">
        <f t="shared" ca="1" si="325"/>
        <v>0</v>
      </c>
      <c r="AM946" s="13">
        <f t="shared" ca="1" si="326"/>
        <v>0</v>
      </c>
      <c r="AO946" s="32">
        <v>927</v>
      </c>
      <c r="AP946" s="32">
        <v>78</v>
      </c>
      <c r="AQ946" s="32">
        <v>3</v>
      </c>
      <c r="AR946" s="13"/>
      <c r="AS946" s="32"/>
      <c r="AT946" s="13">
        <f t="shared" ca="1" si="327"/>
        <v>0</v>
      </c>
      <c r="AU946" s="33"/>
      <c r="AV946" s="13">
        <f t="shared" ca="1" si="318"/>
        <v>0</v>
      </c>
      <c r="AW946" s="13">
        <f ca="1">ROUNDUP(($AT946+$AV946)*VLOOKUP($AP946,Paraméterek!$P$38:$Q$38,2)/12*IF($D947="Nem",IF($M$13=0,1,$M$13),1),IF($D$4="Forint",0,2))</f>
        <v>0</v>
      </c>
      <c r="AX946" s="13"/>
      <c r="AY946" s="13"/>
      <c r="AZ946" s="13">
        <f>ROUNDUP(IF(SUM($AX946:$AY946)=0,0,IF(IF(ISBLANK($AY946),$AX946,$AY946)*Paraméterek!$J$112&lt;IF($D$4="Forint",Paraméterek!$J$113,Paraméterek!$K$113),IF($D$4="Forint",Paraméterek!$J$113,Paraméterek!$K$113),IF(IF(ISBLANK($AY946),$AX946,$AY946)*Paraméterek!$J$112&gt;IF($D$4="Forint",Paraméterek!$J$114,Paraméterek!$K$114),IF($D$4="Forint",Paraméterek!$J$114,Paraméterek!$K$114),IF(ISBLANK($AY946),$AX946,$AY946)*Paraméterek!$J$112))),IF($D$4="Forint",0,2))</f>
        <v>0</v>
      </c>
      <c r="BA946" s="13">
        <f ca="1">$AT946+$AV946-$AW946-IF(ROUNDDOWN(IF(ISBLANK($AY946),$AX946,$AY946),IF($D$4="Forint",0,2))&gt;$AT946+$AV946-$AW946-IF($D$4="Forint",Paraméterek!$J$114,Paraméterek!$K$114),0,ROUNDDOWN(IF(ISBLANK($AY946),$AX946,$AY946),IF($D$4="Forint",0,2))-$AZ946)</f>
        <v>0</v>
      </c>
      <c r="BB946" s="13">
        <f t="shared" ca="1" si="319"/>
        <v>0</v>
      </c>
      <c r="BD946" s="32">
        <v>927</v>
      </c>
      <c r="BE946" s="32">
        <v>78</v>
      </c>
      <c r="BF946" s="32">
        <v>3</v>
      </c>
      <c r="BG946" s="34">
        <f t="shared" ca="1" si="328"/>
        <v>2096</v>
      </c>
      <c r="BH946" s="32" t="str">
        <f ca="1">IF(MOD(MONTH($D$14)+$BD946-1,12)=Paraméterek!$C$288,"Igen","")</f>
        <v/>
      </c>
      <c r="BI946" s="13">
        <f ca="1">IF($BH946="Igen",MIN(ROUNDDOWN((SUMIF($BG$20:$BG$1027,$BG946-1,$K$20:$K$1027)-SUMIF($BG$20:$BG$1027,$BG946-1,$I$20:$I$1027))*Paraméterek!$C$289,IF($D$4="Forint",0,2)),IF($D$4="Forint",Paraméterek!$C$285,Paraméterek!$D$285)),0)</f>
        <v>0</v>
      </c>
      <c r="BJ946" s="13">
        <f t="shared" ca="1" si="320"/>
        <v>0</v>
      </c>
      <c r="BK946" s="13">
        <f t="shared" ca="1" si="329"/>
        <v>0</v>
      </c>
      <c r="BL946" s="33"/>
      <c r="BM946" s="13">
        <f t="shared" ca="1" si="321"/>
        <v>0</v>
      </c>
      <c r="BN946" s="13">
        <f ca="1">ROUNDUP(($BK946+$BM946)*VLOOKUP($BE946,Paraméterek!$P$38:$Q$38,2)/12*IF($D947="Nem",IF($M$13=0,1,$M$13),1),IF($D$4="Forint",0,2))</f>
        <v>0</v>
      </c>
      <c r="BO946" s="13">
        <f t="shared" ca="1" si="322"/>
        <v>0</v>
      </c>
      <c r="BP946" s="13">
        <f ca="1">IF($D947="Nem",$BO946,$BO946-ROUNDUP(SUM($BI$20:$BI946)*120%,IF($D$4="Forint",0,2)))</f>
        <v>0</v>
      </c>
    </row>
    <row r="947" spans="1:68" x14ac:dyDescent="0.2">
      <c r="A947" s="32">
        <v>928</v>
      </c>
      <c r="B947" s="32">
        <v>78</v>
      </c>
      <c r="C947" s="32">
        <v>4</v>
      </c>
      <c r="D947" s="32" t="str">
        <f t="shared" ca="1" si="308"/>
        <v>Nem</v>
      </c>
      <c r="E947" s="13">
        <f t="shared" ca="1" si="309"/>
        <v>0</v>
      </c>
      <c r="F947" s="13"/>
      <c r="G947" s="13"/>
      <c r="H947" s="13"/>
      <c r="I947" s="13">
        <f t="shared" ca="1" si="310"/>
        <v>0</v>
      </c>
      <c r="J947" s="13">
        <f t="shared" ca="1" si="311"/>
        <v>0</v>
      </c>
      <c r="K947" s="13">
        <f t="shared" ca="1" si="312"/>
        <v>0</v>
      </c>
      <c r="L947" s="13" t="e">
        <f ca="1">ROUNDUP(IF($D$2="Egyszeri",$E947,IF($D$2="Havi",SUM($E$20:$E$31),IF(MOD($C947,$M$1)-1=0,SUM($E$20:$E$31),0))/12*$M$1)*VLOOKUP($B947,Paraméterek!$I$28:$P$31,IF($D$2="Egyszeri",8,HLOOKUP(ROUNDUP($M$11+$M$13,0),Paraméterek!$J$26:$O$27,2))),IF($D$4="Forint",0,2))</f>
        <v>#N/A</v>
      </c>
      <c r="M947" s="13">
        <f t="shared" ca="1" si="313"/>
        <v>0</v>
      </c>
      <c r="N947" s="13">
        <f t="shared" ca="1" si="323"/>
        <v>0</v>
      </c>
      <c r="O947" s="13">
        <f ca="1">IF($D947="Igen",IF($W946&gt;=IF($D$4="Forint",Paraméterek!$J$121,Paraméterek!$K$121),0,IF($D$4="Forint",Paraméterek!$J$121,Paraméterek!$K$121)-$W946),0)</f>
        <v>0</v>
      </c>
      <c r="P947" s="13" t="e">
        <f ca="1">ROUNDUP($O947*VLOOKUP($M$4+$B947-1,Paraméterek!$H$58:$I$105,2,0)/Paraméterek!$I$56,IF($D$4="Forint",0,2))</f>
        <v>#N/A</v>
      </c>
      <c r="Q947" s="13">
        <f t="shared" ca="1" si="314"/>
        <v>0</v>
      </c>
      <c r="R947" s="33"/>
      <c r="S947" s="13" t="e">
        <f t="shared" ca="1" si="315"/>
        <v>#N/A</v>
      </c>
      <c r="T947" s="13" t="e">
        <f ca="1">ROUNDUP(($N947-$P947-$Q947+$S947)*VLOOKUP($B947,Paraméterek!$I$38:$K$39,IF($D$2="Egyszeri",3,2))/12*IF($D948="Nem",IF($M$13=0,1,$M$13),1),IF($D$4="Forint",0,2))</f>
        <v>#N/A</v>
      </c>
      <c r="U947" s="13"/>
      <c r="V947" s="13"/>
      <c r="W947" s="13" t="e">
        <f ca="1">$N947-$P947-$Q947+$S947-$T947-IF(ROUNDUP(IF(ISBLANK($V947),$U947*0,$V947)/IF($D$2="Egyszeri",VLOOKUP($B947+IF($C947=12,1,0),Paraméterek!$V$257:$W$262,2),IF($B947=1,1,VLOOKUP($B947+IF($C947=12,1,0),Paraméterek!$I$258:$T$278,HLOOKUP($M$11+1,Paraméterek!$J$256:$T$257,2)))),IF($D$4="Forint",0,2))&gt;$N947-$P947-$Q947+$S947-$T947-IF($D$4="Forint",Paraméterek!$C$216,Paraméterek!$D$216),0,ROUNDUP(IF(ISBLANK($V947),$U947*0,$V947)/IF($D$2="Egyszeri",VLOOKUP($B947+IF($C947=12,1,0),Paraméterek!$V$257:$W$262,2),IF($B947=1,1,VLOOKUP($B947+IF($C947=12,1,0),Paraméterek!$I$258:$T$278,HLOOKUP($M$11+1,Paraméterek!$J$256:$T$257,2)))),IF($D$4="Forint",0,2)))</f>
        <v>#N/A</v>
      </c>
      <c r="X947" s="13" t="e">
        <f ca="1">ROUNDDOWN($W947*IF($D$2="Egyszeri",VLOOKUP($B947+IF($C947=12,1,0),Paraméterek!$V$257:$W$262,2),VLOOKUP($B947+IF($C947=12,1,0),Paraméterek!$I$258:$T$278,HLOOKUP($M$11+1,Paraméterek!$I$256:$T$257,2))),IF($D$4="Forint",0,2))</f>
        <v>#N/A</v>
      </c>
      <c r="Z947" s="32">
        <v>928</v>
      </c>
      <c r="AA947" s="32">
        <v>78</v>
      </c>
      <c r="AB947" s="32">
        <v>4</v>
      </c>
      <c r="AC947" s="13">
        <f t="shared" ca="1" si="324"/>
        <v>0</v>
      </c>
      <c r="AD947" s="33"/>
      <c r="AE947" s="13">
        <f t="shared" ca="1" si="316"/>
        <v>0</v>
      </c>
      <c r="AF947" s="13">
        <f ca="1">ROUNDUP(($AC947+$AE947)*VLOOKUP($AA947,Paraméterek!$P$38:$Q$38,2)/12*IF($D948="Nem",IF($M$13=0,1,$M$13),1),IF($D$4="Forint",0,2))</f>
        <v>0</v>
      </c>
      <c r="AG947" s="13">
        <f ca="1">IF($D$2="Egyszeri",IF($D$7&gt;=IF($D$4="Forint",Paraméterek!$P$223,Paraméterek!$P$224),$D$7-IF($D$4="Forint",Paraméterek!$P$223,Paraméterek!$P$224),0),MIN(IF($AB947=12,AVERAGEIF($E$20:$E947,"&gt;0",$E$20:$E947)*12,0),SUM($E$20:$E$31)))</f>
        <v>0</v>
      </c>
      <c r="AH947" s="13">
        <f>IF($AA947=10,$AG947*IF($AB947=12,IF($AG947&lt;IF($D$4="Forint",Paraméterek!$L$223,Paraméterek!$L$224),0,VLOOKUP($AA947,Paraméterek!$K$226:$M$228,IF($AG947&lt;IF($D$4="Forint",Paraméterek!$M$223,Paraméterek!$M$224),2,3))),0),0)</f>
        <v>0</v>
      </c>
      <c r="AI947" s="13">
        <f ca="1">IF(AND($AA947=$M$11+1,$AB947=$M$12+1),SUMIF($AA$20:$AA$1027,$AA947,$AG$20:$AG$1027)*IF(SUMIF($AA$20:$AA$1027,$AA947,$AG$20:$AG$1027)&lt;IF($D$4="Forint",Paraméterek!$L$223,Paraméterek!$L$224),0,VLOOKUP($AA947,Paraméterek!$K$230:$M$250,IF(SUMIF($AA$20:$AA$1027,$AA947,$AG$20:$AG$1027)&lt;IF($D$4="Forint",Paraméterek!$M$223,Paraméterek!$M$224),2,3))),0)</f>
        <v>0</v>
      </c>
      <c r="AJ947" s="13">
        <f ca="1">IF(AND($AA947&gt;=5,MOD($AA947,5)=0),IF($AB947=12,VLOOKUP($AA947,Paraméterek!$O$225:$P$240,2),0),IF(OR($AA947=3,$AA947=4),IF($AB947=12,VLOOKUP($AA947,Paraméterek!$O$225:$P$240,2,0),0),0))*$AG947</f>
        <v>0</v>
      </c>
      <c r="AK947" s="13">
        <f t="shared" ca="1" si="317"/>
        <v>0</v>
      </c>
      <c r="AL947" s="13">
        <f t="shared" ca="1" si="325"/>
        <v>0</v>
      </c>
      <c r="AM947" s="13">
        <f t="shared" ca="1" si="326"/>
        <v>0</v>
      </c>
      <c r="AO947" s="32">
        <v>928</v>
      </c>
      <c r="AP947" s="32">
        <v>78</v>
      </c>
      <c r="AQ947" s="32">
        <v>4</v>
      </c>
      <c r="AR947" s="13"/>
      <c r="AS947" s="32"/>
      <c r="AT947" s="13">
        <f t="shared" ca="1" si="327"/>
        <v>0</v>
      </c>
      <c r="AU947" s="33"/>
      <c r="AV947" s="13">
        <f t="shared" ca="1" si="318"/>
        <v>0</v>
      </c>
      <c r="AW947" s="13">
        <f ca="1">ROUNDUP(($AT947+$AV947)*VLOOKUP($AP947,Paraméterek!$P$38:$Q$38,2)/12*IF($D948="Nem",IF($M$13=0,1,$M$13),1),IF($D$4="Forint",0,2))</f>
        <v>0</v>
      </c>
      <c r="AX947" s="13"/>
      <c r="AY947" s="13"/>
      <c r="AZ947" s="13">
        <f>ROUNDUP(IF(SUM($AX947:$AY947)=0,0,IF(IF(ISBLANK($AY947),$AX947,$AY947)*Paraméterek!$J$112&lt;IF($D$4="Forint",Paraméterek!$J$113,Paraméterek!$K$113),IF($D$4="Forint",Paraméterek!$J$113,Paraméterek!$K$113),IF(IF(ISBLANK($AY947),$AX947,$AY947)*Paraméterek!$J$112&gt;IF($D$4="Forint",Paraméterek!$J$114,Paraméterek!$K$114),IF($D$4="Forint",Paraméterek!$J$114,Paraméterek!$K$114),IF(ISBLANK($AY947),$AX947,$AY947)*Paraméterek!$J$112))),IF($D$4="Forint",0,2))</f>
        <v>0</v>
      </c>
      <c r="BA947" s="13">
        <f ca="1">$AT947+$AV947-$AW947-IF(ROUNDDOWN(IF(ISBLANK($AY947),$AX947,$AY947),IF($D$4="Forint",0,2))&gt;$AT947+$AV947-$AW947-IF($D$4="Forint",Paraméterek!$J$114,Paraméterek!$K$114),0,ROUNDDOWN(IF(ISBLANK($AY947),$AX947,$AY947),IF($D$4="Forint",0,2))-$AZ947)</f>
        <v>0</v>
      </c>
      <c r="BB947" s="13">
        <f t="shared" ca="1" si="319"/>
        <v>0</v>
      </c>
      <c r="BD947" s="32">
        <v>928</v>
      </c>
      <c r="BE947" s="32">
        <v>78</v>
      </c>
      <c r="BF947" s="32">
        <v>4</v>
      </c>
      <c r="BG947" s="34">
        <f t="shared" ca="1" si="328"/>
        <v>2096</v>
      </c>
      <c r="BH947" s="32" t="str">
        <f ca="1">IF(MOD(MONTH($D$14)+$BD947-1,12)=Paraméterek!$C$288,"Igen","")</f>
        <v/>
      </c>
      <c r="BI947" s="13">
        <f ca="1">IF($BH947="Igen",MIN(ROUNDDOWN((SUMIF($BG$20:$BG$1027,$BG947-1,$K$20:$K$1027)-SUMIF($BG$20:$BG$1027,$BG947-1,$I$20:$I$1027))*Paraméterek!$C$289,IF($D$4="Forint",0,2)),IF($D$4="Forint",Paraméterek!$C$285,Paraméterek!$D$285)),0)</f>
        <v>0</v>
      </c>
      <c r="BJ947" s="13">
        <f t="shared" ca="1" si="320"/>
        <v>0</v>
      </c>
      <c r="BK947" s="13">
        <f t="shared" ca="1" si="329"/>
        <v>0</v>
      </c>
      <c r="BL947" s="33"/>
      <c r="BM947" s="13">
        <f t="shared" ca="1" si="321"/>
        <v>0</v>
      </c>
      <c r="BN947" s="13">
        <f ca="1">ROUNDUP(($BK947+$BM947)*VLOOKUP($BE947,Paraméterek!$P$38:$Q$38,2)/12*IF($D948="Nem",IF($M$13=0,1,$M$13),1),IF($D$4="Forint",0,2))</f>
        <v>0</v>
      </c>
      <c r="BO947" s="13">
        <f t="shared" ca="1" si="322"/>
        <v>0</v>
      </c>
      <c r="BP947" s="13">
        <f ca="1">IF($D948="Nem",$BO947,$BO947-ROUNDUP(SUM($BI$20:$BI947)*120%,IF($D$4="Forint",0,2)))</f>
        <v>0</v>
      </c>
    </row>
    <row r="948" spans="1:68" x14ac:dyDescent="0.2">
      <c r="A948" s="32">
        <v>929</v>
      </c>
      <c r="B948" s="32">
        <v>78</v>
      </c>
      <c r="C948" s="32">
        <v>5</v>
      </c>
      <c r="D948" s="32" t="str">
        <f t="shared" ca="1" si="308"/>
        <v>Nem</v>
      </c>
      <c r="E948" s="13">
        <f t="shared" ca="1" si="309"/>
        <v>0</v>
      </c>
      <c r="F948" s="13"/>
      <c r="G948" s="13"/>
      <c r="H948" s="13"/>
      <c r="I948" s="13">
        <f t="shared" ca="1" si="310"/>
        <v>0</v>
      </c>
      <c r="J948" s="13">
        <f t="shared" ca="1" si="311"/>
        <v>0</v>
      </c>
      <c r="K948" s="13">
        <f t="shared" ca="1" si="312"/>
        <v>0</v>
      </c>
      <c r="L948" s="13" t="e">
        <f ca="1">ROUNDUP(IF($D$2="Egyszeri",$E948,IF($D$2="Havi",SUM($E$20:$E$31),IF(MOD($C948,$M$1)-1=0,SUM($E$20:$E$31),0))/12*$M$1)*VLOOKUP($B948,Paraméterek!$I$28:$P$31,IF($D$2="Egyszeri",8,HLOOKUP(ROUNDUP($M$11+$M$13,0),Paraméterek!$J$26:$O$27,2))),IF($D$4="Forint",0,2))</f>
        <v>#N/A</v>
      </c>
      <c r="M948" s="13">
        <f t="shared" ca="1" si="313"/>
        <v>0</v>
      </c>
      <c r="N948" s="13">
        <f t="shared" ca="1" si="323"/>
        <v>0</v>
      </c>
      <c r="O948" s="13">
        <f ca="1">IF($D948="Igen",IF($W947&gt;=IF($D$4="Forint",Paraméterek!$J$121,Paraméterek!$K$121),0,IF($D$4="Forint",Paraméterek!$J$121,Paraméterek!$K$121)-$W947),0)</f>
        <v>0</v>
      </c>
      <c r="P948" s="13" t="e">
        <f ca="1">ROUNDUP($O948*VLOOKUP($M$4+$B948-1,Paraméterek!$H$58:$I$105,2,0)/Paraméterek!$I$56,IF($D$4="Forint",0,2))</f>
        <v>#N/A</v>
      </c>
      <c r="Q948" s="13">
        <f t="shared" ca="1" si="314"/>
        <v>0</v>
      </c>
      <c r="R948" s="33"/>
      <c r="S948" s="13" t="e">
        <f t="shared" ca="1" si="315"/>
        <v>#N/A</v>
      </c>
      <c r="T948" s="13" t="e">
        <f ca="1">ROUNDUP(($N948-$P948-$Q948+$S948)*VLOOKUP($B948,Paraméterek!$I$38:$K$39,IF($D$2="Egyszeri",3,2))/12*IF($D949="Nem",IF($M$13=0,1,$M$13),1),IF($D$4="Forint",0,2))</f>
        <v>#N/A</v>
      </c>
      <c r="U948" s="13"/>
      <c r="V948" s="13"/>
      <c r="W948" s="13" t="e">
        <f ca="1">$N948-$P948-$Q948+$S948-$T948-IF(ROUNDUP(IF(ISBLANK($V948),$U948*0,$V948)/IF($D$2="Egyszeri",VLOOKUP($B948+IF($C948=12,1,0),Paraméterek!$V$257:$W$262,2),IF($B948=1,1,VLOOKUP($B948+IF($C948=12,1,0),Paraméterek!$I$258:$T$278,HLOOKUP($M$11+1,Paraméterek!$J$256:$T$257,2)))),IF($D$4="Forint",0,2))&gt;$N948-$P948-$Q948+$S948-$T948-IF($D$4="Forint",Paraméterek!$C$216,Paraméterek!$D$216),0,ROUNDUP(IF(ISBLANK($V948),$U948*0,$V948)/IF($D$2="Egyszeri",VLOOKUP($B948+IF($C948=12,1,0),Paraméterek!$V$257:$W$262,2),IF($B948=1,1,VLOOKUP($B948+IF($C948=12,1,0),Paraméterek!$I$258:$T$278,HLOOKUP($M$11+1,Paraméterek!$J$256:$T$257,2)))),IF($D$4="Forint",0,2)))</f>
        <v>#N/A</v>
      </c>
      <c r="X948" s="13" t="e">
        <f ca="1">ROUNDDOWN($W948*IF($D$2="Egyszeri",VLOOKUP($B948+IF($C948=12,1,0),Paraméterek!$V$257:$W$262,2),VLOOKUP($B948+IF($C948=12,1,0),Paraméterek!$I$258:$T$278,HLOOKUP($M$11+1,Paraméterek!$I$256:$T$257,2))),IF($D$4="Forint",0,2))</f>
        <v>#N/A</v>
      </c>
      <c r="Z948" s="32">
        <v>929</v>
      </c>
      <c r="AA948" s="32">
        <v>78</v>
      </c>
      <c r="AB948" s="32">
        <v>5</v>
      </c>
      <c r="AC948" s="13">
        <f t="shared" ca="1" si="324"/>
        <v>0</v>
      </c>
      <c r="AD948" s="33"/>
      <c r="AE948" s="13">
        <f t="shared" ca="1" si="316"/>
        <v>0</v>
      </c>
      <c r="AF948" s="13">
        <f ca="1">ROUNDUP(($AC948+$AE948)*VLOOKUP($AA948,Paraméterek!$P$38:$Q$38,2)/12*IF($D949="Nem",IF($M$13=0,1,$M$13),1),IF($D$4="Forint",0,2))</f>
        <v>0</v>
      </c>
      <c r="AG948" s="13">
        <f ca="1">IF($D$2="Egyszeri",IF($D$7&gt;=IF($D$4="Forint",Paraméterek!$P$223,Paraméterek!$P$224),$D$7-IF($D$4="Forint",Paraméterek!$P$223,Paraméterek!$P$224),0),MIN(IF($AB948=12,AVERAGEIF($E$20:$E948,"&gt;0",$E$20:$E948)*12,0),SUM($E$20:$E$31)))</f>
        <v>0</v>
      </c>
      <c r="AH948" s="13">
        <f>IF($AA948=10,$AG948*IF($AB948=12,IF($AG948&lt;IF($D$4="Forint",Paraméterek!$L$223,Paraméterek!$L$224),0,VLOOKUP($AA948,Paraméterek!$K$226:$M$228,IF($AG948&lt;IF($D$4="Forint",Paraméterek!$M$223,Paraméterek!$M$224),2,3))),0),0)</f>
        <v>0</v>
      </c>
      <c r="AI948" s="13">
        <f ca="1">IF(AND($AA948=$M$11+1,$AB948=$M$12+1),SUMIF($AA$20:$AA$1027,$AA948,$AG$20:$AG$1027)*IF(SUMIF($AA$20:$AA$1027,$AA948,$AG$20:$AG$1027)&lt;IF($D$4="Forint",Paraméterek!$L$223,Paraméterek!$L$224),0,VLOOKUP($AA948,Paraméterek!$K$230:$M$250,IF(SUMIF($AA$20:$AA$1027,$AA948,$AG$20:$AG$1027)&lt;IF($D$4="Forint",Paraméterek!$M$223,Paraméterek!$M$224),2,3))),0)</f>
        <v>0</v>
      </c>
      <c r="AJ948" s="13">
        <f ca="1">IF(AND($AA948&gt;=5,MOD($AA948,5)=0),IF($AB948=12,VLOOKUP($AA948,Paraméterek!$O$225:$P$240,2),0),IF(OR($AA948=3,$AA948=4),IF($AB948=12,VLOOKUP($AA948,Paraméterek!$O$225:$P$240,2,0),0),0))*$AG948</f>
        <v>0</v>
      </c>
      <c r="AK948" s="13">
        <f t="shared" ca="1" si="317"/>
        <v>0</v>
      </c>
      <c r="AL948" s="13">
        <f t="shared" ca="1" si="325"/>
        <v>0</v>
      </c>
      <c r="AM948" s="13">
        <f t="shared" ca="1" si="326"/>
        <v>0</v>
      </c>
      <c r="AO948" s="32">
        <v>929</v>
      </c>
      <c r="AP948" s="32">
        <v>78</v>
      </c>
      <c r="AQ948" s="32">
        <v>5</v>
      </c>
      <c r="AR948" s="13"/>
      <c r="AS948" s="32"/>
      <c r="AT948" s="13">
        <f t="shared" ca="1" si="327"/>
        <v>0</v>
      </c>
      <c r="AU948" s="33"/>
      <c r="AV948" s="13">
        <f t="shared" ca="1" si="318"/>
        <v>0</v>
      </c>
      <c r="AW948" s="13">
        <f ca="1">ROUNDUP(($AT948+$AV948)*VLOOKUP($AP948,Paraméterek!$P$38:$Q$38,2)/12*IF($D949="Nem",IF($M$13=0,1,$M$13),1),IF($D$4="Forint",0,2))</f>
        <v>0</v>
      </c>
      <c r="AX948" s="13"/>
      <c r="AY948" s="13"/>
      <c r="AZ948" s="13">
        <f>ROUNDUP(IF(SUM($AX948:$AY948)=0,0,IF(IF(ISBLANK($AY948),$AX948,$AY948)*Paraméterek!$J$112&lt;IF($D$4="Forint",Paraméterek!$J$113,Paraméterek!$K$113),IF($D$4="Forint",Paraméterek!$J$113,Paraméterek!$K$113),IF(IF(ISBLANK($AY948),$AX948,$AY948)*Paraméterek!$J$112&gt;IF($D$4="Forint",Paraméterek!$J$114,Paraméterek!$K$114),IF($D$4="Forint",Paraméterek!$J$114,Paraméterek!$K$114),IF(ISBLANK($AY948),$AX948,$AY948)*Paraméterek!$J$112))),IF($D$4="Forint",0,2))</f>
        <v>0</v>
      </c>
      <c r="BA948" s="13">
        <f ca="1">$AT948+$AV948-$AW948-IF(ROUNDDOWN(IF(ISBLANK($AY948),$AX948,$AY948),IF($D$4="Forint",0,2))&gt;$AT948+$AV948-$AW948-IF($D$4="Forint",Paraméterek!$J$114,Paraméterek!$K$114),0,ROUNDDOWN(IF(ISBLANK($AY948),$AX948,$AY948),IF($D$4="Forint",0,2))-$AZ948)</f>
        <v>0</v>
      </c>
      <c r="BB948" s="13">
        <f t="shared" ca="1" si="319"/>
        <v>0</v>
      </c>
      <c r="BD948" s="32">
        <v>929</v>
      </c>
      <c r="BE948" s="32">
        <v>78</v>
      </c>
      <c r="BF948" s="32">
        <v>5</v>
      </c>
      <c r="BG948" s="34">
        <f t="shared" ca="1" si="328"/>
        <v>2096</v>
      </c>
      <c r="BH948" s="32" t="str">
        <f ca="1">IF(MOD(MONTH($D$14)+$BD948-1,12)=Paraméterek!$C$288,"Igen","")</f>
        <v/>
      </c>
      <c r="BI948" s="13">
        <f ca="1">IF($BH948="Igen",MIN(ROUNDDOWN((SUMIF($BG$20:$BG$1027,$BG948-1,$K$20:$K$1027)-SUMIF($BG$20:$BG$1027,$BG948-1,$I$20:$I$1027))*Paraméterek!$C$289,IF($D$4="Forint",0,2)),IF($D$4="Forint",Paraméterek!$C$285,Paraméterek!$D$285)),0)</f>
        <v>0</v>
      </c>
      <c r="BJ948" s="13">
        <f t="shared" ca="1" si="320"/>
        <v>0</v>
      </c>
      <c r="BK948" s="13">
        <f t="shared" ca="1" si="329"/>
        <v>0</v>
      </c>
      <c r="BL948" s="33"/>
      <c r="BM948" s="13">
        <f t="shared" ca="1" si="321"/>
        <v>0</v>
      </c>
      <c r="BN948" s="13">
        <f ca="1">ROUNDUP(($BK948+$BM948)*VLOOKUP($BE948,Paraméterek!$P$38:$Q$38,2)/12*IF($D949="Nem",IF($M$13=0,1,$M$13),1),IF($D$4="Forint",0,2))</f>
        <v>0</v>
      </c>
      <c r="BO948" s="13">
        <f t="shared" ca="1" si="322"/>
        <v>0</v>
      </c>
      <c r="BP948" s="13">
        <f ca="1">IF($D949="Nem",$BO948,$BO948-ROUNDUP(SUM($BI$20:$BI948)*120%,IF($D$4="Forint",0,2)))</f>
        <v>0</v>
      </c>
    </row>
    <row r="949" spans="1:68" x14ac:dyDescent="0.2">
      <c r="A949" s="32">
        <v>930</v>
      </c>
      <c r="B949" s="32">
        <v>78</v>
      </c>
      <c r="C949" s="32">
        <v>6</v>
      </c>
      <c r="D949" s="32" t="str">
        <f t="shared" ca="1" si="308"/>
        <v>Nem</v>
      </c>
      <c r="E949" s="13">
        <f t="shared" ca="1" si="309"/>
        <v>0</v>
      </c>
      <c r="F949" s="13"/>
      <c r="G949" s="13"/>
      <c r="H949" s="13"/>
      <c r="I949" s="13">
        <f t="shared" ca="1" si="310"/>
        <v>0</v>
      </c>
      <c r="J949" s="13">
        <f t="shared" ca="1" si="311"/>
        <v>0</v>
      </c>
      <c r="K949" s="13">
        <f t="shared" ca="1" si="312"/>
        <v>0</v>
      </c>
      <c r="L949" s="13" t="e">
        <f ca="1">ROUNDUP(IF($D$2="Egyszeri",$E949,IF($D$2="Havi",SUM($E$20:$E$31),IF(MOD($C949,$M$1)-1=0,SUM($E$20:$E$31),0))/12*$M$1)*VLOOKUP($B949,Paraméterek!$I$28:$P$31,IF($D$2="Egyszeri",8,HLOOKUP(ROUNDUP($M$11+$M$13,0),Paraméterek!$J$26:$O$27,2))),IF($D$4="Forint",0,2))</f>
        <v>#N/A</v>
      </c>
      <c r="M949" s="13">
        <f t="shared" ca="1" si="313"/>
        <v>0</v>
      </c>
      <c r="N949" s="13">
        <f t="shared" ca="1" si="323"/>
        <v>0</v>
      </c>
      <c r="O949" s="13">
        <f ca="1">IF($D949="Igen",IF($W948&gt;=IF($D$4="Forint",Paraméterek!$J$121,Paraméterek!$K$121),0,IF($D$4="Forint",Paraméterek!$J$121,Paraméterek!$K$121)-$W948),0)</f>
        <v>0</v>
      </c>
      <c r="P949" s="13" t="e">
        <f ca="1">ROUNDUP($O949*VLOOKUP($M$4+$B949-1,Paraméterek!$H$58:$I$105,2,0)/Paraméterek!$I$56,IF($D$4="Forint",0,2))</f>
        <v>#N/A</v>
      </c>
      <c r="Q949" s="13">
        <f t="shared" ca="1" si="314"/>
        <v>0</v>
      </c>
      <c r="R949" s="33"/>
      <c r="S949" s="13" t="e">
        <f t="shared" ca="1" si="315"/>
        <v>#N/A</v>
      </c>
      <c r="T949" s="13" t="e">
        <f ca="1">ROUNDUP(($N949-$P949-$Q949+$S949)*VLOOKUP($B949,Paraméterek!$I$38:$K$39,IF($D$2="Egyszeri",3,2))/12*IF($D950="Nem",IF($M$13=0,1,$M$13),1),IF($D$4="Forint",0,2))</f>
        <v>#N/A</v>
      </c>
      <c r="U949" s="13"/>
      <c r="V949" s="13"/>
      <c r="W949" s="13" t="e">
        <f ca="1">$N949-$P949-$Q949+$S949-$T949-IF(ROUNDUP(IF(ISBLANK($V949),$U949*0,$V949)/IF($D$2="Egyszeri",VLOOKUP($B949+IF($C949=12,1,0),Paraméterek!$V$257:$W$262,2),IF($B949=1,1,VLOOKUP($B949+IF($C949=12,1,0),Paraméterek!$I$258:$T$278,HLOOKUP($M$11+1,Paraméterek!$J$256:$T$257,2)))),IF($D$4="Forint",0,2))&gt;$N949-$P949-$Q949+$S949-$T949-IF($D$4="Forint",Paraméterek!$C$216,Paraméterek!$D$216),0,ROUNDUP(IF(ISBLANK($V949),$U949*0,$V949)/IF($D$2="Egyszeri",VLOOKUP($B949+IF($C949=12,1,0),Paraméterek!$V$257:$W$262,2),IF($B949=1,1,VLOOKUP($B949+IF($C949=12,1,0),Paraméterek!$I$258:$T$278,HLOOKUP($M$11+1,Paraméterek!$J$256:$T$257,2)))),IF($D$4="Forint",0,2)))</f>
        <v>#N/A</v>
      </c>
      <c r="X949" s="13" t="e">
        <f ca="1">ROUNDDOWN($W949*IF($D$2="Egyszeri",VLOOKUP($B949+IF($C949=12,1,0),Paraméterek!$V$257:$W$262,2),VLOOKUP($B949+IF($C949=12,1,0),Paraméterek!$I$258:$T$278,HLOOKUP($M$11+1,Paraméterek!$I$256:$T$257,2))),IF($D$4="Forint",0,2))</f>
        <v>#N/A</v>
      </c>
      <c r="Z949" s="32">
        <v>930</v>
      </c>
      <c r="AA949" s="32">
        <v>78</v>
      </c>
      <c r="AB949" s="32">
        <v>6</v>
      </c>
      <c r="AC949" s="13">
        <f t="shared" ca="1" si="324"/>
        <v>0</v>
      </c>
      <c r="AD949" s="33"/>
      <c r="AE949" s="13">
        <f t="shared" ca="1" si="316"/>
        <v>0</v>
      </c>
      <c r="AF949" s="13">
        <f ca="1">ROUNDUP(($AC949+$AE949)*VLOOKUP($AA949,Paraméterek!$P$38:$Q$38,2)/12*IF($D950="Nem",IF($M$13=0,1,$M$13),1),IF($D$4="Forint",0,2))</f>
        <v>0</v>
      </c>
      <c r="AG949" s="13">
        <f ca="1">IF($D$2="Egyszeri",IF($D$7&gt;=IF($D$4="Forint",Paraméterek!$P$223,Paraméterek!$P$224),$D$7-IF($D$4="Forint",Paraméterek!$P$223,Paraméterek!$P$224),0),MIN(IF($AB949=12,AVERAGEIF($E$20:$E949,"&gt;0",$E$20:$E949)*12,0),SUM($E$20:$E$31)))</f>
        <v>0</v>
      </c>
      <c r="AH949" s="13">
        <f>IF($AA949=10,$AG949*IF($AB949=12,IF($AG949&lt;IF($D$4="Forint",Paraméterek!$L$223,Paraméterek!$L$224),0,VLOOKUP($AA949,Paraméterek!$K$226:$M$228,IF($AG949&lt;IF($D$4="Forint",Paraméterek!$M$223,Paraméterek!$M$224),2,3))),0),0)</f>
        <v>0</v>
      </c>
      <c r="AI949" s="13">
        <f ca="1">IF(AND($AA949=$M$11+1,$AB949=$M$12+1),SUMIF($AA$20:$AA$1027,$AA949,$AG$20:$AG$1027)*IF(SUMIF($AA$20:$AA$1027,$AA949,$AG$20:$AG$1027)&lt;IF($D$4="Forint",Paraméterek!$L$223,Paraméterek!$L$224),0,VLOOKUP($AA949,Paraméterek!$K$230:$M$250,IF(SUMIF($AA$20:$AA$1027,$AA949,$AG$20:$AG$1027)&lt;IF($D$4="Forint",Paraméterek!$M$223,Paraméterek!$M$224),2,3))),0)</f>
        <v>0</v>
      </c>
      <c r="AJ949" s="13">
        <f ca="1">IF(AND($AA949&gt;=5,MOD($AA949,5)=0),IF($AB949=12,VLOOKUP($AA949,Paraméterek!$O$225:$P$240,2),0),IF(OR($AA949=3,$AA949=4),IF($AB949=12,VLOOKUP($AA949,Paraméterek!$O$225:$P$240,2,0),0),0))*$AG949</f>
        <v>0</v>
      </c>
      <c r="AK949" s="13">
        <f t="shared" ca="1" si="317"/>
        <v>0</v>
      </c>
      <c r="AL949" s="13">
        <f t="shared" ca="1" si="325"/>
        <v>0</v>
      </c>
      <c r="AM949" s="13">
        <f t="shared" ca="1" si="326"/>
        <v>0</v>
      </c>
      <c r="AO949" s="32">
        <v>930</v>
      </c>
      <c r="AP949" s="32">
        <v>78</v>
      </c>
      <c r="AQ949" s="32">
        <v>6</v>
      </c>
      <c r="AR949" s="13"/>
      <c r="AS949" s="32"/>
      <c r="AT949" s="13">
        <f t="shared" ca="1" si="327"/>
        <v>0</v>
      </c>
      <c r="AU949" s="33"/>
      <c r="AV949" s="13">
        <f t="shared" ca="1" si="318"/>
        <v>0</v>
      </c>
      <c r="AW949" s="13">
        <f ca="1">ROUNDUP(($AT949+$AV949)*VLOOKUP($AP949,Paraméterek!$P$38:$Q$38,2)/12*IF($D950="Nem",IF($M$13=0,1,$M$13),1),IF($D$4="Forint",0,2))</f>
        <v>0</v>
      </c>
      <c r="AX949" s="13"/>
      <c r="AY949" s="13"/>
      <c r="AZ949" s="13">
        <f>ROUNDUP(IF(SUM($AX949:$AY949)=0,0,IF(IF(ISBLANK($AY949),$AX949,$AY949)*Paraméterek!$J$112&lt;IF($D$4="Forint",Paraméterek!$J$113,Paraméterek!$K$113),IF($D$4="Forint",Paraméterek!$J$113,Paraméterek!$K$113),IF(IF(ISBLANK($AY949),$AX949,$AY949)*Paraméterek!$J$112&gt;IF($D$4="Forint",Paraméterek!$J$114,Paraméterek!$K$114),IF($D$4="Forint",Paraméterek!$J$114,Paraméterek!$K$114),IF(ISBLANK($AY949),$AX949,$AY949)*Paraméterek!$J$112))),IF($D$4="Forint",0,2))</f>
        <v>0</v>
      </c>
      <c r="BA949" s="13">
        <f ca="1">$AT949+$AV949-$AW949-IF(ROUNDDOWN(IF(ISBLANK($AY949),$AX949,$AY949),IF($D$4="Forint",0,2))&gt;$AT949+$AV949-$AW949-IF($D$4="Forint",Paraméterek!$J$114,Paraméterek!$K$114),0,ROUNDDOWN(IF(ISBLANK($AY949),$AX949,$AY949),IF($D$4="Forint",0,2))-$AZ949)</f>
        <v>0</v>
      </c>
      <c r="BB949" s="13">
        <f t="shared" ca="1" si="319"/>
        <v>0</v>
      </c>
      <c r="BD949" s="32">
        <v>930</v>
      </c>
      <c r="BE949" s="32">
        <v>78</v>
      </c>
      <c r="BF949" s="32">
        <v>6</v>
      </c>
      <c r="BG949" s="34">
        <f t="shared" ca="1" si="328"/>
        <v>2096</v>
      </c>
      <c r="BH949" s="32" t="str">
        <f ca="1">IF(MOD(MONTH($D$14)+$BD949-1,12)=Paraméterek!$C$288,"Igen","")</f>
        <v/>
      </c>
      <c r="BI949" s="13">
        <f ca="1">IF($BH949="Igen",MIN(ROUNDDOWN((SUMIF($BG$20:$BG$1027,$BG949-1,$K$20:$K$1027)-SUMIF($BG$20:$BG$1027,$BG949-1,$I$20:$I$1027))*Paraméterek!$C$289,IF($D$4="Forint",0,2)),IF($D$4="Forint",Paraméterek!$C$285,Paraméterek!$D$285)),0)</f>
        <v>0</v>
      </c>
      <c r="BJ949" s="13">
        <f t="shared" ca="1" si="320"/>
        <v>0</v>
      </c>
      <c r="BK949" s="13">
        <f t="shared" ca="1" si="329"/>
        <v>0</v>
      </c>
      <c r="BL949" s="33"/>
      <c r="BM949" s="13">
        <f t="shared" ca="1" si="321"/>
        <v>0</v>
      </c>
      <c r="BN949" s="13">
        <f ca="1">ROUNDUP(($BK949+$BM949)*VLOOKUP($BE949,Paraméterek!$P$38:$Q$38,2)/12*IF($D950="Nem",IF($M$13=0,1,$M$13),1),IF($D$4="Forint",0,2))</f>
        <v>0</v>
      </c>
      <c r="BO949" s="13">
        <f t="shared" ca="1" si="322"/>
        <v>0</v>
      </c>
      <c r="BP949" s="13">
        <f ca="1">IF($D950="Nem",$BO949,$BO949-ROUNDUP(SUM($BI$20:$BI949)*120%,IF($D$4="Forint",0,2)))</f>
        <v>0</v>
      </c>
    </row>
    <row r="950" spans="1:68" x14ac:dyDescent="0.2">
      <c r="A950" s="32">
        <v>931</v>
      </c>
      <c r="B950" s="32">
        <v>78</v>
      </c>
      <c r="C950" s="32">
        <v>7</v>
      </c>
      <c r="D950" s="32" t="str">
        <f t="shared" ca="1" si="308"/>
        <v>Nem</v>
      </c>
      <c r="E950" s="13">
        <f t="shared" ca="1" si="309"/>
        <v>0</v>
      </c>
      <c r="F950" s="13"/>
      <c r="G950" s="13"/>
      <c r="H950" s="13"/>
      <c r="I950" s="13">
        <f t="shared" ca="1" si="310"/>
        <v>0</v>
      </c>
      <c r="J950" s="13">
        <f t="shared" ca="1" si="311"/>
        <v>0</v>
      </c>
      <c r="K950" s="13">
        <f t="shared" ca="1" si="312"/>
        <v>0</v>
      </c>
      <c r="L950" s="13" t="e">
        <f ca="1">ROUNDUP(IF($D$2="Egyszeri",$E950,IF($D$2="Havi",SUM($E$20:$E$31),IF(MOD($C950,$M$1)-1=0,SUM($E$20:$E$31),0))/12*$M$1)*VLOOKUP($B950,Paraméterek!$I$28:$P$31,IF($D$2="Egyszeri",8,HLOOKUP(ROUNDUP($M$11+$M$13,0),Paraméterek!$J$26:$O$27,2))),IF($D$4="Forint",0,2))</f>
        <v>#N/A</v>
      </c>
      <c r="M950" s="13">
        <f t="shared" ca="1" si="313"/>
        <v>0</v>
      </c>
      <c r="N950" s="13">
        <f t="shared" ca="1" si="323"/>
        <v>0</v>
      </c>
      <c r="O950" s="13">
        <f ca="1">IF($D950="Igen",IF($W949&gt;=IF($D$4="Forint",Paraméterek!$J$121,Paraméterek!$K$121),0,IF($D$4="Forint",Paraméterek!$J$121,Paraméterek!$K$121)-$W949),0)</f>
        <v>0</v>
      </c>
      <c r="P950" s="13" t="e">
        <f ca="1">ROUNDUP($O950*VLOOKUP($M$4+$B950-1,Paraméterek!$H$58:$I$105,2,0)/Paraméterek!$I$56,IF($D$4="Forint",0,2))</f>
        <v>#N/A</v>
      </c>
      <c r="Q950" s="13">
        <f t="shared" ca="1" si="314"/>
        <v>0</v>
      </c>
      <c r="R950" s="33"/>
      <c r="S950" s="13" t="e">
        <f t="shared" ca="1" si="315"/>
        <v>#N/A</v>
      </c>
      <c r="T950" s="13" t="e">
        <f ca="1">ROUNDUP(($N950-$P950-$Q950+$S950)*VLOOKUP($B950,Paraméterek!$I$38:$K$39,IF($D$2="Egyszeri",3,2))/12*IF($D951="Nem",IF($M$13=0,1,$M$13),1),IF($D$4="Forint",0,2))</f>
        <v>#N/A</v>
      </c>
      <c r="U950" s="13"/>
      <c r="V950" s="13"/>
      <c r="W950" s="13" t="e">
        <f ca="1">$N950-$P950-$Q950+$S950-$T950-IF(ROUNDUP(IF(ISBLANK($V950),$U950*0,$V950)/IF($D$2="Egyszeri",VLOOKUP($B950+IF($C950=12,1,0),Paraméterek!$V$257:$W$262,2),IF($B950=1,1,VLOOKUP($B950+IF($C950=12,1,0),Paraméterek!$I$258:$T$278,HLOOKUP($M$11+1,Paraméterek!$J$256:$T$257,2)))),IF($D$4="Forint",0,2))&gt;$N950-$P950-$Q950+$S950-$T950-IF($D$4="Forint",Paraméterek!$C$216,Paraméterek!$D$216),0,ROUNDUP(IF(ISBLANK($V950),$U950*0,$V950)/IF($D$2="Egyszeri",VLOOKUP($B950+IF($C950=12,1,0),Paraméterek!$V$257:$W$262,2),IF($B950=1,1,VLOOKUP($B950+IF($C950=12,1,0),Paraméterek!$I$258:$T$278,HLOOKUP($M$11+1,Paraméterek!$J$256:$T$257,2)))),IF($D$4="Forint",0,2)))</f>
        <v>#N/A</v>
      </c>
      <c r="X950" s="13" t="e">
        <f ca="1">ROUNDDOWN($W950*IF($D$2="Egyszeri",VLOOKUP($B950+IF($C950=12,1,0),Paraméterek!$V$257:$W$262,2),VLOOKUP($B950+IF($C950=12,1,0),Paraméterek!$I$258:$T$278,HLOOKUP($M$11+1,Paraméterek!$I$256:$T$257,2))),IF($D$4="Forint",0,2))</f>
        <v>#N/A</v>
      </c>
      <c r="Z950" s="32">
        <v>931</v>
      </c>
      <c r="AA950" s="32">
        <v>78</v>
      </c>
      <c r="AB950" s="32">
        <v>7</v>
      </c>
      <c r="AC950" s="13">
        <f t="shared" ca="1" si="324"/>
        <v>0</v>
      </c>
      <c r="AD950" s="33"/>
      <c r="AE950" s="13">
        <f t="shared" ca="1" si="316"/>
        <v>0</v>
      </c>
      <c r="AF950" s="13">
        <f ca="1">ROUNDUP(($AC950+$AE950)*VLOOKUP($AA950,Paraméterek!$P$38:$Q$38,2)/12*IF($D951="Nem",IF($M$13=0,1,$M$13),1),IF($D$4="Forint",0,2))</f>
        <v>0</v>
      </c>
      <c r="AG950" s="13">
        <f ca="1">IF($D$2="Egyszeri",IF($D$7&gt;=IF($D$4="Forint",Paraméterek!$P$223,Paraméterek!$P$224),$D$7-IF($D$4="Forint",Paraméterek!$P$223,Paraméterek!$P$224),0),MIN(IF($AB950=12,AVERAGEIF($E$20:$E950,"&gt;0",$E$20:$E950)*12,0),SUM($E$20:$E$31)))</f>
        <v>0</v>
      </c>
      <c r="AH950" s="13">
        <f>IF($AA950=10,$AG950*IF($AB950=12,IF($AG950&lt;IF($D$4="Forint",Paraméterek!$L$223,Paraméterek!$L$224),0,VLOOKUP($AA950,Paraméterek!$K$226:$M$228,IF($AG950&lt;IF($D$4="Forint",Paraméterek!$M$223,Paraméterek!$M$224),2,3))),0),0)</f>
        <v>0</v>
      </c>
      <c r="AI950" s="13">
        <f ca="1">IF(AND($AA950=$M$11+1,$AB950=$M$12+1),SUMIF($AA$20:$AA$1027,$AA950,$AG$20:$AG$1027)*IF(SUMIF($AA$20:$AA$1027,$AA950,$AG$20:$AG$1027)&lt;IF($D$4="Forint",Paraméterek!$L$223,Paraméterek!$L$224),0,VLOOKUP($AA950,Paraméterek!$K$230:$M$250,IF(SUMIF($AA$20:$AA$1027,$AA950,$AG$20:$AG$1027)&lt;IF($D$4="Forint",Paraméterek!$M$223,Paraméterek!$M$224),2,3))),0)</f>
        <v>0</v>
      </c>
      <c r="AJ950" s="13">
        <f ca="1">IF(AND($AA950&gt;=5,MOD($AA950,5)=0),IF($AB950=12,VLOOKUP($AA950,Paraméterek!$O$225:$P$240,2),0),IF(OR($AA950=3,$AA950=4),IF($AB950=12,VLOOKUP($AA950,Paraméterek!$O$225:$P$240,2,0),0),0))*$AG950</f>
        <v>0</v>
      </c>
      <c r="AK950" s="13">
        <f t="shared" ca="1" si="317"/>
        <v>0</v>
      </c>
      <c r="AL950" s="13">
        <f t="shared" ca="1" si="325"/>
        <v>0</v>
      </c>
      <c r="AM950" s="13">
        <f t="shared" ca="1" si="326"/>
        <v>0</v>
      </c>
      <c r="AO950" s="32">
        <v>931</v>
      </c>
      <c r="AP950" s="32">
        <v>78</v>
      </c>
      <c r="AQ950" s="32">
        <v>7</v>
      </c>
      <c r="AR950" s="13"/>
      <c r="AS950" s="32"/>
      <c r="AT950" s="13">
        <f t="shared" ca="1" si="327"/>
        <v>0</v>
      </c>
      <c r="AU950" s="33"/>
      <c r="AV950" s="13">
        <f t="shared" ca="1" si="318"/>
        <v>0</v>
      </c>
      <c r="AW950" s="13">
        <f ca="1">ROUNDUP(($AT950+$AV950)*VLOOKUP($AP950,Paraméterek!$P$38:$Q$38,2)/12*IF($D951="Nem",IF($M$13=0,1,$M$13),1),IF($D$4="Forint",0,2))</f>
        <v>0</v>
      </c>
      <c r="AX950" s="13"/>
      <c r="AY950" s="13"/>
      <c r="AZ950" s="13">
        <f>ROUNDUP(IF(SUM($AX950:$AY950)=0,0,IF(IF(ISBLANK($AY950),$AX950,$AY950)*Paraméterek!$J$112&lt;IF($D$4="Forint",Paraméterek!$J$113,Paraméterek!$K$113),IF($D$4="Forint",Paraméterek!$J$113,Paraméterek!$K$113),IF(IF(ISBLANK($AY950),$AX950,$AY950)*Paraméterek!$J$112&gt;IF($D$4="Forint",Paraméterek!$J$114,Paraméterek!$K$114),IF($D$4="Forint",Paraméterek!$J$114,Paraméterek!$K$114),IF(ISBLANK($AY950),$AX950,$AY950)*Paraméterek!$J$112))),IF($D$4="Forint",0,2))</f>
        <v>0</v>
      </c>
      <c r="BA950" s="13">
        <f ca="1">$AT950+$AV950-$AW950-IF(ROUNDDOWN(IF(ISBLANK($AY950),$AX950,$AY950),IF($D$4="Forint",0,2))&gt;$AT950+$AV950-$AW950-IF($D$4="Forint",Paraméterek!$J$114,Paraméterek!$K$114),0,ROUNDDOWN(IF(ISBLANK($AY950),$AX950,$AY950),IF($D$4="Forint",0,2))-$AZ950)</f>
        <v>0</v>
      </c>
      <c r="BB950" s="13">
        <f t="shared" ca="1" si="319"/>
        <v>0</v>
      </c>
      <c r="BD950" s="32">
        <v>931</v>
      </c>
      <c r="BE950" s="32">
        <v>78</v>
      </c>
      <c r="BF950" s="32">
        <v>7</v>
      </c>
      <c r="BG950" s="34">
        <f t="shared" ca="1" si="328"/>
        <v>2096</v>
      </c>
      <c r="BH950" s="32" t="str">
        <f ca="1">IF(MOD(MONTH($D$14)+$BD950-1,12)=Paraméterek!$C$288,"Igen","")</f>
        <v/>
      </c>
      <c r="BI950" s="13">
        <f ca="1">IF($BH950="Igen",MIN(ROUNDDOWN((SUMIF($BG$20:$BG$1027,$BG950-1,$K$20:$K$1027)-SUMIF($BG$20:$BG$1027,$BG950-1,$I$20:$I$1027))*Paraméterek!$C$289,IF($D$4="Forint",0,2)),IF($D$4="Forint",Paraméterek!$C$285,Paraméterek!$D$285)),0)</f>
        <v>0</v>
      </c>
      <c r="BJ950" s="13">
        <f t="shared" ca="1" si="320"/>
        <v>0</v>
      </c>
      <c r="BK950" s="13">
        <f t="shared" ca="1" si="329"/>
        <v>0</v>
      </c>
      <c r="BL950" s="33"/>
      <c r="BM950" s="13">
        <f t="shared" ca="1" si="321"/>
        <v>0</v>
      </c>
      <c r="BN950" s="13">
        <f ca="1">ROUNDUP(($BK950+$BM950)*VLOOKUP($BE950,Paraméterek!$P$38:$Q$38,2)/12*IF($D951="Nem",IF($M$13=0,1,$M$13),1),IF($D$4="Forint",0,2))</f>
        <v>0</v>
      </c>
      <c r="BO950" s="13">
        <f t="shared" ca="1" si="322"/>
        <v>0</v>
      </c>
      <c r="BP950" s="13">
        <f ca="1">IF($D951="Nem",$BO950,$BO950-ROUNDUP(SUM($BI$20:$BI950)*120%,IF($D$4="Forint",0,2)))</f>
        <v>0</v>
      </c>
    </row>
    <row r="951" spans="1:68" x14ac:dyDescent="0.2">
      <c r="A951" s="32">
        <v>932</v>
      </c>
      <c r="B951" s="32">
        <v>78</v>
      </c>
      <c r="C951" s="32">
        <v>8</v>
      </c>
      <c r="D951" s="32" t="str">
        <f t="shared" ca="1" si="308"/>
        <v>Nem</v>
      </c>
      <c r="E951" s="13">
        <f t="shared" ca="1" si="309"/>
        <v>0</v>
      </c>
      <c r="F951" s="13"/>
      <c r="G951" s="13"/>
      <c r="H951" s="13"/>
      <c r="I951" s="13">
        <f t="shared" ca="1" si="310"/>
        <v>0</v>
      </c>
      <c r="J951" s="13">
        <f t="shared" ca="1" si="311"/>
        <v>0</v>
      </c>
      <c r="K951" s="13">
        <f t="shared" ca="1" si="312"/>
        <v>0</v>
      </c>
      <c r="L951" s="13" t="e">
        <f ca="1">ROUNDUP(IF($D$2="Egyszeri",$E951,IF($D$2="Havi",SUM($E$20:$E$31),IF(MOD($C951,$M$1)-1=0,SUM($E$20:$E$31),0))/12*$M$1)*VLOOKUP($B951,Paraméterek!$I$28:$P$31,IF($D$2="Egyszeri",8,HLOOKUP(ROUNDUP($M$11+$M$13,0),Paraméterek!$J$26:$O$27,2))),IF($D$4="Forint",0,2))</f>
        <v>#N/A</v>
      </c>
      <c r="M951" s="13">
        <f t="shared" ca="1" si="313"/>
        <v>0</v>
      </c>
      <c r="N951" s="13">
        <f t="shared" ca="1" si="323"/>
        <v>0</v>
      </c>
      <c r="O951" s="13">
        <f ca="1">IF($D951="Igen",IF($W950&gt;=IF($D$4="Forint",Paraméterek!$J$121,Paraméterek!$K$121),0,IF($D$4="Forint",Paraméterek!$J$121,Paraméterek!$K$121)-$W950),0)</f>
        <v>0</v>
      </c>
      <c r="P951" s="13" t="e">
        <f ca="1">ROUNDUP($O951*VLOOKUP($M$4+$B951-1,Paraméterek!$H$58:$I$105,2,0)/Paraméterek!$I$56,IF($D$4="Forint",0,2))</f>
        <v>#N/A</v>
      </c>
      <c r="Q951" s="13">
        <f t="shared" ca="1" si="314"/>
        <v>0</v>
      </c>
      <c r="R951" s="33"/>
      <c r="S951" s="13" t="e">
        <f t="shared" ca="1" si="315"/>
        <v>#N/A</v>
      </c>
      <c r="T951" s="13" t="e">
        <f ca="1">ROUNDUP(($N951-$P951-$Q951+$S951)*VLOOKUP($B951,Paraméterek!$I$38:$K$39,IF($D$2="Egyszeri",3,2))/12*IF($D952="Nem",IF($M$13=0,1,$M$13),1),IF($D$4="Forint",0,2))</f>
        <v>#N/A</v>
      </c>
      <c r="U951" s="13"/>
      <c r="V951" s="13"/>
      <c r="W951" s="13" t="e">
        <f ca="1">$N951-$P951-$Q951+$S951-$T951-IF(ROUNDUP(IF(ISBLANK($V951),$U951*0,$V951)/IF($D$2="Egyszeri",VLOOKUP($B951+IF($C951=12,1,0),Paraméterek!$V$257:$W$262,2),IF($B951=1,1,VLOOKUP($B951+IF($C951=12,1,0),Paraméterek!$I$258:$T$278,HLOOKUP($M$11+1,Paraméterek!$J$256:$T$257,2)))),IF($D$4="Forint",0,2))&gt;$N951-$P951-$Q951+$S951-$T951-IF($D$4="Forint",Paraméterek!$C$216,Paraméterek!$D$216),0,ROUNDUP(IF(ISBLANK($V951),$U951*0,$V951)/IF($D$2="Egyszeri",VLOOKUP($B951+IF($C951=12,1,0),Paraméterek!$V$257:$W$262,2),IF($B951=1,1,VLOOKUP($B951+IF($C951=12,1,0),Paraméterek!$I$258:$T$278,HLOOKUP($M$11+1,Paraméterek!$J$256:$T$257,2)))),IF($D$4="Forint",0,2)))</f>
        <v>#N/A</v>
      </c>
      <c r="X951" s="13" t="e">
        <f ca="1">ROUNDDOWN($W951*IF($D$2="Egyszeri",VLOOKUP($B951+IF($C951=12,1,0),Paraméterek!$V$257:$W$262,2),VLOOKUP($B951+IF($C951=12,1,0),Paraméterek!$I$258:$T$278,HLOOKUP($M$11+1,Paraméterek!$I$256:$T$257,2))),IF($D$4="Forint",0,2))</f>
        <v>#N/A</v>
      </c>
      <c r="Z951" s="32">
        <v>932</v>
      </c>
      <c r="AA951" s="32">
        <v>78</v>
      </c>
      <c r="AB951" s="32">
        <v>8</v>
      </c>
      <c r="AC951" s="13">
        <f t="shared" ca="1" si="324"/>
        <v>0</v>
      </c>
      <c r="AD951" s="33"/>
      <c r="AE951" s="13">
        <f t="shared" ca="1" si="316"/>
        <v>0</v>
      </c>
      <c r="AF951" s="13">
        <f ca="1">ROUNDUP(($AC951+$AE951)*VLOOKUP($AA951,Paraméterek!$P$38:$Q$38,2)/12*IF($D952="Nem",IF($M$13=0,1,$M$13),1),IF($D$4="Forint",0,2))</f>
        <v>0</v>
      </c>
      <c r="AG951" s="13">
        <f ca="1">IF($D$2="Egyszeri",IF($D$7&gt;=IF($D$4="Forint",Paraméterek!$P$223,Paraméterek!$P$224),$D$7-IF($D$4="Forint",Paraméterek!$P$223,Paraméterek!$P$224),0),MIN(IF($AB951=12,AVERAGEIF($E$20:$E951,"&gt;0",$E$20:$E951)*12,0),SUM($E$20:$E$31)))</f>
        <v>0</v>
      </c>
      <c r="AH951" s="13">
        <f>IF($AA951=10,$AG951*IF($AB951=12,IF($AG951&lt;IF($D$4="Forint",Paraméterek!$L$223,Paraméterek!$L$224),0,VLOOKUP($AA951,Paraméterek!$K$226:$M$228,IF($AG951&lt;IF($D$4="Forint",Paraméterek!$M$223,Paraméterek!$M$224),2,3))),0),0)</f>
        <v>0</v>
      </c>
      <c r="AI951" s="13">
        <f ca="1">IF(AND($AA951=$M$11+1,$AB951=$M$12+1),SUMIF($AA$20:$AA$1027,$AA951,$AG$20:$AG$1027)*IF(SUMIF($AA$20:$AA$1027,$AA951,$AG$20:$AG$1027)&lt;IF($D$4="Forint",Paraméterek!$L$223,Paraméterek!$L$224),0,VLOOKUP($AA951,Paraméterek!$K$230:$M$250,IF(SUMIF($AA$20:$AA$1027,$AA951,$AG$20:$AG$1027)&lt;IF($D$4="Forint",Paraméterek!$M$223,Paraméterek!$M$224),2,3))),0)</f>
        <v>0</v>
      </c>
      <c r="AJ951" s="13">
        <f ca="1">IF(AND($AA951&gt;=5,MOD($AA951,5)=0),IF($AB951=12,VLOOKUP($AA951,Paraméterek!$O$225:$P$240,2),0),IF(OR($AA951=3,$AA951=4),IF($AB951=12,VLOOKUP($AA951,Paraméterek!$O$225:$P$240,2,0),0),0))*$AG951</f>
        <v>0</v>
      </c>
      <c r="AK951" s="13">
        <f t="shared" ca="1" si="317"/>
        <v>0</v>
      </c>
      <c r="AL951" s="13">
        <f t="shared" ca="1" si="325"/>
        <v>0</v>
      </c>
      <c r="AM951" s="13">
        <f t="shared" ca="1" si="326"/>
        <v>0</v>
      </c>
      <c r="AO951" s="32">
        <v>932</v>
      </c>
      <c r="AP951" s="32">
        <v>78</v>
      </c>
      <c r="AQ951" s="32">
        <v>8</v>
      </c>
      <c r="AR951" s="13"/>
      <c r="AS951" s="32"/>
      <c r="AT951" s="13">
        <f t="shared" ca="1" si="327"/>
        <v>0</v>
      </c>
      <c r="AU951" s="33"/>
      <c r="AV951" s="13">
        <f t="shared" ca="1" si="318"/>
        <v>0</v>
      </c>
      <c r="AW951" s="13">
        <f ca="1">ROUNDUP(($AT951+$AV951)*VLOOKUP($AP951,Paraméterek!$P$38:$Q$38,2)/12*IF($D952="Nem",IF($M$13=0,1,$M$13),1),IF($D$4="Forint",0,2))</f>
        <v>0</v>
      </c>
      <c r="AX951" s="13"/>
      <c r="AY951" s="13"/>
      <c r="AZ951" s="13">
        <f>ROUNDUP(IF(SUM($AX951:$AY951)=0,0,IF(IF(ISBLANK($AY951),$AX951,$AY951)*Paraméterek!$J$112&lt;IF($D$4="Forint",Paraméterek!$J$113,Paraméterek!$K$113),IF($D$4="Forint",Paraméterek!$J$113,Paraméterek!$K$113),IF(IF(ISBLANK($AY951),$AX951,$AY951)*Paraméterek!$J$112&gt;IF($D$4="Forint",Paraméterek!$J$114,Paraméterek!$K$114),IF($D$4="Forint",Paraméterek!$J$114,Paraméterek!$K$114),IF(ISBLANK($AY951),$AX951,$AY951)*Paraméterek!$J$112))),IF($D$4="Forint",0,2))</f>
        <v>0</v>
      </c>
      <c r="BA951" s="13">
        <f ca="1">$AT951+$AV951-$AW951-IF(ROUNDDOWN(IF(ISBLANK($AY951),$AX951,$AY951),IF($D$4="Forint",0,2))&gt;$AT951+$AV951-$AW951-IF($D$4="Forint",Paraméterek!$J$114,Paraméterek!$K$114),0,ROUNDDOWN(IF(ISBLANK($AY951),$AX951,$AY951),IF($D$4="Forint",0,2))-$AZ951)</f>
        <v>0</v>
      </c>
      <c r="BB951" s="13">
        <f t="shared" ca="1" si="319"/>
        <v>0</v>
      </c>
      <c r="BD951" s="32">
        <v>932</v>
      </c>
      <c r="BE951" s="32">
        <v>78</v>
      </c>
      <c r="BF951" s="32">
        <v>8</v>
      </c>
      <c r="BG951" s="34">
        <f t="shared" ca="1" si="328"/>
        <v>2097</v>
      </c>
      <c r="BH951" s="32" t="str">
        <f ca="1">IF(MOD(MONTH($D$14)+$BD951-1,12)=Paraméterek!$C$288,"Igen","")</f>
        <v/>
      </c>
      <c r="BI951" s="13">
        <f ca="1">IF($BH951="Igen",MIN(ROUNDDOWN((SUMIF($BG$20:$BG$1027,$BG951-1,$K$20:$K$1027)-SUMIF($BG$20:$BG$1027,$BG951-1,$I$20:$I$1027))*Paraméterek!$C$289,IF($D$4="Forint",0,2)),IF($D$4="Forint",Paraméterek!$C$285,Paraméterek!$D$285)),0)</f>
        <v>0</v>
      </c>
      <c r="BJ951" s="13">
        <f t="shared" ca="1" si="320"/>
        <v>0</v>
      </c>
      <c r="BK951" s="13">
        <f t="shared" ca="1" si="329"/>
        <v>0</v>
      </c>
      <c r="BL951" s="33"/>
      <c r="BM951" s="13">
        <f t="shared" ca="1" si="321"/>
        <v>0</v>
      </c>
      <c r="BN951" s="13">
        <f ca="1">ROUNDUP(($BK951+$BM951)*VLOOKUP($BE951,Paraméterek!$P$38:$Q$38,2)/12*IF($D952="Nem",IF($M$13=0,1,$M$13),1),IF($D$4="Forint",0,2))</f>
        <v>0</v>
      </c>
      <c r="BO951" s="13">
        <f t="shared" ca="1" si="322"/>
        <v>0</v>
      </c>
      <c r="BP951" s="13">
        <f ca="1">IF($D952="Nem",$BO951,$BO951-ROUNDUP(SUM($BI$20:$BI951)*120%,IF($D$4="Forint",0,2)))</f>
        <v>0</v>
      </c>
    </row>
    <row r="952" spans="1:68" x14ac:dyDescent="0.2">
      <c r="A952" s="32">
        <v>933</v>
      </c>
      <c r="B952" s="32">
        <v>78</v>
      </c>
      <c r="C952" s="32">
        <v>9</v>
      </c>
      <c r="D952" s="32" t="str">
        <f t="shared" ca="1" si="308"/>
        <v>Nem</v>
      </c>
      <c r="E952" s="13">
        <f t="shared" ca="1" si="309"/>
        <v>0</v>
      </c>
      <c r="F952" s="13"/>
      <c r="G952" s="13"/>
      <c r="H952" s="13"/>
      <c r="I952" s="13">
        <f t="shared" ca="1" si="310"/>
        <v>0</v>
      </c>
      <c r="J952" s="13">
        <f t="shared" ca="1" si="311"/>
        <v>0</v>
      </c>
      <c r="K952" s="13">
        <f t="shared" ca="1" si="312"/>
        <v>0</v>
      </c>
      <c r="L952" s="13" t="e">
        <f ca="1">ROUNDUP(IF($D$2="Egyszeri",$E952,IF($D$2="Havi",SUM($E$20:$E$31),IF(MOD($C952,$M$1)-1=0,SUM($E$20:$E$31),0))/12*$M$1)*VLOOKUP($B952,Paraméterek!$I$28:$P$31,IF($D$2="Egyszeri",8,HLOOKUP(ROUNDUP($M$11+$M$13,0),Paraméterek!$J$26:$O$27,2))),IF($D$4="Forint",0,2))</f>
        <v>#N/A</v>
      </c>
      <c r="M952" s="13">
        <f t="shared" ca="1" si="313"/>
        <v>0</v>
      </c>
      <c r="N952" s="13">
        <f t="shared" ca="1" si="323"/>
        <v>0</v>
      </c>
      <c r="O952" s="13">
        <f ca="1">IF($D952="Igen",IF($W951&gt;=IF($D$4="Forint",Paraméterek!$J$121,Paraméterek!$K$121),0,IF($D$4="Forint",Paraméterek!$J$121,Paraméterek!$K$121)-$W951),0)</f>
        <v>0</v>
      </c>
      <c r="P952" s="13" t="e">
        <f ca="1">ROUNDUP($O952*VLOOKUP($M$4+$B952-1,Paraméterek!$H$58:$I$105,2,0)/Paraméterek!$I$56,IF($D$4="Forint",0,2))</f>
        <v>#N/A</v>
      </c>
      <c r="Q952" s="13">
        <f t="shared" ca="1" si="314"/>
        <v>0</v>
      </c>
      <c r="R952" s="33"/>
      <c r="S952" s="13" t="e">
        <f t="shared" ca="1" si="315"/>
        <v>#N/A</v>
      </c>
      <c r="T952" s="13" t="e">
        <f ca="1">ROUNDUP(($N952-$P952-$Q952+$S952)*VLOOKUP($B952,Paraméterek!$I$38:$K$39,IF($D$2="Egyszeri",3,2))/12*IF($D953="Nem",IF($M$13=0,1,$M$13),1),IF($D$4="Forint",0,2))</f>
        <v>#N/A</v>
      </c>
      <c r="U952" s="13"/>
      <c r="V952" s="13"/>
      <c r="W952" s="13" t="e">
        <f ca="1">$N952-$P952-$Q952+$S952-$T952-IF(ROUNDUP(IF(ISBLANK($V952),$U952*0,$V952)/IF($D$2="Egyszeri",VLOOKUP($B952+IF($C952=12,1,0),Paraméterek!$V$257:$W$262,2),IF($B952=1,1,VLOOKUP($B952+IF($C952=12,1,0),Paraméterek!$I$258:$T$278,HLOOKUP($M$11+1,Paraméterek!$J$256:$T$257,2)))),IF($D$4="Forint",0,2))&gt;$N952-$P952-$Q952+$S952-$T952-IF($D$4="Forint",Paraméterek!$C$216,Paraméterek!$D$216),0,ROUNDUP(IF(ISBLANK($V952),$U952*0,$V952)/IF($D$2="Egyszeri",VLOOKUP($B952+IF($C952=12,1,0),Paraméterek!$V$257:$W$262,2),IF($B952=1,1,VLOOKUP($B952+IF($C952=12,1,0),Paraméterek!$I$258:$T$278,HLOOKUP($M$11+1,Paraméterek!$J$256:$T$257,2)))),IF($D$4="Forint",0,2)))</f>
        <v>#N/A</v>
      </c>
      <c r="X952" s="13" t="e">
        <f ca="1">ROUNDDOWN($W952*IF($D$2="Egyszeri",VLOOKUP($B952+IF($C952=12,1,0),Paraméterek!$V$257:$W$262,2),VLOOKUP($B952+IF($C952=12,1,0),Paraméterek!$I$258:$T$278,HLOOKUP($M$11+1,Paraméterek!$I$256:$T$257,2))),IF($D$4="Forint",0,2))</f>
        <v>#N/A</v>
      </c>
      <c r="Z952" s="32">
        <v>933</v>
      </c>
      <c r="AA952" s="32">
        <v>78</v>
      </c>
      <c r="AB952" s="32">
        <v>9</v>
      </c>
      <c r="AC952" s="13">
        <f t="shared" ca="1" si="324"/>
        <v>0</v>
      </c>
      <c r="AD952" s="33"/>
      <c r="AE952" s="13">
        <f t="shared" ca="1" si="316"/>
        <v>0</v>
      </c>
      <c r="AF952" s="13">
        <f ca="1">ROUNDUP(($AC952+$AE952)*VLOOKUP($AA952,Paraméterek!$P$38:$Q$38,2)/12*IF($D953="Nem",IF($M$13=0,1,$M$13),1),IF($D$4="Forint",0,2))</f>
        <v>0</v>
      </c>
      <c r="AG952" s="13">
        <f ca="1">IF($D$2="Egyszeri",IF($D$7&gt;=IF($D$4="Forint",Paraméterek!$P$223,Paraméterek!$P$224),$D$7-IF($D$4="Forint",Paraméterek!$P$223,Paraméterek!$P$224),0),MIN(IF($AB952=12,AVERAGEIF($E$20:$E952,"&gt;0",$E$20:$E952)*12,0),SUM($E$20:$E$31)))</f>
        <v>0</v>
      </c>
      <c r="AH952" s="13">
        <f>IF($AA952=10,$AG952*IF($AB952=12,IF($AG952&lt;IF($D$4="Forint",Paraméterek!$L$223,Paraméterek!$L$224),0,VLOOKUP($AA952,Paraméterek!$K$226:$M$228,IF($AG952&lt;IF($D$4="Forint",Paraméterek!$M$223,Paraméterek!$M$224),2,3))),0),0)</f>
        <v>0</v>
      </c>
      <c r="AI952" s="13">
        <f ca="1">IF(AND($AA952=$M$11+1,$AB952=$M$12+1),SUMIF($AA$20:$AA$1027,$AA952,$AG$20:$AG$1027)*IF(SUMIF($AA$20:$AA$1027,$AA952,$AG$20:$AG$1027)&lt;IF($D$4="Forint",Paraméterek!$L$223,Paraméterek!$L$224),0,VLOOKUP($AA952,Paraméterek!$K$230:$M$250,IF(SUMIF($AA$20:$AA$1027,$AA952,$AG$20:$AG$1027)&lt;IF($D$4="Forint",Paraméterek!$M$223,Paraméterek!$M$224),2,3))),0)</f>
        <v>0</v>
      </c>
      <c r="AJ952" s="13">
        <f ca="1">IF(AND($AA952&gt;=5,MOD($AA952,5)=0),IF($AB952=12,VLOOKUP($AA952,Paraméterek!$O$225:$P$240,2),0),IF(OR($AA952=3,$AA952=4),IF($AB952=12,VLOOKUP($AA952,Paraméterek!$O$225:$P$240,2,0),0),0))*$AG952</f>
        <v>0</v>
      </c>
      <c r="AK952" s="13">
        <f t="shared" ca="1" si="317"/>
        <v>0</v>
      </c>
      <c r="AL952" s="13">
        <f t="shared" ca="1" si="325"/>
        <v>0</v>
      </c>
      <c r="AM952" s="13">
        <f t="shared" ca="1" si="326"/>
        <v>0</v>
      </c>
      <c r="AO952" s="32">
        <v>933</v>
      </c>
      <c r="AP952" s="32">
        <v>78</v>
      </c>
      <c r="AQ952" s="32">
        <v>9</v>
      </c>
      <c r="AR952" s="13"/>
      <c r="AS952" s="32"/>
      <c r="AT952" s="13">
        <f t="shared" ca="1" si="327"/>
        <v>0</v>
      </c>
      <c r="AU952" s="33"/>
      <c r="AV952" s="13">
        <f t="shared" ca="1" si="318"/>
        <v>0</v>
      </c>
      <c r="AW952" s="13">
        <f ca="1">ROUNDUP(($AT952+$AV952)*VLOOKUP($AP952,Paraméterek!$P$38:$Q$38,2)/12*IF($D953="Nem",IF($M$13=0,1,$M$13),1),IF($D$4="Forint",0,2))</f>
        <v>0</v>
      </c>
      <c r="AX952" s="13"/>
      <c r="AY952" s="13"/>
      <c r="AZ952" s="13">
        <f>ROUNDUP(IF(SUM($AX952:$AY952)=0,0,IF(IF(ISBLANK($AY952),$AX952,$AY952)*Paraméterek!$J$112&lt;IF($D$4="Forint",Paraméterek!$J$113,Paraméterek!$K$113),IF($D$4="Forint",Paraméterek!$J$113,Paraméterek!$K$113),IF(IF(ISBLANK($AY952),$AX952,$AY952)*Paraméterek!$J$112&gt;IF($D$4="Forint",Paraméterek!$J$114,Paraméterek!$K$114),IF($D$4="Forint",Paraméterek!$J$114,Paraméterek!$K$114),IF(ISBLANK($AY952),$AX952,$AY952)*Paraméterek!$J$112))),IF($D$4="Forint",0,2))</f>
        <v>0</v>
      </c>
      <c r="BA952" s="13">
        <f ca="1">$AT952+$AV952-$AW952-IF(ROUNDDOWN(IF(ISBLANK($AY952),$AX952,$AY952),IF($D$4="Forint",0,2))&gt;$AT952+$AV952-$AW952-IF($D$4="Forint",Paraméterek!$J$114,Paraméterek!$K$114),0,ROUNDDOWN(IF(ISBLANK($AY952),$AX952,$AY952),IF($D$4="Forint",0,2))-$AZ952)</f>
        <v>0</v>
      </c>
      <c r="BB952" s="13">
        <f t="shared" ca="1" si="319"/>
        <v>0</v>
      </c>
      <c r="BD952" s="32">
        <v>933</v>
      </c>
      <c r="BE952" s="32">
        <v>78</v>
      </c>
      <c r="BF952" s="32">
        <v>9</v>
      </c>
      <c r="BG952" s="34">
        <f t="shared" ca="1" si="328"/>
        <v>2097</v>
      </c>
      <c r="BH952" s="32" t="str">
        <f ca="1">IF(MOD(MONTH($D$14)+$BD952-1,12)=Paraméterek!$C$288,"Igen","")</f>
        <v/>
      </c>
      <c r="BI952" s="13">
        <f ca="1">IF($BH952="Igen",MIN(ROUNDDOWN((SUMIF($BG$20:$BG$1027,$BG952-1,$K$20:$K$1027)-SUMIF($BG$20:$BG$1027,$BG952-1,$I$20:$I$1027))*Paraméterek!$C$289,IF($D$4="Forint",0,2)),IF($D$4="Forint",Paraméterek!$C$285,Paraméterek!$D$285)),0)</f>
        <v>0</v>
      </c>
      <c r="BJ952" s="13">
        <f t="shared" ca="1" si="320"/>
        <v>0</v>
      </c>
      <c r="BK952" s="13">
        <f t="shared" ca="1" si="329"/>
        <v>0</v>
      </c>
      <c r="BL952" s="33"/>
      <c r="BM952" s="13">
        <f t="shared" ca="1" si="321"/>
        <v>0</v>
      </c>
      <c r="BN952" s="13">
        <f ca="1">ROUNDUP(($BK952+$BM952)*VLOOKUP($BE952,Paraméterek!$P$38:$Q$38,2)/12*IF($D953="Nem",IF($M$13=0,1,$M$13),1),IF($D$4="Forint",0,2))</f>
        <v>0</v>
      </c>
      <c r="BO952" s="13">
        <f t="shared" ca="1" si="322"/>
        <v>0</v>
      </c>
      <c r="BP952" s="13">
        <f ca="1">IF($D953="Nem",$BO952,$BO952-ROUNDUP(SUM($BI$20:$BI952)*120%,IF($D$4="Forint",0,2)))</f>
        <v>0</v>
      </c>
    </row>
    <row r="953" spans="1:68" x14ac:dyDescent="0.2">
      <c r="A953" s="32">
        <v>934</v>
      </c>
      <c r="B953" s="32">
        <v>78</v>
      </c>
      <c r="C953" s="32">
        <v>10</v>
      </c>
      <c r="D953" s="32" t="str">
        <f t="shared" ca="1" si="308"/>
        <v>Nem</v>
      </c>
      <c r="E953" s="13">
        <f t="shared" ca="1" si="309"/>
        <v>0</v>
      </c>
      <c r="F953" s="13"/>
      <c r="G953" s="13"/>
      <c r="H953" s="13"/>
      <c r="I953" s="13">
        <f t="shared" ca="1" si="310"/>
        <v>0</v>
      </c>
      <c r="J953" s="13">
        <f t="shared" ca="1" si="311"/>
        <v>0</v>
      </c>
      <c r="K953" s="13">
        <f t="shared" ca="1" si="312"/>
        <v>0</v>
      </c>
      <c r="L953" s="13" t="e">
        <f ca="1">ROUNDUP(IF($D$2="Egyszeri",$E953,IF($D$2="Havi",SUM($E$20:$E$31),IF(MOD($C953,$M$1)-1=0,SUM($E$20:$E$31),0))/12*$M$1)*VLOOKUP($B953,Paraméterek!$I$28:$P$31,IF($D$2="Egyszeri",8,HLOOKUP(ROUNDUP($M$11+$M$13,0),Paraméterek!$J$26:$O$27,2))),IF($D$4="Forint",0,2))</f>
        <v>#N/A</v>
      </c>
      <c r="M953" s="13">
        <f t="shared" ca="1" si="313"/>
        <v>0</v>
      </c>
      <c r="N953" s="13">
        <f t="shared" ca="1" si="323"/>
        <v>0</v>
      </c>
      <c r="O953" s="13">
        <f ca="1">IF($D953="Igen",IF($W952&gt;=IF($D$4="Forint",Paraméterek!$J$121,Paraméterek!$K$121),0,IF($D$4="Forint",Paraméterek!$J$121,Paraméterek!$K$121)-$W952),0)</f>
        <v>0</v>
      </c>
      <c r="P953" s="13" t="e">
        <f ca="1">ROUNDUP($O953*VLOOKUP($M$4+$B953-1,Paraméterek!$H$58:$I$105,2,0)/Paraméterek!$I$56,IF($D$4="Forint",0,2))</f>
        <v>#N/A</v>
      </c>
      <c r="Q953" s="13">
        <f t="shared" ca="1" si="314"/>
        <v>0</v>
      </c>
      <c r="R953" s="33"/>
      <c r="S953" s="13" t="e">
        <f t="shared" ca="1" si="315"/>
        <v>#N/A</v>
      </c>
      <c r="T953" s="13" t="e">
        <f ca="1">ROUNDUP(($N953-$P953-$Q953+$S953)*VLOOKUP($B953,Paraméterek!$I$38:$K$39,IF($D$2="Egyszeri",3,2))/12*IF($D954="Nem",IF($M$13=0,1,$M$13),1),IF($D$4="Forint",0,2))</f>
        <v>#N/A</v>
      </c>
      <c r="U953" s="13"/>
      <c r="V953" s="13"/>
      <c r="W953" s="13" t="e">
        <f ca="1">$N953-$P953-$Q953+$S953-$T953-IF(ROUNDUP(IF(ISBLANK($V953),$U953*0,$V953)/IF($D$2="Egyszeri",VLOOKUP($B953+IF($C953=12,1,0),Paraméterek!$V$257:$W$262,2),IF($B953=1,1,VLOOKUP($B953+IF($C953=12,1,0),Paraméterek!$I$258:$T$278,HLOOKUP($M$11+1,Paraméterek!$J$256:$T$257,2)))),IF($D$4="Forint",0,2))&gt;$N953-$P953-$Q953+$S953-$T953-IF($D$4="Forint",Paraméterek!$C$216,Paraméterek!$D$216),0,ROUNDUP(IF(ISBLANK($V953),$U953*0,$V953)/IF($D$2="Egyszeri",VLOOKUP($B953+IF($C953=12,1,0),Paraméterek!$V$257:$W$262,2),IF($B953=1,1,VLOOKUP($B953+IF($C953=12,1,0),Paraméterek!$I$258:$T$278,HLOOKUP($M$11+1,Paraméterek!$J$256:$T$257,2)))),IF($D$4="Forint",0,2)))</f>
        <v>#N/A</v>
      </c>
      <c r="X953" s="13" t="e">
        <f ca="1">ROUNDDOWN($W953*IF($D$2="Egyszeri",VLOOKUP($B953+IF($C953=12,1,0),Paraméterek!$V$257:$W$262,2),VLOOKUP($B953+IF($C953=12,1,0),Paraméterek!$I$258:$T$278,HLOOKUP($M$11+1,Paraméterek!$I$256:$T$257,2))),IF($D$4="Forint",0,2))</f>
        <v>#N/A</v>
      </c>
      <c r="Z953" s="32">
        <v>934</v>
      </c>
      <c r="AA953" s="32">
        <v>78</v>
      </c>
      <c r="AB953" s="32">
        <v>10</v>
      </c>
      <c r="AC953" s="13">
        <f t="shared" ca="1" si="324"/>
        <v>0</v>
      </c>
      <c r="AD953" s="33"/>
      <c r="AE953" s="13">
        <f t="shared" ca="1" si="316"/>
        <v>0</v>
      </c>
      <c r="AF953" s="13">
        <f ca="1">ROUNDUP(($AC953+$AE953)*VLOOKUP($AA953,Paraméterek!$P$38:$Q$38,2)/12*IF($D954="Nem",IF($M$13=0,1,$M$13),1),IF($D$4="Forint",0,2))</f>
        <v>0</v>
      </c>
      <c r="AG953" s="13">
        <f ca="1">IF($D$2="Egyszeri",IF($D$7&gt;=IF($D$4="Forint",Paraméterek!$P$223,Paraméterek!$P$224),$D$7-IF($D$4="Forint",Paraméterek!$P$223,Paraméterek!$P$224),0),MIN(IF($AB953=12,AVERAGEIF($E$20:$E953,"&gt;0",$E$20:$E953)*12,0),SUM($E$20:$E$31)))</f>
        <v>0</v>
      </c>
      <c r="AH953" s="13">
        <f>IF($AA953=10,$AG953*IF($AB953=12,IF($AG953&lt;IF($D$4="Forint",Paraméterek!$L$223,Paraméterek!$L$224),0,VLOOKUP($AA953,Paraméterek!$K$226:$M$228,IF($AG953&lt;IF($D$4="Forint",Paraméterek!$M$223,Paraméterek!$M$224),2,3))),0),0)</f>
        <v>0</v>
      </c>
      <c r="AI953" s="13">
        <f ca="1">IF(AND($AA953=$M$11+1,$AB953=$M$12+1),SUMIF($AA$20:$AA$1027,$AA953,$AG$20:$AG$1027)*IF(SUMIF($AA$20:$AA$1027,$AA953,$AG$20:$AG$1027)&lt;IF($D$4="Forint",Paraméterek!$L$223,Paraméterek!$L$224),0,VLOOKUP($AA953,Paraméterek!$K$230:$M$250,IF(SUMIF($AA$20:$AA$1027,$AA953,$AG$20:$AG$1027)&lt;IF($D$4="Forint",Paraméterek!$M$223,Paraméterek!$M$224),2,3))),0)</f>
        <v>0</v>
      </c>
      <c r="AJ953" s="13">
        <f ca="1">IF(AND($AA953&gt;=5,MOD($AA953,5)=0),IF($AB953=12,VLOOKUP($AA953,Paraméterek!$O$225:$P$240,2),0),IF(OR($AA953=3,$AA953=4),IF($AB953=12,VLOOKUP($AA953,Paraméterek!$O$225:$P$240,2,0),0),0))*$AG953</f>
        <v>0</v>
      </c>
      <c r="AK953" s="13">
        <f t="shared" ca="1" si="317"/>
        <v>0</v>
      </c>
      <c r="AL953" s="13">
        <f t="shared" ca="1" si="325"/>
        <v>0</v>
      </c>
      <c r="AM953" s="13">
        <f t="shared" ca="1" si="326"/>
        <v>0</v>
      </c>
      <c r="AO953" s="32">
        <v>934</v>
      </c>
      <c r="AP953" s="32">
        <v>78</v>
      </c>
      <c r="AQ953" s="32">
        <v>10</v>
      </c>
      <c r="AR953" s="13"/>
      <c r="AS953" s="32"/>
      <c r="AT953" s="13">
        <f t="shared" ca="1" si="327"/>
        <v>0</v>
      </c>
      <c r="AU953" s="33"/>
      <c r="AV953" s="13">
        <f t="shared" ca="1" si="318"/>
        <v>0</v>
      </c>
      <c r="AW953" s="13">
        <f ca="1">ROUNDUP(($AT953+$AV953)*VLOOKUP($AP953,Paraméterek!$P$38:$Q$38,2)/12*IF($D954="Nem",IF($M$13=0,1,$M$13),1),IF($D$4="Forint",0,2))</f>
        <v>0</v>
      </c>
      <c r="AX953" s="13"/>
      <c r="AY953" s="13"/>
      <c r="AZ953" s="13">
        <f>ROUNDUP(IF(SUM($AX953:$AY953)=0,0,IF(IF(ISBLANK($AY953),$AX953,$AY953)*Paraméterek!$J$112&lt;IF($D$4="Forint",Paraméterek!$J$113,Paraméterek!$K$113),IF($D$4="Forint",Paraméterek!$J$113,Paraméterek!$K$113),IF(IF(ISBLANK($AY953),$AX953,$AY953)*Paraméterek!$J$112&gt;IF($D$4="Forint",Paraméterek!$J$114,Paraméterek!$K$114),IF($D$4="Forint",Paraméterek!$J$114,Paraméterek!$K$114),IF(ISBLANK($AY953),$AX953,$AY953)*Paraméterek!$J$112))),IF($D$4="Forint",0,2))</f>
        <v>0</v>
      </c>
      <c r="BA953" s="13">
        <f ca="1">$AT953+$AV953-$AW953-IF(ROUNDDOWN(IF(ISBLANK($AY953),$AX953,$AY953),IF($D$4="Forint",0,2))&gt;$AT953+$AV953-$AW953-IF($D$4="Forint",Paraméterek!$J$114,Paraméterek!$K$114),0,ROUNDDOWN(IF(ISBLANK($AY953),$AX953,$AY953),IF($D$4="Forint",0,2))-$AZ953)</f>
        <v>0</v>
      </c>
      <c r="BB953" s="13">
        <f t="shared" ca="1" si="319"/>
        <v>0</v>
      </c>
      <c r="BD953" s="32">
        <v>934</v>
      </c>
      <c r="BE953" s="32">
        <v>78</v>
      </c>
      <c r="BF953" s="32">
        <v>10</v>
      </c>
      <c r="BG953" s="34">
        <f t="shared" ca="1" si="328"/>
        <v>2097</v>
      </c>
      <c r="BH953" s="32" t="str">
        <f ca="1">IF(MOD(MONTH($D$14)+$BD953-1,12)=Paraméterek!$C$288,"Igen","")</f>
        <v/>
      </c>
      <c r="BI953" s="13">
        <f ca="1">IF($BH953="Igen",MIN(ROUNDDOWN((SUMIF($BG$20:$BG$1027,$BG953-1,$K$20:$K$1027)-SUMIF($BG$20:$BG$1027,$BG953-1,$I$20:$I$1027))*Paraméterek!$C$289,IF($D$4="Forint",0,2)),IF($D$4="Forint",Paraméterek!$C$285,Paraméterek!$D$285)),0)</f>
        <v>0</v>
      </c>
      <c r="BJ953" s="13">
        <f t="shared" ca="1" si="320"/>
        <v>0</v>
      </c>
      <c r="BK953" s="13">
        <f t="shared" ca="1" si="329"/>
        <v>0</v>
      </c>
      <c r="BL953" s="33"/>
      <c r="BM953" s="13">
        <f t="shared" ca="1" si="321"/>
        <v>0</v>
      </c>
      <c r="BN953" s="13">
        <f ca="1">ROUNDUP(($BK953+$BM953)*VLOOKUP($BE953,Paraméterek!$P$38:$Q$38,2)/12*IF($D954="Nem",IF($M$13=0,1,$M$13),1),IF($D$4="Forint",0,2))</f>
        <v>0</v>
      </c>
      <c r="BO953" s="13">
        <f t="shared" ca="1" si="322"/>
        <v>0</v>
      </c>
      <c r="BP953" s="13">
        <f ca="1">IF($D954="Nem",$BO953,$BO953-ROUNDUP(SUM($BI$20:$BI953)*120%,IF($D$4="Forint",0,2)))</f>
        <v>0</v>
      </c>
    </row>
    <row r="954" spans="1:68" x14ac:dyDescent="0.2">
      <c r="A954" s="32">
        <v>935</v>
      </c>
      <c r="B954" s="32">
        <v>78</v>
      </c>
      <c r="C954" s="32">
        <v>11</v>
      </c>
      <c r="D954" s="32" t="str">
        <f t="shared" ca="1" si="308"/>
        <v>Nem</v>
      </c>
      <c r="E954" s="13">
        <f t="shared" ca="1" si="309"/>
        <v>0</v>
      </c>
      <c r="F954" s="13"/>
      <c r="G954" s="13"/>
      <c r="H954" s="13"/>
      <c r="I954" s="13">
        <f t="shared" ca="1" si="310"/>
        <v>0</v>
      </c>
      <c r="J954" s="13">
        <f t="shared" ca="1" si="311"/>
        <v>0</v>
      </c>
      <c r="K954" s="13">
        <f t="shared" ca="1" si="312"/>
        <v>0</v>
      </c>
      <c r="L954" s="13" t="e">
        <f ca="1">ROUNDUP(IF($D$2="Egyszeri",$E954,IF($D$2="Havi",SUM($E$20:$E$31),IF(MOD($C954,$M$1)-1=0,SUM($E$20:$E$31),0))/12*$M$1)*VLOOKUP($B954,Paraméterek!$I$28:$P$31,IF($D$2="Egyszeri",8,HLOOKUP(ROUNDUP($M$11+$M$13,0),Paraméterek!$J$26:$O$27,2))),IF($D$4="Forint",0,2))</f>
        <v>#N/A</v>
      </c>
      <c r="M954" s="13">
        <f t="shared" ca="1" si="313"/>
        <v>0</v>
      </c>
      <c r="N954" s="13">
        <f t="shared" ca="1" si="323"/>
        <v>0</v>
      </c>
      <c r="O954" s="13">
        <f ca="1">IF($D954="Igen",IF($W953&gt;=IF($D$4="Forint",Paraméterek!$J$121,Paraméterek!$K$121),0,IF($D$4="Forint",Paraméterek!$J$121,Paraméterek!$K$121)-$W953),0)</f>
        <v>0</v>
      </c>
      <c r="P954" s="13" t="e">
        <f ca="1">ROUNDUP($O954*VLOOKUP($M$4+$B954-1,Paraméterek!$H$58:$I$105,2,0)/Paraméterek!$I$56,IF($D$4="Forint",0,2))</f>
        <v>#N/A</v>
      </c>
      <c r="Q954" s="13">
        <f t="shared" ca="1" si="314"/>
        <v>0</v>
      </c>
      <c r="R954" s="33"/>
      <c r="S954" s="13" t="e">
        <f t="shared" ca="1" si="315"/>
        <v>#N/A</v>
      </c>
      <c r="T954" s="13" t="e">
        <f ca="1">ROUNDUP(($N954-$P954-$Q954+$S954)*VLOOKUP($B954,Paraméterek!$I$38:$K$39,IF($D$2="Egyszeri",3,2))/12*IF($D955="Nem",IF($M$13=0,1,$M$13),1),IF($D$4="Forint",0,2))</f>
        <v>#N/A</v>
      </c>
      <c r="U954" s="13"/>
      <c r="V954" s="13"/>
      <c r="W954" s="13" t="e">
        <f ca="1">$N954-$P954-$Q954+$S954-$T954-IF(ROUNDUP(IF(ISBLANK($V954),$U954*0,$V954)/IF($D$2="Egyszeri",VLOOKUP($B954+IF($C954=12,1,0),Paraméterek!$V$257:$W$262,2),IF($B954=1,1,VLOOKUP($B954+IF($C954=12,1,0),Paraméterek!$I$258:$T$278,HLOOKUP($M$11+1,Paraméterek!$J$256:$T$257,2)))),IF($D$4="Forint",0,2))&gt;$N954-$P954-$Q954+$S954-$T954-IF($D$4="Forint",Paraméterek!$C$216,Paraméterek!$D$216),0,ROUNDUP(IF(ISBLANK($V954),$U954*0,$V954)/IF($D$2="Egyszeri",VLOOKUP($B954+IF($C954=12,1,0),Paraméterek!$V$257:$W$262,2),IF($B954=1,1,VLOOKUP($B954+IF($C954=12,1,0),Paraméterek!$I$258:$T$278,HLOOKUP($M$11+1,Paraméterek!$J$256:$T$257,2)))),IF($D$4="Forint",0,2)))</f>
        <v>#N/A</v>
      </c>
      <c r="X954" s="13" t="e">
        <f ca="1">ROUNDDOWN($W954*IF($D$2="Egyszeri",VLOOKUP($B954+IF($C954=12,1,0),Paraméterek!$V$257:$W$262,2),VLOOKUP($B954+IF($C954=12,1,0),Paraméterek!$I$258:$T$278,HLOOKUP($M$11+1,Paraméterek!$I$256:$T$257,2))),IF($D$4="Forint",0,2))</f>
        <v>#N/A</v>
      </c>
      <c r="Z954" s="32">
        <v>935</v>
      </c>
      <c r="AA954" s="32">
        <v>78</v>
      </c>
      <c r="AB954" s="32">
        <v>11</v>
      </c>
      <c r="AC954" s="13">
        <f t="shared" ca="1" si="324"/>
        <v>0</v>
      </c>
      <c r="AD954" s="33"/>
      <c r="AE954" s="13">
        <f t="shared" ca="1" si="316"/>
        <v>0</v>
      </c>
      <c r="AF954" s="13">
        <f ca="1">ROUNDUP(($AC954+$AE954)*VLOOKUP($AA954,Paraméterek!$P$38:$Q$38,2)/12*IF($D955="Nem",IF($M$13=0,1,$M$13),1),IF($D$4="Forint",0,2))</f>
        <v>0</v>
      </c>
      <c r="AG954" s="13">
        <f ca="1">IF($D$2="Egyszeri",IF($D$7&gt;=IF($D$4="Forint",Paraméterek!$P$223,Paraméterek!$P$224),$D$7-IF($D$4="Forint",Paraméterek!$P$223,Paraméterek!$P$224),0),MIN(IF($AB954=12,AVERAGEIF($E$20:$E954,"&gt;0",$E$20:$E954)*12,0),SUM($E$20:$E$31)))</f>
        <v>0</v>
      </c>
      <c r="AH954" s="13">
        <f>IF($AA954=10,$AG954*IF($AB954=12,IF($AG954&lt;IF($D$4="Forint",Paraméterek!$L$223,Paraméterek!$L$224),0,VLOOKUP($AA954,Paraméterek!$K$226:$M$228,IF($AG954&lt;IF($D$4="Forint",Paraméterek!$M$223,Paraméterek!$M$224),2,3))),0),0)</f>
        <v>0</v>
      </c>
      <c r="AI954" s="13">
        <f ca="1">IF(AND($AA954=$M$11+1,$AB954=$M$12+1),SUMIF($AA$20:$AA$1027,$AA954,$AG$20:$AG$1027)*IF(SUMIF($AA$20:$AA$1027,$AA954,$AG$20:$AG$1027)&lt;IF($D$4="Forint",Paraméterek!$L$223,Paraméterek!$L$224),0,VLOOKUP($AA954,Paraméterek!$K$230:$M$250,IF(SUMIF($AA$20:$AA$1027,$AA954,$AG$20:$AG$1027)&lt;IF($D$4="Forint",Paraméterek!$M$223,Paraméterek!$M$224),2,3))),0)</f>
        <v>0</v>
      </c>
      <c r="AJ954" s="13">
        <f ca="1">IF(AND($AA954&gt;=5,MOD($AA954,5)=0),IF($AB954=12,VLOOKUP($AA954,Paraméterek!$O$225:$P$240,2),0),IF(OR($AA954=3,$AA954=4),IF($AB954=12,VLOOKUP($AA954,Paraméterek!$O$225:$P$240,2,0),0),0))*$AG954</f>
        <v>0</v>
      </c>
      <c r="AK954" s="13">
        <f t="shared" ca="1" si="317"/>
        <v>0</v>
      </c>
      <c r="AL954" s="13">
        <f t="shared" ca="1" si="325"/>
        <v>0</v>
      </c>
      <c r="AM954" s="13">
        <f t="shared" ca="1" si="326"/>
        <v>0</v>
      </c>
      <c r="AO954" s="32">
        <v>935</v>
      </c>
      <c r="AP954" s="32">
        <v>78</v>
      </c>
      <c r="AQ954" s="32">
        <v>11</v>
      </c>
      <c r="AR954" s="13"/>
      <c r="AS954" s="32"/>
      <c r="AT954" s="13">
        <f t="shared" ca="1" si="327"/>
        <v>0</v>
      </c>
      <c r="AU954" s="33"/>
      <c r="AV954" s="13">
        <f t="shared" ca="1" si="318"/>
        <v>0</v>
      </c>
      <c r="AW954" s="13">
        <f ca="1">ROUNDUP(($AT954+$AV954)*VLOOKUP($AP954,Paraméterek!$P$38:$Q$38,2)/12*IF($D955="Nem",IF($M$13=0,1,$M$13),1),IF($D$4="Forint",0,2))</f>
        <v>0</v>
      </c>
      <c r="AX954" s="13"/>
      <c r="AY954" s="13"/>
      <c r="AZ954" s="13">
        <f>ROUNDUP(IF(SUM($AX954:$AY954)=0,0,IF(IF(ISBLANK($AY954),$AX954,$AY954)*Paraméterek!$J$112&lt;IF($D$4="Forint",Paraméterek!$J$113,Paraméterek!$K$113),IF($D$4="Forint",Paraméterek!$J$113,Paraméterek!$K$113),IF(IF(ISBLANK($AY954),$AX954,$AY954)*Paraméterek!$J$112&gt;IF($D$4="Forint",Paraméterek!$J$114,Paraméterek!$K$114),IF($D$4="Forint",Paraméterek!$J$114,Paraméterek!$K$114),IF(ISBLANK($AY954),$AX954,$AY954)*Paraméterek!$J$112))),IF($D$4="Forint",0,2))</f>
        <v>0</v>
      </c>
      <c r="BA954" s="13">
        <f ca="1">$AT954+$AV954-$AW954-IF(ROUNDDOWN(IF(ISBLANK($AY954),$AX954,$AY954),IF($D$4="Forint",0,2))&gt;$AT954+$AV954-$AW954-IF($D$4="Forint",Paraméterek!$J$114,Paraméterek!$K$114),0,ROUNDDOWN(IF(ISBLANK($AY954),$AX954,$AY954),IF($D$4="Forint",0,2))-$AZ954)</f>
        <v>0</v>
      </c>
      <c r="BB954" s="13">
        <f t="shared" ca="1" si="319"/>
        <v>0</v>
      </c>
      <c r="BD954" s="32">
        <v>935</v>
      </c>
      <c r="BE954" s="32">
        <v>78</v>
      </c>
      <c r="BF954" s="32">
        <v>11</v>
      </c>
      <c r="BG954" s="34">
        <f t="shared" ca="1" si="328"/>
        <v>2097</v>
      </c>
      <c r="BH954" s="32" t="str">
        <f ca="1">IF(MOD(MONTH($D$14)+$BD954-1,12)=Paraméterek!$C$288,"Igen","")</f>
        <v/>
      </c>
      <c r="BI954" s="13">
        <f ca="1">IF($BH954="Igen",MIN(ROUNDDOWN((SUMIF($BG$20:$BG$1027,$BG954-1,$K$20:$K$1027)-SUMIF($BG$20:$BG$1027,$BG954-1,$I$20:$I$1027))*Paraméterek!$C$289,IF($D$4="Forint",0,2)),IF($D$4="Forint",Paraméterek!$C$285,Paraméterek!$D$285)),0)</f>
        <v>0</v>
      </c>
      <c r="BJ954" s="13">
        <f t="shared" ca="1" si="320"/>
        <v>0</v>
      </c>
      <c r="BK954" s="13">
        <f t="shared" ca="1" si="329"/>
        <v>0</v>
      </c>
      <c r="BL954" s="33"/>
      <c r="BM954" s="13">
        <f t="shared" ca="1" si="321"/>
        <v>0</v>
      </c>
      <c r="BN954" s="13">
        <f ca="1">ROUNDUP(($BK954+$BM954)*VLOOKUP($BE954,Paraméterek!$P$38:$Q$38,2)/12*IF($D955="Nem",IF($M$13=0,1,$M$13),1),IF($D$4="Forint",0,2))</f>
        <v>0</v>
      </c>
      <c r="BO954" s="13">
        <f t="shared" ca="1" si="322"/>
        <v>0</v>
      </c>
      <c r="BP954" s="13">
        <f ca="1">IF($D955="Nem",$BO954,$BO954-ROUNDUP(SUM($BI$20:$BI954)*120%,IF($D$4="Forint",0,2)))</f>
        <v>0</v>
      </c>
    </row>
    <row r="955" spans="1:68" x14ac:dyDescent="0.2">
      <c r="A955" s="32">
        <v>936</v>
      </c>
      <c r="B955" s="32">
        <v>78</v>
      </c>
      <c r="C955" s="32">
        <v>12</v>
      </c>
      <c r="D955" s="32" t="str">
        <f t="shared" ca="1" si="308"/>
        <v>Nem</v>
      </c>
      <c r="E955" s="13">
        <f t="shared" ca="1" si="309"/>
        <v>0</v>
      </c>
      <c r="F955" s="13"/>
      <c r="G955" s="13"/>
      <c r="H955" s="13"/>
      <c r="I955" s="13">
        <f t="shared" ca="1" si="310"/>
        <v>0</v>
      </c>
      <c r="J955" s="13">
        <f t="shared" ca="1" si="311"/>
        <v>0</v>
      </c>
      <c r="K955" s="13">
        <f t="shared" ca="1" si="312"/>
        <v>0</v>
      </c>
      <c r="L955" s="13" t="e">
        <f ca="1">ROUNDUP(IF($D$2="Egyszeri",$E955,IF($D$2="Havi",SUM($E$20:$E$31),IF(MOD($C955,$M$1)-1=0,SUM($E$20:$E$31),0))/12*$M$1)*VLOOKUP($B955,Paraméterek!$I$28:$P$31,IF($D$2="Egyszeri",8,HLOOKUP(ROUNDUP($M$11+$M$13,0),Paraméterek!$J$26:$O$27,2))),IF($D$4="Forint",0,2))</f>
        <v>#N/A</v>
      </c>
      <c r="M955" s="13">
        <f t="shared" ca="1" si="313"/>
        <v>0</v>
      </c>
      <c r="N955" s="13">
        <f t="shared" ca="1" si="323"/>
        <v>0</v>
      </c>
      <c r="O955" s="13">
        <f ca="1">IF($D955="Igen",IF($W954&gt;=IF($D$4="Forint",Paraméterek!$J$121,Paraméterek!$K$121),0,IF($D$4="Forint",Paraméterek!$J$121,Paraméterek!$K$121)-$W954),0)</f>
        <v>0</v>
      </c>
      <c r="P955" s="13" t="e">
        <f ca="1">ROUNDUP($O955*VLOOKUP($M$4+$B955-1,Paraméterek!$H$58:$I$105,2,0)/Paraméterek!$I$56,IF($D$4="Forint",0,2))</f>
        <v>#N/A</v>
      </c>
      <c r="Q955" s="13">
        <f t="shared" ca="1" si="314"/>
        <v>0</v>
      </c>
      <c r="R955" s="33"/>
      <c r="S955" s="13" t="e">
        <f t="shared" ca="1" si="315"/>
        <v>#N/A</v>
      </c>
      <c r="T955" s="13" t="e">
        <f ca="1">ROUNDUP(($N955-$P955-$Q955+$S955)*VLOOKUP($B955,Paraméterek!$I$38:$K$39,IF($D$2="Egyszeri",3,2))/12*IF($D956="Nem",IF($M$13=0,1,$M$13),1),IF($D$4="Forint",0,2))</f>
        <v>#N/A</v>
      </c>
      <c r="U955" s="13">
        <f>Tranzakciók!$F$109</f>
        <v>0</v>
      </c>
      <c r="V955" s="13"/>
      <c r="W955" s="13" t="e">
        <f ca="1">$N955-$P955-$Q955+$S955-$T955-IF(ROUNDUP(IF(ISBLANK($V955),$U955*0,$V955)/IF($D$2="Egyszeri",VLOOKUP($B955+IF($C955=12,1,0),Paraméterek!$V$257:$W$262,2),IF($B955=1,1,VLOOKUP($B955+IF($C955=12,1,0),Paraméterek!$I$258:$T$278,HLOOKUP($M$11+1,Paraméterek!$J$256:$T$257,2)))),IF($D$4="Forint",0,2))&gt;$N955-$P955-$Q955+$S955-$T955-IF($D$4="Forint",Paraméterek!$C$216,Paraméterek!$D$216),0,ROUNDUP(IF(ISBLANK($V955),$U955*0,$V955)/IF($D$2="Egyszeri",VLOOKUP($B955+IF($C955=12,1,0),Paraméterek!$V$257:$W$262,2),IF($B955=1,1,VLOOKUP($B955+IF($C955=12,1,0),Paraméterek!$I$258:$T$278,HLOOKUP($M$11+1,Paraméterek!$J$256:$T$257,2)))),IF($D$4="Forint",0,2)))</f>
        <v>#N/A</v>
      </c>
      <c r="X955" s="13" t="e">
        <f ca="1">ROUNDDOWN($W955*IF($D$2="Egyszeri",VLOOKUP($B955+IF($C955=12,1,0),Paraméterek!$V$257:$W$262,2),VLOOKUP($B955+IF($C955=12,1,0),Paraméterek!$I$258:$T$278,HLOOKUP($M$11+1,Paraméterek!$I$256:$T$257,2))),IF($D$4="Forint",0,2))</f>
        <v>#N/A</v>
      </c>
      <c r="Z955" s="32">
        <v>936</v>
      </c>
      <c r="AA955" s="32">
        <v>78</v>
      </c>
      <c r="AB955" s="32">
        <v>12</v>
      </c>
      <c r="AC955" s="13">
        <f t="shared" ca="1" si="324"/>
        <v>0</v>
      </c>
      <c r="AD955" s="33"/>
      <c r="AE955" s="13">
        <f t="shared" ca="1" si="316"/>
        <v>0</v>
      </c>
      <c r="AF955" s="13">
        <f ca="1">ROUNDUP(($AC955+$AE955)*VLOOKUP($AA955,Paraméterek!$P$38:$Q$38,2)/12*IF($D956="Nem",IF($M$13=0,1,$M$13),1),IF($D$4="Forint",0,2))</f>
        <v>0</v>
      </c>
      <c r="AG955" s="13" t="e">
        <f ca="1">IF($D$2="Egyszeri",IF($D$7&gt;=IF($D$4="Forint",Paraméterek!$P$223,Paraméterek!$P$224),$D$7-IF($D$4="Forint",Paraméterek!$P$223,Paraméterek!$P$224),0),MIN(IF($AB955=12,AVERAGEIF($E$20:$E955,"&gt;0",$E$20:$E955)*12,0),SUM($E$20:$E$31)))</f>
        <v>#DIV/0!</v>
      </c>
      <c r="AH955" s="13">
        <f>IF($AA955=10,$AG955*IF($AB955=12,IF($AG955&lt;IF($D$4="Forint",Paraméterek!$L$223,Paraméterek!$L$224),0,VLOOKUP($AA955,Paraméterek!$K$226:$M$228,IF($AG955&lt;IF($D$4="Forint",Paraméterek!$M$223,Paraméterek!$M$224),2,3))),0),0)</f>
        <v>0</v>
      </c>
      <c r="AI955" s="13">
        <f ca="1">IF(AND($AA955=$M$11+1,$AB955=$M$12+1),SUMIF($AA$20:$AA$1027,$AA955,$AG$20:$AG$1027)*IF(SUMIF($AA$20:$AA$1027,$AA955,$AG$20:$AG$1027)&lt;IF($D$4="Forint",Paraméterek!$L$223,Paraméterek!$L$224),0,VLOOKUP($AA955,Paraméterek!$K$230:$M$250,IF(SUMIF($AA$20:$AA$1027,$AA955,$AG$20:$AG$1027)&lt;IF($D$4="Forint",Paraméterek!$M$223,Paraméterek!$M$224),2,3))),0)</f>
        <v>0</v>
      </c>
      <c r="AJ955" s="13" t="e">
        <f ca="1">IF(AND($AA955&gt;=5,MOD($AA955,5)=0),IF($AB955=12,VLOOKUP($AA955,Paraméterek!$O$225:$P$240,2),0),IF(OR($AA955=3,$AA955=4),IF($AB955=12,VLOOKUP($AA955,Paraméterek!$O$225:$P$240,2,0),0),0))*$AG955</f>
        <v>#DIV/0!</v>
      </c>
      <c r="AK955" s="13">
        <f t="shared" ca="1" si="317"/>
        <v>0</v>
      </c>
      <c r="AL955" s="13">
        <f t="shared" ca="1" si="325"/>
        <v>0</v>
      </c>
      <c r="AM955" s="13">
        <f t="shared" ca="1" si="326"/>
        <v>0</v>
      </c>
      <c r="AO955" s="32">
        <v>936</v>
      </c>
      <c r="AP955" s="32">
        <v>78</v>
      </c>
      <c r="AQ955" s="32">
        <v>12</v>
      </c>
      <c r="AR955" s="13"/>
      <c r="AS955" s="32"/>
      <c r="AT955" s="13">
        <f t="shared" ca="1" si="327"/>
        <v>0</v>
      </c>
      <c r="AU955" s="33"/>
      <c r="AV955" s="13">
        <f t="shared" ca="1" si="318"/>
        <v>0</v>
      </c>
      <c r="AW955" s="13">
        <f ca="1">ROUNDUP(($AT955+$AV955)*VLOOKUP($AP955,Paraméterek!$P$38:$Q$38,2)/12*IF($D956="Nem",IF($M$13=0,1,$M$13),1),IF($D$4="Forint",0,2))</f>
        <v>0</v>
      </c>
      <c r="AX955" s="13">
        <f>Tranzakciók!$M$109</f>
        <v>0</v>
      </c>
      <c r="AY955" s="13"/>
      <c r="AZ955" s="13">
        <f>ROUNDUP(IF(SUM($AX955:$AY955)=0,0,IF(IF(ISBLANK($AY955),$AX955,$AY955)*Paraméterek!$J$112&lt;IF($D$4="Forint",Paraméterek!$J$113,Paraméterek!$K$113),IF($D$4="Forint",Paraméterek!$J$113,Paraméterek!$K$113),IF(IF(ISBLANK($AY955),$AX955,$AY955)*Paraméterek!$J$112&gt;IF($D$4="Forint",Paraméterek!$J$114,Paraméterek!$K$114),IF($D$4="Forint",Paraméterek!$J$114,Paraméterek!$K$114),IF(ISBLANK($AY955),$AX955,$AY955)*Paraméterek!$J$112))),IF($D$4="Forint",0,2))</f>
        <v>0</v>
      </c>
      <c r="BA955" s="13">
        <f ca="1">$AT955+$AV955-$AW955-IF(ROUNDDOWN(IF(ISBLANK($AY955),$AX955,$AY955),IF($D$4="Forint",0,2))&gt;$AT955+$AV955-$AW955-IF($D$4="Forint",Paraméterek!$J$114,Paraméterek!$K$114),0,ROUNDDOWN(IF(ISBLANK($AY955),$AX955,$AY955),IF($D$4="Forint",0,2))-$AZ955)</f>
        <v>0</v>
      </c>
      <c r="BB955" s="13">
        <f t="shared" ca="1" si="319"/>
        <v>0</v>
      </c>
      <c r="BD955" s="32">
        <v>936</v>
      </c>
      <c r="BE955" s="32">
        <v>78</v>
      </c>
      <c r="BF955" s="32">
        <v>12</v>
      </c>
      <c r="BG955" s="34">
        <f t="shared" ca="1" si="328"/>
        <v>2097</v>
      </c>
      <c r="BH955" s="32" t="str">
        <f ca="1">IF(MOD(MONTH($D$14)+$BD955-1,12)=Paraméterek!$C$288,"Igen","")</f>
        <v/>
      </c>
      <c r="BI955" s="13">
        <f ca="1">IF($BH955="Igen",MIN(ROUNDDOWN((SUMIF($BG$20:$BG$1027,$BG955-1,$K$20:$K$1027)-SUMIF($BG$20:$BG$1027,$BG955-1,$I$20:$I$1027))*Paraméterek!$C$289,IF($D$4="Forint",0,2)),IF($D$4="Forint",Paraméterek!$C$285,Paraméterek!$D$285)),0)</f>
        <v>0</v>
      </c>
      <c r="BJ955" s="13">
        <f t="shared" ca="1" si="320"/>
        <v>0</v>
      </c>
      <c r="BK955" s="13">
        <f t="shared" ca="1" si="329"/>
        <v>0</v>
      </c>
      <c r="BL955" s="33"/>
      <c r="BM955" s="13">
        <f t="shared" ca="1" si="321"/>
        <v>0</v>
      </c>
      <c r="BN955" s="13">
        <f ca="1">ROUNDUP(($BK955+$BM955)*VLOOKUP($BE955,Paraméterek!$P$38:$Q$38,2)/12*IF($D956="Nem",IF($M$13=0,1,$M$13),1),IF($D$4="Forint",0,2))</f>
        <v>0</v>
      </c>
      <c r="BO955" s="13">
        <f t="shared" ca="1" si="322"/>
        <v>0</v>
      </c>
      <c r="BP955" s="13">
        <f ca="1">IF($D956="Nem",$BO955,$BO955-ROUNDUP(SUM($BI$20:$BI955)*120%,IF($D$4="Forint",0,2)))</f>
        <v>0</v>
      </c>
    </row>
    <row r="956" spans="1:68" x14ac:dyDescent="0.2">
      <c r="A956" s="32">
        <v>937</v>
      </c>
      <c r="B956" s="32">
        <v>79</v>
      </c>
      <c r="C956" s="32">
        <v>1</v>
      </c>
      <c r="D956" s="32" t="str">
        <f t="shared" ca="1" si="308"/>
        <v>Nem</v>
      </c>
      <c r="E956" s="13">
        <f t="shared" ca="1" si="309"/>
        <v>0</v>
      </c>
      <c r="F956" s="13"/>
      <c r="G956" s="13">
        <f>Tranzakciók!$D$110</f>
        <v>0</v>
      </c>
      <c r="H956" s="13"/>
      <c r="I956" s="13">
        <f t="shared" ca="1" si="310"/>
        <v>0</v>
      </c>
      <c r="J956" s="13">
        <f t="shared" ca="1" si="311"/>
        <v>0</v>
      </c>
      <c r="K956" s="13">
        <f t="shared" ca="1" si="312"/>
        <v>0</v>
      </c>
      <c r="L956" s="13" t="e">
        <f ca="1">ROUNDUP(IF($D$2="Egyszeri",$E956,IF($D$2="Havi",SUM($E$20:$E$31),IF(MOD($C956,$M$1)-1=0,SUM($E$20:$E$31),0))/12*$M$1)*VLOOKUP($B956,Paraméterek!$I$28:$P$31,IF($D$2="Egyszeri",8,HLOOKUP(ROUNDUP($M$11+$M$13,0),Paraméterek!$J$26:$O$27,2))),IF($D$4="Forint",0,2))</f>
        <v>#N/A</v>
      </c>
      <c r="M956" s="13">
        <f t="shared" ca="1" si="313"/>
        <v>0</v>
      </c>
      <c r="N956" s="13">
        <f t="shared" ca="1" si="323"/>
        <v>0</v>
      </c>
      <c r="O956" s="13">
        <f ca="1">IF($D956="Igen",IF($W955&gt;=IF($D$4="Forint",Paraméterek!$J$121,Paraméterek!$K$121),0,IF($D$4="Forint",Paraméterek!$J$121,Paraméterek!$K$121)-$W955),0)</f>
        <v>0</v>
      </c>
      <c r="P956" s="13" t="e">
        <f ca="1">ROUNDUP($O956*VLOOKUP($M$4+$B956-1,Paraméterek!$H$58:$I$105,2,0)/Paraméterek!$I$56,IF($D$4="Forint",0,2))</f>
        <v>#N/A</v>
      </c>
      <c r="Q956" s="13">
        <f t="shared" ca="1" si="314"/>
        <v>0</v>
      </c>
      <c r="R956" s="33"/>
      <c r="S956" s="13" t="e">
        <f t="shared" ca="1" si="315"/>
        <v>#N/A</v>
      </c>
      <c r="T956" s="13" t="e">
        <f ca="1">ROUNDUP(($N956-$P956-$Q956+$S956)*VLOOKUP($B956,Paraméterek!$I$38:$K$39,IF($D$2="Egyszeri",3,2))/12*IF($D957="Nem",IF($M$13=0,1,$M$13),1),IF($D$4="Forint",0,2))</f>
        <v>#N/A</v>
      </c>
      <c r="U956" s="13"/>
      <c r="V956" s="13"/>
      <c r="W956" s="13" t="e">
        <f ca="1">$N956-$P956-$Q956+$S956-$T956-IF(ROUNDUP(IF(ISBLANK($V956),$U956*0,$V956)/IF($D$2="Egyszeri",VLOOKUP($B956+IF($C956=12,1,0),Paraméterek!$V$257:$W$262,2),IF($B956=1,1,VLOOKUP($B956+IF($C956=12,1,0),Paraméterek!$I$258:$T$278,HLOOKUP($M$11+1,Paraméterek!$J$256:$T$257,2)))),IF($D$4="Forint",0,2))&gt;$N956-$P956-$Q956+$S956-$T956-IF($D$4="Forint",Paraméterek!$C$216,Paraméterek!$D$216),0,ROUNDUP(IF(ISBLANK($V956),$U956*0,$V956)/IF($D$2="Egyszeri",VLOOKUP($B956+IF($C956=12,1,0),Paraméterek!$V$257:$W$262,2),IF($B956=1,1,VLOOKUP($B956+IF($C956=12,1,0),Paraméterek!$I$258:$T$278,HLOOKUP($M$11+1,Paraméterek!$J$256:$T$257,2)))),IF($D$4="Forint",0,2)))</f>
        <v>#N/A</v>
      </c>
      <c r="X956" s="13" t="e">
        <f ca="1">ROUNDDOWN($W956*IF($D$2="Egyszeri",VLOOKUP($B956+IF($C956=12,1,0),Paraméterek!$V$257:$W$262,2),VLOOKUP($B956+IF($C956=12,1,0),Paraméterek!$I$258:$T$278,HLOOKUP($M$11+1,Paraméterek!$I$256:$T$257,2))),IF($D$4="Forint",0,2))</f>
        <v>#N/A</v>
      </c>
      <c r="Z956" s="32">
        <v>937</v>
      </c>
      <c r="AA956" s="32">
        <v>79</v>
      </c>
      <c r="AB956" s="32">
        <v>1</v>
      </c>
      <c r="AC956" s="13">
        <f t="shared" ca="1" si="324"/>
        <v>0</v>
      </c>
      <c r="AD956" s="33"/>
      <c r="AE956" s="13">
        <f t="shared" ca="1" si="316"/>
        <v>0</v>
      </c>
      <c r="AF956" s="13">
        <f ca="1">ROUNDUP(($AC956+$AE956)*VLOOKUP($AA956,Paraméterek!$P$38:$Q$38,2)/12*IF($D957="Nem",IF($M$13=0,1,$M$13),1),IF($D$4="Forint",0,2))</f>
        <v>0</v>
      </c>
      <c r="AG956" s="13">
        <f ca="1">IF($D$2="Egyszeri",IF($D$7&gt;=IF($D$4="Forint",Paraméterek!$P$223,Paraméterek!$P$224),$D$7-IF($D$4="Forint",Paraméterek!$P$223,Paraméterek!$P$224),0),MIN(IF($AB956=12,AVERAGEIF($E$20:$E956,"&gt;0",$E$20:$E956)*12,0),SUM($E$20:$E$31)))</f>
        <v>0</v>
      </c>
      <c r="AH956" s="13">
        <f>IF($AA956=10,$AG956*IF($AB956=12,IF($AG956&lt;IF($D$4="Forint",Paraméterek!$L$223,Paraméterek!$L$224),0,VLOOKUP($AA956,Paraméterek!$K$226:$M$228,IF($AG956&lt;IF($D$4="Forint",Paraméterek!$M$223,Paraméterek!$M$224),2,3))),0),0)</f>
        <v>0</v>
      </c>
      <c r="AI956" s="13">
        <f ca="1">IF(AND($AA956=$M$11+1,$AB956=$M$12+1),SUMIF($AA$20:$AA$1027,$AA956,$AG$20:$AG$1027)*IF(SUMIF($AA$20:$AA$1027,$AA956,$AG$20:$AG$1027)&lt;IF($D$4="Forint",Paraméterek!$L$223,Paraméterek!$L$224),0,VLOOKUP($AA956,Paraméterek!$K$230:$M$250,IF(SUMIF($AA$20:$AA$1027,$AA956,$AG$20:$AG$1027)&lt;IF($D$4="Forint",Paraméterek!$M$223,Paraméterek!$M$224),2,3))),0)</f>
        <v>0</v>
      </c>
      <c r="AJ956" s="13">
        <f ca="1">IF(AND($AA956&gt;=5,MOD($AA956,5)=0),IF($AB956=12,VLOOKUP($AA956,Paraméterek!$O$225:$P$240,2),0),IF(OR($AA956=3,$AA956=4),IF($AB956=12,VLOOKUP($AA956,Paraméterek!$O$225:$P$240,2,0),0),0))*$AG956</f>
        <v>0</v>
      </c>
      <c r="AK956" s="13">
        <f t="shared" ca="1" si="317"/>
        <v>0</v>
      </c>
      <c r="AL956" s="13">
        <f t="shared" ca="1" si="325"/>
        <v>0</v>
      </c>
      <c r="AM956" s="13">
        <f t="shared" ca="1" si="326"/>
        <v>0</v>
      </c>
      <c r="AO956" s="32">
        <v>937</v>
      </c>
      <c r="AP956" s="32">
        <v>79</v>
      </c>
      <c r="AQ956" s="32">
        <v>1</v>
      </c>
      <c r="AR956" s="13">
        <f>Tranzakciók!$K$110</f>
        <v>0</v>
      </c>
      <c r="AS956" s="32"/>
      <c r="AT956" s="13">
        <f t="shared" ca="1" si="327"/>
        <v>0</v>
      </c>
      <c r="AU956" s="33"/>
      <c r="AV956" s="13">
        <f t="shared" ca="1" si="318"/>
        <v>0</v>
      </c>
      <c r="AW956" s="13">
        <f ca="1">ROUNDUP(($AT956+$AV956)*VLOOKUP($AP956,Paraméterek!$P$38:$Q$38,2)/12*IF($D957="Nem",IF($M$13=0,1,$M$13),1),IF($D$4="Forint",0,2))</f>
        <v>0</v>
      </c>
      <c r="AX956" s="13"/>
      <c r="AY956" s="13"/>
      <c r="AZ956" s="13">
        <f>ROUNDUP(IF(SUM($AX956:$AY956)=0,0,IF(IF(ISBLANK($AY956),$AX956,$AY956)*Paraméterek!$J$112&lt;IF($D$4="Forint",Paraméterek!$J$113,Paraméterek!$K$113),IF($D$4="Forint",Paraméterek!$J$113,Paraméterek!$K$113),IF(IF(ISBLANK($AY956),$AX956,$AY956)*Paraméterek!$J$112&gt;IF($D$4="Forint",Paraméterek!$J$114,Paraméterek!$K$114),IF($D$4="Forint",Paraméterek!$J$114,Paraméterek!$K$114),IF(ISBLANK($AY956),$AX956,$AY956)*Paraméterek!$J$112))),IF($D$4="Forint",0,2))</f>
        <v>0</v>
      </c>
      <c r="BA956" s="13">
        <f ca="1">$AT956+$AV956-$AW956-IF(ROUNDDOWN(IF(ISBLANK($AY956),$AX956,$AY956),IF($D$4="Forint",0,2))&gt;$AT956+$AV956-$AW956-IF($D$4="Forint",Paraméterek!$J$114,Paraméterek!$K$114),0,ROUNDDOWN(IF(ISBLANK($AY956),$AX956,$AY956),IF($D$4="Forint",0,2))-$AZ956)</f>
        <v>0</v>
      </c>
      <c r="BB956" s="13">
        <f t="shared" ca="1" si="319"/>
        <v>0</v>
      </c>
      <c r="BD956" s="32">
        <v>937</v>
      </c>
      <c r="BE956" s="32">
        <v>79</v>
      </c>
      <c r="BF956" s="32">
        <v>1</v>
      </c>
      <c r="BG956" s="34">
        <f t="shared" ca="1" si="328"/>
        <v>2097</v>
      </c>
      <c r="BH956" s="32" t="str">
        <f ca="1">IF(MOD(MONTH($D$14)+$BD956-1,12)=Paraméterek!$C$288,"Igen","")</f>
        <v/>
      </c>
      <c r="BI956" s="13">
        <f ca="1">IF($BH956="Igen",MIN(ROUNDDOWN((SUMIF($BG$20:$BG$1027,$BG956-1,$K$20:$K$1027)-SUMIF($BG$20:$BG$1027,$BG956-1,$I$20:$I$1027))*Paraméterek!$C$289,IF($D$4="Forint",0,2)),IF($D$4="Forint",Paraméterek!$C$285,Paraméterek!$D$285)),0)</f>
        <v>0</v>
      </c>
      <c r="BJ956" s="13">
        <f t="shared" ca="1" si="320"/>
        <v>0</v>
      </c>
      <c r="BK956" s="13">
        <f t="shared" ca="1" si="329"/>
        <v>0</v>
      </c>
      <c r="BL956" s="33"/>
      <c r="BM956" s="13">
        <f t="shared" ca="1" si="321"/>
        <v>0</v>
      </c>
      <c r="BN956" s="13">
        <f ca="1">ROUNDUP(($BK956+$BM956)*VLOOKUP($BE956,Paraméterek!$P$38:$Q$38,2)/12*IF($D957="Nem",IF($M$13=0,1,$M$13),1),IF($D$4="Forint",0,2))</f>
        <v>0</v>
      </c>
      <c r="BO956" s="13">
        <f t="shared" ca="1" si="322"/>
        <v>0</v>
      </c>
      <c r="BP956" s="13">
        <f ca="1">IF($D957="Nem",$BO956,$BO956-ROUNDUP(SUM($BI$20:$BI956)*120%,IF($D$4="Forint",0,2)))</f>
        <v>0</v>
      </c>
    </row>
    <row r="957" spans="1:68" x14ac:dyDescent="0.2">
      <c r="A957" s="32">
        <v>938</v>
      </c>
      <c r="B957" s="32">
        <v>79</v>
      </c>
      <c r="C957" s="32">
        <v>2</v>
      </c>
      <c r="D957" s="32" t="str">
        <f t="shared" ca="1" si="308"/>
        <v>Nem</v>
      </c>
      <c r="E957" s="13">
        <f t="shared" ca="1" si="309"/>
        <v>0</v>
      </c>
      <c r="F957" s="13"/>
      <c r="G957" s="13"/>
      <c r="H957" s="13"/>
      <c r="I957" s="13">
        <f t="shared" ca="1" si="310"/>
        <v>0</v>
      </c>
      <c r="J957" s="13">
        <f t="shared" ca="1" si="311"/>
        <v>0</v>
      </c>
      <c r="K957" s="13">
        <f t="shared" ca="1" si="312"/>
        <v>0</v>
      </c>
      <c r="L957" s="13" t="e">
        <f ca="1">ROUNDUP(IF($D$2="Egyszeri",$E957,IF($D$2="Havi",SUM($E$20:$E$31),IF(MOD($C957,$M$1)-1=0,SUM($E$20:$E$31),0))/12*$M$1)*VLOOKUP($B957,Paraméterek!$I$28:$P$31,IF($D$2="Egyszeri",8,HLOOKUP(ROUNDUP($M$11+$M$13,0),Paraméterek!$J$26:$O$27,2))),IF($D$4="Forint",0,2))</f>
        <v>#N/A</v>
      </c>
      <c r="M957" s="13">
        <f t="shared" ca="1" si="313"/>
        <v>0</v>
      </c>
      <c r="N957" s="13">
        <f t="shared" ca="1" si="323"/>
        <v>0</v>
      </c>
      <c r="O957" s="13">
        <f ca="1">IF($D957="Igen",IF($W956&gt;=IF($D$4="Forint",Paraméterek!$J$121,Paraméterek!$K$121),0,IF($D$4="Forint",Paraméterek!$J$121,Paraméterek!$K$121)-$W956),0)</f>
        <v>0</v>
      </c>
      <c r="P957" s="13" t="e">
        <f ca="1">ROUNDUP($O957*VLOOKUP($M$4+$B957-1,Paraméterek!$H$58:$I$105,2,0)/Paraméterek!$I$56,IF($D$4="Forint",0,2))</f>
        <v>#N/A</v>
      </c>
      <c r="Q957" s="13">
        <f t="shared" ca="1" si="314"/>
        <v>0</v>
      </c>
      <c r="R957" s="33"/>
      <c r="S957" s="13" t="e">
        <f t="shared" ca="1" si="315"/>
        <v>#N/A</v>
      </c>
      <c r="T957" s="13" t="e">
        <f ca="1">ROUNDUP(($N957-$P957-$Q957+$S957)*VLOOKUP($B957,Paraméterek!$I$38:$K$39,IF($D$2="Egyszeri",3,2))/12*IF($D958="Nem",IF($M$13=0,1,$M$13),1),IF($D$4="Forint",0,2))</f>
        <v>#N/A</v>
      </c>
      <c r="U957" s="13"/>
      <c r="V957" s="13"/>
      <c r="W957" s="13" t="e">
        <f ca="1">$N957-$P957-$Q957+$S957-$T957-IF(ROUNDUP(IF(ISBLANK($V957),$U957*0,$V957)/IF($D$2="Egyszeri",VLOOKUP($B957+IF($C957=12,1,0),Paraméterek!$V$257:$W$262,2),IF($B957=1,1,VLOOKUP($B957+IF($C957=12,1,0),Paraméterek!$I$258:$T$278,HLOOKUP($M$11+1,Paraméterek!$J$256:$T$257,2)))),IF($D$4="Forint",0,2))&gt;$N957-$P957-$Q957+$S957-$T957-IF($D$4="Forint",Paraméterek!$C$216,Paraméterek!$D$216),0,ROUNDUP(IF(ISBLANK($V957),$U957*0,$V957)/IF($D$2="Egyszeri",VLOOKUP($B957+IF($C957=12,1,0),Paraméterek!$V$257:$W$262,2),IF($B957=1,1,VLOOKUP($B957+IF($C957=12,1,0),Paraméterek!$I$258:$T$278,HLOOKUP($M$11+1,Paraméterek!$J$256:$T$257,2)))),IF($D$4="Forint",0,2)))</f>
        <v>#N/A</v>
      </c>
      <c r="X957" s="13" t="e">
        <f ca="1">ROUNDDOWN($W957*IF($D$2="Egyszeri",VLOOKUP($B957+IF($C957=12,1,0),Paraméterek!$V$257:$W$262,2),VLOOKUP($B957+IF($C957=12,1,0),Paraméterek!$I$258:$T$278,HLOOKUP($M$11+1,Paraméterek!$I$256:$T$257,2))),IF($D$4="Forint",0,2))</f>
        <v>#N/A</v>
      </c>
      <c r="Z957" s="32">
        <v>938</v>
      </c>
      <c r="AA957" s="32">
        <v>79</v>
      </c>
      <c r="AB957" s="32">
        <v>2</v>
      </c>
      <c r="AC957" s="13">
        <f t="shared" ca="1" si="324"/>
        <v>0</v>
      </c>
      <c r="AD957" s="33"/>
      <c r="AE957" s="13">
        <f t="shared" ca="1" si="316"/>
        <v>0</v>
      </c>
      <c r="AF957" s="13">
        <f ca="1">ROUNDUP(($AC957+$AE957)*VLOOKUP($AA957,Paraméterek!$P$38:$Q$38,2)/12*IF($D958="Nem",IF($M$13=0,1,$M$13),1),IF($D$4="Forint",0,2))</f>
        <v>0</v>
      </c>
      <c r="AG957" s="13">
        <f ca="1">IF($D$2="Egyszeri",IF($D$7&gt;=IF($D$4="Forint",Paraméterek!$P$223,Paraméterek!$P$224),$D$7-IF($D$4="Forint",Paraméterek!$P$223,Paraméterek!$P$224),0),MIN(IF($AB957=12,AVERAGEIF($E$20:$E957,"&gt;0",$E$20:$E957)*12,0),SUM($E$20:$E$31)))</f>
        <v>0</v>
      </c>
      <c r="AH957" s="13">
        <f>IF($AA957=10,$AG957*IF($AB957=12,IF($AG957&lt;IF($D$4="Forint",Paraméterek!$L$223,Paraméterek!$L$224),0,VLOOKUP($AA957,Paraméterek!$K$226:$M$228,IF($AG957&lt;IF($D$4="Forint",Paraméterek!$M$223,Paraméterek!$M$224),2,3))),0),0)</f>
        <v>0</v>
      </c>
      <c r="AI957" s="13">
        <f ca="1">IF(AND($AA957=$M$11+1,$AB957=$M$12+1),SUMIF($AA$20:$AA$1027,$AA957,$AG$20:$AG$1027)*IF(SUMIF($AA$20:$AA$1027,$AA957,$AG$20:$AG$1027)&lt;IF($D$4="Forint",Paraméterek!$L$223,Paraméterek!$L$224),0,VLOOKUP($AA957,Paraméterek!$K$230:$M$250,IF(SUMIF($AA$20:$AA$1027,$AA957,$AG$20:$AG$1027)&lt;IF($D$4="Forint",Paraméterek!$M$223,Paraméterek!$M$224),2,3))),0)</f>
        <v>0</v>
      </c>
      <c r="AJ957" s="13">
        <f ca="1">IF(AND($AA957&gt;=5,MOD($AA957,5)=0),IF($AB957=12,VLOOKUP($AA957,Paraméterek!$O$225:$P$240,2),0),IF(OR($AA957=3,$AA957=4),IF($AB957=12,VLOOKUP($AA957,Paraméterek!$O$225:$P$240,2,0),0),0))*$AG957</f>
        <v>0</v>
      </c>
      <c r="AK957" s="13">
        <f t="shared" ca="1" si="317"/>
        <v>0</v>
      </c>
      <c r="AL957" s="13">
        <f t="shared" ca="1" si="325"/>
        <v>0</v>
      </c>
      <c r="AM957" s="13">
        <f t="shared" ca="1" si="326"/>
        <v>0</v>
      </c>
      <c r="AO957" s="32">
        <v>938</v>
      </c>
      <c r="AP957" s="32">
        <v>79</v>
      </c>
      <c r="AQ957" s="32">
        <v>2</v>
      </c>
      <c r="AR957" s="13"/>
      <c r="AS957" s="32"/>
      <c r="AT957" s="13">
        <f t="shared" ca="1" si="327"/>
        <v>0</v>
      </c>
      <c r="AU957" s="33"/>
      <c r="AV957" s="13">
        <f t="shared" ca="1" si="318"/>
        <v>0</v>
      </c>
      <c r="AW957" s="13">
        <f ca="1">ROUNDUP(($AT957+$AV957)*VLOOKUP($AP957,Paraméterek!$P$38:$Q$38,2)/12*IF($D958="Nem",IF($M$13=0,1,$M$13),1),IF($D$4="Forint",0,2))</f>
        <v>0</v>
      </c>
      <c r="AX957" s="13"/>
      <c r="AY957" s="13"/>
      <c r="AZ957" s="13">
        <f>ROUNDUP(IF(SUM($AX957:$AY957)=0,0,IF(IF(ISBLANK($AY957),$AX957,$AY957)*Paraméterek!$J$112&lt;IF($D$4="Forint",Paraméterek!$J$113,Paraméterek!$K$113),IF($D$4="Forint",Paraméterek!$J$113,Paraméterek!$K$113),IF(IF(ISBLANK($AY957),$AX957,$AY957)*Paraméterek!$J$112&gt;IF($D$4="Forint",Paraméterek!$J$114,Paraméterek!$K$114),IF($D$4="Forint",Paraméterek!$J$114,Paraméterek!$K$114),IF(ISBLANK($AY957),$AX957,$AY957)*Paraméterek!$J$112))),IF($D$4="Forint",0,2))</f>
        <v>0</v>
      </c>
      <c r="BA957" s="13">
        <f ca="1">$AT957+$AV957-$AW957-IF(ROUNDDOWN(IF(ISBLANK($AY957),$AX957,$AY957),IF($D$4="Forint",0,2))&gt;$AT957+$AV957-$AW957-IF($D$4="Forint",Paraméterek!$J$114,Paraméterek!$K$114),0,ROUNDDOWN(IF(ISBLANK($AY957),$AX957,$AY957),IF($D$4="Forint",0,2))-$AZ957)</f>
        <v>0</v>
      </c>
      <c r="BB957" s="13">
        <f t="shared" ca="1" si="319"/>
        <v>0</v>
      </c>
      <c r="BD957" s="32">
        <v>938</v>
      </c>
      <c r="BE957" s="32">
        <v>79</v>
      </c>
      <c r="BF957" s="32">
        <v>2</v>
      </c>
      <c r="BG957" s="34">
        <f t="shared" ca="1" si="328"/>
        <v>2097</v>
      </c>
      <c r="BH957" s="32" t="str">
        <f ca="1">IF(MOD(MONTH($D$14)+$BD957-1,12)=Paraméterek!$C$288,"Igen","")</f>
        <v>Igen</v>
      </c>
      <c r="BI957" s="13">
        <f ca="1">IF($BH957="Igen",MIN(ROUNDDOWN((SUMIF($BG$20:$BG$1027,$BG957-1,$K$20:$K$1027)-SUMIF($BG$20:$BG$1027,$BG957-1,$I$20:$I$1027))*Paraméterek!$C$289,IF($D$4="Forint",0,2)),IF($D$4="Forint",Paraméterek!$C$285,Paraméterek!$D$285)),0)</f>
        <v>0</v>
      </c>
      <c r="BJ957" s="13">
        <f t="shared" ca="1" si="320"/>
        <v>0</v>
      </c>
      <c r="BK957" s="13">
        <f t="shared" ca="1" si="329"/>
        <v>0</v>
      </c>
      <c r="BL957" s="33"/>
      <c r="BM957" s="13">
        <f t="shared" ca="1" si="321"/>
        <v>0</v>
      </c>
      <c r="BN957" s="13">
        <f ca="1">ROUNDUP(($BK957+$BM957)*VLOOKUP($BE957,Paraméterek!$P$38:$Q$38,2)/12*IF($D958="Nem",IF($M$13=0,1,$M$13),1),IF($D$4="Forint",0,2))</f>
        <v>0</v>
      </c>
      <c r="BO957" s="13">
        <f t="shared" ca="1" si="322"/>
        <v>0</v>
      </c>
      <c r="BP957" s="13">
        <f ca="1">IF($D958="Nem",$BO957,$BO957-ROUNDUP(SUM($BI$20:$BI957)*120%,IF($D$4="Forint",0,2)))</f>
        <v>0</v>
      </c>
    </row>
    <row r="958" spans="1:68" x14ac:dyDescent="0.2">
      <c r="A958" s="32">
        <v>939</v>
      </c>
      <c r="B958" s="32">
        <v>79</v>
      </c>
      <c r="C958" s="32">
        <v>3</v>
      </c>
      <c r="D958" s="32" t="str">
        <f t="shared" ca="1" si="308"/>
        <v>Nem</v>
      </c>
      <c r="E958" s="13">
        <f t="shared" ca="1" si="309"/>
        <v>0</v>
      </c>
      <c r="F958" s="13"/>
      <c r="G958" s="13"/>
      <c r="H958" s="13"/>
      <c r="I958" s="13">
        <f t="shared" ca="1" si="310"/>
        <v>0</v>
      </c>
      <c r="J958" s="13">
        <f t="shared" ca="1" si="311"/>
        <v>0</v>
      </c>
      <c r="K958" s="13">
        <f t="shared" ca="1" si="312"/>
        <v>0</v>
      </c>
      <c r="L958" s="13" t="e">
        <f ca="1">ROUNDUP(IF($D$2="Egyszeri",$E958,IF($D$2="Havi",SUM($E$20:$E$31),IF(MOD($C958,$M$1)-1=0,SUM($E$20:$E$31),0))/12*$M$1)*VLOOKUP($B958,Paraméterek!$I$28:$P$31,IF($D$2="Egyszeri",8,HLOOKUP(ROUNDUP($M$11+$M$13,0),Paraméterek!$J$26:$O$27,2))),IF($D$4="Forint",0,2))</f>
        <v>#N/A</v>
      </c>
      <c r="M958" s="13">
        <f t="shared" ca="1" si="313"/>
        <v>0</v>
      </c>
      <c r="N958" s="13">
        <f t="shared" ca="1" si="323"/>
        <v>0</v>
      </c>
      <c r="O958" s="13">
        <f ca="1">IF($D958="Igen",IF($W957&gt;=IF($D$4="Forint",Paraméterek!$J$121,Paraméterek!$K$121),0,IF($D$4="Forint",Paraméterek!$J$121,Paraméterek!$K$121)-$W957),0)</f>
        <v>0</v>
      </c>
      <c r="P958" s="13" t="e">
        <f ca="1">ROUNDUP($O958*VLOOKUP($M$4+$B958-1,Paraméterek!$H$58:$I$105,2,0)/Paraméterek!$I$56,IF($D$4="Forint",0,2))</f>
        <v>#N/A</v>
      </c>
      <c r="Q958" s="13">
        <f t="shared" ca="1" si="314"/>
        <v>0</v>
      </c>
      <c r="R958" s="33"/>
      <c r="S958" s="13" t="e">
        <f t="shared" ca="1" si="315"/>
        <v>#N/A</v>
      </c>
      <c r="T958" s="13" t="e">
        <f ca="1">ROUNDUP(($N958-$P958-$Q958+$S958)*VLOOKUP($B958,Paraméterek!$I$38:$K$39,IF($D$2="Egyszeri",3,2))/12*IF($D959="Nem",IF($M$13=0,1,$M$13),1),IF($D$4="Forint",0,2))</f>
        <v>#N/A</v>
      </c>
      <c r="U958" s="13"/>
      <c r="V958" s="13"/>
      <c r="W958" s="13" t="e">
        <f ca="1">$N958-$P958-$Q958+$S958-$T958-IF(ROUNDUP(IF(ISBLANK($V958),$U958*0,$V958)/IF($D$2="Egyszeri",VLOOKUP($B958+IF($C958=12,1,0),Paraméterek!$V$257:$W$262,2),IF($B958=1,1,VLOOKUP($B958+IF($C958=12,1,0),Paraméterek!$I$258:$T$278,HLOOKUP($M$11+1,Paraméterek!$J$256:$T$257,2)))),IF($D$4="Forint",0,2))&gt;$N958-$P958-$Q958+$S958-$T958-IF($D$4="Forint",Paraméterek!$C$216,Paraméterek!$D$216),0,ROUNDUP(IF(ISBLANK($V958),$U958*0,$V958)/IF($D$2="Egyszeri",VLOOKUP($B958+IF($C958=12,1,0),Paraméterek!$V$257:$W$262,2),IF($B958=1,1,VLOOKUP($B958+IF($C958=12,1,0),Paraméterek!$I$258:$T$278,HLOOKUP($M$11+1,Paraméterek!$J$256:$T$257,2)))),IF($D$4="Forint",0,2)))</f>
        <v>#N/A</v>
      </c>
      <c r="X958" s="13" t="e">
        <f ca="1">ROUNDDOWN($W958*IF($D$2="Egyszeri",VLOOKUP($B958+IF($C958=12,1,0),Paraméterek!$V$257:$W$262,2),VLOOKUP($B958+IF($C958=12,1,0),Paraméterek!$I$258:$T$278,HLOOKUP($M$11+1,Paraméterek!$I$256:$T$257,2))),IF($D$4="Forint",0,2))</f>
        <v>#N/A</v>
      </c>
      <c r="Z958" s="32">
        <v>939</v>
      </c>
      <c r="AA958" s="32">
        <v>79</v>
      </c>
      <c r="AB958" s="32">
        <v>3</v>
      </c>
      <c r="AC958" s="13">
        <f t="shared" ca="1" si="324"/>
        <v>0</v>
      </c>
      <c r="AD958" s="33"/>
      <c r="AE958" s="13">
        <f t="shared" ca="1" si="316"/>
        <v>0</v>
      </c>
      <c r="AF958" s="13">
        <f ca="1">ROUNDUP(($AC958+$AE958)*VLOOKUP($AA958,Paraméterek!$P$38:$Q$38,2)/12*IF($D959="Nem",IF($M$13=0,1,$M$13),1),IF($D$4="Forint",0,2))</f>
        <v>0</v>
      </c>
      <c r="AG958" s="13">
        <f ca="1">IF($D$2="Egyszeri",IF($D$7&gt;=IF($D$4="Forint",Paraméterek!$P$223,Paraméterek!$P$224),$D$7-IF($D$4="Forint",Paraméterek!$P$223,Paraméterek!$P$224),0),MIN(IF($AB958=12,AVERAGEIF($E$20:$E958,"&gt;0",$E$20:$E958)*12,0),SUM($E$20:$E$31)))</f>
        <v>0</v>
      </c>
      <c r="AH958" s="13">
        <f>IF($AA958=10,$AG958*IF($AB958=12,IF($AG958&lt;IF($D$4="Forint",Paraméterek!$L$223,Paraméterek!$L$224),0,VLOOKUP($AA958,Paraméterek!$K$226:$M$228,IF($AG958&lt;IF($D$4="Forint",Paraméterek!$M$223,Paraméterek!$M$224),2,3))),0),0)</f>
        <v>0</v>
      </c>
      <c r="AI958" s="13">
        <f ca="1">IF(AND($AA958=$M$11+1,$AB958=$M$12+1),SUMIF($AA$20:$AA$1027,$AA958,$AG$20:$AG$1027)*IF(SUMIF($AA$20:$AA$1027,$AA958,$AG$20:$AG$1027)&lt;IF($D$4="Forint",Paraméterek!$L$223,Paraméterek!$L$224),0,VLOOKUP($AA958,Paraméterek!$K$230:$M$250,IF(SUMIF($AA$20:$AA$1027,$AA958,$AG$20:$AG$1027)&lt;IF($D$4="Forint",Paraméterek!$M$223,Paraméterek!$M$224),2,3))),0)</f>
        <v>0</v>
      </c>
      <c r="AJ958" s="13">
        <f ca="1">IF(AND($AA958&gt;=5,MOD($AA958,5)=0),IF($AB958=12,VLOOKUP($AA958,Paraméterek!$O$225:$P$240,2),0),IF(OR($AA958=3,$AA958=4),IF($AB958=12,VLOOKUP($AA958,Paraméterek!$O$225:$P$240,2,0),0),0))*$AG958</f>
        <v>0</v>
      </c>
      <c r="AK958" s="13">
        <f t="shared" ca="1" si="317"/>
        <v>0</v>
      </c>
      <c r="AL958" s="13">
        <f t="shared" ca="1" si="325"/>
        <v>0</v>
      </c>
      <c r="AM958" s="13">
        <f t="shared" ca="1" si="326"/>
        <v>0</v>
      </c>
      <c r="AO958" s="32">
        <v>939</v>
      </c>
      <c r="AP958" s="32">
        <v>79</v>
      </c>
      <c r="AQ958" s="32">
        <v>3</v>
      </c>
      <c r="AR958" s="13"/>
      <c r="AS958" s="32"/>
      <c r="AT958" s="13">
        <f t="shared" ca="1" si="327"/>
        <v>0</v>
      </c>
      <c r="AU958" s="33"/>
      <c r="AV958" s="13">
        <f t="shared" ca="1" si="318"/>
        <v>0</v>
      </c>
      <c r="AW958" s="13">
        <f ca="1">ROUNDUP(($AT958+$AV958)*VLOOKUP($AP958,Paraméterek!$P$38:$Q$38,2)/12*IF($D959="Nem",IF($M$13=0,1,$M$13),1),IF($D$4="Forint",0,2))</f>
        <v>0</v>
      </c>
      <c r="AX958" s="13"/>
      <c r="AY958" s="13"/>
      <c r="AZ958" s="13">
        <f>ROUNDUP(IF(SUM($AX958:$AY958)=0,0,IF(IF(ISBLANK($AY958),$AX958,$AY958)*Paraméterek!$J$112&lt;IF($D$4="Forint",Paraméterek!$J$113,Paraméterek!$K$113),IF($D$4="Forint",Paraméterek!$J$113,Paraméterek!$K$113),IF(IF(ISBLANK($AY958),$AX958,$AY958)*Paraméterek!$J$112&gt;IF($D$4="Forint",Paraméterek!$J$114,Paraméterek!$K$114),IF($D$4="Forint",Paraméterek!$J$114,Paraméterek!$K$114),IF(ISBLANK($AY958),$AX958,$AY958)*Paraméterek!$J$112))),IF($D$4="Forint",0,2))</f>
        <v>0</v>
      </c>
      <c r="BA958" s="13">
        <f ca="1">$AT958+$AV958-$AW958-IF(ROUNDDOWN(IF(ISBLANK($AY958),$AX958,$AY958),IF($D$4="Forint",0,2))&gt;$AT958+$AV958-$AW958-IF($D$4="Forint",Paraméterek!$J$114,Paraméterek!$K$114),0,ROUNDDOWN(IF(ISBLANK($AY958),$AX958,$AY958),IF($D$4="Forint",0,2))-$AZ958)</f>
        <v>0</v>
      </c>
      <c r="BB958" s="13">
        <f t="shared" ca="1" si="319"/>
        <v>0</v>
      </c>
      <c r="BD958" s="32">
        <v>939</v>
      </c>
      <c r="BE958" s="32">
        <v>79</v>
      </c>
      <c r="BF958" s="32">
        <v>3</v>
      </c>
      <c r="BG958" s="34">
        <f t="shared" ca="1" si="328"/>
        <v>2097</v>
      </c>
      <c r="BH958" s="32" t="str">
        <f ca="1">IF(MOD(MONTH($D$14)+$BD958-1,12)=Paraméterek!$C$288,"Igen","")</f>
        <v/>
      </c>
      <c r="BI958" s="13">
        <f ca="1">IF($BH958="Igen",MIN(ROUNDDOWN((SUMIF($BG$20:$BG$1027,$BG958-1,$K$20:$K$1027)-SUMIF($BG$20:$BG$1027,$BG958-1,$I$20:$I$1027))*Paraméterek!$C$289,IF($D$4="Forint",0,2)),IF($D$4="Forint",Paraméterek!$C$285,Paraméterek!$D$285)),0)</f>
        <v>0</v>
      </c>
      <c r="BJ958" s="13">
        <f t="shared" ca="1" si="320"/>
        <v>0</v>
      </c>
      <c r="BK958" s="13">
        <f t="shared" ca="1" si="329"/>
        <v>0</v>
      </c>
      <c r="BL958" s="33"/>
      <c r="BM958" s="13">
        <f t="shared" ca="1" si="321"/>
        <v>0</v>
      </c>
      <c r="BN958" s="13">
        <f ca="1">ROUNDUP(($BK958+$BM958)*VLOOKUP($BE958,Paraméterek!$P$38:$Q$38,2)/12*IF($D959="Nem",IF($M$13=0,1,$M$13),1),IF($D$4="Forint",0,2))</f>
        <v>0</v>
      </c>
      <c r="BO958" s="13">
        <f t="shared" ca="1" si="322"/>
        <v>0</v>
      </c>
      <c r="BP958" s="13">
        <f ca="1">IF($D959="Nem",$BO958,$BO958-ROUNDUP(SUM($BI$20:$BI958)*120%,IF($D$4="Forint",0,2)))</f>
        <v>0</v>
      </c>
    </row>
    <row r="959" spans="1:68" x14ac:dyDescent="0.2">
      <c r="A959" s="32">
        <v>940</v>
      </c>
      <c r="B959" s="32">
        <v>79</v>
      </c>
      <c r="C959" s="32">
        <v>4</v>
      </c>
      <c r="D959" s="32" t="str">
        <f t="shared" ca="1" si="308"/>
        <v>Nem</v>
      </c>
      <c r="E959" s="13">
        <f t="shared" ca="1" si="309"/>
        <v>0</v>
      </c>
      <c r="F959" s="13"/>
      <c r="G959" s="13"/>
      <c r="H959" s="13"/>
      <c r="I959" s="13">
        <f t="shared" ca="1" si="310"/>
        <v>0</v>
      </c>
      <c r="J959" s="13">
        <f t="shared" ca="1" si="311"/>
        <v>0</v>
      </c>
      <c r="K959" s="13">
        <f t="shared" ca="1" si="312"/>
        <v>0</v>
      </c>
      <c r="L959" s="13" t="e">
        <f ca="1">ROUNDUP(IF($D$2="Egyszeri",$E959,IF($D$2="Havi",SUM($E$20:$E$31),IF(MOD($C959,$M$1)-1=0,SUM($E$20:$E$31),0))/12*$M$1)*VLOOKUP($B959,Paraméterek!$I$28:$P$31,IF($D$2="Egyszeri",8,HLOOKUP(ROUNDUP($M$11+$M$13,0),Paraméterek!$J$26:$O$27,2))),IF($D$4="Forint",0,2))</f>
        <v>#N/A</v>
      </c>
      <c r="M959" s="13">
        <f t="shared" ca="1" si="313"/>
        <v>0</v>
      </c>
      <c r="N959" s="13">
        <f t="shared" ca="1" si="323"/>
        <v>0</v>
      </c>
      <c r="O959" s="13">
        <f ca="1">IF($D959="Igen",IF($W958&gt;=IF($D$4="Forint",Paraméterek!$J$121,Paraméterek!$K$121),0,IF($D$4="Forint",Paraméterek!$J$121,Paraméterek!$K$121)-$W958),0)</f>
        <v>0</v>
      </c>
      <c r="P959" s="13" t="e">
        <f ca="1">ROUNDUP($O959*VLOOKUP($M$4+$B959-1,Paraméterek!$H$58:$I$105,2,0)/Paraméterek!$I$56,IF($D$4="Forint",0,2))</f>
        <v>#N/A</v>
      </c>
      <c r="Q959" s="13">
        <f t="shared" ca="1" si="314"/>
        <v>0</v>
      </c>
      <c r="R959" s="33"/>
      <c r="S959" s="13" t="e">
        <f t="shared" ca="1" si="315"/>
        <v>#N/A</v>
      </c>
      <c r="T959" s="13" t="e">
        <f ca="1">ROUNDUP(($N959-$P959-$Q959+$S959)*VLOOKUP($B959,Paraméterek!$I$38:$K$39,IF($D$2="Egyszeri",3,2))/12*IF($D960="Nem",IF($M$13=0,1,$M$13),1),IF($D$4="Forint",0,2))</f>
        <v>#N/A</v>
      </c>
      <c r="U959" s="13"/>
      <c r="V959" s="13"/>
      <c r="W959" s="13" t="e">
        <f ca="1">$N959-$P959-$Q959+$S959-$T959-IF(ROUNDUP(IF(ISBLANK($V959),$U959*0,$V959)/IF($D$2="Egyszeri",VLOOKUP($B959+IF($C959=12,1,0),Paraméterek!$V$257:$W$262,2),IF($B959=1,1,VLOOKUP($B959+IF($C959=12,1,0),Paraméterek!$I$258:$T$278,HLOOKUP($M$11+1,Paraméterek!$J$256:$T$257,2)))),IF($D$4="Forint",0,2))&gt;$N959-$P959-$Q959+$S959-$T959-IF($D$4="Forint",Paraméterek!$C$216,Paraméterek!$D$216),0,ROUNDUP(IF(ISBLANK($V959),$U959*0,$V959)/IF($D$2="Egyszeri",VLOOKUP($B959+IF($C959=12,1,0),Paraméterek!$V$257:$W$262,2),IF($B959=1,1,VLOOKUP($B959+IF($C959=12,1,0),Paraméterek!$I$258:$T$278,HLOOKUP($M$11+1,Paraméterek!$J$256:$T$257,2)))),IF($D$4="Forint",0,2)))</f>
        <v>#N/A</v>
      </c>
      <c r="X959" s="13" t="e">
        <f ca="1">ROUNDDOWN($W959*IF($D$2="Egyszeri",VLOOKUP($B959+IF($C959=12,1,0),Paraméterek!$V$257:$W$262,2),VLOOKUP($B959+IF($C959=12,1,0),Paraméterek!$I$258:$T$278,HLOOKUP($M$11+1,Paraméterek!$I$256:$T$257,2))),IF($D$4="Forint",0,2))</f>
        <v>#N/A</v>
      </c>
      <c r="Z959" s="32">
        <v>940</v>
      </c>
      <c r="AA959" s="32">
        <v>79</v>
      </c>
      <c r="AB959" s="32">
        <v>4</v>
      </c>
      <c r="AC959" s="13">
        <f t="shared" ca="1" si="324"/>
        <v>0</v>
      </c>
      <c r="AD959" s="33"/>
      <c r="AE959" s="13">
        <f t="shared" ca="1" si="316"/>
        <v>0</v>
      </c>
      <c r="AF959" s="13">
        <f ca="1">ROUNDUP(($AC959+$AE959)*VLOOKUP($AA959,Paraméterek!$P$38:$Q$38,2)/12*IF($D960="Nem",IF($M$13=0,1,$M$13),1),IF($D$4="Forint",0,2))</f>
        <v>0</v>
      </c>
      <c r="AG959" s="13">
        <f ca="1">IF($D$2="Egyszeri",IF($D$7&gt;=IF($D$4="Forint",Paraméterek!$P$223,Paraméterek!$P$224),$D$7-IF($D$4="Forint",Paraméterek!$P$223,Paraméterek!$P$224),0),MIN(IF($AB959=12,AVERAGEIF($E$20:$E959,"&gt;0",$E$20:$E959)*12,0),SUM($E$20:$E$31)))</f>
        <v>0</v>
      </c>
      <c r="AH959" s="13">
        <f>IF($AA959=10,$AG959*IF($AB959=12,IF($AG959&lt;IF($D$4="Forint",Paraméterek!$L$223,Paraméterek!$L$224),0,VLOOKUP($AA959,Paraméterek!$K$226:$M$228,IF($AG959&lt;IF($D$4="Forint",Paraméterek!$M$223,Paraméterek!$M$224),2,3))),0),0)</f>
        <v>0</v>
      </c>
      <c r="AI959" s="13">
        <f ca="1">IF(AND($AA959=$M$11+1,$AB959=$M$12+1),SUMIF($AA$20:$AA$1027,$AA959,$AG$20:$AG$1027)*IF(SUMIF($AA$20:$AA$1027,$AA959,$AG$20:$AG$1027)&lt;IF($D$4="Forint",Paraméterek!$L$223,Paraméterek!$L$224),0,VLOOKUP($AA959,Paraméterek!$K$230:$M$250,IF(SUMIF($AA$20:$AA$1027,$AA959,$AG$20:$AG$1027)&lt;IF($D$4="Forint",Paraméterek!$M$223,Paraméterek!$M$224),2,3))),0)</f>
        <v>0</v>
      </c>
      <c r="AJ959" s="13">
        <f ca="1">IF(AND($AA959&gt;=5,MOD($AA959,5)=0),IF($AB959=12,VLOOKUP($AA959,Paraméterek!$O$225:$P$240,2),0),IF(OR($AA959=3,$AA959=4),IF($AB959=12,VLOOKUP($AA959,Paraméterek!$O$225:$P$240,2,0),0),0))*$AG959</f>
        <v>0</v>
      </c>
      <c r="AK959" s="13">
        <f t="shared" ca="1" si="317"/>
        <v>0</v>
      </c>
      <c r="AL959" s="13">
        <f t="shared" ca="1" si="325"/>
        <v>0</v>
      </c>
      <c r="AM959" s="13">
        <f t="shared" ca="1" si="326"/>
        <v>0</v>
      </c>
      <c r="AO959" s="32">
        <v>940</v>
      </c>
      <c r="AP959" s="32">
        <v>79</v>
      </c>
      <c r="AQ959" s="32">
        <v>4</v>
      </c>
      <c r="AR959" s="13"/>
      <c r="AS959" s="32"/>
      <c r="AT959" s="13">
        <f t="shared" ca="1" si="327"/>
        <v>0</v>
      </c>
      <c r="AU959" s="33"/>
      <c r="AV959" s="13">
        <f t="shared" ca="1" si="318"/>
        <v>0</v>
      </c>
      <c r="AW959" s="13">
        <f ca="1">ROUNDUP(($AT959+$AV959)*VLOOKUP($AP959,Paraméterek!$P$38:$Q$38,2)/12*IF($D960="Nem",IF($M$13=0,1,$M$13),1),IF($D$4="Forint",0,2))</f>
        <v>0</v>
      </c>
      <c r="AX959" s="13"/>
      <c r="AY959" s="13"/>
      <c r="AZ959" s="13">
        <f>ROUNDUP(IF(SUM($AX959:$AY959)=0,0,IF(IF(ISBLANK($AY959),$AX959,$AY959)*Paraméterek!$J$112&lt;IF($D$4="Forint",Paraméterek!$J$113,Paraméterek!$K$113),IF($D$4="Forint",Paraméterek!$J$113,Paraméterek!$K$113),IF(IF(ISBLANK($AY959),$AX959,$AY959)*Paraméterek!$J$112&gt;IF($D$4="Forint",Paraméterek!$J$114,Paraméterek!$K$114),IF($D$4="Forint",Paraméterek!$J$114,Paraméterek!$K$114),IF(ISBLANK($AY959),$AX959,$AY959)*Paraméterek!$J$112))),IF($D$4="Forint",0,2))</f>
        <v>0</v>
      </c>
      <c r="BA959" s="13">
        <f ca="1">$AT959+$AV959-$AW959-IF(ROUNDDOWN(IF(ISBLANK($AY959),$AX959,$AY959),IF($D$4="Forint",0,2))&gt;$AT959+$AV959-$AW959-IF($D$4="Forint",Paraméterek!$J$114,Paraméterek!$K$114),0,ROUNDDOWN(IF(ISBLANK($AY959),$AX959,$AY959),IF($D$4="Forint",0,2))-$AZ959)</f>
        <v>0</v>
      </c>
      <c r="BB959" s="13">
        <f t="shared" ca="1" si="319"/>
        <v>0</v>
      </c>
      <c r="BD959" s="32">
        <v>940</v>
      </c>
      <c r="BE959" s="32">
        <v>79</v>
      </c>
      <c r="BF959" s="32">
        <v>4</v>
      </c>
      <c r="BG959" s="34">
        <f t="shared" ca="1" si="328"/>
        <v>2097</v>
      </c>
      <c r="BH959" s="32" t="str">
        <f ca="1">IF(MOD(MONTH($D$14)+$BD959-1,12)=Paraméterek!$C$288,"Igen","")</f>
        <v/>
      </c>
      <c r="BI959" s="13">
        <f ca="1">IF($BH959="Igen",MIN(ROUNDDOWN((SUMIF($BG$20:$BG$1027,$BG959-1,$K$20:$K$1027)-SUMIF($BG$20:$BG$1027,$BG959-1,$I$20:$I$1027))*Paraméterek!$C$289,IF($D$4="Forint",0,2)),IF($D$4="Forint",Paraméterek!$C$285,Paraméterek!$D$285)),0)</f>
        <v>0</v>
      </c>
      <c r="BJ959" s="13">
        <f t="shared" ca="1" si="320"/>
        <v>0</v>
      </c>
      <c r="BK959" s="13">
        <f t="shared" ca="1" si="329"/>
        <v>0</v>
      </c>
      <c r="BL959" s="33"/>
      <c r="BM959" s="13">
        <f t="shared" ca="1" si="321"/>
        <v>0</v>
      </c>
      <c r="BN959" s="13">
        <f ca="1">ROUNDUP(($BK959+$BM959)*VLOOKUP($BE959,Paraméterek!$P$38:$Q$38,2)/12*IF($D960="Nem",IF($M$13=0,1,$M$13),1),IF($D$4="Forint",0,2))</f>
        <v>0</v>
      </c>
      <c r="BO959" s="13">
        <f t="shared" ca="1" si="322"/>
        <v>0</v>
      </c>
      <c r="BP959" s="13">
        <f ca="1">IF($D960="Nem",$BO959,$BO959-ROUNDUP(SUM($BI$20:$BI959)*120%,IF($D$4="Forint",0,2)))</f>
        <v>0</v>
      </c>
    </row>
    <row r="960" spans="1:68" x14ac:dyDescent="0.2">
      <c r="A960" s="32">
        <v>941</v>
      </c>
      <c r="B960" s="32">
        <v>79</v>
      </c>
      <c r="C960" s="32">
        <v>5</v>
      </c>
      <c r="D960" s="32" t="str">
        <f t="shared" ca="1" si="308"/>
        <v>Nem</v>
      </c>
      <c r="E960" s="13">
        <f t="shared" ca="1" si="309"/>
        <v>0</v>
      </c>
      <c r="F960" s="13"/>
      <c r="G960" s="13"/>
      <c r="H960" s="13"/>
      <c r="I960" s="13">
        <f t="shared" ca="1" si="310"/>
        <v>0</v>
      </c>
      <c r="J960" s="13">
        <f t="shared" ca="1" si="311"/>
        <v>0</v>
      </c>
      <c r="K960" s="13">
        <f t="shared" ca="1" si="312"/>
        <v>0</v>
      </c>
      <c r="L960" s="13" t="e">
        <f ca="1">ROUNDUP(IF($D$2="Egyszeri",$E960,IF($D$2="Havi",SUM($E$20:$E$31),IF(MOD($C960,$M$1)-1=0,SUM($E$20:$E$31),0))/12*$M$1)*VLOOKUP($B960,Paraméterek!$I$28:$P$31,IF($D$2="Egyszeri",8,HLOOKUP(ROUNDUP($M$11+$M$13,0),Paraméterek!$J$26:$O$27,2))),IF($D$4="Forint",0,2))</f>
        <v>#N/A</v>
      </c>
      <c r="M960" s="13">
        <f t="shared" ca="1" si="313"/>
        <v>0</v>
      </c>
      <c r="N960" s="13">
        <f t="shared" ca="1" si="323"/>
        <v>0</v>
      </c>
      <c r="O960" s="13">
        <f ca="1">IF($D960="Igen",IF($W959&gt;=IF($D$4="Forint",Paraméterek!$J$121,Paraméterek!$K$121),0,IF($D$4="Forint",Paraméterek!$J$121,Paraméterek!$K$121)-$W959),0)</f>
        <v>0</v>
      </c>
      <c r="P960" s="13" t="e">
        <f ca="1">ROUNDUP($O960*VLOOKUP($M$4+$B960-1,Paraméterek!$H$58:$I$105,2,0)/Paraméterek!$I$56,IF($D$4="Forint",0,2))</f>
        <v>#N/A</v>
      </c>
      <c r="Q960" s="13">
        <f t="shared" ca="1" si="314"/>
        <v>0</v>
      </c>
      <c r="R960" s="33"/>
      <c r="S960" s="13" t="e">
        <f t="shared" ca="1" si="315"/>
        <v>#N/A</v>
      </c>
      <c r="T960" s="13" t="e">
        <f ca="1">ROUNDUP(($N960-$P960-$Q960+$S960)*VLOOKUP($B960,Paraméterek!$I$38:$K$39,IF($D$2="Egyszeri",3,2))/12*IF($D961="Nem",IF($M$13=0,1,$M$13),1),IF($D$4="Forint",0,2))</f>
        <v>#N/A</v>
      </c>
      <c r="U960" s="13"/>
      <c r="V960" s="13"/>
      <c r="W960" s="13" t="e">
        <f ca="1">$N960-$P960-$Q960+$S960-$T960-IF(ROUNDUP(IF(ISBLANK($V960),$U960*0,$V960)/IF($D$2="Egyszeri",VLOOKUP($B960+IF($C960=12,1,0),Paraméterek!$V$257:$W$262,2),IF($B960=1,1,VLOOKUP($B960+IF($C960=12,1,0),Paraméterek!$I$258:$T$278,HLOOKUP($M$11+1,Paraméterek!$J$256:$T$257,2)))),IF($D$4="Forint",0,2))&gt;$N960-$P960-$Q960+$S960-$T960-IF($D$4="Forint",Paraméterek!$C$216,Paraméterek!$D$216),0,ROUNDUP(IF(ISBLANK($V960),$U960*0,$V960)/IF($D$2="Egyszeri",VLOOKUP($B960+IF($C960=12,1,0),Paraméterek!$V$257:$W$262,2),IF($B960=1,1,VLOOKUP($B960+IF($C960=12,1,0),Paraméterek!$I$258:$T$278,HLOOKUP($M$11+1,Paraméterek!$J$256:$T$257,2)))),IF($D$4="Forint",0,2)))</f>
        <v>#N/A</v>
      </c>
      <c r="X960" s="13" t="e">
        <f ca="1">ROUNDDOWN($W960*IF($D$2="Egyszeri",VLOOKUP($B960+IF($C960=12,1,0),Paraméterek!$V$257:$W$262,2),VLOOKUP($B960+IF($C960=12,1,0),Paraméterek!$I$258:$T$278,HLOOKUP($M$11+1,Paraméterek!$I$256:$T$257,2))),IF($D$4="Forint",0,2))</f>
        <v>#N/A</v>
      </c>
      <c r="Z960" s="32">
        <v>941</v>
      </c>
      <c r="AA960" s="32">
        <v>79</v>
      </c>
      <c r="AB960" s="32">
        <v>5</v>
      </c>
      <c r="AC960" s="13">
        <f t="shared" ca="1" si="324"/>
        <v>0</v>
      </c>
      <c r="AD960" s="33"/>
      <c r="AE960" s="13">
        <f t="shared" ca="1" si="316"/>
        <v>0</v>
      </c>
      <c r="AF960" s="13">
        <f ca="1">ROUNDUP(($AC960+$AE960)*VLOOKUP($AA960,Paraméterek!$P$38:$Q$38,2)/12*IF($D961="Nem",IF($M$13=0,1,$M$13),1),IF($D$4="Forint",0,2))</f>
        <v>0</v>
      </c>
      <c r="AG960" s="13">
        <f ca="1">IF($D$2="Egyszeri",IF($D$7&gt;=IF($D$4="Forint",Paraméterek!$P$223,Paraméterek!$P$224),$D$7-IF($D$4="Forint",Paraméterek!$P$223,Paraméterek!$P$224),0),MIN(IF($AB960=12,AVERAGEIF($E$20:$E960,"&gt;0",$E$20:$E960)*12,0),SUM($E$20:$E$31)))</f>
        <v>0</v>
      </c>
      <c r="AH960" s="13">
        <f>IF($AA960=10,$AG960*IF($AB960=12,IF($AG960&lt;IF($D$4="Forint",Paraméterek!$L$223,Paraméterek!$L$224),0,VLOOKUP($AA960,Paraméterek!$K$226:$M$228,IF($AG960&lt;IF($D$4="Forint",Paraméterek!$M$223,Paraméterek!$M$224),2,3))),0),0)</f>
        <v>0</v>
      </c>
      <c r="AI960" s="13">
        <f ca="1">IF(AND($AA960=$M$11+1,$AB960=$M$12+1),SUMIF($AA$20:$AA$1027,$AA960,$AG$20:$AG$1027)*IF(SUMIF($AA$20:$AA$1027,$AA960,$AG$20:$AG$1027)&lt;IF($D$4="Forint",Paraméterek!$L$223,Paraméterek!$L$224),0,VLOOKUP($AA960,Paraméterek!$K$230:$M$250,IF(SUMIF($AA$20:$AA$1027,$AA960,$AG$20:$AG$1027)&lt;IF($D$4="Forint",Paraméterek!$M$223,Paraméterek!$M$224),2,3))),0)</f>
        <v>0</v>
      </c>
      <c r="AJ960" s="13">
        <f ca="1">IF(AND($AA960&gt;=5,MOD($AA960,5)=0),IF($AB960=12,VLOOKUP($AA960,Paraméterek!$O$225:$P$240,2),0),IF(OR($AA960=3,$AA960=4),IF($AB960=12,VLOOKUP($AA960,Paraméterek!$O$225:$P$240,2,0),0),0))*$AG960</f>
        <v>0</v>
      </c>
      <c r="AK960" s="13">
        <f t="shared" ca="1" si="317"/>
        <v>0</v>
      </c>
      <c r="AL960" s="13">
        <f t="shared" ca="1" si="325"/>
        <v>0</v>
      </c>
      <c r="AM960" s="13">
        <f t="shared" ca="1" si="326"/>
        <v>0</v>
      </c>
      <c r="AO960" s="32">
        <v>941</v>
      </c>
      <c r="AP960" s="32">
        <v>79</v>
      </c>
      <c r="AQ960" s="32">
        <v>5</v>
      </c>
      <c r="AR960" s="13"/>
      <c r="AS960" s="32"/>
      <c r="AT960" s="13">
        <f t="shared" ca="1" si="327"/>
        <v>0</v>
      </c>
      <c r="AU960" s="33"/>
      <c r="AV960" s="13">
        <f t="shared" ca="1" si="318"/>
        <v>0</v>
      </c>
      <c r="AW960" s="13">
        <f ca="1">ROUNDUP(($AT960+$AV960)*VLOOKUP($AP960,Paraméterek!$P$38:$Q$38,2)/12*IF($D961="Nem",IF($M$13=0,1,$M$13),1),IF($D$4="Forint",0,2))</f>
        <v>0</v>
      </c>
      <c r="AX960" s="13"/>
      <c r="AY960" s="13"/>
      <c r="AZ960" s="13">
        <f>ROUNDUP(IF(SUM($AX960:$AY960)=0,0,IF(IF(ISBLANK($AY960),$AX960,$AY960)*Paraméterek!$J$112&lt;IF($D$4="Forint",Paraméterek!$J$113,Paraméterek!$K$113),IF($D$4="Forint",Paraméterek!$J$113,Paraméterek!$K$113),IF(IF(ISBLANK($AY960),$AX960,$AY960)*Paraméterek!$J$112&gt;IF($D$4="Forint",Paraméterek!$J$114,Paraméterek!$K$114),IF($D$4="Forint",Paraméterek!$J$114,Paraméterek!$K$114),IF(ISBLANK($AY960),$AX960,$AY960)*Paraméterek!$J$112))),IF($D$4="Forint",0,2))</f>
        <v>0</v>
      </c>
      <c r="BA960" s="13">
        <f ca="1">$AT960+$AV960-$AW960-IF(ROUNDDOWN(IF(ISBLANK($AY960),$AX960,$AY960),IF($D$4="Forint",0,2))&gt;$AT960+$AV960-$AW960-IF($D$4="Forint",Paraméterek!$J$114,Paraméterek!$K$114),0,ROUNDDOWN(IF(ISBLANK($AY960),$AX960,$AY960),IF($D$4="Forint",0,2))-$AZ960)</f>
        <v>0</v>
      </c>
      <c r="BB960" s="13">
        <f t="shared" ca="1" si="319"/>
        <v>0</v>
      </c>
      <c r="BD960" s="32">
        <v>941</v>
      </c>
      <c r="BE960" s="32">
        <v>79</v>
      </c>
      <c r="BF960" s="32">
        <v>5</v>
      </c>
      <c r="BG960" s="34">
        <f t="shared" ca="1" si="328"/>
        <v>2097</v>
      </c>
      <c r="BH960" s="32" t="str">
        <f ca="1">IF(MOD(MONTH($D$14)+$BD960-1,12)=Paraméterek!$C$288,"Igen","")</f>
        <v/>
      </c>
      <c r="BI960" s="13">
        <f ca="1">IF($BH960="Igen",MIN(ROUNDDOWN((SUMIF($BG$20:$BG$1027,$BG960-1,$K$20:$K$1027)-SUMIF($BG$20:$BG$1027,$BG960-1,$I$20:$I$1027))*Paraméterek!$C$289,IF($D$4="Forint",0,2)),IF($D$4="Forint",Paraméterek!$C$285,Paraméterek!$D$285)),0)</f>
        <v>0</v>
      </c>
      <c r="BJ960" s="13">
        <f t="shared" ca="1" si="320"/>
        <v>0</v>
      </c>
      <c r="BK960" s="13">
        <f t="shared" ca="1" si="329"/>
        <v>0</v>
      </c>
      <c r="BL960" s="33"/>
      <c r="BM960" s="13">
        <f t="shared" ca="1" si="321"/>
        <v>0</v>
      </c>
      <c r="BN960" s="13">
        <f ca="1">ROUNDUP(($BK960+$BM960)*VLOOKUP($BE960,Paraméterek!$P$38:$Q$38,2)/12*IF($D961="Nem",IF($M$13=0,1,$M$13),1),IF($D$4="Forint",0,2))</f>
        <v>0</v>
      </c>
      <c r="BO960" s="13">
        <f t="shared" ca="1" si="322"/>
        <v>0</v>
      </c>
      <c r="BP960" s="13">
        <f ca="1">IF($D961="Nem",$BO960,$BO960-ROUNDUP(SUM($BI$20:$BI960)*120%,IF($D$4="Forint",0,2)))</f>
        <v>0</v>
      </c>
    </row>
    <row r="961" spans="1:68" x14ac:dyDescent="0.2">
      <c r="A961" s="32">
        <v>942</v>
      </c>
      <c r="B961" s="32">
        <v>79</v>
      </c>
      <c r="C961" s="32">
        <v>6</v>
      </c>
      <c r="D961" s="32" t="str">
        <f t="shared" ca="1" si="308"/>
        <v>Nem</v>
      </c>
      <c r="E961" s="13">
        <f t="shared" ca="1" si="309"/>
        <v>0</v>
      </c>
      <c r="F961" s="13"/>
      <c r="G961" s="13"/>
      <c r="H961" s="13"/>
      <c r="I961" s="13">
        <f t="shared" ca="1" si="310"/>
        <v>0</v>
      </c>
      <c r="J961" s="13">
        <f t="shared" ca="1" si="311"/>
        <v>0</v>
      </c>
      <c r="K961" s="13">
        <f t="shared" ca="1" si="312"/>
        <v>0</v>
      </c>
      <c r="L961" s="13" t="e">
        <f ca="1">ROUNDUP(IF($D$2="Egyszeri",$E961,IF($D$2="Havi",SUM($E$20:$E$31),IF(MOD($C961,$M$1)-1=0,SUM($E$20:$E$31),0))/12*$M$1)*VLOOKUP($B961,Paraméterek!$I$28:$P$31,IF($D$2="Egyszeri",8,HLOOKUP(ROUNDUP($M$11+$M$13,0),Paraméterek!$J$26:$O$27,2))),IF($D$4="Forint",0,2))</f>
        <v>#N/A</v>
      </c>
      <c r="M961" s="13">
        <f t="shared" ca="1" si="313"/>
        <v>0</v>
      </c>
      <c r="N961" s="13">
        <f t="shared" ca="1" si="323"/>
        <v>0</v>
      </c>
      <c r="O961" s="13">
        <f ca="1">IF($D961="Igen",IF($W960&gt;=IF($D$4="Forint",Paraméterek!$J$121,Paraméterek!$K$121),0,IF($D$4="Forint",Paraméterek!$J$121,Paraméterek!$K$121)-$W960),0)</f>
        <v>0</v>
      </c>
      <c r="P961" s="13" t="e">
        <f ca="1">ROUNDUP($O961*VLOOKUP($M$4+$B961-1,Paraméterek!$H$58:$I$105,2,0)/Paraméterek!$I$56,IF($D$4="Forint",0,2))</f>
        <v>#N/A</v>
      </c>
      <c r="Q961" s="13">
        <f t="shared" ca="1" si="314"/>
        <v>0</v>
      </c>
      <c r="R961" s="33"/>
      <c r="S961" s="13" t="e">
        <f t="shared" ca="1" si="315"/>
        <v>#N/A</v>
      </c>
      <c r="T961" s="13" t="e">
        <f ca="1">ROUNDUP(($N961-$P961-$Q961+$S961)*VLOOKUP($B961,Paraméterek!$I$38:$K$39,IF($D$2="Egyszeri",3,2))/12*IF($D962="Nem",IF($M$13=0,1,$M$13),1),IF($D$4="Forint",0,2))</f>
        <v>#N/A</v>
      </c>
      <c r="U961" s="13"/>
      <c r="V961" s="13"/>
      <c r="W961" s="13" t="e">
        <f ca="1">$N961-$P961-$Q961+$S961-$T961-IF(ROUNDUP(IF(ISBLANK($V961),$U961*0,$V961)/IF($D$2="Egyszeri",VLOOKUP($B961+IF($C961=12,1,0),Paraméterek!$V$257:$W$262,2),IF($B961=1,1,VLOOKUP($B961+IF($C961=12,1,0),Paraméterek!$I$258:$T$278,HLOOKUP($M$11+1,Paraméterek!$J$256:$T$257,2)))),IF($D$4="Forint",0,2))&gt;$N961-$P961-$Q961+$S961-$T961-IF($D$4="Forint",Paraméterek!$C$216,Paraméterek!$D$216),0,ROUNDUP(IF(ISBLANK($V961),$U961*0,$V961)/IF($D$2="Egyszeri",VLOOKUP($B961+IF($C961=12,1,0),Paraméterek!$V$257:$W$262,2),IF($B961=1,1,VLOOKUP($B961+IF($C961=12,1,0),Paraméterek!$I$258:$T$278,HLOOKUP($M$11+1,Paraméterek!$J$256:$T$257,2)))),IF($D$4="Forint",0,2)))</f>
        <v>#N/A</v>
      </c>
      <c r="X961" s="13" t="e">
        <f ca="1">ROUNDDOWN($W961*IF($D$2="Egyszeri",VLOOKUP($B961+IF($C961=12,1,0),Paraméterek!$V$257:$W$262,2),VLOOKUP($B961+IF($C961=12,1,0),Paraméterek!$I$258:$T$278,HLOOKUP($M$11+1,Paraméterek!$I$256:$T$257,2))),IF($D$4="Forint",0,2))</f>
        <v>#N/A</v>
      </c>
      <c r="Z961" s="32">
        <v>942</v>
      </c>
      <c r="AA961" s="32">
        <v>79</v>
      </c>
      <c r="AB961" s="32">
        <v>6</v>
      </c>
      <c r="AC961" s="13">
        <f t="shared" ca="1" si="324"/>
        <v>0</v>
      </c>
      <c r="AD961" s="33"/>
      <c r="AE961" s="13">
        <f t="shared" ca="1" si="316"/>
        <v>0</v>
      </c>
      <c r="AF961" s="13">
        <f ca="1">ROUNDUP(($AC961+$AE961)*VLOOKUP($AA961,Paraméterek!$P$38:$Q$38,2)/12*IF($D962="Nem",IF($M$13=0,1,$M$13),1),IF($D$4="Forint",0,2))</f>
        <v>0</v>
      </c>
      <c r="AG961" s="13">
        <f ca="1">IF($D$2="Egyszeri",IF($D$7&gt;=IF($D$4="Forint",Paraméterek!$P$223,Paraméterek!$P$224),$D$7-IF($D$4="Forint",Paraméterek!$P$223,Paraméterek!$P$224),0),MIN(IF($AB961=12,AVERAGEIF($E$20:$E961,"&gt;0",$E$20:$E961)*12,0),SUM($E$20:$E$31)))</f>
        <v>0</v>
      </c>
      <c r="AH961" s="13">
        <f>IF($AA961=10,$AG961*IF($AB961=12,IF($AG961&lt;IF($D$4="Forint",Paraméterek!$L$223,Paraméterek!$L$224),0,VLOOKUP($AA961,Paraméterek!$K$226:$M$228,IF($AG961&lt;IF($D$4="Forint",Paraméterek!$M$223,Paraméterek!$M$224),2,3))),0),0)</f>
        <v>0</v>
      </c>
      <c r="AI961" s="13">
        <f ca="1">IF(AND($AA961=$M$11+1,$AB961=$M$12+1),SUMIF($AA$20:$AA$1027,$AA961,$AG$20:$AG$1027)*IF(SUMIF($AA$20:$AA$1027,$AA961,$AG$20:$AG$1027)&lt;IF($D$4="Forint",Paraméterek!$L$223,Paraméterek!$L$224),0,VLOOKUP($AA961,Paraméterek!$K$230:$M$250,IF(SUMIF($AA$20:$AA$1027,$AA961,$AG$20:$AG$1027)&lt;IF($D$4="Forint",Paraméterek!$M$223,Paraméterek!$M$224),2,3))),0)</f>
        <v>0</v>
      </c>
      <c r="AJ961" s="13">
        <f ca="1">IF(AND($AA961&gt;=5,MOD($AA961,5)=0),IF($AB961=12,VLOOKUP($AA961,Paraméterek!$O$225:$P$240,2),0),IF(OR($AA961=3,$AA961=4),IF($AB961=12,VLOOKUP($AA961,Paraméterek!$O$225:$P$240,2,0),0),0))*$AG961</f>
        <v>0</v>
      </c>
      <c r="AK961" s="13">
        <f t="shared" ca="1" si="317"/>
        <v>0</v>
      </c>
      <c r="AL961" s="13">
        <f t="shared" ca="1" si="325"/>
        <v>0</v>
      </c>
      <c r="AM961" s="13">
        <f t="shared" ca="1" si="326"/>
        <v>0</v>
      </c>
      <c r="AO961" s="32">
        <v>942</v>
      </c>
      <c r="AP961" s="32">
        <v>79</v>
      </c>
      <c r="AQ961" s="32">
        <v>6</v>
      </c>
      <c r="AR961" s="13"/>
      <c r="AS961" s="32"/>
      <c r="AT961" s="13">
        <f t="shared" ca="1" si="327"/>
        <v>0</v>
      </c>
      <c r="AU961" s="33"/>
      <c r="AV961" s="13">
        <f t="shared" ca="1" si="318"/>
        <v>0</v>
      </c>
      <c r="AW961" s="13">
        <f ca="1">ROUNDUP(($AT961+$AV961)*VLOOKUP($AP961,Paraméterek!$P$38:$Q$38,2)/12*IF($D962="Nem",IF($M$13=0,1,$M$13),1),IF($D$4="Forint",0,2))</f>
        <v>0</v>
      </c>
      <c r="AX961" s="13"/>
      <c r="AY961" s="13"/>
      <c r="AZ961" s="13">
        <f>ROUNDUP(IF(SUM($AX961:$AY961)=0,0,IF(IF(ISBLANK($AY961),$AX961,$AY961)*Paraméterek!$J$112&lt;IF($D$4="Forint",Paraméterek!$J$113,Paraméterek!$K$113),IF($D$4="Forint",Paraméterek!$J$113,Paraméterek!$K$113),IF(IF(ISBLANK($AY961),$AX961,$AY961)*Paraméterek!$J$112&gt;IF($D$4="Forint",Paraméterek!$J$114,Paraméterek!$K$114),IF($D$4="Forint",Paraméterek!$J$114,Paraméterek!$K$114),IF(ISBLANK($AY961),$AX961,$AY961)*Paraméterek!$J$112))),IF($D$4="Forint",0,2))</f>
        <v>0</v>
      </c>
      <c r="BA961" s="13">
        <f ca="1">$AT961+$AV961-$AW961-IF(ROUNDDOWN(IF(ISBLANK($AY961),$AX961,$AY961),IF($D$4="Forint",0,2))&gt;$AT961+$AV961-$AW961-IF($D$4="Forint",Paraméterek!$J$114,Paraméterek!$K$114),0,ROUNDDOWN(IF(ISBLANK($AY961),$AX961,$AY961),IF($D$4="Forint",0,2))-$AZ961)</f>
        <v>0</v>
      </c>
      <c r="BB961" s="13">
        <f t="shared" ca="1" si="319"/>
        <v>0</v>
      </c>
      <c r="BD961" s="32">
        <v>942</v>
      </c>
      <c r="BE961" s="32">
        <v>79</v>
      </c>
      <c r="BF961" s="32">
        <v>6</v>
      </c>
      <c r="BG961" s="34">
        <f t="shared" ca="1" si="328"/>
        <v>2097</v>
      </c>
      <c r="BH961" s="32" t="str">
        <f ca="1">IF(MOD(MONTH($D$14)+$BD961-1,12)=Paraméterek!$C$288,"Igen","")</f>
        <v/>
      </c>
      <c r="BI961" s="13">
        <f ca="1">IF($BH961="Igen",MIN(ROUNDDOWN((SUMIF($BG$20:$BG$1027,$BG961-1,$K$20:$K$1027)-SUMIF($BG$20:$BG$1027,$BG961-1,$I$20:$I$1027))*Paraméterek!$C$289,IF($D$4="Forint",0,2)),IF($D$4="Forint",Paraméterek!$C$285,Paraméterek!$D$285)),0)</f>
        <v>0</v>
      </c>
      <c r="BJ961" s="13">
        <f t="shared" ca="1" si="320"/>
        <v>0</v>
      </c>
      <c r="BK961" s="13">
        <f t="shared" ca="1" si="329"/>
        <v>0</v>
      </c>
      <c r="BL961" s="33"/>
      <c r="BM961" s="13">
        <f t="shared" ca="1" si="321"/>
        <v>0</v>
      </c>
      <c r="BN961" s="13">
        <f ca="1">ROUNDUP(($BK961+$BM961)*VLOOKUP($BE961,Paraméterek!$P$38:$Q$38,2)/12*IF($D962="Nem",IF($M$13=0,1,$M$13),1),IF($D$4="Forint",0,2))</f>
        <v>0</v>
      </c>
      <c r="BO961" s="13">
        <f t="shared" ca="1" si="322"/>
        <v>0</v>
      </c>
      <c r="BP961" s="13">
        <f ca="1">IF($D962="Nem",$BO961,$BO961-ROUNDUP(SUM($BI$20:$BI961)*120%,IF($D$4="Forint",0,2)))</f>
        <v>0</v>
      </c>
    </row>
    <row r="962" spans="1:68" x14ac:dyDescent="0.2">
      <c r="A962" s="32">
        <v>943</v>
      </c>
      <c r="B962" s="32">
        <v>79</v>
      </c>
      <c r="C962" s="32">
        <v>7</v>
      </c>
      <c r="D962" s="32" t="str">
        <f t="shared" ca="1" si="308"/>
        <v>Nem</v>
      </c>
      <c r="E962" s="13">
        <f t="shared" ca="1" si="309"/>
        <v>0</v>
      </c>
      <c r="F962" s="13"/>
      <c r="G962" s="13"/>
      <c r="H962" s="13"/>
      <c r="I962" s="13">
        <f t="shared" ca="1" si="310"/>
        <v>0</v>
      </c>
      <c r="J962" s="13">
        <f t="shared" ca="1" si="311"/>
        <v>0</v>
      </c>
      <c r="K962" s="13">
        <f t="shared" ca="1" si="312"/>
        <v>0</v>
      </c>
      <c r="L962" s="13" t="e">
        <f ca="1">ROUNDUP(IF($D$2="Egyszeri",$E962,IF($D$2="Havi",SUM($E$20:$E$31),IF(MOD($C962,$M$1)-1=0,SUM($E$20:$E$31),0))/12*$M$1)*VLOOKUP($B962,Paraméterek!$I$28:$P$31,IF($D$2="Egyszeri",8,HLOOKUP(ROUNDUP($M$11+$M$13,0),Paraméterek!$J$26:$O$27,2))),IF($D$4="Forint",0,2))</f>
        <v>#N/A</v>
      </c>
      <c r="M962" s="13">
        <f t="shared" ca="1" si="313"/>
        <v>0</v>
      </c>
      <c r="N962" s="13">
        <f t="shared" ca="1" si="323"/>
        <v>0</v>
      </c>
      <c r="O962" s="13">
        <f ca="1">IF($D962="Igen",IF($W961&gt;=IF($D$4="Forint",Paraméterek!$J$121,Paraméterek!$K$121),0,IF($D$4="Forint",Paraméterek!$J$121,Paraméterek!$K$121)-$W961),0)</f>
        <v>0</v>
      </c>
      <c r="P962" s="13" t="e">
        <f ca="1">ROUNDUP($O962*VLOOKUP($M$4+$B962-1,Paraméterek!$H$58:$I$105,2,0)/Paraméterek!$I$56,IF($D$4="Forint",0,2))</f>
        <v>#N/A</v>
      </c>
      <c r="Q962" s="13">
        <f t="shared" ca="1" si="314"/>
        <v>0</v>
      </c>
      <c r="R962" s="33"/>
      <c r="S962" s="13" t="e">
        <f t="shared" ca="1" si="315"/>
        <v>#N/A</v>
      </c>
      <c r="T962" s="13" t="e">
        <f ca="1">ROUNDUP(($N962-$P962-$Q962+$S962)*VLOOKUP($B962,Paraméterek!$I$38:$K$39,IF($D$2="Egyszeri",3,2))/12*IF($D963="Nem",IF($M$13=0,1,$M$13),1),IF($D$4="Forint",0,2))</f>
        <v>#N/A</v>
      </c>
      <c r="U962" s="13"/>
      <c r="V962" s="13"/>
      <c r="W962" s="13" t="e">
        <f ca="1">$N962-$P962-$Q962+$S962-$T962-IF(ROUNDUP(IF(ISBLANK($V962),$U962*0,$V962)/IF($D$2="Egyszeri",VLOOKUP($B962+IF($C962=12,1,0),Paraméterek!$V$257:$W$262,2),IF($B962=1,1,VLOOKUP($B962+IF($C962=12,1,0),Paraméterek!$I$258:$T$278,HLOOKUP($M$11+1,Paraméterek!$J$256:$T$257,2)))),IF($D$4="Forint",0,2))&gt;$N962-$P962-$Q962+$S962-$T962-IF($D$4="Forint",Paraméterek!$C$216,Paraméterek!$D$216),0,ROUNDUP(IF(ISBLANK($V962),$U962*0,$V962)/IF($D$2="Egyszeri",VLOOKUP($B962+IF($C962=12,1,0),Paraméterek!$V$257:$W$262,2),IF($B962=1,1,VLOOKUP($B962+IF($C962=12,1,0),Paraméterek!$I$258:$T$278,HLOOKUP($M$11+1,Paraméterek!$J$256:$T$257,2)))),IF($D$4="Forint",0,2)))</f>
        <v>#N/A</v>
      </c>
      <c r="X962" s="13" t="e">
        <f ca="1">ROUNDDOWN($W962*IF($D$2="Egyszeri",VLOOKUP($B962+IF($C962=12,1,0),Paraméterek!$V$257:$W$262,2),VLOOKUP($B962+IF($C962=12,1,0),Paraméterek!$I$258:$T$278,HLOOKUP($M$11+1,Paraméterek!$I$256:$T$257,2))),IF($D$4="Forint",0,2))</f>
        <v>#N/A</v>
      </c>
      <c r="Z962" s="32">
        <v>943</v>
      </c>
      <c r="AA962" s="32">
        <v>79</v>
      </c>
      <c r="AB962" s="32">
        <v>7</v>
      </c>
      <c r="AC962" s="13">
        <f t="shared" ca="1" si="324"/>
        <v>0</v>
      </c>
      <c r="AD962" s="33"/>
      <c r="AE962" s="13">
        <f t="shared" ca="1" si="316"/>
        <v>0</v>
      </c>
      <c r="AF962" s="13">
        <f ca="1">ROUNDUP(($AC962+$AE962)*VLOOKUP($AA962,Paraméterek!$P$38:$Q$38,2)/12*IF($D963="Nem",IF($M$13=0,1,$M$13),1),IF($D$4="Forint",0,2))</f>
        <v>0</v>
      </c>
      <c r="AG962" s="13">
        <f ca="1">IF($D$2="Egyszeri",IF($D$7&gt;=IF($D$4="Forint",Paraméterek!$P$223,Paraméterek!$P$224),$D$7-IF($D$4="Forint",Paraméterek!$P$223,Paraméterek!$P$224),0),MIN(IF($AB962=12,AVERAGEIF($E$20:$E962,"&gt;0",$E$20:$E962)*12,0),SUM($E$20:$E$31)))</f>
        <v>0</v>
      </c>
      <c r="AH962" s="13">
        <f>IF($AA962=10,$AG962*IF($AB962=12,IF($AG962&lt;IF($D$4="Forint",Paraméterek!$L$223,Paraméterek!$L$224),0,VLOOKUP($AA962,Paraméterek!$K$226:$M$228,IF($AG962&lt;IF($D$4="Forint",Paraméterek!$M$223,Paraméterek!$M$224),2,3))),0),0)</f>
        <v>0</v>
      </c>
      <c r="AI962" s="13">
        <f ca="1">IF(AND($AA962=$M$11+1,$AB962=$M$12+1),SUMIF($AA$20:$AA$1027,$AA962,$AG$20:$AG$1027)*IF(SUMIF($AA$20:$AA$1027,$AA962,$AG$20:$AG$1027)&lt;IF($D$4="Forint",Paraméterek!$L$223,Paraméterek!$L$224),0,VLOOKUP($AA962,Paraméterek!$K$230:$M$250,IF(SUMIF($AA$20:$AA$1027,$AA962,$AG$20:$AG$1027)&lt;IF($D$4="Forint",Paraméterek!$M$223,Paraméterek!$M$224),2,3))),0)</f>
        <v>0</v>
      </c>
      <c r="AJ962" s="13">
        <f ca="1">IF(AND($AA962&gt;=5,MOD($AA962,5)=0),IF($AB962=12,VLOOKUP($AA962,Paraméterek!$O$225:$P$240,2),0),IF(OR($AA962=3,$AA962=4),IF($AB962=12,VLOOKUP($AA962,Paraméterek!$O$225:$P$240,2,0),0),0))*$AG962</f>
        <v>0</v>
      </c>
      <c r="AK962" s="13">
        <f t="shared" ca="1" si="317"/>
        <v>0</v>
      </c>
      <c r="AL962" s="13">
        <f t="shared" ca="1" si="325"/>
        <v>0</v>
      </c>
      <c r="AM962" s="13">
        <f t="shared" ca="1" si="326"/>
        <v>0</v>
      </c>
      <c r="AO962" s="32">
        <v>943</v>
      </c>
      <c r="AP962" s="32">
        <v>79</v>
      </c>
      <c r="AQ962" s="32">
        <v>7</v>
      </c>
      <c r="AR962" s="13"/>
      <c r="AS962" s="32"/>
      <c r="AT962" s="13">
        <f t="shared" ca="1" si="327"/>
        <v>0</v>
      </c>
      <c r="AU962" s="33"/>
      <c r="AV962" s="13">
        <f t="shared" ca="1" si="318"/>
        <v>0</v>
      </c>
      <c r="AW962" s="13">
        <f ca="1">ROUNDUP(($AT962+$AV962)*VLOOKUP($AP962,Paraméterek!$P$38:$Q$38,2)/12*IF($D963="Nem",IF($M$13=0,1,$M$13),1),IF($D$4="Forint",0,2))</f>
        <v>0</v>
      </c>
      <c r="AX962" s="13"/>
      <c r="AY962" s="13"/>
      <c r="AZ962" s="13">
        <f>ROUNDUP(IF(SUM($AX962:$AY962)=0,0,IF(IF(ISBLANK($AY962),$AX962,$AY962)*Paraméterek!$J$112&lt;IF($D$4="Forint",Paraméterek!$J$113,Paraméterek!$K$113),IF($D$4="Forint",Paraméterek!$J$113,Paraméterek!$K$113),IF(IF(ISBLANK($AY962),$AX962,$AY962)*Paraméterek!$J$112&gt;IF($D$4="Forint",Paraméterek!$J$114,Paraméterek!$K$114),IF($D$4="Forint",Paraméterek!$J$114,Paraméterek!$K$114),IF(ISBLANK($AY962),$AX962,$AY962)*Paraméterek!$J$112))),IF($D$4="Forint",0,2))</f>
        <v>0</v>
      </c>
      <c r="BA962" s="13">
        <f ca="1">$AT962+$AV962-$AW962-IF(ROUNDDOWN(IF(ISBLANK($AY962),$AX962,$AY962),IF($D$4="Forint",0,2))&gt;$AT962+$AV962-$AW962-IF($D$4="Forint",Paraméterek!$J$114,Paraméterek!$K$114),0,ROUNDDOWN(IF(ISBLANK($AY962),$AX962,$AY962),IF($D$4="Forint",0,2))-$AZ962)</f>
        <v>0</v>
      </c>
      <c r="BB962" s="13">
        <f t="shared" ca="1" si="319"/>
        <v>0</v>
      </c>
      <c r="BD962" s="32">
        <v>943</v>
      </c>
      <c r="BE962" s="32">
        <v>79</v>
      </c>
      <c r="BF962" s="32">
        <v>7</v>
      </c>
      <c r="BG962" s="34">
        <f t="shared" ca="1" si="328"/>
        <v>2097</v>
      </c>
      <c r="BH962" s="32" t="str">
        <f ca="1">IF(MOD(MONTH($D$14)+$BD962-1,12)=Paraméterek!$C$288,"Igen","")</f>
        <v/>
      </c>
      <c r="BI962" s="13">
        <f ca="1">IF($BH962="Igen",MIN(ROUNDDOWN((SUMIF($BG$20:$BG$1027,$BG962-1,$K$20:$K$1027)-SUMIF($BG$20:$BG$1027,$BG962-1,$I$20:$I$1027))*Paraméterek!$C$289,IF($D$4="Forint",0,2)),IF($D$4="Forint",Paraméterek!$C$285,Paraméterek!$D$285)),0)</f>
        <v>0</v>
      </c>
      <c r="BJ962" s="13">
        <f t="shared" ca="1" si="320"/>
        <v>0</v>
      </c>
      <c r="BK962" s="13">
        <f t="shared" ca="1" si="329"/>
        <v>0</v>
      </c>
      <c r="BL962" s="33"/>
      <c r="BM962" s="13">
        <f t="shared" ca="1" si="321"/>
        <v>0</v>
      </c>
      <c r="BN962" s="13">
        <f ca="1">ROUNDUP(($BK962+$BM962)*VLOOKUP($BE962,Paraméterek!$P$38:$Q$38,2)/12*IF($D963="Nem",IF($M$13=0,1,$M$13),1),IF($D$4="Forint",0,2))</f>
        <v>0</v>
      </c>
      <c r="BO962" s="13">
        <f t="shared" ca="1" si="322"/>
        <v>0</v>
      </c>
      <c r="BP962" s="13">
        <f ca="1">IF($D963="Nem",$BO962,$BO962-ROUNDUP(SUM($BI$20:$BI962)*120%,IF($D$4="Forint",0,2)))</f>
        <v>0</v>
      </c>
    </row>
    <row r="963" spans="1:68" x14ac:dyDescent="0.2">
      <c r="A963" s="32">
        <v>944</v>
      </c>
      <c r="B963" s="32">
        <v>79</v>
      </c>
      <c r="C963" s="32">
        <v>8</v>
      </c>
      <c r="D963" s="32" t="str">
        <f t="shared" ca="1" si="308"/>
        <v>Nem</v>
      </c>
      <c r="E963" s="13">
        <f t="shared" ca="1" si="309"/>
        <v>0</v>
      </c>
      <c r="F963" s="13"/>
      <c r="G963" s="13"/>
      <c r="H963" s="13"/>
      <c r="I963" s="13">
        <f t="shared" ca="1" si="310"/>
        <v>0</v>
      </c>
      <c r="J963" s="13">
        <f t="shared" ca="1" si="311"/>
        <v>0</v>
      </c>
      <c r="K963" s="13">
        <f t="shared" ca="1" si="312"/>
        <v>0</v>
      </c>
      <c r="L963" s="13" t="e">
        <f ca="1">ROUNDUP(IF($D$2="Egyszeri",$E963,IF($D$2="Havi",SUM($E$20:$E$31),IF(MOD($C963,$M$1)-1=0,SUM($E$20:$E$31),0))/12*$M$1)*VLOOKUP($B963,Paraméterek!$I$28:$P$31,IF($D$2="Egyszeri",8,HLOOKUP(ROUNDUP($M$11+$M$13,0),Paraméterek!$J$26:$O$27,2))),IF($D$4="Forint",0,2))</f>
        <v>#N/A</v>
      </c>
      <c r="M963" s="13">
        <f t="shared" ca="1" si="313"/>
        <v>0</v>
      </c>
      <c r="N963" s="13">
        <f t="shared" ca="1" si="323"/>
        <v>0</v>
      </c>
      <c r="O963" s="13">
        <f ca="1">IF($D963="Igen",IF($W962&gt;=IF($D$4="Forint",Paraméterek!$J$121,Paraméterek!$K$121),0,IF($D$4="Forint",Paraméterek!$J$121,Paraméterek!$K$121)-$W962),0)</f>
        <v>0</v>
      </c>
      <c r="P963" s="13" t="e">
        <f ca="1">ROUNDUP($O963*VLOOKUP($M$4+$B963-1,Paraméterek!$H$58:$I$105,2,0)/Paraméterek!$I$56,IF($D$4="Forint",0,2))</f>
        <v>#N/A</v>
      </c>
      <c r="Q963" s="13">
        <f t="shared" ca="1" si="314"/>
        <v>0</v>
      </c>
      <c r="R963" s="33"/>
      <c r="S963" s="13" t="e">
        <f t="shared" ca="1" si="315"/>
        <v>#N/A</v>
      </c>
      <c r="T963" s="13" t="e">
        <f ca="1">ROUNDUP(($N963-$P963-$Q963+$S963)*VLOOKUP($B963,Paraméterek!$I$38:$K$39,IF($D$2="Egyszeri",3,2))/12*IF($D964="Nem",IF($M$13=0,1,$M$13),1),IF($D$4="Forint",0,2))</f>
        <v>#N/A</v>
      </c>
      <c r="U963" s="13"/>
      <c r="V963" s="13"/>
      <c r="W963" s="13" t="e">
        <f ca="1">$N963-$P963-$Q963+$S963-$T963-IF(ROUNDUP(IF(ISBLANK($V963),$U963*0,$V963)/IF($D$2="Egyszeri",VLOOKUP($B963+IF($C963=12,1,0),Paraméterek!$V$257:$W$262,2),IF($B963=1,1,VLOOKUP($B963+IF($C963=12,1,0),Paraméterek!$I$258:$T$278,HLOOKUP($M$11+1,Paraméterek!$J$256:$T$257,2)))),IF($D$4="Forint",0,2))&gt;$N963-$P963-$Q963+$S963-$T963-IF($D$4="Forint",Paraméterek!$C$216,Paraméterek!$D$216),0,ROUNDUP(IF(ISBLANK($V963),$U963*0,$V963)/IF($D$2="Egyszeri",VLOOKUP($B963+IF($C963=12,1,0),Paraméterek!$V$257:$W$262,2),IF($B963=1,1,VLOOKUP($B963+IF($C963=12,1,0),Paraméterek!$I$258:$T$278,HLOOKUP($M$11+1,Paraméterek!$J$256:$T$257,2)))),IF($D$4="Forint",0,2)))</f>
        <v>#N/A</v>
      </c>
      <c r="X963" s="13" t="e">
        <f ca="1">ROUNDDOWN($W963*IF($D$2="Egyszeri",VLOOKUP($B963+IF($C963=12,1,0),Paraméterek!$V$257:$W$262,2),VLOOKUP($B963+IF($C963=12,1,0),Paraméterek!$I$258:$T$278,HLOOKUP($M$11+1,Paraméterek!$I$256:$T$257,2))),IF($D$4="Forint",0,2))</f>
        <v>#N/A</v>
      </c>
      <c r="Z963" s="32">
        <v>944</v>
      </c>
      <c r="AA963" s="32">
        <v>79</v>
      </c>
      <c r="AB963" s="32">
        <v>8</v>
      </c>
      <c r="AC963" s="13">
        <f t="shared" ca="1" si="324"/>
        <v>0</v>
      </c>
      <c r="AD963" s="33"/>
      <c r="AE963" s="13">
        <f t="shared" ca="1" si="316"/>
        <v>0</v>
      </c>
      <c r="AF963" s="13">
        <f ca="1">ROUNDUP(($AC963+$AE963)*VLOOKUP($AA963,Paraméterek!$P$38:$Q$38,2)/12*IF($D964="Nem",IF($M$13=0,1,$M$13),1),IF($D$4="Forint",0,2))</f>
        <v>0</v>
      </c>
      <c r="AG963" s="13">
        <f ca="1">IF($D$2="Egyszeri",IF($D$7&gt;=IF($D$4="Forint",Paraméterek!$P$223,Paraméterek!$P$224),$D$7-IF($D$4="Forint",Paraméterek!$P$223,Paraméterek!$P$224),0),MIN(IF($AB963=12,AVERAGEIF($E$20:$E963,"&gt;0",$E$20:$E963)*12,0),SUM($E$20:$E$31)))</f>
        <v>0</v>
      </c>
      <c r="AH963" s="13">
        <f>IF($AA963=10,$AG963*IF($AB963=12,IF($AG963&lt;IF($D$4="Forint",Paraméterek!$L$223,Paraméterek!$L$224),0,VLOOKUP($AA963,Paraméterek!$K$226:$M$228,IF($AG963&lt;IF($D$4="Forint",Paraméterek!$M$223,Paraméterek!$M$224),2,3))),0),0)</f>
        <v>0</v>
      </c>
      <c r="AI963" s="13">
        <f ca="1">IF(AND($AA963=$M$11+1,$AB963=$M$12+1),SUMIF($AA$20:$AA$1027,$AA963,$AG$20:$AG$1027)*IF(SUMIF($AA$20:$AA$1027,$AA963,$AG$20:$AG$1027)&lt;IF($D$4="Forint",Paraméterek!$L$223,Paraméterek!$L$224),0,VLOOKUP($AA963,Paraméterek!$K$230:$M$250,IF(SUMIF($AA$20:$AA$1027,$AA963,$AG$20:$AG$1027)&lt;IF($D$4="Forint",Paraméterek!$M$223,Paraméterek!$M$224),2,3))),0)</f>
        <v>0</v>
      </c>
      <c r="AJ963" s="13">
        <f ca="1">IF(AND($AA963&gt;=5,MOD($AA963,5)=0),IF($AB963=12,VLOOKUP($AA963,Paraméterek!$O$225:$P$240,2),0),IF(OR($AA963=3,$AA963=4),IF($AB963=12,VLOOKUP($AA963,Paraméterek!$O$225:$P$240,2,0),0),0))*$AG963</f>
        <v>0</v>
      </c>
      <c r="AK963" s="13">
        <f t="shared" ca="1" si="317"/>
        <v>0</v>
      </c>
      <c r="AL963" s="13">
        <f t="shared" ca="1" si="325"/>
        <v>0</v>
      </c>
      <c r="AM963" s="13">
        <f t="shared" ca="1" si="326"/>
        <v>0</v>
      </c>
      <c r="AO963" s="32">
        <v>944</v>
      </c>
      <c r="AP963" s="32">
        <v>79</v>
      </c>
      <c r="AQ963" s="32">
        <v>8</v>
      </c>
      <c r="AR963" s="13"/>
      <c r="AS963" s="32"/>
      <c r="AT963" s="13">
        <f t="shared" ca="1" si="327"/>
        <v>0</v>
      </c>
      <c r="AU963" s="33"/>
      <c r="AV963" s="13">
        <f t="shared" ca="1" si="318"/>
        <v>0</v>
      </c>
      <c r="AW963" s="13">
        <f ca="1">ROUNDUP(($AT963+$AV963)*VLOOKUP($AP963,Paraméterek!$P$38:$Q$38,2)/12*IF($D964="Nem",IF($M$13=0,1,$M$13),1),IF($D$4="Forint",0,2))</f>
        <v>0</v>
      </c>
      <c r="AX963" s="13"/>
      <c r="AY963" s="13"/>
      <c r="AZ963" s="13">
        <f>ROUNDUP(IF(SUM($AX963:$AY963)=0,0,IF(IF(ISBLANK($AY963),$AX963,$AY963)*Paraméterek!$J$112&lt;IF($D$4="Forint",Paraméterek!$J$113,Paraméterek!$K$113),IF($D$4="Forint",Paraméterek!$J$113,Paraméterek!$K$113),IF(IF(ISBLANK($AY963),$AX963,$AY963)*Paraméterek!$J$112&gt;IF($D$4="Forint",Paraméterek!$J$114,Paraméterek!$K$114),IF($D$4="Forint",Paraméterek!$J$114,Paraméterek!$K$114),IF(ISBLANK($AY963),$AX963,$AY963)*Paraméterek!$J$112))),IF($D$4="Forint",0,2))</f>
        <v>0</v>
      </c>
      <c r="BA963" s="13">
        <f ca="1">$AT963+$AV963-$AW963-IF(ROUNDDOWN(IF(ISBLANK($AY963),$AX963,$AY963),IF($D$4="Forint",0,2))&gt;$AT963+$AV963-$AW963-IF($D$4="Forint",Paraméterek!$J$114,Paraméterek!$K$114),0,ROUNDDOWN(IF(ISBLANK($AY963),$AX963,$AY963),IF($D$4="Forint",0,2))-$AZ963)</f>
        <v>0</v>
      </c>
      <c r="BB963" s="13">
        <f t="shared" ca="1" si="319"/>
        <v>0</v>
      </c>
      <c r="BD963" s="32">
        <v>944</v>
      </c>
      <c r="BE963" s="32">
        <v>79</v>
      </c>
      <c r="BF963" s="32">
        <v>8</v>
      </c>
      <c r="BG963" s="34">
        <f t="shared" ca="1" si="328"/>
        <v>2098</v>
      </c>
      <c r="BH963" s="32" t="str">
        <f ca="1">IF(MOD(MONTH($D$14)+$BD963-1,12)=Paraméterek!$C$288,"Igen","")</f>
        <v/>
      </c>
      <c r="BI963" s="13">
        <f ca="1">IF($BH963="Igen",MIN(ROUNDDOWN((SUMIF($BG$20:$BG$1027,$BG963-1,$K$20:$K$1027)-SUMIF($BG$20:$BG$1027,$BG963-1,$I$20:$I$1027))*Paraméterek!$C$289,IF($D$4="Forint",0,2)),IF($D$4="Forint",Paraméterek!$C$285,Paraméterek!$D$285)),0)</f>
        <v>0</v>
      </c>
      <c r="BJ963" s="13">
        <f t="shared" ca="1" si="320"/>
        <v>0</v>
      </c>
      <c r="BK963" s="13">
        <f t="shared" ca="1" si="329"/>
        <v>0</v>
      </c>
      <c r="BL963" s="33"/>
      <c r="BM963" s="13">
        <f t="shared" ca="1" si="321"/>
        <v>0</v>
      </c>
      <c r="BN963" s="13">
        <f ca="1">ROUNDUP(($BK963+$BM963)*VLOOKUP($BE963,Paraméterek!$P$38:$Q$38,2)/12*IF($D964="Nem",IF($M$13=0,1,$M$13),1),IF($D$4="Forint",0,2))</f>
        <v>0</v>
      </c>
      <c r="BO963" s="13">
        <f t="shared" ca="1" si="322"/>
        <v>0</v>
      </c>
      <c r="BP963" s="13">
        <f ca="1">IF($D964="Nem",$BO963,$BO963-ROUNDUP(SUM($BI$20:$BI963)*120%,IF($D$4="Forint",0,2)))</f>
        <v>0</v>
      </c>
    </row>
    <row r="964" spans="1:68" x14ac:dyDescent="0.2">
      <c r="A964" s="32">
        <v>945</v>
      </c>
      <c r="B964" s="32">
        <v>79</v>
      </c>
      <c r="C964" s="32">
        <v>9</v>
      </c>
      <c r="D964" s="32" t="str">
        <f t="shared" ca="1" si="308"/>
        <v>Nem</v>
      </c>
      <c r="E964" s="13">
        <f t="shared" ca="1" si="309"/>
        <v>0</v>
      </c>
      <c r="F964" s="13"/>
      <c r="G964" s="13"/>
      <c r="H964" s="13"/>
      <c r="I964" s="13">
        <f t="shared" ca="1" si="310"/>
        <v>0</v>
      </c>
      <c r="J964" s="13">
        <f t="shared" ca="1" si="311"/>
        <v>0</v>
      </c>
      <c r="K964" s="13">
        <f t="shared" ca="1" si="312"/>
        <v>0</v>
      </c>
      <c r="L964" s="13" t="e">
        <f ca="1">ROUNDUP(IF($D$2="Egyszeri",$E964,IF($D$2="Havi",SUM($E$20:$E$31),IF(MOD($C964,$M$1)-1=0,SUM($E$20:$E$31),0))/12*$M$1)*VLOOKUP($B964,Paraméterek!$I$28:$P$31,IF($D$2="Egyszeri",8,HLOOKUP(ROUNDUP($M$11+$M$13,0),Paraméterek!$J$26:$O$27,2))),IF($D$4="Forint",0,2))</f>
        <v>#N/A</v>
      </c>
      <c r="M964" s="13">
        <f t="shared" ca="1" si="313"/>
        <v>0</v>
      </c>
      <c r="N964" s="13">
        <f t="shared" ca="1" si="323"/>
        <v>0</v>
      </c>
      <c r="O964" s="13">
        <f ca="1">IF($D964="Igen",IF($W963&gt;=IF($D$4="Forint",Paraméterek!$J$121,Paraméterek!$K$121),0,IF($D$4="Forint",Paraméterek!$J$121,Paraméterek!$K$121)-$W963),0)</f>
        <v>0</v>
      </c>
      <c r="P964" s="13" t="e">
        <f ca="1">ROUNDUP($O964*VLOOKUP($M$4+$B964-1,Paraméterek!$H$58:$I$105,2,0)/Paraméterek!$I$56,IF($D$4="Forint",0,2))</f>
        <v>#N/A</v>
      </c>
      <c r="Q964" s="13">
        <f t="shared" ca="1" si="314"/>
        <v>0</v>
      </c>
      <c r="R964" s="33"/>
      <c r="S964" s="13" t="e">
        <f t="shared" ca="1" si="315"/>
        <v>#N/A</v>
      </c>
      <c r="T964" s="13" t="e">
        <f ca="1">ROUNDUP(($N964-$P964-$Q964+$S964)*VLOOKUP($B964,Paraméterek!$I$38:$K$39,IF($D$2="Egyszeri",3,2))/12*IF($D965="Nem",IF($M$13=0,1,$M$13),1),IF($D$4="Forint",0,2))</f>
        <v>#N/A</v>
      </c>
      <c r="U964" s="13"/>
      <c r="V964" s="13"/>
      <c r="W964" s="13" t="e">
        <f ca="1">$N964-$P964-$Q964+$S964-$T964-IF(ROUNDUP(IF(ISBLANK($V964),$U964*0,$V964)/IF($D$2="Egyszeri",VLOOKUP($B964+IF($C964=12,1,0),Paraméterek!$V$257:$W$262,2),IF($B964=1,1,VLOOKUP($B964+IF($C964=12,1,0),Paraméterek!$I$258:$T$278,HLOOKUP($M$11+1,Paraméterek!$J$256:$T$257,2)))),IF($D$4="Forint",0,2))&gt;$N964-$P964-$Q964+$S964-$T964-IF($D$4="Forint",Paraméterek!$C$216,Paraméterek!$D$216),0,ROUNDUP(IF(ISBLANK($V964),$U964*0,$V964)/IF($D$2="Egyszeri",VLOOKUP($B964+IF($C964=12,1,0),Paraméterek!$V$257:$W$262,2),IF($B964=1,1,VLOOKUP($B964+IF($C964=12,1,0),Paraméterek!$I$258:$T$278,HLOOKUP($M$11+1,Paraméterek!$J$256:$T$257,2)))),IF($D$4="Forint",0,2)))</f>
        <v>#N/A</v>
      </c>
      <c r="X964" s="13" t="e">
        <f ca="1">ROUNDDOWN($W964*IF($D$2="Egyszeri",VLOOKUP($B964+IF($C964=12,1,0),Paraméterek!$V$257:$W$262,2),VLOOKUP($B964+IF($C964=12,1,0),Paraméterek!$I$258:$T$278,HLOOKUP($M$11+1,Paraméterek!$I$256:$T$257,2))),IF($D$4="Forint",0,2))</f>
        <v>#N/A</v>
      </c>
      <c r="Z964" s="32">
        <v>945</v>
      </c>
      <c r="AA964" s="32">
        <v>79</v>
      </c>
      <c r="AB964" s="32">
        <v>9</v>
      </c>
      <c r="AC964" s="13">
        <f t="shared" ca="1" si="324"/>
        <v>0</v>
      </c>
      <c r="AD964" s="33"/>
      <c r="AE964" s="13">
        <f t="shared" ca="1" si="316"/>
        <v>0</v>
      </c>
      <c r="AF964" s="13">
        <f ca="1">ROUNDUP(($AC964+$AE964)*VLOOKUP($AA964,Paraméterek!$P$38:$Q$38,2)/12*IF($D965="Nem",IF($M$13=0,1,$M$13),1),IF($D$4="Forint",0,2))</f>
        <v>0</v>
      </c>
      <c r="AG964" s="13">
        <f ca="1">IF($D$2="Egyszeri",IF($D$7&gt;=IF($D$4="Forint",Paraméterek!$P$223,Paraméterek!$P$224),$D$7-IF($D$4="Forint",Paraméterek!$P$223,Paraméterek!$P$224),0),MIN(IF($AB964=12,AVERAGEIF($E$20:$E964,"&gt;0",$E$20:$E964)*12,0),SUM($E$20:$E$31)))</f>
        <v>0</v>
      </c>
      <c r="AH964" s="13">
        <f>IF($AA964=10,$AG964*IF($AB964=12,IF($AG964&lt;IF($D$4="Forint",Paraméterek!$L$223,Paraméterek!$L$224),0,VLOOKUP($AA964,Paraméterek!$K$226:$M$228,IF($AG964&lt;IF($D$4="Forint",Paraméterek!$M$223,Paraméterek!$M$224),2,3))),0),0)</f>
        <v>0</v>
      </c>
      <c r="AI964" s="13">
        <f ca="1">IF(AND($AA964=$M$11+1,$AB964=$M$12+1),SUMIF($AA$20:$AA$1027,$AA964,$AG$20:$AG$1027)*IF(SUMIF($AA$20:$AA$1027,$AA964,$AG$20:$AG$1027)&lt;IF($D$4="Forint",Paraméterek!$L$223,Paraméterek!$L$224),0,VLOOKUP($AA964,Paraméterek!$K$230:$M$250,IF(SUMIF($AA$20:$AA$1027,$AA964,$AG$20:$AG$1027)&lt;IF($D$4="Forint",Paraméterek!$M$223,Paraméterek!$M$224),2,3))),0)</f>
        <v>0</v>
      </c>
      <c r="AJ964" s="13">
        <f ca="1">IF(AND($AA964&gt;=5,MOD($AA964,5)=0),IF($AB964=12,VLOOKUP($AA964,Paraméterek!$O$225:$P$240,2),0),IF(OR($AA964=3,$AA964=4),IF($AB964=12,VLOOKUP($AA964,Paraméterek!$O$225:$P$240,2,0),0),0))*$AG964</f>
        <v>0</v>
      </c>
      <c r="AK964" s="13">
        <f t="shared" ca="1" si="317"/>
        <v>0</v>
      </c>
      <c r="AL964" s="13">
        <f t="shared" ca="1" si="325"/>
        <v>0</v>
      </c>
      <c r="AM964" s="13">
        <f t="shared" ca="1" si="326"/>
        <v>0</v>
      </c>
      <c r="AO964" s="32">
        <v>945</v>
      </c>
      <c r="AP964" s="32">
        <v>79</v>
      </c>
      <c r="AQ964" s="32">
        <v>9</v>
      </c>
      <c r="AR964" s="13"/>
      <c r="AS964" s="32"/>
      <c r="AT964" s="13">
        <f t="shared" ca="1" si="327"/>
        <v>0</v>
      </c>
      <c r="AU964" s="33"/>
      <c r="AV964" s="13">
        <f t="shared" ca="1" si="318"/>
        <v>0</v>
      </c>
      <c r="AW964" s="13">
        <f ca="1">ROUNDUP(($AT964+$AV964)*VLOOKUP($AP964,Paraméterek!$P$38:$Q$38,2)/12*IF($D965="Nem",IF($M$13=0,1,$M$13),1),IF($D$4="Forint",0,2))</f>
        <v>0</v>
      </c>
      <c r="AX964" s="13"/>
      <c r="AY964" s="13"/>
      <c r="AZ964" s="13">
        <f>ROUNDUP(IF(SUM($AX964:$AY964)=0,0,IF(IF(ISBLANK($AY964),$AX964,$AY964)*Paraméterek!$J$112&lt;IF($D$4="Forint",Paraméterek!$J$113,Paraméterek!$K$113),IF($D$4="Forint",Paraméterek!$J$113,Paraméterek!$K$113),IF(IF(ISBLANK($AY964),$AX964,$AY964)*Paraméterek!$J$112&gt;IF($D$4="Forint",Paraméterek!$J$114,Paraméterek!$K$114),IF($D$4="Forint",Paraméterek!$J$114,Paraméterek!$K$114),IF(ISBLANK($AY964),$AX964,$AY964)*Paraméterek!$J$112))),IF($D$4="Forint",0,2))</f>
        <v>0</v>
      </c>
      <c r="BA964" s="13">
        <f ca="1">$AT964+$AV964-$AW964-IF(ROUNDDOWN(IF(ISBLANK($AY964),$AX964,$AY964),IF($D$4="Forint",0,2))&gt;$AT964+$AV964-$AW964-IF($D$4="Forint",Paraméterek!$J$114,Paraméterek!$K$114),0,ROUNDDOWN(IF(ISBLANK($AY964),$AX964,$AY964),IF($D$4="Forint",0,2))-$AZ964)</f>
        <v>0</v>
      </c>
      <c r="BB964" s="13">
        <f t="shared" ca="1" si="319"/>
        <v>0</v>
      </c>
      <c r="BD964" s="32">
        <v>945</v>
      </c>
      <c r="BE964" s="32">
        <v>79</v>
      </c>
      <c r="BF964" s="32">
        <v>9</v>
      </c>
      <c r="BG964" s="34">
        <f t="shared" ca="1" si="328"/>
        <v>2098</v>
      </c>
      <c r="BH964" s="32" t="str">
        <f ca="1">IF(MOD(MONTH($D$14)+$BD964-1,12)=Paraméterek!$C$288,"Igen","")</f>
        <v/>
      </c>
      <c r="BI964" s="13">
        <f ca="1">IF($BH964="Igen",MIN(ROUNDDOWN((SUMIF($BG$20:$BG$1027,$BG964-1,$K$20:$K$1027)-SUMIF($BG$20:$BG$1027,$BG964-1,$I$20:$I$1027))*Paraméterek!$C$289,IF($D$4="Forint",0,2)),IF($D$4="Forint",Paraméterek!$C$285,Paraméterek!$D$285)),0)</f>
        <v>0</v>
      </c>
      <c r="BJ964" s="13">
        <f t="shared" ca="1" si="320"/>
        <v>0</v>
      </c>
      <c r="BK964" s="13">
        <f t="shared" ca="1" si="329"/>
        <v>0</v>
      </c>
      <c r="BL964" s="33"/>
      <c r="BM964" s="13">
        <f t="shared" ca="1" si="321"/>
        <v>0</v>
      </c>
      <c r="BN964" s="13">
        <f ca="1">ROUNDUP(($BK964+$BM964)*VLOOKUP($BE964,Paraméterek!$P$38:$Q$38,2)/12*IF($D965="Nem",IF($M$13=0,1,$M$13),1),IF($D$4="Forint",0,2))</f>
        <v>0</v>
      </c>
      <c r="BO964" s="13">
        <f t="shared" ca="1" si="322"/>
        <v>0</v>
      </c>
      <c r="BP964" s="13">
        <f ca="1">IF($D965="Nem",$BO964,$BO964-ROUNDUP(SUM($BI$20:$BI964)*120%,IF($D$4="Forint",0,2)))</f>
        <v>0</v>
      </c>
    </row>
    <row r="965" spans="1:68" x14ac:dyDescent="0.2">
      <c r="A965" s="32">
        <v>946</v>
      </c>
      <c r="B965" s="32">
        <v>79</v>
      </c>
      <c r="C965" s="32">
        <v>10</v>
      </c>
      <c r="D965" s="32" t="str">
        <f t="shared" ca="1" si="308"/>
        <v>Nem</v>
      </c>
      <c r="E965" s="13">
        <f t="shared" ca="1" si="309"/>
        <v>0</v>
      </c>
      <c r="F965" s="13"/>
      <c r="G965" s="13"/>
      <c r="H965" s="13"/>
      <c r="I965" s="13">
        <f t="shared" ca="1" si="310"/>
        <v>0</v>
      </c>
      <c r="J965" s="13">
        <f t="shared" ca="1" si="311"/>
        <v>0</v>
      </c>
      <c r="K965" s="13">
        <f t="shared" ca="1" si="312"/>
        <v>0</v>
      </c>
      <c r="L965" s="13" t="e">
        <f ca="1">ROUNDUP(IF($D$2="Egyszeri",$E965,IF($D$2="Havi",SUM($E$20:$E$31),IF(MOD($C965,$M$1)-1=0,SUM($E$20:$E$31),0))/12*$M$1)*VLOOKUP($B965,Paraméterek!$I$28:$P$31,IF($D$2="Egyszeri",8,HLOOKUP(ROUNDUP($M$11+$M$13,0),Paraméterek!$J$26:$O$27,2))),IF($D$4="Forint",0,2))</f>
        <v>#N/A</v>
      </c>
      <c r="M965" s="13">
        <f t="shared" ca="1" si="313"/>
        <v>0</v>
      </c>
      <c r="N965" s="13">
        <f t="shared" ca="1" si="323"/>
        <v>0</v>
      </c>
      <c r="O965" s="13">
        <f ca="1">IF($D965="Igen",IF($W964&gt;=IF($D$4="Forint",Paraméterek!$J$121,Paraméterek!$K$121),0,IF($D$4="Forint",Paraméterek!$J$121,Paraméterek!$K$121)-$W964),0)</f>
        <v>0</v>
      </c>
      <c r="P965" s="13" t="e">
        <f ca="1">ROUNDUP($O965*VLOOKUP($M$4+$B965-1,Paraméterek!$H$58:$I$105,2,0)/Paraméterek!$I$56,IF($D$4="Forint",0,2))</f>
        <v>#N/A</v>
      </c>
      <c r="Q965" s="13">
        <f t="shared" ca="1" si="314"/>
        <v>0</v>
      </c>
      <c r="R965" s="33"/>
      <c r="S965" s="13" t="e">
        <f t="shared" ca="1" si="315"/>
        <v>#N/A</v>
      </c>
      <c r="T965" s="13" t="e">
        <f ca="1">ROUNDUP(($N965-$P965-$Q965+$S965)*VLOOKUP($B965,Paraméterek!$I$38:$K$39,IF($D$2="Egyszeri",3,2))/12*IF($D966="Nem",IF($M$13=0,1,$M$13),1),IF($D$4="Forint",0,2))</f>
        <v>#N/A</v>
      </c>
      <c r="U965" s="13"/>
      <c r="V965" s="13"/>
      <c r="W965" s="13" t="e">
        <f ca="1">$N965-$P965-$Q965+$S965-$T965-IF(ROUNDUP(IF(ISBLANK($V965),$U965*0,$V965)/IF($D$2="Egyszeri",VLOOKUP($B965+IF($C965=12,1,0),Paraméterek!$V$257:$W$262,2),IF($B965=1,1,VLOOKUP($B965+IF($C965=12,1,0),Paraméterek!$I$258:$T$278,HLOOKUP($M$11+1,Paraméterek!$J$256:$T$257,2)))),IF($D$4="Forint",0,2))&gt;$N965-$P965-$Q965+$S965-$T965-IF($D$4="Forint",Paraméterek!$C$216,Paraméterek!$D$216),0,ROUNDUP(IF(ISBLANK($V965),$U965*0,$V965)/IF($D$2="Egyszeri",VLOOKUP($B965+IF($C965=12,1,0),Paraméterek!$V$257:$W$262,2),IF($B965=1,1,VLOOKUP($B965+IF($C965=12,1,0),Paraméterek!$I$258:$T$278,HLOOKUP($M$11+1,Paraméterek!$J$256:$T$257,2)))),IF($D$4="Forint",0,2)))</f>
        <v>#N/A</v>
      </c>
      <c r="X965" s="13" t="e">
        <f ca="1">ROUNDDOWN($W965*IF($D$2="Egyszeri",VLOOKUP($B965+IF($C965=12,1,0),Paraméterek!$V$257:$W$262,2),VLOOKUP($B965+IF($C965=12,1,0),Paraméterek!$I$258:$T$278,HLOOKUP($M$11+1,Paraméterek!$I$256:$T$257,2))),IF($D$4="Forint",0,2))</f>
        <v>#N/A</v>
      </c>
      <c r="Z965" s="32">
        <v>946</v>
      </c>
      <c r="AA965" s="32">
        <v>79</v>
      </c>
      <c r="AB965" s="32">
        <v>10</v>
      </c>
      <c r="AC965" s="13">
        <f t="shared" ca="1" si="324"/>
        <v>0</v>
      </c>
      <c r="AD965" s="33"/>
      <c r="AE965" s="13">
        <f t="shared" ca="1" si="316"/>
        <v>0</v>
      </c>
      <c r="AF965" s="13">
        <f ca="1">ROUNDUP(($AC965+$AE965)*VLOOKUP($AA965,Paraméterek!$P$38:$Q$38,2)/12*IF($D966="Nem",IF($M$13=0,1,$M$13),1),IF($D$4="Forint",0,2))</f>
        <v>0</v>
      </c>
      <c r="AG965" s="13">
        <f ca="1">IF($D$2="Egyszeri",IF($D$7&gt;=IF($D$4="Forint",Paraméterek!$P$223,Paraméterek!$P$224),$D$7-IF($D$4="Forint",Paraméterek!$P$223,Paraméterek!$P$224),0),MIN(IF($AB965=12,AVERAGEIF($E$20:$E965,"&gt;0",$E$20:$E965)*12,0),SUM($E$20:$E$31)))</f>
        <v>0</v>
      </c>
      <c r="AH965" s="13">
        <f>IF($AA965=10,$AG965*IF($AB965=12,IF($AG965&lt;IF($D$4="Forint",Paraméterek!$L$223,Paraméterek!$L$224),0,VLOOKUP($AA965,Paraméterek!$K$226:$M$228,IF($AG965&lt;IF($D$4="Forint",Paraméterek!$M$223,Paraméterek!$M$224),2,3))),0),0)</f>
        <v>0</v>
      </c>
      <c r="AI965" s="13">
        <f ca="1">IF(AND($AA965=$M$11+1,$AB965=$M$12+1),SUMIF($AA$20:$AA$1027,$AA965,$AG$20:$AG$1027)*IF(SUMIF($AA$20:$AA$1027,$AA965,$AG$20:$AG$1027)&lt;IF($D$4="Forint",Paraméterek!$L$223,Paraméterek!$L$224),0,VLOOKUP($AA965,Paraméterek!$K$230:$M$250,IF(SUMIF($AA$20:$AA$1027,$AA965,$AG$20:$AG$1027)&lt;IF($D$4="Forint",Paraméterek!$M$223,Paraméterek!$M$224),2,3))),0)</f>
        <v>0</v>
      </c>
      <c r="AJ965" s="13">
        <f ca="1">IF(AND($AA965&gt;=5,MOD($AA965,5)=0),IF($AB965=12,VLOOKUP($AA965,Paraméterek!$O$225:$P$240,2),0),IF(OR($AA965=3,$AA965=4),IF($AB965=12,VLOOKUP($AA965,Paraméterek!$O$225:$P$240,2,0),0),0))*$AG965</f>
        <v>0</v>
      </c>
      <c r="AK965" s="13">
        <f t="shared" ca="1" si="317"/>
        <v>0</v>
      </c>
      <c r="AL965" s="13">
        <f t="shared" ca="1" si="325"/>
        <v>0</v>
      </c>
      <c r="AM965" s="13">
        <f t="shared" ca="1" si="326"/>
        <v>0</v>
      </c>
      <c r="AO965" s="32">
        <v>946</v>
      </c>
      <c r="AP965" s="32">
        <v>79</v>
      </c>
      <c r="AQ965" s="32">
        <v>10</v>
      </c>
      <c r="AR965" s="13"/>
      <c r="AS965" s="32"/>
      <c r="AT965" s="13">
        <f t="shared" ca="1" si="327"/>
        <v>0</v>
      </c>
      <c r="AU965" s="33"/>
      <c r="AV965" s="13">
        <f t="shared" ca="1" si="318"/>
        <v>0</v>
      </c>
      <c r="AW965" s="13">
        <f ca="1">ROUNDUP(($AT965+$AV965)*VLOOKUP($AP965,Paraméterek!$P$38:$Q$38,2)/12*IF($D966="Nem",IF($M$13=0,1,$M$13),1),IF($D$4="Forint",0,2))</f>
        <v>0</v>
      </c>
      <c r="AX965" s="13"/>
      <c r="AY965" s="13"/>
      <c r="AZ965" s="13">
        <f>ROUNDUP(IF(SUM($AX965:$AY965)=0,0,IF(IF(ISBLANK($AY965),$AX965,$AY965)*Paraméterek!$J$112&lt;IF($D$4="Forint",Paraméterek!$J$113,Paraméterek!$K$113),IF($D$4="Forint",Paraméterek!$J$113,Paraméterek!$K$113),IF(IF(ISBLANK($AY965),$AX965,$AY965)*Paraméterek!$J$112&gt;IF($D$4="Forint",Paraméterek!$J$114,Paraméterek!$K$114),IF($D$4="Forint",Paraméterek!$J$114,Paraméterek!$K$114),IF(ISBLANK($AY965),$AX965,$AY965)*Paraméterek!$J$112))),IF($D$4="Forint",0,2))</f>
        <v>0</v>
      </c>
      <c r="BA965" s="13">
        <f ca="1">$AT965+$AV965-$AW965-IF(ROUNDDOWN(IF(ISBLANK($AY965),$AX965,$AY965),IF($D$4="Forint",0,2))&gt;$AT965+$AV965-$AW965-IF($D$4="Forint",Paraméterek!$J$114,Paraméterek!$K$114),0,ROUNDDOWN(IF(ISBLANK($AY965),$AX965,$AY965),IF($D$4="Forint",0,2))-$AZ965)</f>
        <v>0</v>
      </c>
      <c r="BB965" s="13">
        <f t="shared" ca="1" si="319"/>
        <v>0</v>
      </c>
      <c r="BD965" s="32">
        <v>946</v>
      </c>
      <c r="BE965" s="32">
        <v>79</v>
      </c>
      <c r="BF965" s="32">
        <v>10</v>
      </c>
      <c r="BG965" s="34">
        <f t="shared" ca="1" si="328"/>
        <v>2098</v>
      </c>
      <c r="BH965" s="32" t="str">
        <f ca="1">IF(MOD(MONTH($D$14)+$BD965-1,12)=Paraméterek!$C$288,"Igen","")</f>
        <v/>
      </c>
      <c r="BI965" s="13">
        <f ca="1">IF($BH965="Igen",MIN(ROUNDDOWN((SUMIF($BG$20:$BG$1027,$BG965-1,$K$20:$K$1027)-SUMIF($BG$20:$BG$1027,$BG965-1,$I$20:$I$1027))*Paraméterek!$C$289,IF($D$4="Forint",0,2)),IF($D$4="Forint",Paraméterek!$C$285,Paraméterek!$D$285)),0)</f>
        <v>0</v>
      </c>
      <c r="BJ965" s="13">
        <f t="shared" ca="1" si="320"/>
        <v>0</v>
      </c>
      <c r="BK965" s="13">
        <f t="shared" ca="1" si="329"/>
        <v>0</v>
      </c>
      <c r="BL965" s="33"/>
      <c r="BM965" s="13">
        <f t="shared" ca="1" si="321"/>
        <v>0</v>
      </c>
      <c r="BN965" s="13">
        <f ca="1">ROUNDUP(($BK965+$BM965)*VLOOKUP($BE965,Paraméterek!$P$38:$Q$38,2)/12*IF($D966="Nem",IF($M$13=0,1,$M$13),1),IF($D$4="Forint",0,2))</f>
        <v>0</v>
      </c>
      <c r="BO965" s="13">
        <f t="shared" ca="1" si="322"/>
        <v>0</v>
      </c>
      <c r="BP965" s="13">
        <f ca="1">IF($D966="Nem",$BO965,$BO965-ROUNDUP(SUM($BI$20:$BI965)*120%,IF($D$4="Forint",0,2)))</f>
        <v>0</v>
      </c>
    </row>
    <row r="966" spans="1:68" x14ac:dyDescent="0.2">
      <c r="A966" s="32">
        <v>947</v>
      </c>
      <c r="B966" s="32">
        <v>79</v>
      </c>
      <c r="C966" s="32">
        <v>11</v>
      </c>
      <c r="D966" s="32" t="str">
        <f t="shared" ca="1" si="308"/>
        <v>Nem</v>
      </c>
      <c r="E966" s="13">
        <f t="shared" ca="1" si="309"/>
        <v>0</v>
      </c>
      <c r="F966" s="13"/>
      <c r="G966" s="13"/>
      <c r="H966" s="13"/>
      <c r="I966" s="13">
        <f t="shared" ca="1" si="310"/>
        <v>0</v>
      </c>
      <c r="J966" s="13">
        <f t="shared" ca="1" si="311"/>
        <v>0</v>
      </c>
      <c r="K966" s="13">
        <f t="shared" ca="1" si="312"/>
        <v>0</v>
      </c>
      <c r="L966" s="13" t="e">
        <f ca="1">ROUNDUP(IF($D$2="Egyszeri",$E966,IF($D$2="Havi",SUM($E$20:$E$31),IF(MOD($C966,$M$1)-1=0,SUM($E$20:$E$31),0))/12*$M$1)*VLOOKUP($B966,Paraméterek!$I$28:$P$31,IF($D$2="Egyszeri",8,HLOOKUP(ROUNDUP($M$11+$M$13,0),Paraméterek!$J$26:$O$27,2))),IF($D$4="Forint",0,2))</f>
        <v>#N/A</v>
      </c>
      <c r="M966" s="13">
        <f t="shared" ca="1" si="313"/>
        <v>0</v>
      </c>
      <c r="N966" s="13">
        <f t="shared" ca="1" si="323"/>
        <v>0</v>
      </c>
      <c r="O966" s="13">
        <f ca="1">IF($D966="Igen",IF($W965&gt;=IF($D$4="Forint",Paraméterek!$J$121,Paraméterek!$K$121),0,IF($D$4="Forint",Paraméterek!$J$121,Paraméterek!$K$121)-$W965),0)</f>
        <v>0</v>
      </c>
      <c r="P966" s="13" t="e">
        <f ca="1">ROUNDUP($O966*VLOOKUP($M$4+$B966-1,Paraméterek!$H$58:$I$105,2,0)/Paraméterek!$I$56,IF($D$4="Forint",0,2))</f>
        <v>#N/A</v>
      </c>
      <c r="Q966" s="13">
        <f t="shared" ca="1" si="314"/>
        <v>0</v>
      </c>
      <c r="R966" s="33"/>
      <c r="S966" s="13" t="e">
        <f t="shared" ca="1" si="315"/>
        <v>#N/A</v>
      </c>
      <c r="T966" s="13" t="e">
        <f ca="1">ROUNDUP(($N966-$P966-$Q966+$S966)*VLOOKUP($B966,Paraméterek!$I$38:$K$39,IF($D$2="Egyszeri",3,2))/12*IF($D967="Nem",IF($M$13=0,1,$M$13),1),IF($D$4="Forint",0,2))</f>
        <v>#N/A</v>
      </c>
      <c r="U966" s="13"/>
      <c r="V966" s="13"/>
      <c r="W966" s="13" t="e">
        <f ca="1">$N966-$P966-$Q966+$S966-$T966-IF(ROUNDUP(IF(ISBLANK($V966),$U966*0,$V966)/IF($D$2="Egyszeri",VLOOKUP($B966+IF($C966=12,1,0),Paraméterek!$V$257:$W$262,2),IF($B966=1,1,VLOOKUP($B966+IF($C966=12,1,0),Paraméterek!$I$258:$T$278,HLOOKUP($M$11+1,Paraméterek!$J$256:$T$257,2)))),IF($D$4="Forint",0,2))&gt;$N966-$P966-$Q966+$S966-$T966-IF($D$4="Forint",Paraméterek!$C$216,Paraméterek!$D$216),0,ROUNDUP(IF(ISBLANK($V966),$U966*0,$V966)/IF($D$2="Egyszeri",VLOOKUP($B966+IF($C966=12,1,0),Paraméterek!$V$257:$W$262,2),IF($B966=1,1,VLOOKUP($B966+IF($C966=12,1,0),Paraméterek!$I$258:$T$278,HLOOKUP($M$11+1,Paraméterek!$J$256:$T$257,2)))),IF($D$4="Forint",0,2)))</f>
        <v>#N/A</v>
      </c>
      <c r="X966" s="13" t="e">
        <f ca="1">ROUNDDOWN($W966*IF($D$2="Egyszeri",VLOOKUP($B966+IF($C966=12,1,0),Paraméterek!$V$257:$W$262,2),VLOOKUP($B966+IF($C966=12,1,0),Paraméterek!$I$258:$T$278,HLOOKUP($M$11+1,Paraméterek!$I$256:$T$257,2))),IF($D$4="Forint",0,2))</f>
        <v>#N/A</v>
      </c>
      <c r="Z966" s="32">
        <v>947</v>
      </c>
      <c r="AA966" s="32">
        <v>79</v>
      </c>
      <c r="AB966" s="32">
        <v>11</v>
      </c>
      <c r="AC966" s="13">
        <f t="shared" ca="1" si="324"/>
        <v>0</v>
      </c>
      <c r="AD966" s="33"/>
      <c r="AE966" s="13">
        <f t="shared" ca="1" si="316"/>
        <v>0</v>
      </c>
      <c r="AF966" s="13">
        <f ca="1">ROUNDUP(($AC966+$AE966)*VLOOKUP($AA966,Paraméterek!$P$38:$Q$38,2)/12*IF($D967="Nem",IF($M$13=0,1,$M$13),1),IF($D$4="Forint",0,2))</f>
        <v>0</v>
      </c>
      <c r="AG966" s="13">
        <f ca="1">IF($D$2="Egyszeri",IF($D$7&gt;=IF($D$4="Forint",Paraméterek!$P$223,Paraméterek!$P$224),$D$7-IF($D$4="Forint",Paraméterek!$P$223,Paraméterek!$P$224),0),MIN(IF($AB966=12,AVERAGEIF($E$20:$E966,"&gt;0",$E$20:$E966)*12,0),SUM($E$20:$E$31)))</f>
        <v>0</v>
      </c>
      <c r="AH966" s="13">
        <f>IF($AA966=10,$AG966*IF($AB966=12,IF($AG966&lt;IF($D$4="Forint",Paraméterek!$L$223,Paraméterek!$L$224),0,VLOOKUP($AA966,Paraméterek!$K$226:$M$228,IF($AG966&lt;IF($D$4="Forint",Paraméterek!$M$223,Paraméterek!$M$224),2,3))),0),0)</f>
        <v>0</v>
      </c>
      <c r="AI966" s="13">
        <f ca="1">IF(AND($AA966=$M$11+1,$AB966=$M$12+1),SUMIF($AA$20:$AA$1027,$AA966,$AG$20:$AG$1027)*IF(SUMIF($AA$20:$AA$1027,$AA966,$AG$20:$AG$1027)&lt;IF($D$4="Forint",Paraméterek!$L$223,Paraméterek!$L$224),0,VLOOKUP($AA966,Paraméterek!$K$230:$M$250,IF(SUMIF($AA$20:$AA$1027,$AA966,$AG$20:$AG$1027)&lt;IF($D$4="Forint",Paraméterek!$M$223,Paraméterek!$M$224),2,3))),0)</f>
        <v>0</v>
      </c>
      <c r="AJ966" s="13">
        <f ca="1">IF(AND($AA966&gt;=5,MOD($AA966,5)=0),IF($AB966=12,VLOOKUP($AA966,Paraméterek!$O$225:$P$240,2),0),IF(OR($AA966=3,$AA966=4),IF($AB966=12,VLOOKUP($AA966,Paraméterek!$O$225:$P$240,2,0),0),0))*$AG966</f>
        <v>0</v>
      </c>
      <c r="AK966" s="13">
        <f t="shared" ca="1" si="317"/>
        <v>0</v>
      </c>
      <c r="AL966" s="13">
        <f t="shared" ca="1" si="325"/>
        <v>0</v>
      </c>
      <c r="AM966" s="13">
        <f t="shared" ca="1" si="326"/>
        <v>0</v>
      </c>
      <c r="AO966" s="32">
        <v>947</v>
      </c>
      <c r="AP966" s="32">
        <v>79</v>
      </c>
      <c r="AQ966" s="32">
        <v>11</v>
      </c>
      <c r="AR966" s="13"/>
      <c r="AS966" s="32"/>
      <c r="AT966" s="13">
        <f t="shared" ca="1" si="327"/>
        <v>0</v>
      </c>
      <c r="AU966" s="33"/>
      <c r="AV966" s="13">
        <f t="shared" ca="1" si="318"/>
        <v>0</v>
      </c>
      <c r="AW966" s="13">
        <f ca="1">ROUNDUP(($AT966+$AV966)*VLOOKUP($AP966,Paraméterek!$P$38:$Q$38,2)/12*IF($D967="Nem",IF($M$13=0,1,$M$13),1),IF($D$4="Forint",0,2))</f>
        <v>0</v>
      </c>
      <c r="AX966" s="13"/>
      <c r="AY966" s="13"/>
      <c r="AZ966" s="13">
        <f>ROUNDUP(IF(SUM($AX966:$AY966)=0,0,IF(IF(ISBLANK($AY966),$AX966,$AY966)*Paraméterek!$J$112&lt;IF($D$4="Forint",Paraméterek!$J$113,Paraméterek!$K$113),IF($D$4="Forint",Paraméterek!$J$113,Paraméterek!$K$113),IF(IF(ISBLANK($AY966),$AX966,$AY966)*Paraméterek!$J$112&gt;IF($D$4="Forint",Paraméterek!$J$114,Paraméterek!$K$114),IF($D$4="Forint",Paraméterek!$J$114,Paraméterek!$K$114),IF(ISBLANK($AY966),$AX966,$AY966)*Paraméterek!$J$112))),IF($D$4="Forint",0,2))</f>
        <v>0</v>
      </c>
      <c r="BA966" s="13">
        <f ca="1">$AT966+$AV966-$AW966-IF(ROUNDDOWN(IF(ISBLANK($AY966),$AX966,$AY966),IF($D$4="Forint",0,2))&gt;$AT966+$AV966-$AW966-IF($D$4="Forint",Paraméterek!$J$114,Paraméterek!$K$114),0,ROUNDDOWN(IF(ISBLANK($AY966),$AX966,$AY966),IF($D$4="Forint",0,2))-$AZ966)</f>
        <v>0</v>
      </c>
      <c r="BB966" s="13">
        <f t="shared" ca="1" si="319"/>
        <v>0</v>
      </c>
      <c r="BD966" s="32">
        <v>947</v>
      </c>
      <c r="BE966" s="32">
        <v>79</v>
      </c>
      <c r="BF966" s="32">
        <v>11</v>
      </c>
      <c r="BG966" s="34">
        <f t="shared" ca="1" si="328"/>
        <v>2098</v>
      </c>
      <c r="BH966" s="32" t="str">
        <f ca="1">IF(MOD(MONTH($D$14)+$BD966-1,12)=Paraméterek!$C$288,"Igen","")</f>
        <v/>
      </c>
      <c r="BI966" s="13">
        <f ca="1">IF($BH966="Igen",MIN(ROUNDDOWN((SUMIF($BG$20:$BG$1027,$BG966-1,$K$20:$K$1027)-SUMIF($BG$20:$BG$1027,$BG966-1,$I$20:$I$1027))*Paraméterek!$C$289,IF($D$4="Forint",0,2)),IF($D$4="Forint",Paraméterek!$C$285,Paraméterek!$D$285)),0)</f>
        <v>0</v>
      </c>
      <c r="BJ966" s="13">
        <f t="shared" ca="1" si="320"/>
        <v>0</v>
      </c>
      <c r="BK966" s="13">
        <f t="shared" ca="1" si="329"/>
        <v>0</v>
      </c>
      <c r="BL966" s="33"/>
      <c r="BM966" s="13">
        <f t="shared" ca="1" si="321"/>
        <v>0</v>
      </c>
      <c r="BN966" s="13">
        <f ca="1">ROUNDUP(($BK966+$BM966)*VLOOKUP($BE966,Paraméterek!$P$38:$Q$38,2)/12*IF($D967="Nem",IF($M$13=0,1,$M$13),1),IF($D$4="Forint",0,2))</f>
        <v>0</v>
      </c>
      <c r="BO966" s="13">
        <f t="shared" ca="1" si="322"/>
        <v>0</v>
      </c>
      <c r="BP966" s="13">
        <f ca="1">IF($D967="Nem",$BO966,$BO966-ROUNDUP(SUM($BI$20:$BI966)*120%,IF($D$4="Forint",0,2)))</f>
        <v>0</v>
      </c>
    </row>
    <row r="967" spans="1:68" x14ac:dyDescent="0.2">
      <c r="A967" s="32">
        <v>948</v>
      </c>
      <c r="B967" s="32">
        <v>79</v>
      </c>
      <c r="C967" s="32">
        <v>12</v>
      </c>
      <c r="D967" s="32" t="str">
        <f t="shared" ca="1" si="308"/>
        <v>Nem</v>
      </c>
      <c r="E967" s="13">
        <f t="shared" ca="1" si="309"/>
        <v>0</v>
      </c>
      <c r="F967" s="13"/>
      <c r="G967" s="13"/>
      <c r="H967" s="13"/>
      <c r="I967" s="13">
        <f t="shared" ca="1" si="310"/>
        <v>0</v>
      </c>
      <c r="J967" s="13">
        <f t="shared" ca="1" si="311"/>
        <v>0</v>
      </c>
      <c r="K967" s="13">
        <f t="shared" ca="1" si="312"/>
        <v>0</v>
      </c>
      <c r="L967" s="13" t="e">
        <f ca="1">ROUNDUP(IF($D$2="Egyszeri",$E967,IF($D$2="Havi",SUM($E$20:$E$31),IF(MOD($C967,$M$1)-1=0,SUM($E$20:$E$31),0))/12*$M$1)*VLOOKUP($B967,Paraméterek!$I$28:$P$31,IF($D$2="Egyszeri",8,HLOOKUP(ROUNDUP($M$11+$M$13,0),Paraméterek!$J$26:$O$27,2))),IF($D$4="Forint",0,2))</f>
        <v>#N/A</v>
      </c>
      <c r="M967" s="13">
        <f t="shared" ca="1" si="313"/>
        <v>0</v>
      </c>
      <c r="N967" s="13">
        <f t="shared" ca="1" si="323"/>
        <v>0</v>
      </c>
      <c r="O967" s="13">
        <f ca="1">IF($D967="Igen",IF($W966&gt;=IF($D$4="Forint",Paraméterek!$J$121,Paraméterek!$K$121),0,IF($D$4="Forint",Paraméterek!$J$121,Paraméterek!$K$121)-$W966),0)</f>
        <v>0</v>
      </c>
      <c r="P967" s="13" t="e">
        <f ca="1">ROUNDUP($O967*VLOOKUP($M$4+$B967-1,Paraméterek!$H$58:$I$105,2,0)/Paraméterek!$I$56,IF($D$4="Forint",0,2))</f>
        <v>#N/A</v>
      </c>
      <c r="Q967" s="13">
        <f t="shared" ca="1" si="314"/>
        <v>0</v>
      </c>
      <c r="R967" s="33"/>
      <c r="S967" s="13" t="e">
        <f t="shared" ca="1" si="315"/>
        <v>#N/A</v>
      </c>
      <c r="T967" s="13" t="e">
        <f ca="1">ROUNDUP(($N967-$P967-$Q967+$S967)*VLOOKUP($B967,Paraméterek!$I$38:$K$39,IF($D$2="Egyszeri",3,2))/12*IF($D968="Nem",IF($M$13=0,1,$M$13),1),IF($D$4="Forint",0,2))</f>
        <v>#N/A</v>
      </c>
      <c r="U967" s="13">
        <f>Tranzakciók!$F$110</f>
        <v>0</v>
      </c>
      <c r="V967" s="13"/>
      <c r="W967" s="13" t="e">
        <f ca="1">$N967-$P967-$Q967+$S967-$T967-IF(ROUNDUP(IF(ISBLANK($V967),$U967*0,$V967)/IF($D$2="Egyszeri",VLOOKUP($B967+IF($C967=12,1,0),Paraméterek!$V$257:$W$262,2),IF($B967=1,1,VLOOKUP($B967+IF($C967=12,1,0),Paraméterek!$I$258:$T$278,HLOOKUP($M$11+1,Paraméterek!$J$256:$T$257,2)))),IF($D$4="Forint",0,2))&gt;$N967-$P967-$Q967+$S967-$T967-IF($D$4="Forint",Paraméterek!$C$216,Paraméterek!$D$216),0,ROUNDUP(IF(ISBLANK($V967),$U967*0,$V967)/IF($D$2="Egyszeri",VLOOKUP($B967+IF($C967=12,1,0),Paraméterek!$V$257:$W$262,2),IF($B967=1,1,VLOOKUP($B967+IF($C967=12,1,0),Paraméterek!$I$258:$T$278,HLOOKUP($M$11+1,Paraméterek!$J$256:$T$257,2)))),IF($D$4="Forint",0,2)))</f>
        <v>#N/A</v>
      </c>
      <c r="X967" s="13" t="e">
        <f ca="1">ROUNDDOWN($W967*IF($D$2="Egyszeri",VLOOKUP($B967+IF($C967=12,1,0),Paraméterek!$V$257:$W$262,2),VLOOKUP($B967+IF($C967=12,1,0),Paraméterek!$I$258:$T$278,HLOOKUP($M$11+1,Paraméterek!$I$256:$T$257,2))),IF($D$4="Forint",0,2))</f>
        <v>#N/A</v>
      </c>
      <c r="Z967" s="32">
        <v>948</v>
      </c>
      <c r="AA967" s="32">
        <v>79</v>
      </c>
      <c r="AB967" s="32">
        <v>12</v>
      </c>
      <c r="AC967" s="13">
        <f t="shared" ca="1" si="324"/>
        <v>0</v>
      </c>
      <c r="AD967" s="33"/>
      <c r="AE967" s="13">
        <f t="shared" ca="1" si="316"/>
        <v>0</v>
      </c>
      <c r="AF967" s="13">
        <f ca="1">ROUNDUP(($AC967+$AE967)*VLOOKUP($AA967,Paraméterek!$P$38:$Q$38,2)/12*IF($D968="Nem",IF($M$13=0,1,$M$13),1),IF($D$4="Forint",0,2))</f>
        <v>0</v>
      </c>
      <c r="AG967" s="13" t="e">
        <f ca="1">IF($D$2="Egyszeri",IF($D$7&gt;=IF($D$4="Forint",Paraméterek!$P$223,Paraméterek!$P$224),$D$7-IF($D$4="Forint",Paraméterek!$P$223,Paraméterek!$P$224),0),MIN(IF($AB967=12,AVERAGEIF($E$20:$E967,"&gt;0",$E$20:$E967)*12,0),SUM($E$20:$E$31)))</f>
        <v>#DIV/0!</v>
      </c>
      <c r="AH967" s="13">
        <f>IF($AA967=10,$AG967*IF($AB967=12,IF($AG967&lt;IF($D$4="Forint",Paraméterek!$L$223,Paraméterek!$L$224),0,VLOOKUP($AA967,Paraméterek!$K$226:$M$228,IF($AG967&lt;IF($D$4="Forint",Paraméterek!$M$223,Paraméterek!$M$224),2,3))),0),0)</f>
        <v>0</v>
      </c>
      <c r="AI967" s="13">
        <f ca="1">IF(AND($AA967=$M$11+1,$AB967=$M$12+1),SUMIF($AA$20:$AA$1027,$AA967,$AG$20:$AG$1027)*IF(SUMIF($AA$20:$AA$1027,$AA967,$AG$20:$AG$1027)&lt;IF($D$4="Forint",Paraméterek!$L$223,Paraméterek!$L$224),0,VLOOKUP($AA967,Paraméterek!$K$230:$M$250,IF(SUMIF($AA$20:$AA$1027,$AA967,$AG$20:$AG$1027)&lt;IF($D$4="Forint",Paraméterek!$M$223,Paraméterek!$M$224),2,3))),0)</f>
        <v>0</v>
      </c>
      <c r="AJ967" s="13" t="e">
        <f ca="1">IF(AND($AA967&gt;=5,MOD($AA967,5)=0),IF($AB967=12,VLOOKUP($AA967,Paraméterek!$O$225:$P$240,2),0),IF(OR($AA967=3,$AA967=4),IF($AB967=12,VLOOKUP($AA967,Paraméterek!$O$225:$P$240,2,0),0),0))*$AG967</f>
        <v>#DIV/0!</v>
      </c>
      <c r="AK967" s="13">
        <f t="shared" ca="1" si="317"/>
        <v>0</v>
      </c>
      <c r="AL967" s="13">
        <f t="shared" ca="1" si="325"/>
        <v>0</v>
      </c>
      <c r="AM967" s="13">
        <f t="shared" ca="1" si="326"/>
        <v>0</v>
      </c>
      <c r="AO967" s="32">
        <v>948</v>
      </c>
      <c r="AP967" s="32">
        <v>79</v>
      </c>
      <c r="AQ967" s="32">
        <v>12</v>
      </c>
      <c r="AR967" s="13"/>
      <c r="AS967" s="32"/>
      <c r="AT967" s="13">
        <f t="shared" ca="1" si="327"/>
        <v>0</v>
      </c>
      <c r="AU967" s="33"/>
      <c r="AV967" s="13">
        <f t="shared" ca="1" si="318"/>
        <v>0</v>
      </c>
      <c r="AW967" s="13">
        <f ca="1">ROUNDUP(($AT967+$AV967)*VLOOKUP($AP967,Paraméterek!$P$38:$Q$38,2)/12*IF($D968="Nem",IF($M$13=0,1,$M$13),1),IF($D$4="Forint",0,2))</f>
        <v>0</v>
      </c>
      <c r="AX967" s="13">
        <f>Tranzakciók!$M$110</f>
        <v>0</v>
      </c>
      <c r="AY967" s="13"/>
      <c r="AZ967" s="13">
        <f>ROUNDUP(IF(SUM($AX967:$AY967)=0,0,IF(IF(ISBLANK($AY967),$AX967,$AY967)*Paraméterek!$J$112&lt;IF($D$4="Forint",Paraméterek!$J$113,Paraméterek!$K$113),IF($D$4="Forint",Paraméterek!$J$113,Paraméterek!$K$113),IF(IF(ISBLANK($AY967),$AX967,$AY967)*Paraméterek!$J$112&gt;IF($D$4="Forint",Paraméterek!$J$114,Paraméterek!$K$114),IF($D$4="Forint",Paraméterek!$J$114,Paraméterek!$K$114),IF(ISBLANK($AY967),$AX967,$AY967)*Paraméterek!$J$112))),IF($D$4="Forint",0,2))</f>
        <v>0</v>
      </c>
      <c r="BA967" s="13">
        <f ca="1">$AT967+$AV967-$AW967-IF(ROUNDDOWN(IF(ISBLANK($AY967),$AX967,$AY967),IF($D$4="Forint",0,2))&gt;$AT967+$AV967-$AW967-IF($D$4="Forint",Paraméterek!$J$114,Paraméterek!$K$114),0,ROUNDDOWN(IF(ISBLANK($AY967),$AX967,$AY967),IF($D$4="Forint",0,2))-$AZ967)</f>
        <v>0</v>
      </c>
      <c r="BB967" s="13">
        <f t="shared" ca="1" si="319"/>
        <v>0</v>
      </c>
      <c r="BD967" s="32">
        <v>948</v>
      </c>
      <c r="BE967" s="32">
        <v>79</v>
      </c>
      <c r="BF967" s="32">
        <v>12</v>
      </c>
      <c r="BG967" s="34">
        <f t="shared" ca="1" si="328"/>
        <v>2098</v>
      </c>
      <c r="BH967" s="32" t="str">
        <f ca="1">IF(MOD(MONTH($D$14)+$BD967-1,12)=Paraméterek!$C$288,"Igen","")</f>
        <v/>
      </c>
      <c r="BI967" s="13">
        <f ca="1">IF($BH967="Igen",MIN(ROUNDDOWN((SUMIF($BG$20:$BG$1027,$BG967-1,$K$20:$K$1027)-SUMIF($BG$20:$BG$1027,$BG967-1,$I$20:$I$1027))*Paraméterek!$C$289,IF($D$4="Forint",0,2)),IF($D$4="Forint",Paraméterek!$C$285,Paraméterek!$D$285)),0)</f>
        <v>0</v>
      </c>
      <c r="BJ967" s="13">
        <f t="shared" ca="1" si="320"/>
        <v>0</v>
      </c>
      <c r="BK967" s="13">
        <f t="shared" ca="1" si="329"/>
        <v>0</v>
      </c>
      <c r="BL967" s="33"/>
      <c r="BM967" s="13">
        <f t="shared" ca="1" si="321"/>
        <v>0</v>
      </c>
      <c r="BN967" s="13">
        <f ca="1">ROUNDUP(($BK967+$BM967)*VLOOKUP($BE967,Paraméterek!$P$38:$Q$38,2)/12*IF($D968="Nem",IF($M$13=0,1,$M$13),1),IF($D$4="Forint",0,2))</f>
        <v>0</v>
      </c>
      <c r="BO967" s="13">
        <f t="shared" ca="1" si="322"/>
        <v>0</v>
      </c>
      <c r="BP967" s="13">
        <f ca="1">IF($D968="Nem",$BO967,$BO967-ROUNDUP(SUM($BI$20:$BI967)*120%,IF($D$4="Forint",0,2)))</f>
        <v>0</v>
      </c>
    </row>
    <row r="968" spans="1:68" x14ac:dyDescent="0.2">
      <c r="A968" s="32">
        <v>949</v>
      </c>
      <c r="B968" s="32">
        <v>80</v>
      </c>
      <c r="C968" s="32">
        <v>1</v>
      </c>
      <c r="D968" s="32" t="str">
        <f t="shared" ca="1" si="308"/>
        <v>Nem</v>
      </c>
      <c r="E968" s="13">
        <f t="shared" ca="1" si="309"/>
        <v>0</v>
      </c>
      <c r="F968" s="13"/>
      <c r="G968" s="13">
        <f>Tranzakciók!$D$111</f>
        <v>0</v>
      </c>
      <c r="H968" s="13"/>
      <c r="I968" s="13">
        <f t="shared" ca="1" si="310"/>
        <v>0</v>
      </c>
      <c r="J968" s="13">
        <f t="shared" ca="1" si="311"/>
        <v>0</v>
      </c>
      <c r="K968" s="13">
        <f t="shared" ca="1" si="312"/>
        <v>0</v>
      </c>
      <c r="L968" s="13" t="e">
        <f ca="1">ROUNDUP(IF($D$2="Egyszeri",$E968,IF($D$2="Havi",SUM($E$20:$E$31),IF(MOD($C968,$M$1)-1=0,SUM($E$20:$E$31),0))/12*$M$1)*VLOOKUP($B968,Paraméterek!$I$28:$P$31,IF($D$2="Egyszeri",8,HLOOKUP(ROUNDUP($M$11+$M$13,0),Paraméterek!$J$26:$O$27,2))),IF($D$4="Forint",0,2))</f>
        <v>#N/A</v>
      </c>
      <c r="M968" s="13">
        <f t="shared" ca="1" si="313"/>
        <v>0</v>
      </c>
      <c r="N968" s="13">
        <f t="shared" ca="1" si="323"/>
        <v>0</v>
      </c>
      <c r="O968" s="13">
        <f ca="1">IF($D968="Igen",IF($W967&gt;=IF($D$4="Forint",Paraméterek!$J$121,Paraméterek!$K$121),0,IF($D$4="Forint",Paraméterek!$J$121,Paraméterek!$K$121)-$W967),0)</f>
        <v>0</v>
      </c>
      <c r="P968" s="13" t="e">
        <f ca="1">ROUNDUP($O968*VLOOKUP($M$4+$B968-1,Paraméterek!$H$58:$I$105,2,0)/Paraméterek!$I$56,IF($D$4="Forint",0,2))</f>
        <v>#N/A</v>
      </c>
      <c r="Q968" s="13">
        <f t="shared" ca="1" si="314"/>
        <v>0</v>
      </c>
      <c r="R968" s="33"/>
      <c r="S968" s="13" t="e">
        <f t="shared" ca="1" si="315"/>
        <v>#N/A</v>
      </c>
      <c r="T968" s="13" t="e">
        <f ca="1">ROUNDUP(($N968-$P968-$Q968+$S968)*VLOOKUP($B968,Paraméterek!$I$38:$K$39,IF($D$2="Egyszeri",3,2))/12*IF($D969="Nem",IF($M$13=0,1,$M$13),1),IF($D$4="Forint",0,2))</f>
        <v>#N/A</v>
      </c>
      <c r="U968" s="13"/>
      <c r="V968" s="13"/>
      <c r="W968" s="13" t="e">
        <f ca="1">$N968-$P968-$Q968+$S968-$T968-IF(ROUNDUP(IF(ISBLANK($V968),$U968*0,$V968)/IF($D$2="Egyszeri",VLOOKUP($B968+IF($C968=12,1,0),Paraméterek!$V$257:$W$262,2),IF($B968=1,1,VLOOKUP($B968+IF($C968=12,1,0),Paraméterek!$I$258:$T$278,HLOOKUP($M$11+1,Paraméterek!$J$256:$T$257,2)))),IF($D$4="Forint",0,2))&gt;$N968-$P968-$Q968+$S968-$T968-IF($D$4="Forint",Paraméterek!$C$216,Paraméterek!$D$216),0,ROUNDUP(IF(ISBLANK($V968),$U968*0,$V968)/IF($D$2="Egyszeri",VLOOKUP($B968+IF($C968=12,1,0),Paraméterek!$V$257:$W$262,2),IF($B968=1,1,VLOOKUP($B968+IF($C968=12,1,0),Paraméterek!$I$258:$T$278,HLOOKUP($M$11+1,Paraméterek!$J$256:$T$257,2)))),IF($D$4="Forint",0,2)))</f>
        <v>#N/A</v>
      </c>
      <c r="X968" s="13" t="e">
        <f ca="1">ROUNDDOWN($W968*IF($D$2="Egyszeri",VLOOKUP($B968+IF($C968=12,1,0),Paraméterek!$V$257:$W$262,2),VLOOKUP($B968+IF($C968=12,1,0),Paraméterek!$I$258:$T$278,HLOOKUP($M$11+1,Paraméterek!$I$256:$T$257,2))),IF($D$4="Forint",0,2))</f>
        <v>#N/A</v>
      </c>
      <c r="Z968" s="32">
        <v>949</v>
      </c>
      <c r="AA968" s="32">
        <v>80</v>
      </c>
      <c r="AB968" s="32">
        <v>1</v>
      </c>
      <c r="AC968" s="13">
        <f t="shared" ca="1" si="324"/>
        <v>0</v>
      </c>
      <c r="AD968" s="33"/>
      <c r="AE968" s="13">
        <f t="shared" ca="1" si="316"/>
        <v>0</v>
      </c>
      <c r="AF968" s="13">
        <f ca="1">ROUNDUP(($AC968+$AE968)*VLOOKUP($AA968,Paraméterek!$P$38:$Q$38,2)/12*IF($D969="Nem",IF($M$13=0,1,$M$13),1),IF($D$4="Forint",0,2))</f>
        <v>0</v>
      </c>
      <c r="AG968" s="13">
        <f ca="1">IF($D$2="Egyszeri",IF($D$7&gt;=IF($D$4="Forint",Paraméterek!$P$223,Paraméterek!$P$224),$D$7-IF($D$4="Forint",Paraméterek!$P$223,Paraméterek!$P$224),0),MIN(IF($AB968=12,AVERAGEIF($E$20:$E968,"&gt;0",$E$20:$E968)*12,0),SUM($E$20:$E$31)))</f>
        <v>0</v>
      </c>
      <c r="AH968" s="13">
        <f>IF($AA968=10,$AG968*IF($AB968=12,IF($AG968&lt;IF($D$4="Forint",Paraméterek!$L$223,Paraméterek!$L$224),0,VLOOKUP($AA968,Paraméterek!$K$226:$M$228,IF($AG968&lt;IF($D$4="Forint",Paraméterek!$M$223,Paraméterek!$M$224),2,3))),0),0)</f>
        <v>0</v>
      </c>
      <c r="AI968" s="13">
        <f ca="1">IF(AND($AA968=$M$11+1,$AB968=$M$12+1),SUMIF($AA$20:$AA$1027,$AA968,$AG$20:$AG$1027)*IF(SUMIF($AA$20:$AA$1027,$AA968,$AG$20:$AG$1027)&lt;IF($D$4="Forint",Paraméterek!$L$223,Paraméterek!$L$224),0,VLOOKUP($AA968,Paraméterek!$K$230:$M$250,IF(SUMIF($AA$20:$AA$1027,$AA968,$AG$20:$AG$1027)&lt;IF($D$4="Forint",Paraméterek!$M$223,Paraméterek!$M$224),2,3))),0)</f>
        <v>0</v>
      </c>
      <c r="AJ968" s="13">
        <f ca="1">IF(AND($AA968&gt;=5,MOD($AA968,5)=0),IF($AB968=12,VLOOKUP($AA968,Paraméterek!$O$225:$P$240,2),0),IF(OR($AA968=3,$AA968=4),IF($AB968=12,VLOOKUP($AA968,Paraméterek!$O$225:$P$240,2,0),0),0))*$AG968</f>
        <v>0</v>
      </c>
      <c r="AK968" s="13">
        <f t="shared" ca="1" si="317"/>
        <v>0</v>
      </c>
      <c r="AL968" s="13">
        <f t="shared" ca="1" si="325"/>
        <v>0</v>
      </c>
      <c r="AM968" s="13">
        <f t="shared" ca="1" si="326"/>
        <v>0</v>
      </c>
      <c r="AO968" s="32">
        <v>949</v>
      </c>
      <c r="AP968" s="32">
        <v>80</v>
      </c>
      <c r="AQ968" s="32">
        <v>1</v>
      </c>
      <c r="AR968" s="13">
        <f>Tranzakciók!$K$111</f>
        <v>0</v>
      </c>
      <c r="AS968" s="32"/>
      <c r="AT968" s="13">
        <f t="shared" ca="1" si="327"/>
        <v>0</v>
      </c>
      <c r="AU968" s="33"/>
      <c r="AV968" s="13">
        <f t="shared" ca="1" si="318"/>
        <v>0</v>
      </c>
      <c r="AW968" s="13">
        <f ca="1">ROUNDUP(($AT968+$AV968)*VLOOKUP($AP968,Paraméterek!$P$38:$Q$38,2)/12*IF($D969="Nem",IF($M$13=0,1,$M$13),1),IF($D$4="Forint",0,2))</f>
        <v>0</v>
      </c>
      <c r="AX968" s="13"/>
      <c r="AY968" s="13"/>
      <c r="AZ968" s="13">
        <f>ROUNDUP(IF(SUM($AX968:$AY968)=0,0,IF(IF(ISBLANK($AY968),$AX968,$AY968)*Paraméterek!$J$112&lt;IF($D$4="Forint",Paraméterek!$J$113,Paraméterek!$K$113),IF($D$4="Forint",Paraméterek!$J$113,Paraméterek!$K$113),IF(IF(ISBLANK($AY968),$AX968,$AY968)*Paraméterek!$J$112&gt;IF($D$4="Forint",Paraméterek!$J$114,Paraméterek!$K$114),IF($D$4="Forint",Paraméterek!$J$114,Paraméterek!$K$114),IF(ISBLANK($AY968),$AX968,$AY968)*Paraméterek!$J$112))),IF($D$4="Forint",0,2))</f>
        <v>0</v>
      </c>
      <c r="BA968" s="13">
        <f ca="1">$AT968+$AV968-$AW968-IF(ROUNDDOWN(IF(ISBLANK($AY968),$AX968,$AY968),IF($D$4="Forint",0,2))&gt;$AT968+$AV968-$AW968-IF($D$4="Forint",Paraméterek!$J$114,Paraméterek!$K$114),0,ROUNDDOWN(IF(ISBLANK($AY968),$AX968,$AY968),IF($D$4="Forint",0,2))-$AZ968)</f>
        <v>0</v>
      </c>
      <c r="BB968" s="13">
        <f t="shared" ca="1" si="319"/>
        <v>0</v>
      </c>
      <c r="BD968" s="32">
        <v>949</v>
      </c>
      <c r="BE968" s="32">
        <v>80</v>
      </c>
      <c r="BF968" s="32">
        <v>1</v>
      </c>
      <c r="BG968" s="34">
        <f t="shared" ca="1" si="328"/>
        <v>2098</v>
      </c>
      <c r="BH968" s="32" t="str">
        <f ca="1">IF(MOD(MONTH($D$14)+$BD968-1,12)=Paraméterek!$C$288,"Igen","")</f>
        <v/>
      </c>
      <c r="BI968" s="13">
        <f ca="1">IF($BH968="Igen",MIN(ROUNDDOWN((SUMIF($BG$20:$BG$1027,$BG968-1,$K$20:$K$1027)-SUMIF($BG$20:$BG$1027,$BG968-1,$I$20:$I$1027))*Paraméterek!$C$289,IF($D$4="Forint",0,2)),IF($D$4="Forint",Paraméterek!$C$285,Paraméterek!$D$285)),0)</f>
        <v>0</v>
      </c>
      <c r="BJ968" s="13">
        <f t="shared" ca="1" si="320"/>
        <v>0</v>
      </c>
      <c r="BK968" s="13">
        <f t="shared" ca="1" si="329"/>
        <v>0</v>
      </c>
      <c r="BL968" s="33"/>
      <c r="BM968" s="13">
        <f t="shared" ca="1" si="321"/>
        <v>0</v>
      </c>
      <c r="BN968" s="13">
        <f ca="1">ROUNDUP(($BK968+$BM968)*VLOOKUP($BE968,Paraméterek!$P$38:$Q$38,2)/12*IF($D969="Nem",IF($M$13=0,1,$M$13),1),IF($D$4="Forint",0,2))</f>
        <v>0</v>
      </c>
      <c r="BO968" s="13">
        <f t="shared" ca="1" si="322"/>
        <v>0</v>
      </c>
      <c r="BP968" s="13">
        <f ca="1">IF($D969="Nem",$BO968,$BO968-ROUNDUP(SUM($BI$20:$BI968)*120%,IF($D$4="Forint",0,2)))</f>
        <v>0</v>
      </c>
    </row>
    <row r="969" spans="1:68" x14ac:dyDescent="0.2">
      <c r="A969" s="32">
        <v>950</v>
      </c>
      <c r="B969" s="32">
        <v>80</v>
      </c>
      <c r="C969" s="32">
        <v>2</v>
      </c>
      <c r="D969" s="32" t="str">
        <f t="shared" ca="1" si="308"/>
        <v>Nem</v>
      </c>
      <c r="E969" s="13">
        <f t="shared" ca="1" si="309"/>
        <v>0</v>
      </c>
      <c r="F969" s="13"/>
      <c r="G969" s="13"/>
      <c r="H969" s="13"/>
      <c r="I969" s="13">
        <f t="shared" ca="1" si="310"/>
        <v>0</v>
      </c>
      <c r="J969" s="13">
        <f t="shared" ca="1" si="311"/>
        <v>0</v>
      </c>
      <c r="K969" s="13">
        <f t="shared" ca="1" si="312"/>
        <v>0</v>
      </c>
      <c r="L969" s="13" t="e">
        <f ca="1">ROUNDUP(IF($D$2="Egyszeri",$E969,IF($D$2="Havi",SUM($E$20:$E$31),IF(MOD($C969,$M$1)-1=0,SUM($E$20:$E$31),0))/12*$M$1)*VLOOKUP($B969,Paraméterek!$I$28:$P$31,IF($D$2="Egyszeri",8,HLOOKUP(ROUNDUP($M$11+$M$13,0),Paraméterek!$J$26:$O$27,2))),IF($D$4="Forint",0,2))</f>
        <v>#N/A</v>
      </c>
      <c r="M969" s="13">
        <f t="shared" ca="1" si="313"/>
        <v>0</v>
      </c>
      <c r="N969" s="13">
        <f t="shared" ca="1" si="323"/>
        <v>0</v>
      </c>
      <c r="O969" s="13">
        <f ca="1">IF($D969="Igen",IF($W968&gt;=IF($D$4="Forint",Paraméterek!$J$121,Paraméterek!$K$121),0,IF($D$4="Forint",Paraméterek!$J$121,Paraméterek!$K$121)-$W968),0)</f>
        <v>0</v>
      </c>
      <c r="P969" s="13" t="e">
        <f ca="1">ROUNDUP($O969*VLOOKUP($M$4+$B969-1,Paraméterek!$H$58:$I$105,2,0)/Paraméterek!$I$56,IF($D$4="Forint",0,2))</f>
        <v>#N/A</v>
      </c>
      <c r="Q969" s="13">
        <f t="shared" ca="1" si="314"/>
        <v>0</v>
      </c>
      <c r="R969" s="33"/>
      <c r="S969" s="13" t="e">
        <f t="shared" ca="1" si="315"/>
        <v>#N/A</v>
      </c>
      <c r="T969" s="13" t="e">
        <f ca="1">ROUNDUP(($N969-$P969-$Q969+$S969)*VLOOKUP($B969,Paraméterek!$I$38:$K$39,IF($D$2="Egyszeri",3,2))/12*IF($D970="Nem",IF($M$13=0,1,$M$13),1),IF($D$4="Forint",0,2))</f>
        <v>#N/A</v>
      </c>
      <c r="U969" s="13"/>
      <c r="V969" s="13"/>
      <c r="W969" s="13" t="e">
        <f ca="1">$N969-$P969-$Q969+$S969-$T969-IF(ROUNDUP(IF(ISBLANK($V969),$U969*0,$V969)/IF($D$2="Egyszeri",VLOOKUP($B969+IF($C969=12,1,0),Paraméterek!$V$257:$W$262,2),IF($B969=1,1,VLOOKUP($B969+IF($C969=12,1,0),Paraméterek!$I$258:$T$278,HLOOKUP($M$11+1,Paraméterek!$J$256:$T$257,2)))),IF($D$4="Forint",0,2))&gt;$N969-$P969-$Q969+$S969-$T969-IF($D$4="Forint",Paraméterek!$C$216,Paraméterek!$D$216),0,ROUNDUP(IF(ISBLANK($V969),$U969*0,$V969)/IF($D$2="Egyszeri",VLOOKUP($B969+IF($C969=12,1,0),Paraméterek!$V$257:$W$262,2),IF($B969=1,1,VLOOKUP($B969+IF($C969=12,1,0),Paraméterek!$I$258:$T$278,HLOOKUP($M$11+1,Paraméterek!$J$256:$T$257,2)))),IF($D$4="Forint",0,2)))</f>
        <v>#N/A</v>
      </c>
      <c r="X969" s="13" t="e">
        <f ca="1">ROUNDDOWN($W969*IF($D$2="Egyszeri",VLOOKUP($B969+IF($C969=12,1,0),Paraméterek!$V$257:$W$262,2),VLOOKUP($B969+IF($C969=12,1,0),Paraméterek!$I$258:$T$278,HLOOKUP($M$11+1,Paraméterek!$I$256:$T$257,2))),IF($D$4="Forint",0,2))</f>
        <v>#N/A</v>
      </c>
      <c r="Z969" s="32">
        <v>950</v>
      </c>
      <c r="AA969" s="32">
        <v>80</v>
      </c>
      <c r="AB969" s="32">
        <v>2</v>
      </c>
      <c r="AC969" s="13">
        <f t="shared" ca="1" si="324"/>
        <v>0</v>
      </c>
      <c r="AD969" s="33"/>
      <c r="AE969" s="13">
        <f t="shared" ca="1" si="316"/>
        <v>0</v>
      </c>
      <c r="AF969" s="13">
        <f ca="1">ROUNDUP(($AC969+$AE969)*VLOOKUP($AA969,Paraméterek!$P$38:$Q$38,2)/12*IF($D970="Nem",IF($M$13=0,1,$M$13),1),IF($D$4="Forint",0,2))</f>
        <v>0</v>
      </c>
      <c r="AG969" s="13">
        <f ca="1">IF($D$2="Egyszeri",IF($D$7&gt;=IF($D$4="Forint",Paraméterek!$P$223,Paraméterek!$P$224),$D$7-IF($D$4="Forint",Paraméterek!$P$223,Paraméterek!$P$224),0),MIN(IF($AB969=12,AVERAGEIF($E$20:$E969,"&gt;0",$E$20:$E969)*12,0),SUM($E$20:$E$31)))</f>
        <v>0</v>
      </c>
      <c r="AH969" s="13">
        <f>IF($AA969=10,$AG969*IF($AB969=12,IF($AG969&lt;IF($D$4="Forint",Paraméterek!$L$223,Paraméterek!$L$224),0,VLOOKUP($AA969,Paraméterek!$K$226:$M$228,IF($AG969&lt;IF($D$4="Forint",Paraméterek!$M$223,Paraméterek!$M$224),2,3))),0),0)</f>
        <v>0</v>
      </c>
      <c r="AI969" s="13">
        <f ca="1">IF(AND($AA969=$M$11+1,$AB969=$M$12+1),SUMIF($AA$20:$AA$1027,$AA969,$AG$20:$AG$1027)*IF(SUMIF($AA$20:$AA$1027,$AA969,$AG$20:$AG$1027)&lt;IF($D$4="Forint",Paraméterek!$L$223,Paraméterek!$L$224),0,VLOOKUP($AA969,Paraméterek!$K$230:$M$250,IF(SUMIF($AA$20:$AA$1027,$AA969,$AG$20:$AG$1027)&lt;IF($D$4="Forint",Paraméterek!$M$223,Paraméterek!$M$224),2,3))),0)</f>
        <v>0</v>
      </c>
      <c r="AJ969" s="13">
        <f ca="1">IF(AND($AA969&gt;=5,MOD($AA969,5)=0),IF($AB969=12,VLOOKUP($AA969,Paraméterek!$O$225:$P$240,2),0),IF(OR($AA969=3,$AA969=4),IF($AB969=12,VLOOKUP($AA969,Paraméterek!$O$225:$P$240,2,0),0),0))*$AG969</f>
        <v>0</v>
      </c>
      <c r="AK969" s="13">
        <f t="shared" ca="1" si="317"/>
        <v>0</v>
      </c>
      <c r="AL969" s="13">
        <f t="shared" ca="1" si="325"/>
        <v>0</v>
      </c>
      <c r="AM969" s="13">
        <f t="shared" ca="1" si="326"/>
        <v>0</v>
      </c>
      <c r="AO969" s="32">
        <v>950</v>
      </c>
      <c r="AP969" s="32">
        <v>80</v>
      </c>
      <c r="AQ969" s="32">
        <v>2</v>
      </c>
      <c r="AR969" s="13"/>
      <c r="AS969" s="32"/>
      <c r="AT969" s="13">
        <f t="shared" ca="1" si="327"/>
        <v>0</v>
      </c>
      <c r="AU969" s="33"/>
      <c r="AV969" s="13">
        <f t="shared" ca="1" si="318"/>
        <v>0</v>
      </c>
      <c r="AW969" s="13">
        <f ca="1">ROUNDUP(($AT969+$AV969)*VLOOKUP($AP969,Paraméterek!$P$38:$Q$38,2)/12*IF($D970="Nem",IF($M$13=0,1,$M$13),1),IF($D$4="Forint",0,2))</f>
        <v>0</v>
      </c>
      <c r="AX969" s="13"/>
      <c r="AY969" s="13"/>
      <c r="AZ969" s="13">
        <f>ROUNDUP(IF(SUM($AX969:$AY969)=0,0,IF(IF(ISBLANK($AY969),$AX969,$AY969)*Paraméterek!$J$112&lt;IF($D$4="Forint",Paraméterek!$J$113,Paraméterek!$K$113),IF($D$4="Forint",Paraméterek!$J$113,Paraméterek!$K$113),IF(IF(ISBLANK($AY969),$AX969,$AY969)*Paraméterek!$J$112&gt;IF($D$4="Forint",Paraméterek!$J$114,Paraméterek!$K$114),IF($D$4="Forint",Paraméterek!$J$114,Paraméterek!$K$114),IF(ISBLANK($AY969),$AX969,$AY969)*Paraméterek!$J$112))),IF($D$4="Forint",0,2))</f>
        <v>0</v>
      </c>
      <c r="BA969" s="13">
        <f ca="1">$AT969+$AV969-$AW969-IF(ROUNDDOWN(IF(ISBLANK($AY969),$AX969,$AY969),IF($D$4="Forint",0,2))&gt;$AT969+$AV969-$AW969-IF($D$4="Forint",Paraméterek!$J$114,Paraméterek!$K$114),0,ROUNDDOWN(IF(ISBLANK($AY969),$AX969,$AY969),IF($D$4="Forint",0,2))-$AZ969)</f>
        <v>0</v>
      </c>
      <c r="BB969" s="13">
        <f t="shared" ca="1" si="319"/>
        <v>0</v>
      </c>
      <c r="BD969" s="32">
        <v>950</v>
      </c>
      <c r="BE969" s="32">
        <v>80</v>
      </c>
      <c r="BF969" s="32">
        <v>2</v>
      </c>
      <c r="BG969" s="34">
        <f t="shared" ca="1" si="328"/>
        <v>2098</v>
      </c>
      <c r="BH969" s="32" t="str">
        <f ca="1">IF(MOD(MONTH($D$14)+$BD969-1,12)=Paraméterek!$C$288,"Igen","")</f>
        <v>Igen</v>
      </c>
      <c r="BI969" s="13">
        <f ca="1">IF($BH969="Igen",MIN(ROUNDDOWN((SUMIF($BG$20:$BG$1027,$BG969-1,$K$20:$K$1027)-SUMIF($BG$20:$BG$1027,$BG969-1,$I$20:$I$1027))*Paraméterek!$C$289,IF($D$4="Forint",0,2)),IF($D$4="Forint",Paraméterek!$C$285,Paraméterek!$D$285)),0)</f>
        <v>0</v>
      </c>
      <c r="BJ969" s="13">
        <f t="shared" ca="1" si="320"/>
        <v>0</v>
      </c>
      <c r="BK969" s="13">
        <f t="shared" ca="1" si="329"/>
        <v>0</v>
      </c>
      <c r="BL969" s="33"/>
      <c r="BM969" s="13">
        <f t="shared" ca="1" si="321"/>
        <v>0</v>
      </c>
      <c r="BN969" s="13">
        <f ca="1">ROUNDUP(($BK969+$BM969)*VLOOKUP($BE969,Paraméterek!$P$38:$Q$38,2)/12*IF($D970="Nem",IF($M$13=0,1,$M$13),1),IF($D$4="Forint",0,2))</f>
        <v>0</v>
      </c>
      <c r="BO969" s="13">
        <f t="shared" ca="1" si="322"/>
        <v>0</v>
      </c>
      <c r="BP969" s="13">
        <f ca="1">IF($D970="Nem",$BO969,$BO969-ROUNDUP(SUM($BI$20:$BI969)*120%,IF($D$4="Forint",0,2)))</f>
        <v>0</v>
      </c>
    </row>
    <row r="970" spans="1:68" x14ac:dyDescent="0.2">
      <c r="A970" s="32">
        <v>951</v>
      </c>
      <c r="B970" s="32">
        <v>80</v>
      </c>
      <c r="C970" s="32">
        <v>3</v>
      </c>
      <c r="D970" s="32" t="str">
        <f t="shared" ca="1" si="308"/>
        <v>Nem</v>
      </c>
      <c r="E970" s="13">
        <f t="shared" ca="1" si="309"/>
        <v>0</v>
      </c>
      <c r="F970" s="13"/>
      <c r="G970" s="13"/>
      <c r="H970" s="13"/>
      <c r="I970" s="13">
        <f t="shared" ca="1" si="310"/>
        <v>0</v>
      </c>
      <c r="J970" s="13">
        <f t="shared" ca="1" si="311"/>
        <v>0</v>
      </c>
      <c r="K970" s="13">
        <f t="shared" ca="1" si="312"/>
        <v>0</v>
      </c>
      <c r="L970" s="13" t="e">
        <f ca="1">ROUNDUP(IF($D$2="Egyszeri",$E970,IF($D$2="Havi",SUM($E$20:$E$31),IF(MOD($C970,$M$1)-1=0,SUM($E$20:$E$31),0))/12*$M$1)*VLOOKUP($B970,Paraméterek!$I$28:$P$31,IF($D$2="Egyszeri",8,HLOOKUP(ROUNDUP($M$11+$M$13,0),Paraméterek!$J$26:$O$27,2))),IF($D$4="Forint",0,2))</f>
        <v>#N/A</v>
      </c>
      <c r="M970" s="13">
        <f t="shared" ca="1" si="313"/>
        <v>0</v>
      </c>
      <c r="N970" s="13">
        <f t="shared" ca="1" si="323"/>
        <v>0</v>
      </c>
      <c r="O970" s="13">
        <f ca="1">IF($D970="Igen",IF($W969&gt;=IF($D$4="Forint",Paraméterek!$J$121,Paraméterek!$K$121),0,IF($D$4="Forint",Paraméterek!$J$121,Paraméterek!$K$121)-$W969),0)</f>
        <v>0</v>
      </c>
      <c r="P970" s="13" t="e">
        <f ca="1">ROUNDUP($O970*VLOOKUP($M$4+$B970-1,Paraméterek!$H$58:$I$105,2,0)/Paraméterek!$I$56,IF($D$4="Forint",0,2))</f>
        <v>#N/A</v>
      </c>
      <c r="Q970" s="13">
        <f t="shared" ca="1" si="314"/>
        <v>0</v>
      </c>
      <c r="R970" s="33"/>
      <c r="S970" s="13" t="e">
        <f t="shared" ca="1" si="315"/>
        <v>#N/A</v>
      </c>
      <c r="T970" s="13" t="e">
        <f ca="1">ROUNDUP(($N970-$P970-$Q970+$S970)*VLOOKUP($B970,Paraméterek!$I$38:$K$39,IF($D$2="Egyszeri",3,2))/12*IF($D971="Nem",IF($M$13=0,1,$M$13),1),IF($D$4="Forint",0,2))</f>
        <v>#N/A</v>
      </c>
      <c r="U970" s="13"/>
      <c r="V970" s="13"/>
      <c r="W970" s="13" t="e">
        <f ca="1">$N970-$P970-$Q970+$S970-$T970-IF(ROUNDUP(IF(ISBLANK($V970),$U970*0,$V970)/IF($D$2="Egyszeri",VLOOKUP($B970+IF($C970=12,1,0),Paraméterek!$V$257:$W$262,2),IF($B970=1,1,VLOOKUP($B970+IF($C970=12,1,0),Paraméterek!$I$258:$T$278,HLOOKUP($M$11+1,Paraméterek!$J$256:$T$257,2)))),IF($D$4="Forint",0,2))&gt;$N970-$P970-$Q970+$S970-$T970-IF($D$4="Forint",Paraméterek!$C$216,Paraméterek!$D$216),0,ROUNDUP(IF(ISBLANK($V970),$U970*0,$V970)/IF($D$2="Egyszeri",VLOOKUP($B970+IF($C970=12,1,0),Paraméterek!$V$257:$W$262,2),IF($B970=1,1,VLOOKUP($B970+IF($C970=12,1,0),Paraméterek!$I$258:$T$278,HLOOKUP($M$11+1,Paraméterek!$J$256:$T$257,2)))),IF($D$4="Forint",0,2)))</f>
        <v>#N/A</v>
      </c>
      <c r="X970" s="13" t="e">
        <f ca="1">ROUNDDOWN($W970*IF($D$2="Egyszeri",VLOOKUP($B970+IF($C970=12,1,0),Paraméterek!$V$257:$W$262,2),VLOOKUP($B970+IF($C970=12,1,0),Paraméterek!$I$258:$T$278,HLOOKUP($M$11+1,Paraméterek!$I$256:$T$257,2))),IF($D$4="Forint",0,2))</f>
        <v>#N/A</v>
      </c>
      <c r="Z970" s="32">
        <v>951</v>
      </c>
      <c r="AA970" s="32">
        <v>80</v>
      </c>
      <c r="AB970" s="32">
        <v>3</v>
      </c>
      <c r="AC970" s="13">
        <f t="shared" ca="1" si="324"/>
        <v>0</v>
      </c>
      <c r="AD970" s="33"/>
      <c r="AE970" s="13">
        <f t="shared" ca="1" si="316"/>
        <v>0</v>
      </c>
      <c r="AF970" s="13">
        <f ca="1">ROUNDUP(($AC970+$AE970)*VLOOKUP($AA970,Paraméterek!$P$38:$Q$38,2)/12*IF($D971="Nem",IF($M$13=0,1,$M$13),1),IF($D$4="Forint",0,2))</f>
        <v>0</v>
      </c>
      <c r="AG970" s="13">
        <f ca="1">IF($D$2="Egyszeri",IF($D$7&gt;=IF($D$4="Forint",Paraméterek!$P$223,Paraméterek!$P$224),$D$7-IF($D$4="Forint",Paraméterek!$P$223,Paraméterek!$P$224),0),MIN(IF($AB970=12,AVERAGEIF($E$20:$E970,"&gt;0",$E$20:$E970)*12,0),SUM($E$20:$E$31)))</f>
        <v>0</v>
      </c>
      <c r="AH970" s="13">
        <f>IF($AA970=10,$AG970*IF($AB970=12,IF($AG970&lt;IF($D$4="Forint",Paraméterek!$L$223,Paraméterek!$L$224),0,VLOOKUP($AA970,Paraméterek!$K$226:$M$228,IF($AG970&lt;IF($D$4="Forint",Paraméterek!$M$223,Paraméterek!$M$224),2,3))),0),0)</f>
        <v>0</v>
      </c>
      <c r="AI970" s="13">
        <f ca="1">IF(AND($AA970=$M$11+1,$AB970=$M$12+1),SUMIF($AA$20:$AA$1027,$AA970,$AG$20:$AG$1027)*IF(SUMIF($AA$20:$AA$1027,$AA970,$AG$20:$AG$1027)&lt;IF($D$4="Forint",Paraméterek!$L$223,Paraméterek!$L$224),0,VLOOKUP($AA970,Paraméterek!$K$230:$M$250,IF(SUMIF($AA$20:$AA$1027,$AA970,$AG$20:$AG$1027)&lt;IF($D$4="Forint",Paraméterek!$M$223,Paraméterek!$M$224),2,3))),0)</f>
        <v>0</v>
      </c>
      <c r="AJ970" s="13">
        <f ca="1">IF(AND($AA970&gt;=5,MOD($AA970,5)=0),IF($AB970=12,VLOOKUP($AA970,Paraméterek!$O$225:$P$240,2),0),IF(OR($AA970=3,$AA970=4),IF($AB970=12,VLOOKUP($AA970,Paraméterek!$O$225:$P$240,2,0),0),0))*$AG970</f>
        <v>0</v>
      </c>
      <c r="AK970" s="13">
        <f t="shared" ca="1" si="317"/>
        <v>0</v>
      </c>
      <c r="AL970" s="13">
        <f t="shared" ca="1" si="325"/>
        <v>0</v>
      </c>
      <c r="AM970" s="13">
        <f t="shared" ca="1" si="326"/>
        <v>0</v>
      </c>
      <c r="AO970" s="32">
        <v>951</v>
      </c>
      <c r="AP970" s="32">
        <v>80</v>
      </c>
      <c r="AQ970" s="32">
        <v>3</v>
      </c>
      <c r="AR970" s="13"/>
      <c r="AS970" s="32"/>
      <c r="AT970" s="13">
        <f t="shared" ca="1" si="327"/>
        <v>0</v>
      </c>
      <c r="AU970" s="33"/>
      <c r="AV970" s="13">
        <f t="shared" ca="1" si="318"/>
        <v>0</v>
      </c>
      <c r="AW970" s="13">
        <f ca="1">ROUNDUP(($AT970+$AV970)*VLOOKUP($AP970,Paraméterek!$P$38:$Q$38,2)/12*IF($D971="Nem",IF($M$13=0,1,$M$13),1),IF($D$4="Forint",0,2))</f>
        <v>0</v>
      </c>
      <c r="AX970" s="13"/>
      <c r="AY970" s="13"/>
      <c r="AZ970" s="13">
        <f>ROUNDUP(IF(SUM($AX970:$AY970)=0,0,IF(IF(ISBLANK($AY970),$AX970,$AY970)*Paraméterek!$J$112&lt;IF($D$4="Forint",Paraméterek!$J$113,Paraméterek!$K$113),IF($D$4="Forint",Paraméterek!$J$113,Paraméterek!$K$113),IF(IF(ISBLANK($AY970),$AX970,$AY970)*Paraméterek!$J$112&gt;IF($D$4="Forint",Paraméterek!$J$114,Paraméterek!$K$114),IF($D$4="Forint",Paraméterek!$J$114,Paraméterek!$K$114),IF(ISBLANK($AY970),$AX970,$AY970)*Paraméterek!$J$112))),IF($D$4="Forint",0,2))</f>
        <v>0</v>
      </c>
      <c r="BA970" s="13">
        <f ca="1">$AT970+$AV970-$AW970-IF(ROUNDDOWN(IF(ISBLANK($AY970),$AX970,$AY970),IF($D$4="Forint",0,2))&gt;$AT970+$AV970-$AW970-IF($D$4="Forint",Paraméterek!$J$114,Paraméterek!$K$114),0,ROUNDDOWN(IF(ISBLANK($AY970),$AX970,$AY970),IF($D$4="Forint",0,2))-$AZ970)</f>
        <v>0</v>
      </c>
      <c r="BB970" s="13">
        <f t="shared" ca="1" si="319"/>
        <v>0</v>
      </c>
      <c r="BD970" s="32">
        <v>951</v>
      </c>
      <c r="BE970" s="32">
        <v>80</v>
      </c>
      <c r="BF970" s="32">
        <v>3</v>
      </c>
      <c r="BG970" s="34">
        <f t="shared" ca="1" si="328"/>
        <v>2098</v>
      </c>
      <c r="BH970" s="32" t="str">
        <f ca="1">IF(MOD(MONTH($D$14)+$BD970-1,12)=Paraméterek!$C$288,"Igen","")</f>
        <v/>
      </c>
      <c r="BI970" s="13">
        <f ca="1">IF($BH970="Igen",MIN(ROUNDDOWN((SUMIF($BG$20:$BG$1027,$BG970-1,$K$20:$K$1027)-SUMIF($BG$20:$BG$1027,$BG970-1,$I$20:$I$1027))*Paraméterek!$C$289,IF($D$4="Forint",0,2)),IF($D$4="Forint",Paraméterek!$C$285,Paraméterek!$D$285)),0)</f>
        <v>0</v>
      </c>
      <c r="BJ970" s="13">
        <f t="shared" ca="1" si="320"/>
        <v>0</v>
      </c>
      <c r="BK970" s="13">
        <f t="shared" ca="1" si="329"/>
        <v>0</v>
      </c>
      <c r="BL970" s="33"/>
      <c r="BM970" s="13">
        <f t="shared" ca="1" si="321"/>
        <v>0</v>
      </c>
      <c r="BN970" s="13">
        <f ca="1">ROUNDUP(($BK970+$BM970)*VLOOKUP($BE970,Paraméterek!$P$38:$Q$38,2)/12*IF($D971="Nem",IF($M$13=0,1,$M$13),1),IF($D$4="Forint",0,2))</f>
        <v>0</v>
      </c>
      <c r="BO970" s="13">
        <f t="shared" ca="1" si="322"/>
        <v>0</v>
      </c>
      <c r="BP970" s="13">
        <f ca="1">IF($D971="Nem",$BO970,$BO970-ROUNDUP(SUM($BI$20:$BI970)*120%,IF($D$4="Forint",0,2)))</f>
        <v>0</v>
      </c>
    </row>
    <row r="971" spans="1:68" x14ac:dyDescent="0.2">
      <c r="A971" s="32">
        <v>952</v>
      </c>
      <c r="B971" s="32">
        <v>80</v>
      </c>
      <c r="C971" s="32">
        <v>4</v>
      </c>
      <c r="D971" s="32" t="str">
        <f t="shared" ca="1" si="308"/>
        <v>Nem</v>
      </c>
      <c r="E971" s="13">
        <f t="shared" ca="1" si="309"/>
        <v>0</v>
      </c>
      <c r="F971" s="13"/>
      <c r="G971" s="13"/>
      <c r="H971" s="13"/>
      <c r="I971" s="13">
        <f t="shared" ca="1" si="310"/>
        <v>0</v>
      </c>
      <c r="J971" s="13">
        <f t="shared" ca="1" si="311"/>
        <v>0</v>
      </c>
      <c r="K971" s="13">
        <f t="shared" ca="1" si="312"/>
        <v>0</v>
      </c>
      <c r="L971" s="13" t="e">
        <f ca="1">ROUNDUP(IF($D$2="Egyszeri",$E971,IF($D$2="Havi",SUM($E$20:$E$31),IF(MOD($C971,$M$1)-1=0,SUM($E$20:$E$31),0))/12*$M$1)*VLOOKUP($B971,Paraméterek!$I$28:$P$31,IF($D$2="Egyszeri",8,HLOOKUP(ROUNDUP($M$11+$M$13,0),Paraméterek!$J$26:$O$27,2))),IF($D$4="Forint",0,2))</f>
        <v>#N/A</v>
      </c>
      <c r="M971" s="13">
        <f t="shared" ca="1" si="313"/>
        <v>0</v>
      </c>
      <c r="N971" s="13">
        <f t="shared" ca="1" si="323"/>
        <v>0</v>
      </c>
      <c r="O971" s="13">
        <f ca="1">IF($D971="Igen",IF($W970&gt;=IF($D$4="Forint",Paraméterek!$J$121,Paraméterek!$K$121),0,IF($D$4="Forint",Paraméterek!$J$121,Paraméterek!$K$121)-$W970),0)</f>
        <v>0</v>
      </c>
      <c r="P971" s="13" t="e">
        <f ca="1">ROUNDUP($O971*VLOOKUP($M$4+$B971-1,Paraméterek!$H$58:$I$105,2,0)/Paraméterek!$I$56,IF($D$4="Forint",0,2))</f>
        <v>#N/A</v>
      </c>
      <c r="Q971" s="13">
        <f t="shared" ca="1" si="314"/>
        <v>0</v>
      </c>
      <c r="R971" s="33"/>
      <c r="S971" s="13" t="e">
        <f t="shared" ca="1" si="315"/>
        <v>#N/A</v>
      </c>
      <c r="T971" s="13" t="e">
        <f ca="1">ROUNDUP(($N971-$P971-$Q971+$S971)*VLOOKUP($B971,Paraméterek!$I$38:$K$39,IF($D$2="Egyszeri",3,2))/12*IF($D972="Nem",IF($M$13=0,1,$M$13),1),IF($D$4="Forint",0,2))</f>
        <v>#N/A</v>
      </c>
      <c r="U971" s="13"/>
      <c r="V971" s="13"/>
      <c r="W971" s="13" t="e">
        <f ca="1">$N971-$P971-$Q971+$S971-$T971-IF(ROUNDUP(IF(ISBLANK($V971),$U971*0,$V971)/IF($D$2="Egyszeri",VLOOKUP($B971+IF($C971=12,1,0),Paraméterek!$V$257:$W$262,2),IF($B971=1,1,VLOOKUP($B971+IF($C971=12,1,0),Paraméterek!$I$258:$T$278,HLOOKUP($M$11+1,Paraméterek!$J$256:$T$257,2)))),IF($D$4="Forint",0,2))&gt;$N971-$P971-$Q971+$S971-$T971-IF($D$4="Forint",Paraméterek!$C$216,Paraméterek!$D$216),0,ROUNDUP(IF(ISBLANK($V971),$U971*0,$V971)/IF($D$2="Egyszeri",VLOOKUP($B971+IF($C971=12,1,0),Paraméterek!$V$257:$W$262,2),IF($B971=1,1,VLOOKUP($B971+IF($C971=12,1,0),Paraméterek!$I$258:$T$278,HLOOKUP($M$11+1,Paraméterek!$J$256:$T$257,2)))),IF($D$4="Forint",0,2)))</f>
        <v>#N/A</v>
      </c>
      <c r="X971" s="13" t="e">
        <f ca="1">ROUNDDOWN($W971*IF($D$2="Egyszeri",VLOOKUP($B971+IF($C971=12,1,0),Paraméterek!$V$257:$W$262,2),VLOOKUP($B971+IF($C971=12,1,0),Paraméterek!$I$258:$T$278,HLOOKUP($M$11+1,Paraméterek!$I$256:$T$257,2))),IF($D$4="Forint",0,2))</f>
        <v>#N/A</v>
      </c>
      <c r="Z971" s="32">
        <v>952</v>
      </c>
      <c r="AA971" s="32">
        <v>80</v>
      </c>
      <c r="AB971" s="32">
        <v>4</v>
      </c>
      <c r="AC971" s="13">
        <f t="shared" ca="1" si="324"/>
        <v>0</v>
      </c>
      <c r="AD971" s="33"/>
      <c r="AE971" s="13">
        <f t="shared" ca="1" si="316"/>
        <v>0</v>
      </c>
      <c r="AF971" s="13">
        <f ca="1">ROUNDUP(($AC971+$AE971)*VLOOKUP($AA971,Paraméterek!$P$38:$Q$38,2)/12*IF($D972="Nem",IF($M$13=0,1,$M$13),1),IF($D$4="Forint",0,2))</f>
        <v>0</v>
      </c>
      <c r="AG971" s="13">
        <f ca="1">IF($D$2="Egyszeri",IF($D$7&gt;=IF($D$4="Forint",Paraméterek!$P$223,Paraméterek!$P$224),$D$7-IF($D$4="Forint",Paraméterek!$P$223,Paraméterek!$P$224),0),MIN(IF($AB971=12,AVERAGEIF($E$20:$E971,"&gt;0",$E$20:$E971)*12,0),SUM($E$20:$E$31)))</f>
        <v>0</v>
      </c>
      <c r="AH971" s="13">
        <f>IF($AA971=10,$AG971*IF($AB971=12,IF($AG971&lt;IF($D$4="Forint",Paraméterek!$L$223,Paraméterek!$L$224),0,VLOOKUP($AA971,Paraméterek!$K$226:$M$228,IF($AG971&lt;IF($D$4="Forint",Paraméterek!$M$223,Paraméterek!$M$224),2,3))),0),0)</f>
        <v>0</v>
      </c>
      <c r="AI971" s="13">
        <f ca="1">IF(AND($AA971=$M$11+1,$AB971=$M$12+1),SUMIF($AA$20:$AA$1027,$AA971,$AG$20:$AG$1027)*IF(SUMIF($AA$20:$AA$1027,$AA971,$AG$20:$AG$1027)&lt;IF($D$4="Forint",Paraméterek!$L$223,Paraméterek!$L$224),0,VLOOKUP($AA971,Paraméterek!$K$230:$M$250,IF(SUMIF($AA$20:$AA$1027,$AA971,$AG$20:$AG$1027)&lt;IF($D$4="Forint",Paraméterek!$M$223,Paraméterek!$M$224),2,3))),0)</f>
        <v>0</v>
      </c>
      <c r="AJ971" s="13">
        <f ca="1">IF(AND($AA971&gt;=5,MOD($AA971,5)=0),IF($AB971=12,VLOOKUP($AA971,Paraméterek!$O$225:$P$240,2),0),IF(OR($AA971=3,$AA971=4),IF($AB971=12,VLOOKUP($AA971,Paraméterek!$O$225:$P$240,2,0),0),0))*$AG971</f>
        <v>0</v>
      </c>
      <c r="AK971" s="13">
        <f t="shared" ca="1" si="317"/>
        <v>0</v>
      </c>
      <c r="AL971" s="13">
        <f t="shared" ca="1" si="325"/>
        <v>0</v>
      </c>
      <c r="AM971" s="13">
        <f t="shared" ca="1" si="326"/>
        <v>0</v>
      </c>
      <c r="AO971" s="32">
        <v>952</v>
      </c>
      <c r="AP971" s="32">
        <v>80</v>
      </c>
      <c r="AQ971" s="32">
        <v>4</v>
      </c>
      <c r="AR971" s="13"/>
      <c r="AS971" s="32"/>
      <c r="AT971" s="13">
        <f t="shared" ca="1" si="327"/>
        <v>0</v>
      </c>
      <c r="AU971" s="33"/>
      <c r="AV971" s="13">
        <f t="shared" ca="1" si="318"/>
        <v>0</v>
      </c>
      <c r="AW971" s="13">
        <f ca="1">ROUNDUP(($AT971+$AV971)*VLOOKUP($AP971,Paraméterek!$P$38:$Q$38,2)/12*IF($D972="Nem",IF($M$13=0,1,$M$13),1),IF($D$4="Forint",0,2))</f>
        <v>0</v>
      </c>
      <c r="AX971" s="13"/>
      <c r="AY971" s="13"/>
      <c r="AZ971" s="13">
        <f>ROUNDUP(IF(SUM($AX971:$AY971)=0,0,IF(IF(ISBLANK($AY971),$AX971,$AY971)*Paraméterek!$J$112&lt;IF($D$4="Forint",Paraméterek!$J$113,Paraméterek!$K$113),IF($D$4="Forint",Paraméterek!$J$113,Paraméterek!$K$113),IF(IF(ISBLANK($AY971),$AX971,$AY971)*Paraméterek!$J$112&gt;IF($D$4="Forint",Paraméterek!$J$114,Paraméterek!$K$114),IF($D$4="Forint",Paraméterek!$J$114,Paraméterek!$K$114),IF(ISBLANK($AY971),$AX971,$AY971)*Paraméterek!$J$112))),IF($D$4="Forint",0,2))</f>
        <v>0</v>
      </c>
      <c r="BA971" s="13">
        <f ca="1">$AT971+$AV971-$AW971-IF(ROUNDDOWN(IF(ISBLANK($AY971),$AX971,$AY971),IF($D$4="Forint",0,2))&gt;$AT971+$AV971-$AW971-IF($D$4="Forint",Paraméterek!$J$114,Paraméterek!$K$114),0,ROUNDDOWN(IF(ISBLANK($AY971),$AX971,$AY971),IF($D$4="Forint",0,2))-$AZ971)</f>
        <v>0</v>
      </c>
      <c r="BB971" s="13">
        <f t="shared" ca="1" si="319"/>
        <v>0</v>
      </c>
      <c r="BD971" s="32">
        <v>952</v>
      </c>
      <c r="BE971" s="32">
        <v>80</v>
      </c>
      <c r="BF971" s="32">
        <v>4</v>
      </c>
      <c r="BG971" s="34">
        <f t="shared" ca="1" si="328"/>
        <v>2098</v>
      </c>
      <c r="BH971" s="32" t="str">
        <f ca="1">IF(MOD(MONTH($D$14)+$BD971-1,12)=Paraméterek!$C$288,"Igen","")</f>
        <v/>
      </c>
      <c r="BI971" s="13">
        <f ca="1">IF($BH971="Igen",MIN(ROUNDDOWN((SUMIF($BG$20:$BG$1027,$BG971-1,$K$20:$K$1027)-SUMIF($BG$20:$BG$1027,$BG971-1,$I$20:$I$1027))*Paraméterek!$C$289,IF($D$4="Forint",0,2)),IF($D$4="Forint",Paraméterek!$C$285,Paraméterek!$D$285)),0)</f>
        <v>0</v>
      </c>
      <c r="BJ971" s="13">
        <f t="shared" ca="1" si="320"/>
        <v>0</v>
      </c>
      <c r="BK971" s="13">
        <f t="shared" ca="1" si="329"/>
        <v>0</v>
      </c>
      <c r="BL971" s="33"/>
      <c r="BM971" s="13">
        <f t="shared" ca="1" si="321"/>
        <v>0</v>
      </c>
      <c r="BN971" s="13">
        <f ca="1">ROUNDUP(($BK971+$BM971)*VLOOKUP($BE971,Paraméterek!$P$38:$Q$38,2)/12*IF($D972="Nem",IF($M$13=0,1,$M$13),1),IF($D$4="Forint",0,2))</f>
        <v>0</v>
      </c>
      <c r="BO971" s="13">
        <f t="shared" ca="1" si="322"/>
        <v>0</v>
      </c>
      <c r="BP971" s="13">
        <f ca="1">IF($D972="Nem",$BO971,$BO971-ROUNDUP(SUM($BI$20:$BI971)*120%,IF($D$4="Forint",0,2)))</f>
        <v>0</v>
      </c>
    </row>
    <row r="972" spans="1:68" x14ac:dyDescent="0.2">
      <c r="A972" s="32">
        <v>953</v>
      </c>
      <c r="B972" s="32">
        <v>80</v>
      </c>
      <c r="C972" s="32">
        <v>5</v>
      </c>
      <c r="D972" s="32" t="str">
        <f t="shared" ca="1" si="308"/>
        <v>Nem</v>
      </c>
      <c r="E972" s="13">
        <f t="shared" ca="1" si="309"/>
        <v>0</v>
      </c>
      <c r="F972" s="13"/>
      <c r="G972" s="13"/>
      <c r="H972" s="13"/>
      <c r="I972" s="13">
        <f t="shared" ca="1" si="310"/>
        <v>0</v>
      </c>
      <c r="J972" s="13">
        <f t="shared" ca="1" si="311"/>
        <v>0</v>
      </c>
      <c r="K972" s="13">
        <f t="shared" ca="1" si="312"/>
        <v>0</v>
      </c>
      <c r="L972" s="13" t="e">
        <f ca="1">ROUNDUP(IF($D$2="Egyszeri",$E972,IF($D$2="Havi",SUM($E$20:$E$31),IF(MOD($C972,$M$1)-1=0,SUM($E$20:$E$31),0))/12*$M$1)*VLOOKUP($B972,Paraméterek!$I$28:$P$31,IF($D$2="Egyszeri",8,HLOOKUP(ROUNDUP($M$11+$M$13,0),Paraméterek!$J$26:$O$27,2))),IF($D$4="Forint",0,2))</f>
        <v>#N/A</v>
      </c>
      <c r="M972" s="13">
        <f t="shared" ca="1" si="313"/>
        <v>0</v>
      </c>
      <c r="N972" s="13">
        <f t="shared" ca="1" si="323"/>
        <v>0</v>
      </c>
      <c r="O972" s="13">
        <f ca="1">IF($D972="Igen",IF($W971&gt;=IF($D$4="Forint",Paraméterek!$J$121,Paraméterek!$K$121),0,IF($D$4="Forint",Paraméterek!$J$121,Paraméterek!$K$121)-$W971),0)</f>
        <v>0</v>
      </c>
      <c r="P972" s="13" t="e">
        <f ca="1">ROUNDUP($O972*VLOOKUP($M$4+$B972-1,Paraméterek!$H$58:$I$105,2,0)/Paraméterek!$I$56,IF($D$4="Forint",0,2))</f>
        <v>#N/A</v>
      </c>
      <c r="Q972" s="13">
        <f t="shared" ca="1" si="314"/>
        <v>0</v>
      </c>
      <c r="R972" s="33"/>
      <c r="S972" s="13" t="e">
        <f t="shared" ca="1" si="315"/>
        <v>#N/A</v>
      </c>
      <c r="T972" s="13" t="e">
        <f ca="1">ROUNDUP(($N972-$P972-$Q972+$S972)*VLOOKUP($B972,Paraméterek!$I$38:$K$39,IF($D$2="Egyszeri",3,2))/12*IF($D973="Nem",IF($M$13=0,1,$M$13),1),IF($D$4="Forint",0,2))</f>
        <v>#N/A</v>
      </c>
      <c r="U972" s="13"/>
      <c r="V972" s="13"/>
      <c r="W972" s="13" t="e">
        <f ca="1">$N972-$P972-$Q972+$S972-$T972-IF(ROUNDUP(IF(ISBLANK($V972),$U972*0,$V972)/IF($D$2="Egyszeri",VLOOKUP($B972+IF($C972=12,1,0),Paraméterek!$V$257:$W$262,2),IF($B972=1,1,VLOOKUP($B972+IF($C972=12,1,0),Paraméterek!$I$258:$T$278,HLOOKUP($M$11+1,Paraméterek!$J$256:$T$257,2)))),IF($D$4="Forint",0,2))&gt;$N972-$P972-$Q972+$S972-$T972-IF($D$4="Forint",Paraméterek!$C$216,Paraméterek!$D$216),0,ROUNDUP(IF(ISBLANK($V972),$U972*0,$V972)/IF($D$2="Egyszeri",VLOOKUP($B972+IF($C972=12,1,0),Paraméterek!$V$257:$W$262,2),IF($B972=1,1,VLOOKUP($B972+IF($C972=12,1,0),Paraméterek!$I$258:$T$278,HLOOKUP($M$11+1,Paraméterek!$J$256:$T$257,2)))),IF($D$4="Forint",0,2)))</f>
        <v>#N/A</v>
      </c>
      <c r="X972" s="13" t="e">
        <f ca="1">ROUNDDOWN($W972*IF($D$2="Egyszeri",VLOOKUP($B972+IF($C972=12,1,0),Paraméterek!$V$257:$W$262,2),VLOOKUP($B972+IF($C972=12,1,0),Paraméterek!$I$258:$T$278,HLOOKUP($M$11+1,Paraméterek!$I$256:$T$257,2))),IF($D$4="Forint",0,2))</f>
        <v>#N/A</v>
      </c>
      <c r="Z972" s="32">
        <v>953</v>
      </c>
      <c r="AA972" s="32">
        <v>80</v>
      </c>
      <c r="AB972" s="32">
        <v>5</v>
      </c>
      <c r="AC972" s="13">
        <f t="shared" ca="1" si="324"/>
        <v>0</v>
      </c>
      <c r="AD972" s="33"/>
      <c r="AE972" s="13">
        <f t="shared" ca="1" si="316"/>
        <v>0</v>
      </c>
      <c r="AF972" s="13">
        <f ca="1">ROUNDUP(($AC972+$AE972)*VLOOKUP($AA972,Paraméterek!$P$38:$Q$38,2)/12*IF($D973="Nem",IF($M$13=0,1,$M$13),1),IF($D$4="Forint",0,2))</f>
        <v>0</v>
      </c>
      <c r="AG972" s="13">
        <f ca="1">IF($D$2="Egyszeri",IF($D$7&gt;=IF($D$4="Forint",Paraméterek!$P$223,Paraméterek!$P$224),$D$7-IF($D$4="Forint",Paraméterek!$P$223,Paraméterek!$P$224),0),MIN(IF($AB972=12,AVERAGEIF($E$20:$E972,"&gt;0",$E$20:$E972)*12,0),SUM($E$20:$E$31)))</f>
        <v>0</v>
      </c>
      <c r="AH972" s="13">
        <f>IF($AA972=10,$AG972*IF($AB972=12,IF($AG972&lt;IF($D$4="Forint",Paraméterek!$L$223,Paraméterek!$L$224),0,VLOOKUP($AA972,Paraméterek!$K$226:$M$228,IF($AG972&lt;IF($D$4="Forint",Paraméterek!$M$223,Paraméterek!$M$224),2,3))),0),0)</f>
        <v>0</v>
      </c>
      <c r="AI972" s="13">
        <f ca="1">IF(AND($AA972=$M$11+1,$AB972=$M$12+1),SUMIF($AA$20:$AA$1027,$AA972,$AG$20:$AG$1027)*IF(SUMIF($AA$20:$AA$1027,$AA972,$AG$20:$AG$1027)&lt;IF($D$4="Forint",Paraméterek!$L$223,Paraméterek!$L$224),0,VLOOKUP($AA972,Paraméterek!$K$230:$M$250,IF(SUMIF($AA$20:$AA$1027,$AA972,$AG$20:$AG$1027)&lt;IF($D$4="Forint",Paraméterek!$M$223,Paraméterek!$M$224),2,3))),0)</f>
        <v>0</v>
      </c>
      <c r="AJ972" s="13">
        <f ca="1">IF(AND($AA972&gt;=5,MOD($AA972,5)=0),IF($AB972=12,VLOOKUP($AA972,Paraméterek!$O$225:$P$240,2),0),IF(OR($AA972=3,$AA972=4),IF($AB972=12,VLOOKUP($AA972,Paraméterek!$O$225:$P$240,2,0),0),0))*$AG972</f>
        <v>0</v>
      </c>
      <c r="AK972" s="13">
        <f t="shared" ca="1" si="317"/>
        <v>0</v>
      </c>
      <c r="AL972" s="13">
        <f t="shared" ca="1" si="325"/>
        <v>0</v>
      </c>
      <c r="AM972" s="13">
        <f t="shared" ca="1" si="326"/>
        <v>0</v>
      </c>
      <c r="AO972" s="32">
        <v>953</v>
      </c>
      <c r="AP972" s="32">
        <v>80</v>
      </c>
      <c r="AQ972" s="32">
        <v>5</v>
      </c>
      <c r="AR972" s="13"/>
      <c r="AS972" s="32"/>
      <c r="AT972" s="13">
        <f t="shared" ca="1" si="327"/>
        <v>0</v>
      </c>
      <c r="AU972" s="33"/>
      <c r="AV972" s="13">
        <f t="shared" ca="1" si="318"/>
        <v>0</v>
      </c>
      <c r="AW972" s="13">
        <f ca="1">ROUNDUP(($AT972+$AV972)*VLOOKUP($AP972,Paraméterek!$P$38:$Q$38,2)/12*IF($D973="Nem",IF($M$13=0,1,$M$13),1),IF($D$4="Forint",0,2))</f>
        <v>0</v>
      </c>
      <c r="AX972" s="13"/>
      <c r="AY972" s="13"/>
      <c r="AZ972" s="13">
        <f>ROUNDUP(IF(SUM($AX972:$AY972)=0,0,IF(IF(ISBLANK($AY972),$AX972,$AY972)*Paraméterek!$J$112&lt;IF($D$4="Forint",Paraméterek!$J$113,Paraméterek!$K$113),IF($D$4="Forint",Paraméterek!$J$113,Paraméterek!$K$113),IF(IF(ISBLANK($AY972),$AX972,$AY972)*Paraméterek!$J$112&gt;IF($D$4="Forint",Paraméterek!$J$114,Paraméterek!$K$114),IF($D$4="Forint",Paraméterek!$J$114,Paraméterek!$K$114),IF(ISBLANK($AY972),$AX972,$AY972)*Paraméterek!$J$112))),IF($D$4="Forint",0,2))</f>
        <v>0</v>
      </c>
      <c r="BA972" s="13">
        <f ca="1">$AT972+$AV972-$AW972-IF(ROUNDDOWN(IF(ISBLANK($AY972),$AX972,$AY972),IF($D$4="Forint",0,2))&gt;$AT972+$AV972-$AW972-IF($D$4="Forint",Paraméterek!$J$114,Paraméterek!$K$114),0,ROUNDDOWN(IF(ISBLANK($AY972),$AX972,$AY972),IF($D$4="Forint",0,2))-$AZ972)</f>
        <v>0</v>
      </c>
      <c r="BB972" s="13">
        <f t="shared" ca="1" si="319"/>
        <v>0</v>
      </c>
      <c r="BD972" s="32">
        <v>953</v>
      </c>
      <c r="BE972" s="32">
        <v>80</v>
      </c>
      <c r="BF972" s="32">
        <v>5</v>
      </c>
      <c r="BG972" s="34">
        <f t="shared" ca="1" si="328"/>
        <v>2098</v>
      </c>
      <c r="BH972" s="32" t="str">
        <f ca="1">IF(MOD(MONTH($D$14)+$BD972-1,12)=Paraméterek!$C$288,"Igen","")</f>
        <v/>
      </c>
      <c r="BI972" s="13">
        <f ca="1">IF($BH972="Igen",MIN(ROUNDDOWN((SUMIF($BG$20:$BG$1027,$BG972-1,$K$20:$K$1027)-SUMIF($BG$20:$BG$1027,$BG972-1,$I$20:$I$1027))*Paraméterek!$C$289,IF($D$4="Forint",0,2)),IF($D$4="Forint",Paraméterek!$C$285,Paraméterek!$D$285)),0)</f>
        <v>0</v>
      </c>
      <c r="BJ972" s="13">
        <f t="shared" ca="1" si="320"/>
        <v>0</v>
      </c>
      <c r="BK972" s="13">
        <f t="shared" ca="1" si="329"/>
        <v>0</v>
      </c>
      <c r="BL972" s="33"/>
      <c r="BM972" s="13">
        <f t="shared" ca="1" si="321"/>
        <v>0</v>
      </c>
      <c r="BN972" s="13">
        <f ca="1">ROUNDUP(($BK972+$BM972)*VLOOKUP($BE972,Paraméterek!$P$38:$Q$38,2)/12*IF($D973="Nem",IF($M$13=0,1,$M$13),1),IF($D$4="Forint",0,2))</f>
        <v>0</v>
      </c>
      <c r="BO972" s="13">
        <f t="shared" ca="1" si="322"/>
        <v>0</v>
      </c>
      <c r="BP972" s="13">
        <f ca="1">IF($D973="Nem",$BO972,$BO972-ROUNDUP(SUM($BI$20:$BI972)*120%,IF($D$4="Forint",0,2)))</f>
        <v>0</v>
      </c>
    </row>
    <row r="973" spans="1:68" x14ac:dyDescent="0.2">
      <c r="A973" s="32">
        <v>954</v>
      </c>
      <c r="B973" s="32">
        <v>80</v>
      </c>
      <c r="C973" s="32">
        <v>6</v>
      </c>
      <c r="D973" s="32" t="str">
        <f t="shared" ca="1" si="308"/>
        <v>Nem</v>
      </c>
      <c r="E973" s="13">
        <f t="shared" ca="1" si="309"/>
        <v>0</v>
      </c>
      <c r="F973" s="13"/>
      <c r="G973" s="13"/>
      <c r="H973" s="13"/>
      <c r="I973" s="13">
        <f t="shared" ca="1" si="310"/>
        <v>0</v>
      </c>
      <c r="J973" s="13">
        <f t="shared" ca="1" si="311"/>
        <v>0</v>
      </c>
      <c r="K973" s="13">
        <f t="shared" ca="1" si="312"/>
        <v>0</v>
      </c>
      <c r="L973" s="13" t="e">
        <f ca="1">ROUNDUP(IF($D$2="Egyszeri",$E973,IF($D$2="Havi",SUM($E$20:$E$31),IF(MOD($C973,$M$1)-1=0,SUM($E$20:$E$31),0))/12*$M$1)*VLOOKUP($B973,Paraméterek!$I$28:$P$31,IF($D$2="Egyszeri",8,HLOOKUP(ROUNDUP($M$11+$M$13,0),Paraméterek!$J$26:$O$27,2))),IF($D$4="Forint",0,2))</f>
        <v>#N/A</v>
      </c>
      <c r="M973" s="13">
        <f t="shared" ca="1" si="313"/>
        <v>0</v>
      </c>
      <c r="N973" s="13">
        <f t="shared" ca="1" si="323"/>
        <v>0</v>
      </c>
      <c r="O973" s="13">
        <f ca="1">IF($D973="Igen",IF($W972&gt;=IF($D$4="Forint",Paraméterek!$J$121,Paraméterek!$K$121),0,IF($D$4="Forint",Paraméterek!$J$121,Paraméterek!$K$121)-$W972),0)</f>
        <v>0</v>
      </c>
      <c r="P973" s="13" t="e">
        <f ca="1">ROUNDUP($O973*VLOOKUP($M$4+$B973-1,Paraméterek!$H$58:$I$105,2,0)/Paraméterek!$I$56,IF($D$4="Forint",0,2))</f>
        <v>#N/A</v>
      </c>
      <c r="Q973" s="13">
        <f t="shared" ca="1" si="314"/>
        <v>0</v>
      </c>
      <c r="R973" s="33"/>
      <c r="S973" s="13" t="e">
        <f t="shared" ca="1" si="315"/>
        <v>#N/A</v>
      </c>
      <c r="T973" s="13" t="e">
        <f ca="1">ROUNDUP(($N973-$P973-$Q973+$S973)*VLOOKUP($B973,Paraméterek!$I$38:$K$39,IF($D$2="Egyszeri",3,2))/12*IF($D974="Nem",IF($M$13=0,1,$M$13),1),IF($D$4="Forint",0,2))</f>
        <v>#N/A</v>
      </c>
      <c r="U973" s="13"/>
      <c r="V973" s="13"/>
      <c r="W973" s="13" t="e">
        <f ca="1">$N973-$P973-$Q973+$S973-$T973-IF(ROUNDUP(IF(ISBLANK($V973),$U973*0,$V973)/IF($D$2="Egyszeri",VLOOKUP($B973+IF($C973=12,1,0),Paraméterek!$V$257:$W$262,2),IF($B973=1,1,VLOOKUP($B973+IF($C973=12,1,0),Paraméterek!$I$258:$T$278,HLOOKUP($M$11+1,Paraméterek!$J$256:$T$257,2)))),IF($D$4="Forint",0,2))&gt;$N973-$P973-$Q973+$S973-$T973-IF($D$4="Forint",Paraméterek!$C$216,Paraméterek!$D$216),0,ROUNDUP(IF(ISBLANK($V973),$U973*0,$V973)/IF($D$2="Egyszeri",VLOOKUP($B973+IF($C973=12,1,0),Paraméterek!$V$257:$W$262,2),IF($B973=1,1,VLOOKUP($B973+IF($C973=12,1,0),Paraméterek!$I$258:$T$278,HLOOKUP($M$11+1,Paraméterek!$J$256:$T$257,2)))),IF($D$4="Forint",0,2)))</f>
        <v>#N/A</v>
      </c>
      <c r="X973" s="13" t="e">
        <f ca="1">ROUNDDOWN($W973*IF($D$2="Egyszeri",VLOOKUP($B973+IF($C973=12,1,0),Paraméterek!$V$257:$W$262,2),VLOOKUP($B973+IF($C973=12,1,0),Paraméterek!$I$258:$T$278,HLOOKUP($M$11+1,Paraméterek!$I$256:$T$257,2))),IF($D$4="Forint",0,2))</f>
        <v>#N/A</v>
      </c>
      <c r="Z973" s="32">
        <v>954</v>
      </c>
      <c r="AA973" s="32">
        <v>80</v>
      </c>
      <c r="AB973" s="32">
        <v>6</v>
      </c>
      <c r="AC973" s="13">
        <f t="shared" ca="1" si="324"/>
        <v>0</v>
      </c>
      <c r="AD973" s="33"/>
      <c r="AE973" s="13">
        <f t="shared" ca="1" si="316"/>
        <v>0</v>
      </c>
      <c r="AF973" s="13">
        <f ca="1">ROUNDUP(($AC973+$AE973)*VLOOKUP($AA973,Paraméterek!$P$38:$Q$38,2)/12*IF($D974="Nem",IF($M$13=0,1,$M$13),1),IF($D$4="Forint",0,2))</f>
        <v>0</v>
      </c>
      <c r="AG973" s="13">
        <f ca="1">IF($D$2="Egyszeri",IF($D$7&gt;=IF($D$4="Forint",Paraméterek!$P$223,Paraméterek!$P$224),$D$7-IF($D$4="Forint",Paraméterek!$P$223,Paraméterek!$P$224),0),MIN(IF($AB973=12,AVERAGEIF($E$20:$E973,"&gt;0",$E$20:$E973)*12,0),SUM($E$20:$E$31)))</f>
        <v>0</v>
      </c>
      <c r="AH973" s="13">
        <f>IF($AA973=10,$AG973*IF($AB973=12,IF($AG973&lt;IF($D$4="Forint",Paraméterek!$L$223,Paraméterek!$L$224),0,VLOOKUP($AA973,Paraméterek!$K$226:$M$228,IF($AG973&lt;IF($D$4="Forint",Paraméterek!$M$223,Paraméterek!$M$224),2,3))),0),0)</f>
        <v>0</v>
      </c>
      <c r="AI973" s="13">
        <f ca="1">IF(AND($AA973=$M$11+1,$AB973=$M$12+1),SUMIF($AA$20:$AA$1027,$AA973,$AG$20:$AG$1027)*IF(SUMIF($AA$20:$AA$1027,$AA973,$AG$20:$AG$1027)&lt;IF($D$4="Forint",Paraméterek!$L$223,Paraméterek!$L$224),0,VLOOKUP($AA973,Paraméterek!$K$230:$M$250,IF(SUMIF($AA$20:$AA$1027,$AA973,$AG$20:$AG$1027)&lt;IF($D$4="Forint",Paraméterek!$M$223,Paraméterek!$M$224),2,3))),0)</f>
        <v>0</v>
      </c>
      <c r="AJ973" s="13">
        <f ca="1">IF(AND($AA973&gt;=5,MOD($AA973,5)=0),IF($AB973=12,VLOOKUP($AA973,Paraméterek!$O$225:$P$240,2),0),IF(OR($AA973=3,$AA973=4),IF($AB973=12,VLOOKUP($AA973,Paraméterek!$O$225:$P$240,2,0),0),0))*$AG973</f>
        <v>0</v>
      </c>
      <c r="AK973" s="13">
        <f t="shared" ca="1" si="317"/>
        <v>0</v>
      </c>
      <c r="AL973" s="13">
        <f t="shared" ca="1" si="325"/>
        <v>0</v>
      </c>
      <c r="AM973" s="13">
        <f t="shared" ca="1" si="326"/>
        <v>0</v>
      </c>
      <c r="AO973" s="32">
        <v>954</v>
      </c>
      <c r="AP973" s="32">
        <v>80</v>
      </c>
      <c r="AQ973" s="32">
        <v>6</v>
      </c>
      <c r="AR973" s="13"/>
      <c r="AS973" s="32"/>
      <c r="AT973" s="13">
        <f t="shared" ca="1" si="327"/>
        <v>0</v>
      </c>
      <c r="AU973" s="33"/>
      <c r="AV973" s="13">
        <f t="shared" ca="1" si="318"/>
        <v>0</v>
      </c>
      <c r="AW973" s="13">
        <f ca="1">ROUNDUP(($AT973+$AV973)*VLOOKUP($AP973,Paraméterek!$P$38:$Q$38,2)/12*IF($D974="Nem",IF($M$13=0,1,$M$13),1),IF($D$4="Forint",0,2))</f>
        <v>0</v>
      </c>
      <c r="AX973" s="13"/>
      <c r="AY973" s="13"/>
      <c r="AZ973" s="13">
        <f>ROUNDUP(IF(SUM($AX973:$AY973)=0,0,IF(IF(ISBLANK($AY973),$AX973,$AY973)*Paraméterek!$J$112&lt;IF($D$4="Forint",Paraméterek!$J$113,Paraméterek!$K$113),IF($D$4="Forint",Paraméterek!$J$113,Paraméterek!$K$113),IF(IF(ISBLANK($AY973),$AX973,$AY973)*Paraméterek!$J$112&gt;IF($D$4="Forint",Paraméterek!$J$114,Paraméterek!$K$114),IF($D$4="Forint",Paraméterek!$J$114,Paraméterek!$K$114),IF(ISBLANK($AY973),$AX973,$AY973)*Paraméterek!$J$112))),IF($D$4="Forint",0,2))</f>
        <v>0</v>
      </c>
      <c r="BA973" s="13">
        <f ca="1">$AT973+$AV973-$AW973-IF(ROUNDDOWN(IF(ISBLANK($AY973),$AX973,$AY973),IF($D$4="Forint",0,2))&gt;$AT973+$AV973-$AW973-IF($D$4="Forint",Paraméterek!$J$114,Paraméterek!$K$114),0,ROUNDDOWN(IF(ISBLANK($AY973),$AX973,$AY973),IF($D$4="Forint",0,2))-$AZ973)</f>
        <v>0</v>
      </c>
      <c r="BB973" s="13">
        <f t="shared" ca="1" si="319"/>
        <v>0</v>
      </c>
      <c r="BD973" s="32">
        <v>954</v>
      </c>
      <c r="BE973" s="32">
        <v>80</v>
      </c>
      <c r="BF973" s="32">
        <v>6</v>
      </c>
      <c r="BG973" s="34">
        <f t="shared" ca="1" si="328"/>
        <v>2098</v>
      </c>
      <c r="BH973" s="32" t="str">
        <f ca="1">IF(MOD(MONTH($D$14)+$BD973-1,12)=Paraméterek!$C$288,"Igen","")</f>
        <v/>
      </c>
      <c r="BI973" s="13">
        <f ca="1">IF($BH973="Igen",MIN(ROUNDDOWN((SUMIF($BG$20:$BG$1027,$BG973-1,$K$20:$K$1027)-SUMIF($BG$20:$BG$1027,$BG973-1,$I$20:$I$1027))*Paraméterek!$C$289,IF($D$4="Forint",0,2)),IF($D$4="Forint",Paraméterek!$C$285,Paraméterek!$D$285)),0)</f>
        <v>0</v>
      </c>
      <c r="BJ973" s="13">
        <f t="shared" ca="1" si="320"/>
        <v>0</v>
      </c>
      <c r="BK973" s="13">
        <f t="shared" ca="1" si="329"/>
        <v>0</v>
      </c>
      <c r="BL973" s="33"/>
      <c r="BM973" s="13">
        <f t="shared" ca="1" si="321"/>
        <v>0</v>
      </c>
      <c r="BN973" s="13">
        <f ca="1">ROUNDUP(($BK973+$BM973)*VLOOKUP($BE973,Paraméterek!$P$38:$Q$38,2)/12*IF($D974="Nem",IF($M$13=0,1,$M$13),1),IF($D$4="Forint",0,2))</f>
        <v>0</v>
      </c>
      <c r="BO973" s="13">
        <f t="shared" ca="1" si="322"/>
        <v>0</v>
      </c>
      <c r="BP973" s="13">
        <f ca="1">IF($D974="Nem",$BO973,$BO973-ROUNDUP(SUM($BI$20:$BI973)*120%,IF($D$4="Forint",0,2)))</f>
        <v>0</v>
      </c>
    </row>
    <row r="974" spans="1:68" x14ac:dyDescent="0.2">
      <c r="A974" s="32">
        <v>955</v>
      </c>
      <c r="B974" s="32">
        <v>80</v>
      </c>
      <c r="C974" s="32">
        <v>7</v>
      </c>
      <c r="D974" s="32" t="str">
        <f t="shared" ca="1" si="308"/>
        <v>Nem</v>
      </c>
      <c r="E974" s="13">
        <f t="shared" ca="1" si="309"/>
        <v>0</v>
      </c>
      <c r="F974" s="13"/>
      <c r="G974" s="13"/>
      <c r="H974" s="13"/>
      <c r="I974" s="13">
        <f t="shared" ca="1" si="310"/>
        <v>0</v>
      </c>
      <c r="J974" s="13">
        <f t="shared" ca="1" si="311"/>
        <v>0</v>
      </c>
      <c r="K974" s="13">
        <f t="shared" ca="1" si="312"/>
        <v>0</v>
      </c>
      <c r="L974" s="13" t="e">
        <f ca="1">ROUNDUP(IF($D$2="Egyszeri",$E974,IF($D$2="Havi",SUM($E$20:$E$31),IF(MOD($C974,$M$1)-1=0,SUM($E$20:$E$31),0))/12*$M$1)*VLOOKUP($B974,Paraméterek!$I$28:$P$31,IF($D$2="Egyszeri",8,HLOOKUP(ROUNDUP($M$11+$M$13,0),Paraméterek!$J$26:$O$27,2))),IF($D$4="Forint",0,2))</f>
        <v>#N/A</v>
      </c>
      <c r="M974" s="13">
        <f t="shared" ca="1" si="313"/>
        <v>0</v>
      </c>
      <c r="N974" s="13">
        <f t="shared" ca="1" si="323"/>
        <v>0</v>
      </c>
      <c r="O974" s="13">
        <f ca="1">IF($D974="Igen",IF($W973&gt;=IF($D$4="Forint",Paraméterek!$J$121,Paraméterek!$K$121),0,IF($D$4="Forint",Paraméterek!$J$121,Paraméterek!$K$121)-$W973),0)</f>
        <v>0</v>
      </c>
      <c r="P974" s="13" t="e">
        <f ca="1">ROUNDUP($O974*VLOOKUP($M$4+$B974-1,Paraméterek!$H$58:$I$105,2,0)/Paraméterek!$I$56,IF($D$4="Forint",0,2))</f>
        <v>#N/A</v>
      </c>
      <c r="Q974" s="13">
        <f t="shared" ca="1" si="314"/>
        <v>0</v>
      </c>
      <c r="R974" s="33"/>
      <c r="S974" s="13" t="e">
        <f t="shared" ca="1" si="315"/>
        <v>#N/A</v>
      </c>
      <c r="T974" s="13" t="e">
        <f ca="1">ROUNDUP(($N974-$P974-$Q974+$S974)*VLOOKUP($B974,Paraméterek!$I$38:$K$39,IF($D$2="Egyszeri",3,2))/12*IF($D975="Nem",IF($M$13=0,1,$M$13),1),IF($D$4="Forint",0,2))</f>
        <v>#N/A</v>
      </c>
      <c r="U974" s="13"/>
      <c r="V974" s="13"/>
      <c r="W974" s="13" t="e">
        <f ca="1">$N974-$P974-$Q974+$S974-$T974-IF(ROUNDUP(IF(ISBLANK($V974),$U974*0,$V974)/IF($D$2="Egyszeri",VLOOKUP($B974+IF($C974=12,1,0),Paraméterek!$V$257:$W$262,2),IF($B974=1,1,VLOOKUP($B974+IF($C974=12,1,0),Paraméterek!$I$258:$T$278,HLOOKUP($M$11+1,Paraméterek!$J$256:$T$257,2)))),IF($D$4="Forint",0,2))&gt;$N974-$P974-$Q974+$S974-$T974-IF($D$4="Forint",Paraméterek!$C$216,Paraméterek!$D$216),0,ROUNDUP(IF(ISBLANK($V974),$U974*0,$V974)/IF($D$2="Egyszeri",VLOOKUP($B974+IF($C974=12,1,0),Paraméterek!$V$257:$W$262,2),IF($B974=1,1,VLOOKUP($B974+IF($C974=12,1,0),Paraméterek!$I$258:$T$278,HLOOKUP($M$11+1,Paraméterek!$J$256:$T$257,2)))),IF($D$4="Forint",0,2)))</f>
        <v>#N/A</v>
      </c>
      <c r="X974" s="13" t="e">
        <f ca="1">ROUNDDOWN($W974*IF($D$2="Egyszeri",VLOOKUP($B974+IF($C974=12,1,0),Paraméterek!$V$257:$W$262,2),VLOOKUP($B974+IF($C974=12,1,0),Paraméterek!$I$258:$T$278,HLOOKUP($M$11+1,Paraméterek!$I$256:$T$257,2))),IF($D$4="Forint",0,2))</f>
        <v>#N/A</v>
      </c>
      <c r="Z974" s="32">
        <v>955</v>
      </c>
      <c r="AA974" s="32">
        <v>80</v>
      </c>
      <c r="AB974" s="32">
        <v>7</v>
      </c>
      <c r="AC974" s="13">
        <f t="shared" ca="1" si="324"/>
        <v>0</v>
      </c>
      <c r="AD974" s="33"/>
      <c r="AE974" s="13">
        <f t="shared" ca="1" si="316"/>
        <v>0</v>
      </c>
      <c r="AF974" s="13">
        <f ca="1">ROUNDUP(($AC974+$AE974)*VLOOKUP($AA974,Paraméterek!$P$38:$Q$38,2)/12*IF($D975="Nem",IF($M$13=0,1,$M$13),1),IF($D$4="Forint",0,2))</f>
        <v>0</v>
      </c>
      <c r="AG974" s="13">
        <f ca="1">IF($D$2="Egyszeri",IF($D$7&gt;=IF($D$4="Forint",Paraméterek!$P$223,Paraméterek!$P$224),$D$7-IF($D$4="Forint",Paraméterek!$P$223,Paraméterek!$P$224),0),MIN(IF($AB974=12,AVERAGEIF($E$20:$E974,"&gt;0",$E$20:$E974)*12,0),SUM($E$20:$E$31)))</f>
        <v>0</v>
      </c>
      <c r="AH974" s="13">
        <f>IF($AA974=10,$AG974*IF($AB974=12,IF($AG974&lt;IF($D$4="Forint",Paraméterek!$L$223,Paraméterek!$L$224),0,VLOOKUP($AA974,Paraméterek!$K$226:$M$228,IF($AG974&lt;IF($D$4="Forint",Paraméterek!$M$223,Paraméterek!$M$224),2,3))),0),0)</f>
        <v>0</v>
      </c>
      <c r="AI974" s="13">
        <f ca="1">IF(AND($AA974=$M$11+1,$AB974=$M$12+1),SUMIF($AA$20:$AA$1027,$AA974,$AG$20:$AG$1027)*IF(SUMIF($AA$20:$AA$1027,$AA974,$AG$20:$AG$1027)&lt;IF($D$4="Forint",Paraméterek!$L$223,Paraméterek!$L$224),0,VLOOKUP($AA974,Paraméterek!$K$230:$M$250,IF(SUMIF($AA$20:$AA$1027,$AA974,$AG$20:$AG$1027)&lt;IF($D$4="Forint",Paraméterek!$M$223,Paraméterek!$M$224),2,3))),0)</f>
        <v>0</v>
      </c>
      <c r="AJ974" s="13">
        <f ca="1">IF(AND($AA974&gt;=5,MOD($AA974,5)=0),IF($AB974=12,VLOOKUP($AA974,Paraméterek!$O$225:$P$240,2),0),IF(OR($AA974=3,$AA974=4),IF($AB974=12,VLOOKUP($AA974,Paraméterek!$O$225:$P$240,2,0),0),0))*$AG974</f>
        <v>0</v>
      </c>
      <c r="AK974" s="13">
        <f t="shared" ca="1" si="317"/>
        <v>0</v>
      </c>
      <c r="AL974" s="13">
        <f t="shared" ca="1" si="325"/>
        <v>0</v>
      </c>
      <c r="AM974" s="13">
        <f t="shared" ca="1" si="326"/>
        <v>0</v>
      </c>
      <c r="AO974" s="32">
        <v>955</v>
      </c>
      <c r="AP974" s="32">
        <v>80</v>
      </c>
      <c r="AQ974" s="32">
        <v>7</v>
      </c>
      <c r="AR974" s="13"/>
      <c r="AS974" s="32"/>
      <c r="AT974" s="13">
        <f t="shared" ca="1" si="327"/>
        <v>0</v>
      </c>
      <c r="AU974" s="33"/>
      <c r="AV974" s="13">
        <f t="shared" ca="1" si="318"/>
        <v>0</v>
      </c>
      <c r="AW974" s="13">
        <f ca="1">ROUNDUP(($AT974+$AV974)*VLOOKUP($AP974,Paraméterek!$P$38:$Q$38,2)/12*IF($D975="Nem",IF($M$13=0,1,$M$13),1),IF($D$4="Forint",0,2))</f>
        <v>0</v>
      </c>
      <c r="AX974" s="13"/>
      <c r="AY974" s="13"/>
      <c r="AZ974" s="13">
        <f>ROUNDUP(IF(SUM($AX974:$AY974)=0,0,IF(IF(ISBLANK($AY974),$AX974,$AY974)*Paraméterek!$J$112&lt;IF($D$4="Forint",Paraméterek!$J$113,Paraméterek!$K$113),IF($D$4="Forint",Paraméterek!$J$113,Paraméterek!$K$113),IF(IF(ISBLANK($AY974),$AX974,$AY974)*Paraméterek!$J$112&gt;IF($D$4="Forint",Paraméterek!$J$114,Paraméterek!$K$114),IF($D$4="Forint",Paraméterek!$J$114,Paraméterek!$K$114),IF(ISBLANK($AY974),$AX974,$AY974)*Paraméterek!$J$112))),IF($D$4="Forint",0,2))</f>
        <v>0</v>
      </c>
      <c r="BA974" s="13">
        <f ca="1">$AT974+$AV974-$AW974-IF(ROUNDDOWN(IF(ISBLANK($AY974),$AX974,$AY974),IF($D$4="Forint",0,2))&gt;$AT974+$AV974-$AW974-IF($D$4="Forint",Paraméterek!$J$114,Paraméterek!$K$114),0,ROUNDDOWN(IF(ISBLANK($AY974),$AX974,$AY974),IF($D$4="Forint",0,2))-$AZ974)</f>
        <v>0</v>
      </c>
      <c r="BB974" s="13">
        <f t="shared" ca="1" si="319"/>
        <v>0</v>
      </c>
      <c r="BD974" s="32">
        <v>955</v>
      </c>
      <c r="BE974" s="32">
        <v>80</v>
      </c>
      <c r="BF974" s="32">
        <v>7</v>
      </c>
      <c r="BG974" s="34">
        <f t="shared" ca="1" si="328"/>
        <v>2098</v>
      </c>
      <c r="BH974" s="32" t="str">
        <f ca="1">IF(MOD(MONTH($D$14)+$BD974-1,12)=Paraméterek!$C$288,"Igen","")</f>
        <v/>
      </c>
      <c r="BI974" s="13">
        <f ca="1">IF($BH974="Igen",MIN(ROUNDDOWN((SUMIF($BG$20:$BG$1027,$BG974-1,$K$20:$K$1027)-SUMIF($BG$20:$BG$1027,$BG974-1,$I$20:$I$1027))*Paraméterek!$C$289,IF($D$4="Forint",0,2)),IF($D$4="Forint",Paraméterek!$C$285,Paraméterek!$D$285)),0)</f>
        <v>0</v>
      </c>
      <c r="BJ974" s="13">
        <f t="shared" ca="1" si="320"/>
        <v>0</v>
      </c>
      <c r="BK974" s="13">
        <f t="shared" ca="1" si="329"/>
        <v>0</v>
      </c>
      <c r="BL974" s="33"/>
      <c r="BM974" s="13">
        <f t="shared" ca="1" si="321"/>
        <v>0</v>
      </c>
      <c r="BN974" s="13">
        <f ca="1">ROUNDUP(($BK974+$BM974)*VLOOKUP($BE974,Paraméterek!$P$38:$Q$38,2)/12*IF($D975="Nem",IF($M$13=0,1,$M$13),1),IF($D$4="Forint",0,2))</f>
        <v>0</v>
      </c>
      <c r="BO974" s="13">
        <f t="shared" ca="1" si="322"/>
        <v>0</v>
      </c>
      <c r="BP974" s="13">
        <f ca="1">IF($D975="Nem",$BO974,$BO974-ROUNDUP(SUM($BI$20:$BI974)*120%,IF($D$4="Forint",0,2)))</f>
        <v>0</v>
      </c>
    </row>
    <row r="975" spans="1:68" x14ac:dyDescent="0.2">
      <c r="A975" s="32">
        <v>956</v>
      </c>
      <c r="B975" s="32">
        <v>80</v>
      </c>
      <c r="C975" s="32">
        <v>8</v>
      </c>
      <c r="D975" s="32" t="str">
        <f t="shared" ca="1" si="308"/>
        <v>Nem</v>
      </c>
      <c r="E975" s="13">
        <f t="shared" ca="1" si="309"/>
        <v>0</v>
      </c>
      <c r="F975" s="13"/>
      <c r="G975" s="13"/>
      <c r="H975" s="13"/>
      <c r="I975" s="13">
        <f t="shared" ca="1" si="310"/>
        <v>0</v>
      </c>
      <c r="J975" s="13">
        <f t="shared" ca="1" si="311"/>
        <v>0</v>
      </c>
      <c r="K975" s="13">
        <f t="shared" ca="1" si="312"/>
        <v>0</v>
      </c>
      <c r="L975" s="13" t="e">
        <f ca="1">ROUNDUP(IF($D$2="Egyszeri",$E975,IF($D$2="Havi",SUM($E$20:$E$31),IF(MOD($C975,$M$1)-1=0,SUM($E$20:$E$31),0))/12*$M$1)*VLOOKUP($B975,Paraméterek!$I$28:$P$31,IF($D$2="Egyszeri",8,HLOOKUP(ROUNDUP($M$11+$M$13,0),Paraméterek!$J$26:$O$27,2))),IF($D$4="Forint",0,2))</f>
        <v>#N/A</v>
      </c>
      <c r="M975" s="13">
        <f t="shared" ca="1" si="313"/>
        <v>0</v>
      </c>
      <c r="N975" s="13">
        <f t="shared" ca="1" si="323"/>
        <v>0</v>
      </c>
      <c r="O975" s="13">
        <f ca="1">IF($D975="Igen",IF($W974&gt;=IF($D$4="Forint",Paraméterek!$J$121,Paraméterek!$K$121),0,IF($D$4="Forint",Paraméterek!$J$121,Paraméterek!$K$121)-$W974),0)</f>
        <v>0</v>
      </c>
      <c r="P975" s="13" t="e">
        <f ca="1">ROUNDUP($O975*VLOOKUP($M$4+$B975-1,Paraméterek!$H$58:$I$105,2,0)/Paraméterek!$I$56,IF($D$4="Forint",0,2))</f>
        <v>#N/A</v>
      </c>
      <c r="Q975" s="13">
        <f t="shared" ca="1" si="314"/>
        <v>0</v>
      </c>
      <c r="R975" s="33"/>
      <c r="S975" s="13" t="e">
        <f t="shared" ca="1" si="315"/>
        <v>#N/A</v>
      </c>
      <c r="T975" s="13" t="e">
        <f ca="1">ROUNDUP(($N975-$P975-$Q975+$S975)*VLOOKUP($B975,Paraméterek!$I$38:$K$39,IF($D$2="Egyszeri",3,2))/12*IF($D976="Nem",IF($M$13=0,1,$M$13),1),IF($D$4="Forint",0,2))</f>
        <v>#N/A</v>
      </c>
      <c r="U975" s="13"/>
      <c r="V975" s="13"/>
      <c r="W975" s="13" t="e">
        <f ca="1">$N975-$P975-$Q975+$S975-$T975-IF(ROUNDUP(IF(ISBLANK($V975),$U975*0,$V975)/IF($D$2="Egyszeri",VLOOKUP($B975+IF($C975=12,1,0),Paraméterek!$V$257:$W$262,2),IF($B975=1,1,VLOOKUP($B975+IF($C975=12,1,0),Paraméterek!$I$258:$T$278,HLOOKUP($M$11+1,Paraméterek!$J$256:$T$257,2)))),IF($D$4="Forint",0,2))&gt;$N975-$P975-$Q975+$S975-$T975-IF($D$4="Forint",Paraméterek!$C$216,Paraméterek!$D$216),0,ROUNDUP(IF(ISBLANK($V975),$U975*0,$V975)/IF($D$2="Egyszeri",VLOOKUP($B975+IF($C975=12,1,0),Paraméterek!$V$257:$W$262,2),IF($B975=1,1,VLOOKUP($B975+IF($C975=12,1,0),Paraméterek!$I$258:$T$278,HLOOKUP($M$11+1,Paraméterek!$J$256:$T$257,2)))),IF($D$4="Forint",0,2)))</f>
        <v>#N/A</v>
      </c>
      <c r="X975" s="13" t="e">
        <f ca="1">ROUNDDOWN($W975*IF($D$2="Egyszeri",VLOOKUP($B975+IF($C975=12,1,0),Paraméterek!$V$257:$W$262,2),VLOOKUP($B975+IF($C975=12,1,0),Paraméterek!$I$258:$T$278,HLOOKUP($M$11+1,Paraméterek!$I$256:$T$257,2))),IF($D$4="Forint",0,2))</f>
        <v>#N/A</v>
      </c>
      <c r="Z975" s="32">
        <v>956</v>
      </c>
      <c r="AA975" s="32">
        <v>80</v>
      </c>
      <c r="AB975" s="32">
        <v>8</v>
      </c>
      <c r="AC975" s="13">
        <f t="shared" ca="1" si="324"/>
        <v>0</v>
      </c>
      <c r="AD975" s="33"/>
      <c r="AE975" s="13">
        <f t="shared" ca="1" si="316"/>
        <v>0</v>
      </c>
      <c r="AF975" s="13">
        <f ca="1">ROUNDUP(($AC975+$AE975)*VLOOKUP($AA975,Paraméterek!$P$38:$Q$38,2)/12*IF($D976="Nem",IF($M$13=0,1,$M$13),1),IF($D$4="Forint",0,2))</f>
        <v>0</v>
      </c>
      <c r="AG975" s="13">
        <f ca="1">IF($D$2="Egyszeri",IF($D$7&gt;=IF($D$4="Forint",Paraméterek!$P$223,Paraméterek!$P$224),$D$7-IF($D$4="Forint",Paraméterek!$P$223,Paraméterek!$P$224),0),MIN(IF($AB975=12,AVERAGEIF($E$20:$E975,"&gt;0",$E$20:$E975)*12,0),SUM($E$20:$E$31)))</f>
        <v>0</v>
      </c>
      <c r="AH975" s="13">
        <f>IF($AA975=10,$AG975*IF($AB975=12,IF($AG975&lt;IF($D$4="Forint",Paraméterek!$L$223,Paraméterek!$L$224),0,VLOOKUP($AA975,Paraméterek!$K$226:$M$228,IF($AG975&lt;IF($D$4="Forint",Paraméterek!$M$223,Paraméterek!$M$224),2,3))),0),0)</f>
        <v>0</v>
      </c>
      <c r="AI975" s="13">
        <f ca="1">IF(AND($AA975=$M$11+1,$AB975=$M$12+1),SUMIF($AA$20:$AA$1027,$AA975,$AG$20:$AG$1027)*IF(SUMIF($AA$20:$AA$1027,$AA975,$AG$20:$AG$1027)&lt;IF($D$4="Forint",Paraméterek!$L$223,Paraméterek!$L$224),0,VLOOKUP($AA975,Paraméterek!$K$230:$M$250,IF(SUMIF($AA$20:$AA$1027,$AA975,$AG$20:$AG$1027)&lt;IF($D$4="Forint",Paraméterek!$M$223,Paraméterek!$M$224),2,3))),0)</f>
        <v>0</v>
      </c>
      <c r="AJ975" s="13">
        <f ca="1">IF(AND($AA975&gt;=5,MOD($AA975,5)=0),IF($AB975=12,VLOOKUP($AA975,Paraméterek!$O$225:$P$240,2),0),IF(OR($AA975=3,$AA975=4),IF($AB975=12,VLOOKUP($AA975,Paraméterek!$O$225:$P$240,2,0),0),0))*$AG975</f>
        <v>0</v>
      </c>
      <c r="AK975" s="13">
        <f t="shared" ca="1" si="317"/>
        <v>0</v>
      </c>
      <c r="AL975" s="13">
        <f t="shared" ca="1" si="325"/>
        <v>0</v>
      </c>
      <c r="AM975" s="13">
        <f t="shared" ca="1" si="326"/>
        <v>0</v>
      </c>
      <c r="AO975" s="32">
        <v>956</v>
      </c>
      <c r="AP975" s="32">
        <v>80</v>
      </c>
      <c r="AQ975" s="32">
        <v>8</v>
      </c>
      <c r="AR975" s="13"/>
      <c r="AS975" s="32"/>
      <c r="AT975" s="13">
        <f t="shared" ca="1" si="327"/>
        <v>0</v>
      </c>
      <c r="AU975" s="33"/>
      <c r="AV975" s="13">
        <f t="shared" ca="1" si="318"/>
        <v>0</v>
      </c>
      <c r="AW975" s="13">
        <f ca="1">ROUNDUP(($AT975+$AV975)*VLOOKUP($AP975,Paraméterek!$P$38:$Q$38,2)/12*IF($D976="Nem",IF($M$13=0,1,$M$13),1),IF($D$4="Forint",0,2))</f>
        <v>0</v>
      </c>
      <c r="AX975" s="13"/>
      <c r="AY975" s="13"/>
      <c r="AZ975" s="13">
        <f>ROUNDUP(IF(SUM($AX975:$AY975)=0,0,IF(IF(ISBLANK($AY975),$AX975,$AY975)*Paraméterek!$J$112&lt;IF($D$4="Forint",Paraméterek!$J$113,Paraméterek!$K$113),IF($D$4="Forint",Paraméterek!$J$113,Paraméterek!$K$113),IF(IF(ISBLANK($AY975),$AX975,$AY975)*Paraméterek!$J$112&gt;IF($D$4="Forint",Paraméterek!$J$114,Paraméterek!$K$114),IF($D$4="Forint",Paraméterek!$J$114,Paraméterek!$K$114),IF(ISBLANK($AY975),$AX975,$AY975)*Paraméterek!$J$112))),IF($D$4="Forint",0,2))</f>
        <v>0</v>
      </c>
      <c r="BA975" s="13">
        <f ca="1">$AT975+$AV975-$AW975-IF(ROUNDDOWN(IF(ISBLANK($AY975),$AX975,$AY975),IF($D$4="Forint",0,2))&gt;$AT975+$AV975-$AW975-IF($D$4="Forint",Paraméterek!$J$114,Paraméterek!$K$114),0,ROUNDDOWN(IF(ISBLANK($AY975),$AX975,$AY975),IF($D$4="Forint",0,2))-$AZ975)</f>
        <v>0</v>
      </c>
      <c r="BB975" s="13">
        <f t="shared" ca="1" si="319"/>
        <v>0</v>
      </c>
      <c r="BD975" s="32">
        <v>956</v>
      </c>
      <c r="BE975" s="32">
        <v>80</v>
      </c>
      <c r="BF975" s="32">
        <v>8</v>
      </c>
      <c r="BG975" s="34">
        <f t="shared" ca="1" si="328"/>
        <v>2099</v>
      </c>
      <c r="BH975" s="32" t="str">
        <f ca="1">IF(MOD(MONTH($D$14)+$BD975-1,12)=Paraméterek!$C$288,"Igen","")</f>
        <v/>
      </c>
      <c r="BI975" s="13">
        <f ca="1">IF($BH975="Igen",MIN(ROUNDDOWN((SUMIF($BG$20:$BG$1027,$BG975-1,$K$20:$K$1027)-SUMIF($BG$20:$BG$1027,$BG975-1,$I$20:$I$1027))*Paraméterek!$C$289,IF($D$4="Forint",0,2)),IF($D$4="Forint",Paraméterek!$C$285,Paraméterek!$D$285)),0)</f>
        <v>0</v>
      </c>
      <c r="BJ975" s="13">
        <f t="shared" ca="1" si="320"/>
        <v>0</v>
      </c>
      <c r="BK975" s="13">
        <f t="shared" ca="1" si="329"/>
        <v>0</v>
      </c>
      <c r="BL975" s="33"/>
      <c r="BM975" s="13">
        <f t="shared" ca="1" si="321"/>
        <v>0</v>
      </c>
      <c r="BN975" s="13">
        <f ca="1">ROUNDUP(($BK975+$BM975)*VLOOKUP($BE975,Paraméterek!$P$38:$Q$38,2)/12*IF($D976="Nem",IF($M$13=0,1,$M$13),1),IF($D$4="Forint",0,2))</f>
        <v>0</v>
      </c>
      <c r="BO975" s="13">
        <f t="shared" ca="1" si="322"/>
        <v>0</v>
      </c>
      <c r="BP975" s="13">
        <f ca="1">IF($D976="Nem",$BO975,$BO975-ROUNDUP(SUM($BI$20:$BI975)*120%,IF($D$4="Forint",0,2)))</f>
        <v>0</v>
      </c>
    </row>
    <row r="976" spans="1:68" x14ac:dyDescent="0.2">
      <c r="A976" s="32">
        <v>957</v>
      </c>
      <c r="B976" s="32">
        <v>80</v>
      </c>
      <c r="C976" s="32">
        <v>9</v>
      </c>
      <c r="D976" s="32" t="str">
        <f t="shared" ca="1" si="308"/>
        <v>Nem</v>
      </c>
      <c r="E976" s="13">
        <f t="shared" ca="1" si="309"/>
        <v>0</v>
      </c>
      <c r="F976" s="13"/>
      <c r="G976" s="13"/>
      <c r="H976" s="13"/>
      <c r="I976" s="13">
        <f t="shared" ca="1" si="310"/>
        <v>0</v>
      </c>
      <c r="J976" s="13">
        <f t="shared" ca="1" si="311"/>
        <v>0</v>
      </c>
      <c r="K976" s="13">
        <f t="shared" ca="1" si="312"/>
        <v>0</v>
      </c>
      <c r="L976" s="13" t="e">
        <f ca="1">ROUNDUP(IF($D$2="Egyszeri",$E976,IF($D$2="Havi",SUM($E$20:$E$31),IF(MOD($C976,$M$1)-1=0,SUM($E$20:$E$31),0))/12*$M$1)*VLOOKUP($B976,Paraméterek!$I$28:$P$31,IF($D$2="Egyszeri",8,HLOOKUP(ROUNDUP($M$11+$M$13,0),Paraméterek!$J$26:$O$27,2))),IF($D$4="Forint",0,2))</f>
        <v>#N/A</v>
      </c>
      <c r="M976" s="13">
        <f t="shared" ca="1" si="313"/>
        <v>0</v>
      </c>
      <c r="N976" s="13">
        <f t="shared" ca="1" si="323"/>
        <v>0</v>
      </c>
      <c r="O976" s="13">
        <f ca="1">IF($D976="Igen",IF($W975&gt;=IF($D$4="Forint",Paraméterek!$J$121,Paraméterek!$K$121),0,IF($D$4="Forint",Paraméterek!$J$121,Paraméterek!$K$121)-$W975),0)</f>
        <v>0</v>
      </c>
      <c r="P976" s="13" t="e">
        <f ca="1">ROUNDUP($O976*VLOOKUP($M$4+$B976-1,Paraméterek!$H$58:$I$105,2,0)/Paraméterek!$I$56,IF($D$4="Forint",0,2))</f>
        <v>#N/A</v>
      </c>
      <c r="Q976" s="13">
        <f t="shared" ca="1" si="314"/>
        <v>0</v>
      </c>
      <c r="R976" s="33"/>
      <c r="S976" s="13" t="e">
        <f t="shared" ca="1" si="315"/>
        <v>#N/A</v>
      </c>
      <c r="T976" s="13" t="e">
        <f ca="1">ROUNDUP(($N976-$P976-$Q976+$S976)*VLOOKUP($B976,Paraméterek!$I$38:$K$39,IF($D$2="Egyszeri",3,2))/12*IF($D977="Nem",IF($M$13=0,1,$M$13),1),IF($D$4="Forint",0,2))</f>
        <v>#N/A</v>
      </c>
      <c r="U976" s="13"/>
      <c r="V976" s="13"/>
      <c r="W976" s="13" t="e">
        <f ca="1">$N976-$P976-$Q976+$S976-$T976-IF(ROUNDUP(IF(ISBLANK($V976),$U976*0,$V976)/IF($D$2="Egyszeri",VLOOKUP($B976+IF($C976=12,1,0),Paraméterek!$V$257:$W$262,2),IF($B976=1,1,VLOOKUP($B976+IF($C976=12,1,0),Paraméterek!$I$258:$T$278,HLOOKUP($M$11+1,Paraméterek!$J$256:$T$257,2)))),IF($D$4="Forint",0,2))&gt;$N976-$P976-$Q976+$S976-$T976-IF($D$4="Forint",Paraméterek!$C$216,Paraméterek!$D$216),0,ROUNDUP(IF(ISBLANK($V976),$U976*0,$V976)/IF($D$2="Egyszeri",VLOOKUP($B976+IF($C976=12,1,0),Paraméterek!$V$257:$W$262,2),IF($B976=1,1,VLOOKUP($B976+IF($C976=12,1,0),Paraméterek!$I$258:$T$278,HLOOKUP($M$11+1,Paraméterek!$J$256:$T$257,2)))),IF($D$4="Forint",0,2)))</f>
        <v>#N/A</v>
      </c>
      <c r="X976" s="13" t="e">
        <f ca="1">ROUNDDOWN($W976*IF($D$2="Egyszeri",VLOOKUP($B976+IF($C976=12,1,0),Paraméterek!$V$257:$W$262,2),VLOOKUP($B976+IF($C976=12,1,0),Paraméterek!$I$258:$T$278,HLOOKUP($M$11+1,Paraméterek!$I$256:$T$257,2))),IF($D$4="Forint",0,2))</f>
        <v>#N/A</v>
      </c>
      <c r="Z976" s="32">
        <v>957</v>
      </c>
      <c r="AA976" s="32">
        <v>80</v>
      </c>
      <c r="AB976" s="32">
        <v>9</v>
      </c>
      <c r="AC976" s="13">
        <f t="shared" ca="1" si="324"/>
        <v>0</v>
      </c>
      <c r="AD976" s="33"/>
      <c r="AE976" s="13">
        <f t="shared" ca="1" si="316"/>
        <v>0</v>
      </c>
      <c r="AF976" s="13">
        <f ca="1">ROUNDUP(($AC976+$AE976)*VLOOKUP($AA976,Paraméterek!$P$38:$Q$38,2)/12*IF($D977="Nem",IF($M$13=0,1,$M$13),1),IF($D$4="Forint",0,2))</f>
        <v>0</v>
      </c>
      <c r="AG976" s="13">
        <f ca="1">IF($D$2="Egyszeri",IF($D$7&gt;=IF($D$4="Forint",Paraméterek!$P$223,Paraméterek!$P$224),$D$7-IF($D$4="Forint",Paraméterek!$P$223,Paraméterek!$P$224),0),MIN(IF($AB976=12,AVERAGEIF($E$20:$E976,"&gt;0",$E$20:$E976)*12,0),SUM($E$20:$E$31)))</f>
        <v>0</v>
      </c>
      <c r="AH976" s="13">
        <f>IF($AA976=10,$AG976*IF($AB976=12,IF($AG976&lt;IF($D$4="Forint",Paraméterek!$L$223,Paraméterek!$L$224),0,VLOOKUP($AA976,Paraméterek!$K$226:$M$228,IF($AG976&lt;IF($D$4="Forint",Paraméterek!$M$223,Paraméterek!$M$224),2,3))),0),0)</f>
        <v>0</v>
      </c>
      <c r="AI976" s="13">
        <f ca="1">IF(AND($AA976=$M$11+1,$AB976=$M$12+1),SUMIF($AA$20:$AA$1027,$AA976,$AG$20:$AG$1027)*IF(SUMIF($AA$20:$AA$1027,$AA976,$AG$20:$AG$1027)&lt;IF($D$4="Forint",Paraméterek!$L$223,Paraméterek!$L$224),0,VLOOKUP($AA976,Paraméterek!$K$230:$M$250,IF(SUMIF($AA$20:$AA$1027,$AA976,$AG$20:$AG$1027)&lt;IF($D$4="Forint",Paraméterek!$M$223,Paraméterek!$M$224),2,3))),0)</f>
        <v>0</v>
      </c>
      <c r="AJ976" s="13">
        <f ca="1">IF(AND($AA976&gt;=5,MOD($AA976,5)=0),IF($AB976=12,VLOOKUP($AA976,Paraméterek!$O$225:$P$240,2),0),IF(OR($AA976=3,$AA976=4),IF($AB976=12,VLOOKUP($AA976,Paraméterek!$O$225:$P$240,2,0),0),0))*$AG976</f>
        <v>0</v>
      </c>
      <c r="AK976" s="13">
        <f t="shared" ca="1" si="317"/>
        <v>0</v>
      </c>
      <c r="AL976" s="13">
        <f t="shared" ca="1" si="325"/>
        <v>0</v>
      </c>
      <c r="AM976" s="13">
        <f t="shared" ca="1" si="326"/>
        <v>0</v>
      </c>
      <c r="AO976" s="32">
        <v>957</v>
      </c>
      <c r="AP976" s="32">
        <v>80</v>
      </c>
      <c r="AQ976" s="32">
        <v>9</v>
      </c>
      <c r="AR976" s="13"/>
      <c r="AS976" s="32"/>
      <c r="AT976" s="13">
        <f t="shared" ca="1" si="327"/>
        <v>0</v>
      </c>
      <c r="AU976" s="33"/>
      <c r="AV976" s="13">
        <f t="shared" ca="1" si="318"/>
        <v>0</v>
      </c>
      <c r="AW976" s="13">
        <f ca="1">ROUNDUP(($AT976+$AV976)*VLOOKUP($AP976,Paraméterek!$P$38:$Q$38,2)/12*IF($D977="Nem",IF($M$13=0,1,$M$13),1),IF($D$4="Forint",0,2))</f>
        <v>0</v>
      </c>
      <c r="AX976" s="13"/>
      <c r="AY976" s="13"/>
      <c r="AZ976" s="13">
        <f>ROUNDUP(IF(SUM($AX976:$AY976)=0,0,IF(IF(ISBLANK($AY976),$AX976,$AY976)*Paraméterek!$J$112&lt;IF($D$4="Forint",Paraméterek!$J$113,Paraméterek!$K$113),IF($D$4="Forint",Paraméterek!$J$113,Paraméterek!$K$113),IF(IF(ISBLANK($AY976),$AX976,$AY976)*Paraméterek!$J$112&gt;IF($D$4="Forint",Paraméterek!$J$114,Paraméterek!$K$114),IF($D$4="Forint",Paraméterek!$J$114,Paraméterek!$K$114),IF(ISBLANK($AY976),$AX976,$AY976)*Paraméterek!$J$112))),IF($D$4="Forint",0,2))</f>
        <v>0</v>
      </c>
      <c r="BA976" s="13">
        <f ca="1">$AT976+$AV976-$AW976-IF(ROUNDDOWN(IF(ISBLANK($AY976),$AX976,$AY976),IF($D$4="Forint",0,2))&gt;$AT976+$AV976-$AW976-IF($D$4="Forint",Paraméterek!$J$114,Paraméterek!$K$114),0,ROUNDDOWN(IF(ISBLANK($AY976),$AX976,$AY976),IF($D$4="Forint",0,2))-$AZ976)</f>
        <v>0</v>
      </c>
      <c r="BB976" s="13">
        <f t="shared" ca="1" si="319"/>
        <v>0</v>
      </c>
      <c r="BD976" s="32">
        <v>957</v>
      </c>
      <c r="BE976" s="32">
        <v>80</v>
      </c>
      <c r="BF976" s="32">
        <v>9</v>
      </c>
      <c r="BG976" s="34">
        <f t="shared" ca="1" si="328"/>
        <v>2099</v>
      </c>
      <c r="BH976" s="32" t="str">
        <f ca="1">IF(MOD(MONTH($D$14)+$BD976-1,12)=Paraméterek!$C$288,"Igen","")</f>
        <v/>
      </c>
      <c r="BI976" s="13">
        <f ca="1">IF($BH976="Igen",MIN(ROUNDDOWN((SUMIF($BG$20:$BG$1027,$BG976-1,$K$20:$K$1027)-SUMIF($BG$20:$BG$1027,$BG976-1,$I$20:$I$1027))*Paraméterek!$C$289,IF($D$4="Forint",0,2)),IF($D$4="Forint",Paraméterek!$C$285,Paraméterek!$D$285)),0)</f>
        <v>0</v>
      </c>
      <c r="BJ976" s="13">
        <f t="shared" ca="1" si="320"/>
        <v>0</v>
      </c>
      <c r="BK976" s="13">
        <f t="shared" ca="1" si="329"/>
        <v>0</v>
      </c>
      <c r="BL976" s="33"/>
      <c r="BM976" s="13">
        <f t="shared" ca="1" si="321"/>
        <v>0</v>
      </c>
      <c r="BN976" s="13">
        <f ca="1">ROUNDUP(($BK976+$BM976)*VLOOKUP($BE976,Paraméterek!$P$38:$Q$38,2)/12*IF($D977="Nem",IF($M$13=0,1,$M$13),1),IF($D$4="Forint",0,2))</f>
        <v>0</v>
      </c>
      <c r="BO976" s="13">
        <f t="shared" ca="1" si="322"/>
        <v>0</v>
      </c>
      <c r="BP976" s="13">
        <f ca="1">IF($D977="Nem",$BO976,$BO976-ROUNDUP(SUM($BI$20:$BI976)*120%,IF($D$4="Forint",0,2)))</f>
        <v>0</v>
      </c>
    </row>
    <row r="977" spans="1:68" x14ac:dyDescent="0.2">
      <c r="A977" s="32">
        <v>958</v>
      </c>
      <c r="B977" s="32">
        <v>80</v>
      </c>
      <c r="C977" s="32">
        <v>10</v>
      </c>
      <c r="D977" s="32" t="str">
        <f t="shared" ca="1" si="308"/>
        <v>Nem</v>
      </c>
      <c r="E977" s="13">
        <f t="shared" ca="1" si="309"/>
        <v>0</v>
      </c>
      <c r="F977" s="13"/>
      <c r="G977" s="13"/>
      <c r="H977" s="13"/>
      <c r="I977" s="13">
        <f t="shared" ca="1" si="310"/>
        <v>0</v>
      </c>
      <c r="J977" s="13">
        <f t="shared" ca="1" si="311"/>
        <v>0</v>
      </c>
      <c r="K977" s="13">
        <f t="shared" ca="1" si="312"/>
        <v>0</v>
      </c>
      <c r="L977" s="13" t="e">
        <f ca="1">ROUNDUP(IF($D$2="Egyszeri",$E977,IF($D$2="Havi",SUM($E$20:$E$31),IF(MOD($C977,$M$1)-1=0,SUM($E$20:$E$31),0))/12*$M$1)*VLOOKUP($B977,Paraméterek!$I$28:$P$31,IF($D$2="Egyszeri",8,HLOOKUP(ROUNDUP($M$11+$M$13,0),Paraméterek!$J$26:$O$27,2))),IF($D$4="Forint",0,2))</f>
        <v>#N/A</v>
      </c>
      <c r="M977" s="13">
        <f t="shared" ca="1" si="313"/>
        <v>0</v>
      </c>
      <c r="N977" s="13">
        <f t="shared" ca="1" si="323"/>
        <v>0</v>
      </c>
      <c r="O977" s="13">
        <f ca="1">IF($D977="Igen",IF($W976&gt;=IF($D$4="Forint",Paraméterek!$J$121,Paraméterek!$K$121),0,IF($D$4="Forint",Paraméterek!$J$121,Paraméterek!$K$121)-$W976),0)</f>
        <v>0</v>
      </c>
      <c r="P977" s="13" t="e">
        <f ca="1">ROUNDUP($O977*VLOOKUP($M$4+$B977-1,Paraméterek!$H$58:$I$105,2,0)/Paraméterek!$I$56,IF($D$4="Forint",0,2))</f>
        <v>#N/A</v>
      </c>
      <c r="Q977" s="13">
        <f t="shared" ca="1" si="314"/>
        <v>0</v>
      </c>
      <c r="R977" s="33"/>
      <c r="S977" s="13" t="e">
        <f t="shared" ca="1" si="315"/>
        <v>#N/A</v>
      </c>
      <c r="T977" s="13" t="e">
        <f ca="1">ROUNDUP(($N977-$P977-$Q977+$S977)*VLOOKUP($B977,Paraméterek!$I$38:$K$39,IF($D$2="Egyszeri",3,2))/12*IF($D978="Nem",IF($M$13=0,1,$M$13),1),IF($D$4="Forint",0,2))</f>
        <v>#N/A</v>
      </c>
      <c r="U977" s="13"/>
      <c r="V977" s="13"/>
      <c r="W977" s="13" t="e">
        <f ca="1">$N977-$P977-$Q977+$S977-$T977-IF(ROUNDUP(IF(ISBLANK($V977),$U977*0,$V977)/IF($D$2="Egyszeri",VLOOKUP($B977+IF($C977=12,1,0),Paraméterek!$V$257:$W$262,2),IF($B977=1,1,VLOOKUP($B977+IF($C977=12,1,0),Paraméterek!$I$258:$T$278,HLOOKUP($M$11+1,Paraméterek!$J$256:$T$257,2)))),IF($D$4="Forint",0,2))&gt;$N977-$P977-$Q977+$S977-$T977-IF($D$4="Forint",Paraméterek!$C$216,Paraméterek!$D$216),0,ROUNDUP(IF(ISBLANK($V977),$U977*0,$V977)/IF($D$2="Egyszeri",VLOOKUP($B977+IF($C977=12,1,0),Paraméterek!$V$257:$W$262,2),IF($B977=1,1,VLOOKUP($B977+IF($C977=12,1,0),Paraméterek!$I$258:$T$278,HLOOKUP($M$11+1,Paraméterek!$J$256:$T$257,2)))),IF($D$4="Forint",0,2)))</f>
        <v>#N/A</v>
      </c>
      <c r="X977" s="13" t="e">
        <f ca="1">ROUNDDOWN($W977*IF($D$2="Egyszeri",VLOOKUP($B977+IF($C977=12,1,0),Paraméterek!$V$257:$W$262,2),VLOOKUP($B977+IF($C977=12,1,0),Paraméterek!$I$258:$T$278,HLOOKUP($M$11+1,Paraméterek!$I$256:$T$257,2))),IF($D$4="Forint",0,2))</f>
        <v>#N/A</v>
      </c>
      <c r="Z977" s="32">
        <v>958</v>
      </c>
      <c r="AA977" s="32">
        <v>80</v>
      </c>
      <c r="AB977" s="32">
        <v>10</v>
      </c>
      <c r="AC977" s="13">
        <f t="shared" ca="1" si="324"/>
        <v>0</v>
      </c>
      <c r="AD977" s="33"/>
      <c r="AE977" s="13">
        <f t="shared" ca="1" si="316"/>
        <v>0</v>
      </c>
      <c r="AF977" s="13">
        <f ca="1">ROUNDUP(($AC977+$AE977)*VLOOKUP($AA977,Paraméterek!$P$38:$Q$38,2)/12*IF($D978="Nem",IF($M$13=0,1,$M$13),1),IF($D$4="Forint",0,2))</f>
        <v>0</v>
      </c>
      <c r="AG977" s="13">
        <f ca="1">IF($D$2="Egyszeri",IF($D$7&gt;=IF($D$4="Forint",Paraméterek!$P$223,Paraméterek!$P$224),$D$7-IF($D$4="Forint",Paraméterek!$P$223,Paraméterek!$P$224),0),MIN(IF($AB977=12,AVERAGEIF($E$20:$E977,"&gt;0",$E$20:$E977)*12,0),SUM($E$20:$E$31)))</f>
        <v>0</v>
      </c>
      <c r="AH977" s="13">
        <f>IF($AA977=10,$AG977*IF($AB977=12,IF($AG977&lt;IF($D$4="Forint",Paraméterek!$L$223,Paraméterek!$L$224),0,VLOOKUP($AA977,Paraméterek!$K$226:$M$228,IF($AG977&lt;IF($D$4="Forint",Paraméterek!$M$223,Paraméterek!$M$224),2,3))),0),0)</f>
        <v>0</v>
      </c>
      <c r="AI977" s="13">
        <f ca="1">IF(AND($AA977=$M$11+1,$AB977=$M$12+1),SUMIF($AA$20:$AA$1027,$AA977,$AG$20:$AG$1027)*IF(SUMIF($AA$20:$AA$1027,$AA977,$AG$20:$AG$1027)&lt;IF($D$4="Forint",Paraméterek!$L$223,Paraméterek!$L$224),0,VLOOKUP($AA977,Paraméterek!$K$230:$M$250,IF(SUMIF($AA$20:$AA$1027,$AA977,$AG$20:$AG$1027)&lt;IF($D$4="Forint",Paraméterek!$M$223,Paraméterek!$M$224),2,3))),0)</f>
        <v>0</v>
      </c>
      <c r="AJ977" s="13">
        <f ca="1">IF(AND($AA977&gt;=5,MOD($AA977,5)=0),IF($AB977=12,VLOOKUP($AA977,Paraméterek!$O$225:$P$240,2),0),IF(OR($AA977=3,$AA977=4),IF($AB977=12,VLOOKUP($AA977,Paraméterek!$O$225:$P$240,2,0),0),0))*$AG977</f>
        <v>0</v>
      </c>
      <c r="AK977" s="13">
        <f t="shared" ca="1" si="317"/>
        <v>0</v>
      </c>
      <c r="AL977" s="13">
        <f t="shared" ca="1" si="325"/>
        <v>0</v>
      </c>
      <c r="AM977" s="13">
        <f t="shared" ca="1" si="326"/>
        <v>0</v>
      </c>
      <c r="AO977" s="32">
        <v>958</v>
      </c>
      <c r="AP977" s="32">
        <v>80</v>
      </c>
      <c r="AQ977" s="32">
        <v>10</v>
      </c>
      <c r="AR977" s="13"/>
      <c r="AS977" s="32"/>
      <c r="AT977" s="13">
        <f t="shared" ca="1" si="327"/>
        <v>0</v>
      </c>
      <c r="AU977" s="33"/>
      <c r="AV977" s="13">
        <f t="shared" ca="1" si="318"/>
        <v>0</v>
      </c>
      <c r="AW977" s="13">
        <f ca="1">ROUNDUP(($AT977+$AV977)*VLOOKUP($AP977,Paraméterek!$P$38:$Q$38,2)/12*IF($D978="Nem",IF($M$13=0,1,$M$13),1),IF($D$4="Forint",0,2))</f>
        <v>0</v>
      </c>
      <c r="AX977" s="13"/>
      <c r="AY977" s="13"/>
      <c r="AZ977" s="13">
        <f>ROUNDUP(IF(SUM($AX977:$AY977)=0,0,IF(IF(ISBLANK($AY977),$AX977,$AY977)*Paraméterek!$J$112&lt;IF($D$4="Forint",Paraméterek!$J$113,Paraméterek!$K$113),IF($D$4="Forint",Paraméterek!$J$113,Paraméterek!$K$113),IF(IF(ISBLANK($AY977),$AX977,$AY977)*Paraméterek!$J$112&gt;IF($D$4="Forint",Paraméterek!$J$114,Paraméterek!$K$114),IF($D$4="Forint",Paraméterek!$J$114,Paraméterek!$K$114),IF(ISBLANK($AY977),$AX977,$AY977)*Paraméterek!$J$112))),IF($D$4="Forint",0,2))</f>
        <v>0</v>
      </c>
      <c r="BA977" s="13">
        <f ca="1">$AT977+$AV977-$AW977-IF(ROUNDDOWN(IF(ISBLANK($AY977),$AX977,$AY977),IF($D$4="Forint",0,2))&gt;$AT977+$AV977-$AW977-IF($D$4="Forint",Paraméterek!$J$114,Paraméterek!$K$114),0,ROUNDDOWN(IF(ISBLANK($AY977),$AX977,$AY977),IF($D$4="Forint",0,2))-$AZ977)</f>
        <v>0</v>
      </c>
      <c r="BB977" s="13">
        <f t="shared" ca="1" si="319"/>
        <v>0</v>
      </c>
      <c r="BD977" s="32">
        <v>958</v>
      </c>
      <c r="BE977" s="32">
        <v>80</v>
      </c>
      <c r="BF977" s="32">
        <v>10</v>
      </c>
      <c r="BG977" s="34">
        <f t="shared" ca="1" si="328"/>
        <v>2099</v>
      </c>
      <c r="BH977" s="32" t="str">
        <f ca="1">IF(MOD(MONTH($D$14)+$BD977-1,12)=Paraméterek!$C$288,"Igen","")</f>
        <v/>
      </c>
      <c r="BI977" s="13">
        <f ca="1">IF($BH977="Igen",MIN(ROUNDDOWN((SUMIF($BG$20:$BG$1027,$BG977-1,$K$20:$K$1027)-SUMIF($BG$20:$BG$1027,$BG977-1,$I$20:$I$1027))*Paraméterek!$C$289,IF($D$4="Forint",0,2)),IF($D$4="Forint",Paraméterek!$C$285,Paraméterek!$D$285)),0)</f>
        <v>0</v>
      </c>
      <c r="BJ977" s="13">
        <f t="shared" ca="1" si="320"/>
        <v>0</v>
      </c>
      <c r="BK977" s="13">
        <f t="shared" ca="1" si="329"/>
        <v>0</v>
      </c>
      <c r="BL977" s="33"/>
      <c r="BM977" s="13">
        <f t="shared" ca="1" si="321"/>
        <v>0</v>
      </c>
      <c r="BN977" s="13">
        <f ca="1">ROUNDUP(($BK977+$BM977)*VLOOKUP($BE977,Paraméterek!$P$38:$Q$38,2)/12*IF($D978="Nem",IF($M$13=0,1,$M$13),1),IF($D$4="Forint",0,2))</f>
        <v>0</v>
      </c>
      <c r="BO977" s="13">
        <f t="shared" ca="1" si="322"/>
        <v>0</v>
      </c>
      <c r="BP977" s="13">
        <f ca="1">IF($D978="Nem",$BO977,$BO977-ROUNDUP(SUM($BI$20:$BI977)*120%,IF($D$4="Forint",0,2)))</f>
        <v>0</v>
      </c>
    </row>
    <row r="978" spans="1:68" x14ac:dyDescent="0.2">
      <c r="A978" s="32">
        <v>959</v>
      </c>
      <c r="B978" s="32">
        <v>80</v>
      </c>
      <c r="C978" s="32">
        <v>11</v>
      </c>
      <c r="D978" s="32" t="str">
        <f t="shared" ca="1" si="308"/>
        <v>Nem</v>
      </c>
      <c r="E978" s="13">
        <f t="shared" ca="1" si="309"/>
        <v>0</v>
      </c>
      <c r="F978" s="13"/>
      <c r="G978" s="13"/>
      <c r="H978" s="13"/>
      <c r="I978" s="13">
        <f t="shared" ca="1" si="310"/>
        <v>0</v>
      </c>
      <c r="J978" s="13">
        <f t="shared" ca="1" si="311"/>
        <v>0</v>
      </c>
      <c r="K978" s="13">
        <f t="shared" ca="1" si="312"/>
        <v>0</v>
      </c>
      <c r="L978" s="13" t="e">
        <f ca="1">ROUNDUP(IF($D$2="Egyszeri",$E978,IF($D$2="Havi",SUM($E$20:$E$31),IF(MOD($C978,$M$1)-1=0,SUM($E$20:$E$31),0))/12*$M$1)*VLOOKUP($B978,Paraméterek!$I$28:$P$31,IF($D$2="Egyszeri",8,HLOOKUP(ROUNDUP($M$11+$M$13,0),Paraméterek!$J$26:$O$27,2))),IF($D$4="Forint",0,2))</f>
        <v>#N/A</v>
      </c>
      <c r="M978" s="13">
        <f t="shared" ca="1" si="313"/>
        <v>0</v>
      </c>
      <c r="N978" s="13">
        <f t="shared" ca="1" si="323"/>
        <v>0</v>
      </c>
      <c r="O978" s="13">
        <f ca="1">IF($D978="Igen",IF($W977&gt;=IF($D$4="Forint",Paraméterek!$J$121,Paraméterek!$K$121),0,IF($D$4="Forint",Paraméterek!$J$121,Paraméterek!$K$121)-$W977),0)</f>
        <v>0</v>
      </c>
      <c r="P978" s="13" t="e">
        <f ca="1">ROUNDUP($O978*VLOOKUP($M$4+$B978-1,Paraméterek!$H$58:$I$105,2,0)/Paraméterek!$I$56,IF($D$4="Forint",0,2))</f>
        <v>#N/A</v>
      </c>
      <c r="Q978" s="13">
        <f t="shared" ca="1" si="314"/>
        <v>0</v>
      </c>
      <c r="R978" s="33"/>
      <c r="S978" s="13" t="e">
        <f t="shared" ca="1" si="315"/>
        <v>#N/A</v>
      </c>
      <c r="T978" s="13" t="e">
        <f ca="1">ROUNDUP(($N978-$P978-$Q978+$S978)*VLOOKUP($B978,Paraméterek!$I$38:$K$39,IF($D$2="Egyszeri",3,2))/12*IF($D979="Nem",IF($M$13=0,1,$M$13),1),IF($D$4="Forint",0,2))</f>
        <v>#N/A</v>
      </c>
      <c r="U978" s="13"/>
      <c r="V978" s="13"/>
      <c r="W978" s="13" t="e">
        <f ca="1">$N978-$P978-$Q978+$S978-$T978-IF(ROUNDUP(IF(ISBLANK($V978),$U978*0,$V978)/IF($D$2="Egyszeri",VLOOKUP($B978+IF($C978=12,1,0),Paraméterek!$V$257:$W$262,2),IF($B978=1,1,VLOOKUP($B978+IF($C978=12,1,0),Paraméterek!$I$258:$T$278,HLOOKUP($M$11+1,Paraméterek!$J$256:$T$257,2)))),IF($D$4="Forint",0,2))&gt;$N978-$P978-$Q978+$S978-$T978-IF($D$4="Forint",Paraméterek!$C$216,Paraméterek!$D$216),0,ROUNDUP(IF(ISBLANK($V978),$U978*0,$V978)/IF($D$2="Egyszeri",VLOOKUP($B978+IF($C978=12,1,0),Paraméterek!$V$257:$W$262,2),IF($B978=1,1,VLOOKUP($B978+IF($C978=12,1,0),Paraméterek!$I$258:$T$278,HLOOKUP($M$11+1,Paraméterek!$J$256:$T$257,2)))),IF($D$4="Forint",0,2)))</f>
        <v>#N/A</v>
      </c>
      <c r="X978" s="13" t="e">
        <f ca="1">ROUNDDOWN($W978*IF($D$2="Egyszeri",VLOOKUP($B978+IF($C978=12,1,0),Paraméterek!$V$257:$W$262,2),VLOOKUP($B978+IF($C978=12,1,0),Paraméterek!$I$258:$T$278,HLOOKUP($M$11+1,Paraméterek!$I$256:$T$257,2))),IF($D$4="Forint",0,2))</f>
        <v>#N/A</v>
      </c>
      <c r="Z978" s="32">
        <v>959</v>
      </c>
      <c r="AA978" s="32">
        <v>80</v>
      </c>
      <c r="AB978" s="32">
        <v>11</v>
      </c>
      <c r="AC978" s="13">
        <f t="shared" ca="1" si="324"/>
        <v>0</v>
      </c>
      <c r="AD978" s="33"/>
      <c r="AE978" s="13">
        <f t="shared" ca="1" si="316"/>
        <v>0</v>
      </c>
      <c r="AF978" s="13">
        <f ca="1">ROUNDUP(($AC978+$AE978)*VLOOKUP($AA978,Paraméterek!$P$38:$Q$38,2)/12*IF($D979="Nem",IF($M$13=0,1,$M$13),1),IF($D$4="Forint",0,2))</f>
        <v>0</v>
      </c>
      <c r="AG978" s="13">
        <f ca="1">IF($D$2="Egyszeri",IF($D$7&gt;=IF($D$4="Forint",Paraméterek!$P$223,Paraméterek!$P$224),$D$7-IF($D$4="Forint",Paraméterek!$P$223,Paraméterek!$P$224),0),MIN(IF($AB978=12,AVERAGEIF($E$20:$E978,"&gt;0",$E$20:$E978)*12,0),SUM($E$20:$E$31)))</f>
        <v>0</v>
      </c>
      <c r="AH978" s="13">
        <f>IF($AA978=10,$AG978*IF($AB978=12,IF($AG978&lt;IF($D$4="Forint",Paraméterek!$L$223,Paraméterek!$L$224),0,VLOOKUP($AA978,Paraméterek!$K$226:$M$228,IF($AG978&lt;IF($D$4="Forint",Paraméterek!$M$223,Paraméterek!$M$224),2,3))),0),0)</f>
        <v>0</v>
      </c>
      <c r="AI978" s="13">
        <f ca="1">IF(AND($AA978=$M$11+1,$AB978=$M$12+1),SUMIF($AA$20:$AA$1027,$AA978,$AG$20:$AG$1027)*IF(SUMIF($AA$20:$AA$1027,$AA978,$AG$20:$AG$1027)&lt;IF($D$4="Forint",Paraméterek!$L$223,Paraméterek!$L$224),0,VLOOKUP($AA978,Paraméterek!$K$230:$M$250,IF(SUMIF($AA$20:$AA$1027,$AA978,$AG$20:$AG$1027)&lt;IF($D$4="Forint",Paraméterek!$M$223,Paraméterek!$M$224),2,3))),0)</f>
        <v>0</v>
      </c>
      <c r="AJ978" s="13">
        <f ca="1">IF(AND($AA978&gt;=5,MOD($AA978,5)=0),IF($AB978=12,VLOOKUP($AA978,Paraméterek!$O$225:$P$240,2),0),IF(OR($AA978=3,$AA978=4),IF($AB978=12,VLOOKUP($AA978,Paraméterek!$O$225:$P$240,2,0),0),0))*$AG978</f>
        <v>0</v>
      </c>
      <c r="AK978" s="13">
        <f t="shared" ca="1" si="317"/>
        <v>0</v>
      </c>
      <c r="AL978" s="13">
        <f t="shared" ca="1" si="325"/>
        <v>0</v>
      </c>
      <c r="AM978" s="13">
        <f t="shared" ca="1" si="326"/>
        <v>0</v>
      </c>
      <c r="AO978" s="32">
        <v>959</v>
      </c>
      <c r="AP978" s="32">
        <v>80</v>
      </c>
      <c r="AQ978" s="32">
        <v>11</v>
      </c>
      <c r="AR978" s="13"/>
      <c r="AS978" s="32"/>
      <c r="AT978" s="13">
        <f t="shared" ca="1" si="327"/>
        <v>0</v>
      </c>
      <c r="AU978" s="33"/>
      <c r="AV978" s="13">
        <f t="shared" ca="1" si="318"/>
        <v>0</v>
      </c>
      <c r="AW978" s="13">
        <f ca="1">ROUNDUP(($AT978+$AV978)*VLOOKUP($AP978,Paraméterek!$P$38:$Q$38,2)/12*IF($D979="Nem",IF($M$13=0,1,$M$13),1),IF($D$4="Forint",0,2))</f>
        <v>0</v>
      </c>
      <c r="AX978" s="13"/>
      <c r="AY978" s="13"/>
      <c r="AZ978" s="13">
        <f>ROUNDUP(IF(SUM($AX978:$AY978)=0,0,IF(IF(ISBLANK($AY978),$AX978,$AY978)*Paraméterek!$J$112&lt;IF($D$4="Forint",Paraméterek!$J$113,Paraméterek!$K$113),IF($D$4="Forint",Paraméterek!$J$113,Paraméterek!$K$113),IF(IF(ISBLANK($AY978),$AX978,$AY978)*Paraméterek!$J$112&gt;IF($D$4="Forint",Paraméterek!$J$114,Paraméterek!$K$114),IF($D$4="Forint",Paraméterek!$J$114,Paraméterek!$K$114),IF(ISBLANK($AY978),$AX978,$AY978)*Paraméterek!$J$112))),IF($D$4="Forint",0,2))</f>
        <v>0</v>
      </c>
      <c r="BA978" s="13">
        <f ca="1">$AT978+$AV978-$AW978-IF(ROUNDDOWN(IF(ISBLANK($AY978),$AX978,$AY978),IF($D$4="Forint",0,2))&gt;$AT978+$AV978-$AW978-IF($D$4="Forint",Paraméterek!$J$114,Paraméterek!$K$114),0,ROUNDDOWN(IF(ISBLANK($AY978),$AX978,$AY978),IF($D$4="Forint",0,2))-$AZ978)</f>
        <v>0</v>
      </c>
      <c r="BB978" s="13">
        <f t="shared" ca="1" si="319"/>
        <v>0</v>
      </c>
      <c r="BD978" s="32">
        <v>959</v>
      </c>
      <c r="BE978" s="32">
        <v>80</v>
      </c>
      <c r="BF978" s="32">
        <v>11</v>
      </c>
      <c r="BG978" s="34">
        <f t="shared" ca="1" si="328"/>
        <v>2099</v>
      </c>
      <c r="BH978" s="32" t="str">
        <f ca="1">IF(MOD(MONTH($D$14)+$BD978-1,12)=Paraméterek!$C$288,"Igen","")</f>
        <v/>
      </c>
      <c r="BI978" s="13">
        <f ca="1">IF($BH978="Igen",MIN(ROUNDDOWN((SUMIF($BG$20:$BG$1027,$BG978-1,$K$20:$K$1027)-SUMIF($BG$20:$BG$1027,$BG978-1,$I$20:$I$1027))*Paraméterek!$C$289,IF($D$4="Forint",0,2)),IF($D$4="Forint",Paraméterek!$C$285,Paraméterek!$D$285)),0)</f>
        <v>0</v>
      </c>
      <c r="BJ978" s="13">
        <f t="shared" ca="1" si="320"/>
        <v>0</v>
      </c>
      <c r="BK978" s="13">
        <f t="shared" ca="1" si="329"/>
        <v>0</v>
      </c>
      <c r="BL978" s="33"/>
      <c r="BM978" s="13">
        <f t="shared" ca="1" si="321"/>
        <v>0</v>
      </c>
      <c r="BN978" s="13">
        <f ca="1">ROUNDUP(($BK978+$BM978)*VLOOKUP($BE978,Paraméterek!$P$38:$Q$38,2)/12*IF($D979="Nem",IF($M$13=0,1,$M$13),1),IF($D$4="Forint",0,2))</f>
        <v>0</v>
      </c>
      <c r="BO978" s="13">
        <f t="shared" ca="1" si="322"/>
        <v>0</v>
      </c>
      <c r="BP978" s="13">
        <f ca="1">IF($D979="Nem",$BO978,$BO978-ROUNDUP(SUM($BI$20:$BI978)*120%,IF($D$4="Forint",0,2)))</f>
        <v>0</v>
      </c>
    </row>
    <row r="979" spans="1:68" x14ac:dyDescent="0.2">
      <c r="A979" s="32">
        <v>960</v>
      </c>
      <c r="B979" s="32">
        <v>80</v>
      </c>
      <c r="C979" s="32">
        <v>12</v>
      </c>
      <c r="D979" s="32" t="str">
        <f t="shared" ca="1" si="308"/>
        <v>Nem</v>
      </c>
      <c r="E979" s="13">
        <f t="shared" ca="1" si="309"/>
        <v>0</v>
      </c>
      <c r="F979" s="13"/>
      <c r="G979" s="13"/>
      <c r="H979" s="13"/>
      <c r="I979" s="13">
        <f t="shared" ca="1" si="310"/>
        <v>0</v>
      </c>
      <c r="J979" s="13">
        <f t="shared" ca="1" si="311"/>
        <v>0</v>
      </c>
      <c r="K979" s="13">
        <f t="shared" ca="1" si="312"/>
        <v>0</v>
      </c>
      <c r="L979" s="13" t="e">
        <f ca="1">ROUNDUP(IF($D$2="Egyszeri",$E979,IF($D$2="Havi",SUM($E$20:$E$31),IF(MOD($C979,$M$1)-1=0,SUM($E$20:$E$31),0))/12*$M$1)*VLOOKUP($B979,Paraméterek!$I$28:$P$31,IF($D$2="Egyszeri",8,HLOOKUP(ROUNDUP($M$11+$M$13,0),Paraméterek!$J$26:$O$27,2))),IF($D$4="Forint",0,2))</f>
        <v>#N/A</v>
      </c>
      <c r="M979" s="13">
        <f t="shared" ca="1" si="313"/>
        <v>0</v>
      </c>
      <c r="N979" s="13">
        <f t="shared" ca="1" si="323"/>
        <v>0</v>
      </c>
      <c r="O979" s="13">
        <f ca="1">IF($D979="Igen",IF($W978&gt;=IF($D$4="Forint",Paraméterek!$J$121,Paraméterek!$K$121),0,IF($D$4="Forint",Paraméterek!$J$121,Paraméterek!$K$121)-$W978),0)</f>
        <v>0</v>
      </c>
      <c r="P979" s="13" t="e">
        <f ca="1">ROUNDUP($O979*VLOOKUP($M$4+$B979-1,Paraméterek!$H$58:$I$105,2,0)/Paraméterek!$I$56,IF($D$4="Forint",0,2))</f>
        <v>#N/A</v>
      </c>
      <c r="Q979" s="13">
        <f t="shared" ca="1" si="314"/>
        <v>0</v>
      </c>
      <c r="R979" s="33"/>
      <c r="S979" s="13" t="e">
        <f t="shared" ca="1" si="315"/>
        <v>#N/A</v>
      </c>
      <c r="T979" s="13" t="e">
        <f ca="1">ROUNDUP(($N979-$P979-$Q979+$S979)*VLOOKUP($B979,Paraméterek!$I$38:$K$39,IF($D$2="Egyszeri",3,2))/12*IF($D980="Nem",IF($M$13=0,1,$M$13),1),IF($D$4="Forint",0,2))</f>
        <v>#N/A</v>
      </c>
      <c r="U979" s="13">
        <f>Tranzakciók!$F$111</f>
        <v>0</v>
      </c>
      <c r="V979" s="13"/>
      <c r="W979" s="13" t="e">
        <f ca="1">$N979-$P979-$Q979+$S979-$T979-IF(ROUNDUP(IF(ISBLANK($V979),$U979*0,$V979)/IF($D$2="Egyszeri",VLOOKUP($B979+IF($C979=12,1,0),Paraméterek!$V$257:$W$262,2),IF($B979=1,1,VLOOKUP($B979+IF($C979=12,1,0),Paraméterek!$I$258:$T$278,HLOOKUP($M$11+1,Paraméterek!$J$256:$T$257,2)))),IF($D$4="Forint",0,2))&gt;$N979-$P979-$Q979+$S979-$T979-IF($D$4="Forint",Paraméterek!$C$216,Paraméterek!$D$216),0,ROUNDUP(IF(ISBLANK($V979),$U979*0,$V979)/IF($D$2="Egyszeri",VLOOKUP($B979+IF($C979=12,1,0),Paraméterek!$V$257:$W$262,2),IF($B979=1,1,VLOOKUP($B979+IF($C979=12,1,0),Paraméterek!$I$258:$T$278,HLOOKUP($M$11+1,Paraméterek!$J$256:$T$257,2)))),IF($D$4="Forint",0,2)))</f>
        <v>#N/A</v>
      </c>
      <c r="X979" s="13" t="e">
        <f ca="1">ROUNDDOWN($W979*IF($D$2="Egyszeri",VLOOKUP($B979+IF($C979=12,1,0),Paraméterek!$V$257:$W$262,2),VLOOKUP($B979+IF($C979=12,1,0),Paraméterek!$I$258:$T$278,HLOOKUP($M$11+1,Paraméterek!$I$256:$T$257,2))),IF($D$4="Forint",0,2))</f>
        <v>#N/A</v>
      </c>
      <c r="Z979" s="32">
        <v>960</v>
      </c>
      <c r="AA979" s="32">
        <v>80</v>
      </c>
      <c r="AB979" s="32">
        <v>12</v>
      </c>
      <c r="AC979" s="13">
        <f t="shared" ca="1" si="324"/>
        <v>0</v>
      </c>
      <c r="AD979" s="33"/>
      <c r="AE979" s="13">
        <f t="shared" ca="1" si="316"/>
        <v>0</v>
      </c>
      <c r="AF979" s="13">
        <f ca="1">ROUNDUP(($AC979+$AE979)*VLOOKUP($AA979,Paraméterek!$P$38:$Q$38,2)/12*IF($D980="Nem",IF($M$13=0,1,$M$13),1),IF($D$4="Forint",0,2))</f>
        <v>0</v>
      </c>
      <c r="AG979" s="13" t="e">
        <f ca="1">IF($D$2="Egyszeri",IF($D$7&gt;=IF($D$4="Forint",Paraméterek!$P$223,Paraméterek!$P$224),$D$7-IF($D$4="Forint",Paraméterek!$P$223,Paraméterek!$P$224),0),MIN(IF($AB979=12,AVERAGEIF($E$20:$E979,"&gt;0",$E$20:$E979)*12,0),SUM($E$20:$E$31)))</f>
        <v>#DIV/0!</v>
      </c>
      <c r="AH979" s="13">
        <f>IF($AA979=10,$AG979*IF($AB979=12,IF($AG979&lt;IF($D$4="Forint",Paraméterek!$L$223,Paraméterek!$L$224),0,VLOOKUP($AA979,Paraméterek!$K$226:$M$228,IF($AG979&lt;IF($D$4="Forint",Paraméterek!$M$223,Paraméterek!$M$224),2,3))),0),0)</f>
        <v>0</v>
      </c>
      <c r="AI979" s="13">
        <f ca="1">IF(AND($AA979=$M$11+1,$AB979=$M$12+1),SUMIF($AA$20:$AA$1027,$AA979,$AG$20:$AG$1027)*IF(SUMIF($AA$20:$AA$1027,$AA979,$AG$20:$AG$1027)&lt;IF($D$4="Forint",Paraméterek!$L$223,Paraméterek!$L$224),0,VLOOKUP($AA979,Paraméterek!$K$230:$M$250,IF(SUMIF($AA$20:$AA$1027,$AA979,$AG$20:$AG$1027)&lt;IF($D$4="Forint",Paraméterek!$M$223,Paraméterek!$M$224),2,3))),0)</f>
        <v>0</v>
      </c>
      <c r="AJ979" s="13" t="e">
        <f ca="1">IF(AND($AA979&gt;=5,MOD($AA979,5)=0),IF($AB979=12,VLOOKUP($AA979,Paraméterek!$O$225:$P$240,2),0),IF(OR($AA979=3,$AA979=4),IF($AB979=12,VLOOKUP($AA979,Paraméterek!$O$225:$P$240,2,0),0),0))*$AG979</f>
        <v>#DIV/0!</v>
      </c>
      <c r="AK979" s="13">
        <f t="shared" ca="1" si="317"/>
        <v>0</v>
      </c>
      <c r="AL979" s="13">
        <f t="shared" ca="1" si="325"/>
        <v>0</v>
      </c>
      <c r="AM979" s="13">
        <f t="shared" ca="1" si="326"/>
        <v>0</v>
      </c>
      <c r="AO979" s="32">
        <v>960</v>
      </c>
      <c r="AP979" s="32">
        <v>80</v>
      </c>
      <c r="AQ979" s="32">
        <v>12</v>
      </c>
      <c r="AR979" s="13"/>
      <c r="AS979" s="32"/>
      <c r="AT979" s="13">
        <f t="shared" ca="1" si="327"/>
        <v>0</v>
      </c>
      <c r="AU979" s="33"/>
      <c r="AV979" s="13">
        <f t="shared" ca="1" si="318"/>
        <v>0</v>
      </c>
      <c r="AW979" s="13">
        <f ca="1">ROUNDUP(($AT979+$AV979)*VLOOKUP($AP979,Paraméterek!$P$38:$Q$38,2)/12*IF($D980="Nem",IF($M$13=0,1,$M$13),1),IF($D$4="Forint",0,2))</f>
        <v>0</v>
      </c>
      <c r="AX979" s="13">
        <f>Tranzakciók!$M$111</f>
        <v>0</v>
      </c>
      <c r="AY979" s="13"/>
      <c r="AZ979" s="13">
        <f>ROUNDUP(IF(SUM($AX979:$AY979)=0,0,IF(IF(ISBLANK($AY979),$AX979,$AY979)*Paraméterek!$J$112&lt;IF($D$4="Forint",Paraméterek!$J$113,Paraméterek!$K$113),IF($D$4="Forint",Paraméterek!$J$113,Paraméterek!$K$113),IF(IF(ISBLANK($AY979),$AX979,$AY979)*Paraméterek!$J$112&gt;IF($D$4="Forint",Paraméterek!$J$114,Paraméterek!$K$114),IF($D$4="Forint",Paraméterek!$J$114,Paraméterek!$K$114),IF(ISBLANK($AY979),$AX979,$AY979)*Paraméterek!$J$112))),IF($D$4="Forint",0,2))</f>
        <v>0</v>
      </c>
      <c r="BA979" s="13">
        <f ca="1">$AT979+$AV979-$AW979-IF(ROUNDDOWN(IF(ISBLANK($AY979),$AX979,$AY979),IF($D$4="Forint",0,2))&gt;$AT979+$AV979-$AW979-IF($D$4="Forint",Paraméterek!$J$114,Paraméterek!$K$114),0,ROUNDDOWN(IF(ISBLANK($AY979),$AX979,$AY979),IF($D$4="Forint",0,2))-$AZ979)</f>
        <v>0</v>
      </c>
      <c r="BB979" s="13">
        <f t="shared" ca="1" si="319"/>
        <v>0</v>
      </c>
      <c r="BD979" s="32">
        <v>960</v>
      </c>
      <c r="BE979" s="32">
        <v>80</v>
      </c>
      <c r="BF979" s="32">
        <v>12</v>
      </c>
      <c r="BG979" s="34">
        <f t="shared" ca="1" si="328"/>
        <v>2099</v>
      </c>
      <c r="BH979" s="32" t="str">
        <f ca="1">IF(MOD(MONTH($D$14)+$BD979-1,12)=Paraméterek!$C$288,"Igen","")</f>
        <v/>
      </c>
      <c r="BI979" s="13">
        <f ca="1">IF($BH979="Igen",MIN(ROUNDDOWN((SUMIF($BG$20:$BG$1027,$BG979-1,$K$20:$K$1027)-SUMIF($BG$20:$BG$1027,$BG979-1,$I$20:$I$1027))*Paraméterek!$C$289,IF($D$4="Forint",0,2)),IF($D$4="Forint",Paraméterek!$C$285,Paraméterek!$D$285)),0)</f>
        <v>0</v>
      </c>
      <c r="BJ979" s="13">
        <f t="shared" ca="1" si="320"/>
        <v>0</v>
      </c>
      <c r="BK979" s="13">
        <f t="shared" ca="1" si="329"/>
        <v>0</v>
      </c>
      <c r="BL979" s="33"/>
      <c r="BM979" s="13">
        <f t="shared" ca="1" si="321"/>
        <v>0</v>
      </c>
      <c r="BN979" s="13">
        <f ca="1">ROUNDUP(($BK979+$BM979)*VLOOKUP($BE979,Paraméterek!$P$38:$Q$38,2)/12*IF($D980="Nem",IF($M$13=0,1,$M$13),1),IF($D$4="Forint",0,2))</f>
        <v>0</v>
      </c>
      <c r="BO979" s="13">
        <f t="shared" ca="1" si="322"/>
        <v>0</v>
      </c>
      <c r="BP979" s="13">
        <f ca="1">IF($D980="Nem",$BO979,$BO979-ROUNDUP(SUM($BI$20:$BI979)*120%,IF($D$4="Forint",0,2)))</f>
        <v>0</v>
      </c>
    </row>
    <row r="980" spans="1:68" x14ac:dyDescent="0.2">
      <c r="A980" s="32">
        <v>961</v>
      </c>
      <c r="B980" s="32">
        <v>81</v>
      </c>
      <c r="C980" s="32">
        <v>1</v>
      </c>
      <c r="D980" s="32" t="str">
        <f t="shared" ca="1" si="308"/>
        <v>Nem</v>
      </c>
      <c r="E980" s="13">
        <f t="shared" ca="1" si="309"/>
        <v>0</v>
      </c>
      <c r="F980" s="13"/>
      <c r="G980" s="13">
        <f>Tranzakciók!$D$112</f>
        <v>0</v>
      </c>
      <c r="H980" s="13"/>
      <c r="I980" s="13">
        <f t="shared" ca="1" si="310"/>
        <v>0</v>
      </c>
      <c r="J980" s="13">
        <f t="shared" ca="1" si="311"/>
        <v>0</v>
      </c>
      <c r="K980" s="13">
        <f t="shared" ca="1" si="312"/>
        <v>0</v>
      </c>
      <c r="L980" s="13" t="e">
        <f ca="1">ROUNDUP(IF($D$2="Egyszeri",$E980,IF($D$2="Havi",SUM($E$20:$E$31),IF(MOD($C980,$M$1)-1=0,SUM($E$20:$E$31),0))/12*$M$1)*VLOOKUP($B980,Paraméterek!$I$28:$P$31,IF($D$2="Egyszeri",8,HLOOKUP(ROUNDUP($M$11+$M$13,0),Paraméterek!$J$26:$O$27,2))),IF($D$4="Forint",0,2))</f>
        <v>#N/A</v>
      </c>
      <c r="M980" s="13">
        <f t="shared" ca="1" si="313"/>
        <v>0</v>
      </c>
      <c r="N980" s="13">
        <f t="shared" ca="1" si="323"/>
        <v>0</v>
      </c>
      <c r="O980" s="13">
        <f ca="1">IF($D980="Igen",IF($W979&gt;=IF($D$4="Forint",Paraméterek!$J$121,Paraméterek!$K$121),0,IF($D$4="Forint",Paraméterek!$J$121,Paraméterek!$K$121)-$W979),0)</f>
        <v>0</v>
      </c>
      <c r="P980" s="13" t="e">
        <f ca="1">ROUNDUP($O980*VLOOKUP($M$4+$B980-1,Paraméterek!$H$58:$I$105,2,0)/Paraméterek!$I$56,IF($D$4="Forint",0,2))</f>
        <v>#N/A</v>
      </c>
      <c r="Q980" s="13">
        <f t="shared" ca="1" si="314"/>
        <v>0</v>
      </c>
      <c r="R980" s="33"/>
      <c r="S980" s="13" t="e">
        <f t="shared" ca="1" si="315"/>
        <v>#N/A</v>
      </c>
      <c r="T980" s="13" t="e">
        <f ca="1">ROUNDUP(($N980-$P980-$Q980+$S980)*VLOOKUP($B980,Paraméterek!$I$38:$K$39,IF($D$2="Egyszeri",3,2))/12*IF($D981="Nem",IF($M$13=0,1,$M$13),1),IF($D$4="Forint",0,2))</f>
        <v>#N/A</v>
      </c>
      <c r="U980" s="13"/>
      <c r="V980" s="13"/>
      <c r="W980" s="13" t="e">
        <f ca="1">$N980-$P980-$Q980+$S980-$T980-IF(ROUNDUP(IF(ISBLANK($V980),$U980*0,$V980)/IF($D$2="Egyszeri",VLOOKUP($B980+IF($C980=12,1,0),Paraméterek!$V$257:$W$262,2),IF($B980=1,1,VLOOKUP($B980+IF($C980=12,1,0),Paraméterek!$I$258:$T$278,HLOOKUP($M$11+1,Paraméterek!$J$256:$T$257,2)))),IF($D$4="Forint",0,2))&gt;$N980-$P980-$Q980+$S980-$T980-IF($D$4="Forint",Paraméterek!$C$216,Paraméterek!$D$216),0,ROUNDUP(IF(ISBLANK($V980),$U980*0,$V980)/IF($D$2="Egyszeri",VLOOKUP($B980+IF($C980=12,1,0),Paraméterek!$V$257:$W$262,2),IF($B980=1,1,VLOOKUP($B980+IF($C980=12,1,0),Paraméterek!$I$258:$T$278,HLOOKUP($M$11+1,Paraméterek!$J$256:$T$257,2)))),IF($D$4="Forint",0,2)))</f>
        <v>#N/A</v>
      </c>
      <c r="X980" s="13" t="e">
        <f ca="1">ROUNDDOWN($W980*IF($D$2="Egyszeri",VLOOKUP($B980+IF($C980=12,1,0),Paraméterek!$V$257:$W$262,2),VLOOKUP($B980+IF($C980=12,1,0),Paraméterek!$I$258:$T$278,HLOOKUP($M$11+1,Paraméterek!$I$256:$T$257,2))),IF($D$4="Forint",0,2))</f>
        <v>#N/A</v>
      </c>
      <c r="Z980" s="32">
        <v>961</v>
      </c>
      <c r="AA980" s="32">
        <v>81</v>
      </c>
      <c r="AB980" s="32">
        <v>1</v>
      </c>
      <c r="AC980" s="13">
        <f t="shared" ca="1" si="324"/>
        <v>0</v>
      </c>
      <c r="AD980" s="33"/>
      <c r="AE980" s="13">
        <f t="shared" ca="1" si="316"/>
        <v>0</v>
      </c>
      <c r="AF980" s="13">
        <f ca="1">ROUNDUP(($AC980+$AE980)*VLOOKUP($AA980,Paraméterek!$P$38:$Q$38,2)/12*IF($D981="Nem",IF($M$13=0,1,$M$13),1),IF($D$4="Forint",0,2))</f>
        <v>0</v>
      </c>
      <c r="AG980" s="13">
        <f ca="1">IF($D$2="Egyszeri",IF($D$7&gt;=IF($D$4="Forint",Paraméterek!$P$223,Paraméterek!$P$224),$D$7-IF($D$4="Forint",Paraméterek!$P$223,Paraméterek!$P$224),0),MIN(IF($AB980=12,AVERAGEIF($E$20:$E980,"&gt;0",$E$20:$E980)*12,0),SUM($E$20:$E$31)))</f>
        <v>0</v>
      </c>
      <c r="AH980" s="13">
        <f>IF($AA980=10,$AG980*IF($AB980=12,IF($AG980&lt;IF($D$4="Forint",Paraméterek!$L$223,Paraméterek!$L$224),0,VLOOKUP($AA980,Paraméterek!$K$226:$M$228,IF($AG980&lt;IF($D$4="Forint",Paraméterek!$M$223,Paraméterek!$M$224),2,3))),0),0)</f>
        <v>0</v>
      </c>
      <c r="AI980" s="13">
        <f ca="1">IF(AND($AA980=$M$11+1,$AB980=$M$12+1),SUMIF($AA$20:$AA$1027,$AA980,$AG$20:$AG$1027)*IF(SUMIF($AA$20:$AA$1027,$AA980,$AG$20:$AG$1027)&lt;IF($D$4="Forint",Paraméterek!$L$223,Paraméterek!$L$224),0,VLOOKUP($AA980,Paraméterek!$K$230:$M$250,IF(SUMIF($AA$20:$AA$1027,$AA980,$AG$20:$AG$1027)&lt;IF($D$4="Forint",Paraméterek!$M$223,Paraméterek!$M$224),2,3))),0)</f>
        <v>0</v>
      </c>
      <c r="AJ980" s="13">
        <f ca="1">IF(AND($AA980&gt;=5,MOD($AA980,5)=0),IF($AB980=12,VLOOKUP($AA980,Paraméterek!$O$225:$P$240,2),0),IF(OR($AA980=3,$AA980=4),IF($AB980=12,VLOOKUP($AA980,Paraméterek!$O$225:$P$240,2,0),0),0))*$AG980</f>
        <v>0</v>
      </c>
      <c r="AK980" s="13">
        <f t="shared" ca="1" si="317"/>
        <v>0</v>
      </c>
      <c r="AL980" s="13">
        <f t="shared" ca="1" si="325"/>
        <v>0</v>
      </c>
      <c r="AM980" s="13">
        <f t="shared" ca="1" si="326"/>
        <v>0</v>
      </c>
      <c r="AO980" s="32">
        <v>961</v>
      </c>
      <c r="AP980" s="32">
        <v>81</v>
      </c>
      <c r="AQ980" s="32">
        <v>1</v>
      </c>
      <c r="AR980" s="13">
        <f>Tranzakciók!$K$112</f>
        <v>0</v>
      </c>
      <c r="AS980" s="32"/>
      <c r="AT980" s="13">
        <f t="shared" ca="1" si="327"/>
        <v>0</v>
      </c>
      <c r="AU980" s="33"/>
      <c r="AV980" s="13">
        <f t="shared" ca="1" si="318"/>
        <v>0</v>
      </c>
      <c r="AW980" s="13">
        <f ca="1">ROUNDUP(($AT980+$AV980)*VLOOKUP($AP980,Paraméterek!$P$38:$Q$38,2)/12*IF($D981="Nem",IF($M$13=0,1,$M$13),1),IF($D$4="Forint",0,2))</f>
        <v>0</v>
      </c>
      <c r="AX980" s="13"/>
      <c r="AY980" s="13"/>
      <c r="AZ980" s="13">
        <f>ROUNDUP(IF(SUM($AX980:$AY980)=0,0,IF(IF(ISBLANK($AY980),$AX980,$AY980)*Paraméterek!$J$112&lt;IF($D$4="Forint",Paraméterek!$J$113,Paraméterek!$K$113),IF($D$4="Forint",Paraméterek!$J$113,Paraméterek!$K$113),IF(IF(ISBLANK($AY980),$AX980,$AY980)*Paraméterek!$J$112&gt;IF($D$4="Forint",Paraméterek!$J$114,Paraméterek!$K$114),IF($D$4="Forint",Paraméterek!$J$114,Paraméterek!$K$114),IF(ISBLANK($AY980),$AX980,$AY980)*Paraméterek!$J$112))),IF($D$4="Forint",0,2))</f>
        <v>0</v>
      </c>
      <c r="BA980" s="13">
        <f ca="1">$AT980+$AV980-$AW980-IF(ROUNDDOWN(IF(ISBLANK($AY980),$AX980,$AY980),IF($D$4="Forint",0,2))&gt;$AT980+$AV980-$AW980-IF($D$4="Forint",Paraméterek!$J$114,Paraméterek!$K$114),0,ROUNDDOWN(IF(ISBLANK($AY980),$AX980,$AY980),IF($D$4="Forint",0,2))-$AZ980)</f>
        <v>0</v>
      </c>
      <c r="BB980" s="13">
        <f t="shared" ca="1" si="319"/>
        <v>0</v>
      </c>
      <c r="BD980" s="32">
        <v>961</v>
      </c>
      <c r="BE980" s="32">
        <v>81</v>
      </c>
      <c r="BF980" s="32">
        <v>1</v>
      </c>
      <c r="BG980" s="34">
        <f t="shared" ca="1" si="328"/>
        <v>2099</v>
      </c>
      <c r="BH980" s="32" t="str">
        <f ca="1">IF(MOD(MONTH($D$14)+$BD980-1,12)=Paraméterek!$C$288,"Igen","")</f>
        <v/>
      </c>
      <c r="BI980" s="13">
        <f ca="1">IF($BH980="Igen",MIN(ROUNDDOWN((SUMIF($BG$20:$BG$1027,$BG980-1,$K$20:$K$1027)-SUMIF($BG$20:$BG$1027,$BG980-1,$I$20:$I$1027))*Paraméterek!$C$289,IF($D$4="Forint",0,2)),IF($D$4="Forint",Paraméterek!$C$285,Paraméterek!$D$285)),0)</f>
        <v>0</v>
      </c>
      <c r="BJ980" s="13">
        <f t="shared" ca="1" si="320"/>
        <v>0</v>
      </c>
      <c r="BK980" s="13">
        <f t="shared" ca="1" si="329"/>
        <v>0</v>
      </c>
      <c r="BL980" s="33"/>
      <c r="BM980" s="13">
        <f t="shared" ca="1" si="321"/>
        <v>0</v>
      </c>
      <c r="BN980" s="13">
        <f ca="1">ROUNDUP(($BK980+$BM980)*VLOOKUP($BE980,Paraméterek!$P$38:$Q$38,2)/12*IF($D981="Nem",IF($M$13=0,1,$M$13),1),IF($D$4="Forint",0,2))</f>
        <v>0</v>
      </c>
      <c r="BO980" s="13">
        <f t="shared" ca="1" si="322"/>
        <v>0</v>
      </c>
      <c r="BP980" s="13">
        <f ca="1">IF($D981="Nem",$BO980,$BO980-ROUNDUP(SUM($BI$20:$BI980)*120%,IF($D$4="Forint",0,2)))</f>
        <v>0</v>
      </c>
    </row>
    <row r="981" spans="1:68" x14ac:dyDescent="0.2">
      <c r="A981" s="32">
        <v>962</v>
      </c>
      <c r="B981" s="32">
        <v>81</v>
      </c>
      <c r="C981" s="32">
        <v>2</v>
      </c>
      <c r="D981" s="32" t="str">
        <f t="shared" ref="D981:D1027" ca="1" si="330">IF($B981&lt;$M$11+1,"Igen",IF($B981&gt;$M$11+1,"Nem",IF($C981&lt;=$M$12+IF($M$13&gt;0,1,0),"Igen","Nem")))</f>
        <v>Nem</v>
      </c>
      <c r="E981" s="13">
        <f t="shared" ref="E981:E1027" ca="1" si="331">IF($D981="Igen",IF($D$2="Egyszeri",IF($A981=1,$D$7,0),ROUNDUP(IF($D$2="Havi",$D$7,IF(MOD($C981,$M$1)-1=0,$D$7,0))*(1+$D$6)^($B981-1),IF($D$4="Forint",0,2))),0)</f>
        <v>0</v>
      </c>
      <c r="F981" s="13"/>
      <c r="G981" s="13"/>
      <c r="H981" s="13"/>
      <c r="I981" s="13">
        <f t="shared" ref="I981:I1027" ca="1" si="332">ROUNDUP(IF(AND($D$8="Nincs",$D$2&lt;&gt;"Egyszeri"),$E981*10%,0),IF($D$4="Forint",0,2))</f>
        <v>0</v>
      </c>
      <c r="J981" s="13">
        <f t="shared" ref="J981:J1027" ca="1" si="333">IF($D981="Igen",IF($D$2="Egyszeri",IF($A981=1,$M$3,0),ROUNDUP(IF($D$2="Havi",$M$3,IF(MOD($C981,$M$1)-1=0,$M$3,0))*(1+$M$2)^($B981-1),IF($D$4="Forint",0,2))),0)</f>
        <v>0</v>
      </c>
      <c r="K981" s="13">
        <f t="shared" ref="K981:K1027" ca="1" si="334">IF($D981="Igen",IF(ISBLANK($F981),$E981,$F981)+IF(ISBLANK($H981),$G981,$H981)+$I981+$J981,0)</f>
        <v>0</v>
      </c>
      <c r="L981" s="13" t="e">
        <f ca="1">ROUNDUP(IF($D$2="Egyszeri",$E981,IF($D$2="Havi",SUM($E$20:$E$31),IF(MOD($C981,$M$1)-1=0,SUM($E$20:$E$31),0))/12*$M$1)*VLOOKUP($B981,Paraméterek!$I$28:$P$31,IF($D$2="Egyszeri",8,HLOOKUP(ROUNDUP($M$11+$M$13,0),Paraméterek!$J$26:$O$27,2))),IF($D$4="Forint",0,2))</f>
        <v>#N/A</v>
      </c>
      <c r="M981" s="13">
        <f t="shared" ref="M981:M1027" ca="1" si="335">IF($D981="Igen",$E981-$L981+IF(ISBLANK($H981),$G981,$H981),0)</f>
        <v>0</v>
      </c>
      <c r="N981" s="13">
        <f t="shared" ca="1" si="323"/>
        <v>0</v>
      </c>
      <c r="O981" s="13">
        <f ca="1">IF($D981="Igen",IF($W980&gt;=IF($D$4="Forint",Paraméterek!$J$121,Paraméterek!$K$121),0,IF($D$4="Forint",Paraméterek!$J$121,Paraméterek!$K$121)-$W980),0)</f>
        <v>0</v>
      </c>
      <c r="P981" s="13" t="e">
        <f ca="1">ROUNDUP($O981*VLOOKUP($M$4+$B981-1,Paraméterek!$H$58:$I$105,2,0)/Paraméterek!$I$56,IF($D$4="Forint",0,2))</f>
        <v>#N/A</v>
      </c>
      <c r="Q981" s="13">
        <f t="shared" ref="Q981:Q1027" ca="1" si="336">IF($D981="Igen",ROUNDUP($M$5*(1+$M$2)^($B981-1),IF($D$4="Forint",0,2)),0)</f>
        <v>0</v>
      </c>
      <c r="R981" s="33"/>
      <c r="S981" s="13" t="e">
        <f t="shared" ref="S981:S1027" ca="1" si="337">ROUNDDOWN(($N981-$P981-$Q981)*IF(ISBLANK($R981),$M$6,$R981)*IF($D982="Nem",IF($M$13=0,1,$M$13),1),IF($D$4="Forint",0,2))</f>
        <v>#N/A</v>
      </c>
      <c r="T981" s="13" t="e">
        <f ca="1">ROUNDUP(($N981-$P981-$Q981+$S981)*VLOOKUP($B981,Paraméterek!$I$38:$K$39,IF($D$2="Egyszeri",3,2))/12*IF($D982="Nem",IF($M$13=0,1,$M$13),1),IF($D$4="Forint",0,2))</f>
        <v>#N/A</v>
      </c>
      <c r="U981" s="13"/>
      <c r="V981" s="13"/>
      <c r="W981" s="13" t="e">
        <f ca="1">$N981-$P981-$Q981+$S981-$T981-IF(ROUNDUP(IF(ISBLANK($V981),$U981*0,$V981)/IF($D$2="Egyszeri",VLOOKUP($B981+IF($C981=12,1,0),Paraméterek!$V$257:$W$262,2),IF($B981=1,1,VLOOKUP($B981+IF($C981=12,1,0),Paraméterek!$I$258:$T$278,HLOOKUP($M$11+1,Paraméterek!$J$256:$T$257,2)))),IF($D$4="Forint",0,2))&gt;$N981-$P981-$Q981+$S981-$T981-IF($D$4="Forint",Paraméterek!$C$216,Paraméterek!$D$216),0,ROUNDUP(IF(ISBLANK($V981),$U981*0,$V981)/IF($D$2="Egyszeri",VLOOKUP($B981+IF($C981=12,1,0),Paraméterek!$V$257:$W$262,2),IF($B981=1,1,VLOOKUP($B981+IF($C981=12,1,0),Paraméterek!$I$258:$T$278,HLOOKUP($M$11+1,Paraméterek!$J$256:$T$257,2)))),IF($D$4="Forint",0,2)))</f>
        <v>#N/A</v>
      </c>
      <c r="X981" s="13" t="e">
        <f ca="1">ROUNDDOWN($W981*IF($D$2="Egyszeri",VLOOKUP($B981+IF($C981=12,1,0),Paraméterek!$V$257:$W$262,2),VLOOKUP($B981+IF($C981=12,1,0),Paraméterek!$I$258:$T$278,HLOOKUP($M$11+1,Paraméterek!$I$256:$T$257,2))),IF($D$4="Forint",0,2))</f>
        <v>#N/A</v>
      </c>
      <c r="Z981" s="32">
        <v>962</v>
      </c>
      <c r="AA981" s="32">
        <v>81</v>
      </c>
      <c r="AB981" s="32">
        <v>2</v>
      </c>
      <c r="AC981" s="13">
        <f t="shared" ca="1" si="324"/>
        <v>0</v>
      </c>
      <c r="AD981" s="33"/>
      <c r="AE981" s="13">
        <f t="shared" ref="AE981:AE1027" ca="1" si="338">ROUNDDOWN($AC981*IF(ISBLANK($AD981),$M$8,$AD981)*IF($D982="Nem",IF($M$13=0,1,$M$13),1),IF($D$4="Forint",0,2))</f>
        <v>0</v>
      </c>
      <c r="AF981" s="13">
        <f ca="1">ROUNDUP(($AC981+$AE981)*VLOOKUP($AA981,Paraméterek!$P$38:$Q$38,2)/12*IF($D982="Nem",IF($M$13=0,1,$M$13),1),IF($D$4="Forint",0,2))</f>
        <v>0</v>
      </c>
      <c r="AG981" s="13">
        <f ca="1">IF($D$2="Egyszeri",IF($D$7&gt;=IF($D$4="Forint",Paraméterek!$P$223,Paraméterek!$P$224),$D$7-IF($D$4="Forint",Paraméterek!$P$223,Paraméterek!$P$224),0),MIN(IF($AB981=12,AVERAGEIF($E$20:$E981,"&gt;0",$E$20:$E981)*12,0),SUM($E$20:$E$31)))</f>
        <v>0</v>
      </c>
      <c r="AH981" s="13">
        <f>IF($AA981=10,$AG981*IF($AB981=12,IF($AG981&lt;IF($D$4="Forint",Paraméterek!$L$223,Paraméterek!$L$224),0,VLOOKUP($AA981,Paraméterek!$K$226:$M$228,IF($AG981&lt;IF($D$4="Forint",Paraméterek!$M$223,Paraméterek!$M$224),2,3))),0),0)</f>
        <v>0</v>
      </c>
      <c r="AI981" s="13">
        <f ca="1">IF(AND($AA981=$M$11+1,$AB981=$M$12+1),SUMIF($AA$20:$AA$1027,$AA981,$AG$20:$AG$1027)*IF(SUMIF($AA$20:$AA$1027,$AA981,$AG$20:$AG$1027)&lt;IF($D$4="Forint",Paraméterek!$L$223,Paraméterek!$L$224),0,VLOOKUP($AA981,Paraméterek!$K$230:$M$250,IF(SUMIF($AA$20:$AA$1027,$AA981,$AG$20:$AG$1027)&lt;IF($D$4="Forint",Paraméterek!$M$223,Paraméterek!$M$224),2,3))),0)</f>
        <v>0</v>
      </c>
      <c r="AJ981" s="13">
        <f ca="1">IF(AND($AA981&gt;=5,MOD($AA981,5)=0),IF($AB981=12,VLOOKUP($AA981,Paraméterek!$O$225:$P$240,2),0),IF(OR($AA981=3,$AA981=4),IF($AB981=12,VLOOKUP($AA981,Paraméterek!$O$225:$P$240,2,0),0),0))*$AG981</f>
        <v>0</v>
      </c>
      <c r="AK981" s="13">
        <f t="shared" ref="AK981:AK1027" ca="1" si="339">ROUNDDOWN(IF($D$2="Egyszeri",$AJ981,$AH981+$AI981),IF($D$4="Forint",0,2))</f>
        <v>0</v>
      </c>
      <c r="AL981" s="13">
        <f t="shared" ca="1" si="325"/>
        <v>0</v>
      </c>
      <c r="AM981" s="13">
        <f t="shared" ca="1" si="326"/>
        <v>0</v>
      </c>
      <c r="AO981" s="32">
        <v>962</v>
      </c>
      <c r="AP981" s="32">
        <v>81</v>
      </c>
      <c r="AQ981" s="32">
        <v>2</v>
      </c>
      <c r="AR981" s="13"/>
      <c r="AS981" s="32"/>
      <c r="AT981" s="13">
        <f t="shared" ca="1" si="327"/>
        <v>0</v>
      </c>
      <c r="AU981" s="33"/>
      <c r="AV981" s="13">
        <f t="shared" ref="AV981:AV1027" ca="1" si="340">ROUNDDOWN($AT981*IF(ISBLANK($AU981),$M$7,$AU981)*IF($D982="Nem",IF($M$13=0,1,$M$13),1),IF($D$4="Forint",0,2))</f>
        <v>0</v>
      </c>
      <c r="AW981" s="13">
        <f ca="1">ROUNDUP(($AT981+$AV981)*VLOOKUP($AP981,Paraméterek!$P$38:$Q$38,2)/12*IF($D982="Nem",IF($M$13=0,1,$M$13),1),IF($D$4="Forint",0,2))</f>
        <v>0</v>
      </c>
      <c r="AX981" s="13"/>
      <c r="AY981" s="13"/>
      <c r="AZ981" s="13">
        <f>ROUNDUP(IF(SUM($AX981:$AY981)=0,0,IF(IF(ISBLANK($AY981),$AX981,$AY981)*Paraméterek!$J$112&lt;IF($D$4="Forint",Paraméterek!$J$113,Paraméterek!$K$113),IF($D$4="Forint",Paraméterek!$J$113,Paraméterek!$K$113),IF(IF(ISBLANK($AY981),$AX981,$AY981)*Paraméterek!$J$112&gt;IF($D$4="Forint",Paraméterek!$J$114,Paraméterek!$K$114),IF($D$4="Forint",Paraméterek!$J$114,Paraméterek!$K$114),IF(ISBLANK($AY981),$AX981,$AY981)*Paraméterek!$J$112))),IF($D$4="Forint",0,2))</f>
        <v>0</v>
      </c>
      <c r="BA981" s="13">
        <f ca="1">$AT981+$AV981-$AW981-IF(ROUNDDOWN(IF(ISBLANK($AY981),$AX981,$AY981),IF($D$4="Forint",0,2))&gt;$AT981+$AV981-$AW981-IF($D$4="Forint",Paraméterek!$J$114,Paraméterek!$K$114),0,ROUNDDOWN(IF(ISBLANK($AY981),$AX981,$AY981),IF($D$4="Forint",0,2))-$AZ981)</f>
        <v>0</v>
      </c>
      <c r="BB981" s="13">
        <f t="shared" ref="BB981:BB1027" ca="1" si="341">$BA981</f>
        <v>0</v>
      </c>
      <c r="BD981" s="32">
        <v>962</v>
      </c>
      <c r="BE981" s="32">
        <v>81</v>
      </c>
      <c r="BF981" s="32">
        <v>2</v>
      </c>
      <c r="BG981" s="34">
        <f t="shared" ca="1" si="328"/>
        <v>2099</v>
      </c>
      <c r="BH981" s="32" t="str">
        <f ca="1">IF(MOD(MONTH($D$14)+$BD981-1,12)=Paraméterek!$C$288,"Igen","")</f>
        <v>Igen</v>
      </c>
      <c r="BI981" s="13">
        <f ca="1">IF($BH981="Igen",MIN(ROUNDDOWN((SUMIF($BG$20:$BG$1027,$BG981-1,$K$20:$K$1027)-SUMIF($BG$20:$BG$1027,$BG981-1,$I$20:$I$1027))*Paraméterek!$C$289,IF($D$4="Forint",0,2)),IF($D$4="Forint",Paraméterek!$C$285,Paraméterek!$D$285)),0)</f>
        <v>0</v>
      </c>
      <c r="BJ981" s="13">
        <f t="shared" ref="BJ981:BJ1027" ca="1" si="342">IF(AND($D981="Igen",$BH981="Igen"),$BI981,0)</f>
        <v>0</v>
      </c>
      <c r="BK981" s="13">
        <f t="shared" ca="1" si="329"/>
        <v>0</v>
      </c>
      <c r="BL981" s="33"/>
      <c r="BM981" s="13">
        <f t="shared" ref="BM981:BM1027" ca="1" si="343">ROUNDDOWN($BK981*IF(ISBLANK($BL981),$M$9,$BL981)*IF($D982="Nem",IF($M$13=0,1,$M$13),1),IF($D$4="Forint",0,2))</f>
        <v>0</v>
      </c>
      <c r="BN981" s="13">
        <f ca="1">ROUNDUP(($BK981+$BM981)*VLOOKUP($BE981,Paraméterek!$P$38:$Q$38,2)/12*IF($D982="Nem",IF($M$13=0,1,$M$13),1),IF($D$4="Forint",0,2))</f>
        <v>0</v>
      </c>
      <c r="BO981" s="13">
        <f t="shared" ref="BO981:BO1027" ca="1" si="344">$BK981+$BM981-$BN981</f>
        <v>0</v>
      </c>
      <c r="BP981" s="13">
        <f ca="1">IF($D982="Nem",$BO981,$BO981-ROUNDUP(SUM($BI$20:$BI981)*120%,IF($D$4="Forint",0,2)))</f>
        <v>0</v>
      </c>
    </row>
    <row r="982" spans="1:68" x14ac:dyDescent="0.2">
      <c r="A982" s="32">
        <v>963</v>
      </c>
      <c r="B982" s="32">
        <v>81</v>
      </c>
      <c r="C982" s="32">
        <v>3</v>
      </c>
      <c r="D982" s="32" t="str">
        <f t="shared" ca="1" si="330"/>
        <v>Nem</v>
      </c>
      <c r="E982" s="13">
        <f t="shared" ca="1" si="331"/>
        <v>0</v>
      </c>
      <c r="F982" s="13"/>
      <c r="G982" s="13"/>
      <c r="H982" s="13"/>
      <c r="I982" s="13">
        <f t="shared" ca="1" si="332"/>
        <v>0</v>
      </c>
      <c r="J982" s="13">
        <f t="shared" ca="1" si="333"/>
        <v>0</v>
      </c>
      <c r="K982" s="13">
        <f t="shared" ca="1" si="334"/>
        <v>0</v>
      </c>
      <c r="L982" s="13" t="e">
        <f ca="1">ROUNDUP(IF($D$2="Egyszeri",$E982,IF($D$2="Havi",SUM($E$20:$E$31),IF(MOD($C982,$M$1)-1=0,SUM($E$20:$E$31),0))/12*$M$1)*VLOOKUP($B982,Paraméterek!$I$28:$P$31,IF($D$2="Egyszeri",8,HLOOKUP(ROUNDUP($M$11+$M$13,0),Paraméterek!$J$26:$O$27,2))),IF($D$4="Forint",0,2))</f>
        <v>#N/A</v>
      </c>
      <c r="M982" s="13">
        <f t="shared" ca="1" si="335"/>
        <v>0</v>
      </c>
      <c r="N982" s="13">
        <f t="shared" ref="N982:N1027" ca="1" si="345">IF($D982="Igen",$M982+$W981,0)</f>
        <v>0</v>
      </c>
      <c r="O982" s="13">
        <f ca="1">IF($D982="Igen",IF($W981&gt;=IF($D$4="Forint",Paraméterek!$J$121,Paraméterek!$K$121),0,IF($D$4="Forint",Paraméterek!$J$121,Paraméterek!$K$121)-$W981),0)</f>
        <v>0</v>
      </c>
      <c r="P982" s="13" t="e">
        <f ca="1">ROUNDUP($O982*VLOOKUP($M$4+$B982-1,Paraméterek!$H$58:$I$105,2,0)/Paraméterek!$I$56,IF($D$4="Forint",0,2))</f>
        <v>#N/A</v>
      </c>
      <c r="Q982" s="13">
        <f t="shared" ca="1" si="336"/>
        <v>0</v>
      </c>
      <c r="R982" s="33"/>
      <c r="S982" s="13" t="e">
        <f t="shared" ca="1" si="337"/>
        <v>#N/A</v>
      </c>
      <c r="T982" s="13" t="e">
        <f ca="1">ROUNDUP(($N982-$P982-$Q982+$S982)*VLOOKUP($B982,Paraméterek!$I$38:$K$39,IF($D$2="Egyszeri",3,2))/12*IF($D983="Nem",IF($M$13=0,1,$M$13),1),IF($D$4="Forint",0,2))</f>
        <v>#N/A</v>
      </c>
      <c r="U982" s="13"/>
      <c r="V982" s="13"/>
      <c r="W982" s="13" t="e">
        <f ca="1">$N982-$P982-$Q982+$S982-$T982-IF(ROUNDUP(IF(ISBLANK($V982),$U982*0,$V982)/IF($D$2="Egyszeri",VLOOKUP($B982+IF($C982=12,1,0),Paraméterek!$V$257:$W$262,2),IF($B982=1,1,VLOOKUP($B982+IF($C982=12,1,0),Paraméterek!$I$258:$T$278,HLOOKUP($M$11+1,Paraméterek!$J$256:$T$257,2)))),IF($D$4="Forint",0,2))&gt;$N982-$P982-$Q982+$S982-$T982-IF($D$4="Forint",Paraméterek!$C$216,Paraméterek!$D$216),0,ROUNDUP(IF(ISBLANK($V982),$U982*0,$V982)/IF($D$2="Egyszeri",VLOOKUP($B982+IF($C982=12,1,0),Paraméterek!$V$257:$W$262,2),IF($B982=1,1,VLOOKUP($B982+IF($C982=12,1,0),Paraméterek!$I$258:$T$278,HLOOKUP($M$11+1,Paraméterek!$J$256:$T$257,2)))),IF($D$4="Forint",0,2)))</f>
        <v>#N/A</v>
      </c>
      <c r="X982" s="13" t="e">
        <f ca="1">ROUNDDOWN($W982*IF($D$2="Egyszeri",VLOOKUP($B982+IF($C982=12,1,0),Paraméterek!$V$257:$W$262,2),VLOOKUP($B982+IF($C982=12,1,0),Paraméterek!$I$258:$T$278,HLOOKUP($M$11+1,Paraméterek!$I$256:$T$257,2))),IF($D$4="Forint",0,2))</f>
        <v>#N/A</v>
      </c>
      <c r="Z982" s="32">
        <v>963</v>
      </c>
      <c r="AA982" s="32">
        <v>81</v>
      </c>
      <c r="AB982" s="32">
        <v>3</v>
      </c>
      <c r="AC982" s="13">
        <f t="shared" ref="AC982:AC1027" ca="1" si="346">IF($D982="Igen",$AL981,0)</f>
        <v>0</v>
      </c>
      <c r="AD982" s="33"/>
      <c r="AE982" s="13">
        <f t="shared" ca="1" si="338"/>
        <v>0</v>
      </c>
      <c r="AF982" s="13">
        <f ca="1">ROUNDUP(($AC982+$AE982)*VLOOKUP($AA982,Paraméterek!$P$38:$Q$38,2)/12*IF($D983="Nem",IF($M$13=0,1,$M$13),1),IF($D$4="Forint",0,2))</f>
        <v>0</v>
      </c>
      <c r="AG982" s="13">
        <f ca="1">IF($D$2="Egyszeri",IF($D$7&gt;=IF($D$4="Forint",Paraméterek!$P$223,Paraméterek!$P$224),$D$7-IF($D$4="Forint",Paraméterek!$P$223,Paraméterek!$P$224),0),MIN(IF($AB982=12,AVERAGEIF($E$20:$E982,"&gt;0",$E$20:$E982)*12,0),SUM($E$20:$E$31)))</f>
        <v>0</v>
      </c>
      <c r="AH982" s="13">
        <f>IF($AA982=10,$AG982*IF($AB982=12,IF($AG982&lt;IF($D$4="Forint",Paraméterek!$L$223,Paraméterek!$L$224),0,VLOOKUP($AA982,Paraméterek!$K$226:$M$228,IF($AG982&lt;IF($D$4="Forint",Paraméterek!$M$223,Paraméterek!$M$224),2,3))),0),0)</f>
        <v>0</v>
      </c>
      <c r="AI982" s="13">
        <f ca="1">IF(AND($AA982=$M$11+1,$AB982=$M$12+1),SUMIF($AA$20:$AA$1027,$AA982,$AG$20:$AG$1027)*IF(SUMIF($AA$20:$AA$1027,$AA982,$AG$20:$AG$1027)&lt;IF($D$4="Forint",Paraméterek!$L$223,Paraméterek!$L$224),0,VLOOKUP($AA982,Paraméterek!$K$230:$M$250,IF(SUMIF($AA$20:$AA$1027,$AA982,$AG$20:$AG$1027)&lt;IF($D$4="Forint",Paraméterek!$M$223,Paraméterek!$M$224),2,3))),0)</f>
        <v>0</v>
      </c>
      <c r="AJ982" s="13">
        <f ca="1">IF(AND($AA982&gt;=5,MOD($AA982,5)=0),IF($AB982=12,VLOOKUP($AA982,Paraméterek!$O$225:$P$240,2),0),IF(OR($AA982=3,$AA982=4),IF($AB982=12,VLOOKUP($AA982,Paraméterek!$O$225:$P$240,2,0),0),0))*$AG982</f>
        <v>0</v>
      </c>
      <c r="AK982" s="13">
        <f t="shared" ca="1" si="339"/>
        <v>0</v>
      </c>
      <c r="AL982" s="13">
        <f t="shared" ref="AL982:AL1027" ca="1" si="347">$AC982+$AE982-$AF982+$AK982</f>
        <v>0</v>
      </c>
      <c r="AM982" s="13">
        <f t="shared" ref="AM982:AM1027" ca="1" si="348">$AL982</f>
        <v>0</v>
      </c>
      <c r="AO982" s="32">
        <v>963</v>
      </c>
      <c r="AP982" s="32">
        <v>81</v>
      </c>
      <c r="AQ982" s="32">
        <v>3</v>
      </c>
      <c r="AR982" s="13"/>
      <c r="AS982" s="32"/>
      <c r="AT982" s="13">
        <f t="shared" ref="AT982:AT1027" ca="1" si="349">IF($D982="Igen",IF(ISBLANK($AS982),$AR982,$AS982)+$BA981,0)</f>
        <v>0</v>
      </c>
      <c r="AU982" s="33"/>
      <c r="AV982" s="13">
        <f t="shared" ca="1" si="340"/>
        <v>0</v>
      </c>
      <c r="AW982" s="13">
        <f ca="1">ROUNDUP(($AT982+$AV982)*VLOOKUP($AP982,Paraméterek!$P$38:$Q$38,2)/12*IF($D983="Nem",IF($M$13=0,1,$M$13),1),IF($D$4="Forint",0,2))</f>
        <v>0</v>
      </c>
      <c r="AX982" s="13"/>
      <c r="AY982" s="13"/>
      <c r="AZ982" s="13">
        <f>ROUNDUP(IF(SUM($AX982:$AY982)=0,0,IF(IF(ISBLANK($AY982),$AX982,$AY982)*Paraméterek!$J$112&lt;IF($D$4="Forint",Paraméterek!$J$113,Paraméterek!$K$113),IF($D$4="Forint",Paraméterek!$J$113,Paraméterek!$K$113),IF(IF(ISBLANK($AY982),$AX982,$AY982)*Paraméterek!$J$112&gt;IF($D$4="Forint",Paraméterek!$J$114,Paraméterek!$K$114),IF($D$4="Forint",Paraméterek!$J$114,Paraméterek!$K$114),IF(ISBLANK($AY982),$AX982,$AY982)*Paraméterek!$J$112))),IF($D$4="Forint",0,2))</f>
        <v>0</v>
      </c>
      <c r="BA982" s="13">
        <f ca="1">$AT982+$AV982-$AW982-IF(ROUNDDOWN(IF(ISBLANK($AY982),$AX982,$AY982),IF($D$4="Forint",0,2))&gt;$AT982+$AV982-$AW982-IF($D$4="Forint",Paraméterek!$J$114,Paraméterek!$K$114),0,ROUNDDOWN(IF(ISBLANK($AY982),$AX982,$AY982),IF($D$4="Forint",0,2))-$AZ982)</f>
        <v>0</v>
      </c>
      <c r="BB982" s="13">
        <f t="shared" ca="1" si="341"/>
        <v>0</v>
      </c>
      <c r="BD982" s="32">
        <v>963</v>
      </c>
      <c r="BE982" s="32">
        <v>81</v>
      </c>
      <c r="BF982" s="32">
        <v>3</v>
      </c>
      <c r="BG982" s="34">
        <f t="shared" ref="BG982:BG1027" ca="1" si="350">$BG981+IF(MOD(MONTH($D$14)+$BD982-1,12)=1,1,0)</f>
        <v>2099</v>
      </c>
      <c r="BH982" s="32" t="str">
        <f ca="1">IF(MOD(MONTH($D$14)+$BD982-1,12)=Paraméterek!$C$288,"Igen","")</f>
        <v/>
      </c>
      <c r="BI982" s="13">
        <f ca="1">IF($BH982="Igen",MIN(ROUNDDOWN((SUMIF($BG$20:$BG$1027,$BG982-1,$K$20:$K$1027)-SUMIF($BG$20:$BG$1027,$BG982-1,$I$20:$I$1027))*Paraméterek!$C$289,IF($D$4="Forint",0,2)),IF($D$4="Forint",Paraméterek!$C$285,Paraméterek!$D$285)),0)</f>
        <v>0</v>
      </c>
      <c r="BJ982" s="13">
        <f t="shared" ca="1" si="342"/>
        <v>0</v>
      </c>
      <c r="BK982" s="13">
        <f t="shared" ref="BK982:BK1027" ca="1" si="351">$BJ982+IF($D982="Igen",$BO981,0)</f>
        <v>0</v>
      </c>
      <c r="BL982" s="33"/>
      <c r="BM982" s="13">
        <f t="shared" ca="1" si="343"/>
        <v>0</v>
      </c>
      <c r="BN982" s="13">
        <f ca="1">ROUNDUP(($BK982+$BM982)*VLOOKUP($BE982,Paraméterek!$P$38:$Q$38,2)/12*IF($D983="Nem",IF($M$13=0,1,$M$13),1),IF($D$4="Forint",0,2))</f>
        <v>0</v>
      </c>
      <c r="BO982" s="13">
        <f t="shared" ca="1" si="344"/>
        <v>0</v>
      </c>
      <c r="BP982" s="13">
        <f ca="1">IF($D983="Nem",$BO982,$BO982-ROUNDUP(SUM($BI$20:$BI982)*120%,IF($D$4="Forint",0,2)))</f>
        <v>0</v>
      </c>
    </row>
    <row r="983" spans="1:68" x14ac:dyDescent="0.2">
      <c r="A983" s="32">
        <v>964</v>
      </c>
      <c r="B983" s="32">
        <v>81</v>
      </c>
      <c r="C983" s="32">
        <v>4</v>
      </c>
      <c r="D983" s="32" t="str">
        <f t="shared" ca="1" si="330"/>
        <v>Nem</v>
      </c>
      <c r="E983" s="13">
        <f t="shared" ca="1" si="331"/>
        <v>0</v>
      </c>
      <c r="F983" s="13"/>
      <c r="G983" s="13"/>
      <c r="H983" s="13"/>
      <c r="I983" s="13">
        <f t="shared" ca="1" si="332"/>
        <v>0</v>
      </c>
      <c r="J983" s="13">
        <f t="shared" ca="1" si="333"/>
        <v>0</v>
      </c>
      <c r="K983" s="13">
        <f t="shared" ca="1" si="334"/>
        <v>0</v>
      </c>
      <c r="L983" s="13" t="e">
        <f ca="1">ROUNDUP(IF($D$2="Egyszeri",$E983,IF($D$2="Havi",SUM($E$20:$E$31),IF(MOD($C983,$M$1)-1=0,SUM($E$20:$E$31),0))/12*$M$1)*VLOOKUP($B983,Paraméterek!$I$28:$P$31,IF($D$2="Egyszeri",8,HLOOKUP(ROUNDUP($M$11+$M$13,0),Paraméterek!$J$26:$O$27,2))),IF($D$4="Forint",0,2))</f>
        <v>#N/A</v>
      </c>
      <c r="M983" s="13">
        <f t="shared" ca="1" si="335"/>
        <v>0</v>
      </c>
      <c r="N983" s="13">
        <f t="shared" ca="1" si="345"/>
        <v>0</v>
      </c>
      <c r="O983" s="13">
        <f ca="1">IF($D983="Igen",IF($W982&gt;=IF($D$4="Forint",Paraméterek!$J$121,Paraméterek!$K$121),0,IF($D$4="Forint",Paraméterek!$J$121,Paraméterek!$K$121)-$W982),0)</f>
        <v>0</v>
      </c>
      <c r="P983" s="13" t="e">
        <f ca="1">ROUNDUP($O983*VLOOKUP($M$4+$B983-1,Paraméterek!$H$58:$I$105,2,0)/Paraméterek!$I$56,IF($D$4="Forint",0,2))</f>
        <v>#N/A</v>
      </c>
      <c r="Q983" s="13">
        <f t="shared" ca="1" si="336"/>
        <v>0</v>
      </c>
      <c r="R983" s="33"/>
      <c r="S983" s="13" t="e">
        <f t="shared" ca="1" si="337"/>
        <v>#N/A</v>
      </c>
      <c r="T983" s="13" t="e">
        <f ca="1">ROUNDUP(($N983-$P983-$Q983+$S983)*VLOOKUP($B983,Paraméterek!$I$38:$K$39,IF($D$2="Egyszeri",3,2))/12*IF($D984="Nem",IF($M$13=0,1,$M$13),1),IF($D$4="Forint",0,2))</f>
        <v>#N/A</v>
      </c>
      <c r="U983" s="13"/>
      <c r="V983" s="13"/>
      <c r="W983" s="13" t="e">
        <f ca="1">$N983-$P983-$Q983+$S983-$T983-IF(ROUNDUP(IF(ISBLANK($V983),$U983*0,$V983)/IF($D$2="Egyszeri",VLOOKUP($B983+IF($C983=12,1,0),Paraméterek!$V$257:$W$262,2),IF($B983=1,1,VLOOKUP($B983+IF($C983=12,1,0),Paraméterek!$I$258:$T$278,HLOOKUP($M$11+1,Paraméterek!$J$256:$T$257,2)))),IF($D$4="Forint",0,2))&gt;$N983-$P983-$Q983+$S983-$T983-IF($D$4="Forint",Paraméterek!$C$216,Paraméterek!$D$216),0,ROUNDUP(IF(ISBLANK($V983),$U983*0,$V983)/IF($D$2="Egyszeri",VLOOKUP($B983+IF($C983=12,1,0),Paraméterek!$V$257:$W$262,2),IF($B983=1,1,VLOOKUP($B983+IF($C983=12,1,0),Paraméterek!$I$258:$T$278,HLOOKUP($M$11+1,Paraméterek!$J$256:$T$257,2)))),IF($D$4="Forint",0,2)))</f>
        <v>#N/A</v>
      </c>
      <c r="X983" s="13" t="e">
        <f ca="1">ROUNDDOWN($W983*IF($D$2="Egyszeri",VLOOKUP($B983+IF($C983=12,1,0),Paraméterek!$V$257:$W$262,2),VLOOKUP($B983+IF($C983=12,1,0),Paraméterek!$I$258:$T$278,HLOOKUP($M$11+1,Paraméterek!$I$256:$T$257,2))),IF($D$4="Forint",0,2))</f>
        <v>#N/A</v>
      </c>
      <c r="Z983" s="32">
        <v>964</v>
      </c>
      <c r="AA983" s="32">
        <v>81</v>
      </c>
      <c r="AB983" s="32">
        <v>4</v>
      </c>
      <c r="AC983" s="13">
        <f t="shared" ca="1" si="346"/>
        <v>0</v>
      </c>
      <c r="AD983" s="33"/>
      <c r="AE983" s="13">
        <f t="shared" ca="1" si="338"/>
        <v>0</v>
      </c>
      <c r="AF983" s="13">
        <f ca="1">ROUNDUP(($AC983+$AE983)*VLOOKUP($AA983,Paraméterek!$P$38:$Q$38,2)/12*IF($D984="Nem",IF($M$13=0,1,$M$13),1),IF($D$4="Forint",0,2))</f>
        <v>0</v>
      </c>
      <c r="AG983" s="13">
        <f ca="1">IF($D$2="Egyszeri",IF($D$7&gt;=IF($D$4="Forint",Paraméterek!$P$223,Paraméterek!$P$224),$D$7-IF($D$4="Forint",Paraméterek!$P$223,Paraméterek!$P$224),0),MIN(IF($AB983=12,AVERAGEIF($E$20:$E983,"&gt;0",$E$20:$E983)*12,0),SUM($E$20:$E$31)))</f>
        <v>0</v>
      </c>
      <c r="AH983" s="13">
        <f>IF($AA983=10,$AG983*IF($AB983=12,IF($AG983&lt;IF($D$4="Forint",Paraméterek!$L$223,Paraméterek!$L$224),0,VLOOKUP($AA983,Paraméterek!$K$226:$M$228,IF($AG983&lt;IF($D$4="Forint",Paraméterek!$M$223,Paraméterek!$M$224),2,3))),0),0)</f>
        <v>0</v>
      </c>
      <c r="AI983" s="13">
        <f ca="1">IF(AND($AA983=$M$11+1,$AB983=$M$12+1),SUMIF($AA$20:$AA$1027,$AA983,$AG$20:$AG$1027)*IF(SUMIF($AA$20:$AA$1027,$AA983,$AG$20:$AG$1027)&lt;IF($D$4="Forint",Paraméterek!$L$223,Paraméterek!$L$224),0,VLOOKUP($AA983,Paraméterek!$K$230:$M$250,IF(SUMIF($AA$20:$AA$1027,$AA983,$AG$20:$AG$1027)&lt;IF($D$4="Forint",Paraméterek!$M$223,Paraméterek!$M$224),2,3))),0)</f>
        <v>0</v>
      </c>
      <c r="AJ983" s="13">
        <f ca="1">IF(AND($AA983&gt;=5,MOD($AA983,5)=0),IF($AB983=12,VLOOKUP($AA983,Paraméterek!$O$225:$P$240,2),0),IF(OR($AA983=3,$AA983=4),IF($AB983=12,VLOOKUP($AA983,Paraméterek!$O$225:$P$240,2,0),0),0))*$AG983</f>
        <v>0</v>
      </c>
      <c r="AK983" s="13">
        <f t="shared" ca="1" si="339"/>
        <v>0</v>
      </c>
      <c r="AL983" s="13">
        <f t="shared" ca="1" si="347"/>
        <v>0</v>
      </c>
      <c r="AM983" s="13">
        <f t="shared" ca="1" si="348"/>
        <v>0</v>
      </c>
      <c r="AO983" s="32">
        <v>964</v>
      </c>
      <c r="AP983" s="32">
        <v>81</v>
      </c>
      <c r="AQ983" s="32">
        <v>4</v>
      </c>
      <c r="AR983" s="13"/>
      <c r="AS983" s="32"/>
      <c r="AT983" s="13">
        <f t="shared" ca="1" si="349"/>
        <v>0</v>
      </c>
      <c r="AU983" s="33"/>
      <c r="AV983" s="13">
        <f t="shared" ca="1" si="340"/>
        <v>0</v>
      </c>
      <c r="AW983" s="13">
        <f ca="1">ROUNDUP(($AT983+$AV983)*VLOOKUP($AP983,Paraméterek!$P$38:$Q$38,2)/12*IF($D984="Nem",IF($M$13=0,1,$M$13),1),IF($D$4="Forint",0,2))</f>
        <v>0</v>
      </c>
      <c r="AX983" s="13"/>
      <c r="AY983" s="13"/>
      <c r="AZ983" s="13">
        <f>ROUNDUP(IF(SUM($AX983:$AY983)=0,0,IF(IF(ISBLANK($AY983),$AX983,$AY983)*Paraméterek!$J$112&lt;IF($D$4="Forint",Paraméterek!$J$113,Paraméterek!$K$113),IF($D$4="Forint",Paraméterek!$J$113,Paraméterek!$K$113),IF(IF(ISBLANK($AY983),$AX983,$AY983)*Paraméterek!$J$112&gt;IF($D$4="Forint",Paraméterek!$J$114,Paraméterek!$K$114),IF($D$4="Forint",Paraméterek!$J$114,Paraméterek!$K$114),IF(ISBLANK($AY983),$AX983,$AY983)*Paraméterek!$J$112))),IF($D$4="Forint",0,2))</f>
        <v>0</v>
      </c>
      <c r="BA983" s="13">
        <f ca="1">$AT983+$AV983-$AW983-IF(ROUNDDOWN(IF(ISBLANK($AY983),$AX983,$AY983),IF($D$4="Forint",0,2))&gt;$AT983+$AV983-$AW983-IF($D$4="Forint",Paraméterek!$J$114,Paraméterek!$K$114),0,ROUNDDOWN(IF(ISBLANK($AY983),$AX983,$AY983),IF($D$4="Forint",0,2))-$AZ983)</f>
        <v>0</v>
      </c>
      <c r="BB983" s="13">
        <f t="shared" ca="1" si="341"/>
        <v>0</v>
      </c>
      <c r="BD983" s="32">
        <v>964</v>
      </c>
      <c r="BE983" s="32">
        <v>81</v>
      </c>
      <c r="BF983" s="32">
        <v>4</v>
      </c>
      <c r="BG983" s="34">
        <f t="shared" ca="1" si="350"/>
        <v>2099</v>
      </c>
      <c r="BH983" s="32" t="str">
        <f ca="1">IF(MOD(MONTH($D$14)+$BD983-1,12)=Paraméterek!$C$288,"Igen","")</f>
        <v/>
      </c>
      <c r="BI983" s="13">
        <f ca="1">IF($BH983="Igen",MIN(ROUNDDOWN((SUMIF($BG$20:$BG$1027,$BG983-1,$K$20:$K$1027)-SUMIF($BG$20:$BG$1027,$BG983-1,$I$20:$I$1027))*Paraméterek!$C$289,IF($D$4="Forint",0,2)),IF($D$4="Forint",Paraméterek!$C$285,Paraméterek!$D$285)),0)</f>
        <v>0</v>
      </c>
      <c r="BJ983" s="13">
        <f t="shared" ca="1" si="342"/>
        <v>0</v>
      </c>
      <c r="BK983" s="13">
        <f t="shared" ca="1" si="351"/>
        <v>0</v>
      </c>
      <c r="BL983" s="33"/>
      <c r="BM983" s="13">
        <f t="shared" ca="1" si="343"/>
        <v>0</v>
      </c>
      <c r="BN983" s="13">
        <f ca="1">ROUNDUP(($BK983+$BM983)*VLOOKUP($BE983,Paraméterek!$P$38:$Q$38,2)/12*IF($D984="Nem",IF($M$13=0,1,$M$13),1),IF($D$4="Forint",0,2))</f>
        <v>0</v>
      </c>
      <c r="BO983" s="13">
        <f t="shared" ca="1" si="344"/>
        <v>0</v>
      </c>
      <c r="BP983" s="13">
        <f ca="1">IF($D984="Nem",$BO983,$BO983-ROUNDUP(SUM($BI$20:$BI983)*120%,IF($D$4="Forint",0,2)))</f>
        <v>0</v>
      </c>
    </row>
    <row r="984" spans="1:68" x14ac:dyDescent="0.2">
      <c r="A984" s="32">
        <v>965</v>
      </c>
      <c r="B984" s="32">
        <v>81</v>
      </c>
      <c r="C984" s="32">
        <v>5</v>
      </c>
      <c r="D984" s="32" t="str">
        <f t="shared" ca="1" si="330"/>
        <v>Nem</v>
      </c>
      <c r="E984" s="13">
        <f t="shared" ca="1" si="331"/>
        <v>0</v>
      </c>
      <c r="F984" s="13"/>
      <c r="G984" s="13"/>
      <c r="H984" s="13"/>
      <c r="I984" s="13">
        <f t="shared" ca="1" si="332"/>
        <v>0</v>
      </c>
      <c r="J984" s="13">
        <f t="shared" ca="1" si="333"/>
        <v>0</v>
      </c>
      <c r="K984" s="13">
        <f t="shared" ca="1" si="334"/>
        <v>0</v>
      </c>
      <c r="L984" s="13" t="e">
        <f ca="1">ROUNDUP(IF($D$2="Egyszeri",$E984,IF($D$2="Havi",SUM($E$20:$E$31),IF(MOD($C984,$M$1)-1=0,SUM($E$20:$E$31),0))/12*$M$1)*VLOOKUP($B984,Paraméterek!$I$28:$P$31,IF($D$2="Egyszeri",8,HLOOKUP(ROUNDUP($M$11+$M$13,0),Paraméterek!$J$26:$O$27,2))),IF($D$4="Forint",0,2))</f>
        <v>#N/A</v>
      </c>
      <c r="M984" s="13">
        <f t="shared" ca="1" si="335"/>
        <v>0</v>
      </c>
      <c r="N984" s="13">
        <f t="shared" ca="1" si="345"/>
        <v>0</v>
      </c>
      <c r="O984" s="13">
        <f ca="1">IF($D984="Igen",IF($W983&gt;=IF($D$4="Forint",Paraméterek!$J$121,Paraméterek!$K$121),0,IF($D$4="Forint",Paraméterek!$J$121,Paraméterek!$K$121)-$W983),0)</f>
        <v>0</v>
      </c>
      <c r="P984" s="13" t="e">
        <f ca="1">ROUNDUP($O984*VLOOKUP($M$4+$B984-1,Paraméterek!$H$58:$I$105,2,0)/Paraméterek!$I$56,IF($D$4="Forint",0,2))</f>
        <v>#N/A</v>
      </c>
      <c r="Q984" s="13">
        <f t="shared" ca="1" si="336"/>
        <v>0</v>
      </c>
      <c r="R984" s="33"/>
      <c r="S984" s="13" t="e">
        <f t="shared" ca="1" si="337"/>
        <v>#N/A</v>
      </c>
      <c r="T984" s="13" t="e">
        <f ca="1">ROUNDUP(($N984-$P984-$Q984+$S984)*VLOOKUP($B984,Paraméterek!$I$38:$K$39,IF($D$2="Egyszeri",3,2))/12*IF($D985="Nem",IF($M$13=0,1,$M$13),1),IF($D$4="Forint",0,2))</f>
        <v>#N/A</v>
      </c>
      <c r="U984" s="13"/>
      <c r="V984" s="13"/>
      <c r="W984" s="13" t="e">
        <f ca="1">$N984-$P984-$Q984+$S984-$T984-IF(ROUNDUP(IF(ISBLANK($V984),$U984*0,$V984)/IF($D$2="Egyszeri",VLOOKUP($B984+IF($C984=12,1,0),Paraméterek!$V$257:$W$262,2),IF($B984=1,1,VLOOKUP($B984+IF($C984=12,1,0),Paraméterek!$I$258:$T$278,HLOOKUP($M$11+1,Paraméterek!$J$256:$T$257,2)))),IF($D$4="Forint",0,2))&gt;$N984-$P984-$Q984+$S984-$T984-IF($D$4="Forint",Paraméterek!$C$216,Paraméterek!$D$216),0,ROUNDUP(IF(ISBLANK($V984),$U984*0,$V984)/IF($D$2="Egyszeri",VLOOKUP($B984+IF($C984=12,1,0),Paraméterek!$V$257:$W$262,2),IF($B984=1,1,VLOOKUP($B984+IF($C984=12,1,0),Paraméterek!$I$258:$T$278,HLOOKUP($M$11+1,Paraméterek!$J$256:$T$257,2)))),IF($D$4="Forint",0,2)))</f>
        <v>#N/A</v>
      </c>
      <c r="X984" s="13" t="e">
        <f ca="1">ROUNDDOWN($W984*IF($D$2="Egyszeri",VLOOKUP($B984+IF($C984=12,1,0),Paraméterek!$V$257:$W$262,2),VLOOKUP($B984+IF($C984=12,1,0),Paraméterek!$I$258:$T$278,HLOOKUP($M$11+1,Paraméterek!$I$256:$T$257,2))),IF($D$4="Forint",0,2))</f>
        <v>#N/A</v>
      </c>
      <c r="Z984" s="32">
        <v>965</v>
      </c>
      <c r="AA984" s="32">
        <v>81</v>
      </c>
      <c r="AB984" s="32">
        <v>5</v>
      </c>
      <c r="AC984" s="13">
        <f t="shared" ca="1" si="346"/>
        <v>0</v>
      </c>
      <c r="AD984" s="33"/>
      <c r="AE984" s="13">
        <f t="shared" ca="1" si="338"/>
        <v>0</v>
      </c>
      <c r="AF984" s="13">
        <f ca="1">ROUNDUP(($AC984+$AE984)*VLOOKUP($AA984,Paraméterek!$P$38:$Q$38,2)/12*IF($D985="Nem",IF($M$13=0,1,$M$13),1),IF($D$4="Forint",0,2))</f>
        <v>0</v>
      </c>
      <c r="AG984" s="13">
        <f ca="1">IF($D$2="Egyszeri",IF($D$7&gt;=IF($D$4="Forint",Paraméterek!$P$223,Paraméterek!$P$224),$D$7-IF($D$4="Forint",Paraméterek!$P$223,Paraméterek!$P$224),0),MIN(IF($AB984=12,AVERAGEIF($E$20:$E984,"&gt;0",$E$20:$E984)*12,0),SUM($E$20:$E$31)))</f>
        <v>0</v>
      </c>
      <c r="AH984" s="13">
        <f>IF($AA984=10,$AG984*IF($AB984=12,IF($AG984&lt;IF($D$4="Forint",Paraméterek!$L$223,Paraméterek!$L$224),0,VLOOKUP($AA984,Paraméterek!$K$226:$M$228,IF($AG984&lt;IF($D$4="Forint",Paraméterek!$M$223,Paraméterek!$M$224),2,3))),0),0)</f>
        <v>0</v>
      </c>
      <c r="AI984" s="13">
        <f ca="1">IF(AND($AA984=$M$11+1,$AB984=$M$12+1),SUMIF($AA$20:$AA$1027,$AA984,$AG$20:$AG$1027)*IF(SUMIF($AA$20:$AA$1027,$AA984,$AG$20:$AG$1027)&lt;IF($D$4="Forint",Paraméterek!$L$223,Paraméterek!$L$224),0,VLOOKUP($AA984,Paraméterek!$K$230:$M$250,IF(SUMIF($AA$20:$AA$1027,$AA984,$AG$20:$AG$1027)&lt;IF($D$4="Forint",Paraméterek!$M$223,Paraméterek!$M$224),2,3))),0)</f>
        <v>0</v>
      </c>
      <c r="AJ984" s="13">
        <f ca="1">IF(AND($AA984&gt;=5,MOD($AA984,5)=0),IF($AB984=12,VLOOKUP($AA984,Paraméterek!$O$225:$P$240,2),0),IF(OR($AA984=3,$AA984=4),IF($AB984=12,VLOOKUP($AA984,Paraméterek!$O$225:$P$240,2,0),0),0))*$AG984</f>
        <v>0</v>
      </c>
      <c r="AK984" s="13">
        <f t="shared" ca="1" si="339"/>
        <v>0</v>
      </c>
      <c r="AL984" s="13">
        <f t="shared" ca="1" si="347"/>
        <v>0</v>
      </c>
      <c r="AM984" s="13">
        <f t="shared" ca="1" si="348"/>
        <v>0</v>
      </c>
      <c r="AO984" s="32">
        <v>965</v>
      </c>
      <c r="AP984" s="32">
        <v>81</v>
      </c>
      <c r="AQ984" s="32">
        <v>5</v>
      </c>
      <c r="AR984" s="13"/>
      <c r="AS984" s="32"/>
      <c r="AT984" s="13">
        <f t="shared" ca="1" si="349"/>
        <v>0</v>
      </c>
      <c r="AU984" s="33"/>
      <c r="AV984" s="13">
        <f t="shared" ca="1" si="340"/>
        <v>0</v>
      </c>
      <c r="AW984" s="13">
        <f ca="1">ROUNDUP(($AT984+$AV984)*VLOOKUP($AP984,Paraméterek!$P$38:$Q$38,2)/12*IF($D985="Nem",IF($M$13=0,1,$M$13),1),IF($D$4="Forint",0,2))</f>
        <v>0</v>
      </c>
      <c r="AX984" s="13"/>
      <c r="AY984" s="13"/>
      <c r="AZ984" s="13">
        <f>ROUNDUP(IF(SUM($AX984:$AY984)=0,0,IF(IF(ISBLANK($AY984),$AX984,$AY984)*Paraméterek!$J$112&lt;IF($D$4="Forint",Paraméterek!$J$113,Paraméterek!$K$113),IF($D$4="Forint",Paraméterek!$J$113,Paraméterek!$K$113),IF(IF(ISBLANK($AY984),$AX984,$AY984)*Paraméterek!$J$112&gt;IF($D$4="Forint",Paraméterek!$J$114,Paraméterek!$K$114),IF($D$4="Forint",Paraméterek!$J$114,Paraméterek!$K$114),IF(ISBLANK($AY984),$AX984,$AY984)*Paraméterek!$J$112))),IF($D$4="Forint",0,2))</f>
        <v>0</v>
      </c>
      <c r="BA984" s="13">
        <f ca="1">$AT984+$AV984-$AW984-IF(ROUNDDOWN(IF(ISBLANK($AY984),$AX984,$AY984),IF($D$4="Forint",0,2))&gt;$AT984+$AV984-$AW984-IF($D$4="Forint",Paraméterek!$J$114,Paraméterek!$K$114),0,ROUNDDOWN(IF(ISBLANK($AY984),$AX984,$AY984),IF($D$4="Forint",0,2))-$AZ984)</f>
        <v>0</v>
      </c>
      <c r="BB984" s="13">
        <f t="shared" ca="1" si="341"/>
        <v>0</v>
      </c>
      <c r="BD984" s="32">
        <v>965</v>
      </c>
      <c r="BE984" s="32">
        <v>81</v>
      </c>
      <c r="BF984" s="32">
        <v>5</v>
      </c>
      <c r="BG984" s="34">
        <f t="shared" ca="1" si="350"/>
        <v>2099</v>
      </c>
      <c r="BH984" s="32" t="str">
        <f ca="1">IF(MOD(MONTH($D$14)+$BD984-1,12)=Paraméterek!$C$288,"Igen","")</f>
        <v/>
      </c>
      <c r="BI984" s="13">
        <f ca="1">IF($BH984="Igen",MIN(ROUNDDOWN((SUMIF($BG$20:$BG$1027,$BG984-1,$K$20:$K$1027)-SUMIF($BG$20:$BG$1027,$BG984-1,$I$20:$I$1027))*Paraméterek!$C$289,IF($D$4="Forint",0,2)),IF($D$4="Forint",Paraméterek!$C$285,Paraméterek!$D$285)),0)</f>
        <v>0</v>
      </c>
      <c r="BJ984" s="13">
        <f t="shared" ca="1" si="342"/>
        <v>0</v>
      </c>
      <c r="BK984" s="13">
        <f t="shared" ca="1" si="351"/>
        <v>0</v>
      </c>
      <c r="BL984" s="33"/>
      <c r="BM984" s="13">
        <f t="shared" ca="1" si="343"/>
        <v>0</v>
      </c>
      <c r="BN984" s="13">
        <f ca="1">ROUNDUP(($BK984+$BM984)*VLOOKUP($BE984,Paraméterek!$P$38:$Q$38,2)/12*IF($D985="Nem",IF($M$13=0,1,$M$13),1),IF($D$4="Forint",0,2))</f>
        <v>0</v>
      </c>
      <c r="BO984" s="13">
        <f t="shared" ca="1" si="344"/>
        <v>0</v>
      </c>
      <c r="BP984" s="13">
        <f ca="1">IF($D985="Nem",$BO984,$BO984-ROUNDUP(SUM($BI$20:$BI984)*120%,IF($D$4="Forint",0,2)))</f>
        <v>0</v>
      </c>
    </row>
    <row r="985" spans="1:68" x14ac:dyDescent="0.2">
      <c r="A985" s="32">
        <v>966</v>
      </c>
      <c r="B985" s="32">
        <v>81</v>
      </c>
      <c r="C985" s="32">
        <v>6</v>
      </c>
      <c r="D985" s="32" t="str">
        <f t="shared" ca="1" si="330"/>
        <v>Nem</v>
      </c>
      <c r="E985" s="13">
        <f t="shared" ca="1" si="331"/>
        <v>0</v>
      </c>
      <c r="F985" s="13"/>
      <c r="G985" s="13"/>
      <c r="H985" s="13"/>
      <c r="I985" s="13">
        <f t="shared" ca="1" si="332"/>
        <v>0</v>
      </c>
      <c r="J985" s="13">
        <f t="shared" ca="1" si="333"/>
        <v>0</v>
      </c>
      <c r="K985" s="13">
        <f t="shared" ca="1" si="334"/>
        <v>0</v>
      </c>
      <c r="L985" s="13" t="e">
        <f ca="1">ROUNDUP(IF($D$2="Egyszeri",$E985,IF($D$2="Havi",SUM($E$20:$E$31),IF(MOD($C985,$M$1)-1=0,SUM($E$20:$E$31),0))/12*$M$1)*VLOOKUP($B985,Paraméterek!$I$28:$P$31,IF($D$2="Egyszeri",8,HLOOKUP(ROUNDUP($M$11+$M$13,0),Paraméterek!$J$26:$O$27,2))),IF($D$4="Forint",0,2))</f>
        <v>#N/A</v>
      </c>
      <c r="M985" s="13">
        <f t="shared" ca="1" si="335"/>
        <v>0</v>
      </c>
      <c r="N985" s="13">
        <f t="shared" ca="1" si="345"/>
        <v>0</v>
      </c>
      <c r="O985" s="13">
        <f ca="1">IF($D985="Igen",IF($W984&gt;=IF($D$4="Forint",Paraméterek!$J$121,Paraméterek!$K$121),0,IF($D$4="Forint",Paraméterek!$J$121,Paraméterek!$K$121)-$W984),0)</f>
        <v>0</v>
      </c>
      <c r="P985" s="13" t="e">
        <f ca="1">ROUNDUP($O985*VLOOKUP($M$4+$B985-1,Paraméterek!$H$58:$I$105,2,0)/Paraméterek!$I$56,IF($D$4="Forint",0,2))</f>
        <v>#N/A</v>
      </c>
      <c r="Q985" s="13">
        <f t="shared" ca="1" si="336"/>
        <v>0</v>
      </c>
      <c r="R985" s="33"/>
      <c r="S985" s="13" t="e">
        <f t="shared" ca="1" si="337"/>
        <v>#N/A</v>
      </c>
      <c r="T985" s="13" t="e">
        <f ca="1">ROUNDUP(($N985-$P985-$Q985+$S985)*VLOOKUP($B985,Paraméterek!$I$38:$K$39,IF($D$2="Egyszeri",3,2))/12*IF($D986="Nem",IF($M$13=0,1,$M$13),1),IF($D$4="Forint",0,2))</f>
        <v>#N/A</v>
      </c>
      <c r="U985" s="13"/>
      <c r="V985" s="13"/>
      <c r="W985" s="13" t="e">
        <f ca="1">$N985-$P985-$Q985+$S985-$T985-IF(ROUNDUP(IF(ISBLANK($V985),$U985*0,$V985)/IF($D$2="Egyszeri",VLOOKUP($B985+IF($C985=12,1,0),Paraméterek!$V$257:$W$262,2),IF($B985=1,1,VLOOKUP($B985+IF($C985=12,1,0),Paraméterek!$I$258:$T$278,HLOOKUP($M$11+1,Paraméterek!$J$256:$T$257,2)))),IF($D$4="Forint",0,2))&gt;$N985-$P985-$Q985+$S985-$T985-IF($D$4="Forint",Paraméterek!$C$216,Paraméterek!$D$216),0,ROUNDUP(IF(ISBLANK($V985),$U985*0,$V985)/IF($D$2="Egyszeri",VLOOKUP($B985+IF($C985=12,1,0),Paraméterek!$V$257:$W$262,2),IF($B985=1,1,VLOOKUP($B985+IF($C985=12,1,0),Paraméterek!$I$258:$T$278,HLOOKUP($M$11+1,Paraméterek!$J$256:$T$257,2)))),IF($D$4="Forint",0,2)))</f>
        <v>#N/A</v>
      </c>
      <c r="X985" s="13" t="e">
        <f ca="1">ROUNDDOWN($W985*IF($D$2="Egyszeri",VLOOKUP($B985+IF($C985=12,1,0),Paraméterek!$V$257:$W$262,2),VLOOKUP($B985+IF($C985=12,1,0),Paraméterek!$I$258:$T$278,HLOOKUP($M$11+1,Paraméterek!$I$256:$T$257,2))),IF($D$4="Forint",0,2))</f>
        <v>#N/A</v>
      </c>
      <c r="Z985" s="32">
        <v>966</v>
      </c>
      <c r="AA985" s="32">
        <v>81</v>
      </c>
      <c r="AB985" s="32">
        <v>6</v>
      </c>
      <c r="AC985" s="13">
        <f t="shared" ca="1" si="346"/>
        <v>0</v>
      </c>
      <c r="AD985" s="33"/>
      <c r="AE985" s="13">
        <f t="shared" ca="1" si="338"/>
        <v>0</v>
      </c>
      <c r="AF985" s="13">
        <f ca="1">ROUNDUP(($AC985+$AE985)*VLOOKUP($AA985,Paraméterek!$P$38:$Q$38,2)/12*IF($D986="Nem",IF($M$13=0,1,$M$13),1),IF($D$4="Forint",0,2))</f>
        <v>0</v>
      </c>
      <c r="AG985" s="13">
        <f ca="1">IF($D$2="Egyszeri",IF($D$7&gt;=IF($D$4="Forint",Paraméterek!$P$223,Paraméterek!$P$224),$D$7-IF($D$4="Forint",Paraméterek!$P$223,Paraméterek!$P$224),0),MIN(IF($AB985=12,AVERAGEIF($E$20:$E985,"&gt;0",$E$20:$E985)*12,0),SUM($E$20:$E$31)))</f>
        <v>0</v>
      </c>
      <c r="AH985" s="13">
        <f>IF($AA985=10,$AG985*IF($AB985=12,IF($AG985&lt;IF($D$4="Forint",Paraméterek!$L$223,Paraméterek!$L$224),0,VLOOKUP($AA985,Paraméterek!$K$226:$M$228,IF($AG985&lt;IF($D$4="Forint",Paraméterek!$M$223,Paraméterek!$M$224),2,3))),0),0)</f>
        <v>0</v>
      </c>
      <c r="AI985" s="13">
        <f ca="1">IF(AND($AA985=$M$11+1,$AB985=$M$12+1),SUMIF($AA$20:$AA$1027,$AA985,$AG$20:$AG$1027)*IF(SUMIF($AA$20:$AA$1027,$AA985,$AG$20:$AG$1027)&lt;IF($D$4="Forint",Paraméterek!$L$223,Paraméterek!$L$224),0,VLOOKUP($AA985,Paraméterek!$K$230:$M$250,IF(SUMIF($AA$20:$AA$1027,$AA985,$AG$20:$AG$1027)&lt;IF($D$4="Forint",Paraméterek!$M$223,Paraméterek!$M$224),2,3))),0)</f>
        <v>0</v>
      </c>
      <c r="AJ985" s="13">
        <f ca="1">IF(AND($AA985&gt;=5,MOD($AA985,5)=0),IF($AB985=12,VLOOKUP($AA985,Paraméterek!$O$225:$P$240,2),0),IF(OR($AA985=3,$AA985=4),IF($AB985=12,VLOOKUP($AA985,Paraméterek!$O$225:$P$240,2,0),0),0))*$AG985</f>
        <v>0</v>
      </c>
      <c r="AK985" s="13">
        <f t="shared" ca="1" si="339"/>
        <v>0</v>
      </c>
      <c r="AL985" s="13">
        <f t="shared" ca="1" si="347"/>
        <v>0</v>
      </c>
      <c r="AM985" s="13">
        <f t="shared" ca="1" si="348"/>
        <v>0</v>
      </c>
      <c r="AO985" s="32">
        <v>966</v>
      </c>
      <c r="AP985" s="32">
        <v>81</v>
      </c>
      <c r="AQ985" s="32">
        <v>6</v>
      </c>
      <c r="AR985" s="13"/>
      <c r="AS985" s="32"/>
      <c r="AT985" s="13">
        <f t="shared" ca="1" si="349"/>
        <v>0</v>
      </c>
      <c r="AU985" s="33"/>
      <c r="AV985" s="13">
        <f t="shared" ca="1" si="340"/>
        <v>0</v>
      </c>
      <c r="AW985" s="13">
        <f ca="1">ROUNDUP(($AT985+$AV985)*VLOOKUP($AP985,Paraméterek!$P$38:$Q$38,2)/12*IF($D986="Nem",IF($M$13=0,1,$M$13),1),IF($D$4="Forint",0,2))</f>
        <v>0</v>
      </c>
      <c r="AX985" s="13"/>
      <c r="AY985" s="13"/>
      <c r="AZ985" s="13">
        <f>ROUNDUP(IF(SUM($AX985:$AY985)=0,0,IF(IF(ISBLANK($AY985),$AX985,$AY985)*Paraméterek!$J$112&lt;IF($D$4="Forint",Paraméterek!$J$113,Paraméterek!$K$113),IF($D$4="Forint",Paraméterek!$J$113,Paraméterek!$K$113),IF(IF(ISBLANK($AY985),$AX985,$AY985)*Paraméterek!$J$112&gt;IF($D$4="Forint",Paraméterek!$J$114,Paraméterek!$K$114),IF($D$4="Forint",Paraméterek!$J$114,Paraméterek!$K$114),IF(ISBLANK($AY985),$AX985,$AY985)*Paraméterek!$J$112))),IF($D$4="Forint",0,2))</f>
        <v>0</v>
      </c>
      <c r="BA985" s="13">
        <f ca="1">$AT985+$AV985-$AW985-IF(ROUNDDOWN(IF(ISBLANK($AY985),$AX985,$AY985),IF($D$4="Forint",0,2))&gt;$AT985+$AV985-$AW985-IF($D$4="Forint",Paraméterek!$J$114,Paraméterek!$K$114),0,ROUNDDOWN(IF(ISBLANK($AY985),$AX985,$AY985),IF($D$4="Forint",0,2))-$AZ985)</f>
        <v>0</v>
      </c>
      <c r="BB985" s="13">
        <f t="shared" ca="1" si="341"/>
        <v>0</v>
      </c>
      <c r="BD985" s="32">
        <v>966</v>
      </c>
      <c r="BE985" s="32">
        <v>81</v>
      </c>
      <c r="BF985" s="32">
        <v>6</v>
      </c>
      <c r="BG985" s="34">
        <f t="shared" ca="1" si="350"/>
        <v>2099</v>
      </c>
      <c r="BH985" s="32" t="str">
        <f ca="1">IF(MOD(MONTH($D$14)+$BD985-1,12)=Paraméterek!$C$288,"Igen","")</f>
        <v/>
      </c>
      <c r="BI985" s="13">
        <f ca="1">IF($BH985="Igen",MIN(ROUNDDOWN((SUMIF($BG$20:$BG$1027,$BG985-1,$K$20:$K$1027)-SUMIF($BG$20:$BG$1027,$BG985-1,$I$20:$I$1027))*Paraméterek!$C$289,IF($D$4="Forint",0,2)),IF($D$4="Forint",Paraméterek!$C$285,Paraméterek!$D$285)),0)</f>
        <v>0</v>
      </c>
      <c r="BJ985" s="13">
        <f t="shared" ca="1" si="342"/>
        <v>0</v>
      </c>
      <c r="BK985" s="13">
        <f t="shared" ca="1" si="351"/>
        <v>0</v>
      </c>
      <c r="BL985" s="33"/>
      <c r="BM985" s="13">
        <f t="shared" ca="1" si="343"/>
        <v>0</v>
      </c>
      <c r="BN985" s="13">
        <f ca="1">ROUNDUP(($BK985+$BM985)*VLOOKUP($BE985,Paraméterek!$P$38:$Q$38,2)/12*IF($D986="Nem",IF($M$13=0,1,$M$13),1),IF($D$4="Forint",0,2))</f>
        <v>0</v>
      </c>
      <c r="BO985" s="13">
        <f t="shared" ca="1" si="344"/>
        <v>0</v>
      </c>
      <c r="BP985" s="13">
        <f ca="1">IF($D986="Nem",$BO985,$BO985-ROUNDUP(SUM($BI$20:$BI985)*120%,IF($D$4="Forint",0,2)))</f>
        <v>0</v>
      </c>
    </row>
    <row r="986" spans="1:68" x14ac:dyDescent="0.2">
      <c r="A986" s="32">
        <v>967</v>
      </c>
      <c r="B986" s="32">
        <v>81</v>
      </c>
      <c r="C986" s="32">
        <v>7</v>
      </c>
      <c r="D986" s="32" t="str">
        <f t="shared" ca="1" si="330"/>
        <v>Nem</v>
      </c>
      <c r="E986" s="13">
        <f t="shared" ca="1" si="331"/>
        <v>0</v>
      </c>
      <c r="F986" s="13"/>
      <c r="G986" s="13"/>
      <c r="H986" s="13"/>
      <c r="I986" s="13">
        <f t="shared" ca="1" si="332"/>
        <v>0</v>
      </c>
      <c r="J986" s="13">
        <f t="shared" ca="1" si="333"/>
        <v>0</v>
      </c>
      <c r="K986" s="13">
        <f t="shared" ca="1" si="334"/>
        <v>0</v>
      </c>
      <c r="L986" s="13" t="e">
        <f ca="1">ROUNDUP(IF($D$2="Egyszeri",$E986,IF($D$2="Havi",SUM($E$20:$E$31),IF(MOD($C986,$M$1)-1=0,SUM($E$20:$E$31),0))/12*$M$1)*VLOOKUP($B986,Paraméterek!$I$28:$P$31,IF($D$2="Egyszeri",8,HLOOKUP(ROUNDUP($M$11+$M$13,0),Paraméterek!$J$26:$O$27,2))),IF($D$4="Forint",0,2))</f>
        <v>#N/A</v>
      </c>
      <c r="M986" s="13">
        <f t="shared" ca="1" si="335"/>
        <v>0</v>
      </c>
      <c r="N986" s="13">
        <f t="shared" ca="1" si="345"/>
        <v>0</v>
      </c>
      <c r="O986" s="13">
        <f ca="1">IF($D986="Igen",IF($W985&gt;=IF($D$4="Forint",Paraméterek!$J$121,Paraméterek!$K$121),0,IF($D$4="Forint",Paraméterek!$J$121,Paraméterek!$K$121)-$W985),0)</f>
        <v>0</v>
      </c>
      <c r="P986" s="13" t="e">
        <f ca="1">ROUNDUP($O986*VLOOKUP($M$4+$B986-1,Paraméterek!$H$58:$I$105,2,0)/Paraméterek!$I$56,IF($D$4="Forint",0,2))</f>
        <v>#N/A</v>
      </c>
      <c r="Q986" s="13">
        <f t="shared" ca="1" si="336"/>
        <v>0</v>
      </c>
      <c r="R986" s="33"/>
      <c r="S986" s="13" t="e">
        <f t="shared" ca="1" si="337"/>
        <v>#N/A</v>
      </c>
      <c r="T986" s="13" t="e">
        <f ca="1">ROUNDUP(($N986-$P986-$Q986+$S986)*VLOOKUP($B986,Paraméterek!$I$38:$K$39,IF($D$2="Egyszeri",3,2))/12*IF($D987="Nem",IF($M$13=0,1,$M$13),1),IF($D$4="Forint",0,2))</f>
        <v>#N/A</v>
      </c>
      <c r="U986" s="13"/>
      <c r="V986" s="13"/>
      <c r="W986" s="13" t="e">
        <f ca="1">$N986-$P986-$Q986+$S986-$T986-IF(ROUNDUP(IF(ISBLANK($V986),$U986*0,$V986)/IF($D$2="Egyszeri",VLOOKUP($B986+IF($C986=12,1,0),Paraméterek!$V$257:$W$262,2),IF($B986=1,1,VLOOKUP($B986+IF($C986=12,1,0),Paraméterek!$I$258:$T$278,HLOOKUP($M$11+1,Paraméterek!$J$256:$T$257,2)))),IF($D$4="Forint",0,2))&gt;$N986-$P986-$Q986+$S986-$T986-IF($D$4="Forint",Paraméterek!$C$216,Paraméterek!$D$216),0,ROUNDUP(IF(ISBLANK($V986),$U986*0,$V986)/IF($D$2="Egyszeri",VLOOKUP($B986+IF($C986=12,1,0),Paraméterek!$V$257:$W$262,2),IF($B986=1,1,VLOOKUP($B986+IF($C986=12,1,0),Paraméterek!$I$258:$T$278,HLOOKUP($M$11+1,Paraméterek!$J$256:$T$257,2)))),IF($D$4="Forint",0,2)))</f>
        <v>#N/A</v>
      </c>
      <c r="X986" s="13" t="e">
        <f ca="1">ROUNDDOWN($W986*IF($D$2="Egyszeri",VLOOKUP($B986+IF($C986=12,1,0),Paraméterek!$V$257:$W$262,2),VLOOKUP($B986+IF($C986=12,1,0),Paraméterek!$I$258:$T$278,HLOOKUP($M$11+1,Paraméterek!$I$256:$T$257,2))),IF($D$4="Forint",0,2))</f>
        <v>#N/A</v>
      </c>
      <c r="Z986" s="32">
        <v>967</v>
      </c>
      <c r="AA986" s="32">
        <v>81</v>
      </c>
      <c r="AB986" s="32">
        <v>7</v>
      </c>
      <c r="AC986" s="13">
        <f t="shared" ca="1" si="346"/>
        <v>0</v>
      </c>
      <c r="AD986" s="33"/>
      <c r="AE986" s="13">
        <f t="shared" ca="1" si="338"/>
        <v>0</v>
      </c>
      <c r="AF986" s="13">
        <f ca="1">ROUNDUP(($AC986+$AE986)*VLOOKUP($AA986,Paraméterek!$P$38:$Q$38,2)/12*IF($D987="Nem",IF($M$13=0,1,$M$13),1),IF($D$4="Forint",0,2))</f>
        <v>0</v>
      </c>
      <c r="AG986" s="13">
        <f ca="1">IF($D$2="Egyszeri",IF($D$7&gt;=IF($D$4="Forint",Paraméterek!$P$223,Paraméterek!$P$224),$D$7-IF($D$4="Forint",Paraméterek!$P$223,Paraméterek!$P$224),0),MIN(IF($AB986=12,AVERAGEIF($E$20:$E986,"&gt;0",$E$20:$E986)*12,0),SUM($E$20:$E$31)))</f>
        <v>0</v>
      </c>
      <c r="AH986" s="13">
        <f>IF($AA986=10,$AG986*IF($AB986=12,IF($AG986&lt;IF($D$4="Forint",Paraméterek!$L$223,Paraméterek!$L$224),0,VLOOKUP($AA986,Paraméterek!$K$226:$M$228,IF($AG986&lt;IF($D$4="Forint",Paraméterek!$M$223,Paraméterek!$M$224),2,3))),0),0)</f>
        <v>0</v>
      </c>
      <c r="AI986" s="13">
        <f ca="1">IF(AND($AA986=$M$11+1,$AB986=$M$12+1),SUMIF($AA$20:$AA$1027,$AA986,$AG$20:$AG$1027)*IF(SUMIF($AA$20:$AA$1027,$AA986,$AG$20:$AG$1027)&lt;IF($D$4="Forint",Paraméterek!$L$223,Paraméterek!$L$224),0,VLOOKUP($AA986,Paraméterek!$K$230:$M$250,IF(SUMIF($AA$20:$AA$1027,$AA986,$AG$20:$AG$1027)&lt;IF($D$4="Forint",Paraméterek!$M$223,Paraméterek!$M$224),2,3))),0)</f>
        <v>0</v>
      </c>
      <c r="AJ986" s="13">
        <f ca="1">IF(AND($AA986&gt;=5,MOD($AA986,5)=0),IF($AB986=12,VLOOKUP($AA986,Paraméterek!$O$225:$P$240,2),0),IF(OR($AA986=3,$AA986=4),IF($AB986=12,VLOOKUP($AA986,Paraméterek!$O$225:$P$240,2,0),0),0))*$AG986</f>
        <v>0</v>
      </c>
      <c r="AK986" s="13">
        <f t="shared" ca="1" si="339"/>
        <v>0</v>
      </c>
      <c r="AL986" s="13">
        <f t="shared" ca="1" si="347"/>
        <v>0</v>
      </c>
      <c r="AM986" s="13">
        <f t="shared" ca="1" si="348"/>
        <v>0</v>
      </c>
      <c r="AO986" s="32">
        <v>967</v>
      </c>
      <c r="AP986" s="32">
        <v>81</v>
      </c>
      <c r="AQ986" s="32">
        <v>7</v>
      </c>
      <c r="AR986" s="13"/>
      <c r="AS986" s="32"/>
      <c r="AT986" s="13">
        <f t="shared" ca="1" si="349"/>
        <v>0</v>
      </c>
      <c r="AU986" s="33"/>
      <c r="AV986" s="13">
        <f t="shared" ca="1" si="340"/>
        <v>0</v>
      </c>
      <c r="AW986" s="13">
        <f ca="1">ROUNDUP(($AT986+$AV986)*VLOOKUP($AP986,Paraméterek!$P$38:$Q$38,2)/12*IF($D987="Nem",IF($M$13=0,1,$M$13),1),IF($D$4="Forint",0,2))</f>
        <v>0</v>
      </c>
      <c r="AX986" s="13"/>
      <c r="AY986" s="13"/>
      <c r="AZ986" s="13">
        <f>ROUNDUP(IF(SUM($AX986:$AY986)=0,0,IF(IF(ISBLANK($AY986),$AX986,$AY986)*Paraméterek!$J$112&lt;IF($D$4="Forint",Paraméterek!$J$113,Paraméterek!$K$113),IF($D$4="Forint",Paraméterek!$J$113,Paraméterek!$K$113),IF(IF(ISBLANK($AY986),$AX986,$AY986)*Paraméterek!$J$112&gt;IF($D$4="Forint",Paraméterek!$J$114,Paraméterek!$K$114),IF($D$4="Forint",Paraméterek!$J$114,Paraméterek!$K$114),IF(ISBLANK($AY986),$AX986,$AY986)*Paraméterek!$J$112))),IF($D$4="Forint",0,2))</f>
        <v>0</v>
      </c>
      <c r="BA986" s="13">
        <f ca="1">$AT986+$AV986-$AW986-IF(ROUNDDOWN(IF(ISBLANK($AY986),$AX986,$AY986),IF($D$4="Forint",0,2))&gt;$AT986+$AV986-$AW986-IF($D$4="Forint",Paraméterek!$J$114,Paraméterek!$K$114),0,ROUNDDOWN(IF(ISBLANK($AY986),$AX986,$AY986),IF($D$4="Forint",0,2))-$AZ986)</f>
        <v>0</v>
      </c>
      <c r="BB986" s="13">
        <f t="shared" ca="1" si="341"/>
        <v>0</v>
      </c>
      <c r="BD986" s="32">
        <v>967</v>
      </c>
      <c r="BE986" s="32">
        <v>81</v>
      </c>
      <c r="BF986" s="32">
        <v>7</v>
      </c>
      <c r="BG986" s="34">
        <f t="shared" ca="1" si="350"/>
        <v>2099</v>
      </c>
      <c r="BH986" s="32" t="str">
        <f ca="1">IF(MOD(MONTH($D$14)+$BD986-1,12)=Paraméterek!$C$288,"Igen","")</f>
        <v/>
      </c>
      <c r="BI986" s="13">
        <f ca="1">IF($BH986="Igen",MIN(ROUNDDOWN((SUMIF($BG$20:$BG$1027,$BG986-1,$K$20:$K$1027)-SUMIF($BG$20:$BG$1027,$BG986-1,$I$20:$I$1027))*Paraméterek!$C$289,IF($D$4="Forint",0,2)),IF($D$4="Forint",Paraméterek!$C$285,Paraméterek!$D$285)),0)</f>
        <v>0</v>
      </c>
      <c r="BJ986" s="13">
        <f t="shared" ca="1" si="342"/>
        <v>0</v>
      </c>
      <c r="BK986" s="13">
        <f t="shared" ca="1" si="351"/>
        <v>0</v>
      </c>
      <c r="BL986" s="33"/>
      <c r="BM986" s="13">
        <f t="shared" ca="1" si="343"/>
        <v>0</v>
      </c>
      <c r="BN986" s="13">
        <f ca="1">ROUNDUP(($BK986+$BM986)*VLOOKUP($BE986,Paraméterek!$P$38:$Q$38,2)/12*IF($D987="Nem",IF($M$13=0,1,$M$13),1),IF($D$4="Forint",0,2))</f>
        <v>0</v>
      </c>
      <c r="BO986" s="13">
        <f t="shared" ca="1" si="344"/>
        <v>0</v>
      </c>
      <c r="BP986" s="13">
        <f ca="1">IF($D987="Nem",$BO986,$BO986-ROUNDUP(SUM($BI$20:$BI986)*120%,IF($D$4="Forint",0,2)))</f>
        <v>0</v>
      </c>
    </row>
    <row r="987" spans="1:68" x14ac:dyDescent="0.2">
      <c r="A987" s="32">
        <v>968</v>
      </c>
      <c r="B987" s="32">
        <v>81</v>
      </c>
      <c r="C987" s="32">
        <v>8</v>
      </c>
      <c r="D987" s="32" t="str">
        <f t="shared" ca="1" si="330"/>
        <v>Nem</v>
      </c>
      <c r="E987" s="13">
        <f t="shared" ca="1" si="331"/>
        <v>0</v>
      </c>
      <c r="F987" s="13"/>
      <c r="G987" s="13"/>
      <c r="H987" s="13"/>
      <c r="I987" s="13">
        <f t="shared" ca="1" si="332"/>
        <v>0</v>
      </c>
      <c r="J987" s="13">
        <f t="shared" ca="1" si="333"/>
        <v>0</v>
      </c>
      <c r="K987" s="13">
        <f t="shared" ca="1" si="334"/>
        <v>0</v>
      </c>
      <c r="L987" s="13" t="e">
        <f ca="1">ROUNDUP(IF($D$2="Egyszeri",$E987,IF($D$2="Havi",SUM($E$20:$E$31),IF(MOD($C987,$M$1)-1=0,SUM($E$20:$E$31),0))/12*$M$1)*VLOOKUP($B987,Paraméterek!$I$28:$P$31,IF($D$2="Egyszeri",8,HLOOKUP(ROUNDUP($M$11+$M$13,0),Paraméterek!$J$26:$O$27,2))),IF($D$4="Forint",0,2))</f>
        <v>#N/A</v>
      </c>
      <c r="M987" s="13">
        <f t="shared" ca="1" si="335"/>
        <v>0</v>
      </c>
      <c r="N987" s="13">
        <f t="shared" ca="1" si="345"/>
        <v>0</v>
      </c>
      <c r="O987" s="13">
        <f ca="1">IF($D987="Igen",IF($W986&gt;=IF($D$4="Forint",Paraméterek!$J$121,Paraméterek!$K$121),0,IF($D$4="Forint",Paraméterek!$J$121,Paraméterek!$K$121)-$W986),0)</f>
        <v>0</v>
      </c>
      <c r="P987" s="13" t="e">
        <f ca="1">ROUNDUP($O987*VLOOKUP($M$4+$B987-1,Paraméterek!$H$58:$I$105,2,0)/Paraméterek!$I$56,IF($D$4="Forint",0,2))</f>
        <v>#N/A</v>
      </c>
      <c r="Q987" s="13">
        <f t="shared" ca="1" si="336"/>
        <v>0</v>
      </c>
      <c r="R987" s="33"/>
      <c r="S987" s="13" t="e">
        <f t="shared" ca="1" si="337"/>
        <v>#N/A</v>
      </c>
      <c r="T987" s="13" t="e">
        <f ca="1">ROUNDUP(($N987-$P987-$Q987+$S987)*VLOOKUP($B987,Paraméterek!$I$38:$K$39,IF($D$2="Egyszeri",3,2))/12*IF($D988="Nem",IF($M$13=0,1,$M$13),1),IF($D$4="Forint",0,2))</f>
        <v>#N/A</v>
      </c>
      <c r="U987" s="13"/>
      <c r="V987" s="13"/>
      <c r="W987" s="13" t="e">
        <f ca="1">$N987-$P987-$Q987+$S987-$T987-IF(ROUNDUP(IF(ISBLANK($V987),$U987*0,$V987)/IF($D$2="Egyszeri",VLOOKUP($B987+IF($C987=12,1,0),Paraméterek!$V$257:$W$262,2),IF($B987=1,1,VLOOKUP($B987+IF($C987=12,1,0),Paraméterek!$I$258:$T$278,HLOOKUP($M$11+1,Paraméterek!$J$256:$T$257,2)))),IF($D$4="Forint",0,2))&gt;$N987-$P987-$Q987+$S987-$T987-IF($D$4="Forint",Paraméterek!$C$216,Paraméterek!$D$216),0,ROUNDUP(IF(ISBLANK($V987),$U987*0,$V987)/IF($D$2="Egyszeri",VLOOKUP($B987+IF($C987=12,1,0),Paraméterek!$V$257:$W$262,2),IF($B987=1,1,VLOOKUP($B987+IF($C987=12,1,0),Paraméterek!$I$258:$T$278,HLOOKUP($M$11+1,Paraméterek!$J$256:$T$257,2)))),IF($D$4="Forint",0,2)))</f>
        <v>#N/A</v>
      </c>
      <c r="X987" s="13" t="e">
        <f ca="1">ROUNDDOWN($W987*IF($D$2="Egyszeri",VLOOKUP($B987+IF($C987=12,1,0),Paraméterek!$V$257:$W$262,2),VLOOKUP($B987+IF($C987=12,1,0),Paraméterek!$I$258:$T$278,HLOOKUP($M$11+1,Paraméterek!$I$256:$T$257,2))),IF($D$4="Forint",0,2))</f>
        <v>#N/A</v>
      </c>
      <c r="Z987" s="32">
        <v>968</v>
      </c>
      <c r="AA987" s="32">
        <v>81</v>
      </c>
      <c r="AB987" s="32">
        <v>8</v>
      </c>
      <c r="AC987" s="13">
        <f t="shared" ca="1" si="346"/>
        <v>0</v>
      </c>
      <c r="AD987" s="33"/>
      <c r="AE987" s="13">
        <f t="shared" ca="1" si="338"/>
        <v>0</v>
      </c>
      <c r="AF987" s="13">
        <f ca="1">ROUNDUP(($AC987+$AE987)*VLOOKUP($AA987,Paraméterek!$P$38:$Q$38,2)/12*IF($D988="Nem",IF($M$13=0,1,$M$13),1),IF($D$4="Forint",0,2))</f>
        <v>0</v>
      </c>
      <c r="AG987" s="13">
        <f ca="1">IF($D$2="Egyszeri",IF($D$7&gt;=IF($D$4="Forint",Paraméterek!$P$223,Paraméterek!$P$224),$D$7-IF($D$4="Forint",Paraméterek!$P$223,Paraméterek!$P$224),0),MIN(IF($AB987=12,AVERAGEIF($E$20:$E987,"&gt;0",$E$20:$E987)*12,0),SUM($E$20:$E$31)))</f>
        <v>0</v>
      </c>
      <c r="AH987" s="13">
        <f>IF($AA987=10,$AG987*IF($AB987=12,IF($AG987&lt;IF($D$4="Forint",Paraméterek!$L$223,Paraméterek!$L$224),0,VLOOKUP($AA987,Paraméterek!$K$226:$M$228,IF($AG987&lt;IF($D$4="Forint",Paraméterek!$M$223,Paraméterek!$M$224),2,3))),0),0)</f>
        <v>0</v>
      </c>
      <c r="AI987" s="13">
        <f ca="1">IF(AND($AA987=$M$11+1,$AB987=$M$12+1),SUMIF($AA$20:$AA$1027,$AA987,$AG$20:$AG$1027)*IF(SUMIF($AA$20:$AA$1027,$AA987,$AG$20:$AG$1027)&lt;IF($D$4="Forint",Paraméterek!$L$223,Paraméterek!$L$224),0,VLOOKUP($AA987,Paraméterek!$K$230:$M$250,IF(SUMIF($AA$20:$AA$1027,$AA987,$AG$20:$AG$1027)&lt;IF($D$4="Forint",Paraméterek!$M$223,Paraméterek!$M$224),2,3))),0)</f>
        <v>0</v>
      </c>
      <c r="AJ987" s="13">
        <f ca="1">IF(AND($AA987&gt;=5,MOD($AA987,5)=0),IF($AB987=12,VLOOKUP($AA987,Paraméterek!$O$225:$P$240,2),0),IF(OR($AA987=3,$AA987=4),IF($AB987=12,VLOOKUP($AA987,Paraméterek!$O$225:$P$240,2,0),0),0))*$AG987</f>
        <v>0</v>
      </c>
      <c r="AK987" s="13">
        <f t="shared" ca="1" si="339"/>
        <v>0</v>
      </c>
      <c r="AL987" s="13">
        <f t="shared" ca="1" si="347"/>
        <v>0</v>
      </c>
      <c r="AM987" s="13">
        <f t="shared" ca="1" si="348"/>
        <v>0</v>
      </c>
      <c r="AO987" s="32">
        <v>968</v>
      </c>
      <c r="AP987" s="32">
        <v>81</v>
      </c>
      <c r="AQ987" s="32">
        <v>8</v>
      </c>
      <c r="AR987" s="13"/>
      <c r="AS987" s="32"/>
      <c r="AT987" s="13">
        <f t="shared" ca="1" si="349"/>
        <v>0</v>
      </c>
      <c r="AU987" s="33"/>
      <c r="AV987" s="13">
        <f t="shared" ca="1" si="340"/>
        <v>0</v>
      </c>
      <c r="AW987" s="13">
        <f ca="1">ROUNDUP(($AT987+$AV987)*VLOOKUP($AP987,Paraméterek!$P$38:$Q$38,2)/12*IF($D988="Nem",IF($M$13=0,1,$M$13),1),IF($D$4="Forint",0,2))</f>
        <v>0</v>
      </c>
      <c r="AX987" s="13"/>
      <c r="AY987" s="13"/>
      <c r="AZ987" s="13">
        <f>ROUNDUP(IF(SUM($AX987:$AY987)=0,0,IF(IF(ISBLANK($AY987),$AX987,$AY987)*Paraméterek!$J$112&lt;IF($D$4="Forint",Paraméterek!$J$113,Paraméterek!$K$113),IF($D$4="Forint",Paraméterek!$J$113,Paraméterek!$K$113),IF(IF(ISBLANK($AY987),$AX987,$AY987)*Paraméterek!$J$112&gt;IF($D$4="Forint",Paraméterek!$J$114,Paraméterek!$K$114),IF($D$4="Forint",Paraméterek!$J$114,Paraméterek!$K$114),IF(ISBLANK($AY987),$AX987,$AY987)*Paraméterek!$J$112))),IF($D$4="Forint",0,2))</f>
        <v>0</v>
      </c>
      <c r="BA987" s="13">
        <f ca="1">$AT987+$AV987-$AW987-IF(ROUNDDOWN(IF(ISBLANK($AY987),$AX987,$AY987),IF($D$4="Forint",0,2))&gt;$AT987+$AV987-$AW987-IF($D$4="Forint",Paraméterek!$J$114,Paraméterek!$K$114),0,ROUNDDOWN(IF(ISBLANK($AY987),$AX987,$AY987),IF($D$4="Forint",0,2))-$AZ987)</f>
        <v>0</v>
      </c>
      <c r="BB987" s="13">
        <f t="shared" ca="1" si="341"/>
        <v>0</v>
      </c>
      <c r="BD987" s="32">
        <v>968</v>
      </c>
      <c r="BE987" s="32">
        <v>81</v>
      </c>
      <c r="BF987" s="32">
        <v>8</v>
      </c>
      <c r="BG987" s="34">
        <f t="shared" ca="1" si="350"/>
        <v>2100</v>
      </c>
      <c r="BH987" s="32" t="str">
        <f ca="1">IF(MOD(MONTH($D$14)+$BD987-1,12)=Paraméterek!$C$288,"Igen","")</f>
        <v/>
      </c>
      <c r="BI987" s="13">
        <f ca="1">IF($BH987="Igen",MIN(ROUNDDOWN((SUMIF($BG$20:$BG$1027,$BG987-1,$K$20:$K$1027)-SUMIF($BG$20:$BG$1027,$BG987-1,$I$20:$I$1027))*Paraméterek!$C$289,IF($D$4="Forint",0,2)),IF($D$4="Forint",Paraméterek!$C$285,Paraméterek!$D$285)),0)</f>
        <v>0</v>
      </c>
      <c r="BJ987" s="13">
        <f t="shared" ca="1" si="342"/>
        <v>0</v>
      </c>
      <c r="BK987" s="13">
        <f t="shared" ca="1" si="351"/>
        <v>0</v>
      </c>
      <c r="BL987" s="33"/>
      <c r="BM987" s="13">
        <f t="shared" ca="1" si="343"/>
        <v>0</v>
      </c>
      <c r="BN987" s="13">
        <f ca="1">ROUNDUP(($BK987+$BM987)*VLOOKUP($BE987,Paraméterek!$P$38:$Q$38,2)/12*IF($D988="Nem",IF($M$13=0,1,$M$13),1),IF($D$4="Forint",0,2))</f>
        <v>0</v>
      </c>
      <c r="BO987" s="13">
        <f t="shared" ca="1" si="344"/>
        <v>0</v>
      </c>
      <c r="BP987" s="13">
        <f ca="1">IF($D988="Nem",$BO987,$BO987-ROUNDUP(SUM($BI$20:$BI987)*120%,IF($D$4="Forint",0,2)))</f>
        <v>0</v>
      </c>
    </row>
    <row r="988" spans="1:68" x14ac:dyDescent="0.2">
      <c r="A988" s="32">
        <v>969</v>
      </c>
      <c r="B988" s="32">
        <v>81</v>
      </c>
      <c r="C988" s="32">
        <v>9</v>
      </c>
      <c r="D988" s="32" t="str">
        <f t="shared" ca="1" si="330"/>
        <v>Nem</v>
      </c>
      <c r="E988" s="13">
        <f t="shared" ca="1" si="331"/>
        <v>0</v>
      </c>
      <c r="F988" s="13"/>
      <c r="G988" s="13"/>
      <c r="H988" s="13"/>
      <c r="I988" s="13">
        <f t="shared" ca="1" si="332"/>
        <v>0</v>
      </c>
      <c r="J988" s="13">
        <f t="shared" ca="1" si="333"/>
        <v>0</v>
      </c>
      <c r="K988" s="13">
        <f t="shared" ca="1" si="334"/>
        <v>0</v>
      </c>
      <c r="L988" s="13" t="e">
        <f ca="1">ROUNDUP(IF($D$2="Egyszeri",$E988,IF($D$2="Havi",SUM($E$20:$E$31),IF(MOD($C988,$M$1)-1=0,SUM($E$20:$E$31),0))/12*$M$1)*VLOOKUP($B988,Paraméterek!$I$28:$P$31,IF($D$2="Egyszeri",8,HLOOKUP(ROUNDUP($M$11+$M$13,0),Paraméterek!$J$26:$O$27,2))),IF($D$4="Forint",0,2))</f>
        <v>#N/A</v>
      </c>
      <c r="M988" s="13">
        <f t="shared" ca="1" si="335"/>
        <v>0</v>
      </c>
      <c r="N988" s="13">
        <f t="shared" ca="1" si="345"/>
        <v>0</v>
      </c>
      <c r="O988" s="13">
        <f ca="1">IF($D988="Igen",IF($W987&gt;=IF($D$4="Forint",Paraméterek!$J$121,Paraméterek!$K$121),0,IF($D$4="Forint",Paraméterek!$J$121,Paraméterek!$K$121)-$W987),0)</f>
        <v>0</v>
      </c>
      <c r="P988" s="13" t="e">
        <f ca="1">ROUNDUP($O988*VLOOKUP($M$4+$B988-1,Paraméterek!$H$58:$I$105,2,0)/Paraméterek!$I$56,IF($D$4="Forint",0,2))</f>
        <v>#N/A</v>
      </c>
      <c r="Q988" s="13">
        <f t="shared" ca="1" si="336"/>
        <v>0</v>
      </c>
      <c r="R988" s="33"/>
      <c r="S988" s="13" t="e">
        <f t="shared" ca="1" si="337"/>
        <v>#N/A</v>
      </c>
      <c r="T988" s="13" t="e">
        <f ca="1">ROUNDUP(($N988-$P988-$Q988+$S988)*VLOOKUP($B988,Paraméterek!$I$38:$K$39,IF($D$2="Egyszeri",3,2))/12*IF($D989="Nem",IF($M$13=0,1,$M$13),1),IF($D$4="Forint",0,2))</f>
        <v>#N/A</v>
      </c>
      <c r="U988" s="13"/>
      <c r="V988" s="13"/>
      <c r="W988" s="13" t="e">
        <f ca="1">$N988-$P988-$Q988+$S988-$T988-IF(ROUNDUP(IF(ISBLANK($V988),$U988*0,$V988)/IF($D$2="Egyszeri",VLOOKUP($B988+IF($C988=12,1,0),Paraméterek!$V$257:$W$262,2),IF($B988=1,1,VLOOKUP($B988+IF($C988=12,1,0),Paraméterek!$I$258:$T$278,HLOOKUP($M$11+1,Paraméterek!$J$256:$T$257,2)))),IF($D$4="Forint",0,2))&gt;$N988-$P988-$Q988+$S988-$T988-IF($D$4="Forint",Paraméterek!$C$216,Paraméterek!$D$216),0,ROUNDUP(IF(ISBLANK($V988),$U988*0,$V988)/IF($D$2="Egyszeri",VLOOKUP($B988+IF($C988=12,1,0),Paraméterek!$V$257:$W$262,2),IF($B988=1,1,VLOOKUP($B988+IF($C988=12,1,0),Paraméterek!$I$258:$T$278,HLOOKUP($M$11+1,Paraméterek!$J$256:$T$257,2)))),IF($D$4="Forint",0,2)))</f>
        <v>#N/A</v>
      </c>
      <c r="X988" s="13" t="e">
        <f ca="1">ROUNDDOWN($W988*IF($D$2="Egyszeri",VLOOKUP($B988+IF($C988=12,1,0),Paraméterek!$V$257:$W$262,2),VLOOKUP($B988+IF($C988=12,1,0),Paraméterek!$I$258:$T$278,HLOOKUP($M$11+1,Paraméterek!$I$256:$T$257,2))),IF($D$4="Forint",0,2))</f>
        <v>#N/A</v>
      </c>
      <c r="Z988" s="32">
        <v>969</v>
      </c>
      <c r="AA988" s="32">
        <v>81</v>
      </c>
      <c r="AB988" s="32">
        <v>9</v>
      </c>
      <c r="AC988" s="13">
        <f t="shared" ca="1" si="346"/>
        <v>0</v>
      </c>
      <c r="AD988" s="33"/>
      <c r="AE988" s="13">
        <f t="shared" ca="1" si="338"/>
        <v>0</v>
      </c>
      <c r="AF988" s="13">
        <f ca="1">ROUNDUP(($AC988+$AE988)*VLOOKUP($AA988,Paraméterek!$P$38:$Q$38,2)/12*IF($D989="Nem",IF($M$13=0,1,$M$13),1),IF($D$4="Forint",0,2))</f>
        <v>0</v>
      </c>
      <c r="AG988" s="13">
        <f ca="1">IF($D$2="Egyszeri",IF($D$7&gt;=IF($D$4="Forint",Paraméterek!$P$223,Paraméterek!$P$224),$D$7-IF($D$4="Forint",Paraméterek!$P$223,Paraméterek!$P$224),0),MIN(IF($AB988=12,AVERAGEIF($E$20:$E988,"&gt;0",$E$20:$E988)*12,0),SUM($E$20:$E$31)))</f>
        <v>0</v>
      </c>
      <c r="AH988" s="13">
        <f>IF($AA988=10,$AG988*IF($AB988=12,IF($AG988&lt;IF($D$4="Forint",Paraméterek!$L$223,Paraméterek!$L$224),0,VLOOKUP($AA988,Paraméterek!$K$226:$M$228,IF($AG988&lt;IF($D$4="Forint",Paraméterek!$M$223,Paraméterek!$M$224),2,3))),0),0)</f>
        <v>0</v>
      </c>
      <c r="AI988" s="13">
        <f ca="1">IF(AND($AA988=$M$11+1,$AB988=$M$12+1),SUMIF($AA$20:$AA$1027,$AA988,$AG$20:$AG$1027)*IF(SUMIF($AA$20:$AA$1027,$AA988,$AG$20:$AG$1027)&lt;IF($D$4="Forint",Paraméterek!$L$223,Paraméterek!$L$224),0,VLOOKUP($AA988,Paraméterek!$K$230:$M$250,IF(SUMIF($AA$20:$AA$1027,$AA988,$AG$20:$AG$1027)&lt;IF($D$4="Forint",Paraméterek!$M$223,Paraméterek!$M$224),2,3))),0)</f>
        <v>0</v>
      </c>
      <c r="AJ988" s="13">
        <f ca="1">IF(AND($AA988&gt;=5,MOD($AA988,5)=0),IF($AB988=12,VLOOKUP($AA988,Paraméterek!$O$225:$P$240,2),0),IF(OR($AA988=3,$AA988=4),IF($AB988=12,VLOOKUP($AA988,Paraméterek!$O$225:$P$240,2,0),0),0))*$AG988</f>
        <v>0</v>
      </c>
      <c r="AK988" s="13">
        <f t="shared" ca="1" si="339"/>
        <v>0</v>
      </c>
      <c r="AL988" s="13">
        <f t="shared" ca="1" si="347"/>
        <v>0</v>
      </c>
      <c r="AM988" s="13">
        <f t="shared" ca="1" si="348"/>
        <v>0</v>
      </c>
      <c r="AO988" s="32">
        <v>969</v>
      </c>
      <c r="AP988" s="32">
        <v>81</v>
      </c>
      <c r="AQ988" s="32">
        <v>9</v>
      </c>
      <c r="AR988" s="13"/>
      <c r="AS988" s="32"/>
      <c r="AT988" s="13">
        <f t="shared" ca="1" si="349"/>
        <v>0</v>
      </c>
      <c r="AU988" s="33"/>
      <c r="AV988" s="13">
        <f t="shared" ca="1" si="340"/>
        <v>0</v>
      </c>
      <c r="AW988" s="13">
        <f ca="1">ROUNDUP(($AT988+$AV988)*VLOOKUP($AP988,Paraméterek!$P$38:$Q$38,2)/12*IF($D989="Nem",IF($M$13=0,1,$M$13),1),IF($D$4="Forint",0,2))</f>
        <v>0</v>
      </c>
      <c r="AX988" s="13"/>
      <c r="AY988" s="13"/>
      <c r="AZ988" s="13">
        <f>ROUNDUP(IF(SUM($AX988:$AY988)=0,0,IF(IF(ISBLANK($AY988),$AX988,$AY988)*Paraméterek!$J$112&lt;IF($D$4="Forint",Paraméterek!$J$113,Paraméterek!$K$113),IF($D$4="Forint",Paraméterek!$J$113,Paraméterek!$K$113),IF(IF(ISBLANK($AY988),$AX988,$AY988)*Paraméterek!$J$112&gt;IF($D$4="Forint",Paraméterek!$J$114,Paraméterek!$K$114),IF($D$4="Forint",Paraméterek!$J$114,Paraméterek!$K$114),IF(ISBLANK($AY988),$AX988,$AY988)*Paraméterek!$J$112))),IF($D$4="Forint",0,2))</f>
        <v>0</v>
      </c>
      <c r="BA988" s="13">
        <f ca="1">$AT988+$AV988-$AW988-IF(ROUNDDOWN(IF(ISBLANK($AY988),$AX988,$AY988),IF($D$4="Forint",0,2))&gt;$AT988+$AV988-$AW988-IF($D$4="Forint",Paraméterek!$J$114,Paraméterek!$K$114),0,ROUNDDOWN(IF(ISBLANK($AY988),$AX988,$AY988),IF($D$4="Forint",0,2))-$AZ988)</f>
        <v>0</v>
      </c>
      <c r="BB988" s="13">
        <f t="shared" ca="1" si="341"/>
        <v>0</v>
      </c>
      <c r="BD988" s="32">
        <v>969</v>
      </c>
      <c r="BE988" s="32">
        <v>81</v>
      </c>
      <c r="BF988" s="32">
        <v>9</v>
      </c>
      <c r="BG988" s="34">
        <f t="shared" ca="1" si="350"/>
        <v>2100</v>
      </c>
      <c r="BH988" s="32" t="str">
        <f ca="1">IF(MOD(MONTH($D$14)+$BD988-1,12)=Paraméterek!$C$288,"Igen","")</f>
        <v/>
      </c>
      <c r="BI988" s="13">
        <f ca="1">IF($BH988="Igen",MIN(ROUNDDOWN((SUMIF($BG$20:$BG$1027,$BG988-1,$K$20:$K$1027)-SUMIF($BG$20:$BG$1027,$BG988-1,$I$20:$I$1027))*Paraméterek!$C$289,IF($D$4="Forint",0,2)),IF($D$4="Forint",Paraméterek!$C$285,Paraméterek!$D$285)),0)</f>
        <v>0</v>
      </c>
      <c r="BJ988" s="13">
        <f t="shared" ca="1" si="342"/>
        <v>0</v>
      </c>
      <c r="BK988" s="13">
        <f t="shared" ca="1" si="351"/>
        <v>0</v>
      </c>
      <c r="BL988" s="33"/>
      <c r="BM988" s="13">
        <f t="shared" ca="1" si="343"/>
        <v>0</v>
      </c>
      <c r="BN988" s="13">
        <f ca="1">ROUNDUP(($BK988+$BM988)*VLOOKUP($BE988,Paraméterek!$P$38:$Q$38,2)/12*IF($D989="Nem",IF($M$13=0,1,$M$13),1),IF($D$4="Forint",0,2))</f>
        <v>0</v>
      </c>
      <c r="BO988" s="13">
        <f t="shared" ca="1" si="344"/>
        <v>0</v>
      </c>
      <c r="BP988" s="13">
        <f ca="1">IF($D989="Nem",$BO988,$BO988-ROUNDUP(SUM($BI$20:$BI988)*120%,IF($D$4="Forint",0,2)))</f>
        <v>0</v>
      </c>
    </row>
    <row r="989" spans="1:68" x14ac:dyDescent="0.2">
      <c r="A989" s="32">
        <v>970</v>
      </c>
      <c r="B989" s="32">
        <v>81</v>
      </c>
      <c r="C989" s="32">
        <v>10</v>
      </c>
      <c r="D989" s="32" t="str">
        <f t="shared" ca="1" si="330"/>
        <v>Nem</v>
      </c>
      <c r="E989" s="13">
        <f t="shared" ca="1" si="331"/>
        <v>0</v>
      </c>
      <c r="F989" s="13"/>
      <c r="G989" s="13"/>
      <c r="H989" s="13"/>
      <c r="I989" s="13">
        <f t="shared" ca="1" si="332"/>
        <v>0</v>
      </c>
      <c r="J989" s="13">
        <f t="shared" ca="1" si="333"/>
        <v>0</v>
      </c>
      <c r="K989" s="13">
        <f t="shared" ca="1" si="334"/>
        <v>0</v>
      </c>
      <c r="L989" s="13" t="e">
        <f ca="1">ROUNDUP(IF($D$2="Egyszeri",$E989,IF($D$2="Havi",SUM($E$20:$E$31),IF(MOD($C989,$M$1)-1=0,SUM($E$20:$E$31),0))/12*$M$1)*VLOOKUP($B989,Paraméterek!$I$28:$P$31,IF($D$2="Egyszeri",8,HLOOKUP(ROUNDUP($M$11+$M$13,0),Paraméterek!$J$26:$O$27,2))),IF($D$4="Forint",0,2))</f>
        <v>#N/A</v>
      </c>
      <c r="M989" s="13">
        <f t="shared" ca="1" si="335"/>
        <v>0</v>
      </c>
      <c r="N989" s="13">
        <f t="shared" ca="1" si="345"/>
        <v>0</v>
      </c>
      <c r="O989" s="13">
        <f ca="1">IF($D989="Igen",IF($W988&gt;=IF($D$4="Forint",Paraméterek!$J$121,Paraméterek!$K$121),0,IF($D$4="Forint",Paraméterek!$J$121,Paraméterek!$K$121)-$W988),0)</f>
        <v>0</v>
      </c>
      <c r="P989" s="13" t="e">
        <f ca="1">ROUNDUP($O989*VLOOKUP($M$4+$B989-1,Paraméterek!$H$58:$I$105,2,0)/Paraméterek!$I$56,IF($D$4="Forint",0,2))</f>
        <v>#N/A</v>
      </c>
      <c r="Q989" s="13">
        <f t="shared" ca="1" si="336"/>
        <v>0</v>
      </c>
      <c r="R989" s="33"/>
      <c r="S989" s="13" t="e">
        <f t="shared" ca="1" si="337"/>
        <v>#N/A</v>
      </c>
      <c r="T989" s="13" t="e">
        <f ca="1">ROUNDUP(($N989-$P989-$Q989+$S989)*VLOOKUP($B989,Paraméterek!$I$38:$K$39,IF($D$2="Egyszeri",3,2))/12*IF($D990="Nem",IF($M$13=0,1,$M$13),1),IF($D$4="Forint",0,2))</f>
        <v>#N/A</v>
      </c>
      <c r="U989" s="13"/>
      <c r="V989" s="13"/>
      <c r="W989" s="13" t="e">
        <f ca="1">$N989-$P989-$Q989+$S989-$T989-IF(ROUNDUP(IF(ISBLANK($V989),$U989*0,$V989)/IF($D$2="Egyszeri",VLOOKUP($B989+IF($C989=12,1,0),Paraméterek!$V$257:$W$262,2),IF($B989=1,1,VLOOKUP($B989+IF($C989=12,1,0),Paraméterek!$I$258:$T$278,HLOOKUP($M$11+1,Paraméterek!$J$256:$T$257,2)))),IF($D$4="Forint",0,2))&gt;$N989-$P989-$Q989+$S989-$T989-IF($D$4="Forint",Paraméterek!$C$216,Paraméterek!$D$216),0,ROUNDUP(IF(ISBLANK($V989),$U989*0,$V989)/IF($D$2="Egyszeri",VLOOKUP($B989+IF($C989=12,1,0),Paraméterek!$V$257:$W$262,2),IF($B989=1,1,VLOOKUP($B989+IF($C989=12,1,0),Paraméterek!$I$258:$T$278,HLOOKUP($M$11+1,Paraméterek!$J$256:$T$257,2)))),IF($D$4="Forint",0,2)))</f>
        <v>#N/A</v>
      </c>
      <c r="X989" s="13" t="e">
        <f ca="1">ROUNDDOWN($W989*IF($D$2="Egyszeri",VLOOKUP($B989+IF($C989=12,1,0),Paraméterek!$V$257:$W$262,2),VLOOKUP($B989+IF($C989=12,1,0),Paraméterek!$I$258:$T$278,HLOOKUP($M$11+1,Paraméterek!$I$256:$T$257,2))),IF($D$4="Forint",0,2))</f>
        <v>#N/A</v>
      </c>
      <c r="Z989" s="32">
        <v>970</v>
      </c>
      <c r="AA989" s="32">
        <v>81</v>
      </c>
      <c r="AB989" s="32">
        <v>10</v>
      </c>
      <c r="AC989" s="13">
        <f t="shared" ca="1" si="346"/>
        <v>0</v>
      </c>
      <c r="AD989" s="33"/>
      <c r="AE989" s="13">
        <f t="shared" ca="1" si="338"/>
        <v>0</v>
      </c>
      <c r="AF989" s="13">
        <f ca="1">ROUNDUP(($AC989+$AE989)*VLOOKUP($AA989,Paraméterek!$P$38:$Q$38,2)/12*IF($D990="Nem",IF($M$13=0,1,$M$13),1),IF($D$4="Forint",0,2))</f>
        <v>0</v>
      </c>
      <c r="AG989" s="13">
        <f ca="1">IF($D$2="Egyszeri",IF($D$7&gt;=IF($D$4="Forint",Paraméterek!$P$223,Paraméterek!$P$224),$D$7-IF($D$4="Forint",Paraméterek!$P$223,Paraméterek!$P$224),0),MIN(IF($AB989=12,AVERAGEIF($E$20:$E989,"&gt;0",$E$20:$E989)*12,0),SUM($E$20:$E$31)))</f>
        <v>0</v>
      </c>
      <c r="AH989" s="13">
        <f>IF($AA989=10,$AG989*IF($AB989=12,IF($AG989&lt;IF($D$4="Forint",Paraméterek!$L$223,Paraméterek!$L$224),0,VLOOKUP($AA989,Paraméterek!$K$226:$M$228,IF($AG989&lt;IF($D$4="Forint",Paraméterek!$M$223,Paraméterek!$M$224),2,3))),0),0)</f>
        <v>0</v>
      </c>
      <c r="AI989" s="13">
        <f ca="1">IF(AND($AA989=$M$11+1,$AB989=$M$12+1),SUMIF($AA$20:$AA$1027,$AA989,$AG$20:$AG$1027)*IF(SUMIF($AA$20:$AA$1027,$AA989,$AG$20:$AG$1027)&lt;IF($D$4="Forint",Paraméterek!$L$223,Paraméterek!$L$224),0,VLOOKUP($AA989,Paraméterek!$K$230:$M$250,IF(SUMIF($AA$20:$AA$1027,$AA989,$AG$20:$AG$1027)&lt;IF($D$4="Forint",Paraméterek!$M$223,Paraméterek!$M$224),2,3))),0)</f>
        <v>0</v>
      </c>
      <c r="AJ989" s="13">
        <f ca="1">IF(AND($AA989&gt;=5,MOD($AA989,5)=0),IF($AB989=12,VLOOKUP($AA989,Paraméterek!$O$225:$P$240,2),0),IF(OR($AA989=3,$AA989=4),IF($AB989=12,VLOOKUP($AA989,Paraméterek!$O$225:$P$240,2,0),0),0))*$AG989</f>
        <v>0</v>
      </c>
      <c r="AK989" s="13">
        <f t="shared" ca="1" si="339"/>
        <v>0</v>
      </c>
      <c r="AL989" s="13">
        <f t="shared" ca="1" si="347"/>
        <v>0</v>
      </c>
      <c r="AM989" s="13">
        <f t="shared" ca="1" si="348"/>
        <v>0</v>
      </c>
      <c r="AO989" s="32">
        <v>970</v>
      </c>
      <c r="AP989" s="32">
        <v>81</v>
      </c>
      <c r="AQ989" s="32">
        <v>10</v>
      </c>
      <c r="AR989" s="13"/>
      <c r="AS989" s="32"/>
      <c r="AT989" s="13">
        <f t="shared" ca="1" si="349"/>
        <v>0</v>
      </c>
      <c r="AU989" s="33"/>
      <c r="AV989" s="13">
        <f t="shared" ca="1" si="340"/>
        <v>0</v>
      </c>
      <c r="AW989" s="13">
        <f ca="1">ROUNDUP(($AT989+$AV989)*VLOOKUP($AP989,Paraméterek!$P$38:$Q$38,2)/12*IF($D990="Nem",IF($M$13=0,1,$M$13),1),IF($D$4="Forint",0,2))</f>
        <v>0</v>
      </c>
      <c r="AX989" s="13"/>
      <c r="AY989" s="13"/>
      <c r="AZ989" s="13">
        <f>ROUNDUP(IF(SUM($AX989:$AY989)=0,0,IF(IF(ISBLANK($AY989),$AX989,$AY989)*Paraméterek!$J$112&lt;IF($D$4="Forint",Paraméterek!$J$113,Paraméterek!$K$113),IF($D$4="Forint",Paraméterek!$J$113,Paraméterek!$K$113),IF(IF(ISBLANK($AY989),$AX989,$AY989)*Paraméterek!$J$112&gt;IF($D$4="Forint",Paraméterek!$J$114,Paraméterek!$K$114),IF($D$4="Forint",Paraméterek!$J$114,Paraméterek!$K$114),IF(ISBLANK($AY989),$AX989,$AY989)*Paraméterek!$J$112))),IF($D$4="Forint",0,2))</f>
        <v>0</v>
      </c>
      <c r="BA989" s="13">
        <f ca="1">$AT989+$AV989-$AW989-IF(ROUNDDOWN(IF(ISBLANK($AY989),$AX989,$AY989),IF($D$4="Forint",0,2))&gt;$AT989+$AV989-$AW989-IF($D$4="Forint",Paraméterek!$J$114,Paraméterek!$K$114),0,ROUNDDOWN(IF(ISBLANK($AY989),$AX989,$AY989),IF($D$4="Forint",0,2))-$AZ989)</f>
        <v>0</v>
      </c>
      <c r="BB989" s="13">
        <f t="shared" ca="1" si="341"/>
        <v>0</v>
      </c>
      <c r="BD989" s="32">
        <v>970</v>
      </c>
      <c r="BE989" s="32">
        <v>81</v>
      </c>
      <c r="BF989" s="32">
        <v>10</v>
      </c>
      <c r="BG989" s="34">
        <f t="shared" ca="1" si="350"/>
        <v>2100</v>
      </c>
      <c r="BH989" s="32" t="str">
        <f ca="1">IF(MOD(MONTH($D$14)+$BD989-1,12)=Paraméterek!$C$288,"Igen","")</f>
        <v/>
      </c>
      <c r="BI989" s="13">
        <f ca="1">IF($BH989="Igen",MIN(ROUNDDOWN((SUMIF($BG$20:$BG$1027,$BG989-1,$K$20:$K$1027)-SUMIF($BG$20:$BG$1027,$BG989-1,$I$20:$I$1027))*Paraméterek!$C$289,IF($D$4="Forint",0,2)),IF($D$4="Forint",Paraméterek!$C$285,Paraméterek!$D$285)),0)</f>
        <v>0</v>
      </c>
      <c r="BJ989" s="13">
        <f t="shared" ca="1" si="342"/>
        <v>0</v>
      </c>
      <c r="BK989" s="13">
        <f t="shared" ca="1" si="351"/>
        <v>0</v>
      </c>
      <c r="BL989" s="33"/>
      <c r="BM989" s="13">
        <f t="shared" ca="1" si="343"/>
        <v>0</v>
      </c>
      <c r="BN989" s="13">
        <f ca="1">ROUNDUP(($BK989+$BM989)*VLOOKUP($BE989,Paraméterek!$P$38:$Q$38,2)/12*IF($D990="Nem",IF($M$13=0,1,$M$13),1),IF($D$4="Forint",0,2))</f>
        <v>0</v>
      </c>
      <c r="BO989" s="13">
        <f t="shared" ca="1" si="344"/>
        <v>0</v>
      </c>
      <c r="BP989" s="13">
        <f ca="1">IF($D990="Nem",$BO989,$BO989-ROUNDUP(SUM($BI$20:$BI989)*120%,IF($D$4="Forint",0,2)))</f>
        <v>0</v>
      </c>
    </row>
    <row r="990" spans="1:68" x14ac:dyDescent="0.2">
      <c r="A990" s="32">
        <v>971</v>
      </c>
      <c r="B990" s="32">
        <v>81</v>
      </c>
      <c r="C990" s="32">
        <v>11</v>
      </c>
      <c r="D990" s="32" t="str">
        <f t="shared" ca="1" si="330"/>
        <v>Nem</v>
      </c>
      <c r="E990" s="13">
        <f t="shared" ca="1" si="331"/>
        <v>0</v>
      </c>
      <c r="F990" s="13"/>
      <c r="G990" s="13"/>
      <c r="H990" s="13"/>
      <c r="I990" s="13">
        <f t="shared" ca="1" si="332"/>
        <v>0</v>
      </c>
      <c r="J990" s="13">
        <f t="shared" ca="1" si="333"/>
        <v>0</v>
      </c>
      <c r="K990" s="13">
        <f t="shared" ca="1" si="334"/>
        <v>0</v>
      </c>
      <c r="L990" s="13" t="e">
        <f ca="1">ROUNDUP(IF($D$2="Egyszeri",$E990,IF($D$2="Havi",SUM($E$20:$E$31),IF(MOD($C990,$M$1)-1=0,SUM($E$20:$E$31),0))/12*$M$1)*VLOOKUP($B990,Paraméterek!$I$28:$P$31,IF($D$2="Egyszeri",8,HLOOKUP(ROUNDUP($M$11+$M$13,0),Paraméterek!$J$26:$O$27,2))),IF($D$4="Forint",0,2))</f>
        <v>#N/A</v>
      </c>
      <c r="M990" s="13">
        <f t="shared" ca="1" si="335"/>
        <v>0</v>
      </c>
      <c r="N990" s="13">
        <f t="shared" ca="1" si="345"/>
        <v>0</v>
      </c>
      <c r="O990" s="13">
        <f ca="1">IF($D990="Igen",IF($W989&gt;=IF($D$4="Forint",Paraméterek!$J$121,Paraméterek!$K$121),0,IF($D$4="Forint",Paraméterek!$J$121,Paraméterek!$K$121)-$W989),0)</f>
        <v>0</v>
      </c>
      <c r="P990" s="13" t="e">
        <f ca="1">ROUNDUP($O990*VLOOKUP($M$4+$B990-1,Paraméterek!$H$58:$I$105,2,0)/Paraméterek!$I$56,IF($D$4="Forint",0,2))</f>
        <v>#N/A</v>
      </c>
      <c r="Q990" s="13">
        <f t="shared" ca="1" si="336"/>
        <v>0</v>
      </c>
      <c r="R990" s="33"/>
      <c r="S990" s="13" t="e">
        <f t="shared" ca="1" si="337"/>
        <v>#N/A</v>
      </c>
      <c r="T990" s="13" t="e">
        <f ca="1">ROUNDUP(($N990-$P990-$Q990+$S990)*VLOOKUP($B990,Paraméterek!$I$38:$K$39,IF($D$2="Egyszeri",3,2))/12*IF($D991="Nem",IF($M$13=0,1,$M$13),1),IF($D$4="Forint",0,2))</f>
        <v>#N/A</v>
      </c>
      <c r="U990" s="13"/>
      <c r="V990" s="13"/>
      <c r="W990" s="13" t="e">
        <f ca="1">$N990-$P990-$Q990+$S990-$T990-IF(ROUNDUP(IF(ISBLANK($V990),$U990*0,$V990)/IF($D$2="Egyszeri",VLOOKUP($B990+IF($C990=12,1,0),Paraméterek!$V$257:$W$262,2),IF($B990=1,1,VLOOKUP($B990+IF($C990=12,1,0),Paraméterek!$I$258:$T$278,HLOOKUP($M$11+1,Paraméterek!$J$256:$T$257,2)))),IF($D$4="Forint",0,2))&gt;$N990-$P990-$Q990+$S990-$T990-IF($D$4="Forint",Paraméterek!$C$216,Paraméterek!$D$216),0,ROUNDUP(IF(ISBLANK($V990),$U990*0,$V990)/IF($D$2="Egyszeri",VLOOKUP($B990+IF($C990=12,1,0),Paraméterek!$V$257:$W$262,2),IF($B990=1,1,VLOOKUP($B990+IF($C990=12,1,0),Paraméterek!$I$258:$T$278,HLOOKUP($M$11+1,Paraméterek!$J$256:$T$257,2)))),IF($D$4="Forint",0,2)))</f>
        <v>#N/A</v>
      </c>
      <c r="X990" s="13" t="e">
        <f ca="1">ROUNDDOWN($W990*IF($D$2="Egyszeri",VLOOKUP($B990+IF($C990=12,1,0),Paraméterek!$V$257:$W$262,2),VLOOKUP($B990+IF($C990=12,1,0),Paraméterek!$I$258:$T$278,HLOOKUP($M$11+1,Paraméterek!$I$256:$T$257,2))),IF($D$4="Forint",0,2))</f>
        <v>#N/A</v>
      </c>
      <c r="Z990" s="32">
        <v>971</v>
      </c>
      <c r="AA990" s="32">
        <v>81</v>
      </c>
      <c r="AB990" s="32">
        <v>11</v>
      </c>
      <c r="AC990" s="13">
        <f t="shared" ca="1" si="346"/>
        <v>0</v>
      </c>
      <c r="AD990" s="33"/>
      <c r="AE990" s="13">
        <f t="shared" ca="1" si="338"/>
        <v>0</v>
      </c>
      <c r="AF990" s="13">
        <f ca="1">ROUNDUP(($AC990+$AE990)*VLOOKUP($AA990,Paraméterek!$P$38:$Q$38,2)/12*IF($D991="Nem",IF($M$13=0,1,$M$13),1),IF($D$4="Forint",0,2))</f>
        <v>0</v>
      </c>
      <c r="AG990" s="13">
        <f ca="1">IF($D$2="Egyszeri",IF($D$7&gt;=IF($D$4="Forint",Paraméterek!$P$223,Paraméterek!$P$224),$D$7-IF($D$4="Forint",Paraméterek!$P$223,Paraméterek!$P$224),0),MIN(IF($AB990=12,AVERAGEIF($E$20:$E990,"&gt;0",$E$20:$E990)*12,0),SUM($E$20:$E$31)))</f>
        <v>0</v>
      </c>
      <c r="AH990" s="13">
        <f>IF($AA990=10,$AG990*IF($AB990=12,IF($AG990&lt;IF($D$4="Forint",Paraméterek!$L$223,Paraméterek!$L$224),0,VLOOKUP($AA990,Paraméterek!$K$226:$M$228,IF($AG990&lt;IF($D$4="Forint",Paraméterek!$M$223,Paraméterek!$M$224),2,3))),0),0)</f>
        <v>0</v>
      </c>
      <c r="AI990" s="13">
        <f ca="1">IF(AND($AA990=$M$11+1,$AB990=$M$12+1),SUMIF($AA$20:$AA$1027,$AA990,$AG$20:$AG$1027)*IF(SUMIF($AA$20:$AA$1027,$AA990,$AG$20:$AG$1027)&lt;IF($D$4="Forint",Paraméterek!$L$223,Paraméterek!$L$224),0,VLOOKUP($AA990,Paraméterek!$K$230:$M$250,IF(SUMIF($AA$20:$AA$1027,$AA990,$AG$20:$AG$1027)&lt;IF($D$4="Forint",Paraméterek!$M$223,Paraméterek!$M$224),2,3))),0)</f>
        <v>0</v>
      </c>
      <c r="AJ990" s="13">
        <f ca="1">IF(AND($AA990&gt;=5,MOD($AA990,5)=0),IF($AB990=12,VLOOKUP($AA990,Paraméterek!$O$225:$P$240,2),0),IF(OR($AA990=3,$AA990=4),IF($AB990=12,VLOOKUP($AA990,Paraméterek!$O$225:$P$240,2,0),0),0))*$AG990</f>
        <v>0</v>
      </c>
      <c r="AK990" s="13">
        <f t="shared" ca="1" si="339"/>
        <v>0</v>
      </c>
      <c r="AL990" s="13">
        <f t="shared" ca="1" si="347"/>
        <v>0</v>
      </c>
      <c r="AM990" s="13">
        <f t="shared" ca="1" si="348"/>
        <v>0</v>
      </c>
      <c r="AO990" s="32">
        <v>971</v>
      </c>
      <c r="AP990" s="32">
        <v>81</v>
      </c>
      <c r="AQ990" s="32">
        <v>11</v>
      </c>
      <c r="AR990" s="13"/>
      <c r="AS990" s="32"/>
      <c r="AT990" s="13">
        <f t="shared" ca="1" si="349"/>
        <v>0</v>
      </c>
      <c r="AU990" s="33"/>
      <c r="AV990" s="13">
        <f t="shared" ca="1" si="340"/>
        <v>0</v>
      </c>
      <c r="AW990" s="13">
        <f ca="1">ROUNDUP(($AT990+$AV990)*VLOOKUP($AP990,Paraméterek!$P$38:$Q$38,2)/12*IF($D991="Nem",IF($M$13=0,1,$M$13),1),IF($D$4="Forint",0,2))</f>
        <v>0</v>
      </c>
      <c r="AX990" s="13"/>
      <c r="AY990" s="13"/>
      <c r="AZ990" s="13">
        <f>ROUNDUP(IF(SUM($AX990:$AY990)=0,0,IF(IF(ISBLANK($AY990),$AX990,$AY990)*Paraméterek!$J$112&lt;IF($D$4="Forint",Paraméterek!$J$113,Paraméterek!$K$113),IF($D$4="Forint",Paraméterek!$J$113,Paraméterek!$K$113),IF(IF(ISBLANK($AY990),$AX990,$AY990)*Paraméterek!$J$112&gt;IF($D$4="Forint",Paraméterek!$J$114,Paraméterek!$K$114),IF($D$4="Forint",Paraméterek!$J$114,Paraméterek!$K$114),IF(ISBLANK($AY990),$AX990,$AY990)*Paraméterek!$J$112))),IF($D$4="Forint",0,2))</f>
        <v>0</v>
      </c>
      <c r="BA990" s="13">
        <f ca="1">$AT990+$AV990-$AW990-IF(ROUNDDOWN(IF(ISBLANK($AY990),$AX990,$AY990),IF($D$4="Forint",0,2))&gt;$AT990+$AV990-$AW990-IF($D$4="Forint",Paraméterek!$J$114,Paraméterek!$K$114),0,ROUNDDOWN(IF(ISBLANK($AY990),$AX990,$AY990),IF($D$4="Forint",0,2))-$AZ990)</f>
        <v>0</v>
      </c>
      <c r="BB990" s="13">
        <f t="shared" ca="1" si="341"/>
        <v>0</v>
      </c>
      <c r="BD990" s="32">
        <v>971</v>
      </c>
      <c r="BE990" s="32">
        <v>81</v>
      </c>
      <c r="BF990" s="32">
        <v>11</v>
      </c>
      <c r="BG990" s="34">
        <f t="shared" ca="1" si="350"/>
        <v>2100</v>
      </c>
      <c r="BH990" s="32" t="str">
        <f ca="1">IF(MOD(MONTH($D$14)+$BD990-1,12)=Paraméterek!$C$288,"Igen","")</f>
        <v/>
      </c>
      <c r="BI990" s="13">
        <f ca="1">IF($BH990="Igen",MIN(ROUNDDOWN((SUMIF($BG$20:$BG$1027,$BG990-1,$K$20:$K$1027)-SUMIF($BG$20:$BG$1027,$BG990-1,$I$20:$I$1027))*Paraméterek!$C$289,IF($D$4="Forint",0,2)),IF($D$4="Forint",Paraméterek!$C$285,Paraméterek!$D$285)),0)</f>
        <v>0</v>
      </c>
      <c r="BJ990" s="13">
        <f t="shared" ca="1" si="342"/>
        <v>0</v>
      </c>
      <c r="BK990" s="13">
        <f t="shared" ca="1" si="351"/>
        <v>0</v>
      </c>
      <c r="BL990" s="33"/>
      <c r="BM990" s="13">
        <f t="shared" ca="1" si="343"/>
        <v>0</v>
      </c>
      <c r="BN990" s="13">
        <f ca="1">ROUNDUP(($BK990+$BM990)*VLOOKUP($BE990,Paraméterek!$P$38:$Q$38,2)/12*IF($D991="Nem",IF($M$13=0,1,$M$13),1),IF($D$4="Forint",0,2))</f>
        <v>0</v>
      </c>
      <c r="BO990" s="13">
        <f t="shared" ca="1" si="344"/>
        <v>0</v>
      </c>
      <c r="BP990" s="13">
        <f ca="1">IF($D991="Nem",$BO990,$BO990-ROUNDUP(SUM($BI$20:$BI990)*120%,IF($D$4="Forint",0,2)))</f>
        <v>0</v>
      </c>
    </row>
    <row r="991" spans="1:68" x14ac:dyDescent="0.2">
      <c r="A991" s="32">
        <v>972</v>
      </c>
      <c r="B991" s="32">
        <v>81</v>
      </c>
      <c r="C991" s="32">
        <v>12</v>
      </c>
      <c r="D991" s="32" t="str">
        <f t="shared" ca="1" si="330"/>
        <v>Nem</v>
      </c>
      <c r="E991" s="13">
        <f t="shared" ca="1" si="331"/>
        <v>0</v>
      </c>
      <c r="F991" s="13"/>
      <c r="G991" s="13"/>
      <c r="H991" s="13"/>
      <c r="I991" s="13">
        <f t="shared" ca="1" si="332"/>
        <v>0</v>
      </c>
      <c r="J991" s="13">
        <f t="shared" ca="1" si="333"/>
        <v>0</v>
      </c>
      <c r="K991" s="13">
        <f t="shared" ca="1" si="334"/>
        <v>0</v>
      </c>
      <c r="L991" s="13" t="e">
        <f ca="1">ROUNDUP(IF($D$2="Egyszeri",$E991,IF($D$2="Havi",SUM($E$20:$E$31),IF(MOD($C991,$M$1)-1=0,SUM($E$20:$E$31),0))/12*$M$1)*VLOOKUP($B991,Paraméterek!$I$28:$P$31,IF($D$2="Egyszeri",8,HLOOKUP(ROUNDUP($M$11+$M$13,0),Paraméterek!$J$26:$O$27,2))),IF($D$4="Forint",0,2))</f>
        <v>#N/A</v>
      </c>
      <c r="M991" s="13">
        <f t="shared" ca="1" si="335"/>
        <v>0</v>
      </c>
      <c r="N991" s="13">
        <f t="shared" ca="1" si="345"/>
        <v>0</v>
      </c>
      <c r="O991" s="13">
        <f ca="1">IF($D991="Igen",IF($W990&gt;=IF($D$4="Forint",Paraméterek!$J$121,Paraméterek!$K$121),0,IF($D$4="Forint",Paraméterek!$J$121,Paraméterek!$K$121)-$W990),0)</f>
        <v>0</v>
      </c>
      <c r="P991" s="13" t="e">
        <f ca="1">ROUNDUP($O991*VLOOKUP($M$4+$B991-1,Paraméterek!$H$58:$I$105,2,0)/Paraméterek!$I$56,IF($D$4="Forint",0,2))</f>
        <v>#N/A</v>
      </c>
      <c r="Q991" s="13">
        <f t="shared" ca="1" si="336"/>
        <v>0</v>
      </c>
      <c r="R991" s="33"/>
      <c r="S991" s="13" t="e">
        <f t="shared" ca="1" si="337"/>
        <v>#N/A</v>
      </c>
      <c r="T991" s="13" t="e">
        <f ca="1">ROUNDUP(($N991-$P991-$Q991+$S991)*VLOOKUP($B991,Paraméterek!$I$38:$K$39,IF($D$2="Egyszeri",3,2))/12*IF($D992="Nem",IF($M$13=0,1,$M$13),1),IF($D$4="Forint",0,2))</f>
        <v>#N/A</v>
      </c>
      <c r="U991" s="13">
        <f>Tranzakciók!$F$112</f>
        <v>0</v>
      </c>
      <c r="V991" s="13"/>
      <c r="W991" s="13" t="e">
        <f ca="1">$N991-$P991-$Q991+$S991-$T991-IF(ROUNDUP(IF(ISBLANK($V991),$U991*0,$V991)/IF($D$2="Egyszeri",VLOOKUP($B991+IF($C991=12,1,0),Paraméterek!$V$257:$W$262,2),IF($B991=1,1,VLOOKUP($B991+IF($C991=12,1,0),Paraméterek!$I$258:$T$278,HLOOKUP($M$11+1,Paraméterek!$J$256:$T$257,2)))),IF($D$4="Forint",0,2))&gt;$N991-$P991-$Q991+$S991-$T991-IF($D$4="Forint",Paraméterek!$C$216,Paraméterek!$D$216),0,ROUNDUP(IF(ISBLANK($V991),$U991*0,$V991)/IF($D$2="Egyszeri",VLOOKUP($B991+IF($C991=12,1,0),Paraméterek!$V$257:$W$262,2),IF($B991=1,1,VLOOKUP($B991+IF($C991=12,1,0),Paraméterek!$I$258:$T$278,HLOOKUP($M$11+1,Paraméterek!$J$256:$T$257,2)))),IF($D$4="Forint",0,2)))</f>
        <v>#N/A</v>
      </c>
      <c r="X991" s="13" t="e">
        <f ca="1">ROUNDDOWN($W991*IF($D$2="Egyszeri",VLOOKUP($B991+IF($C991=12,1,0),Paraméterek!$V$257:$W$262,2),VLOOKUP($B991+IF($C991=12,1,0),Paraméterek!$I$258:$T$278,HLOOKUP($M$11+1,Paraméterek!$I$256:$T$257,2))),IF($D$4="Forint",0,2))</f>
        <v>#N/A</v>
      </c>
      <c r="Z991" s="32">
        <v>972</v>
      </c>
      <c r="AA991" s="32">
        <v>81</v>
      </c>
      <c r="AB991" s="32">
        <v>12</v>
      </c>
      <c r="AC991" s="13">
        <f t="shared" ca="1" si="346"/>
        <v>0</v>
      </c>
      <c r="AD991" s="33"/>
      <c r="AE991" s="13">
        <f t="shared" ca="1" si="338"/>
        <v>0</v>
      </c>
      <c r="AF991" s="13">
        <f ca="1">ROUNDUP(($AC991+$AE991)*VLOOKUP($AA991,Paraméterek!$P$38:$Q$38,2)/12*IF($D992="Nem",IF($M$13=0,1,$M$13),1),IF($D$4="Forint",0,2))</f>
        <v>0</v>
      </c>
      <c r="AG991" s="13" t="e">
        <f ca="1">IF($D$2="Egyszeri",IF($D$7&gt;=IF($D$4="Forint",Paraméterek!$P$223,Paraméterek!$P$224),$D$7-IF($D$4="Forint",Paraméterek!$P$223,Paraméterek!$P$224),0),MIN(IF($AB991=12,AVERAGEIF($E$20:$E991,"&gt;0",$E$20:$E991)*12,0),SUM($E$20:$E$31)))</f>
        <v>#DIV/0!</v>
      </c>
      <c r="AH991" s="13">
        <f>IF($AA991=10,$AG991*IF($AB991=12,IF($AG991&lt;IF($D$4="Forint",Paraméterek!$L$223,Paraméterek!$L$224),0,VLOOKUP($AA991,Paraméterek!$K$226:$M$228,IF($AG991&lt;IF($D$4="Forint",Paraméterek!$M$223,Paraméterek!$M$224),2,3))),0),0)</f>
        <v>0</v>
      </c>
      <c r="AI991" s="13">
        <f ca="1">IF(AND($AA991=$M$11+1,$AB991=$M$12+1),SUMIF($AA$20:$AA$1027,$AA991,$AG$20:$AG$1027)*IF(SUMIF($AA$20:$AA$1027,$AA991,$AG$20:$AG$1027)&lt;IF($D$4="Forint",Paraméterek!$L$223,Paraméterek!$L$224),0,VLOOKUP($AA991,Paraméterek!$K$230:$M$250,IF(SUMIF($AA$20:$AA$1027,$AA991,$AG$20:$AG$1027)&lt;IF($D$4="Forint",Paraméterek!$M$223,Paraméterek!$M$224),2,3))),0)</f>
        <v>0</v>
      </c>
      <c r="AJ991" s="13" t="e">
        <f ca="1">IF(AND($AA991&gt;=5,MOD($AA991,5)=0),IF($AB991=12,VLOOKUP($AA991,Paraméterek!$O$225:$P$240,2),0),IF(OR($AA991=3,$AA991=4),IF($AB991=12,VLOOKUP($AA991,Paraméterek!$O$225:$P$240,2,0),0),0))*$AG991</f>
        <v>#DIV/0!</v>
      </c>
      <c r="AK991" s="13">
        <f t="shared" ca="1" si="339"/>
        <v>0</v>
      </c>
      <c r="AL991" s="13">
        <f t="shared" ca="1" si="347"/>
        <v>0</v>
      </c>
      <c r="AM991" s="13">
        <f t="shared" ca="1" si="348"/>
        <v>0</v>
      </c>
      <c r="AO991" s="32">
        <v>972</v>
      </c>
      <c r="AP991" s="32">
        <v>81</v>
      </c>
      <c r="AQ991" s="32">
        <v>12</v>
      </c>
      <c r="AR991" s="13"/>
      <c r="AS991" s="32"/>
      <c r="AT991" s="13">
        <f t="shared" ca="1" si="349"/>
        <v>0</v>
      </c>
      <c r="AU991" s="33"/>
      <c r="AV991" s="13">
        <f t="shared" ca="1" si="340"/>
        <v>0</v>
      </c>
      <c r="AW991" s="13">
        <f ca="1">ROUNDUP(($AT991+$AV991)*VLOOKUP($AP991,Paraméterek!$P$38:$Q$38,2)/12*IF($D992="Nem",IF($M$13=0,1,$M$13),1),IF($D$4="Forint",0,2))</f>
        <v>0</v>
      </c>
      <c r="AX991" s="13">
        <f>Tranzakciók!$M$112</f>
        <v>0</v>
      </c>
      <c r="AY991" s="13"/>
      <c r="AZ991" s="13">
        <f>ROUNDUP(IF(SUM($AX991:$AY991)=0,0,IF(IF(ISBLANK($AY991),$AX991,$AY991)*Paraméterek!$J$112&lt;IF($D$4="Forint",Paraméterek!$J$113,Paraméterek!$K$113),IF($D$4="Forint",Paraméterek!$J$113,Paraméterek!$K$113),IF(IF(ISBLANK($AY991),$AX991,$AY991)*Paraméterek!$J$112&gt;IF($D$4="Forint",Paraméterek!$J$114,Paraméterek!$K$114),IF($D$4="Forint",Paraméterek!$J$114,Paraméterek!$K$114),IF(ISBLANK($AY991),$AX991,$AY991)*Paraméterek!$J$112))),IF($D$4="Forint",0,2))</f>
        <v>0</v>
      </c>
      <c r="BA991" s="13">
        <f ca="1">$AT991+$AV991-$AW991-IF(ROUNDDOWN(IF(ISBLANK($AY991),$AX991,$AY991),IF($D$4="Forint",0,2))&gt;$AT991+$AV991-$AW991-IF($D$4="Forint",Paraméterek!$J$114,Paraméterek!$K$114),0,ROUNDDOWN(IF(ISBLANK($AY991),$AX991,$AY991),IF($D$4="Forint",0,2))-$AZ991)</f>
        <v>0</v>
      </c>
      <c r="BB991" s="13">
        <f t="shared" ca="1" si="341"/>
        <v>0</v>
      </c>
      <c r="BD991" s="32">
        <v>972</v>
      </c>
      <c r="BE991" s="32">
        <v>81</v>
      </c>
      <c r="BF991" s="32">
        <v>12</v>
      </c>
      <c r="BG991" s="34">
        <f t="shared" ca="1" si="350"/>
        <v>2100</v>
      </c>
      <c r="BH991" s="32" t="str">
        <f ca="1">IF(MOD(MONTH($D$14)+$BD991-1,12)=Paraméterek!$C$288,"Igen","")</f>
        <v/>
      </c>
      <c r="BI991" s="13">
        <f ca="1">IF($BH991="Igen",MIN(ROUNDDOWN((SUMIF($BG$20:$BG$1027,$BG991-1,$K$20:$K$1027)-SUMIF($BG$20:$BG$1027,$BG991-1,$I$20:$I$1027))*Paraméterek!$C$289,IF($D$4="Forint",0,2)),IF($D$4="Forint",Paraméterek!$C$285,Paraméterek!$D$285)),0)</f>
        <v>0</v>
      </c>
      <c r="BJ991" s="13">
        <f t="shared" ca="1" si="342"/>
        <v>0</v>
      </c>
      <c r="BK991" s="13">
        <f t="shared" ca="1" si="351"/>
        <v>0</v>
      </c>
      <c r="BL991" s="33"/>
      <c r="BM991" s="13">
        <f t="shared" ca="1" si="343"/>
        <v>0</v>
      </c>
      <c r="BN991" s="13">
        <f ca="1">ROUNDUP(($BK991+$BM991)*VLOOKUP($BE991,Paraméterek!$P$38:$Q$38,2)/12*IF($D992="Nem",IF($M$13=0,1,$M$13),1),IF($D$4="Forint",0,2))</f>
        <v>0</v>
      </c>
      <c r="BO991" s="13">
        <f t="shared" ca="1" si="344"/>
        <v>0</v>
      </c>
      <c r="BP991" s="13">
        <f ca="1">IF($D992="Nem",$BO991,$BO991-ROUNDUP(SUM($BI$20:$BI991)*120%,IF($D$4="Forint",0,2)))</f>
        <v>0</v>
      </c>
    </row>
    <row r="992" spans="1:68" x14ac:dyDescent="0.2">
      <c r="A992" s="32">
        <v>973</v>
      </c>
      <c r="B992" s="32">
        <v>82</v>
      </c>
      <c r="C992" s="32">
        <v>1</v>
      </c>
      <c r="D992" s="32" t="str">
        <f t="shared" ca="1" si="330"/>
        <v>Nem</v>
      </c>
      <c r="E992" s="13">
        <f t="shared" ca="1" si="331"/>
        <v>0</v>
      </c>
      <c r="F992" s="13"/>
      <c r="G992" s="13">
        <f>Tranzakciók!$D$113</f>
        <v>0</v>
      </c>
      <c r="H992" s="13"/>
      <c r="I992" s="13">
        <f t="shared" ca="1" si="332"/>
        <v>0</v>
      </c>
      <c r="J992" s="13">
        <f t="shared" ca="1" si="333"/>
        <v>0</v>
      </c>
      <c r="K992" s="13">
        <f t="shared" ca="1" si="334"/>
        <v>0</v>
      </c>
      <c r="L992" s="13" t="e">
        <f ca="1">ROUNDUP(IF($D$2="Egyszeri",$E992,IF($D$2="Havi",SUM($E$20:$E$31),IF(MOD($C992,$M$1)-1=0,SUM($E$20:$E$31),0))/12*$M$1)*VLOOKUP($B992,Paraméterek!$I$28:$P$31,IF($D$2="Egyszeri",8,HLOOKUP(ROUNDUP($M$11+$M$13,0),Paraméterek!$J$26:$O$27,2))),IF($D$4="Forint",0,2))</f>
        <v>#N/A</v>
      </c>
      <c r="M992" s="13">
        <f t="shared" ca="1" si="335"/>
        <v>0</v>
      </c>
      <c r="N992" s="13">
        <f t="shared" ca="1" si="345"/>
        <v>0</v>
      </c>
      <c r="O992" s="13">
        <f ca="1">IF($D992="Igen",IF($W991&gt;=IF($D$4="Forint",Paraméterek!$J$121,Paraméterek!$K$121),0,IF($D$4="Forint",Paraméterek!$J$121,Paraméterek!$K$121)-$W991),0)</f>
        <v>0</v>
      </c>
      <c r="P992" s="13" t="e">
        <f ca="1">ROUNDUP($O992*VLOOKUP($M$4+$B992-1,Paraméterek!$H$58:$I$105,2,0)/Paraméterek!$I$56,IF($D$4="Forint",0,2))</f>
        <v>#N/A</v>
      </c>
      <c r="Q992" s="13">
        <f t="shared" ca="1" si="336"/>
        <v>0</v>
      </c>
      <c r="R992" s="33"/>
      <c r="S992" s="13" t="e">
        <f t="shared" ca="1" si="337"/>
        <v>#N/A</v>
      </c>
      <c r="T992" s="13" t="e">
        <f ca="1">ROUNDUP(($N992-$P992-$Q992+$S992)*VLOOKUP($B992,Paraméterek!$I$38:$K$39,IF($D$2="Egyszeri",3,2))/12*IF($D993="Nem",IF($M$13=0,1,$M$13),1),IF($D$4="Forint",0,2))</f>
        <v>#N/A</v>
      </c>
      <c r="U992" s="13"/>
      <c r="V992" s="13"/>
      <c r="W992" s="13" t="e">
        <f ca="1">$N992-$P992-$Q992+$S992-$T992-IF(ROUNDUP(IF(ISBLANK($V992),$U992*0,$V992)/IF($D$2="Egyszeri",VLOOKUP($B992+IF($C992=12,1,0),Paraméterek!$V$257:$W$262,2),IF($B992=1,1,VLOOKUP($B992+IF($C992=12,1,0),Paraméterek!$I$258:$T$278,HLOOKUP($M$11+1,Paraméterek!$J$256:$T$257,2)))),IF($D$4="Forint",0,2))&gt;$N992-$P992-$Q992+$S992-$T992-IF($D$4="Forint",Paraméterek!$C$216,Paraméterek!$D$216),0,ROUNDUP(IF(ISBLANK($V992),$U992*0,$V992)/IF($D$2="Egyszeri",VLOOKUP($B992+IF($C992=12,1,0),Paraméterek!$V$257:$W$262,2),IF($B992=1,1,VLOOKUP($B992+IF($C992=12,1,0),Paraméterek!$I$258:$T$278,HLOOKUP($M$11+1,Paraméterek!$J$256:$T$257,2)))),IF($D$4="Forint",0,2)))</f>
        <v>#N/A</v>
      </c>
      <c r="X992" s="13" t="e">
        <f ca="1">ROUNDDOWN($W992*IF($D$2="Egyszeri",VLOOKUP($B992+IF($C992=12,1,0),Paraméterek!$V$257:$W$262,2),VLOOKUP($B992+IF($C992=12,1,0),Paraméterek!$I$258:$T$278,HLOOKUP($M$11+1,Paraméterek!$I$256:$T$257,2))),IF($D$4="Forint",0,2))</f>
        <v>#N/A</v>
      </c>
      <c r="Z992" s="32">
        <v>973</v>
      </c>
      <c r="AA992" s="32">
        <v>82</v>
      </c>
      <c r="AB992" s="32">
        <v>1</v>
      </c>
      <c r="AC992" s="13">
        <f t="shared" ca="1" si="346"/>
        <v>0</v>
      </c>
      <c r="AD992" s="33"/>
      <c r="AE992" s="13">
        <f t="shared" ca="1" si="338"/>
        <v>0</v>
      </c>
      <c r="AF992" s="13">
        <f ca="1">ROUNDUP(($AC992+$AE992)*VLOOKUP($AA992,Paraméterek!$P$38:$Q$38,2)/12*IF($D993="Nem",IF($M$13=0,1,$M$13),1),IF($D$4="Forint",0,2))</f>
        <v>0</v>
      </c>
      <c r="AG992" s="13">
        <f ca="1">IF($D$2="Egyszeri",IF($D$7&gt;=IF($D$4="Forint",Paraméterek!$P$223,Paraméterek!$P$224),$D$7-IF($D$4="Forint",Paraméterek!$P$223,Paraméterek!$P$224),0),MIN(IF($AB992=12,AVERAGEIF($E$20:$E992,"&gt;0",$E$20:$E992)*12,0),SUM($E$20:$E$31)))</f>
        <v>0</v>
      </c>
      <c r="AH992" s="13">
        <f>IF($AA992=10,$AG992*IF($AB992=12,IF($AG992&lt;IF($D$4="Forint",Paraméterek!$L$223,Paraméterek!$L$224),0,VLOOKUP($AA992,Paraméterek!$K$226:$M$228,IF($AG992&lt;IF($D$4="Forint",Paraméterek!$M$223,Paraméterek!$M$224),2,3))),0),0)</f>
        <v>0</v>
      </c>
      <c r="AI992" s="13">
        <f ca="1">IF(AND($AA992=$M$11+1,$AB992=$M$12+1),SUMIF($AA$20:$AA$1027,$AA992,$AG$20:$AG$1027)*IF(SUMIF($AA$20:$AA$1027,$AA992,$AG$20:$AG$1027)&lt;IF($D$4="Forint",Paraméterek!$L$223,Paraméterek!$L$224),0,VLOOKUP($AA992,Paraméterek!$K$230:$M$250,IF(SUMIF($AA$20:$AA$1027,$AA992,$AG$20:$AG$1027)&lt;IF($D$4="Forint",Paraméterek!$M$223,Paraméterek!$M$224),2,3))),0)</f>
        <v>0</v>
      </c>
      <c r="AJ992" s="13">
        <f ca="1">IF(AND($AA992&gt;=5,MOD($AA992,5)=0),IF($AB992=12,VLOOKUP($AA992,Paraméterek!$O$225:$P$240,2),0),IF(OR($AA992=3,$AA992=4),IF($AB992=12,VLOOKUP($AA992,Paraméterek!$O$225:$P$240,2,0),0),0))*$AG992</f>
        <v>0</v>
      </c>
      <c r="AK992" s="13">
        <f t="shared" ca="1" si="339"/>
        <v>0</v>
      </c>
      <c r="AL992" s="13">
        <f t="shared" ca="1" si="347"/>
        <v>0</v>
      </c>
      <c r="AM992" s="13">
        <f t="shared" ca="1" si="348"/>
        <v>0</v>
      </c>
      <c r="AO992" s="32">
        <v>973</v>
      </c>
      <c r="AP992" s="32">
        <v>82</v>
      </c>
      <c r="AQ992" s="32">
        <v>1</v>
      </c>
      <c r="AR992" s="13">
        <f>Tranzakciók!$K$113</f>
        <v>0</v>
      </c>
      <c r="AS992" s="32"/>
      <c r="AT992" s="13">
        <f t="shared" ca="1" si="349"/>
        <v>0</v>
      </c>
      <c r="AU992" s="33"/>
      <c r="AV992" s="13">
        <f t="shared" ca="1" si="340"/>
        <v>0</v>
      </c>
      <c r="AW992" s="13">
        <f ca="1">ROUNDUP(($AT992+$AV992)*VLOOKUP($AP992,Paraméterek!$P$38:$Q$38,2)/12*IF($D993="Nem",IF($M$13=0,1,$M$13),1),IF($D$4="Forint",0,2))</f>
        <v>0</v>
      </c>
      <c r="AX992" s="13"/>
      <c r="AY992" s="13"/>
      <c r="AZ992" s="13">
        <f>ROUNDUP(IF(SUM($AX992:$AY992)=0,0,IF(IF(ISBLANK($AY992),$AX992,$AY992)*Paraméterek!$J$112&lt;IF($D$4="Forint",Paraméterek!$J$113,Paraméterek!$K$113),IF($D$4="Forint",Paraméterek!$J$113,Paraméterek!$K$113),IF(IF(ISBLANK($AY992),$AX992,$AY992)*Paraméterek!$J$112&gt;IF($D$4="Forint",Paraméterek!$J$114,Paraméterek!$K$114),IF($D$4="Forint",Paraméterek!$J$114,Paraméterek!$K$114),IF(ISBLANK($AY992),$AX992,$AY992)*Paraméterek!$J$112))),IF($D$4="Forint",0,2))</f>
        <v>0</v>
      </c>
      <c r="BA992" s="13">
        <f ca="1">$AT992+$AV992-$AW992-IF(ROUNDDOWN(IF(ISBLANK($AY992),$AX992,$AY992),IF($D$4="Forint",0,2))&gt;$AT992+$AV992-$AW992-IF($D$4="Forint",Paraméterek!$J$114,Paraméterek!$K$114),0,ROUNDDOWN(IF(ISBLANK($AY992),$AX992,$AY992),IF($D$4="Forint",0,2))-$AZ992)</f>
        <v>0</v>
      </c>
      <c r="BB992" s="13">
        <f t="shared" ca="1" si="341"/>
        <v>0</v>
      </c>
      <c r="BD992" s="32">
        <v>973</v>
      </c>
      <c r="BE992" s="32">
        <v>82</v>
      </c>
      <c r="BF992" s="32">
        <v>1</v>
      </c>
      <c r="BG992" s="34">
        <f t="shared" ca="1" si="350"/>
        <v>2100</v>
      </c>
      <c r="BH992" s="32" t="str">
        <f ca="1">IF(MOD(MONTH($D$14)+$BD992-1,12)=Paraméterek!$C$288,"Igen","")</f>
        <v/>
      </c>
      <c r="BI992" s="13">
        <f ca="1">IF($BH992="Igen",MIN(ROUNDDOWN((SUMIF($BG$20:$BG$1027,$BG992-1,$K$20:$K$1027)-SUMIF($BG$20:$BG$1027,$BG992-1,$I$20:$I$1027))*Paraméterek!$C$289,IF($D$4="Forint",0,2)),IF($D$4="Forint",Paraméterek!$C$285,Paraméterek!$D$285)),0)</f>
        <v>0</v>
      </c>
      <c r="BJ992" s="13">
        <f t="shared" ca="1" si="342"/>
        <v>0</v>
      </c>
      <c r="BK992" s="13">
        <f t="shared" ca="1" si="351"/>
        <v>0</v>
      </c>
      <c r="BL992" s="33"/>
      <c r="BM992" s="13">
        <f t="shared" ca="1" si="343"/>
        <v>0</v>
      </c>
      <c r="BN992" s="13">
        <f ca="1">ROUNDUP(($BK992+$BM992)*VLOOKUP($BE992,Paraméterek!$P$38:$Q$38,2)/12*IF($D993="Nem",IF($M$13=0,1,$M$13),1),IF($D$4="Forint",0,2))</f>
        <v>0</v>
      </c>
      <c r="BO992" s="13">
        <f t="shared" ca="1" si="344"/>
        <v>0</v>
      </c>
      <c r="BP992" s="13">
        <f ca="1">IF($D993="Nem",$BO992,$BO992-ROUNDUP(SUM($BI$20:$BI992)*120%,IF($D$4="Forint",0,2)))</f>
        <v>0</v>
      </c>
    </row>
    <row r="993" spans="1:68" x14ac:dyDescent="0.2">
      <c r="A993" s="32">
        <v>974</v>
      </c>
      <c r="B993" s="32">
        <v>82</v>
      </c>
      <c r="C993" s="32">
        <v>2</v>
      </c>
      <c r="D993" s="32" t="str">
        <f t="shared" ca="1" si="330"/>
        <v>Nem</v>
      </c>
      <c r="E993" s="13">
        <f t="shared" ca="1" si="331"/>
        <v>0</v>
      </c>
      <c r="F993" s="13"/>
      <c r="G993" s="13"/>
      <c r="H993" s="13"/>
      <c r="I993" s="13">
        <f t="shared" ca="1" si="332"/>
        <v>0</v>
      </c>
      <c r="J993" s="13">
        <f t="shared" ca="1" si="333"/>
        <v>0</v>
      </c>
      <c r="K993" s="13">
        <f t="shared" ca="1" si="334"/>
        <v>0</v>
      </c>
      <c r="L993" s="13" t="e">
        <f ca="1">ROUNDUP(IF($D$2="Egyszeri",$E993,IF($D$2="Havi",SUM($E$20:$E$31),IF(MOD($C993,$M$1)-1=0,SUM($E$20:$E$31),0))/12*$M$1)*VLOOKUP($B993,Paraméterek!$I$28:$P$31,IF($D$2="Egyszeri",8,HLOOKUP(ROUNDUP($M$11+$M$13,0),Paraméterek!$J$26:$O$27,2))),IF($D$4="Forint",0,2))</f>
        <v>#N/A</v>
      </c>
      <c r="M993" s="13">
        <f t="shared" ca="1" si="335"/>
        <v>0</v>
      </c>
      <c r="N993" s="13">
        <f t="shared" ca="1" si="345"/>
        <v>0</v>
      </c>
      <c r="O993" s="13">
        <f ca="1">IF($D993="Igen",IF($W992&gt;=IF($D$4="Forint",Paraméterek!$J$121,Paraméterek!$K$121),0,IF($D$4="Forint",Paraméterek!$J$121,Paraméterek!$K$121)-$W992),0)</f>
        <v>0</v>
      </c>
      <c r="P993" s="13" t="e">
        <f ca="1">ROUNDUP($O993*VLOOKUP($M$4+$B993-1,Paraméterek!$H$58:$I$105,2,0)/Paraméterek!$I$56,IF($D$4="Forint",0,2))</f>
        <v>#N/A</v>
      </c>
      <c r="Q993" s="13">
        <f t="shared" ca="1" si="336"/>
        <v>0</v>
      </c>
      <c r="R993" s="33"/>
      <c r="S993" s="13" t="e">
        <f t="shared" ca="1" si="337"/>
        <v>#N/A</v>
      </c>
      <c r="T993" s="13" t="e">
        <f ca="1">ROUNDUP(($N993-$P993-$Q993+$S993)*VLOOKUP($B993,Paraméterek!$I$38:$K$39,IF($D$2="Egyszeri",3,2))/12*IF($D994="Nem",IF($M$13=0,1,$M$13),1),IF($D$4="Forint",0,2))</f>
        <v>#N/A</v>
      </c>
      <c r="U993" s="13"/>
      <c r="V993" s="13"/>
      <c r="W993" s="13" t="e">
        <f ca="1">$N993-$P993-$Q993+$S993-$T993-IF(ROUNDUP(IF(ISBLANK($V993),$U993*0,$V993)/IF($D$2="Egyszeri",VLOOKUP($B993+IF($C993=12,1,0),Paraméterek!$V$257:$W$262,2),IF($B993=1,1,VLOOKUP($B993+IF($C993=12,1,0),Paraméterek!$I$258:$T$278,HLOOKUP($M$11+1,Paraméterek!$J$256:$T$257,2)))),IF($D$4="Forint",0,2))&gt;$N993-$P993-$Q993+$S993-$T993-IF($D$4="Forint",Paraméterek!$C$216,Paraméterek!$D$216),0,ROUNDUP(IF(ISBLANK($V993),$U993*0,$V993)/IF($D$2="Egyszeri",VLOOKUP($B993+IF($C993=12,1,0),Paraméterek!$V$257:$W$262,2),IF($B993=1,1,VLOOKUP($B993+IF($C993=12,1,0),Paraméterek!$I$258:$T$278,HLOOKUP($M$11+1,Paraméterek!$J$256:$T$257,2)))),IF($D$4="Forint",0,2)))</f>
        <v>#N/A</v>
      </c>
      <c r="X993" s="13" t="e">
        <f ca="1">ROUNDDOWN($W993*IF($D$2="Egyszeri",VLOOKUP($B993+IF($C993=12,1,0),Paraméterek!$V$257:$W$262,2),VLOOKUP($B993+IF($C993=12,1,0),Paraméterek!$I$258:$T$278,HLOOKUP($M$11+1,Paraméterek!$I$256:$T$257,2))),IF($D$4="Forint",0,2))</f>
        <v>#N/A</v>
      </c>
      <c r="Z993" s="32">
        <v>974</v>
      </c>
      <c r="AA993" s="32">
        <v>82</v>
      </c>
      <c r="AB993" s="32">
        <v>2</v>
      </c>
      <c r="AC993" s="13">
        <f t="shared" ca="1" si="346"/>
        <v>0</v>
      </c>
      <c r="AD993" s="33"/>
      <c r="AE993" s="13">
        <f t="shared" ca="1" si="338"/>
        <v>0</v>
      </c>
      <c r="AF993" s="13">
        <f ca="1">ROUNDUP(($AC993+$AE993)*VLOOKUP($AA993,Paraméterek!$P$38:$Q$38,2)/12*IF($D994="Nem",IF($M$13=0,1,$M$13),1),IF($D$4="Forint",0,2))</f>
        <v>0</v>
      </c>
      <c r="AG993" s="13">
        <f ca="1">IF($D$2="Egyszeri",IF($D$7&gt;=IF($D$4="Forint",Paraméterek!$P$223,Paraméterek!$P$224),$D$7-IF($D$4="Forint",Paraméterek!$P$223,Paraméterek!$P$224),0),MIN(IF($AB993=12,AVERAGEIF($E$20:$E993,"&gt;0",$E$20:$E993)*12,0),SUM($E$20:$E$31)))</f>
        <v>0</v>
      </c>
      <c r="AH993" s="13">
        <f>IF($AA993=10,$AG993*IF($AB993=12,IF($AG993&lt;IF($D$4="Forint",Paraméterek!$L$223,Paraméterek!$L$224),0,VLOOKUP($AA993,Paraméterek!$K$226:$M$228,IF($AG993&lt;IF($D$4="Forint",Paraméterek!$M$223,Paraméterek!$M$224),2,3))),0),0)</f>
        <v>0</v>
      </c>
      <c r="AI993" s="13">
        <f ca="1">IF(AND($AA993=$M$11+1,$AB993=$M$12+1),SUMIF($AA$20:$AA$1027,$AA993,$AG$20:$AG$1027)*IF(SUMIF($AA$20:$AA$1027,$AA993,$AG$20:$AG$1027)&lt;IF($D$4="Forint",Paraméterek!$L$223,Paraméterek!$L$224),0,VLOOKUP($AA993,Paraméterek!$K$230:$M$250,IF(SUMIF($AA$20:$AA$1027,$AA993,$AG$20:$AG$1027)&lt;IF($D$4="Forint",Paraméterek!$M$223,Paraméterek!$M$224),2,3))),0)</f>
        <v>0</v>
      </c>
      <c r="AJ993" s="13">
        <f ca="1">IF(AND($AA993&gt;=5,MOD($AA993,5)=0),IF($AB993=12,VLOOKUP($AA993,Paraméterek!$O$225:$P$240,2),0),IF(OR($AA993=3,$AA993=4),IF($AB993=12,VLOOKUP($AA993,Paraméterek!$O$225:$P$240,2,0),0),0))*$AG993</f>
        <v>0</v>
      </c>
      <c r="AK993" s="13">
        <f t="shared" ca="1" si="339"/>
        <v>0</v>
      </c>
      <c r="AL993" s="13">
        <f t="shared" ca="1" si="347"/>
        <v>0</v>
      </c>
      <c r="AM993" s="13">
        <f t="shared" ca="1" si="348"/>
        <v>0</v>
      </c>
      <c r="AO993" s="32">
        <v>974</v>
      </c>
      <c r="AP993" s="32">
        <v>82</v>
      </c>
      <c r="AQ993" s="32">
        <v>2</v>
      </c>
      <c r="AR993" s="13"/>
      <c r="AS993" s="32"/>
      <c r="AT993" s="13">
        <f t="shared" ca="1" si="349"/>
        <v>0</v>
      </c>
      <c r="AU993" s="33"/>
      <c r="AV993" s="13">
        <f t="shared" ca="1" si="340"/>
        <v>0</v>
      </c>
      <c r="AW993" s="13">
        <f ca="1">ROUNDUP(($AT993+$AV993)*VLOOKUP($AP993,Paraméterek!$P$38:$Q$38,2)/12*IF($D994="Nem",IF($M$13=0,1,$M$13),1),IF($D$4="Forint",0,2))</f>
        <v>0</v>
      </c>
      <c r="AX993" s="13"/>
      <c r="AY993" s="13"/>
      <c r="AZ993" s="13">
        <f>ROUNDUP(IF(SUM($AX993:$AY993)=0,0,IF(IF(ISBLANK($AY993),$AX993,$AY993)*Paraméterek!$J$112&lt;IF($D$4="Forint",Paraméterek!$J$113,Paraméterek!$K$113),IF($D$4="Forint",Paraméterek!$J$113,Paraméterek!$K$113),IF(IF(ISBLANK($AY993),$AX993,$AY993)*Paraméterek!$J$112&gt;IF($D$4="Forint",Paraméterek!$J$114,Paraméterek!$K$114),IF($D$4="Forint",Paraméterek!$J$114,Paraméterek!$K$114),IF(ISBLANK($AY993),$AX993,$AY993)*Paraméterek!$J$112))),IF($D$4="Forint",0,2))</f>
        <v>0</v>
      </c>
      <c r="BA993" s="13">
        <f ca="1">$AT993+$AV993-$AW993-IF(ROUNDDOWN(IF(ISBLANK($AY993),$AX993,$AY993),IF($D$4="Forint",0,2))&gt;$AT993+$AV993-$AW993-IF($D$4="Forint",Paraméterek!$J$114,Paraméterek!$K$114),0,ROUNDDOWN(IF(ISBLANK($AY993),$AX993,$AY993),IF($D$4="Forint",0,2))-$AZ993)</f>
        <v>0</v>
      </c>
      <c r="BB993" s="13">
        <f t="shared" ca="1" si="341"/>
        <v>0</v>
      </c>
      <c r="BD993" s="32">
        <v>974</v>
      </c>
      <c r="BE993" s="32">
        <v>82</v>
      </c>
      <c r="BF993" s="32">
        <v>2</v>
      </c>
      <c r="BG993" s="34">
        <f t="shared" ca="1" si="350"/>
        <v>2100</v>
      </c>
      <c r="BH993" s="32" t="str">
        <f ca="1">IF(MOD(MONTH($D$14)+$BD993-1,12)=Paraméterek!$C$288,"Igen","")</f>
        <v>Igen</v>
      </c>
      <c r="BI993" s="13">
        <f ca="1">IF($BH993="Igen",MIN(ROUNDDOWN((SUMIF($BG$20:$BG$1027,$BG993-1,$K$20:$K$1027)-SUMIF($BG$20:$BG$1027,$BG993-1,$I$20:$I$1027))*Paraméterek!$C$289,IF($D$4="Forint",0,2)),IF($D$4="Forint",Paraméterek!$C$285,Paraméterek!$D$285)),0)</f>
        <v>0</v>
      </c>
      <c r="BJ993" s="13">
        <f t="shared" ca="1" si="342"/>
        <v>0</v>
      </c>
      <c r="BK993" s="13">
        <f t="shared" ca="1" si="351"/>
        <v>0</v>
      </c>
      <c r="BL993" s="33"/>
      <c r="BM993" s="13">
        <f t="shared" ca="1" si="343"/>
        <v>0</v>
      </c>
      <c r="BN993" s="13">
        <f ca="1">ROUNDUP(($BK993+$BM993)*VLOOKUP($BE993,Paraméterek!$P$38:$Q$38,2)/12*IF($D994="Nem",IF($M$13=0,1,$M$13),1),IF($D$4="Forint",0,2))</f>
        <v>0</v>
      </c>
      <c r="BO993" s="13">
        <f t="shared" ca="1" si="344"/>
        <v>0</v>
      </c>
      <c r="BP993" s="13">
        <f ca="1">IF($D994="Nem",$BO993,$BO993-ROUNDUP(SUM($BI$20:$BI993)*120%,IF($D$4="Forint",0,2)))</f>
        <v>0</v>
      </c>
    </row>
    <row r="994" spans="1:68" x14ac:dyDescent="0.2">
      <c r="A994" s="32">
        <v>975</v>
      </c>
      <c r="B994" s="32">
        <v>82</v>
      </c>
      <c r="C994" s="32">
        <v>3</v>
      </c>
      <c r="D994" s="32" t="str">
        <f t="shared" ca="1" si="330"/>
        <v>Nem</v>
      </c>
      <c r="E994" s="13">
        <f t="shared" ca="1" si="331"/>
        <v>0</v>
      </c>
      <c r="F994" s="13"/>
      <c r="G994" s="13"/>
      <c r="H994" s="13"/>
      <c r="I994" s="13">
        <f t="shared" ca="1" si="332"/>
        <v>0</v>
      </c>
      <c r="J994" s="13">
        <f t="shared" ca="1" si="333"/>
        <v>0</v>
      </c>
      <c r="K994" s="13">
        <f t="shared" ca="1" si="334"/>
        <v>0</v>
      </c>
      <c r="L994" s="13" t="e">
        <f ca="1">ROUNDUP(IF($D$2="Egyszeri",$E994,IF($D$2="Havi",SUM($E$20:$E$31),IF(MOD($C994,$M$1)-1=0,SUM($E$20:$E$31),0))/12*$M$1)*VLOOKUP($B994,Paraméterek!$I$28:$P$31,IF($D$2="Egyszeri",8,HLOOKUP(ROUNDUP($M$11+$M$13,0),Paraméterek!$J$26:$O$27,2))),IF($D$4="Forint",0,2))</f>
        <v>#N/A</v>
      </c>
      <c r="M994" s="13">
        <f t="shared" ca="1" si="335"/>
        <v>0</v>
      </c>
      <c r="N994" s="13">
        <f t="shared" ca="1" si="345"/>
        <v>0</v>
      </c>
      <c r="O994" s="13">
        <f ca="1">IF($D994="Igen",IF($W993&gt;=IF($D$4="Forint",Paraméterek!$J$121,Paraméterek!$K$121),0,IF($D$4="Forint",Paraméterek!$J$121,Paraméterek!$K$121)-$W993),0)</f>
        <v>0</v>
      </c>
      <c r="P994" s="13" t="e">
        <f ca="1">ROUNDUP($O994*VLOOKUP($M$4+$B994-1,Paraméterek!$H$58:$I$105,2,0)/Paraméterek!$I$56,IF($D$4="Forint",0,2))</f>
        <v>#N/A</v>
      </c>
      <c r="Q994" s="13">
        <f t="shared" ca="1" si="336"/>
        <v>0</v>
      </c>
      <c r="R994" s="33"/>
      <c r="S994" s="13" t="e">
        <f t="shared" ca="1" si="337"/>
        <v>#N/A</v>
      </c>
      <c r="T994" s="13" t="e">
        <f ca="1">ROUNDUP(($N994-$P994-$Q994+$S994)*VLOOKUP($B994,Paraméterek!$I$38:$K$39,IF($D$2="Egyszeri",3,2))/12*IF($D995="Nem",IF($M$13=0,1,$M$13),1),IF($D$4="Forint",0,2))</f>
        <v>#N/A</v>
      </c>
      <c r="U994" s="13"/>
      <c r="V994" s="13"/>
      <c r="W994" s="13" t="e">
        <f ca="1">$N994-$P994-$Q994+$S994-$T994-IF(ROUNDUP(IF(ISBLANK($V994),$U994*0,$V994)/IF($D$2="Egyszeri",VLOOKUP($B994+IF($C994=12,1,0),Paraméterek!$V$257:$W$262,2),IF($B994=1,1,VLOOKUP($B994+IF($C994=12,1,0),Paraméterek!$I$258:$T$278,HLOOKUP($M$11+1,Paraméterek!$J$256:$T$257,2)))),IF($D$4="Forint",0,2))&gt;$N994-$P994-$Q994+$S994-$T994-IF($D$4="Forint",Paraméterek!$C$216,Paraméterek!$D$216),0,ROUNDUP(IF(ISBLANK($V994),$U994*0,$V994)/IF($D$2="Egyszeri",VLOOKUP($B994+IF($C994=12,1,0),Paraméterek!$V$257:$W$262,2),IF($B994=1,1,VLOOKUP($B994+IF($C994=12,1,0),Paraméterek!$I$258:$T$278,HLOOKUP($M$11+1,Paraméterek!$J$256:$T$257,2)))),IF($D$4="Forint",0,2)))</f>
        <v>#N/A</v>
      </c>
      <c r="X994" s="13" t="e">
        <f ca="1">ROUNDDOWN($W994*IF($D$2="Egyszeri",VLOOKUP($B994+IF($C994=12,1,0),Paraméterek!$V$257:$W$262,2),VLOOKUP($B994+IF($C994=12,1,0),Paraméterek!$I$258:$T$278,HLOOKUP($M$11+1,Paraméterek!$I$256:$T$257,2))),IF($D$4="Forint",0,2))</f>
        <v>#N/A</v>
      </c>
      <c r="Z994" s="32">
        <v>975</v>
      </c>
      <c r="AA994" s="32">
        <v>82</v>
      </c>
      <c r="AB994" s="32">
        <v>3</v>
      </c>
      <c r="AC994" s="13">
        <f t="shared" ca="1" si="346"/>
        <v>0</v>
      </c>
      <c r="AD994" s="33"/>
      <c r="AE994" s="13">
        <f t="shared" ca="1" si="338"/>
        <v>0</v>
      </c>
      <c r="AF994" s="13">
        <f ca="1">ROUNDUP(($AC994+$AE994)*VLOOKUP($AA994,Paraméterek!$P$38:$Q$38,2)/12*IF($D995="Nem",IF($M$13=0,1,$M$13),1),IF($D$4="Forint",0,2))</f>
        <v>0</v>
      </c>
      <c r="AG994" s="13">
        <f ca="1">IF($D$2="Egyszeri",IF($D$7&gt;=IF($D$4="Forint",Paraméterek!$P$223,Paraméterek!$P$224),$D$7-IF($D$4="Forint",Paraméterek!$P$223,Paraméterek!$P$224),0),MIN(IF($AB994=12,AVERAGEIF($E$20:$E994,"&gt;0",$E$20:$E994)*12,0),SUM($E$20:$E$31)))</f>
        <v>0</v>
      </c>
      <c r="AH994" s="13">
        <f>IF($AA994=10,$AG994*IF($AB994=12,IF($AG994&lt;IF($D$4="Forint",Paraméterek!$L$223,Paraméterek!$L$224),0,VLOOKUP($AA994,Paraméterek!$K$226:$M$228,IF($AG994&lt;IF($D$4="Forint",Paraméterek!$M$223,Paraméterek!$M$224),2,3))),0),0)</f>
        <v>0</v>
      </c>
      <c r="AI994" s="13">
        <f ca="1">IF(AND($AA994=$M$11+1,$AB994=$M$12+1),SUMIF($AA$20:$AA$1027,$AA994,$AG$20:$AG$1027)*IF(SUMIF($AA$20:$AA$1027,$AA994,$AG$20:$AG$1027)&lt;IF($D$4="Forint",Paraméterek!$L$223,Paraméterek!$L$224),0,VLOOKUP($AA994,Paraméterek!$K$230:$M$250,IF(SUMIF($AA$20:$AA$1027,$AA994,$AG$20:$AG$1027)&lt;IF($D$4="Forint",Paraméterek!$M$223,Paraméterek!$M$224),2,3))),0)</f>
        <v>0</v>
      </c>
      <c r="AJ994" s="13">
        <f ca="1">IF(AND($AA994&gt;=5,MOD($AA994,5)=0),IF($AB994=12,VLOOKUP($AA994,Paraméterek!$O$225:$P$240,2),0),IF(OR($AA994=3,$AA994=4),IF($AB994=12,VLOOKUP($AA994,Paraméterek!$O$225:$P$240,2,0),0),0))*$AG994</f>
        <v>0</v>
      </c>
      <c r="AK994" s="13">
        <f t="shared" ca="1" si="339"/>
        <v>0</v>
      </c>
      <c r="AL994" s="13">
        <f t="shared" ca="1" si="347"/>
        <v>0</v>
      </c>
      <c r="AM994" s="13">
        <f t="shared" ca="1" si="348"/>
        <v>0</v>
      </c>
      <c r="AO994" s="32">
        <v>975</v>
      </c>
      <c r="AP994" s="32">
        <v>82</v>
      </c>
      <c r="AQ994" s="32">
        <v>3</v>
      </c>
      <c r="AR994" s="13"/>
      <c r="AS994" s="32"/>
      <c r="AT994" s="13">
        <f t="shared" ca="1" si="349"/>
        <v>0</v>
      </c>
      <c r="AU994" s="33"/>
      <c r="AV994" s="13">
        <f t="shared" ca="1" si="340"/>
        <v>0</v>
      </c>
      <c r="AW994" s="13">
        <f ca="1">ROUNDUP(($AT994+$AV994)*VLOOKUP($AP994,Paraméterek!$P$38:$Q$38,2)/12*IF($D995="Nem",IF($M$13=0,1,$M$13),1),IF($D$4="Forint",0,2))</f>
        <v>0</v>
      </c>
      <c r="AX994" s="13"/>
      <c r="AY994" s="13"/>
      <c r="AZ994" s="13">
        <f>ROUNDUP(IF(SUM($AX994:$AY994)=0,0,IF(IF(ISBLANK($AY994),$AX994,$AY994)*Paraméterek!$J$112&lt;IF($D$4="Forint",Paraméterek!$J$113,Paraméterek!$K$113),IF($D$4="Forint",Paraméterek!$J$113,Paraméterek!$K$113),IF(IF(ISBLANK($AY994),$AX994,$AY994)*Paraméterek!$J$112&gt;IF($D$4="Forint",Paraméterek!$J$114,Paraméterek!$K$114),IF($D$4="Forint",Paraméterek!$J$114,Paraméterek!$K$114),IF(ISBLANK($AY994),$AX994,$AY994)*Paraméterek!$J$112))),IF($D$4="Forint",0,2))</f>
        <v>0</v>
      </c>
      <c r="BA994" s="13">
        <f ca="1">$AT994+$AV994-$AW994-IF(ROUNDDOWN(IF(ISBLANK($AY994),$AX994,$AY994),IF($D$4="Forint",0,2))&gt;$AT994+$AV994-$AW994-IF($D$4="Forint",Paraméterek!$J$114,Paraméterek!$K$114),0,ROUNDDOWN(IF(ISBLANK($AY994),$AX994,$AY994),IF($D$4="Forint",0,2))-$AZ994)</f>
        <v>0</v>
      </c>
      <c r="BB994" s="13">
        <f t="shared" ca="1" si="341"/>
        <v>0</v>
      </c>
      <c r="BD994" s="32">
        <v>975</v>
      </c>
      <c r="BE994" s="32">
        <v>82</v>
      </c>
      <c r="BF994" s="32">
        <v>3</v>
      </c>
      <c r="BG994" s="34">
        <f t="shared" ca="1" si="350"/>
        <v>2100</v>
      </c>
      <c r="BH994" s="32" t="str">
        <f ca="1">IF(MOD(MONTH($D$14)+$BD994-1,12)=Paraméterek!$C$288,"Igen","")</f>
        <v/>
      </c>
      <c r="BI994" s="13">
        <f ca="1">IF($BH994="Igen",MIN(ROUNDDOWN((SUMIF($BG$20:$BG$1027,$BG994-1,$K$20:$K$1027)-SUMIF($BG$20:$BG$1027,$BG994-1,$I$20:$I$1027))*Paraméterek!$C$289,IF($D$4="Forint",0,2)),IF($D$4="Forint",Paraméterek!$C$285,Paraméterek!$D$285)),0)</f>
        <v>0</v>
      </c>
      <c r="BJ994" s="13">
        <f t="shared" ca="1" si="342"/>
        <v>0</v>
      </c>
      <c r="BK994" s="13">
        <f t="shared" ca="1" si="351"/>
        <v>0</v>
      </c>
      <c r="BL994" s="33"/>
      <c r="BM994" s="13">
        <f t="shared" ca="1" si="343"/>
        <v>0</v>
      </c>
      <c r="BN994" s="13">
        <f ca="1">ROUNDUP(($BK994+$BM994)*VLOOKUP($BE994,Paraméterek!$P$38:$Q$38,2)/12*IF($D995="Nem",IF($M$13=0,1,$M$13),1),IF($D$4="Forint",0,2))</f>
        <v>0</v>
      </c>
      <c r="BO994" s="13">
        <f t="shared" ca="1" si="344"/>
        <v>0</v>
      </c>
      <c r="BP994" s="13">
        <f ca="1">IF($D995="Nem",$BO994,$BO994-ROUNDUP(SUM($BI$20:$BI994)*120%,IF($D$4="Forint",0,2)))</f>
        <v>0</v>
      </c>
    </row>
    <row r="995" spans="1:68" x14ac:dyDescent="0.2">
      <c r="A995" s="32">
        <v>976</v>
      </c>
      <c r="B995" s="32">
        <v>82</v>
      </c>
      <c r="C995" s="32">
        <v>4</v>
      </c>
      <c r="D995" s="32" t="str">
        <f t="shared" ca="1" si="330"/>
        <v>Nem</v>
      </c>
      <c r="E995" s="13">
        <f t="shared" ca="1" si="331"/>
        <v>0</v>
      </c>
      <c r="F995" s="13"/>
      <c r="G995" s="13"/>
      <c r="H995" s="13"/>
      <c r="I995" s="13">
        <f t="shared" ca="1" si="332"/>
        <v>0</v>
      </c>
      <c r="J995" s="13">
        <f t="shared" ca="1" si="333"/>
        <v>0</v>
      </c>
      <c r="K995" s="13">
        <f t="shared" ca="1" si="334"/>
        <v>0</v>
      </c>
      <c r="L995" s="13" t="e">
        <f ca="1">ROUNDUP(IF($D$2="Egyszeri",$E995,IF($D$2="Havi",SUM($E$20:$E$31),IF(MOD($C995,$M$1)-1=0,SUM($E$20:$E$31),0))/12*$M$1)*VLOOKUP($B995,Paraméterek!$I$28:$P$31,IF($D$2="Egyszeri",8,HLOOKUP(ROUNDUP($M$11+$M$13,0),Paraméterek!$J$26:$O$27,2))),IF($D$4="Forint",0,2))</f>
        <v>#N/A</v>
      </c>
      <c r="M995" s="13">
        <f t="shared" ca="1" si="335"/>
        <v>0</v>
      </c>
      <c r="N995" s="13">
        <f t="shared" ca="1" si="345"/>
        <v>0</v>
      </c>
      <c r="O995" s="13">
        <f ca="1">IF($D995="Igen",IF($W994&gt;=IF($D$4="Forint",Paraméterek!$J$121,Paraméterek!$K$121),0,IF($D$4="Forint",Paraméterek!$J$121,Paraméterek!$K$121)-$W994),0)</f>
        <v>0</v>
      </c>
      <c r="P995" s="13" t="e">
        <f ca="1">ROUNDUP($O995*VLOOKUP($M$4+$B995-1,Paraméterek!$H$58:$I$105,2,0)/Paraméterek!$I$56,IF($D$4="Forint",0,2))</f>
        <v>#N/A</v>
      </c>
      <c r="Q995" s="13">
        <f t="shared" ca="1" si="336"/>
        <v>0</v>
      </c>
      <c r="R995" s="33"/>
      <c r="S995" s="13" t="e">
        <f t="shared" ca="1" si="337"/>
        <v>#N/A</v>
      </c>
      <c r="T995" s="13" t="e">
        <f ca="1">ROUNDUP(($N995-$P995-$Q995+$S995)*VLOOKUP($B995,Paraméterek!$I$38:$K$39,IF($D$2="Egyszeri",3,2))/12*IF($D996="Nem",IF($M$13=0,1,$M$13),1),IF($D$4="Forint",0,2))</f>
        <v>#N/A</v>
      </c>
      <c r="U995" s="13"/>
      <c r="V995" s="13"/>
      <c r="W995" s="13" t="e">
        <f ca="1">$N995-$P995-$Q995+$S995-$T995-IF(ROUNDUP(IF(ISBLANK($V995),$U995*0,$V995)/IF($D$2="Egyszeri",VLOOKUP($B995+IF($C995=12,1,0),Paraméterek!$V$257:$W$262,2),IF($B995=1,1,VLOOKUP($B995+IF($C995=12,1,0),Paraméterek!$I$258:$T$278,HLOOKUP($M$11+1,Paraméterek!$J$256:$T$257,2)))),IF($D$4="Forint",0,2))&gt;$N995-$P995-$Q995+$S995-$T995-IF($D$4="Forint",Paraméterek!$C$216,Paraméterek!$D$216),0,ROUNDUP(IF(ISBLANK($V995),$U995*0,$V995)/IF($D$2="Egyszeri",VLOOKUP($B995+IF($C995=12,1,0),Paraméterek!$V$257:$W$262,2),IF($B995=1,1,VLOOKUP($B995+IF($C995=12,1,0),Paraméterek!$I$258:$T$278,HLOOKUP($M$11+1,Paraméterek!$J$256:$T$257,2)))),IF($D$4="Forint",0,2)))</f>
        <v>#N/A</v>
      </c>
      <c r="X995" s="13" t="e">
        <f ca="1">ROUNDDOWN($W995*IF($D$2="Egyszeri",VLOOKUP($B995+IF($C995=12,1,0),Paraméterek!$V$257:$W$262,2),VLOOKUP($B995+IF($C995=12,1,0),Paraméterek!$I$258:$T$278,HLOOKUP($M$11+1,Paraméterek!$I$256:$T$257,2))),IF($D$4="Forint",0,2))</f>
        <v>#N/A</v>
      </c>
      <c r="Z995" s="32">
        <v>976</v>
      </c>
      <c r="AA995" s="32">
        <v>82</v>
      </c>
      <c r="AB995" s="32">
        <v>4</v>
      </c>
      <c r="AC995" s="13">
        <f t="shared" ca="1" si="346"/>
        <v>0</v>
      </c>
      <c r="AD995" s="33"/>
      <c r="AE995" s="13">
        <f t="shared" ca="1" si="338"/>
        <v>0</v>
      </c>
      <c r="AF995" s="13">
        <f ca="1">ROUNDUP(($AC995+$AE995)*VLOOKUP($AA995,Paraméterek!$P$38:$Q$38,2)/12*IF($D996="Nem",IF($M$13=0,1,$M$13),1),IF($D$4="Forint",0,2))</f>
        <v>0</v>
      </c>
      <c r="AG995" s="13">
        <f ca="1">IF($D$2="Egyszeri",IF($D$7&gt;=IF($D$4="Forint",Paraméterek!$P$223,Paraméterek!$P$224),$D$7-IF($D$4="Forint",Paraméterek!$P$223,Paraméterek!$P$224),0),MIN(IF($AB995=12,AVERAGEIF($E$20:$E995,"&gt;0",$E$20:$E995)*12,0),SUM($E$20:$E$31)))</f>
        <v>0</v>
      </c>
      <c r="AH995" s="13">
        <f>IF($AA995=10,$AG995*IF($AB995=12,IF($AG995&lt;IF($D$4="Forint",Paraméterek!$L$223,Paraméterek!$L$224),0,VLOOKUP($AA995,Paraméterek!$K$226:$M$228,IF($AG995&lt;IF($D$4="Forint",Paraméterek!$M$223,Paraméterek!$M$224),2,3))),0),0)</f>
        <v>0</v>
      </c>
      <c r="AI995" s="13">
        <f ca="1">IF(AND($AA995=$M$11+1,$AB995=$M$12+1),SUMIF($AA$20:$AA$1027,$AA995,$AG$20:$AG$1027)*IF(SUMIF($AA$20:$AA$1027,$AA995,$AG$20:$AG$1027)&lt;IF($D$4="Forint",Paraméterek!$L$223,Paraméterek!$L$224),0,VLOOKUP($AA995,Paraméterek!$K$230:$M$250,IF(SUMIF($AA$20:$AA$1027,$AA995,$AG$20:$AG$1027)&lt;IF($D$4="Forint",Paraméterek!$M$223,Paraméterek!$M$224),2,3))),0)</f>
        <v>0</v>
      </c>
      <c r="AJ995" s="13">
        <f ca="1">IF(AND($AA995&gt;=5,MOD($AA995,5)=0),IF($AB995=12,VLOOKUP($AA995,Paraméterek!$O$225:$P$240,2),0),IF(OR($AA995=3,$AA995=4),IF($AB995=12,VLOOKUP($AA995,Paraméterek!$O$225:$P$240,2,0),0),0))*$AG995</f>
        <v>0</v>
      </c>
      <c r="AK995" s="13">
        <f t="shared" ca="1" si="339"/>
        <v>0</v>
      </c>
      <c r="AL995" s="13">
        <f t="shared" ca="1" si="347"/>
        <v>0</v>
      </c>
      <c r="AM995" s="13">
        <f t="shared" ca="1" si="348"/>
        <v>0</v>
      </c>
      <c r="AO995" s="32">
        <v>976</v>
      </c>
      <c r="AP995" s="32">
        <v>82</v>
      </c>
      <c r="AQ995" s="32">
        <v>4</v>
      </c>
      <c r="AR995" s="13"/>
      <c r="AS995" s="32"/>
      <c r="AT995" s="13">
        <f t="shared" ca="1" si="349"/>
        <v>0</v>
      </c>
      <c r="AU995" s="33"/>
      <c r="AV995" s="13">
        <f t="shared" ca="1" si="340"/>
        <v>0</v>
      </c>
      <c r="AW995" s="13">
        <f ca="1">ROUNDUP(($AT995+$AV995)*VLOOKUP($AP995,Paraméterek!$P$38:$Q$38,2)/12*IF($D996="Nem",IF($M$13=0,1,$M$13),1),IF($D$4="Forint",0,2))</f>
        <v>0</v>
      </c>
      <c r="AX995" s="13"/>
      <c r="AY995" s="13"/>
      <c r="AZ995" s="13">
        <f>ROUNDUP(IF(SUM($AX995:$AY995)=0,0,IF(IF(ISBLANK($AY995),$AX995,$AY995)*Paraméterek!$J$112&lt;IF($D$4="Forint",Paraméterek!$J$113,Paraméterek!$K$113),IF($D$4="Forint",Paraméterek!$J$113,Paraméterek!$K$113),IF(IF(ISBLANK($AY995),$AX995,$AY995)*Paraméterek!$J$112&gt;IF($D$4="Forint",Paraméterek!$J$114,Paraméterek!$K$114),IF($D$4="Forint",Paraméterek!$J$114,Paraméterek!$K$114),IF(ISBLANK($AY995),$AX995,$AY995)*Paraméterek!$J$112))),IF($D$4="Forint",0,2))</f>
        <v>0</v>
      </c>
      <c r="BA995" s="13">
        <f ca="1">$AT995+$AV995-$AW995-IF(ROUNDDOWN(IF(ISBLANK($AY995),$AX995,$AY995),IF($D$4="Forint",0,2))&gt;$AT995+$AV995-$AW995-IF($D$4="Forint",Paraméterek!$J$114,Paraméterek!$K$114),0,ROUNDDOWN(IF(ISBLANK($AY995),$AX995,$AY995),IF($D$4="Forint",0,2))-$AZ995)</f>
        <v>0</v>
      </c>
      <c r="BB995" s="13">
        <f t="shared" ca="1" si="341"/>
        <v>0</v>
      </c>
      <c r="BD995" s="32">
        <v>976</v>
      </c>
      <c r="BE995" s="32">
        <v>82</v>
      </c>
      <c r="BF995" s="32">
        <v>4</v>
      </c>
      <c r="BG995" s="34">
        <f t="shared" ca="1" si="350"/>
        <v>2100</v>
      </c>
      <c r="BH995" s="32" t="str">
        <f ca="1">IF(MOD(MONTH($D$14)+$BD995-1,12)=Paraméterek!$C$288,"Igen","")</f>
        <v/>
      </c>
      <c r="BI995" s="13">
        <f ca="1">IF($BH995="Igen",MIN(ROUNDDOWN((SUMIF($BG$20:$BG$1027,$BG995-1,$K$20:$K$1027)-SUMIF($BG$20:$BG$1027,$BG995-1,$I$20:$I$1027))*Paraméterek!$C$289,IF($D$4="Forint",0,2)),IF($D$4="Forint",Paraméterek!$C$285,Paraméterek!$D$285)),0)</f>
        <v>0</v>
      </c>
      <c r="BJ995" s="13">
        <f t="shared" ca="1" si="342"/>
        <v>0</v>
      </c>
      <c r="BK995" s="13">
        <f t="shared" ca="1" si="351"/>
        <v>0</v>
      </c>
      <c r="BL995" s="33"/>
      <c r="BM995" s="13">
        <f t="shared" ca="1" si="343"/>
        <v>0</v>
      </c>
      <c r="BN995" s="13">
        <f ca="1">ROUNDUP(($BK995+$BM995)*VLOOKUP($BE995,Paraméterek!$P$38:$Q$38,2)/12*IF($D996="Nem",IF($M$13=0,1,$M$13),1),IF($D$4="Forint",0,2))</f>
        <v>0</v>
      </c>
      <c r="BO995" s="13">
        <f t="shared" ca="1" si="344"/>
        <v>0</v>
      </c>
      <c r="BP995" s="13">
        <f ca="1">IF($D996="Nem",$BO995,$BO995-ROUNDUP(SUM($BI$20:$BI995)*120%,IF($D$4="Forint",0,2)))</f>
        <v>0</v>
      </c>
    </row>
    <row r="996" spans="1:68" x14ac:dyDescent="0.2">
      <c r="A996" s="32">
        <v>977</v>
      </c>
      <c r="B996" s="32">
        <v>82</v>
      </c>
      <c r="C996" s="32">
        <v>5</v>
      </c>
      <c r="D996" s="32" t="str">
        <f t="shared" ca="1" si="330"/>
        <v>Nem</v>
      </c>
      <c r="E996" s="13">
        <f t="shared" ca="1" si="331"/>
        <v>0</v>
      </c>
      <c r="F996" s="13"/>
      <c r="G996" s="13"/>
      <c r="H996" s="13"/>
      <c r="I996" s="13">
        <f t="shared" ca="1" si="332"/>
        <v>0</v>
      </c>
      <c r="J996" s="13">
        <f t="shared" ca="1" si="333"/>
        <v>0</v>
      </c>
      <c r="K996" s="13">
        <f t="shared" ca="1" si="334"/>
        <v>0</v>
      </c>
      <c r="L996" s="13" t="e">
        <f ca="1">ROUNDUP(IF($D$2="Egyszeri",$E996,IF($D$2="Havi",SUM($E$20:$E$31),IF(MOD($C996,$M$1)-1=0,SUM($E$20:$E$31),0))/12*$M$1)*VLOOKUP($B996,Paraméterek!$I$28:$P$31,IF($D$2="Egyszeri",8,HLOOKUP(ROUNDUP($M$11+$M$13,0),Paraméterek!$J$26:$O$27,2))),IF($D$4="Forint",0,2))</f>
        <v>#N/A</v>
      </c>
      <c r="M996" s="13">
        <f t="shared" ca="1" si="335"/>
        <v>0</v>
      </c>
      <c r="N996" s="13">
        <f t="shared" ca="1" si="345"/>
        <v>0</v>
      </c>
      <c r="O996" s="13">
        <f ca="1">IF($D996="Igen",IF($W995&gt;=IF($D$4="Forint",Paraméterek!$J$121,Paraméterek!$K$121),0,IF($D$4="Forint",Paraméterek!$J$121,Paraméterek!$K$121)-$W995),0)</f>
        <v>0</v>
      </c>
      <c r="P996" s="13" t="e">
        <f ca="1">ROUNDUP($O996*VLOOKUP($M$4+$B996-1,Paraméterek!$H$58:$I$105,2,0)/Paraméterek!$I$56,IF($D$4="Forint",0,2))</f>
        <v>#N/A</v>
      </c>
      <c r="Q996" s="13">
        <f t="shared" ca="1" si="336"/>
        <v>0</v>
      </c>
      <c r="R996" s="33"/>
      <c r="S996" s="13" t="e">
        <f t="shared" ca="1" si="337"/>
        <v>#N/A</v>
      </c>
      <c r="T996" s="13" t="e">
        <f ca="1">ROUNDUP(($N996-$P996-$Q996+$S996)*VLOOKUP($B996,Paraméterek!$I$38:$K$39,IF($D$2="Egyszeri",3,2))/12*IF($D997="Nem",IF($M$13=0,1,$M$13),1),IF($D$4="Forint",0,2))</f>
        <v>#N/A</v>
      </c>
      <c r="U996" s="13"/>
      <c r="V996" s="13"/>
      <c r="W996" s="13" t="e">
        <f ca="1">$N996-$P996-$Q996+$S996-$T996-IF(ROUNDUP(IF(ISBLANK($V996),$U996*0,$V996)/IF($D$2="Egyszeri",VLOOKUP($B996+IF($C996=12,1,0),Paraméterek!$V$257:$W$262,2),IF($B996=1,1,VLOOKUP($B996+IF($C996=12,1,0),Paraméterek!$I$258:$T$278,HLOOKUP($M$11+1,Paraméterek!$J$256:$T$257,2)))),IF($D$4="Forint",0,2))&gt;$N996-$P996-$Q996+$S996-$T996-IF($D$4="Forint",Paraméterek!$C$216,Paraméterek!$D$216),0,ROUNDUP(IF(ISBLANK($V996),$U996*0,$V996)/IF($D$2="Egyszeri",VLOOKUP($B996+IF($C996=12,1,0),Paraméterek!$V$257:$W$262,2),IF($B996=1,1,VLOOKUP($B996+IF($C996=12,1,0),Paraméterek!$I$258:$T$278,HLOOKUP($M$11+1,Paraméterek!$J$256:$T$257,2)))),IF($D$4="Forint",0,2)))</f>
        <v>#N/A</v>
      </c>
      <c r="X996" s="13" t="e">
        <f ca="1">ROUNDDOWN($W996*IF($D$2="Egyszeri",VLOOKUP($B996+IF($C996=12,1,0),Paraméterek!$V$257:$W$262,2),VLOOKUP($B996+IF($C996=12,1,0),Paraméterek!$I$258:$T$278,HLOOKUP($M$11+1,Paraméterek!$I$256:$T$257,2))),IF($D$4="Forint",0,2))</f>
        <v>#N/A</v>
      </c>
      <c r="Z996" s="32">
        <v>977</v>
      </c>
      <c r="AA996" s="32">
        <v>82</v>
      </c>
      <c r="AB996" s="32">
        <v>5</v>
      </c>
      <c r="AC996" s="13">
        <f t="shared" ca="1" si="346"/>
        <v>0</v>
      </c>
      <c r="AD996" s="33"/>
      <c r="AE996" s="13">
        <f t="shared" ca="1" si="338"/>
        <v>0</v>
      </c>
      <c r="AF996" s="13">
        <f ca="1">ROUNDUP(($AC996+$AE996)*VLOOKUP($AA996,Paraméterek!$P$38:$Q$38,2)/12*IF($D997="Nem",IF($M$13=0,1,$M$13),1),IF($D$4="Forint",0,2))</f>
        <v>0</v>
      </c>
      <c r="AG996" s="13">
        <f ca="1">IF($D$2="Egyszeri",IF($D$7&gt;=IF($D$4="Forint",Paraméterek!$P$223,Paraméterek!$P$224),$D$7-IF($D$4="Forint",Paraméterek!$P$223,Paraméterek!$P$224),0),MIN(IF($AB996=12,AVERAGEIF($E$20:$E996,"&gt;0",$E$20:$E996)*12,0),SUM($E$20:$E$31)))</f>
        <v>0</v>
      </c>
      <c r="AH996" s="13">
        <f>IF($AA996=10,$AG996*IF($AB996=12,IF($AG996&lt;IF($D$4="Forint",Paraméterek!$L$223,Paraméterek!$L$224),0,VLOOKUP($AA996,Paraméterek!$K$226:$M$228,IF($AG996&lt;IF($D$4="Forint",Paraméterek!$M$223,Paraméterek!$M$224),2,3))),0),0)</f>
        <v>0</v>
      </c>
      <c r="AI996" s="13">
        <f ca="1">IF(AND($AA996=$M$11+1,$AB996=$M$12+1),SUMIF($AA$20:$AA$1027,$AA996,$AG$20:$AG$1027)*IF(SUMIF($AA$20:$AA$1027,$AA996,$AG$20:$AG$1027)&lt;IF($D$4="Forint",Paraméterek!$L$223,Paraméterek!$L$224),0,VLOOKUP($AA996,Paraméterek!$K$230:$M$250,IF(SUMIF($AA$20:$AA$1027,$AA996,$AG$20:$AG$1027)&lt;IF($D$4="Forint",Paraméterek!$M$223,Paraméterek!$M$224),2,3))),0)</f>
        <v>0</v>
      </c>
      <c r="AJ996" s="13">
        <f ca="1">IF(AND($AA996&gt;=5,MOD($AA996,5)=0),IF($AB996=12,VLOOKUP($AA996,Paraméterek!$O$225:$P$240,2),0),IF(OR($AA996=3,$AA996=4),IF($AB996=12,VLOOKUP($AA996,Paraméterek!$O$225:$P$240,2,0),0),0))*$AG996</f>
        <v>0</v>
      </c>
      <c r="AK996" s="13">
        <f t="shared" ca="1" si="339"/>
        <v>0</v>
      </c>
      <c r="AL996" s="13">
        <f t="shared" ca="1" si="347"/>
        <v>0</v>
      </c>
      <c r="AM996" s="13">
        <f t="shared" ca="1" si="348"/>
        <v>0</v>
      </c>
      <c r="AO996" s="32">
        <v>977</v>
      </c>
      <c r="AP996" s="32">
        <v>82</v>
      </c>
      <c r="AQ996" s="32">
        <v>5</v>
      </c>
      <c r="AR996" s="13"/>
      <c r="AS996" s="32"/>
      <c r="AT996" s="13">
        <f t="shared" ca="1" si="349"/>
        <v>0</v>
      </c>
      <c r="AU996" s="33"/>
      <c r="AV996" s="13">
        <f t="shared" ca="1" si="340"/>
        <v>0</v>
      </c>
      <c r="AW996" s="13">
        <f ca="1">ROUNDUP(($AT996+$AV996)*VLOOKUP($AP996,Paraméterek!$P$38:$Q$38,2)/12*IF($D997="Nem",IF($M$13=0,1,$M$13),1),IF($D$4="Forint",0,2))</f>
        <v>0</v>
      </c>
      <c r="AX996" s="13"/>
      <c r="AY996" s="13"/>
      <c r="AZ996" s="13">
        <f>ROUNDUP(IF(SUM($AX996:$AY996)=0,0,IF(IF(ISBLANK($AY996),$AX996,$AY996)*Paraméterek!$J$112&lt;IF($D$4="Forint",Paraméterek!$J$113,Paraméterek!$K$113),IF($D$4="Forint",Paraméterek!$J$113,Paraméterek!$K$113),IF(IF(ISBLANK($AY996),$AX996,$AY996)*Paraméterek!$J$112&gt;IF($D$4="Forint",Paraméterek!$J$114,Paraméterek!$K$114),IF($D$4="Forint",Paraméterek!$J$114,Paraméterek!$K$114),IF(ISBLANK($AY996),$AX996,$AY996)*Paraméterek!$J$112))),IF($D$4="Forint",0,2))</f>
        <v>0</v>
      </c>
      <c r="BA996" s="13">
        <f ca="1">$AT996+$AV996-$AW996-IF(ROUNDDOWN(IF(ISBLANK($AY996),$AX996,$AY996),IF($D$4="Forint",0,2))&gt;$AT996+$AV996-$AW996-IF($D$4="Forint",Paraméterek!$J$114,Paraméterek!$K$114),0,ROUNDDOWN(IF(ISBLANK($AY996),$AX996,$AY996),IF($D$4="Forint",0,2))-$AZ996)</f>
        <v>0</v>
      </c>
      <c r="BB996" s="13">
        <f t="shared" ca="1" si="341"/>
        <v>0</v>
      </c>
      <c r="BD996" s="32">
        <v>977</v>
      </c>
      <c r="BE996" s="32">
        <v>82</v>
      </c>
      <c r="BF996" s="32">
        <v>5</v>
      </c>
      <c r="BG996" s="34">
        <f t="shared" ca="1" si="350"/>
        <v>2100</v>
      </c>
      <c r="BH996" s="32" t="str">
        <f ca="1">IF(MOD(MONTH($D$14)+$BD996-1,12)=Paraméterek!$C$288,"Igen","")</f>
        <v/>
      </c>
      <c r="BI996" s="13">
        <f ca="1">IF($BH996="Igen",MIN(ROUNDDOWN((SUMIF($BG$20:$BG$1027,$BG996-1,$K$20:$K$1027)-SUMIF($BG$20:$BG$1027,$BG996-1,$I$20:$I$1027))*Paraméterek!$C$289,IF($D$4="Forint",0,2)),IF($D$4="Forint",Paraméterek!$C$285,Paraméterek!$D$285)),0)</f>
        <v>0</v>
      </c>
      <c r="BJ996" s="13">
        <f t="shared" ca="1" si="342"/>
        <v>0</v>
      </c>
      <c r="BK996" s="13">
        <f t="shared" ca="1" si="351"/>
        <v>0</v>
      </c>
      <c r="BL996" s="33"/>
      <c r="BM996" s="13">
        <f t="shared" ca="1" si="343"/>
        <v>0</v>
      </c>
      <c r="BN996" s="13">
        <f ca="1">ROUNDUP(($BK996+$BM996)*VLOOKUP($BE996,Paraméterek!$P$38:$Q$38,2)/12*IF($D997="Nem",IF($M$13=0,1,$M$13),1),IF($D$4="Forint",0,2))</f>
        <v>0</v>
      </c>
      <c r="BO996" s="13">
        <f t="shared" ca="1" si="344"/>
        <v>0</v>
      </c>
      <c r="BP996" s="13">
        <f ca="1">IF($D997="Nem",$BO996,$BO996-ROUNDUP(SUM($BI$20:$BI996)*120%,IF($D$4="Forint",0,2)))</f>
        <v>0</v>
      </c>
    </row>
    <row r="997" spans="1:68" x14ac:dyDescent="0.2">
      <c r="A997" s="32">
        <v>978</v>
      </c>
      <c r="B997" s="32">
        <v>82</v>
      </c>
      <c r="C997" s="32">
        <v>6</v>
      </c>
      <c r="D997" s="32" t="str">
        <f t="shared" ca="1" si="330"/>
        <v>Nem</v>
      </c>
      <c r="E997" s="13">
        <f t="shared" ca="1" si="331"/>
        <v>0</v>
      </c>
      <c r="F997" s="13"/>
      <c r="G997" s="13"/>
      <c r="H997" s="13"/>
      <c r="I997" s="13">
        <f t="shared" ca="1" si="332"/>
        <v>0</v>
      </c>
      <c r="J997" s="13">
        <f t="shared" ca="1" si="333"/>
        <v>0</v>
      </c>
      <c r="K997" s="13">
        <f t="shared" ca="1" si="334"/>
        <v>0</v>
      </c>
      <c r="L997" s="13" t="e">
        <f ca="1">ROUNDUP(IF($D$2="Egyszeri",$E997,IF($D$2="Havi",SUM($E$20:$E$31),IF(MOD($C997,$M$1)-1=0,SUM($E$20:$E$31),0))/12*$M$1)*VLOOKUP($B997,Paraméterek!$I$28:$P$31,IF($D$2="Egyszeri",8,HLOOKUP(ROUNDUP($M$11+$M$13,0),Paraméterek!$J$26:$O$27,2))),IF($D$4="Forint",0,2))</f>
        <v>#N/A</v>
      </c>
      <c r="M997" s="13">
        <f t="shared" ca="1" si="335"/>
        <v>0</v>
      </c>
      <c r="N997" s="13">
        <f t="shared" ca="1" si="345"/>
        <v>0</v>
      </c>
      <c r="O997" s="13">
        <f ca="1">IF($D997="Igen",IF($W996&gt;=IF($D$4="Forint",Paraméterek!$J$121,Paraméterek!$K$121),0,IF($D$4="Forint",Paraméterek!$J$121,Paraméterek!$K$121)-$W996),0)</f>
        <v>0</v>
      </c>
      <c r="P997" s="13" t="e">
        <f ca="1">ROUNDUP($O997*VLOOKUP($M$4+$B997-1,Paraméterek!$H$58:$I$105,2,0)/Paraméterek!$I$56,IF($D$4="Forint",0,2))</f>
        <v>#N/A</v>
      </c>
      <c r="Q997" s="13">
        <f t="shared" ca="1" si="336"/>
        <v>0</v>
      </c>
      <c r="R997" s="33"/>
      <c r="S997" s="13" t="e">
        <f t="shared" ca="1" si="337"/>
        <v>#N/A</v>
      </c>
      <c r="T997" s="13" t="e">
        <f ca="1">ROUNDUP(($N997-$P997-$Q997+$S997)*VLOOKUP($B997,Paraméterek!$I$38:$K$39,IF($D$2="Egyszeri",3,2))/12*IF($D998="Nem",IF($M$13=0,1,$M$13),1),IF($D$4="Forint",0,2))</f>
        <v>#N/A</v>
      </c>
      <c r="U997" s="13"/>
      <c r="V997" s="13"/>
      <c r="W997" s="13" t="e">
        <f ca="1">$N997-$P997-$Q997+$S997-$T997-IF(ROUNDUP(IF(ISBLANK($V997),$U997*0,$V997)/IF($D$2="Egyszeri",VLOOKUP($B997+IF($C997=12,1,0),Paraméterek!$V$257:$W$262,2),IF($B997=1,1,VLOOKUP($B997+IF($C997=12,1,0),Paraméterek!$I$258:$T$278,HLOOKUP($M$11+1,Paraméterek!$J$256:$T$257,2)))),IF($D$4="Forint",0,2))&gt;$N997-$P997-$Q997+$S997-$T997-IF($D$4="Forint",Paraméterek!$C$216,Paraméterek!$D$216),0,ROUNDUP(IF(ISBLANK($V997),$U997*0,$V997)/IF($D$2="Egyszeri",VLOOKUP($B997+IF($C997=12,1,0),Paraméterek!$V$257:$W$262,2),IF($B997=1,1,VLOOKUP($B997+IF($C997=12,1,0),Paraméterek!$I$258:$T$278,HLOOKUP($M$11+1,Paraméterek!$J$256:$T$257,2)))),IF($D$4="Forint",0,2)))</f>
        <v>#N/A</v>
      </c>
      <c r="X997" s="13" t="e">
        <f ca="1">ROUNDDOWN($W997*IF($D$2="Egyszeri",VLOOKUP($B997+IF($C997=12,1,0),Paraméterek!$V$257:$W$262,2),VLOOKUP($B997+IF($C997=12,1,0),Paraméterek!$I$258:$T$278,HLOOKUP($M$11+1,Paraméterek!$I$256:$T$257,2))),IF($D$4="Forint",0,2))</f>
        <v>#N/A</v>
      </c>
      <c r="Z997" s="32">
        <v>978</v>
      </c>
      <c r="AA997" s="32">
        <v>82</v>
      </c>
      <c r="AB997" s="32">
        <v>6</v>
      </c>
      <c r="AC997" s="13">
        <f t="shared" ca="1" si="346"/>
        <v>0</v>
      </c>
      <c r="AD997" s="33"/>
      <c r="AE997" s="13">
        <f t="shared" ca="1" si="338"/>
        <v>0</v>
      </c>
      <c r="AF997" s="13">
        <f ca="1">ROUNDUP(($AC997+$AE997)*VLOOKUP($AA997,Paraméterek!$P$38:$Q$38,2)/12*IF($D998="Nem",IF($M$13=0,1,$M$13),1),IF($D$4="Forint",0,2))</f>
        <v>0</v>
      </c>
      <c r="AG997" s="13">
        <f ca="1">IF($D$2="Egyszeri",IF($D$7&gt;=IF($D$4="Forint",Paraméterek!$P$223,Paraméterek!$P$224),$D$7-IF($D$4="Forint",Paraméterek!$P$223,Paraméterek!$P$224),0),MIN(IF($AB997=12,AVERAGEIF($E$20:$E997,"&gt;0",$E$20:$E997)*12,0),SUM($E$20:$E$31)))</f>
        <v>0</v>
      </c>
      <c r="AH997" s="13">
        <f>IF($AA997=10,$AG997*IF($AB997=12,IF($AG997&lt;IF($D$4="Forint",Paraméterek!$L$223,Paraméterek!$L$224),0,VLOOKUP($AA997,Paraméterek!$K$226:$M$228,IF($AG997&lt;IF($D$4="Forint",Paraméterek!$M$223,Paraméterek!$M$224),2,3))),0),0)</f>
        <v>0</v>
      </c>
      <c r="AI997" s="13">
        <f ca="1">IF(AND($AA997=$M$11+1,$AB997=$M$12+1),SUMIF($AA$20:$AA$1027,$AA997,$AG$20:$AG$1027)*IF(SUMIF($AA$20:$AA$1027,$AA997,$AG$20:$AG$1027)&lt;IF($D$4="Forint",Paraméterek!$L$223,Paraméterek!$L$224),0,VLOOKUP($AA997,Paraméterek!$K$230:$M$250,IF(SUMIF($AA$20:$AA$1027,$AA997,$AG$20:$AG$1027)&lt;IF($D$4="Forint",Paraméterek!$M$223,Paraméterek!$M$224),2,3))),0)</f>
        <v>0</v>
      </c>
      <c r="AJ997" s="13">
        <f ca="1">IF(AND($AA997&gt;=5,MOD($AA997,5)=0),IF($AB997=12,VLOOKUP($AA997,Paraméterek!$O$225:$P$240,2),0),IF(OR($AA997=3,$AA997=4),IF($AB997=12,VLOOKUP($AA997,Paraméterek!$O$225:$P$240,2,0),0),0))*$AG997</f>
        <v>0</v>
      </c>
      <c r="AK997" s="13">
        <f t="shared" ca="1" si="339"/>
        <v>0</v>
      </c>
      <c r="AL997" s="13">
        <f t="shared" ca="1" si="347"/>
        <v>0</v>
      </c>
      <c r="AM997" s="13">
        <f t="shared" ca="1" si="348"/>
        <v>0</v>
      </c>
      <c r="AO997" s="32">
        <v>978</v>
      </c>
      <c r="AP997" s="32">
        <v>82</v>
      </c>
      <c r="AQ997" s="32">
        <v>6</v>
      </c>
      <c r="AR997" s="13"/>
      <c r="AS997" s="32"/>
      <c r="AT997" s="13">
        <f t="shared" ca="1" si="349"/>
        <v>0</v>
      </c>
      <c r="AU997" s="33"/>
      <c r="AV997" s="13">
        <f t="shared" ca="1" si="340"/>
        <v>0</v>
      </c>
      <c r="AW997" s="13">
        <f ca="1">ROUNDUP(($AT997+$AV997)*VLOOKUP($AP997,Paraméterek!$P$38:$Q$38,2)/12*IF($D998="Nem",IF($M$13=0,1,$M$13),1),IF($D$4="Forint",0,2))</f>
        <v>0</v>
      </c>
      <c r="AX997" s="13"/>
      <c r="AY997" s="13"/>
      <c r="AZ997" s="13">
        <f>ROUNDUP(IF(SUM($AX997:$AY997)=0,0,IF(IF(ISBLANK($AY997),$AX997,$AY997)*Paraméterek!$J$112&lt;IF($D$4="Forint",Paraméterek!$J$113,Paraméterek!$K$113),IF($D$4="Forint",Paraméterek!$J$113,Paraméterek!$K$113),IF(IF(ISBLANK($AY997),$AX997,$AY997)*Paraméterek!$J$112&gt;IF($D$4="Forint",Paraméterek!$J$114,Paraméterek!$K$114),IF($D$4="Forint",Paraméterek!$J$114,Paraméterek!$K$114),IF(ISBLANK($AY997),$AX997,$AY997)*Paraméterek!$J$112))),IF($D$4="Forint",0,2))</f>
        <v>0</v>
      </c>
      <c r="BA997" s="13">
        <f ca="1">$AT997+$AV997-$AW997-IF(ROUNDDOWN(IF(ISBLANK($AY997),$AX997,$AY997),IF($D$4="Forint",0,2))&gt;$AT997+$AV997-$AW997-IF($D$4="Forint",Paraméterek!$J$114,Paraméterek!$K$114),0,ROUNDDOWN(IF(ISBLANK($AY997),$AX997,$AY997),IF($D$4="Forint",0,2))-$AZ997)</f>
        <v>0</v>
      </c>
      <c r="BB997" s="13">
        <f t="shared" ca="1" si="341"/>
        <v>0</v>
      </c>
      <c r="BD997" s="32">
        <v>978</v>
      </c>
      <c r="BE997" s="32">
        <v>82</v>
      </c>
      <c r="BF997" s="32">
        <v>6</v>
      </c>
      <c r="BG997" s="34">
        <f t="shared" ca="1" si="350"/>
        <v>2100</v>
      </c>
      <c r="BH997" s="32" t="str">
        <f ca="1">IF(MOD(MONTH($D$14)+$BD997-1,12)=Paraméterek!$C$288,"Igen","")</f>
        <v/>
      </c>
      <c r="BI997" s="13">
        <f ca="1">IF($BH997="Igen",MIN(ROUNDDOWN((SUMIF($BG$20:$BG$1027,$BG997-1,$K$20:$K$1027)-SUMIF($BG$20:$BG$1027,$BG997-1,$I$20:$I$1027))*Paraméterek!$C$289,IF($D$4="Forint",0,2)),IF($D$4="Forint",Paraméterek!$C$285,Paraméterek!$D$285)),0)</f>
        <v>0</v>
      </c>
      <c r="BJ997" s="13">
        <f t="shared" ca="1" si="342"/>
        <v>0</v>
      </c>
      <c r="BK997" s="13">
        <f t="shared" ca="1" si="351"/>
        <v>0</v>
      </c>
      <c r="BL997" s="33"/>
      <c r="BM997" s="13">
        <f t="shared" ca="1" si="343"/>
        <v>0</v>
      </c>
      <c r="BN997" s="13">
        <f ca="1">ROUNDUP(($BK997+$BM997)*VLOOKUP($BE997,Paraméterek!$P$38:$Q$38,2)/12*IF($D998="Nem",IF($M$13=0,1,$M$13),1),IF($D$4="Forint",0,2))</f>
        <v>0</v>
      </c>
      <c r="BO997" s="13">
        <f t="shared" ca="1" si="344"/>
        <v>0</v>
      </c>
      <c r="BP997" s="13">
        <f ca="1">IF($D998="Nem",$BO997,$BO997-ROUNDUP(SUM($BI$20:$BI997)*120%,IF($D$4="Forint",0,2)))</f>
        <v>0</v>
      </c>
    </row>
    <row r="998" spans="1:68" x14ac:dyDescent="0.2">
      <c r="A998" s="32">
        <v>979</v>
      </c>
      <c r="B998" s="32">
        <v>82</v>
      </c>
      <c r="C998" s="32">
        <v>7</v>
      </c>
      <c r="D998" s="32" t="str">
        <f t="shared" ca="1" si="330"/>
        <v>Nem</v>
      </c>
      <c r="E998" s="13">
        <f t="shared" ca="1" si="331"/>
        <v>0</v>
      </c>
      <c r="F998" s="13"/>
      <c r="G998" s="13"/>
      <c r="H998" s="13"/>
      <c r="I998" s="13">
        <f t="shared" ca="1" si="332"/>
        <v>0</v>
      </c>
      <c r="J998" s="13">
        <f t="shared" ca="1" si="333"/>
        <v>0</v>
      </c>
      <c r="K998" s="13">
        <f t="shared" ca="1" si="334"/>
        <v>0</v>
      </c>
      <c r="L998" s="13" t="e">
        <f ca="1">ROUNDUP(IF($D$2="Egyszeri",$E998,IF($D$2="Havi",SUM($E$20:$E$31),IF(MOD($C998,$M$1)-1=0,SUM($E$20:$E$31),0))/12*$M$1)*VLOOKUP($B998,Paraméterek!$I$28:$P$31,IF($D$2="Egyszeri",8,HLOOKUP(ROUNDUP($M$11+$M$13,0),Paraméterek!$J$26:$O$27,2))),IF($D$4="Forint",0,2))</f>
        <v>#N/A</v>
      </c>
      <c r="M998" s="13">
        <f t="shared" ca="1" si="335"/>
        <v>0</v>
      </c>
      <c r="N998" s="13">
        <f t="shared" ca="1" si="345"/>
        <v>0</v>
      </c>
      <c r="O998" s="13">
        <f ca="1">IF($D998="Igen",IF($W997&gt;=IF($D$4="Forint",Paraméterek!$J$121,Paraméterek!$K$121),0,IF($D$4="Forint",Paraméterek!$J$121,Paraméterek!$K$121)-$W997),0)</f>
        <v>0</v>
      </c>
      <c r="P998" s="13" t="e">
        <f ca="1">ROUNDUP($O998*VLOOKUP($M$4+$B998-1,Paraméterek!$H$58:$I$105,2,0)/Paraméterek!$I$56,IF($D$4="Forint",0,2))</f>
        <v>#N/A</v>
      </c>
      <c r="Q998" s="13">
        <f t="shared" ca="1" si="336"/>
        <v>0</v>
      </c>
      <c r="R998" s="33"/>
      <c r="S998" s="13" t="e">
        <f t="shared" ca="1" si="337"/>
        <v>#N/A</v>
      </c>
      <c r="T998" s="13" t="e">
        <f ca="1">ROUNDUP(($N998-$P998-$Q998+$S998)*VLOOKUP($B998,Paraméterek!$I$38:$K$39,IF($D$2="Egyszeri",3,2))/12*IF($D999="Nem",IF($M$13=0,1,$M$13),1),IF($D$4="Forint",0,2))</f>
        <v>#N/A</v>
      </c>
      <c r="U998" s="13"/>
      <c r="V998" s="13"/>
      <c r="W998" s="13" t="e">
        <f ca="1">$N998-$P998-$Q998+$S998-$T998-IF(ROUNDUP(IF(ISBLANK($V998),$U998*0,$V998)/IF($D$2="Egyszeri",VLOOKUP($B998+IF($C998=12,1,0),Paraméterek!$V$257:$W$262,2),IF($B998=1,1,VLOOKUP($B998+IF($C998=12,1,0),Paraméterek!$I$258:$T$278,HLOOKUP($M$11+1,Paraméterek!$J$256:$T$257,2)))),IF($D$4="Forint",0,2))&gt;$N998-$P998-$Q998+$S998-$T998-IF($D$4="Forint",Paraméterek!$C$216,Paraméterek!$D$216),0,ROUNDUP(IF(ISBLANK($V998),$U998*0,$V998)/IF($D$2="Egyszeri",VLOOKUP($B998+IF($C998=12,1,0),Paraméterek!$V$257:$W$262,2),IF($B998=1,1,VLOOKUP($B998+IF($C998=12,1,0),Paraméterek!$I$258:$T$278,HLOOKUP($M$11+1,Paraméterek!$J$256:$T$257,2)))),IF($D$4="Forint",0,2)))</f>
        <v>#N/A</v>
      </c>
      <c r="X998" s="13" t="e">
        <f ca="1">ROUNDDOWN($W998*IF($D$2="Egyszeri",VLOOKUP($B998+IF($C998=12,1,0),Paraméterek!$V$257:$W$262,2),VLOOKUP($B998+IF($C998=12,1,0),Paraméterek!$I$258:$T$278,HLOOKUP($M$11+1,Paraméterek!$I$256:$T$257,2))),IF($D$4="Forint",0,2))</f>
        <v>#N/A</v>
      </c>
      <c r="Z998" s="32">
        <v>979</v>
      </c>
      <c r="AA998" s="32">
        <v>82</v>
      </c>
      <c r="AB998" s="32">
        <v>7</v>
      </c>
      <c r="AC998" s="13">
        <f t="shared" ca="1" si="346"/>
        <v>0</v>
      </c>
      <c r="AD998" s="33"/>
      <c r="AE998" s="13">
        <f t="shared" ca="1" si="338"/>
        <v>0</v>
      </c>
      <c r="AF998" s="13">
        <f ca="1">ROUNDUP(($AC998+$AE998)*VLOOKUP($AA998,Paraméterek!$P$38:$Q$38,2)/12*IF($D999="Nem",IF($M$13=0,1,$M$13),1),IF($D$4="Forint",0,2))</f>
        <v>0</v>
      </c>
      <c r="AG998" s="13">
        <f ca="1">IF($D$2="Egyszeri",IF($D$7&gt;=IF($D$4="Forint",Paraméterek!$P$223,Paraméterek!$P$224),$D$7-IF($D$4="Forint",Paraméterek!$P$223,Paraméterek!$P$224),0),MIN(IF($AB998=12,AVERAGEIF($E$20:$E998,"&gt;0",$E$20:$E998)*12,0),SUM($E$20:$E$31)))</f>
        <v>0</v>
      </c>
      <c r="AH998" s="13">
        <f>IF($AA998=10,$AG998*IF($AB998=12,IF($AG998&lt;IF($D$4="Forint",Paraméterek!$L$223,Paraméterek!$L$224),0,VLOOKUP($AA998,Paraméterek!$K$226:$M$228,IF($AG998&lt;IF($D$4="Forint",Paraméterek!$M$223,Paraméterek!$M$224),2,3))),0),0)</f>
        <v>0</v>
      </c>
      <c r="AI998" s="13">
        <f ca="1">IF(AND($AA998=$M$11+1,$AB998=$M$12+1),SUMIF($AA$20:$AA$1027,$AA998,$AG$20:$AG$1027)*IF(SUMIF($AA$20:$AA$1027,$AA998,$AG$20:$AG$1027)&lt;IF($D$4="Forint",Paraméterek!$L$223,Paraméterek!$L$224),0,VLOOKUP($AA998,Paraméterek!$K$230:$M$250,IF(SUMIF($AA$20:$AA$1027,$AA998,$AG$20:$AG$1027)&lt;IF($D$4="Forint",Paraméterek!$M$223,Paraméterek!$M$224),2,3))),0)</f>
        <v>0</v>
      </c>
      <c r="AJ998" s="13">
        <f ca="1">IF(AND($AA998&gt;=5,MOD($AA998,5)=0),IF($AB998=12,VLOOKUP($AA998,Paraméterek!$O$225:$P$240,2),0),IF(OR($AA998=3,$AA998=4),IF($AB998=12,VLOOKUP($AA998,Paraméterek!$O$225:$P$240,2,0),0),0))*$AG998</f>
        <v>0</v>
      </c>
      <c r="AK998" s="13">
        <f t="shared" ca="1" si="339"/>
        <v>0</v>
      </c>
      <c r="AL998" s="13">
        <f t="shared" ca="1" si="347"/>
        <v>0</v>
      </c>
      <c r="AM998" s="13">
        <f t="shared" ca="1" si="348"/>
        <v>0</v>
      </c>
      <c r="AO998" s="32">
        <v>979</v>
      </c>
      <c r="AP998" s="32">
        <v>82</v>
      </c>
      <c r="AQ998" s="32">
        <v>7</v>
      </c>
      <c r="AR998" s="13"/>
      <c r="AS998" s="32"/>
      <c r="AT998" s="13">
        <f t="shared" ca="1" si="349"/>
        <v>0</v>
      </c>
      <c r="AU998" s="33"/>
      <c r="AV998" s="13">
        <f t="shared" ca="1" si="340"/>
        <v>0</v>
      </c>
      <c r="AW998" s="13">
        <f ca="1">ROUNDUP(($AT998+$AV998)*VLOOKUP($AP998,Paraméterek!$P$38:$Q$38,2)/12*IF($D999="Nem",IF($M$13=0,1,$M$13),1),IF($D$4="Forint",0,2))</f>
        <v>0</v>
      </c>
      <c r="AX998" s="13"/>
      <c r="AY998" s="13"/>
      <c r="AZ998" s="13">
        <f>ROUNDUP(IF(SUM($AX998:$AY998)=0,0,IF(IF(ISBLANK($AY998),$AX998,$AY998)*Paraméterek!$J$112&lt;IF($D$4="Forint",Paraméterek!$J$113,Paraméterek!$K$113),IF($D$4="Forint",Paraméterek!$J$113,Paraméterek!$K$113),IF(IF(ISBLANK($AY998),$AX998,$AY998)*Paraméterek!$J$112&gt;IF($D$4="Forint",Paraméterek!$J$114,Paraméterek!$K$114),IF($D$4="Forint",Paraméterek!$J$114,Paraméterek!$K$114),IF(ISBLANK($AY998),$AX998,$AY998)*Paraméterek!$J$112))),IF($D$4="Forint",0,2))</f>
        <v>0</v>
      </c>
      <c r="BA998" s="13">
        <f ca="1">$AT998+$AV998-$AW998-IF(ROUNDDOWN(IF(ISBLANK($AY998),$AX998,$AY998),IF($D$4="Forint",0,2))&gt;$AT998+$AV998-$AW998-IF($D$4="Forint",Paraméterek!$J$114,Paraméterek!$K$114),0,ROUNDDOWN(IF(ISBLANK($AY998),$AX998,$AY998),IF($D$4="Forint",0,2))-$AZ998)</f>
        <v>0</v>
      </c>
      <c r="BB998" s="13">
        <f t="shared" ca="1" si="341"/>
        <v>0</v>
      </c>
      <c r="BD998" s="32">
        <v>979</v>
      </c>
      <c r="BE998" s="32">
        <v>82</v>
      </c>
      <c r="BF998" s="32">
        <v>7</v>
      </c>
      <c r="BG998" s="34">
        <f t="shared" ca="1" si="350"/>
        <v>2100</v>
      </c>
      <c r="BH998" s="32" t="str">
        <f ca="1">IF(MOD(MONTH($D$14)+$BD998-1,12)=Paraméterek!$C$288,"Igen","")</f>
        <v/>
      </c>
      <c r="BI998" s="13">
        <f ca="1">IF($BH998="Igen",MIN(ROUNDDOWN((SUMIF($BG$20:$BG$1027,$BG998-1,$K$20:$K$1027)-SUMIF($BG$20:$BG$1027,$BG998-1,$I$20:$I$1027))*Paraméterek!$C$289,IF($D$4="Forint",0,2)),IF($D$4="Forint",Paraméterek!$C$285,Paraméterek!$D$285)),0)</f>
        <v>0</v>
      </c>
      <c r="BJ998" s="13">
        <f t="shared" ca="1" si="342"/>
        <v>0</v>
      </c>
      <c r="BK998" s="13">
        <f t="shared" ca="1" si="351"/>
        <v>0</v>
      </c>
      <c r="BL998" s="33"/>
      <c r="BM998" s="13">
        <f t="shared" ca="1" si="343"/>
        <v>0</v>
      </c>
      <c r="BN998" s="13">
        <f ca="1">ROUNDUP(($BK998+$BM998)*VLOOKUP($BE998,Paraméterek!$P$38:$Q$38,2)/12*IF($D999="Nem",IF($M$13=0,1,$M$13),1),IF($D$4="Forint",0,2))</f>
        <v>0</v>
      </c>
      <c r="BO998" s="13">
        <f t="shared" ca="1" si="344"/>
        <v>0</v>
      </c>
      <c r="BP998" s="13">
        <f ca="1">IF($D999="Nem",$BO998,$BO998-ROUNDUP(SUM($BI$20:$BI998)*120%,IF($D$4="Forint",0,2)))</f>
        <v>0</v>
      </c>
    </row>
    <row r="999" spans="1:68" x14ac:dyDescent="0.2">
      <c r="A999" s="32">
        <v>980</v>
      </c>
      <c r="B999" s="32">
        <v>82</v>
      </c>
      <c r="C999" s="32">
        <v>8</v>
      </c>
      <c r="D999" s="32" t="str">
        <f t="shared" ca="1" si="330"/>
        <v>Nem</v>
      </c>
      <c r="E999" s="13">
        <f t="shared" ca="1" si="331"/>
        <v>0</v>
      </c>
      <c r="F999" s="13"/>
      <c r="G999" s="13"/>
      <c r="H999" s="13"/>
      <c r="I999" s="13">
        <f t="shared" ca="1" si="332"/>
        <v>0</v>
      </c>
      <c r="J999" s="13">
        <f t="shared" ca="1" si="333"/>
        <v>0</v>
      </c>
      <c r="K999" s="13">
        <f t="shared" ca="1" si="334"/>
        <v>0</v>
      </c>
      <c r="L999" s="13" t="e">
        <f ca="1">ROUNDUP(IF($D$2="Egyszeri",$E999,IF($D$2="Havi",SUM($E$20:$E$31),IF(MOD($C999,$M$1)-1=0,SUM($E$20:$E$31),0))/12*$M$1)*VLOOKUP($B999,Paraméterek!$I$28:$P$31,IF($D$2="Egyszeri",8,HLOOKUP(ROUNDUP($M$11+$M$13,0),Paraméterek!$J$26:$O$27,2))),IF($D$4="Forint",0,2))</f>
        <v>#N/A</v>
      </c>
      <c r="M999" s="13">
        <f t="shared" ca="1" si="335"/>
        <v>0</v>
      </c>
      <c r="N999" s="13">
        <f t="shared" ca="1" si="345"/>
        <v>0</v>
      </c>
      <c r="O999" s="13">
        <f ca="1">IF($D999="Igen",IF($W998&gt;=IF($D$4="Forint",Paraméterek!$J$121,Paraméterek!$K$121),0,IF($D$4="Forint",Paraméterek!$J$121,Paraméterek!$K$121)-$W998),0)</f>
        <v>0</v>
      </c>
      <c r="P999" s="13" t="e">
        <f ca="1">ROUNDUP($O999*VLOOKUP($M$4+$B999-1,Paraméterek!$H$58:$I$105,2,0)/Paraméterek!$I$56,IF($D$4="Forint",0,2))</f>
        <v>#N/A</v>
      </c>
      <c r="Q999" s="13">
        <f t="shared" ca="1" si="336"/>
        <v>0</v>
      </c>
      <c r="R999" s="33"/>
      <c r="S999" s="13" t="e">
        <f t="shared" ca="1" si="337"/>
        <v>#N/A</v>
      </c>
      <c r="T999" s="13" t="e">
        <f ca="1">ROUNDUP(($N999-$P999-$Q999+$S999)*VLOOKUP($B999,Paraméterek!$I$38:$K$39,IF($D$2="Egyszeri",3,2))/12*IF($D1000="Nem",IF($M$13=0,1,$M$13),1),IF($D$4="Forint",0,2))</f>
        <v>#N/A</v>
      </c>
      <c r="U999" s="13"/>
      <c r="V999" s="13"/>
      <c r="W999" s="13" t="e">
        <f ca="1">$N999-$P999-$Q999+$S999-$T999-IF(ROUNDUP(IF(ISBLANK($V999),$U999*0,$V999)/IF($D$2="Egyszeri",VLOOKUP($B999+IF($C999=12,1,0),Paraméterek!$V$257:$W$262,2),IF($B999=1,1,VLOOKUP($B999+IF($C999=12,1,0),Paraméterek!$I$258:$T$278,HLOOKUP($M$11+1,Paraméterek!$J$256:$T$257,2)))),IF($D$4="Forint",0,2))&gt;$N999-$P999-$Q999+$S999-$T999-IF($D$4="Forint",Paraméterek!$C$216,Paraméterek!$D$216),0,ROUNDUP(IF(ISBLANK($V999),$U999*0,$V999)/IF($D$2="Egyszeri",VLOOKUP($B999+IF($C999=12,1,0),Paraméterek!$V$257:$W$262,2),IF($B999=1,1,VLOOKUP($B999+IF($C999=12,1,0),Paraméterek!$I$258:$T$278,HLOOKUP($M$11+1,Paraméterek!$J$256:$T$257,2)))),IF($D$4="Forint",0,2)))</f>
        <v>#N/A</v>
      </c>
      <c r="X999" s="13" t="e">
        <f ca="1">ROUNDDOWN($W999*IF($D$2="Egyszeri",VLOOKUP($B999+IF($C999=12,1,0),Paraméterek!$V$257:$W$262,2),VLOOKUP($B999+IF($C999=12,1,0),Paraméterek!$I$258:$T$278,HLOOKUP($M$11+1,Paraméterek!$I$256:$T$257,2))),IF($D$4="Forint",0,2))</f>
        <v>#N/A</v>
      </c>
      <c r="Z999" s="32">
        <v>980</v>
      </c>
      <c r="AA999" s="32">
        <v>82</v>
      </c>
      <c r="AB999" s="32">
        <v>8</v>
      </c>
      <c r="AC999" s="13">
        <f t="shared" ca="1" si="346"/>
        <v>0</v>
      </c>
      <c r="AD999" s="33"/>
      <c r="AE999" s="13">
        <f t="shared" ca="1" si="338"/>
        <v>0</v>
      </c>
      <c r="AF999" s="13">
        <f ca="1">ROUNDUP(($AC999+$AE999)*VLOOKUP($AA999,Paraméterek!$P$38:$Q$38,2)/12*IF($D1000="Nem",IF($M$13=0,1,$M$13),1),IF($D$4="Forint",0,2))</f>
        <v>0</v>
      </c>
      <c r="AG999" s="13">
        <f ca="1">IF($D$2="Egyszeri",IF($D$7&gt;=IF($D$4="Forint",Paraméterek!$P$223,Paraméterek!$P$224),$D$7-IF($D$4="Forint",Paraméterek!$P$223,Paraméterek!$P$224),0),MIN(IF($AB999=12,AVERAGEIF($E$20:$E999,"&gt;0",$E$20:$E999)*12,0),SUM($E$20:$E$31)))</f>
        <v>0</v>
      </c>
      <c r="AH999" s="13">
        <f>IF($AA999=10,$AG999*IF($AB999=12,IF($AG999&lt;IF($D$4="Forint",Paraméterek!$L$223,Paraméterek!$L$224),0,VLOOKUP($AA999,Paraméterek!$K$226:$M$228,IF($AG999&lt;IF($D$4="Forint",Paraméterek!$M$223,Paraméterek!$M$224),2,3))),0),0)</f>
        <v>0</v>
      </c>
      <c r="AI999" s="13">
        <f ca="1">IF(AND($AA999=$M$11+1,$AB999=$M$12+1),SUMIF($AA$20:$AA$1027,$AA999,$AG$20:$AG$1027)*IF(SUMIF($AA$20:$AA$1027,$AA999,$AG$20:$AG$1027)&lt;IF($D$4="Forint",Paraméterek!$L$223,Paraméterek!$L$224),0,VLOOKUP($AA999,Paraméterek!$K$230:$M$250,IF(SUMIF($AA$20:$AA$1027,$AA999,$AG$20:$AG$1027)&lt;IF($D$4="Forint",Paraméterek!$M$223,Paraméterek!$M$224),2,3))),0)</f>
        <v>0</v>
      </c>
      <c r="AJ999" s="13">
        <f ca="1">IF(AND($AA999&gt;=5,MOD($AA999,5)=0),IF($AB999=12,VLOOKUP($AA999,Paraméterek!$O$225:$P$240,2),0),IF(OR($AA999=3,$AA999=4),IF($AB999=12,VLOOKUP($AA999,Paraméterek!$O$225:$P$240,2,0),0),0))*$AG999</f>
        <v>0</v>
      </c>
      <c r="AK999" s="13">
        <f t="shared" ca="1" si="339"/>
        <v>0</v>
      </c>
      <c r="AL999" s="13">
        <f t="shared" ca="1" si="347"/>
        <v>0</v>
      </c>
      <c r="AM999" s="13">
        <f t="shared" ca="1" si="348"/>
        <v>0</v>
      </c>
      <c r="AO999" s="32">
        <v>980</v>
      </c>
      <c r="AP999" s="32">
        <v>82</v>
      </c>
      <c r="AQ999" s="32">
        <v>8</v>
      </c>
      <c r="AR999" s="13"/>
      <c r="AS999" s="32"/>
      <c r="AT999" s="13">
        <f t="shared" ca="1" si="349"/>
        <v>0</v>
      </c>
      <c r="AU999" s="33"/>
      <c r="AV999" s="13">
        <f t="shared" ca="1" si="340"/>
        <v>0</v>
      </c>
      <c r="AW999" s="13">
        <f ca="1">ROUNDUP(($AT999+$AV999)*VLOOKUP($AP999,Paraméterek!$P$38:$Q$38,2)/12*IF($D1000="Nem",IF($M$13=0,1,$M$13),1),IF($D$4="Forint",0,2))</f>
        <v>0</v>
      </c>
      <c r="AX999" s="13"/>
      <c r="AY999" s="13"/>
      <c r="AZ999" s="13">
        <f>ROUNDUP(IF(SUM($AX999:$AY999)=0,0,IF(IF(ISBLANK($AY999),$AX999,$AY999)*Paraméterek!$J$112&lt;IF($D$4="Forint",Paraméterek!$J$113,Paraméterek!$K$113),IF($D$4="Forint",Paraméterek!$J$113,Paraméterek!$K$113),IF(IF(ISBLANK($AY999),$AX999,$AY999)*Paraméterek!$J$112&gt;IF($D$4="Forint",Paraméterek!$J$114,Paraméterek!$K$114),IF($D$4="Forint",Paraméterek!$J$114,Paraméterek!$K$114),IF(ISBLANK($AY999),$AX999,$AY999)*Paraméterek!$J$112))),IF($D$4="Forint",0,2))</f>
        <v>0</v>
      </c>
      <c r="BA999" s="13">
        <f ca="1">$AT999+$AV999-$AW999-IF(ROUNDDOWN(IF(ISBLANK($AY999),$AX999,$AY999),IF($D$4="Forint",0,2))&gt;$AT999+$AV999-$AW999-IF($D$4="Forint",Paraméterek!$J$114,Paraméterek!$K$114),0,ROUNDDOWN(IF(ISBLANK($AY999),$AX999,$AY999),IF($D$4="Forint",0,2))-$AZ999)</f>
        <v>0</v>
      </c>
      <c r="BB999" s="13">
        <f t="shared" ca="1" si="341"/>
        <v>0</v>
      </c>
      <c r="BD999" s="32">
        <v>980</v>
      </c>
      <c r="BE999" s="32">
        <v>82</v>
      </c>
      <c r="BF999" s="32">
        <v>8</v>
      </c>
      <c r="BG999" s="34">
        <f t="shared" ca="1" si="350"/>
        <v>2101</v>
      </c>
      <c r="BH999" s="32" t="str">
        <f ca="1">IF(MOD(MONTH($D$14)+$BD999-1,12)=Paraméterek!$C$288,"Igen","")</f>
        <v/>
      </c>
      <c r="BI999" s="13">
        <f ca="1">IF($BH999="Igen",MIN(ROUNDDOWN((SUMIF($BG$20:$BG$1027,$BG999-1,$K$20:$K$1027)-SUMIF($BG$20:$BG$1027,$BG999-1,$I$20:$I$1027))*Paraméterek!$C$289,IF($D$4="Forint",0,2)),IF($D$4="Forint",Paraméterek!$C$285,Paraméterek!$D$285)),0)</f>
        <v>0</v>
      </c>
      <c r="BJ999" s="13">
        <f t="shared" ca="1" si="342"/>
        <v>0</v>
      </c>
      <c r="BK999" s="13">
        <f t="shared" ca="1" si="351"/>
        <v>0</v>
      </c>
      <c r="BL999" s="33"/>
      <c r="BM999" s="13">
        <f t="shared" ca="1" si="343"/>
        <v>0</v>
      </c>
      <c r="BN999" s="13">
        <f ca="1">ROUNDUP(($BK999+$BM999)*VLOOKUP($BE999,Paraméterek!$P$38:$Q$38,2)/12*IF($D1000="Nem",IF($M$13=0,1,$M$13),1),IF($D$4="Forint",0,2))</f>
        <v>0</v>
      </c>
      <c r="BO999" s="13">
        <f t="shared" ca="1" si="344"/>
        <v>0</v>
      </c>
      <c r="BP999" s="13">
        <f ca="1">IF($D1000="Nem",$BO999,$BO999-ROUNDUP(SUM($BI$20:$BI999)*120%,IF($D$4="Forint",0,2)))</f>
        <v>0</v>
      </c>
    </row>
    <row r="1000" spans="1:68" x14ac:dyDescent="0.2">
      <c r="A1000" s="32">
        <v>981</v>
      </c>
      <c r="B1000" s="32">
        <v>82</v>
      </c>
      <c r="C1000" s="32">
        <v>9</v>
      </c>
      <c r="D1000" s="32" t="str">
        <f t="shared" ca="1" si="330"/>
        <v>Nem</v>
      </c>
      <c r="E1000" s="13">
        <f t="shared" ca="1" si="331"/>
        <v>0</v>
      </c>
      <c r="F1000" s="13"/>
      <c r="G1000" s="13"/>
      <c r="H1000" s="13"/>
      <c r="I1000" s="13">
        <f t="shared" ca="1" si="332"/>
        <v>0</v>
      </c>
      <c r="J1000" s="13">
        <f t="shared" ca="1" si="333"/>
        <v>0</v>
      </c>
      <c r="K1000" s="13">
        <f t="shared" ca="1" si="334"/>
        <v>0</v>
      </c>
      <c r="L1000" s="13" t="e">
        <f ca="1">ROUNDUP(IF($D$2="Egyszeri",$E1000,IF($D$2="Havi",SUM($E$20:$E$31),IF(MOD($C1000,$M$1)-1=0,SUM($E$20:$E$31),0))/12*$M$1)*VLOOKUP($B1000,Paraméterek!$I$28:$P$31,IF($D$2="Egyszeri",8,HLOOKUP(ROUNDUP($M$11+$M$13,0),Paraméterek!$J$26:$O$27,2))),IF($D$4="Forint",0,2))</f>
        <v>#N/A</v>
      </c>
      <c r="M1000" s="13">
        <f t="shared" ca="1" si="335"/>
        <v>0</v>
      </c>
      <c r="N1000" s="13">
        <f t="shared" ca="1" si="345"/>
        <v>0</v>
      </c>
      <c r="O1000" s="13">
        <f ca="1">IF($D1000="Igen",IF($W999&gt;=IF($D$4="Forint",Paraméterek!$J$121,Paraméterek!$K$121),0,IF($D$4="Forint",Paraméterek!$J$121,Paraméterek!$K$121)-$W999),0)</f>
        <v>0</v>
      </c>
      <c r="P1000" s="13" t="e">
        <f ca="1">ROUNDUP($O1000*VLOOKUP($M$4+$B1000-1,Paraméterek!$H$58:$I$105,2,0)/Paraméterek!$I$56,IF($D$4="Forint",0,2))</f>
        <v>#N/A</v>
      </c>
      <c r="Q1000" s="13">
        <f t="shared" ca="1" si="336"/>
        <v>0</v>
      </c>
      <c r="R1000" s="33"/>
      <c r="S1000" s="13" t="e">
        <f t="shared" ca="1" si="337"/>
        <v>#N/A</v>
      </c>
      <c r="T1000" s="13" t="e">
        <f ca="1">ROUNDUP(($N1000-$P1000-$Q1000+$S1000)*VLOOKUP($B1000,Paraméterek!$I$38:$K$39,IF($D$2="Egyszeri",3,2))/12*IF($D1001="Nem",IF($M$13=0,1,$M$13),1),IF($D$4="Forint",0,2))</f>
        <v>#N/A</v>
      </c>
      <c r="U1000" s="13"/>
      <c r="V1000" s="13"/>
      <c r="W1000" s="13" t="e">
        <f ca="1">$N1000-$P1000-$Q1000+$S1000-$T1000-IF(ROUNDUP(IF(ISBLANK($V1000),$U1000*0,$V1000)/IF($D$2="Egyszeri",VLOOKUP($B1000+IF($C1000=12,1,0),Paraméterek!$V$257:$W$262,2),IF($B1000=1,1,VLOOKUP($B1000+IF($C1000=12,1,0),Paraméterek!$I$258:$T$278,HLOOKUP($M$11+1,Paraméterek!$J$256:$T$257,2)))),IF($D$4="Forint",0,2))&gt;$N1000-$P1000-$Q1000+$S1000-$T1000-IF($D$4="Forint",Paraméterek!$C$216,Paraméterek!$D$216),0,ROUNDUP(IF(ISBLANK($V1000),$U1000*0,$V1000)/IF($D$2="Egyszeri",VLOOKUP($B1000+IF($C1000=12,1,0),Paraméterek!$V$257:$W$262,2),IF($B1000=1,1,VLOOKUP($B1000+IF($C1000=12,1,0),Paraméterek!$I$258:$T$278,HLOOKUP($M$11+1,Paraméterek!$J$256:$T$257,2)))),IF($D$4="Forint",0,2)))</f>
        <v>#N/A</v>
      </c>
      <c r="X1000" s="13" t="e">
        <f ca="1">ROUNDDOWN($W1000*IF($D$2="Egyszeri",VLOOKUP($B1000+IF($C1000=12,1,0),Paraméterek!$V$257:$W$262,2),VLOOKUP($B1000+IF($C1000=12,1,0),Paraméterek!$I$258:$T$278,HLOOKUP($M$11+1,Paraméterek!$I$256:$T$257,2))),IF($D$4="Forint",0,2))</f>
        <v>#N/A</v>
      </c>
      <c r="Z1000" s="32">
        <v>981</v>
      </c>
      <c r="AA1000" s="32">
        <v>82</v>
      </c>
      <c r="AB1000" s="32">
        <v>9</v>
      </c>
      <c r="AC1000" s="13">
        <f t="shared" ca="1" si="346"/>
        <v>0</v>
      </c>
      <c r="AD1000" s="33"/>
      <c r="AE1000" s="13">
        <f t="shared" ca="1" si="338"/>
        <v>0</v>
      </c>
      <c r="AF1000" s="13">
        <f ca="1">ROUNDUP(($AC1000+$AE1000)*VLOOKUP($AA1000,Paraméterek!$P$38:$Q$38,2)/12*IF($D1001="Nem",IF($M$13=0,1,$M$13),1),IF($D$4="Forint",0,2))</f>
        <v>0</v>
      </c>
      <c r="AG1000" s="13">
        <f ca="1">IF($D$2="Egyszeri",IF($D$7&gt;=IF($D$4="Forint",Paraméterek!$P$223,Paraméterek!$P$224),$D$7-IF($D$4="Forint",Paraméterek!$P$223,Paraméterek!$P$224),0),MIN(IF($AB1000=12,AVERAGEIF($E$20:$E1000,"&gt;0",$E$20:$E1000)*12,0),SUM($E$20:$E$31)))</f>
        <v>0</v>
      </c>
      <c r="AH1000" s="13">
        <f>IF($AA1000=10,$AG1000*IF($AB1000=12,IF($AG1000&lt;IF($D$4="Forint",Paraméterek!$L$223,Paraméterek!$L$224),0,VLOOKUP($AA1000,Paraméterek!$K$226:$M$228,IF($AG1000&lt;IF($D$4="Forint",Paraméterek!$M$223,Paraméterek!$M$224),2,3))),0),0)</f>
        <v>0</v>
      </c>
      <c r="AI1000" s="13">
        <f ca="1">IF(AND($AA1000=$M$11+1,$AB1000=$M$12+1),SUMIF($AA$20:$AA$1027,$AA1000,$AG$20:$AG$1027)*IF(SUMIF($AA$20:$AA$1027,$AA1000,$AG$20:$AG$1027)&lt;IF($D$4="Forint",Paraméterek!$L$223,Paraméterek!$L$224),0,VLOOKUP($AA1000,Paraméterek!$K$230:$M$250,IF(SUMIF($AA$20:$AA$1027,$AA1000,$AG$20:$AG$1027)&lt;IF($D$4="Forint",Paraméterek!$M$223,Paraméterek!$M$224),2,3))),0)</f>
        <v>0</v>
      </c>
      <c r="AJ1000" s="13">
        <f ca="1">IF(AND($AA1000&gt;=5,MOD($AA1000,5)=0),IF($AB1000=12,VLOOKUP($AA1000,Paraméterek!$O$225:$P$240,2),0),IF(OR($AA1000=3,$AA1000=4),IF($AB1000=12,VLOOKUP($AA1000,Paraméterek!$O$225:$P$240,2,0),0),0))*$AG1000</f>
        <v>0</v>
      </c>
      <c r="AK1000" s="13">
        <f t="shared" ca="1" si="339"/>
        <v>0</v>
      </c>
      <c r="AL1000" s="13">
        <f t="shared" ca="1" si="347"/>
        <v>0</v>
      </c>
      <c r="AM1000" s="13">
        <f t="shared" ca="1" si="348"/>
        <v>0</v>
      </c>
      <c r="AO1000" s="32">
        <v>981</v>
      </c>
      <c r="AP1000" s="32">
        <v>82</v>
      </c>
      <c r="AQ1000" s="32">
        <v>9</v>
      </c>
      <c r="AR1000" s="13"/>
      <c r="AS1000" s="32"/>
      <c r="AT1000" s="13">
        <f t="shared" ca="1" si="349"/>
        <v>0</v>
      </c>
      <c r="AU1000" s="33"/>
      <c r="AV1000" s="13">
        <f t="shared" ca="1" si="340"/>
        <v>0</v>
      </c>
      <c r="AW1000" s="13">
        <f ca="1">ROUNDUP(($AT1000+$AV1000)*VLOOKUP($AP1000,Paraméterek!$P$38:$Q$38,2)/12*IF($D1001="Nem",IF($M$13=0,1,$M$13),1),IF($D$4="Forint",0,2))</f>
        <v>0</v>
      </c>
      <c r="AX1000" s="13"/>
      <c r="AY1000" s="13"/>
      <c r="AZ1000" s="13">
        <f>ROUNDUP(IF(SUM($AX1000:$AY1000)=0,0,IF(IF(ISBLANK($AY1000),$AX1000,$AY1000)*Paraméterek!$J$112&lt;IF($D$4="Forint",Paraméterek!$J$113,Paraméterek!$K$113),IF($D$4="Forint",Paraméterek!$J$113,Paraméterek!$K$113),IF(IF(ISBLANK($AY1000),$AX1000,$AY1000)*Paraméterek!$J$112&gt;IF($D$4="Forint",Paraméterek!$J$114,Paraméterek!$K$114),IF($D$4="Forint",Paraméterek!$J$114,Paraméterek!$K$114),IF(ISBLANK($AY1000),$AX1000,$AY1000)*Paraméterek!$J$112))),IF($D$4="Forint",0,2))</f>
        <v>0</v>
      </c>
      <c r="BA1000" s="13">
        <f ca="1">$AT1000+$AV1000-$AW1000-IF(ROUNDDOWN(IF(ISBLANK($AY1000),$AX1000,$AY1000),IF($D$4="Forint",0,2))&gt;$AT1000+$AV1000-$AW1000-IF($D$4="Forint",Paraméterek!$J$114,Paraméterek!$K$114),0,ROUNDDOWN(IF(ISBLANK($AY1000),$AX1000,$AY1000),IF($D$4="Forint",0,2))-$AZ1000)</f>
        <v>0</v>
      </c>
      <c r="BB1000" s="13">
        <f t="shared" ca="1" si="341"/>
        <v>0</v>
      </c>
      <c r="BD1000" s="32">
        <v>981</v>
      </c>
      <c r="BE1000" s="32">
        <v>82</v>
      </c>
      <c r="BF1000" s="32">
        <v>9</v>
      </c>
      <c r="BG1000" s="34">
        <f t="shared" ca="1" si="350"/>
        <v>2101</v>
      </c>
      <c r="BH1000" s="32" t="str">
        <f ca="1">IF(MOD(MONTH($D$14)+$BD1000-1,12)=Paraméterek!$C$288,"Igen","")</f>
        <v/>
      </c>
      <c r="BI1000" s="13">
        <f ca="1">IF($BH1000="Igen",MIN(ROUNDDOWN((SUMIF($BG$20:$BG$1027,$BG1000-1,$K$20:$K$1027)-SUMIF($BG$20:$BG$1027,$BG1000-1,$I$20:$I$1027))*Paraméterek!$C$289,IF($D$4="Forint",0,2)),IF($D$4="Forint",Paraméterek!$C$285,Paraméterek!$D$285)),0)</f>
        <v>0</v>
      </c>
      <c r="BJ1000" s="13">
        <f t="shared" ca="1" si="342"/>
        <v>0</v>
      </c>
      <c r="BK1000" s="13">
        <f t="shared" ca="1" si="351"/>
        <v>0</v>
      </c>
      <c r="BL1000" s="33"/>
      <c r="BM1000" s="13">
        <f t="shared" ca="1" si="343"/>
        <v>0</v>
      </c>
      <c r="BN1000" s="13">
        <f ca="1">ROUNDUP(($BK1000+$BM1000)*VLOOKUP($BE1000,Paraméterek!$P$38:$Q$38,2)/12*IF($D1001="Nem",IF($M$13=0,1,$M$13),1),IF($D$4="Forint",0,2))</f>
        <v>0</v>
      </c>
      <c r="BO1000" s="13">
        <f t="shared" ca="1" si="344"/>
        <v>0</v>
      </c>
      <c r="BP1000" s="13">
        <f ca="1">IF($D1001="Nem",$BO1000,$BO1000-ROUNDUP(SUM($BI$20:$BI1000)*120%,IF($D$4="Forint",0,2)))</f>
        <v>0</v>
      </c>
    </row>
    <row r="1001" spans="1:68" x14ac:dyDescent="0.2">
      <c r="A1001" s="32">
        <v>982</v>
      </c>
      <c r="B1001" s="32">
        <v>82</v>
      </c>
      <c r="C1001" s="32">
        <v>10</v>
      </c>
      <c r="D1001" s="32" t="str">
        <f t="shared" ca="1" si="330"/>
        <v>Nem</v>
      </c>
      <c r="E1001" s="13">
        <f t="shared" ca="1" si="331"/>
        <v>0</v>
      </c>
      <c r="F1001" s="13"/>
      <c r="G1001" s="13"/>
      <c r="H1001" s="13"/>
      <c r="I1001" s="13">
        <f t="shared" ca="1" si="332"/>
        <v>0</v>
      </c>
      <c r="J1001" s="13">
        <f t="shared" ca="1" si="333"/>
        <v>0</v>
      </c>
      <c r="K1001" s="13">
        <f t="shared" ca="1" si="334"/>
        <v>0</v>
      </c>
      <c r="L1001" s="13" t="e">
        <f ca="1">ROUNDUP(IF($D$2="Egyszeri",$E1001,IF($D$2="Havi",SUM($E$20:$E$31),IF(MOD($C1001,$M$1)-1=0,SUM($E$20:$E$31),0))/12*$M$1)*VLOOKUP($B1001,Paraméterek!$I$28:$P$31,IF($D$2="Egyszeri",8,HLOOKUP(ROUNDUP($M$11+$M$13,0),Paraméterek!$J$26:$O$27,2))),IF($D$4="Forint",0,2))</f>
        <v>#N/A</v>
      </c>
      <c r="M1001" s="13">
        <f t="shared" ca="1" si="335"/>
        <v>0</v>
      </c>
      <c r="N1001" s="13">
        <f t="shared" ca="1" si="345"/>
        <v>0</v>
      </c>
      <c r="O1001" s="13">
        <f ca="1">IF($D1001="Igen",IF($W1000&gt;=IF($D$4="Forint",Paraméterek!$J$121,Paraméterek!$K$121),0,IF($D$4="Forint",Paraméterek!$J$121,Paraméterek!$K$121)-$W1000),0)</f>
        <v>0</v>
      </c>
      <c r="P1001" s="13" t="e">
        <f ca="1">ROUNDUP($O1001*VLOOKUP($M$4+$B1001-1,Paraméterek!$H$58:$I$105,2,0)/Paraméterek!$I$56,IF($D$4="Forint",0,2))</f>
        <v>#N/A</v>
      </c>
      <c r="Q1001" s="13">
        <f t="shared" ca="1" si="336"/>
        <v>0</v>
      </c>
      <c r="R1001" s="33"/>
      <c r="S1001" s="13" t="e">
        <f t="shared" ca="1" si="337"/>
        <v>#N/A</v>
      </c>
      <c r="T1001" s="13" t="e">
        <f ca="1">ROUNDUP(($N1001-$P1001-$Q1001+$S1001)*VLOOKUP($B1001,Paraméterek!$I$38:$K$39,IF($D$2="Egyszeri",3,2))/12*IF($D1002="Nem",IF($M$13=0,1,$M$13),1),IF($D$4="Forint",0,2))</f>
        <v>#N/A</v>
      </c>
      <c r="U1001" s="13"/>
      <c r="V1001" s="13"/>
      <c r="W1001" s="13" t="e">
        <f ca="1">$N1001-$P1001-$Q1001+$S1001-$T1001-IF(ROUNDUP(IF(ISBLANK($V1001),$U1001*0,$V1001)/IF($D$2="Egyszeri",VLOOKUP($B1001+IF($C1001=12,1,0),Paraméterek!$V$257:$W$262,2),IF($B1001=1,1,VLOOKUP($B1001+IF($C1001=12,1,0),Paraméterek!$I$258:$T$278,HLOOKUP($M$11+1,Paraméterek!$J$256:$T$257,2)))),IF($D$4="Forint",0,2))&gt;$N1001-$P1001-$Q1001+$S1001-$T1001-IF($D$4="Forint",Paraméterek!$C$216,Paraméterek!$D$216),0,ROUNDUP(IF(ISBLANK($V1001),$U1001*0,$V1001)/IF($D$2="Egyszeri",VLOOKUP($B1001+IF($C1001=12,1,0),Paraméterek!$V$257:$W$262,2),IF($B1001=1,1,VLOOKUP($B1001+IF($C1001=12,1,0),Paraméterek!$I$258:$T$278,HLOOKUP($M$11+1,Paraméterek!$J$256:$T$257,2)))),IF($D$4="Forint",0,2)))</f>
        <v>#N/A</v>
      </c>
      <c r="X1001" s="13" t="e">
        <f ca="1">ROUNDDOWN($W1001*IF($D$2="Egyszeri",VLOOKUP($B1001+IF($C1001=12,1,0),Paraméterek!$V$257:$W$262,2),VLOOKUP($B1001+IF($C1001=12,1,0),Paraméterek!$I$258:$T$278,HLOOKUP($M$11+1,Paraméterek!$I$256:$T$257,2))),IF($D$4="Forint",0,2))</f>
        <v>#N/A</v>
      </c>
      <c r="Z1001" s="32">
        <v>982</v>
      </c>
      <c r="AA1001" s="32">
        <v>82</v>
      </c>
      <c r="AB1001" s="32">
        <v>10</v>
      </c>
      <c r="AC1001" s="13">
        <f t="shared" ca="1" si="346"/>
        <v>0</v>
      </c>
      <c r="AD1001" s="33"/>
      <c r="AE1001" s="13">
        <f t="shared" ca="1" si="338"/>
        <v>0</v>
      </c>
      <c r="AF1001" s="13">
        <f ca="1">ROUNDUP(($AC1001+$AE1001)*VLOOKUP($AA1001,Paraméterek!$P$38:$Q$38,2)/12*IF($D1002="Nem",IF($M$13=0,1,$M$13),1),IF($D$4="Forint",0,2))</f>
        <v>0</v>
      </c>
      <c r="AG1001" s="13">
        <f ca="1">IF($D$2="Egyszeri",IF($D$7&gt;=IF($D$4="Forint",Paraméterek!$P$223,Paraméterek!$P$224),$D$7-IF($D$4="Forint",Paraméterek!$P$223,Paraméterek!$P$224),0),MIN(IF($AB1001=12,AVERAGEIF($E$20:$E1001,"&gt;0",$E$20:$E1001)*12,0),SUM($E$20:$E$31)))</f>
        <v>0</v>
      </c>
      <c r="AH1001" s="13">
        <f>IF($AA1001=10,$AG1001*IF($AB1001=12,IF($AG1001&lt;IF($D$4="Forint",Paraméterek!$L$223,Paraméterek!$L$224),0,VLOOKUP($AA1001,Paraméterek!$K$226:$M$228,IF($AG1001&lt;IF($D$4="Forint",Paraméterek!$M$223,Paraméterek!$M$224),2,3))),0),0)</f>
        <v>0</v>
      </c>
      <c r="AI1001" s="13">
        <f ca="1">IF(AND($AA1001=$M$11+1,$AB1001=$M$12+1),SUMIF($AA$20:$AA$1027,$AA1001,$AG$20:$AG$1027)*IF(SUMIF($AA$20:$AA$1027,$AA1001,$AG$20:$AG$1027)&lt;IF($D$4="Forint",Paraméterek!$L$223,Paraméterek!$L$224),0,VLOOKUP($AA1001,Paraméterek!$K$230:$M$250,IF(SUMIF($AA$20:$AA$1027,$AA1001,$AG$20:$AG$1027)&lt;IF($D$4="Forint",Paraméterek!$M$223,Paraméterek!$M$224),2,3))),0)</f>
        <v>0</v>
      </c>
      <c r="AJ1001" s="13">
        <f ca="1">IF(AND($AA1001&gt;=5,MOD($AA1001,5)=0),IF($AB1001=12,VLOOKUP($AA1001,Paraméterek!$O$225:$P$240,2),0),IF(OR($AA1001=3,$AA1001=4),IF($AB1001=12,VLOOKUP($AA1001,Paraméterek!$O$225:$P$240,2,0),0),0))*$AG1001</f>
        <v>0</v>
      </c>
      <c r="AK1001" s="13">
        <f t="shared" ca="1" si="339"/>
        <v>0</v>
      </c>
      <c r="AL1001" s="13">
        <f t="shared" ca="1" si="347"/>
        <v>0</v>
      </c>
      <c r="AM1001" s="13">
        <f t="shared" ca="1" si="348"/>
        <v>0</v>
      </c>
      <c r="AO1001" s="32">
        <v>982</v>
      </c>
      <c r="AP1001" s="32">
        <v>82</v>
      </c>
      <c r="AQ1001" s="32">
        <v>10</v>
      </c>
      <c r="AR1001" s="13"/>
      <c r="AS1001" s="32"/>
      <c r="AT1001" s="13">
        <f t="shared" ca="1" si="349"/>
        <v>0</v>
      </c>
      <c r="AU1001" s="33"/>
      <c r="AV1001" s="13">
        <f t="shared" ca="1" si="340"/>
        <v>0</v>
      </c>
      <c r="AW1001" s="13">
        <f ca="1">ROUNDUP(($AT1001+$AV1001)*VLOOKUP($AP1001,Paraméterek!$P$38:$Q$38,2)/12*IF($D1002="Nem",IF($M$13=0,1,$M$13),1),IF($D$4="Forint",0,2))</f>
        <v>0</v>
      </c>
      <c r="AX1001" s="13"/>
      <c r="AY1001" s="13"/>
      <c r="AZ1001" s="13">
        <f>ROUNDUP(IF(SUM($AX1001:$AY1001)=0,0,IF(IF(ISBLANK($AY1001),$AX1001,$AY1001)*Paraméterek!$J$112&lt;IF($D$4="Forint",Paraméterek!$J$113,Paraméterek!$K$113),IF($D$4="Forint",Paraméterek!$J$113,Paraméterek!$K$113),IF(IF(ISBLANK($AY1001),$AX1001,$AY1001)*Paraméterek!$J$112&gt;IF($D$4="Forint",Paraméterek!$J$114,Paraméterek!$K$114),IF($D$4="Forint",Paraméterek!$J$114,Paraméterek!$K$114),IF(ISBLANK($AY1001),$AX1001,$AY1001)*Paraméterek!$J$112))),IF($D$4="Forint",0,2))</f>
        <v>0</v>
      </c>
      <c r="BA1001" s="13">
        <f ca="1">$AT1001+$AV1001-$AW1001-IF(ROUNDDOWN(IF(ISBLANK($AY1001),$AX1001,$AY1001),IF($D$4="Forint",0,2))&gt;$AT1001+$AV1001-$AW1001-IF($D$4="Forint",Paraméterek!$J$114,Paraméterek!$K$114),0,ROUNDDOWN(IF(ISBLANK($AY1001),$AX1001,$AY1001),IF($D$4="Forint",0,2))-$AZ1001)</f>
        <v>0</v>
      </c>
      <c r="BB1001" s="13">
        <f t="shared" ca="1" si="341"/>
        <v>0</v>
      </c>
      <c r="BD1001" s="32">
        <v>982</v>
      </c>
      <c r="BE1001" s="32">
        <v>82</v>
      </c>
      <c r="BF1001" s="32">
        <v>10</v>
      </c>
      <c r="BG1001" s="34">
        <f t="shared" ca="1" si="350"/>
        <v>2101</v>
      </c>
      <c r="BH1001" s="32" t="str">
        <f ca="1">IF(MOD(MONTH($D$14)+$BD1001-1,12)=Paraméterek!$C$288,"Igen","")</f>
        <v/>
      </c>
      <c r="BI1001" s="13">
        <f ca="1">IF($BH1001="Igen",MIN(ROUNDDOWN((SUMIF($BG$20:$BG$1027,$BG1001-1,$K$20:$K$1027)-SUMIF($BG$20:$BG$1027,$BG1001-1,$I$20:$I$1027))*Paraméterek!$C$289,IF($D$4="Forint",0,2)),IF($D$4="Forint",Paraméterek!$C$285,Paraméterek!$D$285)),0)</f>
        <v>0</v>
      </c>
      <c r="BJ1001" s="13">
        <f t="shared" ca="1" si="342"/>
        <v>0</v>
      </c>
      <c r="BK1001" s="13">
        <f t="shared" ca="1" si="351"/>
        <v>0</v>
      </c>
      <c r="BL1001" s="33"/>
      <c r="BM1001" s="13">
        <f t="shared" ca="1" si="343"/>
        <v>0</v>
      </c>
      <c r="BN1001" s="13">
        <f ca="1">ROUNDUP(($BK1001+$BM1001)*VLOOKUP($BE1001,Paraméterek!$P$38:$Q$38,2)/12*IF($D1002="Nem",IF($M$13=0,1,$M$13),1),IF($D$4="Forint",0,2))</f>
        <v>0</v>
      </c>
      <c r="BO1001" s="13">
        <f t="shared" ca="1" si="344"/>
        <v>0</v>
      </c>
      <c r="BP1001" s="13">
        <f ca="1">IF($D1002="Nem",$BO1001,$BO1001-ROUNDUP(SUM($BI$20:$BI1001)*120%,IF($D$4="Forint",0,2)))</f>
        <v>0</v>
      </c>
    </row>
    <row r="1002" spans="1:68" x14ac:dyDescent="0.2">
      <c r="A1002" s="32">
        <v>983</v>
      </c>
      <c r="B1002" s="32">
        <v>82</v>
      </c>
      <c r="C1002" s="32">
        <v>11</v>
      </c>
      <c r="D1002" s="32" t="str">
        <f t="shared" ca="1" si="330"/>
        <v>Nem</v>
      </c>
      <c r="E1002" s="13">
        <f t="shared" ca="1" si="331"/>
        <v>0</v>
      </c>
      <c r="F1002" s="13"/>
      <c r="G1002" s="13"/>
      <c r="H1002" s="13"/>
      <c r="I1002" s="13">
        <f t="shared" ca="1" si="332"/>
        <v>0</v>
      </c>
      <c r="J1002" s="13">
        <f t="shared" ca="1" si="333"/>
        <v>0</v>
      </c>
      <c r="K1002" s="13">
        <f t="shared" ca="1" si="334"/>
        <v>0</v>
      </c>
      <c r="L1002" s="13" t="e">
        <f ca="1">ROUNDUP(IF($D$2="Egyszeri",$E1002,IF($D$2="Havi",SUM($E$20:$E$31),IF(MOD($C1002,$M$1)-1=0,SUM($E$20:$E$31),0))/12*$M$1)*VLOOKUP($B1002,Paraméterek!$I$28:$P$31,IF($D$2="Egyszeri",8,HLOOKUP(ROUNDUP($M$11+$M$13,0),Paraméterek!$J$26:$O$27,2))),IF($D$4="Forint",0,2))</f>
        <v>#N/A</v>
      </c>
      <c r="M1002" s="13">
        <f t="shared" ca="1" si="335"/>
        <v>0</v>
      </c>
      <c r="N1002" s="13">
        <f t="shared" ca="1" si="345"/>
        <v>0</v>
      </c>
      <c r="O1002" s="13">
        <f ca="1">IF($D1002="Igen",IF($W1001&gt;=IF($D$4="Forint",Paraméterek!$J$121,Paraméterek!$K$121),0,IF($D$4="Forint",Paraméterek!$J$121,Paraméterek!$K$121)-$W1001),0)</f>
        <v>0</v>
      </c>
      <c r="P1002" s="13" t="e">
        <f ca="1">ROUNDUP($O1002*VLOOKUP($M$4+$B1002-1,Paraméterek!$H$58:$I$105,2,0)/Paraméterek!$I$56,IF($D$4="Forint",0,2))</f>
        <v>#N/A</v>
      </c>
      <c r="Q1002" s="13">
        <f t="shared" ca="1" si="336"/>
        <v>0</v>
      </c>
      <c r="R1002" s="33"/>
      <c r="S1002" s="13" t="e">
        <f t="shared" ca="1" si="337"/>
        <v>#N/A</v>
      </c>
      <c r="T1002" s="13" t="e">
        <f ca="1">ROUNDUP(($N1002-$P1002-$Q1002+$S1002)*VLOOKUP($B1002,Paraméterek!$I$38:$K$39,IF($D$2="Egyszeri",3,2))/12*IF($D1003="Nem",IF($M$13=0,1,$M$13),1),IF($D$4="Forint",0,2))</f>
        <v>#N/A</v>
      </c>
      <c r="U1002" s="13"/>
      <c r="V1002" s="13"/>
      <c r="W1002" s="13" t="e">
        <f ca="1">$N1002-$P1002-$Q1002+$S1002-$T1002-IF(ROUNDUP(IF(ISBLANK($V1002),$U1002*0,$V1002)/IF($D$2="Egyszeri",VLOOKUP($B1002+IF($C1002=12,1,0),Paraméterek!$V$257:$W$262,2),IF($B1002=1,1,VLOOKUP($B1002+IF($C1002=12,1,0),Paraméterek!$I$258:$T$278,HLOOKUP($M$11+1,Paraméterek!$J$256:$T$257,2)))),IF($D$4="Forint",0,2))&gt;$N1002-$P1002-$Q1002+$S1002-$T1002-IF($D$4="Forint",Paraméterek!$C$216,Paraméterek!$D$216),0,ROUNDUP(IF(ISBLANK($V1002),$U1002*0,$V1002)/IF($D$2="Egyszeri",VLOOKUP($B1002+IF($C1002=12,1,0),Paraméterek!$V$257:$W$262,2),IF($B1002=1,1,VLOOKUP($B1002+IF($C1002=12,1,0),Paraméterek!$I$258:$T$278,HLOOKUP($M$11+1,Paraméterek!$J$256:$T$257,2)))),IF($D$4="Forint",0,2)))</f>
        <v>#N/A</v>
      </c>
      <c r="X1002" s="13" t="e">
        <f ca="1">ROUNDDOWN($W1002*IF($D$2="Egyszeri",VLOOKUP($B1002+IF($C1002=12,1,0),Paraméterek!$V$257:$W$262,2),VLOOKUP($B1002+IF($C1002=12,1,0),Paraméterek!$I$258:$T$278,HLOOKUP($M$11+1,Paraméterek!$I$256:$T$257,2))),IF($D$4="Forint",0,2))</f>
        <v>#N/A</v>
      </c>
      <c r="Z1002" s="32">
        <v>983</v>
      </c>
      <c r="AA1002" s="32">
        <v>82</v>
      </c>
      <c r="AB1002" s="32">
        <v>11</v>
      </c>
      <c r="AC1002" s="13">
        <f t="shared" ca="1" si="346"/>
        <v>0</v>
      </c>
      <c r="AD1002" s="33"/>
      <c r="AE1002" s="13">
        <f t="shared" ca="1" si="338"/>
        <v>0</v>
      </c>
      <c r="AF1002" s="13">
        <f ca="1">ROUNDUP(($AC1002+$AE1002)*VLOOKUP($AA1002,Paraméterek!$P$38:$Q$38,2)/12*IF($D1003="Nem",IF($M$13=0,1,$M$13),1),IF($D$4="Forint",0,2))</f>
        <v>0</v>
      </c>
      <c r="AG1002" s="13">
        <f ca="1">IF($D$2="Egyszeri",IF($D$7&gt;=IF($D$4="Forint",Paraméterek!$P$223,Paraméterek!$P$224),$D$7-IF($D$4="Forint",Paraméterek!$P$223,Paraméterek!$P$224),0),MIN(IF($AB1002=12,AVERAGEIF($E$20:$E1002,"&gt;0",$E$20:$E1002)*12,0),SUM($E$20:$E$31)))</f>
        <v>0</v>
      </c>
      <c r="AH1002" s="13">
        <f>IF($AA1002=10,$AG1002*IF($AB1002=12,IF($AG1002&lt;IF($D$4="Forint",Paraméterek!$L$223,Paraméterek!$L$224),0,VLOOKUP($AA1002,Paraméterek!$K$226:$M$228,IF($AG1002&lt;IF($D$4="Forint",Paraméterek!$M$223,Paraméterek!$M$224),2,3))),0),0)</f>
        <v>0</v>
      </c>
      <c r="AI1002" s="13">
        <f ca="1">IF(AND($AA1002=$M$11+1,$AB1002=$M$12+1),SUMIF($AA$20:$AA$1027,$AA1002,$AG$20:$AG$1027)*IF(SUMIF($AA$20:$AA$1027,$AA1002,$AG$20:$AG$1027)&lt;IF($D$4="Forint",Paraméterek!$L$223,Paraméterek!$L$224),0,VLOOKUP($AA1002,Paraméterek!$K$230:$M$250,IF(SUMIF($AA$20:$AA$1027,$AA1002,$AG$20:$AG$1027)&lt;IF($D$4="Forint",Paraméterek!$M$223,Paraméterek!$M$224),2,3))),0)</f>
        <v>0</v>
      </c>
      <c r="AJ1002" s="13">
        <f ca="1">IF(AND($AA1002&gt;=5,MOD($AA1002,5)=0),IF($AB1002=12,VLOOKUP($AA1002,Paraméterek!$O$225:$P$240,2),0),IF(OR($AA1002=3,$AA1002=4),IF($AB1002=12,VLOOKUP($AA1002,Paraméterek!$O$225:$P$240,2,0),0),0))*$AG1002</f>
        <v>0</v>
      </c>
      <c r="AK1002" s="13">
        <f t="shared" ca="1" si="339"/>
        <v>0</v>
      </c>
      <c r="AL1002" s="13">
        <f t="shared" ca="1" si="347"/>
        <v>0</v>
      </c>
      <c r="AM1002" s="13">
        <f t="shared" ca="1" si="348"/>
        <v>0</v>
      </c>
      <c r="AO1002" s="32">
        <v>983</v>
      </c>
      <c r="AP1002" s="32">
        <v>82</v>
      </c>
      <c r="AQ1002" s="32">
        <v>11</v>
      </c>
      <c r="AR1002" s="13"/>
      <c r="AS1002" s="32"/>
      <c r="AT1002" s="13">
        <f t="shared" ca="1" si="349"/>
        <v>0</v>
      </c>
      <c r="AU1002" s="33"/>
      <c r="AV1002" s="13">
        <f t="shared" ca="1" si="340"/>
        <v>0</v>
      </c>
      <c r="AW1002" s="13">
        <f ca="1">ROUNDUP(($AT1002+$AV1002)*VLOOKUP($AP1002,Paraméterek!$P$38:$Q$38,2)/12*IF($D1003="Nem",IF($M$13=0,1,$M$13),1),IF($D$4="Forint",0,2))</f>
        <v>0</v>
      </c>
      <c r="AX1002" s="13"/>
      <c r="AY1002" s="13"/>
      <c r="AZ1002" s="13">
        <f>ROUNDUP(IF(SUM($AX1002:$AY1002)=0,0,IF(IF(ISBLANK($AY1002),$AX1002,$AY1002)*Paraméterek!$J$112&lt;IF($D$4="Forint",Paraméterek!$J$113,Paraméterek!$K$113),IF($D$4="Forint",Paraméterek!$J$113,Paraméterek!$K$113),IF(IF(ISBLANK($AY1002),$AX1002,$AY1002)*Paraméterek!$J$112&gt;IF($D$4="Forint",Paraméterek!$J$114,Paraméterek!$K$114),IF($D$4="Forint",Paraméterek!$J$114,Paraméterek!$K$114),IF(ISBLANK($AY1002),$AX1002,$AY1002)*Paraméterek!$J$112))),IF($D$4="Forint",0,2))</f>
        <v>0</v>
      </c>
      <c r="BA1002" s="13">
        <f ca="1">$AT1002+$AV1002-$AW1002-IF(ROUNDDOWN(IF(ISBLANK($AY1002),$AX1002,$AY1002),IF($D$4="Forint",0,2))&gt;$AT1002+$AV1002-$AW1002-IF($D$4="Forint",Paraméterek!$J$114,Paraméterek!$K$114),0,ROUNDDOWN(IF(ISBLANK($AY1002),$AX1002,$AY1002),IF($D$4="Forint",0,2))-$AZ1002)</f>
        <v>0</v>
      </c>
      <c r="BB1002" s="13">
        <f t="shared" ca="1" si="341"/>
        <v>0</v>
      </c>
      <c r="BD1002" s="32">
        <v>983</v>
      </c>
      <c r="BE1002" s="32">
        <v>82</v>
      </c>
      <c r="BF1002" s="32">
        <v>11</v>
      </c>
      <c r="BG1002" s="34">
        <f t="shared" ca="1" si="350"/>
        <v>2101</v>
      </c>
      <c r="BH1002" s="32" t="str">
        <f ca="1">IF(MOD(MONTH($D$14)+$BD1002-1,12)=Paraméterek!$C$288,"Igen","")</f>
        <v/>
      </c>
      <c r="BI1002" s="13">
        <f ca="1">IF($BH1002="Igen",MIN(ROUNDDOWN((SUMIF($BG$20:$BG$1027,$BG1002-1,$K$20:$K$1027)-SUMIF($BG$20:$BG$1027,$BG1002-1,$I$20:$I$1027))*Paraméterek!$C$289,IF($D$4="Forint",0,2)),IF($D$4="Forint",Paraméterek!$C$285,Paraméterek!$D$285)),0)</f>
        <v>0</v>
      </c>
      <c r="BJ1002" s="13">
        <f t="shared" ca="1" si="342"/>
        <v>0</v>
      </c>
      <c r="BK1002" s="13">
        <f t="shared" ca="1" si="351"/>
        <v>0</v>
      </c>
      <c r="BL1002" s="33"/>
      <c r="BM1002" s="13">
        <f t="shared" ca="1" si="343"/>
        <v>0</v>
      </c>
      <c r="BN1002" s="13">
        <f ca="1">ROUNDUP(($BK1002+$BM1002)*VLOOKUP($BE1002,Paraméterek!$P$38:$Q$38,2)/12*IF($D1003="Nem",IF($M$13=0,1,$M$13),1),IF($D$4="Forint",0,2))</f>
        <v>0</v>
      </c>
      <c r="BO1002" s="13">
        <f t="shared" ca="1" si="344"/>
        <v>0</v>
      </c>
      <c r="BP1002" s="13">
        <f ca="1">IF($D1003="Nem",$BO1002,$BO1002-ROUNDUP(SUM($BI$20:$BI1002)*120%,IF($D$4="Forint",0,2)))</f>
        <v>0</v>
      </c>
    </row>
    <row r="1003" spans="1:68" x14ac:dyDescent="0.2">
      <c r="A1003" s="32">
        <v>984</v>
      </c>
      <c r="B1003" s="32">
        <v>82</v>
      </c>
      <c r="C1003" s="32">
        <v>12</v>
      </c>
      <c r="D1003" s="32" t="str">
        <f t="shared" ca="1" si="330"/>
        <v>Nem</v>
      </c>
      <c r="E1003" s="13">
        <f t="shared" ca="1" si="331"/>
        <v>0</v>
      </c>
      <c r="F1003" s="13"/>
      <c r="G1003" s="13"/>
      <c r="H1003" s="13"/>
      <c r="I1003" s="13">
        <f t="shared" ca="1" si="332"/>
        <v>0</v>
      </c>
      <c r="J1003" s="13">
        <f t="shared" ca="1" si="333"/>
        <v>0</v>
      </c>
      <c r="K1003" s="13">
        <f t="shared" ca="1" si="334"/>
        <v>0</v>
      </c>
      <c r="L1003" s="13" t="e">
        <f ca="1">ROUNDUP(IF($D$2="Egyszeri",$E1003,IF($D$2="Havi",SUM($E$20:$E$31),IF(MOD($C1003,$M$1)-1=0,SUM($E$20:$E$31),0))/12*$M$1)*VLOOKUP($B1003,Paraméterek!$I$28:$P$31,IF($D$2="Egyszeri",8,HLOOKUP(ROUNDUP($M$11+$M$13,0),Paraméterek!$J$26:$O$27,2))),IF($D$4="Forint",0,2))</f>
        <v>#N/A</v>
      </c>
      <c r="M1003" s="13">
        <f t="shared" ca="1" si="335"/>
        <v>0</v>
      </c>
      <c r="N1003" s="13">
        <f t="shared" ca="1" si="345"/>
        <v>0</v>
      </c>
      <c r="O1003" s="13">
        <f ca="1">IF($D1003="Igen",IF($W1002&gt;=IF($D$4="Forint",Paraméterek!$J$121,Paraméterek!$K$121),0,IF($D$4="Forint",Paraméterek!$J$121,Paraméterek!$K$121)-$W1002),0)</f>
        <v>0</v>
      </c>
      <c r="P1003" s="13" t="e">
        <f ca="1">ROUNDUP($O1003*VLOOKUP($M$4+$B1003-1,Paraméterek!$H$58:$I$105,2,0)/Paraméterek!$I$56,IF($D$4="Forint",0,2))</f>
        <v>#N/A</v>
      </c>
      <c r="Q1003" s="13">
        <f t="shared" ca="1" si="336"/>
        <v>0</v>
      </c>
      <c r="R1003" s="33"/>
      <c r="S1003" s="13" t="e">
        <f t="shared" ca="1" si="337"/>
        <v>#N/A</v>
      </c>
      <c r="T1003" s="13" t="e">
        <f ca="1">ROUNDUP(($N1003-$P1003-$Q1003+$S1003)*VLOOKUP($B1003,Paraméterek!$I$38:$K$39,IF($D$2="Egyszeri",3,2))/12*IF($D1004="Nem",IF($M$13=0,1,$M$13),1),IF($D$4="Forint",0,2))</f>
        <v>#N/A</v>
      </c>
      <c r="U1003" s="13">
        <f>Tranzakciók!$F$113</f>
        <v>0</v>
      </c>
      <c r="V1003" s="13"/>
      <c r="W1003" s="13" t="e">
        <f ca="1">$N1003-$P1003-$Q1003+$S1003-$T1003-IF(ROUNDUP(IF(ISBLANK($V1003),$U1003*0,$V1003)/IF($D$2="Egyszeri",VLOOKUP($B1003+IF($C1003=12,1,0),Paraméterek!$V$257:$W$262,2),IF($B1003=1,1,VLOOKUP($B1003+IF($C1003=12,1,0),Paraméterek!$I$258:$T$278,HLOOKUP($M$11+1,Paraméterek!$J$256:$T$257,2)))),IF($D$4="Forint",0,2))&gt;$N1003-$P1003-$Q1003+$S1003-$T1003-IF($D$4="Forint",Paraméterek!$C$216,Paraméterek!$D$216),0,ROUNDUP(IF(ISBLANK($V1003),$U1003*0,$V1003)/IF($D$2="Egyszeri",VLOOKUP($B1003+IF($C1003=12,1,0),Paraméterek!$V$257:$W$262,2),IF($B1003=1,1,VLOOKUP($B1003+IF($C1003=12,1,0),Paraméterek!$I$258:$T$278,HLOOKUP($M$11+1,Paraméterek!$J$256:$T$257,2)))),IF($D$4="Forint",0,2)))</f>
        <v>#N/A</v>
      </c>
      <c r="X1003" s="13" t="e">
        <f ca="1">ROUNDDOWN($W1003*IF($D$2="Egyszeri",VLOOKUP($B1003+IF($C1003=12,1,0),Paraméterek!$V$257:$W$262,2),VLOOKUP($B1003+IF($C1003=12,1,0),Paraméterek!$I$258:$T$278,HLOOKUP($M$11+1,Paraméterek!$I$256:$T$257,2))),IF($D$4="Forint",0,2))</f>
        <v>#N/A</v>
      </c>
      <c r="Z1003" s="32">
        <v>984</v>
      </c>
      <c r="AA1003" s="32">
        <v>82</v>
      </c>
      <c r="AB1003" s="32">
        <v>12</v>
      </c>
      <c r="AC1003" s="13">
        <f t="shared" ca="1" si="346"/>
        <v>0</v>
      </c>
      <c r="AD1003" s="33"/>
      <c r="AE1003" s="13">
        <f t="shared" ca="1" si="338"/>
        <v>0</v>
      </c>
      <c r="AF1003" s="13">
        <f ca="1">ROUNDUP(($AC1003+$AE1003)*VLOOKUP($AA1003,Paraméterek!$P$38:$Q$38,2)/12*IF($D1004="Nem",IF($M$13=0,1,$M$13),1),IF($D$4="Forint",0,2))</f>
        <v>0</v>
      </c>
      <c r="AG1003" s="13" t="e">
        <f ca="1">IF($D$2="Egyszeri",IF($D$7&gt;=IF($D$4="Forint",Paraméterek!$P$223,Paraméterek!$P$224),$D$7-IF($D$4="Forint",Paraméterek!$P$223,Paraméterek!$P$224),0),MIN(IF($AB1003=12,AVERAGEIF($E$20:$E1003,"&gt;0",$E$20:$E1003)*12,0),SUM($E$20:$E$31)))</f>
        <v>#DIV/0!</v>
      </c>
      <c r="AH1003" s="13">
        <f>IF($AA1003=10,$AG1003*IF($AB1003=12,IF($AG1003&lt;IF($D$4="Forint",Paraméterek!$L$223,Paraméterek!$L$224),0,VLOOKUP($AA1003,Paraméterek!$K$226:$M$228,IF($AG1003&lt;IF($D$4="Forint",Paraméterek!$M$223,Paraméterek!$M$224),2,3))),0),0)</f>
        <v>0</v>
      </c>
      <c r="AI1003" s="13">
        <f ca="1">IF(AND($AA1003=$M$11+1,$AB1003=$M$12+1),SUMIF($AA$20:$AA$1027,$AA1003,$AG$20:$AG$1027)*IF(SUMIF($AA$20:$AA$1027,$AA1003,$AG$20:$AG$1027)&lt;IF($D$4="Forint",Paraméterek!$L$223,Paraméterek!$L$224),0,VLOOKUP($AA1003,Paraméterek!$K$230:$M$250,IF(SUMIF($AA$20:$AA$1027,$AA1003,$AG$20:$AG$1027)&lt;IF($D$4="Forint",Paraméterek!$M$223,Paraméterek!$M$224),2,3))),0)</f>
        <v>0</v>
      </c>
      <c r="AJ1003" s="13" t="e">
        <f ca="1">IF(AND($AA1003&gt;=5,MOD($AA1003,5)=0),IF($AB1003=12,VLOOKUP($AA1003,Paraméterek!$O$225:$P$240,2),0),IF(OR($AA1003=3,$AA1003=4),IF($AB1003=12,VLOOKUP($AA1003,Paraméterek!$O$225:$P$240,2,0),0),0))*$AG1003</f>
        <v>#DIV/0!</v>
      </c>
      <c r="AK1003" s="13">
        <f t="shared" ca="1" si="339"/>
        <v>0</v>
      </c>
      <c r="AL1003" s="13">
        <f t="shared" ca="1" si="347"/>
        <v>0</v>
      </c>
      <c r="AM1003" s="13">
        <f t="shared" ca="1" si="348"/>
        <v>0</v>
      </c>
      <c r="AO1003" s="32">
        <v>984</v>
      </c>
      <c r="AP1003" s="32">
        <v>82</v>
      </c>
      <c r="AQ1003" s="32">
        <v>12</v>
      </c>
      <c r="AR1003" s="13"/>
      <c r="AS1003" s="32"/>
      <c r="AT1003" s="13">
        <f t="shared" ca="1" si="349"/>
        <v>0</v>
      </c>
      <c r="AU1003" s="33"/>
      <c r="AV1003" s="13">
        <f t="shared" ca="1" si="340"/>
        <v>0</v>
      </c>
      <c r="AW1003" s="13">
        <f ca="1">ROUNDUP(($AT1003+$AV1003)*VLOOKUP($AP1003,Paraméterek!$P$38:$Q$38,2)/12*IF($D1004="Nem",IF($M$13=0,1,$M$13),1),IF($D$4="Forint",0,2))</f>
        <v>0</v>
      </c>
      <c r="AX1003" s="13">
        <f>Tranzakciók!$M$113</f>
        <v>0</v>
      </c>
      <c r="AY1003" s="13"/>
      <c r="AZ1003" s="13">
        <f>ROUNDUP(IF(SUM($AX1003:$AY1003)=0,0,IF(IF(ISBLANK($AY1003),$AX1003,$AY1003)*Paraméterek!$J$112&lt;IF($D$4="Forint",Paraméterek!$J$113,Paraméterek!$K$113),IF($D$4="Forint",Paraméterek!$J$113,Paraméterek!$K$113),IF(IF(ISBLANK($AY1003),$AX1003,$AY1003)*Paraméterek!$J$112&gt;IF($D$4="Forint",Paraméterek!$J$114,Paraméterek!$K$114),IF($D$4="Forint",Paraméterek!$J$114,Paraméterek!$K$114),IF(ISBLANK($AY1003),$AX1003,$AY1003)*Paraméterek!$J$112))),IF($D$4="Forint",0,2))</f>
        <v>0</v>
      </c>
      <c r="BA1003" s="13">
        <f ca="1">$AT1003+$AV1003-$AW1003-IF(ROUNDDOWN(IF(ISBLANK($AY1003),$AX1003,$AY1003),IF($D$4="Forint",0,2))&gt;$AT1003+$AV1003-$AW1003-IF($D$4="Forint",Paraméterek!$J$114,Paraméterek!$K$114),0,ROUNDDOWN(IF(ISBLANK($AY1003),$AX1003,$AY1003),IF($D$4="Forint",0,2))-$AZ1003)</f>
        <v>0</v>
      </c>
      <c r="BB1003" s="13">
        <f t="shared" ca="1" si="341"/>
        <v>0</v>
      </c>
      <c r="BD1003" s="32">
        <v>984</v>
      </c>
      <c r="BE1003" s="32">
        <v>82</v>
      </c>
      <c r="BF1003" s="32">
        <v>12</v>
      </c>
      <c r="BG1003" s="34">
        <f t="shared" ca="1" si="350"/>
        <v>2101</v>
      </c>
      <c r="BH1003" s="32" t="str">
        <f ca="1">IF(MOD(MONTH($D$14)+$BD1003-1,12)=Paraméterek!$C$288,"Igen","")</f>
        <v/>
      </c>
      <c r="BI1003" s="13">
        <f ca="1">IF($BH1003="Igen",MIN(ROUNDDOWN((SUMIF($BG$20:$BG$1027,$BG1003-1,$K$20:$K$1027)-SUMIF($BG$20:$BG$1027,$BG1003-1,$I$20:$I$1027))*Paraméterek!$C$289,IF($D$4="Forint",0,2)),IF($D$4="Forint",Paraméterek!$C$285,Paraméterek!$D$285)),0)</f>
        <v>0</v>
      </c>
      <c r="BJ1003" s="13">
        <f t="shared" ca="1" si="342"/>
        <v>0</v>
      </c>
      <c r="BK1003" s="13">
        <f t="shared" ca="1" si="351"/>
        <v>0</v>
      </c>
      <c r="BL1003" s="33"/>
      <c r="BM1003" s="13">
        <f t="shared" ca="1" si="343"/>
        <v>0</v>
      </c>
      <c r="BN1003" s="13">
        <f ca="1">ROUNDUP(($BK1003+$BM1003)*VLOOKUP($BE1003,Paraméterek!$P$38:$Q$38,2)/12*IF($D1004="Nem",IF($M$13=0,1,$M$13),1),IF($D$4="Forint",0,2))</f>
        <v>0</v>
      </c>
      <c r="BO1003" s="13">
        <f t="shared" ca="1" si="344"/>
        <v>0</v>
      </c>
      <c r="BP1003" s="13">
        <f ca="1">IF($D1004="Nem",$BO1003,$BO1003-ROUNDUP(SUM($BI$20:$BI1003)*120%,IF($D$4="Forint",0,2)))</f>
        <v>0</v>
      </c>
    </row>
    <row r="1004" spans="1:68" x14ac:dyDescent="0.2">
      <c r="A1004" s="32">
        <v>985</v>
      </c>
      <c r="B1004" s="32">
        <v>83</v>
      </c>
      <c r="C1004" s="32">
        <v>1</v>
      </c>
      <c r="D1004" s="32" t="str">
        <f t="shared" ca="1" si="330"/>
        <v>Nem</v>
      </c>
      <c r="E1004" s="13">
        <f t="shared" ca="1" si="331"/>
        <v>0</v>
      </c>
      <c r="F1004" s="13"/>
      <c r="G1004" s="13">
        <f>Tranzakciók!$D$114</f>
        <v>0</v>
      </c>
      <c r="H1004" s="13"/>
      <c r="I1004" s="13">
        <f t="shared" ca="1" si="332"/>
        <v>0</v>
      </c>
      <c r="J1004" s="13">
        <f t="shared" ca="1" si="333"/>
        <v>0</v>
      </c>
      <c r="K1004" s="13">
        <f t="shared" ca="1" si="334"/>
        <v>0</v>
      </c>
      <c r="L1004" s="13" t="e">
        <f ca="1">ROUNDUP(IF($D$2="Egyszeri",$E1004,IF($D$2="Havi",SUM($E$20:$E$31),IF(MOD($C1004,$M$1)-1=0,SUM($E$20:$E$31),0))/12*$M$1)*VLOOKUP($B1004,Paraméterek!$I$28:$P$31,IF($D$2="Egyszeri",8,HLOOKUP(ROUNDUP($M$11+$M$13,0),Paraméterek!$J$26:$O$27,2))),IF($D$4="Forint",0,2))</f>
        <v>#N/A</v>
      </c>
      <c r="M1004" s="13">
        <f t="shared" ca="1" si="335"/>
        <v>0</v>
      </c>
      <c r="N1004" s="13">
        <f t="shared" ca="1" si="345"/>
        <v>0</v>
      </c>
      <c r="O1004" s="13">
        <f ca="1">IF($D1004="Igen",IF($W1003&gt;=IF($D$4="Forint",Paraméterek!$J$121,Paraméterek!$K$121),0,IF($D$4="Forint",Paraméterek!$J$121,Paraméterek!$K$121)-$W1003),0)</f>
        <v>0</v>
      </c>
      <c r="P1004" s="13" t="e">
        <f ca="1">ROUNDUP($O1004*VLOOKUP($M$4+$B1004-1,Paraméterek!$H$58:$I$105,2,0)/Paraméterek!$I$56,IF($D$4="Forint",0,2))</f>
        <v>#N/A</v>
      </c>
      <c r="Q1004" s="13">
        <f t="shared" ca="1" si="336"/>
        <v>0</v>
      </c>
      <c r="R1004" s="33"/>
      <c r="S1004" s="13" t="e">
        <f t="shared" ca="1" si="337"/>
        <v>#N/A</v>
      </c>
      <c r="T1004" s="13" t="e">
        <f ca="1">ROUNDUP(($N1004-$P1004-$Q1004+$S1004)*VLOOKUP($B1004,Paraméterek!$I$38:$K$39,IF($D$2="Egyszeri",3,2))/12*IF($D1005="Nem",IF($M$13=0,1,$M$13),1),IF($D$4="Forint",0,2))</f>
        <v>#N/A</v>
      </c>
      <c r="U1004" s="13"/>
      <c r="V1004" s="13"/>
      <c r="W1004" s="13" t="e">
        <f ca="1">$N1004-$P1004-$Q1004+$S1004-$T1004-IF(ROUNDUP(IF(ISBLANK($V1004),$U1004*0,$V1004)/IF($D$2="Egyszeri",VLOOKUP($B1004+IF($C1004=12,1,0),Paraméterek!$V$257:$W$262,2),IF($B1004=1,1,VLOOKUP($B1004+IF($C1004=12,1,0),Paraméterek!$I$258:$T$278,HLOOKUP($M$11+1,Paraméterek!$J$256:$T$257,2)))),IF($D$4="Forint",0,2))&gt;$N1004-$P1004-$Q1004+$S1004-$T1004-IF($D$4="Forint",Paraméterek!$C$216,Paraméterek!$D$216),0,ROUNDUP(IF(ISBLANK($V1004),$U1004*0,$V1004)/IF($D$2="Egyszeri",VLOOKUP($B1004+IF($C1004=12,1,0),Paraméterek!$V$257:$W$262,2),IF($B1004=1,1,VLOOKUP($B1004+IF($C1004=12,1,0),Paraméterek!$I$258:$T$278,HLOOKUP($M$11+1,Paraméterek!$J$256:$T$257,2)))),IF($D$4="Forint",0,2)))</f>
        <v>#N/A</v>
      </c>
      <c r="X1004" s="13" t="e">
        <f ca="1">ROUNDDOWN($W1004*IF($D$2="Egyszeri",VLOOKUP($B1004+IF($C1004=12,1,0),Paraméterek!$V$257:$W$262,2),VLOOKUP($B1004+IF($C1004=12,1,0),Paraméterek!$I$258:$T$278,HLOOKUP($M$11+1,Paraméterek!$I$256:$T$257,2))),IF($D$4="Forint",0,2))</f>
        <v>#N/A</v>
      </c>
      <c r="Z1004" s="32">
        <v>985</v>
      </c>
      <c r="AA1004" s="32">
        <v>83</v>
      </c>
      <c r="AB1004" s="32">
        <v>1</v>
      </c>
      <c r="AC1004" s="13">
        <f t="shared" ca="1" si="346"/>
        <v>0</v>
      </c>
      <c r="AD1004" s="33"/>
      <c r="AE1004" s="13">
        <f t="shared" ca="1" si="338"/>
        <v>0</v>
      </c>
      <c r="AF1004" s="13">
        <f ca="1">ROUNDUP(($AC1004+$AE1004)*VLOOKUP($AA1004,Paraméterek!$P$38:$Q$38,2)/12*IF($D1005="Nem",IF($M$13=0,1,$M$13),1),IF($D$4="Forint",0,2))</f>
        <v>0</v>
      </c>
      <c r="AG1004" s="13">
        <f ca="1">IF($D$2="Egyszeri",IF($D$7&gt;=IF($D$4="Forint",Paraméterek!$P$223,Paraméterek!$P$224),$D$7-IF($D$4="Forint",Paraméterek!$P$223,Paraméterek!$P$224),0),MIN(IF($AB1004=12,AVERAGEIF($E$20:$E1004,"&gt;0",$E$20:$E1004)*12,0),SUM($E$20:$E$31)))</f>
        <v>0</v>
      </c>
      <c r="AH1004" s="13">
        <f>IF($AA1004=10,$AG1004*IF($AB1004=12,IF($AG1004&lt;IF($D$4="Forint",Paraméterek!$L$223,Paraméterek!$L$224),0,VLOOKUP($AA1004,Paraméterek!$K$226:$M$228,IF($AG1004&lt;IF($D$4="Forint",Paraméterek!$M$223,Paraméterek!$M$224),2,3))),0),0)</f>
        <v>0</v>
      </c>
      <c r="AI1004" s="13">
        <f ca="1">IF(AND($AA1004=$M$11+1,$AB1004=$M$12+1),SUMIF($AA$20:$AA$1027,$AA1004,$AG$20:$AG$1027)*IF(SUMIF($AA$20:$AA$1027,$AA1004,$AG$20:$AG$1027)&lt;IF($D$4="Forint",Paraméterek!$L$223,Paraméterek!$L$224),0,VLOOKUP($AA1004,Paraméterek!$K$230:$M$250,IF(SUMIF($AA$20:$AA$1027,$AA1004,$AG$20:$AG$1027)&lt;IF($D$4="Forint",Paraméterek!$M$223,Paraméterek!$M$224),2,3))),0)</f>
        <v>0</v>
      </c>
      <c r="AJ1004" s="13">
        <f ca="1">IF(AND($AA1004&gt;=5,MOD($AA1004,5)=0),IF($AB1004=12,VLOOKUP($AA1004,Paraméterek!$O$225:$P$240,2),0),IF(OR($AA1004=3,$AA1004=4),IF($AB1004=12,VLOOKUP($AA1004,Paraméterek!$O$225:$P$240,2,0),0),0))*$AG1004</f>
        <v>0</v>
      </c>
      <c r="AK1004" s="13">
        <f t="shared" ca="1" si="339"/>
        <v>0</v>
      </c>
      <c r="AL1004" s="13">
        <f t="shared" ca="1" si="347"/>
        <v>0</v>
      </c>
      <c r="AM1004" s="13">
        <f t="shared" ca="1" si="348"/>
        <v>0</v>
      </c>
      <c r="AO1004" s="32">
        <v>985</v>
      </c>
      <c r="AP1004" s="32">
        <v>83</v>
      </c>
      <c r="AQ1004" s="32">
        <v>1</v>
      </c>
      <c r="AR1004" s="13">
        <f>Tranzakciók!$K$114</f>
        <v>0</v>
      </c>
      <c r="AS1004" s="32"/>
      <c r="AT1004" s="13">
        <f t="shared" ca="1" si="349"/>
        <v>0</v>
      </c>
      <c r="AU1004" s="33"/>
      <c r="AV1004" s="13">
        <f t="shared" ca="1" si="340"/>
        <v>0</v>
      </c>
      <c r="AW1004" s="13">
        <f ca="1">ROUNDUP(($AT1004+$AV1004)*VLOOKUP($AP1004,Paraméterek!$P$38:$Q$38,2)/12*IF($D1005="Nem",IF($M$13=0,1,$M$13),1),IF($D$4="Forint",0,2))</f>
        <v>0</v>
      </c>
      <c r="AX1004" s="13"/>
      <c r="AY1004" s="13"/>
      <c r="AZ1004" s="13">
        <f>ROUNDUP(IF(SUM($AX1004:$AY1004)=0,0,IF(IF(ISBLANK($AY1004),$AX1004,$AY1004)*Paraméterek!$J$112&lt;IF($D$4="Forint",Paraméterek!$J$113,Paraméterek!$K$113),IF($D$4="Forint",Paraméterek!$J$113,Paraméterek!$K$113),IF(IF(ISBLANK($AY1004),$AX1004,$AY1004)*Paraméterek!$J$112&gt;IF($D$4="Forint",Paraméterek!$J$114,Paraméterek!$K$114),IF($D$4="Forint",Paraméterek!$J$114,Paraméterek!$K$114),IF(ISBLANK($AY1004),$AX1004,$AY1004)*Paraméterek!$J$112))),IF($D$4="Forint",0,2))</f>
        <v>0</v>
      </c>
      <c r="BA1004" s="13">
        <f ca="1">$AT1004+$AV1004-$AW1004-IF(ROUNDDOWN(IF(ISBLANK($AY1004),$AX1004,$AY1004),IF($D$4="Forint",0,2))&gt;$AT1004+$AV1004-$AW1004-IF($D$4="Forint",Paraméterek!$J$114,Paraméterek!$K$114),0,ROUNDDOWN(IF(ISBLANK($AY1004),$AX1004,$AY1004),IF($D$4="Forint",0,2))-$AZ1004)</f>
        <v>0</v>
      </c>
      <c r="BB1004" s="13">
        <f t="shared" ca="1" si="341"/>
        <v>0</v>
      </c>
      <c r="BD1004" s="32">
        <v>985</v>
      </c>
      <c r="BE1004" s="32">
        <v>83</v>
      </c>
      <c r="BF1004" s="32">
        <v>1</v>
      </c>
      <c r="BG1004" s="34">
        <f t="shared" ca="1" si="350"/>
        <v>2101</v>
      </c>
      <c r="BH1004" s="32" t="str">
        <f ca="1">IF(MOD(MONTH($D$14)+$BD1004-1,12)=Paraméterek!$C$288,"Igen","")</f>
        <v/>
      </c>
      <c r="BI1004" s="13">
        <f ca="1">IF($BH1004="Igen",MIN(ROUNDDOWN((SUMIF($BG$20:$BG$1027,$BG1004-1,$K$20:$K$1027)-SUMIF($BG$20:$BG$1027,$BG1004-1,$I$20:$I$1027))*Paraméterek!$C$289,IF($D$4="Forint",0,2)),IF($D$4="Forint",Paraméterek!$C$285,Paraméterek!$D$285)),0)</f>
        <v>0</v>
      </c>
      <c r="BJ1004" s="13">
        <f t="shared" ca="1" si="342"/>
        <v>0</v>
      </c>
      <c r="BK1004" s="13">
        <f t="shared" ca="1" si="351"/>
        <v>0</v>
      </c>
      <c r="BL1004" s="33"/>
      <c r="BM1004" s="13">
        <f t="shared" ca="1" si="343"/>
        <v>0</v>
      </c>
      <c r="BN1004" s="13">
        <f ca="1">ROUNDUP(($BK1004+$BM1004)*VLOOKUP($BE1004,Paraméterek!$P$38:$Q$38,2)/12*IF($D1005="Nem",IF($M$13=0,1,$M$13),1),IF($D$4="Forint",0,2))</f>
        <v>0</v>
      </c>
      <c r="BO1004" s="13">
        <f t="shared" ca="1" si="344"/>
        <v>0</v>
      </c>
      <c r="BP1004" s="13">
        <f ca="1">IF($D1005="Nem",$BO1004,$BO1004-ROUNDUP(SUM($BI$20:$BI1004)*120%,IF($D$4="Forint",0,2)))</f>
        <v>0</v>
      </c>
    </row>
    <row r="1005" spans="1:68" x14ac:dyDescent="0.2">
      <c r="A1005" s="32">
        <v>986</v>
      </c>
      <c r="B1005" s="32">
        <v>83</v>
      </c>
      <c r="C1005" s="32">
        <v>2</v>
      </c>
      <c r="D1005" s="32" t="str">
        <f t="shared" ca="1" si="330"/>
        <v>Nem</v>
      </c>
      <c r="E1005" s="13">
        <f t="shared" ca="1" si="331"/>
        <v>0</v>
      </c>
      <c r="F1005" s="13"/>
      <c r="G1005" s="13"/>
      <c r="H1005" s="13"/>
      <c r="I1005" s="13">
        <f t="shared" ca="1" si="332"/>
        <v>0</v>
      </c>
      <c r="J1005" s="13">
        <f t="shared" ca="1" si="333"/>
        <v>0</v>
      </c>
      <c r="K1005" s="13">
        <f t="shared" ca="1" si="334"/>
        <v>0</v>
      </c>
      <c r="L1005" s="13" t="e">
        <f ca="1">ROUNDUP(IF($D$2="Egyszeri",$E1005,IF($D$2="Havi",SUM($E$20:$E$31),IF(MOD($C1005,$M$1)-1=0,SUM($E$20:$E$31),0))/12*$M$1)*VLOOKUP($B1005,Paraméterek!$I$28:$P$31,IF($D$2="Egyszeri",8,HLOOKUP(ROUNDUP($M$11+$M$13,0),Paraméterek!$J$26:$O$27,2))),IF($D$4="Forint",0,2))</f>
        <v>#N/A</v>
      </c>
      <c r="M1005" s="13">
        <f t="shared" ca="1" si="335"/>
        <v>0</v>
      </c>
      <c r="N1005" s="13">
        <f t="shared" ca="1" si="345"/>
        <v>0</v>
      </c>
      <c r="O1005" s="13">
        <f ca="1">IF($D1005="Igen",IF($W1004&gt;=IF($D$4="Forint",Paraméterek!$J$121,Paraméterek!$K$121),0,IF($D$4="Forint",Paraméterek!$J$121,Paraméterek!$K$121)-$W1004),0)</f>
        <v>0</v>
      </c>
      <c r="P1005" s="13" t="e">
        <f ca="1">ROUNDUP($O1005*VLOOKUP($M$4+$B1005-1,Paraméterek!$H$58:$I$105,2,0)/Paraméterek!$I$56,IF($D$4="Forint",0,2))</f>
        <v>#N/A</v>
      </c>
      <c r="Q1005" s="13">
        <f t="shared" ca="1" si="336"/>
        <v>0</v>
      </c>
      <c r="R1005" s="33"/>
      <c r="S1005" s="13" t="e">
        <f t="shared" ca="1" si="337"/>
        <v>#N/A</v>
      </c>
      <c r="T1005" s="13" t="e">
        <f ca="1">ROUNDUP(($N1005-$P1005-$Q1005+$S1005)*VLOOKUP($B1005,Paraméterek!$I$38:$K$39,IF($D$2="Egyszeri",3,2))/12*IF($D1006="Nem",IF($M$13=0,1,$M$13),1),IF($D$4="Forint",0,2))</f>
        <v>#N/A</v>
      </c>
      <c r="U1005" s="13"/>
      <c r="V1005" s="13"/>
      <c r="W1005" s="13" t="e">
        <f ca="1">$N1005-$P1005-$Q1005+$S1005-$T1005-IF(ROUNDUP(IF(ISBLANK($V1005),$U1005*0,$V1005)/IF($D$2="Egyszeri",VLOOKUP($B1005+IF($C1005=12,1,0),Paraméterek!$V$257:$W$262,2),IF($B1005=1,1,VLOOKUP($B1005+IF($C1005=12,1,0),Paraméterek!$I$258:$T$278,HLOOKUP($M$11+1,Paraméterek!$J$256:$T$257,2)))),IF($D$4="Forint",0,2))&gt;$N1005-$P1005-$Q1005+$S1005-$T1005-IF($D$4="Forint",Paraméterek!$C$216,Paraméterek!$D$216),0,ROUNDUP(IF(ISBLANK($V1005),$U1005*0,$V1005)/IF($D$2="Egyszeri",VLOOKUP($B1005+IF($C1005=12,1,0),Paraméterek!$V$257:$W$262,2),IF($B1005=1,1,VLOOKUP($B1005+IF($C1005=12,1,0),Paraméterek!$I$258:$T$278,HLOOKUP($M$11+1,Paraméterek!$J$256:$T$257,2)))),IF($D$4="Forint",0,2)))</f>
        <v>#N/A</v>
      </c>
      <c r="X1005" s="13" t="e">
        <f ca="1">ROUNDDOWN($W1005*IF($D$2="Egyszeri",VLOOKUP($B1005+IF($C1005=12,1,0),Paraméterek!$V$257:$W$262,2),VLOOKUP($B1005+IF($C1005=12,1,0),Paraméterek!$I$258:$T$278,HLOOKUP($M$11+1,Paraméterek!$I$256:$T$257,2))),IF($D$4="Forint",0,2))</f>
        <v>#N/A</v>
      </c>
      <c r="Z1005" s="32">
        <v>986</v>
      </c>
      <c r="AA1005" s="32">
        <v>83</v>
      </c>
      <c r="AB1005" s="32">
        <v>2</v>
      </c>
      <c r="AC1005" s="13">
        <f t="shared" ca="1" si="346"/>
        <v>0</v>
      </c>
      <c r="AD1005" s="33"/>
      <c r="AE1005" s="13">
        <f t="shared" ca="1" si="338"/>
        <v>0</v>
      </c>
      <c r="AF1005" s="13">
        <f ca="1">ROUNDUP(($AC1005+$AE1005)*VLOOKUP($AA1005,Paraméterek!$P$38:$Q$38,2)/12*IF($D1006="Nem",IF($M$13=0,1,$M$13),1),IF($D$4="Forint",0,2))</f>
        <v>0</v>
      </c>
      <c r="AG1005" s="13">
        <f ca="1">IF($D$2="Egyszeri",IF($D$7&gt;=IF($D$4="Forint",Paraméterek!$P$223,Paraméterek!$P$224),$D$7-IF($D$4="Forint",Paraméterek!$P$223,Paraméterek!$P$224),0),MIN(IF($AB1005=12,AVERAGEIF($E$20:$E1005,"&gt;0",$E$20:$E1005)*12,0),SUM($E$20:$E$31)))</f>
        <v>0</v>
      </c>
      <c r="AH1005" s="13">
        <f>IF($AA1005=10,$AG1005*IF($AB1005=12,IF($AG1005&lt;IF($D$4="Forint",Paraméterek!$L$223,Paraméterek!$L$224),0,VLOOKUP($AA1005,Paraméterek!$K$226:$M$228,IF($AG1005&lt;IF($D$4="Forint",Paraméterek!$M$223,Paraméterek!$M$224),2,3))),0),0)</f>
        <v>0</v>
      </c>
      <c r="AI1005" s="13">
        <f ca="1">IF(AND($AA1005=$M$11+1,$AB1005=$M$12+1),SUMIF($AA$20:$AA$1027,$AA1005,$AG$20:$AG$1027)*IF(SUMIF($AA$20:$AA$1027,$AA1005,$AG$20:$AG$1027)&lt;IF($D$4="Forint",Paraméterek!$L$223,Paraméterek!$L$224),0,VLOOKUP($AA1005,Paraméterek!$K$230:$M$250,IF(SUMIF($AA$20:$AA$1027,$AA1005,$AG$20:$AG$1027)&lt;IF($D$4="Forint",Paraméterek!$M$223,Paraméterek!$M$224),2,3))),0)</f>
        <v>0</v>
      </c>
      <c r="AJ1005" s="13">
        <f ca="1">IF(AND($AA1005&gt;=5,MOD($AA1005,5)=0),IF($AB1005=12,VLOOKUP($AA1005,Paraméterek!$O$225:$P$240,2),0),IF(OR($AA1005=3,$AA1005=4),IF($AB1005=12,VLOOKUP($AA1005,Paraméterek!$O$225:$P$240,2,0),0),0))*$AG1005</f>
        <v>0</v>
      </c>
      <c r="AK1005" s="13">
        <f t="shared" ca="1" si="339"/>
        <v>0</v>
      </c>
      <c r="AL1005" s="13">
        <f t="shared" ca="1" si="347"/>
        <v>0</v>
      </c>
      <c r="AM1005" s="13">
        <f t="shared" ca="1" si="348"/>
        <v>0</v>
      </c>
      <c r="AO1005" s="32">
        <v>986</v>
      </c>
      <c r="AP1005" s="32">
        <v>83</v>
      </c>
      <c r="AQ1005" s="32">
        <v>2</v>
      </c>
      <c r="AR1005" s="13"/>
      <c r="AS1005" s="32"/>
      <c r="AT1005" s="13">
        <f t="shared" ca="1" si="349"/>
        <v>0</v>
      </c>
      <c r="AU1005" s="33"/>
      <c r="AV1005" s="13">
        <f t="shared" ca="1" si="340"/>
        <v>0</v>
      </c>
      <c r="AW1005" s="13">
        <f ca="1">ROUNDUP(($AT1005+$AV1005)*VLOOKUP($AP1005,Paraméterek!$P$38:$Q$38,2)/12*IF($D1006="Nem",IF($M$13=0,1,$M$13),1),IF($D$4="Forint",0,2))</f>
        <v>0</v>
      </c>
      <c r="AX1005" s="13"/>
      <c r="AY1005" s="13"/>
      <c r="AZ1005" s="13">
        <f>ROUNDUP(IF(SUM($AX1005:$AY1005)=0,0,IF(IF(ISBLANK($AY1005),$AX1005,$AY1005)*Paraméterek!$J$112&lt;IF($D$4="Forint",Paraméterek!$J$113,Paraméterek!$K$113),IF($D$4="Forint",Paraméterek!$J$113,Paraméterek!$K$113),IF(IF(ISBLANK($AY1005),$AX1005,$AY1005)*Paraméterek!$J$112&gt;IF($D$4="Forint",Paraméterek!$J$114,Paraméterek!$K$114),IF($D$4="Forint",Paraméterek!$J$114,Paraméterek!$K$114),IF(ISBLANK($AY1005),$AX1005,$AY1005)*Paraméterek!$J$112))),IF($D$4="Forint",0,2))</f>
        <v>0</v>
      </c>
      <c r="BA1005" s="13">
        <f ca="1">$AT1005+$AV1005-$AW1005-IF(ROUNDDOWN(IF(ISBLANK($AY1005),$AX1005,$AY1005),IF($D$4="Forint",0,2))&gt;$AT1005+$AV1005-$AW1005-IF($D$4="Forint",Paraméterek!$J$114,Paraméterek!$K$114),0,ROUNDDOWN(IF(ISBLANK($AY1005),$AX1005,$AY1005),IF($D$4="Forint",0,2))-$AZ1005)</f>
        <v>0</v>
      </c>
      <c r="BB1005" s="13">
        <f t="shared" ca="1" si="341"/>
        <v>0</v>
      </c>
      <c r="BD1005" s="32">
        <v>986</v>
      </c>
      <c r="BE1005" s="32">
        <v>83</v>
      </c>
      <c r="BF1005" s="32">
        <v>2</v>
      </c>
      <c r="BG1005" s="34">
        <f t="shared" ca="1" si="350"/>
        <v>2101</v>
      </c>
      <c r="BH1005" s="32" t="str">
        <f ca="1">IF(MOD(MONTH($D$14)+$BD1005-1,12)=Paraméterek!$C$288,"Igen","")</f>
        <v>Igen</v>
      </c>
      <c r="BI1005" s="13">
        <f ca="1">IF($BH1005="Igen",MIN(ROUNDDOWN((SUMIF($BG$20:$BG$1027,$BG1005-1,$K$20:$K$1027)-SUMIF($BG$20:$BG$1027,$BG1005-1,$I$20:$I$1027))*Paraméterek!$C$289,IF($D$4="Forint",0,2)),IF($D$4="Forint",Paraméterek!$C$285,Paraméterek!$D$285)),0)</f>
        <v>0</v>
      </c>
      <c r="BJ1005" s="13">
        <f t="shared" ca="1" si="342"/>
        <v>0</v>
      </c>
      <c r="BK1005" s="13">
        <f t="shared" ca="1" si="351"/>
        <v>0</v>
      </c>
      <c r="BL1005" s="33"/>
      <c r="BM1005" s="13">
        <f t="shared" ca="1" si="343"/>
        <v>0</v>
      </c>
      <c r="BN1005" s="13">
        <f ca="1">ROUNDUP(($BK1005+$BM1005)*VLOOKUP($BE1005,Paraméterek!$P$38:$Q$38,2)/12*IF($D1006="Nem",IF($M$13=0,1,$M$13),1),IF($D$4="Forint",0,2))</f>
        <v>0</v>
      </c>
      <c r="BO1005" s="13">
        <f t="shared" ca="1" si="344"/>
        <v>0</v>
      </c>
      <c r="BP1005" s="13">
        <f ca="1">IF($D1006="Nem",$BO1005,$BO1005-ROUNDUP(SUM($BI$20:$BI1005)*120%,IF($D$4="Forint",0,2)))</f>
        <v>0</v>
      </c>
    </row>
    <row r="1006" spans="1:68" x14ac:dyDescent="0.2">
      <c r="A1006" s="32">
        <v>987</v>
      </c>
      <c r="B1006" s="32">
        <v>83</v>
      </c>
      <c r="C1006" s="32">
        <v>3</v>
      </c>
      <c r="D1006" s="32" t="str">
        <f t="shared" ca="1" si="330"/>
        <v>Nem</v>
      </c>
      <c r="E1006" s="13">
        <f t="shared" ca="1" si="331"/>
        <v>0</v>
      </c>
      <c r="F1006" s="13"/>
      <c r="G1006" s="13"/>
      <c r="H1006" s="13"/>
      <c r="I1006" s="13">
        <f t="shared" ca="1" si="332"/>
        <v>0</v>
      </c>
      <c r="J1006" s="13">
        <f t="shared" ca="1" si="333"/>
        <v>0</v>
      </c>
      <c r="K1006" s="13">
        <f t="shared" ca="1" si="334"/>
        <v>0</v>
      </c>
      <c r="L1006" s="13" t="e">
        <f ca="1">ROUNDUP(IF($D$2="Egyszeri",$E1006,IF($D$2="Havi",SUM($E$20:$E$31),IF(MOD($C1006,$M$1)-1=0,SUM($E$20:$E$31),0))/12*$M$1)*VLOOKUP($B1006,Paraméterek!$I$28:$P$31,IF($D$2="Egyszeri",8,HLOOKUP(ROUNDUP($M$11+$M$13,0),Paraméterek!$J$26:$O$27,2))),IF($D$4="Forint",0,2))</f>
        <v>#N/A</v>
      </c>
      <c r="M1006" s="13">
        <f t="shared" ca="1" si="335"/>
        <v>0</v>
      </c>
      <c r="N1006" s="13">
        <f t="shared" ca="1" si="345"/>
        <v>0</v>
      </c>
      <c r="O1006" s="13">
        <f ca="1">IF($D1006="Igen",IF($W1005&gt;=IF($D$4="Forint",Paraméterek!$J$121,Paraméterek!$K$121),0,IF($D$4="Forint",Paraméterek!$J$121,Paraméterek!$K$121)-$W1005),0)</f>
        <v>0</v>
      </c>
      <c r="P1006" s="13" t="e">
        <f ca="1">ROUNDUP($O1006*VLOOKUP($M$4+$B1006-1,Paraméterek!$H$58:$I$105,2,0)/Paraméterek!$I$56,IF($D$4="Forint",0,2))</f>
        <v>#N/A</v>
      </c>
      <c r="Q1006" s="13">
        <f t="shared" ca="1" si="336"/>
        <v>0</v>
      </c>
      <c r="R1006" s="33"/>
      <c r="S1006" s="13" t="e">
        <f t="shared" ca="1" si="337"/>
        <v>#N/A</v>
      </c>
      <c r="T1006" s="13" t="e">
        <f ca="1">ROUNDUP(($N1006-$P1006-$Q1006+$S1006)*VLOOKUP($B1006,Paraméterek!$I$38:$K$39,IF($D$2="Egyszeri",3,2))/12*IF($D1007="Nem",IF($M$13=0,1,$M$13),1),IF($D$4="Forint",0,2))</f>
        <v>#N/A</v>
      </c>
      <c r="U1006" s="13"/>
      <c r="V1006" s="13"/>
      <c r="W1006" s="13" t="e">
        <f ca="1">$N1006-$P1006-$Q1006+$S1006-$T1006-IF(ROUNDUP(IF(ISBLANK($V1006),$U1006*0,$V1006)/IF($D$2="Egyszeri",VLOOKUP($B1006+IF($C1006=12,1,0),Paraméterek!$V$257:$W$262,2),IF($B1006=1,1,VLOOKUP($B1006+IF($C1006=12,1,0),Paraméterek!$I$258:$T$278,HLOOKUP($M$11+1,Paraméterek!$J$256:$T$257,2)))),IF($D$4="Forint",0,2))&gt;$N1006-$P1006-$Q1006+$S1006-$T1006-IF($D$4="Forint",Paraméterek!$C$216,Paraméterek!$D$216),0,ROUNDUP(IF(ISBLANK($V1006),$U1006*0,$V1006)/IF($D$2="Egyszeri",VLOOKUP($B1006+IF($C1006=12,1,0),Paraméterek!$V$257:$W$262,2),IF($B1006=1,1,VLOOKUP($B1006+IF($C1006=12,1,0),Paraméterek!$I$258:$T$278,HLOOKUP($M$11+1,Paraméterek!$J$256:$T$257,2)))),IF($D$4="Forint",0,2)))</f>
        <v>#N/A</v>
      </c>
      <c r="X1006" s="13" t="e">
        <f ca="1">ROUNDDOWN($W1006*IF($D$2="Egyszeri",VLOOKUP($B1006+IF($C1006=12,1,0),Paraméterek!$V$257:$W$262,2),VLOOKUP($B1006+IF($C1006=12,1,0),Paraméterek!$I$258:$T$278,HLOOKUP($M$11+1,Paraméterek!$I$256:$T$257,2))),IF($D$4="Forint",0,2))</f>
        <v>#N/A</v>
      </c>
      <c r="Z1006" s="32">
        <v>987</v>
      </c>
      <c r="AA1006" s="32">
        <v>83</v>
      </c>
      <c r="AB1006" s="32">
        <v>3</v>
      </c>
      <c r="AC1006" s="13">
        <f t="shared" ca="1" si="346"/>
        <v>0</v>
      </c>
      <c r="AD1006" s="33"/>
      <c r="AE1006" s="13">
        <f t="shared" ca="1" si="338"/>
        <v>0</v>
      </c>
      <c r="AF1006" s="13">
        <f ca="1">ROUNDUP(($AC1006+$AE1006)*VLOOKUP($AA1006,Paraméterek!$P$38:$Q$38,2)/12*IF($D1007="Nem",IF($M$13=0,1,$M$13),1),IF($D$4="Forint",0,2))</f>
        <v>0</v>
      </c>
      <c r="AG1006" s="13">
        <f ca="1">IF($D$2="Egyszeri",IF($D$7&gt;=IF($D$4="Forint",Paraméterek!$P$223,Paraméterek!$P$224),$D$7-IF($D$4="Forint",Paraméterek!$P$223,Paraméterek!$P$224),0),MIN(IF($AB1006=12,AVERAGEIF($E$20:$E1006,"&gt;0",$E$20:$E1006)*12,0),SUM($E$20:$E$31)))</f>
        <v>0</v>
      </c>
      <c r="AH1006" s="13">
        <f>IF($AA1006=10,$AG1006*IF($AB1006=12,IF($AG1006&lt;IF($D$4="Forint",Paraméterek!$L$223,Paraméterek!$L$224),0,VLOOKUP($AA1006,Paraméterek!$K$226:$M$228,IF($AG1006&lt;IF($D$4="Forint",Paraméterek!$M$223,Paraméterek!$M$224),2,3))),0),0)</f>
        <v>0</v>
      </c>
      <c r="AI1006" s="13">
        <f ca="1">IF(AND($AA1006=$M$11+1,$AB1006=$M$12+1),SUMIF($AA$20:$AA$1027,$AA1006,$AG$20:$AG$1027)*IF(SUMIF($AA$20:$AA$1027,$AA1006,$AG$20:$AG$1027)&lt;IF($D$4="Forint",Paraméterek!$L$223,Paraméterek!$L$224),0,VLOOKUP($AA1006,Paraméterek!$K$230:$M$250,IF(SUMIF($AA$20:$AA$1027,$AA1006,$AG$20:$AG$1027)&lt;IF($D$4="Forint",Paraméterek!$M$223,Paraméterek!$M$224),2,3))),0)</f>
        <v>0</v>
      </c>
      <c r="AJ1006" s="13">
        <f ca="1">IF(AND($AA1006&gt;=5,MOD($AA1006,5)=0),IF($AB1006=12,VLOOKUP($AA1006,Paraméterek!$O$225:$P$240,2),0),IF(OR($AA1006=3,$AA1006=4),IF($AB1006=12,VLOOKUP($AA1006,Paraméterek!$O$225:$P$240,2,0),0),0))*$AG1006</f>
        <v>0</v>
      </c>
      <c r="AK1006" s="13">
        <f t="shared" ca="1" si="339"/>
        <v>0</v>
      </c>
      <c r="AL1006" s="13">
        <f t="shared" ca="1" si="347"/>
        <v>0</v>
      </c>
      <c r="AM1006" s="13">
        <f t="shared" ca="1" si="348"/>
        <v>0</v>
      </c>
      <c r="AO1006" s="32">
        <v>987</v>
      </c>
      <c r="AP1006" s="32">
        <v>83</v>
      </c>
      <c r="AQ1006" s="32">
        <v>3</v>
      </c>
      <c r="AR1006" s="13"/>
      <c r="AS1006" s="32"/>
      <c r="AT1006" s="13">
        <f t="shared" ca="1" si="349"/>
        <v>0</v>
      </c>
      <c r="AU1006" s="33"/>
      <c r="AV1006" s="13">
        <f t="shared" ca="1" si="340"/>
        <v>0</v>
      </c>
      <c r="AW1006" s="13">
        <f ca="1">ROUNDUP(($AT1006+$AV1006)*VLOOKUP($AP1006,Paraméterek!$P$38:$Q$38,2)/12*IF($D1007="Nem",IF($M$13=0,1,$M$13),1),IF($D$4="Forint",0,2))</f>
        <v>0</v>
      </c>
      <c r="AX1006" s="13"/>
      <c r="AY1006" s="13"/>
      <c r="AZ1006" s="13">
        <f>ROUNDUP(IF(SUM($AX1006:$AY1006)=0,0,IF(IF(ISBLANK($AY1006),$AX1006,$AY1006)*Paraméterek!$J$112&lt;IF($D$4="Forint",Paraméterek!$J$113,Paraméterek!$K$113),IF($D$4="Forint",Paraméterek!$J$113,Paraméterek!$K$113),IF(IF(ISBLANK($AY1006),$AX1006,$AY1006)*Paraméterek!$J$112&gt;IF($D$4="Forint",Paraméterek!$J$114,Paraméterek!$K$114),IF($D$4="Forint",Paraméterek!$J$114,Paraméterek!$K$114),IF(ISBLANK($AY1006),$AX1006,$AY1006)*Paraméterek!$J$112))),IF($D$4="Forint",0,2))</f>
        <v>0</v>
      </c>
      <c r="BA1006" s="13">
        <f ca="1">$AT1006+$AV1006-$AW1006-IF(ROUNDDOWN(IF(ISBLANK($AY1006),$AX1006,$AY1006),IF($D$4="Forint",0,2))&gt;$AT1006+$AV1006-$AW1006-IF($D$4="Forint",Paraméterek!$J$114,Paraméterek!$K$114),0,ROUNDDOWN(IF(ISBLANK($AY1006),$AX1006,$AY1006),IF($D$4="Forint",0,2))-$AZ1006)</f>
        <v>0</v>
      </c>
      <c r="BB1006" s="13">
        <f t="shared" ca="1" si="341"/>
        <v>0</v>
      </c>
      <c r="BD1006" s="32">
        <v>987</v>
      </c>
      <c r="BE1006" s="32">
        <v>83</v>
      </c>
      <c r="BF1006" s="32">
        <v>3</v>
      </c>
      <c r="BG1006" s="34">
        <f t="shared" ca="1" si="350"/>
        <v>2101</v>
      </c>
      <c r="BH1006" s="32" t="str">
        <f ca="1">IF(MOD(MONTH($D$14)+$BD1006-1,12)=Paraméterek!$C$288,"Igen","")</f>
        <v/>
      </c>
      <c r="BI1006" s="13">
        <f ca="1">IF($BH1006="Igen",MIN(ROUNDDOWN((SUMIF($BG$20:$BG$1027,$BG1006-1,$K$20:$K$1027)-SUMIF($BG$20:$BG$1027,$BG1006-1,$I$20:$I$1027))*Paraméterek!$C$289,IF($D$4="Forint",0,2)),IF($D$4="Forint",Paraméterek!$C$285,Paraméterek!$D$285)),0)</f>
        <v>0</v>
      </c>
      <c r="BJ1006" s="13">
        <f t="shared" ca="1" si="342"/>
        <v>0</v>
      </c>
      <c r="BK1006" s="13">
        <f t="shared" ca="1" si="351"/>
        <v>0</v>
      </c>
      <c r="BL1006" s="33"/>
      <c r="BM1006" s="13">
        <f t="shared" ca="1" si="343"/>
        <v>0</v>
      </c>
      <c r="BN1006" s="13">
        <f ca="1">ROUNDUP(($BK1006+$BM1006)*VLOOKUP($BE1006,Paraméterek!$P$38:$Q$38,2)/12*IF($D1007="Nem",IF($M$13=0,1,$M$13),1),IF($D$4="Forint",0,2))</f>
        <v>0</v>
      </c>
      <c r="BO1006" s="13">
        <f t="shared" ca="1" si="344"/>
        <v>0</v>
      </c>
      <c r="BP1006" s="13">
        <f ca="1">IF($D1007="Nem",$BO1006,$BO1006-ROUNDUP(SUM($BI$20:$BI1006)*120%,IF($D$4="Forint",0,2)))</f>
        <v>0</v>
      </c>
    </row>
    <row r="1007" spans="1:68" x14ac:dyDescent="0.2">
      <c r="A1007" s="32">
        <v>988</v>
      </c>
      <c r="B1007" s="32">
        <v>83</v>
      </c>
      <c r="C1007" s="32">
        <v>4</v>
      </c>
      <c r="D1007" s="32" t="str">
        <f t="shared" ca="1" si="330"/>
        <v>Nem</v>
      </c>
      <c r="E1007" s="13">
        <f t="shared" ca="1" si="331"/>
        <v>0</v>
      </c>
      <c r="F1007" s="13"/>
      <c r="G1007" s="13"/>
      <c r="H1007" s="13"/>
      <c r="I1007" s="13">
        <f t="shared" ca="1" si="332"/>
        <v>0</v>
      </c>
      <c r="J1007" s="13">
        <f t="shared" ca="1" si="333"/>
        <v>0</v>
      </c>
      <c r="K1007" s="13">
        <f t="shared" ca="1" si="334"/>
        <v>0</v>
      </c>
      <c r="L1007" s="13" t="e">
        <f ca="1">ROUNDUP(IF($D$2="Egyszeri",$E1007,IF($D$2="Havi",SUM($E$20:$E$31),IF(MOD($C1007,$M$1)-1=0,SUM($E$20:$E$31),0))/12*$M$1)*VLOOKUP($B1007,Paraméterek!$I$28:$P$31,IF($D$2="Egyszeri",8,HLOOKUP(ROUNDUP($M$11+$M$13,0),Paraméterek!$J$26:$O$27,2))),IF($D$4="Forint",0,2))</f>
        <v>#N/A</v>
      </c>
      <c r="M1007" s="13">
        <f t="shared" ca="1" si="335"/>
        <v>0</v>
      </c>
      <c r="N1007" s="13">
        <f t="shared" ca="1" si="345"/>
        <v>0</v>
      </c>
      <c r="O1007" s="13">
        <f ca="1">IF($D1007="Igen",IF($W1006&gt;=IF($D$4="Forint",Paraméterek!$J$121,Paraméterek!$K$121),0,IF($D$4="Forint",Paraméterek!$J$121,Paraméterek!$K$121)-$W1006),0)</f>
        <v>0</v>
      </c>
      <c r="P1007" s="13" t="e">
        <f ca="1">ROUNDUP($O1007*VLOOKUP($M$4+$B1007-1,Paraméterek!$H$58:$I$105,2,0)/Paraméterek!$I$56,IF($D$4="Forint",0,2))</f>
        <v>#N/A</v>
      </c>
      <c r="Q1007" s="13">
        <f t="shared" ca="1" si="336"/>
        <v>0</v>
      </c>
      <c r="R1007" s="33"/>
      <c r="S1007" s="13" t="e">
        <f t="shared" ca="1" si="337"/>
        <v>#N/A</v>
      </c>
      <c r="T1007" s="13" t="e">
        <f ca="1">ROUNDUP(($N1007-$P1007-$Q1007+$S1007)*VLOOKUP($B1007,Paraméterek!$I$38:$K$39,IF($D$2="Egyszeri",3,2))/12*IF($D1008="Nem",IF($M$13=0,1,$M$13),1),IF($D$4="Forint",0,2))</f>
        <v>#N/A</v>
      </c>
      <c r="U1007" s="13"/>
      <c r="V1007" s="13"/>
      <c r="W1007" s="13" t="e">
        <f ca="1">$N1007-$P1007-$Q1007+$S1007-$T1007-IF(ROUNDUP(IF(ISBLANK($V1007),$U1007*0,$V1007)/IF($D$2="Egyszeri",VLOOKUP($B1007+IF($C1007=12,1,0),Paraméterek!$V$257:$W$262,2),IF($B1007=1,1,VLOOKUP($B1007+IF($C1007=12,1,0),Paraméterek!$I$258:$T$278,HLOOKUP($M$11+1,Paraméterek!$J$256:$T$257,2)))),IF($D$4="Forint",0,2))&gt;$N1007-$P1007-$Q1007+$S1007-$T1007-IF($D$4="Forint",Paraméterek!$C$216,Paraméterek!$D$216),0,ROUNDUP(IF(ISBLANK($V1007),$U1007*0,$V1007)/IF($D$2="Egyszeri",VLOOKUP($B1007+IF($C1007=12,1,0),Paraméterek!$V$257:$W$262,2),IF($B1007=1,1,VLOOKUP($B1007+IF($C1007=12,1,0),Paraméterek!$I$258:$T$278,HLOOKUP($M$11+1,Paraméterek!$J$256:$T$257,2)))),IF($D$4="Forint",0,2)))</f>
        <v>#N/A</v>
      </c>
      <c r="X1007" s="13" t="e">
        <f ca="1">ROUNDDOWN($W1007*IF($D$2="Egyszeri",VLOOKUP($B1007+IF($C1007=12,1,0),Paraméterek!$V$257:$W$262,2),VLOOKUP($B1007+IF($C1007=12,1,0),Paraméterek!$I$258:$T$278,HLOOKUP($M$11+1,Paraméterek!$I$256:$T$257,2))),IF($D$4="Forint",0,2))</f>
        <v>#N/A</v>
      </c>
      <c r="Z1007" s="32">
        <v>988</v>
      </c>
      <c r="AA1007" s="32">
        <v>83</v>
      </c>
      <c r="AB1007" s="32">
        <v>4</v>
      </c>
      <c r="AC1007" s="13">
        <f t="shared" ca="1" si="346"/>
        <v>0</v>
      </c>
      <c r="AD1007" s="33"/>
      <c r="AE1007" s="13">
        <f t="shared" ca="1" si="338"/>
        <v>0</v>
      </c>
      <c r="AF1007" s="13">
        <f ca="1">ROUNDUP(($AC1007+$AE1007)*VLOOKUP($AA1007,Paraméterek!$P$38:$Q$38,2)/12*IF($D1008="Nem",IF($M$13=0,1,$M$13),1),IF($D$4="Forint",0,2))</f>
        <v>0</v>
      </c>
      <c r="AG1007" s="13">
        <f ca="1">IF($D$2="Egyszeri",IF($D$7&gt;=IF($D$4="Forint",Paraméterek!$P$223,Paraméterek!$P$224),$D$7-IF($D$4="Forint",Paraméterek!$P$223,Paraméterek!$P$224),0),MIN(IF($AB1007=12,AVERAGEIF($E$20:$E1007,"&gt;0",$E$20:$E1007)*12,0),SUM($E$20:$E$31)))</f>
        <v>0</v>
      </c>
      <c r="AH1007" s="13">
        <f>IF($AA1007=10,$AG1007*IF($AB1007=12,IF($AG1007&lt;IF($D$4="Forint",Paraméterek!$L$223,Paraméterek!$L$224),0,VLOOKUP($AA1007,Paraméterek!$K$226:$M$228,IF($AG1007&lt;IF($D$4="Forint",Paraméterek!$M$223,Paraméterek!$M$224),2,3))),0),0)</f>
        <v>0</v>
      </c>
      <c r="AI1007" s="13">
        <f ca="1">IF(AND($AA1007=$M$11+1,$AB1007=$M$12+1),SUMIF($AA$20:$AA$1027,$AA1007,$AG$20:$AG$1027)*IF(SUMIF($AA$20:$AA$1027,$AA1007,$AG$20:$AG$1027)&lt;IF($D$4="Forint",Paraméterek!$L$223,Paraméterek!$L$224),0,VLOOKUP($AA1007,Paraméterek!$K$230:$M$250,IF(SUMIF($AA$20:$AA$1027,$AA1007,$AG$20:$AG$1027)&lt;IF($D$4="Forint",Paraméterek!$M$223,Paraméterek!$M$224),2,3))),0)</f>
        <v>0</v>
      </c>
      <c r="AJ1007" s="13">
        <f ca="1">IF(AND($AA1007&gt;=5,MOD($AA1007,5)=0),IF($AB1007=12,VLOOKUP($AA1007,Paraméterek!$O$225:$P$240,2),0),IF(OR($AA1007=3,$AA1007=4),IF($AB1007=12,VLOOKUP($AA1007,Paraméterek!$O$225:$P$240,2,0),0),0))*$AG1007</f>
        <v>0</v>
      </c>
      <c r="AK1007" s="13">
        <f t="shared" ca="1" si="339"/>
        <v>0</v>
      </c>
      <c r="AL1007" s="13">
        <f t="shared" ca="1" si="347"/>
        <v>0</v>
      </c>
      <c r="AM1007" s="13">
        <f t="shared" ca="1" si="348"/>
        <v>0</v>
      </c>
      <c r="AO1007" s="32">
        <v>988</v>
      </c>
      <c r="AP1007" s="32">
        <v>83</v>
      </c>
      <c r="AQ1007" s="32">
        <v>4</v>
      </c>
      <c r="AR1007" s="13"/>
      <c r="AS1007" s="32"/>
      <c r="AT1007" s="13">
        <f t="shared" ca="1" si="349"/>
        <v>0</v>
      </c>
      <c r="AU1007" s="33"/>
      <c r="AV1007" s="13">
        <f t="shared" ca="1" si="340"/>
        <v>0</v>
      </c>
      <c r="AW1007" s="13">
        <f ca="1">ROUNDUP(($AT1007+$AV1007)*VLOOKUP($AP1007,Paraméterek!$P$38:$Q$38,2)/12*IF($D1008="Nem",IF($M$13=0,1,$M$13),1),IF($D$4="Forint",0,2))</f>
        <v>0</v>
      </c>
      <c r="AX1007" s="13"/>
      <c r="AY1007" s="13"/>
      <c r="AZ1007" s="13">
        <f>ROUNDUP(IF(SUM($AX1007:$AY1007)=0,0,IF(IF(ISBLANK($AY1007),$AX1007,$AY1007)*Paraméterek!$J$112&lt;IF($D$4="Forint",Paraméterek!$J$113,Paraméterek!$K$113),IF($D$4="Forint",Paraméterek!$J$113,Paraméterek!$K$113),IF(IF(ISBLANK($AY1007),$AX1007,$AY1007)*Paraméterek!$J$112&gt;IF($D$4="Forint",Paraméterek!$J$114,Paraméterek!$K$114),IF($D$4="Forint",Paraméterek!$J$114,Paraméterek!$K$114),IF(ISBLANK($AY1007),$AX1007,$AY1007)*Paraméterek!$J$112))),IF($D$4="Forint",0,2))</f>
        <v>0</v>
      </c>
      <c r="BA1007" s="13">
        <f ca="1">$AT1007+$AV1007-$AW1007-IF(ROUNDDOWN(IF(ISBLANK($AY1007),$AX1007,$AY1007),IF($D$4="Forint",0,2))&gt;$AT1007+$AV1007-$AW1007-IF($D$4="Forint",Paraméterek!$J$114,Paraméterek!$K$114),0,ROUNDDOWN(IF(ISBLANK($AY1007),$AX1007,$AY1007),IF($D$4="Forint",0,2))-$AZ1007)</f>
        <v>0</v>
      </c>
      <c r="BB1007" s="13">
        <f t="shared" ca="1" si="341"/>
        <v>0</v>
      </c>
      <c r="BD1007" s="32">
        <v>988</v>
      </c>
      <c r="BE1007" s="32">
        <v>83</v>
      </c>
      <c r="BF1007" s="32">
        <v>4</v>
      </c>
      <c r="BG1007" s="34">
        <f t="shared" ca="1" si="350"/>
        <v>2101</v>
      </c>
      <c r="BH1007" s="32" t="str">
        <f ca="1">IF(MOD(MONTH($D$14)+$BD1007-1,12)=Paraméterek!$C$288,"Igen","")</f>
        <v/>
      </c>
      <c r="BI1007" s="13">
        <f ca="1">IF($BH1007="Igen",MIN(ROUNDDOWN((SUMIF($BG$20:$BG$1027,$BG1007-1,$K$20:$K$1027)-SUMIF($BG$20:$BG$1027,$BG1007-1,$I$20:$I$1027))*Paraméterek!$C$289,IF($D$4="Forint",0,2)),IF($D$4="Forint",Paraméterek!$C$285,Paraméterek!$D$285)),0)</f>
        <v>0</v>
      </c>
      <c r="BJ1007" s="13">
        <f t="shared" ca="1" si="342"/>
        <v>0</v>
      </c>
      <c r="BK1007" s="13">
        <f t="shared" ca="1" si="351"/>
        <v>0</v>
      </c>
      <c r="BL1007" s="33"/>
      <c r="BM1007" s="13">
        <f t="shared" ca="1" si="343"/>
        <v>0</v>
      </c>
      <c r="BN1007" s="13">
        <f ca="1">ROUNDUP(($BK1007+$BM1007)*VLOOKUP($BE1007,Paraméterek!$P$38:$Q$38,2)/12*IF($D1008="Nem",IF($M$13=0,1,$M$13),1),IF($D$4="Forint",0,2))</f>
        <v>0</v>
      </c>
      <c r="BO1007" s="13">
        <f t="shared" ca="1" si="344"/>
        <v>0</v>
      </c>
      <c r="BP1007" s="13">
        <f ca="1">IF($D1008="Nem",$BO1007,$BO1007-ROUNDUP(SUM($BI$20:$BI1007)*120%,IF($D$4="Forint",0,2)))</f>
        <v>0</v>
      </c>
    </row>
    <row r="1008" spans="1:68" x14ac:dyDescent="0.2">
      <c r="A1008" s="32">
        <v>989</v>
      </c>
      <c r="B1008" s="32">
        <v>83</v>
      </c>
      <c r="C1008" s="32">
        <v>5</v>
      </c>
      <c r="D1008" s="32" t="str">
        <f t="shared" ca="1" si="330"/>
        <v>Nem</v>
      </c>
      <c r="E1008" s="13">
        <f t="shared" ca="1" si="331"/>
        <v>0</v>
      </c>
      <c r="F1008" s="13"/>
      <c r="G1008" s="13"/>
      <c r="H1008" s="13"/>
      <c r="I1008" s="13">
        <f t="shared" ca="1" si="332"/>
        <v>0</v>
      </c>
      <c r="J1008" s="13">
        <f t="shared" ca="1" si="333"/>
        <v>0</v>
      </c>
      <c r="K1008" s="13">
        <f t="shared" ca="1" si="334"/>
        <v>0</v>
      </c>
      <c r="L1008" s="13" t="e">
        <f ca="1">ROUNDUP(IF($D$2="Egyszeri",$E1008,IF($D$2="Havi",SUM($E$20:$E$31),IF(MOD($C1008,$M$1)-1=0,SUM($E$20:$E$31),0))/12*$M$1)*VLOOKUP($B1008,Paraméterek!$I$28:$P$31,IF($D$2="Egyszeri",8,HLOOKUP(ROUNDUP($M$11+$M$13,0),Paraméterek!$J$26:$O$27,2))),IF($D$4="Forint",0,2))</f>
        <v>#N/A</v>
      </c>
      <c r="M1008" s="13">
        <f t="shared" ca="1" si="335"/>
        <v>0</v>
      </c>
      <c r="N1008" s="13">
        <f t="shared" ca="1" si="345"/>
        <v>0</v>
      </c>
      <c r="O1008" s="13">
        <f ca="1">IF($D1008="Igen",IF($W1007&gt;=IF($D$4="Forint",Paraméterek!$J$121,Paraméterek!$K$121),0,IF($D$4="Forint",Paraméterek!$J$121,Paraméterek!$K$121)-$W1007),0)</f>
        <v>0</v>
      </c>
      <c r="P1008" s="13" t="e">
        <f ca="1">ROUNDUP($O1008*VLOOKUP($M$4+$B1008-1,Paraméterek!$H$58:$I$105,2,0)/Paraméterek!$I$56,IF($D$4="Forint",0,2))</f>
        <v>#N/A</v>
      </c>
      <c r="Q1008" s="13">
        <f t="shared" ca="1" si="336"/>
        <v>0</v>
      </c>
      <c r="R1008" s="33"/>
      <c r="S1008" s="13" t="e">
        <f t="shared" ca="1" si="337"/>
        <v>#N/A</v>
      </c>
      <c r="T1008" s="13" t="e">
        <f ca="1">ROUNDUP(($N1008-$P1008-$Q1008+$S1008)*VLOOKUP($B1008,Paraméterek!$I$38:$K$39,IF($D$2="Egyszeri",3,2))/12*IF($D1009="Nem",IF($M$13=0,1,$M$13),1),IF($D$4="Forint",0,2))</f>
        <v>#N/A</v>
      </c>
      <c r="U1008" s="13"/>
      <c r="V1008" s="13"/>
      <c r="W1008" s="13" t="e">
        <f ca="1">$N1008-$P1008-$Q1008+$S1008-$T1008-IF(ROUNDUP(IF(ISBLANK($V1008),$U1008*0,$V1008)/IF($D$2="Egyszeri",VLOOKUP($B1008+IF($C1008=12,1,0),Paraméterek!$V$257:$W$262,2),IF($B1008=1,1,VLOOKUP($B1008+IF($C1008=12,1,0),Paraméterek!$I$258:$T$278,HLOOKUP($M$11+1,Paraméterek!$J$256:$T$257,2)))),IF($D$4="Forint",0,2))&gt;$N1008-$P1008-$Q1008+$S1008-$T1008-IF($D$4="Forint",Paraméterek!$C$216,Paraméterek!$D$216),0,ROUNDUP(IF(ISBLANK($V1008),$U1008*0,$V1008)/IF($D$2="Egyszeri",VLOOKUP($B1008+IF($C1008=12,1,0),Paraméterek!$V$257:$W$262,2),IF($B1008=1,1,VLOOKUP($B1008+IF($C1008=12,1,0),Paraméterek!$I$258:$T$278,HLOOKUP($M$11+1,Paraméterek!$J$256:$T$257,2)))),IF($D$4="Forint",0,2)))</f>
        <v>#N/A</v>
      </c>
      <c r="X1008" s="13" t="e">
        <f ca="1">ROUNDDOWN($W1008*IF($D$2="Egyszeri",VLOOKUP($B1008+IF($C1008=12,1,0),Paraméterek!$V$257:$W$262,2),VLOOKUP($B1008+IF($C1008=12,1,0),Paraméterek!$I$258:$T$278,HLOOKUP($M$11+1,Paraméterek!$I$256:$T$257,2))),IF($D$4="Forint",0,2))</f>
        <v>#N/A</v>
      </c>
      <c r="Z1008" s="32">
        <v>989</v>
      </c>
      <c r="AA1008" s="32">
        <v>83</v>
      </c>
      <c r="AB1008" s="32">
        <v>5</v>
      </c>
      <c r="AC1008" s="13">
        <f t="shared" ca="1" si="346"/>
        <v>0</v>
      </c>
      <c r="AD1008" s="33"/>
      <c r="AE1008" s="13">
        <f t="shared" ca="1" si="338"/>
        <v>0</v>
      </c>
      <c r="AF1008" s="13">
        <f ca="1">ROUNDUP(($AC1008+$AE1008)*VLOOKUP($AA1008,Paraméterek!$P$38:$Q$38,2)/12*IF($D1009="Nem",IF($M$13=0,1,$M$13),1),IF($D$4="Forint",0,2))</f>
        <v>0</v>
      </c>
      <c r="AG1008" s="13">
        <f ca="1">IF($D$2="Egyszeri",IF($D$7&gt;=IF($D$4="Forint",Paraméterek!$P$223,Paraméterek!$P$224),$D$7-IF($D$4="Forint",Paraméterek!$P$223,Paraméterek!$P$224),0),MIN(IF($AB1008=12,AVERAGEIF($E$20:$E1008,"&gt;0",$E$20:$E1008)*12,0),SUM($E$20:$E$31)))</f>
        <v>0</v>
      </c>
      <c r="AH1008" s="13">
        <f>IF($AA1008=10,$AG1008*IF($AB1008=12,IF($AG1008&lt;IF($D$4="Forint",Paraméterek!$L$223,Paraméterek!$L$224),0,VLOOKUP($AA1008,Paraméterek!$K$226:$M$228,IF($AG1008&lt;IF($D$4="Forint",Paraméterek!$M$223,Paraméterek!$M$224),2,3))),0),0)</f>
        <v>0</v>
      </c>
      <c r="AI1008" s="13">
        <f ca="1">IF(AND($AA1008=$M$11+1,$AB1008=$M$12+1),SUMIF($AA$20:$AA$1027,$AA1008,$AG$20:$AG$1027)*IF(SUMIF($AA$20:$AA$1027,$AA1008,$AG$20:$AG$1027)&lt;IF($D$4="Forint",Paraméterek!$L$223,Paraméterek!$L$224),0,VLOOKUP($AA1008,Paraméterek!$K$230:$M$250,IF(SUMIF($AA$20:$AA$1027,$AA1008,$AG$20:$AG$1027)&lt;IF($D$4="Forint",Paraméterek!$M$223,Paraméterek!$M$224),2,3))),0)</f>
        <v>0</v>
      </c>
      <c r="AJ1008" s="13">
        <f ca="1">IF(AND($AA1008&gt;=5,MOD($AA1008,5)=0),IF($AB1008=12,VLOOKUP($AA1008,Paraméterek!$O$225:$P$240,2),0),IF(OR($AA1008=3,$AA1008=4),IF($AB1008=12,VLOOKUP($AA1008,Paraméterek!$O$225:$P$240,2,0),0),0))*$AG1008</f>
        <v>0</v>
      </c>
      <c r="AK1008" s="13">
        <f t="shared" ca="1" si="339"/>
        <v>0</v>
      </c>
      <c r="AL1008" s="13">
        <f t="shared" ca="1" si="347"/>
        <v>0</v>
      </c>
      <c r="AM1008" s="13">
        <f t="shared" ca="1" si="348"/>
        <v>0</v>
      </c>
      <c r="AO1008" s="32">
        <v>989</v>
      </c>
      <c r="AP1008" s="32">
        <v>83</v>
      </c>
      <c r="AQ1008" s="32">
        <v>5</v>
      </c>
      <c r="AR1008" s="13"/>
      <c r="AS1008" s="32"/>
      <c r="AT1008" s="13">
        <f t="shared" ca="1" si="349"/>
        <v>0</v>
      </c>
      <c r="AU1008" s="33"/>
      <c r="AV1008" s="13">
        <f t="shared" ca="1" si="340"/>
        <v>0</v>
      </c>
      <c r="AW1008" s="13">
        <f ca="1">ROUNDUP(($AT1008+$AV1008)*VLOOKUP($AP1008,Paraméterek!$P$38:$Q$38,2)/12*IF($D1009="Nem",IF($M$13=0,1,$M$13),1),IF($D$4="Forint",0,2))</f>
        <v>0</v>
      </c>
      <c r="AX1008" s="13"/>
      <c r="AY1008" s="13"/>
      <c r="AZ1008" s="13">
        <f>ROUNDUP(IF(SUM($AX1008:$AY1008)=0,0,IF(IF(ISBLANK($AY1008),$AX1008,$AY1008)*Paraméterek!$J$112&lt;IF($D$4="Forint",Paraméterek!$J$113,Paraméterek!$K$113),IF($D$4="Forint",Paraméterek!$J$113,Paraméterek!$K$113),IF(IF(ISBLANK($AY1008),$AX1008,$AY1008)*Paraméterek!$J$112&gt;IF($D$4="Forint",Paraméterek!$J$114,Paraméterek!$K$114),IF($D$4="Forint",Paraméterek!$J$114,Paraméterek!$K$114),IF(ISBLANK($AY1008),$AX1008,$AY1008)*Paraméterek!$J$112))),IF($D$4="Forint",0,2))</f>
        <v>0</v>
      </c>
      <c r="BA1008" s="13">
        <f ca="1">$AT1008+$AV1008-$AW1008-IF(ROUNDDOWN(IF(ISBLANK($AY1008),$AX1008,$AY1008),IF($D$4="Forint",0,2))&gt;$AT1008+$AV1008-$AW1008-IF($D$4="Forint",Paraméterek!$J$114,Paraméterek!$K$114),0,ROUNDDOWN(IF(ISBLANK($AY1008),$AX1008,$AY1008),IF($D$4="Forint",0,2))-$AZ1008)</f>
        <v>0</v>
      </c>
      <c r="BB1008" s="13">
        <f t="shared" ca="1" si="341"/>
        <v>0</v>
      </c>
      <c r="BD1008" s="32">
        <v>989</v>
      </c>
      <c r="BE1008" s="32">
        <v>83</v>
      </c>
      <c r="BF1008" s="32">
        <v>5</v>
      </c>
      <c r="BG1008" s="34">
        <f t="shared" ca="1" si="350"/>
        <v>2101</v>
      </c>
      <c r="BH1008" s="32" t="str">
        <f ca="1">IF(MOD(MONTH($D$14)+$BD1008-1,12)=Paraméterek!$C$288,"Igen","")</f>
        <v/>
      </c>
      <c r="BI1008" s="13">
        <f ca="1">IF($BH1008="Igen",MIN(ROUNDDOWN((SUMIF($BG$20:$BG$1027,$BG1008-1,$K$20:$K$1027)-SUMIF($BG$20:$BG$1027,$BG1008-1,$I$20:$I$1027))*Paraméterek!$C$289,IF($D$4="Forint",0,2)),IF($D$4="Forint",Paraméterek!$C$285,Paraméterek!$D$285)),0)</f>
        <v>0</v>
      </c>
      <c r="BJ1008" s="13">
        <f t="shared" ca="1" si="342"/>
        <v>0</v>
      </c>
      <c r="BK1008" s="13">
        <f t="shared" ca="1" si="351"/>
        <v>0</v>
      </c>
      <c r="BL1008" s="33"/>
      <c r="BM1008" s="13">
        <f t="shared" ca="1" si="343"/>
        <v>0</v>
      </c>
      <c r="BN1008" s="13">
        <f ca="1">ROUNDUP(($BK1008+$BM1008)*VLOOKUP($BE1008,Paraméterek!$P$38:$Q$38,2)/12*IF($D1009="Nem",IF($M$13=0,1,$M$13),1),IF($D$4="Forint",0,2))</f>
        <v>0</v>
      </c>
      <c r="BO1008" s="13">
        <f t="shared" ca="1" si="344"/>
        <v>0</v>
      </c>
      <c r="BP1008" s="13">
        <f ca="1">IF($D1009="Nem",$BO1008,$BO1008-ROUNDUP(SUM($BI$20:$BI1008)*120%,IF($D$4="Forint",0,2)))</f>
        <v>0</v>
      </c>
    </row>
    <row r="1009" spans="1:68" x14ac:dyDescent="0.2">
      <c r="A1009" s="32">
        <v>990</v>
      </c>
      <c r="B1009" s="32">
        <v>83</v>
      </c>
      <c r="C1009" s="32">
        <v>6</v>
      </c>
      <c r="D1009" s="32" t="str">
        <f t="shared" ca="1" si="330"/>
        <v>Nem</v>
      </c>
      <c r="E1009" s="13">
        <f t="shared" ca="1" si="331"/>
        <v>0</v>
      </c>
      <c r="F1009" s="13"/>
      <c r="G1009" s="13"/>
      <c r="H1009" s="13"/>
      <c r="I1009" s="13">
        <f t="shared" ca="1" si="332"/>
        <v>0</v>
      </c>
      <c r="J1009" s="13">
        <f t="shared" ca="1" si="333"/>
        <v>0</v>
      </c>
      <c r="K1009" s="13">
        <f t="shared" ca="1" si="334"/>
        <v>0</v>
      </c>
      <c r="L1009" s="13" t="e">
        <f ca="1">ROUNDUP(IF($D$2="Egyszeri",$E1009,IF($D$2="Havi",SUM($E$20:$E$31),IF(MOD($C1009,$M$1)-1=0,SUM($E$20:$E$31),0))/12*$M$1)*VLOOKUP($B1009,Paraméterek!$I$28:$P$31,IF($D$2="Egyszeri",8,HLOOKUP(ROUNDUP($M$11+$M$13,0),Paraméterek!$J$26:$O$27,2))),IF($D$4="Forint",0,2))</f>
        <v>#N/A</v>
      </c>
      <c r="M1009" s="13">
        <f t="shared" ca="1" si="335"/>
        <v>0</v>
      </c>
      <c r="N1009" s="13">
        <f t="shared" ca="1" si="345"/>
        <v>0</v>
      </c>
      <c r="O1009" s="13">
        <f ca="1">IF($D1009="Igen",IF($W1008&gt;=IF($D$4="Forint",Paraméterek!$J$121,Paraméterek!$K$121),0,IF($D$4="Forint",Paraméterek!$J$121,Paraméterek!$K$121)-$W1008),0)</f>
        <v>0</v>
      </c>
      <c r="P1009" s="13" t="e">
        <f ca="1">ROUNDUP($O1009*VLOOKUP($M$4+$B1009-1,Paraméterek!$H$58:$I$105,2,0)/Paraméterek!$I$56,IF($D$4="Forint",0,2))</f>
        <v>#N/A</v>
      </c>
      <c r="Q1009" s="13">
        <f t="shared" ca="1" si="336"/>
        <v>0</v>
      </c>
      <c r="R1009" s="33"/>
      <c r="S1009" s="13" t="e">
        <f t="shared" ca="1" si="337"/>
        <v>#N/A</v>
      </c>
      <c r="T1009" s="13" t="e">
        <f ca="1">ROUNDUP(($N1009-$P1009-$Q1009+$S1009)*VLOOKUP($B1009,Paraméterek!$I$38:$K$39,IF($D$2="Egyszeri",3,2))/12*IF($D1010="Nem",IF($M$13=0,1,$M$13),1),IF($D$4="Forint",0,2))</f>
        <v>#N/A</v>
      </c>
      <c r="U1009" s="13"/>
      <c r="V1009" s="13"/>
      <c r="W1009" s="13" t="e">
        <f ca="1">$N1009-$P1009-$Q1009+$S1009-$T1009-IF(ROUNDUP(IF(ISBLANK($V1009),$U1009*0,$V1009)/IF($D$2="Egyszeri",VLOOKUP($B1009+IF($C1009=12,1,0),Paraméterek!$V$257:$W$262,2),IF($B1009=1,1,VLOOKUP($B1009+IF($C1009=12,1,0),Paraméterek!$I$258:$T$278,HLOOKUP($M$11+1,Paraméterek!$J$256:$T$257,2)))),IF($D$4="Forint",0,2))&gt;$N1009-$P1009-$Q1009+$S1009-$T1009-IF($D$4="Forint",Paraméterek!$C$216,Paraméterek!$D$216),0,ROUNDUP(IF(ISBLANK($V1009),$U1009*0,$V1009)/IF($D$2="Egyszeri",VLOOKUP($B1009+IF($C1009=12,1,0),Paraméterek!$V$257:$W$262,2),IF($B1009=1,1,VLOOKUP($B1009+IF($C1009=12,1,0),Paraméterek!$I$258:$T$278,HLOOKUP($M$11+1,Paraméterek!$J$256:$T$257,2)))),IF($D$4="Forint",0,2)))</f>
        <v>#N/A</v>
      </c>
      <c r="X1009" s="13" t="e">
        <f ca="1">ROUNDDOWN($W1009*IF($D$2="Egyszeri",VLOOKUP($B1009+IF($C1009=12,1,0),Paraméterek!$V$257:$W$262,2),VLOOKUP($B1009+IF($C1009=12,1,0),Paraméterek!$I$258:$T$278,HLOOKUP($M$11+1,Paraméterek!$I$256:$T$257,2))),IF($D$4="Forint",0,2))</f>
        <v>#N/A</v>
      </c>
      <c r="Z1009" s="32">
        <v>990</v>
      </c>
      <c r="AA1009" s="32">
        <v>83</v>
      </c>
      <c r="AB1009" s="32">
        <v>6</v>
      </c>
      <c r="AC1009" s="13">
        <f t="shared" ca="1" si="346"/>
        <v>0</v>
      </c>
      <c r="AD1009" s="33"/>
      <c r="AE1009" s="13">
        <f t="shared" ca="1" si="338"/>
        <v>0</v>
      </c>
      <c r="AF1009" s="13">
        <f ca="1">ROUNDUP(($AC1009+$AE1009)*VLOOKUP($AA1009,Paraméterek!$P$38:$Q$38,2)/12*IF($D1010="Nem",IF($M$13=0,1,$M$13),1),IF($D$4="Forint",0,2))</f>
        <v>0</v>
      </c>
      <c r="AG1009" s="13">
        <f ca="1">IF($D$2="Egyszeri",IF($D$7&gt;=IF($D$4="Forint",Paraméterek!$P$223,Paraméterek!$P$224),$D$7-IF($D$4="Forint",Paraméterek!$P$223,Paraméterek!$P$224),0),MIN(IF($AB1009=12,AVERAGEIF($E$20:$E1009,"&gt;0",$E$20:$E1009)*12,0),SUM($E$20:$E$31)))</f>
        <v>0</v>
      </c>
      <c r="AH1009" s="13">
        <f>IF($AA1009=10,$AG1009*IF($AB1009=12,IF($AG1009&lt;IF($D$4="Forint",Paraméterek!$L$223,Paraméterek!$L$224),0,VLOOKUP($AA1009,Paraméterek!$K$226:$M$228,IF($AG1009&lt;IF($D$4="Forint",Paraméterek!$M$223,Paraméterek!$M$224),2,3))),0),0)</f>
        <v>0</v>
      </c>
      <c r="AI1009" s="13">
        <f ca="1">IF(AND($AA1009=$M$11+1,$AB1009=$M$12+1),SUMIF($AA$20:$AA$1027,$AA1009,$AG$20:$AG$1027)*IF(SUMIF($AA$20:$AA$1027,$AA1009,$AG$20:$AG$1027)&lt;IF($D$4="Forint",Paraméterek!$L$223,Paraméterek!$L$224),0,VLOOKUP($AA1009,Paraméterek!$K$230:$M$250,IF(SUMIF($AA$20:$AA$1027,$AA1009,$AG$20:$AG$1027)&lt;IF($D$4="Forint",Paraméterek!$M$223,Paraméterek!$M$224),2,3))),0)</f>
        <v>0</v>
      </c>
      <c r="AJ1009" s="13">
        <f ca="1">IF(AND($AA1009&gt;=5,MOD($AA1009,5)=0),IF($AB1009=12,VLOOKUP($AA1009,Paraméterek!$O$225:$P$240,2),0),IF(OR($AA1009=3,$AA1009=4),IF($AB1009=12,VLOOKUP($AA1009,Paraméterek!$O$225:$P$240,2,0),0),0))*$AG1009</f>
        <v>0</v>
      </c>
      <c r="AK1009" s="13">
        <f t="shared" ca="1" si="339"/>
        <v>0</v>
      </c>
      <c r="AL1009" s="13">
        <f t="shared" ca="1" si="347"/>
        <v>0</v>
      </c>
      <c r="AM1009" s="13">
        <f t="shared" ca="1" si="348"/>
        <v>0</v>
      </c>
      <c r="AO1009" s="32">
        <v>990</v>
      </c>
      <c r="AP1009" s="32">
        <v>83</v>
      </c>
      <c r="AQ1009" s="32">
        <v>6</v>
      </c>
      <c r="AR1009" s="13"/>
      <c r="AS1009" s="32"/>
      <c r="AT1009" s="13">
        <f t="shared" ca="1" si="349"/>
        <v>0</v>
      </c>
      <c r="AU1009" s="33"/>
      <c r="AV1009" s="13">
        <f t="shared" ca="1" si="340"/>
        <v>0</v>
      </c>
      <c r="AW1009" s="13">
        <f ca="1">ROUNDUP(($AT1009+$AV1009)*VLOOKUP($AP1009,Paraméterek!$P$38:$Q$38,2)/12*IF($D1010="Nem",IF($M$13=0,1,$M$13),1),IF($D$4="Forint",0,2))</f>
        <v>0</v>
      </c>
      <c r="AX1009" s="13"/>
      <c r="AY1009" s="13"/>
      <c r="AZ1009" s="13">
        <f>ROUNDUP(IF(SUM($AX1009:$AY1009)=0,0,IF(IF(ISBLANK($AY1009),$AX1009,$AY1009)*Paraméterek!$J$112&lt;IF($D$4="Forint",Paraméterek!$J$113,Paraméterek!$K$113),IF($D$4="Forint",Paraméterek!$J$113,Paraméterek!$K$113),IF(IF(ISBLANK($AY1009),$AX1009,$AY1009)*Paraméterek!$J$112&gt;IF($D$4="Forint",Paraméterek!$J$114,Paraméterek!$K$114),IF($D$4="Forint",Paraméterek!$J$114,Paraméterek!$K$114),IF(ISBLANK($AY1009),$AX1009,$AY1009)*Paraméterek!$J$112))),IF($D$4="Forint",0,2))</f>
        <v>0</v>
      </c>
      <c r="BA1009" s="13">
        <f ca="1">$AT1009+$AV1009-$AW1009-IF(ROUNDDOWN(IF(ISBLANK($AY1009),$AX1009,$AY1009),IF($D$4="Forint",0,2))&gt;$AT1009+$AV1009-$AW1009-IF($D$4="Forint",Paraméterek!$J$114,Paraméterek!$K$114),0,ROUNDDOWN(IF(ISBLANK($AY1009),$AX1009,$AY1009),IF($D$4="Forint",0,2))-$AZ1009)</f>
        <v>0</v>
      </c>
      <c r="BB1009" s="13">
        <f t="shared" ca="1" si="341"/>
        <v>0</v>
      </c>
      <c r="BD1009" s="32">
        <v>990</v>
      </c>
      <c r="BE1009" s="32">
        <v>83</v>
      </c>
      <c r="BF1009" s="32">
        <v>6</v>
      </c>
      <c r="BG1009" s="34">
        <f t="shared" ca="1" si="350"/>
        <v>2101</v>
      </c>
      <c r="BH1009" s="32" t="str">
        <f ca="1">IF(MOD(MONTH($D$14)+$BD1009-1,12)=Paraméterek!$C$288,"Igen","")</f>
        <v/>
      </c>
      <c r="BI1009" s="13">
        <f ca="1">IF($BH1009="Igen",MIN(ROUNDDOWN((SUMIF($BG$20:$BG$1027,$BG1009-1,$K$20:$K$1027)-SUMIF($BG$20:$BG$1027,$BG1009-1,$I$20:$I$1027))*Paraméterek!$C$289,IF($D$4="Forint",0,2)),IF($D$4="Forint",Paraméterek!$C$285,Paraméterek!$D$285)),0)</f>
        <v>0</v>
      </c>
      <c r="BJ1009" s="13">
        <f t="shared" ca="1" si="342"/>
        <v>0</v>
      </c>
      <c r="BK1009" s="13">
        <f t="shared" ca="1" si="351"/>
        <v>0</v>
      </c>
      <c r="BL1009" s="33"/>
      <c r="BM1009" s="13">
        <f t="shared" ca="1" si="343"/>
        <v>0</v>
      </c>
      <c r="BN1009" s="13">
        <f ca="1">ROUNDUP(($BK1009+$BM1009)*VLOOKUP($BE1009,Paraméterek!$P$38:$Q$38,2)/12*IF($D1010="Nem",IF($M$13=0,1,$M$13),1),IF($D$4="Forint",0,2))</f>
        <v>0</v>
      </c>
      <c r="BO1009" s="13">
        <f t="shared" ca="1" si="344"/>
        <v>0</v>
      </c>
      <c r="BP1009" s="13">
        <f ca="1">IF($D1010="Nem",$BO1009,$BO1009-ROUNDUP(SUM($BI$20:$BI1009)*120%,IF($D$4="Forint",0,2)))</f>
        <v>0</v>
      </c>
    </row>
    <row r="1010" spans="1:68" x14ac:dyDescent="0.2">
      <c r="A1010" s="32">
        <v>991</v>
      </c>
      <c r="B1010" s="32">
        <v>83</v>
      </c>
      <c r="C1010" s="32">
        <v>7</v>
      </c>
      <c r="D1010" s="32" t="str">
        <f t="shared" ca="1" si="330"/>
        <v>Nem</v>
      </c>
      <c r="E1010" s="13">
        <f t="shared" ca="1" si="331"/>
        <v>0</v>
      </c>
      <c r="F1010" s="13"/>
      <c r="G1010" s="13"/>
      <c r="H1010" s="13"/>
      <c r="I1010" s="13">
        <f t="shared" ca="1" si="332"/>
        <v>0</v>
      </c>
      <c r="J1010" s="13">
        <f t="shared" ca="1" si="333"/>
        <v>0</v>
      </c>
      <c r="K1010" s="13">
        <f t="shared" ca="1" si="334"/>
        <v>0</v>
      </c>
      <c r="L1010" s="13" t="e">
        <f ca="1">ROUNDUP(IF($D$2="Egyszeri",$E1010,IF($D$2="Havi",SUM($E$20:$E$31),IF(MOD($C1010,$M$1)-1=0,SUM($E$20:$E$31),0))/12*$M$1)*VLOOKUP($B1010,Paraméterek!$I$28:$P$31,IF($D$2="Egyszeri",8,HLOOKUP(ROUNDUP($M$11+$M$13,0),Paraméterek!$J$26:$O$27,2))),IF($D$4="Forint",0,2))</f>
        <v>#N/A</v>
      </c>
      <c r="M1010" s="13">
        <f t="shared" ca="1" si="335"/>
        <v>0</v>
      </c>
      <c r="N1010" s="13">
        <f t="shared" ca="1" si="345"/>
        <v>0</v>
      </c>
      <c r="O1010" s="13">
        <f ca="1">IF($D1010="Igen",IF($W1009&gt;=IF($D$4="Forint",Paraméterek!$J$121,Paraméterek!$K$121),0,IF($D$4="Forint",Paraméterek!$J$121,Paraméterek!$K$121)-$W1009),0)</f>
        <v>0</v>
      </c>
      <c r="P1010" s="13" t="e">
        <f ca="1">ROUNDUP($O1010*VLOOKUP($M$4+$B1010-1,Paraméterek!$H$58:$I$105,2,0)/Paraméterek!$I$56,IF($D$4="Forint",0,2))</f>
        <v>#N/A</v>
      </c>
      <c r="Q1010" s="13">
        <f t="shared" ca="1" si="336"/>
        <v>0</v>
      </c>
      <c r="R1010" s="33"/>
      <c r="S1010" s="13" t="e">
        <f t="shared" ca="1" si="337"/>
        <v>#N/A</v>
      </c>
      <c r="T1010" s="13" t="e">
        <f ca="1">ROUNDUP(($N1010-$P1010-$Q1010+$S1010)*VLOOKUP($B1010,Paraméterek!$I$38:$K$39,IF($D$2="Egyszeri",3,2))/12*IF($D1011="Nem",IF($M$13=0,1,$M$13),1),IF($D$4="Forint",0,2))</f>
        <v>#N/A</v>
      </c>
      <c r="U1010" s="13"/>
      <c r="V1010" s="13"/>
      <c r="W1010" s="13" t="e">
        <f ca="1">$N1010-$P1010-$Q1010+$S1010-$T1010-IF(ROUNDUP(IF(ISBLANK($V1010),$U1010*0,$V1010)/IF($D$2="Egyszeri",VLOOKUP($B1010+IF($C1010=12,1,0),Paraméterek!$V$257:$W$262,2),IF($B1010=1,1,VLOOKUP($B1010+IF($C1010=12,1,0),Paraméterek!$I$258:$T$278,HLOOKUP($M$11+1,Paraméterek!$J$256:$T$257,2)))),IF($D$4="Forint",0,2))&gt;$N1010-$P1010-$Q1010+$S1010-$T1010-IF($D$4="Forint",Paraméterek!$C$216,Paraméterek!$D$216),0,ROUNDUP(IF(ISBLANK($V1010),$U1010*0,$V1010)/IF($D$2="Egyszeri",VLOOKUP($B1010+IF($C1010=12,1,0),Paraméterek!$V$257:$W$262,2),IF($B1010=1,1,VLOOKUP($B1010+IF($C1010=12,1,0),Paraméterek!$I$258:$T$278,HLOOKUP($M$11+1,Paraméterek!$J$256:$T$257,2)))),IF($D$4="Forint",0,2)))</f>
        <v>#N/A</v>
      </c>
      <c r="X1010" s="13" t="e">
        <f ca="1">ROUNDDOWN($W1010*IF($D$2="Egyszeri",VLOOKUP($B1010+IF($C1010=12,1,0),Paraméterek!$V$257:$W$262,2),VLOOKUP($B1010+IF($C1010=12,1,0),Paraméterek!$I$258:$T$278,HLOOKUP($M$11+1,Paraméterek!$I$256:$T$257,2))),IF($D$4="Forint",0,2))</f>
        <v>#N/A</v>
      </c>
      <c r="Z1010" s="32">
        <v>991</v>
      </c>
      <c r="AA1010" s="32">
        <v>83</v>
      </c>
      <c r="AB1010" s="32">
        <v>7</v>
      </c>
      <c r="AC1010" s="13">
        <f t="shared" ca="1" si="346"/>
        <v>0</v>
      </c>
      <c r="AD1010" s="33"/>
      <c r="AE1010" s="13">
        <f t="shared" ca="1" si="338"/>
        <v>0</v>
      </c>
      <c r="AF1010" s="13">
        <f ca="1">ROUNDUP(($AC1010+$AE1010)*VLOOKUP($AA1010,Paraméterek!$P$38:$Q$38,2)/12*IF($D1011="Nem",IF($M$13=0,1,$M$13),1),IF($D$4="Forint",0,2))</f>
        <v>0</v>
      </c>
      <c r="AG1010" s="13">
        <f ca="1">IF($D$2="Egyszeri",IF($D$7&gt;=IF($D$4="Forint",Paraméterek!$P$223,Paraméterek!$P$224),$D$7-IF($D$4="Forint",Paraméterek!$P$223,Paraméterek!$P$224),0),MIN(IF($AB1010=12,AVERAGEIF($E$20:$E1010,"&gt;0",$E$20:$E1010)*12,0),SUM($E$20:$E$31)))</f>
        <v>0</v>
      </c>
      <c r="AH1010" s="13">
        <f>IF($AA1010=10,$AG1010*IF($AB1010=12,IF($AG1010&lt;IF($D$4="Forint",Paraméterek!$L$223,Paraméterek!$L$224),0,VLOOKUP($AA1010,Paraméterek!$K$226:$M$228,IF($AG1010&lt;IF($D$4="Forint",Paraméterek!$M$223,Paraméterek!$M$224),2,3))),0),0)</f>
        <v>0</v>
      </c>
      <c r="AI1010" s="13">
        <f ca="1">IF(AND($AA1010=$M$11+1,$AB1010=$M$12+1),SUMIF($AA$20:$AA$1027,$AA1010,$AG$20:$AG$1027)*IF(SUMIF($AA$20:$AA$1027,$AA1010,$AG$20:$AG$1027)&lt;IF($D$4="Forint",Paraméterek!$L$223,Paraméterek!$L$224),0,VLOOKUP($AA1010,Paraméterek!$K$230:$M$250,IF(SUMIF($AA$20:$AA$1027,$AA1010,$AG$20:$AG$1027)&lt;IF($D$4="Forint",Paraméterek!$M$223,Paraméterek!$M$224),2,3))),0)</f>
        <v>0</v>
      </c>
      <c r="AJ1010" s="13">
        <f ca="1">IF(AND($AA1010&gt;=5,MOD($AA1010,5)=0),IF($AB1010=12,VLOOKUP($AA1010,Paraméterek!$O$225:$P$240,2),0),IF(OR($AA1010=3,$AA1010=4),IF($AB1010=12,VLOOKUP($AA1010,Paraméterek!$O$225:$P$240,2,0),0),0))*$AG1010</f>
        <v>0</v>
      </c>
      <c r="AK1010" s="13">
        <f t="shared" ca="1" si="339"/>
        <v>0</v>
      </c>
      <c r="AL1010" s="13">
        <f t="shared" ca="1" si="347"/>
        <v>0</v>
      </c>
      <c r="AM1010" s="13">
        <f t="shared" ca="1" si="348"/>
        <v>0</v>
      </c>
      <c r="AO1010" s="32">
        <v>991</v>
      </c>
      <c r="AP1010" s="32">
        <v>83</v>
      </c>
      <c r="AQ1010" s="32">
        <v>7</v>
      </c>
      <c r="AR1010" s="13"/>
      <c r="AS1010" s="32"/>
      <c r="AT1010" s="13">
        <f t="shared" ca="1" si="349"/>
        <v>0</v>
      </c>
      <c r="AU1010" s="33"/>
      <c r="AV1010" s="13">
        <f t="shared" ca="1" si="340"/>
        <v>0</v>
      </c>
      <c r="AW1010" s="13">
        <f ca="1">ROUNDUP(($AT1010+$AV1010)*VLOOKUP($AP1010,Paraméterek!$P$38:$Q$38,2)/12*IF($D1011="Nem",IF($M$13=0,1,$M$13),1),IF($D$4="Forint",0,2))</f>
        <v>0</v>
      </c>
      <c r="AX1010" s="13"/>
      <c r="AY1010" s="13"/>
      <c r="AZ1010" s="13">
        <f>ROUNDUP(IF(SUM($AX1010:$AY1010)=0,0,IF(IF(ISBLANK($AY1010),$AX1010,$AY1010)*Paraméterek!$J$112&lt;IF($D$4="Forint",Paraméterek!$J$113,Paraméterek!$K$113),IF($D$4="Forint",Paraméterek!$J$113,Paraméterek!$K$113),IF(IF(ISBLANK($AY1010),$AX1010,$AY1010)*Paraméterek!$J$112&gt;IF($D$4="Forint",Paraméterek!$J$114,Paraméterek!$K$114),IF($D$4="Forint",Paraméterek!$J$114,Paraméterek!$K$114),IF(ISBLANK($AY1010),$AX1010,$AY1010)*Paraméterek!$J$112))),IF($D$4="Forint",0,2))</f>
        <v>0</v>
      </c>
      <c r="BA1010" s="13">
        <f ca="1">$AT1010+$AV1010-$AW1010-IF(ROUNDDOWN(IF(ISBLANK($AY1010),$AX1010,$AY1010),IF($D$4="Forint",0,2))&gt;$AT1010+$AV1010-$AW1010-IF($D$4="Forint",Paraméterek!$J$114,Paraméterek!$K$114),0,ROUNDDOWN(IF(ISBLANK($AY1010),$AX1010,$AY1010),IF($D$4="Forint",0,2))-$AZ1010)</f>
        <v>0</v>
      </c>
      <c r="BB1010" s="13">
        <f t="shared" ca="1" si="341"/>
        <v>0</v>
      </c>
      <c r="BD1010" s="32">
        <v>991</v>
      </c>
      <c r="BE1010" s="32">
        <v>83</v>
      </c>
      <c r="BF1010" s="32">
        <v>7</v>
      </c>
      <c r="BG1010" s="34">
        <f t="shared" ca="1" si="350"/>
        <v>2101</v>
      </c>
      <c r="BH1010" s="32" t="str">
        <f ca="1">IF(MOD(MONTH($D$14)+$BD1010-1,12)=Paraméterek!$C$288,"Igen","")</f>
        <v/>
      </c>
      <c r="BI1010" s="13">
        <f ca="1">IF($BH1010="Igen",MIN(ROUNDDOWN((SUMIF($BG$20:$BG$1027,$BG1010-1,$K$20:$K$1027)-SUMIF($BG$20:$BG$1027,$BG1010-1,$I$20:$I$1027))*Paraméterek!$C$289,IF($D$4="Forint",0,2)),IF($D$4="Forint",Paraméterek!$C$285,Paraméterek!$D$285)),0)</f>
        <v>0</v>
      </c>
      <c r="BJ1010" s="13">
        <f t="shared" ca="1" si="342"/>
        <v>0</v>
      </c>
      <c r="BK1010" s="13">
        <f t="shared" ca="1" si="351"/>
        <v>0</v>
      </c>
      <c r="BL1010" s="33"/>
      <c r="BM1010" s="13">
        <f t="shared" ca="1" si="343"/>
        <v>0</v>
      </c>
      <c r="BN1010" s="13">
        <f ca="1">ROUNDUP(($BK1010+$BM1010)*VLOOKUP($BE1010,Paraméterek!$P$38:$Q$38,2)/12*IF($D1011="Nem",IF($M$13=0,1,$M$13),1),IF($D$4="Forint",0,2))</f>
        <v>0</v>
      </c>
      <c r="BO1010" s="13">
        <f t="shared" ca="1" si="344"/>
        <v>0</v>
      </c>
      <c r="BP1010" s="13">
        <f ca="1">IF($D1011="Nem",$BO1010,$BO1010-ROUNDUP(SUM($BI$20:$BI1010)*120%,IF($D$4="Forint",0,2)))</f>
        <v>0</v>
      </c>
    </row>
    <row r="1011" spans="1:68" x14ac:dyDescent="0.2">
      <c r="A1011" s="32">
        <v>992</v>
      </c>
      <c r="B1011" s="32">
        <v>83</v>
      </c>
      <c r="C1011" s="32">
        <v>8</v>
      </c>
      <c r="D1011" s="32" t="str">
        <f t="shared" ca="1" si="330"/>
        <v>Nem</v>
      </c>
      <c r="E1011" s="13">
        <f t="shared" ca="1" si="331"/>
        <v>0</v>
      </c>
      <c r="F1011" s="13"/>
      <c r="G1011" s="13"/>
      <c r="H1011" s="13"/>
      <c r="I1011" s="13">
        <f t="shared" ca="1" si="332"/>
        <v>0</v>
      </c>
      <c r="J1011" s="13">
        <f t="shared" ca="1" si="333"/>
        <v>0</v>
      </c>
      <c r="K1011" s="13">
        <f t="shared" ca="1" si="334"/>
        <v>0</v>
      </c>
      <c r="L1011" s="13" t="e">
        <f ca="1">ROUNDUP(IF($D$2="Egyszeri",$E1011,IF($D$2="Havi",SUM($E$20:$E$31),IF(MOD($C1011,$M$1)-1=0,SUM($E$20:$E$31),0))/12*$M$1)*VLOOKUP($B1011,Paraméterek!$I$28:$P$31,IF($D$2="Egyszeri",8,HLOOKUP(ROUNDUP($M$11+$M$13,0),Paraméterek!$J$26:$O$27,2))),IF($D$4="Forint",0,2))</f>
        <v>#N/A</v>
      </c>
      <c r="M1011" s="13">
        <f t="shared" ca="1" si="335"/>
        <v>0</v>
      </c>
      <c r="N1011" s="13">
        <f t="shared" ca="1" si="345"/>
        <v>0</v>
      </c>
      <c r="O1011" s="13">
        <f ca="1">IF($D1011="Igen",IF($W1010&gt;=IF($D$4="Forint",Paraméterek!$J$121,Paraméterek!$K$121),0,IF($D$4="Forint",Paraméterek!$J$121,Paraméterek!$K$121)-$W1010),0)</f>
        <v>0</v>
      </c>
      <c r="P1011" s="13" t="e">
        <f ca="1">ROUNDUP($O1011*VLOOKUP($M$4+$B1011-1,Paraméterek!$H$58:$I$105,2,0)/Paraméterek!$I$56,IF($D$4="Forint",0,2))</f>
        <v>#N/A</v>
      </c>
      <c r="Q1011" s="13">
        <f t="shared" ca="1" si="336"/>
        <v>0</v>
      </c>
      <c r="R1011" s="33"/>
      <c r="S1011" s="13" t="e">
        <f t="shared" ca="1" si="337"/>
        <v>#N/A</v>
      </c>
      <c r="T1011" s="13" t="e">
        <f ca="1">ROUNDUP(($N1011-$P1011-$Q1011+$S1011)*VLOOKUP($B1011,Paraméterek!$I$38:$K$39,IF($D$2="Egyszeri",3,2))/12*IF($D1012="Nem",IF($M$13=0,1,$M$13),1),IF($D$4="Forint",0,2))</f>
        <v>#N/A</v>
      </c>
      <c r="U1011" s="13"/>
      <c r="V1011" s="13"/>
      <c r="W1011" s="13" t="e">
        <f ca="1">$N1011-$P1011-$Q1011+$S1011-$T1011-IF(ROUNDUP(IF(ISBLANK($V1011),$U1011*0,$V1011)/IF($D$2="Egyszeri",VLOOKUP($B1011+IF($C1011=12,1,0),Paraméterek!$V$257:$W$262,2),IF($B1011=1,1,VLOOKUP($B1011+IF($C1011=12,1,0),Paraméterek!$I$258:$T$278,HLOOKUP($M$11+1,Paraméterek!$J$256:$T$257,2)))),IF($D$4="Forint",0,2))&gt;$N1011-$P1011-$Q1011+$S1011-$T1011-IF($D$4="Forint",Paraméterek!$C$216,Paraméterek!$D$216),0,ROUNDUP(IF(ISBLANK($V1011),$U1011*0,$V1011)/IF($D$2="Egyszeri",VLOOKUP($B1011+IF($C1011=12,1,0),Paraméterek!$V$257:$W$262,2),IF($B1011=1,1,VLOOKUP($B1011+IF($C1011=12,1,0),Paraméterek!$I$258:$T$278,HLOOKUP($M$11+1,Paraméterek!$J$256:$T$257,2)))),IF($D$4="Forint",0,2)))</f>
        <v>#N/A</v>
      </c>
      <c r="X1011" s="13" t="e">
        <f ca="1">ROUNDDOWN($W1011*IF($D$2="Egyszeri",VLOOKUP($B1011+IF($C1011=12,1,0),Paraméterek!$V$257:$W$262,2),VLOOKUP($B1011+IF($C1011=12,1,0),Paraméterek!$I$258:$T$278,HLOOKUP($M$11+1,Paraméterek!$I$256:$T$257,2))),IF($D$4="Forint",0,2))</f>
        <v>#N/A</v>
      </c>
      <c r="Z1011" s="32">
        <v>992</v>
      </c>
      <c r="AA1011" s="32">
        <v>83</v>
      </c>
      <c r="AB1011" s="32">
        <v>8</v>
      </c>
      <c r="AC1011" s="13">
        <f t="shared" ca="1" si="346"/>
        <v>0</v>
      </c>
      <c r="AD1011" s="33"/>
      <c r="AE1011" s="13">
        <f t="shared" ca="1" si="338"/>
        <v>0</v>
      </c>
      <c r="AF1011" s="13">
        <f ca="1">ROUNDUP(($AC1011+$AE1011)*VLOOKUP($AA1011,Paraméterek!$P$38:$Q$38,2)/12*IF($D1012="Nem",IF($M$13=0,1,$M$13),1),IF($D$4="Forint",0,2))</f>
        <v>0</v>
      </c>
      <c r="AG1011" s="13">
        <f ca="1">IF($D$2="Egyszeri",IF($D$7&gt;=IF($D$4="Forint",Paraméterek!$P$223,Paraméterek!$P$224),$D$7-IF($D$4="Forint",Paraméterek!$P$223,Paraméterek!$P$224),0),MIN(IF($AB1011=12,AVERAGEIF($E$20:$E1011,"&gt;0",$E$20:$E1011)*12,0),SUM($E$20:$E$31)))</f>
        <v>0</v>
      </c>
      <c r="AH1011" s="13">
        <f>IF($AA1011=10,$AG1011*IF($AB1011=12,IF($AG1011&lt;IF($D$4="Forint",Paraméterek!$L$223,Paraméterek!$L$224),0,VLOOKUP($AA1011,Paraméterek!$K$226:$M$228,IF($AG1011&lt;IF($D$4="Forint",Paraméterek!$M$223,Paraméterek!$M$224),2,3))),0),0)</f>
        <v>0</v>
      </c>
      <c r="AI1011" s="13">
        <f ca="1">IF(AND($AA1011=$M$11+1,$AB1011=$M$12+1),SUMIF($AA$20:$AA$1027,$AA1011,$AG$20:$AG$1027)*IF(SUMIF($AA$20:$AA$1027,$AA1011,$AG$20:$AG$1027)&lt;IF($D$4="Forint",Paraméterek!$L$223,Paraméterek!$L$224),0,VLOOKUP($AA1011,Paraméterek!$K$230:$M$250,IF(SUMIF($AA$20:$AA$1027,$AA1011,$AG$20:$AG$1027)&lt;IF($D$4="Forint",Paraméterek!$M$223,Paraméterek!$M$224),2,3))),0)</f>
        <v>0</v>
      </c>
      <c r="AJ1011" s="13">
        <f ca="1">IF(AND($AA1011&gt;=5,MOD($AA1011,5)=0),IF($AB1011=12,VLOOKUP($AA1011,Paraméterek!$O$225:$P$240,2),0),IF(OR($AA1011=3,$AA1011=4),IF($AB1011=12,VLOOKUP($AA1011,Paraméterek!$O$225:$P$240,2,0),0),0))*$AG1011</f>
        <v>0</v>
      </c>
      <c r="AK1011" s="13">
        <f t="shared" ca="1" si="339"/>
        <v>0</v>
      </c>
      <c r="AL1011" s="13">
        <f t="shared" ca="1" si="347"/>
        <v>0</v>
      </c>
      <c r="AM1011" s="13">
        <f t="shared" ca="1" si="348"/>
        <v>0</v>
      </c>
      <c r="AO1011" s="32">
        <v>992</v>
      </c>
      <c r="AP1011" s="32">
        <v>83</v>
      </c>
      <c r="AQ1011" s="32">
        <v>8</v>
      </c>
      <c r="AR1011" s="13"/>
      <c r="AS1011" s="32"/>
      <c r="AT1011" s="13">
        <f t="shared" ca="1" si="349"/>
        <v>0</v>
      </c>
      <c r="AU1011" s="33"/>
      <c r="AV1011" s="13">
        <f t="shared" ca="1" si="340"/>
        <v>0</v>
      </c>
      <c r="AW1011" s="13">
        <f ca="1">ROUNDUP(($AT1011+$AV1011)*VLOOKUP($AP1011,Paraméterek!$P$38:$Q$38,2)/12*IF($D1012="Nem",IF($M$13=0,1,$M$13),1),IF($D$4="Forint",0,2))</f>
        <v>0</v>
      </c>
      <c r="AX1011" s="13"/>
      <c r="AY1011" s="13"/>
      <c r="AZ1011" s="13">
        <f>ROUNDUP(IF(SUM($AX1011:$AY1011)=0,0,IF(IF(ISBLANK($AY1011),$AX1011,$AY1011)*Paraméterek!$J$112&lt;IF($D$4="Forint",Paraméterek!$J$113,Paraméterek!$K$113),IF($D$4="Forint",Paraméterek!$J$113,Paraméterek!$K$113),IF(IF(ISBLANK($AY1011),$AX1011,$AY1011)*Paraméterek!$J$112&gt;IF($D$4="Forint",Paraméterek!$J$114,Paraméterek!$K$114),IF($D$4="Forint",Paraméterek!$J$114,Paraméterek!$K$114),IF(ISBLANK($AY1011),$AX1011,$AY1011)*Paraméterek!$J$112))),IF($D$4="Forint",0,2))</f>
        <v>0</v>
      </c>
      <c r="BA1011" s="13">
        <f ca="1">$AT1011+$AV1011-$AW1011-IF(ROUNDDOWN(IF(ISBLANK($AY1011),$AX1011,$AY1011),IF($D$4="Forint",0,2))&gt;$AT1011+$AV1011-$AW1011-IF($D$4="Forint",Paraméterek!$J$114,Paraméterek!$K$114),0,ROUNDDOWN(IF(ISBLANK($AY1011),$AX1011,$AY1011),IF($D$4="Forint",0,2))-$AZ1011)</f>
        <v>0</v>
      </c>
      <c r="BB1011" s="13">
        <f t="shared" ca="1" si="341"/>
        <v>0</v>
      </c>
      <c r="BD1011" s="32">
        <v>992</v>
      </c>
      <c r="BE1011" s="32">
        <v>83</v>
      </c>
      <c r="BF1011" s="32">
        <v>8</v>
      </c>
      <c r="BG1011" s="34">
        <f t="shared" ca="1" si="350"/>
        <v>2102</v>
      </c>
      <c r="BH1011" s="32" t="str">
        <f ca="1">IF(MOD(MONTH($D$14)+$BD1011-1,12)=Paraméterek!$C$288,"Igen","")</f>
        <v/>
      </c>
      <c r="BI1011" s="13">
        <f ca="1">IF($BH1011="Igen",MIN(ROUNDDOWN((SUMIF($BG$20:$BG$1027,$BG1011-1,$K$20:$K$1027)-SUMIF($BG$20:$BG$1027,$BG1011-1,$I$20:$I$1027))*Paraméterek!$C$289,IF($D$4="Forint",0,2)),IF($D$4="Forint",Paraméterek!$C$285,Paraméterek!$D$285)),0)</f>
        <v>0</v>
      </c>
      <c r="BJ1011" s="13">
        <f t="shared" ca="1" si="342"/>
        <v>0</v>
      </c>
      <c r="BK1011" s="13">
        <f t="shared" ca="1" si="351"/>
        <v>0</v>
      </c>
      <c r="BL1011" s="33"/>
      <c r="BM1011" s="13">
        <f t="shared" ca="1" si="343"/>
        <v>0</v>
      </c>
      <c r="BN1011" s="13">
        <f ca="1">ROUNDUP(($BK1011+$BM1011)*VLOOKUP($BE1011,Paraméterek!$P$38:$Q$38,2)/12*IF($D1012="Nem",IF($M$13=0,1,$M$13),1),IF($D$4="Forint",0,2))</f>
        <v>0</v>
      </c>
      <c r="BO1011" s="13">
        <f t="shared" ca="1" si="344"/>
        <v>0</v>
      </c>
      <c r="BP1011" s="13">
        <f ca="1">IF($D1012="Nem",$BO1011,$BO1011-ROUNDUP(SUM($BI$20:$BI1011)*120%,IF($D$4="Forint",0,2)))</f>
        <v>0</v>
      </c>
    </row>
    <row r="1012" spans="1:68" x14ac:dyDescent="0.2">
      <c r="A1012" s="32">
        <v>993</v>
      </c>
      <c r="B1012" s="32">
        <v>83</v>
      </c>
      <c r="C1012" s="32">
        <v>9</v>
      </c>
      <c r="D1012" s="32" t="str">
        <f t="shared" ca="1" si="330"/>
        <v>Nem</v>
      </c>
      <c r="E1012" s="13">
        <f t="shared" ca="1" si="331"/>
        <v>0</v>
      </c>
      <c r="F1012" s="13"/>
      <c r="G1012" s="13"/>
      <c r="H1012" s="13"/>
      <c r="I1012" s="13">
        <f t="shared" ca="1" si="332"/>
        <v>0</v>
      </c>
      <c r="J1012" s="13">
        <f t="shared" ca="1" si="333"/>
        <v>0</v>
      </c>
      <c r="K1012" s="13">
        <f t="shared" ca="1" si="334"/>
        <v>0</v>
      </c>
      <c r="L1012" s="13" t="e">
        <f ca="1">ROUNDUP(IF($D$2="Egyszeri",$E1012,IF($D$2="Havi",SUM($E$20:$E$31),IF(MOD($C1012,$M$1)-1=0,SUM($E$20:$E$31),0))/12*$M$1)*VLOOKUP($B1012,Paraméterek!$I$28:$P$31,IF($D$2="Egyszeri",8,HLOOKUP(ROUNDUP($M$11+$M$13,0),Paraméterek!$J$26:$O$27,2))),IF($D$4="Forint",0,2))</f>
        <v>#N/A</v>
      </c>
      <c r="M1012" s="13">
        <f t="shared" ca="1" si="335"/>
        <v>0</v>
      </c>
      <c r="N1012" s="13">
        <f t="shared" ca="1" si="345"/>
        <v>0</v>
      </c>
      <c r="O1012" s="13">
        <f ca="1">IF($D1012="Igen",IF($W1011&gt;=IF($D$4="Forint",Paraméterek!$J$121,Paraméterek!$K$121),0,IF($D$4="Forint",Paraméterek!$J$121,Paraméterek!$K$121)-$W1011),0)</f>
        <v>0</v>
      </c>
      <c r="P1012" s="13" t="e">
        <f ca="1">ROUNDUP($O1012*VLOOKUP($M$4+$B1012-1,Paraméterek!$H$58:$I$105,2,0)/Paraméterek!$I$56,IF($D$4="Forint",0,2))</f>
        <v>#N/A</v>
      </c>
      <c r="Q1012" s="13">
        <f t="shared" ca="1" si="336"/>
        <v>0</v>
      </c>
      <c r="R1012" s="33"/>
      <c r="S1012" s="13" t="e">
        <f t="shared" ca="1" si="337"/>
        <v>#N/A</v>
      </c>
      <c r="T1012" s="13" t="e">
        <f ca="1">ROUNDUP(($N1012-$P1012-$Q1012+$S1012)*VLOOKUP($B1012,Paraméterek!$I$38:$K$39,IF($D$2="Egyszeri",3,2))/12*IF($D1013="Nem",IF($M$13=0,1,$M$13),1),IF($D$4="Forint",0,2))</f>
        <v>#N/A</v>
      </c>
      <c r="U1012" s="13"/>
      <c r="V1012" s="13"/>
      <c r="W1012" s="13" t="e">
        <f ca="1">$N1012-$P1012-$Q1012+$S1012-$T1012-IF(ROUNDUP(IF(ISBLANK($V1012),$U1012*0,$V1012)/IF($D$2="Egyszeri",VLOOKUP($B1012+IF($C1012=12,1,0),Paraméterek!$V$257:$W$262,2),IF($B1012=1,1,VLOOKUP($B1012+IF($C1012=12,1,0),Paraméterek!$I$258:$T$278,HLOOKUP($M$11+1,Paraméterek!$J$256:$T$257,2)))),IF($D$4="Forint",0,2))&gt;$N1012-$P1012-$Q1012+$S1012-$T1012-IF($D$4="Forint",Paraméterek!$C$216,Paraméterek!$D$216),0,ROUNDUP(IF(ISBLANK($V1012),$U1012*0,$V1012)/IF($D$2="Egyszeri",VLOOKUP($B1012+IF($C1012=12,1,0),Paraméterek!$V$257:$W$262,2),IF($B1012=1,1,VLOOKUP($B1012+IF($C1012=12,1,0),Paraméterek!$I$258:$T$278,HLOOKUP($M$11+1,Paraméterek!$J$256:$T$257,2)))),IF($D$4="Forint",0,2)))</f>
        <v>#N/A</v>
      </c>
      <c r="X1012" s="13" t="e">
        <f ca="1">ROUNDDOWN($W1012*IF($D$2="Egyszeri",VLOOKUP($B1012+IF($C1012=12,1,0),Paraméterek!$V$257:$W$262,2),VLOOKUP($B1012+IF($C1012=12,1,0),Paraméterek!$I$258:$T$278,HLOOKUP($M$11+1,Paraméterek!$I$256:$T$257,2))),IF($D$4="Forint",0,2))</f>
        <v>#N/A</v>
      </c>
      <c r="Z1012" s="32">
        <v>993</v>
      </c>
      <c r="AA1012" s="32">
        <v>83</v>
      </c>
      <c r="AB1012" s="32">
        <v>9</v>
      </c>
      <c r="AC1012" s="13">
        <f t="shared" ca="1" si="346"/>
        <v>0</v>
      </c>
      <c r="AD1012" s="33"/>
      <c r="AE1012" s="13">
        <f t="shared" ca="1" si="338"/>
        <v>0</v>
      </c>
      <c r="AF1012" s="13">
        <f ca="1">ROUNDUP(($AC1012+$AE1012)*VLOOKUP($AA1012,Paraméterek!$P$38:$Q$38,2)/12*IF($D1013="Nem",IF($M$13=0,1,$M$13),1),IF($D$4="Forint",0,2))</f>
        <v>0</v>
      </c>
      <c r="AG1012" s="13">
        <f ca="1">IF($D$2="Egyszeri",IF($D$7&gt;=IF($D$4="Forint",Paraméterek!$P$223,Paraméterek!$P$224),$D$7-IF($D$4="Forint",Paraméterek!$P$223,Paraméterek!$P$224),0),MIN(IF($AB1012=12,AVERAGEIF($E$20:$E1012,"&gt;0",$E$20:$E1012)*12,0),SUM($E$20:$E$31)))</f>
        <v>0</v>
      </c>
      <c r="AH1012" s="13">
        <f>IF($AA1012=10,$AG1012*IF($AB1012=12,IF($AG1012&lt;IF($D$4="Forint",Paraméterek!$L$223,Paraméterek!$L$224),0,VLOOKUP($AA1012,Paraméterek!$K$226:$M$228,IF($AG1012&lt;IF($D$4="Forint",Paraméterek!$M$223,Paraméterek!$M$224),2,3))),0),0)</f>
        <v>0</v>
      </c>
      <c r="AI1012" s="13">
        <f ca="1">IF(AND($AA1012=$M$11+1,$AB1012=$M$12+1),SUMIF($AA$20:$AA$1027,$AA1012,$AG$20:$AG$1027)*IF(SUMIF($AA$20:$AA$1027,$AA1012,$AG$20:$AG$1027)&lt;IF($D$4="Forint",Paraméterek!$L$223,Paraméterek!$L$224),0,VLOOKUP($AA1012,Paraméterek!$K$230:$M$250,IF(SUMIF($AA$20:$AA$1027,$AA1012,$AG$20:$AG$1027)&lt;IF($D$4="Forint",Paraméterek!$M$223,Paraméterek!$M$224),2,3))),0)</f>
        <v>0</v>
      </c>
      <c r="AJ1012" s="13">
        <f ca="1">IF(AND($AA1012&gt;=5,MOD($AA1012,5)=0),IF($AB1012=12,VLOOKUP($AA1012,Paraméterek!$O$225:$P$240,2),0),IF(OR($AA1012=3,$AA1012=4),IF($AB1012=12,VLOOKUP($AA1012,Paraméterek!$O$225:$P$240,2,0),0),0))*$AG1012</f>
        <v>0</v>
      </c>
      <c r="AK1012" s="13">
        <f t="shared" ca="1" si="339"/>
        <v>0</v>
      </c>
      <c r="AL1012" s="13">
        <f t="shared" ca="1" si="347"/>
        <v>0</v>
      </c>
      <c r="AM1012" s="13">
        <f t="shared" ca="1" si="348"/>
        <v>0</v>
      </c>
      <c r="AO1012" s="32">
        <v>993</v>
      </c>
      <c r="AP1012" s="32">
        <v>83</v>
      </c>
      <c r="AQ1012" s="32">
        <v>9</v>
      </c>
      <c r="AR1012" s="13"/>
      <c r="AS1012" s="32"/>
      <c r="AT1012" s="13">
        <f t="shared" ca="1" si="349"/>
        <v>0</v>
      </c>
      <c r="AU1012" s="33"/>
      <c r="AV1012" s="13">
        <f t="shared" ca="1" si="340"/>
        <v>0</v>
      </c>
      <c r="AW1012" s="13">
        <f ca="1">ROUNDUP(($AT1012+$AV1012)*VLOOKUP($AP1012,Paraméterek!$P$38:$Q$38,2)/12*IF($D1013="Nem",IF($M$13=0,1,$M$13),1),IF($D$4="Forint",0,2))</f>
        <v>0</v>
      </c>
      <c r="AX1012" s="13"/>
      <c r="AY1012" s="13"/>
      <c r="AZ1012" s="13">
        <f>ROUNDUP(IF(SUM($AX1012:$AY1012)=0,0,IF(IF(ISBLANK($AY1012),$AX1012,$AY1012)*Paraméterek!$J$112&lt;IF($D$4="Forint",Paraméterek!$J$113,Paraméterek!$K$113),IF($D$4="Forint",Paraméterek!$J$113,Paraméterek!$K$113),IF(IF(ISBLANK($AY1012),$AX1012,$AY1012)*Paraméterek!$J$112&gt;IF($D$4="Forint",Paraméterek!$J$114,Paraméterek!$K$114),IF($D$4="Forint",Paraméterek!$J$114,Paraméterek!$K$114),IF(ISBLANK($AY1012),$AX1012,$AY1012)*Paraméterek!$J$112))),IF($D$4="Forint",0,2))</f>
        <v>0</v>
      </c>
      <c r="BA1012" s="13">
        <f ca="1">$AT1012+$AV1012-$AW1012-IF(ROUNDDOWN(IF(ISBLANK($AY1012),$AX1012,$AY1012),IF($D$4="Forint",0,2))&gt;$AT1012+$AV1012-$AW1012-IF($D$4="Forint",Paraméterek!$J$114,Paraméterek!$K$114),0,ROUNDDOWN(IF(ISBLANK($AY1012),$AX1012,$AY1012),IF($D$4="Forint",0,2))-$AZ1012)</f>
        <v>0</v>
      </c>
      <c r="BB1012" s="13">
        <f t="shared" ca="1" si="341"/>
        <v>0</v>
      </c>
      <c r="BD1012" s="32">
        <v>993</v>
      </c>
      <c r="BE1012" s="32">
        <v>83</v>
      </c>
      <c r="BF1012" s="32">
        <v>9</v>
      </c>
      <c r="BG1012" s="34">
        <f t="shared" ca="1" si="350"/>
        <v>2102</v>
      </c>
      <c r="BH1012" s="32" t="str">
        <f ca="1">IF(MOD(MONTH($D$14)+$BD1012-1,12)=Paraméterek!$C$288,"Igen","")</f>
        <v/>
      </c>
      <c r="BI1012" s="13">
        <f ca="1">IF($BH1012="Igen",MIN(ROUNDDOWN((SUMIF($BG$20:$BG$1027,$BG1012-1,$K$20:$K$1027)-SUMIF($BG$20:$BG$1027,$BG1012-1,$I$20:$I$1027))*Paraméterek!$C$289,IF($D$4="Forint",0,2)),IF($D$4="Forint",Paraméterek!$C$285,Paraméterek!$D$285)),0)</f>
        <v>0</v>
      </c>
      <c r="BJ1012" s="13">
        <f t="shared" ca="1" si="342"/>
        <v>0</v>
      </c>
      <c r="BK1012" s="13">
        <f t="shared" ca="1" si="351"/>
        <v>0</v>
      </c>
      <c r="BL1012" s="33"/>
      <c r="BM1012" s="13">
        <f t="shared" ca="1" si="343"/>
        <v>0</v>
      </c>
      <c r="BN1012" s="13">
        <f ca="1">ROUNDUP(($BK1012+$BM1012)*VLOOKUP($BE1012,Paraméterek!$P$38:$Q$38,2)/12*IF($D1013="Nem",IF($M$13=0,1,$M$13),1),IF($D$4="Forint",0,2))</f>
        <v>0</v>
      </c>
      <c r="BO1012" s="13">
        <f t="shared" ca="1" si="344"/>
        <v>0</v>
      </c>
      <c r="BP1012" s="13">
        <f ca="1">IF($D1013="Nem",$BO1012,$BO1012-ROUNDUP(SUM($BI$20:$BI1012)*120%,IF($D$4="Forint",0,2)))</f>
        <v>0</v>
      </c>
    </row>
    <row r="1013" spans="1:68" x14ac:dyDescent="0.2">
      <c r="A1013" s="32">
        <v>994</v>
      </c>
      <c r="B1013" s="32">
        <v>83</v>
      </c>
      <c r="C1013" s="32">
        <v>10</v>
      </c>
      <c r="D1013" s="32" t="str">
        <f t="shared" ca="1" si="330"/>
        <v>Nem</v>
      </c>
      <c r="E1013" s="13">
        <f t="shared" ca="1" si="331"/>
        <v>0</v>
      </c>
      <c r="F1013" s="13"/>
      <c r="G1013" s="13"/>
      <c r="H1013" s="13"/>
      <c r="I1013" s="13">
        <f t="shared" ca="1" si="332"/>
        <v>0</v>
      </c>
      <c r="J1013" s="13">
        <f t="shared" ca="1" si="333"/>
        <v>0</v>
      </c>
      <c r="K1013" s="13">
        <f t="shared" ca="1" si="334"/>
        <v>0</v>
      </c>
      <c r="L1013" s="13" t="e">
        <f ca="1">ROUNDUP(IF($D$2="Egyszeri",$E1013,IF($D$2="Havi",SUM($E$20:$E$31),IF(MOD($C1013,$M$1)-1=0,SUM($E$20:$E$31),0))/12*$M$1)*VLOOKUP($B1013,Paraméterek!$I$28:$P$31,IF($D$2="Egyszeri",8,HLOOKUP(ROUNDUP($M$11+$M$13,0),Paraméterek!$J$26:$O$27,2))),IF($D$4="Forint",0,2))</f>
        <v>#N/A</v>
      </c>
      <c r="M1013" s="13">
        <f t="shared" ca="1" si="335"/>
        <v>0</v>
      </c>
      <c r="N1013" s="13">
        <f t="shared" ca="1" si="345"/>
        <v>0</v>
      </c>
      <c r="O1013" s="13">
        <f ca="1">IF($D1013="Igen",IF($W1012&gt;=IF($D$4="Forint",Paraméterek!$J$121,Paraméterek!$K$121),0,IF($D$4="Forint",Paraméterek!$J$121,Paraméterek!$K$121)-$W1012),0)</f>
        <v>0</v>
      </c>
      <c r="P1013" s="13" t="e">
        <f ca="1">ROUNDUP($O1013*VLOOKUP($M$4+$B1013-1,Paraméterek!$H$58:$I$105,2,0)/Paraméterek!$I$56,IF($D$4="Forint",0,2))</f>
        <v>#N/A</v>
      </c>
      <c r="Q1013" s="13">
        <f t="shared" ca="1" si="336"/>
        <v>0</v>
      </c>
      <c r="R1013" s="33"/>
      <c r="S1013" s="13" t="e">
        <f t="shared" ca="1" si="337"/>
        <v>#N/A</v>
      </c>
      <c r="T1013" s="13" t="e">
        <f ca="1">ROUNDUP(($N1013-$P1013-$Q1013+$S1013)*VLOOKUP($B1013,Paraméterek!$I$38:$K$39,IF($D$2="Egyszeri",3,2))/12*IF($D1014="Nem",IF($M$13=0,1,$M$13),1),IF($D$4="Forint",0,2))</f>
        <v>#N/A</v>
      </c>
      <c r="U1013" s="13"/>
      <c r="V1013" s="13"/>
      <c r="W1013" s="13" t="e">
        <f ca="1">$N1013-$P1013-$Q1013+$S1013-$T1013-IF(ROUNDUP(IF(ISBLANK($V1013),$U1013*0,$V1013)/IF($D$2="Egyszeri",VLOOKUP($B1013+IF($C1013=12,1,0),Paraméterek!$V$257:$W$262,2),IF($B1013=1,1,VLOOKUP($B1013+IF($C1013=12,1,0),Paraméterek!$I$258:$T$278,HLOOKUP($M$11+1,Paraméterek!$J$256:$T$257,2)))),IF($D$4="Forint",0,2))&gt;$N1013-$P1013-$Q1013+$S1013-$T1013-IF($D$4="Forint",Paraméterek!$C$216,Paraméterek!$D$216),0,ROUNDUP(IF(ISBLANK($V1013),$U1013*0,$V1013)/IF($D$2="Egyszeri",VLOOKUP($B1013+IF($C1013=12,1,0),Paraméterek!$V$257:$W$262,2),IF($B1013=1,1,VLOOKUP($B1013+IF($C1013=12,1,0),Paraméterek!$I$258:$T$278,HLOOKUP($M$11+1,Paraméterek!$J$256:$T$257,2)))),IF($D$4="Forint",0,2)))</f>
        <v>#N/A</v>
      </c>
      <c r="X1013" s="13" t="e">
        <f ca="1">ROUNDDOWN($W1013*IF($D$2="Egyszeri",VLOOKUP($B1013+IF($C1013=12,1,0),Paraméterek!$V$257:$W$262,2),VLOOKUP($B1013+IF($C1013=12,1,0),Paraméterek!$I$258:$T$278,HLOOKUP($M$11+1,Paraméterek!$I$256:$T$257,2))),IF($D$4="Forint",0,2))</f>
        <v>#N/A</v>
      </c>
      <c r="Z1013" s="32">
        <v>994</v>
      </c>
      <c r="AA1013" s="32">
        <v>83</v>
      </c>
      <c r="AB1013" s="32">
        <v>10</v>
      </c>
      <c r="AC1013" s="13">
        <f t="shared" ca="1" si="346"/>
        <v>0</v>
      </c>
      <c r="AD1013" s="33"/>
      <c r="AE1013" s="13">
        <f t="shared" ca="1" si="338"/>
        <v>0</v>
      </c>
      <c r="AF1013" s="13">
        <f ca="1">ROUNDUP(($AC1013+$AE1013)*VLOOKUP($AA1013,Paraméterek!$P$38:$Q$38,2)/12*IF($D1014="Nem",IF($M$13=0,1,$M$13),1),IF($D$4="Forint",0,2))</f>
        <v>0</v>
      </c>
      <c r="AG1013" s="13">
        <f ca="1">IF($D$2="Egyszeri",IF($D$7&gt;=IF($D$4="Forint",Paraméterek!$P$223,Paraméterek!$P$224),$D$7-IF($D$4="Forint",Paraméterek!$P$223,Paraméterek!$P$224),0),MIN(IF($AB1013=12,AVERAGEIF($E$20:$E1013,"&gt;0",$E$20:$E1013)*12,0),SUM($E$20:$E$31)))</f>
        <v>0</v>
      </c>
      <c r="AH1013" s="13">
        <f>IF($AA1013=10,$AG1013*IF($AB1013=12,IF($AG1013&lt;IF($D$4="Forint",Paraméterek!$L$223,Paraméterek!$L$224),0,VLOOKUP($AA1013,Paraméterek!$K$226:$M$228,IF($AG1013&lt;IF($D$4="Forint",Paraméterek!$M$223,Paraméterek!$M$224),2,3))),0),0)</f>
        <v>0</v>
      </c>
      <c r="AI1013" s="13">
        <f ca="1">IF(AND($AA1013=$M$11+1,$AB1013=$M$12+1),SUMIF($AA$20:$AA$1027,$AA1013,$AG$20:$AG$1027)*IF(SUMIF($AA$20:$AA$1027,$AA1013,$AG$20:$AG$1027)&lt;IF($D$4="Forint",Paraméterek!$L$223,Paraméterek!$L$224),0,VLOOKUP($AA1013,Paraméterek!$K$230:$M$250,IF(SUMIF($AA$20:$AA$1027,$AA1013,$AG$20:$AG$1027)&lt;IF($D$4="Forint",Paraméterek!$M$223,Paraméterek!$M$224),2,3))),0)</f>
        <v>0</v>
      </c>
      <c r="AJ1013" s="13">
        <f ca="1">IF(AND($AA1013&gt;=5,MOD($AA1013,5)=0),IF($AB1013=12,VLOOKUP($AA1013,Paraméterek!$O$225:$P$240,2),0),IF(OR($AA1013=3,$AA1013=4),IF($AB1013=12,VLOOKUP($AA1013,Paraméterek!$O$225:$P$240,2,0),0),0))*$AG1013</f>
        <v>0</v>
      </c>
      <c r="AK1013" s="13">
        <f t="shared" ca="1" si="339"/>
        <v>0</v>
      </c>
      <c r="AL1013" s="13">
        <f t="shared" ca="1" si="347"/>
        <v>0</v>
      </c>
      <c r="AM1013" s="13">
        <f t="shared" ca="1" si="348"/>
        <v>0</v>
      </c>
      <c r="AO1013" s="32">
        <v>994</v>
      </c>
      <c r="AP1013" s="32">
        <v>83</v>
      </c>
      <c r="AQ1013" s="32">
        <v>10</v>
      </c>
      <c r="AR1013" s="13"/>
      <c r="AS1013" s="32"/>
      <c r="AT1013" s="13">
        <f t="shared" ca="1" si="349"/>
        <v>0</v>
      </c>
      <c r="AU1013" s="33"/>
      <c r="AV1013" s="13">
        <f t="shared" ca="1" si="340"/>
        <v>0</v>
      </c>
      <c r="AW1013" s="13">
        <f ca="1">ROUNDUP(($AT1013+$AV1013)*VLOOKUP($AP1013,Paraméterek!$P$38:$Q$38,2)/12*IF($D1014="Nem",IF($M$13=0,1,$M$13),1),IF($D$4="Forint",0,2))</f>
        <v>0</v>
      </c>
      <c r="AX1013" s="13"/>
      <c r="AY1013" s="13"/>
      <c r="AZ1013" s="13">
        <f>ROUNDUP(IF(SUM($AX1013:$AY1013)=0,0,IF(IF(ISBLANK($AY1013),$AX1013,$AY1013)*Paraméterek!$J$112&lt;IF($D$4="Forint",Paraméterek!$J$113,Paraméterek!$K$113),IF($D$4="Forint",Paraméterek!$J$113,Paraméterek!$K$113),IF(IF(ISBLANK($AY1013),$AX1013,$AY1013)*Paraméterek!$J$112&gt;IF($D$4="Forint",Paraméterek!$J$114,Paraméterek!$K$114),IF($D$4="Forint",Paraméterek!$J$114,Paraméterek!$K$114),IF(ISBLANK($AY1013),$AX1013,$AY1013)*Paraméterek!$J$112))),IF($D$4="Forint",0,2))</f>
        <v>0</v>
      </c>
      <c r="BA1013" s="13">
        <f ca="1">$AT1013+$AV1013-$AW1013-IF(ROUNDDOWN(IF(ISBLANK($AY1013),$AX1013,$AY1013),IF($D$4="Forint",0,2))&gt;$AT1013+$AV1013-$AW1013-IF($D$4="Forint",Paraméterek!$J$114,Paraméterek!$K$114),0,ROUNDDOWN(IF(ISBLANK($AY1013),$AX1013,$AY1013),IF($D$4="Forint",0,2))-$AZ1013)</f>
        <v>0</v>
      </c>
      <c r="BB1013" s="13">
        <f t="shared" ca="1" si="341"/>
        <v>0</v>
      </c>
      <c r="BD1013" s="32">
        <v>994</v>
      </c>
      <c r="BE1013" s="32">
        <v>83</v>
      </c>
      <c r="BF1013" s="32">
        <v>10</v>
      </c>
      <c r="BG1013" s="34">
        <f t="shared" ca="1" si="350"/>
        <v>2102</v>
      </c>
      <c r="BH1013" s="32" t="str">
        <f ca="1">IF(MOD(MONTH($D$14)+$BD1013-1,12)=Paraméterek!$C$288,"Igen","")</f>
        <v/>
      </c>
      <c r="BI1013" s="13">
        <f ca="1">IF($BH1013="Igen",MIN(ROUNDDOWN((SUMIF($BG$20:$BG$1027,$BG1013-1,$K$20:$K$1027)-SUMIF($BG$20:$BG$1027,$BG1013-1,$I$20:$I$1027))*Paraméterek!$C$289,IF($D$4="Forint",0,2)),IF($D$4="Forint",Paraméterek!$C$285,Paraméterek!$D$285)),0)</f>
        <v>0</v>
      </c>
      <c r="BJ1013" s="13">
        <f t="shared" ca="1" si="342"/>
        <v>0</v>
      </c>
      <c r="BK1013" s="13">
        <f t="shared" ca="1" si="351"/>
        <v>0</v>
      </c>
      <c r="BL1013" s="33"/>
      <c r="BM1013" s="13">
        <f t="shared" ca="1" si="343"/>
        <v>0</v>
      </c>
      <c r="BN1013" s="13">
        <f ca="1">ROUNDUP(($BK1013+$BM1013)*VLOOKUP($BE1013,Paraméterek!$P$38:$Q$38,2)/12*IF($D1014="Nem",IF($M$13=0,1,$M$13),1),IF($D$4="Forint",0,2))</f>
        <v>0</v>
      </c>
      <c r="BO1013" s="13">
        <f t="shared" ca="1" si="344"/>
        <v>0</v>
      </c>
      <c r="BP1013" s="13">
        <f ca="1">IF($D1014="Nem",$BO1013,$BO1013-ROUNDUP(SUM($BI$20:$BI1013)*120%,IF($D$4="Forint",0,2)))</f>
        <v>0</v>
      </c>
    </row>
    <row r="1014" spans="1:68" x14ac:dyDescent="0.2">
      <c r="A1014" s="32">
        <v>995</v>
      </c>
      <c r="B1014" s="32">
        <v>83</v>
      </c>
      <c r="C1014" s="32">
        <v>11</v>
      </c>
      <c r="D1014" s="32" t="str">
        <f t="shared" ca="1" si="330"/>
        <v>Nem</v>
      </c>
      <c r="E1014" s="13">
        <f t="shared" ca="1" si="331"/>
        <v>0</v>
      </c>
      <c r="F1014" s="13"/>
      <c r="G1014" s="13"/>
      <c r="H1014" s="13"/>
      <c r="I1014" s="13">
        <f t="shared" ca="1" si="332"/>
        <v>0</v>
      </c>
      <c r="J1014" s="13">
        <f t="shared" ca="1" si="333"/>
        <v>0</v>
      </c>
      <c r="K1014" s="13">
        <f t="shared" ca="1" si="334"/>
        <v>0</v>
      </c>
      <c r="L1014" s="13" t="e">
        <f ca="1">ROUNDUP(IF($D$2="Egyszeri",$E1014,IF($D$2="Havi",SUM($E$20:$E$31),IF(MOD($C1014,$M$1)-1=0,SUM($E$20:$E$31),0))/12*$M$1)*VLOOKUP($B1014,Paraméterek!$I$28:$P$31,IF($D$2="Egyszeri",8,HLOOKUP(ROUNDUP($M$11+$M$13,0),Paraméterek!$J$26:$O$27,2))),IF($D$4="Forint",0,2))</f>
        <v>#N/A</v>
      </c>
      <c r="M1014" s="13">
        <f t="shared" ca="1" si="335"/>
        <v>0</v>
      </c>
      <c r="N1014" s="13">
        <f t="shared" ca="1" si="345"/>
        <v>0</v>
      </c>
      <c r="O1014" s="13">
        <f ca="1">IF($D1014="Igen",IF($W1013&gt;=IF($D$4="Forint",Paraméterek!$J$121,Paraméterek!$K$121),0,IF($D$4="Forint",Paraméterek!$J$121,Paraméterek!$K$121)-$W1013),0)</f>
        <v>0</v>
      </c>
      <c r="P1014" s="13" t="e">
        <f ca="1">ROUNDUP($O1014*VLOOKUP($M$4+$B1014-1,Paraméterek!$H$58:$I$105,2,0)/Paraméterek!$I$56,IF($D$4="Forint",0,2))</f>
        <v>#N/A</v>
      </c>
      <c r="Q1014" s="13">
        <f t="shared" ca="1" si="336"/>
        <v>0</v>
      </c>
      <c r="R1014" s="33"/>
      <c r="S1014" s="13" t="e">
        <f t="shared" ca="1" si="337"/>
        <v>#N/A</v>
      </c>
      <c r="T1014" s="13" t="e">
        <f ca="1">ROUNDUP(($N1014-$P1014-$Q1014+$S1014)*VLOOKUP($B1014,Paraméterek!$I$38:$K$39,IF($D$2="Egyszeri",3,2))/12*IF($D1015="Nem",IF($M$13=0,1,$M$13),1),IF($D$4="Forint",0,2))</f>
        <v>#N/A</v>
      </c>
      <c r="U1014" s="13"/>
      <c r="V1014" s="13"/>
      <c r="W1014" s="13" t="e">
        <f ca="1">$N1014-$P1014-$Q1014+$S1014-$T1014-IF(ROUNDUP(IF(ISBLANK($V1014),$U1014*0,$V1014)/IF($D$2="Egyszeri",VLOOKUP($B1014+IF($C1014=12,1,0),Paraméterek!$V$257:$W$262,2),IF($B1014=1,1,VLOOKUP($B1014+IF($C1014=12,1,0),Paraméterek!$I$258:$T$278,HLOOKUP($M$11+1,Paraméterek!$J$256:$T$257,2)))),IF($D$4="Forint",0,2))&gt;$N1014-$P1014-$Q1014+$S1014-$T1014-IF($D$4="Forint",Paraméterek!$C$216,Paraméterek!$D$216),0,ROUNDUP(IF(ISBLANK($V1014),$U1014*0,$V1014)/IF($D$2="Egyszeri",VLOOKUP($B1014+IF($C1014=12,1,0),Paraméterek!$V$257:$W$262,2),IF($B1014=1,1,VLOOKUP($B1014+IF($C1014=12,1,0),Paraméterek!$I$258:$T$278,HLOOKUP($M$11+1,Paraméterek!$J$256:$T$257,2)))),IF($D$4="Forint",0,2)))</f>
        <v>#N/A</v>
      </c>
      <c r="X1014" s="13" t="e">
        <f ca="1">ROUNDDOWN($W1014*IF($D$2="Egyszeri",VLOOKUP($B1014+IF($C1014=12,1,0),Paraméterek!$V$257:$W$262,2),VLOOKUP($B1014+IF($C1014=12,1,0),Paraméterek!$I$258:$T$278,HLOOKUP($M$11+1,Paraméterek!$I$256:$T$257,2))),IF($D$4="Forint",0,2))</f>
        <v>#N/A</v>
      </c>
      <c r="Z1014" s="32">
        <v>995</v>
      </c>
      <c r="AA1014" s="32">
        <v>83</v>
      </c>
      <c r="AB1014" s="32">
        <v>11</v>
      </c>
      <c r="AC1014" s="13">
        <f t="shared" ca="1" si="346"/>
        <v>0</v>
      </c>
      <c r="AD1014" s="33"/>
      <c r="AE1014" s="13">
        <f t="shared" ca="1" si="338"/>
        <v>0</v>
      </c>
      <c r="AF1014" s="13">
        <f ca="1">ROUNDUP(($AC1014+$AE1014)*VLOOKUP($AA1014,Paraméterek!$P$38:$Q$38,2)/12*IF($D1015="Nem",IF($M$13=0,1,$M$13),1),IF($D$4="Forint",0,2))</f>
        <v>0</v>
      </c>
      <c r="AG1014" s="13">
        <f ca="1">IF($D$2="Egyszeri",IF($D$7&gt;=IF($D$4="Forint",Paraméterek!$P$223,Paraméterek!$P$224),$D$7-IF($D$4="Forint",Paraméterek!$P$223,Paraméterek!$P$224),0),MIN(IF($AB1014=12,AVERAGEIF($E$20:$E1014,"&gt;0",$E$20:$E1014)*12,0),SUM($E$20:$E$31)))</f>
        <v>0</v>
      </c>
      <c r="AH1014" s="13">
        <f>IF($AA1014=10,$AG1014*IF($AB1014=12,IF($AG1014&lt;IF($D$4="Forint",Paraméterek!$L$223,Paraméterek!$L$224),0,VLOOKUP($AA1014,Paraméterek!$K$226:$M$228,IF($AG1014&lt;IF($D$4="Forint",Paraméterek!$M$223,Paraméterek!$M$224),2,3))),0),0)</f>
        <v>0</v>
      </c>
      <c r="AI1014" s="13">
        <f ca="1">IF(AND($AA1014=$M$11+1,$AB1014=$M$12+1),SUMIF($AA$20:$AA$1027,$AA1014,$AG$20:$AG$1027)*IF(SUMIF($AA$20:$AA$1027,$AA1014,$AG$20:$AG$1027)&lt;IF($D$4="Forint",Paraméterek!$L$223,Paraméterek!$L$224),0,VLOOKUP($AA1014,Paraméterek!$K$230:$M$250,IF(SUMIF($AA$20:$AA$1027,$AA1014,$AG$20:$AG$1027)&lt;IF($D$4="Forint",Paraméterek!$M$223,Paraméterek!$M$224),2,3))),0)</f>
        <v>0</v>
      </c>
      <c r="AJ1014" s="13">
        <f ca="1">IF(AND($AA1014&gt;=5,MOD($AA1014,5)=0),IF($AB1014=12,VLOOKUP($AA1014,Paraméterek!$O$225:$P$240,2),0),IF(OR($AA1014=3,$AA1014=4),IF($AB1014=12,VLOOKUP($AA1014,Paraméterek!$O$225:$P$240,2,0),0),0))*$AG1014</f>
        <v>0</v>
      </c>
      <c r="AK1014" s="13">
        <f t="shared" ca="1" si="339"/>
        <v>0</v>
      </c>
      <c r="AL1014" s="13">
        <f t="shared" ca="1" si="347"/>
        <v>0</v>
      </c>
      <c r="AM1014" s="13">
        <f t="shared" ca="1" si="348"/>
        <v>0</v>
      </c>
      <c r="AO1014" s="32">
        <v>995</v>
      </c>
      <c r="AP1014" s="32">
        <v>83</v>
      </c>
      <c r="AQ1014" s="32">
        <v>11</v>
      </c>
      <c r="AR1014" s="13"/>
      <c r="AS1014" s="32"/>
      <c r="AT1014" s="13">
        <f t="shared" ca="1" si="349"/>
        <v>0</v>
      </c>
      <c r="AU1014" s="33"/>
      <c r="AV1014" s="13">
        <f t="shared" ca="1" si="340"/>
        <v>0</v>
      </c>
      <c r="AW1014" s="13">
        <f ca="1">ROUNDUP(($AT1014+$AV1014)*VLOOKUP($AP1014,Paraméterek!$P$38:$Q$38,2)/12*IF($D1015="Nem",IF($M$13=0,1,$M$13),1),IF($D$4="Forint",0,2))</f>
        <v>0</v>
      </c>
      <c r="AX1014" s="13"/>
      <c r="AY1014" s="13"/>
      <c r="AZ1014" s="13">
        <f>ROUNDUP(IF(SUM($AX1014:$AY1014)=0,0,IF(IF(ISBLANK($AY1014),$AX1014,$AY1014)*Paraméterek!$J$112&lt;IF($D$4="Forint",Paraméterek!$J$113,Paraméterek!$K$113),IF($D$4="Forint",Paraméterek!$J$113,Paraméterek!$K$113),IF(IF(ISBLANK($AY1014),$AX1014,$AY1014)*Paraméterek!$J$112&gt;IF($D$4="Forint",Paraméterek!$J$114,Paraméterek!$K$114),IF($D$4="Forint",Paraméterek!$J$114,Paraméterek!$K$114),IF(ISBLANK($AY1014),$AX1014,$AY1014)*Paraméterek!$J$112))),IF($D$4="Forint",0,2))</f>
        <v>0</v>
      </c>
      <c r="BA1014" s="13">
        <f ca="1">$AT1014+$AV1014-$AW1014-IF(ROUNDDOWN(IF(ISBLANK($AY1014),$AX1014,$AY1014),IF($D$4="Forint",0,2))&gt;$AT1014+$AV1014-$AW1014-IF($D$4="Forint",Paraméterek!$J$114,Paraméterek!$K$114),0,ROUNDDOWN(IF(ISBLANK($AY1014),$AX1014,$AY1014),IF($D$4="Forint",0,2))-$AZ1014)</f>
        <v>0</v>
      </c>
      <c r="BB1014" s="13">
        <f t="shared" ca="1" si="341"/>
        <v>0</v>
      </c>
      <c r="BD1014" s="32">
        <v>995</v>
      </c>
      <c r="BE1014" s="32">
        <v>83</v>
      </c>
      <c r="BF1014" s="32">
        <v>11</v>
      </c>
      <c r="BG1014" s="34">
        <f t="shared" ca="1" si="350"/>
        <v>2102</v>
      </c>
      <c r="BH1014" s="32" t="str">
        <f ca="1">IF(MOD(MONTH($D$14)+$BD1014-1,12)=Paraméterek!$C$288,"Igen","")</f>
        <v/>
      </c>
      <c r="BI1014" s="13">
        <f ca="1">IF($BH1014="Igen",MIN(ROUNDDOWN((SUMIF($BG$20:$BG$1027,$BG1014-1,$K$20:$K$1027)-SUMIF($BG$20:$BG$1027,$BG1014-1,$I$20:$I$1027))*Paraméterek!$C$289,IF($D$4="Forint",0,2)),IF($D$4="Forint",Paraméterek!$C$285,Paraméterek!$D$285)),0)</f>
        <v>0</v>
      </c>
      <c r="BJ1014" s="13">
        <f t="shared" ca="1" si="342"/>
        <v>0</v>
      </c>
      <c r="BK1014" s="13">
        <f t="shared" ca="1" si="351"/>
        <v>0</v>
      </c>
      <c r="BL1014" s="33"/>
      <c r="BM1014" s="13">
        <f t="shared" ca="1" si="343"/>
        <v>0</v>
      </c>
      <c r="BN1014" s="13">
        <f ca="1">ROUNDUP(($BK1014+$BM1014)*VLOOKUP($BE1014,Paraméterek!$P$38:$Q$38,2)/12*IF($D1015="Nem",IF($M$13=0,1,$M$13),1),IF($D$4="Forint",0,2))</f>
        <v>0</v>
      </c>
      <c r="BO1014" s="13">
        <f t="shared" ca="1" si="344"/>
        <v>0</v>
      </c>
      <c r="BP1014" s="13">
        <f ca="1">IF($D1015="Nem",$BO1014,$BO1014-ROUNDUP(SUM($BI$20:$BI1014)*120%,IF($D$4="Forint",0,2)))</f>
        <v>0</v>
      </c>
    </row>
    <row r="1015" spans="1:68" x14ac:dyDescent="0.2">
      <c r="A1015" s="32">
        <v>996</v>
      </c>
      <c r="B1015" s="32">
        <v>83</v>
      </c>
      <c r="C1015" s="32">
        <v>12</v>
      </c>
      <c r="D1015" s="32" t="str">
        <f t="shared" ca="1" si="330"/>
        <v>Nem</v>
      </c>
      <c r="E1015" s="13">
        <f t="shared" ca="1" si="331"/>
        <v>0</v>
      </c>
      <c r="F1015" s="13"/>
      <c r="G1015" s="13"/>
      <c r="H1015" s="13"/>
      <c r="I1015" s="13">
        <f t="shared" ca="1" si="332"/>
        <v>0</v>
      </c>
      <c r="J1015" s="13">
        <f t="shared" ca="1" si="333"/>
        <v>0</v>
      </c>
      <c r="K1015" s="13">
        <f t="shared" ca="1" si="334"/>
        <v>0</v>
      </c>
      <c r="L1015" s="13" t="e">
        <f ca="1">ROUNDUP(IF($D$2="Egyszeri",$E1015,IF($D$2="Havi",SUM($E$20:$E$31),IF(MOD($C1015,$M$1)-1=0,SUM($E$20:$E$31),0))/12*$M$1)*VLOOKUP($B1015,Paraméterek!$I$28:$P$31,IF($D$2="Egyszeri",8,HLOOKUP(ROUNDUP($M$11+$M$13,0),Paraméterek!$J$26:$O$27,2))),IF($D$4="Forint",0,2))</f>
        <v>#N/A</v>
      </c>
      <c r="M1015" s="13">
        <f t="shared" ca="1" si="335"/>
        <v>0</v>
      </c>
      <c r="N1015" s="13">
        <f t="shared" ca="1" si="345"/>
        <v>0</v>
      </c>
      <c r="O1015" s="13">
        <f ca="1">IF($D1015="Igen",IF($W1014&gt;=IF($D$4="Forint",Paraméterek!$J$121,Paraméterek!$K$121),0,IF($D$4="Forint",Paraméterek!$J$121,Paraméterek!$K$121)-$W1014),0)</f>
        <v>0</v>
      </c>
      <c r="P1015" s="13" t="e">
        <f ca="1">ROUNDUP($O1015*VLOOKUP($M$4+$B1015-1,Paraméterek!$H$58:$I$105,2,0)/Paraméterek!$I$56,IF($D$4="Forint",0,2))</f>
        <v>#N/A</v>
      </c>
      <c r="Q1015" s="13">
        <f t="shared" ca="1" si="336"/>
        <v>0</v>
      </c>
      <c r="R1015" s="33"/>
      <c r="S1015" s="13" t="e">
        <f t="shared" ca="1" si="337"/>
        <v>#N/A</v>
      </c>
      <c r="T1015" s="13" t="e">
        <f ca="1">ROUNDUP(($N1015-$P1015-$Q1015+$S1015)*VLOOKUP($B1015,Paraméterek!$I$38:$K$39,IF($D$2="Egyszeri",3,2))/12*IF($D1016="Nem",IF($M$13=0,1,$M$13),1),IF($D$4="Forint",0,2))</f>
        <v>#N/A</v>
      </c>
      <c r="U1015" s="13">
        <f>Tranzakciók!$F$114</f>
        <v>0</v>
      </c>
      <c r="V1015" s="13"/>
      <c r="W1015" s="13" t="e">
        <f ca="1">$N1015-$P1015-$Q1015+$S1015-$T1015-IF(ROUNDUP(IF(ISBLANK($V1015),$U1015*0,$V1015)/IF($D$2="Egyszeri",VLOOKUP($B1015+IF($C1015=12,1,0),Paraméterek!$V$257:$W$262,2),IF($B1015=1,1,VLOOKUP($B1015+IF($C1015=12,1,0),Paraméterek!$I$258:$T$278,HLOOKUP($M$11+1,Paraméterek!$J$256:$T$257,2)))),IF($D$4="Forint",0,2))&gt;$N1015-$P1015-$Q1015+$S1015-$T1015-IF($D$4="Forint",Paraméterek!$C$216,Paraméterek!$D$216),0,ROUNDUP(IF(ISBLANK($V1015),$U1015*0,$V1015)/IF($D$2="Egyszeri",VLOOKUP($B1015+IF($C1015=12,1,0),Paraméterek!$V$257:$W$262,2),IF($B1015=1,1,VLOOKUP($B1015+IF($C1015=12,1,0),Paraméterek!$I$258:$T$278,HLOOKUP($M$11+1,Paraméterek!$J$256:$T$257,2)))),IF($D$4="Forint",0,2)))</f>
        <v>#N/A</v>
      </c>
      <c r="X1015" s="13" t="e">
        <f ca="1">ROUNDDOWN($W1015*IF($D$2="Egyszeri",VLOOKUP($B1015+IF($C1015=12,1,0),Paraméterek!$V$257:$W$262,2),VLOOKUP($B1015+IF($C1015=12,1,0),Paraméterek!$I$258:$T$278,HLOOKUP($M$11+1,Paraméterek!$I$256:$T$257,2))),IF($D$4="Forint",0,2))</f>
        <v>#N/A</v>
      </c>
      <c r="Z1015" s="32">
        <v>996</v>
      </c>
      <c r="AA1015" s="32">
        <v>83</v>
      </c>
      <c r="AB1015" s="32">
        <v>12</v>
      </c>
      <c r="AC1015" s="13">
        <f t="shared" ca="1" si="346"/>
        <v>0</v>
      </c>
      <c r="AD1015" s="33"/>
      <c r="AE1015" s="13">
        <f t="shared" ca="1" si="338"/>
        <v>0</v>
      </c>
      <c r="AF1015" s="13">
        <f ca="1">ROUNDUP(($AC1015+$AE1015)*VLOOKUP($AA1015,Paraméterek!$P$38:$Q$38,2)/12*IF($D1016="Nem",IF($M$13=0,1,$M$13),1),IF($D$4="Forint",0,2))</f>
        <v>0</v>
      </c>
      <c r="AG1015" s="13" t="e">
        <f ca="1">IF($D$2="Egyszeri",IF($D$7&gt;=IF($D$4="Forint",Paraméterek!$P$223,Paraméterek!$P$224),$D$7-IF($D$4="Forint",Paraméterek!$P$223,Paraméterek!$P$224),0),MIN(IF($AB1015=12,AVERAGEIF($E$20:$E1015,"&gt;0",$E$20:$E1015)*12,0),SUM($E$20:$E$31)))</f>
        <v>#DIV/0!</v>
      </c>
      <c r="AH1015" s="13">
        <f>IF($AA1015=10,$AG1015*IF($AB1015=12,IF($AG1015&lt;IF($D$4="Forint",Paraméterek!$L$223,Paraméterek!$L$224),0,VLOOKUP($AA1015,Paraméterek!$K$226:$M$228,IF($AG1015&lt;IF($D$4="Forint",Paraméterek!$M$223,Paraméterek!$M$224),2,3))),0),0)</f>
        <v>0</v>
      </c>
      <c r="AI1015" s="13">
        <f ca="1">IF(AND($AA1015=$M$11+1,$AB1015=$M$12+1),SUMIF($AA$20:$AA$1027,$AA1015,$AG$20:$AG$1027)*IF(SUMIF($AA$20:$AA$1027,$AA1015,$AG$20:$AG$1027)&lt;IF($D$4="Forint",Paraméterek!$L$223,Paraméterek!$L$224),0,VLOOKUP($AA1015,Paraméterek!$K$230:$M$250,IF(SUMIF($AA$20:$AA$1027,$AA1015,$AG$20:$AG$1027)&lt;IF($D$4="Forint",Paraméterek!$M$223,Paraméterek!$M$224),2,3))),0)</f>
        <v>0</v>
      </c>
      <c r="AJ1015" s="13" t="e">
        <f ca="1">IF(AND($AA1015&gt;=5,MOD($AA1015,5)=0),IF($AB1015=12,VLOOKUP($AA1015,Paraméterek!$O$225:$P$240,2),0),IF(OR($AA1015=3,$AA1015=4),IF($AB1015=12,VLOOKUP($AA1015,Paraméterek!$O$225:$P$240,2,0),0),0))*$AG1015</f>
        <v>#DIV/0!</v>
      </c>
      <c r="AK1015" s="13">
        <f t="shared" ca="1" si="339"/>
        <v>0</v>
      </c>
      <c r="AL1015" s="13">
        <f t="shared" ca="1" si="347"/>
        <v>0</v>
      </c>
      <c r="AM1015" s="13">
        <f t="shared" ca="1" si="348"/>
        <v>0</v>
      </c>
      <c r="AO1015" s="32">
        <v>996</v>
      </c>
      <c r="AP1015" s="32">
        <v>83</v>
      </c>
      <c r="AQ1015" s="32">
        <v>12</v>
      </c>
      <c r="AR1015" s="13"/>
      <c r="AS1015" s="32"/>
      <c r="AT1015" s="13">
        <f t="shared" ca="1" si="349"/>
        <v>0</v>
      </c>
      <c r="AU1015" s="33"/>
      <c r="AV1015" s="13">
        <f t="shared" ca="1" si="340"/>
        <v>0</v>
      </c>
      <c r="AW1015" s="13">
        <f ca="1">ROUNDUP(($AT1015+$AV1015)*VLOOKUP($AP1015,Paraméterek!$P$38:$Q$38,2)/12*IF($D1016="Nem",IF($M$13=0,1,$M$13),1),IF($D$4="Forint",0,2))</f>
        <v>0</v>
      </c>
      <c r="AX1015" s="13">
        <f>Tranzakciók!$M$114</f>
        <v>0</v>
      </c>
      <c r="AY1015" s="13"/>
      <c r="AZ1015" s="13">
        <f>ROUNDUP(IF(SUM($AX1015:$AY1015)=0,0,IF(IF(ISBLANK($AY1015),$AX1015,$AY1015)*Paraméterek!$J$112&lt;IF($D$4="Forint",Paraméterek!$J$113,Paraméterek!$K$113),IF($D$4="Forint",Paraméterek!$J$113,Paraméterek!$K$113),IF(IF(ISBLANK($AY1015),$AX1015,$AY1015)*Paraméterek!$J$112&gt;IF($D$4="Forint",Paraméterek!$J$114,Paraméterek!$K$114),IF($D$4="Forint",Paraméterek!$J$114,Paraméterek!$K$114),IF(ISBLANK($AY1015),$AX1015,$AY1015)*Paraméterek!$J$112))),IF($D$4="Forint",0,2))</f>
        <v>0</v>
      </c>
      <c r="BA1015" s="13">
        <f ca="1">$AT1015+$AV1015-$AW1015-IF(ROUNDDOWN(IF(ISBLANK($AY1015),$AX1015,$AY1015),IF($D$4="Forint",0,2))&gt;$AT1015+$AV1015-$AW1015-IF($D$4="Forint",Paraméterek!$J$114,Paraméterek!$K$114),0,ROUNDDOWN(IF(ISBLANK($AY1015),$AX1015,$AY1015),IF($D$4="Forint",0,2))-$AZ1015)</f>
        <v>0</v>
      </c>
      <c r="BB1015" s="13">
        <f t="shared" ca="1" si="341"/>
        <v>0</v>
      </c>
      <c r="BD1015" s="32">
        <v>996</v>
      </c>
      <c r="BE1015" s="32">
        <v>83</v>
      </c>
      <c r="BF1015" s="32">
        <v>12</v>
      </c>
      <c r="BG1015" s="34">
        <f t="shared" ca="1" si="350"/>
        <v>2102</v>
      </c>
      <c r="BH1015" s="32" t="str">
        <f ca="1">IF(MOD(MONTH($D$14)+$BD1015-1,12)=Paraméterek!$C$288,"Igen","")</f>
        <v/>
      </c>
      <c r="BI1015" s="13">
        <f ca="1">IF($BH1015="Igen",MIN(ROUNDDOWN((SUMIF($BG$20:$BG$1027,$BG1015-1,$K$20:$K$1027)-SUMIF($BG$20:$BG$1027,$BG1015-1,$I$20:$I$1027))*Paraméterek!$C$289,IF($D$4="Forint",0,2)),IF($D$4="Forint",Paraméterek!$C$285,Paraméterek!$D$285)),0)</f>
        <v>0</v>
      </c>
      <c r="BJ1015" s="13">
        <f t="shared" ca="1" si="342"/>
        <v>0</v>
      </c>
      <c r="BK1015" s="13">
        <f t="shared" ca="1" si="351"/>
        <v>0</v>
      </c>
      <c r="BL1015" s="33"/>
      <c r="BM1015" s="13">
        <f t="shared" ca="1" si="343"/>
        <v>0</v>
      </c>
      <c r="BN1015" s="13">
        <f ca="1">ROUNDUP(($BK1015+$BM1015)*VLOOKUP($BE1015,Paraméterek!$P$38:$Q$38,2)/12*IF($D1016="Nem",IF($M$13=0,1,$M$13),1),IF($D$4="Forint",0,2))</f>
        <v>0</v>
      </c>
      <c r="BO1015" s="13">
        <f t="shared" ca="1" si="344"/>
        <v>0</v>
      </c>
      <c r="BP1015" s="13">
        <f ca="1">IF($D1016="Nem",$BO1015,$BO1015-ROUNDUP(SUM($BI$20:$BI1015)*120%,IF($D$4="Forint",0,2)))</f>
        <v>0</v>
      </c>
    </row>
    <row r="1016" spans="1:68" x14ac:dyDescent="0.2">
      <c r="A1016" s="32">
        <v>997</v>
      </c>
      <c r="B1016" s="32">
        <v>84</v>
      </c>
      <c r="C1016" s="32">
        <v>1</v>
      </c>
      <c r="D1016" s="32" t="str">
        <f t="shared" ca="1" si="330"/>
        <v>Nem</v>
      </c>
      <c r="E1016" s="13">
        <f t="shared" ca="1" si="331"/>
        <v>0</v>
      </c>
      <c r="F1016" s="13"/>
      <c r="G1016" s="13">
        <f>Tranzakciók!$D$115</f>
        <v>0</v>
      </c>
      <c r="H1016" s="13"/>
      <c r="I1016" s="13">
        <f t="shared" ca="1" si="332"/>
        <v>0</v>
      </c>
      <c r="J1016" s="13">
        <f t="shared" ca="1" si="333"/>
        <v>0</v>
      </c>
      <c r="K1016" s="13">
        <f t="shared" ca="1" si="334"/>
        <v>0</v>
      </c>
      <c r="L1016" s="13" t="e">
        <f ca="1">ROUNDUP(IF($D$2="Egyszeri",$E1016,IF($D$2="Havi",SUM($E$20:$E$31),IF(MOD($C1016,$M$1)-1=0,SUM($E$20:$E$31),0))/12*$M$1)*VLOOKUP($B1016,Paraméterek!$I$28:$P$31,IF($D$2="Egyszeri",8,HLOOKUP(ROUNDUP($M$11+$M$13,0),Paraméterek!$J$26:$O$27,2))),IF($D$4="Forint",0,2))</f>
        <v>#N/A</v>
      </c>
      <c r="M1016" s="13">
        <f t="shared" ca="1" si="335"/>
        <v>0</v>
      </c>
      <c r="N1016" s="13">
        <f t="shared" ca="1" si="345"/>
        <v>0</v>
      </c>
      <c r="O1016" s="13">
        <f ca="1">IF($D1016="Igen",IF($W1015&gt;=IF($D$4="Forint",Paraméterek!$J$121,Paraméterek!$K$121),0,IF($D$4="Forint",Paraméterek!$J$121,Paraméterek!$K$121)-$W1015),0)</f>
        <v>0</v>
      </c>
      <c r="P1016" s="13" t="e">
        <f ca="1">ROUNDUP($O1016*VLOOKUP($M$4+$B1016-1,Paraméterek!$H$58:$I$105,2,0)/Paraméterek!$I$56,IF($D$4="Forint",0,2))</f>
        <v>#N/A</v>
      </c>
      <c r="Q1016" s="13">
        <f t="shared" ca="1" si="336"/>
        <v>0</v>
      </c>
      <c r="R1016" s="33"/>
      <c r="S1016" s="13" t="e">
        <f t="shared" ca="1" si="337"/>
        <v>#N/A</v>
      </c>
      <c r="T1016" s="13" t="e">
        <f ca="1">ROUNDUP(($N1016-$P1016-$Q1016+$S1016)*VLOOKUP($B1016,Paraméterek!$I$38:$K$39,IF($D$2="Egyszeri",3,2))/12*IF($D1017="Nem",IF($M$13=0,1,$M$13),1),IF($D$4="Forint",0,2))</f>
        <v>#N/A</v>
      </c>
      <c r="U1016" s="13"/>
      <c r="V1016" s="13"/>
      <c r="W1016" s="13" t="e">
        <f ca="1">$N1016-$P1016-$Q1016+$S1016-$T1016-IF(ROUNDUP(IF(ISBLANK($V1016),$U1016*0,$V1016)/IF($D$2="Egyszeri",VLOOKUP($B1016+IF($C1016=12,1,0),Paraméterek!$V$257:$W$262,2),IF($B1016=1,1,VLOOKUP($B1016+IF($C1016=12,1,0),Paraméterek!$I$258:$T$278,HLOOKUP($M$11+1,Paraméterek!$J$256:$T$257,2)))),IF($D$4="Forint",0,2))&gt;$N1016-$P1016-$Q1016+$S1016-$T1016-IF($D$4="Forint",Paraméterek!$C$216,Paraméterek!$D$216),0,ROUNDUP(IF(ISBLANK($V1016),$U1016*0,$V1016)/IF($D$2="Egyszeri",VLOOKUP($B1016+IF($C1016=12,1,0),Paraméterek!$V$257:$W$262,2),IF($B1016=1,1,VLOOKUP($B1016+IF($C1016=12,1,0),Paraméterek!$I$258:$T$278,HLOOKUP($M$11+1,Paraméterek!$J$256:$T$257,2)))),IF($D$4="Forint",0,2)))</f>
        <v>#N/A</v>
      </c>
      <c r="X1016" s="13" t="e">
        <f ca="1">ROUNDDOWN($W1016*IF($D$2="Egyszeri",VLOOKUP($B1016+IF($C1016=12,1,0),Paraméterek!$V$257:$W$262,2),VLOOKUP($B1016+IF($C1016=12,1,0),Paraméterek!$I$258:$T$278,HLOOKUP($M$11+1,Paraméterek!$I$256:$T$257,2))),IF($D$4="Forint",0,2))</f>
        <v>#N/A</v>
      </c>
      <c r="Z1016" s="32">
        <v>997</v>
      </c>
      <c r="AA1016" s="32">
        <v>84</v>
      </c>
      <c r="AB1016" s="32">
        <v>1</v>
      </c>
      <c r="AC1016" s="13">
        <f t="shared" ca="1" si="346"/>
        <v>0</v>
      </c>
      <c r="AD1016" s="33"/>
      <c r="AE1016" s="13">
        <f t="shared" ca="1" si="338"/>
        <v>0</v>
      </c>
      <c r="AF1016" s="13">
        <f ca="1">ROUNDUP(($AC1016+$AE1016)*VLOOKUP($AA1016,Paraméterek!$P$38:$Q$38,2)/12*IF($D1017="Nem",IF($M$13=0,1,$M$13),1),IF($D$4="Forint",0,2))</f>
        <v>0</v>
      </c>
      <c r="AG1016" s="13">
        <f ca="1">IF($D$2="Egyszeri",IF($D$7&gt;=IF($D$4="Forint",Paraméterek!$P$223,Paraméterek!$P$224),$D$7-IF($D$4="Forint",Paraméterek!$P$223,Paraméterek!$P$224),0),MIN(IF($AB1016=12,AVERAGEIF($E$20:$E1016,"&gt;0",$E$20:$E1016)*12,0),SUM($E$20:$E$31)))</f>
        <v>0</v>
      </c>
      <c r="AH1016" s="13">
        <f>IF($AA1016=10,$AG1016*IF($AB1016=12,IF($AG1016&lt;IF($D$4="Forint",Paraméterek!$L$223,Paraméterek!$L$224),0,VLOOKUP($AA1016,Paraméterek!$K$226:$M$228,IF($AG1016&lt;IF($D$4="Forint",Paraméterek!$M$223,Paraméterek!$M$224),2,3))),0),0)</f>
        <v>0</v>
      </c>
      <c r="AI1016" s="13">
        <f ca="1">IF(AND($AA1016=$M$11+1,$AB1016=$M$12+1),SUMIF($AA$20:$AA$1027,$AA1016,$AG$20:$AG$1027)*IF(SUMIF($AA$20:$AA$1027,$AA1016,$AG$20:$AG$1027)&lt;IF($D$4="Forint",Paraméterek!$L$223,Paraméterek!$L$224),0,VLOOKUP($AA1016,Paraméterek!$K$230:$M$250,IF(SUMIF($AA$20:$AA$1027,$AA1016,$AG$20:$AG$1027)&lt;IF($D$4="Forint",Paraméterek!$M$223,Paraméterek!$M$224),2,3))),0)</f>
        <v>0</v>
      </c>
      <c r="AJ1016" s="13">
        <f ca="1">IF(AND($AA1016&gt;=5,MOD($AA1016,5)=0),IF($AB1016=12,VLOOKUP($AA1016,Paraméterek!$O$225:$P$240,2),0),IF(OR($AA1016=3,$AA1016=4),IF($AB1016=12,VLOOKUP($AA1016,Paraméterek!$O$225:$P$240,2,0),0),0))*$AG1016</f>
        <v>0</v>
      </c>
      <c r="AK1016" s="13">
        <f t="shared" ca="1" si="339"/>
        <v>0</v>
      </c>
      <c r="AL1016" s="13">
        <f t="shared" ca="1" si="347"/>
        <v>0</v>
      </c>
      <c r="AM1016" s="13">
        <f t="shared" ca="1" si="348"/>
        <v>0</v>
      </c>
      <c r="AO1016" s="32">
        <v>997</v>
      </c>
      <c r="AP1016" s="32">
        <v>84</v>
      </c>
      <c r="AQ1016" s="32">
        <v>1</v>
      </c>
      <c r="AR1016" s="13">
        <f>Tranzakciók!$K$115</f>
        <v>0</v>
      </c>
      <c r="AS1016" s="32"/>
      <c r="AT1016" s="13">
        <f t="shared" ca="1" si="349"/>
        <v>0</v>
      </c>
      <c r="AU1016" s="33"/>
      <c r="AV1016" s="13">
        <f t="shared" ca="1" si="340"/>
        <v>0</v>
      </c>
      <c r="AW1016" s="13">
        <f ca="1">ROUNDUP(($AT1016+$AV1016)*VLOOKUP($AP1016,Paraméterek!$P$38:$Q$38,2)/12*IF($D1017="Nem",IF($M$13=0,1,$M$13),1),IF($D$4="Forint",0,2))</f>
        <v>0</v>
      </c>
      <c r="AX1016" s="13"/>
      <c r="AY1016" s="13"/>
      <c r="AZ1016" s="13">
        <f>ROUNDUP(IF(SUM($AX1016:$AY1016)=0,0,IF(IF(ISBLANK($AY1016),$AX1016,$AY1016)*Paraméterek!$J$112&lt;IF($D$4="Forint",Paraméterek!$J$113,Paraméterek!$K$113),IF($D$4="Forint",Paraméterek!$J$113,Paraméterek!$K$113),IF(IF(ISBLANK($AY1016),$AX1016,$AY1016)*Paraméterek!$J$112&gt;IF($D$4="Forint",Paraméterek!$J$114,Paraméterek!$K$114),IF($D$4="Forint",Paraméterek!$J$114,Paraméterek!$K$114),IF(ISBLANK($AY1016),$AX1016,$AY1016)*Paraméterek!$J$112))),IF($D$4="Forint",0,2))</f>
        <v>0</v>
      </c>
      <c r="BA1016" s="13">
        <f ca="1">$AT1016+$AV1016-$AW1016-IF(ROUNDDOWN(IF(ISBLANK($AY1016),$AX1016,$AY1016),IF($D$4="Forint",0,2))&gt;$AT1016+$AV1016-$AW1016-IF($D$4="Forint",Paraméterek!$J$114,Paraméterek!$K$114),0,ROUNDDOWN(IF(ISBLANK($AY1016),$AX1016,$AY1016),IF($D$4="Forint",0,2))-$AZ1016)</f>
        <v>0</v>
      </c>
      <c r="BB1016" s="13">
        <f t="shared" ca="1" si="341"/>
        <v>0</v>
      </c>
      <c r="BD1016" s="32">
        <v>997</v>
      </c>
      <c r="BE1016" s="32">
        <v>84</v>
      </c>
      <c r="BF1016" s="32">
        <v>1</v>
      </c>
      <c r="BG1016" s="34">
        <f t="shared" ca="1" si="350"/>
        <v>2102</v>
      </c>
      <c r="BH1016" s="32" t="str">
        <f ca="1">IF(MOD(MONTH($D$14)+$BD1016-1,12)=Paraméterek!$C$288,"Igen","")</f>
        <v/>
      </c>
      <c r="BI1016" s="13">
        <f ca="1">IF($BH1016="Igen",MIN(ROUNDDOWN((SUMIF($BG$20:$BG$1027,$BG1016-1,$K$20:$K$1027)-SUMIF($BG$20:$BG$1027,$BG1016-1,$I$20:$I$1027))*Paraméterek!$C$289,IF($D$4="Forint",0,2)),IF($D$4="Forint",Paraméterek!$C$285,Paraméterek!$D$285)),0)</f>
        <v>0</v>
      </c>
      <c r="BJ1016" s="13">
        <f t="shared" ca="1" si="342"/>
        <v>0</v>
      </c>
      <c r="BK1016" s="13">
        <f t="shared" ca="1" si="351"/>
        <v>0</v>
      </c>
      <c r="BL1016" s="33"/>
      <c r="BM1016" s="13">
        <f t="shared" ca="1" si="343"/>
        <v>0</v>
      </c>
      <c r="BN1016" s="13">
        <f ca="1">ROUNDUP(($BK1016+$BM1016)*VLOOKUP($BE1016,Paraméterek!$P$38:$Q$38,2)/12*IF($D1017="Nem",IF($M$13=0,1,$M$13),1),IF($D$4="Forint",0,2))</f>
        <v>0</v>
      </c>
      <c r="BO1016" s="13">
        <f t="shared" ca="1" si="344"/>
        <v>0</v>
      </c>
      <c r="BP1016" s="13">
        <f ca="1">IF($D1017="Nem",$BO1016,$BO1016-ROUNDUP(SUM($BI$20:$BI1016)*120%,IF($D$4="Forint",0,2)))</f>
        <v>0</v>
      </c>
    </row>
    <row r="1017" spans="1:68" x14ac:dyDescent="0.2">
      <c r="A1017" s="32">
        <v>998</v>
      </c>
      <c r="B1017" s="32">
        <v>84</v>
      </c>
      <c r="C1017" s="32">
        <v>2</v>
      </c>
      <c r="D1017" s="32" t="str">
        <f t="shared" ca="1" si="330"/>
        <v>Nem</v>
      </c>
      <c r="E1017" s="13">
        <f t="shared" ca="1" si="331"/>
        <v>0</v>
      </c>
      <c r="F1017" s="13"/>
      <c r="G1017" s="13"/>
      <c r="H1017" s="13"/>
      <c r="I1017" s="13">
        <f t="shared" ca="1" si="332"/>
        <v>0</v>
      </c>
      <c r="J1017" s="13">
        <f t="shared" ca="1" si="333"/>
        <v>0</v>
      </c>
      <c r="K1017" s="13">
        <f t="shared" ca="1" si="334"/>
        <v>0</v>
      </c>
      <c r="L1017" s="13" t="e">
        <f ca="1">ROUNDUP(IF($D$2="Egyszeri",$E1017,IF($D$2="Havi",SUM($E$20:$E$31),IF(MOD($C1017,$M$1)-1=0,SUM($E$20:$E$31),0))/12*$M$1)*VLOOKUP($B1017,Paraméterek!$I$28:$P$31,IF($D$2="Egyszeri",8,HLOOKUP(ROUNDUP($M$11+$M$13,0),Paraméterek!$J$26:$O$27,2))),IF($D$4="Forint",0,2))</f>
        <v>#N/A</v>
      </c>
      <c r="M1017" s="13">
        <f t="shared" ca="1" si="335"/>
        <v>0</v>
      </c>
      <c r="N1017" s="13">
        <f t="shared" ca="1" si="345"/>
        <v>0</v>
      </c>
      <c r="O1017" s="13">
        <f ca="1">IF($D1017="Igen",IF($W1016&gt;=IF($D$4="Forint",Paraméterek!$J$121,Paraméterek!$K$121),0,IF($D$4="Forint",Paraméterek!$J$121,Paraméterek!$K$121)-$W1016),0)</f>
        <v>0</v>
      </c>
      <c r="P1017" s="13" t="e">
        <f ca="1">ROUNDUP($O1017*VLOOKUP($M$4+$B1017-1,Paraméterek!$H$58:$I$105,2,0)/Paraméterek!$I$56,IF($D$4="Forint",0,2))</f>
        <v>#N/A</v>
      </c>
      <c r="Q1017" s="13">
        <f t="shared" ca="1" si="336"/>
        <v>0</v>
      </c>
      <c r="R1017" s="33"/>
      <c r="S1017" s="13" t="e">
        <f t="shared" ca="1" si="337"/>
        <v>#N/A</v>
      </c>
      <c r="T1017" s="13" t="e">
        <f ca="1">ROUNDUP(($N1017-$P1017-$Q1017+$S1017)*VLOOKUP($B1017,Paraméterek!$I$38:$K$39,IF($D$2="Egyszeri",3,2))/12*IF($D1018="Nem",IF($M$13=0,1,$M$13),1),IF($D$4="Forint",0,2))</f>
        <v>#N/A</v>
      </c>
      <c r="U1017" s="13"/>
      <c r="V1017" s="13"/>
      <c r="W1017" s="13" t="e">
        <f ca="1">$N1017-$P1017-$Q1017+$S1017-$T1017-IF(ROUNDUP(IF(ISBLANK($V1017),$U1017*0,$V1017)/IF($D$2="Egyszeri",VLOOKUP($B1017+IF($C1017=12,1,0),Paraméterek!$V$257:$W$262,2),IF($B1017=1,1,VLOOKUP($B1017+IF($C1017=12,1,0),Paraméterek!$I$258:$T$278,HLOOKUP($M$11+1,Paraméterek!$J$256:$T$257,2)))),IF($D$4="Forint",0,2))&gt;$N1017-$P1017-$Q1017+$S1017-$T1017-IF($D$4="Forint",Paraméterek!$C$216,Paraméterek!$D$216),0,ROUNDUP(IF(ISBLANK($V1017),$U1017*0,$V1017)/IF($D$2="Egyszeri",VLOOKUP($B1017+IF($C1017=12,1,0),Paraméterek!$V$257:$W$262,2),IF($B1017=1,1,VLOOKUP($B1017+IF($C1017=12,1,0),Paraméterek!$I$258:$T$278,HLOOKUP($M$11+1,Paraméterek!$J$256:$T$257,2)))),IF($D$4="Forint",0,2)))</f>
        <v>#N/A</v>
      </c>
      <c r="X1017" s="13" t="e">
        <f ca="1">ROUNDDOWN($W1017*IF($D$2="Egyszeri",VLOOKUP($B1017+IF($C1017=12,1,0),Paraméterek!$V$257:$W$262,2),VLOOKUP($B1017+IF($C1017=12,1,0),Paraméterek!$I$258:$T$278,HLOOKUP($M$11+1,Paraméterek!$I$256:$T$257,2))),IF($D$4="Forint",0,2))</f>
        <v>#N/A</v>
      </c>
      <c r="Z1017" s="32">
        <v>998</v>
      </c>
      <c r="AA1017" s="32">
        <v>84</v>
      </c>
      <c r="AB1017" s="32">
        <v>2</v>
      </c>
      <c r="AC1017" s="13">
        <f t="shared" ca="1" si="346"/>
        <v>0</v>
      </c>
      <c r="AD1017" s="33"/>
      <c r="AE1017" s="13">
        <f t="shared" ca="1" si="338"/>
        <v>0</v>
      </c>
      <c r="AF1017" s="13">
        <f ca="1">ROUNDUP(($AC1017+$AE1017)*VLOOKUP($AA1017,Paraméterek!$P$38:$Q$38,2)/12*IF($D1018="Nem",IF($M$13=0,1,$M$13),1),IF($D$4="Forint",0,2))</f>
        <v>0</v>
      </c>
      <c r="AG1017" s="13">
        <f ca="1">IF($D$2="Egyszeri",IF($D$7&gt;=IF($D$4="Forint",Paraméterek!$P$223,Paraméterek!$P$224),$D$7-IF($D$4="Forint",Paraméterek!$P$223,Paraméterek!$P$224),0),MIN(IF($AB1017=12,AVERAGEIF($E$20:$E1017,"&gt;0",$E$20:$E1017)*12,0),SUM($E$20:$E$31)))</f>
        <v>0</v>
      </c>
      <c r="AH1017" s="13">
        <f>IF($AA1017=10,$AG1017*IF($AB1017=12,IF($AG1017&lt;IF($D$4="Forint",Paraméterek!$L$223,Paraméterek!$L$224),0,VLOOKUP($AA1017,Paraméterek!$K$226:$M$228,IF($AG1017&lt;IF($D$4="Forint",Paraméterek!$M$223,Paraméterek!$M$224),2,3))),0),0)</f>
        <v>0</v>
      </c>
      <c r="AI1017" s="13">
        <f ca="1">IF(AND($AA1017=$M$11+1,$AB1017=$M$12+1),SUMIF($AA$20:$AA$1027,$AA1017,$AG$20:$AG$1027)*IF(SUMIF($AA$20:$AA$1027,$AA1017,$AG$20:$AG$1027)&lt;IF($D$4="Forint",Paraméterek!$L$223,Paraméterek!$L$224),0,VLOOKUP($AA1017,Paraméterek!$K$230:$M$250,IF(SUMIF($AA$20:$AA$1027,$AA1017,$AG$20:$AG$1027)&lt;IF($D$4="Forint",Paraméterek!$M$223,Paraméterek!$M$224),2,3))),0)</f>
        <v>0</v>
      </c>
      <c r="AJ1017" s="13">
        <f ca="1">IF(AND($AA1017&gt;=5,MOD($AA1017,5)=0),IF($AB1017=12,VLOOKUP($AA1017,Paraméterek!$O$225:$P$240,2),0),IF(OR($AA1017=3,$AA1017=4),IF($AB1017=12,VLOOKUP($AA1017,Paraméterek!$O$225:$P$240,2,0),0),0))*$AG1017</f>
        <v>0</v>
      </c>
      <c r="AK1017" s="13">
        <f t="shared" ca="1" si="339"/>
        <v>0</v>
      </c>
      <c r="AL1017" s="13">
        <f t="shared" ca="1" si="347"/>
        <v>0</v>
      </c>
      <c r="AM1017" s="13">
        <f t="shared" ca="1" si="348"/>
        <v>0</v>
      </c>
      <c r="AO1017" s="32">
        <v>998</v>
      </c>
      <c r="AP1017" s="32">
        <v>84</v>
      </c>
      <c r="AQ1017" s="32">
        <v>2</v>
      </c>
      <c r="AR1017" s="13"/>
      <c r="AS1017" s="32"/>
      <c r="AT1017" s="13">
        <f t="shared" ca="1" si="349"/>
        <v>0</v>
      </c>
      <c r="AU1017" s="33"/>
      <c r="AV1017" s="13">
        <f t="shared" ca="1" si="340"/>
        <v>0</v>
      </c>
      <c r="AW1017" s="13">
        <f ca="1">ROUNDUP(($AT1017+$AV1017)*VLOOKUP($AP1017,Paraméterek!$P$38:$Q$38,2)/12*IF($D1018="Nem",IF($M$13=0,1,$M$13),1),IF($D$4="Forint",0,2))</f>
        <v>0</v>
      </c>
      <c r="AX1017" s="13"/>
      <c r="AY1017" s="13"/>
      <c r="AZ1017" s="13">
        <f>ROUNDUP(IF(SUM($AX1017:$AY1017)=0,0,IF(IF(ISBLANK($AY1017),$AX1017,$AY1017)*Paraméterek!$J$112&lt;IF($D$4="Forint",Paraméterek!$J$113,Paraméterek!$K$113),IF($D$4="Forint",Paraméterek!$J$113,Paraméterek!$K$113),IF(IF(ISBLANK($AY1017),$AX1017,$AY1017)*Paraméterek!$J$112&gt;IF($D$4="Forint",Paraméterek!$J$114,Paraméterek!$K$114),IF($D$4="Forint",Paraméterek!$J$114,Paraméterek!$K$114),IF(ISBLANK($AY1017),$AX1017,$AY1017)*Paraméterek!$J$112))),IF($D$4="Forint",0,2))</f>
        <v>0</v>
      </c>
      <c r="BA1017" s="13">
        <f ca="1">$AT1017+$AV1017-$AW1017-IF(ROUNDDOWN(IF(ISBLANK($AY1017),$AX1017,$AY1017),IF($D$4="Forint",0,2))&gt;$AT1017+$AV1017-$AW1017-IF($D$4="Forint",Paraméterek!$J$114,Paraméterek!$K$114),0,ROUNDDOWN(IF(ISBLANK($AY1017),$AX1017,$AY1017),IF($D$4="Forint",0,2))-$AZ1017)</f>
        <v>0</v>
      </c>
      <c r="BB1017" s="13">
        <f t="shared" ca="1" si="341"/>
        <v>0</v>
      </c>
      <c r="BD1017" s="32">
        <v>998</v>
      </c>
      <c r="BE1017" s="32">
        <v>84</v>
      </c>
      <c r="BF1017" s="32">
        <v>2</v>
      </c>
      <c r="BG1017" s="34">
        <f t="shared" ca="1" si="350"/>
        <v>2102</v>
      </c>
      <c r="BH1017" s="32" t="str">
        <f ca="1">IF(MOD(MONTH($D$14)+$BD1017-1,12)=Paraméterek!$C$288,"Igen","")</f>
        <v>Igen</v>
      </c>
      <c r="BI1017" s="13">
        <f ca="1">IF($BH1017="Igen",MIN(ROUNDDOWN((SUMIF($BG$20:$BG$1027,$BG1017-1,$K$20:$K$1027)-SUMIF($BG$20:$BG$1027,$BG1017-1,$I$20:$I$1027))*Paraméterek!$C$289,IF($D$4="Forint",0,2)),IF($D$4="Forint",Paraméterek!$C$285,Paraméterek!$D$285)),0)</f>
        <v>0</v>
      </c>
      <c r="BJ1017" s="13">
        <f t="shared" ca="1" si="342"/>
        <v>0</v>
      </c>
      <c r="BK1017" s="13">
        <f t="shared" ca="1" si="351"/>
        <v>0</v>
      </c>
      <c r="BL1017" s="33"/>
      <c r="BM1017" s="13">
        <f t="shared" ca="1" si="343"/>
        <v>0</v>
      </c>
      <c r="BN1017" s="13">
        <f ca="1">ROUNDUP(($BK1017+$BM1017)*VLOOKUP($BE1017,Paraméterek!$P$38:$Q$38,2)/12*IF($D1018="Nem",IF($M$13=0,1,$M$13),1),IF($D$4="Forint",0,2))</f>
        <v>0</v>
      </c>
      <c r="BO1017" s="13">
        <f t="shared" ca="1" si="344"/>
        <v>0</v>
      </c>
      <c r="BP1017" s="13">
        <f ca="1">IF($D1018="Nem",$BO1017,$BO1017-ROUNDUP(SUM($BI$20:$BI1017)*120%,IF($D$4="Forint",0,2)))</f>
        <v>0</v>
      </c>
    </row>
    <row r="1018" spans="1:68" x14ac:dyDescent="0.2">
      <c r="A1018" s="32">
        <v>999</v>
      </c>
      <c r="B1018" s="32">
        <v>84</v>
      </c>
      <c r="C1018" s="32">
        <v>3</v>
      </c>
      <c r="D1018" s="32" t="str">
        <f t="shared" ca="1" si="330"/>
        <v>Nem</v>
      </c>
      <c r="E1018" s="13">
        <f t="shared" ca="1" si="331"/>
        <v>0</v>
      </c>
      <c r="F1018" s="13"/>
      <c r="G1018" s="13"/>
      <c r="H1018" s="13"/>
      <c r="I1018" s="13">
        <f t="shared" ca="1" si="332"/>
        <v>0</v>
      </c>
      <c r="J1018" s="13">
        <f t="shared" ca="1" si="333"/>
        <v>0</v>
      </c>
      <c r="K1018" s="13">
        <f t="shared" ca="1" si="334"/>
        <v>0</v>
      </c>
      <c r="L1018" s="13" t="e">
        <f ca="1">ROUNDUP(IF($D$2="Egyszeri",$E1018,IF($D$2="Havi",SUM($E$20:$E$31),IF(MOD($C1018,$M$1)-1=0,SUM($E$20:$E$31),0))/12*$M$1)*VLOOKUP($B1018,Paraméterek!$I$28:$P$31,IF($D$2="Egyszeri",8,HLOOKUP(ROUNDUP($M$11+$M$13,0),Paraméterek!$J$26:$O$27,2))),IF($D$4="Forint",0,2))</f>
        <v>#N/A</v>
      </c>
      <c r="M1018" s="13">
        <f t="shared" ca="1" si="335"/>
        <v>0</v>
      </c>
      <c r="N1018" s="13">
        <f t="shared" ca="1" si="345"/>
        <v>0</v>
      </c>
      <c r="O1018" s="13">
        <f ca="1">IF($D1018="Igen",IF($W1017&gt;=IF($D$4="Forint",Paraméterek!$J$121,Paraméterek!$K$121),0,IF($D$4="Forint",Paraméterek!$J$121,Paraméterek!$K$121)-$W1017),0)</f>
        <v>0</v>
      </c>
      <c r="P1018" s="13" t="e">
        <f ca="1">ROUNDUP($O1018*VLOOKUP($M$4+$B1018-1,Paraméterek!$H$58:$I$105,2,0)/Paraméterek!$I$56,IF($D$4="Forint",0,2))</f>
        <v>#N/A</v>
      </c>
      <c r="Q1018" s="13">
        <f t="shared" ca="1" si="336"/>
        <v>0</v>
      </c>
      <c r="R1018" s="33"/>
      <c r="S1018" s="13" t="e">
        <f t="shared" ca="1" si="337"/>
        <v>#N/A</v>
      </c>
      <c r="T1018" s="13" t="e">
        <f ca="1">ROUNDUP(($N1018-$P1018-$Q1018+$S1018)*VLOOKUP($B1018,Paraméterek!$I$38:$K$39,IF($D$2="Egyszeri",3,2))/12*IF($D1019="Nem",IF($M$13=0,1,$M$13),1),IF($D$4="Forint",0,2))</f>
        <v>#N/A</v>
      </c>
      <c r="U1018" s="13"/>
      <c r="V1018" s="13"/>
      <c r="W1018" s="13" t="e">
        <f ca="1">$N1018-$P1018-$Q1018+$S1018-$T1018-IF(ROUNDUP(IF(ISBLANK($V1018),$U1018*0,$V1018)/IF($D$2="Egyszeri",VLOOKUP($B1018+IF($C1018=12,1,0),Paraméterek!$V$257:$W$262,2),IF($B1018=1,1,VLOOKUP($B1018+IF($C1018=12,1,0),Paraméterek!$I$258:$T$278,HLOOKUP($M$11+1,Paraméterek!$J$256:$T$257,2)))),IF($D$4="Forint",0,2))&gt;$N1018-$P1018-$Q1018+$S1018-$T1018-IF($D$4="Forint",Paraméterek!$C$216,Paraméterek!$D$216),0,ROUNDUP(IF(ISBLANK($V1018),$U1018*0,$V1018)/IF($D$2="Egyszeri",VLOOKUP($B1018+IF($C1018=12,1,0),Paraméterek!$V$257:$W$262,2),IF($B1018=1,1,VLOOKUP($B1018+IF($C1018=12,1,0),Paraméterek!$I$258:$T$278,HLOOKUP($M$11+1,Paraméterek!$J$256:$T$257,2)))),IF($D$4="Forint",0,2)))</f>
        <v>#N/A</v>
      </c>
      <c r="X1018" s="13" t="e">
        <f ca="1">ROUNDDOWN($W1018*IF($D$2="Egyszeri",VLOOKUP($B1018+IF($C1018=12,1,0),Paraméterek!$V$257:$W$262,2),VLOOKUP($B1018+IF($C1018=12,1,0),Paraméterek!$I$258:$T$278,HLOOKUP($M$11+1,Paraméterek!$I$256:$T$257,2))),IF($D$4="Forint",0,2))</f>
        <v>#N/A</v>
      </c>
      <c r="Z1018" s="32">
        <v>999</v>
      </c>
      <c r="AA1018" s="32">
        <v>84</v>
      </c>
      <c r="AB1018" s="32">
        <v>3</v>
      </c>
      <c r="AC1018" s="13">
        <f t="shared" ca="1" si="346"/>
        <v>0</v>
      </c>
      <c r="AD1018" s="33"/>
      <c r="AE1018" s="13">
        <f t="shared" ca="1" si="338"/>
        <v>0</v>
      </c>
      <c r="AF1018" s="13">
        <f ca="1">ROUNDUP(($AC1018+$AE1018)*VLOOKUP($AA1018,Paraméterek!$P$38:$Q$38,2)/12*IF($D1019="Nem",IF($M$13=0,1,$M$13),1),IF($D$4="Forint",0,2))</f>
        <v>0</v>
      </c>
      <c r="AG1018" s="13">
        <f ca="1">IF($D$2="Egyszeri",IF($D$7&gt;=IF($D$4="Forint",Paraméterek!$P$223,Paraméterek!$P$224),$D$7-IF($D$4="Forint",Paraméterek!$P$223,Paraméterek!$P$224),0),MIN(IF($AB1018=12,AVERAGEIF($E$20:$E1018,"&gt;0",$E$20:$E1018)*12,0),SUM($E$20:$E$31)))</f>
        <v>0</v>
      </c>
      <c r="AH1018" s="13">
        <f>IF($AA1018=10,$AG1018*IF($AB1018=12,IF($AG1018&lt;IF($D$4="Forint",Paraméterek!$L$223,Paraméterek!$L$224),0,VLOOKUP($AA1018,Paraméterek!$K$226:$M$228,IF($AG1018&lt;IF($D$4="Forint",Paraméterek!$M$223,Paraméterek!$M$224),2,3))),0),0)</f>
        <v>0</v>
      </c>
      <c r="AI1018" s="13">
        <f ca="1">IF(AND($AA1018=$M$11+1,$AB1018=$M$12+1),SUMIF($AA$20:$AA$1027,$AA1018,$AG$20:$AG$1027)*IF(SUMIF($AA$20:$AA$1027,$AA1018,$AG$20:$AG$1027)&lt;IF($D$4="Forint",Paraméterek!$L$223,Paraméterek!$L$224),0,VLOOKUP($AA1018,Paraméterek!$K$230:$M$250,IF(SUMIF($AA$20:$AA$1027,$AA1018,$AG$20:$AG$1027)&lt;IF($D$4="Forint",Paraméterek!$M$223,Paraméterek!$M$224),2,3))),0)</f>
        <v>0</v>
      </c>
      <c r="AJ1018" s="13">
        <f ca="1">IF(AND($AA1018&gt;=5,MOD($AA1018,5)=0),IF($AB1018=12,VLOOKUP($AA1018,Paraméterek!$O$225:$P$240,2),0),IF(OR($AA1018=3,$AA1018=4),IF($AB1018=12,VLOOKUP($AA1018,Paraméterek!$O$225:$P$240,2,0),0),0))*$AG1018</f>
        <v>0</v>
      </c>
      <c r="AK1018" s="13">
        <f t="shared" ca="1" si="339"/>
        <v>0</v>
      </c>
      <c r="AL1018" s="13">
        <f t="shared" ca="1" si="347"/>
        <v>0</v>
      </c>
      <c r="AM1018" s="13">
        <f t="shared" ca="1" si="348"/>
        <v>0</v>
      </c>
      <c r="AO1018" s="32">
        <v>999</v>
      </c>
      <c r="AP1018" s="32">
        <v>84</v>
      </c>
      <c r="AQ1018" s="32">
        <v>3</v>
      </c>
      <c r="AR1018" s="13"/>
      <c r="AS1018" s="32"/>
      <c r="AT1018" s="13">
        <f t="shared" ca="1" si="349"/>
        <v>0</v>
      </c>
      <c r="AU1018" s="33"/>
      <c r="AV1018" s="13">
        <f t="shared" ca="1" si="340"/>
        <v>0</v>
      </c>
      <c r="AW1018" s="13">
        <f ca="1">ROUNDUP(($AT1018+$AV1018)*VLOOKUP($AP1018,Paraméterek!$P$38:$Q$38,2)/12*IF($D1019="Nem",IF($M$13=0,1,$M$13),1),IF($D$4="Forint",0,2))</f>
        <v>0</v>
      </c>
      <c r="AX1018" s="13"/>
      <c r="AY1018" s="13"/>
      <c r="AZ1018" s="13">
        <f>ROUNDUP(IF(SUM($AX1018:$AY1018)=0,0,IF(IF(ISBLANK($AY1018),$AX1018,$AY1018)*Paraméterek!$J$112&lt;IF($D$4="Forint",Paraméterek!$J$113,Paraméterek!$K$113),IF($D$4="Forint",Paraméterek!$J$113,Paraméterek!$K$113),IF(IF(ISBLANK($AY1018),$AX1018,$AY1018)*Paraméterek!$J$112&gt;IF($D$4="Forint",Paraméterek!$J$114,Paraméterek!$K$114),IF($D$4="Forint",Paraméterek!$J$114,Paraméterek!$K$114),IF(ISBLANK($AY1018),$AX1018,$AY1018)*Paraméterek!$J$112))),IF($D$4="Forint",0,2))</f>
        <v>0</v>
      </c>
      <c r="BA1018" s="13">
        <f ca="1">$AT1018+$AV1018-$AW1018-IF(ROUNDDOWN(IF(ISBLANK($AY1018),$AX1018,$AY1018),IF($D$4="Forint",0,2))&gt;$AT1018+$AV1018-$AW1018-IF($D$4="Forint",Paraméterek!$J$114,Paraméterek!$K$114),0,ROUNDDOWN(IF(ISBLANK($AY1018),$AX1018,$AY1018),IF($D$4="Forint",0,2))-$AZ1018)</f>
        <v>0</v>
      </c>
      <c r="BB1018" s="13">
        <f t="shared" ca="1" si="341"/>
        <v>0</v>
      </c>
      <c r="BD1018" s="32">
        <v>999</v>
      </c>
      <c r="BE1018" s="32">
        <v>84</v>
      </c>
      <c r="BF1018" s="32">
        <v>3</v>
      </c>
      <c r="BG1018" s="34">
        <f t="shared" ca="1" si="350"/>
        <v>2102</v>
      </c>
      <c r="BH1018" s="32" t="str">
        <f ca="1">IF(MOD(MONTH($D$14)+$BD1018-1,12)=Paraméterek!$C$288,"Igen","")</f>
        <v/>
      </c>
      <c r="BI1018" s="13">
        <f ca="1">IF($BH1018="Igen",MIN(ROUNDDOWN((SUMIF($BG$20:$BG$1027,$BG1018-1,$K$20:$K$1027)-SUMIF($BG$20:$BG$1027,$BG1018-1,$I$20:$I$1027))*Paraméterek!$C$289,IF($D$4="Forint",0,2)),IF($D$4="Forint",Paraméterek!$C$285,Paraméterek!$D$285)),0)</f>
        <v>0</v>
      </c>
      <c r="BJ1018" s="13">
        <f t="shared" ca="1" si="342"/>
        <v>0</v>
      </c>
      <c r="BK1018" s="13">
        <f t="shared" ca="1" si="351"/>
        <v>0</v>
      </c>
      <c r="BL1018" s="33"/>
      <c r="BM1018" s="13">
        <f t="shared" ca="1" si="343"/>
        <v>0</v>
      </c>
      <c r="BN1018" s="13">
        <f ca="1">ROUNDUP(($BK1018+$BM1018)*VLOOKUP($BE1018,Paraméterek!$P$38:$Q$38,2)/12*IF($D1019="Nem",IF($M$13=0,1,$M$13),1),IF($D$4="Forint",0,2))</f>
        <v>0</v>
      </c>
      <c r="BO1018" s="13">
        <f t="shared" ca="1" si="344"/>
        <v>0</v>
      </c>
      <c r="BP1018" s="13">
        <f ca="1">IF($D1019="Nem",$BO1018,$BO1018-ROUNDUP(SUM($BI$20:$BI1018)*120%,IF($D$4="Forint",0,2)))</f>
        <v>0</v>
      </c>
    </row>
    <row r="1019" spans="1:68" x14ac:dyDescent="0.2">
      <c r="A1019" s="32">
        <v>1000</v>
      </c>
      <c r="B1019" s="32">
        <v>84</v>
      </c>
      <c r="C1019" s="32">
        <v>4</v>
      </c>
      <c r="D1019" s="32" t="str">
        <f t="shared" ca="1" si="330"/>
        <v>Nem</v>
      </c>
      <c r="E1019" s="13">
        <f t="shared" ca="1" si="331"/>
        <v>0</v>
      </c>
      <c r="F1019" s="13"/>
      <c r="G1019" s="13"/>
      <c r="H1019" s="13"/>
      <c r="I1019" s="13">
        <f t="shared" ca="1" si="332"/>
        <v>0</v>
      </c>
      <c r="J1019" s="13">
        <f t="shared" ca="1" si="333"/>
        <v>0</v>
      </c>
      <c r="K1019" s="13">
        <f t="shared" ca="1" si="334"/>
        <v>0</v>
      </c>
      <c r="L1019" s="13" t="e">
        <f ca="1">ROUNDUP(IF($D$2="Egyszeri",$E1019,IF($D$2="Havi",SUM($E$20:$E$31),IF(MOD($C1019,$M$1)-1=0,SUM($E$20:$E$31),0))/12*$M$1)*VLOOKUP($B1019,Paraméterek!$I$28:$P$31,IF($D$2="Egyszeri",8,HLOOKUP(ROUNDUP($M$11+$M$13,0),Paraméterek!$J$26:$O$27,2))),IF($D$4="Forint",0,2))</f>
        <v>#N/A</v>
      </c>
      <c r="M1019" s="13">
        <f t="shared" ca="1" si="335"/>
        <v>0</v>
      </c>
      <c r="N1019" s="13">
        <f t="shared" ca="1" si="345"/>
        <v>0</v>
      </c>
      <c r="O1019" s="13">
        <f ca="1">IF($D1019="Igen",IF($W1018&gt;=IF($D$4="Forint",Paraméterek!$J$121,Paraméterek!$K$121),0,IF($D$4="Forint",Paraméterek!$J$121,Paraméterek!$K$121)-$W1018),0)</f>
        <v>0</v>
      </c>
      <c r="P1019" s="13" t="e">
        <f ca="1">ROUNDUP($O1019*VLOOKUP($M$4+$B1019-1,Paraméterek!$H$58:$I$105,2,0)/Paraméterek!$I$56,IF($D$4="Forint",0,2))</f>
        <v>#N/A</v>
      </c>
      <c r="Q1019" s="13">
        <f t="shared" ca="1" si="336"/>
        <v>0</v>
      </c>
      <c r="R1019" s="33"/>
      <c r="S1019" s="13" t="e">
        <f t="shared" ca="1" si="337"/>
        <v>#N/A</v>
      </c>
      <c r="T1019" s="13" t="e">
        <f ca="1">ROUNDUP(($N1019-$P1019-$Q1019+$S1019)*VLOOKUP($B1019,Paraméterek!$I$38:$K$39,IF($D$2="Egyszeri",3,2))/12*IF($D1020="Nem",IF($M$13=0,1,$M$13),1),IF($D$4="Forint",0,2))</f>
        <v>#N/A</v>
      </c>
      <c r="U1019" s="13"/>
      <c r="V1019" s="13"/>
      <c r="W1019" s="13" t="e">
        <f ca="1">$N1019-$P1019-$Q1019+$S1019-$T1019-IF(ROUNDUP(IF(ISBLANK($V1019),$U1019*0,$V1019)/IF($D$2="Egyszeri",VLOOKUP($B1019+IF($C1019=12,1,0),Paraméterek!$V$257:$W$262,2),IF($B1019=1,1,VLOOKUP($B1019+IF($C1019=12,1,0),Paraméterek!$I$258:$T$278,HLOOKUP($M$11+1,Paraméterek!$J$256:$T$257,2)))),IF($D$4="Forint",0,2))&gt;$N1019-$P1019-$Q1019+$S1019-$T1019-IF($D$4="Forint",Paraméterek!$C$216,Paraméterek!$D$216),0,ROUNDUP(IF(ISBLANK($V1019),$U1019*0,$V1019)/IF($D$2="Egyszeri",VLOOKUP($B1019+IF($C1019=12,1,0),Paraméterek!$V$257:$W$262,2),IF($B1019=1,1,VLOOKUP($B1019+IF($C1019=12,1,0),Paraméterek!$I$258:$T$278,HLOOKUP($M$11+1,Paraméterek!$J$256:$T$257,2)))),IF($D$4="Forint",0,2)))</f>
        <v>#N/A</v>
      </c>
      <c r="X1019" s="13" t="e">
        <f ca="1">ROUNDDOWN($W1019*IF($D$2="Egyszeri",VLOOKUP($B1019+IF($C1019=12,1,0),Paraméterek!$V$257:$W$262,2),VLOOKUP($B1019+IF($C1019=12,1,0),Paraméterek!$I$258:$T$278,HLOOKUP($M$11+1,Paraméterek!$I$256:$T$257,2))),IF($D$4="Forint",0,2))</f>
        <v>#N/A</v>
      </c>
      <c r="Z1019" s="32">
        <v>1000</v>
      </c>
      <c r="AA1019" s="32">
        <v>84</v>
      </c>
      <c r="AB1019" s="32">
        <v>4</v>
      </c>
      <c r="AC1019" s="13">
        <f t="shared" ca="1" si="346"/>
        <v>0</v>
      </c>
      <c r="AD1019" s="33"/>
      <c r="AE1019" s="13">
        <f t="shared" ca="1" si="338"/>
        <v>0</v>
      </c>
      <c r="AF1019" s="13">
        <f ca="1">ROUNDUP(($AC1019+$AE1019)*VLOOKUP($AA1019,Paraméterek!$P$38:$Q$38,2)/12*IF($D1020="Nem",IF($M$13=0,1,$M$13),1),IF($D$4="Forint",0,2))</f>
        <v>0</v>
      </c>
      <c r="AG1019" s="13">
        <f ca="1">IF($D$2="Egyszeri",IF($D$7&gt;=IF($D$4="Forint",Paraméterek!$P$223,Paraméterek!$P$224),$D$7-IF($D$4="Forint",Paraméterek!$P$223,Paraméterek!$P$224),0),MIN(IF($AB1019=12,AVERAGEIF($E$20:$E1019,"&gt;0",$E$20:$E1019)*12,0),SUM($E$20:$E$31)))</f>
        <v>0</v>
      </c>
      <c r="AH1019" s="13">
        <f>IF($AA1019=10,$AG1019*IF($AB1019=12,IF($AG1019&lt;IF($D$4="Forint",Paraméterek!$L$223,Paraméterek!$L$224),0,VLOOKUP($AA1019,Paraméterek!$K$226:$M$228,IF($AG1019&lt;IF($D$4="Forint",Paraméterek!$M$223,Paraméterek!$M$224),2,3))),0),0)</f>
        <v>0</v>
      </c>
      <c r="AI1019" s="13">
        <f ca="1">IF(AND($AA1019=$M$11+1,$AB1019=$M$12+1),SUMIF($AA$20:$AA$1027,$AA1019,$AG$20:$AG$1027)*IF(SUMIF($AA$20:$AA$1027,$AA1019,$AG$20:$AG$1027)&lt;IF($D$4="Forint",Paraméterek!$L$223,Paraméterek!$L$224),0,VLOOKUP($AA1019,Paraméterek!$K$230:$M$250,IF(SUMIF($AA$20:$AA$1027,$AA1019,$AG$20:$AG$1027)&lt;IF($D$4="Forint",Paraméterek!$M$223,Paraméterek!$M$224),2,3))),0)</f>
        <v>0</v>
      </c>
      <c r="AJ1019" s="13">
        <f ca="1">IF(AND($AA1019&gt;=5,MOD($AA1019,5)=0),IF($AB1019=12,VLOOKUP($AA1019,Paraméterek!$O$225:$P$240,2),0),IF(OR($AA1019=3,$AA1019=4),IF($AB1019=12,VLOOKUP($AA1019,Paraméterek!$O$225:$P$240,2,0),0),0))*$AG1019</f>
        <v>0</v>
      </c>
      <c r="AK1019" s="13">
        <f t="shared" ca="1" si="339"/>
        <v>0</v>
      </c>
      <c r="AL1019" s="13">
        <f t="shared" ca="1" si="347"/>
        <v>0</v>
      </c>
      <c r="AM1019" s="13">
        <f t="shared" ca="1" si="348"/>
        <v>0</v>
      </c>
      <c r="AO1019" s="32">
        <v>1000</v>
      </c>
      <c r="AP1019" s="32">
        <v>84</v>
      </c>
      <c r="AQ1019" s="32">
        <v>4</v>
      </c>
      <c r="AR1019" s="13"/>
      <c r="AS1019" s="32"/>
      <c r="AT1019" s="13">
        <f t="shared" ca="1" si="349"/>
        <v>0</v>
      </c>
      <c r="AU1019" s="33"/>
      <c r="AV1019" s="13">
        <f t="shared" ca="1" si="340"/>
        <v>0</v>
      </c>
      <c r="AW1019" s="13">
        <f ca="1">ROUNDUP(($AT1019+$AV1019)*VLOOKUP($AP1019,Paraméterek!$P$38:$Q$38,2)/12*IF($D1020="Nem",IF($M$13=0,1,$M$13),1),IF($D$4="Forint",0,2))</f>
        <v>0</v>
      </c>
      <c r="AX1019" s="13"/>
      <c r="AY1019" s="13"/>
      <c r="AZ1019" s="13">
        <f>ROUNDUP(IF(SUM($AX1019:$AY1019)=0,0,IF(IF(ISBLANK($AY1019),$AX1019,$AY1019)*Paraméterek!$J$112&lt;IF($D$4="Forint",Paraméterek!$J$113,Paraméterek!$K$113),IF($D$4="Forint",Paraméterek!$J$113,Paraméterek!$K$113),IF(IF(ISBLANK($AY1019),$AX1019,$AY1019)*Paraméterek!$J$112&gt;IF($D$4="Forint",Paraméterek!$J$114,Paraméterek!$K$114),IF($D$4="Forint",Paraméterek!$J$114,Paraméterek!$K$114),IF(ISBLANK($AY1019),$AX1019,$AY1019)*Paraméterek!$J$112))),IF($D$4="Forint",0,2))</f>
        <v>0</v>
      </c>
      <c r="BA1019" s="13">
        <f ca="1">$AT1019+$AV1019-$AW1019-IF(ROUNDDOWN(IF(ISBLANK($AY1019),$AX1019,$AY1019),IF($D$4="Forint",0,2))&gt;$AT1019+$AV1019-$AW1019-IF($D$4="Forint",Paraméterek!$J$114,Paraméterek!$K$114),0,ROUNDDOWN(IF(ISBLANK($AY1019),$AX1019,$AY1019),IF($D$4="Forint",0,2))-$AZ1019)</f>
        <v>0</v>
      </c>
      <c r="BB1019" s="13">
        <f t="shared" ca="1" si="341"/>
        <v>0</v>
      </c>
      <c r="BD1019" s="32">
        <v>1000</v>
      </c>
      <c r="BE1019" s="32">
        <v>84</v>
      </c>
      <c r="BF1019" s="32">
        <v>4</v>
      </c>
      <c r="BG1019" s="34">
        <f t="shared" ca="1" si="350"/>
        <v>2102</v>
      </c>
      <c r="BH1019" s="32" t="str">
        <f ca="1">IF(MOD(MONTH($D$14)+$BD1019-1,12)=Paraméterek!$C$288,"Igen","")</f>
        <v/>
      </c>
      <c r="BI1019" s="13">
        <f ca="1">IF($BH1019="Igen",MIN(ROUNDDOWN((SUMIF($BG$20:$BG$1027,$BG1019-1,$K$20:$K$1027)-SUMIF($BG$20:$BG$1027,$BG1019-1,$I$20:$I$1027))*Paraméterek!$C$289,IF($D$4="Forint",0,2)),IF($D$4="Forint",Paraméterek!$C$285,Paraméterek!$D$285)),0)</f>
        <v>0</v>
      </c>
      <c r="BJ1019" s="13">
        <f t="shared" ca="1" si="342"/>
        <v>0</v>
      </c>
      <c r="BK1019" s="13">
        <f t="shared" ca="1" si="351"/>
        <v>0</v>
      </c>
      <c r="BL1019" s="33"/>
      <c r="BM1019" s="13">
        <f t="shared" ca="1" si="343"/>
        <v>0</v>
      </c>
      <c r="BN1019" s="13">
        <f ca="1">ROUNDUP(($BK1019+$BM1019)*VLOOKUP($BE1019,Paraméterek!$P$38:$Q$38,2)/12*IF($D1020="Nem",IF($M$13=0,1,$M$13),1),IF($D$4="Forint",0,2))</f>
        <v>0</v>
      </c>
      <c r="BO1019" s="13">
        <f t="shared" ca="1" si="344"/>
        <v>0</v>
      </c>
      <c r="BP1019" s="13">
        <f ca="1">IF($D1020="Nem",$BO1019,$BO1019-ROUNDUP(SUM($BI$20:$BI1019)*120%,IF($D$4="Forint",0,2)))</f>
        <v>0</v>
      </c>
    </row>
    <row r="1020" spans="1:68" x14ac:dyDescent="0.2">
      <c r="A1020" s="32">
        <v>1001</v>
      </c>
      <c r="B1020" s="32">
        <v>84</v>
      </c>
      <c r="C1020" s="32">
        <v>5</v>
      </c>
      <c r="D1020" s="32" t="str">
        <f t="shared" ca="1" si="330"/>
        <v>Nem</v>
      </c>
      <c r="E1020" s="13">
        <f t="shared" ca="1" si="331"/>
        <v>0</v>
      </c>
      <c r="F1020" s="13"/>
      <c r="G1020" s="13"/>
      <c r="H1020" s="13"/>
      <c r="I1020" s="13">
        <f t="shared" ca="1" si="332"/>
        <v>0</v>
      </c>
      <c r="J1020" s="13">
        <f t="shared" ca="1" si="333"/>
        <v>0</v>
      </c>
      <c r="K1020" s="13">
        <f t="shared" ca="1" si="334"/>
        <v>0</v>
      </c>
      <c r="L1020" s="13" t="e">
        <f ca="1">ROUNDUP(IF($D$2="Egyszeri",$E1020,IF($D$2="Havi",SUM($E$20:$E$31),IF(MOD($C1020,$M$1)-1=0,SUM($E$20:$E$31),0))/12*$M$1)*VLOOKUP($B1020,Paraméterek!$I$28:$P$31,IF($D$2="Egyszeri",8,HLOOKUP(ROUNDUP($M$11+$M$13,0),Paraméterek!$J$26:$O$27,2))),IF($D$4="Forint",0,2))</f>
        <v>#N/A</v>
      </c>
      <c r="M1020" s="13">
        <f t="shared" ca="1" si="335"/>
        <v>0</v>
      </c>
      <c r="N1020" s="13">
        <f t="shared" ca="1" si="345"/>
        <v>0</v>
      </c>
      <c r="O1020" s="13">
        <f ca="1">IF($D1020="Igen",IF($W1019&gt;=IF($D$4="Forint",Paraméterek!$J$121,Paraméterek!$K$121),0,IF($D$4="Forint",Paraméterek!$J$121,Paraméterek!$K$121)-$W1019),0)</f>
        <v>0</v>
      </c>
      <c r="P1020" s="13" t="e">
        <f ca="1">ROUNDUP($O1020*VLOOKUP($M$4+$B1020-1,Paraméterek!$H$58:$I$105,2,0)/Paraméterek!$I$56,IF($D$4="Forint",0,2))</f>
        <v>#N/A</v>
      </c>
      <c r="Q1020" s="13">
        <f t="shared" ca="1" si="336"/>
        <v>0</v>
      </c>
      <c r="R1020" s="33"/>
      <c r="S1020" s="13" t="e">
        <f t="shared" ca="1" si="337"/>
        <v>#N/A</v>
      </c>
      <c r="T1020" s="13" t="e">
        <f ca="1">ROUNDUP(($N1020-$P1020-$Q1020+$S1020)*VLOOKUP($B1020,Paraméterek!$I$38:$K$39,IF($D$2="Egyszeri",3,2))/12*IF($D1021="Nem",IF($M$13=0,1,$M$13),1),IF($D$4="Forint",0,2))</f>
        <v>#N/A</v>
      </c>
      <c r="U1020" s="13"/>
      <c r="V1020" s="13"/>
      <c r="W1020" s="13" t="e">
        <f ca="1">$N1020-$P1020-$Q1020+$S1020-$T1020-IF(ROUNDUP(IF(ISBLANK($V1020),$U1020*0,$V1020)/IF($D$2="Egyszeri",VLOOKUP($B1020+IF($C1020=12,1,0),Paraméterek!$V$257:$W$262,2),IF($B1020=1,1,VLOOKUP($B1020+IF($C1020=12,1,0),Paraméterek!$I$258:$T$278,HLOOKUP($M$11+1,Paraméterek!$J$256:$T$257,2)))),IF($D$4="Forint",0,2))&gt;$N1020-$P1020-$Q1020+$S1020-$T1020-IF($D$4="Forint",Paraméterek!$C$216,Paraméterek!$D$216),0,ROUNDUP(IF(ISBLANK($V1020),$U1020*0,$V1020)/IF($D$2="Egyszeri",VLOOKUP($B1020+IF($C1020=12,1,0),Paraméterek!$V$257:$W$262,2),IF($B1020=1,1,VLOOKUP($B1020+IF($C1020=12,1,0),Paraméterek!$I$258:$T$278,HLOOKUP($M$11+1,Paraméterek!$J$256:$T$257,2)))),IF($D$4="Forint",0,2)))</f>
        <v>#N/A</v>
      </c>
      <c r="X1020" s="13" t="e">
        <f ca="1">ROUNDDOWN($W1020*IF($D$2="Egyszeri",VLOOKUP($B1020+IF($C1020=12,1,0),Paraméterek!$V$257:$W$262,2),VLOOKUP($B1020+IF($C1020=12,1,0),Paraméterek!$I$258:$T$278,HLOOKUP($M$11+1,Paraméterek!$I$256:$T$257,2))),IF($D$4="Forint",0,2))</f>
        <v>#N/A</v>
      </c>
      <c r="Z1020" s="32">
        <v>1001</v>
      </c>
      <c r="AA1020" s="32">
        <v>84</v>
      </c>
      <c r="AB1020" s="32">
        <v>5</v>
      </c>
      <c r="AC1020" s="13">
        <f t="shared" ca="1" si="346"/>
        <v>0</v>
      </c>
      <c r="AD1020" s="33"/>
      <c r="AE1020" s="13">
        <f t="shared" ca="1" si="338"/>
        <v>0</v>
      </c>
      <c r="AF1020" s="13">
        <f ca="1">ROUNDUP(($AC1020+$AE1020)*VLOOKUP($AA1020,Paraméterek!$P$38:$Q$38,2)/12*IF($D1021="Nem",IF($M$13=0,1,$M$13),1),IF($D$4="Forint",0,2))</f>
        <v>0</v>
      </c>
      <c r="AG1020" s="13">
        <f ca="1">IF($D$2="Egyszeri",IF($D$7&gt;=IF($D$4="Forint",Paraméterek!$P$223,Paraméterek!$P$224),$D$7-IF($D$4="Forint",Paraméterek!$P$223,Paraméterek!$P$224),0),MIN(IF($AB1020=12,AVERAGEIF($E$20:$E1020,"&gt;0",$E$20:$E1020)*12,0),SUM($E$20:$E$31)))</f>
        <v>0</v>
      </c>
      <c r="AH1020" s="13">
        <f>IF($AA1020=10,$AG1020*IF($AB1020=12,IF($AG1020&lt;IF($D$4="Forint",Paraméterek!$L$223,Paraméterek!$L$224),0,VLOOKUP($AA1020,Paraméterek!$K$226:$M$228,IF($AG1020&lt;IF($D$4="Forint",Paraméterek!$M$223,Paraméterek!$M$224),2,3))),0),0)</f>
        <v>0</v>
      </c>
      <c r="AI1020" s="13">
        <f ca="1">IF(AND($AA1020=$M$11+1,$AB1020=$M$12+1),SUMIF($AA$20:$AA$1027,$AA1020,$AG$20:$AG$1027)*IF(SUMIF($AA$20:$AA$1027,$AA1020,$AG$20:$AG$1027)&lt;IF($D$4="Forint",Paraméterek!$L$223,Paraméterek!$L$224),0,VLOOKUP($AA1020,Paraméterek!$K$230:$M$250,IF(SUMIF($AA$20:$AA$1027,$AA1020,$AG$20:$AG$1027)&lt;IF($D$4="Forint",Paraméterek!$M$223,Paraméterek!$M$224),2,3))),0)</f>
        <v>0</v>
      </c>
      <c r="AJ1020" s="13">
        <f ca="1">IF(AND($AA1020&gt;=5,MOD($AA1020,5)=0),IF($AB1020=12,VLOOKUP($AA1020,Paraméterek!$O$225:$P$240,2),0),IF(OR($AA1020=3,$AA1020=4),IF($AB1020=12,VLOOKUP($AA1020,Paraméterek!$O$225:$P$240,2,0),0),0))*$AG1020</f>
        <v>0</v>
      </c>
      <c r="AK1020" s="13">
        <f t="shared" ca="1" si="339"/>
        <v>0</v>
      </c>
      <c r="AL1020" s="13">
        <f t="shared" ca="1" si="347"/>
        <v>0</v>
      </c>
      <c r="AM1020" s="13">
        <f t="shared" ca="1" si="348"/>
        <v>0</v>
      </c>
      <c r="AO1020" s="32">
        <v>1001</v>
      </c>
      <c r="AP1020" s="32">
        <v>84</v>
      </c>
      <c r="AQ1020" s="32">
        <v>5</v>
      </c>
      <c r="AR1020" s="13"/>
      <c r="AS1020" s="32"/>
      <c r="AT1020" s="13">
        <f t="shared" ca="1" si="349"/>
        <v>0</v>
      </c>
      <c r="AU1020" s="33"/>
      <c r="AV1020" s="13">
        <f t="shared" ca="1" si="340"/>
        <v>0</v>
      </c>
      <c r="AW1020" s="13">
        <f ca="1">ROUNDUP(($AT1020+$AV1020)*VLOOKUP($AP1020,Paraméterek!$P$38:$Q$38,2)/12*IF($D1021="Nem",IF($M$13=0,1,$M$13),1),IF($D$4="Forint",0,2))</f>
        <v>0</v>
      </c>
      <c r="AX1020" s="13"/>
      <c r="AY1020" s="13"/>
      <c r="AZ1020" s="13">
        <f>ROUNDUP(IF(SUM($AX1020:$AY1020)=0,0,IF(IF(ISBLANK($AY1020),$AX1020,$AY1020)*Paraméterek!$J$112&lt;IF($D$4="Forint",Paraméterek!$J$113,Paraméterek!$K$113),IF($D$4="Forint",Paraméterek!$J$113,Paraméterek!$K$113),IF(IF(ISBLANK($AY1020),$AX1020,$AY1020)*Paraméterek!$J$112&gt;IF($D$4="Forint",Paraméterek!$J$114,Paraméterek!$K$114),IF($D$4="Forint",Paraméterek!$J$114,Paraméterek!$K$114),IF(ISBLANK($AY1020),$AX1020,$AY1020)*Paraméterek!$J$112))),IF($D$4="Forint",0,2))</f>
        <v>0</v>
      </c>
      <c r="BA1020" s="13">
        <f ca="1">$AT1020+$AV1020-$AW1020-IF(ROUNDDOWN(IF(ISBLANK($AY1020),$AX1020,$AY1020),IF($D$4="Forint",0,2))&gt;$AT1020+$AV1020-$AW1020-IF($D$4="Forint",Paraméterek!$J$114,Paraméterek!$K$114),0,ROUNDDOWN(IF(ISBLANK($AY1020),$AX1020,$AY1020),IF($D$4="Forint",0,2))-$AZ1020)</f>
        <v>0</v>
      </c>
      <c r="BB1020" s="13">
        <f t="shared" ca="1" si="341"/>
        <v>0</v>
      </c>
      <c r="BD1020" s="32">
        <v>1001</v>
      </c>
      <c r="BE1020" s="32">
        <v>84</v>
      </c>
      <c r="BF1020" s="32">
        <v>5</v>
      </c>
      <c r="BG1020" s="34">
        <f t="shared" ca="1" si="350"/>
        <v>2102</v>
      </c>
      <c r="BH1020" s="32" t="str">
        <f ca="1">IF(MOD(MONTH($D$14)+$BD1020-1,12)=Paraméterek!$C$288,"Igen","")</f>
        <v/>
      </c>
      <c r="BI1020" s="13">
        <f ca="1">IF($BH1020="Igen",MIN(ROUNDDOWN((SUMIF($BG$20:$BG$1027,$BG1020-1,$K$20:$K$1027)-SUMIF($BG$20:$BG$1027,$BG1020-1,$I$20:$I$1027))*Paraméterek!$C$289,IF($D$4="Forint",0,2)),IF($D$4="Forint",Paraméterek!$C$285,Paraméterek!$D$285)),0)</f>
        <v>0</v>
      </c>
      <c r="BJ1020" s="13">
        <f t="shared" ca="1" si="342"/>
        <v>0</v>
      </c>
      <c r="BK1020" s="13">
        <f t="shared" ca="1" si="351"/>
        <v>0</v>
      </c>
      <c r="BL1020" s="33"/>
      <c r="BM1020" s="13">
        <f t="shared" ca="1" si="343"/>
        <v>0</v>
      </c>
      <c r="BN1020" s="13">
        <f ca="1">ROUNDUP(($BK1020+$BM1020)*VLOOKUP($BE1020,Paraméterek!$P$38:$Q$38,2)/12*IF($D1021="Nem",IF($M$13=0,1,$M$13),1),IF($D$4="Forint",0,2))</f>
        <v>0</v>
      </c>
      <c r="BO1020" s="13">
        <f t="shared" ca="1" si="344"/>
        <v>0</v>
      </c>
      <c r="BP1020" s="13">
        <f ca="1">IF($D1021="Nem",$BO1020,$BO1020-ROUNDUP(SUM($BI$20:$BI1020)*120%,IF($D$4="Forint",0,2)))</f>
        <v>0</v>
      </c>
    </row>
    <row r="1021" spans="1:68" x14ac:dyDescent="0.2">
      <c r="A1021" s="32">
        <v>1002</v>
      </c>
      <c r="B1021" s="32">
        <v>84</v>
      </c>
      <c r="C1021" s="32">
        <v>6</v>
      </c>
      <c r="D1021" s="32" t="str">
        <f t="shared" ca="1" si="330"/>
        <v>Nem</v>
      </c>
      <c r="E1021" s="13">
        <f t="shared" ca="1" si="331"/>
        <v>0</v>
      </c>
      <c r="F1021" s="13"/>
      <c r="G1021" s="13"/>
      <c r="H1021" s="13"/>
      <c r="I1021" s="13">
        <f t="shared" ca="1" si="332"/>
        <v>0</v>
      </c>
      <c r="J1021" s="13">
        <f t="shared" ca="1" si="333"/>
        <v>0</v>
      </c>
      <c r="K1021" s="13">
        <f t="shared" ca="1" si="334"/>
        <v>0</v>
      </c>
      <c r="L1021" s="13" t="e">
        <f ca="1">ROUNDUP(IF($D$2="Egyszeri",$E1021,IF($D$2="Havi",SUM($E$20:$E$31),IF(MOD($C1021,$M$1)-1=0,SUM($E$20:$E$31),0))/12*$M$1)*VLOOKUP($B1021,Paraméterek!$I$28:$P$31,IF($D$2="Egyszeri",8,HLOOKUP(ROUNDUP($M$11+$M$13,0),Paraméterek!$J$26:$O$27,2))),IF($D$4="Forint",0,2))</f>
        <v>#N/A</v>
      </c>
      <c r="M1021" s="13">
        <f t="shared" ca="1" si="335"/>
        <v>0</v>
      </c>
      <c r="N1021" s="13">
        <f t="shared" ca="1" si="345"/>
        <v>0</v>
      </c>
      <c r="O1021" s="13">
        <f ca="1">IF($D1021="Igen",IF($W1020&gt;=IF($D$4="Forint",Paraméterek!$J$121,Paraméterek!$K$121),0,IF($D$4="Forint",Paraméterek!$J$121,Paraméterek!$K$121)-$W1020),0)</f>
        <v>0</v>
      </c>
      <c r="P1021" s="13" t="e">
        <f ca="1">ROUNDUP($O1021*VLOOKUP($M$4+$B1021-1,Paraméterek!$H$58:$I$105,2,0)/Paraméterek!$I$56,IF($D$4="Forint",0,2))</f>
        <v>#N/A</v>
      </c>
      <c r="Q1021" s="13">
        <f t="shared" ca="1" si="336"/>
        <v>0</v>
      </c>
      <c r="R1021" s="33"/>
      <c r="S1021" s="13" t="e">
        <f t="shared" ca="1" si="337"/>
        <v>#N/A</v>
      </c>
      <c r="T1021" s="13" t="e">
        <f ca="1">ROUNDUP(($N1021-$P1021-$Q1021+$S1021)*VLOOKUP($B1021,Paraméterek!$I$38:$K$39,IF($D$2="Egyszeri",3,2))/12*IF($D1022="Nem",IF($M$13=0,1,$M$13),1),IF($D$4="Forint",0,2))</f>
        <v>#N/A</v>
      </c>
      <c r="U1021" s="13"/>
      <c r="V1021" s="13"/>
      <c r="W1021" s="13" t="e">
        <f ca="1">$N1021-$P1021-$Q1021+$S1021-$T1021-IF(ROUNDUP(IF(ISBLANK($V1021),$U1021*0,$V1021)/IF($D$2="Egyszeri",VLOOKUP($B1021+IF($C1021=12,1,0),Paraméterek!$V$257:$W$262,2),IF($B1021=1,1,VLOOKUP($B1021+IF($C1021=12,1,0),Paraméterek!$I$258:$T$278,HLOOKUP($M$11+1,Paraméterek!$J$256:$T$257,2)))),IF($D$4="Forint",0,2))&gt;$N1021-$P1021-$Q1021+$S1021-$T1021-IF($D$4="Forint",Paraméterek!$C$216,Paraméterek!$D$216),0,ROUNDUP(IF(ISBLANK($V1021),$U1021*0,$V1021)/IF($D$2="Egyszeri",VLOOKUP($B1021+IF($C1021=12,1,0),Paraméterek!$V$257:$W$262,2),IF($B1021=1,1,VLOOKUP($B1021+IF($C1021=12,1,0),Paraméterek!$I$258:$T$278,HLOOKUP($M$11+1,Paraméterek!$J$256:$T$257,2)))),IF($D$4="Forint",0,2)))</f>
        <v>#N/A</v>
      </c>
      <c r="X1021" s="13" t="e">
        <f ca="1">ROUNDDOWN($W1021*IF($D$2="Egyszeri",VLOOKUP($B1021+IF($C1021=12,1,0),Paraméterek!$V$257:$W$262,2),VLOOKUP($B1021+IF($C1021=12,1,0),Paraméterek!$I$258:$T$278,HLOOKUP($M$11+1,Paraméterek!$I$256:$T$257,2))),IF($D$4="Forint",0,2))</f>
        <v>#N/A</v>
      </c>
      <c r="Z1021" s="32">
        <v>1002</v>
      </c>
      <c r="AA1021" s="32">
        <v>84</v>
      </c>
      <c r="AB1021" s="32">
        <v>6</v>
      </c>
      <c r="AC1021" s="13">
        <f t="shared" ca="1" si="346"/>
        <v>0</v>
      </c>
      <c r="AD1021" s="33"/>
      <c r="AE1021" s="13">
        <f t="shared" ca="1" si="338"/>
        <v>0</v>
      </c>
      <c r="AF1021" s="13">
        <f ca="1">ROUNDUP(($AC1021+$AE1021)*VLOOKUP($AA1021,Paraméterek!$P$38:$Q$38,2)/12*IF($D1022="Nem",IF($M$13=0,1,$M$13),1),IF($D$4="Forint",0,2))</f>
        <v>0</v>
      </c>
      <c r="AG1021" s="13">
        <f ca="1">IF($D$2="Egyszeri",IF($D$7&gt;=IF($D$4="Forint",Paraméterek!$P$223,Paraméterek!$P$224),$D$7-IF($D$4="Forint",Paraméterek!$P$223,Paraméterek!$P$224),0),MIN(IF($AB1021=12,AVERAGEIF($E$20:$E1021,"&gt;0",$E$20:$E1021)*12,0),SUM($E$20:$E$31)))</f>
        <v>0</v>
      </c>
      <c r="AH1021" s="13">
        <f>IF($AA1021=10,$AG1021*IF($AB1021=12,IF($AG1021&lt;IF($D$4="Forint",Paraméterek!$L$223,Paraméterek!$L$224),0,VLOOKUP($AA1021,Paraméterek!$K$226:$M$228,IF($AG1021&lt;IF($D$4="Forint",Paraméterek!$M$223,Paraméterek!$M$224),2,3))),0),0)</f>
        <v>0</v>
      </c>
      <c r="AI1021" s="13">
        <f ca="1">IF(AND($AA1021=$M$11+1,$AB1021=$M$12+1),SUMIF($AA$20:$AA$1027,$AA1021,$AG$20:$AG$1027)*IF(SUMIF($AA$20:$AA$1027,$AA1021,$AG$20:$AG$1027)&lt;IF($D$4="Forint",Paraméterek!$L$223,Paraméterek!$L$224),0,VLOOKUP($AA1021,Paraméterek!$K$230:$M$250,IF(SUMIF($AA$20:$AA$1027,$AA1021,$AG$20:$AG$1027)&lt;IF($D$4="Forint",Paraméterek!$M$223,Paraméterek!$M$224),2,3))),0)</f>
        <v>0</v>
      </c>
      <c r="AJ1021" s="13">
        <f ca="1">IF(AND($AA1021&gt;=5,MOD($AA1021,5)=0),IF($AB1021=12,VLOOKUP($AA1021,Paraméterek!$O$225:$P$240,2),0),IF(OR($AA1021=3,$AA1021=4),IF($AB1021=12,VLOOKUP($AA1021,Paraméterek!$O$225:$P$240,2,0),0),0))*$AG1021</f>
        <v>0</v>
      </c>
      <c r="AK1021" s="13">
        <f t="shared" ca="1" si="339"/>
        <v>0</v>
      </c>
      <c r="AL1021" s="13">
        <f t="shared" ca="1" si="347"/>
        <v>0</v>
      </c>
      <c r="AM1021" s="13">
        <f t="shared" ca="1" si="348"/>
        <v>0</v>
      </c>
      <c r="AO1021" s="32">
        <v>1002</v>
      </c>
      <c r="AP1021" s="32">
        <v>84</v>
      </c>
      <c r="AQ1021" s="32">
        <v>6</v>
      </c>
      <c r="AR1021" s="13"/>
      <c r="AS1021" s="32"/>
      <c r="AT1021" s="13">
        <f t="shared" ca="1" si="349"/>
        <v>0</v>
      </c>
      <c r="AU1021" s="33"/>
      <c r="AV1021" s="13">
        <f t="shared" ca="1" si="340"/>
        <v>0</v>
      </c>
      <c r="AW1021" s="13">
        <f ca="1">ROUNDUP(($AT1021+$AV1021)*VLOOKUP($AP1021,Paraméterek!$P$38:$Q$38,2)/12*IF($D1022="Nem",IF($M$13=0,1,$M$13),1),IF($D$4="Forint",0,2))</f>
        <v>0</v>
      </c>
      <c r="AX1021" s="13"/>
      <c r="AY1021" s="13"/>
      <c r="AZ1021" s="13">
        <f>ROUNDUP(IF(SUM($AX1021:$AY1021)=0,0,IF(IF(ISBLANK($AY1021),$AX1021,$AY1021)*Paraméterek!$J$112&lt;IF($D$4="Forint",Paraméterek!$J$113,Paraméterek!$K$113),IF($D$4="Forint",Paraméterek!$J$113,Paraméterek!$K$113),IF(IF(ISBLANK($AY1021),$AX1021,$AY1021)*Paraméterek!$J$112&gt;IF($D$4="Forint",Paraméterek!$J$114,Paraméterek!$K$114),IF($D$4="Forint",Paraméterek!$J$114,Paraméterek!$K$114),IF(ISBLANK($AY1021),$AX1021,$AY1021)*Paraméterek!$J$112))),IF($D$4="Forint",0,2))</f>
        <v>0</v>
      </c>
      <c r="BA1021" s="13">
        <f ca="1">$AT1021+$AV1021-$AW1021-IF(ROUNDDOWN(IF(ISBLANK($AY1021),$AX1021,$AY1021),IF($D$4="Forint",0,2))&gt;$AT1021+$AV1021-$AW1021-IF($D$4="Forint",Paraméterek!$J$114,Paraméterek!$K$114),0,ROUNDDOWN(IF(ISBLANK($AY1021),$AX1021,$AY1021),IF($D$4="Forint",0,2))-$AZ1021)</f>
        <v>0</v>
      </c>
      <c r="BB1021" s="13">
        <f t="shared" ca="1" si="341"/>
        <v>0</v>
      </c>
      <c r="BD1021" s="32">
        <v>1002</v>
      </c>
      <c r="BE1021" s="32">
        <v>84</v>
      </c>
      <c r="BF1021" s="32">
        <v>6</v>
      </c>
      <c r="BG1021" s="34">
        <f t="shared" ca="1" si="350"/>
        <v>2102</v>
      </c>
      <c r="BH1021" s="32" t="str">
        <f ca="1">IF(MOD(MONTH($D$14)+$BD1021-1,12)=Paraméterek!$C$288,"Igen","")</f>
        <v/>
      </c>
      <c r="BI1021" s="13">
        <f ca="1">IF($BH1021="Igen",MIN(ROUNDDOWN((SUMIF($BG$20:$BG$1027,$BG1021-1,$K$20:$K$1027)-SUMIF($BG$20:$BG$1027,$BG1021-1,$I$20:$I$1027))*Paraméterek!$C$289,IF($D$4="Forint",0,2)),IF($D$4="Forint",Paraméterek!$C$285,Paraméterek!$D$285)),0)</f>
        <v>0</v>
      </c>
      <c r="BJ1021" s="13">
        <f t="shared" ca="1" si="342"/>
        <v>0</v>
      </c>
      <c r="BK1021" s="13">
        <f t="shared" ca="1" si="351"/>
        <v>0</v>
      </c>
      <c r="BL1021" s="33"/>
      <c r="BM1021" s="13">
        <f t="shared" ca="1" si="343"/>
        <v>0</v>
      </c>
      <c r="BN1021" s="13">
        <f ca="1">ROUNDUP(($BK1021+$BM1021)*VLOOKUP($BE1021,Paraméterek!$P$38:$Q$38,2)/12*IF($D1022="Nem",IF($M$13=0,1,$M$13),1),IF($D$4="Forint",0,2))</f>
        <v>0</v>
      </c>
      <c r="BO1021" s="13">
        <f t="shared" ca="1" si="344"/>
        <v>0</v>
      </c>
      <c r="BP1021" s="13">
        <f ca="1">IF($D1022="Nem",$BO1021,$BO1021-ROUNDUP(SUM($BI$20:$BI1021)*120%,IF($D$4="Forint",0,2)))</f>
        <v>0</v>
      </c>
    </row>
    <row r="1022" spans="1:68" x14ac:dyDescent="0.2">
      <c r="A1022" s="32">
        <v>1003</v>
      </c>
      <c r="B1022" s="32">
        <v>84</v>
      </c>
      <c r="C1022" s="32">
        <v>7</v>
      </c>
      <c r="D1022" s="32" t="str">
        <f t="shared" ca="1" si="330"/>
        <v>Nem</v>
      </c>
      <c r="E1022" s="13">
        <f t="shared" ca="1" si="331"/>
        <v>0</v>
      </c>
      <c r="F1022" s="13"/>
      <c r="G1022" s="13"/>
      <c r="H1022" s="13"/>
      <c r="I1022" s="13">
        <f t="shared" ca="1" si="332"/>
        <v>0</v>
      </c>
      <c r="J1022" s="13">
        <f t="shared" ca="1" si="333"/>
        <v>0</v>
      </c>
      <c r="K1022" s="13">
        <f t="shared" ca="1" si="334"/>
        <v>0</v>
      </c>
      <c r="L1022" s="13" t="e">
        <f ca="1">ROUNDUP(IF($D$2="Egyszeri",$E1022,IF($D$2="Havi",SUM($E$20:$E$31),IF(MOD($C1022,$M$1)-1=0,SUM($E$20:$E$31),0))/12*$M$1)*VLOOKUP($B1022,Paraméterek!$I$28:$P$31,IF($D$2="Egyszeri",8,HLOOKUP(ROUNDUP($M$11+$M$13,0),Paraméterek!$J$26:$O$27,2))),IF($D$4="Forint",0,2))</f>
        <v>#N/A</v>
      </c>
      <c r="M1022" s="13">
        <f t="shared" ca="1" si="335"/>
        <v>0</v>
      </c>
      <c r="N1022" s="13">
        <f t="shared" ca="1" si="345"/>
        <v>0</v>
      </c>
      <c r="O1022" s="13">
        <f ca="1">IF($D1022="Igen",IF($W1021&gt;=IF($D$4="Forint",Paraméterek!$J$121,Paraméterek!$K$121),0,IF($D$4="Forint",Paraméterek!$J$121,Paraméterek!$K$121)-$W1021),0)</f>
        <v>0</v>
      </c>
      <c r="P1022" s="13" t="e">
        <f ca="1">ROUNDUP($O1022*VLOOKUP($M$4+$B1022-1,Paraméterek!$H$58:$I$105,2,0)/Paraméterek!$I$56,IF($D$4="Forint",0,2))</f>
        <v>#N/A</v>
      </c>
      <c r="Q1022" s="13">
        <f t="shared" ca="1" si="336"/>
        <v>0</v>
      </c>
      <c r="R1022" s="33"/>
      <c r="S1022" s="13" t="e">
        <f t="shared" ca="1" si="337"/>
        <v>#N/A</v>
      </c>
      <c r="T1022" s="13" t="e">
        <f ca="1">ROUNDUP(($N1022-$P1022-$Q1022+$S1022)*VLOOKUP($B1022,Paraméterek!$I$38:$K$39,IF($D$2="Egyszeri",3,2))/12*IF($D1023="Nem",IF($M$13=0,1,$M$13),1),IF($D$4="Forint",0,2))</f>
        <v>#N/A</v>
      </c>
      <c r="U1022" s="13"/>
      <c r="V1022" s="13"/>
      <c r="W1022" s="13" t="e">
        <f ca="1">$N1022-$P1022-$Q1022+$S1022-$T1022-IF(ROUNDUP(IF(ISBLANK($V1022),$U1022*0,$V1022)/IF($D$2="Egyszeri",VLOOKUP($B1022+IF($C1022=12,1,0),Paraméterek!$V$257:$W$262,2),IF($B1022=1,1,VLOOKUP($B1022+IF($C1022=12,1,0),Paraméterek!$I$258:$T$278,HLOOKUP($M$11+1,Paraméterek!$J$256:$T$257,2)))),IF($D$4="Forint",0,2))&gt;$N1022-$P1022-$Q1022+$S1022-$T1022-IF($D$4="Forint",Paraméterek!$C$216,Paraméterek!$D$216),0,ROUNDUP(IF(ISBLANK($V1022),$U1022*0,$V1022)/IF($D$2="Egyszeri",VLOOKUP($B1022+IF($C1022=12,1,0),Paraméterek!$V$257:$W$262,2),IF($B1022=1,1,VLOOKUP($B1022+IF($C1022=12,1,0),Paraméterek!$I$258:$T$278,HLOOKUP($M$11+1,Paraméterek!$J$256:$T$257,2)))),IF($D$4="Forint",0,2)))</f>
        <v>#N/A</v>
      </c>
      <c r="X1022" s="13" t="e">
        <f ca="1">ROUNDDOWN($W1022*IF($D$2="Egyszeri",VLOOKUP($B1022+IF($C1022=12,1,0),Paraméterek!$V$257:$W$262,2),VLOOKUP($B1022+IF($C1022=12,1,0),Paraméterek!$I$258:$T$278,HLOOKUP($M$11+1,Paraméterek!$I$256:$T$257,2))),IF($D$4="Forint",0,2))</f>
        <v>#N/A</v>
      </c>
      <c r="Z1022" s="32">
        <v>1003</v>
      </c>
      <c r="AA1022" s="32">
        <v>84</v>
      </c>
      <c r="AB1022" s="32">
        <v>7</v>
      </c>
      <c r="AC1022" s="13">
        <f t="shared" ca="1" si="346"/>
        <v>0</v>
      </c>
      <c r="AD1022" s="33"/>
      <c r="AE1022" s="13">
        <f t="shared" ca="1" si="338"/>
        <v>0</v>
      </c>
      <c r="AF1022" s="13">
        <f ca="1">ROUNDUP(($AC1022+$AE1022)*VLOOKUP($AA1022,Paraméterek!$P$38:$Q$38,2)/12*IF($D1023="Nem",IF($M$13=0,1,$M$13),1),IF($D$4="Forint",0,2))</f>
        <v>0</v>
      </c>
      <c r="AG1022" s="13">
        <f ca="1">IF($D$2="Egyszeri",IF($D$7&gt;=IF($D$4="Forint",Paraméterek!$P$223,Paraméterek!$P$224),$D$7-IF($D$4="Forint",Paraméterek!$P$223,Paraméterek!$P$224),0),MIN(IF($AB1022=12,AVERAGEIF($E$20:$E1022,"&gt;0",$E$20:$E1022)*12,0),SUM($E$20:$E$31)))</f>
        <v>0</v>
      </c>
      <c r="AH1022" s="13">
        <f>IF($AA1022=10,$AG1022*IF($AB1022=12,IF($AG1022&lt;IF($D$4="Forint",Paraméterek!$L$223,Paraméterek!$L$224),0,VLOOKUP($AA1022,Paraméterek!$K$226:$M$228,IF($AG1022&lt;IF($D$4="Forint",Paraméterek!$M$223,Paraméterek!$M$224),2,3))),0),0)</f>
        <v>0</v>
      </c>
      <c r="AI1022" s="13">
        <f ca="1">IF(AND($AA1022=$M$11+1,$AB1022=$M$12+1),SUMIF($AA$20:$AA$1027,$AA1022,$AG$20:$AG$1027)*IF(SUMIF($AA$20:$AA$1027,$AA1022,$AG$20:$AG$1027)&lt;IF($D$4="Forint",Paraméterek!$L$223,Paraméterek!$L$224),0,VLOOKUP($AA1022,Paraméterek!$K$230:$M$250,IF(SUMIF($AA$20:$AA$1027,$AA1022,$AG$20:$AG$1027)&lt;IF($D$4="Forint",Paraméterek!$M$223,Paraméterek!$M$224),2,3))),0)</f>
        <v>0</v>
      </c>
      <c r="AJ1022" s="13">
        <f ca="1">IF(AND($AA1022&gt;=5,MOD($AA1022,5)=0),IF($AB1022=12,VLOOKUP($AA1022,Paraméterek!$O$225:$P$240,2),0),IF(OR($AA1022=3,$AA1022=4),IF($AB1022=12,VLOOKUP($AA1022,Paraméterek!$O$225:$P$240,2,0),0),0))*$AG1022</f>
        <v>0</v>
      </c>
      <c r="AK1022" s="13">
        <f t="shared" ca="1" si="339"/>
        <v>0</v>
      </c>
      <c r="AL1022" s="13">
        <f t="shared" ca="1" si="347"/>
        <v>0</v>
      </c>
      <c r="AM1022" s="13">
        <f t="shared" ca="1" si="348"/>
        <v>0</v>
      </c>
      <c r="AO1022" s="32">
        <v>1003</v>
      </c>
      <c r="AP1022" s="32">
        <v>84</v>
      </c>
      <c r="AQ1022" s="32">
        <v>7</v>
      </c>
      <c r="AR1022" s="13"/>
      <c r="AS1022" s="32"/>
      <c r="AT1022" s="13">
        <f t="shared" ca="1" si="349"/>
        <v>0</v>
      </c>
      <c r="AU1022" s="33"/>
      <c r="AV1022" s="13">
        <f t="shared" ca="1" si="340"/>
        <v>0</v>
      </c>
      <c r="AW1022" s="13">
        <f ca="1">ROUNDUP(($AT1022+$AV1022)*VLOOKUP($AP1022,Paraméterek!$P$38:$Q$38,2)/12*IF($D1023="Nem",IF($M$13=0,1,$M$13),1),IF($D$4="Forint",0,2))</f>
        <v>0</v>
      </c>
      <c r="AX1022" s="13"/>
      <c r="AY1022" s="13"/>
      <c r="AZ1022" s="13">
        <f>ROUNDUP(IF(SUM($AX1022:$AY1022)=0,0,IF(IF(ISBLANK($AY1022),$AX1022,$AY1022)*Paraméterek!$J$112&lt;IF($D$4="Forint",Paraméterek!$J$113,Paraméterek!$K$113),IF($D$4="Forint",Paraméterek!$J$113,Paraméterek!$K$113),IF(IF(ISBLANK($AY1022),$AX1022,$AY1022)*Paraméterek!$J$112&gt;IF($D$4="Forint",Paraméterek!$J$114,Paraméterek!$K$114),IF($D$4="Forint",Paraméterek!$J$114,Paraméterek!$K$114),IF(ISBLANK($AY1022),$AX1022,$AY1022)*Paraméterek!$J$112))),IF($D$4="Forint",0,2))</f>
        <v>0</v>
      </c>
      <c r="BA1022" s="13">
        <f ca="1">$AT1022+$AV1022-$AW1022-IF(ROUNDDOWN(IF(ISBLANK($AY1022),$AX1022,$AY1022),IF($D$4="Forint",0,2))&gt;$AT1022+$AV1022-$AW1022-IF($D$4="Forint",Paraméterek!$J$114,Paraméterek!$K$114),0,ROUNDDOWN(IF(ISBLANK($AY1022),$AX1022,$AY1022),IF($D$4="Forint",0,2))-$AZ1022)</f>
        <v>0</v>
      </c>
      <c r="BB1022" s="13">
        <f t="shared" ca="1" si="341"/>
        <v>0</v>
      </c>
      <c r="BD1022" s="32">
        <v>1003</v>
      </c>
      <c r="BE1022" s="32">
        <v>84</v>
      </c>
      <c r="BF1022" s="32">
        <v>7</v>
      </c>
      <c r="BG1022" s="34">
        <f t="shared" ca="1" si="350"/>
        <v>2102</v>
      </c>
      <c r="BH1022" s="32" t="str">
        <f ca="1">IF(MOD(MONTH($D$14)+$BD1022-1,12)=Paraméterek!$C$288,"Igen","")</f>
        <v/>
      </c>
      <c r="BI1022" s="13">
        <f ca="1">IF($BH1022="Igen",MIN(ROUNDDOWN((SUMIF($BG$20:$BG$1027,$BG1022-1,$K$20:$K$1027)-SUMIF($BG$20:$BG$1027,$BG1022-1,$I$20:$I$1027))*Paraméterek!$C$289,IF($D$4="Forint",0,2)),IF($D$4="Forint",Paraméterek!$C$285,Paraméterek!$D$285)),0)</f>
        <v>0</v>
      </c>
      <c r="BJ1022" s="13">
        <f t="shared" ca="1" si="342"/>
        <v>0</v>
      </c>
      <c r="BK1022" s="13">
        <f t="shared" ca="1" si="351"/>
        <v>0</v>
      </c>
      <c r="BL1022" s="33"/>
      <c r="BM1022" s="13">
        <f t="shared" ca="1" si="343"/>
        <v>0</v>
      </c>
      <c r="BN1022" s="13">
        <f ca="1">ROUNDUP(($BK1022+$BM1022)*VLOOKUP($BE1022,Paraméterek!$P$38:$Q$38,2)/12*IF($D1023="Nem",IF($M$13=0,1,$M$13),1),IF($D$4="Forint",0,2))</f>
        <v>0</v>
      </c>
      <c r="BO1022" s="13">
        <f t="shared" ca="1" si="344"/>
        <v>0</v>
      </c>
      <c r="BP1022" s="13">
        <f ca="1">IF($D1023="Nem",$BO1022,$BO1022-ROUNDUP(SUM($BI$20:$BI1022)*120%,IF($D$4="Forint",0,2)))</f>
        <v>0</v>
      </c>
    </row>
    <row r="1023" spans="1:68" x14ac:dyDescent="0.2">
      <c r="A1023" s="32">
        <v>1004</v>
      </c>
      <c r="B1023" s="32">
        <v>84</v>
      </c>
      <c r="C1023" s="32">
        <v>8</v>
      </c>
      <c r="D1023" s="32" t="str">
        <f t="shared" ca="1" si="330"/>
        <v>Nem</v>
      </c>
      <c r="E1023" s="13">
        <f t="shared" ca="1" si="331"/>
        <v>0</v>
      </c>
      <c r="F1023" s="13"/>
      <c r="G1023" s="13"/>
      <c r="H1023" s="13"/>
      <c r="I1023" s="13">
        <f t="shared" ca="1" si="332"/>
        <v>0</v>
      </c>
      <c r="J1023" s="13">
        <f t="shared" ca="1" si="333"/>
        <v>0</v>
      </c>
      <c r="K1023" s="13">
        <f t="shared" ca="1" si="334"/>
        <v>0</v>
      </c>
      <c r="L1023" s="13" t="e">
        <f ca="1">ROUNDUP(IF($D$2="Egyszeri",$E1023,IF($D$2="Havi",SUM($E$20:$E$31),IF(MOD($C1023,$M$1)-1=0,SUM($E$20:$E$31),0))/12*$M$1)*VLOOKUP($B1023,Paraméterek!$I$28:$P$31,IF($D$2="Egyszeri",8,HLOOKUP(ROUNDUP($M$11+$M$13,0),Paraméterek!$J$26:$O$27,2))),IF($D$4="Forint",0,2))</f>
        <v>#N/A</v>
      </c>
      <c r="M1023" s="13">
        <f t="shared" ca="1" si="335"/>
        <v>0</v>
      </c>
      <c r="N1023" s="13">
        <f t="shared" ca="1" si="345"/>
        <v>0</v>
      </c>
      <c r="O1023" s="13">
        <f ca="1">IF($D1023="Igen",IF($W1022&gt;=IF($D$4="Forint",Paraméterek!$J$121,Paraméterek!$K$121),0,IF($D$4="Forint",Paraméterek!$J$121,Paraméterek!$K$121)-$W1022),0)</f>
        <v>0</v>
      </c>
      <c r="P1023" s="13" t="e">
        <f ca="1">ROUNDUP($O1023*VLOOKUP($M$4+$B1023-1,Paraméterek!$H$58:$I$105,2,0)/Paraméterek!$I$56,IF($D$4="Forint",0,2))</f>
        <v>#N/A</v>
      </c>
      <c r="Q1023" s="13">
        <f t="shared" ca="1" si="336"/>
        <v>0</v>
      </c>
      <c r="R1023" s="33"/>
      <c r="S1023" s="13" t="e">
        <f t="shared" ca="1" si="337"/>
        <v>#N/A</v>
      </c>
      <c r="T1023" s="13" t="e">
        <f ca="1">ROUNDUP(($N1023-$P1023-$Q1023+$S1023)*VLOOKUP($B1023,Paraméterek!$I$38:$K$39,IF($D$2="Egyszeri",3,2))/12*IF($D1024="Nem",IF($M$13=0,1,$M$13),1),IF($D$4="Forint",0,2))</f>
        <v>#N/A</v>
      </c>
      <c r="U1023" s="13"/>
      <c r="V1023" s="13"/>
      <c r="W1023" s="13" t="e">
        <f ca="1">$N1023-$P1023-$Q1023+$S1023-$T1023-IF(ROUNDUP(IF(ISBLANK($V1023),$U1023*0,$V1023)/IF($D$2="Egyszeri",VLOOKUP($B1023+IF($C1023=12,1,0),Paraméterek!$V$257:$W$262,2),IF($B1023=1,1,VLOOKUP($B1023+IF($C1023=12,1,0),Paraméterek!$I$258:$T$278,HLOOKUP($M$11+1,Paraméterek!$J$256:$T$257,2)))),IF($D$4="Forint",0,2))&gt;$N1023-$P1023-$Q1023+$S1023-$T1023-IF($D$4="Forint",Paraméterek!$C$216,Paraméterek!$D$216),0,ROUNDUP(IF(ISBLANK($V1023),$U1023*0,$V1023)/IF($D$2="Egyszeri",VLOOKUP($B1023+IF($C1023=12,1,0),Paraméterek!$V$257:$W$262,2),IF($B1023=1,1,VLOOKUP($B1023+IF($C1023=12,1,0),Paraméterek!$I$258:$T$278,HLOOKUP($M$11+1,Paraméterek!$J$256:$T$257,2)))),IF($D$4="Forint",0,2)))</f>
        <v>#N/A</v>
      </c>
      <c r="X1023" s="13" t="e">
        <f ca="1">ROUNDDOWN($W1023*IF($D$2="Egyszeri",VLOOKUP($B1023+IF($C1023=12,1,0),Paraméterek!$V$257:$W$262,2),VLOOKUP($B1023+IF($C1023=12,1,0),Paraméterek!$I$258:$T$278,HLOOKUP($M$11+1,Paraméterek!$I$256:$T$257,2))),IF($D$4="Forint",0,2))</f>
        <v>#N/A</v>
      </c>
      <c r="Z1023" s="32">
        <v>1004</v>
      </c>
      <c r="AA1023" s="32">
        <v>84</v>
      </c>
      <c r="AB1023" s="32">
        <v>8</v>
      </c>
      <c r="AC1023" s="13">
        <f t="shared" ca="1" si="346"/>
        <v>0</v>
      </c>
      <c r="AD1023" s="33"/>
      <c r="AE1023" s="13">
        <f t="shared" ca="1" si="338"/>
        <v>0</v>
      </c>
      <c r="AF1023" s="13">
        <f ca="1">ROUNDUP(($AC1023+$AE1023)*VLOOKUP($AA1023,Paraméterek!$P$38:$Q$38,2)/12*IF($D1024="Nem",IF($M$13=0,1,$M$13),1),IF($D$4="Forint",0,2))</f>
        <v>0</v>
      </c>
      <c r="AG1023" s="13">
        <f ca="1">IF($D$2="Egyszeri",IF($D$7&gt;=IF($D$4="Forint",Paraméterek!$P$223,Paraméterek!$P$224),$D$7-IF($D$4="Forint",Paraméterek!$P$223,Paraméterek!$P$224),0),MIN(IF($AB1023=12,AVERAGEIF($E$20:$E1023,"&gt;0",$E$20:$E1023)*12,0),SUM($E$20:$E$31)))</f>
        <v>0</v>
      </c>
      <c r="AH1023" s="13">
        <f>IF($AA1023=10,$AG1023*IF($AB1023=12,IF($AG1023&lt;IF($D$4="Forint",Paraméterek!$L$223,Paraméterek!$L$224),0,VLOOKUP($AA1023,Paraméterek!$K$226:$M$228,IF($AG1023&lt;IF($D$4="Forint",Paraméterek!$M$223,Paraméterek!$M$224),2,3))),0),0)</f>
        <v>0</v>
      </c>
      <c r="AI1023" s="13">
        <f ca="1">IF(AND($AA1023=$M$11+1,$AB1023=$M$12+1),SUMIF($AA$20:$AA$1027,$AA1023,$AG$20:$AG$1027)*IF(SUMIF($AA$20:$AA$1027,$AA1023,$AG$20:$AG$1027)&lt;IF($D$4="Forint",Paraméterek!$L$223,Paraméterek!$L$224),0,VLOOKUP($AA1023,Paraméterek!$K$230:$M$250,IF(SUMIF($AA$20:$AA$1027,$AA1023,$AG$20:$AG$1027)&lt;IF($D$4="Forint",Paraméterek!$M$223,Paraméterek!$M$224),2,3))),0)</f>
        <v>0</v>
      </c>
      <c r="AJ1023" s="13">
        <f ca="1">IF(AND($AA1023&gt;=5,MOD($AA1023,5)=0),IF($AB1023=12,VLOOKUP($AA1023,Paraméterek!$O$225:$P$240,2),0),IF(OR($AA1023=3,$AA1023=4),IF($AB1023=12,VLOOKUP($AA1023,Paraméterek!$O$225:$P$240,2,0),0),0))*$AG1023</f>
        <v>0</v>
      </c>
      <c r="AK1023" s="13">
        <f t="shared" ca="1" si="339"/>
        <v>0</v>
      </c>
      <c r="AL1023" s="13">
        <f t="shared" ca="1" si="347"/>
        <v>0</v>
      </c>
      <c r="AM1023" s="13">
        <f t="shared" ca="1" si="348"/>
        <v>0</v>
      </c>
      <c r="AO1023" s="32">
        <v>1004</v>
      </c>
      <c r="AP1023" s="32">
        <v>84</v>
      </c>
      <c r="AQ1023" s="32">
        <v>8</v>
      </c>
      <c r="AR1023" s="13"/>
      <c r="AS1023" s="32"/>
      <c r="AT1023" s="13">
        <f t="shared" ca="1" si="349"/>
        <v>0</v>
      </c>
      <c r="AU1023" s="33"/>
      <c r="AV1023" s="13">
        <f t="shared" ca="1" si="340"/>
        <v>0</v>
      </c>
      <c r="AW1023" s="13">
        <f ca="1">ROUNDUP(($AT1023+$AV1023)*VLOOKUP($AP1023,Paraméterek!$P$38:$Q$38,2)/12*IF($D1024="Nem",IF($M$13=0,1,$M$13),1),IF($D$4="Forint",0,2))</f>
        <v>0</v>
      </c>
      <c r="AX1023" s="13"/>
      <c r="AY1023" s="13"/>
      <c r="AZ1023" s="13">
        <f>ROUNDUP(IF(SUM($AX1023:$AY1023)=0,0,IF(IF(ISBLANK($AY1023),$AX1023,$AY1023)*Paraméterek!$J$112&lt;IF($D$4="Forint",Paraméterek!$J$113,Paraméterek!$K$113),IF($D$4="Forint",Paraméterek!$J$113,Paraméterek!$K$113),IF(IF(ISBLANK($AY1023),$AX1023,$AY1023)*Paraméterek!$J$112&gt;IF($D$4="Forint",Paraméterek!$J$114,Paraméterek!$K$114),IF($D$4="Forint",Paraméterek!$J$114,Paraméterek!$K$114),IF(ISBLANK($AY1023),$AX1023,$AY1023)*Paraméterek!$J$112))),IF($D$4="Forint",0,2))</f>
        <v>0</v>
      </c>
      <c r="BA1023" s="13">
        <f ca="1">$AT1023+$AV1023-$AW1023-IF(ROUNDDOWN(IF(ISBLANK($AY1023),$AX1023,$AY1023),IF($D$4="Forint",0,2))&gt;$AT1023+$AV1023-$AW1023-IF($D$4="Forint",Paraméterek!$J$114,Paraméterek!$K$114),0,ROUNDDOWN(IF(ISBLANK($AY1023),$AX1023,$AY1023),IF($D$4="Forint",0,2))-$AZ1023)</f>
        <v>0</v>
      </c>
      <c r="BB1023" s="13">
        <f t="shared" ca="1" si="341"/>
        <v>0</v>
      </c>
      <c r="BD1023" s="32">
        <v>1004</v>
      </c>
      <c r="BE1023" s="32">
        <v>84</v>
      </c>
      <c r="BF1023" s="32">
        <v>8</v>
      </c>
      <c r="BG1023" s="34">
        <f t="shared" ca="1" si="350"/>
        <v>2103</v>
      </c>
      <c r="BH1023" s="32" t="str">
        <f ca="1">IF(MOD(MONTH($D$14)+$BD1023-1,12)=Paraméterek!$C$288,"Igen","")</f>
        <v/>
      </c>
      <c r="BI1023" s="13">
        <f ca="1">IF($BH1023="Igen",MIN(ROUNDDOWN((SUMIF($BG$20:$BG$1027,$BG1023-1,$K$20:$K$1027)-SUMIF($BG$20:$BG$1027,$BG1023-1,$I$20:$I$1027))*Paraméterek!$C$289,IF($D$4="Forint",0,2)),IF($D$4="Forint",Paraméterek!$C$285,Paraméterek!$D$285)),0)</f>
        <v>0</v>
      </c>
      <c r="BJ1023" s="13">
        <f t="shared" ca="1" si="342"/>
        <v>0</v>
      </c>
      <c r="BK1023" s="13">
        <f t="shared" ca="1" si="351"/>
        <v>0</v>
      </c>
      <c r="BL1023" s="33"/>
      <c r="BM1023" s="13">
        <f t="shared" ca="1" si="343"/>
        <v>0</v>
      </c>
      <c r="BN1023" s="13">
        <f ca="1">ROUNDUP(($BK1023+$BM1023)*VLOOKUP($BE1023,Paraméterek!$P$38:$Q$38,2)/12*IF($D1024="Nem",IF($M$13=0,1,$M$13),1),IF($D$4="Forint",0,2))</f>
        <v>0</v>
      </c>
      <c r="BO1023" s="13">
        <f t="shared" ca="1" si="344"/>
        <v>0</v>
      </c>
      <c r="BP1023" s="13">
        <f ca="1">IF($D1024="Nem",$BO1023,$BO1023-ROUNDUP(SUM($BI$20:$BI1023)*120%,IF($D$4="Forint",0,2)))</f>
        <v>0</v>
      </c>
    </row>
    <row r="1024" spans="1:68" x14ac:dyDescent="0.2">
      <c r="A1024" s="32">
        <v>1005</v>
      </c>
      <c r="B1024" s="32">
        <v>84</v>
      </c>
      <c r="C1024" s="32">
        <v>9</v>
      </c>
      <c r="D1024" s="32" t="str">
        <f t="shared" ca="1" si="330"/>
        <v>Nem</v>
      </c>
      <c r="E1024" s="13">
        <f t="shared" ca="1" si="331"/>
        <v>0</v>
      </c>
      <c r="F1024" s="13"/>
      <c r="G1024" s="13"/>
      <c r="H1024" s="13"/>
      <c r="I1024" s="13">
        <f t="shared" ca="1" si="332"/>
        <v>0</v>
      </c>
      <c r="J1024" s="13">
        <f t="shared" ca="1" si="333"/>
        <v>0</v>
      </c>
      <c r="K1024" s="13">
        <f t="shared" ca="1" si="334"/>
        <v>0</v>
      </c>
      <c r="L1024" s="13" t="e">
        <f ca="1">ROUNDUP(IF($D$2="Egyszeri",$E1024,IF($D$2="Havi",SUM($E$20:$E$31),IF(MOD($C1024,$M$1)-1=0,SUM($E$20:$E$31),0))/12*$M$1)*VLOOKUP($B1024,Paraméterek!$I$28:$P$31,IF($D$2="Egyszeri",8,HLOOKUP(ROUNDUP($M$11+$M$13,0),Paraméterek!$J$26:$O$27,2))),IF($D$4="Forint",0,2))</f>
        <v>#N/A</v>
      </c>
      <c r="M1024" s="13">
        <f t="shared" ca="1" si="335"/>
        <v>0</v>
      </c>
      <c r="N1024" s="13">
        <f t="shared" ca="1" si="345"/>
        <v>0</v>
      </c>
      <c r="O1024" s="13">
        <f ca="1">IF($D1024="Igen",IF($W1023&gt;=IF($D$4="Forint",Paraméterek!$J$121,Paraméterek!$K$121),0,IF($D$4="Forint",Paraméterek!$J$121,Paraméterek!$K$121)-$W1023),0)</f>
        <v>0</v>
      </c>
      <c r="P1024" s="13" t="e">
        <f ca="1">ROUNDUP($O1024*VLOOKUP($M$4+$B1024-1,Paraméterek!$H$58:$I$105,2,0)/Paraméterek!$I$56,IF($D$4="Forint",0,2))</f>
        <v>#N/A</v>
      </c>
      <c r="Q1024" s="13">
        <f t="shared" ca="1" si="336"/>
        <v>0</v>
      </c>
      <c r="R1024" s="33"/>
      <c r="S1024" s="13" t="e">
        <f t="shared" ca="1" si="337"/>
        <v>#N/A</v>
      </c>
      <c r="T1024" s="13" t="e">
        <f ca="1">ROUNDUP(($N1024-$P1024-$Q1024+$S1024)*VLOOKUP($B1024,Paraméterek!$I$38:$K$39,IF($D$2="Egyszeri",3,2))/12*IF($D1025="Nem",IF($M$13=0,1,$M$13),1),IF($D$4="Forint",0,2))</f>
        <v>#N/A</v>
      </c>
      <c r="U1024" s="13"/>
      <c r="V1024" s="13"/>
      <c r="W1024" s="13" t="e">
        <f ca="1">$N1024-$P1024-$Q1024+$S1024-$T1024-IF(ROUNDUP(IF(ISBLANK($V1024),$U1024*0,$V1024)/IF($D$2="Egyszeri",VLOOKUP($B1024+IF($C1024=12,1,0),Paraméterek!$V$257:$W$262,2),IF($B1024=1,1,VLOOKUP($B1024+IF($C1024=12,1,0),Paraméterek!$I$258:$T$278,HLOOKUP($M$11+1,Paraméterek!$J$256:$T$257,2)))),IF($D$4="Forint",0,2))&gt;$N1024-$P1024-$Q1024+$S1024-$T1024-IF($D$4="Forint",Paraméterek!$C$216,Paraméterek!$D$216),0,ROUNDUP(IF(ISBLANK($V1024),$U1024*0,$V1024)/IF($D$2="Egyszeri",VLOOKUP($B1024+IF($C1024=12,1,0),Paraméterek!$V$257:$W$262,2),IF($B1024=1,1,VLOOKUP($B1024+IF($C1024=12,1,0),Paraméterek!$I$258:$T$278,HLOOKUP($M$11+1,Paraméterek!$J$256:$T$257,2)))),IF($D$4="Forint",0,2)))</f>
        <v>#N/A</v>
      </c>
      <c r="X1024" s="13" t="e">
        <f ca="1">ROUNDDOWN($W1024*IF($D$2="Egyszeri",VLOOKUP($B1024+IF($C1024=12,1,0),Paraméterek!$V$257:$W$262,2),VLOOKUP($B1024+IF($C1024=12,1,0),Paraméterek!$I$258:$T$278,HLOOKUP($M$11+1,Paraméterek!$I$256:$T$257,2))),IF($D$4="Forint",0,2))</f>
        <v>#N/A</v>
      </c>
      <c r="Z1024" s="32">
        <v>1005</v>
      </c>
      <c r="AA1024" s="32">
        <v>84</v>
      </c>
      <c r="AB1024" s="32">
        <v>9</v>
      </c>
      <c r="AC1024" s="13">
        <f t="shared" ca="1" si="346"/>
        <v>0</v>
      </c>
      <c r="AD1024" s="33"/>
      <c r="AE1024" s="13">
        <f t="shared" ca="1" si="338"/>
        <v>0</v>
      </c>
      <c r="AF1024" s="13">
        <f ca="1">ROUNDUP(($AC1024+$AE1024)*VLOOKUP($AA1024,Paraméterek!$P$38:$Q$38,2)/12*IF($D1025="Nem",IF($M$13=0,1,$M$13),1),IF($D$4="Forint",0,2))</f>
        <v>0</v>
      </c>
      <c r="AG1024" s="13">
        <f ca="1">IF($D$2="Egyszeri",IF($D$7&gt;=IF($D$4="Forint",Paraméterek!$P$223,Paraméterek!$P$224),$D$7-IF($D$4="Forint",Paraméterek!$P$223,Paraméterek!$P$224),0),MIN(IF($AB1024=12,AVERAGEIF($E$20:$E1024,"&gt;0",$E$20:$E1024)*12,0),SUM($E$20:$E$31)))</f>
        <v>0</v>
      </c>
      <c r="AH1024" s="13">
        <f>IF($AA1024=10,$AG1024*IF($AB1024=12,IF($AG1024&lt;IF($D$4="Forint",Paraméterek!$L$223,Paraméterek!$L$224),0,VLOOKUP($AA1024,Paraméterek!$K$226:$M$228,IF($AG1024&lt;IF($D$4="Forint",Paraméterek!$M$223,Paraméterek!$M$224),2,3))),0),0)</f>
        <v>0</v>
      </c>
      <c r="AI1024" s="13">
        <f ca="1">IF(AND($AA1024=$M$11+1,$AB1024=$M$12+1),SUMIF($AA$20:$AA$1027,$AA1024,$AG$20:$AG$1027)*IF(SUMIF($AA$20:$AA$1027,$AA1024,$AG$20:$AG$1027)&lt;IF($D$4="Forint",Paraméterek!$L$223,Paraméterek!$L$224),0,VLOOKUP($AA1024,Paraméterek!$K$230:$M$250,IF(SUMIF($AA$20:$AA$1027,$AA1024,$AG$20:$AG$1027)&lt;IF($D$4="Forint",Paraméterek!$M$223,Paraméterek!$M$224),2,3))),0)</f>
        <v>0</v>
      </c>
      <c r="AJ1024" s="13">
        <f ca="1">IF(AND($AA1024&gt;=5,MOD($AA1024,5)=0),IF($AB1024=12,VLOOKUP($AA1024,Paraméterek!$O$225:$P$240,2),0),IF(OR($AA1024=3,$AA1024=4),IF($AB1024=12,VLOOKUP($AA1024,Paraméterek!$O$225:$P$240,2,0),0),0))*$AG1024</f>
        <v>0</v>
      </c>
      <c r="AK1024" s="13">
        <f t="shared" ca="1" si="339"/>
        <v>0</v>
      </c>
      <c r="AL1024" s="13">
        <f t="shared" ca="1" si="347"/>
        <v>0</v>
      </c>
      <c r="AM1024" s="13">
        <f t="shared" ca="1" si="348"/>
        <v>0</v>
      </c>
      <c r="AO1024" s="32">
        <v>1005</v>
      </c>
      <c r="AP1024" s="32">
        <v>84</v>
      </c>
      <c r="AQ1024" s="32">
        <v>9</v>
      </c>
      <c r="AR1024" s="13"/>
      <c r="AS1024" s="32"/>
      <c r="AT1024" s="13">
        <f t="shared" ca="1" si="349"/>
        <v>0</v>
      </c>
      <c r="AU1024" s="33"/>
      <c r="AV1024" s="13">
        <f t="shared" ca="1" si="340"/>
        <v>0</v>
      </c>
      <c r="AW1024" s="13">
        <f ca="1">ROUNDUP(($AT1024+$AV1024)*VLOOKUP($AP1024,Paraméterek!$P$38:$Q$38,2)/12*IF($D1025="Nem",IF($M$13=0,1,$M$13),1),IF($D$4="Forint",0,2))</f>
        <v>0</v>
      </c>
      <c r="AX1024" s="13"/>
      <c r="AY1024" s="13"/>
      <c r="AZ1024" s="13">
        <f>ROUNDUP(IF(SUM($AX1024:$AY1024)=0,0,IF(IF(ISBLANK($AY1024),$AX1024,$AY1024)*Paraméterek!$J$112&lt;IF($D$4="Forint",Paraméterek!$J$113,Paraméterek!$K$113),IF($D$4="Forint",Paraméterek!$J$113,Paraméterek!$K$113),IF(IF(ISBLANK($AY1024),$AX1024,$AY1024)*Paraméterek!$J$112&gt;IF($D$4="Forint",Paraméterek!$J$114,Paraméterek!$K$114),IF($D$4="Forint",Paraméterek!$J$114,Paraméterek!$K$114),IF(ISBLANK($AY1024),$AX1024,$AY1024)*Paraméterek!$J$112))),IF($D$4="Forint",0,2))</f>
        <v>0</v>
      </c>
      <c r="BA1024" s="13">
        <f ca="1">$AT1024+$AV1024-$AW1024-IF(ROUNDDOWN(IF(ISBLANK($AY1024),$AX1024,$AY1024),IF($D$4="Forint",0,2))&gt;$AT1024+$AV1024-$AW1024-IF($D$4="Forint",Paraméterek!$J$114,Paraméterek!$K$114),0,ROUNDDOWN(IF(ISBLANK($AY1024),$AX1024,$AY1024),IF($D$4="Forint",0,2))-$AZ1024)</f>
        <v>0</v>
      </c>
      <c r="BB1024" s="13">
        <f t="shared" ca="1" si="341"/>
        <v>0</v>
      </c>
      <c r="BD1024" s="32">
        <v>1005</v>
      </c>
      <c r="BE1024" s="32">
        <v>84</v>
      </c>
      <c r="BF1024" s="32">
        <v>9</v>
      </c>
      <c r="BG1024" s="34">
        <f t="shared" ca="1" si="350"/>
        <v>2103</v>
      </c>
      <c r="BH1024" s="32" t="str">
        <f ca="1">IF(MOD(MONTH($D$14)+$BD1024-1,12)=Paraméterek!$C$288,"Igen","")</f>
        <v/>
      </c>
      <c r="BI1024" s="13">
        <f ca="1">IF($BH1024="Igen",MIN(ROUNDDOWN((SUMIF($BG$20:$BG$1027,$BG1024-1,$K$20:$K$1027)-SUMIF($BG$20:$BG$1027,$BG1024-1,$I$20:$I$1027))*Paraméterek!$C$289,IF($D$4="Forint",0,2)),IF($D$4="Forint",Paraméterek!$C$285,Paraméterek!$D$285)),0)</f>
        <v>0</v>
      </c>
      <c r="BJ1024" s="13">
        <f t="shared" ca="1" si="342"/>
        <v>0</v>
      </c>
      <c r="BK1024" s="13">
        <f t="shared" ca="1" si="351"/>
        <v>0</v>
      </c>
      <c r="BL1024" s="33"/>
      <c r="BM1024" s="13">
        <f t="shared" ca="1" si="343"/>
        <v>0</v>
      </c>
      <c r="BN1024" s="13">
        <f ca="1">ROUNDUP(($BK1024+$BM1024)*VLOOKUP($BE1024,Paraméterek!$P$38:$Q$38,2)/12*IF($D1025="Nem",IF($M$13=0,1,$M$13),1),IF($D$4="Forint",0,2))</f>
        <v>0</v>
      </c>
      <c r="BO1024" s="13">
        <f t="shared" ca="1" si="344"/>
        <v>0</v>
      </c>
      <c r="BP1024" s="13">
        <f ca="1">IF($D1025="Nem",$BO1024,$BO1024-ROUNDUP(SUM($BI$20:$BI1024)*120%,IF($D$4="Forint",0,2)))</f>
        <v>0</v>
      </c>
    </row>
    <row r="1025" spans="1:68" x14ac:dyDescent="0.2">
      <c r="A1025" s="32">
        <v>1006</v>
      </c>
      <c r="B1025" s="32">
        <v>84</v>
      </c>
      <c r="C1025" s="32">
        <v>10</v>
      </c>
      <c r="D1025" s="32" t="str">
        <f t="shared" ca="1" si="330"/>
        <v>Nem</v>
      </c>
      <c r="E1025" s="13">
        <f t="shared" ca="1" si="331"/>
        <v>0</v>
      </c>
      <c r="F1025" s="13"/>
      <c r="G1025" s="13"/>
      <c r="H1025" s="13"/>
      <c r="I1025" s="13">
        <f t="shared" ca="1" si="332"/>
        <v>0</v>
      </c>
      <c r="J1025" s="13">
        <f t="shared" ca="1" si="333"/>
        <v>0</v>
      </c>
      <c r="K1025" s="13">
        <f t="shared" ca="1" si="334"/>
        <v>0</v>
      </c>
      <c r="L1025" s="13" t="e">
        <f ca="1">ROUNDUP(IF($D$2="Egyszeri",$E1025,IF($D$2="Havi",SUM($E$20:$E$31),IF(MOD($C1025,$M$1)-1=0,SUM($E$20:$E$31),0))/12*$M$1)*VLOOKUP($B1025,Paraméterek!$I$28:$P$31,IF($D$2="Egyszeri",8,HLOOKUP(ROUNDUP($M$11+$M$13,0),Paraméterek!$J$26:$O$27,2))),IF($D$4="Forint",0,2))</f>
        <v>#N/A</v>
      </c>
      <c r="M1025" s="13">
        <f t="shared" ca="1" si="335"/>
        <v>0</v>
      </c>
      <c r="N1025" s="13">
        <f t="shared" ca="1" si="345"/>
        <v>0</v>
      </c>
      <c r="O1025" s="13">
        <f ca="1">IF($D1025="Igen",IF($W1024&gt;=IF($D$4="Forint",Paraméterek!$J$121,Paraméterek!$K$121),0,IF($D$4="Forint",Paraméterek!$J$121,Paraméterek!$K$121)-$W1024),0)</f>
        <v>0</v>
      </c>
      <c r="P1025" s="13" t="e">
        <f ca="1">ROUNDUP($O1025*VLOOKUP($M$4+$B1025-1,Paraméterek!$H$58:$I$105,2,0)/Paraméterek!$I$56,IF($D$4="Forint",0,2))</f>
        <v>#N/A</v>
      </c>
      <c r="Q1025" s="13">
        <f t="shared" ca="1" si="336"/>
        <v>0</v>
      </c>
      <c r="R1025" s="33"/>
      <c r="S1025" s="13" t="e">
        <f t="shared" ca="1" si="337"/>
        <v>#N/A</v>
      </c>
      <c r="T1025" s="13" t="e">
        <f ca="1">ROUNDUP(($N1025-$P1025-$Q1025+$S1025)*VLOOKUP($B1025,Paraméterek!$I$38:$K$39,IF($D$2="Egyszeri",3,2))/12*IF($D1026="Nem",IF($M$13=0,1,$M$13),1),IF($D$4="Forint",0,2))</f>
        <v>#N/A</v>
      </c>
      <c r="U1025" s="13"/>
      <c r="V1025" s="13"/>
      <c r="W1025" s="13" t="e">
        <f ca="1">$N1025-$P1025-$Q1025+$S1025-$T1025-IF(ROUNDUP(IF(ISBLANK($V1025),$U1025*0,$V1025)/IF($D$2="Egyszeri",VLOOKUP($B1025+IF($C1025=12,1,0),Paraméterek!$V$257:$W$262,2),IF($B1025=1,1,VLOOKUP($B1025+IF($C1025=12,1,0),Paraméterek!$I$258:$T$278,HLOOKUP($M$11+1,Paraméterek!$J$256:$T$257,2)))),IF($D$4="Forint",0,2))&gt;$N1025-$P1025-$Q1025+$S1025-$T1025-IF($D$4="Forint",Paraméterek!$C$216,Paraméterek!$D$216),0,ROUNDUP(IF(ISBLANK($V1025),$U1025*0,$V1025)/IF($D$2="Egyszeri",VLOOKUP($B1025+IF($C1025=12,1,0),Paraméterek!$V$257:$W$262,2),IF($B1025=1,1,VLOOKUP($B1025+IF($C1025=12,1,0),Paraméterek!$I$258:$T$278,HLOOKUP($M$11+1,Paraméterek!$J$256:$T$257,2)))),IF($D$4="Forint",0,2)))</f>
        <v>#N/A</v>
      </c>
      <c r="X1025" s="13" t="e">
        <f ca="1">ROUNDDOWN($W1025*IF($D$2="Egyszeri",VLOOKUP($B1025+IF($C1025=12,1,0),Paraméterek!$V$257:$W$262,2),VLOOKUP($B1025+IF($C1025=12,1,0),Paraméterek!$I$258:$T$278,HLOOKUP($M$11+1,Paraméterek!$I$256:$T$257,2))),IF($D$4="Forint",0,2))</f>
        <v>#N/A</v>
      </c>
      <c r="Z1025" s="32">
        <v>1006</v>
      </c>
      <c r="AA1025" s="32">
        <v>84</v>
      </c>
      <c r="AB1025" s="32">
        <v>10</v>
      </c>
      <c r="AC1025" s="13">
        <f t="shared" ca="1" si="346"/>
        <v>0</v>
      </c>
      <c r="AD1025" s="33"/>
      <c r="AE1025" s="13">
        <f t="shared" ca="1" si="338"/>
        <v>0</v>
      </c>
      <c r="AF1025" s="13">
        <f ca="1">ROUNDUP(($AC1025+$AE1025)*VLOOKUP($AA1025,Paraméterek!$P$38:$Q$38,2)/12*IF($D1026="Nem",IF($M$13=0,1,$M$13),1),IF($D$4="Forint",0,2))</f>
        <v>0</v>
      </c>
      <c r="AG1025" s="13">
        <f ca="1">IF($D$2="Egyszeri",IF($D$7&gt;=IF($D$4="Forint",Paraméterek!$P$223,Paraméterek!$P$224),$D$7-IF($D$4="Forint",Paraméterek!$P$223,Paraméterek!$P$224),0),MIN(IF($AB1025=12,AVERAGEIF($E$20:$E1025,"&gt;0",$E$20:$E1025)*12,0),SUM($E$20:$E$31)))</f>
        <v>0</v>
      </c>
      <c r="AH1025" s="13">
        <f>IF($AA1025=10,$AG1025*IF($AB1025=12,IF($AG1025&lt;IF($D$4="Forint",Paraméterek!$L$223,Paraméterek!$L$224),0,VLOOKUP($AA1025,Paraméterek!$K$226:$M$228,IF($AG1025&lt;IF($D$4="Forint",Paraméterek!$M$223,Paraméterek!$M$224),2,3))),0),0)</f>
        <v>0</v>
      </c>
      <c r="AI1025" s="13">
        <f ca="1">IF(AND($AA1025=$M$11+1,$AB1025=$M$12+1),SUMIF($AA$20:$AA$1027,$AA1025,$AG$20:$AG$1027)*IF(SUMIF($AA$20:$AA$1027,$AA1025,$AG$20:$AG$1027)&lt;IF($D$4="Forint",Paraméterek!$L$223,Paraméterek!$L$224),0,VLOOKUP($AA1025,Paraméterek!$K$230:$M$250,IF(SUMIF($AA$20:$AA$1027,$AA1025,$AG$20:$AG$1027)&lt;IF($D$4="Forint",Paraméterek!$M$223,Paraméterek!$M$224),2,3))),0)</f>
        <v>0</v>
      </c>
      <c r="AJ1025" s="13">
        <f ca="1">IF(AND($AA1025&gt;=5,MOD($AA1025,5)=0),IF($AB1025=12,VLOOKUP($AA1025,Paraméterek!$O$225:$P$240,2),0),IF(OR($AA1025=3,$AA1025=4),IF($AB1025=12,VLOOKUP($AA1025,Paraméterek!$O$225:$P$240,2,0),0),0))*$AG1025</f>
        <v>0</v>
      </c>
      <c r="AK1025" s="13">
        <f t="shared" ca="1" si="339"/>
        <v>0</v>
      </c>
      <c r="AL1025" s="13">
        <f t="shared" ca="1" si="347"/>
        <v>0</v>
      </c>
      <c r="AM1025" s="13">
        <f t="shared" ca="1" si="348"/>
        <v>0</v>
      </c>
      <c r="AO1025" s="32">
        <v>1006</v>
      </c>
      <c r="AP1025" s="32">
        <v>84</v>
      </c>
      <c r="AQ1025" s="32">
        <v>10</v>
      </c>
      <c r="AR1025" s="13"/>
      <c r="AS1025" s="32"/>
      <c r="AT1025" s="13">
        <f t="shared" ca="1" si="349"/>
        <v>0</v>
      </c>
      <c r="AU1025" s="33"/>
      <c r="AV1025" s="13">
        <f t="shared" ca="1" si="340"/>
        <v>0</v>
      </c>
      <c r="AW1025" s="13">
        <f ca="1">ROUNDUP(($AT1025+$AV1025)*VLOOKUP($AP1025,Paraméterek!$P$38:$Q$38,2)/12*IF($D1026="Nem",IF($M$13=0,1,$M$13),1),IF($D$4="Forint",0,2))</f>
        <v>0</v>
      </c>
      <c r="AX1025" s="13"/>
      <c r="AY1025" s="13"/>
      <c r="AZ1025" s="13">
        <f>ROUNDUP(IF(SUM($AX1025:$AY1025)=0,0,IF(IF(ISBLANK($AY1025),$AX1025,$AY1025)*Paraméterek!$J$112&lt;IF($D$4="Forint",Paraméterek!$J$113,Paraméterek!$K$113),IF($D$4="Forint",Paraméterek!$J$113,Paraméterek!$K$113),IF(IF(ISBLANK($AY1025),$AX1025,$AY1025)*Paraméterek!$J$112&gt;IF($D$4="Forint",Paraméterek!$J$114,Paraméterek!$K$114),IF($D$4="Forint",Paraméterek!$J$114,Paraméterek!$K$114),IF(ISBLANK($AY1025),$AX1025,$AY1025)*Paraméterek!$J$112))),IF($D$4="Forint",0,2))</f>
        <v>0</v>
      </c>
      <c r="BA1025" s="13">
        <f ca="1">$AT1025+$AV1025-$AW1025-IF(ROUNDDOWN(IF(ISBLANK($AY1025),$AX1025,$AY1025),IF($D$4="Forint",0,2))&gt;$AT1025+$AV1025-$AW1025-IF($D$4="Forint",Paraméterek!$J$114,Paraméterek!$K$114),0,ROUNDDOWN(IF(ISBLANK($AY1025),$AX1025,$AY1025),IF($D$4="Forint",0,2))-$AZ1025)</f>
        <v>0</v>
      </c>
      <c r="BB1025" s="13">
        <f t="shared" ca="1" si="341"/>
        <v>0</v>
      </c>
      <c r="BD1025" s="32">
        <v>1006</v>
      </c>
      <c r="BE1025" s="32">
        <v>84</v>
      </c>
      <c r="BF1025" s="32">
        <v>10</v>
      </c>
      <c r="BG1025" s="34">
        <f t="shared" ca="1" si="350"/>
        <v>2103</v>
      </c>
      <c r="BH1025" s="32" t="str">
        <f ca="1">IF(MOD(MONTH($D$14)+$BD1025-1,12)=Paraméterek!$C$288,"Igen","")</f>
        <v/>
      </c>
      <c r="BI1025" s="13">
        <f ca="1">IF($BH1025="Igen",MIN(ROUNDDOWN((SUMIF($BG$20:$BG$1027,$BG1025-1,$K$20:$K$1027)-SUMIF($BG$20:$BG$1027,$BG1025-1,$I$20:$I$1027))*Paraméterek!$C$289,IF($D$4="Forint",0,2)),IF($D$4="Forint",Paraméterek!$C$285,Paraméterek!$D$285)),0)</f>
        <v>0</v>
      </c>
      <c r="BJ1025" s="13">
        <f t="shared" ca="1" si="342"/>
        <v>0</v>
      </c>
      <c r="BK1025" s="13">
        <f t="shared" ca="1" si="351"/>
        <v>0</v>
      </c>
      <c r="BL1025" s="33"/>
      <c r="BM1025" s="13">
        <f t="shared" ca="1" si="343"/>
        <v>0</v>
      </c>
      <c r="BN1025" s="13">
        <f ca="1">ROUNDUP(($BK1025+$BM1025)*VLOOKUP($BE1025,Paraméterek!$P$38:$Q$38,2)/12*IF($D1026="Nem",IF($M$13=0,1,$M$13),1),IF($D$4="Forint",0,2))</f>
        <v>0</v>
      </c>
      <c r="BO1025" s="13">
        <f t="shared" ca="1" si="344"/>
        <v>0</v>
      </c>
      <c r="BP1025" s="13">
        <f ca="1">IF($D1026="Nem",$BO1025,$BO1025-ROUNDUP(SUM($BI$20:$BI1025)*120%,IF($D$4="Forint",0,2)))</f>
        <v>0</v>
      </c>
    </row>
    <row r="1026" spans="1:68" x14ac:dyDescent="0.2">
      <c r="A1026" s="32">
        <v>1007</v>
      </c>
      <c r="B1026" s="32">
        <v>84</v>
      </c>
      <c r="C1026" s="32">
        <v>11</v>
      </c>
      <c r="D1026" s="32" t="str">
        <f t="shared" ca="1" si="330"/>
        <v>Nem</v>
      </c>
      <c r="E1026" s="13">
        <f t="shared" ca="1" si="331"/>
        <v>0</v>
      </c>
      <c r="F1026" s="13"/>
      <c r="G1026" s="13"/>
      <c r="H1026" s="13"/>
      <c r="I1026" s="13">
        <f t="shared" ca="1" si="332"/>
        <v>0</v>
      </c>
      <c r="J1026" s="13">
        <f t="shared" ca="1" si="333"/>
        <v>0</v>
      </c>
      <c r="K1026" s="13">
        <f t="shared" ca="1" si="334"/>
        <v>0</v>
      </c>
      <c r="L1026" s="13" t="e">
        <f ca="1">ROUNDUP(IF($D$2="Egyszeri",$E1026,IF($D$2="Havi",SUM($E$20:$E$31),IF(MOD($C1026,$M$1)-1=0,SUM($E$20:$E$31),0))/12*$M$1)*VLOOKUP($B1026,Paraméterek!$I$28:$P$31,IF($D$2="Egyszeri",8,HLOOKUP(ROUNDUP($M$11+$M$13,0),Paraméterek!$J$26:$O$27,2))),IF($D$4="Forint",0,2))</f>
        <v>#N/A</v>
      </c>
      <c r="M1026" s="13">
        <f t="shared" ca="1" si="335"/>
        <v>0</v>
      </c>
      <c r="N1026" s="13">
        <f t="shared" ca="1" si="345"/>
        <v>0</v>
      </c>
      <c r="O1026" s="13">
        <f ca="1">IF($D1026="Igen",IF($W1025&gt;=IF($D$4="Forint",Paraméterek!$J$121,Paraméterek!$K$121),0,IF($D$4="Forint",Paraméterek!$J$121,Paraméterek!$K$121)-$W1025),0)</f>
        <v>0</v>
      </c>
      <c r="P1026" s="13" t="e">
        <f ca="1">ROUNDUP($O1026*VLOOKUP($M$4+$B1026-1,Paraméterek!$H$58:$I$105,2,0)/Paraméterek!$I$56,IF($D$4="Forint",0,2))</f>
        <v>#N/A</v>
      </c>
      <c r="Q1026" s="13">
        <f t="shared" ca="1" si="336"/>
        <v>0</v>
      </c>
      <c r="R1026" s="33"/>
      <c r="S1026" s="13" t="e">
        <f t="shared" ca="1" si="337"/>
        <v>#N/A</v>
      </c>
      <c r="T1026" s="13" t="e">
        <f ca="1">ROUNDUP(($N1026-$P1026-$Q1026+$S1026)*VLOOKUP($B1026,Paraméterek!$I$38:$K$39,IF($D$2="Egyszeri",3,2))/12*IF($D1027="Nem",IF($M$13=0,1,$M$13),1),IF($D$4="Forint",0,2))</f>
        <v>#N/A</v>
      </c>
      <c r="U1026" s="13"/>
      <c r="V1026" s="13"/>
      <c r="W1026" s="13" t="e">
        <f ca="1">$N1026-$P1026-$Q1026+$S1026-$T1026-IF(ROUNDUP(IF(ISBLANK($V1026),$U1026*0,$V1026)/IF($D$2="Egyszeri",VLOOKUP($B1026+IF($C1026=12,1,0),Paraméterek!$V$257:$W$262,2),IF($B1026=1,1,VLOOKUP($B1026+IF($C1026=12,1,0),Paraméterek!$I$258:$T$278,HLOOKUP($M$11+1,Paraméterek!$J$256:$T$257,2)))),IF($D$4="Forint",0,2))&gt;$N1026-$P1026-$Q1026+$S1026-$T1026-IF($D$4="Forint",Paraméterek!$C$216,Paraméterek!$D$216),0,ROUNDUP(IF(ISBLANK($V1026),$U1026*0,$V1026)/IF($D$2="Egyszeri",VLOOKUP($B1026+IF($C1026=12,1,0),Paraméterek!$V$257:$W$262,2),IF($B1026=1,1,VLOOKUP($B1026+IF($C1026=12,1,0),Paraméterek!$I$258:$T$278,HLOOKUP($M$11+1,Paraméterek!$J$256:$T$257,2)))),IF($D$4="Forint",0,2)))</f>
        <v>#N/A</v>
      </c>
      <c r="X1026" s="13" t="e">
        <f ca="1">ROUNDDOWN($W1026*IF($D$2="Egyszeri",VLOOKUP($B1026+IF($C1026=12,1,0),Paraméterek!$V$257:$W$262,2),VLOOKUP($B1026+IF($C1026=12,1,0),Paraméterek!$I$258:$T$278,HLOOKUP($M$11+1,Paraméterek!$I$256:$T$257,2))),IF($D$4="Forint",0,2))</f>
        <v>#N/A</v>
      </c>
      <c r="Z1026" s="32">
        <v>1007</v>
      </c>
      <c r="AA1026" s="32">
        <v>84</v>
      </c>
      <c r="AB1026" s="32">
        <v>11</v>
      </c>
      <c r="AC1026" s="13">
        <f t="shared" ca="1" si="346"/>
        <v>0</v>
      </c>
      <c r="AD1026" s="33"/>
      <c r="AE1026" s="13">
        <f t="shared" ca="1" si="338"/>
        <v>0</v>
      </c>
      <c r="AF1026" s="13">
        <f ca="1">ROUNDUP(($AC1026+$AE1026)*VLOOKUP($AA1026,Paraméterek!$P$38:$Q$38,2)/12*IF($D1027="Nem",IF($M$13=0,1,$M$13),1),IF($D$4="Forint",0,2))</f>
        <v>0</v>
      </c>
      <c r="AG1026" s="13">
        <f ca="1">IF($D$2="Egyszeri",IF($D$7&gt;=IF($D$4="Forint",Paraméterek!$P$223,Paraméterek!$P$224),$D$7-IF($D$4="Forint",Paraméterek!$P$223,Paraméterek!$P$224),0),MIN(IF($AB1026=12,AVERAGEIF($E$20:$E1026,"&gt;0",$E$20:$E1026)*12,0),SUM($E$20:$E$31)))</f>
        <v>0</v>
      </c>
      <c r="AH1026" s="13">
        <f>IF($AA1026=10,$AG1026*IF($AB1026=12,IF($AG1026&lt;IF($D$4="Forint",Paraméterek!$L$223,Paraméterek!$L$224),0,VLOOKUP($AA1026,Paraméterek!$K$226:$M$228,IF($AG1026&lt;IF($D$4="Forint",Paraméterek!$M$223,Paraméterek!$M$224),2,3))),0),0)</f>
        <v>0</v>
      </c>
      <c r="AI1026" s="13">
        <f ca="1">IF(AND($AA1026=$M$11+1,$AB1026=$M$12+1),SUMIF($AA$20:$AA$1027,$AA1026,$AG$20:$AG$1027)*IF(SUMIF($AA$20:$AA$1027,$AA1026,$AG$20:$AG$1027)&lt;IF($D$4="Forint",Paraméterek!$L$223,Paraméterek!$L$224),0,VLOOKUP($AA1026,Paraméterek!$K$230:$M$250,IF(SUMIF($AA$20:$AA$1027,$AA1026,$AG$20:$AG$1027)&lt;IF($D$4="Forint",Paraméterek!$M$223,Paraméterek!$M$224),2,3))),0)</f>
        <v>0</v>
      </c>
      <c r="AJ1026" s="13">
        <f ca="1">IF(AND($AA1026&gt;=5,MOD($AA1026,5)=0),IF($AB1026=12,VLOOKUP($AA1026,Paraméterek!$O$225:$P$240,2),0),IF(OR($AA1026=3,$AA1026=4),IF($AB1026=12,VLOOKUP($AA1026,Paraméterek!$O$225:$P$240,2,0),0),0))*$AG1026</f>
        <v>0</v>
      </c>
      <c r="AK1026" s="13">
        <f t="shared" ca="1" si="339"/>
        <v>0</v>
      </c>
      <c r="AL1026" s="13">
        <f t="shared" ca="1" si="347"/>
        <v>0</v>
      </c>
      <c r="AM1026" s="13">
        <f t="shared" ca="1" si="348"/>
        <v>0</v>
      </c>
      <c r="AO1026" s="32">
        <v>1007</v>
      </c>
      <c r="AP1026" s="32">
        <v>84</v>
      </c>
      <c r="AQ1026" s="32">
        <v>11</v>
      </c>
      <c r="AR1026" s="13"/>
      <c r="AS1026" s="32"/>
      <c r="AT1026" s="13">
        <f t="shared" ca="1" si="349"/>
        <v>0</v>
      </c>
      <c r="AU1026" s="33"/>
      <c r="AV1026" s="13">
        <f t="shared" ca="1" si="340"/>
        <v>0</v>
      </c>
      <c r="AW1026" s="13">
        <f ca="1">ROUNDUP(($AT1026+$AV1026)*VLOOKUP($AP1026,Paraméterek!$P$38:$Q$38,2)/12*IF($D1027="Nem",IF($M$13=0,1,$M$13),1),IF($D$4="Forint",0,2))</f>
        <v>0</v>
      </c>
      <c r="AX1026" s="13"/>
      <c r="AY1026" s="13"/>
      <c r="AZ1026" s="13">
        <f>ROUNDUP(IF(SUM($AX1026:$AY1026)=0,0,IF(IF(ISBLANK($AY1026),$AX1026,$AY1026)*Paraméterek!$J$112&lt;IF($D$4="Forint",Paraméterek!$J$113,Paraméterek!$K$113),IF($D$4="Forint",Paraméterek!$J$113,Paraméterek!$K$113),IF(IF(ISBLANK($AY1026),$AX1026,$AY1026)*Paraméterek!$J$112&gt;IF($D$4="Forint",Paraméterek!$J$114,Paraméterek!$K$114),IF($D$4="Forint",Paraméterek!$J$114,Paraméterek!$K$114),IF(ISBLANK($AY1026),$AX1026,$AY1026)*Paraméterek!$J$112))),IF($D$4="Forint",0,2))</f>
        <v>0</v>
      </c>
      <c r="BA1026" s="13">
        <f ca="1">$AT1026+$AV1026-$AW1026-IF(ROUNDDOWN(IF(ISBLANK($AY1026),$AX1026,$AY1026),IF($D$4="Forint",0,2))&gt;$AT1026+$AV1026-$AW1026-IF($D$4="Forint",Paraméterek!$J$114,Paraméterek!$K$114),0,ROUNDDOWN(IF(ISBLANK($AY1026),$AX1026,$AY1026),IF($D$4="Forint",0,2))-$AZ1026)</f>
        <v>0</v>
      </c>
      <c r="BB1026" s="13">
        <f t="shared" ca="1" si="341"/>
        <v>0</v>
      </c>
      <c r="BD1026" s="32">
        <v>1007</v>
      </c>
      <c r="BE1026" s="32">
        <v>84</v>
      </c>
      <c r="BF1026" s="32">
        <v>11</v>
      </c>
      <c r="BG1026" s="34">
        <f t="shared" ca="1" si="350"/>
        <v>2103</v>
      </c>
      <c r="BH1026" s="32" t="str">
        <f ca="1">IF(MOD(MONTH($D$14)+$BD1026-1,12)=Paraméterek!$C$288,"Igen","")</f>
        <v/>
      </c>
      <c r="BI1026" s="13">
        <f ca="1">IF($BH1026="Igen",MIN(ROUNDDOWN((SUMIF($BG$20:$BG$1027,$BG1026-1,$K$20:$K$1027)-SUMIF($BG$20:$BG$1027,$BG1026-1,$I$20:$I$1027))*Paraméterek!$C$289,IF($D$4="Forint",0,2)),IF($D$4="Forint",Paraméterek!$C$285,Paraméterek!$D$285)),0)</f>
        <v>0</v>
      </c>
      <c r="BJ1026" s="13">
        <f t="shared" ca="1" si="342"/>
        <v>0</v>
      </c>
      <c r="BK1026" s="13">
        <f t="shared" ca="1" si="351"/>
        <v>0</v>
      </c>
      <c r="BL1026" s="33"/>
      <c r="BM1026" s="13">
        <f t="shared" ca="1" si="343"/>
        <v>0</v>
      </c>
      <c r="BN1026" s="13">
        <f ca="1">ROUNDUP(($BK1026+$BM1026)*VLOOKUP($BE1026,Paraméterek!$P$38:$Q$38,2)/12*IF($D1027="Nem",IF($M$13=0,1,$M$13),1),IF($D$4="Forint",0,2))</f>
        <v>0</v>
      </c>
      <c r="BO1026" s="13">
        <f t="shared" ca="1" si="344"/>
        <v>0</v>
      </c>
      <c r="BP1026" s="13">
        <f ca="1">IF($D1027="Nem",$BO1026,$BO1026-ROUNDUP(SUM($BI$20:$BI1026)*120%,IF($D$4="Forint",0,2)))</f>
        <v>0</v>
      </c>
    </row>
    <row r="1027" spans="1:68" x14ac:dyDescent="0.2">
      <c r="A1027" s="32">
        <v>1008</v>
      </c>
      <c r="B1027" s="32">
        <v>84</v>
      </c>
      <c r="C1027" s="32">
        <v>12</v>
      </c>
      <c r="D1027" s="32" t="str">
        <f t="shared" ca="1" si="330"/>
        <v>Nem</v>
      </c>
      <c r="E1027" s="13">
        <f t="shared" ca="1" si="331"/>
        <v>0</v>
      </c>
      <c r="F1027" s="13"/>
      <c r="G1027" s="13"/>
      <c r="H1027" s="13"/>
      <c r="I1027" s="13">
        <f t="shared" ca="1" si="332"/>
        <v>0</v>
      </c>
      <c r="J1027" s="13">
        <f t="shared" ca="1" si="333"/>
        <v>0</v>
      </c>
      <c r="K1027" s="13">
        <f t="shared" ca="1" si="334"/>
        <v>0</v>
      </c>
      <c r="L1027" s="13" t="e">
        <f ca="1">ROUNDUP(IF($D$2="Egyszeri",$E1027,IF($D$2="Havi",SUM($E$20:$E$31),IF(MOD($C1027,$M$1)-1=0,SUM($E$20:$E$31),0))/12*$M$1)*VLOOKUP($B1027,Paraméterek!$I$28:$P$31,IF($D$2="Egyszeri",8,HLOOKUP(ROUNDUP($M$11+$M$13,0),Paraméterek!$J$26:$O$27,2))),IF($D$4="Forint",0,2))</f>
        <v>#N/A</v>
      </c>
      <c r="M1027" s="13">
        <f t="shared" ca="1" si="335"/>
        <v>0</v>
      </c>
      <c r="N1027" s="13">
        <f t="shared" ca="1" si="345"/>
        <v>0</v>
      </c>
      <c r="O1027" s="13">
        <f ca="1">IF($D1027="Igen",IF($W1026&gt;=IF($D$4="Forint",Paraméterek!$J$121,Paraméterek!$K$121),0,IF($D$4="Forint",Paraméterek!$J$121,Paraméterek!$K$121)-$W1026),0)</f>
        <v>0</v>
      </c>
      <c r="P1027" s="13" t="e">
        <f ca="1">ROUNDUP($O1027*VLOOKUP($M$4+$B1027-1,Paraméterek!$H$58:$I$105,2,0)/Paraméterek!$I$56,IF($D$4="Forint",0,2))</f>
        <v>#N/A</v>
      </c>
      <c r="Q1027" s="13">
        <f t="shared" ca="1" si="336"/>
        <v>0</v>
      </c>
      <c r="R1027" s="33"/>
      <c r="S1027" s="13" t="e">
        <f t="shared" ca="1" si="337"/>
        <v>#N/A</v>
      </c>
      <c r="T1027" s="13" t="e">
        <f ca="1">ROUNDUP(($N1027-$P1027-$Q1027+$S1027)*VLOOKUP($B1027,Paraméterek!$I$38:$K$39,IF($D$2="Egyszeri",3,2))/12*IF($D1028="Nem",IF($M$13=0,1,$M$13),1),IF($D$4="Forint",0,2))</f>
        <v>#N/A</v>
      </c>
      <c r="U1027" s="13">
        <f>Tranzakciók!$F$115</f>
        <v>0</v>
      </c>
      <c r="V1027" s="13"/>
      <c r="W1027" s="13" t="e">
        <f ca="1">$N1027-$P1027-$Q1027+$S1027-$T1027-IF(ROUNDUP(IF(ISBLANK($V1027),$U1027*0,$V1027)/IF($D$2="Egyszeri",VLOOKUP($B1027+IF($C1027=12,1,0),Paraméterek!$V$257:$W$262,2),IF($B1027=1,1,VLOOKUP($B1027+IF($C1027=12,1,0),Paraméterek!$I$258:$T$278,HLOOKUP($M$11+1,Paraméterek!$J$256:$T$257,2)))),IF($D$4="Forint",0,2))&gt;$N1027-$P1027-$Q1027+$S1027-$T1027-IF($D$4="Forint",Paraméterek!$C$216,Paraméterek!$D$216),0,ROUNDUP(IF(ISBLANK($V1027),$U1027*0,$V1027)/IF($D$2="Egyszeri",VLOOKUP($B1027+IF($C1027=12,1,0),Paraméterek!$V$257:$W$262,2),IF($B1027=1,1,VLOOKUP($B1027+IF($C1027=12,1,0),Paraméterek!$I$258:$T$278,HLOOKUP($M$11+1,Paraméterek!$J$256:$T$257,2)))),IF($D$4="Forint",0,2)))</f>
        <v>#N/A</v>
      </c>
      <c r="X1027" s="13" t="e">
        <f ca="1">ROUNDDOWN($W1027*IF($D$2="Egyszeri",VLOOKUP($B1027+IF($C1027=12,1,0),Paraméterek!$V$257:$W$262,2),VLOOKUP($B1027+IF($C1027=12,1,0),Paraméterek!$I$258:$T$278,HLOOKUP($M$11+1,Paraméterek!$I$256:$T$257,2))),IF($D$4="Forint",0,2))</f>
        <v>#N/A</v>
      </c>
      <c r="Z1027" s="32">
        <v>1008</v>
      </c>
      <c r="AA1027" s="32">
        <v>84</v>
      </c>
      <c r="AB1027" s="32">
        <v>12</v>
      </c>
      <c r="AC1027" s="13">
        <f t="shared" ca="1" si="346"/>
        <v>0</v>
      </c>
      <c r="AD1027" s="33"/>
      <c r="AE1027" s="13">
        <f t="shared" ca="1" si="338"/>
        <v>0</v>
      </c>
      <c r="AF1027" s="13">
        <f ca="1">ROUNDUP(($AC1027+$AE1027)*VLOOKUP($AA1027,Paraméterek!$P$38:$Q$38,2)/12*IF($D1028="Nem",IF($M$13=0,1,$M$13),1),IF($D$4="Forint",0,2))</f>
        <v>0</v>
      </c>
      <c r="AG1027" s="13" t="e">
        <f ca="1">IF($D$2="Egyszeri",IF($D$7&gt;=IF($D$4="Forint",Paraméterek!$P$223,Paraméterek!$P$224),$D$7-IF($D$4="Forint",Paraméterek!$P$223,Paraméterek!$P$224),0),MIN(IF($AB1027=12,AVERAGEIF($E$20:$E1027,"&gt;0",$E$20:$E1027)*12,0),SUM($E$20:$E$31)))</f>
        <v>#DIV/0!</v>
      </c>
      <c r="AH1027" s="13">
        <f>IF($AA1027=10,$AG1027*IF($AB1027=12,IF($AG1027&lt;IF($D$4="Forint",Paraméterek!$L$223,Paraméterek!$L$224),0,VLOOKUP($AA1027,Paraméterek!$K$226:$M$228,IF($AG1027&lt;IF($D$4="Forint",Paraméterek!$M$223,Paraméterek!$M$224),2,3))),0),0)</f>
        <v>0</v>
      </c>
      <c r="AI1027" s="13">
        <f ca="1">IF(AND($AA1027=$M$11+1,$AB1027=$M$12+1),SUMIF($AA$20:$AA$1027,$AA1027,$AG$20:$AG$1027)*IF(SUMIF($AA$20:$AA$1027,$AA1027,$AG$20:$AG$1027)&lt;IF($D$4="Forint",Paraméterek!$L$223,Paraméterek!$L$224),0,VLOOKUP($AA1027,Paraméterek!$K$230:$M$250,IF(SUMIF($AA$20:$AA$1027,$AA1027,$AG$20:$AG$1027)&lt;IF($D$4="Forint",Paraméterek!$M$223,Paraméterek!$M$224),2,3))),0)</f>
        <v>0</v>
      </c>
      <c r="AJ1027" s="13" t="e">
        <f ca="1">IF(AND($AA1027&gt;=5,MOD($AA1027,5)=0),IF($AB1027=12,VLOOKUP($AA1027,Paraméterek!$O$225:$P$240,2),0),IF(OR($AA1027=3,$AA1027=4),IF($AB1027=12,VLOOKUP($AA1027,Paraméterek!$O$225:$P$240,2,0),0),0))*$AG1027</f>
        <v>#DIV/0!</v>
      </c>
      <c r="AK1027" s="13">
        <f t="shared" ca="1" si="339"/>
        <v>0</v>
      </c>
      <c r="AL1027" s="13">
        <f t="shared" ca="1" si="347"/>
        <v>0</v>
      </c>
      <c r="AM1027" s="13">
        <f t="shared" ca="1" si="348"/>
        <v>0</v>
      </c>
      <c r="AO1027" s="32">
        <v>1008</v>
      </c>
      <c r="AP1027" s="32">
        <v>84</v>
      </c>
      <c r="AQ1027" s="32">
        <v>12</v>
      </c>
      <c r="AR1027" s="13"/>
      <c r="AS1027" s="32"/>
      <c r="AT1027" s="13">
        <f t="shared" ca="1" si="349"/>
        <v>0</v>
      </c>
      <c r="AU1027" s="33"/>
      <c r="AV1027" s="13">
        <f t="shared" ca="1" si="340"/>
        <v>0</v>
      </c>
      <c r="AW1027" s="13">
        <f ca="1">ROUNDUP(($AT1027+$AV1027)*VLOOKUP($AP1027,Paraméterek!$P$38:$Q$38,2)/12*IF($D1028="Nem",IF($M$13=0,1,$M$13),1),IF($D$4="Forint",0,2))</f>
        <v>0</v>
      </c>
      <c r="AX1027" s="13">
        <f>Tranzakciók!$M$115</f>
        <v>0</v>
      </c>
      <c r="AY1027" s="13"/>
      <c r="AZ1027" s="13">
        <f>ROUNDUP(IF(SUM($AX1027:$AY1027)=0,0,IF(IF(ISBLANK($AY1027),$AX1027,$AY1027)*Paraméterek!$J$112&lt;IF($D$4="Forint",Paraméterek!$J$113,Paraméterek!$K$113),IF($D$4="Forint",Paraméterek!$J$113,Paraméterek!$K$113),IF(IF(ISBLANK($AY1027),$AX1027,$AY1027)*Paraméterek!$J$112&gt;IF($D$4="Forint",Paraméterek!$J$114,Paraméterek!$K$114),IF($D$4="Forint",Paraméterek!$J$114,Paraméterek!$K$114),IF(ISBLANK($AY1027),$AX1027,$AY1027)*Paraméterek!$J$112))),IF($D$4="Forint",0,2))</f>
        <v>0</v>
      </c>
      <c r="BA1027" s="13">
        <f ca="1">$AT1027+$AV1027-$AW1027-IF(ROUNDDOWN(IF(ISBLANK($AY1027),$AX1027,$AY1027),IF($D$4="Forint",0,2))&gt;$AT1027+$AV1027-$AW1027-IF($D$4="Forint",Paraméterek!$J$114,Paraméterek!$K$114),0,ROUNDDOWN(IF(ISBLANK($AY1027),$AX1027,$AY1027),IF($D$4="Forint",0,2))-$AZ1027)</f>
        <v>0</v>
      </c>
      <c r="BB1027" s="13">
        <f t="shared" ca="1" si="341"/>
        <v>0</v>
      </c>
      <c r="BD1027" s="32">
        <v>1008</v>
      </c>
      <c r="BE1027" s="32">
        <v>84</v>
      </c>
      <c r="BF1027" s="32">
        <v>12</v>
      </c>
      <c r="BG1027" s="34">
        <f t="shared" ca="1" si="350"/>
        <v>2103</v>
      </c>
      <c r="BH1027" s="32" t="str">
        <f ca="1">IF(MOD(MONTH($D$14)+$BD1027-1,12)=Paraméterek!$C$288,"Igen","")</f>
        <v/>
      </c>
      <c r="BI1027" s="13">
        <f ca="1">IF($BH1027="Igen",MIN(ROUNDDOWN((SUMIF($BG$20:$BG$1027,$BG1027-1,$K$20:$K$1027)-SUMIF($BG$20:$BG$1027,$BG1027-1,$I$20:$I$1027))*Paraméterek!$C$289,IF($D$4="Forint",0,2)),IF($D$4="Forint",Paraméterek!$C$285,Paraméterek!$D$285)),0)</f>
        <v>0</v>
      </c>
      <c r="BJ1027" s="13">
        <f t="shared" ca="1" si="342"/>
        <v>0</v>
      </c>
      <c r="BK1027" s="13">
        <f t="shared" ca="1" si="351"/>
        <v>0</v>
      </c>
      <c r="BL1027" s="33"/>
      <c r="BM1027" s="13">
        <f t="shared" ca="1" si="343"/>
        <v>0</v>
      </c>
      <c r="BN1027" s="13">
        <f ca="1">ROUNDUP(($BK1027+$BM1027)*VLOOKUP($BE1027,Paraméterek!$P$38:$Q$38,2)/12*IF($D1028="Nem",IF($M$13=0,1,$M$13),1),IF($D$4="Forint",0,2))</f>
        <v>0</v>
      </c>
      <c r="BO1027" s="13">
        <f t="shared" ca="1" si="344"/>
        <v>0</v>
      </c>
      <c r="BP1027" s="13">
        <f ca="1">IF($D1028="Nem",$BO1027,$BO1027-ROUNDUP(SUM($BI$20:$BI1027)*120%,IF($D$4="Forint",0,2)))</f>
        <v>0</v>
      </c>
    </row>
  </sheetData>
  <dataValidations count="5">
    <dataValidation type="list" allowBlank="1" showInputMessage="1" showErrorMessage="1" sqref="C4" xr:uid="{00000000-0002-0000-0300-000000000000}">
      <formula1>Deviza</formula1>
    </dataValidation>
    <dataValidation type="list" allowBlank="1" showInputMessage="1" showErrorMessage="1" sqref="C5" xr:uid="{00000000-0002-0000-0300-000001000000}">
      <formula1>Ea_Kínálat</formula1>
    </dataValidation>
    <dataValidation type="list" allowBlank="1" showInputMessage="1" showErrorMessage="1" sqref="C3" xr:uid="{00000000-0002-0000-0300-000002000000}">
      <formula1>Díj_Mód</formula1>
    </dataValidation>
    <dataValidation type="list" allowBlank="1" showInputMessage="1" showErrorMessage="1" sqref="C2" xr:uid="{00000000-0002-0000-0300-000003000000}">
      <formula1>Díj_Gyak</formula1>
    </dataValidation>
    <dataValidation type="list" allowBlank="1" showInputMessage="1" showErrorMessage="1" sqref="C8" xr:uid="{00000000-0002-0000-0300-000004000000}">
      <formula1>Választás</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B0A5B"/>
  </sheetPr>
  <dimension ref="A1:Z289"/>
  <sheetViews>
    <sheetView workbookViewId="0">
      <selection activeCell="B4" sqref="B4:M5"/>
    </sheetView>
  </sheetViews>
  <sheetFormatPr defaultRowHeight="12.75" x14ac:dyDescent="0.2"/>
  <cols>
    <col min="21" max="21" width="9.140625" style="1"/>
  </cols>
  <sheetData>
    <row r="1" spans="1:8" s="1" customFormat="1" x14ac:dyDescent="0.2">
      <c r="A1" s="1" t="s">
        <v>72</v>
      </c>
    </row>
    <row r="2" spans="1:8" s="1" customFormat="1" x14ac:dyDescent="0.2"/>
    <row r="3" spans="1:8" s="1" customFormat="1" x14ac:dyDescent="0.2">
      <c r="B3" s="6" t="s">
        <v>3</v>
      </c>
      <c r="C3" s="6" t="s">
        <v>4</v>
      </c>
      <c r="D3" s="6" t="s">
        <v>5</v>
      </c>
      <c r="E3" s="6" t="s">
        <v>45</v>
      </c>
      <c r="F3" s="6" t="s">
        <v>48</v>
      </c>
      <c r="G3" s="6" t="s">
        <v>55</v>
      </c>
      <c r="H3" s="6" t="s">
        <v>169</v>
      </c>
    </row>
    <row r="4" spans="1:8" s="1" customFormat="1" x14ac:dyDescent="0.2">
      <c r="B4" t="s">
        <v>36</v>
      </c>
      <c r="C4" t="s">
        <v>41</v>
      </c>
      <c r="D4" t="s">
        <v>46</v>
      </c>
      <c r="E4" t="s">
        <v>13</v>
      </c>
      <c r="F4" s="3">
        <v>0</v>
      </c>
      <c r="G4" t="s">
        <v>49</v>
      </c>
      <c r="H4" s="1" t="s">
        <v>170</v>
      </c>
    </row>
    <row r="5" spans="1:8" s="1" customFormat="1" x14ac:dyDescent="0.2">
      <c r="B5" t="s">
        <v>37</v>
      </c>
      <c r="C5" t="s">
        <v>42</v>
      </c>
      <c r="D5" t="s">
        <v>47</v>
      </c>
      <c r="E5" t="s">
        <v>18</v>
      </c>
      <c r="F5" s="3">
        <v>0.03</v>
      </c>
      <c r="G5" t="s">
        <v>50</v>
      </c>
      <c r="H5" s="1" t="s">
        <v>171</v>
      </c>
    </row>
    <row r="6" spans="1:8" s="1" customFormat="1" x14ac:dyDescent="0.2">
      <c r="B6" t="s">
        <v>38</v>
      </c>
      <c r="C6" t="s">
        <v>43</v>
      </c>
      <c r="F6" s="3">
        <v>0.06</v>
      </c>
      <c r="G6" t="s">
        <v>51</v>
      </c>
    </row>
    <row r="7" spans="1:8" s="1" customFormat="1" x14ac:dyDescent="0.2">
      <c r="B7" t="s">
        <v>39</v>
      </c>
      <c r="C7" t="s">
        <v>44</v>
      </c>
      <c r="F7" s="3">
        <v>0.1</v>
      </c>
      <c r="G7" t="s">
        <v>12</v>
      </c>
    </row>
    <row r="8" spans="1:8" s="1" customFormat="1" x14ac:dyDescent="0.2">
      <c r="B8" t="s">
        <v>40</v>
      </c>
      <c r="G8" s="1" t="s">
        <v>174</v>
      </c>
    </row>
    <row r="9" spans="1:8" s="1" customFormat="1" x14ac:dyDescent="0.2"/>
    <row r="10" spans="1:8" s="1" customFormat="1" x14ac:dyDescent="0.2"/>
    <row r="11" spans="1:8" s="1" customFormat="1" x14ac:dyDescent="0.2"/>
    <row r="12" spans="1:8" s="1" customFormat="1" x14ac:dyDescent="0.2">
      <c r="A12" s="1" t="s">
        <v>71</v>
      </c>
      <c r="C12"/>
    </row>
    <row r="13" spans="1:8" s="1" customFormat="1" x14ac:dyDescent="0.2"/>
    <row r="14" spans="1:8" s="1" customFormat="1" x14ac:dyDescent="0.2">
      <c r="B14" s="6" t="s">
        <v>73</v>
      </c>
      <c r="C14" s="96" t="s">
        <v>74</v>
      </c>
      <c r="D14" s="96"/>
      <c r="E14" s="96" t="s">
        <v>40</v>
      </c>
      <c r="F14" s="96"/>
    </row>
    <row r="15" spans="1:8" s="1" customFormat="1" x14ac:dyDescent="0.2">
      <c r="B15" s="6" t="s">
        <v>5</v>
      </c>
      <c r="C15" s="6" t="s">
        <v>75</v>
      </c>
      <c r="D15" s="6" t="s">
        <v>76</v>
      </c>
      <c r="E15" s="6" t="s">
        <v>75</v>
      </c>
      <c r="F15" s="6" t="s">
        <v>76</v>
      </c>
    </row>
    <row r="16" spans="1:8" s="1" customFormat="1" x14ac:dyDescent="0.2">
      <c r="B16" s="1" t="s">
        <v>41</v>
      </c>
      <c r="C16" s="5">
        <v>550</v>
      </c>
      <c r="D16"/>
      <c r="E16" s="5">
        <v>100</v>
      </c>
    </row>
    <row r="17" spans="1:16" s="1" customFormat="1" x14ac:dyDescent="0.2">
      <c r="B17" s="1" t="s">
        <v>42</v>
      </c>
      <c r="C17" s="5">
        <v>200</v>
      </c>
      <c r="D17"/>
      <c r="E17" s="5">
        <v>100</v>
      </c>
    </row>
    <row r="18" spans="1:16" s="1" customFormat="1" x14ac:dyDescent="0.2">
      <c r="B18" s="1" t="s">
        <v>43</v>
      </c>
      <c r="C18" s="5">
        <v>100</v>
      </c>
      <c r="D18" s="10">
        <v>0.3</v>
      </c>
      <c r="E18" s="5">
        <v>100</v>
      </c>
      <c r="F18" s="10">
        <v>0.3</v>
      </c>
    </row>
    <row r="19" spans="1:16" s="1" customFormat="1" x14ac:dyDescent="0.2">
      <c r="B19" s="1" t="s">
        <v>44</v>
      </c>
      <c r="C19" s="5">
        <v>200</v>
      </c>
      <c r="D19"/>
      <c r="E19" s="5">
        <v>200</v>
      </c>
    </row>
    <row r="20" spans="1:16" s="1" customFormat="1" x14ac:dyDescent="0.2"/>
    <row r="21" spans="1:16" s="1" customFormat="1" x14ac:dyDescent="0.2"/>
    <row r="22" spans="1:16" s="1" customFormat="1" x14ac:dyDescent="0.2"/>
    <row r="23" spans="1:16" s="1" customFormat="1" x14ac:dyDescent="0.2">
      <c r="A23" s="1" t="s">
        <v>79</v>
      </c>
      <c r="H23" s="1" t="s">
        <v>80</v>
      </c>
    </row>
    <row r="24" spans="1:16" s="1" customFormat="1" x14ac:dyDescent="0.2"/>
    <row r="25" spans="1:16" s="1" customFormat="1" x14ac:dyDescent="0.2"/>
    <row r="26" spans="1:16" s="1" customFormat="1" x14ac:dyDescent="0.2">
      <c r="C26" s="6" t="s">
        <v>74</v>
      </c>
      <c r="D26" s="6" t="s">
        <v>40</v>
      </c>
      <c r="J26" s="7">
        <v>5</v>
      </c>
      <c r="K26" s="7">
        <v>6</v>
      </c>
      <c r="L26" s="7">
        <v>7</v>
      </c>
      <c r="M26" s="7">
        <v>8</v>
      </c>
      <c r="N26" s="7">
        <v>9</v>
      </c>
      <c r="O26" s="7">
        <v>10</v>
      </c>
      <c r="P26" s="6" t="s">
        <v>40</v>
      </c>
    </row>
    <row r="27" spans="1:16" s="1" customFormat="1" x14ac:dyDescent="0.2">
      <c r="B27" s="8">
        <v>1</v>
      </c>
      <c r="C27" s="2">
        <v>0.6</v>
      </c>
      <c r="D27" s="2">
        <v>0.05</v>
      </c>
      <c r="J27" s="17">
        <v>2</v>
      </c>
      <c r="K27" s="17">
        <v>3</v>
      </c>
      <c r="L27" s="17">
        <v>4</v>
      </c>
      <c r="M27" s="17">
        <v>5</v>
      </c>
      <c r="N27" s="17">
        <v>6</v>
      </c>
      <c r="O27" s="17">
        <v>7</v>
      </c>
      <c r="P27" s="17">
        <v>8</v>
      </c>
    </row>
    <row r="28" spans="1:16" s="1" customFormat="1" x14ac:dyDescent="0.2">
      <c r="B28" s="8">
        <v>2</v>
      </c>
      <c r="C28" s="2">
        <v>0.35</v>
      </c>
      <c r="D28" s="2">
        <v>0</v>
      </c>
      <c r="I28" s="8">
        <v>1</v>
      </c>
      <c r="J28" s="2">
        <v>0.6</v>
      </c>
      <c r="K28" s="2">
        <v>0.6</v>
      </c>
      <c r="L28" s="2">
        <v>0.6</v>
      </c>
      <c r="M28" s="2">
        <v>0.6</v>
      </c>
      <c r="N28" s="2">
        <v>0.6</v>
      </c>
      <c r="O28" s="2">
        <v>0.6</v>
      </c>
      <c r="P28" s="2">
        <v>0.05</v>
      </c>
    </row>
    <row r="29" spans="1:16" s="1" customFormat="1" x14ac:dyDescent="0.2">
      <c r="B29" s="8">
        <v>3</v>
      </c>
      <c r="C29" s="2">
        <v>0.2</v>
      </c>
      <c r="D29" s="2">
        <v>0</v>
      </c>
      <c r="I29" s="8">
        <v>2</v>
      </c>
      <c r="J29" s="2">
        <v>0.15</v>
      </c>
      <c r="K29" s="2">
        <v>0.18</v>
      </c>
      <c r="L29" s="2">
        <v>0.2</v>
      </c>
      <c r="M29" s="2">
        <v>0.22</v>
      </c>
      <c r="N29" s="2">
        <v>0.25</v>
      </c>
      <c r="O29" s="2">
        <v>0.35</v>
      </c>
      <c r="P29" s="2">
        <v>0</v>
      </c>
    </row>
    <row r="30" spans="1:16" s="1" customFormat="1" x14ac:dyDescent="0.2">
      <c r="B30" s="8">
        <v>4</v>
      </c>
      <c r="C30" s="2">
        <v>0</v>
      </c>
      <c r="D30" s="2">
        <v>0</v>
      </c>
      <c r="I30" s="8">
        <v>3</v>
      </c>
      <c r="J30" s="2">
        <v>0</v>
      </c>
      <c r="K30" s="2">
        <v>0</v>
      </c>
      <c r="L30" s="2">
        <v>0</v>
      </c>
      <c r="M30" s="2">
        <v>0</v>
      </c>
      <c r="N30" s="2">
        <v>0</v>
      </c>
      <c r="O30" s="2">
        <v>0.15</v>
      </c>
      <c r="P30" s="2">
        <v>0</v>
      </c>
    </row>
    <row r="31" spans="1:16" s="1" customFormat="1" x14ac:dyDescent="0.2">
      <c r="I31" s="8">
        <v>4</v>
      </c>
      <c r="J31" s="2">
        <v>0</v>
      </c>
      <c r="K31" s="2">
        <v>0</v>
      </c>
      <c r="L31" s="2">
        <v>0</v>
      </c>
      <c r="M31" s="2">
        <v>0</v>
      </c>
      <c r="N31" s="2">
        <v>0</v>
      </c>
      <c r="O31" s="2">
        <v>0</v>
      </c>
      <c r="P31" s="2">
        <v>0</v>
      </c>
    </row>
    <row r="32" spans="1:16" s="1" customFormat="1" x14ac:dyDescent="0.2"/>
    <row r="33" spans="1:17" s="1" customFormat="1" x14ac:dyDescent="0.2"/>
    <row r="34" spans="1:17" s="1" customFormat="1" x14ac:dyDescent="0.2"/>
    <row r="35" spans="1:17" s="1" customFormat="1" x14ac:dyDescent="0.2">
      <c r="A35" s="1" t="s">
        <v>81</v>
      </c>
      <c r="H35" s="1" t="s">
        <v>82</v>
      </c>
      <c r="O35" s="1" t="s">
        <v>83</v>
      </c>
    </row>
    <row r="36" spans="1:17" s="1" customFormat="1" x14ac:dyDescent="0.2"/>
    <row r="37" spans="1:17" s="1" customFormat="1" x14ac:dyDescent="0.2">
      <c r="C37" s="6" t="s">
        <v>74</v>
      </c>
      <c r="D37" s="6" t="s">
        <v>40</v>
      </c>
      <c r="J37" s="6" t="s">
        <v>74</v>
      </c>
      <c r="K37" s="6" t="s">
        <v>40</v>
      </c>
      <c r="Q37" s="6" t="s">
        <v>84</v>
      </c>
    </row>
    <row r="38" spans="1:17" s="1" customFormat="1" x14ac:dyDescent="0.2">
      <c r="B38" s="8">
        <v>1</v>
      </c>
      <c r="C38" s="2">
        <v>3.2500000000000001E-2</v>
      </c>
      <c r="D38" s="2">
        <v>1.9E-2</v>
      </c>
      <c r="I38" s="8">
        <v>1</v>
      </c>
      <c r="J38" s="2">
        <v>2.6499999999999999E-2</v>
      </c>
      <c r="K38" s="2">
        <v>1.9E-2</v>
      </c>
      <c r="P38" s="8">
        <v>1</v>
      </c>
      <c r="Q38" s="2">
        <v>1.9E-2</v>
      </c>
    </row>
    <row r="39" spans="1:17" s="1" customFormat="1" x14ac:dyDescent="0.2">
      <c r="B39" s="8">
        <v>16</v>
      </c>
      <c r="C39" s="2">
        <v>2.93E-2</v>
      </c>
      <c r="D39" s="2">
        <v>1.7100000000000001E-2</v>
      </c>
      <c r="I39" s="8">
        <v>16</v>
      </c>
      <c r="J39" s="2">
        <v>2.3900000000000001E-2</v>
      </c>
      <c r="K39" s="2">
        <v>1.7100000000000001E-2</v>
      </c>
    </row>
    <row r="40" spans="1:17" s="1" customFormat="1" x14ac:dyDescent="0.2"/>
    <row r="41" spans="1:17" s="1" customFormat="1" x14ac:dyDescent="0.2"/>
    <row r="42" spans="1:17" s="1" customFormat="1" x14ac:dyDescent="0.2"/>
    <row r="43" spans="1:17" s="1" customFormat="1" x14ac:dyDescent="0.2">
      <c r="A43" s="1" t="s">
        <v>85</v>
      </c>
    </row>
    <row r="44" spans="1:17" s="1" customFormat="1" x14ac:dyDescent="0.2"/>
    <row r="45" spans="1:17" s="1" customFormat="1" x14ac:dyDescent="0.2">
      <c r="C45" s="6" t="s">
        <v>75</v>
      </c>
      <c r="D45" s="6" t="s">
        <v>76</v>
      </c>
    </row>
    <row r="46" spans="1:17" s="1" customFormat="1" x14ac:dyDescent="0.2">
      <c r="B46" s="1" t="s">
        <v>13</v>
      </c>
      <c r="C46" s="5">
        <v>400</v>
      </c>
      <c r="D46" s="10">
        <v>1.3</v>
      </c>
    </row>
    <row r="47" spans="1:17" s="1" customFormat="1" x14ac:dyDescent="0.2">
      <c r="B47" s="1" t="s">
        <v>18</v>
      </c>
      <c r="C47" s="5">
        <v>550</v>
      </c>
      <c r="D47" s="10">
        <v>1.8</v>
      </c>
    </row>
    <row r="48" spans="1:17" s="1" customFormat="1" x14ac:dyDescent="0.2"/>
    <row r="49" spans="1:9" s="1" customFormat="1" x14ac:dyDescent="0.2"/>
    <row r="50" spans="1:9" s="1" customFormat="1" x14ac:dyDescent="0.2">
      <c r="B50" s="1" t="s">
        <v>113</v>
      </c>
      <c r="C50" s="2">
        <v>0.03</v>
      </c>
    </row>
    <row r="51" spans="1:9" s="1" customFormat="1" x14ac:dyDescent="0.2"/>
    <row r="52" spans="1:9" s="1" customFormat="1" x14ac:dyDescent="0.2"/>
    <row r="53" spans="1:9" s="1" customFormat="1" x14ac:dyDescent="0.2"/>
    <row r="54" spans="1:9" s="1" customFormat="1" x14ac:dyDescent="0.2">
      <c r="A54" s="1" t="s">
        <v>88</v>
      </c>
      <c r="G54" s="1" t="s">
        <v>89</v>
      </c>
    </row>
    <row r="55" spans="1:9" s="1" customFormat="1" x14ac:dyDescent="0.2"/>
    <row r="56" spans="1:9" s="1" customFormat="1" x14ac:dyDescent="0.2">
      <c r="B56" s="6" t="s">
        <v>86</v>
      </c>
      <c r="C56" s="5">
        <v>1000000</v>
      </c>
      <c r="H56" s="6" t="s">
        <v>86</v>
      </c>
      <c r="I56" s="5">
        <v>1000000</v>
      </c>
    </row>
    <row r="57" spans="1:9" s="1" customFormat="1" x14ac:dyDescent="0.2">
      <c r="B57" s="6" t="s">
        <v>87</v>
      </c>
      <c r="H57" s="6" t="s">
        <v>87</v>
      </c>
    </row>
    <row r="58" spans="1:9" x14ac:dyDescent="0.2">
      <c r="B58" s="9" t="s">
        <v>84</v>
      </c>
      <c r="C58" s="11">
        <v>159.16666670000001</v>
      </c>
      <c r="H58" s="8">
        <v>18</v>
      </c>
      <c r="I58" s="5">
        <v>440</v>
      </c>
    </row>
    <row r="59" spans="1:9" s="1" customFormat="1" x14ac:dyDescent="0.2">
      <c r="H59" s="8">
        <v>19</v>
      </c>
      <c r="I59" s="5">
        <v>395</v>
      </c>
    </row>
    <row r="60" spans="1:9" s="1" customFormat="1" x14ac:dyDescent="0.2">
      <c r="H60" s="8">
        <v>20</v>
      </c>
      <c r="I60" s="5">
        <v>227</v>
      </c>
    </row>
    <row r="61" spans="1:9" s="1" customFormat="1" x14ac:dyDescent="0.2">
      <c r="H61" s="8">
        <v>21</v>
      </c>
      <c r="I61" s="5">
        <v>186</v>
      </c>
    </row>
    <row r="62" spans="1:9" s="1" customFormat="1" x14ac:dyDescent="0.2">
      <c r="H62" s="8">
        <v>22</v>
      </c>
      <c r="I62" s="5">
        <v>166</v>
      </c>
    </row>
    <row r="63" spans="1:9" s="1" customFormat="1" x14ac:dyDescent="0.2">
      <c r="H63" s="8">
        <v>23</v>
      </c>
      <c r="I63" s="5">
        <v>182</v>
      </c>
    </row>
    <row r="64" spans="1:9" s="1" customFormat="1" x14ac:dyDescent="0.2">
      <c r="H64" s="8">
        <v>24</v>
      </c>
      <c r="I64" s="5">
        <v>190</v>
      </c>
    </row>
    <row r="65" spans="8:9" s="1" customFormat="1" x14ac:dyDescent="0.2">
      <c r="H65" s="8">
        <v>25</v>
      </c>
      <c r="I65" s="5">
        <v>180</v>
      </c>
    </row>
    <row r="66" spans="8:9" s="1" customFormat="1" x14ac:dyDescent="0.2">
      <c r="H66" s="8">
        <v>26</v>
      </c>
      <c r="I66" s="5">
        <v>173</v>
      </c>
    </row>
    <row r="67" spans="8:9" s="1" customFormat="1" x14ac:dyDescent="0.2">
      <c r="H67" s="8">
        <v>27</v>
      </c>
      <c r="I67" s="5">
        <v>160</v>
      </c>
    </row>
    <row r="68" spans="8:9" s="1" customFormat="1" x14ac:dyDescent="0.2">
      <c r="H68" s="8">
        <v>28</v>
      </c>
      <c r="I68" s="5">
        <v>146</v>
      </c>
    </row>
    <row r="69" spans="8:9" s="1" customFormat="1" x14ac:dyDescent="0.2">
      <c r="H69" s="8">
        <v>29</v>
      </c>
      <c r="I69" s="5">
        <v>147</v>
      </c>
    </row>
    <row r="70" spans="8:9" s="1" customFormat="1" x14ac:dyDescent="0.2">
      <c r="H70" s="8">
        <v>30</v>
      </c>
      <c r="I70" s="5">
        <v>152</v>
      </c>
    </row>
    <row r="71" spans="8:9" s="1" customFormat="1" x14ac:dyDescent="0.2">
      <c r="H71" s="8">
        <v>31</v>
      </c>
      <c r="I71" s="5">
        <v>182</v>
      </c>
    </row>
    <row r="72" spans="8:9" s="1" customFormat="1" x14ac:dyDescent="0.2">
      <c r="H72" s="8">
        <v>32</v>
      </c>
      <c r="I72" s="5">
        <v>178</v>
      </c>
    </row>
    <row r="73" spans="8:9" s="1" customFormat="1" x14ac:dyDescent="0.2">
      <c r="H73" s="8">
        <v>33</v>
      </c>
      <c r="I73" s="5">
        <v>213</v>
      </c>
    </row>
    <row r="74" spans="8:9" s="1" customFormat="1" x14ac:dyDescent="0.2">
      <c r="H74" s="8">
        <v>34</v>
      </c>
      <c r="I74" s="5">
        <v>202</v>
      </c>
    </row>
    <row r="75" spans="8:9" s="1" customFormat="1" x14ac:dyDescent="0.2">
      <c r="H75" s="8">
        <v>35</v>
      </c>
      <c r="I75" s="5">
        <v>216</v>
      </c>
    </row>
    <row r="76" spans="8:9" s="1" customFormat="1" x14ac:dyDescent="0.2">
      <c r="H76" s="8">
        <v>36</v>
      </c>
      <c r="I76" s="5">
        <v>247</v>
      </c>
    </row>
    <row r="77" spans="8:9" s="1" customFormat="1" x14ac:dyDescent="0.2">
      <c r="H77" s="8">
        <v>37</v>
      </c>
      <c r="I77" s="5">
        <v>267</v>
      </c>
    </row>
    <row r="78" spans="8:9" s="1" customFormat="1" x14ac:dyDescent="0.2">
      <c r="H78" s="8">
        <v>38</v>
      </c>
      <c r="I78" s="5">
        <v>271</v>
      </c>
    </row>
    <row r="79" spans="8:9" s="1" customFormat="1" x14ac:dyDescent="0.2">
      <c r="H79" s="8">
        <v>39</v>
      </c>
      <c r="I79" s="5">
        <v>296</v>
      </c>
    </row>
    <row r="80" spans="8:9" s="1" customFormat="1" x14ac:dyDescent="0.2">
      <c r="H80" s="8">
        <v>40</v>
      </c>
      <c r="I80" s="5">
        <v>354</v>
      </c>
    </row>
    <row r="81" spans="8:9" s="1" customFormat="1" x14ac:dyDescent="0.2">
      <c r="H81" s="8">
        <v>41</v>
      </c>
      <c r="I81" s="5">
        <v>384</v>
      </c>
    </row>
    <row r="82" spans="8:9" s="1" customFormat="1" x14ac:dyDescent="0.2">
      <c r="H82" s="8">
        <v>42</v>
      </c>
      <c r="I82" s="5">
        <v>439</v>
      </c>
    </row>
    <row r="83" spans="8:9" s="1" customFormat="1" x14ac:dyDescent="0.2">
      <c r="H83" s="8">
        <v>43</v>
      </c>
      <c r="I83" s="5">
        <v>516</v>
      </c>
    </row>
    <row r="84" spans="8:9" s="1" customFormat="1" x14ac:dyDescent="0.2">
      <c r="H84" s="8">
        <v>44</v>
      </c>
      <c r="I84" s="5">
        <v>581</v>
      </c>
    </row>
    <row r="85" spans="8:9" s="1" customFormat="1" x14ac:dyDescent="0.2">
      <c r="H85" s="8">
        <v>45</v>
      </c>
      <c r="I85" s="5">
        <v>720</v>
      </c>
    </row>
    <row r="86" spans="8:9" s="1" customFormat="1" x14ac:dyDescent="0.2">
      <c r="H86" s="8">
        <v>46</v>
      </c>
      <c r="I86" s="5">
        <v>813</v>
      </c>
    </row>
    <row r="87" spans="8:9" s="1" customFormat="1" x14ac:dyDescent="0.2">
      <c r="H87" s="8">
        <v>47</v>
      </c>
      <c r="I87" s="5">
        <v>941</v>
      </c>
    </row>
    <row r="88" spans="8:9" s="1" customFormat="1" x14ac:dyDescent="0.2">
      <c r="H88" s="8">
        <v>48</v>
      </c>
      <c r="I88" s="5">
        <v>1046</v>
      </c>
    </row>
    <row r="89" spans="8:9" s="1" customFormat="1" x14ac:dyDescent="0.2">
      <c r="H89" s="8">
        <v>49</v>
      </c>
      <c r="I89" s="5">
        <v>1156</v>
      </c>
    </row>
    <row r="90" spans="8:9" s="1" customFormat="1" x14ac:dyDescent="0.2">
      <c r="H90" s="8">
        <v>50</v>
      </c>
      <c r="I90" s="5">
        <v>1356</v>
      </c>
    </row>
    <row r="91" spans="8:9" s="1" customFormat="1" x14ac:dyDescent="0.2">
      <c r="H91" s="8">
        <v>51</v>
      </c>
      <c r="I91" s="5">
        <v>1468</v>
      </c>
    </row>
    <row r="92" spans="8:9" s="1" customFormat="1" x14ac:dyDescent="0.2">
      <c r="H92" s="8">
        <v>52</v>
      </c>
      <c r="I92" s="5">
        <v>1675</v>
      </c>
    </row>
    <row r="93" spans="8:9" s="1" customFormat="1" x14ac:dyDescent="0.2">
      <c r="H93" s="8">
        <v>53</v>
      </c>
      <c r="I93" s="5">
        <v>1830</v>
      </c>
    </row>
    <row r="94" spans="8:9" s="1" customFormat="1" x14ac:dyDescent="0.2">
      <c r="H94" s="8">
        <v>54</v>
      </c>
      <c r="I94" s="5">
        <v>2018</v>
      </c>
    </row>
    <row r="95" spans="8:9" s="1" customFormat="1" x14ac:dyDescent="0.2">
      <c r="H95" s="8">
        <v>55</v>
      </c>
      <c r="I95" s="5">
        <v>2112</v>
      </c>
    </row>
    <row r="96" spans="8:9" s="1" customFormat="1" x14ac:dyDescent="0.2">
      <c r="H96" s="8">
        <v>56</v>
      </c>
      <c r="I96" s="5">
        <v>2308</v>
      </c>
    </row>
    <row r="97" spans="1:11" s="1" customFormat="1" x14ac:dyDescent="0.2">
      <c r="H97" s="8">
        <v>57</v>
      </c>
      <c r="I97" s="5">
        <v>2359</v>
      </c>
    </row>
    <row r="98" spans="1:11" s="1" customFormat="1" x14ac:dyDescent="0.2">
      <c r="H98" s="8">
        <v>58</v>
      </c>
      <c r="I98" s="5">
        <v>2453</v>
      </c>
    </row>
    <row r="99" spans="1:11" s="1" customFormat="1" x14ac:dyDescent="0.2">
      <c r="H99" s="8">
        <v>59</v>
      </c>
      <c r="I99" s="5">
        <v>2272</v>
      </c>
    </row>
    <row r="100" spans="1:11" s="1" customFormat="1" x14ac:dyDescent="0.2">
      <c r="H100" s="8">
        <v>60</v>
      </c>
      <c r="I100" s="5">
        <v>2254</v>
      </c>
    </row>
    <row r="101" spans="1:11" s="1" customFormat="1" x14ac:dyDescent="0.2">
      <c r="H101" s="8">
        <v>61</v>
      </c>
      <c r="I101" s="5">
        <v>2317</v>
      </c>
    </row>
    <row r="102" spans="1:11" s="1" customFormat="1" x14ac:dyDescent="0.2">
      <c r="H102" s="8">
        <v>62</v>
      </c>
      <c r="I102" s="5">
        <v>2410</v>
      </c>
    </row>
    <row r="103" spans="1:11" s="1" customFormat="1" x14ac:dyDescent="0.2">
      <c r="H103" s="8">
        <v>63</v>
      </c>
      <c r="I103" s="5">
        <v>2508</v>
      </c>
    </row>
    <row r="104" spans="1:11" s="1" customFormat="1" x14ac:dyDescent="0.2">
      <c r="H104" s="8">
        <v>64</v>
      </c>
      <c r="I104" s="5">
        <v>2620</v>
      </c>
    </row>
    <row r="105" spans="1:11" s="1" customFormat="1" x14ac:dyDescent="0.2">
      <c r="H105" s="8">
        <v>65</v>
      </c>
      <c r="I105" s="5">
        <v>2752</v>
      </c>
    </row>
    <row r="106" spans="1:11" s="1" customFormat="1" x14ac:dyDescent="0.2"/>
    <row r="107" spans="1:11" s="1" customFormat="1" x14ac:dyDescent="0.2"/>
    <row r="108" spans="1:11" s="1" customFormat="1" x14ac:dyDescent="0.2"/>
    <row r="109" spans="1:11" s="1" customFormat="1" x14ac:dyDescent="0.2">
      <c r="A109" t="s">
        <v>91</v>
      </c>
      <c r="B109"/>
      <c r="C109"/>
      <c r="H109" s="1" t="s">
        <v>92</v>
      </c>
    </row>
    <row r="110" spans="1:11" s="1" customFormat="1" x14ac:dyDescent="0.2"/>
    <row r="111" spans="1:11" s="1" customFormat="1" x14ac:dyDescent="0.2">
      <c r="C111" s="6" t="s">
        <v>75</v>
      </c>
      <c r="D111" s="6" t="s">
        <v>76</v>
      </c>
      <c r="J111" s="6" t="s">
        <v>75</v>
      </c>
      <c r="K111" s="6" t="s">
        <v>76</v>
      </c>
    </row>
    <row r="112" spans="1:11" s="1" customFormat="1" x14ac:dyDescent="0.2">
      <c r="B112" t="s">
        <v>84</v>
      </c>
      <c r="C112" s="5">
        <v>600</v>
      </c>
      <c r="D112" s="10">
        <v>2</v>
      </c>
      <c r="I112" s="1" t="s">
        <v>90</v>
      </c>
      <c r="J112" s="2">
        <v>3.0000000000000001E-3</v>
      </c>
      <c r="K112" s="2">
        <v>3.0000000000000001E-3</v>
      </c>
    </row>
    <row r="113" spans="1:11" s="1" customFormat="1" x14ac:dyDescent="0.2">
      <c r="I113" s="1" t="s">
        <v>93</v>
      </c>
      <c r="J113" s="5">
        <v>500</v>
      </c>
      <c r="K113" s="10">
        <v>1.6</v>
      </c>
    </row>
    <row r="114" spans="1:11" s="1" customFormat="1" x14ac:dyDescent="0.2">
      <c r="I114" s="1" t="s">
        <v>94</v>
      </c>
      <c r="J114" s="5">
        <v>5000</v>
      </c>
      <c r="K114" s="10">
        <v>16</v>
      </c>
    </row>
    <row r="115" spans="1:11" s="1" customFormat="1" x14ac:dyDescent="0.2"/>
    <row r="116" spans="1:11" s="1" customFormat="1" x14ac:dyDescent="0.2"/>
    <row r="117" spans="1:11" s="1" customFormat="1" x14ac:dyDescent="0.2"/>
    <row r="118" spans="1:11" s="1" customFormat="1" x14ac:dyDescent="0.2">
      <c r="A118" s="1" t="s">
        <v>96</v>
      </c>
      <c r="H118" s="1" t="s">
        <v>97</v>
      </c>
    </row>
    <row r="119" spans="1:11" s="1" customFormat="1" x14ac:dyDescent="0.2"/>
    <row r="120" spans="1:11" s="1" customFormat="1" x14ac:dyDescent="0.2">
      <c r="C120" s="6" t="s">
        <v>75</v>
      </c>
      <c r="D120" s="6" t="s">
        <v>76</v>
      </c>
      <c r="J120" s="6" t="s">
        <v>75</v>
      </c>
      <c r="K120" s="6" t="s">
        <v>76</v>
      </c>
    </row>
    <row r="121" spans="1:11" s="1" customFormat="1" x14ac:dyDescent="0.2">
      <c r="B121" s="8">
        <v>1</v>
      </c>
      <c r="C121" s="5">
        <v>1000000</v>
      </c>
      <c r="D121" s="10">
        <v>4000</v>
      </c>
      <c r="I121" s="8" t="s">
        <v>84</v>
      </c>
      <c r="J121" s="5">
        <v>10000</v>
      </c>
      <c r="K121" s="10">
        <v>40</v>
      </c>
    </row>
    <row r="122" spans="1:11" s="1" customFormat="1" x14ac:dyDescent="0.2">
      <c r="B122" s="8">
        <v>81</v>
      </c>
      <c r="C122" s="5">
        <v>10000</v>
      </c>
      <c r="D122" s="10">
        <v>40</v>
      </c>
      <c r="I122" s="6" t="s">
        <v>95</v>
      </c>
    </row>
    <row r="123" spans="1:11" s="1" customFormat="1" x14ac:dyDescent="0.2">
      <c r="I123" s="8">
        <v>18</v>
      </c>
      <c r="J123" s="5">
        <v>23</v>
      </c>
    </row>
    <row r="124" spans="1:11" s="1" customFormat="1" x14ac:dyDescent="0.2">
      <c r="I124" s="8">
        <v>19</v>
      </c>
      <c r="J124" s="5">
        <v>23</v>
      </c>
    </row>
    <row r="125" spans="1:11" s="1" customFormat="1" x14ac:dyDescent="0.2">
      <c r="I125" s="8">
        <v>20</v>
      </c>
      <c r="J125" s="5">
        <v>23</v>
      </c>
    </row>
    <row r="126" spans="1:11" s="1" customFormat="1" x14ac:dyDescent="0.2">
      <c r="I126" s="8">
        <v>21</v>
      </c>
      <c r="J126" s="5">
        <v>22</v>
      </c>
    </row>
    <row r="127" spans="1:11" s="1" customFormat="1" x14ac:dyDescent="0.2">
      <c r="I127" s="8">
        <v>22</v>
      </c>
      <c r="J127" s="5">
        <v>22</v>
      </c>
    </row>
    <row r="128" spans="1:11" s="1" customFormat="1" x14ac:dyDescent="0.2">
      <c r="I128" s="8">
        <v>23</v>
      </c>
      <c r="J128" s="5">
        <v>21</v>
      </c>
    </row>
    <row r="129" spans="9:10" s="1" customFormat="1" x14ac:dyDescent="0.2">
      <c r="I129" s="8">
        <v>24</v>
      </c>
      <c r="J129" s="5">
        <v>21</v>
      </c>
    </row>
    <row r="130" spans="9:10" s="1" customFormat="1" x14ac:dyDescent="0.2">
      <c r="I130" s="8">
        <v>25</v>
      </c>
      <c r="J130" s="5">
        <v>20</v>
      </c>
    </row>
    <row r="131" spans="9:10" s="1" customFormat="1" x14ac:dyDescent="0.2">
      <c r="I131" s="8">
        <v>26</v>
      </c>
      <c r="J131" s="5">
        <v>20</v>
      </c>
    </row>
    <row r="132" spans="9:10" s="1" customFormat="1" x14ac:dyDescent="0.2">
      <c r="I132" s="8">
        <v>27</v>
      </c>
      <c r="J132" s="5">
        <v>19</v>
      </c>
    </row>
    <row r="133" spans="9:10" s="1" customFormat="1" x14ac:dyDescent="0.2">
      <c r="I133" s="8">
        <v>28</v>
      </c>
      <c r="J133" s="5">
        <v>19</v>
      </c>
    </row>
    <row r="134" spans="9:10" s="1" customFormat="1" x14ac:dyDescent="0.2">
      <c r="I134" s="8">
        <v>29</v>
      </c>
      <c r="J134" s="5">
        <v>18</v>
      </c>
    </row>
    <row r="135" spans="9:10" s="1" customFormat="1" x14ac:dyDescent="0.2">
      <c r="I135" s="8">
        <v>30</v>
      </c>
      <c r="J135" s="5">
        <v>18</v>
      </c>
    </row>
    <row r="136" spans="9:10" s="1" customFormat="1" x14ac:dyDescent="0.2">
      <c r="I136" s="8">
        <v>31</v>
      </c>
      <c r="J136" s="5">
        <v>17</v>
      </c>
    </row>
    <row r="137" spans="9:10" s="1" customFormat="1" x14ac:dyDescent="0.2">
      <c r="I137" s="8">
        <v>32</v>
      </c>
      <c r="J137" s="5">
        <v>17</v>
      </c>
    </row>
    <row r="138" spans="9:10" s="1" customFormat="1" x14ac:dyDescent="0.2">
      <c r="I138" s="8">
        <v>33</v>
      </c>
      <c r="J138" s="5">
        <v>16</v>
      </c>
    </row>
    <row r="139" spans="9:10" s="1" customFormat="1" x14ac:dyDescent="0.2">
      <c r="I139" s="8">
        <v>34</v>
      </c>
      <c r="J139" s="5">
        <v>16</v>
      </c>
    </row>
    <row r="140" spans="9:10" s="1" customFormat="1" x14ac:dyDescent="0.2">
      <c r="I140" s="8">
        <v>35</v>
      </c>
      <c r="J140" s="5">
        <v>15</v>
      </c>
    </row>
    <row r="141" spans="9:10" s="1" customFormat="1" x14ac:dyDescent="0.2">
      <c r="I141" s="8">
        <v>36</v>
      </c>
      <c r="J141" s="5">
        <v>15</v>
      </c>
    </row>
    <row r="142" spans="9:10" s="1" customFormat="1" x14ac:dyDescent="0.2">
      <c r="I142" s="8">
        <v>37</v>
      </c>
      <c r="J142" s="5">
        <v>14</v>
      </c>
    </row>
    <row r="143" spans="9:10" s="1" customFormat="1" x14ac:dyDescent="0.2">
      <c r="I143" s="8">
        <v>38</v>
      </c>
      <c r="J143" s="5">
        <v>13</v>
      </c>
    </row>
    <row r="144" spans="9:10" s="1" customFormat="1" x14ac:dyDescent="0.2">
      <c r="I144" s="8">
        <v>39</v>
      </c>
      <c r="J144" s="5">
        <v>13</v>
      </c>
    </row>
    <row r="145" spans="9:10" s="1" customFormat="1" x14ac:dyDescent="0.2">
      <c r="I145" s="8">
        <v>40</v>
      </c>
      <c r="J145" s="5">
        <v>12</v>
      </c>
    </row>
    <row r="146" spans="9:10" s="1" customFormat="1" x14ac:dyDescent="0.2">
      <c r="I146" s="8">
        <v>41</v>
      </c>
      <c r="J146" s="5">
        <v>11</v>
      </c>
    </row>
    <row r="147" spans="9:10" s="1" customFormat="1" x14ac:dyDescent="0.2">
      <c r="I147" s="8">
        <v>42</v>
      </c>
      <c r="J147" s="5">
        <v>11</v>
      </c>
    </row>
    <row r="148" spans="9:10" s="1" customFormat="1" x14ac:dyDescent="0.2">
      <c r="I148" s="8">
        <v>43</v>
      </c>
      <c r="J148" s="5">
        <v>10</v>
      </c>
    </row>
    <row r="149" spans="9:10" s="1" customFormat="1" x14ac:dyDescent="0.2">
      <c r="I149" s="8">
        <v>44</v>
      </c>
      <c r="J149" s="5">
        <v>9</v>
      </c>
    </row>
    <row r="150" spans="9:10" s="1" customFormat="1" x14ac:dyDescent="0.2">
      <c r="I150" s="8">
        <v>45</v>
      </c>
      <c r="J150" s="5">
        <v>9</v>
      </c>
    </row>
    <row r="151" spans="9:10" s="1" customFormat="1" x14ac:dyDescent="0.2">
      <c r="I151" s="8">
        <v>46</v>
      </c>
      <c r="J151" s="5">
        <v>8</v>
      </c>
    </row>
    <row r="152" spans="9:10" s="1" customFormat="1" x14ac:dyDescent="0.2">
      <c r="I152" s="8">
        <v>47</v>
      </c>
      <c r="J152" s="5">
        <v>7</v>
      </c>
    </row>
    <row r="153" spans="9:10" s="1" customFormat="1" x14ac:dyDescent="0.2">
      <c r="I153" s="8">
        <v>48</v>
      </c>
      <c r="J153" s="5">
        <v>7</v>
      </c>
    </row>
    <row r="154" spans="9:10" s="1" customFormat="1" x14ac:dyDescent="0.2">
      <c r="I154" s="8">
        <v>49</v>
      </c>
      <c r="J154" s="5">
        <v>6</v>
      </c>
    </row>
    <row r="155" spans="9:10" s="1" customFormat="1" x14ac:dyDescent="0.2">
      <c r="I155" s="8">
        <v>50</v>
      </c>
      <c r="J155" s="5">
        <v>6</v>
      </c>
    </row>
    <row r="156" spans="9:10" s="1" customFormat="1" x14ac:dyDescent="0.2">
      <c r="I156" s="8">
        <v>51</v>
      </c>
      <c r="J156" s="5">
        <v>5</v>
      </c>
    </row>
    <row r="157" spans="9:10" s="1" customFormat="1" x14ac:dyDescent="0.2">
      <c r="I157" s="8">
        <v>52</v>
      </c>
      <c r="J157" s="5">
        <v>5</v>
      </c>
    </row>
    <row r="158" spans="9:10" s="1" customFormat="1" x14ac:dyDescent="0.2">
      <c r="I158" s="8">
        <v>53</v>
      </c>
      <c r="J158" s="5">
        <v>5</v>
      </c>
    </row>
    <row r="159" spans="9:10" s="1" customFormat="1" x14ac:dyDescent="0.2">
      <c r="I159" s="8">
        <v>54</v>
      </c>
      <c r="J159" s="5">
        <v>4</v>
      </c>
    </row>
    <row r="160" spans="9:10" s="1" customFormat="1" x14ac:dyDescent="0.2">
      <c r="I160" s="8">
        <v>55</v>
      </c>
      <c r="J160" s="5">
        <v>4</v>
      </c>
    </row>
    <row r="161" spans="1:26" s="1" customFormat="1" x14ac:dyDescent="0.2">
      <c r="I161" s="8">
        <v>56</v>
      </c>
      <c r="J161" s="5">
        <v>4</v>
      </c>
    </row>
    <row r="162" spans="1:26" s="1" customFormat="1" x14ac:dyDescent="0.2">
      <c r="I162" s="8">
        <v>57</v>
      </c>
      <c r="J162" s="5">
        <v>4</v>
      </c>
    </row>
    <row r="163" spans="1:26" s="1" customFormat="1" x14ac:dyDescent="0.2">
      <c r="I163" s="8">
        <v>58</v>
      </c>
      <c r="J163" s="5">
        <v>4</v>
      </c>
    </row>
    <row r="164" spans="1:26" s="1" customFormat="1" x14ac:dyDescent="0.2">
      <c r="I164" s="8">
        <v>59</v>
      </c>
      <c r="J164" s="5">
        <v>4</v>
      </c>
    </row>
    <row r="165" spans="1:26" s="1" customFormat="1" x14ac:dyDescent="0.2">
      <c r="I165" s="8">
        <v>60</v>
      </c>
      <c r="J165" s="5">
        <v>4</v>
      </c>
    </row>
    <row r="166" spans="1:26" s="1" customFormat="1" x14ac:dyDescent="0.2"/>
    <row r="167" spans="1:26" s="1" customFormat="1" x14ac:dyDescent="0.2"/>
    <row r="168" spans="1:26" s="1" customFormat="1" x14ac:dyDescent="0.2"/>
    <row r="169" spans="1:26" s="1" customFormat="1" x14ac:dyDescent="0.2">
      <c r="A169" t="s">
        <v>99</v>
      </c>
      <c r="B169"/>
      <c r="C169"/>
      <c r="L169" s="1" t="s">
        <v>100</v>
      </c>
      <c r="W169" s="1" t="s">
        <v>101</v>
      </c>
    </row>
    <row r="170" spans="1:26" s="1" customFormat="1" x14ac:dyDescent="0.2"/>
    <row r="171" spans="1:26" s="1" customFormat="1" x14ac:dyDescent="0.2">
      <c r="B171" s="6" t="s">
        <v>75</v>
      </c>
      <c r="C171" s="6"/>
      <c r="D171" s="6"/>
      <c r="E171" s="6"/>
      <c r="F171" s="6"/>
      <c r="G171" s="6"/>
      <c r="H171" s="6"/>
      <c r="M171" s="6" t="s">
        <v>75</v>
      </c>
      <c r="N171" s="6"/>
      <c r="O171" s="6"/>
      <c r="P171" s="6"/>
      <c r="Q171" s="6"/>
      <c r="R171" s="6"/>
      <c r="S171" s="6"/>
      <c r="Y171" s="6" t="s">
        <v>75</v>
      </c>
      <c r="Z171" s="6" t="s">
        <v>76</v>
      </c>
    </row>
    <row r="172" spans="1:26" s="1" customFormat="1" x14ac:dyDescent="0.2">
      <c r="B172" s="6" t="s">
        <v>57</v>
      </c>
      <c r="C172" s="6" t="s">
        <v>36</v>
      </c>
      <c r="D172" s="6" t="s">
        <v>37</v>
      </c>
      <c r="E172" s="6" t="s">
        <v>38</v>
      </c>
      <c r="F172" s="6" t="s">
        <v>39</v>
      </c>
      <c r="G172" s="6" t="s">
        <v>40</v>
      </c>
      <c r="H172" s="6" t="s">
        <v>98</v>
      </c>
      <c r="M172" s="6" t="s">
        <v>57</v>
      </c>
      <c r="N172" s="6" t="s">
        <v>36</v>
      </c>
      <c r="O172" s="6" t="s">
        <v>37</v>
      </c>
      <c r="P172" s="6" t="s">
        <v>38</v>
      </c>
      <c r="Q172" s="6" t="s">
        <v>39</v>
      </c>
      <c r="R172" s="6" t="s">
        <v>40</v>
      </c>
      <c r="S172" s="6" t="s">
        <v>98</v>
      </c>
      <c r="X172" s="1" t="s">
        <v>84</v>
      </c>
      <c r="Y172" s="5">
        <v>20000</v>
      </c>
      <c r="Z172" s="10">
        <v>65</v>
      </c>
    </row>
    <row r="173" spans="1:26" s="1" customFormat="1" x14ac:dyDescent="0.2">
      <c r="B173" s="8">
        <v>1</v>
      </c>
      <c r="C173" s="5">
        <v>10000</v>
      </c>
      <c r="D173" s="5">
        <v>30000</v>
      </c>
      <c r="E173" s="5">
        <v>60000</v>
      </c>
      <c r="F173" s="5">
        <v>120000</v>
      </c>
      <c r="G173" s="5">
        <v>850000</v>
      </c>
      <c r="H173" s="5">
        <v>20000</v>
      </c>
      <c r="M173" s="17">
        <v>1</v>
      </c>
      <c r="N173" s="17">
        <v>2</v>
      </c>
      <c r="O173" s="17">
        <v>3</v>
      </c>
      <c r="P173" s="17">
        <v>4</v>
      </c>
      <c r="Q173" s="17">
        <v>5</v>
      </c>
      <c r="R173" s="17">
        <v>6</v>
      </c>
      <c r="S173" s="17">
        <v>7</v>
      </c>
    </row>
    <row r="174" spans="1:26" s="1" customFormat="1" x14ac:dyDescent="0.2">
      <c r="M174" s="8">
        <v>1</v>
      </c>
      <c r="N174" s="5"/>
      <c r="O174" s="5"/>
      <c r="P174" s="5"/>
      <c r="Q174" s="5"/>
      <c r="R174" s="5">
        <v>650000</v>
      </c>
      <c r="S174" s="5">
        <v>20000</v>
      </c>
    </row>
    <row r="175" spans="1:26" x14ac:dyDescent="0.2">
      <c r="M175" s="8">
        <v>5</v>
      </c>
      <c r="N175" s="5">
        <v>41667</v>
      </c>
      <c r="O175" s="5">
        <v>125000</v>
      </c>
      <c r="P175" s="5">
        <v>250000</v>
      </c>
      <c r="Q175" s="5">
        <v>500000</v>
      </c>
      <c r="R175" s="5">
        <v>650000</v>
      </c>
      <c r="S175" s="5"/>
    </row>
    <row r="176" spans="1:26" x14ac:dyDescent="0.2">
      <c r="B176" s="6" t="s">
        <v>76</v>
      </c>
      <c r="C176" s="6"/>
      <c r="D176" s="6"/>
      <c r="E176" s="6"/>
      <c r="F176" s="6"/>
      <c r="G176" s="6"/>
      <c r="H176" s="6"/>
      <c r="M176" s="8">
        <v>6</v>
      </c>
      <c r="N176" s="5">
        <v>41667</v>
      </c>
      <c r="O176" s="5">
        <v>125000</v>
      </c>
      <c r="P176" s="5">
        <v>250000</v>
      </c>
      <c r="Q176" s="5">
        <v>500000</v>
      </c>
      <c r="R176" s="5">
        <v>650000</v>
      </c>
      <c r="S176" s="5"/>
    </row>
    <row r="177" spans="2:19" x14ac:dyDescent="0.2">
      <c r="B177" s="6" t="s">
        <v>57</v>
      </c>
      <c r="C177" s="6" t="s">
        <v>36</v>
      </c>
      <c r="D177" s="6" t="s">
        <v>37</v>
      </c>
      <c r="E177" s="6" t="s">
        <v>38</v>
      </c>
      <c r="F177" s="6" t="s">
        <v>39</v>
      </c>
      <c r="G177" s="6" t="s">
        <v>40</v>
      </c>
      <c r="H177" s="6" t="s">
        <v>98</v>
      </c>
      <c r="M177" s="8">
        <v>7</v>
      </c>
      <c r="N177" s="5">
        <v>41667</v>
      </c>
      <c r="O177" s="5">
        <v>125000</v>
      </c>
      <c r="P177" s="5">
        <v>250000</v>
      </c>
      <c r="Q177" s="5">
        <v>500000</v>
      </c>
      <c r="R177" s="5">
        <v>650000</v>
      </c>
      <c r="S177" s="5"/>
    </row>
    <row r="178" spans="2:19" x14ac:dyDescent="0.2">
      <c r="B178" s="8">
        <v>1</v>
      </c>
      <c r="C178" s="10">
        <v>33.299999999999997</v>
      </c>
      <c r="D178" s="10">
        <v>100</v>
      </c>
      <c r="E178" s="10">
        <v>200</v>
      </c>
      <c r="F178" s="10">
        <v>400</v>
      </c>
      <c r="G178" s="10">
        <v>2800</v>
      </c>
      <c r="H178" s="10">
        <v>65</v>
      </c>
      <c r="M178" s="8">
        <v>8</v>
      </c>
      <c r="N178" s="5">
        <v>29167</v>
      </c>
      <c r="O178" s="5">
        <v>87500</v>
      </c>
      <c r="P178" s="5">
        <v>175000</v>
      </c>
      <c r="Q178" s="5">
        <v>350000</v>
      </c>
      <c r="R178" s="5">
        <v>650000</v>
      </c>
      <c r="S178" s="5"/>
    </row>
    <row r="179" spans="2:19" x14ac:dyDescent="0.2">
      <c r="M179" s="8">
        <v>9</v>
      </c>
      <c r="N179" s="5">
        <v>29167</v>
      </c>
      <c r="O179" s="5">
        <v>87500</v>
      </c>
      <c r="P179" s="5">
        <v>175000</v>
      </c>
      <c r="Q179" s="5">
        <v>350000</v>
      </c>
      <c r="R179" s="5">
        <v>650000</v>
      </c>
      <c r="S179" s="5"/>
    </row>
    <row r="180" spans="2:19" x14ac:dyDescent="0.2">
      <c r="M180" s="8">
        <v>10</v>
      </c>
      <c r="N180" s="5">
        <v>12500</v>
      </c>
      <c r="O180" s="5">
        <v>37500</v>
      </c>
      <c r="P180" s="5">
        <v>75000</v>
      </c>
      <c r="Q180" s="5">
        <v>150000</v>
      </c>
      <c r="R180" s="5">
        <v>650000</v>
      </c>
      <c r="S180" s="5"/>
    </row>
    <row r="181" spans="2:19" x14ac:dyDescent="0.2">
      <c r="M181" s="8">
        <v>11</v>
      </c>
      <c r="N181" s="5">
        <v>12500</v>
      </c>
      <c r="O181" s="5">
        <v>37500</v>
      </c>
      <c r="P181" s="5">
        <v>75000</v>
      </c>
      <c r="Q181" s="5">
        <v>150000</v>
      </c>
      <c r="R181" s="5">
        <v>650000</v>
      </c>
      <c r="S181" s="5"/>
    </row>
    <row r="182" spans="2:19" x14ac:dyDescent="0.2">
      <c r="I182" s="1"/>
      <c r="M182" s="8">
        <v>12</v>
      </c>
      <c r="N182" s="5">
        <v>12500</v>
      </c>
      <c r="O182" s="5">
        <v>37500</v>
      </c>
      <c r="P182" s="5">
        <v>75000</v>
      </c>
      <c r="Q182" s="5">
        <v>150000</v>
      </c>
      <c r="R182" s="5">
        <v>650000</v>
      </c>
      <c r="S182" s="5"/>
    </row>
    <row r="183" spans="2:19" x14ac:dyDescent="0.2">
      <c r="I183" s="1"/>
      <c r="M183" s="8">
        <v>13</v>
      </c>
      <c r="N183" s="5">
        <v>12500</v>
      </c>
      <c r="O183" s="5">
        <v>37500</v>
      </c>
      <c r="P183" s="5">
        <v>75000</v>
      </c>
      <c r="Q183" s="5">
        <v>150000</v>
      </c>
      <c r="R183" s="5">
        <v>650000</v>
      </c>
      <c r="S183" s="5"/>
    </row>
    <row r="184" spans="2:19" s="1" customFormat="1" x14ac:dyDescent="0.2">
      <c r="M184" s="8">
        <v>14</v>
      </c>
      <c r="N184" s="5">
        <v>12500</v>
      </c>
      <c r="O184" s="5">
        <v>37500</v>
      </c>
      <c r="P184" s="5">
        <v>75000</v>
      </c>
      <c r="Q184" s="5">
        <v>150000</v>
      </c>
      <c r="R184" s="5">
        <v>650000</v>
      </c>
      <c r="S184" s="5"/>
    </row>
    <row r="185" spans="2:19" s="1" customFormat="1" x14ac:dyDescent="0.2">
      <c r="M185" s="8">
        <v>15</v>
      </c>
      <c r="N185" s="5">
        <v>10000</v>
      </c>
      <c r="O185" s="5">
        <v>30000</v>
      </c>
      <c r="P185" s="5">
        <v>60000</v>
      </c>
      <c r="Q185" s="5">
        <v>120000</v>
      </c>
      <c r="R185" s="5">
        <v>650000</v>
      </c>
      <c r="S185" s="5"/>
    </row>
    <row r="186" spans="2:19" s="1" customFormat="1" x14ac:dyDescent="0.2"/>
    <row r="187" spans="2:19" s="1" customFormat="1" x14ac:dyDescent="0.2"/>
    <row r="188" spans="2:19" s="1" customFormat="1" x14ac:dyDescent="0.2">
      <c r="M188" s="6" t="s">
        <v>76</v>
      </c>
      <c r="N188" s="6"/>
      <c r="O188" s="6"/>
      <c r="P188" s="6"/>
      <c r="Q188" s="6"/>
      <c r="R188" s="6"/>
      <c r="S188" s="6"/>
    </row>
    <row r="189" spans="2:19" s="1" customFormat="1" x14ac:dyDescent="0.2">
      <c r="M189" s="6" t="s">
        <v>57</v>
      </c>
      <c r="N189" s="6" t="s">
        <v>36</v>
      </c>
      <c r="O189" s="6" t="s">
        <v>37</v>
      </c>
      <c r="P189" s="6" t="s">
        <v>38</v>
      </c>
      <c r="Q189" s="6" t="s">
        <v>39</v>
      </c>
      <c r="R189" s="6" t="s">
        <v>40</v>
      </c>
      <c r="S189" s="6" t="s">
        <v>98</v>
      </c>
    </row>
    <row r="190" spans="2:19" s="1" customFormat="1" x14ac:dyDescent="0.2">
      <c r="M190" s="17">
        <v>1</v>
      </c>
      <c r="N190" s="17">
        <v>2</v>
      </c>
      <c r="O190" s="17">
        <v>3</v>
      </c>
      <c r="P190" s="17">
        <v>4</v>
      </c>
      <c r="Q190" s="17">
        <v>5</v>
      </c>
      <c r="R190" s="17">
        <v>6</v>
      </c>
      <c r="S190" s="17">
        <v>7</v>
      </c>
    </row>
    <row r="191" spans="2:19" s="1" customFormat="1" x14ac:dyDescent="0.2">
      <c r="M191" s="8">
        <v>1</v>
      </c>
      <c r="N191" s="10"/>
      <c r="O191" s="10"/>
      <c r="P191" s="10"/>
      <c r="Q191" s="10"/>
      <c r="R191" s="10">
        <v>2500</v>
      </c>
      <c r="S191" s="10">
        <v>65</v>
      </c>
    </row>
    <row r="192" spans="2:19" s="1" customFormat="1" x14ac:dyDescent="0.2">
      <c r="M192" s="8">
        <v>5</v>
      </c>
      <c r="N192" s="10">
        <v>142</v>
      </c>
      <c r="O192" s="10">
        <v>425</v>
      </c>
      <c r="P192" s="10">
        <v>850</v>
      </c>
      <c r="Q192" s="10">
        <v>1700</v>
      </c>
      <c r="R192" s="10">
        <v>2500</v>
      </c>
      <c r="S192" s="10"/>
    </row>
    <row r="193" spans="1:19" s="1" customFormat="1" x14ac:dyDescent="0.2">
      <c r="M193" s="8">
        <v>6</v>
      </c>
      <c r="N193" s="10">
        <v>142</v>
      </c>
      <c r="O193" s="10">
        <v>425</v>
      </c>
      <c r="P193" s="10">
        <v>850</v>
      </c>
      <c r="Q193" s="10">
        <v>1700</v>
      </c>
      <c r="R193" s="10">
        <v>2500</v>
      </c>
      <c r="S193" s="10"/>
    </row>
    <row r="194" spans="1:19" s="1" customFormat="1" x14ac:dyDescent="0.2">
      <c r="M194" s="8">
        <v>7</v>
      </c>
      <c r="N194" s="10">
        <v>142</v>
      </c>
      <c r="O194" s="10">
        <v>425</v>
      </c>
      <c r="P194" s="10">
        <v>850</v>
      </c>
      <c r="Q194" s="10">
        <v>1700</v>
      </c>
      <c r="R194" s="10">
        <v>2500</v>
      </c>
      <c r="S194" s="10"/>
    </row>
    <row r="195" spans="1:19" s="1" customFormat="1" x14ac:dyDescent="0.2">
      <c r="M195" s="8">
        <v>8</v>
      </c>
      <c r="N195" s="10">
        <v>100</v>
      </c>
      <c r="O195" s="10">
        <v>300</v>
      </c>
      <c r="P195" s="10">
        <v>600</v>
      </c>
      <c r="Q195" s="10">
        <v>1200</v>
      </c>
      <c r="R195" s="10">
        <v>2500</v>
      </c>
      <c r="S195" s="10"/>
    </row>
    <row r="196" spans="1:19" s="1" customFormat="1" x14ac:dyDescent="0.2">
      <c r="M196" s="8">
        <v>9</v>
      </c>
      <c r="N196" s="10">
        <v>100</v>
      </c>
      <c r="O196" s="10">
        <v>300</v>
      </c>
      <c r="P196" s="10">
        <v>600</v>
      </c>
      <c r="Q196" s="10">
        <v>1200</v>
      </c>
      <c r="R196" s="10">
        <v>2500</v>
      </c>
      <c r="S196" s="10"/>
    </row>
    <row r="197" spans="1:19" s="1" customFormat="1" x14ac:dyDescent="0.2">
      <c r="M197" s="8">
        <v>10</v>
      </c>
      <c r="N197" s="10">
        <v>42</v>
      </c>
      <c r="O197" s="10">
        <v>125</v>
      </c>
      <c r="P197" s="10">
        <v>250</v>
      </c>
      <c r="Q197" s="10">
        <v>500</v>
      </c>
      <c r="R197" s="10">
        <v>2500</v>
      </c>
      <c r="S197" s="10"/>
    </row>
    <row r="198" spans="1:19" s="1" customFormat="1" x14ac:dyDescent="0.2">
      <c r="M198" s="8">
        <v>11</v>
      </c>
      <c r="N198" s="10">
        <v>42</v>
      </c>
      <c r="O198" s="10">
        <v>125</v>
      </c>
      <c r="P198" s="10">
        <v>250</v>
      </c>
      <c r="Q198" s="10">
        <v>500</v>
      </c>
      <c r="R198" s="10">
        <v>2500</v>
      </c>
      <c r="S198" s="10"/>
    </row>
    <row r="199" spans="1:19" s="1" customFormat="1" x14ac:dyDescent="0.2">
      <c r="M199" s="8">
        <v>12</v>
      </c>
      <c r="N199" s="10">
        <v>42</v>
      </c>
      <c r="O199" s="10">
        <v>125</v>
      </c>
      <c r="P199" s="10">
        <v>250</v>
      </c>
      <c r="Q199" s="10">
        <v>500</v>
      </c>
      <c r="R199" s="10">
        <v>2500</v>
      </c>
      <c r="S199" s="10"/>
    </row>
    <row r="200" spans="1:19" s="1" customFormat="1" x14ac:dyDescent="0.2">
      <c r="M200" s="8">
        <v>13</v>
      </c>
      <c r="N200" s="10">
        <v>42</v>
      </c>
      <c r="O200" s="10">
        <v>125</v>
      </c>
      <c r="P200" s="10">
        <v>250</v>
      </c>
      <c r="Q200" s="10">
        <v>500</v>
      </c>
      <c r="R200" s="10">
        <v>2500</v>
      </c>
      <c r="S200" s="10"/>
    </row>
    <row r="201" spans="1:19" s="1" customFormat="1" x14ac:dyDescent="0.2">
      <c r="M201" s="8">
        <v>14</v>
      </c>
      <c r="N201" s="10">
        <v>42</v>
      </c>
      <c r="O201" s="10">
        <v>125</v>
      </c>
      <c r="P201" s="10">
        <v>250</v>
      </c>
      <c r="Q201" s="10">
        <v>500</v>
      </c>
      <c r="R201" s="10">
        <v>2500</v>
      </c>
      <c r="S201" s="10"/>
    </row>
    <row r="202" spans="1:19" s="1" customFormat="1" x14ac:dyDescent="0.2">
      <c r="M202" s="8">
        <v>15</v>
      </c>
      <c r="N202" s="10">
        <v>33</v>
      </c>
      <c r="O202" s="10">
        <v>100</v>
      </c>
      <c r="P202" s="10">
        <v>200</v>
      </c>
      <c r="Q202" s="10">
        <v>400</v>
      </c>
      <c r="R202" s="10">
        <v>2500</v>
      </c>
      <c r="S202" s="10"/>
    </row>
    <row r="203" spans="1:19" s="1" customFormat="1" x14ac:dyDescent="0.2"/>
    <row r="204" spans="1:19" s="1" customFormat="1" x14ac:dyDescent="0.2"/>
    <row r="205" spans="1:19" s="1" customFormat="1" x14ac:dyDescent="0.2"/>
    <row r="206" spans="1:19" s="1" customFormat="1" x14ac:dyDescent="0.2">
      <c r="A206" s="1" t="s">
        <v>102</v>
      </c>
    </row>
    <row r="207" spans="1:19" s="1" customFormat="1" x14ac:dyDescent="0.2"/>
    <row r="208" spans="1:19" s="1" customFormat="1" x14ac:dyDescent="0.2">
      <c r="C208" s="6" t="s">
        <v>75</v>
      </c>
      <c r="D208" s="6" t="s">
        <v>76</v>
      </c>
    </row>
    <row r="209" spans="1:16" s="1" customFormat="1" x14ac:dyDescent="0.2">
      <c r="B209" s="1" t="s">
        <v>84</v>
      </c>
      <c r="C209" s="5">
        <v>30000</v>
      </c>
      <c r="D209" s="10">
        <v>95</v>
      </c>
    </row>
    <row r="210" spans="1:16" s="1" customFormat="1" x14ac:dyDescent="0.2"/>
    <row r="211" spans="1:16" s="1" customFormat="1" x14ac:dyDescent="0.2"/>
    <row r="212" spans="1:16" s="1" customFormat="1" x14ac:dyDescent="0.2"/>
    <row r="213" spans="1:16" s="1" customFormat="1" x14ac:dyDescent="0.2">
      <c r="A213" s="1" t="s">
        <v>103</v>
      </c>
    </row>
    <row r="214" spans="1:16" s="1" customFormat="1" x14ac:dyDescent="0.2"/>
    <row r="215" spans="1:16" s="1" customFormat="1" x14ac:dyDescent="0.2">
      <c r="C215" s="6" t="s">
        <v>75</v>
      </c>
      <c r="D215" s="6" t="s">
        <v>76</v>
      </c>
    </row>
    <row r="216" spans="1:16" s="1" customFormat="1" x14ac:dyDescent="0.2">
      <c r="B216" s="1" t="s">
        <v>84</v>
      </c>
      <c r="C216" s="5">
        <v>250000</v>
      </c>
      <c r="D216" s="10">
        <v>800</v>
      </c>
    </row>
    <row r="217" spans="1:16" s="1" customFormat="1" x14ac:dyDescent="0.2"/>
    <row r="218" spans="1:16" s="1" customFormat="1" x14ac:dyDescent="0.2"/>
    <row r="219" spans="1:16" s="1" customFormat="1" x14ac:dyDescent="0.2"/>
    <row r="220" spans="1:16" s="1" customFormat="1" x14ac:dyDescent="0.2">
      <c r="A220" s="1" t="s">
        <v>105</v>
      </c>
      <c r="J220" s="1" t="s">
        <v>106</v>
      </c>
    </row>
    <row r="221" spans="1:16" s="1" customFormat="1" x14ac:dyDescent="0.2"/>
    <row r="222" spans="1:16" s="1" customFormat="1" x14ac:dyDescent="0.2">
      <c r="B222" s="1" t="s">
        <v>104</v>
      </c>
      <c r="C222" s="6" t="s">
        <v>74</v>
      </c>
      <c r="F222" s="6" t="s">
        <v>40</v>
      </c>
      <c r="K222" s="1" t="s">
        <v>104</v>
      </c>
      <c r="L222" s="6" t="s">
        <v>74</v>
      </c>
      <c r="O222" s="1" t="s">
        <v>104</v>
      </c>
      <c r="P222" s="6" t="s">
        <v>40</v>
      </c>
    </row>
    <row r="223" spans="1:16" s="1" customFormat="1" x14ac:dyDescent="0.2">
      <c r="B223" s="1" t="s">
        <v>75</v>
      </c>
      <c r="C223" s="5">
        <v>200000</v>
      </c>
      <c r="D223" s="5">
        <v>300000</v>
      </c>
      <c r="E223" s="5">
        <v>300001</v>
      </c>
      <c r="F223" s="5">
        <v>1000000</v>
      </c>
      <c r="K223" s="1" t="s">
        <v>75</v>
      </c>
      <c r="L223" s="5">
        <v>200000</v>
      </c>
      <c r="M223" s="5">
        <v>650000</v>
      </c>
      <c r="O223" s="1" t="s">
        <v>75</v>
      </c>
      <c r="P223" s="5">
        <v>1000000</v>
      </c>
    </row>
    <row r="224" spans="1:16" s="1" customFormat="1" x14ac:dyDescent="0.2">
      <c r="B224" s="1" t="s">
        <v>76</v>
      </c>
      <c r="C224" s="10">
        <v>800</v>
      </c>
      <c r="D224" s="10">
        <v>1000</v>
      </c>
      <c r="E224" s="10">
        <v>1000.01</v>
      </c>
      <c r="F224" s="10">
        <v>3300</v>
      </c>
      <c r="K224" s="1" t="s">
        <v>76</v>
      </c>
      <c r="L224" s="10">
        <v>750</v>
      </c>
      <c r="M224" s="10">
        <v>2200</v>
      </c>
      <c r="O224" s="1" t="s">
        <v>76</v>
      </c>
      <c r="P224" s="10">
        <v>3300</v>
      </c>
    </row>
    <row r="225" spans="2:16" s="1" customFormat="1" x14ac:dyDescent="0.2">
      <c r="B225" s="8">
        <v>0</v>
      </c>
      <c r="C225" s="2">
        <v>0</v>
      </c>
      <c r="D225" s="2">
        <v>0</v>
      </c>
      <c r="E225" s="2">
        <v>0</v>
      </c>
      <c r="F225" s="2">
        <v>0</v>
      </c>
      <c r="K225" s="1" t="s">
        <v>107</v>
      </c>
      <c r="O225" s="8">
        <v>0</v>
      </c>
      <c r="P225" s="2">
        <v>0</v>
      </c>
    </row>
    <row r="226" spans="2:16" s="1" customFormat="1" x14ac:dyDescent="0.2">
      <c r="B226" s="8">
        <v>3</v>
      </c>
      <c r="C226" s="2">
        <v>0</v>
      </c>
      <c r="D226" s="2">
        <v>0</v>
      </c>
      <c r="E226" s="2">
        <v>0</v>
      </c>
      <c r="F226" s="2">
        <v>7.2499999999999995E-2</v>
      </c>
      <c r="K226" s="1">
        <v>0</v>
      </c>
      <c r="L226" s="2">
        <v>0</v>
      </c>
      <c r="M226" s="2">
        <v>0</v>
      </c>
      <c r="O226" s="8">
        <v>3</v>
      </c>
      <c r="P226" s="2">
        <v>7.2499999999999995E-2</v>
      </c>
    </row>
    <row r="227" spans="2:16" s="1" customFormat="1" x14ac:dyDescent="0.2">
      <c r="B227" s="8">
        <v>4</v>
      </c>
      <c r="C227" s="2">
        <v>0</v>
      </c>
      <c r="D227" s="2">
        <v>0</v>
      </c>
      <c r="E227" s="2">
        <v>0</v>
      </c>
      <c r="F227" s="2">
        <v>1.2500000000000001E-2</v>
      </c>
      <c r="K227" s="1">
        <v>10</v>
      </c>
      <c r="L227" s="2">
        <v>0.85</v>
      </c>
      <c r="M227" s="2">
        <v>0.85</v>
      </c>
      <c r="O227" s="8">
        <v>4</v>
      </c>
      <c r="P227" s="2">
        <v>1.2500000000000001E-2</v>
      </c>
    </row>
    <row r="228" spans="2:16" s="1" customFormat="1" x14ac:dyDescent="0.2">
      <c r="B228" s="8">
        <v>5</v>
      </c>
      <c r="C228" s="2">
        <v>0</v>
      </c>
      <c r="D228" s="2">
        <v>0</v>
      </c>
      <c r="E228" s="2">
        <v>0</v>
      </c>
      <c r="F228" s="2">
        <v>1.2500000000000001E-2</v>
      </c>
      <c r="K228" s="1">
        <v>11</v>
      </c>
      <c r="L228" s="2">
        <v>0</v>
      </c>
      <c r="M228" s="2">
        <v>0</v>
      </c>
      <c r="O228" s="8">
        <v>5</v>
      </c>
      <c r="P228" s="2">
        <v>1.2500000000000001E-2</v>
      </c>
    </row>
    <row r="229" spans="2:16" s="1" customFormat="1" x14ac:dyDescent="0.2">
      <c r="B229" s="8">
        <v>10</v>
      </c>
      <c r="C229" s="2">
        <v>0.5</v>
      </c>
      <c r="D229" s="2">
        <v>1</v>
      </c>
      <c r="E229" s="2">
        <v>1.1000000000000001</v>
      </c>
      <c r="F229" s="2">
        <v>0.04</v>
      </c>
      <c r="K229" s="1" t="s">
        <v>108</v>
      </c>
      <c r="O229" s="8">
        <v>10</v>
      </c>
      <c r="P229" s="2">
        <v>0.04</v>
      </c>
    </row>
    <row r="230" spans="2:16" s="1" customFormat="1" x14ac:dyDescent="0.2">
      <c r="B230" s="8">
        <v>15</v>
      </c>
      <c r="C230" s="2">
        <v>0.3</v>
      </c>
      <c r="D230" s="2">
        <v>0.3</v>
      </c>
      <c r="E230" s="2">
        <v>0.3</v>
      </c>
      <c r="F230" s="2">
        <v>0.04</v>
      </c>
      <c r="K230" s="8">
        <v>6</v>
      </c>
      <c r="L230" s="2">
        <v>0</v>
      </c>
      <c r="M230" s="2">
        <v>0</v>
      </c>
      <c r="O230" s="8">
        <v>15</v>
      </c>
      <c r="P230" s="2">
        <v>0.04</v>
      </c>
    </row>
    <row r="231" spans="2:16" s="1" customFormat="1" x14ac:dyDescent="0.2">
      <c r="B231" s="8">
        <v>20</v>
      </c>
      <c r="C231" s="2">
        <v>0.4</v>
      </c>
      <c r="D231" s="2">
        <v>0.4</v>
      </c>
      <c r="E231" s="2">
        <v>0.4</v>
      </c>
      <c r="F231" s="2">
        <v>4.4999999999999998E-2</v>
      </c>
      <c r="K231" s="8">
        <v>7</v>
      </c>
      <c r="L231" s="2">
        <v>0.125</v>
      </c>
      <c r="M231" s="2">
        <v>0.15</v>
      </c>
      <c r="O231" s="8">
        <v>20</v>
      </c>
      <c r="P231" s="2">
        <v>4.4999999999999998E-2</v>
      </c>
    </row>
    <row r="232" spans="2:16" s="1" customFormat="1" x14ac:dyDescent="0.2">
      <c r="B232" s="8">
        <v>25</v>
      </c>
      <c r="C232" s="2">
        <v>0.5</v>
      </c>
      <c r="D232" s="2">
        <v>0.5</v>
      </c>
      <c r="E232" s="2">
        <v>0.5</v>
      </c>
      <c r="F232" s="2">
        <v>0.05</v>
      </c>
      <c r="K232" s="8">
        <v>8</v>
      </c>
      <c r="L232" s="2">
        <v>0.2</v>
      </c>
      <c r="M232" s="2">
        <v>0.35</v>
      </c>
      <c r="O232" s="8">
        <v>25</v>
      </c>
      <c r="P232" s="2">
        <v>0.05</v>
      </c>
    </row>
    <row r="233" spans="2:16" s="1" customFormat="1" x14ac:dyDescent="0.2">
      <c r="B233" s="8">
        <v>30</v>
      </c>
      <c r="C233" s="2">
        <v>0.65</v>
      </c>
      <c r="D233" s="2">
        <v>0.65</v>
      </c>
      <c r="E233" s="2">
        <v>0.65</v>
      </c>
      <c r="F233" s="2">
        <v>5.5E-2</v>
      </c>
      <c r="K233" s="8">
        <v>9</v>
      </c>
      <c r="L233" s="2">
        <v>0.4</v>
      </c>
      <c r="M233" s="2">
        <v>0.5</v>
      </c>
      <c r="O233" s="8">
        <v>30</v>
      </c>
      <c r="P233" s="2">
        <v>5.5E-2</v>
      </c>
    </row>
    <row r="234" spans="2:16" s="1" customFormat="1" x14ac:dyDescent="0.2">
      <c r="B234" s="8">
        <v>35</v>
      </c>
      <c r="C234" s="2">
        <v>0.8</v>
      </c>
      <c r="D234" s="2">
        <v>0.8</v>
      </c>
      <c r="E234" s="2">
        <v>0.8</v>
      </c>
      <c r="F234" s="2">
        <v>0.06</v>
      </c>
      <c r="K234" s="8">
        <v>10</v>
      </c>
      <c r="L234" s="2">
        <v>0.5</v>
      </c>
      <c r="M234" s="2">
        <v>0.7</v>
      </c>
      <c r="O234" s="8">
        <v>35</v>
      </c>
      <c r="P234" s="2">
        <v>0.06</v>
      </c>
    </row>
    <row r="235" spans="2:16" s="1" customFormat="1" x14ac:dyDescent="0.2">
      <c r="B235" s="8">
        <v>40</v>
      </c>
      <c r="C235" s="2">
        <v>0.95</v>
      </c>
      <c r="D235" s="2">
        <v>0.95</v>
      </c>
      <c r="E235" s="2">
        <v>0.95</v>
      </c>
      <c r="F235" s="2">
        <v>6.5000000000000002E-2</v>
      </c>
      <c r="K235" s="8">
        <v>11</v>
      </c>
      <c r="L235" s="2">
        <v>0</v>
      </c>
      <c r="M235" s="2">
        <v>0.25</v>
      </c>
      <c r="O235" s="8">
        <v>40</v>
      </c>
      <c r="P235" s="2">
        <v>6.5000000000000002E-2</v>
      </c>
    </row>
    <row r="236" spans="2:16" s="1" customFormat="1" x14ac:dyDescent="0.2">
      <c r="B236" s="8">
        <v>45</v>
      </c>
      <c r="C236" s="2">
        <v>1.1000000000000001</v>
      </c>
      <c r="D236" s="2">
        <v>1.1000000000000001</v>
      </c>
      <c r="E236" s="2">
        <v>1.1000000000000001</v>
      </c>
      <c r="F236" s="2">
        <v>7.0000000000000007E-2</v>
      </c>
      <c r="K236" s="8">
        <v>12</v>
      </c>
      <c r="L236" s="2">
        <v>0</v>
      </c>
      <c r="M236" s="2">
        <v>0.16</v>
      </c>
      <c r="O236" s="8">
        <v>45</v>
      </c>
      <c r="P236" s="2">
        <v>7.0000000000000007E-2</v>
      </c>
    </row>
    <row r="237" spans="2:16" s="1" customFormat="1" x14ac:dyDescent="0.2">
      <c r="B237" s="8">
        <v>50</v>
      </c>
      <c r="C237" s="2">
        <v>1.25</v>
      </c>
      <c r="D237" s="2">
        <v>1.25</v>
      </c>
      <c r="E237" s="2">
        <v>1.25</v>
      </c>
      <c r="F237" s="2">
        <v>7.4999999999999997E-2</v>
      </c>
      <c r="K237" s="8">
        <v>13</v>
      </c>
      <c r="L237" s="2">
        <v>0</v>
      </c>
      <c r="M237" s="2">
        <v>0.17499999999999999</v>
      </c>
      <c r="O237" s="8">
        <v>50</v>
      </c>
      <c r="P237" s="2">
        <v>7.4999999999999997E-2</v>
      </c>
    </row>
    <row r="238" spans="2:16" s="1" customFormat="1" x14ac:dyDescent="0.2">
      <c r="B238" s="8">
        <v>55</v>
      </c>
      <c r="C238" s="2">
        <v>1.4</v>
      </c>
      <c r="D238" s="2">
        <v>1.4</v>
      </c>
      <c r="E238" s="2">
        <v>1.4</v>
      </c>
      <c r="F238" s="2">
        <v>0.08</v>
      </c>
      <c r="K238" s="8">
        <v>14</v>
      </c>
      <c r="L238" s="2">
        <v>0</v>
      </c>
      <c r="M238" s="2">
        <v>0.19</v>
      </c>
      <c r="O238" s="8">
        <v>55</v>
      </c>
      <c r="P238" s="2">
        <v>0.08</v>
      </c>
    </row>
    <row r="239" spans="2:16" s="1" customFormat="1" x14ac:dyDescent="0.2">
      <c r="B239" s="8">
        <v>60</v>
      </c>
      <c r="C239" s="2">
        <v>1.55</v>
      </c>
      <c r="D239" s="2">
        <v>1.55</v>
      </c>
      <c r="E239" s="2">
        <v>1.55</v>
      </c>
      <c r="F239" s="2">
        <v>8.5000000000000006E-2</v>
      </c>
      <c r="K239" s="8">
        <v>15</v>
      </c>
      <c r="L239" s="2">
        <v>0</v>
      </c>
      <c r="M239" s="2">
        <v>0.20499999999999999</v>
      </c>
      <c r="O239" s="8">
        <v>60</v>
      </c>
      <c r="P239" s="2">
        <v>8.5000000000000006E-2</v>
      </c>
    </row>
    <row r="240" spans="2:16" s="1" customFormat="1" x14ac:dyDescent="0.2">
      <c r="B240" s="8">
        <v>65</v>
      </c>
      <c r="C240" s="2">
        <v>1.7</v>
      </c>
      <c r="D240" s="2">
        <v>1.7</v>
      </c>
      <c r="E240" s="2">
        <v>1.7</v>
      </c>
      <c r="F240" s="2">
        <v>0.09</v>
      </c>
      <c r="K240" s="8">
        <v>16</v>
      </c>
      <c r="L240" s="2">
        <v>0</v>
      </c>
      <c r="M240" s="2">
        <v>0.22</v>
      </c>
      <c r="O240" s="8">
        <v>65</v>
      </c>
      <c r="P240" s="2">
        <v>0.09</v>
      </c>
    </row>
    <row r="241" spans="1:22" s="1" customFormat="1" x14ac:dyDescent="0.2">
      <c r="K241" s="8">
        <v>17</v>
      </c>
      <c r="L241" s="2">
        <v>0</v>
      </c>
      <c r="M241" s="2">
        <v>0.23499999999999999</v>
      </c>
    </row>
    <row r="242" spans="1:22" s="1" customFormat="1" x14ac:dyDescent="0.2">
      <c r="K242" s="8">
        <v>18</v>
      </c>
      <c r="L242" s="2">
        <v>0</v>
      </c>
      <c r="M242" s="2">
        <v>0.25</v>
      </c>
    </row>
    <row r="243" spans="1:22" s="1" customFormat="1" x14ac:dyDescent="0.2">
      <c r="K243" s="8">
        <v>19</v>
      </c>
      <c r="L243" s="2">
        <v>0</v>
      </c>
      <c r="M243" s="2">
        <v>0.26500000000000001</v>
      </c>
    </row>
    <row r="244" spans="1:22" s="1" customFormat="1" x14ac:dyDescent="0.2">
      <c r="K244" s="8">
        <v>20</v>
      </c>
      <c r="L244" s="2">
        <v>0</v>
      </c>
      <c r="M244" s="2">
        <v>0.28000000000000003</v>
      </c>
    </row>
    <row r="245" spans="1:22" s="1" customFormat="1" x14ac:dyDescent="0.2">
      <c r="K245" s="8">
        <v>21</v>
      </c>
      <c r="L245" s="2">
        <v>0.2</v>
      </c>
      <c r="M245" s="2">
        <v>0.39500000000000002</v>
      </c>
    </row>
    <row r="246" spans="1:22" s="1" customFormat="1" x14ac:dyDescent="0.2">
      <c r="K246" s="8">
        <v>22</v>
      </c>
      <c r="L246" s="2">
        <v>0.21</v>
      </c>
      <c r="M246" s="2">
        <v>0.41</v>
      </c>
    </row>
    <row r="247" spans="1:22" s="1" customFormat="1" x14ac:dyDescent="0.2">
      <c r="K247" s="8">
        <v>23</v>
      </c>
      <c r="L247" s="2">
        <v>0.22</v>
      </c>
      <c r="M247" s="2">
        <v>0.42499999999999999</v>
      </c>
    </row>
    <row r="248" spans="1:22" s="1" customFormat="1" x14ac:dyDescent="0.2">
      <c r="K248" s="8">
        <v>24</v>
      </c>
      <c r="L248" s="2">
        <v>0.23</v>
      </c>
      <c r="M248" s="2">
        <v>0.44</v>
      </c>
    </row>
    <row r="249" spans="1:22" s="1" customFormat="1" x14ac:dyDescent="0.2">
      <c r="K249" s="8">
        <v>25</v>
      </c>
      <c r="L249" s="2">
        <v>0.24</v>
      </c>
      <c r="M249" s="2">
        <v>0.45500000000000002</v>
      </c>
    </row>
    <row r="250" spans="1:22" s="1" customFormat="1" x14ac:dyDescent="0.2">
      <c r="K250" s="8">
        <v>26</v>
      </c>
      <c r="L250" s="2">
        <v>0.25</v>
      </c>
      <c r="M250" s="2">
        <v>0.47</v>
      </c>
    </row>
    <row r="251" spans="1:22" s="1" customFormat="1" x14ac:dyDescent="0.2"/>
    <row r="252" spans="1:22" s="1" customFormat="1" x14ac:dyDescent="0.2"/>
    <row r="253" spans="1:22" s="1" customFormat="1" x14ac:dyDescent="0.2"/>
    <row r="254" spans="1:22" s="1" customFormat="1" x14ac:dyDescent="0.2">
      <c r="A254" s="1" t="s">
        <v>109</v>
      </c>
      <c r="H254" s="1" t="s">
        <v>110</v>
      </c>
    </row>
    <row r="255" spans="1:22" s="1" customFormat="1" x14ac:dyDescent="0.2"/>
    <row r="256" spans="1:22" s="1" customFormat="1" x14ac:dyDescent="0.2">
      <c r="C256" s="6" t="s">
        <v>74</v>
      </c>
      <c r="D256" s="6" t="s">
        <v>40</v>
      </c>
      <c r="I256" s="6" t="s">
        <v>74</v>
      </c>
      <c r="J256" s="8">
        <v>5</v>
      </c>
      <c r="K256" s="8">
        <v>11</v>
      </c>
      <c r="L256" s="8">
        <v>12</v>
      </c>
      <c r="M256" s="8">
        <v>13</v>
      </c>
      <c r="N256" s="8">
        <v>14</v>
      </c>
      <c r="O256" s="8">
        <v>15</v>
      </c>
      <c r="P256" s="8">
        <v>16</v>
      </c>
      <c r="Q256" s="8">
        <v>17</v>
      </c>
      <c r="R256" s="8">
        <v>18</v>
      </c>
      <c r="S256" s="8">
        <v>19</v>
      </c>
      <c r="T256" s="8">
        <v>20</v>
      </c>
      <c r="V256" s="6" t="s">
        <v>40</v>
      </c>
    </row>
    <row r="257" spans="2:23" s="1" customFormat="1" x14ac:dyDescent="0.2">
      <c r="B257" s="8">
        <v>1</v>
      </c>
      <c r="C257" s="2">
        <v>0.65</v>
      </c>
      <c r="D257" s="2">
        <v>0.94</v>
      </c>
      <c r="J257" s="17">
        <v>2</v>
      </c>
      <c r="K257" s="17">
        <v>3</v>
      </c>
      <c r="L257" s="17">
        <v>4</v>
      </c>
      <c r="M257" s="17">
        <v>5</v>
      </c>
      <c r="N257" s="17">
        <v>6</v>
      </c>
      <c r="O257" s="17">
        <v>7</v>
      </c>
      <c r="P257" s="17">
        <v>8</v>
      </c>
      <c r="Q257" s="17">
        <v>9</v>
      </c>
      <c r="R257" s="17">
        <v>10</v>
      </c>
      <c r="S257" s="17">
        <v>11</v>
      </c>
      <c r="T257" s="17">
        <v>12</v>
      </c>
      <c r="V257" s="8">
        <v>1</v>
      </c>
      <c r="W257" s="2">
        <v>0.94</v>
      </c>
    </row>
    <row r="258" spans="2:23" s="1" customFormat="1" x14ac:dyDescent="0.2">
      <c r="B258" s="8">
        <v>2</v>
      </c>
      <c r="C258" s="2">
        <v>0.8</v>
      </c>
      <c r="D258" s="2">
        <v>0.95499999999999996</v>
      </c>
      <c r="I258" s="8">
        <v>1</v>
      </c>
      <c r="J258" s="2">
        <v>0.65</v>
      </c>
      <c r="K258" s="2">
        <v>0.65</v>
      </c>
      <c r="L258" s="2">
        <v>0.65</v>
      </c>
      <c r="M258" s="2">
        <v>0.65</v>
      </c>
      <c r="N258" s="2">
        <v>0.65</v>
      </c>
      <c r="O258" s="2">
        <v>0.65</v>
      </c>
      <c r="P258" s="2">
        <v>0.65</v>
      </c>
      <c r="Q258" s="2">
        <v>0.65</v>
      </c>
      <c r="R258" s="2">
        <v>0.65</v>
      </c>
      <c r="S258" s="2">
        <v>0.65</v>
      </c>
      <c r="T258" s="2">
        <v>0.65</v>
      </c>
      <c r="V258" s="8">
        <v>2</v>
      </c>
      <c r="W258" s="2">
        <v>0.95</v>
      </c>
    </row>
    <row r="259" spans="2:23" s="1" customFormat="1" x14ac:dyDescent="0.2">
      <c r="B259" s="8">
        <v>3</v>
      </c>
      <c r="C259" s="2">
        <v>0.96</v>
      </c>
      <c r="D259" s="2">
        <v>0.97</v>
      </c>
      <c r="I259" s="8">
        <v>2</v>
      </c>
      <c r="J259" s="2">
        <v>0.78</v>
      </c>
      <c r="K259" s="2">
        <v>0.78</v>
      </c>
      <c r="L259" s="2">
        <v>0.78</v>
      </c>
      <c r="M259" s="2">
        <v>0.78</v>
      </c>
      <c r="N259" s="2">
        <v>0.78</v>
      </c>
      <c r="O259" s="2">
        <v>0.78</v>
      </c>
      <c r="P259" s="2">
        <v>0.78</v>
      </c>
      <c r="Q259" s="2">
        <v>0.78</v>
      </c>
      <c r="R259" s="2">
        <v>0.78</v>
      </c>
      <c r="S259" s="2">
        <v>0.78</v>
      </c>
      <c r="T259" s="2">
        <v>0.78</v>
      </c>
      <c r="V259" s="8">
        <v>3</v>
      </c>
      <c r="W259" s="2">
        <v>0.97</v>
      </c>
    </row>
    <row r="260" spans="2:23" s="1" customFormat="1" x14ac:dyDescent="0.2">
      <c r="B260" s="8">
        <v>4</v>
      </c>
      <c r="C260" s="2">
        <v>0.96</v>
      </c>
      <c r="D260" s="2">
        <v>0.98</v>
      </c>
      <c r="I260" s="8">
        <v>3</v>
      </c>
      <c r="J260" s="2">
        <v>0.92</v>
      </c>
      <c r="K260" s="2">
        <v>0.92</v>
      </c>
      <c r="L260" s="2">
        <v>0.92</v>
      </c>
      <c r="M260" s="2">
        <v>0.92</v>
      </c>
      <c r="N260" s="2">
        <v>0.92</v>
      </c>
      <c r="O260" s="2">
        <v>0.92</v>
      </c>
      <c r="P260" s="2">
        <v>0.92</v>
      </c>
      <c r="Q260" s="2">
        <v>0.92</v>
      </c>
      <c r="R260" s="2">
        <v>0.92</v>
      </c>
      <c r="S260" s="2">
        <v>0.92</v>
      </c>
      <c r="T260" s="2">
        <v>0.92</v>
      </c>
      <c r="V260" s="8">
        <v>4</v>
      </c>
      <c r="W260" s="2">
        <v>0.98</v>
      </c>
    </row>
    <row r="261" spans="2:23" s="1" customFormat="1" x14ac:dyDescent="0.2">
      <c r="B261" s="8">
        <v>5</v>
      </c>
      <c r="C261" s="2">
        <v>0.96</v>
      </c>
      <c r="D261" s="2">
        <v>0.98499999999999999</v>
      </c>
      <c r="I261" s="8">
        <v>4</v>
      </c>
      <c r="J261" s="2">
        <v>0.93</v>
      </c>
      <c r="K261" s="2">
        <v>0.93</v>
      </c>
      <c r="L261" s="2">
        <v>0.93</v>
      </c>
      <c r="M261" s="2">
        <v>0.93</v>
      </c>
      <c r="N261" s="2">
        <v>0.92</v>
      </c>
      <c r="O261" s="2">
        <v>0.92</v>
      </c>
      <c r="P261" s="2">
        <v>0.92</v>
      </c>
      <c r="Q261" s="2">
        <v>0.92</v>
      </c>
      <c r="R261" s="2">
        <v>0.92</v>
      </c>
      <c r="S261" s="2">
        <v>0.92</v>
      </c>
      <c r="T261" s="2">
        <v>0.92</v>
      </c>
      <c r="V261" s="8">
        <v>5</v>
      </c>
      <c r="W261" s="2">
        <v>0.99</v>
      </c>
    </row>
    <row r="262" spans="2:23" s="1" customFormat="1" x14ac:dyDescent="0.2">
      <c r="B262" s="8">
        <v>6</v>
      </c>
      <c r="C262" s="2">
        <v>0.96</v>
      </c>
      <c r="D262" s="2">
        <v>1</v>
      </c>
      <c r="I262" s="8">
        <v>5</v>
      </c>
      <c r="J262" s="2">
        <v>0.94</v>
      </c>
      <c r="K262" s="2">
        <v>0.94</v>
      </c>
      <c r="L262" s="2">
        <v>0.94</v>
      </c>
      <c r="M262" s="2">
        <v>0.94</v>
      </c>
      <c r="N262" s="2">
        <v>0.93</v>
      </c>
      <c r="O262" s="2">
        <v>0.93</v>
      </c>
      <c r="P262" s="2">
        <v>0.93</v>
      </c>
      <c r="Q262" s="2">
        <v>0.93</v>
      </c>
      <c r="R262" s="2">
        <v>0.92</v>
      </c>
      <c r="S262" s="2">
        <v>0.92</v>
      </c>
      <c r="T262" s="2">
        <v>0.92</v>
      </c>
      <c r="V262" s="8">
        <v>6</v>
      </c>
      <c r="W262" s="2">
        <v>1</v>
      </c>
    </row>
    <row r="263" spans="2:23" s="1" customFormat="1" x14ac:dyDescent="0.2">
      <c r="B263" s="8">
        <v>7</v>
      </c>
      <c r="C263" s="2">
        <v>0.96</v>
      </c>
      <c r="D263" s="2">
        <v>1</v>
      </c>
      <c r="I263" s="8">
        <v>6</v>
      </c>
      <c r="J263" s="2">
        <v>0.95</v>
      </c>
      <c r="K263" s="2">
        <v>0.95</v>
      </c>
      <c r="L263" s="2">
        <v>0.95</v>
      </c>
      <c r="M263" s="2">
        <v>0.95</v>
      </c>
      <c r="N263" s="2">
        <v>0.94</v>
      </c>
      <c r="O263" s="2">
        <v>0.94</v>
      </c>
      <c r="P263" s="2">
        <v>0.93</v>
      </c>
      <c r="Q263" s="2">
        <v>0.93</v>
      </c>
      <c r="R263" s="2">
        <v>0.93</v>
      </c>
      <c r="S263" s="2">
        <v>0.93</v>
      </c>
      <c r="T263" s="2">
        <v>0.93</v>
      </c>
    </row>
    <row r="264" spans="2:23" s="1" customFormat="1" x14ac:dyDescent="0.2">
      <c r="B264" s="8">
        <v>8</v>
      </c>
      <c r="C264" s="2">
        <v>0.97</v>
      </c>
      <c r="D264" s="2">
        <v>1</v>
      </c>
      <c r="I264" s="8">
        <v>7</v>
      </c>
      <c r="J264" s="2">
        <v>0.96</v>
      </c>
      <c r="K264" s="2">
        <v>0.96</v>
      </c>
      <c r="L264" s="2">
        <v>0.96</v>
      </c>
      <c r="M264" s="2">
        <v>0.95</v>
      </c>
      <c r="N264" s="2">
        <v>0.95</v>
      </c>
      <c r="O264" s="2">
        <v>0.94</v>
      </c>
      <c r="P264" s="2">
        <v>0.94</v>
      </c>
      <c r="Q264" s="2">
        <v>0.94</v>
      </c>
      <c r="R264" s="2">
        <v>0.93</v>
      </c>
      <c r="S264" s="2">
        <v>0.93</v>
      </c>
      <c r="T264" s="2">
        <v>0.93</v>
      </c>
    </row>
    <row r="265" spans="2:23" s="1" customFormat="1" x14ac:dyDescent="0.2">
      <c r="B265" s="8">
        <v>9</v>
      </c>
      <c r="C265" s="2">
        <v>0.98</v>
      </c>
      <c r="D265" s="2">
        <v>1</v>
      </c>
      <c r="I265" s="8">
        <v>8</v>
      </c>
      <c r="J265" s="2">
        <v>0.97</v>
      </c>
      <c r="K265" s="2">
        <v>0.97</v>
      </c>
      <c r="L265" s="2">
        <v>0.96</v>
      </c>
      <c r="M265" s="2">
        <v>0.96</v>
      </c>
      <c r="N265" s="2">
        <v>0.95</v>
      </c>
      <c r="O265" s="2">
        <v>0.95</v>
      </c>
      <c r="P265" s="2">
        <v>0.95</v>
      </c>
      <c r="Q265" s="2">
        <v>0.94</v>
      </c>
      <c r="R265" s="2">
        <v>0.94</v>
      </c>
      <c r="S265" s="2">
        <v>0.93</v>
      </c>
      <c r="T265" s="2">
        <v>0.93</v>
      </c>
    </row>
    <row r="266" spans="2:23" s="1" customFormat="1" x14ac:dyDescent="0.2">
      <c r="B266" s="8">
        <v>10</v>
      </c>
      <c r="C266" s="2">
        <v>0.99</v>
      </c>
      <c r="D266" s="2">
        <v>1</v>
      </c>
      <c r="I266" s="8">
        <v>9</v>
      </c>
      <c r="J266" s="2">
        <v>0.98</v>
      </c>
      <c r="K266" s="2">
        <v>0.98</v>
      </c>
      <c r="L266" s="2">
        <v>0.97</v>
      </c>
      <c r="M266" s="2">
        <v>0.96</v>
      </c>
      <c r="N266" s="2">
        <v>0.96</v>
      </c>
      <c r="O266" s="2">
        <v>0.95</v>
      </c>
      <c r="P266" s="2">
        <v>0.95</v>
      </c>
      <c r="Q266" s="2">
        <v>0.95</v>
      </c>
      <c r="R266" s="2">
        <v>0.94</v>
      </c>
      <c r="S266" s="2">
        <v>0.94</v>
      </c>
      <c r="T266" s="2">
        <v>0.94</v>
      </c>
    </row>
    <row r="267" spans="2:23" s="1" customFormat="1" x14ac:dyDescent="0.2">
      <c r="B267" s="8">
        <v>11</v>
      </c>
      <c r="C267" s="2">
        <v>1</v>
      </c>
      <c r="D267" s="2">
        <v>1</v>
      </c>
      <c r="I267" s="8">
        <v>10</v>
      </c>
      <c r="J267" s="2">
        <v>0.99</v>
      </c>
      <c r="K267" s="2">
        <v>0.98</v>
      </c>
      <c r="L267" s="2">
        <v>0.98</v>
      </c>
      <c r="M267" s="2">
        <v>0.97</v>
      </c>
      <c r="N267" s="2">
        <v>0.96</v>
      </c>
      <c r="O267" s="2">
        <v>0.96</v>
      </c>
      <c r="P267" s="2">
        <v>0.96</v>
      </c>
      <c r="Q267" s="2">
        <v>0.95</v>
      </c>
      <c r="R267" s="2">
        <v>0.94</v>
      </c>
      <c r="S267" s="2">
        <v>0.94</v>
      </c>
      <c r="T267" s="2">
        <v>0.94</v>
      </c>
    </row>
    <row r="268" spans="2:23" s="1" customFormat="1" x14ac:dyDescent="0.2">
      <c r="I268" s="8">
        <v>11</v>
      </c>
      <c r="J268" s="2">
        <v>1</v>
      </c>
      <c r="K268" s="2">
        <v>0.99</v>
      </c>
      <c r="L268" s="2">
        <v>0.98</v>
      </c>
      <c r="M268" s="2">
        <v>0.97</v>
      </c>
      <c r="N268" s="2">
        <v>0.97</v>
      </c>
      <c r="O268" s="2">
        <v>0.96</v>
      </c>
      <c r="P268" s="2">
        <v>0.96</v>
      </c>
      <c r="Q268" s="2">
        <v>0.96</v>
      </c>
      <c r="R268" s="2">
        <v>0.95</v>
      </c>
      <c r="S268" s="2">
        <v>0.94</v>
      </c>
      <c r="T268" s="2">
        <v>0.94</v>
      </c>
    </row>
    <row r="269" spans="2:23" s="1" customFormat="1" x14ac:dyDescent="0.2">
      <c r="I269" s="8">
        <v>12</v>
      </c>
      <c r="J269" s="2">
        <v>1</v>
      </c>
      <c r="K269" s="2">
        <v>1</v>
      </c>
      <c r="L269" s="2">
        <v>0.99</v>
      </c>
      <c r="M269" s="2">
        <v>0.98</v>
      </c>
      <c r="N269" s="2">
        <v>0.98</v>
      </c>
      <c r="O269" s="2">
        <v>0.97</v>
      </c>
      <c r="P269" s="2">
        <v>0.96</v>
      </c>
      <c r="Q269" s="2">
        <v>0.96</v>
      </c>
      <c r="R269" s="2">
        <v>0.95</v>
      </c>
      <c r="S269" s="2">
        <v>0.95</v>
      </c>
      <c r="T269" s="2">
        <v>0.95</v>
      </c>
    </row>
    <row r="270" spans="2:23" s="1" customFormat="1" x14ac:dyDescent="0.2">
      <c r="I270" s="8">
        <v>13</v>
      </c>
      <c r="J270" s="2">
        <v>1</v>
      </c>
      <c r="K270" s="2">
        <v>1</v>
      </c>
      <c r="L270" s="2">
        <v>1</v>
      </c>
      <c r="M270" s="2">
        <v>0.99</v>
      </c>
      <c r="N270" s="2">
        <v>0.98</v>
      </c>
      <c r="O270" s="2">
        <v>0.97</v>
      </c>
      <c r="P270" s="2">
        <v>0.97</v>
      </c>
      <c r="Q270" s="2">
        <v>0.97</v>
      </c>
      <c r="R270" s="2">
        <v>0.95</v>
      </c>
      <c r="S270" s="2">
        <v>0.95</v>
      </c>
      <c r="T270" s="2">
        <v>0.95</v>
      </c>
    </row>
    <row r="271" spans="2:23" s="1" customFormat="1" x14ac:dyDescent="0.2">
      <c r="I271" s="8">
        <v>14</v>
      </c>
      <c r="J271" s="2">
        <v>1</v>
      </c>
      <c r="K271" s="2">
        <v>1</v>
      </c>
      <c r="L271" s="2">
        <v>1</v>
      </c>
      <c r="M271" s="2">
        <v>1</v>
      </c>
      <c r="N271" s="2">
        <v>0.99</v>
      </c>
      <c r="O271" s="2">
        <v>0.98</v>
      </c>
      <c r="P271" s="2">
        <v>0.98</v>
      </c>
      <c r="Q271" s="2">
        <v>0.97</v>
      </c>
      <c r="R271" s="2">
        <v>0.96</v>
      </c>
      <c r="S271" s="2">
        <v>0.95</v>
      </c>
      <c r="T271" s="2">
        <v>0.95</v>
      </c>
    </row>
    <row r="272" spans="2:23" s="1" customFormat="1" x14ac:dyDescent="0.2">
      <c r="I272" s="8">
        <v>15</v>
      </c>
      <c r="J272" s="2">
        <v>1</v>
      </c>
      <c r="K272" s="2">
        <v>1</v>
      </c>
      <c r="L272" s="2">
        <v>1</v>
      </c>
      <c r="M272" s="2">
        <v>1</v>
      </c>
      <c r="N272" s="2">
        <v>1</v>
      </c>
      <c r="O272" s="2">
        <v>0.99</v>
      </c>
      <c r="P272" s="2">
        <v>0.98</v>
      </c>
      <c r="Q272" s="2">
        <v>0.98</v>
      </c>
      <c r="R272" s="2">
        <v>0.96</v>
      </c>
      <c r="S272" s="2">
        <v>0.96</v>
      </c>
      <c r="T272" s="2">
        <v>0.96</v>
      </c>
    </row>
    <row r="273" spans="1:20" x14ac:dyDescent="0.2">
      <c r="E273" s="1"/>
      <c r="I273" s="8">
        <v>16</v>
      </c>
      <c r="J273" s="2">
        <v>1</v>
      </c>
      <c r="K273" s="2">
        <v>1</v>
      </c>
      <c r="L273" s="2">
        <v>1</v>
      </c>
      <c r="M273" s="2">
        <v>1</v>
      </c>
      <c r="N273" s="2">
        <v>1</v>
      </c>
      <c r="O273" s="2">
        <v>1</v>
      </c>
      <c r="P273" s="2">
        <v>0.99</v>
      </c>
      <c r="Q273" s="2">
        <v>0.98</v>
      </c>
      <c r="R273" s="2">
        <v>0.97</v>
      </c>
      <c r="S273" s="2">
        <v>0.96</v>
      </c>
      <c r="T273" s="2">
        <v>0.96</v>
      </c>
    </row>
    <row r="274" spans="1:20" x14ac:dyDescent="0.2">
      <c r="E274" s="1"/>
      <c r="I274" s="8">
        <v>17</v>
      </c>
      <c r="J274" s="2">
        <v>1</v>
      </c>
      <c r="K274" s="2">
        <v>1</v>
      </c>
      <c r="L274" s="2">
        <v>1</v>
      </c>
      <c r="M274" s="2">
        <v>1</v>
      </c>
      <c r="N274" s="2">
        <v>1</v>
      </c>
      <c r="O274" s="2">
        <v>1</v>
      </c>
      <c r="P274" s="2">
        <v>1</v>
      </c>
      <c r="Q274" s="2">
        <v>0.99</v>
      </c>
      <c r="R274" s="2">
        <v>0.98</v>
      </c>
      <c r="S274" s="2">
        <v>0.97</v>
      </c>
      <c r="T274" s="2">
        <v>0.97</v>
      </c>
    </row>
    <row r="275" spans="1:20" x14ac:dyDescent="0.2">
      <c r="E275" s="1"/>
      <c r="I275" s="8">
        <v>18</v>
      </c>
      <c r="J275" s="2">
        <v>1</v>
      </c>
      <c r="K275" s="2">
        <v>1</v>
      </c>
      <c r="L275" s="2">
        <v>1</v>
      </c>
      <c r="M275" s="2">
        <v>1</v>
      </c>
      <c r="N275" s="2">
        <v>1</v>
      </c>
      <c r="O275" s="2">
        <v>1</v>
      </c>
      <c r="P275" s="2">
        <v>1</v>
      </c>
      <c r="Q275" s="2">
        <v>1</v>
      </c>
      <c r="R275" s="2">
        <v>0.99</v>
      </c>
      <c r="S275" s="2">
        <v>0.98</v>
      </c>
      <c r="T275" s="2">
        <v>0.97</v>
      </c>
    </row>
    <row r="276" spans="1:20" x14ac:dyDescent="0.2">
      <c r="C276" s="1"/>
      <c r="I276" s="8">
        <v>19</v>
      </c>
      <c r="J276" s="2">
        <v>1</v>
      </c>
      <c r="K276" s="2">
        <v>1</v>
      </c>
      <c r="L276" s="2">
        <v>1</v>
      </c>
      <c r="M276" s="2">
        <v>1</v>
      </c>
      <c r="N276" s="2">
        <v>1</v>
      </c>
      <c r="O276" s="2">
        <v>1</v>
      </c>
      <c r="P276" s="2">
        <v>1</v>
      </c>
      <c r="Q276" s="2">
        <v>1</v>
      </c>
      <c r="R276" s="2">
        <v>1</v>
      </c>
      <c r="S276" s="2">
        <v>0.99</v>
      </c>
      <c r="T276" s="2">
        <v>0.98</v>
      </c>
    </row>
    <row r="277" spans="1:20" x14ac:dyDescent="0.2">
      <c r="C277" s="1"/>
      <c r="I277" s="8">
        <v>20</v>
      </c>
      <c r="J277" s="2">
        <v>1</v>
      </c>
      <c r="K277" s="2">
        <v>1</v>
      </c>
      <c r="L277" s="2">
        <v>1</v>
      </c>
      <c r="M277" s="2">
        <v>1</v>
      </c>
      <c r="N277" s="2">
        <v>1</v>
      </c>
      <c r="O277" s="2">
        <v>1</v>
      </c>
      <c r="P277" s="2">
        <v>1</v>
      </c>
      <c r="Q277" s="2">
        <v>1</v>
      </c>
      <c r="R277" s="2">
        <v>1</v>
      </c>
      <c r="S277" s="2">
        <v>1</v>
      </c>
      <c r="T277" s="2">
        <v>0.99</v>
      </c>
    </row>
    <row r="278" spans="1:20" x14ac:dyDescent="0.2">
      <c r="I278" s="8">
        <v>21</v>
      </c>
      <c r="J278" s="2">
        <v>1</v>
      </c>
      <c r="K278" s="2">
        <v>1</v>
      </c>
      <c r="L278" s="2">
        <v>1</v>
      </c>
      <c r="M278" s="2">
        <v>1</v>
      </c>
      <c r="N278" s="2">
        <v>1</v>
      </c>
      <c r="O278" s="2">
        <v>1</v>
      </c>
      <c r="P278" s="2">
        <v>1</v>
      </c>
      <c r="Q278" s="2">
        <v>1</v>
      </c>
      <c r="R278" s="2">
        <v>1</v>
      </c>
      <c r="S278" s="2">
        <v>1</v>
      </c>
      <c r="T278" s="2">
        <v>1</v>
      </c>
    </row>
    <row r="282" spans="1:20" x14ac:dyDescent="0.2">
      <c r="A282" t="s">
        <v>155</v>
      </c>
    </row>
    <row r="284" spans="1:20" x14ac:dyDescent="0.2">
      <c r="B284" s="1"/>
      <c r="C284" s="6" t="s">
        <v>75</v>
      </c>
      <c r="D284" s="6" t="s">
        <v>76</v>
      </c>
    </row>
    <row r="285" spans="1:20" x14ac:dyDescent="0.2">
      <c r="B285" s="1" t="s">
        <v>84</v>
      </c>
      <c r="C285" s="5">
        <v>130000</v>
      </c>
      <c r="D285" s="10">
        <f>ROUNDDOWN($C$285/307.69,2)</f>
        <v>422.5</v>
      </c>
    </row>
    <row r="288" spans="1:20" x14ac:dyDescent="0.2">
      <c r="B288" t="s">
        <v>156</v>
      </c>
      <c r="C288">
        <v>7</v>
      </c>
    </row>
    <row r="289" spans="2:3" x14ac:dyDescent="0.2">
      <c r="B289" t="s">
        <v>158</v>
      </c>
      <c r="C289" s="2">
        <v>0.2</v>
      </c>
    </row>
  </sheetData>
  <mergeCells count="2">
    <mergeCell ref="C14:D14"/>
    <mergeCell ref="E14:F1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B0A5B"/>
  </sheetPr>
  <dimension ref="A4:N117"/>
  <sheetViews>
    <sheetView workbookViewId="0">
      <selection activeCell="B4" sqref="B4:M5"/>
    </sheetView>
  </sheetViews>
  <sheetFormatPr defaultRowHeight="12.75" x14ac:dyDescent="0.2"/>
  <cols>
    <col min="1" max="1" width="9.140625" style="1"/>
    <col min="2" max="2" width="43.7109375" bestFit="1" customWidth="1"/>
    <col min="7" max="7" width="9.5703125" bestFit="1" customWidth="1"/>
    <col min="8" max="8" width="15.42578125" bestFit="1" customWidth="1"/>
    <col min="9" max="9" width="10.42578125" style="1" bestFit="1" customWidth="1"/>
  </cols>
  <sheetData>
    <row r="4" spans="2:14" x14ac:dyDescent="0.2">
      <c r="B4" t="s">
        <v>14</v>
      </c>
      <c r="L4" t="s">
        <v>52</v>
      </c>
    </row>
    <row r="5" spans="2:14" s="1" customFormat="1" x14ac:dyDescent="0.2">
      <c r="B5" s="1" t="s">
        <v>11</v>
      </c>
      <c r="C5" s="1" t="s">
        <v>17</v>
      </c>
      <c r="D5" s="1" t="s">
        <v>2</v>
      </c>
      <c r="E5" s="1" t="s">
        <v>13</v>
      </c>
      <c r="F5" s="1" t="s">
        <v>18</v>
      </c>
      <c r="G5" s="1" t="s">
        <v>49</v>
      </c>
      <c r="H5" s="1" t="s">
        <v>50</v>
      </c>
      <c r="I5" s="1" t="s">
        <v>51</v>
      </c>
      <c r="L5" s="1" t="str">
        <f>IF(ISBLANK(Ajánlat!$E$9),"Forint",Ajánlat!$E$9)</f>
        <v>Forint</v>
      </c>
      <c r="M5" s="1">
        <f>Ajánlat!$N$7</f>
        <v>0</v>
      </c>
      <c r="N5" s="1" t="s">
        <v>53</v>
      </c>
    </row>
    <row r="6" spans="2:14" x14ac:dyDescent="0.2">
      <c r="B6" t="s">
        <v>19</v>
      </c>
      <c r="C6">
        <v>1</v>
      </c>
      <c r="D6" s="2">
        <v>2.1499999999999998E-2</v>
      </c>
      <c r="E6" t="s">
        <v>16</v>
      </c>
      <c r="F6" t="s">
        <v>16</v>
      </c>
      <c r="G6" s="3">
        <v>0.2</v>
      </c>
      <c r="H6" s="3">
        <v>0.15</v>
      </c>
      <c r="I6" s="3">
        <v>0.05</v>
      </c>
      <c r="L6" t="str">
        <f>IF($L$5="Forint",$B6,$B27)</f>
        <v>Balaton likviditási forint eszközalap</v>
      </c>
      <c r="M6" t="str">
        <f>VLOOKUP($L6,IF($L$5="Forint",$B$6:$F$20,$B$27:$F$38),IF($M$5="Basic",4,5),0)</f>
        <v>x</v>
      </c>
      <c r="N6" t="str">
        <f>IF(ISERROR($M6),"",IF($M6="x",$L6,""))</f>
        <v>Balaton likviditási forint eszközalap</v>
      </c>
    </row>
    <row r="7" spans="2:14" x14ac:dyDescent="0.2">
      <c r="B7" t="s">
        <v>20</v>
      </c>
      <c r="C7" s="1">
        <v>1</v>
      </c>
      <c r="D7" s="2">
        <v>3.2500000000000001E-2</v>
      </c>
      <c r="E7" t="s">
        <v>16</v>
      </c>
      <c r="F7" t="s">
        <v>16</v>
      </c>
      <c r="G7" s="3">
        <v>0.55000000000000004</v>
      </c>
      <c r="H7" s="3">
        <v>0.35</v>
      </c>
      <c r="I7" s="3">
        <v>0.15</v>
      </c>
      <c r="L7" s="1" t="str">
        <f t="shared" ref="L7:L17" si="0">IF($L$5="Forint",$B7,$B28)</f>
        <v>Kincstár magyar kötvény eszközalap</v>
      </c>
      <c r="M7" s="1" t="str">
        <f t="shared" ref="M7:M20" si="1">VLOOKUP($L7,IF($L$5="Forint",$B$6:$F$20,$B$27:$F$38),IF($M$5="Basic",4,5),0)</f>
        <v>x</v>
      </c>
      <c r="N7" s="1" t="str">
        <f t="shared" ref="N7:N20" si="2">IF(ISERROR($M7),"",IF($M7="x",$L7,""))</f>
        <v>Kincstár magyar kötvény eszközalap</v>
      </c>
    </row>
    <row r="8" spans="2:14" x14ac:dyDescent="0.2">
      <c r="B8" t="s">
        <v>21</v>
      </c>
      <c r="C8" s="1">
        <v>1</v>
      </c>
      <c r="D8" s="2">
        <v>3.2500000000000001E-2</v>
      </c>
      <c r="E8" t="s">
        <v>16</v>
      </c>
      <c r="F8" t="s">
        <v>16</v>
      </c>
      <c r="G8" s="3"/>
      <c r="H8" s="3"/>
      <c r="I8" s="3"/>
      <c r="L8" s="1" t="str">
        <f t="shared" si="0"/>
        <v>Maraton magyar kötvény eszközalap</v>
      </c>
      <c r="M8" s="1" t="str">
        <f t="shared" si="1"/>
        <v>x</v>
      </c>
      <c r="N8" s="1" t="str">
        <f t="shared" si="2"/>
        <v>Maraton magyar kötvény eszközalap</v>
      </c>
    </row>
    <row r="9" spans="2:14" x14ac:dyDescent="0.2">
      <c r="B9" t="s">
        <v>22</v>
      </c>
      <c r="C9" s="1">
        <v>1</v>
      </c>
      <c r="D9" s="2">
        <v>3.4099999999999998E-2</v>
      </c>
      <c r="E9" t="s">
        <v>16</v>
      </c>
      <c r="F9" t="s">
        <v>16</v>
      </c>
      <c r="G9" s="3"/>
      <c r="H9" s="3"/>
      <c r="I9" s="3"/>
      <c r="L9" s="1" t="str">
        <f t="shared" si="0"/>
        <v>Balance globális kötvény eszközalap</v>
      </c>
      <c r="M9" s="1" t="str">
        <f t="shared" si="1"/>
        <v>x</v>
      </c>
      <c r="N9" s="1" t="str">
        <f t="shared" si="2"/>
        <v>Balance globális kötvény eszközalap</v>
      </c>
    </row>
    <row r="10" spans="2:14" x14ac:dyDescent="0.2">
      <c r="B10" t="s">
        <v>23</v>
      </c>
      <c r="C10">
        <v>2</v>
      </c>
      <c r="D10" s="2">
        <v>0.05</v>
      </c>
      <c r="E10" t="s">
        <v>16</v>
      </c>
      <c r="F10" t="s">
        <v>16</v>
      </c>
      <c r="G10" s="3"/>
      <c r="H10" s="3"/>
      <c r="I10" s="3"/>
      <c r="L10" s="1" t="str">
        <f t="shared" si="0"/>
        <v>Ritmus aktívan menedzselt vegyes eszközalap</v>
      </c>
      <c r="M10" s="1" t="str">
        <f t="shared" si="1"/>
        <v>x</v>
      </c>
      <c r="N10" s="1" t="str">
        <f t="shared" si="2"/>
        <v>Ritmus aktívan menedzselt vegyes eszközalap</v>
      </c>
    </row>
    <row r="11" spans="2:14" x14ac:dyDescent="0.2">
      <c r="B11" t="s">
        <v>24</v>
      </c>
      <c r="C11" s="1">
        <v>2</v>
      </c>
      <c r="D11" s="2">
        <v>5.3199999999999997E-2</v>
      </c>
      <c r="E11" t="s">
        <v>16</v>
      </c>
      <c r="F11" t="s">
        <v>16</v>
      </c>
      <c r="G11" s="3"/>
      <c r="H11" s="3"/>
      <c r="I11" s="3"/>
      <c r="L11" s="1" t="str">
        <f t="shared" si="0"/>
        <v>Optimum 2030 céldátum eszközalap</v>
      </c>
      <c r="M11" s="1" t="str">
        <f t="shared" si="1"/>
        <v>x</v>
      </c>
      <c r="N11" s="1" t="str">
        <f t="shared" si="2"/>
        <v>Optimum 2030 céldátum eszközalap</v>
      </c>
    </row>
    <row r="12" spans="2:14" x14ac:dyDescent="0.2">
      <c r="B12" t="s">
        <v>25</v>
      </c>
      <c r="C12" s="1">
        <v>2</v>
      </c>
      <c r="D12" s="2">
        <v>6.6500000000000004E-2</v>
      </c>
      <c r="E12" t="s">
        <v>16</v>
      </c>
      <c r="F12" t="s">
        <v>16</v>
      </c>
      <c r="G12" s="3"/>
      <c r="H12" s="3"/>
      <c r="I12" s="3"/>
      <c r="L12" s="1" t="str">
        <f t="shared" si="0"/>
        <v>Optimum 2040 céldátum eszközalap</v>
      </c>
      <c r="M12" s="1" t="str">
        <f t="shared" si="1"/>
        <v>x</v>
      </c>
      <c r="N12" s="1" t="str">
        <f t="shared" si="2"/>
        <v>Optimum 2040 céldátum eszközalap</v>
      </c>
    </row>
    <row r="13" spans="2:14" x14ac:dyDescent="0.2">
      <c r="B13" t="s">
        <v>26</v>
      </c>
      <c r="C13">
        <v>3</v>
      </c>
      <c r="D13" s="2">
        <v>8.1500000000000003E-2</v>
      </c>
      <c r="E13" t="s">
        <v>16</v>
      </c>
      <c r="F13" t="s">
        <v>16</v>
      </c>
      <c r="G13" s="3"/>
      <c r="H13" s="3"/>
      <c r="I13" s="3"/>
      <c r="L13" s="1" t="str">
        <f t="shared" si="0"/>
        <v>Korona magyar részvény eszközalap</v>
      </c>
      <c r="M13" s="1" t="str">
        <f t="shared" si="1"/>
        <v>x</v>
      </c>
      <c r="N13" s="1" t="str">
        <f t="shared" si="2"/>
        <v>Korona magyar részvény eszközalap</v>
      </c>
    </row>
    <row r="14" spans="2:14" x14ac:dyDescent="0.2">
      <c r="B14" t="s">
        <v>27</v>
      </c>
      <c r="C14" s="1">
        <v>3</v>
      </c>
      <c r="D14" s="2">
        <v>6.6500000000000004E-2</v>
      </c>
      <c r="F14" t="s">
        <v>16</v>
      </c>
      <c r="G14" s="3">
        <v>0.1</v>
      </c>
      <c r="H14" s="3">
        <v>0.15</v>
      </c>
      <c r="I14" s="3">
        <v>0.2</v>
      </c>
      <c r="L14" s="1" t="str">
        <f t="shared" si="0"/>
        <v>Global Top nemzetközi részvény eszközalapja</v>
      </c>
      <c r="M14" s="1" t="str">
        <f t="shared" si="1"/>
        <v>x</v>
      </c>
      <c r="N14" s="1" t="str">
        <f t="shared" si="2"/>
        <v>Global Top nemzetközi részvény eszközalapja</v>
      </c>
    </row>
    <row r="15" spans="2:14" x14ac:dyDescent="0.2">
      <c r="B15" t="s">
        <v>28</v>
      </c>
      <c r="C15" s="1">
        <v>3</v>
      </c>
      <c r="D15" s="2">
        <v>8.3699999999999997E-2</v>
      </c>
      <c r="F15" t="s">
        <v>16</v>
      </c>
      <c r="G15" s="3"/>
      <c r="H15" s="3">
        <v>0.1</v>
      </c>
      <c r="I15" s="3">
        <v>0.15</v>
      </c>
      <c r="L15" s="1" t="str">
        <f t="shared" si="0"/>
        <v>Euro Top európai részvény eszközalap</v>
      </c>
      <c r="M15" s="1" t="str">
        <f t="shared" si="1"/>
        <v>x</v>
      </c>
      <c r="N15" s="1" t="str">
        <f t="shared" si="2"/>
        <v>Euro Top európai részvény eszközalap</v>
      </c>
    </row>
    <row r="16" spans="2:14" x14ac:dyDescent="0.2">
      <c r="B16" t="s">
        <v>29</v>
      </c>
      <c r="C16" s="1">
        <v>3</v>
      </c>
      <c r="D16" s="2">
        <v>7.3300000000000004E-2</v>
      </c>
      <c r="F16" t="s">
        <v>16</v>
      </c>
      <c r="G16" s="3"/>
      <c r="H16" s="3"/>
      <c r="I16" s="3">
        <v>0.05</v>
      </c>
      <c r="L16" s="1" t="str">
        <f t="shared" si="0"/>
        <v>US Top amerikai részvény eszközalap</v>
      </c>
      <c r="M16" s="1" t="str">
        <f t="shared" si="1"/>
        <v>x</v>
      </c>
      <c r="N16" s="1" t="str">
        <f t="shared" si="2"/>
        <v>US Top amerikai részvény eszközalap</v>
      </c>
    </row>
    <row r="17" spans="2:14" x14ac:dyDescent="0.2">
      <c r="B17" t="s">
        <v>30</v>
      </c>
      <c r="C17" s="1">
        <v>3</v>
      </c>
      <c r="D17" s="2">
        <v>6.6500000000000004E-2</v>
      </c>
      <c r="F17" t="s">
        <v>16</v>
      </c>
      <c r="G17" s="3"/>
      <c r="H17" s="3"/>
      <c r="I17" s="3"/>
      <c r="L17" s="1" t="str">
        <f t="shared" si="0"/>
        <v>Long Life nemzetközi részvény eszközalap</v>
      </c>
      <c r="M17" s="1" t="str">
        <f t="shared" si="1"/>
        <v>x</v>
      </c>
      <c r="N17" s="1" t="str">
        <f t="shared" si="2"/>
        <v>Long Life nemzetközi részvény eszközalap</v>
      </c>
    </row>
    <row r="18" spans="2:14" x14ac:dyDescent="0.2">
      <c r="B18" t="s">
        <v>31</v>
      </c>
      <c r="C18" s="1">
        <v>3</v>
      </c>
      <c r="D18" s="2">
        <v>8.6800000000000002E-2</v>
      </c>
      <c r="F18" t="s">
        <v>16</v>
      </c>
      <c r="G18" s="3">
        <v>0.05</v>
      </c>
      <c r="H18" s="3">
        <v>0.05</v>
      </c>
      <c r="I18" s="3">
        <v>0.1</v>
      </c>
      <c r="L18" s="1" t="str">
        <f>IF($L$5="Forint",$B18,#REF!)</f>
        <v>Euro Palace európai ingatlan részvény eszközalap</v>
      </c>
      <c r="M18" s="1" t="str">
        <f t="shared" si="1"/>
        <v>x</v>
      </c>
      <c r="N18" s="1" t="str">
        <f t="shared" si="2"/>
        <v>Euro Palace európai ingatlan részvény eszközalap</v>
      </c>
    </row>
    <row r="19" spans="2:14" x14ac:dyDescent="0.2">
      <c r="B19" t="s">
        <v>32</v>
      </c>
      <c r="C19" s="1">
        <v>3</v>
      </c>
      <c r="D19" s="2">
        <v>0.1</v>
      </c>
      <c r="F19" t="s">
        <v>16</v>
      </c>
      <c r="G19" s="3">
        <v>0.1</v>
      </c>
      <c r="H19" s="3">
        <v>0.1</v>
      </c>
      <c r="I19" s="3">
        <v>0.15</v>
      </c>
      <c r="L19" s="1" t="str">
        <f>IF($L$5="Forint",$B19,#REF!)</f>
        <v>Aranysárkány kínai részvény eszközalapja</v>
      </c>
      <c r="M19" s="1" t="str">
        <f t="shared" si="1"/>
        <v>x</v>
      </c>
      <c r="N19" s="1" t="str">
        <f t="shared" si="2"/>
        <v>Aranysárkány kínai részvény eszközalapja</v>
      </c>
    </row>
    <row r="20" spans="2:14" x14ac:dyDescent="0.2">
      <c r="B20" t="s">
        <v>33</v>
      </c>
      <c r="C20" s="1">
        <v>3</v>
      </c>
      <c r="D20" s="2">
        <v>0.1</v>
      </c>
      <c r="F20" t="s">
        <v>16</v>
      </c>
      <c r="G20" s="3"/>
      <c r="H20" s="3">
        <v>0.1</v>
      </c>
      <c r="I20" s="3">
        <v>0.15</v>
      </c>
      <c r="L20" s="1" t="str">
        <f>IF($L$5="Forint",$B20,#REF!)</f>
        <v>Kasmír indiai részvény eszközalapja</v>
      </c>
      <c r="M20" s="1" t="str">
        <f t="shared" si="1"/>
        <v>x</v>
      </c>
      <c r="N20" s="1" t="str">
        <f t="shared" si="2"/>
        <v>Kasmír indiai részvény eszközalapja</v>
      </c>
    </row>
    <row r="25" spans="2:14" s="1" customFormat="1" x14ac:dyDescent="0.2">
      <c r="B25" t="s">
        <v>15</v>
      </c>
      <c r="C25"/>
      <c r="D25"/>
      <c r="E25"/>
      <c r="F25"/>
      <c r="G25"/>
      <c r="H25"/>
      <c r="I25"/>
    </row>
    <row r="26" spans="2:14" x14ac:dyDescent="0.2">
      <c r="B26" s="1" t="s">
        <v>11</v>
      </c>
      <c r="C26" s="1" t="s">
        <v>17</v>
      </c>
      <c r="D26" s="1" t="s">
        <v>2</v>
      </c>
      <c r="E26" s="1" t="s">
        <v>13</v>
      </c>
      <c r="F26" s="1" t="s">
        <v>18</v>
      </c>
      <c r="G26" s="1" t="s">
        <v>49</v>
      </c>
      <c r="H26" s="1" t="s">
        <v>50</v>
      </c>
      <c r="I26" s="1" t="s">
        <v>51</v>
      </c>
    </row>
    <row r="27" spans="2:14" x14ac:dyDescent="0.2">
      <c r="B27" t="s">
        <v>34</v>
      </c>
      <c r="C27">
        <v>1</v>
      </c>
      <c r="D27" s="2">
        <v>1.9400000000000001E-2</v>
      </c>
      <c r="E27" t="s">
        <v>16</v>
      </c>
      <c r="F27" t="s">
        <v>16</v>
      </c>
      <c r="G27" s="3">
        <v>0.75</v>
      </c>
      <c r="H27" s="3">
        <v>0.5</v>
      </c>
      <c r="I27" s="3">
        <v>0.2</v>
      </c>
    </row>
    <row r="28" spans="2:14" x14ac:dyDescent="0.2">
      <c r="B28" t="s">
        <v>22</v>
      </c>
      <c r="C28">
        <v>1</v>
      </c>
      <c r="D28" s="2">
        <v>1.83E-2</v>
      </c>
      <c r="E28" t="s">
        <v>16</v>
      </c>
      <c r="F28" t="s">
        <v>16</v>
      </c>
      <c r="G28" s="3"/>
      <c r="H28" s="3"/>
      <c r="I28" s="3"/>
    </row>
    <row r="29" spans="2:14" x14ac:dyDescent="0.2">
      <c r="B29" t="s">
        <v>23</v>
      </c>
      <c r="C29">
        <v>2</v>
      </c>
      <c r="D29" s="2">
        <v>0.05</v>
      </c>
      <c r="E29" t="s">
        <v>16</v>
      </c>
      <c r="F29" t="s">
        <v>16</v>
      </c>
      <c r="G29" s="3"/>
      <c r="H29" s="3"/>
      <c r="I29" s="3"/>
    </row>
    <row r="30" spans="2:14" x14ac:dyDescent="0.2">
      <c r="B30" t="s">
        <v>24</v>
      </c>
      <c r="C30" s="1">
        <v>2</v>
      </c>
      <c r="D30" s="2">
        <v>4.02E-2</v>
      </c>
      <c r="E30" t="s">
        <v>16</v>
      </c>
      <c r="F30" t="s">
        <v>16</v>
      </c>
      <c r="G30" s="3"/>
      <c r="H30" s="3"/>
      <c r="I30" s="3"/>
    </row>
    <row r="31" spans="2:14" x14ac:dyDescent="0.2">
      <c r="B31" t="s">
        <v>25</v>
      </c>
      <c r="C31" s="1">
        <v>2</v>
      </c>
      <c r="D31" s="2">
        <v>5.0200000000000002E-2</v>
      </c>
      <c r="E31" t="s">
        <v>16</v>
      </c>
      <c r="F31" t="s">
        <v>16</v>
      </c>
      <c r="G31" s="3"/>
      <c r="H31" s="3"/>
      <c r="I31" s="3"/>
    </row>
    <row r="32" spans="2:14" x14ac:dyDescent="0.2">
      <c r="B32" t="s">
        <v>35</v>
      </c>
      <c r="C32">
        <v>3</v>
      </c>
      <c r="D32" s="2">
        <v>6.8500000000000005E-2</v>
      </c>
      <c r="E32" t="s">
        <v>16</v>
      </c>
      <c r="F32" t="s">
        <v>16</v>
      </c>
      <c r="G32" s="3"/>
      <c r="H32" s="3">
        <v>0.1</v>
      </c>
      <c r="I32" s="3">
        <v>0.15</v>
      </c>
    </row>
    <row r="33" spans="2:9" x14ac:dyDescent="0.2">
      <c r="B33" t="s">
        <v>27</v>
      </c>
      <c r="C33" s="1">
        <v>3</v>
      </c>
      <c r="D33" s="2">
        <v>5.0200000000000002E-2</v>
      </c>
      <c r="F33" t="s">
        <v>16</v>
      </c>
      <c r="G33" s="3">
        <v>0.1</v>
      </c>
      <c r="H33" s="3">
        <v>0.15</v>
      </c>
      <c r="I33" s="3">
        <v>0.2</v>
      </c>
    </row>
    <row r="34" spans="2:9" x14ac:dyDescent="0.2">
      <c r="B34" t="s">
        <v>29</v>
      </c>
      <c r="C34" s="1">
        <v>3</v>
      </c>
      <c r="D34" s="2">
        <v>5.6800000000000003E-2</v>
      </c>
      <c r="F34" t="s">
        <v>16</v>
      </c>
      <c r="G34" s="3"/>
      <c r="H34" s="3"/>
      <c r="I34" s="3">
        <v>0.05</v>
      </c>
    </row>
    <row r="35" spans="2:9" x14ac:dyDescent="0.2">
      <c r="B35" t="s">
        <v>30</v>
      </c>
      <c r="C35" s="1">
        <v>3</v>
      </c>
      <c r="D35" s="2">
        <v>5.0200000000000002E-2</v>
      </c>
      <c r="F35" t="s">
        <v>16</v>
      </c>
      <c r="G35" s="3"/>
      <c r="H35" s="3"/>
      <c r="I35" s="3"/>
    </row>
    <row r="36" spans="2:9" x14ac:dyDescent="0.2">
      <c r="B36" t="s">
        <v>31</v>
      </c>
      <c r="C36" s="1">
        <v>3</v>
      </c>
      <c r="D36" s="2">
        <v>5.6300000000000003E-2</v>
      </c>
      <c r="F36" t="s">
        <v>16</v>
      </c>
      <c r="G36" s="3">
        <v>0.05</v>
      </c>
      <c r="H36" s="3">
        <v>0.05</v>
      </c>
      <c r="I36" s="3">
        <v>0.1</v>
      </c>
    </row>
    <row r="37" spans="2:9" x14ac:dyDescent="0.2">
      <c r="B37" t="s">
        <v>32</v>
      </c>
      <c r="C37" s="1">
        <v>3</v>
      </c>
      <c r="D37" s="2">
        <v>0.1</v>
      </c>
      <c r="F37" t="s">
        <v>16</v>
      </c>
      <c r="G37" s="3">
        <v>0.1</v>
      </c>
      <c r="H37" s="3">
        <v>0.1</v>
      </c>
      <c r="I37" s="3">
        <v>0.15</v>
      </c>
    </row>
    <row r="38" spans="2:9" x14ac:dyDescent="0.2">
      <c r="B38" t="s">
        <v>33</v>
      </c>
      <c r="C38" s="1">
        <v>3</v>
      </c>
      <c r="D38" s="2">
        <v>0.1</v>
      </c>
      <c r="F38" t="s">
        <v>16</v>
      </c>
      <c r="G38" s="3"/>
      <c r="H38" s="3">
        <v>0.1</v>
      </c>
      <c r="I38" s="3">
        <v>0.15</v>
      </c>
    </row>
    <row r="43" spans="2:9" x14ac:dyDescent="0.2">
      <c r="B43" t="str">
        <f ca="1">IF($E$43="","A biztosított túl fiatal ezekhez a biztosításokhoz.","")</f>
        <v/>
      </c>
      <c r="C43">
        <v>16</v>
      </c>
      <c r="D43" s="16">
        <f ca="1">YEAR(TODAY())-YEAR(Számítás_Ny!$D$1)</f>
        <v>119</v>
      </c>
      <c r="E43" t="str">
        <f ca="1">IF($D$43&gt;=$C$43,"OK","")</f>
        <v>OK</v>
      </c>
    </row>
    <row r="44" spans="2:9" x14ac:dyDescent="0.2">
      <c r="B44" s="1" t="str">
        <f ca="1">IF($E$44="","A biztosított még túl fiatal a nyugdíjbiztosításokhoz.","")</f>
        <v/>
      </c>
      <c r="C44">
        <v>18</v>
      </c>
      <c r="D44" s="1">
        <f ca="1">ROUNDDOWN(((YEAR(TODAY())-YEAR(Számítás_Ny!$D$1))*12+MONTH(TODAY())-MONTH(Számítás_Ny!$D$1))/12,0)</f>
        <v>119</v>
      </c>
      <c r="E44" s="1" t="str">
        <f ca="1">IF($D$44&gt;=$C$44,"OK","")</f>
        <v>OK</v>
      </c>
    </row>
    <row r="45" spans="2:9" x14ac:dyDescent="0.2">
      <c r="B45" s="1" t="str">
        <f ca="1">IF($E$45="","A biztosított már csak egyszeri díjas nyugdíjbiztosítást köthet.","")</f>
        <v>A biztosított már csak egyszeri díjas nyugdíjbiztosítást köthet.</v>
      </c>
      <c r="C45">
        <v>60</v>
      </c>
      <c r="D45" s="1">
        <f ca="1">ROUNDDOWN(((YEAR(TODAY())-YEAR(Számítás_Ny!$D$1))*12+MONTH(TODAY())-MONTH(Számítás_Ny!$D$1))/12,0)</f>
        <v>119</v>
      </c>
      <c r="E45" s="1" t="str">
        <f ca="1">IF($D$45&gt;=$C$45,"","OK")</f>
        <v/>
      </c>
    </row>
    <row r="46" spans="2:9" x14ac:dyDescent="0.2">
      <c r="B46" s="1" t="str">
        <f ca="1">IF($E$46="","A biztosított már nem köthet nyugdíjbiztosítást.","")</f>
        <v>A biztosított már nem köthet nyugdíjbiztosítást.</v>
      </c>
      <c r="C46">
        <v>62</v>
      </c>
      <c r="D46" s="1">
        <f ca="1">ROUNDDOWN(((YEAR(TODAY())-YEAR(Számítás_Ny!$D$1))*12+MONTH(TODAY())-MONTH(Számítás_Ny!$D$1))/12,0)</f>
        <v>119</v>
      </c>
      <c r="E46" s="1" t="str">
        <f ca="1">IF($D$46&gt;=$C$46,"","OK")</f>
        <v/>
      </c>
    </row>
    <row r="47" spans="2:9" x14ac:dyDescent="0.2">
      <c r="B47" s="1" t="str">
        <f ca="1">IF($E$47="","A biztosított már csak egyszeri díjas biztosítást köthet.","")</f>
        <v>A biztosított már csak egyszeri díjas biztosítást köthet.</v>
      </c>
      <c r="C47">
        <v>75</v>
      </c>
      <c r="D47" s="16">
        <f ca="1">YEAR(TODAY())-YEAR(Számítás_Ny!$D$1)</f>
        <v>119</v>
      </c>
      <c r="E47" s="1" t="str">
        <f ca="1">IF($D$47&gt;=$C$47,"","OK")</f>
        <v/>
      </c>
    </row>
    <row r="48" spans="2:9" x14ac:dyDescent="0.2">
      <c r="B48" s="1" t="str">
        <f ca="1">IF($E$48="","A biztosított már nem köthet biztosítást.","")</f>
        <v>A biztosított már nem köthet biztosítást.</v>
      </c>
      <c r="C48">
        <v>93</v>
      </c>
      <c r="D48" s="16">
        <f ca="1">YEAR(TODAY())-YEAR(Számítás_Ny!$D$1)</f>
        <v>119</v>
      </c>
      <c r="E48" s="1" t="str">
        <f ca="1">IF($D$48&gt;=$C$48,"","OK")</f>
        <v/>
      </c>
    </row>
    <row r="53" spans="2:4" x14ac:dyDescent="0.2">
      <c r="B53">
        <f>IF(Számítás_UL!$D$4="Forint",HLOOKUP(Számítás_UL!$D$2,Paraméterek!$C$172:$G$173,2,0),HLOOKUP(Számítás_UL!$D$2,Paraméterek!$C$177:$G$178,2,0))</f>
        <v>120000</v>
      </c>
    </row>
    <row r="54" spans="2:4" x14ac:dyDescent="0.2">
      <c r="B54" s="1" t="str">
        <f ca="1">IF(ISERROR(IF(Számítás_Ny!$D$4="Forint",VLOOKUP($C$54,Paraméterek!$M$174:$R$185,$D$54),VLOOKUP($C$54,Paraméterek!$M$191:$R$202,$D$54))),"",IF(Számítás_Ny!$D$4="Forint",VLOOKUP($C$54,Paraméterek!$M$174:$R$185,$D$54),VLOOKUP($C$54,Paraméterek!$M$191:$R$202,$D$54)))</f>
        <v/>
      </c>
      <c r="C54" s="5">
        <f ca="1">IF(Számítás_Ny!$M$13=0,0,1)+Számítás_Ny!$M$11</f>
        <v>-54</v>
      </c>
      <c r="D54">
        <f>IF(Számítás_Ny!$D$2="Havi",2,IF(Számítás_Ny!$D$2="Negyedéves",3,IF(Számítás_Ny!$D$2="Féléves",4,IF(Számítás_Ny!$D$2="Éves",5,6))))</f>
        <v>5</v>
      </c>
    </row>
    <row r="59" spans="2:4" x14ac:dyDescent="0.2">
      <c r="B59" t="s">
        <v>182</v>
      </c>
      <c r="C59" t="s">
        <v>186</v>
      </c>
      <c r="D59" s="1" t="s">
        <v>193</v>
      </c>
    </row>
    <row r="60" spans="2:4" x14ac:dyDescent="0.2">
      <c r="B60" s="1" t="s">
        <v>183</v>
      </c>
      <c r="C60" s="1" t="s">
        <v>187</v>
      </c>
      <c r="D60" s="1" t="s">
        <v>192</v>
      </c>
    </row>
    <row r="61" spans="2:4" x14ac:dyDescent="0.2">
      <c r="B61" s="1" t="s">
        <v>184</v>
      </c>
      <c r="C61" s="1" t="s">
        <v>188</v>
      </c>
      <c r="D61" s="1" t="s">
        <v>191</v>
      </c>
    </row>
    <row r="62" spans="2:4" x14ac:dyDescent="0.2">
      <c r="B62" s="1" t="s">
        <v>185</v>
      </c>
      <c r="C62" s="1" t="s">
        <v>189</v>
      </c>
      <c r="D62" s="1" t="s">
        <v>190</v>
      </c>
    </row>
    <row r="64" spans="2:4" x14ac:dyDescent="0.2">
      <c r="B64" t="str">
        <f>IF(Számítás_UL!$D$4="Forint","forint alapú, ","euró alapú, ")&amp;IF(Számítás_UL!$D$2="Egyszeri","egyszeri díjas","rendszeres díjas")</f>
        <v>forint alapú, rendszeres díjas</v>
      </c>
      <c r="C64" t="str">
        <f>VLOOKUP($B$64,$B$59:$D$62,2,0)</f>
        <v xml:space="preserve">MET-689 jelű </v>
      </c>
    </row>
    <row r="65" spans="2:7" x14ac:dyDescent="0.2">
      <c r="B65" s="1" t="str">
        <f>IF(Számítás_Ny!$D$4="Forint","forint alapú, ","euró alapú, ")&amp;IF(Számítás_Ny!$D$2="Egyszeri","egyszeri díjas","rendszeres díjas")</f>
        <v>forint alapú, rendszeres díjas</v>
      </c>
      <c r="C65" s="1" t="str">
        <f>VLOOKUP($B$65,$B$59:$D$62,3,0)</f>
        <v xml:space="preserve">MET-688 jelű </v>
      </c>
    </row>
    <row r="70" spans="2:7" x14ac:dyDescent="0.2">
      <c r="B70" s="5">
        <f ca="1">Számítás_Ny!$M$11+IF(OR(Számítás_Ny!$M$12&lt;&gt;0,Számítás_Ny!$M$13&lt;&gt;0),1,0)</f>
        <v>-54</v>
      </c>
      <c r="G70">
        <f ca="1">COUNTIF(Számítás_Ny!$D$20:$D$1027,"Igen")</f>
        <v>0</v>
      </c>
    </row>
    <row r="71" spans="2:7" x14ac:dyDescent="0.2">
      <c r="B71" t="str">
        <f ca="1">IF($C71&lt;=$B$70,IF($C71&gt;10,$B$70,$C71),"")</f>
        <v/>
      </c>
      <c r="C71">
        <v>1</v>
      </c>
      <c r="F71">
        <v>1</v>
      </c>
      <c r="G71" t="str">
        <f ca="1">IF($B$70&gt;=$F71,$F71,"")</f>
        <v/>
      </c>
    </row>
    <row r="72" spans="2:7" x14ac:dyDescent="0.2">
      <c r="B72" s="1" t="str">
        <f t="shared" ref="B72:B81" ca="1" si="3">IF($C72&lt;=$B$70,IF($C72&gt;10,$B$70,$C72),"")</f>
        <v/>
      </c>
      <c r="C72" s="1">
        <v>2</v>
      </c>
      <c r="F72" s="1">
        <v>2</v>
      </c>
      <c r="G72" s="1" t="str">
        <f t="shared" ref="G72:G117" ca="1" si="4">IF($B$70&gt;=$F72,$F72,"")</f>
        <v/>
      </c>
    </row>
    <row r="73" spans="2:7" x14ac:dyDescent="0.2">
      <c r="B73" s="1" t="str">
        <f t="shared" ca="1" si="3"/>
        <v/>
      </c>
      <c r="C73" s="1">
        <v>3</v>
      </c>
      <c r="F73" s="1">
        <v>3</v>
      </c>
      <c r="G73" s="1" t="str">
        <f t="shared" ca="1" si="4"/>
        <v/>
      </c>
    </row>
    <row r="74" spans="2:7" x14ac:dyDescent="0.2">
      <c r="B74" s="1" t="str">
        <f t="shared" ca="1" si="3"/>
        <v/>
      </c>
      <c r="C74" s="1">
        <v>4</v>
      </c>
      <c r="F74" s="1">
        <v>4</v>
      </c>
      <c r="G74" s="1" t="str">
        <f t="shared" ca="1" si="4"/>
        <v/>
      </c>
    </row>
    <row r="75" spans="2:7" x14ac:dyDescent="0.2">
      <c r="B75" s="1" t="str">
        <f t="shared" ca="1" si="3"/>
        <v/>
      </c>
      <c r="C75" s="1">
        <v>5</v>
      </c>
      <c r="F75" s="1">
        <v>5</v>
      </c>
      <c r="G75" s="1" t="str">
        <f t="shared" ca="1" si="4"/>
        <v/>
      </c>
    </row>
    <row r="76" spans="2:7" x14ac:dyDescent="0.2">
      <c r="B76" s="1" t="str">
        <f t="shared" ca="1" si="3"/>
        <v/>
      </c>
      <c r="C76" s="1">
        <v>6</v>
      </c>
      <c r="F76" s="1">
        <v>6</v>
      </c>
      <c r="G76" s="1" t="str">
        <f t="shared" ca="1" si="4"/>
        <v/>
      </c>
    </row>
    <row r="77" spans="2:7" x14ac:dyDescent="0.2">
      <c r="B77" s="1" t="str">
        <f t="shared" ca="1" si="3"/>
        <v/>
      </c>
      <c r="C77" s="1">
        <v>7</v>
      </c>
      <c r="F77" s="1">
        <v>7</v>
      </c>
      <c r="G77" s="1" t="str">
        <f t="shared" ca="1" si="4"/>
        <v/>
      </c>
    </row>
    <row r="78" spans="2:7" x14ac:dyDescent="0.2">
      <c r="B78" s="1" t="str">
        <f t="shared" ca="1" si="3"/>
        <v/>
      </c>
      <c r="C78" s="1">
        <v>8</v>
      </c>
      <c r="F78" s="1">
        <v>8</v>
      </c>
      <c r="G78" s="1" t="str">
        <f t="shared" ca="1" si="4"/>
        <v/>
      </c>
    </row>
    <row r="79" spans="2:7" x14ac:dyDescent="0.2">
      <c r="B79" s="1" t="str">
        <f t="shared" ca="1" si="3"/>
        <v/>
      </c>
      <c r="C79" s="1">
        <v>9</v>
      </c>
      <c r="F79" s="1">
        <v>9</v>
      </c>
      <c r="G79" s="1" t="str">
        <f t="shared" ca="1" si="4"/>
        <v/>
      </c>
    </row>
    <row r="80" spans="2:7" x14ac:dyDescent="0.2">
      <c r="B80" s="1" t="str">
        <f t="shared" ca="1" si="3"/>
        <v/>
      </c>
      <c r="C80" s="1">
        <v>10</v>
      </c>
      <c r="F80" s="1">
        <v>10</v>
      </c>
      <c r="G80" s="1" t="str">
        <f t="shared" ca="1" si="4"/>
        <v/>
      </c>
    </row>
    <row r="81" spans="2:7" x14ac:dyDescent="0.2">
      <c r="B81" s="1" t="str">
        <f t="shared" ca="1" si="3"/>
        <v/>
      </c>
      <c r="C81" s="1">
        <v>11</v>
      </c>
      <c r="F81" s="1">
        <v>11</v>
      </c>
      <c r="G81" s="1" t="str">
        <f t="shared" ca="1" si="4"/>
        <v/>
      </c>
    </row>
    <row r="82" spans="2:7" x14ac:dyDescent="0.2">
      <c r="F82" s="1">
        <v>12</v>
      </c>
      <c r="G82" s="1" t="str">
        <f t="shared" ca="1" si="4"/>
        <v/>
      </c>
    </row>
    <row r="83" spans="2:7" x14ac:dyDescent="0.2">
      <c r="F83" s="1">
        <v>13</v>
      </c>
      <c r="G83" s="1" t="str">
        <f t="shared" ca="1" si="4"/>
        <v/>
      </c>
    </row>
    <row r="84" spans="2:7" x14ac:dyDescent="0.2">
      <c r="F84" s="1">
        <v>14</v>
      </c>
      <c r="G84" s="1" t="str">
        <f t="shared" ca="1" si="4"/>
        <v/>
      </c>
    </row>
    <row r="85" spans="2:7" x14ac:dyDescent="0.2">
      <c r="F85" s="1">
        <v>15</v>
      </c>
      <c r="G85" s="1" t="str">
        <f t="shared" ca="1" si="4"/>
        <v/>
      </c>
    </row>
    <row r="86" spans="2:7" x14ac:dyDescent="0.2">
      <c r="F86" s="1">
        <v>16</v>
      </c>
      <c r="G86" s="1" t="str">
        <f t="shared" ca="1" si="4"/>
        <v/>
      </c>
    </row>
    <row r="87" spans="2:7" x14ac:dyDescent="0.2">
      <c r="F87" s="1">
        <v>17</v>
      </c>
      <c r="G87" s="1" t="str">
        <f t="shared" ca="1" si="4"/>
        <v/>
      </c>
    </row>
    <row r="88" spans="2:7" x14ac:dyDescent="0.2">
      <c r="F88" s="1">
        <v>18</v>
      </c>
      <c r="G88" s="1" t="str">
        <f t="shared" ca="1" si="4"/>
        <v/>
      </c>
    </row>
    <row r="89" spans="2:7" x14ac:dyDescent="0.2">
      <c r="F89" s="1">
        <v>19</v>
      </c>
      <c r="G89" s="1" t="str">
        <f t="shared" ca="1" si="4"/>
        <v/>
      </c>
    </row>
    <row r="90" spans="2:7" x14ac:dyDescent="0.2">
      <c r="F90" s="1">
        <v>20</v>
      </c>
      <c r="G90" s="1" t="str">
        <f t="shared" ca="1" si="4"/>
        <v/>
      </c>
    </row>
    <row r="91" spans="2:7" x14ac:dyDescent="0.2">
      <c r="F91" s="1">
        <v>21</v>
      </c>
      <c r="G91" s="1" t="str">
        <f t="shared" ca="1" si="4"/>
        <v/>
      </c>
    </row>
    <row r="92" spans="2:7" x14ac:dyDescent="0.2">
      <c r="F92" s="1">
        <v>22</v>
      </c>
      <c r="G92" s="1" t="str">
        <f t="shared" ca="1" si="4"/>
        <v/>
      </c>
    </row>
    <row r="93" spans="2:7" x14ac:dyDescent="0.2">
      <c r="F93" s="1">
        <v>23</v>
      </c>
      <c r="G93" s="1" t="str">
        <f t="shared" ca="1" si="4"/>
        <v/>
      </c>
    </row>
    <row r="94" spans="2:7" x14ac:dyDescent="0.2">
      <c r="F94" s="1">
        <v>24</v>
      </c>
      <c r="G94" s="1" t="str">
        <f t="shared" ca="1" si="4"/>
        <v/>
      </c>
    </row>
    <row r="95" spans="2:7" x14ac:dyDescent="0.2">
      <c r="F95" s="1">
        <v>25</v>
      </c>
      <c r="G95" s="1" t="str">
        <f t="shared" ca="1" si="4"/>
        <v/>
      </c>
    </row>
    <row r="96" spans="2:7" x14ac:dyDescent="0.2">
      <c r="F96" s="1">
        <v>26</v>
      </c>
      <c r="G96" s="1" t="str">
        <f t="shared" ca="1" si="4"/>
        <v/>
      </c>
    </row>
    <row r="97" spans="6:7" x14ac:dyDescent="0.2">
      <c r="F97" s="1">
        <v>27</v>
      </c>
      <c r="G97" s="1" t="str">
        <f t="shared" ca="1" si="4"/>
        <v/>
      </c>
    </row>
    <row r="98" spans="6:7" x14ac:dyDescent="0.2">
      <c r="F98" s="1">
        <v>28</v>
      </c>
      <c r="G98" s="1" t="str">
        <f t="shared" ca="1" si="4"/>
        <v/>
      </c>
    </row>
    <row r="99" spans="6:7" x14ac:dyDescent="0.2">
      <c r="F99" s="1">
        <v>29</v>
      </c>
      <c r="G99" s="1" t="str">
        <f t="shared" ca="1" si="4"/>
        <v/>
      </c>
    </row>
    <row r="100" spans="6:7" x14ac:dyDescent="0.2">
      <c r="F100" s="1">
        <v>30</v>
      </c>
      <c r="G100" s="1" t="str">
        <f t="shared" ca="1" si="4"/>
        <v/>
      </c>
    </row>
    <row r="101" spans="6:7" x14ac:dyDescent="0.2">
      <c r="F101" s="1">
        <v>31</v>
      </c>
      <c r="G101" s="1" t="str">
        <f t="shared" ca="1" si="4"/>
        <v/>
      </c>
    </row>
    <row r="102" spans="6:7" x14ac:dyDescent="0.2">
      <c r="F102" s="1">
        <v>32</v>
      </c>
      <c r="G102" s="1" t="str">
        <f t="shared" ca="1" si="4"/>
        <v/>
      </c>
    </row>
    <row r="103" spans="6:7" x14ac:dyDescent="0.2">
      <c r="F103" s="1">
        <v>33</v>
      </c>
      <c r="G103" s="1" t="str">
        <f t="shared" ca="1" si="4"/>
        <v/>
      </c>
    </row>
    <row r="104" spans="6:7" x14ac:dyDescent="0.2">
      <c r="F104" s="1">
        <v>34</v>
      </c>
      <c r="G104" s="1" t="str">
        <f t="shared" ca="1" si="4"/>
        <v/>
      </c>
    </row>
    <row r="105" spans="6:7" x14ac:dyDescent="0.2">
      <c r="F105" s="1">
        <v>35</v>
      </c>
      <c r="G105" s="1" t="str">
        <f t="shared" ca="1" si="4"/>
        <v/>
      </c>
    </row>
    <row r="106" spans="6:7" x14ac:dyDescent="0.2">
      <c r="F106" s="1">
        <v>36</v>
      </c>
      <c r="G106" s="1" t="str">
        <f t="shared" ca="1" si="4"/>
        <v/>
      </c>
    </row>
    <row r="107" spans="6:7" x14ac:dyDescent="0.2">
      <c r="F107" s="1">
        <v>37</v>
      </c>
      <c r="G107" s="1" t="str">
        <f t="shared" ca="1" si="4"/>
        <v/>
      </c>
    </row>
    <row r="108" spans="6:7" x14ac:dyDescent="0.2">
      <c r="F108" s="1">
        <v>38</v>
      </c>
      <c r="G108" s="1" t="str">
        <f t="shared" ca="1" si="4"/>
        <v/>
      </c>
    </row>
    <row r="109" spans="6:7" x14ac:dyDescent="0.2">
      <c r="F109" s="1">
        <v>39</v>
      </c>
      <c r="G109" s="1" t="str">
        <f t="shared" ca="1" si="4"/>
        <v/>
      </c>
    </row>
    <row r="110" spans="6:7" x14ac:dyDescent="0.2">
      <c r="F110" s="1">
        <v>40</v>
      </c>
      <c r="G110" s="1" t="str">
        <f t="shared" ca="1" si="4"/>
        <v/>
      </c>
    </row>
    <row r="111" spans="6:7" x14ac:dyDescent="0.2">
      <c r="F111" s="1">
        <v>41</v>
      </c>
      <c r="G111" s="1" t="str">
        <f t="shared" ca="1" si="4"/>
        <v/>
      </c>
    </row>
    <row r="112" spans="6:7" x14ac:dyDescent="0.2">
      <c r="F112" s="1">
        <v>42</v>
      </c>
      <c r="G112" s="1" t="str">
        <f t="shared" ca="1" si="4"/>
        <v/>
      </c>
    </row>
    <row r="113" spans="6:7" x14ac:dyDescent="0.2">
      <c r="F113" s="1">
        <v>43</v>
      </c>
      <c r="G113" s="1" t="str">
        <f t="shared" ca="1" si="4"/>
        <v/>
      </c>
    </row>
    <row r="114" spans="6:7" x14ac:dyDescent="0.2">
      <c r="F114" s="1">
        <v>44</v>
      </c>
      <c r="G114" s="1" t="str">
        <f t="shared" ca="1" si="4"/>
        <v/>
      </c>
    </row>
    <row r="115" spans="6:7" x14ac:dyDescent="0.2">
      <c r="F115" s="1">
        <v>45</v>
      </c>
      <c r="G115" s="1" t="str">
        <f t="shared" ca="1" si="4"/>
        <v/>
      </c>
    </row>
    <row r="116" spans="6:7" x14ac:dyDescent="0.2">
      <c r="F116" s="1">
        <v>46</v>
      </c>
      <c r="G116" s="1" t="str">
        <f t="shared" ca="1" si="4"/>
        <v/>
      </c>
    </row>
    <row r="117" spans="6:7" x14ac:dyDescent="0.2">
      <c r="F117" s="1">
        <v>47</v>
      </c>
      <c r="G117" s="1" t="str">
        <f t="shared" ca="1" si="4"/>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A4CE4E"/>
  </sheetPr>
  <dimension ref="A1:M55"/>
  <sheetViews>
    <sheetView zoomScaleNormal="100" workbookViewId="0">
      <selection activeCell="B4" sqref="B4:M5"/>
    </sheetView>
  </sheetViews>
  <sheetFormatPr defaultRowHeight="12.75" x14ac:dyDescent="0.2"/>
  <cols>
    <col min="1" max="2" width="9.140625" style="28"/>
    <col min="3" max="13" width="15.85546875" style="28" customWidth="1"/>
    <col min="14" max="16384" width="9.140625" style="28"/>
  </cols>
  <sheetData>
    <row r="1" spans="2:13" x14ac:dyDescent="0.2">
      <c r="B1" s="108" t="s">
        <v>159</v>
      </c>
      <c r="C1" s="108"/>
      <c r="D1" s="108"/>
      <c r="E1" s="108"/>
      <c r="F1" s="108"/>
    </row>
    <row r="2" spans="2:13" x14ac:dyDescent="0.2">
      <c r="B2" s="108"/>
      <c r="C2" s="108"/>
      <c r="D2" s="108"/>
      <c r="E2" s="108"/>
      <c r="F2" s="108"/>
    </row>
    <row r="4" spans="2:13" x14ac:dyDescent="0.2">
      <c r="B4" s="112" t="str">
        <f>IF(OR(ISBLANK(Ajánlat!$E$7),ISBLANK(Ajánlat!$E$15)),"",Segédlet!$C$64&amp;"Manhattan "&amp;Segédlet!$B$64&amp;" befektetési egységekhez kötött életbiztosítás")</f>
        <v/>
      </c>
      <c r="C4" s="112"/>
      <c r="D4" s="112"/>
      <c r="E4" s="112"/>
      <c r="F4" s="112"/>
      <c r="G4" s="112"/>
      <c r="H4" s="112"/>
      <c r="I4" s="112"/>
      <c r="J4" s="112"/>
      <c r="K4" s="112"/>
      <c r="L4" s="112"/>
      <c r="M4" s="112"/>
    </row>
    <row r="5" spans="2:13" x14ac:dyDescent="0.2">
      <c r="B5" s="112"/>
      <c r="C5" s="112"/>
      <c r="D5" s="112"/>
      <c r="E5" s="112"/>
      <c r="F5" s="112"/>
      <c r="G5" s="112"/>
      <c r="H5" s="112"/>
      <c r="I5" s="112"/>
      <c r="J5" s="112"/>
      <c r="K5" s="112"/>
      <c r="L5" s="112"/>
      <c r="M5" s="112"/>
    </row>
    <row r="8" spans="2:13" x14ac:dyDescent="0.2">
      <c r="B8" s="98" t="s">
        <v>194</v>
      </c>
      <c r="C8" s="98"/>
      <c r="D8" s="98"/>
      <c r="E8" s="104" t="str">
        <f>IF(OR(ISBLANK(Ajánlat!$E$7),ISBLANK(Ajánlat!$E$15),ISBLANK(Ajánlat!$E$5)),"",Ajánlat!$E$5)</f>
        <v/>
      </c>
      <c r="F8" s="104"/>
      <c r="G8" s="104"/>
      <c r="I8" s="98" t="s">
        <v>200</v>
      </c>
      <c r="J8" s="98"/>
      <c r="K8" s="98"/>
      <c r="L8" s="103" t="str">
        <f>IF(OR(ISBLANK(Ajánlat!$E$7),ISBLANK(Ajánlat!$E$15)),"",Ajánlat!$N$17)</f>
        <v/>
      </c>
      <c r="M8" s="103"/>
    </row>
    <row r="9" spans="2:13" x14ac:dyDescent="0.2">
      <c r="B9" s="98" t="s">
        <v>195</v>
      </c>
      <c r="C9" s="98"/>
      <c r="D9" s="98"/>
      <c r="E9" s="103" t="str">
        <f>IF(ISBLANK(Ajánlat!$E$7),"",Számítás_UL!$D$1)</f>
        <v/>
      </c>
      <c r="F9" s="103"/>
      <c r="G9" s="103"/>
      <c r="I9" s="98" t="s">
        <v>201</v>
      </c>
      <c r="J9" s="98"/>
      <c r="K9" s="98"/>
      <c r="L9" s="104" t="str">
        <f>IF(OR(ISBLANK(Ajánlat!$E$7),ISBLANK(Ajánlat!$E$15)),"",IF(ISBLANK(Ajánlat!$E$11),"Éves",Számítás_UL!$D$2))</f>
        <v/>
      </c>
      <c r="M9" s="104"/>
    </row>
    <row r="10" spans="2:13" x14ac:dyDescent="0.2">
      <c r="B10" s="98" t="s">
        <v>196</v>
      </c>
      <c r="C10" s="98"/>
      <c r="D10" s="98"/>
      <c r="E10" s="109" t="str">
        <f>IF(ISBLANK(Ajánlat!$E$7),"",Számítás_UL!$M$4)</f>
        <v/>
      </c>
      <c r="F10" s="109"/>
      <c r="G10" s="109"/>
      <c r="I10" s="98" t="s">
        <v>208</v>
      </c>
      <c r="J10" s="98"/>
      <c r="K10" s="98"/>
      <c r="L10" s="105" t="str">
        <f>IF(OR(ISBLANK(Ajánlat!$E$7),ISBLANK(Ajánlat!$E$15)),"",IF(ISBLANK(Ajánlat!$E$17),3%,Számítás_UL!$D$6))</f>
        <v/>
      </c>
      <c r="M10" s="105"/>
    </row>
    <row r="11" spans="2:13" x14ac:dyDescent="0.2">
      <c r="B11" s="98" t="str">
        <f>"A teljes, fizetendő "&amp;$L$9&amp;" díj:"</f>
        <v>A teljes, fizetendő  díj:</v>
      </c>
      <c r="C11" s="98"/>
      <c r="D11" s="98"/>
      <c r="E11" s="107" t="str">
        <f>IF(ISBLANK(Ajánlat!$E$15),"",Számítás_UL!$D$7+Számítás_UL!$M$3)</f>
        <v/>
      </c>
      <c r="F11" s="107"/>
      <c r="G11" s="107"/>
      <c r="I11" s="98" t="s">
        <v>209</v>
      </c>
      <c r="J11" s="98"/>
      <c r="K11" s="98"/>
      <c r="L11" s="104" t="str">
        <f>IF(OR(ISBLANK(Ajánlat!$E$7),ISBLANK(Ajánlat!$E$15)),"",IF(ISBLANK(Ajánlat!$N$7),"Premium",Számítás_UL!$D$5))</f>
        <v/>
      </c>
      <c r="M11" s="104"/>
    </row>
    <row r="12" spans="2:13" x14ac:dyDescent="0.2">
      <c r="B12" s="98" t="s">
        <v>197</v>
      </c>
      <c r="C12" s="98"/>
      <c r="D12" s="98"/>
      <c r="E12" s="104" t="str">
        <f>IF(OR(ISBLANK(Ajánlat!$E$7),ISBLANK(Ajánlat!$E$15)),"",IF(ISBLANK(Ajánlat!$E$13),"Átutalás",Számítás_UL!$D$3))</f>
        <v/>
      </c>
      <c r="F12" s="104"/>
      <c r="G12" s="104"/>
      <c r="I12" s="98" t="s">
        <v>213</v>
      </c>
      <c r="J12" s="98"/>
      <c r="K12" s="98"/>
      <c r="L12" s="107">
        <v>0</v>
      </c>
      <c r="M12" s="107"/>
    </row>
    <row r="15" spans="2:13" x14ac:dyDescent="0.2">
      <c r="B15" s="98" t="s">
        <v>198</v>
      </c>
      <c r="C15" s="98"/>
      <c r="D15" s="98"/>
      <c r="E15" s="104" t="str">
        <f>IF(OR(ISBLANK(Ajánlat!$E$7),ISBLANK(Ajánlat!$E$15)),"",IF(Ajánlat!$N$9="","Egyedi",Ajánlat!$N$9))</f>
        <v/>
      </c>
      <c r="F15" s="104"/>
      <c r="G15" s="104"/>
      <c r="I15" s="98" t="s">
        <v>211</v>
      </c>
      <c r="J15" s="98"/>
      <c r="K15" s="98"/>
      <c r="L15" s="106" t="str">
        <f>IF(OR(ISBLANK(Ajánlat!$E$7),ISBLANK(Ajánlat!$E$15)),"",Számítás_UL!$D$10)</f>
        <v/>
      </c>
      <c r="M15" s="106"/>
    </row>
    <row r="16" spans="2:13" x14ac:dyDescent="0.2">
      <c r="B16" s="98" t="s">
        <v>199</v>
      </c>
      <c r="C16" s="98"/>
      <c r="D16" s="98"/>
      <c r="E16" s="104" t="str">
        <f>IF(OR(ISBLANK(Ajánlat!$E$7),ISBLANK(Ajánlat!$E$15)),"",IF(Tranzakciók!$E$5="","Egyedi",Tranzakciók!$E$5))</f>
        <v/>
      </c>
      <c r="F16" s="104"/>
      <c r="G16" s="104"/>
      <c r="I16" s="98" t="s">
        <v>210</v>
      </c>
      <c r="J16" s="98"/>
      <c r="K16" s="98"/>
      <c r="L16" s="106" t="str">
        <f>IF(OR(ISBLANK(Ajánlat!$E$7),ISBLANK(Ajánlat!$E$15)),"",Számítás_UL!$D$11)</f>
        <v/>
      </c>
      <c r="M16" s="106"/>
    </row>
    <row r="19" spans="1:13" x14ac:dyDescent="0.2">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
      <c r="B20" s="98" t="s">
        <v>202</v>
      </c>
      <c r="C20" s="98"/>
      <c r="D20" s="98"/>
      <c r="E20" s="98"/>
      <c r="F20" s="98"/>
      <c r="G20" s="44" t="str">
        <f>IF(OR(ISBLANK(Ajánlat!$E$7),ISBLANK(Ajánlat!$E$15)),"",Számítás_UL!$D$9)</f>
        <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
      <c r="B21" s="98" t="s">
        <v>204</v>
      </c>
      <c r="C21" s="98"/>
      <c r="D21" s="98"/>
      <c r="E21" s="98"/>
      <c r="F21" s="98"/>
      <c r="G21" s="45" t="str">
        <f>IF(OR(ISBLANK(Ajánlat!$E$7),ISBLANK(Ajánlat!$E$15)),"",SUM(Számítás_UL!$H$20:$H$31))</f>
        <v/>
      </c>
      <c r="I21" s="102" t="s">
        <v>219</v>
      </c>
      <c r="J21" s="100"/>
      <c r="K21" s="100"/>
      <c r="L21" s="100"/>
      <c r="M21" s="101"/>
    </row>
    <row r="24" spans="1:13" ht="12.75" customHeight="1" x14ac:dyDescent="0.2">
      <c r="B24" s="110"/>
      <c r="C24" s="110" t="s">
        <v>181</v>
      </c>
      <c r="D24" s="110"/>
      <c r="E24" s="110"/>
      <c r="F24" s="110"/>
      <c r="G24" s="110"/>
      <c r="H24" s="110" t="s">
        <v>179</v>
      </c>
      <c r="I24" s="110"/>
      <c r="J24" s="110"/>
      <c r="K24" s="110"/>
      <c r="L24" s="110"/>
      <c r="M24" s="110" t="s">
        <v>138</v>
      </c>
    </row>
    <row r="25" spans="1:13" x14ac:dyDescent="0.2">
      <c r="B25" s="111"/>
      <c r="C25" s="111"/>
      <c r="D25" s="111"/>
      <c r="E25" s="111"/>
      <c r="F25" s="111"/>
      <c r="G25" s="111"/>
      <c r="H25" s="111"/>
      <c r="I25" s="111"/>
      <c r="J25" s="111"/>
      <c r="K25" s="111"/>
      <c r="L25" s="111"/>
      <c r="M25" s="111"/>
    </row>
    <row r="26" spans="1:13" x14ac:dyDescent="0.2">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
      <c r="B27" s="42"/>
      <c r="C27" s="60"/>
      <c r="D27" s="60"/>
      <c r="E27" s="60"/>
      <c r="F27" s="60"/>
      <c r="G27" s="60"/>
      <c r="H27" s="60"/>
      <c r="I27" s="60"/>
      <c r="J27" s="60"/>
      <c r="K27" s="60"/>
      <c r="L27" s="60"/>
      <c r="M27" s="60"/>
    </row>
    <row r="28" spans="1:13" x14ac:dyDescent="0.2">
      <c r="A28" s="46">
        <f>$B28*12</f>
        <v>12</v>
      </c>
      <c r="B28" s="47">
        <v>1</v>
      </c>
      <c r="C28" s="48">
        <f ca="1">IF(Számítás_UL!$G$1="OK",SUMIF(Számítás_UL!$B$20:$B$1027,"&lt;="&amp;$B28,Számítás_UL!$J$20:$J$1027),0)</f>
        <v>0</v>
      </c>
      <c r="D28" s="48">
        <f ca="1">IF(Számítás_UL!$G$1="OK",SUMIF(Tranzakciók!$B$32:$B$115,"&lt;="&amp;$B28,Tranzakciók!$K$32:$K$115),0)</f>
        <v>0</v>
      </c>
      <c r="E28" s="48">
        <f ca="1">IF(Számítás_UL!$G$1="OK",SUMIF(Számítás_UL!$Z$20:$Z$1027,"&lt;="&amp;$B28,Számítás_UL!$AI$20:$AI$1027),0)</f>
        <v>0</v>
      </c>
      <c r="F28" s="48">
        <v>0</v>
      </c>
      <c r="G28" s="49">
        <f ca="1">$C28+$D28+$E28+$F28</f>
        <v>0</v>
      </c>
      <c r="H28" s="48">
        <f ca="1">IF(Számítás_UL!$G$1="OK",VLOOKUP($A28,Számítás_UL!$A$20:$W$1027,22,0),0)</f>
        <v>0</v>
      </c>
      <c r="I28" s="48">
        <f ca="1">IF(Számítás_UL!$G$1="OK",VLOOKUP($A28,Számítás_UL!$AM$20:$AZ$1027,13,0),0)</f>
        <v>0</v>
      </c>
      <c r="J28" s="48">
        <f ca="1">IF(Számítás_UL!$G$1="OK",VLOOKUP($A28,Számítás_UL!$Y$20:$AK$1027,12,0),0)</f>
        <v>0</v>
      </c>
      <c r="K28" s="48">
        <v>0</v>
      </c>
      <c r="L28" s="49">
        <f ca="1">$H28+$I28+$J28+$K28</f>
        <v>0</v>
      </c>
      <c r="M28" s="50">
        <f ca="1">IF(Számítás_UL!$G$1="OK",VLOOKUP($A28,Számítás_UL!$A$20:$W$1027,23,0)+VLOOKUP($A28,Számítás_UL!$AM$20:$AZ$1027,14,0)+VLOOKUP($A28,Számítás_UL!$Y$20:$AK$1027,13,0),0)</f>
        <v>0</v>
      </c>
    </row>
    <row r="29" spans="1:13" x14ac:dyDescent="0.2">
      <c r="A29" s="46">
        <f t="shared" ref="A29:A48" si="0">$B29*12</f>
        <v>24</v>
      </c>
      <c r="B29" s="51">
        <v>2</v>
      </c>
      <c r="C29" s="48">
        <f ca="1">IF(Számítás_UL!$G$1="OK",SUMIF(Számítás_UL!$B$20:$B$1027,"&lt;="&amp;$B29,Számítás_UL!$J$20:$J$1027),0)</f>
        <v>0</v>
      </c>
      <c r="D29" s="48">
        <f ca="1">IF(Számítás_UL!$G$1="OK",SUMIF(Tranzakciók!$B$32:$B$115,"&lt;="&amp;$B29,Tranzakciók!$K$32:$K$115),0)</f>
        <v>0</v>
      </c>
      <c r="E29" s="48">
        <f ca="1">IF(Számítás_UL!$G$1="OK",SUMIF(Számítás_UL!$Z$20:$Z$1027,"&lt;="&amp;$B29,Számítás_UL!$AI$20:$AI$1027),0)</f>
        <v>0</v>
      </c>
      <c r="F29" s="48">
        <v>0</v>
      </c>
      <c r="G29" s="49">
        <f t="shared" ref="G29:G48" ca="1" si="1">$C29+$D29+$E29+$F29</f>
        <v>0</v>
      </c>
      <c r="H29" s="48">
        <f ca="1">IF(Számítás_UL!$G$1="OK",VLOOKUP($A29,Számítás_UL!$A$20:$W$1027,22,0),0)</f>
        <v>0</v>
      </c>
      <c r="I29" s="48">
        <f ca="1">IF(Számítás_UL!$G$1="OK",VLOOKUP($A29,Számítás_UL!$AM$20:$AZ$1027,13,0),0)</f>
        <v>0</v>
      </c>
      <c r="J29" s="48">
        <f ca="1">IF(Számítás_UL!$G$1="OK",VLOOKUP($A29,Számítás_UL!$Y$20:$AK$1027,12,0),0)</f>
        <v>0</v>
      </c>
      <c r="K29" s="48">
        <v>0</v>
      </c>
      <c r="L29" s="49">
        <f t="shared" ref="L29:L48" ca="1" si="2">$H29+$I29+$J29+$K29</f>
        <v>0</v>
      </c>
      <c r="M29" s="50">
        <f ca="1">IF(Számítás_UL!$G$1="OK",VLOOKUP($A29,Számítás_UL!$A$20:$W$1027,23,0)+VLOOKUP($A29,Számítás_UL!$AM$20:$AZ$1027,14,0)+VLOOKUP($A29,Számítás_UL!$Y$20:$AK$1027,13,0),0)</f>
        <v>0</v>
      </c>
    </row>
    <row r="30" spans="1:13" x14ac:dyDescent="0.2">
      <c r="A30" s="46">
        <f t="shared" si="0"/>
        <v>36</v>
      </c>
      <c r="B30" s="51">
        <v>3</v>
      </c>
      <c r="C30" s="48">
        <f ca="1">IF(Számítás_UL!$G$1="OK",SUMIF(Számítás_UL!$B$20:$B$1027,"&lt;="&amp;$B30,Számítás_UL!$J$20:$J$1027),0)</f>
        <v>0</v>
      </c>
      <c r="D30" s="48">
        <f ca="1">IF(Számítás_UL!$G$1="OK",SUMIF(Tranzakciók!$B$32:$B$115,"&lt;="&amp;$B30,Tranzakciók!$K$32:$K$115),0)</f>
        <v>0</v>
      </c>
      <c r="E30" s="48">
        <f ca="1">IF(Számítás_UL!$G$1="OK",SUMIF(Számítás_UL!$Z$20:$Z$1027,"&lt;="&amp;$B30,Számítás_UL!$AI$20:$AI$1027),0)</f>
        <v>0</v>
      </c>
      <c r="F30" s="48">
        <v>0</v>
      </c>
      <c r="G30" s="49">
        <f t="shared" ca="1" si="1"/>
        <v>0</v>
      </c>
      <c r="H30" s="48">
        <f ca="1">IF(Számítás_UL!$G$1="OK",VLOOKUP($A30,Számítás_UL!$A$20:$W$1027,22,0),0)</f>
        <v>0</v>
      </c>
      <c r="I30" s="48">
        <f ca="1">IF(Számítás_UL!$G$1="OK",VLOOKUP($A30,Számítás_UL!$AM$20:$AZ$1027,13,0),0)</f>
        <v>0</v>
      </c>
      <c r="J30" s="48">
        <f ca="1">IF(Számítás_UL!$G$1="OK",VLOOKUP($A30,Számítás_UL!$Y$20:$AK$1027,12,0),0)</f>
        <v>0</v>
      </c>
      <c r="K30" s="48">
        <v>0</v>
      </c>
      <c r="L30" s="49">
        <f t="shared" ca="1" si="2"/>
        <v>0</v>
      </c>
      <c r="M30" s="50">
        <f ca="1">IF(Számítás_UL!$G$1="OK",VLOOKUP($A30,Számítás_UL!$A$20:$W$1027,23,0)+VLOOKUP($A30,Számítás_UL!$AM$20:$AZ$1027,14,0)+VLOOKUP($A30,Számítás_UL!$Y$20:$AK$1027,13,0),0)</f>
        <v>0</v>
      </c>
    </row>
    <row r="31" spans="1:13" x14ac:dyDescent="0.2">
      <c r="A31" s="46">
        <f t="shared" si="0"/>
        <v>48</v>
      </c>
      <c r="B31" s="51">
        <v>4</v>
      </c>
      <c r="C31" s="48">
        <f ca="1">IF(Számítás_UL!$G$1="OK",SUMIF(Számítás_UL!$B$20:$B$1027,"&lt;="&amp;$B31,Számítás_UL!$J$20:$J$1027),0)</f>
        <v>0</v>
      </c>
      <c r="D31" s="48">
        <f ca="1">IF(Számítás_UL!$G$1="OK",SUMIF(Tranzakciók!$B$32:$B$115,"&lt;="&amp;$B31,Tranzakciók!$K$32:$K$115),0)</f>
        <v>0</v>
      </c>
      <c r="E31" s="48">
        <f ca="1">IF(Számítás_UL!$G$1="OK",SUMIF(Számítás_UL!$Z$20:$Z$1027,"&lt;="&amp;$B31,Számítás_UL!$AI$20:$AI$1027),0)</f>
        <v>0</v>
      </c>
      <c r="F31" s="48">
        <v>0</v>
      </c>
      <c r="G31" s="49">
        <f t="shared" ca="1" si="1"/>
        <v>0</v>
      </c>
      <c r="H31" s="48">
        <f ca="1">IF(Számítás_UL!$G$1="OK",VLOOKUP($A31,Számítás_UL!$A$20:$W$1027,22,0),0)</f>
        <v>0</v>
      </c>
      <c r="I31" s="48">
        <f ca="1">IF(Számítás_UL!$G$1="OK",VLOOKUP($A31,Számítás_UL!$AM$20:$AZ$1027,13,0),0)</f>
        <v>0</v>
      </c>
      <c r="J31" s="48">
        <f ca="1">IF(Számítás_UL!$G$1="OK",VLOOKUP($A31,Számítás_UL!$Y$20:$AK$1027,12,0),0)</f>
        <v>0</v>
      </c>
      <c r="K31" s="48">
        <v>0</v>
      </c>
      <c r="L31" s="49">
        <f t="shared" ca="1" si="2"/>
        <v>0</v>
      </c>
      <c r="M31" s="50">
        <f ca="1">IF(Számítás_UL!$G$1="OK",VLOOKUP($A31,Számítás_UL!$A$20:$W$1027,23,0)+VLOOKUP($A31,Számítás_UL!$AM$20:$AZ$1027,14,0)+VLOOKUP($A31,Számítás_UL!$Y$20:$AK$1027,13,0),0)</f>
        <v>0</v>
      </c>
    </row>
    <row r="32" spans="1:13" x14ac:dyDescent="0.2">
      <c r="A32" s="46">
        <f t="shared" si="0"/>
        <v>60</v>
      </c>
      <c r="B32" s="51">
        <v>5</v>
      </c>
      <c r="C32" s="48">
        <f ca="1">IF(Számítás_UL!$G$1="OK",SUMIF(Számítás_UL!$B$20:$B$1027,"&lt;="&amp;$B32,Számítás_UL!$J$20:$J$1027),0)</f>
        <v>0</v>
      </c>
      <c r="D32" s="48">
        <f ca="1">IF(Számítás_UL!$G$1="OK",SUMIF(Tranzakciók!$B$32:$B$115,"&lt;="&amp;$B32,Tranzakciók!$K$32:$K$115),0)</f>
        <v>0</v>
      </c>
      <c r="E32" s="48">
        <f ca="1">IF(Számítás_UL!$G$1="OK",SUMIF(Számítás_UL!$Z$20:$Z$1027,"&lt;="&amp;$B32,Számítás_UL!$AI$20:$AI$1027),0)</f>
        <v>0</v>
      </c>
      <c r="F32" s="48">
        <v>0</v>
      </c>
      <c r="G32" s="49">
        <f t="shared" ca="1" si="1"/>
        <v>0</v>
      </c>
      <c r="H32" s="48">
        <f ca="1">IF(Számítás_UL!$G$1="OK",VLOOKUP($A32,Számítás_UL!$A$20:$W$1027,22,0),0)</f>
        <v>0</v>
      </c>
      <c r="I32" s="48">
        <f ca="1">IF(Számítás_UL!$G$1="OK",VLOOKUP($A32,Számítás_UL!$AM$20:$AZ$1027,13,0),0)</f>
        <v>0</v>
      </c>
      <c r="J32" s="48">
        <f ca="1">IF(Számítás_UL!$G$1="OK",VLOOKUP($A32,Számítás_UL!$Y$20:$AK$1027,12,0),0)</f>
        <v>0</v>
      </c>
      <c r="K32" s="48">
        <v>0</v>
      </c>
      <c r="L32" s="49">
        <f t="shared" ca="1" si="2"/>
        <v>0</v>
      </c>
      <c r="M32" s="50">
        <f ca="1">IF(Számítás_UL!$G$1="OK",VLOOKUP($A32,Számítás_UL!$A$20:$W$1027,23,0)+VLOOKUP($A32,Számítás_UL!$AM$20:$AZ$1027,14,0)+VLOOKUP($A32,Számítás_UL!$Y$20:$AK$1027,13,0),0)</f>
        <v>0</v>
      </c>
    </row>
    <row r="33" spans="1:13" x14ac:dyDescent="0.2">
      <c r="A33" s="46">
        <f t="shared" si="0"/>
        <v>72</v>
      </c>
      <c r="B33" s="51">
        <v>6</v>
      </c>
      <c r="C33" s="48">
        <f ca="1">IF(Számítás_UL!$G$1="OK",SUMIF(Számítás_UL!$B$20:$B$1027,"&lt;="&amp;$B33,Számítás_UL!$J$20:$J$1027),0)</f>
        <v>0</v>
      </c>
      <c r="D33" s="48">
        <f ca="1">IF(Számítás_UL!$G$1="OK",SUMIF(Tranzakciók!$B$32:$B$115,"&lt;="&amp;$B33,Tranzakciók!$K$32:$K$115),0)</f>
        <v>0</v>
      </c>
      <c r="E33" s="48">
        <f ca="1">IF(Számítás_UL!$G$1="OK",SUMIF(Számítás_UL!$Z$20:$Z$1027,"&lt;="&amp;$B33,Számítás_UL!$AI$20:$AI$1027),0)</f>
        <v>0</v>
      </c>
      <c r="F33" s="48">
        <v>0</v>
      </c>
      <c r="G33" s="49">
        <f t="shared" ca="1" si="1"/>
        <v>0</v>
      </c>
      <c r="H33" s="48">
        <f ca="1">IF(Számítás_UL!$G$1="OK",VLOOKUP($A33,Számítás_UL!$A$20:$W$1027,22,0),0)</f>
        <v>0</v>
      </c>
      <c r="I33" s="48">
        <f ca="1">IF(Számítás_UL!$G$1="OK",VLOOKUP($A33,Számítás_UL!$AM$20:$AZ$1027,13,0),0)</f>
        <v>0</v>
      </c>
      <c r="J33" s="48">
        <f ca="1">IF(Számítás_UL!$G$1="OK",VLOOKUP($A33,Számítás_UL!$Y$20:$AK$1027,12,0),0)</f>
        <v>0</v>
      </c>
      <c r="K33" s="48">
        <v>0</v>
      </c>
      <c r="L33" s="49">
        <f t="shared" ca="1" si="2"/>
        <v>0</v>
      </c>
      <c r="M33" s="50">
        <f ca="1">IF(Számítás_UL!$G$1="OK",VLOOKUP($A33,Számítás_UL!$A$20:$W$1027,23,0)+VLOOKUP($A33,Számítás_UL!$AM$20:$AZ$1027,14,0)+VLOOKUP($A33,Számítás_UL!$Y$20:$AK$1027,13,0),0)</f>
        <v>0</v>
      </c>
    </row>
    <row r="34" spans="1:13" x14ac:dyDescent="0.2">
      <c r="A34" s="46">
        <f t="shared" si="0"/>
        <v>84</v>
      </c>
      <c r="B34" s="51">
        <v>7</v>
      </c>
      <c r="C34" s="48">
        <f ca="1">IF(Számítás_UL!$G$1="OK",SUMIF(Számítás_UL!$B$20:$B$1027,"&lt;="&amp;$B34,Számítás_UL!$J$20:$J$1027),0)</f>
        <v>0</v>
      </c>
      <c r="D34" s="48">
        <f ca="1">IF(Számítás_UL!$G$1="OK",SUMIF(Tranzakciók!$B$32:$B$115,"&lt;="&amp;$B34,Tranzakciók!$K$32:$K$115),0)</f>
        <v>0</v>
      </c>
      <c r="E34" s="48">
        <f ca="1">IF(Számítás_UL!$G$1="OK",SUMIF(Számítás_UL!$Z$20:$Z$1027,"&lt;="&amp;$B34,Számítás_UL!$AI$20:$AI$1027),0)</f>
        <v>0</v>
      </c>
      <c r="F34" s="48">
        <v>0</v>
      </c>
      <c r="G34" s="49">
        <f t="shared" ca="1" si="1"/>
        <v>0</v>
      </c>
      <c r="H34" s="48">
        <f ca="1">IF(Számítás_UL!$G$1="OK",VLOOKUP($A34,Számítás_UL!$A$20:$W$1027,22,0),0)</f>
        <v>0</v>
      </c>
      <c r="I34" s="48">
        <f ca="1">IF(Számítás_UL!$G$1="OK",VLOOKUP($A34,Számítás_UL!$AM$20:$AZ$1027,13,0),0)</f>
        <v>0</v>
      </c>
      <c r="J34" s="48">
        <f ca="1">IF(Számítás_UL!$G$1="OK",VLOOKUP($A34,Számítás_UL!$Y$20:$AK$1027,12,0),0)</f>
        <v>0</v>
      </c>
      <c r="K34" s="48">
        <v>0</v>
      </c>
      <c r="L34" s="49">
        <f t="shared" ca="1" si="2"/>
        <v>0</v>
      </c>
      <c r="M34" s="50">
        <f ca="1">IF(Számítás_UL!$G$1="OK",VLOOKUP($A34,Számítás_UL!$A$20:$W$1027,23,0)+VLOOKUP($A34,Számítás_UL!$AM$20:$AZ$1027,14,0)+VLOOKUP($A34,Számítás_UL!$Y$20:$AK$1027,13,0),0)</f>
        <v>0</v>
      </c>
    </row>
    <row r="35" spans="1:13" x14ac:dyDescent="0.2">
      <c r="A35" s="46">
        <f t="shared" si="0"/>
        <v>96</v>
      </c>
      <c r="B35" s="51">
        <v>8</v>
      </c>
      <c r="C35" s="48">
        <f ca="1">IF(Számítás_UL!$G$1="OK",SUMIF(Számítás_UL!$B$20:$B$1027,"&lt;="&amp;$B35,Számítás_UL!$J$20:$J$1027),0)</f>
        <v>0</v>
      </c>
      <c r="D35" s="48">
        <f ca="1">IF(Számítás_UL!$G$1="OK",SUMIF(Tranzakciók!$B$32:$B$115,"&lt;="&amp;$B35,Tranzakciók!$K$32:$K$115),0)</f>
        <v>0</v>
      </c>
      <c r="E35" s="48">
        <f ca="1">IF(Számítás_UL!$G$1="OK",SUMIF(Számítás_UL!$Z$20:$Z$1027,"&lt;="&amp;$B35,Számítás_UL!$AI$20:$AI$1027),0)</f>
        <v>0</v>
      </c>
      <c r="F35" s="48">
        <v>0</v>
      </c>
      <c r="G35" s="49">
        <f t="shared" ca="1" si="1"/>
        <v>0</v>
      </c>
      <c r="H35" s="48">
        <f ca="1">IF(Számítás_UL!$G$1="OK",VLOOKUP($A35,Számítás_UL!$A$20:$W$1027,22,0),0)</f>
        <v>0</v>
      </c>
      <c r="I35" s="48">
        <f ca="1">IF(Számítás_UL!$G$1="OK",VLOOKUP($A35,Számítás_UL!$AM$20:$AZ$1027,13,0),0)</f>
        <v>0</v>
      </c>
      <c r="J35" s="48">
        <f ca="1">IF(Számítás_UL!$G$1="OK",VLOOKUP($A35,Számítás_UL!$Y$20:$AK$1027,12,0),0)</f>
        <v>0</v>
      </c>
      <c r="K35" s="48">
        <v>0</v>
      </c>
      <c r="L35" s="49">
        <f t="shared" ca="1" si="2"/>
        <v>0</v>
      </c>
      <c r="M35" s="50">
        <f ca="1">IF(Számítás_UL!$G$1="OK",VLOOKUP($A35,Számítás_UL!$A$20:$W$1027,23,0)+VLOOKUP($A35,Számítás_UL!$AM$20:$AZ$1027,14,0)+VLOOKUP($A35,Számítás_UL!$Y$20:$AK$1027,13,0),0)</f>
        <v>0</v>
      </c>
    </row>
    <row r="36" spans="1:13" x14ac:dyDescent="0.2">
      <c r="A36" s="46">
        <f t="shared" si="0"/>
        <v>108</v>
      </c>
      <c r="B36" s="51">
        <v>9</v>
      </c>
      <c r="C36" s="48">
        <f ca="1">IF(Számítás_UL!$G$1="OK",SUMIF(Számítás_UL!$B$20:$B$1027,"&lt;="&amp;$B36,Számítás_UL!$J$20:$J$1027),0)</f>
        <v>0</v>
      </c>
      <c r="D36" s="48">
        <f ca="1">IF(Számítás_UL!$G$1="OK",SUMIF(Tranzakciók!$B$32:$B$115,"&lt;="&amp;$B36,Tranzakciók!$K$32:$K$115),0)</f>
        <v>0</v>
      </c>
      <c r="E36" s="48">
        <f ca="1">IF(Számítás_UL!$G$1="OK",SUMIF(Számítás_UL!$Z$20:$Z$1027,"&lt;="&amp;$B36,Számítás_UL!$AI$20:$AI$1027),0)</f>
        <v>0</v>
      </c>
      <c r="F36" s="48">
        <v>0</v>
      </c>
      <c r="G36" s="49">
        <f t="shared" ca="1" si="1"/>
        <v>0</v>
      </c>
      <c r="H36" s="48">
        <f ca="1">IF(Számítás_UL!$G$1="OK",VLOOKUP($A36,Számítás_UL!$A$20:$W$1027,22,0),0)</f>
        <v>0</v>
      </c>
      <c r="I36" s="48">
        <f ca="1">IF(Számítás_UL!$G$1="OK",VLOOKUP($A36,Számítás_UL!$AM$20:$AZ$1027,13,0),0)</f>
        <v>0</v>
      </c>
      <c r="J36" s="48">
        <f ca="1">IF(Számítás_UL!$G$1="OK",VLOOKUP($A36,Számítás_UL!$Y$20:$AK$1027,12,0),0)</f>
        <v>0</v>
      </c>
      <c r="K36" s="48">
        <v>0</v>
      </c>
      <c r="L36" s="49">
        <f t="shared" ca="1" si="2"/>
        <v>0</v>
      </c>
      <c r="M36" s="50">
        <f ca="1">IF(Számítás_UL!$G$1="OK",VLOOKUP($A36,Számítás_UL!$A$20:$W$1027,23,0)+VLOOKUP($A36,Számítás_UL!$AM$20:$AZ$1027,14,0)+VLOOKUP($A36,Számítás_UL!$Y$20:$AK$1027,13,0),0)</f>
        <v>0</v>
      </c>
    </row>
    <row r="37" spans="1:13" x14ac:dyDescent="0.2">
      <c r="A37" s="46">
        <f t="shared" si="0"/>
        <v>120</v>
      </c>
      <c r="B37" s="51">
        <v>10</v>
      </c>
      <c r="C37" s="48">
        <f ca="1">IF(Számítás_UL!$G$1="OK",SUMIF(Számítás_UL!$B$20:$B$1027,"&lt;="&amp;$B37,Számítás_UL!$J$20:$J$1027),0)</f>
        <v>0</v>
      </c>
      <c r="D37" s="48">
        <f ca="1">IF(Számítás_UL!$G$1="OK",SUMIF(Tranzakciók!$B$32:$B$115,"&lt;="&amp;$B37,Tranzakciók!$K$32:$K$115),0)</f>
        <v>0</v>
      </c>
      <c r="E37" s="48">
        <f ca="1">IF(Számítás_UL!$G$1="OK",SUMIF(Számítás_UL!$Z$20:$Z$1027,"&lt;="&amp;$B37,Számítás_UL!$AI$20:$AI$1027),0)</f>
        <v>0</v>
      </c>
      <c r="F37" s="48">
        <v>0</v>
      </c>
      <c r="G37" s="49">
        <f t="shared" ca="1" si="1"/>
        <v>0</v>
      </c>
      <c r="H37" s="48">
        <f ca="1">IF(Számítás_UL!$G$1="OK",VLOOKUP($A37,Számítás_UL!$A$20:$W$1027,22,0),0)</f>
        <v>0</v>
      </c>
      <c r="I37" s="48">
        <f ca="1">IF(Számítás_UL!$G$1="OK",VLOOKUP($A37,Számítás_UL!$AM$20:$AZ$1027,13,0),0)</f>
        <v>0</v>
      </c>
      <c r="J37" s="48">
        <f ca="1">IF(Számítás_UL!$G$1="OK",VLOOKUP($A37,Számítás_UL!$Y$20:$AK$1027,12,0),0)</f>
        <v>0</v>
      </c>
      <c r="K37" s="48">
        <v>0</v>
      </c>
      <c r="L37" s="49">
        <f t="shared" ca="1" si="2"/>
        <v>0</v>
      </c>
      <c r="M37" s="50">
        <f ca="1">IF(Számítás_UL!$G$1="OK",VLOOKUP($A37,Számítás_UL!$A$20:$W$1027,23,0)+VLOOKUP($A37,Számítás_UL!$AM$20:$AZ$1027,14,0)+VLOOKUP($A37,Számítás_UL!$Y$20:$AK$1027,13,0),0)</f>
        <v>0</v>
      </c>
    </row>
    <row r="38" spans="1:13" x14ac:dyDescent="0.2">
      <c r="A38" s="46">
        <f t="shared" si="0"/>
        <v>180</v>
      </c>
      <c r="B38" s="51">
        <v>15</v>
      </c>
      <c r="C38" s="48">
        <f ca="1">IF(Számítás_UL!$G$1="OK",SUMIF(Számítás_UL!$B$20:$B$1027,"&lt;="&amp;$B38,Számítás_UL!$J$20:$J$1027),0)</f>
        <v>0</v>
      </c>
      <c r="D38" s="48">
        <f ca="1">IF(Számítás_UL!$G$1="OK",SUMIF(Tranzakciók!$B$32:$B$115,"&lt;="&amp;$B38,Tranzakciók!$K$32:$K$115),0)</f>
        <v>0</v>
      </c>
      <c r="E38" s="48">
        <f ca="1">IF(Számítás_UL!$G$1="OK",SUMIF(Számítás_UL!$Z$20:$Z$1027,"&lt;="&amp;$B38,Számítás_UL!$AI$20:$AI$1027),0)</f>
        <v>0</v>
      </c>
      <c r="F38" s="48">
        <v>0</v>
      </c>
      <c r="G38" s="49">
        <f t="shared" ca="1" si="1"/>
        <v>0</v>
      </c>
      <c r="H38" s="48">
        <f ca="1">IF(Számítás_UL!$G$1="OK",VLOOKUP($A38,Számítás_UL!$A$20:$W$1027,22,0),0)</f>
        <v>0</v>
      </c>
      <c r="I38" s="48">
        <f ca="1">IF(Számítás_UL!$G$1="OK",VLOOKUP($A38,Számítás_UL!$AM$20:$AZ$1027,13,0),0)</f>
        <v>0</v>
      </c>
      <c r="J38" s="48">
        <f ca="1">IF(Számítás_UL!$G$1="OK",VLOOKUP($A38,Számítás_UL!$Y$20:$AK$1027,12,0),0)</f>
        <v>0</v>
      </c>
      <c r="K38" s="48">
        <v>0</v>
      </c>
      <c r="L38" s="49">
        <f t="shared" ca="1" si="2"/>
        <v>0</v>
      </c>
      <c r="M38" s="50">
        <f ca="1">IF(Számítás_UL!$G$1="OK",VLOOKUP($A38,Számítás_UL!$A$20:$W$1027,23,0)+VLOOKUP($A38,Számítás_UL!$AM$20:$AZ$1027,14,0)+VLOOKUP($A38,Számítás_UL!$Y$20:$AK$1027,13,0),0)</f>
        <v>0</v>
      </c>
    </row>
    <row r="39" spans="1:13" x14ac:dyDescent="0.2">
      <c r="A39" s="46">
        <f t="shared" si="0"/>
        <v>240</v>
      </c>
      <c r="B39" s="51">
        <v>20</v>
      </c>
      <c r="C39" s="48">
        <f ca="1">IF(Számítás_UL!$G$1="OK",SUMIF(Számítás_UL!$B$20:$B$1027,"&lt;="&amp;$B39,Számítás_UL!$J$20:$J$1027),0)</f>
        <v>0</v>
      </c>
      <c r="D39" s="48">
        <f ca="1">IF(Számítás_UL!$G$1="OK",SUMIF(Tranzakciók!$B$32:$B$115,"&lt;="&amp;$B39,Tranzakciók!$K$32:$K$115),0)</f>
        <v>0</v>
      </c>
      <c r="E39" s="48">
        <f ca="1">IF(Számítás_UL!$G$1="OK",SUMIF(Számítás_UL!$Z$20:$Z$1027,"&lt;="&amp;$B39,Számítás_UL!$AI$20:$AI$1027),0)</f>
        <v>0</v>
      </c>
      <c r="F39" s="48">
        <v>0</v>
      </c>
      <c r="G39" s="49">
        <f t="shared" ca="1" si="1"/>
        <v>0</v>
      </c>
      <c r="H39" s="48">
        <f ca="1">IF(Számítás_UL!$G$1="OK",VLOOKUP($A39,Számítás_UL!$A$20:$W$1027,22,0),0)</f>
        <v>0</v>
      </c>
      <c r="I39" s="48">
        <f ca="1">IF(Számítás_UL!$G$1="OK",VLOOKUP($A39,Számítás_UL!$AM$20:$AZ$1027,13,0),0)</f>
        <v>0</v>
      </c>
      <c r="J39" s="48">
        <f ca="1">IF(Számítás_UL!$G$1="OK",VLOOKUP($A39,Számítás_UL!$Y$20:$AK$1027,12,0),0)</f>
        <v>0</v>
      </c>
      <c r="K39" s="48">
        <v>0</v>
      </c>
      <c r="L39" s="49">
        <f t="shared" ca="1" si="2"/>
        <v>0</v>
      </c>
      <c r="M39" s="50">
        <f ca="1">IF(Számítás_UL!$G$1="OK",VLOOKUP($A39,Számítás_UL!$A$20:$W$1027,23,0)+VLOOKUP($A39,Számítás_UL!$AM$20:$AZ$1027,14,0)+VLOOKUP($A39,Számítás_UL!$Y$20:$AK$1027,13,0),0)</f>
        <v>0</v>
      </c>
    </row>
    <row r="40" spans="1:13" x14ac:dyDescent="0.2">
      <c r="A40" s="46">
        <f t="shared" si="0"/>
        <v>300</v>
      </c>
      <c r="B40" s="51">
        <v>25</v>
      </c>
      <c r="C40" s="48">
        <f ca="1">IF(Számítás_UL!$G$1="OK",SUMIF(Számítás_UL!$B$20:$B$1027,"&lt;="&amp;$B40,Számítás_UL!$J$20:$J$1027),0)</f>
        <v>0</v>
      </c>
      <c r="D40" s="48">
        <f ca="1">IF(Számítás_UL!$G$1="OK",SUMIF(Tranzakciók!$B$32:$B$115,"&lt;="&amp;$B40,Tranzakciók!$K$32:$K$115),0)</f>
        <v>0</v>
      </c>
      <c r="E40" s="48">
        <f ca="1">IF(Számítás_UL!$G$1="OK",SUMIF(Számítás_UL!$Z$20:$Z$1027,"&lt;="&amp;$B40,Számítás_UL!$AI$20:$AI$1027),0)</f>
        <v>0</v>
      </c>
      <c r="F40" s="48">
        <v>0</v>
      </c>
      <c r="G40" s="49">
        <f t="shared" ca="1" si="1"/>
        <v>0</v>
      </c>
      <c r="H40" s="48">
        <f ca="1">IF(Számítás_UL!$G$1="OK",VLOOKUP($A40,Számítás_UL!$A$20:$W$1027,22,0),0)</f>
        <v>0</v>
      </c>
      <c r="I40" s="48">
        <f ca="1">IF(Számítás_UL!$G$1="OK",VLOOKUP($A40,Számítás_UL!$AM$20:$AZ$1027,13,0),0)</f>
        <v>0</v>
      </c>
      <c r="J40" s="48">
        <f ca="1">IF(Számítás_UL!$G$1="OK",VLOOKUP($A40,Számítás_UL!$Y$20:$AK$1027,12,0),0)</f>
        <v>0</v>
      </c>
      <c r="K40" s="48">
        <v>0</v>
      </c>
      <c r="L40" s="49">
        <f t="shared" ca="1" si="2"/>
        <v>0</v>
      </c>
      <c r="M40" s="50">
        <f ca="1">IF(Számítás_UL!$G$1="OK",VLOOKUP($A40,Számítás_UL!$A$20:$W$1027,23,0)+VLOOKUP($A40,Számítás_UL!$AM$20:$AZ$1027,14,0)+VLOOKUP($A40,Számítás_UL!$Y$20:$AK$1027,13,0),0)</f>
        <v>0</v>
      </c>
    </row>
    <row r="41" spans="1:13" x14ac:dyDescent="0.2">
      <c r="A41" s="46">
        <f t="shared" si="0"/>
        <v>360</v>
      </c>
      <c r="B41" s="51">
        <v>30</v>
      </c>
      <c r="C41" s="48">
        <f ca="1">IF(Számítás_UL!$G$1="OK",SUMIF(Számítás_UL!$B$20:$B$1027,"&lt;="&amp;$B41,Számítás_UL!$J$20:$J$1027),0)</f>
        <v>0</v>
      </c>
      <c r="D41" s="48">
        <f ca="1">IF(Számítás_UL!$G$1="OK",SUMIF(Tranzakciók!$B$32:$B$115,"&lt;="&amp;$B41,Tranzakciók!$K$32:$K$115),0)</f>
        <v>0</v>
      </c>
      <c r="E41" s="48">
        <f ca="1">IF(Számítás_UL!$G$1="OK",SUMIF(Számítás_UL!$Z$20:$Z$1027,"&lt;="&amp;$B41,Számítás_UL!$AI$20:$AI$1027),0)</f>
        <v>0</v>
      </c>
      <c r="F41" s="48">
        <v>0</v>
      </c>
      <c r="G41" s="49">
        <f t="shared" ca="1" si="1"/>
        <v>0</v>
      </c>
      <c r="H41" s="48">
        <f ca="1">IF(Számítás_UL!$G$1="OK",VLOOKUP($A41,Számítás_UL!$A$20:$W$1027,22,0),0)</f>
        <v>0</v>
      </c>
      <c r="I41" s="48">
        <f ca="1">IF(Számítás_UL!$G$1="OK",VLOOKUP($A41,Számítás_UL!$AM$20:$AZ$1027,13,0),0)</f>
        <v>0</v>
      </c>
      <c r="J41" s="48">
        <f ca="1">IF(Számítás_UL!$G$1="OK",VLOOKUP($A41,Számítás_UL!$Y$20:$AK$1027,12,0),0)</f>
        <v>0</v>
      </c>
      <c r="K41" s="48">
        <v>0</v>
      </c>
      <c r="L41" s="49">
        <f t="shared" ca="1" si="2"/>
        <v>0</v>
      </c>
      <c r="M41" s="50">
        <f ca="1">IF(Számítás_UL!$G$1="OK",VLOOKUP($A41,Számítás_UL!$A$20:$W$1027,23,0)+VLOOKUP($A41,Számítás_UL!$AM$20:$AZ$1027,14,0)+VLOOKUP($A41,Számítás_UL!$Y$20:$AK$1027,13,0),0)</f>
        <v>0</v>
      </c>
    </row>
    <row r="42" spans="1:13" x14ac:dyDescent="0.2">
      <c r="A42" s="46">
        <f t="shared" si="0"/>
        <v>420</v>
      </c>
      <c r="B42" s="51">
        <v>35</v>
      </c>
      <c r="C42" s="48">
        <f ca="1">IF(Számítás_UL!$G$1="OK",SUMIF(Számítás_UL!$B$20:$B$1027,"&lt;="&amp;$B42,Számítás_UL!$J$20:$J$1027),0)</f>
        <v>0</v>
      </c>
      <c r="D42" s="48">
        <f ca="1">IF(Számítás_UL!$G$1="OK",SUMIF(Tranzakciók!$B$32:$B$115,"&lt;="&amp;$B42,Tranzakciók!$K$32:$K$115),0)</f>
        <v>0</v>
      </c>
      <c r="E42" s="48">
        <f ca="1">IF(Számítás_UL!$G$1="OK",SUMIF(Számítás_UL!$Z$20:$Z$1027,"&lt;="&amp;$B42,Számítás_UL!$AI$20:$AI$1027),0)</f>
        <v>0</v>
      </c>
      <c r="F42" s="48">
        <v>0</v>
      </c>
      <c r="G42" s="49">
        <f t="shared" ca="1" si="1"/>
        <v>0</v>
      </c>
      <c r="H42" s="48">
        <f ca="1">IF(Számítás_UL!$G$1="OK",VLOOKUP($A42,Számítás_UL!$A$20:$W$1027,22,0),0)</f>
        <v>0</v>
      </c>
      <c r="I42" s="48">
        <f ca="1">IF(Számítás_UL!$G$1="OK",VLOOKUP($A42,Számítás_UL!$AM$20:$AZ$1027,13,0),0)</f>
        <v>0</v>
      </c>
      <c r="J42" s="48">
        <f ca="1">IF(Számítás_UL!$G$1="OK",VLOOKUP($A42,Számítás_UL!$Y$20:$AK$1027,12,0),0)</f>
        <v>0</v>
      </c>
      <c r="K42" s="48">
        <v>0</v>
      </c>
      <c r="L42" s="49">
        <f t="shared" ca="1" si="2"/>
        <v>0</v>
      </c>
      <c r="M42" s="50">
        <f ca="1">IF(Számítás_UL!$G$1="OK",VLOOKUP($A42,Számítás_UL!$A$20:$W$1027,23,0)+VLOOKUP($A42,Számítás_UL!$AM$20:$AZ$1027,14,0)+VLOOKUP($A42,Számítás_UL!$Y$20:$AK$1027,13,0),0)</f>
        <v>0</v>
      </c>
    </row>
    <row r="43" spans="1:13" x14ac:dyDescent="0.2">
      <c r="A43" s="46">
        <f t="shared" si="0"/>
        <v>480</v>
      </c>
      <c r="B43" s="51">
        <v>40</v>
      </c>
      <c r="C43" s="48">
        <f ca="1">IF(Számítás_UL!$G$1="OK",SUMIF(Számítás_UL!$B$20:$B$1027,"&lt;="&amp;$B43,Számítás_UL!$J$20:$J$1027),0)</f>
        <v>0</v>
      </c>
      <c r="D43" s="48">
        <f ca="1">IF(Számítás_UL!$G$1="OK",SUMIF(Tranzakciók!$B$32:$B$115,"&lt;="&amp;$B43,Tranzakciók!$K$32:$K$115),0)</f>
        <v>0</v>
      </c>
      <c r="E43" s="48">
        <f ca="1">IF(Számítás_UL!$G$1="OK",SUMIF(Számítás_UL!$Z$20:$Z$1027,"&lt;="&amp;$B43,Számítás_UL!$AI$20:$AI$1027),0)</f>
        <v>0</v>
      </c>
      <c r="F43" s="48">
        <v>0</v>
      </c>
      <c r="G43" s="49">
        <f t="shared" ca="1" si="1"/>
        <v>0</v>
      </c>
      <c r="H43" s="48">
        <f ca="1">IF(Számítás_UL!$G$1="OK",VLOOKUP($A43,Számítás_UL!$A$20:$W$1027,22,0),0)</f>
        <v>0</v>
      </c>
      <c r="I43" s="48">
        <f ca="1">IF(Számítás_UL!$G$1="OK",VLOOKUP($A43,Számítás_UL!$AM$20:$AZ$1027,13,0),0)</f>
        <v>0</v>
      </c>
      <c r="J43" s="48">
        <f ca="1">IF(Számítás_UL!$G$1="OK",VLOOKUP($A43,Számítás_UL!$Y$20:$AK$1027,12,0),0)</f>
        <v>0</v>
      </c>
      <c r="K43" s="48">
        <v>0</v>
      </c>
      <c r="L43" s="49">
        <f t="shared" ca="1" si="2"/>
        <v>0</v>
      </c>
      <c r="M43" s="50">
        <f ca="1">IF(Számítás_UL!$G$1="OK",VLOOKUP($A43,Számítás_UL!$A$20:$W$1027,23,0)+VLOOKUP($A43,Számítás_UL!$AM$20:$AZ$1027,14,0)+VLOOKUP($A43,Számítás_UL!$Y$20:$AK$1027,13,0),0)</f>
        <v>0</v>
      </c>
    </row>
    <row r="44" spans="1:13" x14ac:dyDescent="0.2">
      <c r="A44" s="46">
        <f t="shared" si="0"/>
        <v>540</v>
      </c>
      <c r="B44" s="51">
        <v>45</v>
      </c>
      <c r="C44" s="48">
        <f ca="1">IF(Számítás_UL!$G$1="OK",SUMIF(Számítás_UL!$B$20:$B$1027,"&lt;="&amp;$B44,Számítás_UL!$J$20:$J$1027),0)</f>
        <v>0</v>
      </c>
      <c r="D44" s="48">
        <f ca="1">IF(Számítás_UL!$G$1="OK",SUMIF(Tranzakciók!$B$32:$B$115,"&lt;="&amp;$B44,Tranzakciók!$K$32:$K$115),0)</f>
        <v>0</v>
      </c>
      <c r="E44" s="48">
        <f ca="1">IF(Számítás_UL!$G$1="OK",SUMIF(Számítás_UL!$Z$20:$Z$1027,"&lt;="&amp;$B44,Számítás_UL!$AI$20:$AI$1027),0)</f>
        <v>0</v>
      </c>
      <c r="F44" s="48">
        <v>0</v>
      </c>
      <c r="G44" s="49">
        <f t="shared" ca="1" si="1"/>
        <v>0</v>
      </c>
      <c r="H44" s="48">
        <f ca="1">IF(Számítás_UL!$G$1="OK",VLOOKUP($A44,Számítás_UL!$A$20:$W$1027,22,0),0)</f>
        <v>0</v>
      </c>
      <c r="I44" s="48">
        <f ca="1">IF(Számítás_UL!$G$1="OK",VLOOKUP($A44,Számítás_UL!$AM$20:$AZ$1027,13,0),0)</f>
        <v>0</v>
      </c>
      <c r="J44" s="48">
        <f ca="1">IF(Számítás_UL!$G$1="OK",VLOOKUP($A44,Számítás_UL!$Y$20:$AK$1027,12,0),0)</f>
        <v>0</v>
      </c>
      <c r="K44" s="48">
        <v>0</v>
      </c>
      <c r="L44" s="49">
        <f t="shared" ca="1" si="2"/>
        <v>0</v>
      </c>
      <c r="M44" s="50">
        <f ca="1">IF(Számítás_UL!$G$1="OK",VLOOKUP($A44,Számítás_UL!$A$20:$W$1027,23,0)+VLOOKUP($A44,Számítás_UL!$AM$20:$AZ$1027,14,0)+VLOOKUP($A44,Számítás_UL!$Y$20:$AK$1027,13,0),0)</f>
        <v>0</v>
      </c>
    </row>
    <row r="45" spans="1:13" x14ac:dyDescent="0.2">
      <c r="A45" s="46">
        <f t="shared" si="0"/>
        <v>600</v>
      </c>
      <c r="B45" s="51">
        <v>50</v>
      </c>
      <c r="C45" s="48">
        <f ca="1">IF(Számítás_UL!$G$1="OK",SUMIF(Számítás_UL!$B$20:$B$1027,"&lt;="&amp;$B45,Számítás_UL!$J$20:$J$1027),0)</f>
        <v>0</v>
      </c>
      <c r="D45" s="48">
        <f ca="1">IF(Számítás_UL!$G$1="OK",SUMIF(Tranzakciók!$B$32:$B$115,"&lt;="&amp;$B45,Tranzakciók!$K$32:$K$115),0)</f>
        <v>0</v>
      </c>
      <c r="E45" s="48">
        <f ca="1">IF(Számítás_UL!$G$1="OK",SUMIF(Számítás_UL!$Z$20:$Z$1027,"&lt;="&amp;$B45,Számítás_UL!$AI$20:$AI$1027),0)</f>
        <v>0</v>
      </c>
      <c r="F45" s="48">
        <v>0</v>
      </c>
      <c r="G45" s="49">
        <f t="shared" ca="1" si="1"/>
        <v>0</v>
      </c>
      <c r="H45" s="48">
        <f ca="1">IF(Számítás_UL!$G$1="OK",VLOOKUP($A45,Számítás_UL!$A$20:$W$1027,22,0),0)</f>
        <v>0</v>
      </c>
      <c r="I45" s="48">
        <f ca="1">IF(Számítás_UL!$G$1="OK",VLOOKUP($A45,Számítás_UL!$AM$20:$AZ$1027,13,0),0)</f>
        <v>0</v>
      </c>
      <c r="J45" s="48">
        <f ca="1">IF(Számítás_UL!$G$1="OK",VLOOKUP($A45,Számítás_UL!$Y$20:$AK$1027,12,0),0)</f>
        <v>0</v>
      </c>
      <c r="K45" s="48">
        <v>0</v>
      </c>
      <c r="L45" s="49">
        <f t="shared" ca="1" si="2"/>
        <v>0</v>
      </c>
      <c r="M45" s="50">
        <f ca="1">IF(Számítás_UL!$G$1="OK",VLOOKUP($A45,Számítás_UL!$A$20:$W$1027,23,0)+VLOOKUP($A45,Számítás_UL!$AM$20:$AZ$1027,14,0)+VLOOKUP($A45,Számítás_UL!$Y$20:$AK$1027,13,0),0)</f>
        <v>0</v>
      </c>
    </row>
    <row r="46" spans="1:13" x14ac:dyDescent="0.2">
      <c r="A46" s="46">
        <f t="shared" si="0"/>
        <v>660</v>
      </c>
      <c r="B46" s="51">
        <v>55</v>
      </c>
      <c r="C46" s="48">
        <f ca="1">IF(Számítás_UL!$G$1="OK",SUMIF(Számítás_UL!$B$20:$B$1027,"&lt;="&amp;$B46,Számítás_UL!$J$20:$J$1027),0)</f>
        <v>0</v>
      </c>
      <c r="D46" s="48">
        <f ca="1">IF(Számítás_UL!$G$1="OK",SUMIF(Tranzakciók!$B$32:$B$115,"&lt;="&amp;$B46,Tranzakciók!$K$32:$K$115),0)</f>
        <v>0</v>
      </c>
      <c r="E46" s="48">
        <f ca="1">IF(Számítás_UL!$G$1="OK",SUMIF(Számítás_UL!$Z$20:$Z$1027,"&lt;="&amp;$B46,Számítás_UL!$AI$20:$AI$1027),0)</f>
        <v>0</v>
      </c>
      <c r="F46" s="48">
        <v>0</v>
      </c>
      <c r="G46" s="49">
        <f t="shared" ca="1" si="1"/>
        <v>0</v>
      </c>
      <c r="H46" s="48">
        <f ca="1">IF(Számítás_UL!$G$1="OK",VLOOKUP($A46,Számítás_UL!$A$20:$W$1027,22,0),0)</f>
        <v>0</v>
      </c>
      <c r="I46" s="48">
        <f ca="1">IF(Számítás_UL!$G$1="OK",VLOOKUP($A46,Számítás_UL!$AM$20:$AZ$1027,13,0),0)</f>
        <v>0</v>
      </c>
      <c r="J46" s="48">
        <f ca="1">IF(Számítás_UL!$G$1="OK",VLOOKUP($A46,Számítás_UL!$Y$20:$AK$1027,12,0),0)</f>
        <v>0</v>
      </c>
      <c r="K46" s="48">
        <v>0</v>
      </c>
      <c r="L46" s="49">
        <f t="shared" ca="1" si="2"/>
        <v>0</v>
      </c>
      <c r="M46" s="50">
        <f ca="1">IF(Számítás_UL!$G$1="OK",VLOOKUP($A46,Számítás_UL!$A$20:$W$1027,23,0)+VLOOKUP($A46,Számítás_UL!$AM$20:$AZ$1027,14,0)+VLOOKUP($A46,Számítás_UL!$Y$20:$AK$1027,13,0),0)</f>
        <v>0</v>
      </c>
    </row>
    <row r="47" spans="1:13" x14ac:dyDescent="0.2">
      <c r="A47" s="46">
        <f t="shared" si="0"/>
        <v>720</v>
      </c>
      <c r="B47" s="51">
        <v>60</v>
      </c>
      <c r="C47" s="48">
        <f ca="1">IF(Számítás_UL!$G$1="OK",SUMIF(Számítás_UL!$B$20:$B$1027,"&lt;="&amp;$B47,Számítás_UL!$J$20:$J$1027),0)</f>
        <v>0</v>
      </c>
      <c r="D47" s="48">
        <f ca="1">IF(Számítás_UL!$G$1="OK",SUMIF(Tranzakciók!$B$32:$B$115,"&lt;="&amp;$B47,Tranzakciók!$K$32:$K$115),0)</f>
        <v>0</v>
      </c>
      <c r="E47" s="48">
        <f ca="1">IF(Számítás_UL!$G$1="OK",SUMIF(Számítás_UL!$Z$20:$Z$1027,"&lt;="&amp;$B47,Számítás_UL!$AI$20:$AI$1027),0)</f>
        <v>0</v>
      </c>
      <c r="F47" s="48">
        <v>0</v>
      </c>
      <c r="G47" s="49">
        <f t="shared" ca="1" si="1"/>
        <v>0</v>
      </c>
      <c r="H47" s="48">
        <f ca="1">IF(Számítás_UL!$G$1="OK",VLOOKUP($A47,Számítás_UL!$A$20:$W$1027,22,0),0)</f>
        <v>0</v>
      </c>
      <c r="I47" s="48">
        <f ca="1">IF(Számítás_UL!$G$1="OK",VLOOKUP($A47,Számítás_UL!$AM$20:$AZ$1027,13,0),0)</f>
        <v>0</v>
      </c>
      <c r="J47" s="48">
        <f ca="1">IF(Számítás_UL!$G$1="OK",VLOOKUP($A47,Számítás_UL!$Y$20:$AK$1027,12,0),0)</f>
        <v>0</v>
      </c>
      <c r="K47" s="48">
        <v>0</v>
      </c>
      <c r="L47" s="49">
        <f t="shared" ca="1" si="2"/>
        <v>0</v>
      </c>
      <c r="M47" s="50">
        <f ca="1">IF(Számítás_UL!$G$1="OK",VLOOKUP($A47,Számítás_UL!$A$20:$W$1027,23,0)+VLOOKUP($A47,Számítás_UL!$AM$20:$AZ$1027,14,0)+VLOOKUP($A47,Számítás_UL!$Y$20:$AK$1027,13,0),0)</f>
        <v>0</v>
      </c>
    </row>
    <row r="48" spans="1:13" x14ac:dyDescent="0.2">
      <c r="A48" s="46">
        <f t="shared" si="0"/>
        <v>780</v>
      </c>
      <c r="B48" s="51">
        <v>65</v>
      </c>
      <c r="C48" s="48">
        <f ca="1">IF(Számítás_UL!$G$1="OK",SUMIF(Számítás_UL!$B$20:$B$1027,"&lt;="&amp;$B48,Számítás_UL!$J$20:$J$1027),0)</f>
        <v>0</v>
      </c>
      <c r="D48" s="48">
        <f ca="1">IF(Számítás_UL!$G$1="OK",SUMIF(Tranzakciók!$B$32:$B$115,"&lt;="&amp;$B48,Tranzakciók!$K$32:$K$115),0)</f>
        <v>0</v>
      </c>
      <c r="E48" s="48">
        <f ca="1">IF(Számítás_UL!$G$1="OK",SUMIF(Számítás_UL!$Z$20:$Z$1027,"&lt;="&amp;$B48,Számítás_UL!$AI$20:$AI$1027),0)</f>
        <v>0</v>
      </c>
      <c r="F48" s="48">
        <v>0</v>
      </c>
      <c r="G48" s="49">
        <f t="shared" ca="1" si="1"/>
        <v>0</v>
      </c>
      <c r="H48" s="48">
        <f ca="1">IF(Számítás_UL!$G$1="OK",VLOOKUP($A48,Számítás_UL!$A$20:$W$1027,22,0),0)</f>
        <v>0</v>
      </c>
      <c r="I48" s="48">
        <f ca="1">IF(Számítás_UL!$G$1="OK",VLOOKUP($A48,Számítás_UL!$AM$20:$AZ$1027,13,0),0)</f>
        <v>0</v>
      </c>
      <c r="J48" s="48">
        <f ca="1">IF(Számítás_UL!$G$1="OK",VLOOKUP($A48,Számítás_UL!$Y$20:$AK$1027,12,0),0)</f>
        <v>0</v>
      </c>
      <c r="K48" s="48">
        <v>0</v>
      </c>
      <c r="L48" s="49">
        <f t="shared" ca="1" si="2"/>
        <v>0</v>
      </c>
      <c r="M48" s="50">
        <f ca="1">IF(Számítás_UL!$G$1="OK",VLOOKUP($A48,Számítás_UL!$A$20:$W$1027,23,0)+VLOOKUP($A48,Számítás_UL!$AM$20:$AZ$1027,14,0)+VLOOKUP($A48,Számítás_UL!$Y$20:$AK$1027,13,0),0)</f>
        <v>0</v>
      </c>
    </row>
    <row r="51" spans="2:13" ht="51" customHeight="1" x14ac:dyDescent="0.2">
      <c r="B51" s="113" t="s">
        <v>221</v>
      </c>
      <c r="C51" s="113"/>
      <c r="D51" s="113"/>
      <c r="E51" s="113"/>
      <c r="F51" s="113"/>
      <c r="G51" s="113"/>
      <c r="H51" s="113"/>
      <c r="I51" s="113"/>
      <c r="J51" s="113"/>
      <c r="K51" s="113"/>
      <c r="L51" s="113"/>
      <c r="M51" s="113"/>
    </row>
    <row r="52" spans="2:13" ht="38.25" customHeight="1" x14ac:dyDescent="0.2">
      <c r="B52" s="114" t="s">
        <v>214</v>
      </c>
      <c r="C52" s="114"/>
      <c r="D52" s="114"/>
      <c r="E52" s="114"/>
      <c r="F52" s="114"/>
      <c r="G52" s="114"/>
      <c r="H52" s="114"/>
      <c r="I52" s="114"/>
      <c r="J52" s="114"/>
      <c r="K52" s="114"/>
      <c r="L52" s="114"/>
      <c r="M52" s="114"/>
    </row>
    <row r="53" spans="2:13" ht="12.75" customHeight="1" x14ac:dyDescent="0.2">
      <c r="B53" s="115" t="s">
        <v>215</v>
      </c>
      <c r="C53" s="115"/>
      <c r="D53" s="115"/>
      <c r="E53" s="115"/>
      <c r="F53" s="115"/>
      <c r="G53" s="115"/>
      <c r="H53" s="115"/>
      <c r="I53" s="115"/>
      <c r="J53" s="115"/>
      <c r="K53" s="115"/>
      <c r="L53" s="115"/>
      <c r="M53" s="115"/>
    </row>
    <row r="54" spans="2:13" ht="12.75" customHeight="1" x14ac:dyDescent="0.2">
      <c r="B54" s="115" t="s">
        <v>216</v>
      </c>
      <c r="C54" s="115"/>
      <c r="D54" s="115"/>
      <c r="E54" s="115"/>
      <c r="F54" s="115"/>
      <c r="G54" s="115"/>
      <c r="H54" s="115"/>
      <c r="I54" s="115"/>
      <c r="J54" s="115"/>
      <c r="K54" s="115"/>
      <c r="L54" s="115"/>
      <c r="M54" s="115"/>
    </row>
    <row r="55" spans="2:13" ht="12.75" customHeight="1" x14ac:dyDescent="0.2">
      <c r="B55" s="115" t="s">
        <v>218</v>
      </c>
      <c r="C55" s="115"/>
      <c r="D55" s="115"/>
      <c r="E55" s="115"/>
      <c r="F55" s="115"/>
      <c r="G55" s="115"/>
      <c r="H55" s="115"/>
      <c r="I55" s="115"/>
      <c r="J55" s="115"/>
      <c r="K55" s="115"/>
      <c r="L55" s="115"/>
      <c r="M55" s="115"/>
    </row>
  </sheetData>
  <sheetProtection password="D9D3" sheet="1" objects="1" scenarios="1"/>
  <mergeCells count="55">
    <mergeCell ref="B51:M51"/>
    <mergeCell ref="B52:M52"/>
    <mergeCell ref="B53:M53"/>
    <mergeCell ref="B54:M54"/>
    <mergeCell ref="B55:M55"/>
    <mergeCell ref="C24:G25"/>
    <mergeCell ref="H24:L25"/>
    <mergeCell ref="M24:M25"/>
    <mergeCell ref="B24:B26"/>
    <mergeCell ref="B4:M5"/>
    <mergeCell ref="E12:G12"/>
    <mergeCell ref="B12:D12"/>
    <mergeCell ref="B15:D15"/>
    <mergeCell ref="B16:D16"/>
    <mergeCell ref="E15:G15"/>
    <mergeCell ref="E16:G16"/>
    <mergeCell ref="I8:K8"/>
    <mergeCell ref="I9:K9"/>
    <mergeCell ref="I10:K10"/>
    <mergeCell ref="I11:K11"/>
    <mergeCell ref="I15:K15"/>
    <mergeCell ref="B1:F2"/>
    <mergeCell ref="E8:G8"/>
    <mergeCell ref="E9:G9"/>
    <mergeCell ref="E10:G10"/>
    <mergeCell ref="E11:G11"/>
    <mergeCell ref="B8:D8"/>
    <mergeCell ref="B9:D9"/>
    <mergeCell ref="B10:D10"/>
    <mergeCell ref="B11:D11"/>
    <mergeCell ref="I16:K16"/>
    <mergeCell ref="L8:M8"/>
    <mergeCell ref="L9:M9"/>
    <mergeCell ref="L10:M10"/>
    <mergeCell ref="L11:M11"/>
    <mergeCell ref="L15:M15"/>
    <mergeCell ref="L16:M16"/>
    <mergeCell ref="I12:K12"/>
    <mergeCell ref="L12:M12"/>
    <mergeCell ref="B20:F20"/>
    <mergeCell ref="B21:F21"/>
    <mergeCell ref="I19:M19"/>
    <mergeCell ref="I20:M20"/>
    <mergeCell ref="I21:M21"/>
    <mergeCell ref="C26:C27"/>
    <mergeCell ref="D26:D27"/>
    <mergeCell ref="E26:E27"/>
    <mergeCell ref="F26:F27"/>
    <mergeCell ref="G26:G27"/>
    <mergeCell ref="M26:M27"/>
    <mergeCell ref="H26:H27"/>
    <mergeCell ref="I26:I27"/>
    <mergeCell ref="J26:J27"/>
    <mergeCell ref="K26:K27"/>
    <mergeCell ref="L26:L27"/>
  </mergeCells>
  <pageMargins left="0.7" right="0.7" top="0.75" bottom="0.75" header="0.3" footer="0.3"/>
  <pageSetup paperSize="9" scale="65" orientation="landscape" r:id="rId1"/>
  <extLst>
    <ext xmlns:x14="http://schemas.microsoft.com/office/spreadsheetml/2009/9/main" uri="{78C0D931-6437-407d-A8EE-F0AAD7539E65}">
      <x14:conditionalFormattings>
        <x14:conditionalFormatting xmlns:xm="http://schemas.microsoft.com/office/excel/2006/main">
          <x14:cfRule type="expression" priority="9" id="{3114AC0D-3633-4E7E-B7AF-2C92C792F4D0}">
            <xm:f>Számítás_UL!$D$4="Euró"</xm:f>
            <x14:dxf>
              <numFmt numFmtId="170" formatCode="_-* #,##0.00\ [$€-1]_-;\-* #,##0.00\ [$€-1]_-;_-* &quot;-&quot;??\ [$€-1]_-;_-@_-"/>
            </x14:dxf>
          </x14:cfRule>
          <x14:cfRule type="expression" priority="10" id="{6E446F4F-97AD-4018-B34D-F6A6A29128F6}">
            <xm:f>Számítás_UL!$D$4="Forint"</xm:f>
            <x14:dxf>
              <numFmt numFmtId="169" formatCode="#,##0\ &quot;Ft&quot;"/>
            </x14:dxf>
          </x14:cfRule>
          <xm:sqref>C28:M48</xm:sqref>
        </x14:conditionalFormatting>
        <x14:conditionalFormatting xmlns:xm="http://schemas.microsoft.com/office/excel/2006/main">
          <x14:cfRule type="expression" priority="7" id="{C7E46FC3-4B77-4D5D-8FED-C2FB240A7263}">
            <xm:f>Számítás_UL!$D$4="Forint"</xm:f>
            <x14:dxf>
              <numFmt numFmtId="169" formatCode="#,##0\ &quot;Ft&quot;"/>
            </x14:dxf>
          </x14:cfRule>
          <x14:cfRule type="expression" priority="8" id="{B0C3B0CD-A431-4945-8D85-8FE597A2EBF9}">
            <xm:f>Számítás_UL!$D$4="Euró"</xm:f>
            <x14:dxf>
              <numFmt numFmtId="168" formatCode="#,##0.00\ [$€-1]"/>
            </x14:dxf>
          </x14:cfRule>
          <xm:sqref>E11:G11</xm:sqref>
        </x14:conditionalFormatting>
        <x14:conditionalFormatting xmlns:xm="http://schemas.microsoft.com/office/excel/2006/main">
          <x14:cfRule type="expression" priority="5" id="{4FA2BD97-1128-4E82-BF8F-89A83BF23221}">
            <xm:f>Számítás_UL!$D$4="Forint"</xm:f>
            <x14:dxf>
              <numFmt numFmtId="169" formatCode="#,##0\ &quot;Ft&quot;"/>
            </x14:dxf>
          </x14:cfRule>
          <x14:cfRule type="expression" priority="6" id="{F8DCA8CD-74F0-43EF-B5AC-8EE6F2440944}">
            <xm:f>Számítás_UL!$D$4="Euró"</xm:f>
            <x14:dxf>
              <numFmt numFmtId="168" formatCode="#,##0.00\ [$€-1]"/>
            </x14:dxf>
          </x14:cfRule>
          <xm:sqref>G21</xm:sqref>
        </x14:conditionalFormatting>
        <x14:conditionalFormatting xmlns:xm="http://schemas.microsoft.com/office/excel/2006/main">
          <x14:cfRule type="expression" priority="1" id="{8F89540D-E60C-439B-A4C4-66327E0DF95B}">
            <xm:f>Számítás_UL!$D$4="Forint"</xm:f>
            <x14:dxf>
              <numFmt numFmtId="169" formatCode="#,##0\ &quot;Ft&quot;"/>
            </x14:dxf>
          </x14:cfRule>
          <x14:cfRule type="expression" priority="2" id="{EA0397C1-4B4E-44A9-9D56-0B5A57A2D4C0}">
            <xm:f>Számítás_UL!$D$4="Euró"</xm:f>
            <x14:dxf>
              <numFmt numFmtId="168" formatCode="#,##0.00\ [$€-1]"/>
            </x14:dxf>
          </x14:cfRule>
          <xm:sqref>L12:M12</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A4CE4E"/>
  </sheetPr>
  <dimension ref="A1:M99"/>
  <sheetViews>
    <sheetView zoomScaleNormal="100" workbookViewId="0">
      <selection activeCell="B4" sqref="B4:M5"/>
    </sheetView>
  </sheetViews>
  <sheetFormatPr defaultRowHeight="12.75" x14ac:dyDescent="0.2"/>
  <cols>
    <col min="1" max="2" width="9.140625" style="28"/>
    <col min="3" max="13" width="15.85546875" style="28" customWidth="1"/>
    <col min="14" max="16384" width="9.140625" style="28"/>
  </cols>
  <sheetData>
    <row r="1" spans="2:13" x14ac:dyDescent="0.2">
      <c r="B1" s="108" t="s">
        <v>159</v>
      </c>
      <c r="C1" s="108"/>
      <c r="D1" s="108"/>
      <c r="E1" s="108"/>
      <c r="F1" s="108"/>
    </row>
    <row r="2" spans="2:13" x14ac:dyDescent="0.2">
      <c r="B2" s="108"/>
      <c r="C2" s="108"/>
      <c r="D2" s="108"/>
      <c r="E2" s="108"/>
      <c r="F2" s="108"/>
    </row>
    <row r="4" spans="2:13" ht="12.75" customHeight="1" x14ac:dyDescent="0.2">
      <c r="B4" s="112" t="str">
        <f>IF(OR(ISBLANK(Ajánlat!$E$7),ISBLANK(Ajánlat!$E$15)),"",Segédlet!$C$64&amp;"Manhattan "&amp;Segédlet!$B$64&amp;" befektetési egységekhez kötött életbiztosítás")</f>
        <v/>
      </c>
      <c r="C4" s="112"/>
      <c r="D4" s="112"/>
      <c r="E4" s="112"/>
      <c r="F4" s="112"/>
      <c r="G4" s="112"/>
      <c r="H4" s="112"/>
      <c r="I4" s="112"/>
      <c r="J4" s="112"/>
      <c r="K4" s="112"/>
      <c r="L4" s="112"/>
      <c r="M4" s="112"/>
    </row>
    <row r="5" spans="2:13" ht="12.75" customHeight="1" x14ac:dyDescent="0.2">
      <c r="B5" s="112"/>
      <c r="C5" s="112"/>
      <c r="D5" s="112"/>
      <c r="E5" s="112"/>
      <c r="F5" s="112"/>
      <c r="G5" s="112"/>
      <c r="H5" s="112"/>
      <c r="I5" s="112"/>
      <c r="J5" s="112"/>
      <c r="K5" s="112"/>
      <c r="L5" s="112"/>
      <c r="M5" s="112"/>
    </row>
    <row r="8" spans="2:13" x14ac:dyDescent="0.2">
      <c r="B8" s="98" t="s">
        <v>194</v>
      </c>
      <c r="C8" s="98"/>
      <c r="D8" s="98"/>
      <c r="E8" s="104" t="str">
        <f>IF(OR(ISBLANK(Ajánlat!$E$7),ISBLANK(Ajánlat!$E$15),ISBLANK(Ajánlat!$E$5)),"",Ajánlat!$E$5)</f>
        <v/>
      </c>
      <c r="F8" s="104"/>
      <c r="G8" s="104"/>
      <c r="I8" s="98" t="s">
        <v>200</v>
      </c>
      <c r="J8" s="98"/>
      <c r="K8" s="98"/>
      <c r="L8" s="103" t="str">
        <f>IF(OR(ISBLANK(Ajánlat!$E$7),ISBLANK(Ajánlat!$E$15)),"",Ajánlat!$N$17)</f>
        <v/>
      </c>
      <c r="M8" s="103"/>
    </row>
    <row r="9" spans="2:13" x14ac:dyDescent="0.2">
      <c r="B9" s="98" t="s">
        <v>195</v>
      </c>
      <c r="C9" s="98"/>
      <c r="D9" s="98"/>
      <c r="E9" s="103" t="str">
        <f>IF(ISBLANK(Ajánlat!$E$7),"",Számítás_UL!$D$1)</f>
        <v/>
      </c>
      <c r="F9" s="103"/>
      <c r="G9" s="103"/>
      <c r="I9" s="98" t="s">
        <v>201</v>
      </c>
      <c r="J9" s="98"/>
      <c r="K9" s="98"/>
      <c r="L9" s="104" t="str">
        <f>IF(OR(ISBLANK(Ajánlat!$E$7),ISBLANK(Ajánlat!$E$15)),"",IF(ISBLANK(Ajánlat!$E$11),"Éves",Számítás_UL!$D$2))</f>
        <v/>
      </c>
      <c r="M9" s="104"/>
    </row>
    <row r="10" spans="2:13" x14ac:dyDescent="0.2">
      <c r="B10" s="98" t="s">
        <v>196</v>
      </c>
      <c r="C10" s="98"/>
      <c r="D10" s="98"/>
      <c r="E10" s="109" t="str">
        <f>IF(ISBLANK(Ajánlat!$E$7),"",Számítás_UL!$M$4)</f>
        <v/>
      </c>
      <c r="F10" s="109"/>
      <c r="G10" s="109"/>
      <c r="I10" s="98" t="s">
        <v>208</v>
      </c>
      <c r="J10" s="98"/>
      <c r="K10" s="98"/>
      <c r="L10" s="105" t="str">
        <f>IF(OR(ISBLANK(Ajánlat!$E$7),ISBLANK(Ajánlat!$E$15)),"",IF(ISBLANK(Ajánlat!$E$17),3%,Számítás_UL!$D$6))</f>
        <v/>
      </c>
      <c r="M10" s="105"/>
    </row>
    <row r="11" spans="2:13" x14ac:dyDescent="0.2">
      <c r="B11" s="98" t="str">
        <f>"A teljes, fizetendő "&amp;$L$9&amp;" díj:"</f>
        <v>A teljes, fizetendő  díj:</v>
      </c>
      <c r="C11" s="98"/>
      <c r="D11" s="98"/>
      <c r="E11" s="107" t="str">
        <f>IF(ISBLANK(Ajánlat!$E$15),"",Számítás_UL!$D$7+Számítás_UL!$M$3)</f>
        <v/>
      </c>
      <c r="F11" s="107"/>
      <c r="G11" s="107"/>
      <c r="I11" s="98" t="s">
        <v>209</v>
      </c>
      <c r="J11" s="98"/>
      <c r="K11" s="98"/>
      <c r="L11" s="104" t="str">
        <f>IF(OR(ISBLANK(Ajánlat!$E$7),ISBLANK(Ajánlat!$E$15)),"",IF(ISBLANK(Ajánlat!$N$7),"Premium",Számítás_UL!$D$5))</f>
        <v/>
      </c>
      <c r="M11" s="104"/>
    </row>
    <row r="12" spans="2:13" x14ac:dyDescent="0.2">
      <c r="B12" s="98" t="s">
        <v>197</v>
      </c>
      <c r="C12" s="98"/>
      <c r="D12" s="98"/>
      <c r="E12" s="104" t="str">
        <f>IF(OR(ISBLANK(Ajánlat!$E$7),ISBLANK(Ajánlat!$E$15)),"",IF(ISBLANK(Ajánlat!$E$13),"Átutalás",Számítás_UL!$D$3))</f>
        <v/>
      </c>
      <c r="F12" s="104"/>
      <c r="G12" s="104"/>
      <c r="I12" s="98" t="s">
        <v>213</v>
      </c>
      <c r="J12" s="98"/>
      <c r="K12" s="98"/>
      <c r="L12" s="107">
        <v>0</v>
      </c>
      <c r="M12" s="107"/>
    </row>
    <row r="15" spans="2:13" x14ac:dyDescent="0.2">
      <c r="B15" s="98" t="s">
        <v>198</v>
      </c>
      <c r="C15" s="98"/>
      <c r="D15" s="98"/>
      <c r="E15" s="104" t="str">
        <f>IF(OR(ISBLANK(Ajánlat!$E$7),ISBLANK(Ajánlat!$E$15)),"",IF(Ajánlat!$N$9="","Egyedi",Ajánlat!$N$9))</f>
        <v/>
      </c>
      <c r="F15" s="104"/>
      <c r="G15" s="104"/>
      <c r="I15" s="98" t="s">
        <v>211</v>
      </c>
      <c r="J15" s="98"/>
      <c r="K15" s="98"/>
      <c r="L15" s="106" t="str">
        <f>IF(OR(ISBLANK(Ajánlat!$E$7),ISBLANK(Ajánlat!$E$15)),"",Számítás_UL!$D$10)</f>
        <v/>
      </c>
      <c r="M15" s="106"/>
    </row>
    <row r="16" spans="2:13" x14ac:dyDescent="0.2">
      <c r="B16" s="98" t="s">
        <v>199</v>
      </c>
      <c r="C16" s="98"/>
      <c r="D16" s="98"/>
      <c r="E16" s="104" t="str">
        <f>IF(OR(ISBLANK(Ajánlat!$E$7),ISBLANK(Ajánlat!$E$15)),"",IF(Tranzakciók!$E$5="","Egyedi",Tranzakciók!$E$5))</f>
        <v/>
      </c>
      <c r="F16" s="104"/>
      <c r="G16" s="104"/>
      <c r="I16" s="98" t="s">
        <v>210</v>
      </c>
      <c r="J16" s="98"/>
      <c r="K16" s="98"/>
      <c r="L16" s="106" t="str">
        <f>IF(OR(ISBLANK(Ajánlat!$E$7),ISBLANK(Ajánlat!$E$15)),"",Számítás_UL!$D$11)</f>
        <v/>
      </c>
      <c r="M16" s="106"/>
    </row>
    <row r="19" spans="1:13" x14ac:dyDescent="0.2">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
      <c r="B20" s="98" t="s">
        <v>202</v>
      </c>
      <c r="C20" s="98"/>
      <c r="D20" s="98"/>
      <c r="E20" s="98"/>
      <c r="F20" s="98"/>
      <c r="G20" s="44" t="str">
        <f>IF(OR(ISBLANK(Ajánlat!$E$7),ISBLANK(Ajánlat!$E$15)),"",Számítás_UL!$D$9)</f>
        <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
      <c r="B21" s="98" t="s">
        <v>204</v>
      </c>
      <c r="C21" s="98"/>
      <c r="D21" s="98"/>
      <c r="E21" s="98"/>
      <c r="F21" s="98"/>
      <c r="G21" s="45" t="str">
        <f>IF(OR(ISBLANK(Ajánlat!$E$7),ISBLANK(Ajánlat!$E$15)),"",SUM(Számítás_UL!$H$20:$H$31))</f>
        <v/>
      </c>
      <c r="I21" s="102" t="s">
        <v>220</v>
      </c>
      <c r="J21" s="100"/>
      <c r="K21" s="100"/>
      <c r="L21" s="100"/>
      <c r="M21" s="101"/>
    </row>
    <row r="24" spans="1:13" ht="12.75" customHeight="1" x14ac:dyDescent="0.2">
      <c r="B24" s="110"/>
      <c r="C24" s="110" t="s">
        <v>181</v>
      </c>
      <c r="D24" s="110"/>
      <c r="E24" s="110"/>
      <c r="F24" s="110"/>
      <c r="G24" s="110"/>
      <c r="H24" s="110" t="s">
        <v>179</v>
      </c>
      <c r="I24" s="110"/>
      <c r="J24" s="110"/>
      <c r="K24" s="110"/>
      <c r="L24" s="110"/>
      <c r="M24" s="110" t="s">
        <v>138</v>
      </c>
    </row>
    <row r="25" spans="1:13" x14ac:dyDescent="0.2">
      <c r="B25" s="111"/>
      <c r="C25" s="111"/>
      <c r="D25" s="111"/>
      <c r="E25" s="111"/>
      <c r="F25" s="111"/>
      <c r="G25" s="111"/>
      <c r="H25" s="111"/>
      <c r="I25" s="111"/>
      <c r="J25" s="111"/>
      <c r="K25" s="111"/>
      <c r="L25" s="111"/>
      <c r="M25" s="111"/>
    </row>
    <row r="26" spans="1:13" x14ac:dyDescent="0.2">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
      <c r="B27" s="42"/>
      <c r="C27" s="60"/>
      <c r="D27" s="60"/>
      <c r="E27" s="60"/>
      <c r="F27" s="60"/>
      <c r="G27" s="60"/>
      <c r="H27" s="60"/>
      <c r="I27" s="60"/>
      <c r="J27" s="60"/>
      <c r="K27" s="60"/>
      <c r="L27" s="60"/>
      <c r="M27" s="60"/>
    </row>
    <row r="28" spans="1:13" x14ac:dyDescent="0.2">
      <c r="A28" s="46">
        <f>$B28*12</f>
        <v>12</v>
      </c>
      <c r="B28" s="47">
        <v>1</v>
      </c>
      <c r="C28" s="48">
        <f ca="1">IF(Számítás_UL!$G$1="OK",SUMIF(Számítás_UL!$B$20:$B$1027,"="&amp;$B28,Számítás_UL!$J$20:$J$1027),0)</f>
        <v>0</v>
      </c>
      <c r="D28" s="48">
        <f ca="1">IF(Számítás_UL!$G$1="OK",SUMIF(Tranzakciók!$B$32:$B$115,"="&amp;$B28,Tranzakciók!$K$32:$K$115),0)</f>
        <v>0</v>
      </c>
      <c r="E28" s="48">
        <f ca="1">IF(Számítás_UL!$G$1="OK",SUMIF(Számítás_UL!$Z$20:$Z$1027,"="&amp;$B28,Számítás_UL!$AI$20:$AI$1027),0)</f>
        <v>0</v>
      </c>
      <c r="F28" s="48">
        <v>0</v>
      </c>
      <c r="G28" s="49">
        <f ca="1">$C28+$D28+$E28+$F28</f>
        <v>0</v>
      </c>
      <c r="H28" s="48">
        <f ca="1">IF(Számítás_UL!$G$1="OK",VLOOKUP($A28,Számítás_UL!$A$20:$W$1027,22,0),0)</f>
        <v>0</v>
      </c>
      <c r="I28" s="48">
        <f ca="1">IF(Számítás_UL!$G$1="OK",VLOOKUP($A28,Számítás_UL!$AM$20:$AZ$1027,13,0),0)</f>
        <v>0</v>
      </c>
      <c r="J28" s="48">
        <f ca="1">IF(Számítás_UL!$G$1="OK",VLOOKUP($A28,Számítás_UL!$Y$20:$AK$1027,12,0),0)</f>
        <v>0</v>
      </c>
      <c r="K28" s="48">
        <v>0</v>
      </c>
      <c r="L28" s="49">
        <f ca="1">$H28+$I28+$J28+$K28</f>
        <v>0</v>
      </c>
      <c r="M28" s="50">
        <f ca="1">IF(Számítás_UL!$G$1="OK",VLOOKUP($A28,Számítás_UL!$A$20:$W$1027,23,0)+VLOOKUP($A28,Számítás_UL!$AM$20:$AZ$1027,14,0)+VLOOKUP($A28,Számítás_UL!$Y$20:$AK$1027,13,0),0)</f>
        <v>0</v>
      </c>
    </row>
    <row r="29" spans="1:13" x14ac:dyDescent="0.2">
      <c r="A29" s="46">
        <f t="shared" ref="A29:A92" si="0">$B29*12</f>
        <v>24</v>
      </c>
      <c r="B29" s="51">
        <v>2</v>
      </c>
      <c r="C29" s="48">
        <f ca="1">IF(Számítás_UL!$G$1="OK",SUMIF(Számítás_UL!$B$20:$B$1027,"="&amp;$B29,Számítás_UL!$J$20:$J$1027),0)</f>
        <v>0</v>
      </c>
      <c r="D29" s="48">
        <f ca="1">IF(Számítás_UL!$G$1="OK",SUMIF(Tranzakciók!$B$32:$B$115,"="&amp;$B29,Tranzakciók!$K$32:$K$115),0)</f>
        <v>0</v>
      </c>
      <c r="E29" s="48">
        <f ca="1">IF(Számítás_UL!$G$1="OK",SUMIF(Számítás_UL!$Z$20:$Z$1027,"="&amp;$B29,Számítás_UL!$AI$20:$AI$1027),0)</f>
        <v>0</v>
      </c>
      <c r="F29" s="52">
        <v>0</v>
      </c>
      <c r="G29" s="53">
        <f t="shared" ref="G29:G38" ca="1" si="1">C29+D29+E29+F29</f>
        <v>0</v>
      </c>
      <c r="H29" s="48">
        <f ca="1">IF(Számítás_UL!$G$1="OK",VLOOKUP($A29,Számítás_UL!$A$20:$W$1027,22,0),0)</f>
        <v>0</v>
      </c>
      <c r="I29" s="48">
        <f ca="1">IF(Számítás_UL!$G$1="OK",VLOOKUP($A29,Számítás_UL!$AM$20:$AZ$1027,13,0),0)</f>
        <v>0</v>
      </c>
      <c r="J29" s="48">
        <f ca="1">IF(Számítás_UL!$G$1="OK",VLOOKUP($A29,Számítás_UL!$Y$20:$AK$1027,12,0),0)</f>
        <v>0</v>
      </c>
      <c r="K29" s="48">
        <v>0</v>
      </c>
      <c r="L29" s="49">
        <f t="shared" ref="L29:L92" ca="1" si="2">$H29+$I29+$J29+$K29</f>
        <v>0</v>
      </c>
      <c r="M29" s="50">
        <f ca="1">IF(Számítás_UL!$G$1="OK",VLOOKUP($A29,Számítás_UL!$A$20:$W$1027,23,0)+VLOOKUP($A29,Számítás_UL!$AM$20:$AZ$1027,14,0)+VLOOKUP($A29,Számítás_UL!$Y$20:$AK$1027,13,0),0)</f>
        <v>0</v>
      </c>
    </row>
    <row r="30" spans="1:13" x14ac:dyDescent="0.2">
      <c r="A30" s="46">
        <f t="shared" si="0"/>
        <v>36</v>
      </c>
      <c r="B30" s="51">
        <v>3</v>
      </c>
      <c r="C30" s="48">
        <f ca="1">IF(Számítás_UL!$G$1="OK",SUMIF(Számítás_UL!$B$20:$B$1027,"="&amp;$B30,Számítás_UL!$J$20:$J$1027),0)</f>
        <v>0</v>
      </c>
      <c r="D30" s="48">
        <f ca="1">IF(Számítás_UL!$G$1="OK",SUMIF(Tranzakciók!$B$32:$B$115,"="&amp;$B30,Tranzakciók!$K$32:$K$115),0)</f>
        <v>0</v>
      </c>
      <c r="E30" s="48">
        <f ca="1">IF(Számítás_UL!$G$1="OK",SUMIF(Számítás_UL!$Z$20:$Z$1027,"="&amp;$B30,Számítás_UL!$AI$20:$AI$1027),0)</f>
        <v>0</v>
      </c>
      <c r="F30" s="52">
        <v>0</v>
      </c>
      <c r="G30" s="53">
        <f t="shared" ca="1" si="1"/>
        <v>0</v>
      </c>
      <c r="H30" s="48">
        <f ca="1">IF(Számítás_UL!$G$1="OK",VLOOKUP($A30,Számítás_UL!$A$20:$W$1027,22,0),0)</f>
        <v>0</v>
      </c>
      <c r="I30" s="48">
        <f ca="1">IF(Számítás_UL!$G$1="OK",VLOOKUP($A30,Számítás_UL!$AM$20:$AZ$1027,13,0),0)</f>
        <v>0</v>
      </c>
      <c r="J30" s="48">
        <f ca="1">IF(Számítás_UL!$G$1="OK",VLOOKUP($A30,Számítás_UL!$Y$20:$AK$1027,12,0),0)</f>
        <v>0</v>
      </c>
      <c r="K30" s="48">
        <v>0</v>
      </c>
      <c r="L30" s="49">
        <f t="shared" ca="1" si="2"/>
        <v>0</v>
      </c>
      <c r="M30" s="50">
        <f ca="1">IF(Számítás_UL!$G$1="OK",VLOOKUP($A30,Számítás_UL!$A$20:$W$1027,23,0)+VLOOKUP($A30,Számítás_UL!$AM$20:$AZ$1027,14,0)+VLOOKUP($A30,Számítás_UL!$Y$20:$AK$1027,13,0),0)</f>
        <v>0</v>
      </c>
    </row>
    <row r="31" spans="1:13" x14ac:dyDescent="0.2">
      <c r="A31" s="46">
        <f t="shared" si="0"/>
        <v>48</v>
      </c>
      <c r="B31" s="51">
        <v>4</v>
      </c>
      <c r="C31" s="48">
        <f ca="1">IF(Számítás_UL!$G$1="OK",SUMIF(Számítás_UL!$B$20:$B$1027,"="&amp;$B31,Számítás_UL!$J$20:$J$1027),0)</f>
        <v>0</v>
      </c>
      <c r="D31" s="48">
        <f ca="1">IF(Számítás_UL!$G$1="OK",SUMIF(Tranzakciók!$B$32:$B$115,"="&amp;$B31,Tranzakciók!$K$32:$K$115),0)</f>
        <v>0</v>
      </c>
      <c r="E31" s="48">
        <f ca="1">IF(Számítás_UL!$G$1="OK",SUMIF(Számítás_UL!$Z$20:$Z$1027,"="&amp;$B31,Számítás_UL!$AI$20:$AI$1027),0)</f>
        <v>0</v>
      </c>
      <c r="F31" s="52">
        <v>0</v>
      </c>
      <c r="G31" s="53">
        <f t="shared" ca="1" si="1"/>
        <v>0</v>
      </c>
      <c r="H31" s="48">
        <f ca="1">IF(Számítás_UL!$G$1="OK",VLOOKUP($A31,Számítás_UL!$A$20:$W$1027,22,0),0)</f>
        <v>0</v>
      </c>
      <c r="I31" s="48">
        <f ca="1">IF(Számítás_UL!$G$1="OK",VLOOKUP($A31,Számítás_UL!$AM$20:$AZ$1027,13,0),0)</f>
        <v>0</v>
      </c>
      <c r="J31" s="48">
        <f ca="1">IF(Számítás_UL!$G$1="OK",VLOOKUP($A31,Számítás_UL!$Y$20:$AK$1027,12,0),0)</f>
        <v>0</v>
      </c>
      <c r="K31" s="48">
        <v>0</v>
      </c>
      <c r="L31" s="49">
        <f t="shared" ca="1" si="2"/>
        <v>0</v>
      </c>
      <c r="M31" s="50">
        <f ca="1">IF(Számítás_UL!$G$1="OK",VLOOKUP($A31,Számítás_UL!$A$20:$W$1027,23,0)+VLOOKUP($A31,Számítás_UL!$AM$20:$AZ$1027,14,0)+VLOOKUP($A31,Számítás_UL!$Y$20:$AK$1027,13,0),0)</f>
        <v>0</v>
      </c>
    </row>
    <row r="32" spans="1:13" x14ac:dyDescent="0.2">
      <c r="A32" s="46">
        <f t="shared" si="0"/>
        <v>60</v>
      </c>
      <c r="B32" s="51">
        <v>5</v>
      </c>
      <c r="C32" s="48">
        <f ca="1">IF(Számítás_UL!$G$1="OK",SUMIF(Számítás_UL!$B$20:$B$1027,"="&amp;$B32,Számítás_UL!$J$20:$J$1027),0)</f>
        <v>0</v>
      </c>
      <c r="D32" s="48">
        <f ca="1">IF(Számítás_UL!$G$1="OK",SUMIF(Tranzakciók!$B$32:$B$115,"="&amp;$B32,Tranzakciók!$K$32:$K$115),0)</f>
        <v>0</v>
      </c>
      <c r="E32" s="48">
        <f ca="1">IF(Számítás_UL!$G$1="OK",SUMIF(Számítás_UL!$Z$20:$Z$1027,"="&amp;$B32,Számítás_UL!$AI$20:$AI$1027),0)</f>
        <v>0</v>
      </c>
      <c r="F32" s="52">
        <v>0</v>
      </c>
      <c r="G32" s="53">
        <f t="shared" ca="1" si="1"/>
        <v>0</v>
      </c>
      <c r="H32" s="48">
        <f ca="1">IF(Számítás_UL!$G$1="OK",VLOOKUP($A32,Számítás_UL!$A$20:$W$1027,22,0),0)</f>
        <v>0</v>
      </c>
      <c r="I32" s="48">
        <f ca="1">IF(Számítás_UL!$G$1="OK",VLOOKUP($A32,Számítás_UL!$AM$20:$AZ$1027,13,0),0)</f>
        <v>0</v>
      </c>
      <c r="J32" s="48">
        <f ca="1">IF(Számítás_UL!$G$1="OK",VLOOKUP($A32,Számítás_UL!$Y$20:$AK$1027,12,0),0)</f>
        <v>0</v>
      </c>
      <c r="K32" s="48">
        <v>0</v>
      </c>
      <c r="L32" s="49">
        <f t="shared" ca="1" si="2"/>
        <v>0</v>
      </c>
      <c r="M32" s="50">
        <f ca="1">IF(Számítás_UL!$G$1="OK",VLOOKUP($A32,Számítás_UL!$A$20:$W$1027,23,0)+VLOOKUP($A32,Számítás_UL!$AM$20:$AZ$1027,14,0)+VLOOKUP($A32,Számítás_UL!$Y$20:$AK$1027,13,0),0)</f>
        <v>0</v>
      </c>
    </row>
    <row r="33" spans="1:13" x14ac:dyDescent="0.2">
      <c r="A33" s="46">
        <f t="shared" si="0"/>
        <v>72</v>
      </c>
      <c r="B33" s="51">
        <v>6</v>
      </c>
      <c r="C33" s="48">
        <f ca="1">IF(Számítás_UL!$G$1="OK",SUMIF(Számítás_UL!$B$20:$B$1027,"="&amp;$B33,Számítás_UL!$J$20:$J$1027),0)</f>
        <v>0</v>
      </c>
      <c r="D33" s="48">
        <f ca="1">IF(Számítás_UL!$G$1="OK",SUMIF(Tranzakciók!$B$32:$B$115,"="&amp;$B33,Tranzakciók!$K$32:$K$115),0)</f>
        <v>0</v>
      </c>
      <c r="E33" s="48">
        <f ca="1">IF(Számítás_UL!$G$1="OK",SUMIF(Számítás_UL!$Z$20:$Z$1027,"="&amp;$B33,Számítás_UL!$AI$20:$AI$1027),0)</f>
        <v>0</v>
      </c>
      <c r="F33" s="52">
        <v>0</v>
      </c>
      <c r="G33" s="53">
        <f t="shared" ca="1" si="1"/>
        <v>0</v>
      </c>
      <c r="H33" s="48">
        <f ca="1">IF(Számítás_UL!$G$1="OK",VLOOKUP($A33,Számítás_UL!$A$20:$W$1027,22,0),0)</f>
        <v>0</v>
      </c>
      <c r="I33" s="48">
        <f ca="1">IF(Számítás_UL!$G$1="OK",VLOOKUP($A33,Számítás_UL!$AM$20:$AZ$1027,13,0),0)</f>
        <v>0</v>
      </c>
      <c r="J33" s="48">
        <f ca="1">IF(Számítás_UL!$G$1="OK",VLOOKUP($A33,Számítás_UL!$Y$20:$AK$1027,12,0),0)</f>
        <v>0</v>
      </c>
      <c r="K33" s="48">
        <v>0</v>
      </c>
      <c r="L33" s="49">
        <f t="shared" ca="1" si="2"/>
        <v>0</v>
      </c>
      <c r="M33" s="50">
        <f ca="1">IF(Számítás_UL!$G$1="OK",VLOOKUP($A33,Számítás_UL!$A$20:$W$1027,23,0)+VLOOKUP($A33,Számítás_UL!$AM$20:$AZ$1027,14,0)+VLOOKUP($A33,Számítás_UL!$Y$20:$AK$1027,13,0),0)</f>
        <v>0</v>
      </c>
    </row>
    <row r="34" spans="1:13" x14ac:dyDescent="0.2">
      <c r="A34" s="46">
        <f t="shared" si="0"/>
        <v>84</v>
      </c>
      <c r="B34" s="51">
        <v>7</v>
      </c>
      <c r="C34" s="48">
        <f ca="1">IF(Számítás_UL!$G$1="OK",SUMIF(Számítás_UL!$B$20:$B$1027,"="&amp;$B34,Számítás_UL!$J$20:$J$1027),0)</f>
        <v>0</v>
      </c>
      <c r="D34" s="48">
        <f ca="1">IF(Számítás_UL!$G$1="OK",SUMIF(Tranzakciók!$B$32:$B$115,"="&amp;$B34,Tranzakciók!$K$32:$K$115),0)</f>
        <v>0</v>
      </c>
      <c r="E34" s="48">
        <f ca="1">IF(Számítás_UL!$G$1="OK",SUMIF(Számítás_UL!$Z$20:$Z$1027,"="&amp;$B34,Számítás_UL!$AI$20:$AI$1027),0)</f>
        <v>0</v>
      </c>
      <c r="F34" s="52">
        <v>0</v>
      </c>
      <c r="G34" s="53">
        <f t="shared" ca="1" si="1"/>
        <v>0</v>
      </c>
      <c r="H34" s="48">
        <f ca="1">IF(Számítás_UL!$G$1="OK",VLOOKUP($A34,Számítás_UL!$A$20:$W$1027,22,0),0)</f>
        <v>0</v>
      </c>
      <c r="I34" s="48">
        <f ca="1">IF(Számítás_UL!$G$1="OK",VLOOKUP($A34,Számítás_UL!$AM$20:$AZ$1027,13,0),0)</f>
        <v>0</v>
      </c>
      <c r="J34" s="48">
        <f ca="1">IF(Számítás_UL!$G$1="OK",VLOOKUP($A34,Számítás_UL!$Y$20:$AK$1027,12,0),0)</f>
        <v>0</v>
      </c>
      <c r="K34" s="48">
        <v>0</v>
      </c>
      <c r="L34" s="49">
        <f t="shared" ca="1" si="2"/>
        <v>0</v>
      </c>
      <c r="M34" s="50">
        <f ca="1">IF(Számítás_UL!$G$1="OK",VLOOKUP($A34,Számítás_UL!$A$20:$W$1027,23,0)+VLOOKUP($A34,Számítás_UL!$AM$20:$AZ$1027,14,0)+VLOOKUP($A34,Számítás_UL!$Y$20:$AK$1027,13,0),0)</f>
        <v>0</v>
      </c>
    </row>
    <row r="35" spans="1:13" x14ac:dyDescent="0.2">
      <c r="A35" s="46">
        <f t="shared" si="0"/>
        <v>96</v>
      </c>
      <c r="B35" s="51">
        <v>8</v>
      </c>
      <c r="C35" s="48">
        <f ca="1">IF(Számítás_UL!$G$1="OK",SUMIF(Számítás_UL!$B$20:$B$1027,"="&amp;$B35,Számítás_UL!$J$20:$J$1027),0)</f>
        <v>0</v>
      </c>
      <c r="D35" s="48">
        <f ca="1">IF(Számítás_UL!$G$1="OK",SUMIF(Tranzakciók!$B$32:$B$115,"="&amp;$B35,Tranzakciók!$K$32:$K$115),0)</f>
        <v>0</v>
      </c>
      <c r="E35" s="48">
        <f ca="1">IF(Számítás_UL!$G$1="OK",SUMIF(Számítás_UL!$Z$20:$Z$1027,"="&amp;$B35,Számítás_UL!$AI$20:$AI$1027),0)</f>
        <v>0</v>
      </c>
      <c r="F35" s="52">
        <v>0</v>
      </c>
      <c r="G35" s="53">
        <f t="shared" ca="1" si="1"/>
        <v>0</v>
      </c>
      <c r="H35" s="48">
        <f ca="1">IF(Számítás_UL!$G$1="OK",VLOOKUP($A35,Számítás_UL!$A$20:$W$1027,22,0),0)</f>
        <v>0</v>
      </c>
      <c r="I35" s="48">
        <f ca="1">IF(Számítás_UL!$G$1="OK",VLOOKUP($A35,Számítás_UL!$AM$20:$AZ$1027,13,0),0)</f>
        <v>0</v>
      </c>
      <c r="J35" s="48">
        <f ca="1">IF(Számítás_UL!$G$1="OK",VLOOKUP($A35,Számítás_UL!$Y$20:$AK$1027,12,0),0)</f>
        <v>0</v>
      </c>
      <c r="K35" s="48">
        <v>0</v>
      </c>
      <c r="L35" s="49">
        <f t="shared" ca="1" si="2"/>
        <v>0</v>
      </c>
      <c r="M35" s="50">
        <f ca="1">IF(Számítás_UL!$G$1="OK",VLOOKUP($A35,Számítás_UL!$A$20:$W$1027,23,0)+VLOOKUP($A35,Számítás_UL!$AM$20:$AZ$1027,14,0)+VLOOKUP($A35,Számítás_UL!$Y$20:$AK$1027,13,0),0)</f>
        <v>0</v>
      </c>
    </row>
    <row r="36" spans="1:13" x14ac:dyDescent="0.2">
      <c r="A36" s="46">
        <f t="shared" si="0"/>
        <v>108</v>
      </c>
      <c r="B36" s="51">
        <v>9</v>
      </c>
      <c r="C36" s="48">
        <f ca="1">IF(Számítás_UL!$G$1="OK",SUMIF(Számítás_UL!$B$20:$B$1027,"="&amp;$B36,Számítás_UL!$J$20:$J$1027),0)</f>
        <v>0</v>
      </c>
      <c r="D36" s="48">
        <f ca="1">IF(Számítás_UL!$G$1="OK",SUMIF(Tranzakciók!$B$32:$B$115,"="&amp;$B36,Tranzakciók!$K$32:$K$115),0)</f>
        <v>0</v>
      </c>
      <c r="E36" s="48">
        <f ca="1">IF(Számítás_UL!$G$1="OK",SUMIF(Számítás_UL!$Z$20:$Z$1027,"="&amp;$B36,Számítás_UL!$AI$20:$AI$1027),0)</f>
        <v>0</v>
      </c>
      <c r="F36" s="52">
        <v>0</v>
      </c>
      <c r="G36" s="53">
        <f t="shared" ca="1" si="1"/>
        <v>0</v>
      </c>
      <c r="H36" s="48">
        <f ca="1">IF(Számítás_UL!$G$1="OK",VLOOKUP($A36,Számítás_UL!$A$20:$W$1027,22,0),0)</f>
        <v>0</v>
      </c>
      <c r="I36" s="48">
        <f ca="1">IF(Számítás_UL!$G$1="OK",VLOOKUP($A36,Számítás_UL!$AM$20:$AZ$1027,13,0),0)</f>
        <v>0</v>
      </c>
      <c r="J36" s="48">
        <f ca="1">IF(Számítás_UL!$G$1="OK",VLOOKUP($A36,Számítás_UL!$Y$20:$AK$1027,12,0),0)</f>
        <v>0</v>
      </c>
      <c r="K36" s="48">
        <v>0</v>
      </c>
      <c r="L36" s="49">
        <f t="shared" ca="1" si="2"/>
        <v>0</v>
      </c>
      <c r="M36" s="50">
        <f ca="1">IF(Számítás_UL!$G$1="OK",VLOOKUP($A36,Számítás_UL!$A$20:$W$1027,23,0)+VLOOKUP($A36,Számítás_UL!$AM$20:$AZ$1027,14,0)+VLOOKUP($A36,Számítás_UL!$Y$20:$AK$1027,13,0),0)</f>
        <v>0</v>
      </c>
    </row>
    <row r="37" spans="1:13" x14ac:dyDescent="0.2">
      <c r="A37" s="46">
        <f t="shared" si="0"/>
        <v>120</v>
      </c>
      <c r="B37" s="51">
        <v>10</v>
      </c>
      <c r="C37" s="48">
        <f ca="1">IF(Számítás_UL!$G$1="OK",SUMIF(Számítás_UL!$B$20:$B$1027,"="&amp;$B37,Számítás_UL!$J$20:$J$1027),0)</f>
        <v>0</v>
      </c>
      <c r="D37" s="48">
        <f ca="1">IF(Számítás_UL!$G$1="OK",SUMIF(Tranzakciók!$B$32:$B$115,"="&amp;$B37,Tranzakciók!$K$32:$K$115),0)</f>
        <v>0</v>
      </c>
      <c r="E37" s="48">
        <f ca="1">IF(Számítás_UL!$G$1="OK",SUMIF(Számítás_UL!$Z$20:$Z$1027,"="&amp;$B37,Számítás_UL!$AI$20:$AI$1027),0)</f>
        <v>0</v>
      </c>
      <c r="F37" s="52">
        <v>0</v>
      </c>
      <c r="G37" s="53">
        <f t="shared" ca="1" si="1"/>
        <v>0</v>
      </c>
      <c r="H37" s="48">
        <f ca="1">IF(Számítás_UL!$G$1="OK",VLOOKUP($A37,Számítás_UL!$A$20:$W$1027,22,0),0)</f>
        <v>0</v>
      </c>
      <c r="I37" s="48">
        <f ca="1">IF(Számítás_UL!$G$1="OK",VLOOKUP($A37,Számítás_UL!$AM$20:$AZ$1027,13,0),0)</f>
        <v>0</v>
      </c>
      <c r="J37" s="48">
        <f ca="1">IF(Számítás_UL!$G$1="OK",VLOOKUP($A37,Számítás_UL!$Y$20:$AK$1027,12,0),0)</f>
        <v>0</v>
      </c>
      <c r="K37" s="48">
        <v>0</v>
      </c>
      <c r="L37" s="49">
        <f t="shared" ca="1" si="2"/>
        <v>0</v>
      </c>
      <c r="M37" s="50">
        <f ca="1">IF(Számítás_UL!$G$1="OK",VLOOKUP($A37,Számítás_UL!$A$20:$W$1027,23,0)+VLOOKUP($A37,Számítás_UL!$AM$20:$AZ$1027,14,0)+VLOOKUP($A37,Számítás_UL!$Y$20:$AK$1027,13,0),0)</f>
        <v>0</v>
      </c>
    </row>
    <row r="38" spans="1:13" x14ac:dyDescent="0.2">
      <c r="A38" s="46">
        <f t="shared" si="0"/>
        <v>132</v>
      </c>
      <c r="B38" s="47">
        <v>11</v>
      </c>
      <c r="C38" s="48">
        <f ca="1">IF(Számítás_UL!$G$1="OK",SUMIF(Számítás_UL!$B$20:$B$1027,"="&amp;$B38,Számítás_UL!$J$20:$J$1027),0)</f>
        <v>0</v>
      </c>
      <c r="D38" s="48">
        <f ca="1">IF(Számítás_UL!$G$1="OK",SUMIF(Tranzakciók!$B$32:$B$115,"="&amp;$B38,Tranzakciók!$K$32:$K$115),0)</f>
        <v>0</v>
      </c>
      <c r="E38" s="48">
        <f ca="1">IF(Számítás_UL!$G$1="OK",SUMIF(Számítás_UL!$Z$20:$Z$1027,"="&amp;$B38,Számítás_UL!$AI$20:$AI$1027),0)</f>
        <v>0</v>
      </c>
      <c r="F38" s="48">
        <v>0</v>
      </c>
      <c r="G38" s="49">
        <f t="shared" ca="1" si="1"/>
        <v>0</v>
      </c>
      <c r="H38" s="48">
        <f ca="1">IF(Számítás_UL!$G$1="OK",VLOOKUP($A38,Számítás_UL!$A$20:$W$1027,22,0),0)</f>
        <v>0</v>
      </c>
      <c r="I38" s="48">
        <f ca="1">IF(Számítás_UL!$G$1="OK",VLOOKUP($A38,Számítás_UL!$AM$20:$AZ$1027,13,0),0)</f>
        <v>0</v>
      </c>
      <c r="J38" s="48">
        <f ca="1">IF(Számítás_UL!$G$1="OK",VLOOKUP($A38,Számítás_UL!$Y$20:$AK$1027,12,0),0)</f>
        <v>0</v>
      </c>
      <c r="K38" s="48">
        <v>0</v>
      </c>
      <c r="L38" s="49">
        <f t="shared" ca="1" si="2"/>
        <v>0</v>
      </c>
      <c r="M38" s="50">
        <f ca="1">IF(Számítás_UL!$G$1="OK",VLOOKUP($A38,Számítás_UL!$A$20:$W$1027,23,0)+VLOOKUP($A38,Számítás_UL!$AM$20:$AZ$1027,14,0)+VLOOKUP($A38,Számítás_UL!$Y$20:$AK$1027,13,0),0)</f>
        <v>0</v>
      </c>
    </row>
    <row r="39" spans="1:13" x14ac:dyDescent="0.2">
      <c r="A39" s="46">
        <f t="shared" si="0"/>
        <v>144</v>
      </c>
      <c r="B39" s="51">
        <v>12</v>
      </c>
      <c r="C39" s="48">
        <f ca="1">IF(Számítás_UL!$G$1="OK",SUMIF(Számítás_UL!$B$20:$B$1027,"="&amp;$B39,Számítás_UL!$J$20:$J$1027),0)</f>
        <v>0</v>
      </c>
      <c r="D39" s="48">
        <f ca="1">IF(Számítás_UL!$G$1="OK",SUMIF(Tranzakciók!$B$32:$B$115,"="&amp;$B39,Tranzakciók!$K$32:$K$115),0)</f>
        <v>0</v>
      </c>
      <c r="E39" s="48">
        <f ca="1">IF(Számítás_UL!$G$1="OK",SUMIF(Számítás_UL!$Z$20:$Z$1027,"="&amp;$B39,Számítás_UL!$AI$20:$AI$1027),0)</f>
        <v>0</v>
      </c>
      <c r="F39" s="52">
        <v>0</v>
      </c>
      <c r="G39" s="53">
        <f t="shared" ref="G39:G92" ca="1" si="3">C39+D39+E39+F39</f>
        <v>0</v>
      </c>
      <c r="H39" s="48">
        <f ca="1">IF(Számítás_UL!$G$1="OK",VLOOKUP($A39,Számítás_UL!$A$20:$W$1027,22,0),0)</f>
        <v>0</v>
      </c>
      <c r="I39" s="48">
        <f ca="1">IF(Számítás_UL!$G$1="OK",VLOOKUP($A39,Számítás_UL!$AM$20:$AZ$1027,13,0),0)</f>
        <v>0</v>
      </c>
      <c r="J39" s="48">
        <f ca="1">IF(Számítás_UL!$G$1="OK",VLOOKUP($A39,Számítás_UL!$Y$20:$AK$1027,12,0),0)</f>
        <v>0</v>
      </c>
      <c r="K39" s="48">
        <v>0</v>
      </c>
      <c r="L39" s="49">
        <f t="shared" ca="1" si="2"/>
        <v>0</v>
      </c>
      <c r="M39" s="50">
        <f ca="1">IF(Számítás_UL!$G$1="OK",VLOOKUP($A39,Számítás_UL!$A$20:$W$1027,23,0)+VLOOKUP($A39,Számítás_UL!$AM$20:$AZ$1027,14,0)+VLOOKUP($A39,Számítás_UL!$Y$20:$AK$1027,13,0),0)</f>
        <v>0</v>
      </c>
    </row>
    <row r="40" spans="1:13" x14ac:dyDescent="0.2">
      <c r="A40" s="46">
        <f t="shared" si="0"/>
        <v>156</v>
      </c>
      <c r="B40" s="51">
        <v>13</v>
      </c>
      <c r="C40" s="48">
        <f ca="1">IF(Számítás_UL!$G$1="OK",SUMIF(Számítás_UL!$B$20:$B$1027,"="&amp;$B40,Számítás_UL!$J$20:$J$1027),0)</f>
        <v>0</v>
      </c>
      <c r="D40" s="48">
        <f ca="1">IF(Számítás_UL!$G$1="OK",SUMIF(Tranzakciók!$B$32:$B$115,"="&amp;$B40,Tranzakciók!$K$32:$K$115),0)</f>
        <v>0</v>
      </c>
      <c r="E40" s="48">
        <f ca="1">IF(Számítás_UL!$G$1="OK",SUMIF(Számítás_UL!$Z$20:$Z$1027,"="&amp;$B40,Számítás_UL!$AI$20:$AI$1027),0)</f>
        <v>0</v>
      </c>
      <c r="F40" s="52">
        <v>0</v>
      </c>
      <c r="G40" s="53">
        <f t="shared" ca="1" si="3"/>
        <v>0</v>
      </c>
      <c r="H40" s="48">
        <f ca="1">IF(Számítás_UL!$G$1="OK",VLOOKUP($A40,Számítás_UL!$A$20:$W$1027,22,0),0)</f>
        <v>0</v>
      </c>
      <c r="I40" s="48">
        <f ca="1">IF(Számítás_UL!$G$1="OK",VLOOKUP($A40,Számítás_UL!$AM$20:$AZ$1027,13,0),0)</f>
        <v>0</v>
      </c>
      <c r="J40" s="48">
        <f ca="1">IF(Számítás_UL!$G$1="OK",VLOOKUP($A40,Számítás_UL!$Y$20:$AK$1027,12,0),0)</f>
        <v>0</v>
      </c>
      <c r="K40" s="48">
        <v>0</v>
      </c>
      <c r="L40" s="49">
        <f t="shared" ca="1" si="2"/>
        <v>0</v>
      </c>
      <c r="M40" s="50">
        <f ca="1">IF(Számítás_UL!$G$1="OK",VLOOKUP($A40,Számítás_UL!$A$20:$W$1027,23,0)+VLOOKUP($A40,Számítás_UL!$AM$20:$AZ$1027,14,0)+VLOOKUP($A40,Számítás_UL!$Y$20:$AK$1027,13,0),0)</f>
        <v>0</v>
      </c>
    </row>
    <row r="41" spans="1:13" x14ac:dyDescent="0.2">
      <c r="A41" s="46">
        <f t="shared" si="0"/>
        <v>168</v>
      </c>
      <c r="B41" s="51">
        <v>14</v>
      </c>
      <c r="C41" s="48">
        <f ca="1">IF(Számítás_UL!$G$1="OK",SUMIF(Számítás_UL!$B$20:$B$1027,"="&amp;$B41,Számítás_UL!$J$20:$J$1027),0)</f>
        <v>0</v>
      </c>
      <c r="D41" s="48">
        <f ca="1">IF(Számítás_UL!$G$1="OK",SUMIF(Tranzakciók!$B$32:$B$115,"="&amp;$B41,Tranzakciók!$K$32:$K$115),0)</f>
        <v>0</v>
      </c>
      <c r="E41" s="48">
        <f ca="1">IF(Számítás_UL!$G$1="OK",SUMIF(Számítás_UL!$Z$20:$Z$1027,"="&amp;$B41,Számítás_UL!$AI$20:$AI$1027),0)</f>
        <v>0</v>
      </c>
      <c r="F41" s="52">
        <v>0</v>
      </c>
      <c r="G41" s="53">
        <f t="shared" ca="1" si="3"/>
        <v>0</v>
      </c>
      <c r="H41" s="48">
        <f ca="1">IF(Számítás_UL!$G$1="OK",VLOOKUP($A41,Számítás_UL!$A$20:$W$1027,22,0),0)</f>
        <v>0</v>
      </c>
      <c r="I41" s="48">
        <f ca="1">IF(Számítás_UL!$G$1="OK",VLOOKUP($A41,Számítás_UL!$AM$20:$AZ$1027,13,0),0)</f>
        <v>0</v>
      </c>
      <c r="J41" s="48">
        <f ca="1">IF(Számítás_UL!$G$1="OK",VLOOKUP($A41,Számítás_UL!$Y$20:$AK$1027,12,0),0)</f>
        <v>0</v>
      </c>
      <c r="K41" s="48">
        <v>0</v>
      </c>
      <c r="L41" s="49">
        <f t="shared" ca="1" si="2"/>
        <v>0</v>
      </c>
      <c r="M41" s="50">
        <f ca="1">IF(Számítás_UL!$G$1="OK",VLOOKUP($A41,Számítás_UL!$A$20:$W$1027,23,0)+VLOOKUP($A41,Számítás_UL!$AM$20:$AZ$1027,14,0)+VLOOKUP($A41,Számítás_UL!$Y$20:$AK$1027,13,0),0)</f>
        <v>0</v>
      </c>
    </row>
    <row r="42" spans="1:13" x14ac:dyDescent="0.2">
      <c r="A42" s="46">
        <f t="shared" si="0"/>
        <v>180</v>
      </c>
      <c r="B42" s="51">
        <v>15</v>
      </c>
      <c r="C42" s="48">
        <f ca="1">IF(Számítás_UL!$G$1="OK",SUMIF(Számítás_UL!$B$20:$B$1027,"="&amp;$B42,Számítás_UL!$J$20:$J$1027),0)</f>
        <v>0</v>
      </c>
      <c r="D42" s="48">
        <f ca="1">IF(Számítás_UL!$G$1="OK",SUMIF(Tranzakciók!$B$32:$B$115,"="&amp;$B42,Tranzakciók!$K$32:$K$115),0)</f>
        <v>0</v>
      </c>
      <c r="E42" s="48">
        <f ca="1">IF(Számítás_UL!$G$1="OK",SUMIF(Számítás_UL!$Z$20:$Z$1027,"="&amp;$B42,Számítás_UL!$AI$20:$AI$1027),0)</f>
        <v>0</v>
      </c>
      <c r="F42" s="52">
        <v>0</v>
      </c>
      <c r="G42" s="53">
        <f t="shared" ca="1" si="3"/>
        <v>0</v>
      </c>
      <c r="H42" s="48">
        <f ca="1">IF(Számítás_UL!$G$1="OK",VLOOKUP($A42,Számítás_UL!$A$20:$W$1027,22,0),0)</f>
        <v>0</v>
      </c>
      <c r="I42" s="48">
        <f ca="1">IF(Számítás_UL!$G$1="OK",VLOOKUP($A42,Számítás_UL!$AM$20:$AZ$1027,13,0),0)</f>
        <v>0</v>
      </c>
      <c r="J42" s="48">
        <f ca="1">IF(Számítás_UL!$G$1="OK",VLOOKUP($A42,Számítás_UL!$Y$20:$AK$1027,12,0),0)</f>
        <v>0</v>
      </c>
      <c r="K42" s="48">
        <v>0</v>
      </c>
      <c r="L42" s="49">
        <f t="shared" ca="1" si="2"/>
        <v>0</v>
      </c>
      <c r="M42" s="50">
        <f ca="1">IF(Számítás_UL!$G$1="OK",VLOOKUP($A42,Számítás_UL!$A$20:$W$1027,23,0)+VLOOKUP($A42,Számítás_UL!$AM$20:$AZ$1027,14,0)+VLOOKUP($A42,Számítás_UL!$Y$20:$AK$1027,13,0),0)</f>
        <v>0</v>
      </c>
    </row>
    <row r="43" spans="1:13" x14ac:dyDescent="0.2">
      <c r="A43" s="46">
        <f t="shared" si="0"/>
        <v>192</v>
      </c>
      <c r="B43" s="51">
        <v>16</v>
      </c>
      <c r="C43" s="48">
        <f ca="1">IF(Számítás_UL!$G$1="OK",SUMIF(Számítás_UL!$B$20:$B$1027,"="&amp;$B43,Számítás_UL!$J$20:$J$1027),0)</f>
        <v>0</v>
      </c>
      <c r="D43" s="48">
        <f ca="1">IF(Számítás_UL!$G$1="OK",SUMIF(Tranzakciók!$B$32:$B$115,"="&amp;$B43,Tranzakciók!$K$32:$K$115),0)</f>
        <v>0</v>
      </c>
      <c r="E43" s="48">
        <f ca="1">IF(Számítás_UL!$G$1="OK",SUMIF(Számítás_UL!$Z$20:$Z$1027,"="&amp;$B43,Számítás_UL!$AI$20:$AI$1027),0)</f>
        <v>0</v>
      </c>
      <c r="F43" s="52">
        <v>0</v>
      </c>
      <c r="G43" s="53">
        <f t="shared" ca="1" si="3"/>
        <v>0</v>
      </c>
      <c r="H43" s="48">
        <f ca="1">IF(Számítás_UL!$G$1="OK",VLOOKUP($A43,Számítás_UL!$A$20:$W$1027,22,0),0)</f>
        <v>0</v>
      </c>
      <c r="I43" s="48">
        <f ca="1">IF(Számítás_UL!$G$1="OK",VLOOKUP($A43,Számítás_UL!$AM$20:$AZ$1027,13,0),0)</f>
        <v>0</v>
      </c>
      <c r="J43" s="48">
        <f ca="1">IF(Számítás_UL!$G$1="OK",VLOOKUP($A43,Számítás_UL!$Y$20:$AK$1027,12,0),0)</f>
        <v>0</v>
      </c>
      <c r="K43" s="48">
        <v>0</v>
      </c>
      <c r="L43" s="49">
        <f t="shared" ca="1" si="2"/>
        <v>0</v>
      </c>
      <c r="M43" s="50">
        <f ca="1">IF(Számítás_UL!$G$1="OK",VLOOKUP($A43,Számítás_UL!$A$20:$W$1027,23,0)+VLOOKUP($A43,Számítás_UL!$AM$20:$AZ$1027,14,0)+VLOOKUP($A43,Számítás_UL!$Y$20:$AK$1027,13,0),0)</f>
        <v>0</v>
      </c>
    </row>
    <row r="44" spans="1:13" x14ac:dyDescent="0.2">
      <c r="A44" s="46">
        <f t="shared" si="0"/>
        <v>204</v>
      </c>
      <c r="B44" s="51">
        <v>17</v>
      </c>
      <c r="C44" s="48">
        <f ca="1">IF(Számítás_UL!$G$1="OK",SUMIF(Számítás_UL!$B$20:$B$1027,"="&amp;$B44,Számítás_UL!$J$20:$J$1027),0)</f>
        <v>0</v>
      </c>
      <c r="D44" s="48">
        <f ca="1">IF(Számítás_UL!$G$1="OK",SUMIF(Tranzakciók!$B$32:$B$115,"="&amp;$B44,Tranzakciók!$K$32:$K$115),0)</f>
        <v>0</v>
      </c>
      <c r="E44" s="48">
        <f ca="1">IF(Számítás_UL!$G$1="OK",SUMIF(Számítás_UL!$Z$20:$Z$1027,"="&amp;$B44,Számítás_UL!$AI$20:$AI$1027),0)</f>
        <v>0</v>
      </c>
      <c r="F44" s="52">
        <v>0</v>
      </c>
      <c r="G44" s="53">
        <f t="shared" ca="1" si="3"/>
        <v>0</v>
      </c>
      <c r="H44" s="48">
        <f ca="1">IF(Számítás_UL!$G$1="OK",VLOOKUP($A44,Számítás_UL!$A$20:$W$1027,22,0),0)</f>
        <v>0</v>
      </c>
      <c r="I44" s="48">
        <f ca="1">IF(Számítás_UL!$G$1="OK",VLOOKUP($A44,Számítás_UL!$AM$20:$AZ$1027,13,0),0)</f>
        <v>0</v>
      </c>
      <c r="J44" s="48">
        <f ca="1">IF(Számítás_UL!$G$1="OK",VLOOKUP($A44,Számítás_UL!$Y$20:$AK$1027,12,0),0)</f>
        <v>0</v>
      </c>
      <c r="K44" s="48">
        <v>0</v>
      </c>
      <c r="L44" s="49">
        <f t="shared" ca="1" si="2"/>
        <v>0</v>
      </c>
      <c r="M44" s="50">
        <f ca="1">IF(Számítás_UL!$G$1="OK",VLOOKUP($A44,Számítás_UL!$A$20:$W$1027,23,0)+VLOOKUP($A44,Számítás_UL!$AM$20:$AZ$1027,14,0)+VLOOKUP($A44,Számítás_UL!$Y$20:$AK$1027,13,0),0)</f>
        <v>0</v>
      </c>
    </row>
    <row r="45" spans="1:13" x14ac:dyDescent="0.2">
      <c r="A45" s="46">
        <f t="shared" si="0"/>
        <v>216</v>
      </c>
      <c r="B45" s="51">
        <v>18</v>
      </c>
      <c r="C45" s="48">
        <f ca="1">IF(Számítás_UL!$G$1="OK",SUMIF(Számítás_UL!$B$20:$B$1027,"="&amp;$B45,Számítás_UL!$J$20:$J$1027),0)</f>
        <v>0</v>
      </c>
      <c r="D45" s="48">
        <f ca="1">IF(Számítás_UL!$G$1="OK",SUMIF(Tranzakciók!$B$32:$B$115,"="&amp;$B45,Tranzakciók!$K$32:$K$115),0)</f>
        <v>0</v>
      </c>
      <c r="E45" s="48">
        <f ca="1">IF(Számítás_UL!$G$1="OK",SUMIF(Számítás_UL!$Z$20:$Z$1027,"="&amp;$B45,Számítás_UL!$AI$20:$AI$1027),0)</f>
        <v>0</v>
      </c>
      <c r="F45" s="52">
        <v>0</v>
      </c>
      <c r="G45" s="53">
        <f t="shared" ca="1" si="3"/>
        <v>0</v>
      </c>
      <c r="H45" s="48">
        <f ca="1">IF(Számítás_UL!$G$1="OK",VLOOKUP($A45,Számítás_UL!$A$20:$W$1027,22,0),0)</f>
        <v>0</v>
      </c>
      <c r="I45" s="48">
        <f ca="1">IF(Számítás_UL!$G$1="OK",VLOOKUP($A45,Számítás_UL!$AM$20:$AZ$1027,13,0),0)</f>
        <v>0</v>
      </c>
      <c r="J45" s="48">
        <f ca="1">IF(Számítás_UL!$G$1="OK",VLOOKUP($A45,Számítás_UL!$Y$20:$AK$1027,12,0),0)</f>
        <v>0</v>
      </c>
      <c r="K45" s="48">
        <v>0</v>
      </c>
      <c r="L45" s="49">
        <f t="shared" ca="1" si="2"/>
        <v>0</v>
      </c>
      <c r="M45" s="50">
        <f ca="1">IF(Számítás_UL!$G$1="OK",VLOOKUP($A45,Számítás_UL!$A$20:$W$1027,23,0)+VLOOKUP($A45,Számítás_UL!$AM$20:$AZ$1027,14,0)+VLOOKUP($A45,Számítás_UL!$Y$20:$AK$1027,13,0),0)</f>
        <v>0</v>
      </c>
    </row>
    <row r="46" spans="1:13" x14ac:dyDescent="0.2">
      <c r="A46" s="46">
        <f t="shared" si="0"/>
        <v>228</v>
      </c>
      <c r="B46" s="51">
        <v>19</v>
      </c>
      <c r="C46" s="48">
        <f ca="1">IF(Számítás_UL!$G$1="OK",SUMIF(Számítás_UL!$B$20:$B$1027,"="&amp;$B46,Számítás_UL!$J$20:$J$1027),0)</f>
        <v>0</v>
      </c>
      <c r="D46" s="48">
        <f ca="1">IF(Számítás_UL!$G$1="OK",SUMIF(Tranzakciók!$B$32:$B$115,"="&amp;$B46,Tranzakciók!$K$32:$K$115),0)</f>
        <v>0</v>
      </c>
      <c r="E46" s="48">
        <f ca="1">IF(Számítás_UL!$G$1="OK",SUMIF(Számítás_UL!$Z$20:$Z$1027,"="&amp;$B46,Számítás_UL!$AI$20:$AI$1027),0)</f>
        <v>0</v>
      </c>
      <c r="F46" s="52">
        <v>0</v>
      </c>
      <c r="G46" s="53">
        <f t="shared" ca="1" si="3"/>
        <v>0</v>
      </c>
      <c r="H46" s="48">
        <f ca="1">IF(Számítás_UL!$G$1="OK",VLOOKUP($A46,Számítás_UL!$A$20:$W$1027,22,0),0)</f>
        <v>0</v>
      </c>
      <c r="I46" s="48">
        <f ca="1">IF(Számítás_UL!$G$1="OK",VLOOKUP($A46,Számítás_UL!$AM$20:$AZ$1027,13,0),0)</f>
        <v>0</v>
      </c>
      <c r="J46" s="48">
        <f ca="1">IF(Számítás_UL!$G$1="OK",VLOOKUP($A46,Számítás_UL!$Y$20:$AK$1027,12,0),0)</f>
        <v>0</v>
      </c>
      <c r="K46" s="48">
        <v>0</v>
      </c>
      <c r="L46" s="49">
        <f t="shared" ca="1" si="2"/>
        <v>0</v>
      </c>
      <c r="M46" s="50">
        <f ca="1">IF(Számítás_UL!$G$1="OK",VLOOKUP($A46,Számítás_UL!$A$20:$W$1027,23,0)+VLOOKUP($A46,Számítás_UL!$AM$20:$AZ$1027,14,0)+VLOOKUP($A46,Számítás_UL!$Y$20:$AK$1027,13,0),0)</f>
        <v>0</v>
      </c>
    </row>
    <row r="47" spans="1:13" x14ac:dyDescent="0.2">
      <c r="A47" s="46">
        <f t="shared" si="0"/>
        <v>240</v>
      </c>
      <c r="B47" s="51">
        <v>20</v>
      </c>
      <c r="C47" s="48">
        <f ca="1">IF(Számítás_UL!$G$1="OK",SUMIF(Számítás_UL!$B$20:$B$1027,"="&amp;$B47,Számítás_UL!$J$20:$J$1027),0)</f>
        <v>0</v>
      </c>
      <c r="D47" s="48">
        <f ca="1">IF(Számítás_UL!$G$1="OK",SUMIF(Tranzakciók!$B$32:$B$115,"="&amp;$B47,Tranzakciók!$K$32:$K$115),0)</f>
        <v>0</v>
      </c>
      <c r="E47" s="48">
        <f ca="1">IF(Számítás_UL!$G$1="OK",SUMIF(Számítás_UL!$Z$20:$Z$1027,"="&amp;$B47,Számítás_UL!$AI$20:$AI$1027),0)</f>
        <v>0</v>
      </c>
      <c r="F47" s="52">
        <v>0</v>
      </c>
      <c r="G47" s="53">
        <f t="shared" ca="1" si="3"/>
        <v>0</v>
      </c>
      <c r="H47" s="48">
        <f ca="1">IF(Számítás_UL!$G$1="OK",VLOOKUP($A47,Számítás_UL!$A$20:$W$1027,22,0),0)</f>
        <v>0</v>
      </c>
      <c r="I47" s="48">
        <f ca="1">IF(Számítás_UL!$G$1="OK",VLOOKUP($A47,Számítás_UL!$AM$20:$AZ$1027,13,0),0)</f>
        <v>0</v>
      </c>
      <c r="J47" s="48">
        <f ca="1">IF(Számítás_UL!$G$1="OK",VLOOKUP($A47,Számítás_UL!$Y$20:$AK$1027,12,0),0)</f>
        <v>0</v>
      </c>
      <c r="K47" s="48">
        <v>0</v>
      </c>
      <c r="L47" s="49">
        <f t="shared" ca="1" si="2"/>
        <v>0</v>
      </c>
      <c r="M47" s="50">
        <f ca="1">IF(Számítás_UL!$G$1="OK",VLOOKUP($A47,Számítás_UL!$A$20:$W$1027,23,0)+VLOOKUP($A47,Számítás_UL!$AM$20:$AZ$1027,14,0)+VLOOKUP($A47,Számítás_UL!$Y$20:$AK$1027,13,0),0)</f>
        <v>0</v>
      </c>
    </row>
    <row r="48" spans="1:13" x14ac:dyDescent="0.2">
      <c r="A48" s="46">
        <f t="shared" si="0"/>
        <v>252</v>
      </c>
      <c r="B48" s="47">
        <v>21</v>
      </c>
      <c r="C48" s="48">
        <f ca="1">IF(Számítás_UL!$G$1="OK",SUMIF(Számítás_UL!$B$20:$B$1027,"="&amp;$B48,Számítás_UL!$J$20:$J$1027),0)</f>
        <v>0</v>
      </c>
      <c r="D48" s="48">
        <f ca="1">IF(Számítás_UL!$G$1="OK",SUMIF(Tranzakciók!$B$32:$B$115,"="&amp;$B48,Tranzakciók!$K$32:$K$115),0)</f>
        <v>0</v>
      </c>
      <c r="E48" s="48">
        <f ca="1">IF(Számítás_UL!$G$1="OK",SUMIF(Számítás_UL!$Z$20:$Z$1027,"="&amp;$B48,Számítás_UL!$AI$20:$AI$1027),0)</f>
        <v>0</v>
      </c>
      <c r="F48" s="48">
        <v>0</v>
      </c>
      <c r="G48" s="49">
        <f t="shared" ca="1" si="3"/>
        <v>0</v>
      </c>
      <c r="H48" s="48">
        <f ca="1">IF(Számítás_UL!$G$1="OK",VLOOKUP($A48,Számítás_UL!$A$20:$W$1027,22,0),0)</f>
        <v>0</v>
      </c>
      <c r="I48" s="48">
        <f ca="1">IF(Számítás_UL!$G$1="OK",VLOOKUP($A48,Számítás_UL!$AM$20:$AZ$1027,13,0),0)</f>
        <v>0</v>
      </c>
      <c r="J48" s="48">
        <f ca="1">IF(Számítás_UL!$G$1="OK",VLOOKUP($A48,Számítás_UL!$Y$20:$AK$1027,12,0),0)</f>
        <v>0</v>
      </c>
      <c r="K48" s="48">
        <v>0</v>
      </c>
      <c r="L48" s="49">
        <f t="shared" ca="1" si="2"/>
        <v>0</v>
      </c>
      <c r="M48" s="50">
        <f ca="1">IF(Számítás_UL!$G$1="OK",VLOOKUP($A48,Számítás_UL!$A$20:$W$1027,23,0)+VLOOKUP($A48,Számítás_UL!$AM$20:$AZ$1027,14,0)+VLOOKUP($A48,Számítás_UL!$Y$20:$AK$1027,13,0),0)</f>
        <v>0</v>
      </c>
    </row>
    <row r="49" spans="1:13" x14ac:dyDescent="0.2">
      <c r="A49" s="46">
        <f t="shared" si="0"/>
        <v>264</v>
      </c>
      <c r="B49" s="51">
        <v>22</v>
      </c>
      <c r="C49" s="48">
        <f ca="1">IF(Számítás_UL!$G$1="OK",SUMIF(Számítás_UL!$B$20:$B$1027,"="&amp;$B49,Számítás_UL!$J$20:$J$1027),0)</f>
        <v>0</v>
      </c>
      <c r="D49" s="48">
        <f ca="1">IF(Számítás_UL!$G$1="OK",SUMIF(Tranzakciók!$B$32:$B$115,"="&amp;$B49,Tranzakciók!$K$32:$K$115),0)</f>
        <v>0</v>
      </c>
      <c r="E49" s="48">
        <f ca="1">IF(Számítás_UL!$G$1="OK",SUMIF(Számítás_UL!$Z$20:$Z$1027,"="&amp;$B49,Számítás_UL!$AI$20:$AI$1027),0)</f>
        <v>0</v>
      </c>
      <c r="F49" s="52">
        <v>0</v>
      </c>
      <c r="G49" s="53">
        <f t="shared" ca="1" si="3"/>
        <v>0</v>
      </c>
      <c r="H49" s="48">
        <f ca="1">IF(Számítás_UL!$G$1="OK",VLOOKUP($A49,Számítás_UL!$A$20:$W$1027,22,0),0)</f>
        <v>0</v>
      </c>
      <c r="I49" s="48">
        <f ca="1">IF(Számítás_UL!$G$1="OK",VLOOKUP($A49,Számítás_UL!$AM$20:$AZ$1027,13,0),0)</f>
        <v>0</v>
      </c>
      <c r="J49" s="48">
        <f ca="1">IF(Számítás_UL!$G$1="OK",VLOOKUP($A49,Számítás_UL!$Y$20:$AK$1027,12,0),0)</f>
        <v>0</v>
      </c>
      <c r="K49" s="48">
        <v>0</v>
      </c>
      <c r="L49" s="49">
        <f t="shared" ca="1" si="2"/>
        <v>0</v>
      </c>
      <c r="M49" s="50">
        <f ca="1">IF(Számítás_UL!$G$1="OK",VLOOKUP($A49,Számítás_UL!$A$20:$W$1027,23,0)+VLOOKUP($A49,Számítás_UL!$AM$20:$AZ$1027,14,0)+VLOOKUP($A49,Számítás_UL!$Y$20:$AK$1027,13,0),0)</f>
        <v>0</v>
      </c>
    </row>
    <row r="50" spans="1:13" x14ac:dyDescent="0.2">
      <c r="A50" s="46">
        <f t="shared" si="0"/>
        <v>276</v>
      </c>
      <c r="B50" s="51">
        <v>23</v>
      </c>
      <c r="C50" s="48">
        <f ca="1">IF(Számítás_UL!$G$1="OK",SUMIF(Számítás_UL!$B$20:$B$1027,"="&amp;$B50,Számítás_UL!$J$20:$J$1027),0)</f>
        <v>0</v>
      </c>
      <c r="D50" s="48">
        <f ca="1">IF(Számítás_UL!$G$1="OK",SUMIF(Tranzakciók!$B$32:$B$115,"="&amp;$B50,Tranzakciók!$K$32:$K$115),0)</f>
        <v>0</v>
      </c>
      <c r="E50" s="48">
        <f ca="1">IF(Számítás_UL!$G$1="OK",SUMIF(Számítás_UL!$Z$20:$Z$1027,"="&amp;$B50,Számítás_UL!$AI$20:$AI$1027),0)</f>
        <v>0</v>
      </c>
      <c r="F50" s="52">
        <v>0</v>
      </c>
      <c r="G50" s="53">
        <f t="shared" ca="1" si="3"/>
        <v>0</v>
      </c>
      <c r="H50" s="48">
        <f ca="1">IF(Számítás_UL!$G$1="OK",VLOOKUP($A50,Számítás_UL!$A$20:$W$1027,22,0),0)</f>
        <v>0</v>
      </c>
      <c r="I50" s="48">
        <f ca="1">IF(Számítás_UL!$G$1="OK",VLOOKUP($A50,Számítás_UL!$AM$20:$AZ$1027,13,0),0)</f>
        <v>0</v>
      </c>
      <c r="J50" s="48">
        <f ca="1">IF(Számítás_UL!$G$1="OK",VLOOKUP($A50,Számítás_UL!$Y$20:$AK$1027,12,0),0)</f>
        <v>0</v>
      </c>
      <c r="K50" s="48">
        <v>0</v>
      </c>
      <c r="L50" s="49">
        <f t="shared" ca="1" si="2"/>
        <v>0</v>
      </c>
      <c r="M50" s="50">
        <f ca="1">IF(Számítás_UL!$G$1="OK",VLOOKUP($A50,Számítás_UL!$A$20:$W$1027,23,0)+VLOOKUP($A50,Számítás_UL!$AM$20:$AZ$1027,14,0)+VLOOKUP($A50,Számítás_UL!$Y$20:$AK$1027,13,0),0)</f>
        <v>0</v>
      </c>
    </row>
    <row r="51" spans="1:13" x14ac:dyDescent="0.2">
      <c r="A51" s="46">
        <f t="shared" si="0"/>
        <v>288</v>
      </c>
      <c r="B51" s="51">
        <v>24</v>
      </c>
      <c r="C51" s="48">
        <f ca="1">IF(Számítás_UL!$G$1="OK",SUMIF(Számítás_UL!$B$20:$B$1027,"="&amp;$B51,Számítás_UL!$J$20:$J$1027),0)</f>
        <v>0</v>
      </c>
      <c r="D51" s="48">
        <f ca="1">IF(Számítás_UL!$G$1="OK",SUMIF(Tranzakciók!$B$32:$B$115,"="&amp;$B51,Tranzakciók!$K$32:$K$115),0)</f>
        <v>0</v>
      </c>
      <c r="E51" s="48">
        <f ca="1">IF(Számítás_UL!$G$1="OK",SUMIF(Számítás_UL!$Z$20:$Z$1027,"="&amp;$B51,Számítás_UL!$AI$20:$AI$1027),0)</f>
        <v>0</v>
      </c>
      <c r="F51" s="52">
        <v>0</v>
      </c>
      <c r="G51" s="53">
        <f t="shared" ca="1" si="3"/>
        <v>0</v>
      </c>
      <c r="H51" s="48">
        <f ca="1">IF(Számítás_UL!$G$1="OK",VLOOKUP($A51,Számítás_UL!$A$20:$W$1027,22,0),0)</f>
        <v>0</v>
      </c>
      <c r="I51" s="48">
        <f ca="1">IF(Számítás_UL!$G$1="OK",VLOOKUP($A51,Számítás_UL!$AM$20:$AZ$1027,13,0),0)</f>
        <v>0</v>
      </c>
      <c r="J51" s="48">
        <f ca="1">IF(Számítás_UL!$G$1="OK",VLOOKUP($A51,Számítás_UL!$Y$20:$AK$1027,12,0),0)</f>
        <v>0</v>
      </c>
      <c r="K51" s="48">
        <v>0</v>
      </c>
      <c r="L51" s="49">
        <f t="shared" ca="1" si="2"/>
        <v>0</v>
      </c>
      <c r="M51" s="50">
        <f ca="1">IF(Számítás_UL!$G$1="OK",VLOOKUP($A51,Számítás_UL!$A$20:$W$1027,23,0)+VLOOKUP($A51,Számítás_UL!$AM$20:$AZ$1027,14,0)+VLOOKUP($A51,Számítás_UL!$Y$20:$AK$1027,13,0),0)</f>
        <v>0</v>
      </c>
    </row>
    <row r="52" spans="1:13" x14ac:dyDescent="0.2">
      <c r="A52" s="46">
        <f t="shared" si="0"/>
        <v>300</v>
      </c>
      <c r="B52" s="51">
        <v>25</v>
      </c>
      <c r="C52" s="48">
        <f ca="1">IF(Számítás_UL!$G$1="OK",SUMIF(Számítás_UL!$B$20:$B$1027,"="&amp;$B52,Számítás_UL!$J$20:$J$1027),0)</f>
        <v>0</v>
      </c>
      <c r="D52" s="48">
        <f ca="1">IF(Számítás_UL!$G$1="OK",SUMIF(Tranzakciók!$B$32:$B$115,"="&amp;$B52,Tranzakciók!$K$32:$K$115),0)</f>
        <v>0</v>
      </c>
      <c r="E52" s="48">
        <f ca="1">IF(Számítás_UL!$G$1="OK",SUMIF(Számítás_UL!$Z$20:$Z$1027,"="&amp;$B52,Számítás_UL!$AI$20:$AI$1027),0)</f>
        <v>0</v>
      </c>
      <c r="F52" s="52">
        <v>0</v>
      </c>
      <c r="G52" s="53">
        <f t="shared" ca="1" si="3"/>
        <v>0</v>
      </c>
      <c r="H52" s="48">
        <f ca="1">IF(Számítás_UL!$G$1="OK",VLOOKUP($A52,Számítás_UL!$A$20:$W$1027,22,0),0)</f>
        <v>0</v>
      </c>
      <c r="I52" s="48">
        <f ca="1">IF(Számítás_UL!$G$1="OK",VLOOKUP($A52,Számítás_UL!$AM$20:$AZ$1027,13,0),0)</f>
        <v>0</v>
      </c>
      <c r="J52" s="48">
        <f ca="1">IF(Számítás_UL!$G$1="OK",VLOOKUP($A52,Számítás_UL!$Y$20:$AK$1027,12,0),0)</f>
        <v>0</v>
      </c>
      <c r="K52" s="48">
        <v>0</v>
      </c>
      <c r="L52" s="49">
        <f t="shared" ca="1" si="2"/>
        <v>0</v>
      </c>
      <c r="M52" s="50">
        <f ca="1">IF(Számítás_UL!$G$1="OK",VLOOKUP($A52,Számítás_UL!$A$20:$W$1027,23,0)+VLOOKUP($A52,Számítás_UL!$AM$20:$AZ$1027,14,0)+VLOOKUP($A52,Számítás_UL!$Y$20:$AK$1027,13,0),0)</f>
        <v>0</v>
      </c>
    </row>
    <row r="53" spans="1:13" x14ac:dyDescent="0.2">
      <c r="A53" s="46">
        <f t="shared" si="0"/>
        <v>312</v>
      </c>
      <c r="B53" s="51">
        <v>26</v>
      </c>
      <c r="C53" s="48">
        <f ca="1">IF(Számítás_UL!$G$1="OK",SUMIF(Számítás_UL!$B$20:$B$1027,"="&amp;$B53,Számítás_UL!$J$20:$J$1027),0)</f>
        <v>0</v>
      </c>
      <c r="D53" s="48">
        <f ca="1">IF(Számítás_UL!$G$1="OK",SUMIF(Tranzakciók!$B$32:$B$115,"="&amp;$B53,Tranzakciók!$K$32:$K$115),0)</f>
        <v>0</v>
      </c>
      <c r="E53" s="48">
        <f ca="1">IF(Számítás_UL!$G$1="OK",SUMIF(Számítás_UL!$Z$20:$Z$1027,"="&amp;$B53,Számítás_UL!$AI$20:$AI$1027),0)</f>
        <v>0</v>
      </c>
      <c r="F53" s="52">
        <v>0</v>
      </c>
      <c r="G53" s="53">
        <f t="shared" ca="1" si="3"/>
        <v>0</v>
      </c>
      <c r="H53" s="48">
        <f ca="1">IF(Számítás_UL!$G$1="OK",VLOOKUP($A53,Számítás_UL!$A$20:$W$1027,22,0),0)</f>
        <v>0</v>
      </c>
      <c r="I53" s="48">
        <f ca="1">IF(Számítás_UL!$G$1="OK",VLOOKUP($A53,Számítás_UL!$AM$20:$AZ$1027,13,0),0)</f>
        <v>0</v>
      </c>
      <c r="J53" s="48">
        <f ca="1">IF(Számítás_UL!$G$1="OK",VLOOKUP($A53,Számítás_UL!$Y$20:$AK$1027,12,0),0)</f>
        <v>0</v>
      </c>
      <c r="K53" s="48">
        <v>0</v>
      </c>
      <c r="L53" s="49">
        <f t="shared" ca="1" si="2"/>
        <v>0</v>
      </c>
      <c r="M53" s="50">
        <f ca="1">IF(Számítás_UL!$G$1="OK",VLOOKUP($A53,Számítás_UL!$A$20:$W$1027,23,0)+VLOOKUP($A53,Számítás_UL!$AM$20:$AZ$1027,14,0)+VLOOKUP($A53,Számítás_UL!$Y$20:$AK$1027,13,0),0)</f>
        <v>0</v>
      </c>
    </row>
    <row r="54" spans="1:13" x14ac:dyDescent="0.2">
      <c r="A54" s="46">
        <f t="shared" si="0"/>
        <v>324</v>
      </c>
      <c r="B54" s="51">
        <v>27</v>
      </c>
      <c r="C54" s="48">
        <f ca="1">IF(Számítás_UL!$G$1="OK",SUMIF(Számítás_UL!$B$20:$B$1027,"="&amp;$B54,Számítás_UL!$J$20:$J$1027),0)</f>
        <v>0</v>
      </c>
      <c r="D54" s="48">
        <f ca="1">IF(Számítás_UL!$G$1="OK",SUMIF(Tranzakciók!$B$32:$B$115,"="&amp;$B54,Tranzakciók!$K$32:$K$115),0)</f>
        <v>0</v>
      </c>
      <c r="E54" s="48">
        <f ca="1">IF(Számítás_UL!$G$1="OK",SUMIF(Számítás_UL!$Z$20:$Z$1027,"="&amp;$B54,Számítás_UL!$AI$20:$AI$1027),0)</f>
        <v>0</v>
      </c>
      <c r="F54" s="52">
        <v>0</v>
      </c>
      <c r="G54" s="53">
        <f t="shared" ca="1" si="3"/>
        <v>0</v>
      </c>
      <c r="H54" s="48">
        <f ca="1">IF(Számítás_UL!$G$1="OK",VLOOKUP($A54,Számítás_UL!$A$20:$W$1027,22,0),0)</f>
        <v>0</v>
      </c>
      <c r="I54" s="48">
        <f ca="1">IF(Számítás_UL!$G$1="OK",VLOOKUP($A54,Számítás_UL!$AM$20:$AZ$1027,13,0),0)</f>
        <v>0</v>
      </c>
      <c r="J54" s="48">
        <f ca="1">IF(Számítás_UL!$G$1="OK",VLOOKUP($A54,Számítás_UL!$Y$20:$AK$1027,12,0),0)</f>
        <v>0</v>
      </c>
      <c r="K54" s="48">
        <v>0</v>
      </c>
      <c r="L54" s="49">
        <f t="shared" ca="1" si="2"/>
        <v>0</v>
      </c>
      <c r="M54" s="50">
        <f ca="1">IF(Számítás_UL!$G$1="OK",VLOOKUP($A54,Számítás_UL!$A$20:$W$1027,23,0)+VLOOKUP($A54,Számítás_UL!$AM$20:$AZ$1027,14,0)+VLOOKUP($A54,Számítás_UL!$Y$20:$AK$1027,13,0),0)</f>
        <v>0</v>
      </c>
    </row>
    <row r="55" spans="1:13" x14ac:dyDescent="0.2">
      <c r="A55" s="46">
        <f t="shared" si="0"/>
        <v>336</v>
      </c>
      <c r="B55" s="51">
        <v>28</v>
      </c>
      <c r="C55" s="48">
        <f ca="1">IF(Számítás_UL!$G$1="OK",SUMIF(Számítás_UL!$B$20:$B$1027,"="&amp;$B55,Számítás_UL!$J$20:$J$1027),0)</f>
        <v>0</v>
      </c>
      <c r="D55" s="48">
        <f ca="1">IF(Számítás_UL!$G$1="OK",SUMIF(Tranzakciók!$B$32:$B$115,"="&amp;$B55,Tranzakciók!$K$32:$K$115),0)</f>
        <v>0</v>
      </c>
      <c r="E55" s="48">
        <f ca="1">IF(Számítás_UL!$G$1="OK",SUMIF(Számítás_UL!$Z$20:$Z$1027,"="&amp;$B55,Számítás_UL!$AI$20:$AI$1027),0)</f>
        <v>0</v>
      </c>
      <c r="F55" s="52">
        <v>0</v>
      </c>
      <c r="G55" s="53">
        <f t="shared" ca="1" si="3"/>
        <v>0</v>
      </c>
      <c r="H55" s="48">
        <f ca="1">IF(Számítás_UL!$G$1="OK",VLOOKUP($A55,Számítás_UL!$A$20:$W$1027,22,0),0)</f>
        <v>0</v>
      </c>
      <c r="I55" s="48">
        <f ca="1">IF(Számítás_UL!$G$1="OK",VLOOKUP($A55,Számítás_UL!$AM$20:$AZ$1027,13,0),0)</f>
        <v>0</v>
      </c>
      <c r="J55" s="48">
        <f ca="1">IF(Számítás_UL!$G$1="OK",VLOOKUP($A55,Számítás_UL!$Y$20:$AK$1027,12,0),0)</f>
        <v>0</v>
      </c>
      <c r="K55" s="48">
        <v>0</v>
      </c>
      <c r="L55" s="49">
        <f t="shared" ca="1" si="2"/>
        <v>0</v>
      </c>
      <c r="M55" s="50">
        <f ca="1">IF(Számítás_UL!$G$1="OK",VLOOKUP($A55,Számítás_UL!$A$20:$W$1027,23,0)+VLOOKUP($A55,Számítás_UL!$AM$20:$AZ$1027,14,0)+VLOOKUP($A55,Számítás_UL!$Y$20:$AK$1027,13,0),0)</f>
        <v>0</v>
      </c>
    </row>
    <row r="56" spans="1:13" x14ac:dyDescent="0.2">
      <c r="A56" s="46">
        <f t="shared" si="0"/>
        <v>348</v>
      </c>
      <c r="B56" s="51">
        <v>29</v>
      </c>
      <c r="C56" s="48">
        <f ca="1">IF(Számítás_UL!$G$1="OK",SUMIF(Számítás_UL!$B$20:$B$1027,"="&amp;$B56,Számítás_UL!$J$20:$J$1027),0)</f>
        <v>0</v>
      </c>
      <c r="D56" s="48">
        <f ca="1">IF(Számítás_UL!$G$1="OK",SUMIF(Tranzakciók!$B$32:$B$115,"="&amp;$B56,Tranzakciók!$K$32:$K$115),0)</f>
        <v>0</v>
      </c>
      <c r="E56" s="48">
        <f ca="1">IF(Számítás_UL!$G$1="OK",SUMIF(Számítás_UL!$Z$20:$Z$1027,"="&amp;$B56,Számítás_UL!$AI$20:$AI$1027),0)</f>
        <v>0</v>
      </c>
      <c r="F56" s="52">
        <v>0</v>
      </c>
      <c r="G56" s="53">
        <f t="shared" ca="1" si="3"/>
        <v>0</v>
      </c>
      <c r="H56" s="48">
        <f ca="1">IF(Számítás_UL!$G$1="OK",VLOOKUP($A56,Számítás_UL!$A$20:$W$1027,22,0),0)</f>
        <v>0</v>
      </c>
      <c r="I56" s="48">
        <f ca="1">IF(Számítás_UL!$G$1="OK",VLOOKUP($A56,Számítás_UL!$AM$20:$AZ$1027,13,0),0)</f>
        <v>0</v>
      </c>
      <c r="J56" s="48">
        <f ca="1">IF(Számítás_UL!$G$1="OK",VLOOKUP($A56,Számítás_UL!$Y$20:$AK$1027,12,0),0)</f>
        <v>0</v>
      </c>
      <c r="K56" s="48">
        <v>0</v>
      </c>
      <c r="L56" s="49">
        <f t="shared" ca="1" si="2"/>
        <v>0</v>
      </c>
      <c r="M56" s="50">
        <f ca="1">IF(Számítás_UL!$G$1="OK",VLOOKUP($A56,Számítás_UL!$A$20:$W$1027,23,0)+VLOOKUP($A56,Számítás_UL!$AM$20:$AZ$1027,14,0)+VLOOKUP($A56,Számítás_UL!$Y$20:$AK$1027,13,0),0)</f>
        <v>0</v>
      </c>
    </row>
    <row r="57" spans="1:13" x14ac:dyDescent="0.2">
      <c r="A57" s="46">
        <f t="shared" si="0"/>
        <v>360</v>
      </c>
      <c r="B57" s="51">
        <v>30</v>
      </c>
      <c r="C57" s="48">
        <f ca="1">IF(Számítás_UL!$G$1="OK",SUMIF(Számítás_UL!$B$20:$B$1027,"="&amp;$B57,Számítás_UL!$J$20:$J$1027),0)</f>
        <v>0</v>
      </c>
      <c r="D57" s="48">
        <f ca="1">IF(Számítás_UL!$G$1="OK",SUMIF(Tranzakciók!$B$32:$B$115,"="&amp;$B57,Tranzakciók!$K$32:$K$115),0)</f>
        <v>0</v>
      </c>
      <c r="E57" s="48">
        <f ca="1">IF(Számítás_UL!$G$1="OK",SUMIF(Számítás_UL!$Z$20:$Z$1027,"="&amp;$B57,Számítás_UL!$AI$20:$AI$1027),0)</f>
        <v>0</v>
      </c>
      <c r="F57" s="52">
        <v>0</v>
      </c>
      <c r="G57" s="53">
        <f t="shared" ca="1" si="3"/>
        <v>0</v>
      </c>
      <c r="H57" s="48">
        <f ca="1">IF(Számítás_UL!$G$1="OK",VLOOKUP($A57,Számítás_UL!$A$20:$W$1027,22,0),0)</f>
        <v>0</v>
      </c>
      <c r="I57" s="48">
        <f ca="1">IF(Számítás_UL!$G$1="OK",VLOOKUP($A57,Számítás_UL!$AM$20:$AZ$1027,13,0),0)</f>
        <v>0</v>
      </c>
      <c r="J57" s="48">
        <f ca="1">IF(Számítás_UL!$G$1="OK",VLOOKUP($A57,Számítás_UL!$Y$20:$AK$1027,12,0),0)</f>
        <v>0</v>
      </c>
      <c r="K57" s="48">
        <v>0</v>
      </c>
      <c r="L57" s="49">
        <f t="shared" ca="1" si="2"/>
        <v>0</v>
      </c>
      <c r="M57" s="50">
        <f ca="1">IF(Számítás_UL!$G$1="OK",VLOOKUP($A57,Számítás_UL!$A$20:$W$1027,23,0)+VLOOKUP($A57,Számítás_UL!$AM$20:$AZ$1027,14,0)+VLOOKUP($A57,Számítás_UL!$Y$20:$AK$1027,13,0),0)</f>
        <v>0</v>
      </c>
    </row>
    <row r="58" spans="1:13" x14ac:dyDescent="0.2">
      <c r="A58" s="46">
        <f t="shared" si="0"/>
        <v>372</v>
      </c>
      <c r="B58" s="47">
        <v>31</v>
      </c>
      <c r="C58" s="48">
        <f ca="1">IF(Számítás_UL!$G$1="OK",SUMIF(Számítás_UL!$B$20:$B$1027,"="&amp;$B58,Számítás_UL!$J$20:$J$1027),0)</f>
        <v>0</v>
      </c>
      <c r="D58" s="48">
        <f ca="1">IF(Számítás_UL!$G$1="OK",SUMIF(Tranzakciók!$B$32:$B$115,"="&amp;$B58,Tranzakciók!$K$32:$K$115),0)</f>
        <v>0</v>
      </c>
      <c r="E58" s="48">
        <f ca="1">IF(Számítás_UL!$G$1="OK",SUMIF(Számítás_UL!$Z$20:$Z$1027,"="&amp;$B58,Számítás_UL!$AI$20:$AI$1027),0)</f>
        <v>0</v>
      </c>
      <c r="F58" s="48">
        <v>0</v>
      </c>
      <c r="G58" s="49">
        <f t="shared" ca="1" si="3"/>
        <v>0</v>
      </c>
      <c r="H58" s="48">
        <f ca="1">IF(Számítás_UL!$G$1="OK",VLOOKUP($A58,Számítás_UL!$A$20:$W$1027,22,0),0)</f>
        <v>0</v>
      </c>
      <c r="I58" s="48">
        <f ca="1">IF(Számítás_UL!$G$1="OK",VLOOKUP($A58,Számítás_UL!$AM$20:$AZ$1027,13,0),0)</f>
        <v>0</v>
      </c>
      <c r="J58" s="48">
        <f ca="1">IF(Számítás_UL!$G$1="OK",VLOOKUP($A58,Számítás_UL!$Y$20:$AK$1027,12,0),0)</f>
        <v>0</v>
      </c>
      <c r="K58" s="48">
        <v>0</v>
      </c>
      <c r="L58" s="49">
        <f t="shared" ca="1" si="2"/>
        <v>0</v>
      </c>
      <c r="M58" s="50">
        <f ca="1">IF(Számítás_UL!$G$1="OK",VLOOKUP($A58,Számítás_UL!$A$20:$W$1027,23,0)+VLOOKUP($A58,Számítás_UL!$AM$20:$AZ$1027,14,0)+VLOOKUP($A58,Számítás_UL!$Y$20:$AK$1027,13,0),0)</f>
        <v>0</v>
      </c>
    </row>
    <row r="59" spans="1:13" x14ac:dyDescent="0.2">
      <c r="A59" s="46">
        <f t="shared" si="0"/>
        <v>384</v>
      </c>
      <c r="B59" s="51">
        <v>32</v>
      </c>
      <c r="C59" s="48">
        <f ca="1">IF(Számítás_UL!$G$1="OK",SUMIF(Számítás_UL!$B$20:$B$1027,"="&amp;$B59,Számítás_UL!$J$20:$J$1027),0)</f>
        <v>0</v>
      </c>
      <c r="D59" s="48">
        <f ca="1">IF(Számítás_UL!$G$1="OK",SUMIF(Tranzakciók!$B$32:$B$115,"="&amp;$B59,Tranzakciók!$K$32:$K$115),0)</f>
        <v>0</v>
      </c>
      <c r="E59" s="48">
        <f ca="1">IF(Számítás_UL!$G$1="OK",SUMIF(Számítás_UL!$Z$20:$Z$1027,"="&amp;$B59,Számítás_UL!$AI$20:$AI$1027),0)</f>
        <v>0</v>
      </c>
      <c r="F59" s="52">
        <v>0</v>
      </c>
      <c r="G59" s="53">
        <f t="shared" ca="1" si="3"/>
        <v>0</v>
      </c>
      <c r="H59" s="48">
        <f ca="1">IF(Számítás_UL!$G$1="OK",VLOOKUP($A59,Számítás_UL!$A$20:$W$1027,22,0),0)</f>
        <v>0</v>
      </c>
      <c r="I59" s="48">
        <f ca="1">IF(Számítás_UL!$G$1="OK",VLOOKUP($A59,Számítás_UL!$AM$20:$AZ$1027,13,0),0)</f>
        <v>0</v>
      </c>
      <c r="J59" s="48">
        <f ca="1">IF(Számítás_UL!$G$1="OK",VLOOKUP($A59,Számítás_UL!$Y$20:$AK$1027,12,0),0)</f>
        <v>0</v>
      </c>
      <c r="K59" s="48">
        <v>0</v>
      </c>
      <c r="L59" s="49">
        <f t="shared" ca="1" si="2"/>
        <v>0</v>
      </c>
      <c r="M59" s="50">
        <f ca="1">IF(Számítás_UL!$G$1="OK",VLOOKUP($A59,Számítás_UL!$A$20:$W$1027,23,0)+VLOOKUP($A59,Számítás_UL!$AM$20:$AZ$1027,14,0)+VLOOKUP($A59,Számítás_UL!$Y$20:$AK$1027,13,0),0)</f>
        <v>0</v>
      </c>
    </row>
    <row r="60" spans="1:13" x14ac:dyDescent="0.2">
      <c r="A60" s="46">
        <f t="shared" si="0"/>
        <v>396</v>
      </c>
      <c r="B60" s="51">
        <v>33</v>
      </c>
      <c r="C60" s="48">
        <f ca="1">IF(Számítás_UL!$G$1="OK",SUMIF(Számítás_UL!$B$20:$B$1027,"="&amp;$B60,Számítás_UL!$J$20:$J$1027),0)</f>
        <v>0</v>
      </c>
      <c r="D60" s="48">
        <f ca="1">IF(Számítás_UL!$G$1="OK",SUMIF(Tranzakciók!$B$32:$B$115,"="&amp;$B60,Tranzakciók!$K$32:$K$115),0)</f>
        <v>0</v>
      </c>
      <c r="E60" s="48">
        <f ca="1">IF(Számítás_UL!$G$1="OK",SUMIF(Számítás_UL!$Z$20:$Z$1027,"="&amp;$B60,Számítás_UL!$AI$20:$AI$1027),0)</f>
        <v>0</v>
      </c>
      <c r="F60" s="52">
        <v>0</v>
      </c>
      <c r="G60" s="53">
        <f t="shared" ca="1" si="3"/>
        <v>0</v>
      </c>
      <c r="H60" s="48">
        <f ca="1">IF(Számítás_UL!$G$1="OK",VLOOKUP($A60,Számítás_UL!$A$20:$W$1027,22,0),0)</f>
        <v>0</v>
      </c>
      <c r="I60" s="48">
        <f ca="1">IF(Számítás_UL!$G$1="OK",VLOOKUP($A60,Számítás_UL!$AM$20:$AZ$1027,13,0),0)</f>
        <v>0</v>
      </c>
      <c r="J60" s="48">
        <f ca="1">IF(Számítás_UL!$G$1="OK",VLOOKUP($A60,Számítás_UL!$Y$20:$AK$1027,12,0),0)</f>
        <v>0</v>
      </c>
      <c r="K60" s="48">
        <v>0</v>
      </c>
      <c r="L60" s="49">
        <f t="shared" ca="1" si="2"/>
        <v>0</v>
      </c>
      <c r="M60" s="50">
        <f ca="1">IF(Számítás_UL!$G$1="OK",VLOOKUP($A60,Számítás_UL!$A$20:$W$1027,23,0)+VLOOKUP($A60,Számítás_UL!$AM$20:$AZ$1027,14,0)+VLOOKUP($A60,Számítás_UL!$Y$20:$AK$1027,13,0),0)</f>
        <v>0</v>
      </c>
    </row>
    <row r="61" spans="1:13" x14ac:dyDescent="0.2">
      <c r="A61" s="46">
        <f t="shared" si="0"/>
        <v>408</v>
      </c>
      <c r="B61" s="51">
        <v>34</v>
      </c>
      <c r="C61" s="48">
        <f ca="1">IF(Számítás_UL!$G$1="OK",SUMIF(Számítás_UL!$B$20:$B$1027,"="&amp;$B61,Számítás_UL!$J$20:$J$1027),0)</f>
        <v>0</v>
      </c>
      <c r="D61" s="48">
        <f ca="1">IF(Számítás_UL!$G$1="OK",SUMIF(Tranzakciók!$B$32:$B$115,"="&amp;$B61,Tranzakciók!$K$32:$K$115),0)</f>
        <v>0</v>
      </c>
      <c r="E61" s="48">
        <f ca="1">IF(Számítás_UL!$G$1="OK",SUMIF(Számítás_UL!$Z$20:$Z$1027,"="&amp;$B61,Számítás_UL!$AI$20:$AI$1027),0)</f>
        <v>0</v>
      </c>
      <c r="F61" s="52">
        <v>0</v>
      </c>
      <c r="G61" s="53">
        <f t="shared" ca="1" si="3"/>
        <v>0</v>
      </c>
      <c r="H61" s="48">
        <f ca="1">IF(Számítás_UL!$G$1="OK",VLOOKUP($A61,Számítás_UL!$A$20:$W$1027,22,0),0)</f>
        <v>0</v>
      </c>
      <c r="I61" s="48">
        <f ca="1">IF(Számítás_UL!$G$1="OK",VLOOKUP($A61,Számítás_UL!$AM$20:$AZ$1027,13,0),0)</f>
        <v>0</v>
      </c>
      <c r="J61" s="48">
        <f ca="1">IF(Számítás_UL!$G$1="OK",VLOOKUP($A61,Számítás_UL!$Y$20:$AK$1027,12,0),0)</f>
        <v>0</v>
      </c>
      <c r="K61" s="48">
        <v>0</v>
      </c>
      <c r="L61" s="49">
        <f t="shared" ca="1" si="2"/>
        <v>0</v>
      </c>
      <c r="M61" s="50">
        <f ca="1">IF(Számítás_UL!$G$1="OK",VLOOKUP($A61,Számítás_UL!$A$20:$W$1027,23,0)+VLOOKUP($A61,Számítás_UL!$AM$20:$AZ$1027,14,0)+VLOOKUP($A61,Számítás_UL!$Y$20:$AK$1027,13,0),0)</f>
        <v>0</v>
      </c>
    </row>
    <row r="62" spans="1:13" x14ac:dyDescent="0.2">
      <c r="A62" s="46">
        <f t="shared" si="0"/>
        <v>420</v>
      </c>
      <c r="B62" s="51">
        <v>35</v>
      </c>
      <c r="C62" s="48">
        <f ca="1">IF(Számítás_UL!$G$1="OK",SUMIF(Számítás_UL!$B$20:$B$1027,"="&amp;$B62,Számítás_UL!$J$20:$J$1027),0)</f>
        <v>0</v>
      </c>
      <c r="D62" s="48">
        <f ca="1">IF(Számítás_UL!$G$1="OK",SUMIF(Tranzakciók!$B$32:$B$115,"="&amp;$B62,Tranzakciók!$K$32:$K$115),0)</f>
        <v>0</v>
      </c>
      <c r="E62" s="48">
        <f ca="1">IF(Számítás_UL!$G$1="OK",SUMIF(Számítás_UL!$Z$20:$Z$1027,"="&amp;$B62,Számítás_UL!$AI$20:$AI$1027),0)</f>
        <v>0</v>
      </c>
      <c r="F62" s="52">
        <v>0</v>
      </c>
      <c r="G62" s="53">
        <f t="shared" ca="1" si="3"/>
        <v>0</v>
      </c>
      <c r="H62" s="48">
        <f ca="1">IF(Számítás_UL!$G$1="OK",VLOOKUP($A62,Számítás_UL!$A$20:$W$1027,22,0),0)</f>
        <v>0</v>
      </c>
      <c r="I62" s="48">
        <f ca="1">IF(Számítás_UL!$G$1="OK",VLOOKUP($A62,Számítás_UL!$AM$20:$AZ$1027,13,0),0)</f>
        <v>0</v>
      </c>
      <c r="J62" s="48">
        <f ca="1">IF(Számítás_UL!$G$1="OK",VLOOKUP($A62,Számítás_UL!$Y$20:$AK$1027,12,0),0)</f>
        <v>0</v>
      </c>
      <c r="K62" s="48">
        <v>0</v>
      </c>
      <c r="L62" s="49">
        <f t="shared" ca="1" si="2"/>
        <v>0</v>
      </c>
      <c r="M62" s="50">
        <f ca="1">IF(Számítás_UL!$G$1="OK",VLOOKUP($A62,Számítás_UL!$A$20:$W$1027,23,0)+VLOOKUP($A62,Számítás_UL!$AM$20:$AZ$1027,14,0)+VLOOKUP($A62,Számítás_UL!$Y$20:$AK$1027,13,0),0)</f>
        <v>0</v>
      </c>
    </row>
    <row r="63" spans="1:13" x14ac:dyDescent="0.2">
      <c r="A63" s="46">
        <f t="shared" si="0"/>
        <v>432</v>
      </c>
      <c r="B63" s="51">
        <v>36</v>
      </c>
      <c r="C63" s="48">
        <f ca="1">IF(Számítás_UL!$G$1="OK",SUMIF(Számítás_UL!$B$20:$B$1027,"="&amp;$B63,Számítás_UL!$J$20:$J$1027),0)</f>
        <v>0</v>
      </c>
      <c r="D63" s="48">
        <f ca="1">IF(Számítás_UL!$G$1="OK",SUMIF(Tranzakciók!$B$32:$B$115,"="&amp;$B63,Tranzakciók!$K$32:$K$115),0)</f>
        <v>0</v>
      </c>
      <c r="E63" s="48">
        <f ca="1">IF(Számítás_UL!$G$1="OK",SUMIF(Számítás_UL!$Z$20:$Z$1027,"="&amp;$B63,Számítás_UL!$AI$20:$AI$1027),0)</f>
        <v>0</v>
      </c>
      <c r="F63" s="52">
        <v>0</v>
      </c>
      <c r="G63" s="53">
        <f t="shared" ca="1" si="3"/>
        <v>0</v>
      </c>
      <c r="H63" s="48">
        <f ca="1">IF(Számítás_UL!$G$1="OK",VLOOKUP($A63,Számítás_UL!$A$20:$W$1027,22,0),0)</f>
        <v>0</v>
      </c>
      <c r="I63" s="48">
        <f ca="1">IF(Számítás_UL!$G$1="OK",VLOOKUP($A63,Számítás_UL!$AM$20:$AZ$1027,13,0),0)</f>
        <v>0</v>
      </c>
      <c r="J63" s="48">
        <f ca="1">IF(Számítás_UL!$G$1="OK",VLOOKUP($A63,Számítás_UL!$Y$20:$AK$1027,12,0),0)</f>
        <v>0</v>
      </c>
      <c r="K63" s="48">
        <v>0</v>
      </c>
      <c r="L63" s="49">
        <f t="shared" ca="1" si="2"/>
        <v>0</v>
      </c>
      <c r="M63" s="50">
        <f ca="1">IF(Számítás_UL!$G$1="OK",VLOOKUP($A63,Számítás_UL!$A$20:$W$1027,23,0)+VLOOKUP($A63,Számítás_UL!$AM$20:$AZ$1027,14,0)+VLOOKUP($A63,Számítás_UL!$Y$20:$AK$1027,13,0),0)</f>
        <v>0</v>
      </c>
    </row>
    <row r="64" spans="1:13" x14ac:dyDescent="0.2">
      <c r="A64" s="46">
        <f t="shared" si="0"/>
        <v>444</v>
      </c>
      <c r="B64" s="51">
        <v>37</v>
      </c>
      <c r="C64" s="48">
        <f ca="1">IF(Számítás_UL!$G$1="OK",SUMIF(Számítás_UL!$B$20:$B$1027,"="&amp;$B64,Számítás_UL!$J$20:$J$1027),0)</f>
        <v>0</v>
      </c>
      <c r="D64" s="48">
        <f ca="1">IF(Számítás_UL!$G$1="OK",SUMIF(Tranzakciók!$B$32:$B$115,"="&amp;$B64,Tranzakciók!$K$32:$K$115),0)</f>
        <v>0</v>
      </c>
      <c r="E64" s="48">
        <f ca="1">IF(Számítás_UL!$G$1="OK",SUMIF(Számítás_UL!$Z$20:$Z$1027,"="&amp;$B64,Számítás_UL!$AI$20:$AI$1027),0)</f>
        <v>0</v>
      </c>
      <c r="F64" s="52">
        <v>0</v>
      </c>
      <c r="G64" s="53">
        <f t="shared" ca="1" si="3"/>
        <v>0</v>
      </c>
      <c r="H64" s="48">
        <f ca="1">IF(Számítás_UL!$G$1="OK",VLOOKUP($A64,Számítás_UL!$A$20:$W$1027,22,0),0)</f>
        <v>0</v>
      </c>
      <c r="I64" s="48">
        <f ca="1">IF(Számítás_UL!$G$1="OK",VLOOKUP($A64,Számítás_UL!$AM$20:$AZ$1027,13,0),0)</f>
        <v>0</v>
      </c>
      <c r="J64" s="48">
        <f ca="1">IF(Számítás_UL!$G$1="OK",VLOOKUP($A64,Számítás_UL!$Y$20:$AK$1027,12,0),0)</f>
        <v>0</v>
      </c>
      <c r="K64" s="48">
        <v>0</v>
      </c>
      <c r="L64" s="49">
        <f t="shared" ca="1" si="2"/>
        <v>0</v>
      </c>
      <c r="M64" s="50">
        <f ca="1">IF(Számítás_UL!$G$1="OK",VLOOKUP($A64,Számítás_UL!$A$20:$W$1027,23,0)+VLOOKUP($A64,Számítás_UL!$AM$20:$AZ$1027,14,0)+VLOOKUP($A64,Számítás_UL!$Y$20:$AK$1027,13,0),0)</f>
        <v>0</v>
      </c>
    </row>
    <row r="65" spans="1:13" x14ac:dyDescent="0.2">
      <c r="A65" s="46">
        <f t="shared" si="0"/>
        <v>456</v>
      </c>
      <c r="B65" s="51">
        <v>38</v>
      </c>
      <c r="C65" s="48">
        <f ca="1">IF(Számítás_UL!$G$1="OK",SUMIF(Számítás_UL!$B$20:$B$1027,"="&amp;$B65,Számítás_UL!$J$20:$J$1027),0)</f>
        <v>0</v>
      </c>
      <c r="D65" s="48">
        <f ca="1">IF(Számítás_UL!$G$1="OK",SUMIF(Tranzakciók!$B$32:$B$115,"="&amp;$B65,Tranzakciók!$K$32:$K$115),0)</f>
        <v>0</v>
      </c>
      <c r="E65" s="48">
        <f ca="1">IF(Számítás_UL!$G$1="OK",SUMIF(Számítás_UL!$Z$20:$Z$1027,"="&amp;$B65,Számítás_UL!$AI$20:$AI$1027),0)</f>
        <v>0</v>
      </c>
      <c r="F65" s="52">
        <v>0</v>
      </c>
      <c r="G65" s="53">
        <f t="shared" ca="1" si="3"/>
        <v>0</v>
      </c>
      <c r="H65" s="48">
        <f ca="1">IF(Számítás_UL!$G$1="OK",VLOOKUP($A65,Számítás_UL!$A$20:$W$1027,22,0),0)</f>
        <v>0</v>
      </c>
      <c r="I65" s="48">
        <f ca="1">IF(Számítás_UL!$G$1="OK",VLOOKUP($A65,Számítás_UL!$AM$20:$AZ$1027,13,0),0)</f>
        <v>0</v>
      </c>
      <c r="J65" s="48">
        <f ca="1">IF(Számítás_UL!$G$1="OK",VLOOKUP($A65,Számítás_UL!$Y$20:$AK$1027,12,0),0)</f>
        <v>0</v>
      </c>
      <c r="K65" s="48">
        <v>0</v>
      </c>
      <c r="L65" s="49">
        <f t="shared" ca="1" si="2"/>
        <v>0</v>
      </c>
      <c r="M65" s="50">
        <f ca="1">IF(Számítás_UL!$G$1="OK",VLOOKUP($A65,Számítás_UL!$A$20:$W$1027,23,0)+VLOOKUP($A65,Számítás_UL!$AM$20:$AZ$1027,14,0)+VLOOKUP($A65,Számítás_UL!$Y$20:$AK$1027,13,0),0)</f>
        <v>0</v>
      </c>
    </row>
    <row r="66" spans="1:13" x14ac:dyDescent="0.2">
      <c r="A66" s="46">
        <f t="shared" si="0"/>
        <v>468</v>
      </c>
      <c r="B66" s="51">
        <v>39</v>
      </c>
      <c r="C66" s="48">
        <f ca="1">IF(Számítás_UL!$G$1="OK",SUMIF(Számítás_UL!$B$20:$B$1027,"="&amp;$B66,Számítás_UL!$J$20:$J$1027),0)</f>
        <v>0</v>
      </c>
      <c r="D66" s="48">
        <f ca="1">IF(Számítás_UL!$G$1="OK",SUMIF(Tranzakciók!$B$32:$B$115,"="&amp;$B66,Tranzakciók!$K$32:$K$115),0)</f>
        <v>0</v>
      </c>
      <c r="E66" s="48">
        <f ca="1">IF(Számítás_UL!$G$1="OK",SUMIF(Számítás_UL!$Z$20:$Z$1027,"="&amp;$B66,Számítás_UL!$AI$20:$AI$1027),0)</f>
        <v>0</v>
      </c>
      <c r="F66" s="52">
        <v>0</v>
      </c>
      <c r="G66" s="53">
        <f t="shared" ca="1" si="3"/>
        <v>0</v>
      </c>
      <c r="H66" s="48">
        <f ca="1">IF(Számítás_UL!$G$1="OK",VLOOKUP($A66,Számítás_UL!$A$20:$W$1027,22,0),0)</f>
        <v>0</v>
      </c>
      <c r="I66" s="48">
        <f ca="1">IF(Számítás_UL!$G$1="OK",VLOOKUP($A66,Számítás_UL!$AM$20:$AZ$1027,13,0),0)</f>
        <v>0</v>
      </c>
      <c r="J66" s="48">
        <f ca="1">IF(Számítás_UL!$G$1="OK",VLOOKUP($A66,Számítás_UL!$Y$20:$AK$1027,12,0),0)</f>
        <v>0</v>
      </c>
      <c r="K66" s="48">
        <v>0</v>
      </c>
      <c r="L66" s="49">
        <f t="shared" ca="1" si="2"/>
        <v>0</v>
      </c>
      <c r="M66" s="50">
        <f ca="1">IF(Számítás_UL!$G$1="OK",VLOOKUP($A66,Számítás_UL!$A$20:$W$1027,23,0)+VLOOKUP($A66,Számítás_UL!$AM$20:$AZ$1027,14,0)+VLOOKUP($A66,Számítás_UL!$Y$20:$AK$1027,13,0),0)</f>
        <v>0</v>
      </c>
    </row>
    <row r="67" spans="1:13" x14ac:dyDescent="0.2">
      <c r="A67" s="46">
        <f t="shared" si="0"/>
        <v>480</v>
      </c>
      <c r="B67" s="51">
        <v>40</v>
      </c>
      <c r="C67" s="48">
        <f ca="1">IF(Számítás_UL!$G$1="OK",SUMIF(Számítás_UL!$B$20:$B$1027,"="&amp;$B67,Számítás_UL!$J$20:$J$1027),0)</f>
        <v>0</v>
      </c>
      <c r="D67" s="48">
        <f ca="1">IF(Számítás_UL!$G$1="OK",SUMIF(Tranzakciók!$B$32:$B$115,"="&amp;$B67,Tranzakciók!$K$32:$K$115),0)</f>
        <v>0</v>
      </c>
      <c r="E67" s="48">
        <f ca="1">IF(Számítás_UL!$G$1="OK",SUMIF(Számítás_UL!$Z$20:$Z$1027,"="&amp;$B67,Számítás_UL!$AI$20:$AI$1027),0)</f>
        <v>0</v>
      </c>
      <c r="F67" s="52">
        <v>0</v>
      </c>
      <c r="G67" s="53">
        <f t="shared" ca="1" si="3"/>
        <v>0</v>
      </c>
      <c r="H67" s="48">
        <f ca="1">IF(Számítás_UL!$G$1="OK",VLOOKUP($A67,Számítás_UL!$A$20:$W$1027,22,0),0)</f>
        <v>0</v>
      </c>
      <c r="I67" s="48">
        <f ca="1">IF(Számítás_UL!$G$1="OK",VLOOKUP($A67,Számítás_UL!$AM$20:$AZ$1027,13,0),0)</f>
        <v>0</v>
      </c>
      <c r="J67" s="48">
        <f ca="1">IF(Számítás_UL!$G$1="OK",VLOOKUP($A67,Számítás_UL!$Y$20:$AK$1027,12,0),0)</f>
        <v>0</v>
      </c>
      <c r="K67" s="48">
        <v>0</v>
      </c>
      <c r="L67" s="49">
        <f t="shared" ca="1" si="2"/>
        <v>0</v>
      </c>
      <c r="M67" s="50">
        <f ca="1">IF(Számítás_UL!$G$1="OK",VLOOKUP($A67,Számítás_UL!$A$20:$W$1027,23,0)+VLOOKUP($A67,Számítás_UL!$AM$20:$AZ$1027,14,0)+VLOOKUP($A67,Számítás_UL!$Y$20:$AK$1027,13,0),0)</f>
        <v>0</v>
      </c>
    </row>
    <row r="68" spans="1:13" x14ac:dyDescent="0.2">
      <c r="A68" s="46">
        <f t="shared" si="0"/>
        <v>492</v>
      </c>
      <c r="B68" s="47">
        <v>41</v>
      </c>
      <c r="C68" s="48">
        <f ca="1">IF(Számítás_UL!$G$1="OK",SUMIF(Számítás_UL!$B$20:$B$1027,"="&amp;$B68,Számítás_UL!$J$20:$J$1027),0)</f>
        <v>0</v>
      </c>
      <c r="D68" s="48">
        <f ca="1">IF(Számítás_UL!$G$1="OK",SUMIF(Tranzakciók!$B$32:$B$115,"="&amp;$B68,Tranzakciók!$K$32:$K$115),0)</f>
        <v>0</v>
      </c>
      <c r="E68" s="48">
        <f ca="1">IF(Számítás_UL!$G$1="OK",SUMIF(Számítás_UL!$Z$20:$Z$1027,"="&amp;$B68,Számítás_UL!$AI$20:$AI$1027),0)</f>
        <v>0</v>
      </c>
      <c r="F68" s="48">
        <v>0</v>
      </c>
      <c r="G68" s="49">
        <f t="shared" ca="1" si="3"/>
        <v>0</v>
      </c>
      <c r="H68" s="48">
        <f ca="1">IF(Számítás_UL!$G$1="OK",VLOOKUP($A68,Számítás_UL!$A$20:$W$1027,22,0),0)</f>
        <v>0</v>
      </c>
      <c r="I68" s="48">
        <f ca="1">IF(Számítás_UL!$G$1="OK",VLOOKUP($A68,Számítás_UL!$AM$20:$AZ$1027,13,0),0)</f>
        <v>0</v>
      </c>
      <c r="J68" s="48">
        <f ca="1">IF(Számítás_UL!$G$1="OK",VLOOKUP($A68,Számítás_UL!$Y$20:$AK$1027,12,0),0)</f>
        <v>0</v>
      </c>
      <c r="K68" s="48">
        <v>0</v>
      </c>
      <c r="L68" s="49">
        <f t="shared" ca="1" si="2"/>
        <v>0</v>
      </c>
      <c r="M68" s="50">
        <f ca="1">IF(Számítás_UL!$G$1="OK",VLOOKUP($A68,Számítás_UL!$A$20:$W$1027,23,0)+VLOOKUP($A68,Számítás_UL!$AM$20:$AZ$1027,14,0)+VLOOKUP($A68,Számítás_UL!$Y$20:$AK$1027,13,0),0)</f>
        <v>0</v>
      </c>
    </row>
    <row r="69" spans="1:13" x14ac:dyDescent="0.2">
      <c r="A69" s="46">
        <f t="shared" si="0"/>
        <v>504</v>
      </c>
      <c r="B69" s="51">
        <v>42</v>
      </c>
      <c r="C69" s="48">
        <f ca="1">IF(Számítás_UL!$G$1="OK",SUMIF(Számítás_UL!$B$20:$B$1027,"="&amp;$B69,Számítás_UL!$J$20:$J$1027),0)</f>
        <v>0</v>
      </c>
      <c r="D69" s="48">
        <f ca="1">IF(Számítás_UL!$G$1="OK",SUMIF(Tranzakciók!$B$32:$B$115,"="&amp;$B69,Tranzakciók!$K$32:$K$115),0)</f>
        <v>0</v>
      </c>
      <c r="E69" s="48">
        <f ca="1">IF(Számítás_UL!$G$1="OK",SUMIF(Számítás_UL!$Z$20:$Z$1027,"="&amp;$B69,Számítás_UL!$AI$20:$AI$1027),0)</f>
        <v>0</v>
      </c>
      <c r="F69" s="52">
        <v>0</v>
      </c>
      <c r="G69" s="53">
        <f t="shared" ca="1" si="3"/>
        <v>0</v>
      </c>
      <c r="H69" s="48">
        <f ca="1">IF(Számítás_UL!$G$1="OK",VLOOKUP($A69,Számítás_UL!$A$20:$W$1027,22,0),0)</f>
        <v>0</v>
      </c>
      <c r="I69" s="48">
        <f ca="1">IF(Számítás_UL!$G$1="OK",VLOOKUP($A69,Számítás_UL!$AM$20:$AZ$1027,13,0),0)</f>
        <v>0</v>
      </c>
      <c r="J69" s="48">
        <f ca="1">IF(Számítás_UL!$G$1="OK",VLOOKUP($A69,Számítás_UL!$Y$20:$AK$1027,12,0),0)</f>
        <v>0</v>
      </c>
      <c r="K69" s="48">
        <v>0</v>
      </c>
      <c r="L69" s="49">
        <f t="shared" ca="1" si="2"/>
        <v>0</v>
      </c>
      <c r="M69" s="50">
        <f ca="1">IF(Számítás_UL!$G$1="OK",VLOOKUP($A69,Számítás_UL!$A$20:$W$1027,23,0)+VLOOKUP($A69,Számítás_UL!$AM$20:$AZ$1027,14,0)+VLOOKUP($A69,Számítás_UL!$Y$20:$AK$1027,13,0),0)</f>
        <v>0</v>
      </c>
    </row>
    <row r="70" spans="1:13" x14ac:dyDescent="0.2">
      <c r="A70" s="46">
        <f t="shared" si="0"/>
        <v>516</v>
      </c>
      <c r="B70" s="51">
        <v>43</v>
      </c>
      <c r="C70" s="48">
        <f ca="1">IF(Számítás_UL!$G$1="OK",SUMIF(Számítás_UL!$B$20:$B$1027,"="&amp;$B70,Számítás_UL!$J$20:$J$1027),0)</f>
        <v>0</v>
      </c>
      <c r="D70" s="48">
        <f ca="1">IF(Számítás_UL!$G$1="OK",SUMIF(Tranzakciók!$B$32:$B$115,"="&amp;$B70,Tranzakciók!$K$32:$K$115),0)</f>
        <v>0</v>
      </c>
      <c r="E70" s="48">
        <f ca="1">IF(Számítás_UL!$G$1="OK",SUMIF(Számítás_UL!$Z$20:$Z$1027,"="&amp;$B70,Számítás_UL!$AI$20:$AI$1027),0)</f>
        <v>0</v>
      </c>
      <c r="F70" s="52">
        <v>0</v>
      </c>
      <c r="G70" s="53">
        <f t="shared" ca="1" si="3"/>
        <v>0</v>
      </c>
      <c r="H70" s="48">
        <f ca="1">IF(Számítás_UL!$G$1="OK",VLOOKUP($A70,Számítás_UL!$A$20:$W$1027,22,0),0)</f>
        <v>0</v>
      </c>
      <c r="I70" s="48">
        <f ca="1">IF(Számítás_UL!$G$1="OK",VLOOKUP($A70,Számítás_UL!$AM$20:$AZ$1027,13,0),0)</f>
        <v>0</v>
      </c>
      <c r="J70" s="48">
        <f ca="1">IF(Számítás_UL!$G$1="OK",VLOOKUP($A70,Számítás_UL!$Y$20:$AK$1027,12,0),0)</f>
        <v>0</v>
      </c>
      <c r="K70" s="48">
        <v>0</v>
      </c>
      <c r="L70" s="49">
        <f t="shared" ca="1" si="2"/>
        <v>0</v>
      </c>
      <c r="M70" s="50">
        <f ca="1">IF(Számítás_UL!$G$1="OK",VLOOKUP($A70,Számítás_UL!$A$20:$W$1027,23,0)+VLOOKUP($A70,Számítás_UL!$AM$20:$AZ$1027,14,0)+VLOOKUP($A70,Számítás_UL!$Y$20:$AK$1027,13,0),0)</f>
        <v>0</v>
      </c>
    </row>
    <row r="71" spans="1:13" x14ac:dyDescent="0.2">
      <c r="A71" s="46">
        <f t="shared" si="0"/>
        <v>528</v>
      </c>
      <c r="B71" s="51">
        <v>44</v>
      </c>
      <c r="C71" s="48">
        <f ca="1">IF(Számítás_UL!$G$1="OK",SUMIF(Számítás_UL!$B$20:$B$1027,"="&amp;$B71,Számítás_UL!$J$20:$J$1027),0)</f>
        <v>0</v>
      </c>
      <c r="D71" s="48">
        <f ca="1">IF(Számítás_UL!$G$1="OK",SUMIF(Tranzakciók!$B$32:$B$115,"="&amp;$B71,Tranzakciók!$K$32:$K$115),0)</f>
        <v>0</v>
      </c>
      <c r="E71" s="48">
        <f ca="1">IF(Számítás_UL!$G$1="OK",SUMIF(Számítás_UL!$Z$20:$Z$1027,"="&amp;$B71,Számítás_UL!$AI$20:$AI$1027),0)</f>
        <v>0</v>
      </c>
      <c r="F71" s="52">
        <v>0</v>
      </c>
      <c r="G71" s="53">
        <f t="shared" ca="1" si="3"/>
        <v>0</v>
      </c>
      <c r="H71" s="48">
        <f ca="1">IF(Számítás_UL!$G$1="OK",VLOOKUP($A71,Számítás_UL!$A$20:$W$1027,22,0),0)</f>
        <v>0</v>
      </c>
      <c r="I71" s="48">
        <f ca="1">IF(Számítás_UL!$G$1="OK",VLOOKUP($A71,Számítás_UL!$AM$20:$AZ$1027,13,0),0)</f>
        <v>0</v>
      </c>
      <c r="J71" s="48">
        <f ca="1">IF(Számítás_UL!$G$1="OK",VLOOKUP($A71,Számítás_UL!$Y$20:$AK$1027,12,0),0)</f>
        <v>0</v>
      </c>
      <c r="K71" s="48">
        <v>0</v>
      </c>
      <c r="L71" s="49">
        <f t="shared" ca="1" si="2"/>
        <v>0</v>
      </c>
      <c r="M71" s="50">
        <f ca="1">IF(Számítás_UL!$G$1="OK",VLOOKUP($A71,Számítás_UL!$A$20:$W$1027,23,0)+VLOOKUP($A71,Számítás_UL!$AM$20:$AZ$1027,14,0)+VLOOKUP($A71,Számítás_UL!$Y$20:$AK$1027,13,0),0)</f>
        <v>0</v>
      </c>
    </row>
    <row r="72" spans="1:13" x14ac:dyDescent="0.2">
      <c r="A72" s="46">
        <f t="shared" si="0"/>
        <v>540</v>
      </c>
      <c r="B72" s="51">
        <v>45</v>
      </c>
      <c r="C72" s="48">
        <f ca="1">IF(Számítás_UL!$G$1="OK",SUMIF(Számítás_UL!$B$20:$B$1027,"="&amp;$B72,Számítás_UL!$J$20:$J$1027),0)</f>
        <v>0</v>
      </c>
      <c r="D72" s="48">
        <f ca="1">IF(Számítás_UL!$G$1="OK",SUMIF(Tranzakciók!$B$32:$B$115,"="&amp;$B72,Tranzakciók!$K$32:$K$115),0)</f>
        <v>0</v>
      </c>
      <c r="E72" s="48">
        <f ca="1">IF(Számítás_UL!$G$1="OK",SUMIF(Számítás_UL!$Z$20:$Z$1027,"="&amp;$B72,Számítás_UL!$AI$20:$AI$1027),0)</f>
        <v>0</v>
      </c>
      <c r="F72" s="52">
        <v>0</v>
      </c>
      <c r="G72" s="53">
        <f t="shared" ca="1" si="3"/>
        <v>0</v>
      </c>
      <c r="H72" s="48">
        <f ca="1">IF(Számítás_UL!$G$1="OK",VLOOKUP($A72,Számítás_UL!$A$20:$W$1027,22,0),0)</f>
        <v>0</v>
      </c>
      <c r="I72" s="48">
        <f ca="1">IF(Számítás_UL!$G$1="OK",VLOOKUP($A72,Számítás_UL!$AM$20:$AZ$1027,13,0),0)</f>
        <v>0</v>
      </c>
      <c r="J72" s="48">
        <f ca="1">IF(Számítás_UL!$G$1="OK",VLOOKUP($A72,Számítás_UL!$Y$20:$AK$1027,12,0),0)</f>
        <v>0</v>
      </c>
      <c r="K72" s="48">
        <v>0</v>
      </c>
      <c r="L72" s="49">
        <f t="shared" ca="1" si="2"/>
        <v>0</v>
      </c>
      <c r="M72" s="50">
        <f ca="1">IF(Számítás_UL!$G$1="OK",VLOOKUP($A72,Számítás_UL!$A$20:$W$1027,23,0)+VLOOKUP($A72,Számítás_UL!$AM$20:$AZ$1027,14,0)+VLOOKUP($A72,Számítás_UL!$Y$20:$AK$1027,13,0),0)</f>
        <v>0</v>
      </c>
    </row>
    <row r="73" spans="1:13" x14ac:dyDescent="0.2">
      <c r="A73" s="46">
        <f t="shared" si="0"/>
        <v>552</v>
      </c>
      <c r="B73" s="51">
        <v>46</v>
      </c>
      <c r="C73" s="48">
        <f ca="1">IF(Számítás_UL!$G$1="OK",SUMIF(Számítás_UL!$B$20:$B$1027,"="&amp;$B73,Számítás_UL!$J$20:$J$1027),0)</f>
        <v>0</v>
      </c>
      <c r="D73" s="48">
        <f ca="1">IF(Számítás_UL!$G$1="OK",SUMIF(Tranzakciók!$B$32:$B$115,"="&amp;$B73,Tranzakciók!$K$32:$K$115),0)</f>
        <v>0</v>
      </c>
      <c r="E73" s="48">
        <f ca="1">IF(Számítás_UL!$G$1="OK",SUMIF(Számítás_UL!$Z$20:$Z$1027,"="&amp;$B73,Számítás_UL!$AI$20:$AI$1027),0)</f>
        <v>0</v>
      </c>
      <c r="F73" s="52">
        <v>0</v>
      </c>
      <c r="G73" s="53">
        <f t="shared" ca="1" si="3"/>
        <v>0</v>
      </c>
      <c r="H73" s="48">
        <f ca="1">IF(Számítás_UL!$G$1="OK",VLOOKUP($A73,Számítás_UL!$A$20:$W$1027,22,0),0)</f>
        <v>0</v>
      </c>
      <c r="I73" s="48">
        <f ca="1">IF(Számítás_UL!$G$1="OK",VLOOKUP($A73,Számítás_UL!$AM$20:$AZ$1027,13,0),0)</f>
        <v>0</v>
      </c>
      <c r="J73" s="48">
        <f ca="1">IF(Számítás_UL!$G$1="OK",VLOOKUP($A73,Számítás_UL!$Y$20:$AK$1027,12,0),0)</f>
        <v>0</v>
      </c>
      <c r="K73" s="48">
        <v>0</v>
      </c>
      <c r="L73" s="49">
        <f t="shared" ca="1" si="2"/>
        <v>0</v>
      </c>
      <c r="M73" s="50">
        <f ca="1">IF(Számítás_UL!$G$1="OK",VLOOKUP($A73,Számítás_UL!$A$20:$W$1027,23,0)+VLOOKUP($A73,Számítás_UL!$AM$20:$AZ$1027,14,0)+VLOOKUP($A73,Számítás_UL!$Y$20:$AK$1027,13,0),0)</f>
        <v>0</v>
      </c>
    </row>
    <row r="74" spans="1:13" x14ac:dyDescent="0.2">
      <c r="A74" s="46">
        <f t="shared" si="0"/>
        <v>564</v>
      </c>
      <c r="B74" s="51">
        <v>47</v>
      </c>
      <c r="C74" s="48">
        <f ca="1">IF(Számítás_UL!$G$1="OK",SUMIF(Számítás_UL!$B$20:$B$1027,"="&amp;$B74,Számítás_UL!$J$20:$J$1027),0)</f>
        <v>0</v>
      </c>
      <c r="D74" s="48">
        <f ca="1">IF(Számítás_UL!$G$1="OK",SUMIF(Tranzakciók!$B$32:$B$115,"="&amp;$B74,Tranzakciók!$K$32:$K$115),0)</f>
        <v>0</v>
      </c>
      <c r="E74" s="48">
        <f ca="1">IF(Számítás_UL!$G$1="OK",SUMIF(Számítás_UL!$Z$20:$Z$1027,"="&amp;$B74,Számítás_UL!$AI$20:$AI$1027),0)</f>
        <v>0</v>
      </c>
      <c r="F74" s="52">
        <v>0</v>
      </c>
      <c r="G74" s="53">
        <f t="shared" ca="1" si="3"/>
        <v>0</v>
      </c>
      <c r="H74" s="48">
        <f ca="1">IF(Számítás_UL!$G$1="OK",VLOOKUP($A74,Számítás_UL!$A$20:$W$1027,22,0),0)</f>
        <v>0</v>
      </c>
      <c r="I74" s="48">
        <f ca="1">IF(Számítás_UL!$G$1="OK",VLOOKUP($A74,Számítás_UL!$AM$20:$AZ$1027,13,0),0)</f>
        <v>0</v>
      </c>
      <c r="J74" s="48">
        <f ca="1">IF(Számítás_UL!$G$1="OK",VLOOKUP($A74,Számítás_UL!$Y$20:$AK$1027,12,0),0)</f>
        <v>0</v>
      </c>
      <c r="K74" s="48">
        <v>0</v>
      </c>
      <c r="L74" s="49">
        <f t="shared" ca="1" si="2"/>
        <v>0</v>
      </c>
      <c r="M74" s="50">
        <f ca="1">IF(Számítás_UL!$G$1="OK",VLOOKUP($A74,Számítás_UL!$A$20:$W$1027,23,0)+VLOOKUP($A74,Számítás_UL!$AM$20:$AZ$1027,14,0)+VLOOKUP($A74,Számítás_UL!$Y$20:$AK$1027,13,0),0)</f>
        <v>0</v>
      </c>
    </row>
    <row r="75" spans="1:13" x14ac:dyDescent="0.2">
      <c r="A75" s="46">
        <f t="shared" si="0"/>
        <v>576</v>
      </c>
      <c r="B75" s="51">
        <v>48</v>
      </c>
      <c r="C75" s="48">
        <f ca="1">IF(Számítás_UL!$G$1="OK",SUMIF(Számítás_UL!$B$20:$B$1027,"="&amp;$B75,Számítás_UL!$J$20:$J$1027),0)</f>
        <v>0</v>
      </c>
      <c r="D75" s="48">
        <f ca="1">IF(Számítás_UL!$G$1="OK",SUMIF(Tranzakciók!$B$32:$B$115,"="&amp;$B75,Tranzakciók!$K$32:$K$115),0)</f>
        <v>0</v>
      </c>
      <c r="E75" s="48">
        <f ca="1">IF(Számítás_UL!$G$1="OK",SUMIF(Számítás_UL!$Z$20:$Z$1027,"="&amp;$B75,Számítás_UL!$AI$20:$AI$1027),0)</f>
        <v>0</v>
      </c>
      <c r="F75" s="52">
        <v>0</v>
      </c>
      <c r="G75" s="53">
        <f t="shared" ca="1" si="3"/>
        <v>0</v>
      </c>
      <c r="H75" s="48">
        <f ca="1">IF(Számítás_UL!$G$1="OK",VLOOKUP($A75,Számítás_UL!$A$20:$W$1027,22,0),0)</f>
        <v>0</v>
      </c>
      <c r="I75" s="48">
        <f ca="1">IF(Számítás_UL!$G$1="OK",VLOOKUP($A75,Számítás_UL!$AM$20:$AZ$1027,13,0),0)</f>
        <v>0</v>
      </c>
      <c r="J75" s="48">
        <f ca="1">IF(Számítás_UL!$G$1="OK",VLOOKUP($A75,Számítás_UL!$Y$20:$AK$1027,12,0),0)</f>
        <v>0</v>
      </c>
      <c r="K75" s="48">
        <v>0</v>
      </c>
      <c r="L75" s="49">
        <f t="shared" ca="1" si="2"/>
        <v>0</v>
      </c>
      <c r="M75" s="50">
        <f ca="1">IF(Számítás_UL!$G$1="OK",VLOOKUP($A75,Számítás_UL!$A$20:$W$1027,23,0)+VLOOKUP($A75,Számítás_UL!$AM$20:$AZ$1027,14,0)+VLOOKUP($A75,Számítás_UL!$Y$20:$AK$1027,13,0),0)</f>
        <v>0</v>
      </c>
    </row>
    <row r="76" spans="1:13" x14ac:dyDescent="0.2">
      <c r="A76" s="46">
        <f t="shared" si="0"/>
        <v>588</v>
      </c>
      <c r="B76" s="51">
        <v>49</v>
      </c>
      <c r="C76" s="48">
        <f ca="1">IF(Számítás_UL!$G$1="OK",SUMIF(Számítás_UL!$B$20:$B$1027,"="&amp;$B76,Számítás_UL!$J$20:$J$1027),0)</f>
        <v>0</v>
      </c>
      <c r="D76" s="48">
        <f ca="1">IF(Számítás_UL!$G$1="OK",SUMIF(Tranzakciók!$B$32:$B$115,"="&amp;$B76,Tranzakciók!$K$32:$K$115),0)</f>
        <v>0</v>
      </c>
      <c r="E76" s="48">
        <f ca="1">IF(Számítás_UL!$G$1="OK",SUMIF(Számítás_UL!$Z$20:$Z$1027,"="&amp;$B76,Számítás_UL!$AI$20:$AI$1027),0)</f>
        <v>0</v>
      </c>
      <c r="F76" s="52">
        <v>0</v>
      </c>
      <c r="G76" s="53">
        <f t="shared" ca="1" si="3"/>
        <v>0</v>
      </c>
      <c r="H76" s="48">
        <f ca="1">IF(Számítás_UL!$G$1="OK",VLOOKUP($A76,Számítás_UL!$A$20:$W$1027,22,0),0)</f>
        <v>0</v>
      </c>
      <c r="I76" s="48">
        <f ca="1">IF(Számítás_UL!$G$1="OK",VLOOKUP($A76,Számítás_UL!$AM$20:$AZ$1027,13,0),0)</f>
        <v>0</v>
      </c>
      <c r="J76" s="48">
        <f ca="1">IF(Számítás_UL!$G$1="OK",VLOOKUP($A76,Számítás_UL!$Y$20:$AK$1027,12,0),0)</f>
        <v>0</v>
      </c>
      <c r="K76" s="48">
        <v>0</v>
      </c>
      <c r="L76" s="49">
        <f t="shared" ca="1" si="2"/>
        <v>0</v>
      </c>
      <c r="M76" s="50">
        <f ca="1">IF(Számítás_UL!$G$1="OK",VLOOKUP($A76,Számítás_UL!$A$20:$W$1027,23,0)+VLOOKUP($A76,Számítás_UL!$AM$20:$AZ$1027,14,0)+VLOOKUP($A76,Számítás_UL!$Y$20:$AK$1027,13,0),0)</f>
        <v>0</v>
      </c>
    </row>
    <row r="77" spans="1:13" x14ac:dyDescent="0.2">
      <c r="A77" s="46">
        <f t="shared" si="0"/>
        <v>600</v>
      </c>
      <c r="B77" s="51">
        <v>50</v>
      </c>
      <c r="C77" s="48">
        <f ca="1">IF(Számítás_UL!$G$1="OK",SUMIF(Számítás_UL!$B$20:$B$1027,"="&amp;$B77,Számítás_UL!$J$20:$J$1027),0)</f>
        <v>0</v>
      </c>
      <c r="D77" s="48">
        <f ca="1">IF(Számítás_UL!$G$1="OK",SUMIF(Tranzakciók!$B$32:$B$115,"="&amp;$B77,Tranzakciók!$K$32:$K$115),0)</f>
        <v>0</v>
      </c>
      <c r="E77" s="48">
        <f ca="1">IF(Számítás_UL!$G$1="OK",SUMIF(Számítás_UL!$Z$20:$Z$1027,"="&amp;$B77,Számítás_UL!$AI$20:$AI$1027),0)</f>
        <v>0</v>
      </c>
      <c r="F77" s="52">
        <v>0</v>
      </c>
      <c r="G77" s="53">
        <f t="shared" ca="1" si="3"/>
        <v>0</v>
      </c>
      <c r="H77" s="48">
        <f ca="1">IF(Számítás_UL!$G$1="OK",VLOOKUP($A77,Számítás_UL!$A$20:$W$1027,22,0),0)</f>
        <v>0</v>
      </c>
      <c r="I77" s="48">
        <f ca="1">IF(Számítás_UL!$G$1="OK",VLOOKUP($A77,Számítás_UL!$AM$20:$AZ$1027,13,0),0)</f>
        <v>0</v>
      </c>
      <c r="J77" s="48">
        <f ca="1">IF(Számítás_UL!$G$1="OK",VLOOKUP($A77,Számítás_UL!$Y$20:$AK$1027,12,0),0)</f>
        <v>0</v>
      </c>
      <c r="K77" s="48">
        <v>0</v>
      </c>
      <c r="L77" s="49">
        <f t="shared" ca="1" si="2"/>
        <v>0</v>
      </c>
      <c r="M77" s="50">
        <f ca="1">IF(Számítás_UL!$G$1="OK",VLOOKUP($A77,Számítás_UL!$A$20:$W$1027,23,0)+VLOOKUP($A77,Számítás_UL!$AM$20:$AZ$1027,14,0)+VLOOKUP($A77,Számítás_UL!$Y$20:$AK$1027,13,0),0)</f>
        <v>0</v>
      </c>
    </row>
    <row r="78" spans="1:13" x14ac:dyDescent="0.2">
      <c r="A78" s="46">
        <f t="shared" si="0"/>
        <v>612</v>
      </c>
      <c r="B78" s="47">
        <v>51</v>
      </c>
      <c r="C78" s="48">
        <f ca="1">IF(Számítás_UL!$G$1="OK",SUMIF(Számítás_UL!$B$20:$B$1027,"="&amp;$B78,Számítás_UL!$J$20:$J$1027),0)</f>
        <v>0</v>
      </c>
      <c r="D78" s="48">
        <f ca="1">IF(Számítás_UL!$G$1="OK",SUMIF(Tranzakciók!$B$32:$B$115,"="&amp;$B78,Tranzakciók!$K$32:$K$115),0)</f>
        <v>0</v>
      </c>
      <c r="E78" s="48">
        <f ca="1">IF(Számítás_UL!$G$1="OK",SUMIF(Számítás_UL!$Z$20:$Z$1027,"="&amp;$B78,Számítás_UL!$AI$20:$AI$1027),0)</f>
        <v>0</v>
      </c>
      <c r="F78" s="48">
        <v>0</v>
      </c>
      <c r="G78" s="49">
        <f t="shared" ca="1" si="3"/>
        <v>0</v>
      </c>
      <c r="H78" s="48">
        <f ca="1">IF(Számítás_UL!$G$1="OK",VLOOKUP($A78,Számítás_UL!$A$20:$W$1027,22,0),0)</f>
        <v>0</v>
      </c>
      <c r="I78" s="48">
        <f ca="1">IF(Számítás_UL!$G$1="OK",VLOOKUP($A78,Számítás_UL!$AM$20:$AZ$1027,13,0),0)</f>
        <v>0</v>
      </c>
      <c r="J78" s="48">
        <f ca="1">IF(Számítás_UL!$G$1="OK",VLOOKUP($A78,Számítás_UL!$Y$20:$AK$1027,12,0),0)</f>
        <v>0</v>
      </c>
      <c r="K78" s="48">
        <v>0</v>
      </c>
      <c r="L78" s="49">
        <f t="shared" ca="1" si="2"/>
        <v>0</v>
      </c>
      <c r="M78" s="50">
        <f ca="1">IF(Számítás_UL!$G$1="OK",VLOOKUP($A78,Számítás_UL!$A$20:$W$1027,23,0)+VLOOKUP($A78,Számítás_UL!$AM$20:$AZ$1027,14,0)+VLOOKUP($A78,Számítás_UL!$Y$20:$AK$1027,13,0),0)</f>
        <v>0</v>
      </c>
    </row>
    <row r="79" spans="1:13" x14ac:dyDescent="0.2">
      <c r="A79" s="46">
        <f t="shared" si="0"/>
        <v>624</v>
      </c>
      <c r="B79" s="51">
        <v>52</v>
      </c>
      <c r="C79" s="48">
        <f ca="1">IF(Számítás_UL!$G$1="OK",SUMIF(Számítás_UL!$B$20:$B$1027,"="&amp;$B79,Számítás_UL!$J$20:$J$1027),0)</f>
        <v>0</v>
      </c>
      <c r="D79" s="48">
        <f ca="1">IF(Számítás_UL!$G$1="OK",SUMIF(Tranzakciók!$B$32:$B$115,"="&amp;$B79,Tranzakciók!$K$32:$K$115),0)</f>
        <v>0</v>
      </c>
      <c r="E79" s="48">
        <f ca="1">IF(Számítás_UL!$G$1="OK",SUMIF(Számítás_UL!$Z$20:$Z$1027,"="&amp;$B79,Számítás_UL!$AI$20:$AI$1027),0)</f>
        <v>0</v>
      </c>
      <c r="F79" s="52">
        <v>0</v>
      </c>
      <c r="G79" s="53">
        <f t="shared" ca="1" si="3"/>
        <v>0</v>
      </c>
      <c r="H79" s="48">
        <f ca="1">IF(Számítás_UL!$G$1="OK",VLOOKUP($A79,Számítás_UL!$A$20:$W$1027,22,0),0)</f>
        <v>0</v>
      </c>
      <c r="I79" s="48">
        <f ca="1">IF(Számítás_UL!$G$1="OK",VLOOKUP($A79,Számítás_UL!$AM$20:$AZ$1027,13,0),0)</f>
        <v>0</v>
      </c>
      <c r="J79" s="48">
        <f ca="1">IF(Számítás_UL!$G$1="OK",VLOOKUP($A79,Számítás_UL!$Y$20:$AK$1027,12,0),0)</f>
        <v>0</v>
      </c>
      <c r="K79" s="48">
        <v>0</v>
      </c>
      <c r="L79" s="49">
        <f t="shared" ca="1" si="2"/>
        <v>0</v>
      </c>
      <c r="M79" s="50">
        <f ca="1">IF(Számítás_UL!$G$1="OK",VLOOKUP($A79,Számítás_UL!$A$20:$W$1027,23,0)+VLOOKUP($A79,Számítás_UL!$AM$20:$AZ$1027,14,0)+VLOOKUP($A79,Számítás_UL!$Y$20:$AK$1027,13,0),0)</f>
        <v>0</v>
      </c>
    </row>
    <row r="80" spans="1:13" x14ac:dyDescent="0.2">
      <c r="A80" s="46">
        <f t="shared" si="0"/>
        <v>636</v>
      </c>
      <c r="B80" s="51">
        <v>53</v>
      </c>
      <c r="C80" s="48">
        <f ca="1">IF(Számítás_UL!$G$1="OK",SUMIF(Számítás_UL!$B$20:$B$1027,"="&amp;$B80,Számítás_UL!$J$20:$J$1027),0)</f>
        <v>0</v>
      </c>
      <c r="D80" s="48">
        <f ca="1">IF(Számítás_UL!$G$1="OK",SUMIF(Tranzakciók!$B$32:$B$115,"="&amp;$B80,Tranzakciók!$K$32:$K$115),0)</f>
        <v>0</v>
      </c>
      <c r="E80" s="48">
        <f ca="1">IF(Számítás_UL!$G$1="OK",SUMIF(Számítás_UL!$Z$20:$Z$1027,"="&amp;$B80,Számítás_UL!$AI$20:$AI$1027),0)</f>
        <v>0</v>
      </c>
      <c r="F80" s="52">
        <v>0</v>
      </c>
      <c r="G80" s="53">
        <f t="shared" ca="1" si="3"/>
        <v>0</v>
      </c>
      <c r="H80" s="48">
        <f ca="1">IF(Számítás_UL!$G$1="OK",VLOOKUP($A80,Számítás_UL!$A$20:$W$1027,22,0),0)</f>
        <v>0</v>
      </c>
      <c r="I80" s="48">
        <f ca="1">IF(Számítás_UL!$G$1="OK",VLOOKUP($A80,Számítás_UL!$AM$20:$AZ$1027,13,0),0)</f>
        <v>0</v>
      </c>
      <c r="J80" s="48">
        <f ca="1">IF(Számítás_UL!$G$1="OK",VLOOKUP($A80,Számítás_UL!$Y$20:$AK$1027,12,0),0)</f>
        <v>0</v>
      </c>
      <c r="K80" s="48">
        <v>0</v>
      </c>
      <c r="L80" s="49">
        <f t="shared" ca="1" si="2"/>
        <v>0</v>
      </c>
      <c r="M80" s="50">
        <f ca="1">IF(Számítás_UL!$G$1="OK",VLOOKUP($A80,Számítás_UL!$A$20:$W$1027,23,0)+VLOOKUP($A80,Számítás_UL!$AM$20:$AZ$1027,14,0)+VLOOKUP($A80,Számítás_UL!$Y$20:$AK$1027,13,0),0)</f>
        <v>0</v>
      </c>
    </row>
    <row r="81" spans="1:13" x14ac:dyDescent="0.2">
      <c r="A81" s="46">
        <f t="shared" si="0"/>
        <v>648</v>
      </c>
      <c r="B81" s="51">
        <v>54</v>
      </c>
      <c r="C81" s="48">
        <f ca="1">IF(Számítás_UL!$G$1="OK",SUMIF(Számítás_UL!$B$20:$B$1027,"="&amp;$B81,Számítás_UL!$J$20:$J$1027),0)</f>
        <v>0</v>
      </c>
      <c r="D81" s="48">
        <f ca="1">IF(Számítás_UL!$G$1="OK",SUMIF(Tranzakciók!$B$32:$B$115,"="&amp;$B81,Tranzakciók!$K$32:$K$115),0)</f>
        <v>0</v>
      </c>
      <c r="E81" s="48">
        <f ca="1">IF(Számítás_UL!$G$1="OK",SUMIF(Számítás_UL!$Z$20:$Z$1027,"="&amp;$B81,Számítás_UL!$AI$20:$AI$1027),0)</f>
        <v>0</v>
      </c>
      <c r="F81" s="52">
        <v>0</v>
      </c>
      <c r="G81" s="53">
        <f t="shared" ca="1" si="3"/>
        <v>0</v>
      </c>
      <c r="H81" s="48">
        <f ca="1">IF(Számítás_UL!$G$1="OK",VLOOKUP($A81,Számítás_UL!$A$20:$W$1027,22,0),0)</f>
        <v>0</v>
      </c>
      <c r="I81" s="48">
        <f ca="1">IF(Számítás_UL!$G$1="OK",VLOOKUP($A81,Számítás_UL!$AM$20:$AZ$1027,13,0),0)</f>
        <v>0</v>
      </c>
      <c r="J81" s="48">
        <f ca="1">IF(Számítás_UL!$G$1="OK",VLOOKUP($A81,Számítás_UL!$Y$20:$AK$1027,12,0),0)</f>
        <v>0</v>
      </c>
      <c r="K81" s="48">
        <v>0</v>
      </c>
      <c r="L81" s="49">
        <f t="shared" ca="1" si="2"/>
        <v>0</v>
      </c>
      <c r="M81" s="50">
        <f ca="1">IF(Számítás_UL!$G$1="OK",VLOOKUP($A81,Számítás_UL!$A$20:$W$1027,23,0)+VLOOKUP($A81,Számítás_UL!$AM$20:$AZ$1027,14,0)+VLOOKUP($A81,Számítás_UL!$Y$20:$AK$1027,13,0),0)</f>
        <v>0</v>
      </c>
    </row>
    <row r="82" spans="1:13" x14ac:dyDescent="0.2">
      <c r="A82" s="46">
        <f t="shared" si="0"/>
        <v>660</v>
      </c>
      <c r="B82" s="51">
        <v>55</v>
      </c>
      <c r="C82" s="48">
        <f ca="1">IF(Számítás_UL!$G$1="OK",SUMIF(Számítás_UL!$B$20:$B$1027,"="&amp;$B82,Számítás_UL!$J$20:$J$1027),0)</f>
        <v>0</v>
      </c>
      <c r="D82" s="48">
        <f ca="1">IF(Számítás_UL!$G$1="OK",SUMIF(Tranzakciók!$B$32:$B$115,"="&amp;$B82,Tranzakciók!$K$32:$K$115),0)</f>
        <v>0</v>
      </c>
      <c r="E82" s="48">
        <f ca="1">IF(Számítás_UL!$G$1="OK",SUMIF(Számítás_UL!$Z$20:$Z$1027,"="&amp;$B82,Számítás_UL!$AI$20:$AI$1027),0)</f>
        <v>0</v>
      </c>
      <c r="F82" s="52">
        <v>0</v>
      </c>
      <c r="G82" s="53">
        <f t="shared" ca="1" si="3"/>
        <v>0</v>
      </c>
      <c r="H82" s="48">
        <f ca="1">IF(Számítás_UL!$G$1="OK",VLOOKUP($A82,Számítás_UL!$A$20:$W$1027,22,0),0)</f>
        <v>0</v>
      </c>
      <c r="I82" s="48">
        <f ca="1">IF(Számítás_UL!$G$1="OK",VLOOKUP($A82,Számítás_UL!$AM$20:$AZ$1027,13,0),0)</f>
        <v>0</v>
      </c>
      <c r="J82" s="48">
        <f ca="1">IF(Számítás_UL!$G$1="OK",VLOOKUP($A82,Számítás_UL!$Y$20:$AK$1027,12,0),0)</f>
        <v>0</v>
      </c>
      <c r="K82" s="48">
        <v>0</v>
      </c>
      <c r="L82" s="49">
        <f t="shared" ca="1" si="2"/>
        <v>0</v>
      </c>
      <c r="M82" s="50">
        <f ca="1">IF(Számítás_UL!$G$1="OK",VLOOKUP($A82,Számítás_UL!$A$20:$W$1027,23,0)+VLOOKUP($A82,Számítás_UL!$AM$20:$AZ$1027,14,0)+VLOOKUP($A82,Számítás_UL!$Y$20:$AK$1027,13,0),0)</f>
        <v>0</v>
      </c>
    </row>
    <row r="83" spans="1:13" x14ac:dyDescent="0.2">
      <c r="A83" s="46">
        <f t="shared" si="0"/>
        <v>672</v>
      </c>
      <c r="B83" s="51">
        <v>56</v>
      </c>
      <c r="C83" s="48">
        <f ca="1">IF(Számítás_UL!$G$1="OK",SUMIF(Számítás_UL!$B$20:$B$1027,"="&amp;$B83,Számítás_UL!$J$20:$J$1027),0)</f>
        <v>0</v>
      </c>
      <c r="D83" s="48">
        <f ca="1">IF(Számítás_UL!$G$1="OK",SUMIF(Tranzakciók!$B$32:$B$115,"="&amp;$B83,Tranzakciók!$K$32:$K$115),0)</f>
        <v>0</v>
      </c>
      <c r="E83" s="48">
        <f ca="1">IF(Számítás_UL!$G$1="OK",SUMIF(Számítás_UL!$Z$20:$Z$1027,"="&amp;$B83,Számítás_UL!$AI$20:$AI$1027),0)</f>
        <v>0</v>
      </c>
      <c r="F83" s="52">
        <v>0</v>
      </c>
      <c r="G83" s="53">
        <f t="shared" ca="1" si="3"/>
        <v>0</v>
      </c>
      <c r="H83" s="48">
        <f ca="1">IF(Számítás_UL!$G$1="OK",VLOOKUP($A83,Számítás_UL!$A$20:$W$1027,22,0),0)</f>
        <v>0</v>
      </c>
      <c r="I83" s="48">
        <f ca="1">IF(Számítás_UL!$G$1="OK",VLOOKUP($A83,Számítás_UL!$AM$20:$AZ$1027,13,0),0)</f>
        <v>0</v>
      </c>
      <c r="J83" s="48">
        <f ca="1">IF(Számítás_UL!$G$1="OK",VLOOKUP($A83,Számítás_UL!$Y$20:$AK$1027,12,0),0)</f>
        <v>0</v>
      </c>
      <c r="K83" s="48">
        <v>0</v>
      </c>
      <c r="L83" s="49">
        <f t="shared" ca="1" si="2"/>
        <v>0</v>
      </c>
      <c r="M83" s="50">
        <f ca="1">IF(Számítás_UL!$G$1="OK",VLOOKUP($A83,Számítás_UL!$A$20:$W$1027,23,0)+VLOOKUP($A83,Számítás_UL!$AM$20:$AZ$1027,14,0)+VLOOKUP($A83,Számítás_UL!$Y$20:$AK$1027,13,0),0)</f>
        <v>0</v>
      </c>
    </row>
    <row r="84" spans="1:13" x14ac:dyDescent="0.2">
      <c r="A84" s="46">
        <f t="shared" si="0"/>
        <v>684</v>
      </c>
      <c r="B84" s="51">
        <v>57</v>
      </c>
      <c r="C84" s="48">
        <f ca="1">IF(Számítás_UL!$G$1="OK",SUMIF(Számítás_UL!$B$20:$B$1027,"="&amp;$B84,Számítás_UL!$J$20:$J$1027),0)</f>
        <v>0</v>
      </c>
      <c r="D84" s="48">
        <f ca="1">IF(Számítás_UL!$G$1="OK",SUMIF(Tranzakciók!$B$32:$B$115,"="&amp;$B84,Tranzakciók!$K$32:$K$115),0)</f>
        <v>0</v>
      </c>
      <c r="E84" s="48">
        <f ca="1">IF(Számítás_UL!$G$1="OK",SUMIF(Számítás_UL!$Z$20:$Z$1027,"="&amp;$B84,Számítás_UL!$AI$20:$AI$1027),0)</f>
        <v>0</v>
      </c>
      <c r="F84" s="52">
        <v>0</v>
      </c>
      <c r="G84" s="53">
        <f t="shared" ca="1" si="3"/>
        <v>0</v>
      </c>
      <c r="H84" s="48">
        <f ca="1">IF(Számítás_UL!$G$1="OK",VLOOKUP($A84,Számítás_UL!$A$20:$W$1027,22,0),0)</f>
        <v>0</v>
      </c>
      <c r="I84" s="48">
        <f ca="1">IF(Számítás_UL!$G$1="OK",VLOOKUP($A84,Számítás_UL!$AM$20:$AZ$1027,13,0),0)</f>
        <v>0</v>
      </c>
      <c r="J84" s="48">
        <f ca="1">IF(Számítás_UL!$G$1="OK",VLOOKUP($A84,Számítás_UL!$Y$20:$AK$1027,12,0),0)</f>
        <v>0</v>
      </c>
      <c r="K84" s="48">
        <v>0</v>
      </c>
      <c r="L84" s="49">
        <f t="shared" ca="1" si="2"/>
        <v>0</v>
      </c>
      <c r="M84" s="50">
        <f ca="1">IF(Számítás_UL!$G$1="OK",VLOOKUP($A84,Számítás_UL!$A$20:$W$1027,23,0)+VLOOKUP($A84,Számítás_UL!$AM$20:$AZ$1027,14,0)+VLOOKUP($A84,Számítás_UL!$Y$20:$AK$1027,13,0),0)</f>
        <v>0</v>
      </c>
    </row>
    <row r="85" spans="1:13" x14ac:dyDescent="0.2">
      <c r="A85" s="46">
        <f t="shared" si="0"/>
        <v>696</v>
      </c>
      <c r="B85" s="51">
        <v>58</v>
      </c>
      <c r="C85" s="48">
        <f ca="1">IF(Számítás_UL!$G$1="OK",SUMIF(Számítás_UL!$B$20:$B$1027,"="&amp;$B85,Számítás_UL!$J$20:$J$1027),0)</f>
        <v>0</v>
      </c>
      <c r="D85" s="48">
        <f ca="1">IF(Számítás_UL!$G$1="OK",SUMIF(Tranzakciók!$B$32:$B$115,"="&amp;$B85,Tranzakciók!$K$32:$K$115),0)</f>
        <v>0</v>
      </c>
      <c r="E85" s="48">
        <f ca="1">IF(Számítás_UL!$G$1="OK",SUMIF(Számítás_UL!$Z$20:$Z$1027,"="&amp;$B85,Számítás_UL!$AI$20:$AI$1027),0)</f>
        <v>0</v>
      </c>
      <c r="F85" s="52">
        <v>0</v>
      </c>
      <c r="G85" s="53">
        <f t="shared" ca="1" si="3"/>
        <v>0</v>
      </c>
      <c r="H85" s="48">
        <f ca="1">IF(Számítás_UL!$G$1="OK",VLOOKUP($A85,Számítás_UL!$A$20:$W$1027,22,0),0)</f>
        <v>0</v>
      </c>
      <c r="I85" s="48">
        <f ca="1">IF(Számítás_UL!$G$1="OK",VLOOKUP($A85,Számítás_UL!$AM$20:$AZ$1027,13,0),0)</f>
        <v>0</v>
      </c>
      <c r="J85" s="48">
        <f ca="1">IF(Számítás_UL!$G$1="OK",VLOOKUP($A85,Számítás_UL!$Y$20:$AK$1027,12,0),0)</f>
        <v>0</v>
      </c>
      <c r="K85" s="48">
        <v>0</v>
      </c>
      <c r="L85" s="49">
        <f t="shared" ca="1" si="2"/>
        <v>0</v>
      </c>
      <c r="M85" s="50">
        <f ca="1">IF(Számítás_UL!$G$1="OK",VLOOKUP($A85,Számítás_UL!$A$20:$W$1027,23,0)+VLOOKUP($A85,Számítás_UL!$AM$20:$AZ$1027,14,0)+VLOOKUP($A85,Számítás_UL!$Y$20:$AK$1027,13,0),0)</f>
        <v>0</v>
      </c>
    </row>
    <row r="86" spans="1:13" x14ac:dyDescent="0.2">
      <c r="A86" s="46">
        <f t="shared" si="0"/>
        <v>708</v>
      </c>
      <c r="B86" s="51">
        <v>59</v>
      </c>
      <c r="C86" s="48">
        <f ca="1">IF(Számítás_UL!$G$1="OK",SUMIF(Számítás_UL!$B$20:$B$1027,"="&amp;$B86,Számítás_UL!$J$20:$J$1027),0)</f>
        <v>0</v>
      </c>
      <c r="D86" s="48">
        <f ca="1">IF(Számítás_UL!$G$1="OK",SUMIF(Tranzakciók!$B$32:$B$115,"="&amp;$B86,Tranzakciók!$K$32:$K$115),0)</f>
        <v>0</v>
      </c>
      <c r="E86" s="48">
        <f ca="1">IF(Számítás_UL!$G$1="OK",SUMIF(Számítás_UL!$Z$20:$Z$1027,"="&amp;$B86,Számítás_UL!$AI$20:$AI$1027),0)</f>
        <v>0</v>
      </c>
      <c r="F86" s="52">
        <v>0</v>
      </c>
      <c r="G86" s="53">
        <f t="shared" ca="1" si="3"/>
        <v>0</v>
      </c>
      <c r="H86" s="48">
        <f ca="1">IF(Számítás_UL!$G$1="OK",VLOOKUP($A86,Számítás_UL!$A$20:$W$1027,22,0),0)</f>
        <v>0</v>
      </c>
      <c r="I86" s="48">
        <f ca="1">IF(Számítás_UL!$G$1="OK",VLOOKUP($A86,Számítás_UL!$AM$20:$AZ$1027,13,0),0)</f>
        <v>0</v>
      </c>
      <c r="J86" s="48">
        <f ca="1">IF(Számítás_UL!$G$1="OK",VLOOKUP($A86,Számítás_UL!$Y$20:$AK$1027,12,0),0)</f>
        <v>0</v>
      </c>
      <c r="K86" s="48">
        <v>0</v>
      </c>
      <c r="L86" s="49">
        <f t="shared" ca="1" si="2"/>
        <v>0</v>
      </c>
      <c r="M86" s="50">
        <f ca="1">IF(Számítás_UL!$G$1="OK",VLOOKUP($A86,Számítás_UL!$A$20:$W$1027,23,0)+VLOOKUP($A86,Számítás_UL!$AM$20:$AZ$1027,14,0)+VLOOKUP($A86,Számítás_UL!$Y$20:$AK$1027,13,0),0)</f>
        <v>0</v>
      </c>
    </row>
    <row r="87" spans="1:13" x14ac:dyDescent="0.2">
      <c r="A87" s="46">
        <f t="shared" si="0"/>
        <v>720</v>
      </c>
      <c r="B87" s="51">
        <v>60</v>
      </c>
      <c r="C87" s="48">
        <f ca="1">IF(Számítás_UL!$G$1="OK",SUMIF(Számítás_UL!$B$20:$B$1027,"="&amp;$B87,Számítás_UL!$J$20:$J$1027),0)</f>
        <v>0</v>
      </c>
      <c r="D87" s="48">
        <f ca="1">IF(Számítás_UL!$G$1="OK",SUMIF(Tranzakciók!$B$32:$B$115,"="&amp;$B87,Tranzakciók!$K$32:$K$115),0)</f>
        <v>0</v>
      </c>
      <c r="E87" s="48">
        <f ca="1">IF(Számítás_UL!$G$1="OK",SUMIF(Számítás_UL!$Z$20:$Z$1027,"="&amp;$B87,Számítás_UL!$AI$20:$AI$1027),0)</f>
        <v>0</v>
      </c>
      <c r="F87" s="52">
        <v>0</v>
      </c>
      <c r="G87" s="53">
        <f t="shared" ca="1" si="3"/>
        <v>0</v>
      </c>
      <c r="H87" s="48">
        <f ca="1">IF(Számítás_UL!$G$1="OK",VLOOKUP($A87,Számítás_UL!$A$20:$W$1027,22,0),0)</f>
        <v>0</v>
      </c>
      <c r="I87" s="48">
        <f ca="1">IF(Számítás_UL!$G$1="OK",VLOOKUP($A87,Számítás_UL!$AM$20:$AZ$1027,13,0),0)</f>
        <v>0</v>
      </c>
      <c r="J87" s="48">
        <f ca="1">IF(Számítás_UL!$G$1="OK",VLOOKUP($A87,Számítás_UL!$Y$20:$AK$1027,12,0),0)</f>
        <v>0</v>
      </c>
      <c r="K87" s="48">
        <v>0</v>
      </c>
      <c r="L87" s="49">
        <f t="shared" ca="1" si="2"/>
        <v>0</v>
      </c>
      <c r="M87" s="50">
        <f ca="1">IF(Számítás_UL!$G$1="OK",VLOOKUP($A87,Számítás_UL!$A$20:$W$1027,23,0)+VLOOKUP($A87,Számítás_UL!$AM$20:$AZ$1027,14,0)+VLOOKUP($A87,Számítás_UL!$Y$20:$AK$1027,13,0),0)</f>
        <v>0</v>
      </c>
    </row>
    <row r="88" spans="1:13" x14ac:dyDescent="0.2">
      <c r="A88" s="46">
        <f t="shared" si="0"/>
        <v>732</v>
      </c>
      <c r="B88" s="47">
        <v>61</v>
      </c>
      <c r="C88" s="48">
        <f ca="1">IF(Számítás_UL!$G$1="OK",SUMIF(Számítás_UL!$B$20:$B$1027,"="&amp;$B88,Számítás_UL!$J$20:$J$1027),0)</f>
        <v>0</v>
      </c>
      <c r="D88" s="48">
        <f ca="1">IF(Számítás_UL!$G$1="OK",SUMIF(Tranzakciók!$B$32:$B$115,"="&amp;$B88,Tranzakciók!$K$32:$K$115),0)</f>
        <v>0</v>
      </c>
      <c r="E88" s="48">
        <f ca="1">IF(Számítás_UL!$G$1="OK",SUMIF(Számítás_UL!$Z$20:$Z$1027,"="&amp;$B88,Számítás_UL!$AI$20:$AI$1027),0)</f>
        <v>0</v>
      </c>
      <c r="F88" s="48">
        <v>0</v>
      </c>
      <c r="G88" s="49">
        <f t="shared" ca="1" si="3"/>
        <v>0</v>
      </c>
      <c r="H88" s="48">
        <f ca="1">IF(Számítás_UL!$G$1="OK",VLOOKUP($A88,Számítás_UL!$A$20:$W$1027,22,0),0)</f>
        <v>0</v>
      </c>
      <c r="I88" s="48">
        <f ca="1">IF(Számítás_UL!$G$1="OK",VLOOKUP($A88,Számítás_UL!$AM$20:$AZ$1027,13,0),0)</f>
        <v>0</v>
      </c>
      <c r="J88" s="48">
        <f ca="1">IF(Számítás_UL!$G$1="OK",VLOOKUP($A88,Számítás_UL!$Y$20:$AK$1027,12,0),0)</f>
        <v>0</v>
      </c>
      <c r="K88" s="48">
        <v>0</v>
      </c>
      <c r="L88" s="49">
        <f t="shared" ca="1" si="2"/>
        <v>0</v>
      </c>
      <c r="M88" s="50">
        <f ca="1">IF(Számítás_UL!$G$1="OK",VLOOKUP($A88,Számítás_UL!$A$20:$W$1027,23,0)+VLOOKUP($A88,Számítás_UL!$AM$20:$AZ$1027,14,0)+VLOOKUP($A88,Számítás_UL!$Y$20:$AK$1027,13,0),0)</f>
        <v>0</v>
      </c>
    </row>
    <row r="89" spans="1:13" x14ac:dyDescent="0.2">
      <c r="A89" s="46">
        <f t="shared" si="0"/>
        <v>744</v>
      </c>
      <c r="B89" s="51">
        <v>62</v>
      </c>
      <c r="C89" s="48">
        <f ca="1">IF(Számítás_UL!$G$1="OK",SUMIF(Számítás_UL!$B$20:$B$1027,"="&amp;$B89,Számítás_UL!$J$20:$J$1027),0)</f>
        <v>0</v>
      </c>
      <c r="D89" s="48">
        <f ca="1">IF(Számítás_UL!$G$1="OK",SUMIF(Tranzakciók!$B$32:$B$115,"="&amp;$B89,Tranzakciók!$K$32:$K$115),0)</f>
        <v>0</v>
      </c>
      <c r="E89" s="48">
        <f ca="1">IF(Számítás_UL!$G$1="OK",SUMIF(Számítás_UL!$Z$20:$Z$1027,"="&amp;$B89,Számítás_UL!$AI$20:$AI$1027),0)</f>
        <v>0</v>
      </c>
      <c r="F89" s="52">
        <v>0</v>
      </c>
      <c r="G89" s="53">
        <f t="shared" ca="1" si="3"/>
        <v>0</v>
      </c>
      <c r="H89" s="48">
        <f ca="1">IF(Számítás_UL!$G$1="OK",VLOOKUP($A89,Számítás_UL!$A$20:$W$1027,22,0),0)</f>
        <v>0</v>
      </c>
      <c r="I89" s="48">
        <f ca="1">IF(Számítás_UL!$G$1="OK",VLOOKUP($A89,Számítás_UL!$AM$20:$AZ$1027,13,0),0)</f>
        <v>0</v>
      </c>
      <c r="J89" s="48">
        <f ca="1">IF(Számítás_UL!$G$1="OK",VLOOKUP($A89,Számítás_UL!$Y$20:$AK$1027,12,0),0)</f>
        <v>0</v>
      </c>
      <c r="K89" s="48">
        <v>0</v>
      </c>
      <c r="L89" s="49">
        <f t="shared" ca="1" si="2"/>
        <v>0</v>
      </c>
      <c r="M89" s="50">
        <f ca="1">IF(Számítás_UL!$G$1="OK",VLOOKUP($A89,Számítás_UL!$A$20:$W$1027,23,0)+VLOOKUP($A89,Számítás_UL!$AM$20:$AZ$1027,14,0)+VLOOKUP($A89,Számítás_UL!$Y$20:$AK$1027,13,0),0)</f>
        <v>0</v>
      </c>
    </row>
    <row r="90" spans="1:13" x14ac:dyDescent="0.2">
      <c r="A90" s="46">
        <f t="shared" si="0"/>
        <v>756</v>
      </c>
      <c r="B90" s="51">
        <v>63</v>
      </c>
      <c r="C90" s="48">
        <f ca="1">IF(Számítás_UL!$G$1="OK",SUMIF(Számítás_UL!$B$20:$B$1027,"="&amp;$B90,Számítás_UL!$J$20:$J$1027),0)</f>
        <v>0</v>
      </c>
      <c r="D90" s="48">
        <f ca="1">IF(Számítás_UL!$G$1="OK",SUMIF(Tranzakciók!$B$32:$B$115,"="&amp;$B90,Tranzakciók!$K$32:$K$115),0)</f>
        <v>0</v>
      </c>
      <c r="E90" s="48">
        <f ca="1">IF(Számítás_UL!$G$1="OK",SUMIF(Számítás_UL!$Z$20:$Z$1027,"="&amp;$B90,Számítás_UL!$AI$20:$AI$1027),0)</f>
        <v>0</v>
      </c>
      <c r="F90" s="52">
        <v>0</v>
      </c>
      <c r="G90" s="53">
        <f t="shared" ca="1" si="3"/>
        <v>0</v>
      </c>
      <c r="H90" s="48">
        <f ca="1">IF(Számítás_UL!$G$1="OK",VLOOKUP($A90,Számítás_UL!$A$20:$W$1027,22,0),0)</f>
        <v>0</v>
      </c>
      <c r="I90" s="48">
        <f ca="1">IF(Számítás_UL!$G$1="OK",VLOOKUP($A90,Számítás_UL!$AM$20:$AZ$1027,13,0),0)</f>
        <v>0</v>
      </c>
      <c r="J90" s="48">
        <f ca="1">IF(Számítás_UL!$G$1="OK",VLOOKUP($A90,Számítás_UL!$Y$20:$AK$1027,12,0),0)</f>
        <v>0</v>
      </c>
      <c r="K90" s="48">
        <v>0</v>
      </c>
      <c r="L90" s="49">
        <f t="shared" ca="1" si="2"/>
        <v>0</v>
      </c>
      <c r="M90" s="50">
        <f ca="1">IF(Számítás_UL!$G$1="OK",VLOOKUP($A90,Számítás_UL!$A$20:$W$1027,23,0)+VLOOKUP($A90,Számítás_UL!$AM$20:$AZ$1027,14,0)+VLOOKUP($A90,Számítás_UL!$Y$20:$AK$1027,13,0),0)</f>
        <v>0</v>
      </c>
    </row>
    <row r="91" spans="1:13" x14ac:dyDescent="0.2">
      <c r="A91" s="46">
        <f t="shared" si="0"/>
        <v>768</v>
      </c>
      <c r="B91" s="51">
        <v>64</v>
      </c>
      <c r="C91" s="48">
        <f ca="1">IF(Számítás_UL!$G$1="OK",SUMIF(Számítás_UL!$B$20:$B$1027,"="&amp;$B91,Számítás_UL!$J$20:$J$1027),0)</f>
        <v>0</v>
      </c>
      <c r="D91" s="48">
        <f ca="1">IF(Számítás_UL!$G$1="OK",SUMIF(Tranzakciók!$B$32:$B$115,"="&amp;$B91,Tranzakciók!$K$32:$K$115),0)</f>
        <v>0</v>
      </c>
      <c r="E91" s="48">
        <f ca="1">IF(Számítás_UL!$G$1="OK",SUMIF(Számítás_UL!$Z$20:$Z$1027,"="&amp;$B91,Számítás_UL!$AI$20:$AI$1027),0)</f>
        <v>0</v>
      </c>
      <c r="F91" s="52">
        <v>0</v>
      </c>
      <c r="G91" s="53">
        <f t="shared" ca="1" si="3"/>
        <v>0</v>
      </c>
      <c r="H91" s="48">
        <f ca="1">IF(Számítás_UL!$G$1="OK",VLOOKUP($A91,Számítás_UL!$A$20:$W$1027,22,0),0)</f>
        <v>0</v>
      </c>
      <c r="I91" s="48">
        <f ca="1">IF(Számítás_UL!$G$1="OK",VLOOKUP($A91,Számítás_UL!$AM$20:$AZ$1027,13,0),0)</f>
        <v>0</v>
      </c>
      <c r="J91" s="48">
        <f ca="1">IF(Számítás_UL!$G$1="OK",VLOOKUP($A91,Számítás_UL!$Y$20:$AK$1027,12,0),0)</f>
        <v>0</v>
      </c>
      <c r="K91" s="48">
        <v>0</v>
      </c>
      <c r="L91" s="49">
        <f t="shared" ca="1" si="2"/>
        <v>0</v>
      </c>
      <c r="M91" s="50">
        <f ca="1">IF(Számítás_UL!$G$1="OK",VLOOKUP($A91,Számítás_UL!$A$20:$W$1027,23,0)+VLOOKUP($A91,Számítás_UL!$AM$20:$AZ$1027,14,0)+VLOOKUP($A91,Számítás_UL!$Y$20:$AK$1027,13,0),0)</f>
        <v>0</v>
      </c>
    </row>
    <row r="92" spans="1:13" x14ac:dyDescent="0.2">
      <c r="A92" s="46">
        <f t="shared" si="0"/>
        <v>780</v>
      </c>
      <c r="B92" s="51">
        <v>65</v>
      </c>
      <c r="C92" s="48">
        <f ca="1">IF(Számítás_UL!$G$1="OK",SUMIF(Számítás_UL!$B$20:$B$1027,"="&amp;$B92,Számítás_UL!$J$20:$J$1027),0)</f>
        <v>0</v>
      </c>
      <c r="D92" s="48">
        <f ca="1">IF(Számítás_UL!$G$1="OK",SUMIF(Tranzakciók!$B$32:$B$115,"="&amp;$B92,Tranzakciók!$K$32:$K$115),0)</f>
        <v>0</v>
      </c>
      <c r="E92" s="48">
        <f ca="1">IF(Számítás_UL!$G$1="OK",SUMIF(Számítás_UL!$Z$20:$Z$1027,"="&amp;$B92,Számítás_UL!$AI$20:$AI$1027),0)</f>
        <v>0</v>
      </c>
      <c r="F92" s="52">
        <v>0</v>
      </c>
      <c r="G92" s="53">
        <f t="shared" ca="1" si="3"/>
        <v>0</v>
      </c>
      <c r="H92" s="48">
        <f ca="1">IF(Számítás_UL!$G$1="OK",VLOOKUP($A92,Számítás_UL!$A$20:$W$1027,22,0),0)</f>
        <v>0</v>
      </c>
      <c r="I92" s="48">
        <f ca="1">IF(Számítás_UL!$G$1="OK",VLOOKUP($A92,Számítás_UL!$AM$20:$AZ$1027,13,0),0)</f>
        <v>0</v>
      </c>
      <c r="J92" s="48">
        <f ca="1">IF(Számítás_UL!$G$1="OK",VLOOKUP($A92,Számítás_UL!$Y$20:$AK$1027,12,0),0)</f>
        <v>0</v>
      </c>
      <c r="K92" s="48">
        <v>0</v>
      </c>
      <c r="L92" s="49">
        <f t="shared" ca="1" si="2"/>
        <v>0</v>
      </c>
      <c r="M92" s="50">
        <f ca="1">IF(Számítás_UL!$G$1="OK",VLOOKUP($A92,Számítás_UL!$A$20:$W$1027,23,0)+VLOOKUP($A92,Számítás_UL!$AM$20:$AZ$1027,14,0)+VLOOKUP($A92,Számítás_UL!$Y$20:$AK$1027,13,0),0)</f>
        <v>0</v>
      </c>
    </row>
    <row r="95" spans="1:13" ht="51" customHeight="1" x14ac:dyDescent="0.2">
      <c r="B95" s="113" t="s">
        <v>221</v>
      </c>
      <c r="C95" s="113"/>
      <c r="D95" s="113"/>
      <c r="E95" s="113"/>
      <c r="F95" s="113"/>
      <c r="G95" s="113"/>
      <c r="H95" s="113"/>
      <c r="I95" s="113"/>
      <c r="J95" s="113"/>
      <c r="K95" s="113"/>
      <c r="L95" s="113"/>
      <c r="M95" s="113"/>
    </row>
    <row r="96" spans="1:13" ht="38.25" customHeight="1" x14ac:dyDescent="0.2">
      <c r="B96" s="114" t="s">
        <v>214</v>
      </c>
      <c r="C96" s="114"/>
      <c r="D96" s="114"/>
      <c r="E96" s="114"/>
      <c r="F96" s="114"/>
      <c r="G96" s="114"/>
      <c r="H96" s="114"/>
      <c r="I96" s="114"/>
      <c r="J96" s="114"/>
      <c r="K96" s="114"/>
      <c r="L96" s="114"/>
      <c r="M96" s="114"/>
    </row>
    <row r="97" spans="2:13" ht="12.75" customHeight="1" x14ac:dyDescent="0.2">
      <c r="B97" s="115" t="s">
        <v>215</v>
      </c>
      <c r="C97" s="115"/>
      <c r="D97" s="115"/>
      <c r="E97" s="115"/>
      <c r="F97" s="115"/>
      <c r="G97" s="115"/>
      <c r="H97" s="115"/>
      <c r="I97" s="115"/>
      <c r="J97" s="115"/>
      <c r="K97" s="115"/>
      <c r="L97" s="115"/>
      <c r="M97" s="115"/>
    </row>
    <row r="98" spans="2:13" ht="12.75" customHeight="1" x14ac:dyDescent="0.2">
      <c r="B98" s="115" t="s">
        <v>216</v>
      </c>
      <c r="C98" s="115"/>
      <c r="D98" s="115"/>
      <c r="E98" s="115"/>
      <c r="F98" s="115"/>
      <c r="G98" s="115"/>
      <c r="H98" s="115"/>
      <c r="I98" s="115"/>
      <c r="J98" s="115"/>
      <c r="K98" s="115"/>
      <c r="L98" s="115"/>
      <c r="M98" s="115"/>
    </row>
    <row r="99" spans="2:13" ht="12.75" customHeight="1" x14ac:dyDescent="0.2">
      <c r="B99" s="115" t="s">
        <v>218</v>
      </c>
      <c r="C99" s="115"/>
      <c r="D99" s="115"/>
      <c r="E99" s="115"/>
      <c r="F99" s="115"/>
      <c r="G99" s="115"/>
      <c r="H99" s="115"/>
      <c r="I99" s="115"/>
      <c r="J99" s="115"/>
      <c r="K99" s="115"/>
      <c r="L99" s="115"/>
      <c r="M99" s="115"/>
    </row>
  </sheetData>
  <sheetProtection password="D9D3" sheet="1" objects="1" scenarios="1"/>
  <mergeCells count="55">
    <mergeCell ref="B99:M99"/>
    <mergeCell ref="B95:M95"/>
    <mergeCell ref="B96:M96"/>
    <mergeCell ref="B97:M97"/>
    <mergeCell ref="B98:M98"/>
    <mergeCell ref="B10:D10"/>
    <mergeCell ref="E10:G10"/>
    <mergeCell ref="I9:K9"/>
    <mergeCell ref="L9:M9"/>
    <mergeCell ref="B11:D11"/>
    <mergeCell ref="E11:G11"/>
    <mergeCell ref="I10:K10"/>
    <mergeCell ref="L10:M10"/>
    <mergeCell ref="I11:K11"/>
    <mergeCell ref="L11:M11"/>
    <mergeCell ref="B1:F2"/>
    <mergeCell ref="B4:M5"/>
    <mergeCell ref="B8:D8"/>
    <mergeCell ref="E8:G8"/>
    <mergeCell ref="B9:D9"/>
    <mergeCell ref="E9:G9"/>
    <mergeCell ref="I8:K8"/>
    <mergeCell ref="L8:M8"/>
    <mergeCell ref="B24:B26"/>
    <mergeCell ref="C24:G25"/>
    <mergeCell ref="B15:D15"/>
    <mergeCell ref="E15:G15"/>
    <mergeCell ref="I15:K15"/>
    <mergeCell ref="B20:F20"/>
    <mergeCell ref="I20:M20"/>
    <mergeCell ref="L16:M16"/>
    <mergeCell ref="I19:M19"/>
    <mergeCell ref="B16:D16"/>
    <mergeCell ref="E16:G16"/>
    <mergeCell ref="I16:K16"/>
    <mergeCell ref="H24:L25"/>
    <mergeCell ref="M24:M25"/>
    <mergeCell ref="C26:C27"/>
    <mergeCell ref="D26:D27"/>
    <mergeCell ref="I12:K12"/>
    <mergeCell ref="B21:F21"/>
    <mergeCell ref="I21:M21"/>
    <mergeCell ref="L15:M15"/>
    <mergeCell ref="L12:M12"/>
    <mergeCell ref="B12:D12"/>
    <mergeCell ref="E12:G12"/>
    <mergeCell ref="E26:E27"/>
    <mergeCell ref="F26:F27"/>
    <mergeCell ref="M26:M27"/>
    <mergeCell ref="G26:G27"/>
    <mergeCell ref="H26:H27"/>
    <mergeCell ref="I26:I27"/>
    <mergeCell ref="J26:J27"/>
    <mergeCell ref="K26:K27"/>
    <mergeCell ref="L26:L27"/>
  </mergeCells>
  <pageMargins left="0.7" right="0.7" top="0.75" bottom="0.75" header="0.3" footer="0.3"/>
  <pageSetup paperSize="9" scale="69" orientation="landscape" r:id="rId1"/>
  <extLst>
    <ext xmlns:x14="http://schemas.microsoft.com/office/spreadsheetml/2009/9/main" uri="{78C0D931-6437-407d-A8EE-F0AAD7539E65}">
      <x14:conditionalFormattings>
        <x14:conditionalFormatting xmlns:xm="http://schemas.microsoft.com/office/excel/2006/main">
          <x14:cfRule type="expression" priority="15" id="{B2CB98B9-5C8F-4C33-A15E-607DFA674D10}">
            <xm:f>Számítás_UL!$D$4="Euró"</xm:f>
            <x14:dxf>
              <numFmt numFmtId="170" formatCode="_-* #,##0.00\ [$€-1]_-;\-* #,##0.00\ [$€-1]_-;_-* &quot;-&quot;??\ [$€-1]_-;_-@_-"/>
            </x14:dxf>
          </x14:cfRule>
          <x14:cfRule type="expression" priority="16" id="{93689818-CBF9-4AC0-AA41-F256BE019D71}">
            <xm:f>Számítás_UL!$D$4="Forint"</xm:f>
            <x14:dxf>
              <numFmt numFmtId="169" formatCode="#,##0\ &quot;Ft&quot;"/>
            </x14:dxf>
          </x14:cfRule>
          <xm:sqref>F29:G92</xm:sqref>
        </x14:conditionalFormatting>
        <x14:conditionalFormatting xmlns:xm="http://schemas.microsoft.com/office/excel/2006/main">
          <x14:cfRule type="expression" priority="9" id="{0F160305-6440-40F9-B623-524A9A5C59BD}">
            <xm:f>Számítás_UL!$D$4="Euró"</xm:f>
            <x14:dxf>
              <numFmt numFmtId="170" formatCode="_-* #,##0.00\ [$€-1]_-;\-* #,##0.00\ [$€-1]_-;_-* &quot;-&quot;??\ [$€-1]_-;_-@_-"/>
            </x14:dxf>
          </x14:cfRule>
          <x14:cfRule type="expression" priority="10" id="{C12FCF18-3AB0-4E95-924B-87A0411A8D54}">
            <xm:f>Számítás_UL!$D$4="Forint"</xm:f>
            <x14:dxf>
              <numFmt numFmtId="169" formatCode="#,##0\ &quot;Ft&quot;"/>
            </x14:dxf>
          </x14:cfRule>
          <xm:sqref>K29:L92</xm:sqref>
        </x14:conditionalFormatting>
        <x14:conditionalFormatting xmlns:xm="http://schemas.microsoft.com/office/excel/2006/main">
          <x14:cfRule type="expression" priority="7" id="{35CFFF05-2325-4F48-BBA7-DA16A855DE8B}">
            <xm:f>Számítás_UL!$D$4="Euró"</xm:f>
            <x14:dxf>
              <numFmt numFmtId="170" formatCode="_-* #,##0.00\ [$€-1]_-;\-* #,##0.00\ [$€-1]_-;_-* &quot;-&quot;??\ [$€-1]_-;_-@_-"/>
            </x14:dxf>
          </x14:cfRule>
          <x14:cfRule type="expression" priority="8" id="{019FF4E1-1DAE-4AC6-8F09-E413C2B1C0B4}">
            <xm:f>Számítás_UL!$D$4="Forint"</xm:f>
            <x14:dxf>
              <numFmt numFmtId="169" formatCode="#,##0\ &quot;Ft&quot;"/>
            </x14:dxf>
          </x14:cfRule>
          <xm:sqref>C28:M28 H29:J92 M29:M92 C29:E92</xm:sqref>
        </x14:conditionalFormatting>
        <x14:conditionalFormatting xmlns:xm="http://schemas.microsoft.com/office/excel/2006/main">
          <x14:cfRule type="expression" priority="5" id="{E7DFA6BF-506F-433A-AA25-30D67504588E}">
            <xm:f>Számítás_UL!$D$4="Forint"</xm:f>
            <x14:dxf>
              <numFmt numFmtId="169" formatCode="#,##0\ &quot;Ft&quot;"/>
            </x14:dxf>
          </x14:cfRule>
          <x14:cfRule type="expression" priority="6" id="{A8DD8FCC-54BC-41CD-A1A1-3BA03AE3CFDF}">
            <xm:f>Számítás_UL!$D$4="Euró"</xm:f>
            <x14:dxf>
              <numFmt numFmtId="168" formatCode="#,##0.00\ [$€-1]"/>
            </x14:dxf>
          </x14:cfRule>
          <xm:sqref>E11:G11</xm:sqref>
        </x14:conditionalFormatting>
        <x14:conditionalFormatting xmlns:xm="http://schemas.microsoft.com/office/excel/2006/main">
          <x14:cfRule type="expression" priority="3" id="{E19E6E42-B03F-43EB-A4EE-DAB5B7837A51}">
            <xm:f>Számítás_UL!$D$4="Forint"</xm:f>
            <x14:dxf>
              <numFmt numFmtId="169" formatCode="#,##0\ &quot;Ft&quot;"/>
            </x14:dxf>
          </x14:cfRule>
          <x14:cfRule type="expression" priority="4" id="{8BF4A14C-CC19-4F1E-8147-BB0219A01439}">
            <xm:f>Számítás_UL!$D$4="Euró"</xm:f>
            <x14:dxf>
              <numFmt numFmtId="168" formatCode="#,##0.00\ [$€-1]"/>
            </x14:dxf>
          </x14:cfRule>
          <xm:sqref>G21</xm:sqref>
        </x14:conditionalFormatting>
        <x14:conditionalFormatting xmlns:xm="http://schemas.microsoft.com/office/excel/2006/main">
          <x14:cfRule type="expression" priority="1" id="{17C8B945-3137-43F2-8D02-5F52D5DF25F3}">
            <xm:f>Számítás_UL!$D$4="Forint"</xm:f>
            <x14:dxf>
              <numFmt numFmtId="169" formatCode="#,##0\ &quot;Ft&quot;"/>
            </x14:dxf>
          </x14:cfRule>
          <x14:cfRule type="expression" priority="2" id="{26CD4C95-CFAE-4B7C-889A-572EB9567B45}">
            <xm:f>Számítás_UL!$D$4="Euró"</xm:f>
            <x14:dxf>
              <numFmt numFmtId="168" formatCode="#,##0.00\ [$€-1]"/>
            </x14:dxf>
          </x14:cfRule>
          <xm:sqref>L12:M12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90DA"/>
  </sheetPr>
  <dimension ref="A1:M45"/>
  <sheetViews>
    <sheetView zoomScaleNormal="100" workbookViewId="0">
      <selection activeCell="B4" sqref="B4:M5"/>
    </sheetView>
  </sheetViews>
  <sheetFormatPr defaultRowHeight="12.75" x14ac:dyDescent="0.2"/>
  <cols>
    <col min="1" max="2" width="9.140625" style="28"/>
    <col min="3" max="13" width="15.85546875" style="28" customWidth="1"/>
    <col min="14" max="16384" width="9.140625" style="28"/>
  </cols>
  <sheetData>
    <row r="1" spans="2:13" x14ac:dyDescent="0.2">
      <c r="B1" s="108" t="s">
        <v>159</v>
      </c>
      <c r="C1" s="108"/>
      <c r="D1" s="108"/>
      <c r="E1" s="108"/>
      <c r="F1" s="108"/>
    </row>
    <row r="2" spans="2:13" x14ac:dyDescent="0.2">
      <c r="B2" s="108"/>
      <c r="C2" s="108"/>
      <c r="D2" s="108"/>
      <c r="E2" s="108"/>
      <c r="F2" s="108"/>
    </row>
    <row r="4" spans="2:13" x14ac:dyDescent="0.2">
      <c r="B4" s="112" t="str">
        <f>IF(OR(ISBLANK(Ajánlat!$E$7),ISBLANK(Ajánlat!$E$15)),"",Segédlet!$C$65&amp;"MetLife Nyugdíjprogram "&amp;Segédlet!$B$65&amp;" befektetési egységekhez kötött életbiztosítás")</f>
        <v/>
      </c>
      <c r="C4" s="112"/>
      <c r="D4" s="112"/>
      <c r="E4" s="112"/>
      <c r="F4" s="112"/>
      <c r="G4" s="112"/>
      <c r="H4" s="112"/>
      <c r="I4" s="112"/>
      <c r="J4" s="112"/>
      <c r="K4" s="112"/>
      <c r="L4" s="112"/>
      <c r="M4" s="112"/>
    </row>
    <row r="5" spans="2:13" x14ac:dyDescent="0.2">
      <c r="B5" s="112"/>
      <c r="C5" s="112"/>
      <c r="D5" s="112"/>
      <c r="E5" s="112"/>
      <c r="F5" s="112"/>
      <c r="G5" s="112"/>
      <c r="H5" s="112"/>
      <c r="I5" s="112"/>
      <c r="J5" s="112"/>
      <c r="K5" s="112"/>
      <c r="L5" s="112"/>
      <c r="M5" s="112"/>
    </row>
    <row r="8" spans="2:13" x14ac:dyDescent="0.2">
      <c r="B8" s="98" t="s">
        <v>194</v>
      </c>
      <c r="C8" s="98"/>
      <c r="D8" s="98"/>
      <c r="E8" s="104" t="str">
        <f>IF(OR(ISBLANK(Ajánlat!$E$7),ISBLANK(Ajánlat!$E$15),ISBLANK(Ajánlat!$E$5)),"",Ajánlat!$E$5)</f>
        <v/>
      </c>
      <c r="F8" s="104"/>
      <c r="G8" s="104"/>
      <c r="I8" s="98" t="s">
        <v>200</v>
      </c>
      <c r="J8" s="98"/>
      <c r="K8" s="98"/>
      <c r="L8" s="103" t="str">
        <f>IF(OR(ISBLANK(Ajánlat!$E$7),ISBLANK(Ajánlat!$E$15)),"",Számítás_Ny!$D$14)</f>
        <v/>
      </c>
      <c r="M8" s="103"/>
    </row>
    <row r="9" spans="2:13" x14ac:dyDescent="0.2">
      <c r="B9" s="98" t="s">
        <v>195</v>
      </c>
      <c r="C9" s="98"/>
      <c r="D9" s="98"/>
      <c r="E9" s="103" t="str">
        <f>IF(ISBLANK(Ajánlat!$E$7),"",Számítás_Ny!$D$1)</f>
        <v/>
      </c>
      <c r="F9" s="103"/>
      <c r="G9" s="103"/>
      <c r="I9" s="98" t="s">
        <v>201</v>
      </c>
      <c r="J9" s="98"/>
      <c r="K9" s="98"/>
      <c r="L9" s="104" t="str">
        <f>IF(OR(ISBLANK(Ajánlat!$E$7),ISBLANK(Ajánlat!$E$15)),"",IF(ISBLANK(Ajánlat!$E$11),"Éves",Számítás_Ny!$D$2))</f>
        <v/>
      </c>
      <c r="M9" s="104"/>
    </row>
    <row r="10" spans="2:13" x14ac:dyDescent="0.2">
      <c r="B10" s="98" t="s">
        <v>196</v>
      </c>
      <c r="C10" s="98"/>
      <c r="D10" s="98"/>
      <c r="E10" s="109" t="str">
        <f>IF(ISBLANK(Ajánlat!$E$7),"",Számítás_Ny!$M$4)</f>
        <v/>
      </c>
      <c r="F10" s="109"/>
      <c r="G10" s="109"/>
      <c r="I10" s="98" t="s">
        <v>208</v>
      </c>
      <c r="J10" s="98"/>
      <c r="K10" s="98"/>
      <c r="L10" s="105" t="str">
        <f>IF(OR(ISBLANK(Ajánlat!$E$7),ISBLANK(Ajánlat!$E$15)),"",IF(ISBLANK(Ajánlat!$E$17),3%,Számítás_Ny!$D$6))</f>
        <v/>
      </c>
      <c r="M10" s="105"/>
    </row>
    <row r="11" spans="2:13" x14ac:dyDescent="0.2">
      <c r="B11" s="98" t="str">
        <f>"A teljes, fizetendő "&amp;$L$9&amp;" díj:"</f>
        <v>A teljes, fizetendő  díj:</v>
      </c>
      <c r="C11" s="98"/>
      <c r="D11" s="98"/>
      <c r="E11" s="107" t="str">
        <f>IF(ISBLANK(Ajánlat!$E$15),"",Számítás_Ny!$D$7+Számítás_Ny!$M$3)</f>
        <v/>
      </c>
      <c r="F11" s="107"/>
      <c r="G11" s="107"/>
      <c r="I11" s="98" t="s">
        <v>209</v>
      </c>
      <c r="J11" s="98"/>
      <c r="K11" s="98"/>
      <c r="L11" s="104" t="str">
        <f>IF(OR(ISBLANK(Ajánlat!$E$7),ISBLANK(Ajánlat!$E$15)),"",IF(ISBLANK(Ajánlat!$N$7),"Premium",Számítás_Ny!$D$5))</f>
        <v/>
      </c>
      <c r="M11" s="104"/>
    </row>
    <row r="12" spans="2:13" x14ac:dyDescent="0.2">
      <c r="B12" s="98" t="s">
        <v>197</v>
      </c>
      <c r="C12" s="98"/>
      <c r="D12" s="98"/>
      <c r="E12" s="104" t="str">
        <f>IF(OR(ISBLANK(Ajánlat!$E$7),ISBLANK(Ajánlat!$E$15)),"",IF(ISBLANK(Ajánlat!$E$13),"Átutalás",Számítás_Ny!$D$3))</f>
        <v/>
      </c>
      <c r="F12" s="104"/>
      <c r="G12" s="104"/>
      <c r="I12" s="98" t="s">
        <v>213</v>
      </c>
      <c r="J12" s="98"/>
      <c r="K12" s="98"/>
      <c r="L12" s="107">
        <f ca="1">SUMIF(Számítás_Ny!$BG$20:$BG$1027,IF(MONTH(Számítás_Ny!$M$10)&lt;7,"&gt;="&amp;YEAR(Számítás_Ny!$M$10),YEAR(Számítás_Ny!$M$10)+1),Számítás_Ny!$BI$20:$BI$1027)</f>
        <v>0</v>
      </c>
      <c r="M12" s="107"/>
    </row>
    <row r="15" spans="2:13" x14ac:dyDescent="0.2">
      <c r="B15" s="98" t="s">
        <v>198</v>
      </c>
      <c r="C15" s="98"/>
      <c r="D15" s="98"/>
      <c r="E15" s="104" t="str">
        <f>IF(OR(ISBLANK(Ajánlat!$E$7),ISBLANK(Ajánlat!$E$15)),"",IF(Ajánlat!$N$9="","Egyedi",Ajánlat!$N$9))</f>
        <v/>
      </c>
      <c r="F15" s="104"/>
      <c r="G15" s="104"/>
      <c r="I15" s="98" t="s">
        <v>211</v>
      </c>
      <c r="J15" s="98"/>
      <c r="K15" s="98"/>
      <c r="L15" s="106" t="str">
        <f>IF(OR(ISBLANK(Ajánlat!$E$7),ISBLANK(Ajánlat!$E$15)),"",Számítás_Ny!$D$10)</f>
        <v/>
      </c>
      <c r="M15" s="106"/>
    </row>
    <row r="16" spans="2:13" x14ac:dyDescent="0.2">
      <c r="B16" s="98" t="s">
        <v>199</v>
      </c>
      <c r="C16" s="98"/>
      <c r="D16" s="98"/>
      <c r="E16" s="104" t="str">
        <f>IF(OR(ISBLANK(Ajánlat!$E$7),ISBLANK(Ajánlat!$E$15)),"",IF(Tranzakciók!$E$5="","Egyedi",Tranzakciók!$E$5))</f>
        <v/>
      </c>
      <c r="F16" s="104"/>
      <c r="G16" s="104"/>
      <c r="I16" s="98" t="s">
        <v>210</v>
      </c>
      <c r="J16" s="98"/>
      <c r="K16" s="98"/>
      <c r="L16" s="106" t="str">
        <f>IF(OR(ISBLANK(Ajánlat!$E$7),ISBLANK(Ajánlat!$E$15)),"",Számítás_Ny!$D$11)</f>
        <v/>
      </c>
      <c r="M16" s="106"/>
    </row>
    <row r="19" spans="1:13" x14ac:dyDescent="0.2">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
      <c r="B20" s="98" t="s">
        <v>202</v>
      </c>
      <c r="C20" s="98"/>
      <c r="D20" s="98"/>
      <c r="E20" s="98"/>
      <c r="F20" s="98"/>
      <c r="G20" s="44" t="str">
        <f>IF(OR(ISBLANK(Ajánlat!$E$7),ISBLANK(Ajánlat!$E$15)),"",Számítás_Ny!$D$9)</f>
        <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
      <c r="B21" s="98" t="s">
        <v>204</v>
      </c>
      <c r="C21" s="98"/>
      <c r="D21" s="98"/>
      <c r="E21" s="98"/>
      <c r="F21" s="98"/>
      <c r="G21" s="45" t="str">
        <f>IF(OR(ISBLANK(Ajánlat!$E$7),ISBLANK(Ajánlat!$E$15)),"",SUM(Számítás_Ny!$H$20:$H$31))</f>
        <v/>
      </c>
      <c r="I21" s="102" t="s">
        <v>219</v>
      </c>
      <c r="J21" s="100"/>
      <c r="K21" s="100"/>
      <c r="L21" s="100"/>
      <c r="M21" s="101"/>
    </row>
    <row r="24" spans="1:13" x14ac:dyDescent="0.2">
      <c r="B24" s="110"/>
      <c r="C24" s="110" t="s">
        <v>181</v>
      </c>
      <c r="D24" s="110"/>
      <c r="E24" s="110"/>
      <c r="F24" s="110"/>
      <c r="G24" s="110"/>
      <c r="H24" s="110" t="s">
        <v>179</v>
      </c>
      <c r="I24" s="110"/>
      <c r="J24" s="110"/>
      <c r="K24" s="110"/>
      <c r="L24" s="110"/>
      <c r="M24" s="110" t="s">
        <v>138</v>
      </c>
    </row>
    <row r="25" spans="1:13" x14ac:dyDescent="0.2">
      <c r="B25" s="111"/>
      <c r="C25" s="111"/>
      <c r="D25" s="111"/>
      <c r="E25" s="111"/>
      <c r="F25" s="111"/>
      <c r="G25" s="111"/>
      <c r="H25" s="111"/>
      <c r="I25" s="111"/>
      <c r="J25" s="111"/>
      <c r="K25" s="111"/>
      <c r="L25" s="111"/>
      <c r="M25" s="111"/>
    </row>
    <row r="26" spans="1:13" ht="12.75" customHeight="1" x14ac:dyDescent="0.2">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
      <c r="B27" s="42"/>
      <c r="C27" s="60"/>
      <c r="D27" s="60"/>
      <c r="E27" s="60"/>
      <c r="F27" s="60"/>
      <c r="G27" s="60"/>
      <c r="H27" s="60"/>
      <c r="I27" s="60"/>
      <c r="J27" s="60"/>
      <c r="K27" s="60"/>
      <c r="L27" s="60"/>
      <c r="M27" s="60"/>
    </row>
    <row r="28" spans="1:13" x14ac:dyDescent="0.2">
      <c r="A28" s="46" t="str">
        <f ca="1">IF($B28="","",MIN($B28*12,Segédlet!$G$70))</f>
        <v/>
      </c>
      <c r="B28" s="47" t="str">
        <f ca="1">Segédlet!$B71</f>
        <v/>
      </c>
      <c r="C28" s="48">
        <f ca="1">IF(Számítás_Ny!$G$1="OK",IF($B28="","",SUMIF(Számítás_Ny!$B$20:$B$1027,"&lt;="&amp;$B28,Számítás_Ny!$K$20:$K$1027)),0)</f>
        <v>0</v>
      </c>
      <c r="D28" s="48">
        <f ca="1">IF(Számítás_Ny!$G$1="OK",IF($B28="","",SUMIF(Tranzakciók!$B$32:$B$115,"&lt;="&amp;$B28,Tranzakciók!$K$32:$K$115)),0)</f>
        <v>0</v>
      </c>
      <c r="E28" s="48">
        <f ca="1">IF(Számítás_Ny!$G$1="OK",IF($B28="","",SUMIF(Számítás_Ny!$AA$20:$AA$1027,"&lt;="&amp;$B28,Számítás_Ny!$AK$20:$AK$1027)),0)</f>
        <v>0</v>
      </c>
      <c r="F28" s="48">
        <f ca="1">IF(Számítás_Ny!$G$1="OK",IF($B28="","",SUMIF(Számítás_Ny!$BE$20:$BE$1027,"&lt;="&amp;$B28,Számítás_Ny!$BJ$20:$BJ$1027)),0)</f>
        <v>0</v>
      </c>
      <c r="G28" s="49" t="str">
        <f ca="1">IF($B28="","",C28+D28+E28+F28)</f>
        <v/>
      </c>
      <c r="H28" s="48">
        <f ca="1">IF(Számítás_Ny!$G$1="OK",IF($B28="","",VLOOKUP($A28,Számítás_Ny!$A$20:$X$1027,23,0)),0)</f>
        <v>0</v>
      </c>
      <c r="I28" s="48">
        <f ca="1">IF(Számítás_Ny!$G$1="OK",IF($B28="","",VLOOKUP($A28,Számítás_Ny!$AO$20:$BB$1027,13,0)),0)</f>
        <v>0</v>
      </c>
      <c r="J28" s="48">
        <f ca="1">IF(Számítás_Ny!$G$1="OK",IF($B28="","",VLOOKUP($A28,Számítás_Ny!$Z$20:$AM$1027,13,0)),0)</f>
        <v>0</v>
      </c>
      <c r="K28" s="48">
        <f ca="1">IF(Számítás_Ny!$G$1="OK",IF($B28="","",VLOOKUP($A28,Számítás_Ny!$BD$20:$BP$1027,12,0)),0)</f>
        <v>0</v>
      </c>
      <c r="L28" s="49" t="str">
        <f ca="1">IF($B28="","",$H28+$I28+$J28+$K28)</f>
        <v/>
      </c>
      <c r="M28" s="50">
        <f ca="1">IF(Számítás_Ny!$G$1="OK",IF($B28="","",IF($B29="",$L28,VLOOKUP($A28,Számítás_Ny!$A$20:$X$1027,24,0)+VLOOKUP($A28,Számítás_Ny!$AO$20:$BB$1027,14,0)+VLOOKUP($A28,Számítás_Ny!$Z$20:$AM$1027,14,0)+VLOOKUP($A28,Számítás_Ny!$BD$20:$BP$1027,13,0))),0)</f>
        <v>0</v>
      </c>
    </row>
    <row r="29" spans="1:13" x14ac:dyDescent="0.2">
      <c r="A29" s="46" t="str">
        <f ca="1">IF($B29="","",MIN($B29*12,Segédlet!$G$70))</f>
        <v/>
      </c>
      <c r="B29" s="47" t="str">
        <f ca="1">Segédlet!$B72</f>
        <v/>
      </c>
      <c r="C29" s="48">
        <f ca="1">IF(Számítás_Ny!$G$1="OK",IF($B29="","",SUMIF(Számítás_Ny!$B$20:$B$1027,"&lt;="&amp;$B29,Számítás_Ny!$K$20:$K$1027)),0)</f>
        <v>0</v>
      </c>
      <c r="D29" s="48">
        <f ca="1">IF(Számítás_Ny!$G$1="OK",IF($B29="","",SUMIF(Tranzakciók!$B$32:$B$115,"&lt;="&amp;$B29,Tranzakciók!$K$32:$K$115)),0)</f>
        <v>0</v>
      </c>
      <c r="E29" s="48">
        <f ca="1">IF(Számítás_Ny!$G$1="OK",IF($B29="","",SUMIF(Számítás_Ny!$AA$20:$AA$1027,"&lt;="&amp;$B29,Számítás_Ny!$AK$20:$AK$1027)),0)</f>
        <v>0</v>
      </c>
      <c r="F29" s="48">
        <f ca="1">IF(Számítás_Ny!$G$1="OK",IF($B29="","",SUMIF(Számítás_Ny!$BE$20:$BE$1027,"&lt;="&amp;$B29,Számítás_Ny!$BJ$20:$BJ$1027)),0)</f>
        <v>0</v>
      </c>
      <c r="G29" s="49" t="str">
        <f t="shared" ref="G29:G38" ca="1" si="0">IF($B29="","",C29+D29+E29+F29)</f>
        <v/>
      </c>
      <c r="H29" s="48">
        <f ca="1">IF(Számítás_Ny!$G$1="OK",IF($B29="","",VLOOKUP($A29,Számítás_Ny!$A$20:$X$1027,23,0)),0)</f>
        <v>0</v>
      </c>
      <c r="I29" s="48">
        <f ca="1">IF(Számítás_Ny!$G$1="OK",IF($B29="","",VLOOKUP($A29,Számítás_Ny!$AO$20:$BB$1027,13,0)),0)</f>
        <v>0</v>
      </c>
      <c r="J29" s="48">
        <f ca="1">IF(Számítás_Ny!$G$1="OK",IF($B29="","",VLOOKUP($A29,Számítás_Ny!$Z$20:$AM$1027,13,0)),0)</f>
        <v>0</v>
      </c>
      <c r="K29" s="48">
        <f ca="1">IF(Számítás_Ny!$G$1="OK",IF($B29="","",VLOOKUP($A29,Számítás_Ny!$BD$20:$BP$1027,12,0)),0)</f>
        <v>0</v>
      </c>
      <c r="L29" s="49" t="str">
        <f t="shared" ref="L29:L38" ca="1" si="1">IF($B29="","",$H29+$I29+$J29+$K29)</f>
        <v/>
      </c>
      <c r="M29" s="50">
        <f ca="1">IF(Számítás_Ny!$G$1="OK",IF($B29="","",IF($B30="",$L29,VLOOKUP($A29,Számítás_Ny!$A$20:$X$1027,24,0)+VLOOKUP($A29,Számítás_Ny!$AO$20:$BB$1027,14,0)+VLOOKUP($A29,Számítás_Ny!$Z$20:$AM$1027,14,0)+VLOOKUP($A29,Számítás_Ny!$BD$20:$BP$1027,13,0))),0)</f>
        <v>0</v>
      </c>
    </row>
    <row r="30" spans="1:13" x14ac:dyDescent="0.2">
      <c r="A30" s="46" t="str">
        <f ca="1">IF($B30="","",MIN($B30*12,Segédlet!$G$70))</f>
        <v/>
      </c>
      <c r="B30" s="47" t="str">
        <f ca="1">Segédlet!$B73</f>
        <v/>
      </c>
      <c r="C30" s="48">
        <f ca="1">IF(Számítás_Ny!$G$1="OK",IF($B30="","",SUMIF(Számítás_Ny!$B$20:$B$1027,"&lt;="&amp;$B30,Számítás_Ny!$K$20:$K$1027)),0)</f>
        <v>0</v>
      </c>
      <c r="D30" s="48">
        <f ca="1">IF(Számítás_Ny!$G$1="OK",IF($B30="","",SUMIF(Tranzakciók!$B$32:$B$115,"&lt;="&amp;$B30,Tranzakciók!$K$32:$K$115)),0)</f>
        <v>0</v>
      </c>
      <c r="E30" s="48">
        <f ca="1">IF(Számítás_Ny!$G$1="OK",IF($B30="","",SUMIF(Számítás_Ny!$AA$20:$AA$1027,"&lt;="&amp;$B30,Számítás_Ny!$AK$20:$AK$1027)),0)</f>
        <v>0</v>
      </c>
      <c r="F30" s="48">
        <f ca="1">IF(Számítás_Ny!$G$1="OK",IF($B30="","",SUMIF(Számítás_Ny!$BE$20:$BE$1027,"&lt;="&amp;$B30,Számítás_Ny!$BJ$20:$BJ$1027)),0)</f>
        <v>0</v>
      </c>
      <c r="G30" s="49" t="str">
        <f t="shared" ca="1" si="0"/>
        <v/>
      </c>
      <c r="H30" s="48">
        <f ca="1">IF(Számítás_Ny!$G$1="OK",IF($B30="","",VLOOKUP($A30,Számítás_Ny!$A$20:$X$1027,23,0)),0)</f>
        <v>0</v>
      </c>
      <c r="I30" s="48">
        <f ca="1">IF(Számítás_Ny!$G$1="OK",IF($B30="","",VLOOKUP($A30,Számítás_Ny!$AO$20:$BB$1027,13,0)),0)</f>
        <v>0</v>
      </c>
      <c r="J30" s="48">
        <f ca="1">IF(Számítás_Ny!$G$1="OK",IF($B30="","",VLOOKUP($A30,Számítás_Ny!$Z$20:$AM$1027,13,0)),0)</f>
        <v>0</v>
      </c>
      <c r="K30" s="48">
        <f ca="1">IF(Számítás_Ny!$G$1="OK",IF($B30="","",VLOOKUP($A30,Számítás_Ny!$BD$20:$BP$1027,12,0)),0)</f>
        <v>0</v>
      </c>
      <c r="L30" s="49" t="str">
        <f t="shared" ca="1" si="1"/>
        <v/>
      </c>
      <c r="M30" s="50">
        <f ca="1">IF(Számítás_Ny!$G$1="OK",IF($B30="","",IF($B31="",$L30,VLOOKUP($A30,Számítás_Ny!$A$20:$X$1027,24,0)+VLOOKUP($A30,Számítás_Ny!$AO$20:$BB$1027,14,0)+VLOOKUP($A30,Számítás_Ny!$Z$20:$AM$1027,14,0)+VLOOKUP($A30,Számítás_Ny!$BD$20:$BP$1027,13,0))),0)</f>
        <v>0</v>
      </c>
    </row>
    <row r="31" spans="1:13" x14ac:dyDescent="0.2">
      <c r="A31" s="46" t="str">
        <f ca="1">IF($B31="","",MIN($B31*12,Segédlet!$G$70))</f>
        <v/>
      </c>
      <c r="B31" s="47" t="str">
        <f ca="1">Segédlet!$B74</f>
        <v/>
      </c>
      <c r="C31" s="48">
        <f ca="1">IF(Számítás_Ny!$G$1="OK",IF($B31="","",SUMIF(Számítás_Ny!$B$20:$B$1027,"&lt;="&amp;$B31,Számítás_Ny!$K$20:$K$1027)),0)</f>
        <v>0</v>
      </c>
      <c r="D31" s="48">
        <f ca="1">IF(Számítás_Ny!$G$1="OK",IF($B31="","",SUMIF(Tranzakciók!$B$32:$B$115,"&lt;="&amp;$B31,Tranzakciók!$K$32:$K$115)),0)</f>
        <v>0</v>
      </c>
      <c r="E31" s="48">
        <f ca="1">IF(Számítás_Ny!$G$1="OK",IF($B31="","",SUMIF(Számítás_Ny!$AA$20:$AA$1027,"&lt;="&amp;$B31,Számítás_Ny!$AK$20:$AK$1027)),0)</f>
        <v>0</v>
      </c>
      <c r="F31" s="48">
        <f ca="1">IF(Számítás_Ny!$G$1="OK",IF($B31="","",SUMIF(Számítás_Ny!$BE$20:$BE$1027,"&lt;="&amp;$B31,Számítás_Ny!$BJ$20:$BJ$1027)),0)</f>
        <v>0</v>
      </c>
      <c r="G31" s="49" t="str">
        <f t="shared" ca="1" si="0"/>
        <v/>
      </c>
      <c r="H31" s="48">
        <f ca="1">IF(Számítás_Ny!$G$1="OK",IF($B31="","",VLOOKUP($A31,Számítás_Ny!$A$20:$X$1027,23,0)),0)</f>
        <v>0</v>
      </c>
      <c r="I31" s="48">
        <f ca="1">IF(Számítás_Ny!$G$1="OK",IF($B31="","",VLOOKUP($A31,Számítás_Ny!$AO$20:$BB$1027,13,0)),0)</f>
        <v>0</v>
      </c>
      <c r="J31" s="48">
        <f ca="1">IF(Számítás_Ny!$G$1="OK",IF($B31="","",VLOOKUP($A31,Számítás_Ny!$Z$20:$AM$1027,13,0)),0)</f>
        <v>0</v>
      </c>
      <c r="K31" s="48">
        <f ca="1">IF(Számítás_Ny!$G$1="OK",IF($B31="","",VLOOKUP($A31,Számítás_Ny!$BD$20:$BP$1027,12,0)),0)</f>
        <v>0</v>
      </c>
      <c r="L31" s="49" t="str">
        <f t="shared" ca="1" si="1"/>
        <v/>
      </c>
      <c r="M31" s="50">
        <f ca="1">IF(Számítás_Ny!$G$1="OK",IF($B31="","",IF($B32="",$L31,VLOOKUP($A31,Számítás_Ny!$A$20:$X$1027,24,0)+VLOOKUP($A31,Számítás_Ny!$AO$20:$BB$1027,14,0)+VLOOKUP($A31,Számítás_Ny!$Z$20:$AM$1027,14,0)+VLOOKUP($A31,Számítás_Ny!$BD$20:$BP$1027,13,0))),0)</f>
        <v>0</v>
      </c>
    </row>
    <row r="32" spans="1:13" x14ac:dyDescent="0.2">
      <c r="A32" s="46" t="str">
        <f ca="1">IF($B32="","",MIN($B32*12,Segédlet!$G$70))</f>
        <v/>
      </c>
      <c r="B32" s="47" t="str">
        <f ca="1">Segédlet!$B75</f>
        <v/>
      </c>
      <c r="C32" s="48">
        <f ca="1">IF(Számítás_Ny!$G$1="OK",IF($B32="","",SUMIF(Számítás_Ny!$B$20:$B$1027,"&lt;="&amp;$B32,Számítás_Ny!$K$20:$K$1027)),0)</f>
        <v>0</v>
      </c>
      <c r="D32" s="48">
        <f ca="1">IF(Számítás_Ny!$G$1="OK",IF($B32="","",SUMIF(Tranzakciók!$B$32:$B$115,"&lt;="&amp;$B32,Tranzakciók!$K$32:$K$115)),0)</f>
        <v>0</v>
      </c>
      <c r="E32" s="48">
        <f ca="1">IF(Számítás_Ny!$G$1="OK",IF($B32="","",SUMIF(Számítás_Ny!$AA$20:$AA$1027,"&lt;="&amp;$B32,Számítás_Ny!$AK$20:$AK$1027)),0)</f>
        <v>0</v>
      </c>
      <c r="F32" s="48">
        <f ca="1">IF(Számítás_Ny!$G$1="OK",IF($B32="","",SUMIF(Számítás_Ny!$BE$20:$BE$1027,"&lt;="&amp;$B32,Számítás_Ny!$BJ$20:$BJ$1027)),0)</f>
        <v>0</v>
      </c>
      <c r="G32" s="49" t="str">
        <f t="shared" ca="1" si="0"/>
        <v/>
      </c>
      <c r="H32" s="48">
        <f ca="1">IF(Számítás_Ny!$G$1="OK",IF($B32="","",VLOOKUP($A32,Számítás_Ny!$A$20:$X$1027,23,0)),0)</f>
        <v>0</v>
      </c>
      <c r="I32" s="48">
        <f ca="1">IF(Számítás_Ny!$G$1="OK",IF($B32="","",VLOOKUP($A32,Számítás_Ny!$AO$20:$BB$1027,13,0)),0)</f>
        <v>0</v>
      </c>
      <c r="J32" s="48">
        <f ca="1">IF(Számítás_Ny!$G$1="OK",IF($B32="","",VLOOKUP($A32,Számítás_Ny!$Z$20:$AM$1027,13,0)),0)</f>
        <v>0</v>
      </c>
      <c r="K32" s="48">
        <f ca="1">IF(Számítás_Ny!$G$1="OK",IF($B32="","",VLOOKUP($A32,Számítás_Ny!$BD$20:$BP$1027,12,0)),0)</f>
        <v>0</v>
      </c>
      <c r="L32" s="49" t="str">
        <f t="shared" ca="1" si="1"/>
        <v/>
      </c>
      <c r="M32" s="50">
        <f ca="1">IF(Számítás_Ny!$G$1="OK",IF($B32="","",IF($B33="",$L32,VLOOKUP($A32,Számítás_Ny!$A$20:$X$1027,24,0)+VLOOKUP($A32,Számítás_Ny!$AO$20:$BB$1027,14,0)+VLOOKUP($A32,Számítás_Ny!$Z$20:$AM$1027,14,0)+VLOOKUP($A32,Számítás_Ny!$BD$20:$BP$1027,13,0))),0)</f>
        <v>0</v>
      </c>
    </row>
    <row r="33" spans="1:13" x14ac:dyDescent="0.2">
      <c r="A33" s="46" t="str">
        <f ca="1">IF($B33="","",MIN($B33*12,Segédlet!$G$70))</f>
        <v/>
      </c>
      <c r="B33" s="47" t="str">
        <f ca="1">Segédlet!$B76</f>
        <v/>
      </c>
      <c r="C33" s="48">
        <f ca="1">IF(Számítás_Ny!$G$1="OK",IF($B33="","",SUMIF(Számítás_Ny!$B$20:$B$1027,"&lt;="&amp;$B33,Számítás_Ny!$K$20:$K$1027)),0)</f>
        <v>0</v>
      </c>
      <c r="D33" s="48">
        <f ca="1">IF(Számítás_Ny!$G$1="OK",IF($B33="","",SUMIF(Tranzakciók!$B$32:$B$115,"&lt;="&amp;$B33,Tranzakciók!$K$32:$K$115)),0)</f>
        <v>0</v>
      </c>
      <c r="E33" s="48">
        <f ca="1">IF(Számítás_Ny!$G$1="OK",IF($B33="","",SUMIF(Számítás_Ny!$AA$20:$AA$1027,"&lt;="&amp;$B33,Számítás_Ny!$AK$20:$AK$1027)),0)</f>
        <v>0</v>
      </c>
      <c r="F33" s="48">
        <f ca="1">IF(Számítás_Ny!$G$1="OK",IF($B33="","",SUMIF(Számítás_Ny!$BE$20:$BE$1027,"&lt;="&amp;$B33,Számítás_Ny!$BJ$20:$BJ$1027)),0)</f>
        <v>0</v>
      </c>
      <c r="G33" s="49" t="str">
        <f t="shared" ca="1" si="0"/>
        <v/>
      </c>
      <c r="H33" s="48">
        <f ca="1">IF(Számítás_Ny!$G$1="OK",IF($B33="","",VLOOKUP($A33,Számítás_Ny!$A$20:$X$1027,23,0)),0)</f>
        <v>0</v>
      </c>
      <c r="I33" s="48">
        <f ca="1">IF(Számítás_Ny!$G$1="OK",IF($B33="","",VLOOKUP($A33,Számítás_Ny!$AO$20:$BB$1027,13,0)),0)</f>
        <v>0</v>
      </c>
      <c r="J33" s="48">
        <f ca="1">IF(Számítás_Ny!$G$1="OK",IF($B33="","",VLOOKUP($A33,Számítás_Ny!$Z$20:$AM$1027,13,0)),0)</f>
        <v>0</v>
      </c>
      <c r="K33" s="48">
        <f ca="1">IF(Számítás_Ny!$G$1="OK",IF($B33="","",VLOOKUP($A33,Számítás_Ny!$BD$20:$BP$1027,12,0)),0)</f>
        <v>0</v>
      </c>
      <c r="L33" s="49" t="str">
        <f t="shared" ca="1" si="1"/>
        <v/>
      </c>
      <c r="M33" s="50">
        <f ca="1">IF(Számítás_Ny!$G$1="OK",IF($B33="","",IF($B34="",$L33,VLOOKUP($A33,Számítás_Ny!$A$20:$X$1027,24,0)+VLOOKUP($A33,Számítás_Ny!$AO$20:$BB$1027,14,0)+VLOOKUP($A33,Számítás_Ny!$Z$20:$AM$1027,14,0)+VLOOKUP($A33,Számítás_Ny!$BD$20:$BP$1027,13,0))),0)</f>
        <v>0</v>
      </c>
    </row>
    <row r="34" spans="1:13" x14ac:dyDescent="0.2">
      <c r="A34" s="46" t="str">
        <f ca="1">IF($B34="","",MIN($B34*12,Segédlet!$G$70))</f>
        <v/>
      </c>
      <c r="B34" s="47" t="str">
        <f ca="1">Segédlet!$B77</f>
        <v/>
      </c>
      <c r="C34" s="48">
        <f ca="1">IF(Számítás_Ny!$G$1="OK",IF($B34="","",SUMIF(Számítás_Ny!$B$20:$B$1027,"&lt;="&amp;$B34,Számítás_Ny!$K$20:$K$1027)),0)</f>
        <v>0</v>
      </c>
      <c r="D34" s="48">
        <f ca="1">IF(Számítás_Ny!$G$1="OK",IF($B34="","",SUMIF(Tranzakciók!$B$32:$B$115,"&lt;="&amp;$B34,Tranzakciók!$K$32:$K$115)),0)</f>
        <v>0</v>
      </c>
      <c r="E34" s="48">
        <f ca="1">IF(Számítás_Ny!$G$1="OK",IF($B34="","",SUMIF(Számítás_Ny!$AA$20:$AA$1027,"&lt;="&amp;$B34,Számítás_Ny!$AK$20:$AK$1027)),0)</f>
        <v>0</v>
      </c>
      <c r="F34" s="48">
        <f ca="1">IF(Számítás_Ny!$G$1="OK",IF($B34="","",SUMIF(Számítás_Ny!$BE$20:$BE$1027,"&lt;="&amp;$B34,Számítás_Ny!$BJ$20:$BJ$1027)),0)</f>
        <v>0</v>
      </c>
      <c r="G34" s="49" t="str">
        <f t="shared" ca="1" si="0"/>
        <v/>
      </c>
      <c r="H34" s="48">
        <f ca="1">IF(Számítás_Ny!$G$1="OK",IF($B34="","",VLOOKUP($A34,Számítás_Ny!$A$20:$X$1027,23,0)),0)</f>
        <v>0</v>
      </c>
      <c r="I34" s="48">
        <f ca="1">IF(Számítás_Ny!$G$1="OK",IF($B34="","",VLOOKUP($A34,Számítás_Ny!$AO$20:$BB$1027,13,0)),0)</f>
        <v>0</v>
      </c>
      <c r="J34" s="48">
        <f ca="1">IF(Számítás_Ny!$G$1="OK",IF($B34="","",VLOOKUP($A34,Számítás_Ny!$Z$20:$AM$1027,13,0)),0)</f>
        <v>0</v>
      </c>
      <c r="K34" s="48">
        <f ca="1">IF(Számítás_Ny!$G$1="OK",IF($B34="","",VLOOKUP($A34,Számítás_Ny!$BD$20:$BP$1027,12,0)),0)</f>
        <v>0</v>
      </c>
      <c r="L34" s="49" t="str">
        <f t="shared" ca="1" si="1"/>
        <v/>
      </c>
      <c r="M34" s="50">
        <f ca="1">IF(Számítás_Ny!$G$1="OK",IF($B34="","",IF($B35="",$L34,VLOOKUP($A34,Számítás_Ny!$A$20:$X$1027,24,0)+VLOOKUP($A34,Számítás_Ny!$AO$20:$BB$1027,14,0)+VLOOKUP($A34,Számítás_Ny!$Z$20:$AM$1027,14,0)+VLOOKUP($A34,Számítás_Ny!$BD$20:$BP$1027,13,0))),0)</f>
        <v>0</v>
      </c>
    </row>
    <row r="35" spans="1:13" x14ac:dyDescent="0.2">
      <c r="A35" s="46" t="str">
        <f ca="1">IF($B35="","",MIN($B35*12,Segédlet!$G$70))</f>
        <v/>
      </c>
      <c r="B35" s="47" t="str">
        <f ca="1">Segédlet!$B78</f>
        <v/>
      </c>
      <c r="C35" s="48">
        <f ca="1">IF(Számítás_Ny!$G$1="OK",IF($B35="","",SUMIF(Számítás_Ny!$B$20:$B$1027,"&lt;="&amp;$B35,Számítás_Ny!$K$20:$K$1027)),0)</f>
        <v>0</v>
      </c>
      <c r="D35" s="48">
        <f ca="1">IF(Számítás_Ny!$G$1="OK",IF($B35="","",SUMIF(Tranzakciók!$B$32:$B$115,"&lt;="&amp;$B35,Tranzakciók!$K$32:$K$115)),0)</f>
        <v>0</v>
      </c>
      <c r="E35" s="48">
        <f ca="1">IF(Számítás_Ny!$G$1="OK",IF($B35="","",SUMIF(Számítás_Ny!$AA$20:$AA$1027,"&lt;="&amp;$B35,Számítás_Ny!$AK$20:$AK$1027)),0)</f>
        <v>0</v>
      </c>
      <c r="F35" s="48">
        <f ca="1">IF(Számítás_Ny!$G$1="OK",IF($B35="","",SUMIF(Számítás_Ny!$BE$20:$BE$1027,"&lt;="&amp;$B35,Számítás_Ny!$BJ$20:$BJ$1027)),0)</f>
        <v>0</v>
      </c>
      <c r="G35" s="49" t="str">
        <f t="shared" ca="1" si="0"/>
        <v/>
      </c>
      <c r="H35" s="48">
        <f ca="1">IF(Számítás_Ny!$G$1="OK",IF($B35="","",VLOOKUP($A35,Számítás_Ny!$A$20:$X$1027,23,0)),0)</f>
        <v>0</v>
      </c>
      <c r="I35" s="48">
        <f ca="1">IF(Számítás_Ny!$G$1="OK",IF($B35="","",VLOOKUP($A35,Számítás_Ny!$AO$20:$BB$1027,13,0)),0)</f>
        <v>0</v>
      </c>
      <c r="J35" s="48">
        <f ca="1">IF(Számítás_Ny!$G$1="OK",IF($B35="","",VLOOKUP($A35,Számítás_Ny!$Z$20:$AM$1027,13,0)),0)</f>
        <v>0</v>
      </c>
      <c r="K35" s="48">
        <f ca="1">IF(Számítás_Ny!$G$1="OK",IF($B35="","",VLOOKUP($A35,Számítás_Ny!$BD$20:$BP$1027,12,0)),0)</f>
        <v>0</v>
      </c>
      <c r="L35" s="49" t="str">
        <f t="shared" ca="1" si="1"/>
        <v/>
      </c>
      <c r="M35" s="50">
        <f ca="1">IF(Számítás_Ny!$G$1="OK",IF($B35="","",IF($B36="",$L35,VLOOKUP($A35,Számítás_Ny!$A$20:$X$1027,24,0)+VLOOKUP($A35,Számítás_Ny!$AO$20:$BB$1027,14,0)+VLOOKUP($A35,Számítás_Ny!$Z$20:$AM$1027,14,0)+VLOOKUP($A35,Számítás_Ny!$BD$20:$BP$1027,13,0))),0)</f>
        <v>0</v>
      </c>
    </row>
    <row r="36" spans="1:13" x14ac:dyDescent="0.2">
      <c r="A36" s="46" t="str">
        <f ca="1">IF($B36="","",MIN($B36*12,Segédlet!$G$70))</f>
        <v/>
      </c>
      <c r="B36" s="47" t="str">
        <f ca="1">Segédlet!$B79</f>
        <v/>
      </c>
      <c r="C36" s="48">
        <f ca="1">IF(Számítás_Ny!$G$1="OK",IF($B36="","",SUMIF(Számítás_Ny!$B$20:$B$1027,"&lt;="&amp;$B36,Számítás_Ny!$K$20:$K$1027)),0)</f>
        <v>0</v>
      </c>
      <c r="D36" s="48">
        <f ca="1">IF(Számítás_Ny!$G$1="OK",IF($B36="","",SUMIF(Tranzakciók!$B$32:$B$115,"&lt;="&amp;$B36,Tranzakciók!$K$32:$K$115)),0)</f>
        <v>0</v>
      </c>
      <c r="E36" s="48">
        <f ca="1">IF(Számítás_Ny!$G$1="OK",IF($B36="","",SUMIF(Számítás_Ny!$AA$20:$AA$1027,"&lt;="&amp;$B36,Számítás_Ny!$AK$20:$AK$1027)),0)</f>
        <v>0</v>
      </c>
      <c r="F36" s="48">
        <f ca="1">IF(Számítás_Ny!$G$1="OK",IF($B36="","",SUMIF(Számítás_Ny!$BE$20:$BE$1027,"&lt;="&amp;$B36,Számítás_Ny!$BJ$20:$BJ$1027)),0)</f>
        <v>0</v>
      </c>
      <c r="G36" s="49" t="str">
        <f t="shared" ca="1" si="0"/>
        <v/>
      </c>
      <c r="H36" s="48">
        <f ca="1">IF(Számítás_Ny!$G$1="OK",IF($B36="","",VLOOKUP($A36,Számítás_Ny!$A$20:$X$1027,23,0)),0)</f>
        <v>0</v>
      </c>
      <c r="I36" s="48">
        <f ca="1">IF(Számítás_Ny!$G$1="OK",IF($B36="","",VLOOKUP($A36,Számítás_Ny!$AO$20:$BB$1027,13,0)),0)</f>
        <v>0</v>
      </c>
      <c r="J36" s="48">
        <f ca="1">IF(Számítás_Ny!$G$1="OK",IF($B36="","",VLOOKUP($A36,Számítás_Ny!$Z$20:$AM$1027,13,0)),0)</f>
        <v>0</v>
      </c>
      <c r="K36" s="48">
        <f ca="1">IF(Számítás_Ny!$G$1="OK",IF($B36="","",VLOOKUP($A36,Számítás_Ny!$BD$20:$BP$1027,12,0)),0)</f>
        <v>0</v>
      </c>
      <c r="L36" s="49" t="str">
        <f t="shared" ca="1" si="1"/>
        <v/>
      </c>
      <c r="M36" s="50">
        <f ca="1">IF(Számítás_Ny!$G$1="OK",IF($B36="","",IF($B37="",$L36,VLOOKUP($A36,Számítás_Ny!$A$20:$X$1027,24,0)+VLOOKUP($A36,Számítás_Ny!$AO$20:$BB$1027,14,0)+VLOOKUP($A36,Számítás_Ny!$Z$20:$AM$1027,14,0)+VLOOKUP($A36,Számítás_Ny!$BD$20:$BP$1027,13,0))),0)</f>
        <v>0</v>
      </c>
    </row>
    <row r="37" spans="1:13" x14ac:dyDescent="0.2">
      <c r="A37" s="46" t="str">
        <f ca="1">IF($B37="","",MIN($B37*12,Segédlet!$G$70))</f>
        <v/>
      </c>
      <c r="B37" s="47" t="str">
        <f ca="1">Segédlet!$B80</f>
        <v/>
      </c>
      <c r="C37" s="48">
        <f ca="1">IF(Számítás_Ny!$G$1="OK",IF($B37="","",SUMIF(Számítás_Ny!$B$20:$B$1027,"&lt;="&amp;$B37,Számítás_Ny!$K$20:$K$1027)),0)</f>
        <v>0</v>
      </c>
      <c r="D37" s="48">
        <f ca="1">IF(Számítás_Ny!$G$1="OK",IF($B37="","",SUMIF(Tranzakciók!$B$32:$B$115,"&lt;="&amp;$B37,Tranzakciók!$K$32:$K$115)),0)</f>
        <v>0</v>
      </c>
      <c r="E37" s="48">
        <f ca="1">IF(Számítás_Ny!$G$1="OK",IF($B37="","",SUMIF(Számítás_Ny!$AA$20:$AA$1027,"&lt;="&amp;$B37,Számítás_Ny!$AK$20:$AK$1027)),0)</f>
        <v>0</v>
      </c>
      <c r="F37" s="48">
        <f ca="1">IF(Számítás_Ny!$G$1="OK",IF($B37="","",SUMIF(Számítás_Ny!$BE$20:$BE$1027,"&lt;="&amp;$B37,Számítás_Ny!$BJ$20:$BJ$1027)),0)</f>
        <v>0</v>
      </c>
      <c r="G37" s="49" t="str">
        <f t="shared" ca="1" si="0"/>
        <v/>
      </c>
      <c r="H37" s="48">
        <f ca="1">IF(Számítás_Ny!$G$1="OK",IF($B37="","",VLOOKUP($A37,Számítás_Ny!$A$20:$X$1027,23,0)),0)</f>
        <v>0</v>
      </c>
      <c r="I37" s="48">
        <f ca="1">IF(Számítás_Ny!$G$1="OK",IF($B37="","",VLOOKUP($A37,Számítás_Ny!$AO$20:$BB$1027,13,0)),0)</f>
        <v>0</v>
      </c>
      <c r="J37" s="48">
        <f ca="1">IF(Számítás_Ny!$G$1="OK",IF($B37="","",VLOOKUP($A37,Számítás_Ny!$Z$20:$AM$1027,13,0)),0)</f>
        <v>0</v>
      </c>
      <c r="K37" s="48">
        <f ca="1">IF(Számítás_Ny!$G$1="OK",IF($B37="","",VLOOKUP($A37,Számítás_Ny!$BD$20:$BP$1027,12,0)),0)</f>
        <v>0</v>
      </c>
      <c r="L37" s="49" t="str">
        <f t="shared" ca="1" si="1"/>
        <v/>
      </c>
      <c r="M37" s="50">
        <f ca="1">IF(Számítás_Ny!$G$1="OK",IF($B37="","",IF($B38="",$L37,VLOOKUP($A37,Számítás_Ny!$A$20:$X$1027,24,0)+VLOOKUP($A37,Számítás_Ny!$AO$20:$BB$1027,14,0)+VLOOKUP($A37,Számítás_Ny!$Z$20:$AM$1027,14,0)+VLOOKUP($A37,Számítás_Ny!$BD$20:$BP$1027,13,0))),0)</f>
        <v>0</v>
      </c>
    </row>
    <row r="38" spans="1:13" x14ac:dyDescent="0.2">
      <c r="A38" s="46" t="str">
        <f ca="1">IF($B38="","",MIN($B38*12,Segédlet!$G$70))</f>
        <v/>
      </c>
      <c r="B38" s="47" t="str">
        <f ca="1">Segédlet!$B81</f>
        <v/>
      </c>
      <c r="C38" s="48">
        <f ca="1">IF(Számítás_Ny!$G$1="OK",IF($B38="","",SUMIF(Számítás_Ny!$B$20:$B$1027,"&lt;="&amp;$B38,Számítás_Ny!$K$20:$K$1027)),0)</f>
        <v>0</v>
      </c>
      <c r="D38" s="48">
        <f ca="1">IF(Számítás_Ny!$G$1="OK",IF($B38="","",SUMIF(Tranzakciók!$B$32:$B$115,"&lt;="&amp;$B38,Tranzakciók!$K$32:$K$115)),0)</f>
        <v>0</v>
      </c>
      <c r="E38" s="48">
        <f ca="1">IF(Számítás_Ny!$G$1="OK",IF($B38="","",SUMIF(Számítás_Ny!$AA$20:$AA$1027,"&lt;="&amp;$B38,Számítás_Ny!$AK$20:$AK$1027)),0)</f>
        <v>0</v>
      </c>
      <c r="F38" s="48">
        <f ca="1">IF(Számítás_Ny!$G$1="OK",IF($B38="","",SUMIF(Számítás_Ny!$BE$20:$BE$1027,"&lt;="&amp;$B38,Számítás_Ny!$BJ$20:$BJ$1027)),0)</f>
        <v>0</v>
      </c>
      <c r="G38" s="49" t="str">
        <f t="shared" ca="1" si="0"/>
        <v/>
      </c>
      <c r="H38" s="48">
        <f ca="1">IF(Számítás_Ny!$G$1="OK",IF($B38="","",VLOOKUP($A38,Számítás_Ny!$A$20:$X$1027,23,0)),0)</f>
        <v>0</v>
      </c>
      <c r="I38" s="48">
        <f ca="1">IF(Számítás_Ny!$G$1="OK",IF($B38="","",VLOOKUP($A38,Számítás_Ny!$AO$20:$BB$1027,13,0)),0)</f>
        <v>0</v>
      </c>
      <c r="J38" s="48">
        <f ca="1">IF(Számítás_Ny!$G$1="OK",IF($B38="","",VLOOKUP($A38,Számítás_Ny!$Z$20:$AM$1027,13,0)),0)</f>
        <v>0</v>
      </c>
      <c r="K38" s="48">
        <f ca="1">IF(Számítás_Ny!$G$1="OK",IF($B38="","",VLOOKUP($A38,Számítás_Ny!$BD$20:$BP$1027,12,0)),0)</f>
        <v>0</v>
      </c>
      <c r="L38" s="49" t="str">
        <f t="shared" ca="1" si="1"/>
        <v/>
      </c>
      <c r="M38" s="50">
        <f ca="1">IF(Számítás_Ny!$G$1="OK",IF($B38="","",IF($B39="",$L38,VLOOKUP($A38,Számítás_Ny!$A$20:$X$1027,24,0)+VLOOKUP($A38,Számítás_Ny!$AO$20:$BB$1027,14,0)+VLOOKUP($A38,Számítás_Ny!$Z$20:$AM$1027,14,0)+VLOOKUP($A38,Számítás_Ny!$BD$20:$BP$1027,13,0))),0)</f>
        <v>0</v>
      </c>
    </row>
    <row r="41" spans="1:13" ht="51" customHeight="1" x14ac:dyDescent="0.2">
      <c r="B41" s="113" t="s">
        <v>221</v>
      </c>
      <c r="C41" s="113"/>
      <c r="D41" s="113"/>
      <c r="E41" s="113"/>
      <c r="F41" s="113"/>
      <c r="G41" s="113"/>
      <c r="H41" s="113"/>
      <c r="I41" s="113"/>
      <c r="J41" s="113"/>
      <c r="K41" s="113"/>
      <c r="L41" s="113"/>
      <c r="M41" s="113"/>
    </row>
    <row r="42" spans="1:13" ht="51" customHeight="1" x14ac:dyDescent="0.2">
      <c r="B42" s="114" t="s">
        <v>217</v>
      </c>
      <c r="C42" s="114"/>
      <c r="D42" s="114"/>
      <c r="E42" s="114"/>
      <c r="F42" s="114"/>
      <c r="G42" s="114"/>
      <c r="H42" s="114"/>
      <c r="I42" s="114"/>
      <c r="J42" s="114"/>
      <c r="K42" s="114"/>
      <c r="L42" s="114"/>
      <c r="M42" s="114"/>
    </row>
    <row r="43" spans="1:13" x14ac:dyDescent="0.2">
      <c r="B43" s="115" t="s">
        <v>215</v>
      </c>
      <c r="C43" s="115"/>
      <c r="D43" s="115"/>
      <c r="E43" s="115"/>
      <c r="F43" s="115"/>
      <c r="G43" s="115"/>
      <c r="H43" s="115"/>
      <c r="I43" s="115"/>
      <c r="J43" s="115"/>
      <c r="K43" s="115"/>
      <c r="L43" s="115"/>
      <c r="M43" s="115"/>
    </row>
    <row r="44" spans="1:13" x14ac:dyDescent="0.2">
      <c r="B44" s="115" t="s">
        <v>216</v>
      </c>
      <c r="C44" s="115"/>
      <c r="D44" s="115"/>
      <c r="E44" s="115"/>
      <c r="F44" s="115"/>
      <c r="G44" s="115"/>
      <c r="H44" s="115"/>
      <c r="I44" s="115"/>
      <c r="J44" s="115"/>
      <c r="K44" s="115"/>
      <c r="L44" s="115"/>
      <c r="M44" s="115"/>
    </row>
    <row r="45" spans="1:13" ht="12.75" customHeight="1" x14ac:dyDescent="0.2">
      <c r="B45" s="115" t="s">
        <v>218</v>
      </c>
      <c r="C45" s="115"/>
      <c r="D45" s="115"/>
      <c r="E45" s="115"/>
      <c r="F45" s="115"/>
      <c r="G45" s="115"/>
      <c r="H45" s="115"/>
      <c r="I45" s="115"/>
      <c r="J45" s="115"/>
      <c r="K45" s="115"/>
      <c r="L45" s="115"/>
      <c r="M45" s="115"/>
    </row>
  </sheetData>
  <sheetProtection password="D9D3" sheet="1" objects="1" scenarios="1"/>
  <mergeCells count="55">
    <mergeCell ref="B45:M45"/>
    <mergeCell ref="B41:M41"/>
    <mergeCell ref="B42:M42"/>
    <mergeCell ref="B43:M43"/>
    <mergeCell ref="B44:M44"/>
    <mergeCell ref="B10:D10"/>
    <mergeCell ref="E10:G10"/>
    <mergeCell ref="I9:K9"/>
    <mergeCell ref="L9:M9"/>
    <mergeCell ref="B11:D11"/>
    <mergeCell ref="E11:G11"/>
    <mergeCell ref="I10:K10"/>
    <mergeCell ref="L10:M10"/>
    <mergeCell ref="I11:K11"/>
    <mergeCell ref="L11:M11"/>
    <mergeCell ref="B1:F2"/>
    <mergeCell ref="B4:M5"/>
    <mergeCell ref="B8:D8"/>
    <mergeCell ref="E8:G8"/>
    <mergeCell ref="B9:D9"/>
    <mergeCell ref="E9:G9"/>
    <mergeCell ref="I8:K8"/>
    <mergeCell ref="L8:M8"/>
    <mergeCell ref="B24:B26"/>
    <mergeCell ref="C24:G25"/>
    <mergeCell ref="B15:D15"/>
    <mergeCell ref="E15:G15"/>
    <mergeCell ref="I15:K15"/>
    <mergeCell ref="B20:F20"/>
    <mergeCell ref="I20:M20"/>
    <mergeCell ref="L16:M16"/>
    <mergeCell ref="I19:M19"/>
    <mergeCell ref="B16:D16"/>
    <mergeCell ref="E16:G16"/>
    <mergeCell ref="I16:K16"/>
    <mergeCell ref="H24:L25"/>
    <mergeCell ref="M24:M25"/>
    <mergeCell ref="C26:C27"/>
    <mergeCell ref="D26:D27"/>
    <mergeCell ref="I12:K12"/>
    <mergeCell ref="B21:F21"/>
    <mergeCell ref="I21:M21"/>
    <mergeCell ref="L15:M15"/>
    <mergeCell ref="L12:M12"/>
    <mergeCell ref="B12:D12"/>
    <mergeCell ref="E12:G12"/>
    <mergeCell ref="E26:E27"/>
    <mergeCell ref="F26:F27"/>
    <mergeCell ref="M26:M27"/>
    <mergeCell ref="G26:G27"/>
    <mergeCell ref="H26:H27"/>
    <mergeCell ref="I26:I27"/>
    <mergeCell ref="J26:J27"/>
    <mergeCell ref="K26:K27"/>
    <mergeCell ref="L26:L27"/>
  </mergeCells>
  <pageMargins left="0.7" right="0.7" top="0.75" bottom="0.75" header="0.3" footer="0.3"/>
  <pageSetup paperSize="9" scale="69" orientation="landscape" r:id="rId1"/>
  <extLst>
    <ext xmlns:x14="http://schemas.microsoft.com/office/spreadsheetml/2009/9/main" uri="{78C0D931-6437-407d-A8EE-F0AAD7539E65}">
      <x14:conditionalFormattings>
        <x14:conditionalFormatting xmlns:xm="http://schemas.microsoft.com/office/excel/2006/main">
          <x14:cfRule type="expression" priority="13" id="{4B6E30A9-559E-457D-BDE6-27E1937768C7}">
            <xm:f>Számítás_UL!$D$4="Euró"</xm:f>
            <x14:dxf>
              <numFmt numFmtId="170" formatCode="_-* #,##0.00\ [$€-1]_-;\-* #,##0.00\ [$€-1]_-;_-* &quot;-&quot;??\ [$€-1]_-;_-@_-"/>
            </x14:dxf>
          </x14:cfRule>
          <x14:cfRule type="expression" priority="14" id="{430B1C70-18C9-45EA-A7D3-C6378ECAE5E6}">
            <xm:f>Számítás_UL!$D$4="Forint"</xm:f>
            <x14:dxf>
              <numFmt numFmtId="169" formatCode="#,##0\ &quot;Ft&quot;"/>
            </x14:dxf>
          </x14:cfRule>
          <xm:sqref>G28:G38</xm:sqref>
        </x14:conditionalFormatting>
        <x14:conditionalFormatting xmlns:xm="http://schemas.microsoft.com/office/excel/2006/main">
          <x14:cfRule type="expression" priority="11" id="{FDD5A660-A7D4-4993-87EA-DE03355769B3}">
            <xm:f>Számítás_UL!$D$4="Forint"</xm:f>
            <x14:dxf>
              <numFmt numFmtId="169" formatCode="#,##0\ &quot;Ft&quot;"/>
            </x14:dxf>
          </x14:cfRule>
          <x14:cfRule type="expression" priority="12" id="{5FBF412F-55B3-4297-944E-60F22B967BF4}">
            <xm:f>Számítás_UL!$D$4="Euró"</xm:f>
            <x14:dxf>
              <numFmt numFmtId="168" formatCode="#,##0.00\ [$€-1]"/>
            </x14:dxf>
          </x14:cfRule>
          <xm:sqref>E11:G11</xm:sqref>
        </x14:conditionalFormatting>
        <x14:conditionalFormatting xmlns:xm="http://schemas.microsoft.com/office/excel/2006/main">
          <x14:cfRule type="expression" priority="9" id="{A754CE5A-E26E-43A6-A0D9-5F7B640E5EA5}">
            <xm:f>Számítás_UL!$D$4="Forint"</xm:f>
            <x14:dxf>
              <numFmt numFmtId="169" formatCode="#,##0\ &quot;Ft&quot;"/>
            </x14:dxf>
          </x14:cfRule>
          <x14:cfRule type="expression" priority="10" id="{FC01D7EA-1AC4-4BB5-AF10-8FFB4DE94E4B}">
            <xm:f>Számítás_UL!$D$4="Euró"</xm:f>
            <x14:dxf>
              <numFmt numFmtId="168" formatCode="#,##0.00\ [$€-1]"/>
            </x14:dxf>
          </x14:cfRule>
          <xm:sqref>G21</xm:sqref>
        </x14:conditionalFormatting>
        <x14:conditionalFormatting xmlns:xm="http://schemas.microsoft.com/office/excel/2006/main">
          <x14:cfRule type="expression" priority="7" id="{A2AD5AD0-8C8A-4F24-B10E-DAF3FC364010}">
            <xm:f>Számítás_UL!$D$4="Euró"</xm:f>
            <x14:dxf>
              <numFmt numFmtId="170" formatCode="_-* #,##0.00\ [$€-1]_-;\-* #,##0.00\ [$€-1]_-;_-* &quot;-&quot;??\ [$€-1]_-;_-@_-"/>
            </x14:dxf>
          </x14:cfRule>
          <x14:cfRule type="expression" priority="8" id="{094004CB-46F7-42E6-BE32-A22D44931F1D}">
            <xm:f>Számítás_UL!$D$4="Forint"</xm:f>
            <x14:dxf>
              <numFmt numFmtId="169" formatCode="#,##0\ &quot;Ft&quot;"/>
            </x14:dxf>
          </x14:cfRule>
          <xm:sqref>C28:F38</xm:sqref>
        </x14:conditionalFormatting>
        <x14:conditionalFormatting xmlns:xm="http://schemas.microsoft.com/office/excel/2006/main">
          <x14:cfRule type="expression" priority="3" id="{2AE908D3-B684-47FC-8B80-974E322DA6A9}">
            <xm:f>Számítás_UL!$D$4="Euró"</xm:f>
            <x14:dxf>
              <numFmt numFmtId="170" formatCode="_-* #,##0.00\ [$€-1]_-;\-* #,##0.00\ [$€-1]_-;_-* &quot;-&quot;??\ [$€-1]_-;_-@_-"/>
            </x14:dxf>
          </x14:cfRule>
          <x14:cfRule type="expression" priority="4" id="{62C3EC1F-75FE-4C88-ACAF-3F74FAD2528A}">
            <xm:f>Számítás_UL!$D$4="Forint"</xm:f>
            <x14:dxf>
              <numFmt numFmtId="169" formatCode="#,##0\ &quot;Ft&quot;"/>
            </x14:dxf>
          </x14:cfRule>
          <xm:sqref>H28:M38</xm:sqref>
        </x14:conditionalFormatting>
        <x14:conditionalFormatting xmlns:xm="http://schemas.microsoft.com/office/excel/2006/main">
          <x14:cfRule type="expression" priority="1" id="{3424968A-FF57-4107-9EA9-31EB891B17C3}">
            <xm:f>Számítás_UL!$D$4="Forint"</xm:f>
            <x14:dxf>
              <numFmt numFmtId="169" formatCode="#,##0\ &quot;Ft&quot;"/>
            </x14:dxf>
          </x14:cfRule>
          <x14:cfRule type="expression" priority="2" id="{4B36B8AC-73B9-4012-9B9A-EB32082394FC}">
            <xm:f>Számítás_UL!$D$4="Euró"</xm:f>
            <x14:dxf>
              <numFmt numFmtId="168" formatCode="#,##0.00\ [$€-1]"/>
            </x14:dxf>
          </x14:cfRule>
          <xm:sqref>L12:M12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90DA"/>
  </sheetPr>
  <dimension ref="A1:M81"/>
  <sheetViews>
    <sheetView zoomScaleNormal="100" workbookViewId="0">
      <selection activeCell="B4" sqref="B4:M5"/>
    </sheetView>
  </sheetViews>
  <sheetFormatPr defaultRowHeight="12.75" x14ac:dyDescent="0.2"/>
  <cols>
    <col min="1" max="2" width="9.140625" style="28"/>
    <col min="3" max="13" width="15.85546875" style="28" customWidth="1"/>
    <col min="14" max="16384" width="9.140625" style="28"/>
  </cols>
  <sheetData>
    <row r="1" spans="2:13" x14ac:dyDescent="0.2">
      <c r="B1" s="108" t="s">
        <v>159</v>
      </c>
      <c r="C1" s="108"/>
      <c r="D1" s="108"/>
      <c r="E1" s="108"/>
      <c r="F1" s="108"/>
    </row>
    <row r="2" spans="2:13" x14ac:dyDescent="0.2">
      <c r="B2" s="108"/>
      <c r="C2" s="108"/>
      <c r="D2" s="108"/>
      <c r="E2" s="108"/>
      <c r="F2" s="108"/>
    </row>
    <row r="4" spans="2:13" ht="12.75" customHeight="1" x14ac:dyDescent="0.2">
      <c r="B4" s="112" t="str">
        <f>IF(OR(ISBLANK(Ajánlat!$E$7),ISBLANK(Ajánlat!$E$15)),"",Segédlet!$C$65&amp;"MetLife Nyugdíjprogram "&amp;Segédlet!$B$65&amp;" befektetési egységekhez kötött életbiztosítás")</f>
        <v/>
      </c>
      <c r="C4" s="112"/>
      <c r="D4" s="112"/>
      <c r="E4" s="112"/>
      <c r="F4" s="112"/>
      <c r="G4" s="112"/>
      <c r="H4" s="112"/>
      <c r="I4" s="112"/>
      <c r="J4" s="112"/>
      <c r="K4" s="112"/>
      <c r="L4" s="112"/>
      <c r="M4" s="112"/>
    </row>
    <row r="5" spans="2:13" ht="12.75" customHeight="1" x14ac:dyDescent="0.2">
      <c r="B5" s="112"/>
      <c r="C5" s="112"/>
      <c r="D5" s="112"/>
      <c r="E5" s="112"/>
      <c r="F5" s="112"/>
      <c r="G5" s="112"/>
      <c r="H5" s="112"/>
      <c r="I5" s="112"/>
      <c r="J5" s="112"/>
      <c r="K5" s="112"/>
      <c r="L5" s="112"/>
      <c r="M5" s="112"/>
    </row>
    <row r="8" spans="2:13" x14ac:dyDescent="0.2">
      <c r="B8" s="98" t="s">
        <v>194</v>
      </c>
      <c r="C8" s="98"/>
      <c r="D8" s="98"/>
      <c r="E8" s="104" t="str">
        <f>IF(OR(ISBLANK(Ajánlat!$E$7),ISBLANK(Ajánlat!$E$15),ISBLANK(Ajánlat!$E$5)),"",Ajánlat!$E$5)</f>
        <v/>
      </c>
      <c r="F8" s="104"/>
      <c r="G8" s="104"/>
      <c r="I8" s="98" t="s">
        <v>200</v>
      </c>
      <c r="J8" s="98"/>
      <c r="K8" s="98"/>
      <c r="L8" s="103" t="str">
        <f>IF(OR(ISBLANK(Ajánlat!$E$7),ISBLANK(Ajánlat!$E$15)),"",Számítás_Ny!$D$14)</f>
        <v/>
      </c>
      <c r="M8" s="103"/>
    </row>
    <row r="9" spans="2:13" x14ac:dyDescent="0.2">
      <c r="B9" s="98" t="s">
        <v>195</v>
      </c>
      <c r="C9" s="98"/>
      <c r="D9" s="98"/>
      <c r="E9" s="103" t="str">
        <f>IF(ISBLANK(Ajánlat!$E$7),"",Számítás_Ny!$D$1)</f>
        <v/>
      </c>
      <c r="F9" s="103"/>
      <c r="G9" s="103"/>
      <c r="I9" s="98" t="s">
        <v>201</v>
      </c>
      <c r="J9" s="98"/>
      <c r="K9" s="98"/>
      <c r="L9" s="104" t="str">
        <f>IF(OR(ISBLANK(Ajánlat!$E$7),ISBLANK(Ajánlat!$E$15)),"",IF(ISBLANK(Ajánlat!$E$11),"Éves",Számítás_Ny!$D$2))</f>
        <v/>
      </c>
      <c r="M9" s="104"/>
    </row>
    <row r="10" spans="2:13" x14ac:dyDescent="0.2">
      <c r="B10" s="98" t="s">
        <v>196</v>
      </c>
      <c r="C10" s="98"/>
      <c r="D10" s="98"/>
      <c r="E10" s="109" t="str">
        <f>IF(ISBLANK(Ajánlat!$E$7),"",Számítás_Ny!$M$4)</f>
        <v/>
      </c>
      <c r="F10" s="109"/>
      <c r="G10" s="109"/>
      <c r="I10" s="98" t="s">
        <v>208</v>
      </c>
      <c r="J10" s="98"/>
      <c r="K10" s="98"/>
      <c r="L10" s="105" t="str">
        <f>IF(OR(ISBLANK(Ajánlat!$E$7),ISBLANK(Ajánlat!$E$15)),"",IF(ISBLANK(Ajánlat!$E$17),3%,Számítás_Ny!$D$6))</f>
        <v/>
      </c>
      <c r="M10" s="105"/>
    </row>
    <row r="11" spans="2:13" x14ac:dyDescent="0.2">
      <c r="B11" s="98" t="str">
        <f>"A teljes, fizetendő "&amp;$L$9&amp;" díj:"</f>
        <v>A teljes, fizetendő  díj:</v>
      </c>
      <c r="C11" s="98"/>
      <c r="D11" s="98"/>
      <c r="E11" s="107" t="str">
        <f>IF(ISBLANK(Ajánlat!$E$15),"",Számítás_Ny!$D$7+Számítás_Ny!$M$3)</f>
        <v/>
      </c>
      <c r="F11" s="107"/>
      <c r="G11" s="107"/>
      <c r="I11" s="98" t="s">
        <v>209</v>
      </c>
      <c r="J11" s="98"/>
      <c r="K11" s="98"/>
      <c r="L11" s="104" t="str">
        <f>IF(OR(ISBLANK(Ajánlat!$E$7),ISBLANK(Ajánlat!$E$15)),"",IF(ISBLANK(Ajánlat!$N$7),"Premium",Számítás_Ny!$D$5))</f>
        <v/>
      </c>
      <c r="M11" s="104"/>
    </row>
    <row r="12" spans="2:13" x14ac:dyDescent="0.2">
      <c r="B12" s="98" t="s">
        <v>197</v>
      </c>
      <c r="C12" s="98"/>
      <c r="D12" s="98"/>
      <c r="E12" s="104" t="str">
        <f>IF(OR(ISBLANK(Ajánlat!$E$7),ISBLANK(Ajánlat!$E$15)),"",IF(ISBLANK(Ajánlat!$E$13),"Átutalás",Számítás_Ny!$D$3))</f>
        <v/>
      </c>
      <c r="F12" s="104"/>
      <c r="G12" s="104"/>
      <c r="I12" s="98" t="s">
        <v>213</v>
      </c>
      <c r="J12" s="98"/>
      <c r="K12" s="98"/>
      <c r="L12" s="107">
        <f ca="1">SUMIF(Számítás_Ny!$BG$20:$BG$1027,IF(MONTH(Számítás_Ny!$M$10)&lt;7,"&gt;="&amp;YEAR(Számítás_Ny!$M$10),YEAR(Számítás_Ny!$M$10)+1),Számítás_Ny!$BI$20:$BI$1027)</f>
        <v>0</v>
      </c>
      <c r="M12" s="107"/>
    </row>
    <row r="15" spans="2:13" x14ac:dyDescent="0.2">
      <c r="B15" s="98" t="s">
        <v>198</v>
      </c>
      <c r="C15" s="98"/>
      <c r="D15" s="98"/>
      <c r="E15" s="104" t="str">
        <f>IF(OR(ISBLANK(Ajánlat!$E$7),ISBLANK(Ajánlat!$E$15)),"",IF(Ajánlat!$N$9="","Egyedi",Ajánlat!$N$9))</f>
        <v/>
      </c>
      <c r="F15" s="104"/>
      <c r="G15" s="104"/>
      <c r="I15" s="98" t="s">
        <v>211</v>
      </c>
      <c r="J15" s="98"/>
      <c r="K15" s="98"/>
      <c r="L15" s="106" t="str">
        <f>IF(OR(ISBLANK(Ajánlat!$E$7),ISBLANK(Ajánlat!$E$15)),"",Számítás_Ny!$D$10)</f>
        <v/>
      </c>
      <c r="M15" s="106"/>
    </row>
    <row r="16" spans="2:13" x14ac:dyDescent="0.2">
      <c r="B16" s="98" t="s">
        <v>199</v>
      </c>
      <c r="C16" s="98"/>
      <c r="D16" s="98"/>
      <c r="E16" s="104" t="str">
        <f>IF(OR(ISBLANK(Ajánlat!$E$7),ISBLANK(Ajánlat!$E$15)),"",IF(Tranzakciók!$E$5="","Egyedi",Tranzakciók!$E$5))</f>
        <v/>
      </c>
      <c r="F16" s="104"/>
      <c r="G16" s="104"/>
      <c r="I16" s="98" t="s">
        <v>210</v>
      </c>
      <c r="J16" s="98"/>
      <c r="K16" s="98"/>
      <c r="L16" s="106" t="str">
        <f>IF(OR(ISBLANK(Ajánlat!$E$7),ISBLANK(Ajánlat!$E$15)),"",Számítás_Ny!$D$11)</f>
        <v/>
      </c>
      <c r="M16" s="106"/>
    </row>
    <row r="19" spans="1:13" x14ac:dyDescent="0.2">
      <c r="B19" s="43" t="s">
        <v>203</v>
      </c>
      <c r="I19" s="99" t="str">
        <f>"A Főszámlára eseti befizetés: "&amp;IF(SUM(Tranzakciók!$D$32:$E$115)=0,"nem ","")&amp;"történt, illetve részleges visszavásárlás: "&amp;IF(SUM(Tranzakciók!$F$32:$G$115)=0,"nem ","")&amp;"történt."</f>
        <v>A Főszámlára eseti befizetés: nem történt, illetve részleges visszavásárlás: nem történt.</v>
      </c>
      <c r="J19" s="100"/>
      <c r="K19" s="100"/>
      <c r="L19" s="100"/>
      <c r="M19" s="101"/>
    </row>
    <row r="20" spans="1:13" x14ac:dyDescent="0.2">
      <c r="B20" s="98" t="s">
        <v>202</v>
      </c>
      <c r="C20" s="98"/>
      <c r="D20" s="98"/>
      <c r="E20" s="98"/>
      <c r="F20" s="98"/>
      <c r="G20" s="44" t="str">
        <f>IF(OR(ISBLANK(Ajánlat!$E$7),ISBLANK(Ajánlat!$E$15)),"",Számítás_Ny!$D$9)</f>
        <v/>
      </c>
      <c r="I20" s="99" t="str">
        <f>"A Portfólió Pluszon további befizetés: "&amp;IF(SUM(Tranzakciók!$K$32:$L$115)=0,"nem ","")&amp;"történt, illetve részleges visszavásárlás: "&amp;IF(SUM(Tranzakciók!$M$32:$N$115)=0,"nem ","")&amp;"történt."</f>
        <v>A Portfólió Pluszon további befizetés: nem történt, illetve részleges visszavásárlás: nem történt.</v>
      </c>
      <c r="J20" s="100"/>
      <c r="K20" s="100"/>
      <c r="L20" s="100"/>
      <c r="M20" s="101"/>
    </row>
    <row r="21" spans="1:13" x14ac:dyDescent="0.2">
      <c r="B21" s="98" t="s">
        <v>204</v>
      </c>
      <c r="C21" s="98"/>
      <c r="D21" s="98"/>
      <c r="E21" s="98"/>
      <c r="F21" s="98"/>
      <c r="G21" s="45" t="str">
        <f>IF(OR(ISBLANK(Ajánlat!$E$7),ISBLANK(Ajánlat!$E$15)),"",SUM(Számítás_Ny!$H$20:$H$31))</f>
        <v/>
      </c>
      <c r="I21" s="102" t="s">
        <v>220</v>
      </c>
      <c r="J21" s="100"/>
      <c r="K21" s="100"/>
      <c r="L21" s="100"/>
      <c r="M21" s="101"/>
    </row>
    <row r="24" spans="1:13" x14ac:dyDescent="0.2">
      <c r="B24" s="110"/>
      <c r="C24" s="110" t="s">
        <v>181</v>
      </c>
      <c r="D24" s="110"/>
      <c r="E24" s="110"/>
      <c r="F24" s="110"/>
      <c r="G24" s="110"/>
      <c r="H24" s="110" t="s">
        <v>179</v>
      </c>
      <c r="I24" s="110"/>
      <c r="J24" s="110"/>
      <c r="K24" s="110"/>
      <c r="L24" s="110"/>
      <c r="M24" s="110" t="s">
        <v>138</v>
      </c>
    </row>
    <row r="25" spans="1:13" x14ac:dyDescent="0.2">
      <c r="B25" s="111"/>
      <c r="C25" s="111"/>
      <c r="D25" s="111"/>
      <c r="E25" s="111"/>
      <c r="F25" s="111"/>
      <c r="G25" s="111"/>
      <c r="H25" s="111"/>
      <c r="I25" s="111"/>
      <c r="J25" s="111"/>
      <c r="K25" s="111"/>
      <c r="L25" s="111"/>
      <c r="M25" s="111"/>
    </row>
    <row r="26" spans="1:13" ht="12.75" customHeight="1" x14ac:dyDescent="0.2">
      <c r="B26" s="97"/>
      <c r="C26" s="97" t="s">
        <v>176</v>
      </c>
      <c r="D26" s="97" t="s">
        <v>135</v>
      </c>
      <c r="E26" s="97" t="s">
        <v>137</v>
      </c>
      <c r="F26" s="97" t="s">
        <v>136</v>
      </c>
      <c r="G26" s="97" t="s">
        <v>140</v>
      </c>
      <c r="H26" s="97" t="s">
        <v>176</v>
      </c>
      <c r="I26" s="97" t="s">
        <v>135</v>
      </c>
      <c r="J26" s="97" t="s">
        <v>137</v>
      </c>
      <c r="K26" s="97" t="s">
        <v>136</v>
      </c>
      <c r="L26" s="97" t="s">
        <v>140</v>
      </c>
      <c r="M26" s="97" t="s">
        <v>139</v>
      </c>
    </row>
    <row r="27" spans="1:13" x14ac:dyDescent="0.2">
      <c r="B27" s="42"/>
      <c r="C27" s="60"/>
      <c r="D27" s="60"/>
      <c r="E27" s="60"/>
      <c r="F27" s="60"/>
      <c r="G27" s="60"/>
      <c r="H27" s="60"/>
      <c r="I27" s="60"/>
      <c r="J27" s="60"/>
      <c r="K27" s="60"/>
      <c r="L27" s="60"/>
      <c r="M27" s="60"/>
    </row>
    <row r="28" spans="1:13" x14ac:dyDescent="0.2">
      <c r="A28" s="46" t="str">
        <f ca="1">IF($B28="","",MIN($B28*12,Segédlet!$G$70))</f>
        <v/>
      </c>
      <c r="B28" s="47" t="str">
        <f ca="1">Segédlet!$G71</f>
        <v/>
      </c>
      <c r="C28" s="48">
        <f ca="1">IF(Számítás_Ny!$G$1="OK",IF($B28="","",SUMIF(Számítás_Ny!$B$20:$B$1027,"="&amp;$B28,Számítás_Ny!$K$20:$K$1027)),0)</f>
        <v>0</v>
      </c>
      <c r="D28" s="48">
        <f ca="1">IF(Számítás_Ny!$G$1="OK",IF($B28="","",SUMIF(Tranzakciók!$B$32:$B$115,"="&amp;$B28,Tranzakciók!$K$32:$K$115)),0)</f>
        <v>0</v>
      </c>
      <c r="E28" s="48">
        <f ca="1">IF(Számítás_Ny!$G$1="OK",IF($B28="","",SUMIF(Számítás_Ny!$AA$20:$AA$1027,"="&amp;$B28,Számítás_Ny!$AK$20:$AK$1027)),0)</f>
        <v>0</v>
      </c>
      <c r="F28" s="48">
        <f ca="1">IF(Számítás_Ny!$G$1="OK",IF($B28="","",SUMIF(Számítás_Ny!$BE$20:$BE$1027,"="&amp;$B28,Számítás_Ny!$BJ$20:$BJ$1027)),0)</f>
        <v>0</v>
      </c>
      <c r="G28" s="49" t="str">
        <f ca="1">IF($B28="","",C28+D28+E28+F28)</f>
        <v/>
      </c>
      <c r="H28" s="48">
        <f ca="1">IF(Számítás_Ny!$G$1="OK",IF($B28="","",VLOOKUP($A28,Számítás_Ny!$A$20:$X$1027,23,0)),0)</f>
        <v>0</v>
      </c>
      <c r="I28" s="48">
        <f ca="1">IF(Számítás_Ny!$G$1="OK",IF($B28="","",VLOOKUP($A28,Számítás_Ny!$AO$20:$BB$1027,13,0)),0)</f>
        <v>0</v>
      </c>
      <c r="J28" s="48">
        <f ca="1">IF(Számítás_Ny!$G$1="OK",IF($B28="","",VLOOKUP($A28,Számítás_Ny!$Z$20:$AM$1027,13,0)),0)</f>
        <v>0</v>
      </c>
      <c r="K28" s="48">
        <f ca="1">IF(Számítás_Ny!$G$1="OK",IF($B28="","",VLOOKUP($A28,Számítás_Ny!$BD$20:$BP$1027,12,0)),0)</f>
        <v>0</v>
      </c>
      <c r="L28" s="49" t="str">
        <f ca="1">IF($B28="","",$H28+$I28+$J28+$K28)</f>
        <v/>
      </c>
      <c r="M28" s="50">
        <f ca="1">IF(Számítás_Ny!$G$1="OK",IF($B28="","",IF($B29="",$L28,VLOOKUP($A28,Számítás_Ny!$A$20:$X$1027,24,0)+VLOOKUP($A28,Számítás_Ny!$AO$20:$BB$1027,14,0)+VLOOKUP($A28,Számítás_Ny!$Z$20:$AM$1027,14,0)+VLOOKUP($A28,Számítás_Ny!$BD$20:$BP$1027,13,0))),0)</f>
        <v>0</v>
      </c>
    </row>
    <row r="29" spans="1:13" x14ac:dyDescent="0.2">
      <c r="A29" s="46" t="str">
        <f ca="1">IF($B29="","",MIN($B29*12,Segédlet!$G$70))</f>
        <v/>
      </c>
      <c r="B29" s="47" t="str">
        <f ca="1">Segédlet!$G72</f>
        <v/>
      </c>
      <c r="C29" s="48">
        <f ca="1">IF(Számítás_Ny!$G$1="OK",IF($B29="","",SUMIF(Számítás_Ny!$B$20:$B$1027,"="&amp;$B29,Számítás_Ny!$K$20:$K$1027)),0)</f>
        <v>0</v>
      </c>
      <c r="D29" s="48">
        <f ca="1">IF(Számítás_Ny!$G$1="OK",IF($B29="","",SUMIF(Tranzakciók!$B$32:$B$115,"="&amp;$B29,Tranzakciók!$K$32:$K$115)),0)</f>
        <v>0</v>
      </c>
      <c r="E29" s="48">
        <f ca="1">IF(Számítás_Ny!$G$1="OK",IF($B29="","",SUMIF(Számítás_Ny!$AA$20:$AA$1027,"="&amp;$B29,Számítás_Ny!$AK$20:$AK$1027)),0)</f>
        <v>0</v>
      </c>
      <c r="F29" s="48">
        <f ca="1">IF(Számítás_Ny!$G$1="OK",IF($B29="","",SUMIF(Számítás_Ny!$BE$20:$BE$1027,"="&amp;$B29,Számítás_Ny!$BJ$20:$BJ$1027)),0)</f>
        <v>0</v>
      </c>
      <c r="G29" s="49" t="str">
        <f t="shared" ref="G29:G74" ca="1" si="0">IF($B29="","",C29+D29+E29+F29)</f>
        <v/>
      </c>
      <c r="H29" s="48">
        <f ca="1">IF(Számítás_Ny!$G$1="OK",IF($B29="","",VLOOKUP($A29,Számítás_Ny!$A$20:$X$1027,23,0)),0)</f>
        <v>0</v>
      </c>
      <c r="I29" s="48">
        <f ca="1">IF(Számítás_Ny!$G$1="OK",IF($B29="","",VLOOKUP($A29,Számítás_Ny!$AO$20:$BB$1027,13,0)),0)</f>
        <v>0</v>
      </c>
      <c r="J29" s="48">
        <f ca="1">IF(Számítás_Ny!$G$1="OK",IF($B29="","",VLOOKUP($A29,Számítás_Ny!$Z$20:$AM$1027,13,0)),0)</f>
        <v>0</v>
      </c>
      <c r="K29" s="48">
        <f ca="1">IF(Számítás_Ny!$G$1="OK",IF($B29="","",VLOOKUP($A29,Számítás_Ny!$BD$20:$BP$1027,12,0)),0)</f>
        <v>0</v>
      </c>
      <c r="L29" s="49" t="str">
        <f t="shared" ref="L29:L74" ca="1" si="1">IF($B29="","",$H29+$I29+$J29+$K29)</f>
        <v/>
      </c>
      <c r="M29" s="50">
        <f ca="1">IF(Számítás_Ny!$G$1="OK",IF($B29="","",IF($B30="",$L29,VLOOKUP($A29,Számítás_Ny!$A$20:$X$1027,24,0)+VLOOKUP($A29,Számítás_Ny!$AO$20:$BB$1027,14,0)+VLOOKUP($A29,Számítás_Ny!$Z$20:$AM$1027,14,0)+VLOOKUP($A29,Számítás_Ny!$BD$20:$BP$1027,13,0))),0)</f>
        <v>0</v>
      </c>
    </row>
    <row r="30" spans="1:13" x14ac:dyDescent="0.2">
      <c r="A30" s="46" t="str">
        <f ca="1">IF($B30="","",MIN($B30*12,Segédlet!$G$70))</f>
        <v/>
      </c>
      <c r="B30" s="47" t="str">
        <f ca="1">Segédlet!$G73</f>
        <v/>
      </c>
      <c r="C30" s="48">
        <f ca="1">IF(Számítás_Ny!$G$1="OK",IF($B30="","",SUMIF(Számítás_Ny!$B$20:$B$1027,"="&amp;$B30,Számítás_Ny!$K$20:$K$1027)),0)</f>
        <v>0</v>
      </c>
      <c r="D30" s="48">
        <f ca="1">IF(Számítás_Ny!$G$1="OK",IF($B30="","",SUMIF(Tranzakciók!$B$32:$B$115,"="&amp;$B30,Tranzakciók!$K$32:$K$115)),0)</f>
        <v>0</v>
      </c>
      <c r="E30" s="48">
        <f ca="1">IF(Számítás_Ny!$G$1="OK",IF($B30="","",SUMIF(Számítás_Ny!$AA$20:$AA$1027,"="&amp;$B30,Számítás_Ny!$AK$20:$AK$1027)),0)</f>
        <v>0</v>
      </c>
      <c r="F30" s="48">
        <f ca="1">IF(Számítás_Ny!$G$1="OK",IF($B30="","",SUMIF(Számítás_Ny!$BE$20:$BE$1027,"="&amp;$B30,Számítás_Ny!$BJ$20:$BJ$1027)),0)</f>
        <v>0</v>
      </c>
      <c r="G30" s="49" t="str">
        <f t="shared" ca="1" si="0"/>
        <v/>
      </c>
      <c r="H30" s="48">
        <f ca="1">IF(Számítás_Ny!$G$1="OK",IF($B30="","",VLOOKUP($A30,Számítás_Ny!$A$20:$X$1027,23,0)),0)</f>
        <v>0</v>
      </c>
      <c r="I30" s="48">
        <f ca="1">IF(Számítás_Ny!$G$1="OK",IF($B30="","",VLOOKUP($A30,Számítás_Ny!$AO$20:$BB$1027,13,0)),0)</f>
        <v>0</v>
      </c>
      <c r="J30" s="48">
        <f ca="1">IF(Számítás_Ny!$G$1="OK",IF($B30="","",VLOOKUP($A30,Számítás_Ny!$Z$20:$AM$1027,13,0)),0)</f>
        <v>0</v>
      </c>
      <c r="K30" s="48">
        <f ca="1">IF(Számítás_Ny!$G$1="OK",IF($B30="","",VLOOKUP($A30,Számítás_Ny!$BD$20:$BP$1027,12,0)),0)</f>
        <v>0</v>
      </c>
      <c r="L30" s="49" t="str">
        <f t="shared" ca="1" si="1"/>
        <v/>
      </c>
      <c r="M30" s="50">
        <f ca="1">IF(Számítás_Ny!$G$1="OK",IF($B30="","",IF($B31="",$L30,VLOOKUP($A30,Számítás_Ny!$A$20:$X$1027,24,0)+VLOOKUP($A30,Számítás_Ny!$AO$20:$BB$1027,14,0)+VLOOKUP($A30,Számítás_Ny!$Z$20:$AM$1027,14,0)+VLOOKUP($A30,Számítás_Ny!$BD$20:$BP$1027,13,0))),0)</f>
        <v>0</v>
      </c>
    </row>
    <row r="31" spans="1:13" x14ac:dyDescent="0.2">
      <c r="A31" s="46" t="str">
        <f ca="1">IF($B31="","",MIN($B31*12,Segédlet!$G$70))</f>
        <v/>
      </c>
      <c r="B31" s="47" t="str">
        <f ca="1">Segédlet!$G74</f>
        <v/>
      </c>
      <c r="C31" s="48">
        <f ca="1">IF(Számítás_Ny!$G$1="OK",IF($B31="","",SUMIF(Számítás_Ny!$B$20:$B$1027,"="&amp;$B31,Számítás_Ny!$K$20:$K$1027)),0)</f>
        <v>0</v>
      </c>
      <c r="D31" s="48">
        <f ca="1">IF(Számítás_Ny!$G$1="OK",IF($B31="","",SUMIF(Tranzakciók!$B$32:$B$115,"="&amp;$B31,Tranzakciók!$K$32:$K$115)),0)</f>
        <v>0</v>
      </c>
      <c r="E31" s="48">
        <f ca="1">IF(Számítás_Ny!$G$1="OK",IF($B31="","",SUMIF(Számítás_Ny!$AA$20:$AA$1027,"="&amp;$B31,Számítás_Ny!$AK$20:$AK$1027)),0)</f>
        <v>0</v>
      </c>
      <c r="F31" s="48">
        <f ca="1">IF(Számítás_Ny!$G$1="OK",IF($B31="","",SUMIF(Számítás_Ny!$BE$20:$BE$1027,"="&amp;$B31,Számítás_Ny!$BJ$20:$BJ$1027)),0)</f>
        <v>0</v>
      </c>
      <c r="G31" s="49" t="str">
        <f t="shared" ca="1" si="0"/>
        <v/>
      </c>
      <c r="H31" s="48">
        <f ca="1">IF(Számítás_Ny!$G$1="OK",IF($B31="","",VLOOKUP($A31,Számítás_Ny!$A$20:$X$1027,23,0)),0)</f>
        <v>0</v>
      </c>
      <c r="I31" s="48">
        <f ca="1">IF(Számítás_Ny!$G$1="OK",IF($B31="","",VLOOKUP($A31,Számítás_Ny!$AO$20:$BB$1027,13,0)),0)</f>
        <v>0</v>
      </c>
      <c r="J31" s="48">
        <f ca="1">IF(Számítás_Ny!$G$1="OK",IF($B31="","",VLOOKUP($A31,Számítás_Ny!$Z$20:$AM$1027,13,0)),0)</f>
        <v>0</v>
      </c>
      <c r="K31" s="48">
        <f ca="1">IF(Számítás_Ny!$G$1="OK",IF($B31="","",VLOOKUP($A31,Számítás_Ny!$BD$20:$BP$1027,12,0)),0)</f>
        <v>0</v>
      </c>
      <c r="L31" s="49" t="str">
        <f t="shared" ca="1" si="1"/>
        <v/>
      </c>
      <c r="M31" s="50">
        <f ca="1">IF(Számítás_Ny!$G$1="OK",IF($B31="","",IF($B32="",$L31,VLOOKUP($A31,Számítás_Ny!$A$20:$X$1027,24,0)+VLOOKUP($A31,Számítás_Ny!$AO$20:$BB$1027,14,0)+VLOOKUP($A31,Számítás_Ny!$Z$20:$AM$1027,14,0)+VLOOKUP($A31,Számítás_Ny!$BD$20:$BP$1027,13,0))),0)</f>
        <v>0</v>
      </c>
    </row>
    <row r="32" spans="1:13" x14ac:dyDescent="0.2">
      <c r="A32" s="46" t="str">
        <f ca="1">IF($B32="","",MIN($B32*12,Segédlet!$G$70))</f>
        <v/>
      </c>
      <c r="B32" s="47" t="str">
        <f ca="1">Segédlet!$G75</f>
        <v/>
      </c>
      <c r="C32" s="48">
        <f ca="1">IF(Számítás_Ny!$G$1="OK",IF($B32="","",SUMIF(Számítás_Ny!$B$20:$B$1027,"="&amp;$B32,Számítás_Ny!$K$20:$K$1027)),0)</f>
        <v>0</v>
      </c>
      <c r="D32" s="48">
        <f ca="1">IF(Számítás_Ny!$G$1="OK",IF($B32="","",SUMIF(Tranzakciók!$B$32:$B$115,"="&amp;$B32,Tranzakciók!$K$32:$K$115)),0)</f>
        <v>0</v>
      </c>
      <c r="E32" s="48">
        <f ca="1">IF(Számítás_Ny!$G$1="OK",IF($B32="","",SUMIF(Számítás_Ny!$AA$20:$AA$1027,"="&amp;$B32,Számítás_Ny!$AK$20:$AK$1027)),0)</f>
        <v>0</v>
      </c>
      <c r="F32" s="48">
        <f ca="1">IF(Számítás_Ny!$G$1="OK",IF($B32="","",SUMIF(Számítás_Ny!$BE$20:$BE$1027,"="&amp;$B32,Számítás_Ny!$BJ$20:$BJ$1027)),0)</f>
        <v>0</v>
      </c>
      <c r="G32" s="49" t="str">
        <f t="shared" ca="1" si="0"/>
        <v/>
      </c>
      <c r="H32" s="48">
        <f ca="1">IF(Számítás_Ny!$G$1="OK",IF($B32="","",VLOOKUP($A32,Számítás_Ny!$A$20:$X$1027,23,0)),0)</f>
        <v>0</v>
      </c>
      <c r="I32" s="48">
        <f ca="1">IF(Számítás_Ny!$G$1="OK",IF($B32="","",VLOOKUP($A32,Számítás_Ny!$AO$20:$BB$1027,13,0)),0)</f>
        <v>0</v>
      </c>
      <c r="J32" s="48">
        <f ca="1">IF(Számítás_Ny!$G$1="OK",IF($B32="","",VLOOKUP($A32,Számítás_Ny!$Z$20:$AM$1027,13,0)),0)</f>
        <v>0</v>
      </c>
      <c r="K32" s="48">
        <f ca="1">IF(Számítás_Ny!$G$1="OK",IF($B32="","",VLOOKUP($A32,Számítás_Ny!$BD$20:$BP$1027,12,0)),0)</f>
        <v>0</v>
      </c>
      <c r="L32" s="49" t="str">
        <f t="shared" ca="1" si="1"/>
        <v/>
      </c>
      <c r="M32" s="50">
        <f ca="1">IF(Számítás_Ny!$G$1="OK",IF($B32="","",IF($B33="",$L32,VLOOKUP($A32,Számítás_Ny!$A$20:$X$1027,24,0)+VLOOKUP($A32,Számítás_Ny!$AO$20:$BB$1027,14,0)+VLOOKUP($A32,Számítás_Ny!$Z$20:$AM$1027,14,0)+VLOOKUP($A32,Számítás_Ny!$BD$20:$BP$1027,13,0))),0)</f>
        <v>0</v>
      </c>
    </row>
    <row r="33" spans="1:13" x14ac:dyDescent="0.2">
      <c r="A33" s="46" t="str">
        <f ca="1">IF($B33="","",MIN($B33*12,Segédlet!$G$70))</f>
        <v/>
      </c>
      <c r="B33" s="47" t="str">
        <f ca="1">Segédlet!$G76</f>
        <v/>
      </c>
      <c r="C33" s="48">
        <f ca="1">IF(Számítás_Ny!$G$1="OK",IF($B33="","",SUMIF(Számítás_Ny!$B$20:$B$1027,"="&amp;$B33,Számítás_Ny!$K$20:$K$1027)),0)</f>
        <v>0</v>
      </c>
      <c r="D33" s="48">
        <f ca="1">IF(Számítás_Ny!$G$1="OK",IF($B33="","",SUMIF(Tranzakciók!$B$32:$B$115,"="&amp;$B33,Tranzakciók!$K$32:$K$115)),0)</f>
        <v>0</v>
      </c>
      <c r="E33" s="48">
        <f ca="1">IF(Számítás_Ny!$G$1="OK",IF($B33="","",SUMIF(Számítás_Ny!$AA$20:$AA$1027,"="&amp;$B33,Számítás_Ny!$AK$20:$AK$1027)),0)</f>
        <v>0</v>
      </c>
      <c r="F33" s="48">
        <f ca="1">IF(Számítás_Ny!$G$1="OK",IF($B33="","",SUMIF(Számítás_Ny!$BE$20:$BE$1027,"="&amp;$B33,Számítás_Ny!$BJ$20:$BJ$1027)),0)</f>
        <v>0</v>
      </c>
      <c r="G33" s="49" t="str">
        <f t="shared" ca="1" si="0"/>
        <v/>
      </c>
      <c r="H33" s="48">
        <f ca="1">IF(Számítás_Ny!$G$1="OK",IF($B33="","",VLOOKUP($A33,Számítás_Ny!$A$20:$X$1027,23,0)),0)</f>
        <v>0</v>
      </c>
      <c r="I33" s="48">
        <f ca="1">IF(Számítás_Ny!$G$1="OK",IF($B33="","",VLOOKUP($A33,Számítás_Ny!$AO$20:$BB$1027,13,0)),0)</f>
        <v>0</v>
      </c>
      <c r="J33" s="48">
        <f ca="1">IF(Számítás_Ny!$G$1="OK",IF($B33="","",VLOOKUP($A33,Számítás_Ny!$Z$20:$AM$1027,13,0)),0)</f>
        <v>0</v>
      </c>
      <c r="K33" s="48">
        <f ca="1">IF(Számítás_Ny!$G$1="OK",IF($B33="","",VLOOKUP($A33,Számítás_Ny!$BD$20:$BP$1027,12,0)),0)</f>
        <v>0</v>
      </c>
      <c r="L33" s="49" t="str">
        <f t="shared" ca="1" si="1"/>
        <v/>
      </c>
      <c r="M33" s="50">
        <f ca="1">IF(Számítás_Ny!$G$1="OK",IF($B33="","",IF($B34="",$L33,VLOOKUP($A33,Számítás_Ny!$A$20:$X$1027,24,0)+VLOOKUP($A33,Számítás_Ny!$AO$20:$BB$1027,14,0)+VLOOKUP($A33,Számítás_Ny!$Z$20:$AM$1027,14,0)+VLOOKUP($A33,Számítás_Ny!$BD$20:$BP$1027,13,0))),0)</f>
        <v>0</v>
      </c>
    </row>
    <row r="34" spans="1:13" x14ac:dyDescent="0.2">
      <c r="A34" s="46" t="str">
        <f ca="1">IF($B34="","",MIN($B34*12,Segédlet!$G$70))</f>
        <v/>
      </c>
      <c r="B34" s="47" t="str">
        <f ca="1">Segédlet!$G77</f>
        <v/>
      </c>
      <c r="C34" s="48">
        <f ca="1">IF(Számítás_Ny!$G$1="OK",IF($B34="","",SUMIF(Számítás_Ny!$B$20:$B$1027,"="&amp;$B34,Számítás_Ny!$K$20:$K$1027)),0)</f>
        <v>0</v>
      </c>
      <c r="D34" s="48">
        <f ca="1">IF(Számítás_Ny!$G$1="OK",IF($B34="","",SUMIF(Tranzakciók!$B$32:$B$115,"="&amp;$B34,Tranzakciók!$K$32:$K$115)),0)</f>
        <v>0</v>
      </c>
      <c r="E34" s="48">
        <f ca="1">IF(Számítás_Ny!$G$1="OK",IF($B34="","",SUMIF(Számítás_Ny!$AA$20:$AA$1027,"="&amp;$B34,Számítás_Ny!$AK$20:$AK$1027)),0)</f>
        <v>0</v>
      </c>
      <c r="F34" s="48">
        <f ca="1">IF(Számítás_Ny!$G$1="OK",IF($B34="","",SUMIF(Számítás_Ny!$BE$20:$BE$1027,"="&amp;$B34,Számítás_Ny!$BJ$20:$BJ$1027)),0)</f>
        <v>0</v>
      </c>
      <c r="G34" s="49" t="str">
        <f t="shared" ca="1" si="0"/>
        <v/>
      </c>
      <c r="H34" s="48">
        <f ca="1">IF(Számítás_Ny!$G$1="OK",IF($B34="","",VLOOKUP($A34,Számítás_Ny!$A$20:$X$1027,23,0)),0)</f>
        <v>0</v>
      </c>
      <c r="I34" s="48">
        <f ca="1">IF(Számítás_Ny!$G$1="OK",IF($B34="","",VLOOKUP($A34,Számítás_Ny!$AO$20:$BB$1027,13,0)),0)</f>
        <v>0</v>
      </c>
      <c r="J34" s="48">
        <f ca="1">IF(Számítás_Ny!$G$1="OK",IF($B34="","",VLOOKUP($A34,Számítás_Ny!$Z$20:$AM$1027,13,0)),0)</f>
        <v>0</v>
      </c>
      <c r="K34" s="48">
        <f ca="1">IF(Számítás_Ny!$G$1="OK",IF($B34="","",VLOOKUP($A34,Számítás_Ny!$BD$20:$BP$1027,12,0)),0)</f>
        <v>0</v>
      </c>
      <c r="L34" s="49" t="str">
        <f t="shared" ca="1" si="1"/>
        <v/>
      </c>
      <c r="M34" s="50">
        <f ca="1">IF(Számítás_Ny!$G$1="OK",IF($B34="","",IF($B35="",$L34,VLOOKUP($A34,Számítás_Ny!$A$20:$X$1027,24,0)+VLOOKUP($A34,Számítás_Ny!$AO$20:$BB$1027,14,0)+VLOOKUP($A34,Számítás_Ny!$Z$20:$AM$1027,14,0)+VLOOKUP($A34,Számítás_Ny!$BD$20:$BP$1027,13,0))),0)</f>
        <v>0</v>
      </c>
    </row>
    <row r="35" spans="1:13" x14ac:dyDescent="0.2">
      <c r="A35" s="46" t="str">
        <f ca="1">IF($B35="","",MIN($B35*12,Segédlet!$G$70))</f>
        <v/>
      </c>
      <c r="B35" s="47" t="str">
        <f ca="1">Segédlet!$G78</f>
        <v/>
      </c>
      <c r="C35" s="48">
        <f ca="1">IF(Számítás_Ny!$G$1="OK",IF($B35="","",SUMIF(Számítás_Ny!$B$20:$B$1027,"="&amp;$B35,Számítás_Ny!$K$20:$K$1027)),0)</f>
        <v>0</v>
      </c>
      <c r="D35" s="48">
        <f ca="1">IF(Számítás_Ny!$G$1="OK",IF($B35="","",SUMIF(Tranzakciók!$B$32:$B$115,"="&amp;$B35,Tranzakciók!$K$32:$K$115)),0)</f>
        <v>0</v>
      </c>
      <c r="E35" s="48">
        <f ca="1">IF(Számítás_Ny!$G$1="OK",IF($B35="","",SUMIF(Számítás_Ny!$AA$20:$AA$1027,"="&amp;$B35,Számítás_Ny!$AK$20:$AK$1027)),0)</f>
        <v>0</v>
      </c>
      <c r="F35" s="48">
        <f ca="1">IF(Számítás_Ny!$G$1="OK",IF($B35="","",SUMIF(Számítás_Ny!$BE$20:$BE$1027,"="&amp;$B35,Számítás_Ny!$BJ$20:$BJ$1027)),0)</f>
        <v>0</v>
      </c>
      <c r="G35" s="49" t="str">
        <f t="shared" ca="1" si="0"/>
        <v/>
      </c>
      <c r="H35" s="48">
        <f ca="1">IF(Számítás_Ny!$G$1="OK",IF($B35="","",VLOOKUP($A35,Számítás_Ny!$A$20:$X$1027,23,0)),0)</f>
        <v>0</v>
      </c>
      <c r="I35" s="48">
        <f ca="1">IF(Számítás_Ny!$G$1="OK",IF($B35="","",VLOOKUP($A35,Számítás_Ny!$AO$20:$BB$1027,13,0)),0)</f>
        <v>0</v>
      </c>
      <c r="J35" s="48">
        <f ca="1">IF(Számítás_Ny!$G$1="OK",IF($B35="","",VLOOKUP($A35,Számítás_Ny!$Z$20:$AM$1027,13,0)),0)</f>
        <v>0</v>
      </c>
      <c r="K35" s="48">
        <f ca="1">IF(Számítás_Ny!$G$1="OK",IF($B35="","",VLOOKUP($A35,Számítás_Ny!$BD$20:$BP$1027,12,0)),0)</f>
        <v>0</v>
      </c>
      <c r="L35" s="49" t="str">
        <f t="shared" ca="1" si="1"/>
        <v/>
      </c>
      <c r="M35" s="50">
        <f ca="1">IF(Számítás_Ny!$G$1="OK",IF($B35="","",IF($B36="",$L35,VLOOKUP($A35,Számítás_Ny!$A$20:$X$1027,24,0)+VLOOKUP($A35,Számítás_Ny!$AO$20:$BB$1027,14,0)+VLOOKUP($A35,Számítás_Ny!$Z$20:$AM$1027,14,0)+VLOOKUP($A35,Számítás_Ny!$BD$20:$BP$1027,13,0))),0)</f>
        <v>0</v>
      </c>
    </row>
    <row r="36" spans="1:13" x14ac:dyDescent="0.2">
      <c r="A36" s="46" t="str">
        <f ca="1">IF($B36="","",MIN($B36*12,Segédlet!$G$70))</f>
        <v/>
      </c>
      <c r="B36" s="47" t="str">
        <f ca="1">Segédlet!$G79</f>
        <v/>
      </c>
      <c r="C36" s="48">
        <f ca="1">IF(Számítás_Ny!$G$1="OK",IF($B36="","",SUMIF(Számítás_Ny!$B$20:$B$1027,"="&amp;$B36,Számítás_Ny!$K$20:$K$1027)),0)</f>
        <v>0</v>
      </c>
      <c r="D36" s="48">
        <f ca="1">IF(Számítás_Ny!$G$1="OK",IF($B36="","",SUMIF(Tranzakciók!$B$32:$B$115,"="&amp;$B36,Tranzakciók!$K$32:$K$115)),0)</f>
        <v>0</v>
      </c>
      <c r="E36" s="48">
        <f ca="1">IF(Számítás_Ny!$G$1="OK",IF($B36="","",SUMIF(Számítás_Ny!$AA$20:$AA$1027,"="&amp;$B36,Számítás_Ny!$AK$20:$AK$1027)),0)</f>
        <v>0</v>
      </c>
      <c r="F36" s="48">
        <f ca="1">IF(Számítás_Ny!$G$1="OK",IF($B36="","",SUMIF(Számítás_Ny!$BE$20:$BE$1027,"="&amp;$B36,Számítás_Ny!$BJ$20:$BJ$1027)),0)</f>
        <v>0</v>
      </c>
      <c r="G36" s="49" t="str">
        <f t="shared" ca="1" si="0"/>
        <v/>
      </c>
      <c r="H36" s="48">
        <f ca="1">IF(Számítás_Ny!$G$1="OK",IF($B36="","",VLOOKUP($A36,Számítás_Ny!$A$20:$X$1027,23,0)),0)</f>
        <v>0</v>
      </c>
      <c r="I36" s="48">
        <f ca="1">IF(Számítás_Ny!$G$1="OK",IF($B36="","",VLOOKUP($A36,Számítás_Ny!$AO$20:$BB$1027,13,0)),0)</f>
        <v>0</v>
      </c>
      <c r="J36" s="48">
        <f ca="1">IF(Számítás_Ny!$G$1="OK",IF($B36="","",VLOOKUP($A36,Számítás_Ny!$Z$20:$AM$1027,13,0)),0)</f>
        <v>0</v>
      </c>
      <c r="K36" s="48">
        <f ca="1">IF(Számítás_Ny!$G$1="OK",IF($B36="","",VLOOKUP($A36,Számítás_Ny!$BD$20:$BP$1027,12,0)),0)</f>
        <v>0</v>
      </c>
      <c r="L36" s="49" t="str">
        <f t="shared" ca="1" si="1"/>
        <v/>
      </c>
      <c r="M36" s="50">
        <f ca="1">IF(Számítás_Ny!$G$1="OK",IF($B36="","",IF($B37="",$L36,VLOOKUP($A36,Számítás_Ny!$A$20:$X$1027,24,0)+VLOOKUP($A36,Számítás_Ny!$AO$20:$BB$1027,14,0)+VLOOKUP($A36,Számítás_Ny!$Z$20:$AM$1027,14,0)+VLOOKUP($A36,Számítás_Ny!$BD$20:$BP$1027,13,0))),0)</f>
        <v>0</v>
      </c>
    </row>
    <row r="37" spans="1:13" x14ac:dyDescent="0.2">
      <c r="A37" s="46" t="str">
        <f ca="1">IF($B37="","",MIN($B37*12,Segédlet!$G$70))</f>
        <v/>
      </c>
      <c r="B37" s="47" t="str">
        <f ca="1">Segédlet!$G80</f>
        <v/>
      </c>
      <c r="C37" s="48">
        <f ca="1">IF(Számítás_Ny!$G$1="OK",IF($B37="","",SUMIF(Számítás_Ny!$B$20:$B$1027,"="&amp;$B37,Számítás_Ny!$K$20:$K$1027)),0)</f>
        <v>0</v>
      </c>
      <c r="D37" s="48">
        <f ca="1">IF(Számítás_Ny!$G$1="OK",IF($B37="","",SUMIF(Tranzakciók!$B$32:$B$115,"="&amp;$B37,Tranzakciók!$K$32:$K$115)),0)</f>
        <v>0</v>
      </c>
      <c r="E37" s="48">
        <f ca="1">IF(Számítás_Ny!$G$1="OK",IF($B37="","",SUMIF(Számítás_Ny!$AA$20:$AA$1027,"="&amp;$B37,Számítás_Ny!$AK$20:$AK$1027)),0)</f>
        <v>0</v>
      </c>
      <c r="F37" s="48">
        <f ca="1">IF(Számítás_Ny!$G$1="OK",IF($B37="","",SUMIF(Számítás_Ny!$BE$20:$BE$1027,"="&amp;$B37,Számítás_Ny!$BJ$20:$BJ$1027)),0)</f>
        <v>0</v>
      </c>
      <c r="G37" s="49" t="str">
        <f t="shared" ca="1" si="0"/>
        <v/>
      </c>
      <c r="H37" s="48">
        <f ca="1">IF(Számítás_Ny!$G$1="OK",IF($B37="","",VLOOKUP($A37,Számítás_Ny!$A$20:$X$1027,23,0)),0)</f>
        <v>0</v>
      </c>
      <c r="I37" s="48">
        <f ca="1">IF(Számítás_Ny!$G$1="OK",IF($B37="","",VLOOKUP($A37,Számítás_Ny!$AO$20:$BB$1027,13,0)),0)</f>
        <v>0</v>
      </c>
      <c r="J37" s="48">
        <f ca="1">IF(Számítás_Ny!$G$1="OK",IF($B37="","",VLOOKUP($A37,Számítás_Ny!$Z$20:$AM$1027,13,0)),0)</f>
        <v>0</v>
      </c>
      <c r="K37" s="48">
        <f ca="1">IF(Számítás_Ny!$G$1="OK",IF($B37="","",VLOOKUP($A37,Számítás_Ny!$BD$20:$BP$1027,12,0)),0)</f>
        <v>0</v>
      </c>
      <c r="L37" s="49" t="str">
        <f t="shared" ca="1" si="1"/>
        <v/>
      </c>
      <c r="M37" s="50">
        <f ca="1">IF(Számítás_Ny!$G$1="OK",IF($B37="","",IF($B38="",$L37,VLOOKUP($A37,Számítás_Ny!$A$20:$X$1027,24,0)+VLOOKUP($A37,Számítás_Ny!$AO$20:$BB$1027,14,0)+VLOOKUP($A37,Számítás_Ny!$Z$20:$AM$1027,14,0)+VLOOKUP($A37,Számítás_Ny!$BD$20:$BP$1027,13,0))),0)</f>
        <v>0</v>
      </c>
    </row>
    <row r="38" spans="1:13" x14ac:dyDescent="0.2">
      <c r="A38" s="46" t="str">
        <f ca="1">IF($B38="","",MIN($B38*12,Segédlet!$G$70))</f>
        <v/>
      </c>
      <c r="B38" s="47" t="str">
        <f ca="1">Segédlet!$G81</f>
        <v/>
      </c>
      <c r="C38" s="48">
        <f ca="1">IF(Számítás_Ny!$G$1="OK",IF($B38="","",SUMIF(Számítás_Ny!$B$20:$B$1027,"="&amp;$B38,Számítás_Ny!$K$20:$K$1027)),0)</f>
        <v>0</v>
      </c>
      <c r="D38" s="48">
        <f ca="1">IF(Számítás_Ny!$G$1="OK",IF($B38="","",SUMIF(Tranzakciók!$B$32:$B$115,"="&amp;$B38,Tranzakciók!$K$32:$K$115)),0)</f>
        <v>0</v>
      </c>
      <c r="E38" s="48">
        <f ca="1">IF(Számítás_Ny!$G$1="OK",IF($B38="","",SUMIF(Számítás_Ny!$AA$20:$AA$1027,"="&amp;$B38,Számítás_Ny!$AK$20:$AK$1027)),0)</f>
        <v>0</v>
      </c>
      <c r="F38" s="48">
        <f ca="1">IF(Számítás_Ny!$G$1="OK",IF($B38="","",SUMIF(Számítás_Ny!$BE$20:$BE$1027,"="&amp;$B38,Számítás_Ny!$BJ$20:$BJ$1027)),0)</f>
        <v>0</v>
      </c>
      <c r="G38" s="49" t="str">
        <f t="shared" ca="1" si="0"/>
        <v/>
      </c>
      <c r="H38" s="48">
        <f ca="1">IF(Számítás_Ny!$G$1="OK",IF($B38="","",VLOOKUP($A38,Számítás_Ny!$A$20:$X$1027,23,0)),0)</f>
        <v>0</v>
      </c>
      <c r="I38" s="48">
        <f ca="1">IF(Számítás_Ny!$G$1="OK",IF($B38="","",VLOOKUP($A38,Számítás_Ny!$AO$20:$BB$1027,13,0)),0)</f>
        <v>0</v>
      </c>
      <c r="J38" s="48">
        <f ca="1">IF(Számítás_Ny!$G$1="OK",IF($B38="","",VLOOKUP($A38,Számítás_Ny!$Z$20:$AM$1027,13,0)),0)</f>
        <v>0</v>
      </c>
      <c r="K38" s="48">
        <f ca="1">IF(Számítás_Ny!$G$1="OK",IF($B38="","",VLOOKUP($A38,Számítás_Ny!$BD$20:$BP$1027,12,0)),0)</f>
        <v>0</v>
      </c>
      <c r="L38" s="49" t="str">
        <f t="shared" ca="1" si="1"/>
        <v/>
      </c>
      <c r="M38" s="50">
        <f ca="1">IF(Számítás_Ny!$G$1="OK",IF($B38="","",IF($B39="",$L38,VLOOKUP($A38,Számítás_Ny!$A$20:$X$1027,24,0)+VLOOKUP($A38,Számítás_Ny!$AO$20:$BB$1027,14,0)+VLOOKUP($A38,Számítás_Ny!$Z$20:$AM$1027,14,0)+VLOOKUP($A38,Számítás_Ny!$BD$20:$BP$1027,13,0))),0)</f>
        <v>0</v>
      </c>
    </row>
    <row r="39" spans="1:13" x14ac:dyDescent="0.2">
      <c r="A39" s="46" t="str">
        <f ca="1">IF($B39="","",MIN($B39*12,Segédlet!$G$70))</f>
        <v/>
      </c>
      <c r="B39" s="47" t="str">
        <f ca="1">Segédlet!$G82</f>
        <v/>
      </c>
      <c r="C39" s="48">
        <f ca="1">IF(Számítás_Ny!$G$1="OK",IF($B39="","",SUMIF(Számítás_Ny!$B$20:$B$1027,"="&amp;$B39,Számítás_Ny!$K$20:$K$1027)),0)</f>
        <v>0</v>
      </c>
      <c r="D39" s="48">
        <f ca="1">IF(Számítás_Ny!$G$1="OK",IF($B39="","",SUMIF(Tranzakciók!$B$32:$B$115,"="&amp;$B39,Tranzakciók!$K$32:$K$115)),0)</f>
        <v>0</v>
      </c>
      <c r="E39" s="48">
        <f ca="1">IF(Számítás_Ny!$G$1="OK",IF($B39="","",SUMIF(Számítás_Ny!$AA$20:$AA$1027,"="&amp;$B39,Számítás_Ny!$AK$20:$AK$1027)),0)</f>
        <v>0</v>
      </c>
      <c r="F39" s="48">
        <f ca="1">IF(Számítás_Ny!$G$1="OK",IF($B39="","",SUMIF(Számítás_Ny!$BE$20:$BE$1027,"="&amp;$B39,Számítás_Ny!$BJ$20:$BJ$1027)),0)</f>
        <v>0</v>
      </c>
      <c r="G39" s="49" t="str">
        <f t="shared" ca="1" si="0"/>
        <v/>
      </c>
      <c r="H39" s="48">
        <f ca="1">IF(Számítás_Ny!$G$1="OK",IF($B39="","",VLOOKUP($A39,Számítás_Ny!$A$20:$X$1027,23,0)),0)</f>
        <v>0</v>
      </c>
      <c r="I39" s="48">
        <f ca="1">IF(Számítás_Ny!$G$1="OK",IF($B39="","",VLOOKUP($A39,Számítás_Ny!$AO$20:$BB$1027,13,0)),0)</f>
        <v>0</v>
      </c>
      <c r="J39" s="48">
        <f ca="1">IF(Számítás_Ny!$G$1="OK",IF($B39="","",VLOOKUP($A39,Számítás_Ny!$Z$20:$AM$1027,13,0)),0)</f>
        <v>0</v>
      </c>
      <c r="K39" s="48">
        <f ca="1">IF(Számítás_Ny!$G$1="OK",IF($B39="","",VLOOKUP($A39,Számítás_Ny!$BD$20:$BP$1027,12,0)),0)</f>
        <v>0</v>
      </c>
      <c r="L39" s="49" t="str">
        <f t="shared" ca="1" si="1"/>
        <v/>
      </c>
      <c r="M39" s="50">
        <f ca="1">IF(Számítás_Ny!$G$1="OK",IF($B39="","",IF($B40="",$L39,VLOOKUP($A39,Számítás_Ny!$A$20:$X$1027,24,0)+VLOOKUP($A39,Számítás_Ny!$AO$20:$BB$1027,14,0)+VLOOKUP($A39,Számítás_Ny!$Z$20:$AM$1027,14,0)+VLOOKUP($A39,Számítás_Ny!$BD$20:$BP$1027,13,0))),0)</f>
        <v>0</v>
      </c>
    </row>
    <row r="40" spans="1:13" x14ac:dyDescent="0.2">
      <c r="A40" s="46" t="str">
        <f ca="1">IF($B40="","",MIN($B40*12,Segédlet!$G$70))</f>
        <v/>
      </c>
      <c r="B40" s="47" t="str">
        <f ca="1">Segédlet!$G83</f>
        <v/>
      </c>
      <c r="C40" s="48">
        <f ca="1">IF(Számítás_Ny!$G$1="OK",IF($B40="","",SUMIF(Számítás_Ny!$B$20:$B$1027,"="&amp;$B40,Számítás_Ny!$K$20:$K$1027)),0)</f>
        <v>0</v>
      </c>
      <c r="D40" s="48">
        <f ca="1">IF(Számítás_Ny!$G$1="OK",IF($B40="","",SUMIF(Tranzakciók!$B$32:$B$115,"="&amp;$B40,Tranzakciók!$K$32:$K$115)),0)</f>
        <v>0</v>
      </c>
      <c r="E40" s="48">
        <f ca="1">IF(Számítás_Ny!$G$1="OK",IF($B40="","",SUMIF(Számítás_Ny!$AA$20:$AA$1027,"="&amp;$B40,Számítás_Ny!$AK$20:$AK$1027)),0)</f>
        <v>0</v>
      </c>
      <c r="F40" s="48">
        <f ca="1">IF(Számítás_Ny!$G$1="OK",IF($B40="","",SUMIF(Számítás_Ny!$BE$20:$BE$1027,"="&amp;$B40,Számítás_Ny!$BJ$20:$BJ$1027)),0)</f>
        <v>0</v>
      </c>
      <c r="G40" s="49" t="str">
        <f t="shared" ca="1" si="0"/>
        <v/>
      </c>
      <c r="H40" s="48">
        <f ca="1">IF(Számítás_Ny!$G$1="OK",IF($B40="","",VLOOKUP($A40,Számítás_Ny!$A$20:$X$1027,23,0)),0)</f>
        <v>0</v>
      </c>
      <c r="I40" s="48">
        <f ca="1">IF(Számítás_Ny!$G$1="OK",IF($B40="","",VLOOKUP($A40,Számítás_Ny!$AO$20:$BB$1027,13,0)),0)</f>
        <v>0</v>
      </c>
      <c r="J40" s="48">
        <f ca="1">IF(Számítás_Ny!$G$1="OK",IF($B40="","",VLOOKUP($A40,Számítás_Ny!$Z$20:$AM$1027,13,0)),0)</f>
        <v>0</v>
      </c>
      <c r="K40" s="48">
        <f ca="1">IF(Számítás_Ny!$G$1="OK",IF($B40="","",VLOOKUP($A40,Számítás_Ny!$BD$20:$BP$1027,12,0)),0)</f>
        <v>0</v>
      </c>
      <c r="L40" s="49" t="str">
        <f t="shared" ca="1" si="1"/>
        <v/>
      </c>
      <c r="M40" s="50">
        <f ca="1">IF(Számítás_Ny!$G$1="OK",IF($B40="","",IF($B41="",$L40,VLOOKUP($A40,Számítás_Ny!$A$20:$X$1027,24,0)+VLOOKUP($A40,Számítás_Ny!$AO$20:$BB$1027,14,0)+VLOOKUP($A40,Számítás_Ny!$Z$20:$AM$1027,14,0)+VLOOKUP($A40,Számítás_Ny!$BD$20:$BP$1027,13,0))),0)</f>
        <v>0</v>
      </c>
    </row>
    <row r="41" spans="1:13" x14ac:dyDescent="0.2">
      <c r="A41" s="46" t="str">
        <f ca="1">IF($B41="","",MIN($B41*12,Segédlet!$G$70))</f>
        <v/>
      </c>
      <c r="B41" s="47" t="str">
        <f ca="1">Segédlet!$G84</f>
        <v/>
      </c>
      <c r="C41" s="48">
        <f ca="1">IF(Számítás_Ny!$G$1="OK",IF($B41="","",SUMIF(Számítás_Ny!$B$20:$B$1027,"="&amp;$B41,Számítás_Ny!$K$20:$K$1027)),0)</f>
        <v>0</v>
      </c>
      <c r="D41" s="48">
        <f ca="1">IF(Számítás_Ny!$G$1="OK",IF($B41="","",SUMIF(Tranzakciók!$B$32:$B$115,"="&amp;$B41,Tranzakciók!$K$32:$K$115)),0)</f>
        <v>0</v>
      </c>
      <c r="E41" s="48">
        <f ca="1">IF(Számítás_Ny!$G$1="OK",IF($B41="","",SUMIF(Számítás_Ny!$AA$20:$AA$1027,"="&amp;$B41,Számítás_Ny!$AK$20:$AK$1027)),0)</f>
        <v>0</v>
      </c>
      <c r="F41" s="48">
        <f ca="1">IF(Számítás_Ny!$G$1="OK",IF($B41="","",SUMIF(Számítás_Ny!$BE$20:$BE$1027,"="&amp;$B41,Számítás_Ny!$BJ$20:$BJ$1027)),0)</f>
        <v>0</v>
      </c>
      <c r="G41" s="49" t="str">
        <f t="shared" ca="1" si="0"/>
        <v/>
      </c>
      <c r="H41" s="48">
        <f ca="1">IF(Számítás_Ny!$G$1="OK",IF($B41="","",VLOOKUP($A41,Számítás_Ny!$A$20:$X$1027,23,0)),0)</f>
        <v>0</v>
      </c>
      <c r="I41" s="48">
        <f ca="1">IF(Számítás_Ny!$G$1="OK",IF($B41="","",VLOOKUP($A41,Számítás_Ny!$AO$20:$BB$1027,13,0)),0)</f>
        <v>0</v>
      </c>
      <c r="J41" s="48">
        <f ca="1">IF(Számítás_Ny!$G$1="OK",IF($B41="","",VLOOKUP($A41,Számítás_Ny!$Z$20:$AM$1027,13,0)),0)</f>
        <v>0</v>
      </c>
      <c r="K41" s="48">
        <f ca="1">IF(Számítás_Ny!$G$1="OK",IF($B41="","",VLOOKUP($A41,Számítás_Ny!$BD$20:$BP$1027,12,0)),0)</f>
        <v>0</v>
      </c>
      <c r="L41" s="49" t="str">
        <f t="shared" ca="1" si="1"/>
        <v/>
      </c>
      <c r="M41" s="50">
        <f ca="1">IF(Számítás_Ny!$G$1="OK",IF($B41="","",IF($B42="",$L41,VLOOKUP($A41,Számítás_Ny!$A$20:$X$1027,24,0)+VLOOKUP($A41,Számítás_Ny!$AO$20:$BB$1027,14,0)+VLOOKUP($A41,Számítás_Ny!$Z$20:$AM$1027,14,0)+VLOOKUP($A41,Számítás_Ny!$BD$20:$BP$1027,13,0))),0)</f>
        <v>0</v>
      </c>
    </row>
    <row r="42" spans="1:13" x14ac:dyDescent="0.2">
      <c r="A42" s="46" t="str">
        <f ca="1">IF($B42="","",MIN($B42*12,Segédlet!$G$70))</f>
        <v/>
      </c>
      <c r="B42" s="47" t="str">
        <f ca="1">Segédlet!$G85</f>
        <v/>
      </c>
      <c r="C42" s="48">
        <f ca="1">IF(Számítás_Ny!$G$1="OK",IF($B42="","",SUMIF(Számítás_Ny!$B$20:$B$1027,"="&amp;$B42,Számítás_Ny!$K$20:$K$1027)),0)</f>
        <v>0</v>
      </c>
      <c r="D42" s="48">
        <f ca="1">IF(Számítás_Ny!$G$1="OK",IF($B42="","",SUMIF(Tranzakciók!$B$32:$B$115,"="&amp;$B42,Tranzakciók!$K$32:$K$115)),0)</f>
        <v>0</v>
      </c>
      <c r="E42" s="48">
        <f ca="1">IF(Számítás_Ny!$G$1="OK",IF($B42="","",SUMIF(Számítás_Ny!$AA$20:$AA$1027,"="&amp;$B42,Számítás_Ny!$AK$20:$AK$1027)),0)</f>
        <v>0</v>
      </c>
      <c r="F42" s="48">
        <f ca="1">IF(Számítás_Ny!$G$1="OK",IF($B42="","",SUMIF(Számítás_Ny!$BE$20:$BE$1027,"="&amp;$B42,Számítás_Ny!$BJ$20:$BJ$1027)),0)</f>
        <v>0</v>
      </c>
      <c r="G42" s="49" t="str">
        <f t="shared" ca="1" si="0"/>
        <v/>
      </c>
      <c r="H42" s="48">
        <f ca="1">IF(Számítás_Ny!$G$1="OK",IF($B42="","",VLOOKUP($A42,Számítás_Ny!$A$20:$X$1027,23,0)),0)</f>
        <v>0</v>
      </c>
      <c r="I42" s="48">
        <f ca="1">IF(Számítás_Ny!$G$1="OK",IF($B42="","",VLOOKUP($A42,Számítás_Ny!$AO$20:$BB$1027,13,0)),0)</f>
        <v>0</v>
      </c>
      <c r="J42" s="48">
        <f ca="1">IF(Számítás_Ny!$G$1="OK",IF($B42="","",VLOOKUP($A42,Számítás_Ny!$Z$20:$AM$1027,13,0)),0)</f>
        <v>0</v>
      </c>
      <c r="K42" s="48">
        <f ca="1">IF(Számítás_Ny!$G$1="OK",IF($B42="","",VLOOKUP($A42,Számítás_Ny!$BD$20:$BP$1027,12,0)),0)</f>
        <v>0</v>
      </c>
      <c r="L42" s="49" t="str">
        <f t="shared" ca="1" si="1"/>
        <v/>
      </c>
      <c r="M42" s="50">
        <f ca="1">IF(Számítás_Ny!$G$1="OK",IF($B42="","",IF($B43="",$L42,VLOOKUP($A42,Számítás_Ny!$A$20:$X$1027,24,0)+VLOOKUP($A42,Számítás_Ny!$AO$20:$BB$1027,14,0)+VLOOKUP($A42,Számítás_Ny!$Z$20:$AM$1027,14,0)+VLOOKUP($A42,Számítás_Ny!$BD$20:$BP$1027,13,0))),0)</f>
        <v>0</v>
      </c>
    </row>
    <row r="43" spans="1:13" x14ac:dyDescent="0.2">
      <c r="A43" s="46" t="str">
        <f ca="1">IF($B43="","",MIN($B43*12,Segédlet!$G$70))</f>
        <v/>
      </c>
      <c r="B43" s="47" t="str">
        <f ca="1">Segédlet!$G86</f>
        <v/>
      </c>
      <c r="C43" s="48">
        <f ca="1">IF(Számítás_Ny!$G$1="OK",IF($B43="","",SUMIF(Számítás_Ny!$B$20:$B$1027,"="&amp;$B43,Számítás_Ny!$K$20:$K$1027)),0)</f>
        <v>0</v>
      </c>
      <c r="D43" s="48">
        <f ca="1">IF(Számítás_Ny!$G$1="OK",IF($B43="","",SUMIF(Tranzakciók!$B$32:$B$115,"="&amp;$B43,Tranzakciók!$K$32:$K$115)),0)</f>
        <v>0</v>
      </c>
      <c r="E43" s="48">
        <f ca="1">IF(Számítás_Ny!$G$1="OK",IF($B43="","",SUMIF(Számítás_Ny!$AA$20:$AA$1027,"="&amp;$B43,Számítás_Ny!$AK$20:$AK$1027)),0)</f>
        <v>0</v>
      </c>
      <c r="F43" s="48">
        <f ca="1">IF(Számítás_Ny!$G$1="OK",IF($B43="","",SUMIF(Számítás_Ny!$BE$20:$BE$1027,"="&amp;$B43,Számítás_Ny!$BJ$20:$BJ$1027)),0)</f>
        <v>0</v>
      </c>
      <c r="G43" s="49" t="str">
        <f t="shared" ca="1" si="0"/>
        <v/>
      </c>
      <c r="H43" s="48">
        <f ca="1">IF(Számítás_Ny!$G$1="OK",IF($B43="","",VLOOKUP($A43,Számítás_Ny!$A$20:$X$1027,23,0)),0)</f>
        <v>0</v>
      </c>
      <c r="I43" s="48">
        <f ca="1">IF(Számítás_Ny!$G$1="OK",IF($B43="","",VLOOKUP($A43,Számítás_Ny!$AO$20:$BB$1027,13,0)),0)</f>
        <v>0</v>
      </c>
      <c r="J43" s="48">
        <f ca="1">IF(Számítás_Ny!$G$1="OK",IF($B43="","",VLOOKUP($A43,Számítás_Ny!$Z$20:$AM$1027,13,0)),0)</f>
        <v>0</v>
      </c>
      <c r="K43" s="48">
        <f ca="1">IF(Számítás_Ny!$G$1="OK",IF($B43="","",VLOOKUP($A43,Számítás_Ny!$BD$20:$BP$1027,12,0)),0)</f>
        <v>0</v>
      </c>
      <c r="L43" s="49" t="str">
        <f t="shared" ca="1" si="1"/>
        <v/>
      </c>
      <c r="M43" s="50">
        <f ca="1">IF(Számítás_Ny!$G$1="OK",IF($B43="","",IF($B44="",$L43,VLOOKUP($A43,Számítás_Ny!$A$20:$X$1027,24,0)+VLOOKUP($A43,Számítás_Ny!$AO$20:$BB$1027,14,0)+VLOOKUP($A43,Számítás_Ny!$Z$20:$AM$1027,14,0)+VLOOKUP($A43,Számítás_Ny!$BD$20:$BP$1027,13,0))),0)</f>
        <v>0</v>
      </c>
    </row>
    <row r="44" spans="1:13" x14ac:dyDescent="0.2">
      <c r="A44" s="46" t="str">
        <f ca="1">IF($B44="","",MIN($B44*12,Segédlet!$G$70))</f>
        <v/>
      </c>
      <c r="B44" s="47" t="str">
        <f ca="1">Segédlet!$G87</f>
        <v/>
      </c>
      <c r="C44" s="48">
        <f ca="1">IF(Számítás_Ny!$G$1="OK",IF($B44="","",SUMIF(Számítás_Ny!$B$20:$B$1027,"="&amp;$B44,Számítás_Ny!$K$20:$K$1027)),0)</f>
        <v>0</v>
      </c>
      <c r="D44" s="48">
        <f ca="1">IF(Számítás_Ny!$G$1="OK",IF($B44="","",SUMIF(Tranzakciók!$B$32:$B$115,"="&amp;$B44,Tranzakciók!$K$32:$K$115)),0)</f>
        <v>0</v>
      </c>
      <c r="E44" s="48">
        <f ca="1">IF(Számítás_Ny!$G$1="OK",IF($B44="","",SUMIF(Számítás_Ny!$AA$20:$AA$1027,"="&amp;$B44,Számítás_Ny!$AK$20:$AK$1027)),0)</f>
        <v>0</v>
      </c>
      <c r="F44" s="48">
        <f ca="1">IF(Számítás_Ny!$G$1="OK",IF($B44="","",SUMIF(Számítás_Ny!$BE$20:$BE$1027,"="&amp;$B44,Számítás_Ny!$BJ$20:$BJ$1027)),0)</f>
        <v>0</v>
      </c>
      <c r="G44" s="49" t="str">
        <f t="shared" ca="1" si="0"/>
        <v/>
      </c>
      <c r="H44" s="48">
        <f ca="1">IF(Számítás_Ny!$G$1="OK",IF($B44="","",VLOOKUP($A44,Számítás_Ny!$A$20:$X$1027,23,0)),0)</f>
        <v>0</v>
      </c>
      <c r="I44" s="48">
        <f ca="1">IF(Számítás_Ny!$G$1="OK",IF($B44="","",VLOOKUP($A44,Számítás_Ny!$AO$20:$BB$1027,13,0)),0)</f>
        <v>0</v>
      </c>
      <c r="J44" s="48">
        <f ca="1">IF(Számítás_Ny!$G$1="OK",IF($B44="","",VLOOKUP($A44,Számítás_Ny!$Z$20:$AM$1027,13,0)),0)</f>
        <v>0</v>
      </c>
      <c r="K44" s="48">
        <f ca="1">IF(Számítás_Ny!$G$1="OK",IF($B44="","",VLOOKUP($A44,Számítás_Ny!$BD$20:$BP$1027,12,0)),0)</f>
        <v>0</v>
      </c>
      <c r="L44" s="49" t="str">
        <f t="shared" ca="1" si="1"/>
        <v/>
      </c>
      <c r="M44" s="50">
        <f ca="1">IF(Számítás_Ny!$G$1="OK",IF($B44="","",IF($B45="",$L44,VLOOKUP($A44,Számítás_Ny!$A$20:$X$1027,24,0)+VLOOKUP($A44,Számítás_Ny!$AO$20:$BB$1027,14,0)+VLOOKUP($A44,Számítás_Ny!$Z$20:$AM$1027,14,0)+VLOOKUP($A44,Számítás_Ny!$BD$20:$BP$1027,13,0))),0)</f>
        <v>0</v>
      </c>
    </row>
    <row r="45" spans="1:13" x14ac:dyDescent="0.2">
      <c r="A45" s="46" t="str">
        <f ca="1">IF($B45="","",MIN($B45*12,Segédlet!$G$70))</f>
        <v/>
      </c>
      <c r="B45" s="47" t="str">
        <f ca="1">Segédlet!$G88</f>
        <v/>
      </c>
      <c r="C45" s="48">
        <f ca="1">IF(Számítás_Ny!$G$1="OK",IF($B45="","",SUMIF(Számítás_Ny!$B$20:$B$1027,"="&amp;$B45,Számítás_Ny!$K$20:$K$1027)),0)</f>
        <v>0</v>
      </c>
      <c r="D45" s="48">
        <f ca="1">IF(Számítás_Ny!$G$1="OK",IF($B45="","",SUMIF(Tranzakciók!$B$32:$B$115,"="&amp;$B45,Tranzakciók!$K$32:$K$115)),0)</f>
        <v>0</v>
      </c>
      <c r="E45" s="48">
        <f ca="1">IF(Számítás_Ny!$G$1="OK",IF($B45="","",SUMIF(Számítás_Ny!$AA$20:$AA$1027,"="&amp;$B45,Számítás_Ny!$AK$20:$AK$1027)),0)</f>
        <v>0</v>
      </c>
      <c r="F45" s="48">
        <f ca="1">IF(Számítás_Ny!$G$1="OK",IF($B45="","",SUMIF(Számítás_Ny!$BE$20:$BE$1027,"="&amp;$B45,Számítás_Ny!$BJ$20:$BJ$1027)),0)</f>
        <v>0</v>
      </c>
      <c r="G45" s="49" t="str">
        <f t="shared" ca="1" si="0"/>
        <v/>
      </c>
      <c r="H45" s="48">
        <f ca="1">IF(Számítás_Ny!$G$1="OK",IF($B45="","",VLOOKUP($A45,Számítás_Ny!$A$20:$X$1027,23,0)),0)</f>
        <v>0</v>
      </c>
      <c r="I45" s="48">
        <f ca="1">IF(Számítás_Ny!$G$1="OK",IF($B45="","",VLOOKUP($A45,Számítás_Ny!$AO$20:$BB$1027,13,0)),0)</f>
        <v>0</v>
      </c>
      <c r="J45" s="48">
        <f ca="1">IF(Számítás_Ny!$G$1="OK",IF($B45="","",VLOOKUP($A45,Számítás_Ny!$Z$20:$AM$1027,13,0)),0)</f>
        <v>0</v>
      </c>
      <c r="K45" s="48">
        <f ca="1">IF(Számítás_Ny!$G$1="OK",IF($B45="","",VLOOKUP($A45,Számítás_Ny!$BD$20:$BP$1027,12,0)),0)</f>
        <v>0</v>
      </c>
      <c r="L45" s="49" t="str">
        <f t="shared" ca="1" si="1"/>
        <v/>
      </c>
      <c r="M45" s="50">
        <f ca="1">IF(Számítás_Ny!$G$1="OK",IF($B45="","",IF($B46="",$L45,VLOOKUP($A45,Számítás_Ny!$A$20:$X$1027,24,0)+VLOOKUP($A45,Számítás_Ny!$AO$20:$BB$1027,14,0)+VLOOKUP($A45,Számítás_Ny!$Z$20:$AM$1027,14,0)+VLOOKUP($A45,Számítás_Ny!$BD$20:$BP$1027,13,0))),0)</f>
        <v>0</v>
      </c>
    </row>
    <row r="46" spans="1:13" x14ac:dyDescent="0.2">
      <c r="A46" s="46" t="str">
        <f ca="1">IF($B46="","",MIN($B46*12,Segédlet!$G$70))</f>
        <v/>
      </c>
      <c r="B46" s="47" t="str">
        <f ca="1">Segédlet!$G89</f>
        <v/>
      </c>
      <c r="C46" s="48">
        <f ca="1">IF(Számítás_Ny!$G$1="OK",IF($B46="","",SUMIF(Számítás_Ny!$B$20:$B$1027,"="&amp;$B46,Számítás_Ny!$K$20:$K$1027)),0)</f>
        <v>0</v>
      </c>
      <c r="D46" s="48">
        <f ca="1">IF(Számítás_Ny!$G$1="OK",IF($B46="","",SUMIF(Tranzakciók!$B$32:$B$115,"="&amp;$B46,Tranzakciók!$K$32:$K$115)),0)</f>
        <v>0</v>
      </c>
      <c r="E46" s="48">
        <f ca="1">IF(Számítás_Ny!$G$1="OK",IF($B46="","",SUMIF(Számítás_Ny!$AA$20:$AA$1027,"="&amp;$B46,Számítás_Ny!$AK$20:$AK$1027)),0)</f>
        <v>0</v>
      </c>
      <c r="F46" s="48">
        <f ca="1">IF(Számítás_Ny!$G$1="OK",IF($B46="","",SUMIF(Számítás_Ny!$BE$20:$BE$1027,"="&amp;$B46,Számítás_Ny!$BJ$20:$BJ$1027)),0)</f>
        <v>0</v>
      </c>
      <c r="G46" s="49" t="str">
        <f t="shared" ca="1" si="0"/>
        <v/>
      </c>
      <c r="H46" s="48">
        <f ca="1">IF(Számítás_Ny!$G$1="OK",IF($B46="","",VLOOKUP($A46,Számítás_Ny!$A$20:$X$1027,23,0)),0)</f>
        <v>0</v>
      </c>
      <c r="I46" s="48">
        <f ca="1">IF(Számítás_Ny!$G$1="OK",IF($B46="","",VLOOKUP($A46,Számítás_Ny!$AO$20:$BB$1027,13,0)),0)</f>
        <v>0</v>
      </c>
      <c r="J46" s="48">
        <f ca="1">IF(Számítás_Ny!$G$1="OK",IF($B46="","",VLOOKUP($A46,Számítás_Ny!$Z$20:$AM$1027,13,0)),0)</f>
        <v>0</v>
      </c>
      <c r="K46" s="48">
        <f ca="1">IF(Számítás_Ny!$G$1="OK",IF($B46="","",VLOOKUP($A46,Számítás_Ny!$BD$20:$BP$1027,12,0)),0)</f>
        <v>0</v>
      </c>
      <c r="L46" s="49" t="str">
        <f t="shared" ca="1" si="1"/>
        <v/>
      </c>
      <c r="M46" s="50">
        <f ca="1">IF(Számítás_Ny!$G$1="OK",IF($B46="","",IF($B47="",$L46,VLOOKUP($A46,Számítás_Ny!$A$20:$X$1027,24,0)+VLOOKUP($A46,Számítás_Ny!$AO$20:$BB$1027,14,0)+VLOOKUP($A46,Számítás_Ny!$Z$20:$AM$1027,14,0)+VLOOKUP($A46,Számítás_Ny!$BD$20:$BP$1027,13,0))),0)</f>
        <v>0</v>
      </c>
    </row>
    <row r="47" spans="1:13" x14ac:dyDescent="0.2">
      <c r="A47" s="46" t="str">
        <f ca="1">IF($B47="","",MIN($B47*12,Segédlet!$G$70))</f>
        <v/>
      </c>
      <c r="B47" s="47" t="str">
        <f ca="1">Segédlet!$G90</f>
        <v/>
      </c>
      <c r="C47" s="48">
        <f ca="1">IF(Számítás_Ny!$G$1="OK",IF($B47="","",SUMIF(Számítás_Ny!$B$20:$B$1027,"="&amp;$B47,Számítás_Ny!$K$20:$K$1027)),0)</f>
        <v>0</v>
      </c>
      <c r="D47" s="48">
        <f ca="1">IF(Számítás_Ny!$G$1="OK",IF($B47="","",SUMIF(Tranzakciók!$B$32:$B$115,"="&amp;$B47,Tranzakciók!$K$32:$K$115)),0)</f>
        <v>0</v>
      </c>
      <c r="E47" s="48">
        <f ca="1">IF(Számítás_Ny!$G$1="OK",IF($B47="","",SUMIF(Számítás_Ny!$AA$20:$AA$1027,"="&amp;$B47,Számítás_Ny!$AK$20:$AK$1027)),0)</f>
        <v>0</v>
      </c>
      <c r="F47" s="48">
        <f ca="1">IF(Számítás_Ny!$G$1="OK",IF($B47="","",SUMIF(Számítás_Ny!$BE$20:$BE$1027,"="&amp;$B47,Számítás_Ny!$BJ$20:$BJ$1027)),0)</f>
        <v>0</v>
      </c>
      <c r="G47" s="49" t="str">
        <f t="shared" ca="1" si="0"/>
        <v/>
      </c>
      <c r="H47" s="48">
        <f ca="1">IF(Számítás_Ny!$G$1="OK",IF($B47="","",VLOOKUP($A47,Számítás_Ny!$A$20:$X$1027,23,0)),0)</f>
        <v>0</v>
      </c>
      <c r="I47" s="48">
        <f ca="1">IF(Számítás_Ny!$G$1="OK",IF($B47="","",VLOOKUP($A47,Számítás_Ny!$AO$20:$BB$1027,13,0)),0)</f>
        <v>0</v>
      </c>
      <c r="J47" s="48">
        <f ca="1">IF(Számítás_Ny!$G$1="OK",IF($B47="","",VLOOKUP($A47,Számítás_Ny!$Z$20:$AM$1027,13,0)),0)</f>
        <v>0</v>
      </c>
      <c r="K47" s="48">
        <f ca="1">IF(Számítás_Ny!$G$1="OK",IF($B47="","",VLOOKUP($A47,Számítás_Ny!$BD$20:$BP$1027,12,0)),0)</f>
        <v>0</v>
      </c>
      <c r="L47" s="49" t="str">
        <f t="shared" ca="1" si="1"/>
        <v/>
      </c>
      <c r="M47" s="50">
        <f ca="1">IF(Számítás_Ny!$G$1="OK",IF($B47="","",IF($B48="",$L47,VLOOKUP($A47,Számítás_Ny!$A$20:$X$1027,24,0)+VLOOKUP($A47,Számítás_Ny!$AO$20:$BB$1027,14,0)+VLOOKUP($A47,Számítás_Ny!$Z$20:$AM$1027,14,0)+VLOOKUP($A47,Számítás_Ny!$BD$20:$BP$1027,13,0))),0)</f>
        <v>0</v>
      </c>
    </row>
    <row r="48" spans="1:13" x14ac:dyDescent="0.2">
      <c r="A48" s="46" t="str">
        <f ca="1">IF($B48="","",MIN($B48*12,Segédlet!$G$70))</f>
        <v/>
      </c>
      <c r="B48" s="47" t="str">
        <f ca="1">Segédlet!$G91</f>
        <v/>
      </c>
      <c r="C48" s="48">
        <f ca="1">IF(Számítás_Ny!$G$1="OK",IF($B48="","",SUMIF(Számítás_Ny!$B$20:$B$1027,"="&amp;$B48,Számítás_Ny!$K$20:$K$1027)),0)</f>
        <v>0</v>
      </c>
      <c r="D48" s="48">
        <f ca="1">IF(Számítás_Ny!$G$1="OK",IF($B48="","",SUMIF(Tranzakciók!$B$32:$B$115,"="&amp;$B48,Tranzakciók!$K$32:$K$115)),0)</f>
        <v>0</v>
      </c>
      <c r="E48" s="48">
        <f ca="1">IF(Számítás_Ny!$G$1="OK",IF($B48="","",SUMIF(Számítás_Ny!$AA$20:$AA$1027,"="&amp;$B48,Számítás_Ny!$AK$20:$AK$1027)),0)</f>
        <v>0</v>
      </c>
      <c r="F48" s="48">
        <f ca="1">IF(Számítás_Ny!$G$1="OK",IF($B48="","",SUMIF(Számítás_Ny!$BE$20:$BE$1027,"="&amp;$B48,Számítás_Ny!$BJ$20:$BJ$1027)),0)</f>
        <v>0</v>
      </c>
      <c r="G48" s="49" t="str">
        <f t="shared" ca="1" si="0"/>
        <v/>
      </c>
      <c r="H48" s="48">
        <f ca="1">IF(Számítás_Ny!$G$1="OK",IF($B48="","",VLOOKUP($A48,Számítás_Ny!$A$20:$X$1027,23,0)),0)</f>
        <v>0</v>
      </c>
      <c r="I48" s="48">
        <f ca="1">IF(Számítás_Ny!$G$1="OK",IF($B48="","",VLOOKUP($A48,Számítás_Ny!$AO$20:$BB$1027,13,0)),0)</f>
        <v>0</v>
      </c>
      <c r="J48" s="48">
        <f ca="1">IF(Számítás_Ny!$G$1="OK",IF($B48="","",VLOOKUP($A48,Számítás_Ny!$Z$20:$AM$1027,13,0)),0)</f>
        <v>0</v>
      </c>
      <c r="K48" s="48">
        <f ca="1">IF(Számítás_Ny!$G$1="OK",IF($B48="","",VLOOKUP($A48,Számítás_Ny!$BD$20:$BP$1027,12,0)),0)</f>
        <v>0</v>
      </c>
      <c r="L48" s="49" t="str">
        <f t="shared" ca="1" si="1"/>
        <v/>
      </c>
      <c r="M48" s="50">
        <f ca="1">IF(Számítás_Ny!$G$1="OK",IF($B48="","",IF($B49="",$L48,VLOOKUP($A48,Számítás_Ny!$A$20:$X$1027,24,0)+VLOOKUP($A48,Számítás_Ny!$AO$20:$BB$1027,14,0)+VLOOKUP($A48,Számítás_Ny!$Z$20:$AM$1027,14,0)+VLOOKUP($A48,Számítás_Ny!$BD$20:$BP$1027,13,0))),0)</f>
        <v>0</v>
      </c>
    </row>
    <row r="49" spans="1:13" x14ac:dyDescent="0.2">
      <c r="A49" s="46" t="str">
        <f ca="1">IF($B49="","",MIN($B49*12,Segédlet!$G$70))</f>
        <v/>
      </c>
      <c r="B49" s="47" t="str">
        <f ca="1">Segédlet!$G92</f>
        <v/>
      </c>
      <c r="C49" s="48">
        <f ca="1">IF(Számítás_Ny!$G$1="OK",IF($B49="","",SUMIF(Számítás_Ny!$B$20:$B$1027,"="&amp;$B49,Számítás_Ny!$K$20:$K$1027)),0)</f>
        <v>0</v>
      </c>
      <c r="D49" s="48">
        <f ca="1">IF(Számítás_Ny!$G$1="OK",IF($B49="","",SUMIF(Tranzakciók!$B$32:$B$115,"="&amp;$B49,Tranzakciók!$K$32:$K$115)),0)</f>
        <v>0</v>
      </c>
      <c r="E49" s="48">
        <f ca="1">IF(Számítás_Ny!$G$1="OK",IF($B49="","",SUMIF(Számítás_Ny!$AA$20:$AA$1027,"="&amp;$B49,Számítás_Ny!$AK$20:$AK$1027)),0)</f>
        <v>0</v>
      </c>
      <c r="F49" s="48">
        <f ca="1">IF(Számítás_Ny!$G$1="OK",IF($B49="","",SUMIF(Számítás_Ny!$BE$20:$BE$1027,"="&amp;$B49,Számítás_Ny!$BJ$20:$BJ$1027)),0)</f>
        <v>0</v>
      </c>
      <c r="G49" s="49" t="str">
        <f t="shared" ca="1" si="0"/>
        <v/>
      </c>
      <c r="H49" s="48">
        <f ca="1">IF(Számítás_Ny!$G$1="OK",IF($B49="","",VLOOKUP($A49,Számítás_Ny!$A$20:$X$1027,23,0)),0)</f>
        <v>0</v>
      </c>
      <c r="I49" s="48">
        <f ca="1">IF(Számítás_Ny!$G$1="OK",IF($B49="","",VLOOKUP($A49,Számítás_Ny!$AO$20:$BB$1027,13,0)),0)</f>
        <v>0</v>
      </c>
      <c r="J49" s="48">
        <f ca="1">IF(Számítás_Ny!$G$1="OK",IF($B49="","",VLOOKUP($A49,Számítás_Ny!$Z$20:$AM$1027,13,0)),0)</f>
        <v>0</v>
      </c>
      <c r="K49" s="48">
        <f ca="1">IF(Számítás_Ny!$G$1="OK",IF($B49="","",VLOOKUP($A49,Számítás_Ny!$BD$20:$BP$1027,12,0)),0)</f>
        <v>0</v>
      </c>
      <c r="L49" s="49" t="str">
        <f t="shared" ca="1" si="1"/>
        <v/>
      </c>
      <c r="M49" s="50">
        <f ca="1">IF(Számítás_Ny!$G$1="OK",IF($B49="","",IF($B50="",$L49,VLOOKUP($A49,Számítás_Ny!$A$20:$X$1027,24,0)+VLOOKUP($A49,Számítás_Ny!$AO$20:$BB$1027,14,0)+VLOOKUP($A49,Számítás_Ny!$Z$20:$AM$1027,14,0)+VLOOKUP($A49,Számítás_Ny!$BD$20:$BP$1027,13,0))),0)</f>
        <v>0</v>
      </c>
    </row>
    <row r="50" spans="1:13" x14ac:dyDescent="0.2">
      <c r="A50" s="46" t="str">
        <f ca="1">IF($B50="","",MIN($B50*12,Segédlet!$G$70))</f>
        <v/>
      </c>
      <c r="B50" s="47" t="str">
        <f ca="1">Segédlet!$G93</f>
        <v/>
      </c>
      <c r="C50" s="48">
        <f ca="1">IF(Számítás_Ny!$G$1="OK",IF($B50="","",SUMIF(Számítás_Ny!$B$20:$B$1027,"="&amp;$B50,Számítás_Ny!$K$20:$K$1027)),0)</f>
        <v>0</v>
      </c>
      <c r="D50" s="48">
        <f ca="1">IF(Számítás_Ny!$G$1="OK",IF($B50="","",SUMIF(Tranzakciók!$B$32:$B$115,"="&amp;$B50,Tranzakciók!$K$32:$K$115)),0)</f>
        <v>0</v>
      </c>
      <c r="E50" s="48">
        <f ca="1">IF(Számítás_Ny!$G$1="OK",IF($B50="","",SUMIF(Számítás_Ny!$AA$20:$AA$1027,"="&amp;$B50,Számítás_Ny!$AK$20:$AK$1027)),0)</f>
        <v>0</v>
      </c>
      <c r="F50" s="48">
        <f ca="1">IF(Számítás_Ny!$G$1="OK",IF($B50="","",SUMIF(Számítás_Ny!$BE$20:$BE$1027,"="&amp;$B50,Számítás_Ny!$BJ$20:$BJ$1027)),0)</f>
        <v>0</v>
      </c>
      <c r="G50" s="49" t="str">
        <f t="shared" ca="1" si="0"/>
        <v/>
      </c>
      <c r="H50" s="48">
        <f ca="1">IF(Számítás_Ny!$G$1="OK",IF($B50="","",VLOOKUP($A50,Számítás_Ny!$A$20:$X$1027,23,0)),0)</f>
        <v>0</v>
      </c>
      <c r="I50" s="48">
        <f ca="1">IF(Számítás_Ny!$G$1="OK",IF($B50="","",VLOOKUP($A50,Számítás_Ny!$AO$20:$BB$1027,13,0)),0)</f>
        <v>0</v>
      </c>
      <c r="J50" s="48">
        <f ca="1">IF(Számítás_Ny!$G$1="OK",IF($B50="","",VLOOKUP($A50,Számítás_Ny!$Z$20:$AM$1027,13,0)),0)</f>
        <v>0</v>
      </c>
      <c r="K50" s="48">
        <f ca="1">IF(Számítás_Ny!$G$1="OK",IF($B50="","",VLOOKUP($A50,Számítás_Ny!$BD$20:$BP$1027,12,0)),0)</f>
        <v>0</v>
      </c>
      <c r="L50" s="49" t="str">
        <f t="shared" ca="1" si="1"/>
        <v/>
      </c>
      <c r="M50" s="50">
        <f ca="1">IF(Számítás_Ny!$G$1="OK",IF($B50="","",IF($B51="",$L50,VLOOKUP($A50,Számítás_Ny!$A$20:$X$1027,24,0)+VLOOKUP($A50,Számítás_Ny!$AO$20:$BB$1027,14,0)+VLOOKUP($A50,Számítás_Ny!$Z$20:$AM$1027,14,0)+VLOOKUP($A50,Számítás_Ny!$BD$20:$BP$1027,13,0))),0)</f>
        <v>0</v>
      </c>
    </row>
    <row r="51" spans="1:13" x14ac:dyDescent="0.2">
      <c r="A51" s="46" t="str">
        <f ca="1">IF($B51="","",MIN($B51*12,Segédlet!$G$70))</f>
        <v/>
      </c>
      <c r="B51" s="47" t="str">
        <f ca="1">Segédlet!$G94</f>
        <v/>
      </c>
      <c r="C51" s="48">
        <f ca="1">IF(Számítás_Ny!$G$1="OK",IF($B51="","",SUMIF(Számítás_Ny!$B$20:$B$1027,"="&amp;$B51,Számítás_Ny!$K$20:$K$1027)),0)</f>
        <v>0</v>
      </c>
      <c r="D51" s="48">
        <f ca="1">IF(Számítás_Ny!$G$1="OK",IF($B51="","",SUMIF(Tranzakciók!$B$32:$B$115,"="&amp;$B51,Tranzakciók!$K$32:$K$115)),0)</f>
        <v>0</v>
      </c>
      <c r="E51" s="48">
        <f ca="1">IF(Számítás_Ny!$G$1="OK",IF($B51="","",SUMIF(Számítás_Ny!$AA$20:$AA$1027,"="&amp;$B51,Számítás_Ny!$AK$20:$AK$1027)),0)</f>
        <v>0</v>
      </c>
      <c r="F51" s="48">
        <f ca="1">IF(Számítás_Ny!$G$1="OK",IF($B51="","",SUMIF(Számítás_Ny!$BE$20:$BE$1027,"="&amp;$B51,Számítás_Ny!$BJ$20:$BJ$1027)),0)</f>
        <v>0</v>
      </c>
      <c r="G51" s="49" t="str">
        <f t="shared" ca="1" si="0"/>
        <v/>
      </c>
      <c r="H51" s="48">
        <f ca="1">IF(Számítás_Ny!$G$1="OK",IF($B51="","",VLOOKUP($A51,Számítás_Ny!$A$20:$X$1027,23,0)),0)</f>
        <v>0</v>
      </c>
      <c r="I51" s="48">
        <f ca="1">IF(Számítás_Ny!$G$1="OK",IF($B51="","",VLOOKUP($A51,Számítás_Ny!$AO$20:$BB$1027,13,0)),0)</f>
        <v>0</v>
      </c>
      <c r="J51" s="48">
        <f ca="1">IF(Számítás_Ny!$G$1="OK",IF($B51="","",VLOOKUP($A51,Számítás_Ny!$Z$20:$AM$1027,13,0)),0)</f>
        <v>0</v>
      </c>
      <c r="K51" s="48">
        <f ca="1">IF(Számítás_Ny!$G$1="OK",IF($B51="","",VLOOKUP($A51,Számítás_Ny!$BD$20:$BP$1027,12,0)),0)</f>
        <v>0</v>
      </c>
      <c r="L51" s="49" t="str">
        <f t="shared" ca="1" si="1"/>
        <v/>
      </c>
      <c r="M51" s="50">
        <f ca="1">IF(Számítás_Ny!$G$1="OK",IF($B51="","",IF($B52="",$L51,VLOOKUP($A51,Számítás_Ny!$A$20:$X$1027,24,0)+VLOOKUP($A51,Számítás_Ny!$AO$20:$BB$1027,14,0)+VLOOKUP($A51,Számítás_Ny!$Z$20:$AM$1027,14,0)+VLOOKUP($A51,Számítás_Ny!$BD$20:$BP$1027,13,0))),0)</f>
        <v>0</v>
      </c>
    </row>
    <row r="52" spans="1:13" x14ac:dyDescent="0.2">
      <c r="A52" s="46" t="str">
        <f ca="1">IF($B52="","",MIN($B52*12,Segédlet!$G$70))</f>
        <v/>
      </c>
      <c r="B52" s="47" t="str">
        <f ca="1">Segédlet!$G95</f>
        <v/>
      </c>
      <c r="C52" s="48">
        <f ca="1">IF(Számítás_Ny!$G$1="OK",IF($B52="","",SUMIF(Számítás_Ny!$B$20:$B$1027,"="&amp;$B52,Számítás_Ny!$K$20:$K$1027)),0)</f>
        <v>0</v>
      </c>
      <c r="D52" s="48">
        <f ca="1">IF(Számítás_Ny!$G$1="OK",IF($B52="","",SUMIF(Tranzakciók!$B$32:$B$115,"="&amp;$B52,Tranzakciók!$K$32:$K$115)),0)</f>
        <v>0</v>
      </c>
      <c r="E52" s="48">
        <f ca="1">IF(Számítás_Ny!$G$1="OK",IF($B52="","",SUMIF(Számítás_Ny!$AA$20:$AA$1027,"="&amp;$B52,Számítás_Ny!$AK$20:$AK$1027)),0)</f>
        <v>0</v>
      </c>
      <c r="F52" s="48">
        <f ca="1">IF(Számítás_Ny!$G$1="OK",IF($B52="","",SUMIF(Számítás_Ny!$BE$20:$BE$1027,"="&amp;$B52,Számítás_Ny!$BJ$20:$BJ$1027)),0)</f>
        <v>0</v>
      </c>
      <c r="G52" s="49" t="str">
        <f t="shared" ca="1" si="0"/>
        <v/>
      </c>
      <c r="H52" s="48">
        <f ca="1">IF(Számítás_Ny!$G$1="OK",IF($B52="","",VLOOKUP($A52,Számítás_Ny!$A$20:$X$1027,23,0)),0)</f>
        <v>0</v>
      </c>
      <c r="I52" s="48">
        <f ca="1">IF(Számítás_Ny!$G$1="OK",IF($B52="","",VLOOKUP($A52,Számítás_Ny!$AO$20:$BB$1027,13,0)),0)</f>
        <v>0</v>
      </c>
      <c r="J52" s="48">
        <f ca="1">IF(Számítás_Ny!$G$1="OK",IF($B52="","",VLOOKUP($A52,Számítás_Ny!$Z$20:$AM$1027,13,0)),0)</f>
        <v>0</v>
      </c>
      <c r="K52" s="48">
        <f ca="1">IF(Számítás_Ny!$G$1="OK",IF($B52="","",VLOOKUP($A52,Számítás_Ny!$BD$20:$BP$1027,12,0)),0)</f>
        <v>0</v>
      </c>
      <c r="L52" s="49" t="str">
        <f t="shared" ca="1" si="1"/>
        <v/>
      </c>
      <c r="M52" s="50">
        <f ca="1">IF(Számítás_Ny!$G$1="OK",IF($B52="","",IF($B53="",$L52,VLOOKUP($A52,Számítás_Ny!$A$20:$X$1027,24,0)+VLOOKUP($A52,Számítás_Ny!$AO$20:$BB$1027,14,0)+VLOOKUP($A52,Számítás_Ny!$Z$20:$AM$1027,14,0)+VLOOKUP($A52,Számítás_Ny!$BD$20:$BP$1027,13,0))),0)</f>
        <v>0</v>
      </c>
    </row>
    <row r="53" spans="1:13" x14ac:dyDescent="0.2">
      <c r="A53" s="46" t="str">
        <f ca="1">IF($B53="","",MIN($B53*12,Segédlet!$G$70))</f>
        <v/>
      </c>
      <c r="B53" s="47" t="str">
        <f ca="1">Segédlet!$G96</f>
        <v/>
      </c>
      <c r="C53" s="48">
        <f ca="1">IF(Számítás_Ny!$G$1="OK",IF($B53="","",SUMIF(Számítás_Ny!$B$20:$B$1027,"="&amp;$B53,Számítás_Ny!$K$20:$K$1027)),0)</f>
        <v>0</v>
      </c>
      <c r="D53" s="48">
        <f ca="1">IF(Számítás_Ny!$G$1="OK",IF($B53="","",SUMIF(Tranzakciók!$B$32:$B$115,"="&amp;$B53,Tranzakciók!$K$32:$K$115)),0)</f>
        <v>0</v>
      </c>
      <c r="E53" s="48">
        <f ca="1">IF(Számítás_Ny!$G$1="OK",IF($B53="","",SUMIF(Számítás_Ny!$AA$20:$AA$1027,"="&amp;$B53,Számítás_Ny!$AK$20:$AK$1027)),0)</f>
        <v>0</v>
      </c>
      <c r="F53" s="48">
        <f ca="1">IF(Számítás_Ny!$G$1="OK",IF($B53="","",SUMIF(Számítás_Ny!$BE$20:$BE$1027,"="&amp;$B53,Számítás_Ny!$BJ$20:$BJ$1027)),0)</f>
        <v>0</v>
      </c>
      <c r="G53" s="49" t="str">
        <f t="shared" ca="1" si="0"/>
        <v/>
      </c>
      <c r="H53" s="48">
        <f ca="1">IF(Számítás_Ny!$G$1="OK",IF($B53="","",VLOOKUP($A53,Számítás_Ny!$A$20:$X$1027,23,0)),0)</f>
        <v>0</v>
      </c>
      <c r="I53" s="48">
        <f ca="1">IF(Számítás_Ny!$G$1="OK",IF($B53="","",VLOOKUP($A53,Számítás_Ny!$AO$20:$BB$1027,13,0)),0)</f>
        <v>0</v>
      </c>
      <c r="J53" s="48">
        <f ca="1">IF(Számítás_Ny!$G$1="OK",IF($B53="","",VLOOKUP($A53,Számítás_Ny!$Z$20:$AM$1027,13,0)),0)</f>
        <v>0</v>
      </c>
      <c r="K53" s="48">
        <f ca="1">IF(Számítás_Ny!$G$1="OK",IF($B53="","",VLOOKUP($A53,Számítás_Ny!$BD$20:$BP$1027,12,0)),0)</f>
        <v>0</v>
      </c>
      <c r="L53" s="49" t="str">
        <f t="shared" ca="1" si="1"/>
        <v/>
      </c>
      <c r="M53" s="50">
        <f ca="1">IF(Számítás_Ny!$G$1="OK",IF($B53="","",IF($B54="",$L53,VLOOKUP($A53,Számítás_Ny!$A$20:$X$1027,24,0)+VLOOKUP($A53,Számítás_Ny!$AO$20:$BB$1027,14,0)+VLOOKUP($A53,Számítás_Ny!$Z$20:$AM$1027,14,0)+VLOOKUP($A53,Számítás_Ny!$BD$20:$BP$1027,13,0))),0)</f>
        <v>0</v>
      </c>
    </row>
    <row r="54" spans="1:13" x14ac:dyDescent="0.2">
      <c r="A54" s="46" t="str">
        <f ca="1">IF($B54="","",MIN($B54*12,Segédlet!$G$70))</f>
        <v/>
      </c>
      <c r="B54" s="47" t="str">
        <f ca="1">Segédlet!$G97</f>
        <v/>
      </c>
      <c r="C54" s="48">
        <f ca="1">IF(Számítás_Ny!$G$1="OK",IF($B54="","",SUMIF(Számítás_Ny!$B$20:$B$1027,"="&amp;$B54,Számítás_Ny!$K$20:$K$1027)),0)</f>
        <v>0</v>
      </c>
      <c r="D54" s="48">
        <f ca="1">IF(Számítás_Ny!$G$1="OK",IF($B54="","",SUMIF(Tranzakciók!$B$32:$B$115,"="&amp;$B54,Tranzakciók!$K$32:$K$115)),0)</f>
        <v>0</v>
      </c>
      <c r="E54" s="48">
        <f ca="1">IF(Számítás_Ny!$G$1="OK",IF($B54="","",SUMIF(Számítás_Ny!$AA$20:$AA$1027,"="&amp;$B54,Számítás_Ny!$AK$20:$AK$1027)),0)</f>
        <v>0</v>
      </c>
      <c r="F54" s="48">
        <f ca="1">IF(Számítás_Ny!$G$1="OK",IF($B54="","",SUMIF(Számítás_Ny!$BE$20:$BE$1027,"="&amp;$B54,Számítás_Ny!$BJ$20:$BJ$1027)),0)</f>
        <v>0</v>
      </c>
      <c r="G54" s="49" t="str">
        <f t="shared" ca="1" si="0"/>
        <v/>
      </c>
      <c r="H54" s="48">
        <f ca="1">IF(Számítás_Ny!$G$1="OK",IF($B54="","",VLOOKUP($A54,Számítás_Ny!$A$20:$X$1027,23,0)),0)</f>
        <v>0</v>
      </c>
      <c r="I54" s="48">
        <f ca="1">IF(Számítás_Ny!$G$1="OK",IF($B54="","",VLOOKUP($A54,Számítás_Ny!$AO$20:$BB$1027,13,0)),0)</f>
        <v>0</v>
      </c>
      <c r="J54" s="48">
        <f ca="1">IF(Számítás_Ny!$G$1="OK",IF($B54="","",VLOOKUP($A54,Számítás_Ny!$Z$20:$AM$1027,13,0)),0)</f>
        <v>0</v>
      </c>
      <c r="K54" s="48">
        <f ca="1">IF(Számítás_Ny!$G$1="OK",IF($B54="","",VLOOKUP($A54,Számítás_Ny!$BD$20:$BP$1027,12,0)),0)</f>
        <v>0</v>
      </c>
      <c r="L54" s="49" t="str">
        <f t="shared" ca="1" si="1"/>
        <v/>
      </c>
      <c r="M54" s="50">
        <f ca="1">IF(Számítás_Ny!$G$1="OK",IF($B54="","",IF($B55="",$L54,VLOOKUP($A54,Számítás_Ny!$A$20:$X$1027,24,0)+VLOOKUP($A54,Számítás_Ny!$AO$20:$BB$1027,14,0)+VLOOKUP($A54,Számítás_Ny!$Z$20:$AM$1027,14,0)+VLOOKUP($A54,Számítás_Ny!$BD$20:$BP$1027,13,0))),0)</f>
        <v>0</v>
      </c>
    </row>
    <row r="55" spans="1:13" x14ac:dyDescent="0.2">
      <c r="A55" s="46" t="str">
        <f ca="1">IF($B55="","",MIN($B55*12,Segédlet!$G$70))</f>
        <v/>
      </c>
      <c r="B55" s="47" t="str">
        <f ca="1">Segédlet!$G98</f>
        <v/>
      </c>
      <c r="C55" s="48">
        <f ca="1">IF(Számítás_Ny!$G$1="OK",IF($B55="","",SUMIF(Számítás_Ny!$B$20:$B$1027,"="&amp;$B55,Számítás_Ny!$K$20:$K$1027)),0)</f>
        <v>0</v>
      </c>
      <c r="D55" s="48">
        <f ca="1">IF(Számítás_Ny!$G$1="OK",IF($B55="","",SUMIF(Tranzakciók!$B$32:$B$115,"="&amp;$B55,Tranzakciók!$K$32:$K$115)),0)</f>
        <v>0</v>
      </c>
      <c r="E55" s="48">
        <f ca="1">IF(Számítás_Ny!$G$1="OK",IF($B55="","",SUMIF(Számítás_Ny!$AA$20:$AA$1027,"="&amp;$B55,Számítás_Ny!$AK$20:$AK$1027)),0)</f>
        <v>0</v>
      </c>
      <c r="F55" s="48">
        <f ca="1">IF(Számítás_Ny!$G$1="OK",IF($B55="","",SUMIF(Számítás_Ny!$BE$20:$BE$1027,"="&amp;$B55,Számítás_Ny!$BJ$20:$BJ$1027)),0)</f>
        <v>0</v>
      </c>
      <c r="G55" s="49" t="str">
        <f t="shared" ca="1" si="0"/>
        <v/>
      </c>
      <c r="H55" s="48">
        <f ca="1">IF(Számítás_Ny!$G$1="OK",IF($B55="","",VLOOKUP($A55,Számítás_Ny!$A$20:$X$1027,23,0)),0)</f>
        <v>0</v>
      </c>
      <c r="I55" s="48">
        <f ca="1">IF(Számítás_Ny!$G$1="OK",IF($B55="","",VLOOKUP($A55,Számítás_Ny!$AO$20:$BB$1027,13,0)),0)</f>
        <v>0</v>
      </c>
      <c r="J55" s="48">
        <f ca="1">IF(Számítás_Ny!$G$1="OK",IF($B55="","",VLOOKUP($A55,Számítás_Ny!$Z$20:$AM$1027,13,0)),0)</f>
        <v>0</v>
      </c>
      <c r="K55" s="48">
        <f ca="1">IF(Számítás_Ny!$G$1="OK",IF($B55="","",VLOOKUP($A55,Számítás_Ny!$BD$20:$BP$1027,12,0)),0)</f>
        <v>0</v>
      </c>
      <c r="L55" s="49" t="str">
        <f t="shared" ca="1" si="1"/>
        <v/>
      </c>
      <c r="M55" s="50">
        <f ca="1">IF(Számítás_Ny!$G$1="OK",IF($B55="","",IF($B56="",$L55,VLOOKUP($A55,Számítás_Ny!$A$20:$X$1027,24,0)+VLOOKUP($A55,Számítás_Ny!$AO$20:$BB$1027,14,0)+VLOOKUP($A55,Számítás_Ny!$Z$20:$AM$1027,14,0)+VLOOKUP($A55,Számítás_Ny!$BD$20:$BP$1027,13,0))),0)</f>
        <v>0</v>
      </c>
    </row>
    <row r="56" spans="1:13" x14ac:dyDescent="0.2">
      <c r="A56" s="46" t="str">
        <f ca="1">IF($B56="","",MIN($B56*12,Segédlet!$G$70))</f>
        <v/>
      </c>
      <c r="B56" s="47" t="str">
        <f ca="1">Segédlet!$G99</f>
        <v/>
      </c>
      <c r="C56" s="48">
        <f ca="1">IF(Számítás_Ny!$G$1="OK",IF($B56="","",SUMIF(Számítás_Ny!$B$20:$B$1027,"="&amp;$B56,Számítás_Ny!$K$20:$K$1027)),0)</f>
        <v>0</v>
      </c>
      <c r="D56" s="48">
        <f ca="1">IF(Számítás_Ny!$G$1="OK",IF($B56="","",SUMIF(Tranzakciók!$B$32:$B$115,"="&amp;$B56,Tranzakciók!$K$32:$K$115)),0)</f>
        <v>0</v>
      </c>
      <c r="E56" s="48">
        <f ca="1">IF(Számítás_Ny!$G$1="OK",IF($B56="","",SUMIF(Számítás_Ny!$AA$20:$AA$1027,"="&amp;$B56,Számítás_Ny!$AK$20:$AK$1027)),0)</f>
        <v>0</v>
      </c>
      <c r="F56" s="48">
        <f ca="1">IF(Számítás_Ny!$G$1="OK",IF($B56="","",SUMIF(Számítás_Ny!$BE$20:$BE$1027,"="&amp;$B56,Számítás_Ny!$BJ$20:$BJ$1027)),0)</f>
        <v>0</v>
      </c>
      <c r="G56" s="49" t="str">
        <f t="shared" ca="1" si="0"/>
        <v/>
      </c>
      <c r="H56" s="48">
        <f ca="1">IF(Számítás_Ny!$G$1="OK",IF($B56="","",VLOOKUP($A56,Számítás_Ny!$A$20:$X$1027,23,0)),0)</f>
        <v>0</v>
      </c>
      <c r="I56" s="48">
        <f ca="1">IF(Számítás_Ny!$G$1="OK",IF($B56="","",VLOOKUP($A56,Számítás_Ny!$AO$20:$BB$1027,13,0)),0)</f>
        <v>0</v>
      </c>
      <c r="J56" s="48">
        <f ca="1">IF(Számítás_Ny!$G$1="OK",IF($B56="","",VLOOKUP($A56,Számítás_Ny!$Z$20:$AM$1027,13,0)),0)</f>
        <v>0</v>
      </c>
      <c r="K56" s="48">
        <f ca="1">IF(Számítás_Ny!$G$1="OK",IF($B56="","",VLOOKUP($A56,Számítás_Ny!$BD$20:$BP$1027,12,0)),0)</f>
        <v>0</v>
      </c>
      <c r="L56" s="49" t="str">
        <f t="shared" ca="1" si="1"/>
        <v/>
      </c>
      <c r="M56" s="50">
        <f ca="1">IF(Számítás_Ny!$G$1="OK",IF($B56="","",IF($B57="",$L56,VLOOKUP($A56,Számítás_Ny!$A$20:$X$1027,24,0)+VLOOKUP($A56,Számítás_Ny!$AO$20:$BB$1027,14,0)+VLOOKUP($A56,Számítás_Ny!$Z$20:$AM$1027,14,0)+VLOOKUP($A56,Számítás_Ny!$BD$20:$BP$1027,13,0))),0)</f>
        <v>0</v>
      </c>
    </row>
    <row r="57" spans="1:13" x14ac:dyDescent="0.2">
      <c r="A57" s="46" t="str">
        <f ca="1">IF($B57="","",MIN($B57*12,Segédlet!$G$70))</f>
        <v/>
      </c>
      <c r="B57" s="47" t="str">
        <f ca="1">Segédlet!$G100</f>
        <v/>
      </c>
      <c r="C57" s="48">
        <f ca="1">IF(Számítás_Ny!$G$1="OK",IF($B57="","",SUMIF(Számítás_Ny!$B$20:$B$1027,"="&amp;$B57,Számítás_Ny!$K$20:$K$1027)),0)</f>
        <v>0</v>
      </c>
      <c r="D57" s="48">
        <f ca="1">IF(Számítás_Ny!$G$1="OK",IF($B57="","",SUMIF(Tranzakciók!$B$32:$B$115,"="&amp;$B57,Tranzakciók!$K$32:$K$115)),0)</f>
        <v>0</v>
      </c>
      <c r="E57" s="48">
        <f ca="1">IF(Számítás_Ny!$G$1="OK",IF($B57="","",SUMIF(Számítás_Ny!$AA$20:$AA$1027,"="&amp;$B57,Számítás_Ny!$AK$20:$AK$1027)),0)</f>
        <v>0</v>
      </c>
      <c r="F57" s="48">
        <f ca="1">IF(Számítás_Ny!$G$1="OK",IF($B57="","",SUMIF(Számítás_Ny!$BE$20:$BE$1027,"="&amp;$B57,Számítás_Ny!$BJ$20:$BJ$1027)),0)</f>
        <v>0</v>
      </c>
      <c r="G57" s="49" t="str">
        <f t="shared" ca="1" si="0"/>
        <v/>
      </c>
      <c r="H57" s="48">
        <f ca="1">IF(Számítás_Ny!$G$1="OK",IF($B57="","",VLOOKUP($A57,Számítás_Ny!$A$20:$X$1027,23,0)),0)</f>
        <v>0</v>
      </c>
      <c r="I57" s="48">
        <f ca="1">IF(Számítás_Ny!$G$1="OK",IF($B57="","",VLOOKUP($A57,Számítás_Ny!$AO$20:$BB$1027,13,0)),0)</f>
        <v>0</v>
      </c>
      <c r="J57" s="48">
        <f ca="1">IF(Számítás_Ny!$G$1="OK",IF($B57="","",VLOOKUP($A57,Számítás_Ny!$Z$20:$AM$1027,13,0)),0)</f>
        <v>0</v>
      </c>
      <c r="K57" s="48">
        <f ca="1">IF(Számítás_Ny!$G$1="OK",IF($B57="","",VLOOKUP($A57,Számítás_Ny!$BD$20:$BP$1027,12,0)),0)</f>
        <v>0</v>
      </c>
      <c r="L57" s="49" t="str">
        <f t="shared" ca="1" si="1"/>
        <v/>
      </c>
      <c r="M57" s="50">
        <f ca="1">IF(Számítás_Ny!$G$1="OK",IF($B57="","",IF($B58="",$L57,VLOOKUP($A57,Számítás_Ny!$A$20:$X$1027,24,0)+VLOOKUP($A57,Számítás_Ny!$AO$20:$BB$1027,14,0)+VLOOKUP($A57,Számítás_Ny!$Z$20:$AM$1027,14,0)+VLOOKUP($A57,Számítás_Ny!$BD$20:$BP$1027,13,0))),0)</f>
        <v>0</v>
      </c>
    </row>
    <row r="58" spans="1:13" x14ac:dyDescent="0.2">
      <c r="A58" s="46" t="str">
        <f ca="1">IF($B58="","",MIN($B58*12,Segédlet!$G$70))</f>
        <v/>
      </c>
      <c r="B58" s="47" t="str">
        <f ca="1">Segédlet!$G101</f>
        <v/>
      </c>
      <c r="C58" s="48">
        <f ca="1">IF(Számítás_Ny!$G$1="OK",IF($B58="","",SUMIF(Számítás_Ny!$B$20:$B$1027,"="&amp;$B58,Számítás_Ny!$K$20:$K$1027)),0)</f>
        <v>0</v>
      </c>
      <c r="D58" s="48">
        <f ca="1">IF(Számítás_Ny!$G$1="OK",IF($B58="","",SUMIF(Tranzakciók!$B$32:$B$115,"="&amp;$B58,Tranzakciók!$K$32:$K$115)),0)</f>
        <v>0</v>
      </c>
      <c r="E58" s="48">
        <f ca="1">IF(Számítás_Ny!$G$1="OK",IF($B58="","",SUMIF(Számítás_Ny!$AA$20:$AA$1027,"="&amp;$B58,Számítás_Ny!$AK$20:$AK$1027)),0)</f>
        <v>0</v>
      </c>
      <c r="F58" s="48">
        <f ca="1">IF(Számítás_Ny!$G$1="OK",IF($B58="","",SUMIF(Számítás_Ny!$BE$20:$BE$1027,"="&amp;$B58,Számítás_Ny!$BJ$20:$BJ$1027)),0)</f>
        <v>0</v>
      </c>
      <c r="G58" s="49" t="str">
        <f t="shared" ca="1" si="0"/>
        <v/>
      </c>
      <c r="H58" s="48">
        <f ca="1">IF(Számítás_Ny!$G$1="OK",IF($B58="","",VLOOKUP($A58,Számítás_Ny!$A$20:$X$1027,23,0)),0)</f>
        <v>0</v>
      </c>
      <c r="I58" s="48">
        <f ca="1">IF(Számítás_Ny!$G$1="OK",IF($B58="","",VLOOKUP($A58,Számítás_Ny!$AO$20:$BB$1027,13,0)),0)</f>
        <v>0</v>
      </c>
      <c r="J58" s="48">
        <f ca="1">IF(Számítás_Ny!$G$1="OK",IF($B58="","",VLOOKUP($A58,Számítás_Ny!$Z$20:$AM$1027,13,0)),0)</f>
        <v>0</v>
      </c>
      <c r="K58" s="48">
        <f ca="1">IF(Számítás_Ny!$G$1="OK",IF($B58="","",VLOOKUP($A58,Számítás_Ny!$BD$20:$BP$1027,12,0)),0)</f>
        <v>0</v>
      </c>
      <c r="L58" s="49" t="str">
        <f t="shared" ca="1" si="1"/>
        <v/>
      </c>
      <c r="M58" s="50">
        <f ca="1">IF(Számítás_Ny!$G$1="OK",IF($B58="","",IF($B59="",$L58,VLOOKUP($A58,Számítás_Ny!$A$20:$X$1027,24,0)+VLOOKUP($A58,Számítás_Ny!$AO$20:$BB$1027,14,0)+VLOOKUP($A58,Számítás_Ny!$Z$20:$AM$1027,14,0)+VLOOKUP($A58,Számítás_Ny!$BD$20:$BP$1027,13,0))),0)</f>
        <v>0</v>
      </c>
    </row>
    <row r="59" spans="1:13" x14ac:dyDescent="0.2">
      <c r="A59" s="46" t="str">
        <f ca="1">IF($B59="","",MIN($B59*12,Segédlet!$G$70))</f>
        <v/>
      </c>
      <c r="B59" s="47" t="str">
        <f ca="1">Segédlet!$G102</f>
        <v/>
      </c>
      <c r="C59" s="48">
        <f ca="1">IF(Számítás_Ny!$G$1="OK",IF($B59="","",SUMIF(Számítás_Ny!$B$20:$B$1027,"="&amp;$B59,Számítás_Ny!$K$20:$K$1027)),0)</f>
        <v>0</v>
      </c>
      <c r="D59" s="48">
        <f ca="1">IF(Számítás_Ny!$G$1="OK",IF($B59="","",SUMIF(Tranzakciók!$B$32:$B$115,"="&amp;$B59,Tranzakciók!$K$32:$K$115)),0)</f>
        <v>0</v>
      </c>
      <c r="E59" s="48">
        <f ca="1">IF(Számítás_Ny!$G$1="OK",IF($B59="","",SUMIF(Számítás_Ny!$AA$20:$AA$1027,"="&amp;$B59,Számítás_Ny!$AK$20:$AK$1027)),0)</f>
        <v>0</v>
      </c>
      <c r="F59" s="48">
        <f ca="1">IF(Számítás_Ny!$G$1="OK",IF($B59="","",SUMIF(Számítás_Ny!$BE$20:$BE$1027,"="&amp;$B59,Számítás_Ny!$BJ$20:$BJ$1027)),0)</f>
        <v>0</v>
      </c>
      <c r="G59" s="49" t="str">
        <f t="shared" ca="1" si="0"/>
        <v/>
      </c>
      <c r="H59" s="48">
        <f ca="1">IF(Számítás_Ny!$G$1="OK",IF($B59="","",VLOOKUP($A59,Számítás_Ny!$A$20:$X$1027,23,0)),0)</f>
        <v>0</v>
      </c>
      <c r="I59" s="48">
        <f ca="1">IF(Számítás_Ny!$G$1="OK",IF($B59="","",VLOOKUP($A59,Számítás_Ny!$AO$20:$BB$1027,13,0)),0)</f>
        <v>0</v>
      </c>
      <c r="J59" s="48">
        <f ca="1">IF(Számítás_Ny!$G$1="OK",IF($B59="","",VLOOKUP($A59,Számítás_Ny!$Z$20:$AM$1027,13,0)),0)</f>
        <v>0</v>
      </c>
      <c r="K59" s="48">
        <f ca="1">IF(Számítás_Ny!$G$1="OK",IF($B59="","",VLOOKUP($A59,Számítás_Ny!$BD$20:$BP$1027,12,0)),0)</f>
        <v>0</v>
      </c>
      <c r="L59" s="49" t="str">
        <f t="shared" ca="1" si="1"/>
        <v/>
      </c>
      <c r="M59" s="50">
        <f ca="1">IF(Számítás_Ny!$G$1="OK",IF($B59="","",IF($B60="",$L59,VLOOKUP($A59,Számítás_Ny!$A$20:$X$1027,24,0)+VLOOKUP($A59,Számítás_Ny!$AO$20:$BB$1027,14,0)+VLOOKUP($A59,Számítás_Ny!$Z$20:$AM$1027,14,0)+VLOOKUP($A59,Számítás_Ny!$BD$20:$BP$1027,13,0))),0)</f>
        <v>0</v>
      </c>
    </row>
    <row r="60" spans="1:13" x14ac:dyDescent="0.2">
      <c r="A60" s="46" t="str">
        <f ca="1">IF($B60="","",MIN($B60*12,Segédlet!$G$70))</f>
        <v/>
      </c>
      <c r="B60" s="47" t="str">
        <f ca="1">Segédlet!$G103</f>
        <v/>
      </c>
      <c r="C60" s="48">
        <f ca="1">IF(Számítás_Ny!$G$1="OK",IF($B60="","",SUMIF(Számítás_Ny!$B$20:$B$1027,"="&amp;$B60,Számítás_Ny!$K$20:$K$1027)),0)</f>
        <v>0</v>
      </c>
      <c r="D60" s="48">
        <f ca="1">IF(Számítás_Ny!$G$1="OK",IF($B60="","",SUMIF(Tranzakciók!$B$32:$B$115,"="&amp;$B60,Tranzakciók!$K$32:$K$115)),0)</f>
        <v>0</v>
      </c>
      <c r="E60" s="48">
        <f ca="1">IF(Számítás_Ny!$G$1="OK",IF($B60="","",SUMIF(Számítás_Ny!$AA$20:$AA$1027,"="&amp;$B60,Számítás_Ny!$AK$20:$AK$1027)),0)</f>
        <v>0</v>
      </c>
      <c r="F60" s="48">
        <f ca="1">IF(Számítás_Ny!$G$1="OK",IF($B60="","",SUMIF(Számítás_Ny!$BE$20:$BE$1027,"="&amp;$B60,Számítás_Ny!$BJ$20:$BJ$1027)),0)</f>
        <v>0</v>
      </c>
      <c r="G60" s="49" t="str">
        <f t="shared" ca="1" si="0"/>
        <v/>
      </c>
      <c r="H60" s="48">
        <f ca="1">IF(Számítás_Ny!$G$1="OK",IF($B60="","",VLOOKUP($A60,Számítás_Ny!$A$20:$X$1027,23,0)),0)</f>
        <v>0</v>
      </c>
      <c r="I60" s="48">
        <f ca="1">IF(Számítás_Ny!$G$1="OK",IF($B60="","",VLOOKUP($A60,Számítás_Ny!$AO$20:$BB$1027,13,0)),0)</f>
        <v>0</v>
      </c>
      <c r="J60" s="48">
        <f ca="1">IF(Számítás_Ny!$G$1="OK",IF($B60="","",VLOOKUP($A60,Számítás_Ny!$Z$20:$AM$1027,13,0)),0)</f>
        <v>0</v>
      </c>
      <c r="K60" s="48">
        <f ca="1">IF(Számítás_Ny!$G$1="OK",IF($B60="","",VLOOKUP($A60,Számítás_Ny!$BD$20:$BP$1027,12,0)),0)</f>
        <v>0</v>
      </c>
      <c r="L60" s="49" t="str">
        <f t="shared" ca="1" si="1"/>
        <v/>
      </c>
      <c r="M60" s="50">
        <f ca="1">IF(Számítás_Ny!$G$1="OK",IF($B60="","",IF($B61="",$L60,VLOOKUP($A60,Számítás_Ny!$A$20:$X$1027,24,0)+VLOOKUP($A60,Számítás_Ny!$AO$20:$BB$1027,14,0)+VLOOKUP($A60,Számítás_Ny!$Z$20:$AM$1027,14,0)+VLOOKUP($A60,Számítás_Ny!$BD$20:$BP$1027,13,0))),0)</f>
        <v>0</v>
      </c>
    </row>
    <row r="61" spans="1:13" x14ac:dyDescent="0.2">
      <c r="A61" s="46" t="str">
        <f ca="1">IF($B61="","",MIN($B61*12,Segédlet!$G$70))</f>
        <v/>
      </c>
      <c r="B61" s="47" t="str">
        <f ca="1">Segédlet!$G104</f>
        <v/>
      </c>
      <c r="C61" s="48">
        <f ca="1">IF(Számítás_Ny!$G$1="OK",IF($B61="","",SUMIF(Számítás_Ny!$B$20:$B$1027,"="&amp;$B61,Számítás_Ny!$K$20:$K$1027)),0)</f>
        <v>0</v>
      </c>
      <c r="D61" s="48">
        <f ca="1">IF(Számítás_Ny!$G$1="OK",IF($B61="","",SUMIF(Tranzakciók!$B$32:$B$115,"="&amp;$B61,Tranzakciók!$K$32:$K$115)),0)</f>
        <v>0</v>
      </c>
      <c r="E61" s="48">
        <f ca="1">IF(Számítás_Ny!$G$1="OK",IF($B61="","",SUMIF(Számítás_Ny!$AA$20:$AA$1027,"="&amp;$B61,Számítás_Ny!$AK$20:$AK$1027)),0)</f>
        <v>0</v>
      </c>
      <c r="F61" s="48">
        <f ca="1">IF(Számítás_Ny!$G$1="OK",IF($B61="","",SUMIF(Számítás_Ny!$BE$20:$BE$1027,"="&amp;$B61,Számítás_Ny!$BJ$20:$BJ$1027)),0)</f>
        <v>0</v>
      </c>
      <c r="G61" s="49" t="str">
        <f t="shared" ca="1" si="0"/>
        <v/>
      </c>
      <c r="H61" s="48">
        <f ca="1">IF(Számítás_Ny!$G$1="OK",IF($B61="","",VLOOKUP($A61,Számítás_Ny!$A$20:$X$1027,23,0)),0)</f>
        <v>0</v>
      </c>
      <c r="I61" s="48">
        <f ca="1">IF(Számítás_Ny!$G$1="OK",IF($B61="","",VLOOKUP($A61,Számítás_Ny!$AO$20:$BB$1027,13,0)),0)</f>
        <v>0</v>
      </c>
      <c r="J61" s="48">
        <f ca="1">IF(Számítás_Ny!$G$1="OK",IF($B61="","",VLOOKUP($A61,Számítás_Ny!$Z$20:$AM$1027,13,0)),0)</f>
        <v>0</v>
      </c>
      <c r="K61" s="48">
        <f ca="1">IF(Számítás_Ny!$G$1="OK",IF($B61="","",VLOOKUP($A61,Számítás_Ny!$BD$20:$BP$1027,12,0)),0)</f>
        <v>0</v>
      </c>
      <c r="L61" s="49" t="str">
        <f t="shared" ca="1" si="1"/>
        <v/>
      </c>
      <c r="M61" s="50">
        <f ca="1">IF(Számítás_Ny!$G$1="OK",IF($B61="","",IF($B62="",$L61,VLOOKUP($A61,Számítás_Ny!$A$20:$X$1027,24,0)+VLOOKUP($A61,Számítás_Ny!$AO$20:$BB$1027,14,0)+VLOOKUP($A61,Számítás_Ny!$Z$20:$AM$1027,14,0)+VLOOKUP($A61,Számítás_Ny!$BD$20:$BP$1027,13,0))),0)</f>
        <v>0</v>
      </c>
    </row>
    <row r="62" spans="1:13" x14ac:dyDescent="0.2">
      <c r="A62" s="46" t="str">
        <f ca="1">IF($B62="","",MIN($B62*12,Segédlet!$G$70))</f>
        <v/>
      </c>
      <c r="B62" s="47" t="str">
        <f ca="1">Segédlet!$G105</f>
        <v/>
      </c>
      <c r="C62" s="48">
        <f ca="1">IF(Számítás_Ny!$G$1="OK",IF($B62="","",SUMIF(Számítás_Ny!$B$20:$B$1027,"="&amp;$B62,Számítás_Ny!$K$20:$K$1027)),0)</f>
        <v>0</v>
      </c>
      <c r="D62" s="48">
        <f ca="1">IF(Számítás_Ny!$G$1="OK",IF($B62="","",SUMIF(Tranzakciók!$B$32:$B$115,"="&amp;$B62,Tranzakciók!$K$32:$K$115)),0)</f>
        <v>0</v>
      </c>
      <c r="E62" s="48">
        <f ca="1">IF(Számítás_Ny!$G$1="OK",IF($B62="","",SUMIF(Számítás_Ny!$AA$20:$AA$1027,"="&amp;$B62,Számítás_Ny!$AK$20:$AK$1027)),0)</f>
        <v>0</v>
      </c>
      <c r="F62" s="48">
        <f ca="1">IF(Számítás_Ny!$G$1="OK",IF($B62="","",SUMIF(Számítás_Ny!$BE$20:$BE$1027,"="&amp;$B62,Számítás_Ny!$BJ$20:$BJ$1027)),0)</f>
        <v>0</v>
      </c>
      <c r="G62" s="49" t="str">
        <f t="shared" ca="1" si="0"/>
        <v/>
      </c>
      <c r="H62" s="48">
        <f ca="1">IF(Számítás_Ny!$G$1="OK",IF($B62="","",VLOOKUP($A62,Számítás_Ny!$A$20:$X$1027,23,0)),0)</f>
        <v>0</v>
      </c>
      <c r="I62" s="48">
        <f ca="1">IF(Számítás_Ny!$G$1="OK",IF($B62="","",VLOOKUP($A62,Számítás_Ny!$AO$20:$BB$1027,13,0)),0)</f>
        <v>0</v>
      </c>
      <c r="J62" s="48">
        <f ca="1">IF(Számítás_Ny!$G$1="OK",IF($B62="","",VLOOKUP($A62,Számítás_Ny!$Z$20:$AM$1027,13,0)),0)</f>
        <v>0</v>
      </c>
      <c r="K62" s="48">
        <f ca="1">IF(Számítás_Ny!$G$1="OK",IF($B62="","",VLOOKUP($A62,Számítás_Ny!$BD$20:$BP$1027,12,0)),0)</f>
        <v>0</v>
      </c>
      <c r="L62" s="49" t="str">
        <f t="shared" ca="1" si="1"/>
        <v/>
      </c>
      <c r="M62" s="50">
        <f ca="1">IF(Számítás_Ny!$G$1="OK",IF($B62="","",IF($B63="",$L62,VLOOKUP($A62,Számítás_Ny!$A$20:$X$1027,24,0)+VLOOKUP($A62,Számítás_Ny!$AO$20:$BB$1027,14,0)+VLOOKUP($A62,Számítás_Ny!$Z$20:$AM$1027,14,0)+VLOOKUP($A62,Számítás_Ny!$BD$20:$BP$1027,13,0))),0)</f>
        <v>0</v>
      </c>
    </row>
    <row r="63" spans="1:13" x14ac:dyDescent="0.2">
      <c r="A63" s="46" t="str">
        <f ca="1">IF($B63="","",MIN($B63*12,Segédlet!$G$70))</f>
        <v/>
      </c>
      <c r="B63" s="47" t="str">
        <f ca="1">Segédlet!$G106</f>
        <v/>
      </c>
      <c r="C63" s="48">
        <f ca="1">IF(Számítás_Ny!$G$1="OK",IF($B63="","",SUMIF(Számítás_Ny!$B$20:$B$1027,"="&amp;$B63,Számítás_Ny!$K$20:$K$1027)),0)</f>
        <v>0</v>
      </c>
      <c r="D63" s="48">
        <f ca="1">IF(Számítás_Ny!$G$1="OK",IF($B63="","",SUMIF(Tranzakciók!$B$32:$B$115,"="&amp;$B63,Tranzakciók!$K$32:$K$115)),0)</f>
        <v>0</v>
      </c>
      <c r="E63" s="48">
        <f ca="1">IF(Számítás_Ny!$G$1="OK",IF($B63="","",SUMIF(Számítás_Ny!$AA$20:$AA$1027,"="&amp;$B63,Számítás_Ny!$AK$20:$AK$1027)),0)</f>
        <v>0</v>
      </c>
      <c r="F63" s="48">
        <f ca="1">IF(Számítás_Ny!$G$1="OK",IF($B63="","",SUMIF(Számítás_Ny!$BE$20:$BE$1027,"="&amp;$B63,Számítás_Ny!$BJ$20:$BJ$1027)),0)</f>
        <v>0</v>
      </c>
      <c r="G63" s="49" t="str">
        <f t="shared" ca="1" si="0"/>
        <v/>
      </c>
      <c r="H63" s="48">
        <f ca="1">IF(Számítás_Ny!$G$1="OK",IF($B63="","",VLOOKUP($A63,Számítás_Ny!$A$20:$X$1027,23,0)),0)</f>
        <v>0</v>
      </c>
      <c r="I63" s="48">
        <f ca="1">IF(Számítás_Ny!$G$1="OK",IF($B63="","",VLOOKUP($A63,Számítás_Ny!$AO$20:$BB$1027,13,0)),0)</f>
        <v>0</v>
      </c>
      <c r="J63" s="48">
        <f ca="1">IF(Számítás_Ny!$G$1="OK",IF($B63="","",VLOOKUP($A63,Számítás_Ny!$Z$20:$AM$1027,13,0)),0)</f>
        <v>0</v>
      </c>
      <c r="K63" s="48">
        <f ca="1">IF(Számítás_Ny!$G$1="OK",IF($B63="","",VLOOKUP($A63,Számítás_Ny!$BD$20:$BP$1027,12,0)),0)</f>
        <v>0</v>
      </c>
      <c r="L63" s="49" t="str">
        <f t="shared" ca="1" si="1"/>
        <v/>
      </c>
      <c r="M63" s="50">
        <f ca="1">IF(Számítás_Ny!$G$1="OK",IF($B63="","",IF($B64="",$L63,VLOOKUP($A63,Számítás_Ny!$A$20:$X$1027,24,0)+VLOOKUP($A63,Számítás_Ny!$AO$20:$BB$1027,14,0)+VLOOKUP($A63,Számítás_Ny!$Z$20:$AM$1027,14,0)+VLOOKUP($A63,Számítás_Ny!$BD$20:$BP$1027,13,0))),0)</f>
        <v>0</v>
      </c>
    </row>
    <row r="64" spans="1:13" x14ac:dyDescent="0.2">
      <c r="A64" s="46" t="str">
        <f ca="1">IF($B64="","",MIN($B64*12,Segédlet!$G$70))</f>
        <v/>
      </c>
      <c r="B64" s="47" t="str">
        <f ca="1">Segédlet!$G107</f>
        <v/>
      </c>
      <c r="C64" s="48">
        <f ca="1">IF(Számítás_Ny!$G$1="OK",IF($B64="","",SUMIF(Számítás_Ny!$B$20:$B$1027,"="&amp;$B64,Számítás_Ny!$K$20:$K$1027)),0)</f>
        <v>0</v>
      </c>
      <c r="D64" s="48">
        <f ca="1">IF(Számítás_Ny!$G$1="OK",IF($B64="","",SUMIF(Tranzakciók!$B$32:$B$115,"="&amp;$B64,Tranzakciók!$K$32:$K$115)),0)</f>
        <v>0</v>
      </c>
      <c r="E64" s="48">
        <f ca="1">IF(Számítás_Ny!$G$1="OK",IF($B64="","",SUMIF(Számítás_Ny!$AA$20:$AA$1027,"="&amp;$B64,Számítás_Ny!$AK$20:$AK$1027)),0)</f>
        <v>0</v>
      </c>
      <c r="F64" s="48">
        <f ca="1">IF(Számítás_Ny!$G$1="OK",IF($B64="","",SUMIF(Számítás_Ny!$BE$20:$BE$1027,"="&amp;$B64,Számítás_Ny!$BJ$20:$BJ$1027)),0)</f>
        <v>0</v>
      </c>
      <c r="G64" s="49" t="str">
        <f t="shared" ca="1" si="0"/>
        <v/>
      </c>
      <c r="H64" s="48">
        <f ca="1">IF(Számítás_Ny!$G$1="OK",IF($B64="","",VLOOKUP($A64,Számítás_Ny!$A$20:$X$1027,23,0)),0)</f>
        <v>0</v>
      </c>
      <c r="I64" s="48">
        <f ca="1">IF(Számítás_Ny!$G$1="OK",IF($B64="","",VLOOKUP($A64,Számítás_Ny!$AO$20:$BB$1027,13,0)),0)</f>
        <v>0</v>
      </c>
      <c r="J64" s="48">
        <f ca="1">IF(Számítás_Ny!$G$1="OK",IF($B64="","",VLOOKUP($A64,Számítás_Ny!$Z$20:$AM$1027,13,0)),0)</f>
        <v>0</v>
      </c>
      <c r="K64" s="48">
        <f ca="1">IF(Számítás_Ny!$G$1="OK",IF($B64="","",VLOOKUP($A64,Számítás_Ny!$BD$20:$BP$1027,12,0)),0)</f>
        <v>0</v>
      </c>
      <c r="L64" s="49" t="str">
        <f t="shared" ca="1" si="1"/>
        <v/>
      </c>
      <c r="M64" s="50">
        <f ca="1">IF(Számítás_Ny!$G$1="OK",IF($B64="","",IF($B65="",$L64,VLOOKUP($A64,Számítás_Ny!$A$20:$X$1027,24,0)+VLOOKUP($A64,Számítás_Ny!$AO$20:$BB$1027,14,0)+VLOOKUP($A64,Számítás_Ny!$Z$20:$AM$1027,14,0)+VLOOKUP($A64,Számítás_Ny!$BD$20:$BP$1027,13,0))),0)</f>
        <v>0</v>
      </c>
    </row>
    <row r="65" spans="1:13" x14ac:dyDescent="0.2">
      <c r="A65" s="46" t="str">
        <f ca="1">IF($B65="","",MIN($B65*12,Segédlet!$G$70))</f>
        <v/>
      </c>
      <c r="B65" s="47" t="str">
        <f ca="1">Segédlet!$G108</f>
        <v/>
      </c>
      <c r="C65" s="48">
        <f ca="1">IF(Számítás_Ny!$G$1="OK",IF($B65="","",SUMIF(Számítás_Ny!$B$20:$B$1027,"="&amp;$B65,Számítás_Ny!$K$20:$K$1027)),0)</f>
        <v>0</v>
      </c>
      <c r="D65" s="48">
        <f ca="1">IF(Számítás_Ny!$G$1="OK",IF($B65="","",SUMIF(Tranzakciók!$B$32:$B$115,"="&amp;$B65,Tranzakciók!$K$32:$K$115)),0)</f>
        <v>0</v>
      </c>
      <c r="E65" s="48">
        <f ca="1">IF(Számítás_Ny!$G$1="OK",IF($B65="","",SUMIF(Számítás_Ny!$AA$20:$AA$1027,"="&amp;$B65,Számítás_Ny!$AK$20:$AK$1027)),0)</f>
        <v>0</v>
      </c>
      <c r="F65" s="48">
        <f ca="1">IF(Számítás_Ny!$G$1="OK",IF($B65="","",SUMIF(Számítás_Ny!$BE$20:$BE$1027,"="&amp;$B65,Számítás_Ny!$BJ$20:$BJ$1027)),0)</f>
        <v>0</v>
      </c>
      <c r="G65" s="49" t="str">
        <f t="shared" ca="1" si="0"/>
        <v/>
      </c>
      <c r="H65" s="48">
        <f ca="1">IF(Számítás_Ny!$G$1="OK",IF($B65="","",VLOOKUP($A65,Számítás_Ny!$A$20:$X$1027,23,0)),0)</f>
        <v>0</v>
      </c>
      <c r="I65" s="48">
        <f ca="1">IF(Számítás_Ny!$G$1="OK",IF($B65="","",VLOOKUP($A65,Számítás_Ny!$AO$20:$BB$1027,13,0)),0)</f>
        <v>0</v>
      </c>
      <c r="J65" s="48">
        <f ca="1">IF(Számítás_Ny!$G$1="OK",IF($B65="","",VLOOKUP($A65,Számítás_Ny!$Z$20:$AM$1027,13,0)),0)</f>
        <v>0</v>
      </c>
      <c r="K65" s="48">
        <f ca="1">IF(Számítás_Ny!$G$1="OK",IF($B65="","",VLOOKUP($A65,Számítás_Ny!$BD$20:$BP$1027,12,0)),0)</f>
        <v>0</v>
      </c>
      <c r="L65" s="49" t="str">
        <f t="shared" ca="1" si="1"/>
        <v/>
      </c>
      <c r="M65" s="50">
        <f ca="1">IF(Számítás_Ny!$G$1="OK",IF($B65="","",IF($B66="",$L65,VLOOKUP($A65,Számítás_Ny!$A$20:$X$1027,24,0)+VLOOKUP($A65,Számítás_Ny!$AO$20:$BB$1027,14,0)+VLOOKUP($A65,Számítás_Ny!$Z$20:$AM$1027,14,0)+VLOOKUP($A65,Számítás_Ny!$BD$20:$BP$1027,13,0))),0)</f>
        <v>0</v>
      </c>
    </row>
    <row r="66" spans="1:13" x14ac:dyDescent="0.2">
      <c r="A66" s="46" t="str">
        <f ca="1">IF($B66="","",MIN($B66*12,Segédlet!$G$70))</f>
        <v/>
      </c>
      <c r="B66" s="47" t="str">
        <f ca="1">Segédlet!$G109</f>
        <v/>
      </c>
      <c r="C66" s="48">
        <f ca="1">IF(Számítás_Ny!$G$1="OK",IF($B66="","",SUMIF(Számítás_Ny!$B$20:$B$1027,"="&amp;$B66,Számítás_Ny!$K$20:$K$1027)),0)</f>
        <v>0</v>
      </c>
      <c r="D66" s="48">
        <f ca="1">IF(Számítás_Ny!$G$1="OK",IF($B66="","",SUMIF(Tranzakciók!$B$32:$B$115,"="&amp;$B66,Tranzakciók!$K$32:$K$115)),0)</f>
        <v>0</v>
      </c>
      <c r="E66" s="48">
        <f ca="1">IF(Számítás_Ny!$G$1="OK",IF($B66="","",SUMIF(Számítás_Ny!$AA$20:$AA$1027,"="&amp;$B66,Számítás_Ny!$AK$20:$AK$1027)),0)</f>
        <v>0</v>
      </c>
      <c r="F66" s="48">
        <f ca="1">IF(Számítás_Ny!$G$1="OK",IF($B66="","",SUMIF(Számítás_Ny!$BE$20:$BE$1027,"="&amp;$B66,Számítás_Ny!$BJ$20:$BJ$1027)),0)</f>
        <v>0</v>
      </c>
      <c r="G66" s="49" t="str">
        <f t="shared" ca="1" si="0"/>
        <v/>
      </c>
      <c r="H66" s="48">
        <f ca="1">IF(Számítás_Ny!$G$1="OK",IF($B66="","",VLOOKUP($A66,Számítás_Ny!$A$20:$X$1027,23,0)),0)</f>
        <v>0</v>
      </c>
      <c r="I66" s="48">
        <f ca="1">IF(Számítás_Ny!$G$1="OK",IF($B66="","",VLOOKUP($A66,Számítás_Ny!$AO$20:$BB$1027,13,0)),0)</f>
        <v>0</v>
      </c>
      <c r="J66" s="48">
        <f ca="1">IF(Számítás_Ny!$G$1="OK",IF($B66="","",VLOOKUP($A66,Számítás_Ny!$Z$20:$AM$1027,13,0)),0)</f>
        <v>0</v>
      </c>
      <c r="K66" s="48">
        <f ca="1">IF(Számítás_Ny!$G$1="OK",IF($B66="","",VLOOKUP($A66,Számítás_Ny!$BD$20:$BP$1027,12,0)),0)</f>
        <v>0</v>
      </c>
      <c r="L66" s="49" t="str">
        <f t="shared" ca="1" si="1"/>
        <v/>
      </c>
      <c r="M66" s="50">
        <f ca="1">IF(Számítás_Ny!$G$1="OK",IF($B66="","",IF($B67="",$L66,VLOOKUP($A66,Számítás_Ny!$A$20:$X$1027,24,0)+VLOOKUP($A66,Számítás_Ny!$AO$20:$BB$1027,14,0)+VLOOKUP($A66,Számítás_Ny!$Z$20:$AM$1027,14,0)+VLOOKUP($A66,Számítás_Ny!$BD$20:$BP$1027,13,0))),0)</f>
        <v>0</v>
      </c>
    </row>
    <row r="67" spans="1:13" x14ac:dyDescent="0.2">
      <c r="A67" s="46" t="str">
        <f ca="1">IF($B67="","",MIN($B67*12,Segédlet!$G$70))</f>
        <v/>
      </c>
      <c r="B67" s="47" t="str">
        <f ca="1">Segédlet!$G110</f>
        <v/>
      </c>
      <c r="C67" s="48">
        <f ca="1">IF(Számítás_Ny!$G$1="OK",IF($B67="","",SUMIF(Számítás_Ny!$B$20:$B$1027,"="&amp;$B67,Számítás_Ny!$K$20:$K$1027)),0)</f>
        <v>0</v>
      </c>
      <c r="D67" s="48">
        <f ca="1">IF(Számítás_Ny!$G$1="OK",IF($B67="","",SUMIF(Tranzakciók!$B$32:$B$115,"="&amp;$B67,Tranzakciók!$K$32:$K$115)),0)</f>
        <v>0</v>
      </c>
      <c r="E67" s="48">
        <f ca="1">IF(Számítás_Ny!$G$1="OK",IF($B67="","",SUMIF(Számítás_Ny!$AA$20:$AA$1027,"="&amp;$B67,Számítás_Ny!$AK$20:$AK$1027)),0)</f>
        <v>0</v>
      </c>
      <c r="F67" s="48">
        <f ca="1">IF(Számítás_Ny!$G$1="OK",IF($B67="","",SUMIF(Számítás_Ny!$BE$20:$BE$1027,"="&amp;$B67,Számítás_Ny!$BJ$20:$BJ$1027)),0)</f>
        <v>0</v>
      </c>
      <c r="G67" s="49" t="str">
        <f t="shared" ca="1" si="0"/>
        <v/>
      </c>
      <c r="H67" s="48">
        <f ca="1">IF(Számítás_Ny!$G$1="OK",IF($B67="","",VLOOKUP($A67,Számítás_Ny!$A$20:$X$1027,23,0)),0)</f>
        <v>0</v>
      </c>
      <c r="I67" s="48">
        <f ca="1">IF(Számítás_Ny!$G$1="OK",IF($B67="","",VLOOKUP($A67,Számítás_Ny!$AO$20:$BB$1027,13,0)),0)</f>
        <v>0</v>
      </c>
      <c r="J67" s="48">
        <f ca="1">IF(Számítás_Ny!$G$1="OK",IF($B67="","",VLOOKUP($A67,Számítás_Ny!$Z$20:$AM$1027,13,0)),0)</f>
        <v>0</v>
      </c>
      <c r="K67" s="48">
        <f ca="1">IF(Számítás_Ny!$G$1="OK",IF($B67="","",VLOOKUP($A67,Számítás_Ny!$BD$20:$BP$1027,12,0)),0)</f>
        <v>0</v>
      </c>
      <c r="L67" s="49" t="str">
        <f t="shared" ca="1" si="1"/>
        <v/>
      </c>
      <c r="M67" s="50">
        <f ca="1">IF(Számítás_Ny!$G$1="OK",IF($B67="","",IF($B68="",$L67,VLOOKUP($A67,Számítás_Ny!$A$20:$X$1027,24,0)+VLOOKUP($A67,Számítás_Ny!$AO$20:$BB$1027,14,0)+VLOOKUP($A67,Számítás_Ny!$Z$20:$AM$1027,14,0)+VLOOKUP($A67,Számítás_Ny!$BD$20:$BP$1027,13,0))),0)</f>
        <v>0</v>
      </c>
    </row>
    <row r="68" spans="1:13" x14ac:dyDescent="0.2">
      <c r="A68" s="46" t="str">
        <f ca="1">IF($B68="","",MIN($B68*12,Segédlet!$G$70))</f>
        <v/>
      </c>
      <c r="B68" s="47" t="str">
        <f ca="1">Segédlet!$G111</f>
        <v/>
      </c>
      <c r="C68" s="48">
        <f ca="1">IF(Számítás_Ny!$G$1="OK",IF($B68="","",SUMIF(Számítás_Ny!$B$20:$B$1027,"="&amp;$B68,Számítás_Ny!$K$20:$K$1027)),0)</f>
        <v>0</v>
      </c>
      <c r="D68" s="48">
        <f ca="1">IF(Számítás_Ny!$G$1="OK",IF($B68="","",SUMIF(Tranzakciók!$B$32:$B$115,"="&amp;$B68,Tranzakciók!$K$32:$K$115)),0)</f>
        <v>0</v>
      </c>
      <c r="E68" s="48">
        <f ca="1">IF(Számítás_Ny!$G$1="OK",IF($B68="","",SUMIF(Számítás_Ny!$AA$20:$AA$1027,"="&amp;$B68,Számítás_Ny!$AK$20:$AK$1027)),0)</f>
        <v>0</v>
      </c>
      <c r="F68" s="48">
        <f ca="1">IF(Számítás_Ny!$G$1="OK",IF($B68="","",SUMIF(Számítás_Ny!$BE$20:$BE$1027,"="&amp;$B68,Számítás_Ny!$BJ$20:$BJ$1027)),0)</f>
        <v>0</v>
      </c>
      <c r="G68" s="49" t="str">
        <f t="shared" ca="1" si="0"/>
        <v/>
      </c>
      <c r="H68" s="48">
        <f ca="1">IF(Számítás_Ny!$G$1="OK",IF($B68="","",VLOOKUP($A68,Számítás_Ny!$A$20:$X$1027,23,0)),0)</f>
        <v>0</v>
      </c>
      <c r="I68" s="48">
        <f ca="1">IF(Számítás_Ny!$G$1="OK",IF($B68="","",VLOOKUP($A68,Számítás_Ny!$AO$20:$BB$1027,13,0)),0)</f>
        <v>0</v>
      </c>
      <c r="J68" s="48">
        <f ca="1">IF(Számítás_Ny!$G$1="OK",IF($B68="","",VLOOKUP($A68,Számítás_Ny!$Z$20:$AM$1027,13,0)),0)</f>
        <v>0</v>
      </c>
      <c r="K68" s="48">
        <f ca="1">IF(Számítás_Ny!$G$1="OK",IF($B68="","",VLOOKUP($A68,Számítás_Ny!$BD$20:$BP$1027,12,0)),0)</f>
        <v>0</v>
      </c>
      <c r="L68" s="49" t="str">
        <f t="shared" ca="1" si="1"/>
        <v/>
      </c>
      <c r="M68" s="50">
        <f ca="1">IF(Számítás_Ny!$G$1="OK",IF($B68="","",IF($B69="",$L68,VLOOKUP($A68,Számítás_Ny!$A$20:$X$1027,24,0)+VLOOKUP($A68,Számítás_Ny!$AO$20:$BB$1027,14,0)+VLOOKUP($A68,Számítás_Ny!$Z$20:$AM$1027,14,0)+VLOOKUP($A68,Számítás_Ny!$BD$20:$BP$1027,13,0))),0)</f>
        <v>0</v>
      </c>
    </row>
    <row r="69" spans="1:13" x14ac:dyDescent="0.2">
      <c r="A69" s="46" t="str">
        <f ca="1">IF($B69="","",MIN($B69*12,Segédlet!$G$70))</f>
        <v/>
      </c>
      <c r="B69" s="47" t="str">
        <f ca="1">Segédlet!$G112</f>
        <v/>
      </c>
      <c r="C69" s="48">
        <f ca="1">IF(Számítás_Ny!$G$1="OK",IF($B69="","",SUMIF(Számítás_Ny!$B$20:$B$1027,"="&amp;$B69,Számítás_Ny!$K$20:$K$1027)),0)</f>
        <v>0</v>
      </c>
      <c r="D69" s="48">
        <f ca="1">IF(Számítás_Ny!$G$1="OK",IF($B69="","",SUMIF(Tranzakciók!$B$32:$B$115,"="&amp;$B69,Tranzakciók!$K$32:$K$115)),0)</f>
        <v>0</v>
      </c>
      <c r="E69" s="48">
        <f ca="1">IF(Számítás_Ny!$G$1="OK",IF($B69="","",SUMIF(Számítás_Ny!$AA$20:$AA$1027,"="&amp;$B69,Számítás_Ny!$AK$20:$AK$1027)),0)</f>
        <v>0</v>
      </c>
      <c r="F69" s="48">
        <f ca="1">IF(Számítás_Ny!$G$1="OK",IF($B69="","",SUMIF(Számítás_Ny!$BE$20:$BE$1027,"="&amp;$B69,Számítás_Ny!$BJ$20:$BJ$1027)),0)</f>
        <v>0</v>
      </c>
      <c r="G69" s="49" t="str">
        <f t="shared" ca="1" si="0"/>
        <v/>
      </c>
      <c r="H69" s="48">
        <f ca="1">IF(Számítás_Ny!$G$1="OK",IF($B69="","",VLOOKUP($A69,Számítás_Ny!$A$20:$X$1027,23,0)),0)</f>
        <v>0</v>
      </c>
      <c r="I69" s="48">
        <f ca="1">IF(Számítás_Ny!$G$1="OK",IF($B69="","",VLOOKUP($A69,Számítás_Ny!$AO$20:$BB$1027,13,0)),0)</f>
        <v>0</v>
      </c>
      <c r="J69" s="48">
        <f ca="1">IF(Számítás_Ny!$G$1="OK",IF($B69="","",VLOOKUP($A69,Számítás_Ny!$Z$20:$AM$1027,13,0)),0)</f>
        <v>0</v>
      </c>
      <c r="K69" s="48">
        <f ca="1">IF(Számítás_Ny!$G$1="OK",IF($B69="","",VLOOKUP($A69,Számítás_Ny!$BD$20:$BP$1027,12,0)),0)</f>
        <v>0</v>
      </c>
      <c r="L69" s="49" t="str">
        <f t="shared" ca="1" si="1"/>
        <v/>
      </c>
      <c r="M69" s="50">
        <f ca="1">IF(Számítás_Ny!$G$1="OK",IF($B69="","",IF($B70="",$L69,VLOOKUP($A69,Számítás_Ny!$A$20:$X$1027,24,0)+VLOOKUP($A69,Számítás_Ny!$AO$20:$BB$1027,14,0)+VLOOKUP($A69,Számítás_Ny!$Z$20:$AM$1027,14,0)+VLOOKUP($A69,Számítás_Ny!$BD$20:$BP$1027,13,0))),0)</f>
        <v>0</v>
      </c>
    </row>
    <row r="70" spans="1:13" x14ac:dyDescent="0.2">
      <c r="A70" s="46" t="str">
        <f ca="1">IF($B70="","",MIN($B70*12,Segédlet!$G$70))</f>
        <v/>
      </c>
      <c r="B70" s="47" t="str">
        <f ca="1">Segédlet!$G113</f>
        <v/>
      </c>
      <c r="C70" s="48">
        <f ca="1">IF(Számítás_Ny!$G$1="OK",IF($B70="","",SUMIF(Számítás_Ny!$B$20:$B$1027,"="&amp;$B70,Számítás_Ny!$K$20:$K$1027)),0)</f>
        <v>0</v>
      </c>
      <c r="D70" s="48">
        <f ca="1">IF(Számítás_Ny!$G$1="OK",IF($B70="","",SUMIF(Tranzakciók!$B$32:$B$115,"="&amp;$B70,Tranzakciók!$K$32:$K$115)),0)</f>
        <v>0</v>
      </c>
      <c r="E70" s="48">
        <f ca="1">IF(Számítás_Ny!$G$1="OK",IF($B70="","",SUMIF(Számítás_Ny!$AA$20:$AA$1027,"="&amp;$B70,Számítás_Ny!$AK$20:$AK$1027)),0)</f>
        <v>0</v>
      </c>
      <c r="F70" s="48">
        <f ca="1">IF(Számítás_Ny!$G$1="OK",IF($B70="","",SUMIF(Számítás_Ny!$BE$20:$BE$1027,"="&amp;$B70,Számítás_Ny!$BJ$20:$BJ$1027)),0)</f>
        <v>0</v>
      </c>
      <c r="G70" s="49" t="str">
        <f t="shared" ca="1" si="0"/>
        <v/>
      </c>
      <c r="H70" s="48">
        <f ca="1">IF(Számítás_Ny!$G$1="OK",IF($B70="","",VLOOKUP($A70,Számítás_Ny!$A$20:$X$1027,23,0)),0)</f>
        <v>0</v>
      </c>
      <c r="I70" s="48">
        <f ca="1">IF(Számítás_Ny!$G$1="OK",IF($B70="","",VLOOKUP($A70,Számítás_Ny!$AO$20:$BB$1027,13,0)),0)</f>
        <v>0</v>
      </c>
      <c r="J70" s="48">
        <f ca="1">IF(Számítás_Ny!$G$1="OK",IF($B70="","",VLOOKUP($A70,Számítás_Ny!$Z$20:$AM$1027,13,0)),0)</f>
        <v>0</v>
      </c>
      <c r="K70" s="48">
        <f ca="1">IF(Számítás_Ny!$G$1="OK",IF($B70="","",VLOOKUP($A70,Számítás_Ny!$BD$20:$BP$1027,12,0)),0)</f>
        <v>0</v>
      </c>
      <c r="L70" s="49" t="str">
        <f t="shared" ca="1" si="1"/>
        <v/>
      </c>
      <c r="M70" s="50">
        <f ca="1">IF(Számítás_Ny!$G$1="OK",IF($B70="","",IF($B71="",$L70,VLOOKUP($A70,Számítás_Ny!$A$20:$X$1027,24,0)+VLOOKUP($A70,Számítás_Ny!$AO$20:$BB$1027,14,0)+VLOOKUP($A70,Számítás_Ny!$Z$20:$AM$1027,14,0)+VLOOKUP($A70,Számítás_Ny!$BD$20:$BP$1027,13,0))),0)</f>
        <v>0</v>
      </c>
    </row>
    <row r="71" spans="1:13" x14ac:dyDescent="0.2">
      <c r="A71" s="46" t="str">
        <f ca="1">IF($B71="","",MIN($B71*12,Segédlet!$G$70))</f>
        <v/>
      </c>
      <c r="B71" s="47" t="str">
        <f ca="1">Segédlet!$G114</f>
        <v/>
      </c>
      <c r="C71" s="48">
        <f ca="1">IF(Számítás_Ny!$G$1="OK",IF($B71="","",SUMIF(Számítás_Ny!$B$20:$B$1027,"="&amp;$B71,Számítás_Ny!$K$20:$K$1027)),0)</f>
        <v>0</v>
      </c>
      <c r="D71" s="48">
        <f ca="1">IF(Számítás_Ny!$G$1="OK",IF($B71="","",SUMIF(Tranzakciók!$B$32:$B$115,"="&amp;$B71,Tranzakciók!$K$32:$K$115)),0)</f>
        <v>0</v>
      </c>
      <c r="E71" s="48">
        <f ca="1">IF(Számítás_Ny!$G$1="OK",IF($B71="","",SUMIF(Számítás_Ny!$AA$20:$AA$1027,"="&amp;$B71,Számítás_Ny!$AK$20:$AK$1027)),0)</f>
        <v>0</v>
      </c>
      <c r="F71" s="48">
        <f ca="1">IF(Számítás_Ny!$G$1="OK",IF($B71="","",SUMIF(Számítás_Ny!$BE$20:$BE$1027,"="&amp;$B71,Számítás_Ny!$BJ$20:$BJ$1027)),0)</f>
        <v>0</v>
      </c>
      <c r="G71" s="49" t="str">
        <f t="shared" ca="1" si="0"/>
        <v/>
      </c>
      <c r="H71" s="48">
        <f ca="1">IF(Számítás_Ny!$G$1="OK",IF($B71="","",VLOOKUP($A71,Számítás_Ny!$A$20:$X$1027,23,0)),0)</f>
        <v>0</v>
      </c>
      <c r="I71" s="48">
        <f ca="1">IF(Számítás_Ny!$G$1="OK",IF($B71="","",VLOOKUP($A71,Számítás_Ny!$AO$20:$BB$1027,13,0)),0)</f>
        <v>0</v>
      </c>
      <c r="J71" s="48">
        <f ca="1">IF(Számítás_Ny!$G$1="OK",IF($B71="","",VLOOKUP($A71,Számítás_Ny!$Z$20:$AM$1027,13,0)),0)</f>
        <v>0</v>
      </c>
      <c r="K71" s="48">
        <f ca="1">IF(Számítás_Ny!$G$1="OK",IF($B71="","",VLOOKUP($A71,Számítás_Ny!$BD$20:$BP$1027,12,0)),0)</f>
        <v>0</v>
      </c>
      <c r="L71" s="49" t="str">
        <f t="shared" ca="1" si="1"/>
        <v/>
      </c>
      <c r="M71" s="50">
        <f ca="1">IF(Számítás_Ny!$G$1="OK",IF($B71="","",IF($B72="",$L71,VLOOKUP($A71,Számítás_Ny!$A$20:$X$1027,24,0)+VLOOKUP($A71,Számítás_Ny!$AO$20:$BB$1027,14,0)+VLOOKUP($A71,Számítás_Ny!$Z$20:$AM$1027,14,0)+VLOOKUP($A71,Számítás_Ny!$BD$20:$BP$1027,13,0))),0)</f>
        <v>0</v>
      </c>
    </row>
    <row r="72" spans="1:13" x14ac:dyDescent="0.2">
      <c r="A72" s="46" t="str">
        <f ca="1">IF($B72="","",MIN($B72*12,Segédlet!$G$70))</f>
        <v/>
      </c>
      <c r="B72" s="47" t="str">
        <f ca="1">Segédlet!$G115</f>
        <v/>
      </c>
      <c r="C72" s="48">
        <f ca="1">IF(Számítás_Ny!$G$1="OK",IF($B72="","",SUMIF(Számítás_Ny!$B$20:$B$1027,"="&amp;$B72,Számítás_Ny!$K$20:$K$1027)),0)</f>
        <v>0</v>
      </c>
      <c r="D72" s="48">
        <f ca="1">IF(Számítás_Ny!$G$1="OK",IF($B72="","",SUMIF(Tranzakciók!$B$32:$B$115,"="&amp;$B72,Tranzakciók!$K$32:$K$115)),0)</f>
        <v>0</v>
      </c>
      <c r="E72" s="48">
        <f ca="1">IF(Számítás_Ny!$G$1="OK",IF($B72="","",SUMIF(Számítás_Ny!$AA$20:$AA$1027,"="&amp;$B72,Számítás_Ny!$AK$20:$AK$1027)),0)</f>
        <v>0</v>
      </c>
      <c r="F72" s="48">
        <f ca="1">IF(Számítás_Ny!$G$1="OK",IF($B72="","",SUMIF(Számítás_Ny!$BE$20:$BE$1027,"="&amp;$B72,Számítás_Ny!$BJ$20:$BJ$1027)),0)</f>
        <v>0</v>
      </c>
      <c r="G72" s="49" t="str">
        <f t="shared" ca="1" si="0"/>
        <v/>
      </c>
      <c r="H72" s="48">
        <f ca="1">IF(Számítás_Ny!$G$1="OK",IF($B72="","",VLOOKUP($A72,Számítás_Ny!$A$20:$X$1027,23,0)),0)</f>
        <v>0</v>
      </c>
      <c r="I72" s="48">
        <f ca="1">IF(Számítás_Ny!$G$1="OK",IF($B72="","",VLOOKUP($A72,Számítás_Ny!$AO$20:$BB$1027,13,0)),0)</f>
        <v>0</v>
      </c>
      <c r="J72" s="48">
        <f ca="1">IF(Számítás_Ny!$G$1="OK",IF($B72="","",VLOOKUP($A72,Számítás_Ny!$Z$20:$AM$1027,13,0)),0)</f>
        <v>0</v>
      </c>
      <c r="K72" s="48">
        <f ca="1">IF(Számítás_Ny!$G$1="OK",IF($B72="","",VLOOKUP($A72,Számítás_Ny!$BD$20:$BP$1027,12,0)),0)</f>
        <v>0</v>
      </c>
      <c r="L72" s="49" t="str">
        <f t="shared" ca="1" si="1"/>
        <v/>
      </c>
      <c r="M72" s="50">
        <f ca="1">IF(Számítás_Ny!$G$1="OK",IF($B72="","",IF($B73="",$L72,VLOOKUP($A72,Számítás_Ny!$A$20:$X$1027,24,0)+VLOOKUP($A72,Számítás_Ny!$AO$20:$BB$1027,14,0)+VLOOKUP($A72,Számítás_Ny!$Z$20:$AM$1027,14,0)+VLOOKUP($A72,Számítás_Ny!$BD$20:$BP$1027,13,0))),0)</f>
        <v>0</v>
      </c>
    </row>
    <row r="73" spans="1:13" x14ac:dyDescent="0.2">
      <c r="A73" s="46" t="str">
        <f ca="1">IF($B73="","",MIN($B73*12,Segédlet!$G$70))</f>
        <v/>
      </c>
      <c r="B73" s="47" t="str">
        <f ca="1">Segédlet!$G116</f>
        <v/>
      </c>
      <c r="C73" s="48">
        <f ca="1">IF(Számítás_Ny!$G$1="OK",IF($B73="","",SUMIF(Számítás_Ny!$B$20:$B$1027,"="&amp;$B73,Számítás_Ny!$K$20:$K$1027)),0)</f>
        <v>0</v>
      </c>
      <c r="D73" s="48">
        <f ca="1">IF(Számítás_Ny!$G$1="OK",IF($B73="","",SUMIF(Tranzakciók!$B$32:$B$115,"="&amp;$B73,Tranzakciók!$K$32:$K$115)),0)</f>
        <v>0</v>
      </c>
      <c r="E73" s="48">
        <f ca="1">IF(Számítás_Ny!$G$1="OK",IF($B73="","",SUMIF(Számítás_Ny!$AA$20:$AA$1027,"="&amp;$B73,Számítás_Ny!$AK$20:$AK$1027)),0)</f>
        <v>0</v>
      </c>
      <c r="F73" s="48">
        <f ca="1">IF(Számítás_Ny!$G$1="OK",IF($B73="","",SUMIF(Számítás_Ny!$BE$20:$BE$1027,"="&amp;$B73,Számítás_Ny!$BJ$20:$BJ$1027)),0)</f>
        <v>0</v>
      </c>
      <c r="G73" s="49" t="str">
        <f t="shared" ca="1" si="0"/>
        <v/>
      </c>
      <c r="H73" s="48">
        <f ca="1">IF(Számítás_Ny!$G$1="OK",IF($B73="","",VLOOKUP($A73,Számítás_Ny!$A$20:$X$1027,23,0)),0)</f>
        <v>0</v>
      </c>
      <c r="I73" s="48">
        <f ca="1">IF(Számítás_Ny!$G$1="OK",IF($B73="","",VLOOKUP($A73,Számítás_Ny!$AO$20:$BB$1027,13,0)),0)</f>
        <v>0</v>
      </c>
      <c r="J73" s="48">
        <f ca="1">IF(Számítás_Ny!$G$1="OK",IF($B73="","",VLOOKUP($A73,Számítás_Ny!$Z$20:$AM$1027,13,0)),0)</f>
        <v>0</v>
      </c>
      <c r="K73" s="48">
        <f ca="1">IF(Számítás_Ny!$G$1="OK",IF($B73="","",VLOOKUP($A73,Számítás_Ny!$BD$20:$BP$1027,12,0)),0)</f>
        <v>0</v>
      </c>
      <c r="L73" s="49" t="str">
        <f t="shared" ca="1" si="1"/>
        <v/>
      </c>
      <c r="M73" s="50">
        <f ca="1">IF(Számítás_Ny!$G$1="OK",IF($B73="","",IF($B74="",$L73,VLOOKUP($A73,Számítás_Ny!$A$20:$X$1027,24,0)+VLOOKUP($A73,Számítás_Ny!$AO$20:$BB$1027,14,0)+VLOOKUP($A73,Számítás_Ny!$Z$20:$AM$1027,14,0)+VLOOKUP($A73,Számítás_Ny!$BD$20:$BP$1027,13,0))),0)</f>
        <v>0</v>
      </c>
    </row>
    <row r="74" spans="1:13" x14ac:dyDescent="0.2">
      <c r="A74" s="46" t="str">
        <f ca="1">IF($B74="","",MIN($B74*12,Segédlet!$G$70))</f>
        <v/>
      </c>
      <c r="B74" s="47" t="str">
        <f ca="1">Segédlet!$G117</f>
        <v/>
      </c>
      <c r="C74" s="48">
        <f ca="1">IF(Számítás_Ny!$G$1="OK",IF($B74="","",SUMIF(Számítás_Ny!$B$20:$B$1027,"="&amp;$B74,Számítás_Ny!$K$20:$K$1027)),0)</f>
        <v>0</v>
      </c>
      <c r="D74" s="48">
        <f ca="1">IF(Számítás_Ny!$G$1="OK",IF($B74="","",SUMIF(Tranzakciók!$B$32:$B$115,"="&amp;$B74,Tranzakciók!$K$32:$K$115)),0)</f>
        <v>0</v>
      </c>
      <c r="E74" s="48">
        <f ca="1">IF(Számítás_Ny!$G$1="OK",IF($B74="","",SUMIF(Számítás_Ny!$AA$20:$AA$1027,"="&amp;$B74,Számítás_Ny!$AK$20:$AK$1027)),0)</f>
        <v>0</v>
      </c>
      <c r="F74" s="48">
        <f ca="1">IF(Számítás_Ny!$G$1="OK",IF($B74="","",SUMIF(Számítás_Ny!$BE$20:$BE$1027,"="&amp;$B74,Számítás_Ny!$BJ$20:$BJ$1027)),0)</f>
        <v>0</v>
      </c>
      <c r="G74" s="49" t="str">
        <f t="shared" ca="1" si="0"/>
        <v/>
      </c>
      <c r="H74" s="48">
        <f ca="1">IF(Számítás_Ny!$G$1="OK",IF($B74="","",VLOOKUP($A74,Számítás_Ny!$A$20:$X$1027,23,0)),0)</f>
        <v>0</v>
      </c>
      <c r="I74" s="48">
        <f ca="1">IF(Számítás_Ny!$G$1="OK",IF($B74="","",VLOOKUP($A74,Számítás_Ny!$AO$20:$BB$1027,13,0)),0)</f>
        <v>0</v>
      </c>
      <c r="J74" s="48">
        <f ca="1">IF(Számítás_Ny!$G$1="OK",IF($B74="","",VLOOKUP($A74,Számítás_Ny!$Z$20:$AM$1027,13,0)),0)</f>
        <v>0</v>
      </c>
      <c r="K74" s="48">
        <f ca="1">IF(Számítás_Ny!$G$1="OK",IF($B74="","",VLOOKUP($A74,Számítás_Ny!$BD$20:$BP$1027,12,0)),0)</f>
        <v>0</v>
      </c>
      <c r="L74" s="49" t="str">
        <f t="shared" ca="1" si="1"/>
        <v/>
      </c>
      <c r="M74" s="50">
        <f ca="1">IF(Számítás_Ny!$G$1="OK",IF($B74="","",IF($B75="",$L74,VLOOKUP($A74,Számítás_Ny!$A$20:$X$1027,24,0)+VLOOKUP($A74,Számítás_Ny!$AO$20:$BB$1027,14,0)+VLOOKUP($A74,Számítás_Ny!$Z$20:$AM$1027,14,0)+VLOOKUP($A74,Számítás_Ny!$BD$20:$BP$1027,13,0))),0)</f>
        <v>0</v>
      </c>
    </row>
    <row r="77" spans="1:13" ht="51" customHeight="1" x14ac:dyDescent="0.2">
      <c r="B77" s="113" t="s">
        <v>221</v>
      </c>
      <c r="C77" s="113"/>
      <c r="D77" s="113"/>
      <c r="E77" s="113"/>
      <c r="F77" s="113"/>
      <c r="G77" s="113"/>
      <c r="H77" s="113"/>
      <c r="I77" s="113"/>
      <c r="J77" s="113"/>
      <c r="K77" s="113"/>
      <c r="L77" s="113"/>
      <c r="M77" s="113"/>
    </row>
    <row r="78" spans="1:13" ht="51" customHeight="1" x14ac:dyDescent="0.2">
      <c r="B78" s="114" t="s">
        <v>217</v>
      </c>
      <c r="C78" s="114"/>
      <c r="D78" s="114"/>
      <c r="E78" s="114"/>
      <c r="F78" s="114"/>
      <c r="G78" s="114"/>
      <c r="H78" s="114"/>
      <c r="I78" s="114"/>
      <c r="J78" s="114"/>
      <c r="K78" s="114"/>
      <c r="L78" s="114"/>
      <c r="M78" s="114"/>
    </row>
    <row r="79" spans="1:13" x14ac:dyDescent="0.2">
      <c r="B79" s="115" t="s">
        <v>215</v>
      </c>
      <c r="C79" s="115"/>
      <c r="D79" s="115"/>
      <c r="E79" s="115"/>
      <c r="F79" s="115"/>
      <c r="G79" s="115"/>
      <c r="H79" s="115"/>
      <c r="I79" s="115"/>
      <c r="J79" s="115"/>
      <c r="K79" s="115"/>
      <c r="L79" s="115"/>
      <c r="M79" s="115"/>
    </row>
    <row r="80" spans="1:13" x14ac:dyDescent="0.2">
      <c r="B80" s="115" t="s">
        <v>216</v>
      </c>
      <c r="C80" s="115"/>
      <c r="D80" s="115"/>
      <c r="E80" s="115"/>
      <c r="F80" s="115"/>
      <c r="G80" s="115"/>
      <c r="H80" s="115"/>
      <c r="I80" s="115"/>
      <c r="J80" s="115"/>
      <c r="K80" s="115"/>
      <c r="L80" s="115"/>
      <c r="M80" s="115"/>
    </row>
    <row r="81" spans="2:13" ht="12.75" customHeight="1" x14ac:dyDescent="0.2">
      <c r="B81" s="115" t="s">
        <v>218</v>
      </c>
      <c r="C81" s="115"/>
      <c r="D81" s="115"/>
      <c r="E81" s="115"/>
      <c r="F81" s="115"/>
      <c r="G81" s="115"/>
      <c r="H81" s="115"/>
      <c r="I81" s="115"/>
      <c r="J81" s="115"/>
      <c r="K81" s="115"/>
      <c r="L81" s="115"/>
      <c r="M81" s="115"/>
    </row>
  </sheetData>
  <sheetProtection password="D9D3" sheet="1" objects="1" scenarios="1"/>
  <mergeCells count="55">
    <mergeCell ref="B77:M77"/>
    <mergeCell ref="B78:M78"/>
    <mergeCell ref="B79:M79"/>
    <mergeCell ref="B80:M80"/>
    <mergeCell ref="B81:M81"/>
    <mergeCell ref="B10:D10"/>
    <mergeCell ref="E10:G10"/>
    <mergeCell ref="I9:K9"/>
    <mergeCell ref="L9:M9"/>
    <mergeCell ref="B11:D11"/>
    <mergeCell ref="E11:G11"/>
    <mergeCell ref="I10:K10"/>
    <mergeCell ref="L10:M10"/>
    <mergeCell ref="I11:K11"/>
    <mergeCell ref="L11:M11"/>
    <mergeCell ref="B1:F2"/>
    <mergeCell ref="B4:M5"/>
    <mergeCell ref="B8:D8"/>
    <mergeCell ref="E8:G8"/>
    <mergeCell ref="B9:D9"/>
    <mergeCell ref="E9:G9"/>
    <mergeCell ref="I8:K8"/>
    <mergeCell ref="L8:M8"/>
    <mergeCell ref="B24:B26"/>
    <mergeCell ref="C24:G25"/>
    <mergeCell ref="B15:D15"/>
    <mergeCell ref="E15:G15"/>
    <mergeCell ref="I15:K15"/>
    <mergeCell ref="B20:F20"/>
    <mergeCell ref="I20:M20"/>
    <mergeCell ref="L16:M16"/>
    <mergeCell ref="I19:M19"/>
    <mergeCell ref="B16:D16"/>
    <mergeCell ref="E16:G16"/>
    <mergeCell ref="I16:K16"/>
    <mergeCell ref="H24:L25"/>
    <mergeCell ref="M24:M25"/>
    <mergeCell ref="C26:C27"/>
    <mergeCell ref="D26:D27"/>
    <mergeCell ref="I12:K12"/>
    <mergeCell ref="B21:F21"/>
    <mergeCell ref="I21:M21"/>
    <mergeCell ref="L15:M15"/>
    <mergeCell ref="L12:M12"/>
    <mergeCell ref="B12:D12"/>
    <mergeCell ref="E12:G12"/>
    <mergeCell ref="E26:E27"/>
    <mergeCell ref="F26:F27"/>
    <mergeCell ref="M26:M27"/>
    <mergeCell ref="G26:G27"/>
    <mergeCell ref="H26:H27"/>
    <mergeCell ref="I26:I27"/>
    <mergeCell ref="J26:J27"/>
    <mergeCell ref="K26:K27"/>
    <mergeCell ref="L26:L27"/>
  </mergeCells>
  <pageMargins left="0.7" right="0.7" top="0.75" bottom="0.75" header="0.3" footer="0.3"/>
  <pageSetup paperSize="9" scale="69" orientation="landscape" r:id="rId1"/>
  <extLst>
    <ext xmlns:x14="http://schemas.microsoft.com/office/spreadsheetml/2009/9/main" uri="{78C0D931-6437-407d-A8EE-F0AAD7539E65}">
      <x14:conditionalFormattings>
        <x14:conditionalFormatting xmlns:xm="http://schemas.microsoft.com/office/excel/2006/main">
          <x14:cfRule type="expression" priority="13" id="{52B89407-8549-45DA-937C-4139C759F4F0}">
            <xm:f>Számítás_UL!$D$4="Euró"</xm:f>
            <x14:dxf>
              <numFmt numFmtId="170" formatCode="_-* #,##0.00\ [$€-1]_-;\-* #,##0.00\ [$€-1]_-;_-* &quot;-&quot;??\ [$€-1]_-;_-@_-"/>
            </x14:dxf>
          </x14:cfRule>
          <x14:cfRule type="expression" priority="14" id="{8F405980-2744-492F-B537-C95B3760A25B}">
            <xm:f>Számítás_UL!$D$4="Forint"</xm:f>
            <x14:dxf>
              <numFmt numFmtId="169" formatCode="#,##0\ &quot;Ft&quot;"/>
            </x14:dxf>
          </x14:cfRule>
          <xm:sqref>G28:G74</xm:sqref>
        </x14:conditionalFormatting>
        <x14:conditionalFormatting xmlns:xm="http://schemas.microsoft.com/office/excel/2006/main">
          <x14:cfRule type="expression" priority="11" id="{9176C8D4-4550-44F1-B44E-040079016EEB}">
            <xm:f>Számítás_UL!$D$4="Euró"</xm:f>
            <x14:dxf>
              <numFmt numFmtId="170" formatCode="_-* #,##0.00\ [$€-1]_-;\-* #,##0.00\ [$€-1]_-;_-* &quot;-&quot;??\ [$€-1]_-;_-@_-"/>
            </x14:dxf>
          </x14:cfRule>
          <x14:cfRule type="expression" priority="12" id="{5E229AA2-E4C3-4B60-9B94-C9966813CC2A}">
            <xm:f>Számítás_UL!$D$4="Forint"</xm:f>
            <x14:dxf>
              <numFmt numFmtId="169" formatCode="#,##0\ &quot;Ft&quot;"/>
            </x14:dxf>
          </x14:cfRule>
          <xm:sqref>C28:F74</xm:sqref>
        </x14:conditionalFormatting>
        <x14:conditionalFormatting xmlns:xm="http://schemas.microsoft.com/office/excel/2006/main">
          <x14:cfRule type="expression" priority="9" id="{A1F58C9A-9003-447C-831E-4017109C4EB5}">
            <xm:f>Számítás_UL!$D$4="Euró"</xm:f>
            <x14:dxf>
              <numFmt numFmtId="170" formatCode="_-* #,##0.00\ [$€-1]_-;\-* #,##0.00\ [$€-1]_-;_-* &quot;-&quot;??\ [$€-1]_-;_-@_-"/>
            </x14:dxf>
          </x14:cfRule>
          <x14:cfRule type="expression" priority="10" id="{3C2993E7-5D4D-44A8-B95A-699404756C82}">
            <xm:f>Számítás_UL!$D$4="Forint"</xm:f>
            <x14:dxf>
              <numFmt numFmtId="169" formatCode="#,##0\ &quot;Ft&quot;"/>
            </x14:dxf>
          </x14:cfRule>
          <xm:sqref>H28:M74</xm:sqref>
        </x14:conditionalFormatting>
        <x14:conditionalFormatting xmlns:xm="http://schemas.microsoft.com/office/excel/2006/main">
          <x14:cfRule type="expression" priority="7" id="{4E7C4155-22E0-415B-8788-563E80231744}">
            <xm:f>Számítás_UL!$D$4="Forint"</xm:f>
            <x14:dxf>
              <numFmt numFmtId="169" formatCode="#,##0\ &quot;Ft&quot;"/>
            </x14:dxf>
          </x14:cfRule>
          <x14:cfRule type="expression" priority="8" id="{1137583B-C1CF-4D20-A027-580DE248FFB4}">
            <xm:f>Számítás_UL!$D$4="Euró"</xm:f>
            <x14:dxf>
              <numFmt numFmtId="168" formatCode="#,##0.00\ [$€-1]"/>
            </x14:dxf>
          </x14:cfRule>
          <xm:sqref>E11:G11</xm:sqref>
        </x14:conditionalFormatting>
        <x14:conditionalFormatting xmlns:xm="http://schemas.microsoft.com/office/excel/2006/main">
          <x14:cfRule type="expression" priority="5" id="{58AB1707-110B-4733-A7A2-543E6D6BCAF2}">
            <xm:f>Számítás_UL!$D$4="Forint"</xm:f>
            <x14:dxf>
              <numFmt numFmtId="169" formatCode="#,##0\ &quot;Ft&quot;"/>
            </x14:dxf>
          </x14:cfRule>
          <x14:cfRule type="expression" priority="6" id="{63AC8E96-E49F-419B-8180-8A9FBA467F0F}">
            <xm:f>Számítás_UL!$D$4="Euró"</xm:f>
            <x14:dxf>
              <numFmt numFmtId="168" formatCode="#,##0.00\ [$€-1]"/>
            </x14:dxf>
          </x14:cfRule>
          <xm:sqref>G21</xm:sqref>
        </x14:conditionalFormatting>
        <x14:conditionalFormatting xmlns:xm="http://schemas.microsoft.com/office/excel/2006/main">
          <x14:cfRule type="expression" priority="1" id="{BC0E973B-0118-4C6F-B624-51903567BC93}">
            <xm:f>Számítás_UL!$D$4="Forint"</xm:f>
            <x14:dxf>
              <numFmt numFmtId="169" formatCode="#,##0\ &quot;Ft&quot;"/>
            </x14:dxf>
          </x14:cfRule>
          <x14:cfRule type="expression" priority="2" id="{2D773809-02C2-41EB-B68B-D2228B93DA79}">
            <xm:f>Számítás_UL!$D$4="Euró"</xm:f>
            <x14:dxf>
              <numFmt numFmtId="168" formatCode="#,##0.00\ [$€-1]"/>
            </x14:dxf>
          </x14:cfRule>
          <xm:sqref>L12:M12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Munkalapok</vt:lpstr>
      </vt:variant>
      <vt:variant>
        <vt:i4>10</vt:i4>
      </vt:variant>
      <vt:variant>
        <vt:lpstr>Névvel ellátott tartományok</vt:lpstr>
      </vt:variant>
      <vt:variant>
        <vt:i4>14</vt:i4>
      </vt:variant>
    </vt:vector>
  </HeadingPairs>
  <TitlesOfParts>
    <vt:vector size="24" baseType="lpstr">
      <vt:lpstr>Ajánlat</vt:lpstr>
      <vt:lpstr>Tranzakciók</vt:lpstr>
      <vt:lpstr>Számítás_UL</vt:lpstr>
      <vt:lpstr>Számítás_Ny</vt:lpstr>
      <vt:lpstr>Paraméterek</vt:lpstr>
      <vt:lpstr>Segédlet</vt:lpstr>
      <vt:lpstr>Manhattan kivonat</vt:lpstr>
      <vt:lpstr>Manhattan teljes</vt:lpstr>
      <vt:lpstr>MNyP kivonat</vt:lpstr>
      <vt:lpstr>MNyP teljes</vt:lpstr>
      <vt:lpstr>Deviza</vt:lpstr>
      <vt:lpstr>Díj_Gyak</vt:lpstr>
      <vt:lpstr>Díj_Mód</vt:lpstr>
      <vt:lpstr>Ea_Kínálat</vt:lpstr>
      <vt:lpstr>Index</vt:lpstr>
      <vt:lpstr>Ajánlat!Nyomtatási_terület</vt:lpstr>
      <vt:lpstr>'Manhattan kivonat'!Nyomtatási_terület</vt:lpstr>
      <vt:lpstr>'Manhattan teljes'!Nyomtatási_terület</vt:lpstr>
      <vt:lpstr>'MNyP kivonat'!Nyomtatási_terület</vt:lpstr>
      <vt:lpstr>'MNyP teljes'!Nyomtatási_terület</vt:lpstr>
      <vt:lpstr>Tranzakciók!Nyomtatási_terület</vt:lpstr>
      <vt:lpstr>Portfólió</vt:lpstr>
      <vt:lpstr>Portfólió_PP</vt:lpstr>
      <vt:lpstr>Választás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Thaly, Peter</dc:creator>
  <cp:lastModifiedBy>Ady, Endre</cp:lastModifiedBy>
  <cp:lastPrinted>2019-04-17T11:57:57Z</cp:lastPrinted>
  <dcterms:created xsi:type="dcterms:W3CDTF">2017-07-14T06:37:59Z</dcterms:created>
  <dcterms:modified xsi:type="dcterms:W3CDTF">2019-06-07T07:48:11Z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